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7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 activeTab="3"/>
  </bookViews>
  <sheets>
    <sheet name="Recap" sheetId="19" r:id="rId1"/>
    <sheet name="Masques" sheetId="27" r:id="rId2"/>
    <sheet name="Models" sheetId="6" r:id="rId3"/>
    <sheet name="Réglage perte" sheetId="7" r:id="rId4"/>
    <sheet name="2019" sheetId="1" r:id="rId5"/>
    <sheet name="2020" sheetId="15" r:id="rId6"/>
    <sheet name="2021" sheetId="16" r:id="rId7"/>
    <sheet name="2022" sheetId="17" r:id="rId8"/>
    <sheet name="2023" sheetId="18" r:id="rId9"/>
    <sheet name="2024" sheetId="20" r:id="rId10"/>
    <sheet name="2025" sheetId="22" r:id="rId11"/>
    <sheet name="2026" sheetId="23" r:id="rId12"/>
    <sheet name="2027" sheetId="24" r:id="rId13"/>
    <sheet name="2028" sheetId="25" r:id="rId14"/>
  </sheets>
  <externalReferences>
    <externalReference r:id="rId15"/>
    <externalReference r:id="rId16"/>
    <externalReference r:id="rId17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'2019'!$E$8</definedName>
    <definedName name="Acti_net" localSheetId="5">'2020'!$E$8</definedName>
    <definedName name="Acti_net" localSheetId="6">'2021'!$E$8</definedName>
    <definedName name="Acti_net" localSheetId="7">'2022'!$E$8</definedName>
    <definedName name="Acti_net" localSheetId="8">'2023'!$E$8</definedName>
    <definedName name="Acti_net" localSheetId="9">'2024'!$E$8</definedName>
    <definedName name="Acti_net" localSheetId="10">'2025'!$E$8</definedName>
    <definedName name="Acti_net" localSheetId="11">'2026'!$E$8</definedName>
    <definedName name="Acti_net" localSheetId="12">'2027'!$E$8</definedName>
    <definedName name="Acti_net" localSheetId="13">'2028'!$E$8</definedName>
    <definedName name="Acti_tai" localSheetId="4">'2019'!$F$8</definedName>
    <definedName name="Acti_tai" localSheetId="5">'2020'!$F$8</definedName>
    <definedName name="Acti_tai" localSheetId="6">'2021'!$F$8</definedName>
    <definedName name="Acti_tai" localSheetId="7">'2022'!$F$8</definedName>
    <definedName name="Acti_tai" localSheetId="8">'2023'!$F$8</definedName>
    <definedName name="Acti_tai" localSheetId="9">'2024'!$F$8</definedName>
    <definedName name="Acti_tai" localSheetId="10">'2025'!$F$8</definedName>
    <definedName name="Acti_tai" localSheetId="11">'2026'!$F$8</definedName>
    <definedName name="Acti_tai" localSheetId="12">'2027'!$F$8</definedName>
    <definedName name="Acti_tai" localSheetId="13">'2028'!$F$8</definedName>
    <definedName name="Ajust_M">Models!$Y$1</definedName>
    <definedName name="Amaj">'2019'!$G$3</definedName>
    <definedName name="An" localSheetId="4">'2019'!$J$1</definedName>
    <definedName name="An" localSheetId="5">'2020'!$J$1</definedName>
    <definedName name="An" localSheetId="6">'2021'!$J$1</definedName>
    <definedName name="An" localSheetId="7">'2022'!$J$1</definedName>
    <definedName name="An" localSheetId="8">'2023'!$J$1</definedName>
    <definedName name="An" localSheetId="9">'2024'!$J$1</definedName>
    <definedName name="An" localSheetId="10">'2025'!$J$1</definedName>
    <definedName name="An" localSheetId="11">'2026'!$J$1</definedName>
    <definedName name="An" localSheetId="12">'2027'!$J$1</definedName>
    <definedName name="An" localSheetId="13">'2028'!$J$1</definedName>
    <definedName name="An_max" localSheetId="4">'2019'!$J$15:$J$380</definedName>
    <definedName name="An_max" localSheetId="5">'2020'!$J$15:$J$380</definedName>
    <definedName name="An_max" localSheetId="6">'2021'!$J$15:$J$380</definedName>
    <definedName name="An_max" localSheetId="7">'2022'!$J$15:$J$380</definedName>
    <definedName name="An_max" localSheetId="8">'2023'!$J$15:$J$380</definedName>
    <definedName name="An_max" localSheetId="9">'2024'!$J$15:$J$380</definedName>
    <definedName name="An_max" localSheetId="10">'2025'!$J$15:$J$380</definedName>
    <definedName name="An_max" localSheetId="11">'2026'!$J$15:$J$380</definedName>
    <definedName name="An_max" localSheetId="12">'2027'!$J$15:$J$380</definedName>
    <definedName name="An_max" localSheetId="13">'2028'!$J$15:$J$380</definedName>
    <definedName name="An_Tnet" localSheetId="4">'2019'!$F$7</definedName>
    <definedName name="An_Tnet" localSheetId="5">'2020'!$F$7</definedName>
    <definedName name="An_Tnet" localSheetId="6">'2021'!$F$7</definedName>
    <definedName name="An_Tnet" localSheetId="7">'2022'!$F$7</definedName>
    <definedName name="An_Tnet" localSheetId="8">'2023'!$F$7</definedName>
    <definedName name="An_Tnet" localSheetId="9">'2024'!$F$7</definedName>
    <definedName name="An_Tnet" localSheetId="10">'2025'!$F$7</definedName>
    <definedName name="An_Tnet" localSheetId="11">'2026'!$F$7</definedName>
    <definedName name="An_Tnet" localSheetId="12">'2027'!$F$7</definedName>
    <definedName name="An_Tnet" localSheetId="13">'2028'!$F$7</definedName>
    <definedName name="Azi_decal">Masques!$AF$56:$AF$79</definedName>
    <definedName name="Azi_pv_sel">Masques!$N$5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'2019'!$P$12</definedName>
    <definedName name="Croi_tai" localSheetId="5">'2020'!$P$12</definedName>
    <definedName name="Croi_tai" localSheetId="6">'2021'!$P$12</definedName>
    <definedName name="Croi_tai" localSheetId="7">'2022'!$P$12</definedName>
    <definedName name="Croi_tai" localSheetId="8">'2023'!$P$12</definedName>
    <definedName name="Croi_tai" localSheetId="9">'2024'!$P$12</definedName>
    <definedName name="Croi_tai" localSheetId="10">'2025'!$P$12</definedName>
    <definedName name="Croi_tai" localSheetId="11">'2026'!$P$12</definedName>
    <definedName name="Croi_tai" localSheetId="12">'2027'!$P$12</definedName>
    <definedName name="Croi_tai" localSheetId="13">'2028'!$P$12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'2019'!$Q$12</definedName>
    <definedName name="Dd" localSheetId="5">'2020'!$Q$12</definedName>
    <definedName name="Dd" localSheetId="6">'2021'!$Q$12</definedName>
    <definedName name="Dd" localSheetId="7">'2022'!$Q$12</definedName>
    <definedName name="Dd" localSheetId="8">'2023'!$Q$12</definedName>
    <definedName name="Dd" localSheetId="9">'2024'!$Q$12</definedName>
    <definedName name="Dd" localSheetId="10">'2025'!$Q$12</definedName>
    <definedName name="Dd" localSheetId="11">'2026'!$Q$12</definedName>
    <definedName name="Dd" localSheetId="12">'2027'!$Q$12</definedName>
    <definedName name="Dd" localSheetId="13">'2028'!$Q$12</definedName>
    <definedName name="Dd_s" localSheetId="4">'2019'!$AE$12</definedName>
    <definedName name="Dd_s" localSheetId="5">'2020'!$AE$12</definedName>
    <definedName name="Dd_s" localSheetId="6">'2021'!$AE$12</definedName>
    <definedName name="Dd_s" localSheetId="7">'2022'!$AE$12</definedName>
    <definedName name="Dd_s" localSheetId="8">'2023'!$AE$12</definedName>
    <definedName name="Dd_s" localSheetId="9">'2024'!$AE$12</definedName>
    <definedName name="Dd_s" localSheetId="10">'2025'!$AE$12</definedName>
    <definedName name="Dd_s" localSheetId="11">'2026'!$AE$12</definedName>
    <definedName name="Dd_s" localSheetId="12">'2027'!$AE$12</definedName>
    <definedName name="Dd_s" localSheetId="13">'2028'!$AE$12</definedName>
    <definedName name="Dens" localSheetId="4">'2019'!$Q$11</definedName>
    <definedName name="Dens" localSheetId="5">'2020'!$Q$11</definedName>
    <definedName name="Dens" localSheetId="6">'2021'!$Q$11</definedName>
    <definedName name="Dens" localSheetId="7">'2022'!$Q$11</definedName>
    <definedName name="Dens" localSheetId="8">'2023'!$Q$11</definedName>
    <definedName name="Dens" localSheetId="9">'2024'!$Q$11</definedName>
    <definedName name="Dens" localSheetId="10">'2025'!$Q$11</definedName>
    <definedName name="Dens" localSheetId="11">'2026'!$Q$11</definedName>
    <definedName name="Dens" localSheetId="12">'2027'!$Q$11</definedName>
    <definedName name="Dens" localSheetId="13">'2028'!$Q$11</definedName>
    <definedName name="Dens_2019">'Réglage perte'!$C$11</definedName>
    <definedName name="Dens_2020">'Réglage perte'!$I$11</definedName>
    <definedName name="Dens_2021">'Réglage perte'!$O$11</definedName>
    <definedName name="Dens_2022">'Réglage perte'!$U$11</definedName>
    <definedName name="Dens_2023">'Réglage perte'!$AA$11</definedName>
    <definedName name="Dens_2024">'Réglage perte'!$AG$11</definedName>
    <definedName name="Dens_2025">'Réglage perte'!$AM$11</definedName>
    <definedName name="Dens_2026">'Réglage perte'!$AS$11</definedName>
    <definedName name="Dens_2027">'Réglage perte'!$AY$11</definedName>
    <definedName name="Dens_2028">'Réglage perte'!$BE$11</definedName>
    <definedName name="Dens_2029">'Réglage perte'!$BK$11</definedName>
    <definedName name="Dens_2030">'Réglage perte'!$BQ$11</definedName>
    <definedName name="Dens_2031">'Réglage perte'!$BW$11</definedName>
    <definedName name="Dens_s" localSheetId="5">'2020'!$AE$11</definedName>
    <definedName name="Dens_s" localSheetId="6">'2021'!$AE$11</definedName>
    <definedName name="Dens_s" localSheetId="7">'2022'!$AE$11</definedName>
    <definedName name="Dens_s" localSheetId="8">'2023'!$AE$11</definedName>
    <definedName name="Dens_s" localSheetId="9">'2024'!$AE$11</definedName>
    <definedName name="Dens_s" localSheetId="10">'2025'!$AE$11</definedName>
    <definedName name="Dens_s" localSheetId="11">'2026'!$AE$11</definedName>
    <definedName name="Dens_s" localSheetId="12">'2027'!$AE$11</definedName>
    <definedName name="Dens_s" localSheetId="13">'2028'!$AE$11</definedName>
    <definedName name="Dépas_env" localSheetId="4">'2019'!$G$12</definedName>
    <definedName name="Dépas_env" localSheetId="5">'2020'!$G$12</definedName>
    <definedName name="Dépas_env" localSheetId="6">'2021'!$G$12</definedName>
    <definedName name="Dépas_env" localSheetId="7">'2022'!$G$12</definedName>
    <definedName name="Dépas_env" localSheetId="8">'2023'!$G$12</definedName>
    <definedName name="Dépas_env" localSheetId="9">'2024'!$G$12</definedName>
    <definedName name="Dépas_env" localSheetId="10">'2025'!$G$12</definedName>
    <definedName name="Dépas_env" localSheetId="11">'2026'!$G$12</definedName>
    <definedName name="Dépas_env" localSheetId="12">'2027'!$G$12</definedName>
    <definedName name="Dépas_env" localSheetId="13">'2028'!$G$12</definedName>
    <definedName name="Df" localSheetId="4">'2019'!$Q$379</definedName>
    <definedName name="Df" localSheetId="5">'2020'!$Q$379</definedName>
    <definedName name="Df" localSheetId="6">'2021'!$Q$379</definedName>
    <definedName name="Df" localSheetId="7">'2022'!$Q$379</definedName>
    <definedName name="Df" localSheetId="8">'2023'!$Q$379</definedName>
    <definedName name="Df" localSheetId="9">'2024'!$Q$379</definedName>
    <definedName name="Df" localSheetId="10">'2025'!$Q$379</definedName>
    <definedName name="Df" localSheetId="11">'2026'!$Q$379</definedName>
    <definedName name="Df" localSheetId="12">'2027'!$Q$379</definedName>
    <definedName name="Df" localSheetId="13">'2028'!$Q$379</definedName>
    <definedName name="Df_s" localSheetId="4">'2019'!$AE$379</definedName>
    <definedName name="Df_s" localSheetId="5">'2020'!$AE$379</definedName>
    <definedName name="Df_s" localSheetId="6">'2021'!$AE$379</definedName>
    <definedName name="Df_s" localSheetId="7">'2022'!$AE$379</definedName>
    <definedName name="Df_s" localSheetId="8">'2023'!$AE$379</definedName>
    <definedName name="Df_s" localSheetId="9">'2024'!$AE$379</definedName>
    <definedName name="Df_s" localSheetId="10">'2025'!$AE$379</definedName>
    <definedName name="Df_s" localSheetId="11">'2026'!$AE$379</definedName>
    <definedName name="Df_s" localSheetId="12">'2027'!$AE$379</definedName>
    <definedName name="Df_s" localSheetId="13">'2028'!$AE$379</definedName>
    <definedName name="Echel_vg">Models!$BJ$14:$BT$14</definedName>
    <definedName name="Echelev_ch">Models!$BJ$14:$BT$14</definedName>
    <definedName name="Elev_F" localSheetId="1">Masques!$AJ$56:$AJ$79</definedName>
    <definedName name="Env_an" localSheetId="4">'2019'!$V$15:$V$380</definedName>
    <definedName name="Env_an" localSheetId="5">'2020'!$V$15:$V$380</definedName>
    <definedName name="Env_an" localSheetId="6">'2021'!$V$15:$V$380</definedName>
    <definedName name="Env_an" localSheetId="7">'2022'!$V$15:$V$380</definedName>
    <definedName name="Env_an" localSheetId="8">'2023'!$V$15:$V$380</definedName>
    <definedName name="Env_an" localSheetId="9">'2024'!$V$15:$V$380</definedName>
    <definedName name="Env_an" localSheetId="10">'2025'!$V$15:$V$380</definedName>
    <definedName name="Env_an" localSheetId="11">'2026'!$V$15:$V$380</definedName>
    <definedName name="Env_an" localSheetId="12">'2027'!$V$15:$V$380</definedName>
    <definedName name="Env_an" localSheetId="13">'2028'!$V$15:$V$380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'2019'!$U$12</definedName>
    <definedName name="Hdd" localSheetId="5">'2020'!$U$12</definedName>
    <definedName name="Hdd" localSheetId="6">'2021'!$U$12</definedName>
    <definedName name="Hdd" localSheetId="7">'2022'!$U$12</definedName>
    <definedName name="Hdd" localSheetId="8">'2023'!$U$12</definedName>
    <definedName name="Hdd" localSheetId="9">'2024'!$U$12</definedName>
    <definedName name="Hdd" localSheetId="10">'2025'!$U$12</definedName>
    <definedName name="Hdd" localSheetId="11">'2026'!$U$12</definedName>
    <definedName name="Hdd" localSheetId="12">'2027'!$U$12</definedName>
    <definedName name="Hdd" localSheetId="13">'2028'!$U$12</definedName>
    <definedName name="Hdd_s" localSheetId="4">'2019'!$AI$12</definedName>
    <definedName name="Hdd_s" localSheetId="5">'2020'!$AI$12</definedName>
    <definedName name="Hdd_s" localSheetId="6">'2021'!$AI$12</definedName>
    <definedName name="Hdd_s" localSheetId="7">'2022'!$AI$12</definedName>
    <definedName name="Hdd_s" localSheetId="8">'2023'!$AI$12</definedName>
    <definedName name="Hdd_s" localSheetId="9">'2024'!$AI$12</definedName>
    <definedName name="Hdd_s" localSheetId="10">'2025'!$AI$12</definedName>
    <definedName name="Hdd_s" localSheetId="11">'2026'!$AI$12</definedName>
    <definedName name="Hdd_s" localSheetId="12">'2027'!$AI$12</definedName>
    <definedName name="Hdd_s" localSheetId="13">'2028'!$AI$12</definedName>
    <definedName name="Hdf" localSheetId="4">'2019'!$U$379</definedName>
    <definedName name="Hdf" localSheetId="5">'2020'!$U$379</definedName>
    <definedName name="Hdf" localSheetId="6">'2021'!$U$379</definedName>
    <definedName name="Hdf" localSheetId="7">'2022'!$U$379</definedName>
    <definedName name="Hdf" localSheetId="8">'2023'!$U$379</definedName>
    <definedName name="Hdf" localSheetId="9">'2024'!$U$379</definedName>
    <definedName name="Hdf" localSheetId="10">'2025'!$U$379</definedName>
    <definedName name="Hdf" localSheetId="11">'2026'!$U$379</definedName>
    <definedName name="Hdf" localSheetId="12">'2027'!$U$379</definedName>
    <definedName name="Hdf" localSheetId="13">'2028'!$U$379</definedName>
    <definedName name="Hdf_s" localSheetId="4">'2019'!$AI$379</definedName>
    <definedName name="Hdf_s" localSheetId="5">'2020'!$AI$379</definedName>
    <definedName name="Hdf_s" localSheetId="6">'2021'!$AI$379</definedName>
    <definedName name="Hdf_s" localSheetId="7">'2022'!$AI$379</definedName>
    <definedName name="Hdf_s" localSheetId="8">'2023'!$AI$379</definedName>
    <definedName name="Hdf_s" localSheetId="9">'2024'!$AI$379</definedName>
    <definedName name="Hdf_s" localSheetId="10">'2025'!$AI$379</definedName>
    <definedName name="Hdf_s" localSheetId="11">'2026'!$AI$379</definedName>
    <definedName name="Hdf_s" localSheetId="12">'2027'!$AI$379</definedName>
    <definedName name="Hdf_s" localSheetId="13">'2028'!$AI$379</definedName>
    <definedName name="Hdtai_s" localSheetId="4">'2019'!$AI$11</definedName>
    <definedName name="Hdtai_s" localSheetId="5">'2020'!$AI$11</definedName>
    <definedName name="Hdtai_s" localSheetId="6">'2021'!$AI$11</definedName>
    <definedName name="Hdtai_s" localSheetId="7">'2022'!$AI$11</definedName>
    <definedName name="Hdtai_s" localSheetId="8">'2023'!$AI$11</definedName>
    <definedName name="Hdtai_s" localSheetId="9">'2024'!$AI$11</definedName>
    <definedName name="Hdtai_s" localSheetId="10">'2025'!$AI$11</definedName>
    <definedName name="Hdtai_s" localSheetId="11">'2026'!$AI$11</definedName>
    <definedName name="Hdtai_s" localSheetId="12">'2027'!$AI$11</definedName>
    <definedName name="Hdtai_s" localSheetId="13">'2028'!$AI$11</definedName>
    <definedName name="Hdtf" localSheetId="4">'2019'!$U$11</definedName>
    <definedName name="Hdtf" localSheetId="5">'2020'!$U$11</definedName>
    <definedName name="Hdtf" localSheetId="6">'2021'!$U$11</definedName>
    <definedName name="Hdtf" localSheetId="7">'2022'!$U$11</definedName>
    <definedName name="Hdtf" localSheetId="8">'2023'!$U$11</definedName>
    <definedName name="Hdtf" localSheetId="9">'2024'!$U$11</definedName>
    <definedName name="Hdtf" localSheetId="10">'2025'!$U$11</definedName>
    <definedName name="Hdtf" localSheetId="11">'2026'!$U$11</definedName>
    <definedName name="Hdtf" localSheetId="12">'2027'!$U$11</definedName>
    <definedName name="Hdtf" localSheetId="13">'2028'!$U$11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'2019'!$U$15:$U$380</definedName>
    <definedName name="Hp_vg" localSheetId="5">'2020'!$U$15:$U$380</definedName>
    <definedName name="Hp_vg" localSheetId="6">'2021'!$U$15:$U$380</definedName>
    <definedName name="Hp_vg" localSheetId="7">'2022'!$U$15:$U$380</definedName>
    <definedName name="Hp_vg" localSheetId="8">'2023'!$U$15:$U$380</definedName>
    <definedName name="Hp_vg" localSheetId="9">'2024'!$U$15:$U$380</definedName>
    <definedName name="Hp_vg" localSheetId="10">'2025'!$U$15:$U$380</definedName>
    <definedName name="Hp_vg" localSheetId="11">'2026'!$U$15:$U$380</definedName>
    <definedName name="Hp_vg" localSheetId="12">'2027'!$U$15:$U$380</definedName>
    <definedName name="Hp_vg" localSheetId="13">'2028'!$U$15:$U$380</definedName>
    <definedName name="Hp_vg_s" comment="Hauteur  pousse _végétation (°) sans action de taille" localSheetId="4">'2019'!$AI$15:$AI$380</definedName>
    <definedName name="Hp_vg_s" localSheetId="5">'2020'!$AI$15:$AI$380</definedName>
    <definedName name="Hp_vg_s" localSheetId="6">'2021'!$AI$15:$AI$380</definedName>
    <definedName name="Hp_vg_s" localSheetId="7">'2022'!$AI$15:$AI$380</definedName>
    <definedName name="Hp_vg_s" localSheetId="8">'2023'!$AI$15:$AI$380</definedName>
    <definedName name="Hp_vg_s" localSheetId="9">'2024'!$AI$15:$AI$380</definedName>
    <definedName name="Hp_vg_s" localSheetId="10">'2025'!$AI$15:$AI$380</definedName>
    <definedName name="Hp_vg_s" localSheetId="11">'2026'!$AI$15:$AI$380</definedName>
    <definedName name="Hp_vg_s" localSheetId="12">'2027'!$AI$15:$AI$380</definedName>
    <definedName name="Hp_vg_s" localSheetId="13">'2028'!$AI$15:$AI$380</definedName>
    <definedName name="Hrm" localSheetId="1">Masques!$E$8</definedName>
    <definedName name="Htf_2019">'Réglage perte'!$D$11</definedName>
    <definedName name="Htf_2020">'Réglage perte'!$J$11</definedName>
    <definedName name="Htf_2021">'Réglage perte'!$P$11</definedName>
    <definedName name="Htf_2022">'Réglage perte'!$V$11</definedName>
    <definedName name="Htf_2023">'Réglage perte'!$AB$11</definedName>
    <definedName name="Htf_2024">'Réglage perte'!$AH$11</definedName>
    <definedName name="Htf_2025">'Réglage perte'!$AN$11</definedName>
    <definedName name="Htf_2026">'Réglage perte'!$AT$11</definedName>
    <definedName name="Htf_2027">'Réglage perte'!$AZ$11</definedName>
    <definedName name="Htf_2028">'Réglage perte'!$BF$11</definedName>
    <definedName name="Htf_2029">'Réglage perte'!$BL$11</definedName>
    <definedName name="Htf_2030">'Réglage perte'!$BR$11</definedName>
    <definedName name="Htf_2031">'Réglage perte'!$BX$11</definedName>
    <definedName name="Inflex" localSheetId="4">'2019'!$E$7</definedName>
    <definedName name="Inflex" localSheetId="5">'2020'!$E$7</definedName>
    <definedName name="Inflex" localSheetId="6">'2021'!$E$7</definedName>
    <definedName name="Inflex" localSheetId="7">'2022'!$E$7</definedName>
    <definedName name="Inflex" localSheetId="8">'2023'!$E$7</definedName>
    <definedName name="Inflex" localSheetId="9">'2024'!$E$7</definedName>
    <definedName name="Inflex" localSheetId="10">'2025'!$E$7</definedName>
    <definedName name="Inflex" localSheetId="11">'2026'!$E$7</definedName>
    <definedName name="Inflex" localSheetId="12">'2027'!$E$7</definedName>
    <definedName name="Inflex" localSheetId="13">'2028'!$E$7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'2019'!$I$15:$I$380</definedName>
    <definedName name="Maxi_hp" localSheetId="5">'2020'!$I$15:$I$380</definedName>
    <definedName name="Maxi_hp" localSheetId="6">'2021'!$I$15:$I$380</definedName>
    <definedName name="Maxi_hp" localSheetId="7">'2022'!$I$15:$I$380</definedName>
    <definedName name="Maxi_hp" localSheetId="8">'2023'!$I$15:$I$380</definedName>
    <definedName name="Maxi_hp" localSheetId="9">'2024'!$I$15:$I$380</definedName>
    <definedName name="Maxi_hp" localSheetId="10">'2025'!$I$15:$I$380</definedName>
    <definedName name="Maxi_hp" localSheetId="11">'2026'!$I$15:$I$380</definedName>
    <definedName name="Maxi_hp" localSheetId="12">'2027'!$I$15:$I$380</definedName>
    <definedName name="Maxi_hp" localSheetId="13">'2028'!$I$15:$I$380</definedName>
    <definedName name="MaxiM">Models!$J$15:$J$380</definedName>
    <definedName name="Notai" localSheetId="4">'2019'!$P$10</definedName>
    <definedName name="Notai" localSheetId="5">'2020'!$P$10</definedName>
    <definedName name="Notai" localSheetId="6">'2021'!$P$10</definedName>
    <definedName name="Notai" localSheetId="7">'2022'!$P$10</definedName>
    <definedName name="Notai" localSheetId="8">'2023'!$P$10</definedName>
    <definedName name="Notai" localSheetId="9">'2024'!$P$10</definedName>
    <definedName name="Notai" localSheetId="10">'2025'!$P$10</definedName>
    <definedName name="Notai" localSheetId="11">'2026'!$P$10</definedName>
    <definedName name="Notai" localSheetId="12">'2027'!$P$10</definedName>
    <definedName name="Notai" localSheetId="13">'2028'!$P$10</definedName>
    <definedName name="NoTnet" localSheetId="4">'2019'!$AC$12</definedName>
    <definedName name="NoTnet" localSheetId="5">'2020'!$AC$12</definedName>
    <definedName name="NoTnet" localSheetId="6">'2021'!$AC$12</definedName>
    <definedName name="NoTnet" localSheetId="7">'2022'!$AC$12</definedName>
    <definedName name="NoTnet" localSheetId="8">'2023'!$AC$12</definedName>
    <definedName name="NoTnet" localSheetId="9">'2024'!$AC$12</definedName>
    <definedName name="NoTnet" localSheetId="10">'2025'!$AC$12</definedName>
    <definedName name="NoTnet" localSheetId="11">'2026'!$AC$12</definedName>
    <definedName name="NoTnet" localSheetId="12">'2027'!$AC$12</definedName>
    <definedName name="NoTnet" localSheetId="13">'2028'!$AC$12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'2019'!$Q$10</definedName>
    <definedName name="PousD" localSheetId="5">'2020'!$Q$10</definedName>
    <definedName name="PousD" localSheetId="6">'2021'!$Q$10</definedName>
    <definedName name="PousD" localSheetId="7">'2022'!$Q$10</definedName>
    <definedName name="PousD" localSheetId="8">'2023'!$Q$10</definedName>
    <definedName name="PousD" localSheetId="9">'2024'!$Q$10</definedName>
    <definedName name="PousD" localSheetId="10">'2025'!$Q$10</definedName>
    <definedName name="PousD" localSheetId="11">'2026'!$Q$10</definedName>
    <definedName name="PousD" localSheetId="12">'2027'!$Q$10</definedName>
    <definedName name="PousD" localSheetId="13">'2028'!$Q$10</definedName>
    <definedName name="PousH" localSheetId="4">'2019'!$U$10</definedName>
    <definedName name="PousH" localSheetId="5">'2020'!$U$10</definedName>
    <definedName name="PousH" localSheetId="6">'2021'!$U$10</definedName>
    <definedName name="PousH" localSheetId="7">'2022'!$U$10</definedName>
    <definedName name="PousH" localSheetId="8">'2023'!$U$10</definedName>
    <definedName name="PousH" localSheetId="9">'2024'!$U$10</definedName>
    <definedName name="PousH" localSheetId="10">'2025'!$U$10</definedName>
    <definedName name="PousH" localSheetId="11">'2026'!$U$10</definedName>
    <definedName name="PousH" localSheetId="12">'2027'!$U$10</definedName>
    <definedName name="PousH" localSheetId="13">'2028'!$U$10</definedName>
    <definedName name="PousHi">'Réglage perte'!$AM$2</definedName>
    <definedName name="Ppv" localSheetId="4">'2019'!$L$15:$L$380</definedName>
    <definedName name="Ppv" localSheetId="5">'2020'!$L$15:$L$380</definedName>
    <definedName name="Ppv" localSheetId="6">'2021'!$L$15:$L$380</definedName>
    <definedName name="Ppv" localSheetId="7">'2022'!$L$15:$L$380</definedName>
    <definedName name="Ppv" localSheetId="8">'2023'!$L$15:$L$380</definedName>
    <definedName name="Ppv" localSheetId="9">'2024'!$L$15:$L$380</definedName>
    <definedName name="Ppv" localSheetId="10">'2025'!$L$15:$L$380</definedName>
    <definedName name="Ppv" localSheetId="11">'2026'!$L$15:$L$380</definedName>
    <definedName name="Ppv" localSheetId="12">'2027'!$L$15:$L$380</definedName>
    <definedName name="Ppv" localSheetId="13">'2028'!$L$15:$L$380</definedName>
    <definedName name="Prod_an" localSheetId="4">'2019'!$H$9</definedName>
    <definedName name="Prod_an" localSheetId="5">'2020'!$H$9</definedName>
    <definedName name="Prod_an" localSheetId="6">'2021'!$H$9</definedName>
    <definedName name="Prod_an" localSheetId="7">'2022'!$H$9</definedName>
    <definedName name="Prod_an" localSheetId="8">'2023'!$H$9</definedName>
    <definedName name="Prod_an" localSheetId="9">'2024'!$H$9</definedName>
    <definedName name="Prod_an" localSheetId="10">'2025'!$H$9</definedName>
    <definedName name="Prod_an" localSheetId="11">'2026'!$H$9</definedName>
    <definedName name="Prod_an" localSheetId="12">'2027'!$H$9</definedName>
    <definedName name="Prod_an" localSheetId="13">'2028'!$H$9</definedName>
    <definedName name="Prod_an_s" localSheetId="4">'2019'!$X$9</definedName>
    <definedName name="Prod_an_s" localSheetId="5">'2020'!$X$9</definedName>
    <definedName name="Prod_an_s" localSheetId="6">'2021'!$X$9</definedName>
    <definedName name="Prod_an_s" localSheetId="7">'2022'!$X$9</definedName>
    <definedName name="Prod_an_s" localSheetId="8">'2023'!$X$9</definedName>
    <definedName name="Prod_an_s" localSheetId="9">'2024'!$X$9</definedName>
    <definedName name="Prod_an_s" localSheetId="10">'2025'!$X$9</definedName>
    <definedName name="Prod_an_s" localSheetId="11">'2026'!$X$9</definedName>
    <definedName name="Prod_an_s" localSheetId="12">'2027'!$X$9</definedName>
    <definedName name="Prod_an_s" localSheetId="13">'2028'!$X$9</definedName>
    <definedName name="Psa" localSheetId="4">'2019'!$O$15:$O$380</definedName>
    <definedName name="Psa" localSheetId="5">'2020'!$O$15:$O$380</definedName>
    <definedName name="Psa" localSheetId="6">'2021'!$O$15:$O$380</definedName>
    <definedName name="Psa" localSheetId="7">'2022'!$O$15:$O$380</definedName>
    <definedName name="Psa" localSheetId="8">'2023'!$O$15:$O$380</definedName>
    <definedName name="Psa" localSheetId="9">'2024'!$O$15:$O$380</definedName>
    <definedName name="Psa" localSheetId="10">'2025'!$O$15:$O$380</definedName>
    <definedName name="Psa" localSheetId="11">'2026'!$O$15:$O$380</definedName>
    <definedName name="Psa" localSheetId="12">'2027'!$O$15:$O$380</definedName>
    <definedName name="Psa" localSheetId="13">'2028'!$O$15:$O$380</definedName>
    <definedName name="Psa_s" localSheetId="4">'2019'!$AC$15:$AC$380</definedName>
    <definedName name="Psa_s" localSheetId="5">'2020'!$AC$15:$AC$380</definedName>
    <definedName name="Psa_s" localSheetId="6">'2021'!$AC$15:$AC$380</definedName>
    <definedName name="Psa_s" localSheetId="7">'2022'!$AC$15:$AC$380</definedName>
    <definedName name="Psa_s" localSheetId="8">'2023'!$AC$15:$AC$380</definedName>
    <definedName name="Psa_s" localSheetId="9">'2024'!$AC$15:$AC$380</definedName>
    <definedName name="Psa_s" localSheetId="10">'2025'!$AC$15:$AC$380</definedName>
    <definedName name="Psa_s" localSheetId="11">'2026'!$AC$15:$AC$380</definedName>
    <definedName name="Psa_s" localSheetId="12">'2027'!$AC$15:$AC$380</definedName>
    <definedName name="Psa_s" localSheetId="13">'2028'!$AC$15:$AC$380</definedName>
    <definedName name="Pspv" localSheetId="4">'2019'!$L$12</definedName>
    <definedName name="Pspv" localSheetId="5">'2020'!$L$12</definedName>
    <definedName name="Pspv" localSheetId="6">'2021'!$L$12</definedName>
    <definedName name="Pspv" localSheetId="7">'2022'!$L$12</definedName>
    <definedName name="Pspv" localSheetId="8">'2023'!$L$12</definedName>
    <definedName name="Pspv" localSheetId="9">'2024'!$L$12</definedName>
    <definedName name="Pspv" localSheetId="10">'2025'!$L$12</definedName>
    <definedName name="Pspv" localSheetId="11">'2026'!$L$12</definedName>
    <definedName name="Pspv" localSheetId="12">'2027'!$L$12</definedName>
    <definedName name="Pspv" localSheetId="13">'2028'!$L$12</definedName>
    <definedName name="Pspv_2019">'Réglage perte'!$C$9</definedName>
    <definedName name="Pspv_2020">'Réglage perte'!$I$9</definedName>
    <definedName name="Pspv_2021">'Réglage perte'!$O$9</definedName>
    <definedName name="Pspv_2022">'Réglage perte'!$U$9</definedName>
    <definedName name="Pspv_2023">'Réglage perte'!$AA$9</definedName>
    <definedName name="Pspv_2024">'Réglage perte'!$AG$9</definedName>
    <definedName name="Pspv_2025">'Réglage perte'!$AM$9</definedName>
    <definedName name="Pspv_2026">'Réglage perte'!$AS$9</definedName>
    <definedName name="Pspv_2027">'Réglage perte'!$AY$9</definedName>
    <definedName name="Pspv_2028">'Réglage perte'!$BE$9</definedName>
    <definedName name="Pspv_2029">'Réglage perte'!$BK$9</definedName>
    <definedName name="Pspv_2030">'Réglage perte'!$BQ$9</definedName>
    <definedName name="Pspv_2031">'Réglage perte'!$BW$9</definedName>
    <definedName name="Pvg" localSheetId="4">'2019'!$P$15:$P$380</definedName>
    <definedName name="Pvg" localSheetId="5">'2020'!$P$15:$P$380</definedName>
    <definedName name="Pvg" localSheetId="6">'2021'!$P$15:$P$380</definedName>
    <definedName name="Pvg" localSheetId="7">'2022'!$P$15:$P$380</definedName>
    <definedName name="Pvg" localSheetId="8">'2023'!$P$15:$P$380</definedName>
    <definedName name="Pvg" localSheetId="9">'2024'!$P$15:$P$380</definedName>
    <definedName name="Pvg" localSheetId="10">'2025'!$P$15:$P$380</definedName>
    <definedName name="Pvg" localSheetId="11">'2026'!$P$15:$P$380</definedName>
    <definedName name="Pvg" localSheetId="12">'2027'!$P$15:$P$380</definedName>
    <definedName name="Pvg" localSheetId="13">'2028'!$P$15:$P$380</definedName>
    <definedName name="Pvg_s" localSheetId="4">'2019'!$AD$15:$AD$380</definedName>
    <definedName name="Pvg_s" localSheetId="5">'2020'!$AD$15:$AD$380</definedName>
    <definedName name="Pvg_s" localSheetId="6">'2021'!$AD$15:$AD$380</definedName>
    <definedName name="Pvg_s" localSheetId="7">'2022'!$AD$15:$AD$380</definedName>
    <definedName name="Pvg_s" localSheetId="8">'2023'!$AD$15:$AD$380</definedName>
    <definedName name="Pvg_s" localSheetId="9">'2024'!$AD$15:$AD$380</definedName>
    <definedName name="Pvg_s" localSheetId="10">'2025'!$AD$15:$AD$380</definedName>
    <definedName name="Pvg_s" localSheetId="11">'2026'!$AD$15:$AD$380</definedName>
    <definedName name="Pvg_s" localSheetId="12">'2027'!$AD$15:$AD$380</definedName>
    <definedName name="Pvg_s" localSheetId="13">'2028'!$AD$15:$AD$380</definedName>
    <definedName name="R\Max" localSheetId="4">'2019'!$G$15:$G$380</definedName>
    <definedName name="R\Max" localSheetId="5">'2020'!$G$15:$G$380</definedName>
    <definedName name="R\Max" localSheetId="6">'2021'!$G$15:$G$380</definedName>
    <definedName name="R\Max" localSheetId="7">'2022'!$G$15:$G$380</definedName>
    <definedName name="R\Max" localSheetId="8">'2023'!$G$15:$G$380</definedName>
    <definedName name="R\Max" localSheetId="9">'2024'!$G$15:$G$380</definedName>
    <definedName name="R\Max" localSheetId="10">'2025'!$G$15:$G$380</definedName>
    <definedName name="R\Max" localSheetId="11">'2026'!$G$15:$G$380</definedName>
    <definedName name="R\Max" localSheetId="12">'2027'!$G$15:$G$380</definedName>
    <definedName name="R\Max" localSheetId="13">'2028'!$G$15:$G$380</definedName>
    <definedName name="Ram_pv">Masques!$I$3</definedName>
    <definedName name="Ramure">Models!$BD$15:$BD$380</definedName>
    <definedName name="Rapous" localSheetId="1">Masques!$B$56:$B$79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'2019'!$O$10</definedName>
    <definedName name="Resal" localSheetId="5">'2020'!$O$10</definedName>
    <definedName name="Resal" localSheetId="6">'2021'!$O$10</definedName>
    <definedName name="Resal" localSheetId="7">'2022'!$O$10</definedName>
    <definedName name="Resal" localSheetId="8">'2023'!$O$10</definedName>
    <definedName name="Resal" localSheetId="9">'2024'!$O$10</definedName>
    <definedName name="Resal" localSheetId="10">'2025'!$O$10</definedName>
    <definedName name="Resal" localSheetId="11">'2026'!$O$10</definedName>
    <definedName name="Resal" localSheetId="12">'2027'!$O$10</definedName>
    <definedName name="Resal" localSheetId="13">'2028'!$O$10</definedName>
    <definedName name="Resal_2019">'Réglage perte'!$C$10</definedName>
    <definedName name="Resal_2020">'Réglage perte'!$I$10</definedName>
    <definedName name="Resal_2021">'Réglage perte'!$O$10</definedName>
    <definedName name="Resal_2022">'Réglage perte'!$U$10</definedName>
    <definedName name="Resal_2023">'Réglage perte'!$AA$10</definedName>
    <definedName name="Resal_2024">'Réglage perte'!$AG$10</definedName>
    <definedName name="Resal_2025">'Réglage perte'!$AM$10</definedName>
    <definedName name="Resal_2026">'Réglage perte'!$AS$10</definedName>
    <definedName name="Resal_2027">'Réglage perte'!$AY$10</definedName>
    <definedName name="Resal_2028">'Réglage perte'!$BE$10</definedName>
    <definedName name="Resal_2029">'Réglage perte'!$BK$10</definedName>
    <definedName name="Resal_2030">'Réglage perte'!$BQ$10</definedName>
    <definedName name="Resal_2031">'Réglage perte'!$BW$10</definedName>
    <definedName name="Resal_s" localSheetId="4">'2019'!$AC$10</definedName>
    <definedName name="Resal_s" localSheetId="5">'2020'!$AC$10</definedName>
    <definedName name="Resal_s" localSheetId="6">'2021'!$AC$10</definedName>
    <definedName name="Resal_s" localSheetId="7">'2022'!$AC$10</definedName>
    <definedName name="Resal_s" localSheetId="8">'2023'!$AC$10</definedName>
    <definedName name="Resal_s" localSheetId="9">'2024'!$AC$10</definedName>
    <definedName name="Resal_s" localSheetId="10">'2025'!$AC$10</definedName>
    <definedName name="Resal_s" localSheetId="11">'2026'!$AC$10</definedName>
    <definedName name="Resal_s" localSheetId="12">'2027'!$AC$10</definedName>
    <definedName name="Resal_s" localSheetId="13">'2028'!$AC$10</definedName>
    <definedName name="Salcycl">Models!$BF$15:$BF$380</definedName>
    <definedName name="Salim" localSheetId="4">'2019'!$O$11</definedName>
    <definedName name="Salim" localSheetId="5">'2020'!$O$11</definedName>
    <definedName name="Salim" localSheetId="6">'2021'!$O$11</definedName>
    <definedName name="Salim" localSheetId="7">'2022'!$O$11</definedName>
    <definedName name="Salim" localSheetId="8">'2023'!$O$11</definedName>
    <definedName name="Salim" localSheetId="9">'2024'!$O$11</definedName>
    <definedName name="Salim" localSheetId="10">'2025'!$O$11</definedName>
    <definedName name="Salim" localSheetId="11">'2026'!$O$11</definedName>
    <definedName name="Salim" localSheetId="12">'2027'!$O$11</definedName>
    <definedName name="Salim" localSheetId="13">'2028'!$O$11</definedName>
    <definedName name="Salim_2019">'Réglage perte'!$D$10</definedName>
    <definedName name="Salim_2020">'Réglage perte'!$J$10</definedName>
    <definedName name="Salim_2021">'Réglage perte'!$P$10</definedName>
    <definedName name="Salim_2022">'Réglage perte'!$V$10</definedName>
    <definedName name="Salim_2023">'Réglage perte'!$AB$10</definedName>
    <definedName name="Salim_2024">'Réglage perte'!$AH$10</definedName>
    <definedName name="Salim_2025">'Réglage perte'!$AN$10</definedName>
    <definedName name="Salim_2026">'Réglage perte'!$AT$10</definedName>
    <definedName name="Salim_2027">'Réglage perte'!$AZ$10</definedName>
    <definedName name="Salim_2028">'Réglage perte'!$BF$10</definedName>
    <definedName name="Salim_2029">'Réglage perte'!$BL$10</definedName>
    <definedName name="Salim_2030">'Réglage perte'!$BR$10</definedName>
    <definedName name="Salim_2031">'Réglage perte'!$BX$10</definedName>
    <definedName name="Salim_i">'Réglage perte'!$Z$1</definedName>
    <definedName name="Sdif">Models!$BP$3</definedName>
    <definedName name="Station">'2019'!$E$4</definedName>
    <definedName name="t" localSheetId="4">'2019'!$A$15:$A$380</definedName>
    <definedName name="t" localSheetId="5">'2020'!$A$15:$A$380</definedName>
    <definedName name="t" localSheetId="6">'2021'!$A$15:$A$380</definedName>
    <definedName name="t" localSheetId="7">'2022'!$A$15:$A$380</definedName>
    <definedName name="t" localSheetId="8">'2023'!$A$15:$A$380</definedName>
    <definedName name="t" localSheetId="9">'2024'!$A$15:$A$380</definedName>
    <definedName name="t" localSheetId="10">'2025'!$A$15:$A$380</definedName>
    <definedName name="t" localSheetId="11">'2026'!$A$15:$A$380</definedName>
    <definedName name="t" localSheetId="12">'2027'!$A$15:$A$380</definedName>
    <definedName name="t" localSheetId="13">'2028'!$A$15:$A$380</definedName>
    <definedName name="T0">'2019'!$E$5</definedName>
    <definedName name="Tau_2019">'Réglage perte'!$E$10</definedName>
    <definedName name="Tau_2020">'Réglage perte'!$K$10</definedName>
    <definedName name="Tau_2021">'Réglage perte'!$Q$10</definedName>
    <definedName name="Tau_2022">'Réglage perte'!$W$10</definedName>
    <definedName name="Tau_2023">'Réglage perte'!$AC$10</definedName>
    <definedName name="Tau_2024">'Réglage perte'!$AI$10</definedName>
    <definedName name="Tau_2025">'Réglage perte'!$AO$10</definedName>
    <definedName name="Tau_2026">'Réglage perte'!$AU$10</definedName>
    <definedName name="Tau_2027">'Réglage perte'!$BA$10</definedName>
    <definedName name="Tau_2028">'Réglage perte'!$BG$10</definedName>
    <definedName name="Tau_2029">'Réglage perte'!$BM$10</definedName>
    <definedName name="Tau_2030">'Réglage perte'!$BS$10</definedName>
    <definedName name="Tau_2031">'Réglage perte'!$BY$10</definedName>
    <definedName name="Tau_i">'Réglage perte'!$AF$2</definedName>
    <definedName name="Tau_ij">'Réglage perte'!$AG$2</definedName>
    <definedName name="Tau_j" localSheetId="4">'2019'!$O$12</definedName>
    <definedName name="Tau_j" localSheetId="5">'2020'!$O$12</definedName>
    <definedName name="Tau_j" localSheetId="6">'2021'!$O$12</definedName>
    <definedName name="Tau_j" localSheetId="7">'2022'!$O$12</definedName>
    <definedName name="Tau_j" localSheetId="8">'2023'!$O$12</definedName>
    <definedName name="Tau_j" localSheetId="9">'2024'!$O$12</definedName>
    <definedName name="Tau_j" localSheetId="10">'2025'!$O$12</definedName>
    <definedName name="Tau_j" localSheetId="11">'2026'!$O$12</definedName>
    <definedName name="Tau_j" localSheetId="12">'2027'!$O$12</definedName>
    <definedName name="Tau_j" localSheetId="13">'2028'!$O$12</definedName>
    <definedName name="Tmaj">'2019'!$E$3</definedName>
    <definedName name="Tnet" localSheetId="4">'2019'!$O$9</definedName>
    <definedName name="Tnet" localSheetId="5">'2020'!$O$9</definedName>
    <definedName name="Tnet" localSheetId="6">'2021'!$O$9</definedName>
    <definedName name="Tnet" localSheetId="7">'2022'!$O$9</definedName>
    <definedName name="Tnet" localSheetId="8">'2023'!$O$9</definedName>
    <definedName name="Tnet" localSheetId="9">'2024'!$O$9</definedName>
    <definedName name="Tnet" localSheetId="10">'2025'!$O$9</definedName>
    <definedName name="Tnet" localSheetId="11">'2026'!$O$9</definedName>
    <definedName name="Tnet" localSheetId="12">'2027'!$O$9</definedName>
    <definedName name="Tnet" localSheetId="13">'2028'!$O$9</definedName>
    <definedName name="Tnet_2019">'Réglage perte'!$B$10</definedName>
    <definedName name="Tnet_2020">'Réglage perte'!$H$10</definedName>
    <definedName name="Tnet_2021">'Réglage perte'!$N$10</definedName>
    <definedName name="Tnet_2022">'Réglage perte'!$T$10</definedName>
    <definedName name="Tnet_2023">'Réglage perte'!$Z$10</definedName>
    <definedName name="Tnet_2024">'Réglage perte'!$AF$10</definedName>
    <definedName name="Tnet_2025">'Réglage perte'!$AL$10</definedName>
    <definedName name="Tnet_2026">'Réglage perte'!$AR$10</definedName>
    <definedName name="Tnet_2027">'Réglage perte'!$AX$10</definedName>
    <definedName name="Tnet_2028">'Réglage perte'!$BD$10</definedName>
    <definedName name="Tnet_2029">'Réglage perte'!$BJ$10</definedName>
    <definedName name="Tnet_2030">'Réglage perte'!$BP$10</definedName>
    <definedName name="Tnet_2031">'Réglage perte'!$BV$10</definedName>
    <definedName name="Tnet_s" localSheetId="4">'2019'!$AC$9</definedName>
    <definedName name="Tnet_s" localSheetId="5">'2020'!$AC$9</definedName>
    <definedName name="Tnet_s" localSheetId="6">'2021'!$AC$9</definedName>
    <definedName name="Tnet_s" localSheetId="7">'2022'!$AC$9</definedName>
    <definedName name="Tnet_s" localSheetId="8">'2023'!$AC$9</definedName>
    <definedName name="Tnet_s" localSheetId="9">'2024'!$AC$9</definedName>
    <definedName name="Tnet_s" localSheetId="10">'2025'!$AC$9</definedName>
    <definedName name="Tnet_s" localSheetId="11">'2026'!$AC$9</definedName>
    <definedName name="Tnet_s" localSheetId="12">'2027'!$AC$9</definedName>
    <definedName name="Tnet_s" localSheetId="13">'2028'!$AC$9</definedName>
    <definedName name="Tservice">'2019'!$E$6</definedName>
    <definedName name="Ttai" localSheetId="4">'2019'!$P$11</definedName>
    <definedName name="Ttai" localSheetId="5">'2020'!$P$11</definedName>
    <definedName name="Ttai" localSheetId="6">'2021'!$P$11</definedName>
    <definedName name="Ttai" localSheetId="7">'2022'!$P$11</definedName>
    <definedName name="Ttai" localSheetId="8">'2023'!$P$11</definedName>
    <definedName name="Ttai" localSheetId="9">'2024'!$P$11</definedName>
    <definedName name="Ttai" localSheetId="10">'2025'!$P$11</definedName>
    <definedName name="Ttai" localSheetId="11">'2026'!$P$11</definedName>
    <definedName name="Ttai" localSheetId="12">'2027'!$P$11</definedName>
    <definedName name="Ttai" localSheetId="13">'2028'!$P$11</definedName>
    <definedName name="Ttai_2019">'Réglage perte'!$B$11</definedName>
    <definedName name="Ttai_2020">'Réglage perte'!$H$11</definedName>
    <definedName name="Ttai_2021">'Réglage perte'!$N$11</definedName>
    <definedName name="Ttai_2022">'Réglage perte'!$T$11</definedName>
    <definedName name="Ttai_2023">'Réglage perte'!$Z$11</definedName>
    <definedName name="Ttai_2024">'Réglage perte'!$AF$11</definedName>
    <definedName name="Ttai_2025">'Réglage perte'!$AL$11</definedName>
    <definedName name="Ttai_2026">'Réglage perte'!$AR$11</definedName>
    <definedName name="Ttai_2027">'Réglage perte'!$AX$11</definedName>
    <definedName name="Ttai_2028">'Réglage perte'!$BD$11</definedName>
    <definedName name="Ttai_2029">'Réglage perte'!$BJ$11</definedName>
    <definedName name="Ttai_2030">'Réglage perte'!$BP$11</definedName>
    <definedName name="Ttai_2031">'Réglage perte'!$BV$11</definedName>
    <definedName name="Tvie" localSheetId="4">'2019'!$L$11</definedName>
    <definedName name="Tvie" localSheetId="5">'2020'!$L$11</definedName>
    <definedName name="Tvie" localSheetId="6">'2021'!$L$11</definedName>
    <definedName name="Tvie" localSheetId="7">'2022'!$L$11</definedName>
    <definedName name="Tvie" localSheetId="8">'2023'!$L$11</definedName>
    <definedName name="Tvie" localSheetId="9">'2024'!$L$11</definedName>
    <definedName name="Tvie" localSheetId="10">'2025'!$L$11</definedName>
    <definedName name="Tvie" localSheetId="11">'2026'!$L$11</definedName>
    <definedName name="Tvie" localSheetId="12">'2027'!$L$11</definedName>
    <definedName name="Tvie" localSheetId="13">'2028'!$L$11</definedName>
    <definedName name="Tvie_2019">'Réglage perte'!$B$9</definedName>
    <definedName name="Tvie_2020">'Réglage perte'!$H$9</definedName>
    <definedName name="Tvie_2021">'Réglage perte'!$N$9</definedName>
    <definedName name="Tvie_2022">'Réglage perte'!$T$9</definedName>
    <definedName name="Tvie_2023">'Réglage perte'!$Z$9</definedName>
    <definedName name="Tvie_2024">'Réglage perte'!$AF$9</definedName>
    <definedName name="Tvie_2025">'Réglage perte'!$AL$9</definedName>
    <definedName name="Tvie_2026">'Réglage perte'!$AR$9</definedName>
    <definedName name="Tvie_2027">'Réglage perte'!$AX$9</definedName>
    <definedName name="Tvie_2028">'Réglage perte'!$BD$9</definedName>
    <definedName name="Tvie_2029">'Réglage perte'!$BJ$9</definedName>
    <definedName name="Tvie_2030">'Réglage perte'!$BP$9</definedName>
    <definedName name="Tvie_2031">'Réglage perte'!$BV$9</definedName>
    <definedName name="Wh" localSheetId="4">'2019'!$B$15:$B$380</definedName>
    <definedName name="Wh" localSheetId="5">'2020'!$B$15:$B$380</definedName>
    <definedName name="Wh" localSheetId="6">'2021'!$B$15:$B$380</definedName>
    <definedName name="Wh" localSheetId="7">'2022'!$B$15:$B$380</definedName>
    <definedName name="Wh" localSheetId="8">'2023'!$B$15:$B$380</definedName>
    <definedName name="Wh" localSheetId="9">'2024'!$B$15:$B$380</definedName>
    <definedName name="Wh" localSheetId="10">'2025'!$B$15:$B$380</definedName>
    <definedName name="Wh" localSheetId="11">'2026'!$B$15:$B$380</definedName>
    <definedName name="Wh" localSheetId="12">'2027'!$B$15:$B$380</definedName>
    <definedName name="Wh" localSheetId="13">'2028'!$B$15:$B$380</definedName>
    <definedName name="Wh_gain_sa" localSheetId="4">'2019'!$Z$5</definedName>
    <definedName name="Wh_gain_sa" localSheetId="5">'2020'!$Z$5</definedName>
    <definedName name="Wh_gain_sa" localSheetId="6">'2021'!$Z$5</definedName>
    <definedName name="Wh_gain_sa" localSheetId="7">'2022'!$Z$5</definedName>
    <definedName name="Wh_gain_sa" localSheetId="8">'2023'!$Z$5</definedName>
    <definedName name="Wh_gain_sa" localSheetId="9">'2024'!$Z$5</definedName>
    <definedName name="Wh_gain_sa" localSheetId="10">'2025'!$Z$5</definedName>
    <definedName name="Wh_gain_sa" localSheetId="11">'2026'!$Z$5</definedName>
    <definedName name="Wh_gain_sa" localSheetId="12">'2027'!$Z$5</definedName>
    <definedName name="Wh_gain_sa" localSheetId="13">'2028'!$Z$5</definedName>
    <definedName name="Wh_gain_vg" localSheetId="4">'2019'!$AA$5</definedName>
    <definedName name="Wh_gain_vg" localSheetId="5">'2020'!$AA$5</definedName>
    <definedName name="Wh_gain_vg" localSheetId="6">'2021'!$AA$5</definedName>
    <definedName name="Wh_gain_vg" localSheetId="7">'2022'!$AA$5</definedName>
    <definedName name="Wh_gain_vg" localSheetId="8">'2023'!$AA$5</definedName>
    <definedName name="Wh_gain_vg" localSheetId="9">'2024'!$AA$5</definedName>
    <definedName name="Wh_gain_vg" localSheetId="10">'2025'!$AA$5</definedName>
    <definedName name="Wh_gain_vg" localSheetId="11">'2026'!$AA$5</definedName>
    <definedName name="Wh_gain_vg" localSheetId="12">'2027'!$AA$5</definedName>
    <definedName name="Wh_gain_vg" localSheetId="13">'2028'!$AA$5</definedName>
    <definedName name="Wh_hp" localSheetId="4">'2019'!$F$15:$F$380</definedName>
    <definedName name="Wh_hp" localSheetId="5">'2020'!$F$15:$F$380</definedName>
    <definedName name="Wh_hp" localSheetId="6">'2021'!$F$15:$F$380</definedName>
    <definedName name="Wh_hp" localSheetId="7">'2022'!$F$15:$F$380</definedName>
    <definedName name="Wh_hp" localSheetId="8">'2023'!$F$15:$F$380</definedName>
    <definedName name="Wh_hp" localSheetId="9">'2024'!$F$15:$F$380</definedName>
    <definedName name="Wh_hp" localSheetId="10">'2025'!$F$15:$F$380</definedName>
    <definedName name="Wh_hp" localSheetId="11">'2026'!$F$15:$F$380</definedName>
    <definedName name="Wh_hp" localSheetId="12">'2027'!$F$15:$F$380</definedName>
    <definedName name="Wh_hp" localSheetId="13">'2028'!$F$15:$F$380</definedName>
    <definedName name="Wh_Ppv" localSheetId="4">'2019'!$D$11</definedName>
    <definedName name="Wh_Ppv" localSheetId="5">'2020'!$D$11</definedName>
    <definedName name="Wh_Ppv" localSheetId="6">'2021'!$D$11</definedName>
    <definedName name="Wh_Ppv" localSheetId="7">'2022'!$D$11</definedName>
    <definedName name="Wh_Ppv" localSheetId="8">'2023'!$D$11</definedName>
    <definedName name="Wh_Ppv" localSheetId="9">'2024'!$D$11</definedName>
    <definedName name="Wh_Ppv" localSheetId="10">'2025'!$D$11</definedName>
    <definedName name="Wh_Ppv" localSheetId="11">'2026'!$D$11</definedName>
    <definedName name="Wh_Ppv" localSheetId="12">'2027'!$D$11</definedName>
    <definedName name="Wh_Ppv" localSheetId="13">'2028'!$D$11</definedName>
    <definedName name="Wh_Psa" localSheetId="4">'2019'!$E$11</definedName>
    <definedName name="Wh_Psa" localSheetId="5">'2020'!$E$11</definedName>
    <definedName name="Wh_Psa" localSheetId="6">'2021'!$E$11</definedName>
    <definedName name="Wh_Psa" localSheetId="7">'2022'!$E$11</definedName>
    <definedName name="Wh_Psa" localSheetId="8">'2023'!$E$11</definedName>
    <definedName name="Wh_Psa" localSheetId="9">'2024'!$E$11</definedName>
    <definedName name="Wh_Psa" localSheetId="10">'2025'!$E$11</definedName>
    <definedName name="Wh_Psa" localSheetId="11">'2026'!$E$11</definedName>
    <definedName name="Wh_Psa" localSheetId="12">'2027'!$E$11</definedName>
    <definedName name="Wh_Psa" localSheetId="13">'2028'!$E$11</definedName>
    <definedName name="Wh_Psa_s" localSheetId="4">'2019'!$Z$11</definedName>
    <definedName name="Wh_Psa_s" localSheetId="5">'2020'!$Z$11</definedName>
    <definedName name="Wh_Psa_s" localSheetId="6">'2021'!$Z$11</definedName>
    <definedName name="Wh_Psa_s" localSheetId="7">'2022'!$Z$11</definedName>
    <definedName name="Wh_Psa_s" localSheetId="8">'2023'!$Z$11</definedName>
    <definedName name="Wh_Psa_s" localSheetId="9">'2024'!$Z$11</definedName>
    <definedName name="Wh_Psa_s" localSheetId="10">'2025'!$Z$11</definedName>
    <definedName name="Wh_Psa_s" localSheetId="11">'2026'!$Z$11</definedName>
    <definedName name="Wh_Psa_s" localSheetId="12">'2027'!$Z$11</definedName>
    <definedName name="Wh_Psa_s" localSheetId="13">'2028'!$Z$11</definedName>
    <definedName name="Wh_Pvg" localSheetId="4">'2019'!$F$11</definedName>
    <definedName name="Wh_Pvg" localSheetId="5">'2020'!$F$11</definedName>
    <definedName name="Wh_Pvg" localSheetId="6">'2021'!$F$11</definedName>
    <definedName name="Wh_Pvg" localSheetId="7">'2022'!$F$11</definedName>
    <definedName name="Wh_Pvg" localSheetId="8">'2023'!$F$11</definedName>
    <definedName name="Wh_Pvg" localSheetId="9">'2024'!$F$11</definedName>
    <definedName name="Wh_Pvg" localSheetId="10">'2025'!$F$11</definedName>
    <definedName name="Wh_Pvg" localSheetId="11">'2026'!$F$11</definedName>
    <definedName name="Wh_Pvg" localSheetId="12">'2027'!$F$11</definedName>
    <definedName name="Wh_Pvg" localSheetId="13">'2028'!$F$11</definedName>
    <definedName name="Wh_Pvg_s" localSheetId="4">'2019'!$AA$11</definedName>
    <definedName name="Wh_Pvg_s" localSheetId="5">'2020'!$AA$11</definedName>
    <definedName name="Wh_Pvg_s" localSheetId="6">'2021'!$AA$11</definedName>
    <definedName name="Wh_Pvg_s" localSheetId="7">'2022'!$AA$11</definedName>
    <definedName name="Wh_Pvg_s" localSheetId="8">'2023'!$AA$11</definedName>
    <definedName name="Wh_Pvg_s" localSheetId="9">'2024'!$AA$11</definedName>
    <definedName name="Wh_Pvg_s" localSheetId="10">'2025'!$AA$11</definedName>
    <definedName name="Wh_Pvg_s" localSheetId="11">'2026'!$AA$11</definedName>
    <definedName name="Wh_Pvg_s" localSheetId="12">'2027'!$AA$11</definedName>
    <definedName name="Wh_Pvg_s" localSheetId="13">'2028'!$AA$11</definedName>
    <definedName name="Wh_pvt" localSheetId="4">'2019'!$D$15:$D$380</definedName>
    <definedName name="Wh_pvt" localSheetId="5">'2020'!$D$15:$D$380</definedName>
    <definedName name="Wh_pvt" localSheetId="6">'2021'!$D$15:$D$380</definedName>
    <definedName name="Wh_pvt" localSheetId="7">'2022'!$D$15:$D$380</definedName>
    <definedName name="Wh_pvt" localSheetId="8">'2023'!$D$15:$D$380</definedName>
    <definedName name="Wh_pvt" localSheetId="9">'2024'!$D$15:$D$380</definedName>
    <definedName name="Wh_pvt" localSheetId="10">'2025'!$D$15:$D$380</definedName>
    <definedName name="Wh_pvt" localSheetId="11">'2026'!$D$15:$D$380</definedName>
    <definedName name="Wh_pvt" localSheetId="12">'2027'!$D$15:$D$380</definedName>
    <definedName name="Wh_pvt" localSheetId="13">'2028'!$D$15:$D$380</definedName>
    <definedName name="Wh_pvt_s" localSheetId="4">'2019'!$Z$15:$Z$380</definedName>
    <definedName name="Wh_pvt_s" localSheetId="5">'2020'!$Z$15:$Z$380</definedName>
    <definedName name="Wh_pvt_s" localSheetId="6">'2021'!$Z$15:$Z$380</definedName>
    <definedName name="Wh_pvt_s" localSheetId="7">'2022'!$Z$15:$Z$380</definedName>
    <definedName name="Wh_pvt_s" localSheetId="8">'2023'!$Z$15:$Z$380</definedName>
    <definedName name="Wh_pvt_s" localSheetId="9">'2024'!$Z$15:$Z$380</definedName>
    <definedName name="Wh_pvt_s" localSheetId="10">'2025'!$Z$15:$Z$380</definedName>
    <definedName name="Wh_pvt_s" localSheetId="11">'2026'!$Z$15:$Z$380</definedName>
    <definedName name="Wh_pvt_s" localSheetId="12">'2027'!$Z$15:$Z$380</definedName>
    <definedName name="Wh_pvt_s" localSheetId="13">'2028'!$Z$15:$Z$380</definedName>
    <definedName name="Wh_s" localSheetId="4">'2019'!$Y$15:$Y$380</definedName>
    <definedName name="Wh_s" localSheetId="5">'2020'!$Y$15:$Y$380</definedName>
    <definedName name="Wh_s" localSheetId="6">'2021'!$Y$15:$Y$380</definedName>
    <definedName name="Wh_s" localSheetId="7">'2022'!$Y$15:$Y$380</definedName>
    <definedName name="Wh_s" localSheetId="8">'2023'!$Y$15:$Y$380</definedName>
    <definedName name="Wh_s" localSheetId="9">'2024'!$Y$15:$Y$380</definedName>
    <definedName name="Wh_s" localSheetId="10">'2025'!$Y$15:$Y$380</definedName>
    <definedName name="Wh_s" localSheetId="11">'2026'!$Y$15:$Y$380</definedName>
    <definedName name="Wh_s" localSheetId="12">'2027'!$Y$15:$Y$380</definedName>
    <definedName name="Wh_s" localSheetId="13">'2028'!$Y$15:$Y$380</definedName>
    <definedName name="Wh_sa" localSheetId="4">'2019'!$E$15:$E$380</definedName>
    <definedName name="Wh_sa" localSheetId="5">'2020'!$E$15:$E$380</definedName>
    <definedName name="Wh_sa" localSheetId="6">'2021'!$E$15:$E$380</definedName>
    <definedName name="Wh_sa" localSheetId="7">'2022'!$E$15:$E$380</definedName>
    <definedName name="Wh_sa" localSheetId="8">'2023'!$E$15:$E$380</definedName>
    <definedName name="Wh_sa" localSheetId="9">'2024'!$E$15:$E$380</definedName>
    <definedName name="Wh_sa" localSheetId="10">'2025'!$E$15:$E$380</definedName>
    <definedName name="Wh_sa" localSheetId="11">'2026'!$E$15:$E$380</definedName>
    <definedName name="Wh_sa" localSheetId="12">'2027'!$E$15:$E$380</definedName>
    <definedName name="Wh_sa" localSheetId="13">'2028'!$E$15:$E$380</definedName>
    <definedName name="Wh_sa_s" localSheetId="4">'2019'!$AA$15:$AA$380</definedName>
    <definedName name="Wh_sa_s" localSheetId="5">'2020'!$AA$15:$AA$380</definedName>
    <definedName name="Wh_sa_s" localSheetId="6">'2021'!$AA$15:$AA$380</definedName>
    <definedName name="Wh_sa_s" localSheetId="7">'2022'!$AA$15:$AA$380</definedName>
    <definedName name="Wh_sa_s" localSheetId="8">'2023'!$AA$15:$AA$380</definedName>
    <definedName name="Wh_sa_s" localSheetId="9">'2024'!$AA$15:$AA$380</definedName>
    <definedName name="Wh_sa_s" localSheetId="10">'2025'!$AA$15:$AA$380</definedName>
    <definedName name="Wh_sa_s" localSheetId="11">'2026'!$AA$15:$AA$380</definedName>
    <definedName name="Wh_sa_s" localSheetId="12">'2027'!$AA$15:$AA$380</definedName>
    <definedName name="Wh_sa_s" localSheetId="13">'2028'!$AA$15:$AA$380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AC5" i="7" l="1"/>
  <c r="AB5" i="7"/>
  <c r="L8" i="19" l="1"/>
  <c r="K8" i="19"/>
  <c r="M7" i="19" l="1"/>
  <c r="F10" i="7" l="1"/>
  <c r="B31" i="19" l="1"/>
  <c r="X10" i="7"/>
  <c r="AD10" i="7" s="1"/>
  <c r="AJ10" i="7" s="1"/>
  <c r="AP10" i="7" s="1"/>
  <c r="AV10" i="7" s="1"/>
  <c r="BB10" i="7" s="1"/>
  <c r="BH10" i="7" s="1"/>
  <c r="BN10" i="7" s="1"/>
  <c r="BT10" i="7" s="1"/>
  <c r="BZ10" i="7" s="1"/>
  <c r="T10" i="7"/>
  <c r="W10" i="7" s="1"/>
  <c r="N10" i="7"/>
  <c r="P10" i="7" s="1"/>
  <c r="E10" i="7"/>
  <c r="C10" i="7"/>
  <c r="L10" i="7" s="1"/>
  <c r="R10" i="7" s="1"/>
  <c r="B10" i="7"/>
  <c r="D10" i="7" s="1"/>
  <c r="F9" i="7"/>
  <c r="B9" i="7"/>
  <c r="O10" i="7" l="1"/>
  <c r="Q10" i="7"/>
  <c r="H9" i="7"/>
  <c r="C9" i="7"/>
  <c r="V10" i="7"/>
  <c r="X9" i="7"/>
  <c r="U10" i="7"/>
  <c r="N9" i="7" l="1"/>
  <c r="I9" i="7"/>
  <c r="B380" i="17"/>
  <c r="B71" i="17"/>
  <c r="B277" i="17"/>
  <c r="B276" i="17"/>
  <c r="CE380" i="6"/>
  <c r="CD380" i="6"/>
  <c r="CC380" i="6"/>
  <c r="CA380" i="6"/>
  <c r="BZ380" i="6"/>
  <c r="BY380" i="6"/>
  <c r="BW380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T9" i="7" l="1"/>
  <c r="O9" i="7"/>
  <c r="H27" i="27"/>
  <c r="H24" i="27"/>
  <c r="H23" i="27"/>
  <c r="H28" i="27"/>
  <c r="U9" i="7" l="1"/>
  <c r="Z9" i="7"/>
  <c r="X3" i="27"/>
  <c r="A1" i="27"/>
  <c r="AF9" i="7" l="1"/>
  <c r="AA9" i="7"/>
  <c r="W11" i="27"/>
  <c r="W10" i="27"/>
  <c r="X6" i="27"/>
  <c r="X7" i="27" s="1"/>
  <c r="U11" i="27"/>
  <c r="AL9" i="7" l="1"/>
  <c r="AR9" i="7" s="1"/>
  <c r="AX9" i="7" s="1"/>
  <c r="BD9" i="7" s="1"/>
  <c r="BJ9" i="7" s="1"/>
  <c r="BP9" i="7" s="1"/>
  <c r="BV9" i="7" s="1"/>
  <c r="AG9" i="7"/>
  <c r="AM9" i="7" s="1"/>
  <c r="AS9" i="7" s="1"/>
  <c r="AY9" i="7" s="1"/>
  <c r="BE9" i="7" s="1"/>
  <c r="BK9" i="7" s="1"/>
  <c r="BQ9" i="7" s="1"/>
  <c r="BW9" i="7" s="1"/>
  <c r="D11" i="27"/>
  <c r="E11" i="27" s="1"/>
  <c r="D10" i="27"/>
  <c r="E10" i="27" s="1"/>
  <c r="M5" i="27" l="1"/>
  <c r="I5" i="27"/>
  <c r="M32" i="19" l="1"/>
  <c r="H10" i="7"/>
  <c r="Z10" i="7"/>
  <c r="L32" i="19"/>
  <c r="K32" i="19"/>
  <c r="AB10" i="7" l="1"/>
  <c r="AD9" i="7"/>
  <c r="AF10" i="7" s="1"/>
  <c r="AC10" i="7"/>
  <c r="K10" i="7"/>
  <c r="J10" i="7"/>
  <c r="L9" i="7"/>
  <c r="R9" i="7" s="1"/>
  <c r="L19" i="27"/>
  <c r="K19" i="27"/>
  <c r="J19" i="27"/>
  <c r="K18" i="27"/>
  <c r="K17" i="27"/>
  <c r="K16" i="27"/>
  <c r="M42" i="27"/>
  <c r="L42" i="27"/>
  <c r="F78" i="27" s="1"/>
  <c r="K42" i="27"/>
  <c r="J42" i="27"/>
  <c r="M41" i="27"/>
  <c r="N77" i="27" s="1"/>
  <c r="L41" i="27"/>
  <c r="K77" i="27" s="1"/>
  <c r="K41" i="27"/>
  <c r="J41" i="27"/>
  <c r="M40" i="27"/>
  <c r="N76" i="27" s="1"/>
  <c r="L40" i="27"/>
  <c r="K76" i="27" s="1"/>
  <c r="K40" i="27"/>
  <c r="J40" i="27"/>
  <c r="M39" i="27"/>
  <c r="N75" i="27" s="1"/>
  <c r="K39" i="27"/>
  <c r="M38" i="27"/>
  <c r="N74" i="27" s="1"/>
  <c r="K38" i="27"/>
  <c r="M37" i="27"/>
  <c r="N73" i="27" s="1"/>
  <c r="K37" i="27"/>
  <c r="M36" i="27"/>
  <c r="N72" i="27" s="1"/>
  <c r="K36" i="27"/>
  <c r="M35" i="27"/>
  <c r="N71" i="27" s="1"/>
  <c r="K35" i="27"/>
  <c r="M34" i="27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K21" i="27"/>
  <c r="M20" i="27"/>
  <c r="L20" i="27"/>
  <c r="K56" i="27" s="1"/>
  <c r="K20" i="27"/>
  <c r="J20" i="27"/>
  <c r="BN12" i="6"/>
  <c r="BN13" i="6"/>
  <c r="D13" i="27"/>
  <c r="E13" i="27" s="1"/>
  <c r="AW56" i="27"/>
  <c r="AU56" i="27"/>
  <c r="AS56" i="27"/>
  <c r="M79" i="27"/>
  <c r="L79" i="27"/>
  <c r="K79" i="27"/>
  <c r="J79" i="27"/>
  <c r="I79" i="27"/>
  <c r="H79" i="27"/>
  <c r="G79" i="27"/>
  <c r="F79" i="27"/>
  <c r="E79" i="27"/>
  <c r="D79" i="27"/>
  <c r="C79" i="27"/>
  <c r="A62" i="27"/>
  <c r="AF62" i="27"/>
  <c r="AF56" i="27"/>
  <c r="N79" i="27"/>
  <c r="N78" i="27"/>
  <c r="N34" i="27"/>
  <c r="O70" i="27" s="1"/>
  <c r="N35" i="27"/>
  <c r="O71" i="27" s="1"/>
  <c r="N36" i="27"/>
  <c r="O72" i="27" s="1"/>
  <c r="N37" i="27"/>
  <c r="O73" i="27" s="1"/>
  <c r="J4" i="19"/>
  <c r="I4" i="19"/>
  <c r="BO14" i="6"/>
  <c r="BO13" i="6"/>
  <c r="BP13" i="6" s="1"/>
  <c r="BO12" i="6"/>
  <c r="N39" i="27"/>
  <c r="O75" i="27" s="1"/>
  <c r="N38" i="27"/>
  <c r="O74" i="27" s="1"/>
  <c r="N33" i="27"/>
  <c r="O69" i="27" s="1"/>
  <c r="N32" i="27"/>
  <c r="O68" i="27" s="1"/>
  <c r="N22" i="27"/>
  <c r="O58" i="27" s="1"/>
  <c r="N23" i="27"/>
  <c r="O59" i="27"/>
  <c r="N24" i="27"/>
  <c r="O60" i="27" s="1"/>
  <c r="N25" i="27"/>
  <c r="O61" i="27" s="1"/>
  <c r="N26" i="27"/>
  <c r="O62" i="27" s="1"/>
  <c r="N27" i="27"/>
  <c r="O63" i="27" s="1"/>
  <c r="N28" i="27"/>
  <c r="O64" i="27" s="1"/>
  <c r="N29" i="27"/>
  <c r="O65" i="27" s="1"/>
  <c r="N30" i="27"/>
  <c r="O66" i="27" s="1"/>
  <c r="N31" i="27"/>
  <c r="O67" i="27" s="1"/>
  <c r="N14" i="27"/>
  <c r="AY79" i="27" s="1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F72" i="27"/>
  <c r="A72" i="27"/>
  <c r="AF71" i="27"/>
  <c r="A71" i="27"/>
  <c r="A70" i="27"/>
  <c r="A69" i="27"/>
  <c r="AF68" i="27"/>
  <c r="A68" i="27"/>
  <c r="A67" i="27"/>
  <c r="A66" i="27"/>
  <c r="A65" i="27"/>
  <c r="A64" i="27"/>
  <c r="A63" i="27"/>
  <c r="AF61" i="27"/>
  <c r="A61" i="27"/>
  <c r="A60" i="27"/>
  <c r="A59" i="27"/>
  <c r="A58" i="27"/>
  <c r="AF57" i="27"/>
  <c r="A57" i="27"/>
  <c r="N56" i="27"/>
  <c r="A56" i="27"/>
  <c r="V55" i="27"/>
  <c r="I55" i="27"/>
  <c r="G55" i="27"/>
  <c r="AA54" i="27"/>
  <c r="O54" i="27"/>
  <c r="A54" i="27"/>
  <c r="H53" i="27"/>
  <c r="N43" i="27"/>
  <c r="O79" i="27" s="1"/>
  <c r="N42" i="27"/>
  <c r="O78" i="27" s="1"/>
  <c r="N41" i="27"/>
  <c r="O77" i="27"/>
  <c r="N40" i="27"/>
  <c r="O76" i="27"/>
  <c r="N21" i="27"/>
  <c r="O57" i="27" s="1"/>
  <c r="N20" i="27"/>
  <c r="O56" i="27"/>
  <c r="N19" i="27"/>
  <c r="N18" i="27"/>
  <c r="N17" i="27"/>
  <c r="N16" i="27"/>
  <c r="L12" i="27"/>
  <c r="H12" i="27"/>
  <c r="F12" i="27"/>
  <c r="L11" i="27"/>
  <c r="H11" i="27"/>
  <c r="G11" i="27" s="1"/>
  <c r="L10" i="27"/>
  <c r="H10" i="27"/>
  <c r="F10" i="27" s="1"/>
  <c r="C6" i="27"/>
  <c r="B6" i="27"/>
  <c r="N5" i="27"/>
  <c r="P54" i="27" s="1"/>
  <c r="D5" i="27"/>
  <c r="F5" i="27"/>
  <c r="C6" i="19" s="1"/>
  <c r="J3" i="27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BF17" i="6"/>
  <c r="BF16" i="6"/>
  <c r="BF15" i="6"/>
  <c r="BP4" i="6"/>
  <c r="AO12" i="6"/>
  <c r="AN12" i="6"/>
  <c r="AM12" i="6"/>
  <c r="AM17" i="6" s="1"/>
  <c r="AM21" i="6" s="1"/>
  <c r="AL12" i="6"/>
  <c r="AK12" i="6"/>
  <c r="AJ12" i="6"/>
  <c r="AJ17" i="6"/>
  <c r="AI12" i="6"/>
  <c r="AH12" i="6"/>
  <c r="AG12" i="6"/>
  <c r="AF12" i="6"/>
  <c r="AE19" i="6" s="1"/>
  <c r="AE12" i="6"/>
  <c r="AD19" i="6" s="1"/>
  <c r="AD12" i="6"/>
  <c r="AC12" i="6"/>
  <c r="AD15" i="6" s="1"/>
  <c r="AD21" i="6" s="1"/>
  <c r="AB12" i="6"/>
  <c r="AA19" i="6"/>
  <c r="AA12" i="6"/>
  <c r="Z12" i="6"/>
  <c r="Z17" i="6" s="1"/>
  <c r="Y12" i="6"/>
  <c r="X12" i="6"/>
  <c r="S28" i="6"/>
  <c r="W12" i="6"/>
  <c r="V12" i="6"/>
  <c r="U12" i="6"/>
  <c r="T12" i="6"/>
  <c r="Q28" i="6" s="1"/>
  <c r="S12" i="6"/>
  <c r="R12" i="6"/>
  <c r="Q12" i="6"/>
  <c r="P19" i="6" s="1"/>
  <c r="P12" i="6"/>
  <c r="O19" i="6"/>
  <c r="O12" i="6"/>
  <c r="N12" i="6"/>
  <c r="N17" i="6" s="1"/>
  <c r="M12" i="6"/>
  <c r="M43" i="6" s="1"/>
  <c r="M47" i="6" s="1"/>
  <c r="L12" i="6"/>
  <c r="AM13" i="6"/>
  <c r="Z44" i="6" s="1"/>
  <c r="M3" i="6"/>
  <c r="AL13" i="6"/>
  <c r="AL18" i="6" s="1"/>
  <c r="AK13" i="6"/>
  <c r="AL16" i="6" s="1"/>
  <c r="AJ13" i="6"/>
  <c r="AJ18" i="6" s="1"/>
  <c r="AI13" i="6"/>
  <c r="E316" i="6" s="1"/>
  <c r="AH13" i="6"/>
  <c r="AG20" i="6" s="1"/>
  <c r="AG13" i="6"/>
  <c r="AF20" i="6" s="1"/>
  <c r="AF13" i="6"/>
  <c r="AE20" i="6" s="1"/>
  <c r="AE13" i="6"/>
  <c r="E260" i="6" s="1"/>
  <c r="AD13" i="6"/>
  <c r="AD18" i="6" s="1"/>
  <c r="AC13" i="6"/>
  <c r="U44" i="6" s="1"/>
  <c r="AB13" i="6"/>
  <c r="AB18" i="6" s="1"/>
  <c r="AA13" i="6"/>
  <c r="AB16" i="6" s="1"/>
  <c r="Z13" i="6"/>
  <c r="E190" i="6" s="1"/>
  <c r="Y13" i="6"/>
  <c r="Y18" i="6" s="1"/>
  <c r="X13" i="6"/>
  <c r="E162" i="6" s="1"/>
  <c r="W13" i="6"/>
  <c r="X16" i="6" s="1"/>
  <c r="V13" i="6"/>
  <c r="W16" i="6" s="1"/>
  <c r="U13" i="6"/>
  <c r="T20" i="6" s="1"/>
  <c r="T13" i="6"/>
  <c r="Q29" i="6" s="1"/>
  <c r="S13" i="6"/>
  <c r="T16" i="6" s="1"/>
  <c r="R13" i="6"/>
  <c r="P29" i="6" s="1"/>
  <c r="Q13" i="6"/>
  <c r="Q18" i="6" s="1"/>
  <c r="P13" i="6"/>
  <c r="E50" i="6" s="1"/>
  <c r="O13" i="6"/>
  <c r="P16" i="6" s="1"/>
  <c r="N13" i="6"/>
  <c r="N18" i="6" s="1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J1" i="1"/>
  <c r="Y14" i="1" s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E13" i="7" s="1"/>
  <c r="C11" i="7"/>
  <c r="Q11" i="1" s="1"/>
  <c r="L11" i="1"/>
  <c r="AE12" i="1"/>
  <c r="I380" i="1"/>
  <c r="H9" i="16"/>
  <c r="B13" i="19" s="1"/>
  <c r="H9" i="15"/>
  <c r="B12" i="19" s="1"/>
  <c r="H9" i="1"/>
  <c r="B11" i="19" s="1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 s="1"/>
  <c r="T1" i="7"/>
  <c r="B381" i="1"/>
  <c r="B382" i="1"/>
  <c r="B383" i="1"/>
  <c r="J381" i="1"/>
  <c r="J382" i="1"/>
  <c r="J383" i="1"/>
  <c r="Q12" i="1"/>
  <c r="C15" i="7" s="1"/>
  <c r="I15" i="1"/>
  <c r="W43" i="6"/>
  <c r="X45" i="6" s="1"/>
  <c r="N15" i="6"/>
  <c r="N21" i="6" s="1"/>
  <c r="Q17" i="6"/>
  <c r="S15" i="6"/>
  <c r="V15" i="6"/>
  <c r="Q43" i="6"/>
  <c r="T19" i="6"/>
  <c r="U17" i="6"/>
  <c r="X15" i="6"/>
  <c r="W17" i="6"/>
  <c r="V19" i="6"/>
  <c r="AA17" i="6"/>
  <c r="Z19" i="6"/>
  <c r="AB15" i="6"/>
  <c r="T43" i="6"/>
  <c r="S49" i="6"/>
  <c r="AE17" i="6"/>
  <c r="AE22" i="6" s="1"/>
  <c r="X28" i="6"/>
  <c r="AK19" i="6"/>
  <c r="Z28" i="6"/>
  <c r="AM15" i="6"/>
  <c r="AL17" i="6"/>
  <c r="AN17" i="6"/>
  <c r="R43" i="6"/>
  <c r="U45" i="6"/>
  <c r="T47" i="6"/>
  <c r="P49" i="6"/>
  <c r="N28" i="6"/>
  <c r="O30" i="6" s="1"/>
  <c r="X17" i="6"/>
  <c r="W19" i="6"/>
  <c r="W22" i="6" s="1"/>
  <c r="U28" i="6"/>
  <c r="U32" i="6"/>
  <c r="AB17" i="6"/>
  <c r="AB21" i="6"/>
  <c r="O17" i="6"/>
  <c r="N43" i="6"/>
  <c r="AG17" i="6"/>
  <c r="AL19" i="6"/>
  <c r="BR4" i="6"/>
  <c r="BR5" i="6"/>
  <c r="N32" i="6"/>
  <c r="M34" i="6"/>
  <c r="BE369" i="6"/>
  <c r="BE370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E19" i="6"/>
  <c r="BE18" i="6"/>
  <c r="BE17" i="6"/>
  <c r="BE16" i="6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BE373" i="6"/>
  <c r="BE374" i="6"/>
  <c r="BE375" i="6"/>
  <c r="BE376" i="6"/>
  <c r="BE377" i="6"/>
  <c r="BE378" i="6"/>
  <c r="BE379" i="6"/>
  <c r="BE380" i="6"/>
  <c r="O9" i="1"/>
  <c r="BP13" i="7" s="1"/>
  <c r="AF59" i="27"/>
  <c r="BR7" i="6"/>
  <c r="BR10" i="6"/>
  <c r="BR8" i="6"/>
  <c r="P34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V36" i="6" s="1"/>
  <c r="W34" i="6"/>
  <c r="Y30" i="6"/>
  <c r="Y36" i="6" s="1"/>
  <c r="X32" i="6"/>
  <c r="L43" i="6"/>
  <c r="M45" i="6" s="1"/>
  <c r="N45" i="6"/>
  <c r="M15" i="6"/>
  <c r="M28" i="6"/>
  <c r="M19" i="6"/>
  <c r="O15" i="6"/>
  <c r="O21" i="6"/>
  <c r="O28" i="6"/>
  <c r="Q15" i="6"/>
  <c r="Q21" i="6" s="1"/>
  <c r="P17" i="6"/>
  <c r="P22" i="6" s="1"/>
  <c r="P28" i="6"/>
  <c r="R17" i="6"/>
  <c r="Q19" i="6"/>
  <c r="Q22" i="6"/>
  <c r="T17" i="6"/>
  <c r="U15" i="6"/>
  <c r="U21" i="6" s="1"/>
  <c r="U19" i="6"/>
  <c r="U22" i="6" s="1"/>
  <c r="R28" i="6"/>
  <c r="T30" i="6"/>
  <c r="R34" i="6"/>
  <c r="S32" i="6"/>
  <c r="S37" i="6" s="1"/>
  <c r="AA15" i="6"/>
  <c r="AA21" i="6"/>
  <c r="T28" i="6"/>
  <c r="Y19" i="6"/>
  <c r="V28" i="6"/>
  <c r="V32" i="6"/>
  <c r="AD17" i="6"/>
  <c r="AE15" i="6"/>
  <c r="AE21" i="6" s="1"/>
  <c r="AC19" i="6"/>
  <c r="W28" i="6"/>
  <c r="AG15" i="6"/>
  <c r="AG21" i="6" s="1"/>
  <c r="AI15" i="6"/>
  <c r="AH17" i="6"/>
  <c r="AG19" i="6"/>
  <c r="AI19" i="6"/>
  <c r="Y28" i="6"/>
  <c r="AK15" i="6"/>
  <c r="Y43" i="6"/>
  <c r="AL15" i="6"/>
  <c r="AL21" i="6" s="1"/>
  <c r="Y32" i="6"/>
  <c r="Y37" i="6" s="1"/>
  <c r="W30" i="6"/>
  <c r="U34" i="6"/>
  <c r="U37" i="6"/>
  <c r="U30" i="6"/>
  <c r="U36" i="6"/>
  <c r="S34" i="6"/>
  <c r="T32" i="6"/>
  <c r="T22" i="6"/>
  <c r="P30" i="6"/>
  <c r="AD22" i="6"/>
  <c r="AP349" i="6"/>
  <c r="AR349" i="6" s="1"/>
  <c r="AQ331" i="6"/>
  <c r="AP306" i="6"/>
  <c r="AR306" i="6" s="1"/>
  <c r="AP354" i="6"/>
  <c r="AR354" i="6" s="1"/>
  <c r="AP357" i="6"/>
  <c r="AR357" i="6" s="1"/>
  <c r="AP356" i="6"/>
  <c r="AR356" i="6" s="1"/>
  <c r="AQ199" i="6"/>
  <c r="AP226" i="6"/>
  <c r="AR226" i="6" s="1"/>
  <c r="AQ237" i="6"/>
  <c r="AP217" i="6"/>
  <c r="AR217" i="6" s="1"/>
  <c r="AP209" i="6"/>
  <c r="AR209" i="6" s="1"/>
  <c r="AQ197" i="6"/>
  <c r="AP236" i="6"/>
  <c r="AR236" i="6" s="1"/>
  <c r="AP192" i="6"/>
  <c r="AR192" i="6" s="1"/>
  <c r="AQ231" i="6"/>
  <c r="AP245" i="6"/>
  <c r="AR245" i="6" s="1"/>
  <c r="AQ243" i="6"/>
  <c r="AQ238" i="6"/>
  <c r="AP206" i="6"/>
  <c r="AR206" i="6" s="1"/>
  <c r="AP196" i="6"/>
  <c r="AR196" i="6" s="1"/>
  <c r="AQ195" i="6"/>
  <c r="AP227" i="6"/>
  <c r="AR227" i="6" s="1"/>
  <c r="AQ209" i="6"/>
  <c r="AP218" i="6"/>
  <c r="AR218" i="6" s="1"/>
  <c r="AQ232" i="6"/>
  <c r="AP214" i="6"/>
  <c r="AR214" i="6" s="1"/>
  <c r="AP241" i="6"/>
  <c r="AR241" i="6" s="1"/>
  <c r="AQ220" i="6"/>
  <c r="AQ219" i="6"/>
  <c r="AP199" i="6"/>
  <c r="AR199" i="6" s="1"/>
  <c r="AS199" i="6" s="1"/>
  <c r="W55" i="27"/>
  <c r="N70" i="27"/>
  <c r="G12" i="27"/>
  <c r="BP14" i="6"/>
  <c r="AF63" i="27"/>
  <c r="AF70" i="27"/>
  <c r="AF65" i="27"/>
  <c r="BW15" i="7"/>
  <c r="AF67" i="27"/>
  <c r="Y47" i="6"/>
  <c r="Z45" i="6"/>
  <c r="AQ337" i="6"/>
  <c r="AQ308" i="6"/>
  <c r="AQ320" i="6"/>
  <c r="AP330" i="6"/>
  <c r="AR330" i="6" s="1"/>
  <c r="AQ336" i="6"/>
  <c r="AP343" i="6"/>
  <c r="AR343" i="6" s="1"/>
  <c r="AQ352" i="6"/>
  <c r="AQ324" i="6"/>
  <c r="AQ339" i="6"/>
  <c r="AQ349" i="6"/>
  <c r="AP316" i="6"/>
  <c r="AR316" i="6" s="1"/>
  <c r="AP320" i="6"/>
  <c r="AR320" i="6" s="1"/>
  <c r="AS320" i="6" s="1"/>
  <c r="AQ333" i="6"/>
  <c r="AP317" i="6"/>
  <c r="AR317" i="6" s="1"/>
  <c r="AQ313" i="6"/>
  <c r="AP345" i="6"/>
  <c r="AR345" i="6" s="1"/>
  <c r="AQ353" i="6"/>
  <c r="AP304" i="6"/>
  <c r="AR304" i="6" s="1"/>
  <c r="AP312" i="6"/>
  <c r="AR312" i="6" s="1"/>
  <c r="AP319" i="6"/>
  <c r="AR319" i="6" s="1"/>
  <c r="AQ317" i="6"/>
  <c r="AP351" i="6"/>
  <c r="AR351" i="6" s="1"/>
  <c r="AQ309" i="6"/>
  <c r="AP344" i="6"/>
  <c r="AR344" i="6" s="1"/>
  <c r="AP348" i="6"/>
  <c r="AR348" i="6" s="1"/>
  <c r="AP323" i="6"/>
  <c r="AR323" i="6" s="1"/>
  <c r="AP313" i="6"/>
  <c r="AR313" i="6" s="1"/>
  <c r="AS313" i="6" s="1"/>
  <c r="AQ346" i="6"/>
  <c r="AP327" i="6"/>
  <c r="AR327" i="6" s="1"/>
  <c r="AP310" i="6"/>
  <c r="AR310" i="6" s="1"/>
  <c r="AQ311" i="6"/>
  <c r="AP326" i="6"/>
  <c r="AR326" i="6" s="1"/>
  <c r="AQ342" i="6"/>
  <c r="X49" i="6"/>
  <c r="W32" i="6"/>
  <c r="X30" i="6"/>
  <c r="X36" i="6"/>
  <c r="V34" i="6"/>
  <c r="V37" i="6"/>
  <c r="Q30" i="6"/>
  <c r="P32" i="6"/>
  <c r="O34" i="6"/>
  <c r="O32" i="6"/>
  <c r="N34" i="6"/>
  <c r="N37" i="6" s="1"/>
  <c r="M51" i="6"/>
  <c r="S45" i="6"/>
  <c r="Q49" i="6"/>
  <c r="R47" i="6"/>
  <c r="F288" i="6"/>
  <c r="H288" i="6"/>
  <c r="AG22" i="6"/>
  <c r="V49" i="6"/>
  <c r="W47" i="6"/>
  <c r="N47" i="6"/>
  <c r="O45" i="6"/>
  <c r="M49" i="6"/>
  <c r="M52" i="6" s="1"/>
  <c r="W15" i="6"/>
  <c r="W21" i="6" s="1"/>
  <c r="V17" i="6"/>
  <c r="S43" i="6"/>
  <c r="Z15" i="6"/>
  <c r="Z21" i="6" s="1"/>
  <c r="Y17" i="6"/>
  <c r="Y22" i="6" s="1"/>
  <c r="X19" i="6"/>
  <c r="X22" i="6" s="1"/>
  <c r="AH15" i="6"/>
  <c r="AH21" i="6" s="1"/>
  <c r="AF19" i="6"/>
  <c r="AF22" i="6" s="1"/>
  <c r="AI17" i="6"/>
  <c r="X43" i="6"/>
  <c r="AJ15" i="6"/>
  <c r="AJ21" i="6" s="1"/>
  <c r="AH19" i="6"/>
  <c r="AH22" i="6" s="1"/>
  <c r="AN19" i="6"/>
  <c r="AA43" i="6"/>
  <c r="Q47" i="6"/>
  <c r="Q52" i="6" s="1"/>
  <c r="R45" i="6"/>
  <c r="R51" i="6" s="1"/>
  <c r="O43" i="6"/>
  <c r="R15" i="6"/>
  <c r="R21" i="6"/>
  <c r="P43" i="6"/>
  <c r="T15" i="6"/>
  <c r="T21" i="6" s="1"/>
  <c r="R19" i="6"/>
  <c r="R22" i="6" s="1"/>
  <c r="S17" i="6"/>
  <c r="O22" i="6"/>
  <c r="AN22" i="6"/>
  <c r="P15" i="6"/>
  <c r="P21" i="6"/>
  <c r="N19" i="6"/>
  <c r="N22" i="6"/>
  <c r="F182" i="6"/>
  <c r="H182" i="6" s="1"/>
  <c r="AB19" i="6"/>
  <c r="AB22" i="6"/>
  <c r="AC17" i="6"/>
  <c r="AC21" i="6"/>
  <c r="U43" i="6"/>
  <c r="AF15" i="6"/>
  <c r="AF21" i="6" s="1"/>
  <c r="V43" i="6"/>
  <c r="AK17" i="6"/>
  <c r="AJ19" i="6"/>
  <c r="AJ22" i="6" s="1"/>
  <c r="AM19" i="6"/>
  <c r="AM22" i="6" s="1"/>
  <c r="AA28" i="6"/>
  <c r="BR11" i="6"/>
  <c r="BR6" i="6"/>
  <c r="BR9" i="6"/>
  <c r="AK22" i="6"/>
  <c r="G335" i="6"/>
  <c r="F370" i="6"/>
  <c r="H370" i="6" s="1"/>
  <c r="F355" i="6"/>
  <c r="H355" i="6" s="1"/>
  <c r="G363" i="6"/>
  <c r="F346" i="6"/>
  <c r="H346" i="6" s="1"/>
  <c r="G328" i="6"/>
  <c r="F374" i="6"/>
  <c r="H374" i="6" s="1"/>
  <c r="G342" i="6"/>
  <c r="F341" i="6"/>
  <c r="H341" i="6" s="1"/>
  <c r="G327" i="6"/>
  <c r="AK21" i="6"/>
  <c r="F302" i="6"/>
  <c r="H302" i="6" s="1"/>
  <c r="G305" i="6"/>
  <c r="G307" i="6"/>
  <c r="F309" i="6"/>
  <c r="H309" i="6" s="1"/>
  <c r="F313" i="6"/>
  <c r="H313" i="6" s="1"/>
  <c r="F315" i="6"/>
  <c r="H315" i="6" s="1"/>
  <c r="G302" i="6"/>
  <c r="G312" i="6"/>
  <c r="G331" i="6"/>
  <c r="F318" i="6"/>
  <c r="H318" i="6" s="1"/>
  <c r="F289" i="6"/>
  <c r="H289" i="6" s="1"/>
  <c r="G314" i="6"/>
  <c r="F294" i="6"/>
  <c r="H294" i="6" s="1"/>
  <c r="G341" i="6"/>
  <c r="G294" i="6"/>
  <c r="F299" i="6"/>
  <c r="H299" i="6" s="1"/>
  <c r="V47" i="6"/>
  <c r="V52" i="6" s="1"/>
  <c r="W45" i="6"/>
  <c r="W51" i="6" s="1"/>
  <c r="U49" i="6"/>
  <c r="T49" i="6"/>
  <c r="T52" i="6"/>
  <c r="V45" i="6"/>
  <c r="V51" i="6"/>
  <c r="U47" i="6"/>
  <c r="F329" i="6"/>
  <c r="H329" i="6" s="1"/>
  <c r="G323" i="6"/>
  <c r="P47" i="6"/>
  <c r="O49" i="6"/>
  <c r="Q45" i="6"/>
  <c r="Q51" i="6"/>
  <c r="AI22" i="6"/>
  <c r="S47" i="6"/>
  <c r="S52" i="6" s="1"/>
  <c r="T45" i="6"/>
  <c r="T51" i="6" s="1"/>
  <c r="R49" i="6"/>
  <c r="F371" i="6"/>
  <c r="H371" i="6" s="1"/>
  <c r="F366" i="6"/>
  <c r="H366" i="6" s="1"/>
  <c r="F319" i="6"/>
  <c r="H319" i="6" s="1"/>
  <c r="G224" i="6"/>
  <c r="G368" i="6"/>
  <c r="F220" i="6"/>
  <c r="H220" i="6" s="1"/>
  <c r="G332" i="6"/>
  <c r="G338" i="6"/>
  <c r="G340" i="6"/>
  <c r="G275" i="6"/>
  <c r="F286" i="6"/>
  <c r="H286" i="6" s="1"/>
  <c r="F276" i="6"/>
  <c r="H276" i="6" s="1"/>
  <c r="F281" i="6"/>
  <c r="H281" i="6" s="1"/>
  <c r="G285" i="6"/>
  <c r="G287" i="6"/>
  <c r="G269" i="6"/>
  <c r="F277" i="6"/>
  <c r="H277" i="6"/>
  <c r="F273" i="6"/>
  <c r="H273" i="6"/>
  <c r="G279" i="6"/>
  <c r="G265" i="6"/>
  <c r="G274" i="6"/>
  <c r="F282" i="6"/>
  <c r="H282" i="6" s="1"/>
  <c r="G272" i="6"/>
  <c r="G290" i="6"/>
  <c r="F304" i="6"/>
  <c r="H304" i="6" s="1"/>
  <c r="G308" i="6"/>
  <c r="G310" i="6"/>
  <c r="F310" i="6"/>
  <c r="H310" i="6" s="1"/>
  <c r="I310" i="6" s="1"/>
  <c r="F307" i="6"/>
  <c r="H307" i="6" s="1"/>
  <c r="I307" i="6" s="1"/>
  <c r="F295" i="6"/>
  <c r="H295" i="6" s="1"/>
  <c r="F311" i="6"/>
  <c r="H311" i="6" s="1"/>
  <c r="F258" i="6"/>
  <c r="H258" i="6" s="1"/>
  <c r="F234" i="6"/>
  <c r="H234" i="6" s="1"/>
  <c r="G256" i="6"/>
  <c r="F247" i="6"/>
  <c r="H247" i="6"/>
  <c r="F236" i="6"/>
  <c r="H236" i="6"/>
  <c r="G251" i="6"/>
  <c r="G238" i="6"/>
  <c r="G237" i="6"/>
  <c r="G249" i="6"/>
  <c r="G242" i="6"/>
  <c r="F250" i="6"/>
  <c r="H250" i="6" s="1"/>
  <c r="F243" i="6"/>
  <c r="H243" i="6" s="1"/>
  <c r="G245" i="6"/>
  <c r="F232" i="6"/>
  <c r="H232" i="6"/>
  <c r="F290" i="6"/>
  <c r="H290" i="6"/>
  <c r="F305" i="6"/>
  <c r="H305" i="6"/>
  <c r="F213" i="6"/>
  <c r="H213" i="6"/>
  <c r="F230" i="6"/>
  <c r="H230" i="6" s="1"/>
  <c r="G374" i="6"/>
  <c r="G352" i="6"/>
  <c r="G231" i="6"/>
  <c r="F226" i="6"/>
  <c r="H226" i="6" s="1"/>
  <c r="G376" i="6"/>
  <c r="G321" i="6"/>
  <c r="G354" i="6"/>
  <c r="G320" i="6"/>
  <c r="F193" i="6"/>
  <c r="H193" i="6" s="1"/>
  <c r="G214" i="6"/>
  <c r="F224" i="6"/>
  <c r="H224" i="6" s="1"/>
  <c r="F229" i="6"/>
  <c r="H229" i="6" s="1"/>
  <c r="G229" i="6"/>
  <c r="G198" i="6"/>
  <c r="G373" i="6"/>
  <c r="F351" i="6"/>
  <c r="H351" i="6" s="1"/>
  <c r="G350" i="6"/>
  <c r="G353" i="6"/>
  <c r="F216" i="6"/>
  <c r="H216" i="6" s="1"/>
  <c r="F222" i="6"/>
  <c r="H222" i="6" s="1"/>
  <c r="G212" i="6"/>
  <c r="G197" i="6"/>
  <c r="F376" i="6"/>
  <c r="H376" i="6" s="1"/>
  <c r="I376" i="6" s="1"/>
  <c r="F337" i="6"/>
  <c r="H337" i="6"/>
  <c r="F354" i="6"/>
  <c r="H354" i="6"/>
  <c r="I354" i="6" s="1"/>
  <c r="G370" i="6"/>
  <c r="G356" i="6"/>
  <c r="F373" i="6"/>
  <c r="H373" i="6" s="1"/>
  <c r="G322" i="6"/>
  <c r="F353" i="6"/>
  <c r="H353" i="6"/>
  <c r="I353" i="6" s="1"/>
  <c r="F367" i="6"/>
  <c r="H367" i="6" s="1"/>
  <c r="F361" i="6"/>
  <c r="H361" i="6" s="1"/>
  <c r="F192" i="6"/>
  <c r="H192" i="6" s="1"/>
  <c r="F215" i="6"/>
  <c r="H215" i="6" s="1"/>
  <c r="G216" i="6"/>
  <c r="G228" i="6"/>
  <c r="G220" i="6"/>
  <c r="G213" i="6"/>
  <c r="F227" i="6"/>
  <c r="H227" i="6" s="1"/>
  <c r="F211" i="6"/>
  <c r="H211" i="6" s="1"/>
  <c r="F203" i="6"/>
  <c r="H203" i="6" s="1"/>
  <c r="G372" i="6"/>
  <c r="G377" i="6"/>
  <c r="F330" i="6"/>
  <c r="H330" i="6" s="1"/>
  <c r="G365" i="6"/>
  <c r="F369" i="6"/>
  <c r="H369" i="6" s="1"/>
  <c r="F347" i="6"/>
  <c r="H347" i="6" s="1"/>
  <c r="G361" i="6"/>
  <c r="F225" i="6"/>
  <c r="H225" i="6" s="1"/>
  <c r="F194" i="6"/>
  <c r="H194" i="6" s="1"/>
  <c r="G217" i="6"/>
  <c r="G207" i="6"/>
  <c r="F228" i="6"/>
  <c r="H228" i="6" s="1"/>
  <c r="G215" i="6"/>
  <c r="G227" i="6"/>
  <c r="G194" i="6"/>
  <c r="G202" i="6"/>
  <c r="G380" i="6"/>
  <c r="F326" i="6"/>
  <c r="H326" i="6"/>
  <c r="G334" i="6"/>
  <c r="F363" i="6"/>
  <c r="H363" i="6" s="1"/>
  <c r="G362" i="6"/>
  <c r="G367" i="6"/>
  <c r="G359" i="6"/>
  <c r="F368" i="6"/>
  <c r="H368" i="6" s="1"/>
  <c r="I368" i="6" s="1"/>
  <c r="G371" i="6"/>
  <c r="F197" i="6"/>
  <c r="H197" i="6" s="1"/>
  <c r="I197" i="6" s="1"/>
  <c r="G199" i="6"/>
  <c r="F336" i="6"/>
  <c r="H336" i="6"/>
  <c r="F331" i="6"/>
  <c r="H331" i="6"/>
  <c r="F345" i="6"/>
  <c r="H345" i="6"/>
  <c r="G355" i="6"/>
  <c r="F356" i="6"/>
  <c r="H356" i="6" s="1"/>
  <c r="G192" i="6"/>
  <c r="F195" i="6"/>
  <c r="H195" i="6" s="1"/>
  <c r="F199" i="6"/>
  <c r="H199" i="6" s="1"/>
  <c r="F321" i="6"/>
  <c r="H321" i="6" s="1"/>
  <c r="G337" i="6"/>
  <c r="Y21" i="6"/>
  <c r="O37" i="6"/>
  <c r="O36" i="6"/>
  <c r="AP64" i="6"/>
  <c r="AR64" i="6"/>
  <c r="AP54" i="6"/>
  <c r="AR54" i="6"/>
  <c r="AP43" i="6"/>
  <c r="AR43" i="6" s="1"/>
  <c r="AP22" i="6"/>
  <c r="AR22" i="6" s="1"/>
  <c r="AP33" i="6"/>
  <c r="AR33" i="6" s="1"/>
  <c r="AQ33" i="6"/>
  <c r="AQ50" i="6"/>
  <c r="AP74" i="6"/>
  <c r="AR74" i="6" s="1"/>
  <c r="AP52" i="6"/>
  <c r="AR52" i="6" s="1"/>
  <c r="AP70" i="6"/>
  <c r="AR70" i="6" s="1"/>
  <c r="AQ45" i="6"/>
  <c r="AP72" i="6"/>
  <c r="AR72" i="6" s="1"/>
  <c r="AP58" i="6"/>
  <c r="AR58" i="6" s="1"/>
  <c r="AP61" i="6"/>
  <c r="AR61" i="6" s="1"/>
  <c r="AQ22" i="6"/>
  <c r="AP75" i="6"/>
  <c r="AR75" i="6" s="1"/>
  <c r="AQ77" i="6"/>
  <c r="AQ42" i="6"/>
  <c r="AP77" i="6"/>
  <c r="AR77" i="6"/>
  <c r="AQ30" i="6"/>
  <c r="AP62" i="6"/>
  <c r="AR62" i="6" s="1"/>
  <c r="AQ24" i="6"/>
  <c r="AQ73" i="6"/>
  <c r="AP59" i="6"/>
  <c r="AR59" i="6" s="1"/>
  <c r="AQ52" i="6"/>
  <c r="AP37" i="6"/>
  <c r="AR37" i="6" s="1"/>
  <c r="AP29" i="6"/>
  <c r="AR29" i="6" s="1"/>
  <c r="AQ67" i="6"/>
  <c r="AP35" i="6"/>
  <c r="AR35" i="6"/>
  <c r="AQ66" i="6"/>
  <c r="AP34" i="6"/>
  <c r="AR34" i="6" s="1"/>
  <c r="AP32" i="6"/>
  <c r="AR32" i="6" s="1"/>
  <c r="AP25" i="6"/>
  <c r="AR25" i="6" s="1"/>
  <c r="AQ72" i="6"/>
  <c r="AP36" i="6"/>
  <c r="AR36" i="6" s="1"/>
  <c r="AS36" i="6" s="1"/>
  <c r="AP51" i="6"/>
  <c r="AR51" i="6" s="1"/>
  <c r="AQ60" i="6"/>
  <c r="AP41" i="6"/>
  <c r="AR41" i="6" s="1"/>
  <c r="AP65" i="6"/>
  <c r="AR65" i="6" s="1"/>
  <c r="AQ43" i="6"/>
  <c r="AQ65" i="6"/>
  <c r="AQ61" i="6"/>
  <c r="AQ56" i="6"/>
  <c r="AP24" i="6"/>
  <c r="AR24" i="6"/>
  <c r="AQ38" i="6"/>
  <c r="AQ63" i="6"/>
  <c r="AQ29" i="6"/>
  <c r="AP68" i="6"/>
  <c r="AR68" i="6" s="1"/>
  <c r="AP50" i="6"/>
  <c r="AR50" i="6" s="1"/>
  <c r="AS50" i="6" s="1"/>
  <c r="AP53" i="6"/>
  <c r="AR53" i="6" s="1"/>
  <c r="AQ35" i="6"/>
  <c r="AQ76" i="6"/>
  <c r="AQ68" i="6"/>
  <c r="AP46" i="6"/>
  <c r="AR46" i="6" s="1"/>
  <c r="AQ23" i="6"/>
  <c r="AP66" i="6"/>
  <c r="AR66" i="6" s="1"/>
  <c r="AP67" i="6"/>
  <c r="AR67" i="6" s="1"/>
  <c r="AP57" i="6"/>
  <c r="AR57" i="6" s="1"/>
  <c r="AQ75" i="6"/>
  <c r="AP76" i="6"/>
  <c r="AR76" i="6" s="1"/>
  <c r="AQ48" i="6"/>
  <c r="AQ27" i="6"/>
  <c r="AP28" i="6"/>
  <c r="AR28" i="6" s="1"/>
  <c r="AP47" i="6"/>
  <c r="AR47" i="6" s="1"/>
  <c r="AP73" i="6"/>
  <c r="AR73" i="6"/>
  <c r="AP44" i="6"/>
  <c r="AR44" i="6" s="1"/>
  <c r="AP69" i="6"/>
  <c r="AR69" i="6" s="1"/>
  <c r="AP49" i="6"/>
  <c r="AR49" i="6" s="1"/>
  <c r="AP38" i="6"/>
  <c r="AR38" i="6" s="1"/>
  <c r="AP55" i="6"/>
  <c r="AR55" i="6" s="1"/>
  <c r="AP23" i="6"/>
  <c r="AR23" i="6" s="1"/>
  <c r="AP40" i="6"/>
  <c r="AR40" i="6" s="1"/>
  <c r="AQ46" i="6"/>
  <c r="AQ32" i="6"/>
  <c r="AQ55" i="6"/>
  <c r="AQ57" i="6"/>
  <c r="AQ64" i="6"/>
  <c r="P37" i="6"/>
  <c r="P36" i="6"/>
  <c r="AP60" i="6"/>
  <c r="AR60" i="6" s="1"/>
  <c r="AS60" i="6" s="1"/>
  <c r="AQ74" i="6"/>
  <c r="AQ34" i="6"/>
  <c r="AP30" i="6"/>
  <c r="AR30" i="6"/>
  <c r="AQ69" i="6"/>
  <c r="AQ28" i="6"/>
  <c r="AQ41" i="6"/>
  <c r="AQ31" i="6"/>
  <c r="AP56" i="6"/>
  <c r="AR56" i="6" s="1"/>
  <c r="AP31" i="6"/>
  <c r="AR31" i="6" s="1"/>
  <c r="AP39" i="6"/>
  <c r="AR39" i="6" s="1"/>
  <c r="AQ47" i="6"/>
  <c r="AQ71" i="6"/>
  <c r="AQ40" i="6"/>
  <c r="AQ37" i="6"/>
  <c r="AP27" i="6"/>
  <c r="AR27" i="6" s="1"/>
  <c r="AQ70" i="6"/>
  <c r="AP63" i="6"/>
  <c r="AR63" i="6" s="1"/>
  <c r="AS63" i="6" s="1"/>
  <c r="AP42" i="6"/>
  <c r="AR42" i="6" s="1"/>
  <c r="AS42" i="6" s="1"/>
  <c r="AQ36" i="6"/>
  <c r="AQ49" i="6"/>
  <c r="AQ53" i="6"/>
  <c r="AQ54" i="6"/>
  <c r="AP26" i="6"/>
  <c r="AR26" i="6"/>
  <c r="AP48" i="6"/>
  <c r="AR48" i="6"/>
  <c r="AS48" i="6" s="1"/>
  <c r="AP71" i="6"/>
  <c r="AR71" i="6" s="1"/>
  <c r="AS71" i="6" s="1"/>
  <c r="AQ59" i="6"/>
  <c r="AQ39" i="6"/>
  <c r="AP45" i="6"/>
  <c r="AR45" i="6" s="1"/>
  <c r="AQ44" i="6"/>
  <c r="AQ62" i="6"/>
  <c r="AQ26" i="6"/>
  <c r="AQ25" i="6"/>
  <c r="AQ58" i="6"/>
  <c r="AQ51" i="6"/>
  <c r="AA32" i="6"/>
  <c r="Z34" i="6"/>
  <c r="Z37" i="6"/>
  <c r="AB28" i="6"/>
  <c r="AA34" i="6"/>
  <c r="AC22" i="6"/>
  <c r="F221" i="6"/>
  <c r="H221" i="6" s="1"/>
  <c r="G210" i="6"/>
  <c r="F217" i="6"/>
  <c r="H217" i="6" s="1"/>
  <c r="F231" i="6"/>
  <c r="H231" i="6" s="1"/>
  <c r="F260" i="6"/>
  <c r="H260" i="6" s="1"/>
  <c r="F285" i="6"/>
  <c r="H285" i="6" s="1"/>
  <c r="I285" i="6" s="1"/>
  <c r="F287" i="6"/>
  <c r="H287" i="6" s="1"/>
  <c r="F280" i="6"/>
  <c r="H280" i="6" s="1"/>
  <c r="F265" i="6"/>
  <c r="H265" i="6" s="1"/>
  <c r="I265" i="6" s="1"/>
  <c r="F271" i="6"/>
  <c r="H271" i="6" s="1"/>
  <c r="G277" i="6"/>
  <c r="F266" i="6"/>
  <c r="H266" i="6" s="1"/>
  <c r="F262" i="6"/>
  <c r="H262" i="6" s="1"/>
  <c r="F268" i="6"/>
  <c r="H268" i="6" s="1"/>
  <c r="G262" i="6"/>
  <c r="F269" i="6"/>
  <c r="H269" i="6"/>
  <c r="G278" i="6"/>
  <c r="F275" i="6"/>
  <c r="H275" i="6" s="1"/>
  <c r="I275" i="6" s="1"/>
  <c r="G258" i="6"/>
  <c r="G236" i="6"/>
  <c r="F242" i="6"/>
  <c r="H242" i="6" s="1"/>
  <c r="I242" i="6" s="1"/>
  <c r="F253" i="6"/>
  <c r="H253" i="6" s="1"/>
  <c r="F238" i="6"/>
  <c r="H238" i="6" s="1"/>
  <c r="G259" i="6"/>
  <c r="F251" i="6"/>
  <c r="H251" i="6" s="1"/>
  <c r="G247" i="6"/>
  <c r="G240" i="6"/>
  <c r="G257" i="6"/>
  <c r="G239" i="6"/>
  <c r="G232" i="6"/>
  <c r="G252" i="6"/>
  <c r="G280" i="6"/>
  <c r="G270" i="6"/>
  <c r="G263" i="6"/>
  <c r="F270" i="6"/>
  <c r="H270" i="6"/>
  <c r="I270" i="6" s="1"/>
  <c r="G267" i="6"/>
  <c r="G271" i="6"/>
  <c r="G286" i="6"/>
  <c r="F235" i="6"/>
  <c r="H235" i="6" s="1"/>
  <c r="F254" i="6"/>
  <c r="H254" i="6" s="1"/>
  <c r="G243" i="6"/>
  <c r="F248" i="6"/>
  <c r="H248" i="6"/>
  <c r="F252" i="6"/>
  <c r="H252" i="6"/>
  <c r="G234" i="6"/>
  <c r="F239" i="6"/>
  <c r="H239" i="6" s="1"/>
  <c r="I239" i="6" s="1"/>
  <c r="G254" i="6"/>
  <c r="F279" i="6"/>
  <c r="H279" i="6" s="1"/>
  <c r="F261" i="6"/>
  <c r="H261" i="6" s="1"/>
  <c r="G282" i="6"/>
  <c r="G268" i="6"/>
  <c r="F274" i="6"/>
  <c r="H274" i="6" s="1"/>
  <c r="G266" i="6"/>
  <c r="G273" i="6"/>
  <c r="F237" i="6"/>
  <c r="H237" i="6" s="1"/>
  <c r="G253" i="6"/>
  <c r="G244" i="6"/>
  <c r="G233" i="6"/>
  <c r="F257" i="6"/>
  <c r="H257" i="6" s="1"/>
  <c r="I257" i="6" s="1"/>
  <c r="F241" i="6"/>
  <c r="H241" i="6" s="1"/>
  <c r="F255" i="6"/>
  <c r="H255" i="6" s="1"/>
  <c r="G336" i="6"/>
  <c r="F168" i="6"/>
  <c r="H168" i="6" s="1"/>
  <c r="G184" i="6"/>
  <c r="G177" i="6"/>
  <c r="G166" i="6"/>
  <c r="F188" i="6"/>
  <c r="H188" i="6"/>
  <c r="F135" i="6"/>
  <c r="H135" i="6"/>
  <c r="G165" i="6"/>
  <c r="F172" i="6"/>
  <c r="H172" i="6" s="1"/>
  <c r="G162" i="6"/>
  <c r="G179" i="6"/>
  <c r="G158" i="6"/>
  <c r="G181" i="6"/>
  <c r="F143" i="6"/>
  <c r="H143" i="6" s="1"/>
  <c r="F153" i="6"/>
  <c r="H153" i="6" s="1"/>
  <c r="G173" i="6"/>
  <c r="G189" i="6"/>
  <c r="G174" i="6"/>
  <c r="G167" i="6"/>
  <c r="G149" i="6"/>
  <c r="G151" i="6"/>
  <c r="G157" i="6"/>
  <c r="G153" i="6"/>
  <c r="G150" i="6"/>
  <c r="G154" i="6"/>
  <c r="F147" i="6"/>
  <c r="H147" i="6"/>
  <c r="G143" i="6"/>
  <c r="G142" i="6"/>
  <c r="G141" i="6"/>
  <c r="F148" i="6"/>
  <c r="H148" i="6" s="1"/>
  <c r="G152" i="6"/>
  <c r="G135" i="6"/>
  <c r="G159" i="6"/>
  <c r="F159" i="6"/>
  <c r="H159" i="6" s="1"/>
  <c r="F151" i="6"/>
  <c r="H151" i="6" s="1"/>
  <c r="I151" i="6" s="1"/>
  <c r="S21" i="6"/>
  <c r="F169" i="6"/>
  <c r="H169" i="6" s="1"/>
  <c r="G134" i="6"/>
  <c r="G185" i="6"/>
  <c r="G170" i="6"/>
  <c r="F171" i="6"/>
  <c r="H171" i="6" s="1"/>
  <c r="G183" i="6"/>
  <c r="F160" i="6"/>
  <c r="H160" i="6"/>
  <c r="F140" i="6"/>
  <c r="H140" i="6" s="1"/>
  <c r="F136" i="6"/>
  <c r="H136" i="6" s="1"/>
  <c r="G156" i="6"/>
  <c r="F155" i="6"/>
  <c r="H155" i="6"/>
  <c r="F146" i="6"/>
  <c r="H146" i="6"/>
  <c r="G147" i="6"/>
  <c r="G146" i="6"/>
  <c r="G138" i="6"/>
  <c r="F154" i="6"/>
  <c r="H154" i="6" s="1"/>
  <c r="I154" i="6" s="1"/>
  <c r="F138" i="6"/>
  <c r="H138" i="6"/>
  <c r="I138" i="6" s="1"/>
  <c r="F142" i="6"/>
  <c r="H142" i="6" s="1"/>
  <c r="F170" i="6"/>
  <c r="H170" i="6" s="1"/>
  <c r="F180" i="6"/>
  <c r="H180" i="6" s="1"/>
  <c r="F189" i="6"/>
  <c r="H189" i="6" s="1"/>
  <c r="F187" i="6"/>
  <c r="H187" i="6" s="1"/>
  <c r="F181" i="6"/>
  <c r="H181" i="6" s="1"/>
  <c r="I181" i="6" s="1"/>
  <c r="F167" i="6"/>
  <c r="H167" i="6" s="1"/>
  <c r="F144" i="6"/>
  <c r="H144" i="6" s="1"/>
  <c r="G160" i="6"/>
  <c r="F158" i="6"/>
  <c r="H158" i="6" s="1"/>
  <c r="G137" i="6"/>
  <c r="F152" i="6"/>
  <c r="H152" i="6"/>
  <c r="F184" i="6"/>
  <c r="H184" i="6"/>
  <c r="F161" i="6"/>
  <c r="H161" i="6"/>
  <c r="F139" i="6"/>
  <c r="H139" i="6"/>
  <c r="G161" i="6"/>
  <c r="F186" i="6"/>
  <c r="H186" i="6" s="1"/>
  <c r="F165" i="6"/>
  <c r="H165" i="6" s="1"/>
  <c r="I165" i="6" s="1"/>
  <c r="F174" i="6"/>
  <c r="H174" i="6" s="1"/>
  <c r="F179" i="6"/>
  <c r="H179" i="6" s="1"/>
  <c r="F175" i="6"/>
  <c r="H175" i="6" s="1"/>
  <c r="F185" i="6"/>
  <c r="H185" i="6" s="1"/>
  <c r="G168" i="6"/>
  <c r="F166" i="6"/>
  <c r="H166" i="6" s="1"/>
  <c r="F149" i="6"/>
  <c r="H149" i="6" s="1"/>
  <c r="F141" i="6"/>
  <c r="H141" i="6" s="1"/>
  <c r="F156" i="6"/>
  <c r="H156" i="6" s="1"/>
  <c r="F177" i="6"/>
  <c r="H177" i="6" s="1"/>
  <c r="G169" i="6"/>
  <c r="F157" i="6"/>
  <c r="H157" i="6" s="1"/>
  <c r="F164" i="6"/>
  <c r="H164" i="6" s="1"/>
  <c r="G171" i="6"/>
  <c r="G144" i="6"/>
  <c r="G188" i="6"/>
  <c r="S22" i="6"/>
  <c r="F93" i="6"/>
  <c r="H93" i="6" s="1"/>
  <c r="F109" i="6"/>
  <c r="H109" i="6" s="1"/>
  <c r="F124" i="6"/>
  <c r="H124" i="6" s="1"/>
  <c r="G99" i="6"/>
  <c r="G96" i="6"/>
  <c r="G95" i="6"/>
  <c r="G127" i="6"/>
  <c r="G102" i="6"/>
  <c r="G120" i="6"/>
  <c r="G121" i="6"/>
  <c r="G109" i="6"/>
  <c r="F108" i="6"/>
  <c r="H108" i="6" s="1"/>
  <c r="G117" i="6"/>
  <c r="F125" i="6"/>
  <c r="H125" i="6"/>
  <c r="G115" i="6"/>
  <c r="F117" i="6"/>
  <c r="H117" i="6" s="1"/>
  <c r="G130" i="6"/>
  <c r="F132" i="6"/>
  <c r="H132" i="6" s="1"/>
  <c r="F133" i="6"/>
  <c r="H133" i="6" s="1"/>
  <c r="F110" i="6"/>
  <c r="H110" i="6" s="1"/>
  <c r="I110" i="6" s="1"/>
  <c r="G107" i="6"/>
  <c r="G124" i="6"/>
  <c r="F107" i="6"/>
  <c r="H107" i="6" s="1"/>
  <c r="I107" i="6" s="1"/>
  <c r="G90" i="6"/>
  <c r="G64" i="6"/>
  <c r="G78" i="6"/>
  <c r="F78" i="6"/>
  <c r="H78" i="6"/>
  <c r="G86" i="6"/>
  <c r="G76" i="6"/>
  <c r="G68" i="6"/>
  <c r="F82" i="6"/>
  <c r="H82" i="6" s="1"/>
  <c r="G66" i="6"/>
  <c r="F77" i="6"/>
  <c r="H77" i="6" s="1"/>
  <c r="I77" i="6" s="1"/>
  <c r="F79" i="6"/>
  <c r="H79" i="6" s="1"/>
  <c r="F89" i="6"/>
  <c r="H89" i="6" s="1"/>
  <c r="F90" i="6"/>
  <c r="H90" i="6" s="1"/>
  <c r="I90" i="6" s="1"/>
  <c r="F72" i="6"/>
  <c r="H72" i="6" s="1"/>
  <c r="G91" i="6"/>
  <c r="F64" i="6"/>
  <c r="H64" i="6" s="1"/>
  <c r="G77" i="6"/>
  <c r="F91" i="6"/>
  <c r="H91" i="6" s="1"/>
  <c r="F80" i="6"/>
  <c r="H80" i="6" s="1"/>
  <c r="F86" i="6"/>
  <c r="H86" i="6" s="1"/>
  <c r="G83" i="6"/>
  <c r="G87" i="6"/>
  <c r="G69" i="6"/>
  <c r="F37" i="6"/>
  <c r="H37" i="6" s="1"/>
  <c r="G43" i="6"/>
  <c r="G59" i="6"/>
  <c r="F60" i="6"/>
  <c r="H60" i="6" s="1"/>
  <c r="G61" i="6"/>
  <c r="G51" i="6"/>
  <c r="G37" i="6"/>
  <c r="G48" i="6"/>
  <c r="F48" i="6"/>
  <c r="H48" i="6" s="1"/>
  <c r="G57" i="6"/>
  <c r="G49" i="6"/>
  <c r="F54" i="6"/>
  <c r="H54" i="6" s="1"/>
  <c r="F41" i="6"/>
  <c r="H41" i="6"/>
  <c r="F46" i="6"/>
  <c r="H46" i="6"/>
  <c r="F58" i="6"/>
  <c r="H58" i="6"/>
  <c r="G36" i="6"/>
  <c r="G45" i="6"/>
  <c r="F52" i="6"/>
  <c r="H52" i="6"/>
  <c r="F42" i="6"/>
  <c r="H42" i="6"/>
  <c r="G50" i="6"/>
  <c r="F51" i="6"/>
  <c r="H51" i="6" s="1"/>
  <c r="I51" i="6" s="1"/>
  <c r="G54" i="6"/>
  <c r="F95" i="6"/>
  <c r="H95" i="6" s="1"/>
  <c r="F85" i="6"/>
  <c r="H85" i="6" s="1"/>
  <c r="G73" i="6"/>
  <c r="G88" i="6"/>
  <c r="F112" i="6"/>
  <c r="H112" i="6" s="1"/>
  <c r="I112" i="6" s="1"/>
  <c r="G125" i="6"/>
  <c r="F126" i="6"/>
  <c r="H126" i="6" s="1"/>
  <c r="F84" i="6"/>
  <c r="H84" i="6" s="1"/>
  <c r="F40" i="6"/>
  <c r="H40" i="6" s="1"/>
  <c r="G53" i="6"/>
  <c r="F92" i="6"/>
  <c r="H92" i="6"/>
  <c r="F97" i="6"/>
  <c r="H97" i="6"/>
  <c r="G52" i="6"/>
  <c r="G81" i="6"/>
  <c r="F39" i="6"/>
  <c r="H39" i="6"/>
  <c r="F57" i="6"/>
  <c r="H57" i="6"/>
  <c r="I57" i="6" s="1"/>
  <c r="G98" i="6"/>
  <c r="F129" i="6"/>
  <c r="H129" i="6" s="1"/>
  <c r="G100" i="6"/>
  <c r="F49" i="6"/>
  <c r="H49" i="6" s="1"/>
  <c r="G56" i="6"/>
  <c r="F121" i="6"/>
  <c r="H121" i="6"/>
  <c r="I121" i="6" s="1"/>
  <c r="G38" i="6"/>
  <c r="G46" i="6"/>
  <c r="G123" i="6"/>
  <c r="F102" i="6"/>
  <c r="H102" i="6" s="1"/>
  <c r="I102" i="6" s="1"/>
  <c r="F134" i="6"/>
  <c r="H134" i="6" s="1"/>
  <c r="I134" i="6" s="1"/>
  <c r="G136" i="6"/>
  <c r="F137" i="6"/>
  <c r="H137" i="6" s="1"/>
  <c r="I137" i="6" s="1"/>
  <c r="F162" i="6"/>
  <c r="H162" i="6" s="1"/>
  <c r="G164" i="6"/>
  <c r="F163" i="6"/>
  <c r="H163" i="6" s="1"/>
  <c r="G187" i="6"/>
  <c r="G163" i="6"/>
  <c r="G172" i="6"/>
  <c r="G180" i="6"/>
  <c r="F173" i="6"/>
  <c r="H173" i="6"/>
  <c r="G155" i="6"/>
  <c r="G105" i="6"/>
  <c r="F94" i="6"/>
  <c r="H94" i="6" s="1"/>
  <c r="F114" i="6"/>
  <c r="H114" i="6" s="1"/>
  <c r="F104" i="6"/>
  <c r="H104" i="6" s="1"/>
  <c r="F105" i="6"/>
  <c r="H105" i="6" s="1"/>
  <c r="I105" i="6" s="1"/>
  <c r="F131" i="6"/>
  <c r="H131" i="6" s="1"/>
  <c r="F96" i="6"/>
  <c r="H96" i="6" s="1"/>
  <c r="I96" i="6" s="1"/>
  <c r="F113" i="6"/>
  <c r="H113" i="6" s="1"/>
  <c r="F122" i="6"/>
  <c r="H122" i="6" s="1"/>
  <c r="G112" i="6"/>
  <c r="G133" i="6"/>
  <c r="F106" i="6"/>
  <c r="H106" i="6" s="1"/>
  <c r="G126" i="6"/>
  <c r="G108" i="6"/>
  <c r="G111" i="6"/>
  <c r="G106" i="6"/>
  <c r="G122" i="6"/>
  <c r="F87" i="6"/>
  <c r="H87" i="6" s="1"/>
  <c r="I87" i="6" s="1"/>
  <c r="G79" i="6"/>
  <c r="F67" i="6"/>
  <c r="H67" i="6" s="1"/>
  <c r="F69" i="6"/>
  <c r="H69" i="6" s="1"/>
  <c r="G80" i="6"/>
  <c r="F83" i="6"/>
  <c r="H83" i="6"/>
  <c r="I83" i="6" s="1"/>
  <c r="G75" i="6"/>
  <c r="G70" i="6"/>
  <c r="F68" i="6"/>
  <c r="H68" i="6" s="1"/>
  <c r="I68" i="6" s="1"/>
  <c r="G85" i="6"/>
  <c r="F70" i="6"/>
  <c r="H70" i="6"/>
  <c r="F74" i="6"/>
  <c r="H74" i="6"/>
  <c r="G55" i="6"/>
  <c r="F50" i="6"/>
  <c r="H50" i="6" s="1"/>
  <c r="F45" i="6"/>
  <c r="H45" i="6" s="1"/>
  <c r="I45" i="6" s="1"/>
  <c r="F55" i="6"/>
  <c r="H55" i="6" s="1"/>
  <c r="I55" i="6" s="1"/>
  <c r="G40" i="6"/>
  <c r="F47" i="6"/>
  <c r="H47" i="6" s="1"/>
  <c r="F36" i="6"/>
  <c r="H36" i="6"/>
  <c r="G44" i="6"/>
  <c r="G63" i="6"/>
  <c r="G42" i="6"/>
  <c r="G89" i="6"/>
  <c r="G41" i="6"/>
  <c r="F103" i="6"/>
  <c r="H103" i="6" s="1"/>
  <c r="F127" i="6"/>
  <c r="H127" i="6" s="1"/>
  <c r="I127" i="6" s="1"/>
  <c r="G101" i="6"/>
  <c r="G94" i="6"/>
  <c r="G145" i="6"/>
  <c r="G186" i="6"/>
  <c r="G175" i="6"/>
  <c r="F99" i="6"/>
  <c r="H99" i="6"/>
  <c r="I99" i="6" s="1"/>
  <c r="G118" i="6"/>
  <c r="G97" i="6"/>
  <c r="F128" i="6"/>
  <c r="H128" i="6" s="1"/>
  <c r="F115" i="6"/>
  <c r="H115" i="6" s="1"/>
  <c r="F120" i="6"/>
  <c r="H120" i="6" s="1"/>
  <c r="I120" i="6" s="1"/>
  <c r="F116" i="6"/>
  <c r="H116" i="6" s="1"/>
  <c r="F118" i="6"/>
  <c r="H118" i="6" s="1"/>
  <c r="I118" i="6" s="1"/>
  <c r="G113" i="6"/>
  <c r="G74" i="6"/>
  <c r="F65" i="6"/>
  <c r="H65" i="6" s="1"/>
  <c r="F75" i="6"/>
  <c r="H75" i="6" s="1"/>
  <c r="I75" i="6" s="1"/>
  <c r="G67" i="6"/>
  <c r="F71" i="6"/>
  <c r="H71" i="6" s="1"/>
  <c r="G71" i="6"/>
  <c r="F61" i="6"/>
  <c r="H61" i="6"/>
  <c r="I61" i="6" s="1"/>
  <c r="G47" i="6"/>
  <c r="G58" i="6"/>
  <c r="F38" i="6"/>
  <c r="H38" i="6" s="1"/>
  <c r="I38" i="6" s="1"/>
  <c r="G60" i="6"/>
  <c r="G116" i="6"/>
  <c r="G119" i="6"/>
  <c r="F130" i="6"/>
  <c r="H130" i="6" s="1"/>
  <c r="F81" i="6"/>
  <c r="H81" i="6" s="1"/>
  <c r="I81" i="6" s="1"/>
  <c r="F98" i="6"/>
  <c r="H98" i="6" s="1"/>
  <c r="I98" i="6" s="1"/>
  <c r="G39" i="6"/>
  <c r="I39" i="6" s="1"/>
  <c r="G104" i="6"/>
  <c r="G93" i="6"/>
  <c r="G178" i="6"/>
  <c r="F183" i="6"/>
  <c r="H183" i="6" s="1"/>
  <c r="G176" i="6"/>
  <c r="G140" i="6"/>
  <c r="F178" i="6"/>
  <c r="H178" i="6" s="1"/>
  <c r="I178" i="6" s="1"/>
  <c r="G148" i="6"/>
  <c r="G92" i="6"/>
  <c r="G128" i="6"/>
  <c r="G114" i="6"/>
  <c r="G103" i="6"/>
  <c r="F123" i="6"/>
  <c r="H123" i="6" s="1"/>
  <c r="I123" i="6" s="1"/>
  <c r="F119" i="6"/>
  <c r="H119" i="6"/>
  <c r="F111" i="6"/>
  <c r="H111" i="6"/>
  <c r="G110" i="6"/>
  <c r="G132" i="6"/>
  <c r="G84" i="6"/>
  <c r="G82" i="6"/>
  <c r="G72" i="6"/>
  <c r="F66" i="6"/>
  <c r="H66" i="6" s="1"/>
  <c r="F76" i="6"/>
  <c r="H76" i="6" s="1"/>
  <c r="G65" i="6"/>
  <c r="F44" i="6"/>
  <c r="H44" i="6" s="1"/>
  <c r="G62" i="6"/>
  <c r="F56" i="6"/>
  <c r="H56" i="6" s="1"/>
  <c r="I56" i="6" s="1"/>
  <c r="F53" i="6"/>
  <c r="H53" i="6" s="1"/>
  <c r="F62" i="6"/>
  <c r="H62" i="6" s="1"/>
  <c r="F59" i="6"/>
  <c r="H59" i="6" s="1"/>
  <c r="I59" i="6" s="1"/>
  <c r="F63" i="6"/>
  <c r="H63" i="6" s="1"/>
  <c r="I63" i="6" s="1"/>
  <c r="F101" i="6"/>
  <c r="H101" i="6"/>
  <c r="I101" i="6" s="1"/>
  <c r="F73" i="6"/>
  <c r="H73" i="6" s="1"/>
  <c r="I73" i="6" s="1"/>
  <c r="G129" i="6"/>
  <c r="F88" i="6"/>
  <c r="H88" i="6" s="1"/>
  <c r="G131" i="6"/>
  <c r="F43" i="6"/>
  <c r="H43" i="6"/>
  <c r="F100" i="6"/>
  <c r="H100" i="6"/>
  <c r="I100" i="6" s="1"/>
  <c r="Z49" i="6"/>
  <c r="AA47" i="6"/>
  <c r="AB43" i="6"/>
  <c r="AA49" i="6" s="1"/>
  <c r="AA52" i="6" s="1"/>
  <c r="Y45" i="6"/>
  <c r="Y51" i="6" s="1"/>
  <c r="X47" i="6"/>
  <c r="W49" i="6"/>
  <c r="V22" i="6"/>
  <c r="V21" i="6"/>
  <c r="W52" i="6"/>
  <c r="F375" i="6"/>
  <c r="H375" i="6" s="1"/>
  <c r="G191" i="6"/>
  <c r="G344" i="6"/>
  <c r="F202" i="6"/>
  <c r="H202" i="6" s="1"/>
  <c r="I202" i="6" s="1"/>
  <c r="F209" i="6"/>
  <c r="H209" i="6" s="1"/>
  <c r="F198" i="6"/>
  <c r="H198" i="6" s="1"/>
  <c r="I198" i="6" s="1"/>
  <c r="F210" i="6"/>
  <c r="H210" i="6" s="1"/>
  <c r="I210" i="6" s="1"/>
  <c r="F320" i="6"/>
  <c r="H320" i="6" s="1"/>
  <c r="I320" i="6" s="1"/>
  <c r="F335" i="6"/>
  <c r="H335" i="6"/>
  <c r="I335" i="6" s="1"/>
  <c r="F317" i="6"/>
  <c r="H317" i="6" s="1"/>
  <c r="F333" i="6"/>
  <c r="H333" i="6" s="1"/>
  <c r="G316" i="6"/>
  <c r="F264" i="6"/>
  <c r="H264" i="6" s="1"/>
  <c r="G284" i="6"/>
  <c r="F263" i="6"/>
  <c r="H263" i="6" s="1"/>
  <c r="I263" i="6" s="1"/>
  <c r="F272" i="6"/>
  <c r="H272" i="6" s="1"/>
  <c r="G261" i="6"/>
  <c r="G260" i="6"/>
  <c r="F278" i="6"/>
  <c r="H278" i="6" s="1"/>
  <c r="G264" i="6"/>
  <c r="F284" i="6"/>
  <c r="H284" i="6"/>
  <c r="G283" i="6"/>
  <c r="F283" i="6"/>
  <c r="H283" i="6" s="1"/>
  <c r="G276" i="6"/>
  <c r="F267" i="6"/>
  <c r="H267" i="6" s="1"/>
  <c r="I267" i="6" s="1"/>
  <c r="G281" i="6"/>
  <c r="F300" i="6"/>
  <c r="H300" i="6" s="1"/>
  <c r="G315" i="6"/>
  <c r="F312" i="6"/>
  <c r="H312" i="6" s="1"/>
  <c r="I312" i="6" s="1"/>
  <c r="G291" i="6"/>
  <c r="F301" i="6"/>
  <c r="H301" i="6"/>
  <c r="F291" i="6"/>
  <c r="H291" i="6" s="1"/>
  <c r="G309" i="6"/>
  <c r="I309" i="6" s="1"/>
  <c r="G311" i="6"/>
  <c r="I311" i="6" s="1"/>
  <c r="G293" i="6"/>
  <c r="F303" i="6"/>
  <c r="H303" i="6" s="1"/>
  <c r="G296" i="6"/>
  <c r="F308" i="6"/>
  <c r="H308" i="6"/>
  <c r="G235" i="6"/>
  <c r="F249" i="6"/>
  <c r="H249" i="6" s="1"/>
  <c r="G241" i="6"/>
  <c r="F246" i="6"/>
  <c r="H246" i="6" s="1"/>
  <c r="F256" i="6"/>
  <c r="H256" i="6" s="1"/>
  <c r="I256" i="6" s="1"/>
  <c r="G246" i="6"/>
  <c r="F259" i="6"/>
  <c r="H259" i="6"/>
  <c r="G250" i="6"/>
  <c r="F240" i="6"/>
  <c r="H240" i="6" s="1"/>
  <c r="G248" i="6"/>
  <c r="I248" i="6" s="1"/>
  <c r="F245" i="6"/>
  <c r="H245" i="6" s="1"/>
  <c r="F244" i="6"/>
  <c r="H244" i="6" s="1"/>
  <c r="G255" i="6"/>
  <c r="F233" i="6"/>
  <c r="H233" i="6"/>
  <c r="F306" i="6"/>
  <c r="H306" i="6"/>
  <c r="R52" i="6"/>
  <c r="S51" i="6"/>
  <c r="F219" i="6"/>
  <c r="H219" i="6" s="1"/>
  <c r="F204" i="6"/>
  <c r="H204" i="6" s="1"/>
  <c r="F322" i="6"/>
  <c r="H322" i="6" s="1"/>
  <c r="G357" i="6"/>
  <c r="G226" i="6"/>
  <c r="G195" i="6"/>
  <c r="I195" i="6" s="1"/>
  <c r="F327" i="6"/>
  <c r="H327" i="6" s="1"/>
  <c r="G366" i="6"/>
  <c r="G369" i="6"/>
  <c r="I369" i="6"/>
  <c r="F365" i="6"/>
  <c r="H365" i="6"/>
  <c r="I365" i="6" s="1"/>
  <c r="G200" i="6"/>
  <c r="F205" i="6"/>
  <c r="H205" i="6" s="1"/>
  <c r="G221" i="6"/>
  <c r="F208" i="6"/>
  <c r="H208" i="6" s="1"/>
  <c r="F223" i="6"/>
  <c r="H223" i="6" s="1"/>
  <c r="G375" i="6"/>
  <c r="G329" i="6"/>
  <c r="F357" i="6"/>
  <c r="H357" i="6" s="1"/>
  <c r="G348" i="6"/>
  <c r="G225" i="6"/>
  <c r="G211" i="6"/>
  <c r="G219" i="6"/>
  <c r="G218" i="6"/>
  <c r="G379" i="6"/>
  <c r="F324" i="6"/>
  <c r="H324" i="6" s="1"/>
  <c r="F358" i="6"/>
  <c r="H358" i="6" s="1"/>
  <c r="G358" i="6"/>
  <c r="F352" i="6"/>
  <c r="H352" i="6" s="1"/>
  <c r="I352" i="6" s="1"/>
  <c r="F377" i="6"/>
  <c r="H377" i="6" s="1"/>
  <c r="I377" i="6" s="1"/>
  <c r="F201" i="6"/>
  <c r="H201" i="6" s="1"/>
  <c r="G319" i="6"/>
  <c r="F350" i="6"/>
  <c r="H350" i="6" s="1"/>
  <c r="G378" i="6"/>
  <c r="F196" i="6"/>
  <c r="H196" i="6" s="1"/>
  <c r="F328" i="6"/>
  <c r="H328" i="6" s="1"/>
  <c r="I328" i="6" s="1"/>
  <c r="G209" i="6"/>
  <c r="G230" i="6"/>
  <c r="G205" i="6"/>
  <c r="F218" i="6"/>
  <c r="H218" i="6" s="1"/>
  <c r="I218" i="6" s="1"/>
  <c r="F214" i="6"/>
  <c r="H214" i="6" s="1"/>
  <c r="I214" i="6" s="1"/>
  <c r="G206" i="6"/>
  <c r="G223" i="6"/>
  <c r="G193" i="6"/>
  <c r="F378" i="6"/>
  <c r="H378" i="6" s="1"/>
  <c r="G317" i="6"/>
  <c r="F348" i="6"/>
  <c r="H348" i="6" s="1"/>
  <c r="F359" i="6"/>
  <c r="H359" i="6" s="1"/>
  <c r="G351" i="6"/>
  <c r="G364" i="6"/>
  <c r="F349" i="6"/>
  <c r="H349" i="6" s="1"/>
  <c r="I349" i="6" s="1"/>
  <c r="G204" i="6"/>
  <c r="G222" i="6"/>
  <c r="F206" i="6"/>
  <c r="H206" i="6" s="1"/>
  <c r="F200" i="6"/>
  <c r="H200" i="6" s="1"/>
  <c r="G208" i="6"/>
  <c r="F207" i="6"/>
  <c r="H207" i="6" s="1"/>
  <c r="F212" i="6"/>
  <c r="H212" i="6" s="1"/>
  <c r="F191" i="6"/>
  <c r="H191" i="6" s="1"/>
  <c r="F372" i="6"/>
  <c r="H372" i="6" s="1"/>
  <c r="F380" i="6"/>
  <c r="H380" i="6" s="1"/>
  <c r="G325" i="6"/>
  <c r="G330" i="6"/>
  <c r="F344" i="6"/>
  <c r="H344" i="6" s="1"/>
  <c r="G349" i="6"/>
  <c r="F362" i="6"/>
  <c r="H362" i="6" s="1"/>
  <c r="G360" i="6"/>
  <c r="G347" i="6"/>
  <c r="G201" i="6"/>
  <c r="G196" i="6"/>
  <c r="F340" i="6"/>
  <c r="H340" i="6" s="1"/>
  <c r="F343" i="6"/>
  <c r="H343" i="6" s="1"/>
  <c r="F360" i="6"/>
  <c r="H360" i="6" s="1"/>
  <c r="I360" i="6" s="1"/>
  <c r="G345" i="6"/>
  <c r="F364" i="6"/>
  <c r="H364" i="6" s="1"/>
  <c r="G346" i="6"/>
  <c r="F379" i="6"/>
  <c r="H379" i="6" s="1"/>
  <c r="G203" i="6"/>
  <c r="G339" i="6"/>
  <c r="G324" i="6"/>
  <c r="N51" i="6"/>
  <c r="W37" i="6"/>
  <c r="AQ288" i="6"/>
  <c r="AP284" i="6"/>
  <c r="AR284" i="6" s="1"/>
  <c r="AP275" i="6"/>
  <c r="AR275" i="6" s="1"/>
  <c r="AQ282" i="6"/>
  <c r="AQ279" i="6"/>
  <c r="AQ297" i="6"/>
  <c r="AQ299" i="6"/>
  <c r="AQ263" i="6"/>
  <c r="AQ270" i="6"/>
  <c r="AP260" i="6"/>
  <c r="AR260" i="6" s="1"/>
  <c r="AP256" i="6"/>
  <c r="AR256" i="6" s="1"/>
  <c r="AP272" i="6"/>
  <c r="AR272" i="6" s="1"/>
  <c r="AP301" i="6"/>
  <c r="AR301" i="6" s="1"/>
  <c r="AP296" i="6"/>
  <c r="AR296" i="6" s="1"/>
  <c r="AQ272" i="6"/>
  <c r="AQ283" i="6"/>
  <c r="AP298" i="6"/>
  <c r="AR298" i="6" s="1"/>
  <c r="AQ248" i="6"/>
  <c r="AQ271" i="6"/>
  <c r="AQ249" i="6"/>
  <c r="AP286" i="6"/>
  <c r="AR286" i="6"/>
  <c r="AP293" i="6"/>
  <c r="AR293" i="6"/>
  <c r="AP273" i="6"/>
  <c r="AR273" i="6"/>
  <c r="AQ300" i="6"/>
  <c r="AP261" i="6"/>
  <c r="AR261" i="6" s="1"/>
  <c r="AQ291" i="6"/>
  <c r="AP281" i="6"/>
  <c r="AR281" i="6" s="1"/>
  <c r="AP258" i="6"/>
  <c r="AR258" i="6" s="1"/>
  <c r="AQ259" i="6"/>
  <c r="AQ269" i="6"/>
  <c r="AP277" i="6"/>
  <c r="AR277" i="6" s="1"/>
  <c r="AS277" i="6" s="1"/>
  <c r="AQ257" i="6"/>
  <c r="AQ293" i="6"/>
  <c r="AQ273" i="6"/>
  <c r="AP266" i="6"/>
  <c r="AR266" i="6" s="1"/>
  <c r="AP268" i="6"/>
  <c r="AR268" i="6" s="1"/>
  <c r="AS268" i="6" s="1"/>
  <c r="AQ268" i="6"/>
  <c r="AQ281" i="6"/>
  <c r="AQ278" i="6"/>
  <c r="AQ277" i="6"/>
  <c r="AP292" i="6"/>
  <c r="AR292" i="6" s="1"/>
  <c r="AQ301" i="6"/>
  <c r="AQ285" i="6"/>
  <c r="AQ286" i="6"/>
  <c r="AP287" i="6"/>
  <c r="AR287" i="6" s="1"/>
  <c r="AP276" i="6"/>
  <c r="AR276" i="6" s="1"/>
  <c r="AQ284" i="6"/>
  <c r="AP267" i="6"/>
  <c r="AR267" i="6" s="1"/>
  <c r="AQ295" i="6"/>
  <c r="AP257" i="6"/>
  <c r="AR257" i="6" s="1"/>
  <c r="AP299" i="6"/>
  <c r="AR299" i="6" s="1"/>
  <c r="AS299" i="6" s="1"/>
  <c r="AQ250" i="6"/>
  <c r="AQ274" i="6"/>
  <c r="AP289" i="6"/>
  <c r="AR289" i="6" s="1"/>
  <c r="AP249" i="6"/>
  <c r="AR249" i="6" s="1"/>
  <c r="AP297" i="6"/>
  <c r="AR297" i="6" s="1"/>
  <c r="AP282" i="6"/>
  <c r="AR282" i="6" s="1"/>
  <c r="AP251" i="6"/>
  <c r="AR251" i="6" s="1"/>
  <c r="AP246" i="6"/>
  <c r="AR246" i="6"/>
  <c r="AP270" i="6"/>
  <c r="AR270" i="6"/>
  <c r="AS270" i="6" s="1"/>
  <c r="AP300" i="6"/>
  <c r="AR300" i="6" s="1"/>
  <c r="AQ260" i="6"/>
  <c r="AP271" i="6"/>
  <c r="AR271" i="6"/>
  <c r="AS271" i="6" s="1"/>
  <c r="AQ266" i="6"/>
  <c r="AQ251" i="6"/>
  <c r="AP294" i="6"/>
  <c r="AR294" i="6" s="1"/>
  <c r="AQ292" i="6"/>
  <c r="AP253" i="6"/>
  <c r="AR253" i="6"/>
  <c r="AQ252" i="6"/>
  <c r="AQ246" i="6"/>
  <c r="AQ276" i="6"/>
  <c r="AQ296" i="6"/>
  <c r="AP274" i="6"/>
  <c r="AR274" i="6"/>
  <c r="AS274" i="6" s="1"/>
  <c r="AP283" i="6"/>
  <c r="AR283" i="6" s="1"/>
  <c r="AS283" i="6" s="1"/>
  <c r="AQ254" i="6"/>
  <c r="AP248" i="6"/>
  <c r="AR248" i="6" s="1"/>
  <c r="AP290" i="6"/>
  <c r="AR290" i="6" s="1"/>
  <c r="AS290" i="6" s="1"/>
  <c r="AP295" i="6"/>
  <c r="AR295" i="6" s="1"/>
  <c r="AS295" i="6" s="1"/>
  <c r="AP285" i="6"/>
  <c r="AR285" i="6" s="1"/>
  <c r="AP278" i="6"/>
  <c r="AR278" i="6" s="1"/>
  <c r="AS278" i="6" s="1"/>
  <c r="AP265" i="6"/>
  <c r="AR265" i="6" s="1"/>
  <c r="AP250" i="6"/>
  <c r="AR250" i="6" s="1"/>
  <c r="AS250" i="6" s="1"/>
  <c r="AQ247" i="6"/>
  <c r="AP269" i="6"/>
  <c r="AR269" i="6" s="1"/>
  <c r="AQ287" i="6"/>
  <c r="AP252" i="6"/>
  <c r="AR252" i="6"/>
  <c r="AS252" i="6" s="1"/>
  <c r="AQ298" i="6"/>
  <c r="AQ265" i="6"/>
  <c r="AP262" i="6"/>
  <c r="AR262" i="6" s="1"/>
  <c r="AP254" i="6"/>
  <c r="AR254" i="6" s="1"/>
  <c r="AS254" i="6" s="1"/>
  <c r="AQ290" i="6"/>
  <c r="AQ289" i="6"/>
  <c r="AQ294" i="6"/>
  <c r="AP247" i="6"/>
  <c r="AR247" i="6" s="1"/>
  <c r="AS247" i="6" s="1"/>
  <c r="AQ275" i="6"/>
  <c r="AQ264" i="6"/>
  <c r="AQ267" i="6"/>
  <c r="AP255" i="6"/>
  <c r="AR255" i="6" s="1"/>
  <c r="AQ262" i="6"/>
  <c r="AP263" i="6"/>
  <c r="AR263" i="6"/>
  <c r="AP264" i="6"/>
  <c r="AR264" i="6"/>
  <c r="AQ253" i="6"/>
  <c r="AQ280" i="6"/>
  <c r="AP280" i="6"/>
  <c r="AR280" i="6"/>
  <c r="AS280" i="6" s="1"/>
  <c r="AQ255" i="6"/>
  <c r="AQ261" i="6"/>
  <c r="AP291" i="6"/>
  <c r="AR291" i="6" s="1"/>
  <c r="AS291" i="6" s="1"/>
  <c r="AP259" i="6"/>
  <c r="AR259" i="6" s="1"/>
  <c r="AP288" i="6"/>
  <c r="AR288" i="6" s="1"/>
  <c r="AS288" i="6" s="1"/>
  <c r="AP279" i="6"/>
  <c r="AR279" i="6" s="1"/>
  <c r="AS279" i="6" s="1"/>
  <c r="AQ256" i="6"/>
  <c r="AQ258" i="6"/>
  <c r="AV314" i="6"/>
  <c r="AU260" i="6"/>
  <c r="AW260" i="6" s="1"/>
  <c r="AV279" i="6"/>
  <c r="AU305" i="6"/>
  <c r="AW305" i="6" s="1"/>
  <c r="AU294" i="6"/>
  <c r="AW294" i="6" s="1"/>
  <c r="AV267" i="6"/>
  <c r="AU266" i="6"/>
  <c r="AW266" i="6" s="1"/>
  <c r="AV263" i="6"/>
  <c r="AV286" i="6"/>
  <c r="AU261" i="6"/>
  <c r="AW261" i="6" s="1"/>
  <c r="AV315" i="6"/>
  <c r="AU292" i="6"/>
  <c r="AW292" i="6" s="1"/>
  <c r="AU279" i="6"/>
  <c r="AW279" i="6" s="1"/>
  <c r="AX279" i="6" s="1"/>
  <c r="AU302" i="6"/>
  <c r="AW302" i="6" s="1"/>
  <c r="AU281" i="6"/>
  <c r="AW281" i="6" s="1"/>
  <c r="AV291" i="6"/>
  <c r="AU296" i="6"/>
  <c r="AW296" i="6"/>
  <c r="AV304" i="6"/>
  <c r="AU312" i="6"/>
  <c r="AW312" i="6" s="1"/>
  <c r="AV297" i="6"/>
  <c r="AV300" i="6"/>
  <c r="AU315" i="6"/>
  <c r="AW315" i="6" s="1"/>
  <c r="AV277" i="6"/>
  <c r="AV264" i="6"/>
  <c r="AV295" i="6"/>
  <c r="AV308" i="6"/>
  <c r="AU285" i="6"/>
  <c r="AW285" i="6" s="1"/>
  <c r="AV276" i="6"/>
  <c r="AU254" i="6"/>
  <c r="AW254" i="6"/>
  <c r="AU212" i="6"/>
  <c r="AW212" i="6"/>
  <c r="AV220" i="6"/>
  <c r="AU230" i="6"/>
  <c r="AW230" i="6" s="1"/>
  <c r="AU242" i="6"/>
  <c r="AW242" i="6" s="1"/>
  <c r="AV214" i="6"/>
  <c r="AV210" i="6"/>
  <c r="AU207" i="6"/>
  <c r="AW207" i="6" s="1"/>
  <c r="AV251" i="6"/>
  <c r="AU211" i="6"/>
  <c r="AW211" i="6" s="1"/>
  <c r="AV253" i="6"/>
  <c r="AV237" i="6"/>
  <c r="AV247" i="6"/>
  <c r="AV208" i="6"/>
  <c r="AV215" i="6"/>
  <c r="AU234" i="6"/>
  <c r="AW234" i="6" s="1"/>
  <c r="X52" i="6"/>
  <c r="AU244" i="6"/>
  <c r="AW244" i="6" s="1"/>
  <c r="AV244" i="6"/>
  <c r="AU243" i="6"/>
  <c r="AW243" i="6"/>
  <c r="AU249" i="6"/>
  <c r="AW249" i="6"/>
  <c r="AV216" i="6"/>
  <c r="AU221" i="6"/>
  <c r="AW221" i="6" s="1"/>
  <c r="AV238" i="6"/>
  <c r="AU257" i="6"/>
  <c r="AW257" i="6" s="1"/>
  <c r="AX257" i="6" s="1"/>
  <c r="AV206" i="6"/>
  <c r="AV249" i="6"/>
  <c r="AU248" i="6"/>
  <c r="AW248" i="6" s="1"/>
  <c r="AX248" i="6" s="1"/>
  <c r="AU239" i="6"/>
  <c r="AW239" i="6" s="1"/>
  <c r="AU224" i="6"/>
  <c r="AW224" i="6" s="1"/>
  <c r="AU245" i="6"/>
  <c r="AW245" i="6" s="1"/>
  <c r="AU206" i="6"/>
  <c r="AW206" i="6" s="1"/>
  <c r="AX206" i="6" s="1"/>
  <c r="AV241" i="6"/>
  <c r="AV252" i="6"/>
  <c r="AU228" i="6"/>
  <c r="AW228" i="6" s="1"/>
  <c r="AV211" i="6"/>
  <c r="AU205" i="6"/>
  <c r="AW205" i="6" s="1"/>
  <c r="AV232" i="6"/>
  <c r="AV217" i="6"/>
  <c r="AU233" i="6"/>
  <c r="AW233" i="6" s="1"/>
  <c r="AU229" i="6"/>
  <c r="AW229" i="6" s="1"/>
  <c r="AU210" i="6"/>
  <c r="AW210" i="6" s="1"/>
  <c r="AX210" i="6" s="1"/>
  <c r="AU217" i="6"/>
  <c r="AW217" i="6" s="1"/>
  <c r="AX217" i="6" s="1"/>
  <c r="AU253" i="6"/>
  <c r="AW253" i="6"/>
  <c r="AV209" i="6"/>
  <c r="AU231" i="6"/>
  <c r="AW231" i="6" s="1"/>
  <c r="AV229" i="6"/>
  <c r="AV207" i="6"/>
  <c r="AU251" i="6"/>
  <c r="AW251" i="6" s="1"/>
  <c r="AX251" i="6" s="1"/>
  <c r="AV218" i="6"/>
  <c r="AU256" i="6"/>
  <c r="AW256" i="6" s="1"/>
  <c r="AU223" i="6"/>
  <c r="AW223" i="6" s="1"/>
  <c r="AV234" i="6"/>
  <c r="AV250" i="6"/>
  <c r="AV227" i="6"/>
  <c r="AV256" i="6"/>
  <c r="AV282" i="6"/>
  <c r="AU290" i="6"/>
  <c r="AW290" i="6" s="1"/>
  <c r="AU298" i="6"/>
  <c r="AW298" i="6" s="1"/>
  <c r="AU280" i="6"/>
  <c r="AW280" i="6" s="1"/>
  <c r="AV275" i="6"/>
  <c r="AU288" i="6"/>
  <c r="AW288" i="6" s="1"/>
  <c r="AU270" i="6"/>
  <c r="AW270" i="6" s="1"/>
  <c r="AV296" i="6"/>
  <c r="AV293" i="6"/>
  <c r="AU265" i="6"/>
  <c r="AW265" i="6" s="1"/>
  <c r="AV280" i="6"/>
  <c r="AU269" i="6"/>
  <c r="AW269" i="6"/>
  <c r="AU278" i="6"/>
  <c r="AW278" i="6"/>
  <c r="AU303" i="6"/>
  <c r="AW303" i="6"/>
  <c r="AV303" i="6"/>
  <c r="AU274" i="6"/>
  <c r="AW274" i="6" s="1"/>
  <c r="AU287" i="6"/>
  <c r="AW287" i="6" s="1"/>
  <c r="AU263" i="6"/>
  <c r="AW263" i="6" s="1"/>
  <c r="AX263" i="6" s="1"/>
  <c r="AU308" i="6"/>
  <c r="AW308" i="6"/>
  <c r="AV271" i="6"/>
  <c r="AV262" i="6"/>
  <c r="AV285" i="6"/>
  <c r="AU299" i="6"/>
  <c r="AW299" i="6" s="1"/>
  <c r="AU276" i="6"/>
  <c r="AW276" i="6" s="1"/>
  <c r="AU277" i="6"/>
  <c r="AW277" i="6" s="1"/>
  <c r="AX277" i="6" s="1"/>
  <c r="AU313" i="6"/>
  <c r="AW313" i="6"/>
  <c r="AV269" i="6"/>
  <c r="AU222" i="6"/>
  <c r="AW222" i="6" s="1"/>
  <c r="AV225" i="6"/>
  <c r="AU259" i="6"/>
  <c r="AW259" i="6"/>
  <c r="AU226" i="6"/>
  <c r="AW226" i="6"/>
  <c r="AV236" i="6"/>
  <c r="AV254" i="6"/>
  <c r="AU240" i="6"/>
  <c r="AW240" i="6"/>
  <c r="AV243" i="6"/>
  <c r="AV224" i="6"/>
  <c r="AU236" i="6"/>
  <c r="AW236" i="6"/>
  <c r="AU213" i="6"/>
  <c r="AW213" i="6"/>
  <c r="AV258" i="6"/>
  <c r="AV235" i="6"/>
  <c r="AV222" i="6"/>
  <c r="AV213" i="6"/>
  <c r="AU250" i="6"/>
  <c r="AW250" i="6"/>
  <c r="AU218" i="6"/>
  <c r="AW218" i="6"/>
  <c r="AV205" i="6"/>
  <c r="AV228" i="6"/>
  <c r="AV246" i="6"/>
  <c r="AV231" i="6"/>
  <c r="AV239" i="6"/>
  <c r="AU241" i="6"/>
  <c r="AW241" i="6" s="1"/>
  <c r="AX241" i="6" s="1"/>
  <c r="AU220" i="6"/>
  <c r="AW220" i="6"/>
  <c r="AV245" i="6"/>
  <c r="AU232" i="6"/>
  <c r="AW232" i="6" s="1"/>
  <c r="AV212" i="6"/>
  <c r="AV230" i="6"/>
  <c r="AV221" i="6"/>
  <c r="AV226" i="6"/>
  <c r="AU237" i="6"/>
  <c r="AW237" i="6" s="1"/>
  <c r="AX237" i="6" s="1"/>
  <c r="AU227" i="6"/>
  <c r="AW227" i="6" s="1"/>
  <c r="AU216" i="6"/>
  <c r="AW216" i="6" s="1"/>
  <c r="AX216" i="6" s="1"/>
  <c r="AV316" i="6"/>
  <c r="AU258" i="6"/>
  <c r="AW258" i="6" s="1"/>
  <c r="AU255" i="6"/>
  <c r="AW255" i="6" s="1"/>
  <c r="AU238" i="6"/>
  <c r="AW238" i="6" s="1"/>
  <c r="AV242" i="6"/>
  <c r="AU225" i="6"/>
  <c r="AW225" i="6" s="1"/>
  <c r="AX225" i="6" s="1"/>
  <c r="AU215" i="6"/>
  <c r="AW215" i="6" s="1"/>
  <c r="AX215" i="6" s="1"/>
  <c r="AU209" i="6"/>
  <c r="AW209" i="6"/>
  <c r="AV240" i="6"/>
  <c r="AU246" i="6"/>
  <c r="AW246" i="6" s="1"/>
  <c r="AX246" i="6" s="1"/>
  <c r="AV257" i="6"/>
  <c r="AU219" i="6"/>
  <c r="AW219" i="6"/>
  <c r="AV255" i="6"/>
  <c r="AU247" i="6"/>
  <c r="AW247" i="6" s="1"/>
  <c r="AX247" i="6" s="1"/>
  <c r="AU208" i="6"/>
  <c r="AW208" i="6"/>
  <c r="AV248" i="6"/>
  <c r="AU214" i="6"/>
  <c r="AW214" i="6"/>
  <c r="AX214" i="6" s="1"/>
  <c r="AU252" i="6"/>
  <c r="AW252" i="6" s="1"/>
  <c r="AX252" i="6" s="1"/>
  <c r="AV233" i="6"/>
  <c r="AV259" i="6"/>
  <c r="AV223" i="6"/>
  <c r="AV219" i="6"/>
  <c r="AU235" i="6"/>
  <c r="AW235" i="6" s="1"/>
  <c r="AX235" i="6" s="1"/>
  <c r="AU316" i="6"/>
  <c r="AW316" i="6"/>
  <c r="AX316" i="6" s="1"/>
  <c r="X51" i="6"/>
  <c r="AV298" i="6"/>
  <c r="AV310" i="6"/>
  <c r="AU271" i="6"/>
  <c r="AW271" i="6"/>
  <c r="AX271" i="6" s="1"/>
  <c r="AU267" i="6"/>
  <c r="AW267" i="6" s="1"/>
  <c r="AU310" i="6"/>
  <c r="AW310" i="6" s="1"/>
  <c r="AX310" i="6" s="1"/>
  <c r="AU304" i="6"/>
  <c r="AW304" i="6" s="1"/>
  <c r="AX304" i="6" s="1"/>
  <c r="AU293" i="6"/>
  <c r="AW293" i="6" s="1"/>
  <c r="AX293" i="6" s="1"/>
  <c r="AV283" i="6"/>
  <c r="AV306" i="6"/>
  <c r="AV289" i="6"/>
  <c r="AV290" i="6"/>
  <c r="AV270" i="6"/>
  <c r="AV307" i="6"/>
  <c r="AU309" i="6"/>
  <c r="AW309" i="6" s="1"/>
  <c r="AU291" i="6"/>
  <c r="AW291" i="6" s="1"/>
  <c r="AX291" i="6" s="1"/>
  <c r="AU272" i="6"/>
  <c r="AW272" i="6" s="1"/>
  <c r="AV278" i="6"/>
  <c r="AV260" i="6"/>
  <c r="AV261" i="6"/>
  <c r="AV313" i="6"/>
  <c r="AV272" i="6"/>
  <c r="AV284" i="6"/>
  <c r="AU282" i="6"/>
  <c r="AW282" i="6" s="1"/>
  <c r="AX282" i="6" s="1"/>
  <c r="AV309" i="6"/>
  <c r="AV305" i="6"/>
  <c r="AU301" i="6"/>
  <c r="AW301" i="6" s="1"/>
  <c r="AU283" i="6"/>
  <c r="AW283" i="6" s="1"/>
  <c r="AV268" i="6"/>
  <c r="AV292" i="6"/>
  <c r="AV266" i="6"/>
  <c r="AU300" i="6"/>
  <c r="AW300" i="6" s="1"/>
  <c r="AX300" i="6" s="1"/>
  <c r="AU268" i="6"/>
  <c r="AW268" i="6" s="1"/>
  <c r="AX268" i="6" s="1"/>
  <c r="AU311" i="6"/>
  <c r="AW311" i="6" s="1"/>
  <c r="AU306" i="6"/>
  <c r="AW306" i="6" s="1"/>
  <c r="AU295" i="6"/>
  <c r="AW295" i="6" s="1"/>
  <c r="AX295" i="6" s="1"/>
  <c r="AU289" i="6"/>
  <c r="AW289" i="6" s="1"/>
  <c r="AX289" i="6" s="1"/>
  <c r="AU273" i="6"/>
  <c r="AW273" i="6" s="1"/>
  <c r="AV274" i="6"/>
  <c r="AU286" i="6"/>
  <c r="AW286" i="6" s="1"/>
  <c r="AV302" i="6"/>
  <c r="AU262" i="6"/>
  <c r="AW262" i="6" s="1"/>
  <c r="AU264" i="6"/>
  <c r="AW264" i="6" s="1"/>
  <c r="AV299" i="6"/>
  <c r="AV287" i="6"/>
  <c r="AV311" i="6"/>
  <c r="AU314" i="6"/>
  <c r="AW314" i="6" s="1"/>
  <c r="AX314" i="6" s="1"/>
  <c r="AV288" i="6"/>
  <c r="AV265" i="6"/>
  <c r="AU275" i="6"/>
  <c r="AW275" i="6" s="1"/>
  <c r="AX275" i="6" s="1"/>
  <c r="AV294" i="6"/>
  <c r="AU297" i="6"/>
  <c r="AW297" i="6"/>
  <c r="AX297" i="6" s="1"/>
  <c r="AU307" i="6"/>
  <c r="AW307" i="6" s="1"/>
  <c r="AV312" i="6"/>
  <c r="AV301" i="6"/>
  <c r="AX301" i="6"/>
  <c r="AU284" i="6"/>
  <c r="AW284" i="6"/>
  <c r="AV273" i="6"/>
  <c r="AV281" i="6"/>
  <c r="AA37" i="6"/>
  <c r="AA36" i="6"/>
  <c r="AQ373" i="6"/>
  <c r="AP369" i="6"/>
  <c r="AR369" i="6" s="1"/>
  <c r="AQ365" i="6"/>
  <c r="AP363" i="6"/>
  <c r="AR363" i="6"/>
  <c r="AQ364" i="6"/>
  <c r="AQ359" i="6"/>
  <c r="AQ363" i="6"/>
  <c r="AQ360" i="6"/>
  <c r="AP359" i="6"/>
  <c r="AR359" i="6"/>
  <c r="AQ367" i="6"/>
  <c r="AQ361" i="6"/>
  <c r="AQ368" i="6"/>
  <c r="AQ371" i="6"/>
  <c r="AQ366" i="6"/>
  <c r="AQ358" i="6"/>
  <c r="AP371" i="6"/>
  <c r="AR371" i="6"/>
  <c r="AQ378" i="6"/>
  <c r="AP361" i="6"/>
  <c r="AR361" i="6" s="1"/>
  <c r="AQ362" i="6"/>
  <c r="AP370" i="6"/>
  <c r="AR370" i="6" s="1"/>
  <c r="AP375" i="6"/>
  <c r="AR375" i="6" s="1"/>
  <c r="AS375" i="6" s="1"/>
  <c r="AQ377" i="6"/>
  <c r="AP362" i="6"/>
  <c r="AR362" i="6" s="1"/>
  <c r="AS362" i="6"/>
  <c r="AP377" i="6"/>
  <c r="AR377" i="6"/>
  <c r="AS377" i="6" s="1"/>
  <c r="AP368" i="6"/>
  <c r="AR368" i="6" s="1"/>
  <c r="AP379" i="6"/>
  <c r="AR379" i="6" s="1"/>
  <c r="AQ376" i="6"/>
  <c r="AQ379" i="6"/>
  <c r="AQ374" i="6"/>
  <c r="AP372" i="6"/>
  <c r="AR372" i="6" s="1"/>
  <c r="AP374" i="6"/>
  <c r="AR374" i="6" s="1"/>
  <c r="AS374" i="6" s="1"/>
  <c r="AP376" i="6"/>
  <c r="AR376" i="6" s="1"/>
  <c r="AP360" i="6"/>
  <c r="AR360" i="6" s="1"/>
  <c r="AQ372" i="6"/>
  <c r="AP364" i="6"/>
  <c r="AR364" i="6" s="1"/>
  <c r="AS364" i="6"/>
  <c r="AQ375" i="6"/>
  <c r="AQ370" i="6"/>
  <c r="AP378" i="6"/>
  <c r="AR378" i="6" s="1"/>
  <c r="AQ369" i="6"/>
  <c r="AP373" i="6"/>
  <c r="AR373" i="6" s="1"/>
  <c r="AP366" i="6"/>
  <c r="AR366" i="6" s="1"/>
  <c r="AP367" i="6"/>
  <c r="AR367" i="6" s="1"/>
  <c r="AS367" i="6" s="1"/>
  <c r="AP365" i="6"/>
  <c r="AR365" i="6" s="1"/>
  <c r="AS365" i="6" s="1"/>
  <c r="AP380" i="6"/>
  <c r="AR380" i="6"/>
  <c r="AP358" i="6"/>
  <c r="AR358" i="6"/>
  <c r="AQ380" i="6"/>
  <c r="AS37" i="6"/>
  <c r="I249" i="6"/>
  <c r="I220" i="6"/>
  <c r="I67" i="6"/>
  <c r="I93" i="6"/>
  <c r="I135" i="6"/>
  <c r="I147" i="6"/>
  <c r="I280" i="6"/>
  <c r="AS73" i="6"/>
  <c r="AS77" i="6"/>
  <c r="I337" i="6"/>
  <c r="I351" i="6"/>
  <c r="I305" i="6"/>
  <c r="I273" i="6"/>
  <c r="P52" i="6"/>
  <c r="AU121" i="6"/>
  <c r="AW121" i="6" s="1"/>
  <c r="AU95" i="6"/>
  <c r="AW95" i="6" s="1"/>
  <c r="AU179" i="6"/>
  <c r="AW179" i="6" s="1"/>
  <c r="AV124" i="6"/>
  <c r="AV107" i="6"/>
  <c r="AV175" i="6"/>
  <c r="AU102" i="6"/>
  <c r="AW102" i="6" s="1"/>
  <c r="AU177" i="6"/>
  <c r="AW177" i="6" s="1"/>
  <c r="AV108" i="6"/>
  <c r="AV157" i="6"/>
  <c r="AU146" i="6"/>
  <c r="AW146" i="6" s="1"/>
  <c r="AU124" i="6"/>
  <c r="AW124" i="6" s="1"/>
  <c r="AX124" i="6" s="1"/>
  <c r="AU110" i="6"/>
  <c r="AW110" i="6" s="1"/>
  <c r="AU166" i="6"/>
  <c r="AW166" i="6" s="1"/>
  <c r="AV104" i="6"/>
  <c r="AU153" i="6"/>
  <c r="AW153" i="6"/>
  <c r="AV203" i="6"/>
  <c r="AV184" i="6"/>
  <c r="AV172" i="6"/>
  <c r="AU152" i="6"/>
  <c r="AW152" i="6" s="1"/>
  <c r="AU134" i="6"/>
  <c r="AW134" i="6" s="1"/>
  <c r="AV202" i="6"/>
  <c r="AV187" i="6"/>
  <c r="AV100" i="6"/>
  <c r="AV133" i="6"/>
  <c r="AU163" i="6"/>
  <c r="AW163" i="6" s="1"/>
  <c r="AV134" i="6"/>
  <c r="AV127" i="6"/>
  <c r="AV190" i="6"/>
  <c r="AU136" i="6"/>
  <c r="AW136" i="6" s="1"/>
  <c r="AU184" i="6"/>
  <c r="AW184" i="6" s="1"/>
  <c r="AV149" i="6"/>
  <c r="AU157" i="6"/>
  <c r="AW157" i="6" s="1"/>
  <c r="AX157" i="6" s="1"/>
  <c r="AU173" i="6"/>
  <c r="AW173" i="6" s="1"/>
  <c r="AV141" i="6"/>
  <c r="AU139" i="6"/>
  <c r="AW139" i="6" s="1"/>
  <c r="AV183" i="6"/>
  <c r="AU97" i="6"/>
  <c r="AW97" i="6"/>
  <c r="AV158" i="6"/>
  <c r="AV129" i="6"/>
  <c r="AU193" i="6"/>
  <c r="AW193" i="6"/>
  <c r="AX193" i="6" s="1"/>
  <c r="AV147" i="6"/>
  <c r="AU133" i="6"/>
  <c r="AW133" i="6" s="1"/>
  <c r="AX133" i="6" s="1"/>
  <c r="AV193" i="6"/>
  <c r="AV186" i="6"/>
  <c r="AV154" i="6"/>
  <c r="AU156" i="6"/>
  <c r="AW156" i="6" s="1"/>
  <c r="AU116" i="6"/>
  <c r="AW116" i="6" s="1"/>
  <c r="AV132" i="6"/>
  <c r="AU203" i="6"/>
  <c r="AW203" i="6" s="1"/>
  <c r="AX203" i="6"/>
  <c r="AU189" i="6"/>
  <c r="AW189" i="6"/>
  <c r="AV102" i="6"/>
  <c r="AU148" i="6"/>
  <c r="AW148" i="6" s="1"/>
  <c r="AV161" i="6"/>
  <c r="AU183" i="6"/>
  <c r="AW183" i="6" s="1"/>
  <c r="AV106" i="6"/>
  <c r="AU196" i="6"/>
  <c r="AW196" i="6" s="1"/>
  <c r="AU155" i="6"/>
  <c r="AW155" i="6" s="1"/>
  <c r="AV98" i="6"/>
  <c r="AU141" i="6"/>
  <c r="AW141" i="6"/>
  <c r="AX141" i="6" s="1"/>
  <c r="AU160" i="6"/>
  <c r="AW160" i="6" s="1"/>
  <c r="AU161" i="6"/>
  <c r="AW161" i="6" s="1"/>
  <c r="AX161" i="6" s="1"/>
  <c r="AV112" i="6"/>
  <c r="AV162" i="6"/>
  <c r="AU103" i="6"/>
  <c r="AW103" i="6" s="1"/>
  <c r="AV165" i="6"/>
  <c r="AU185" i="6"/>
  <c r="AW185" i="6" s="1"/>
  <c r="AU190" i="6"/>
  <c r="AW190" i="6" s="1"/>
  <c r="AX190" i="6" s="1"/>
  <c r="AV96" i="6"/>
  <c r="AU164" i="6"/>
  <c r="AW164" i="6" s="1"/>
  <c r="AU93" i="6"/>
  <c r="AW93" i="6" s="1"/>
  <c r="AU34" i="6"/>
  <c r="AW34" i="6" s="1"/>
  <c r="AU15" i="6"/>
  <c r="AW15" i="6" s="1"/>
  <c r="AX15" i="6" s="1"/>
  <c r="AU20" i="6"/>
  <c r="AW20" i="6" s="1"/>
  <c r="AV35" i="6"/>
  <c r="AV23" i="6"/>
  <c r="AU22" i="6"/>
  <c r="AW22" i="6" s="1"/>
  <c r="AV22" i="6"/>
  <c r="AV34" i="6"/>
  <c r="AV21" i="6"/>
  <c r="AV26" i="6"/>
  <c r="AV33" i="6"/>
  <c r="AU29" i="6"/>
  <c r="AW29" i="6"/>
  <c r="AU27" i="6"/>
  <c r="AW27" i="6"/>
  <c r="AV24" i="6"/>
  <c r="AU24" i="6"/>
  <c r="AW24" i="6" s="1"/>
  <c r="AX24" i="6" s="1"/>
  <c r="AU21" i="6"/>
  <c r="AW21" i="6" s="1"/>
  <c r="AV27" i="6"/>
  <c r="AU30" i="6"/>
  <c r="AW30" i="6"/>
  <c r="AV16" i="6"/>
  <c r="AU23" i="6"/>
  <c r="AW23" i="6" s="1"/>
  <c r="AX23" i="6" s="1"/>
  <c r="AU17" i="6"/>
  <c r="AW17" i="6" s="1"/>
  <c r="AV173" i="6"/>
  <c r="AU192" i="6"/>
  <c r="AW192" i="6" s="1"/>
  <c r="AU176" i="6"/>
  <c r="AW176" i="6" s="1"/>
  <c r="AV159" i="6"/>
  <c r="AV140" i="6"/>
  <c r="AV113" i="6"/>
  <c r="AU115" i="6"/>
  <c r="AW115" i="6" s="1"/>
  <c r="AV169" i="6"/>
  <c r="AU129" i="6"/>
  <c r="AW129" i="6" s="1"/>
  <c r="AX129" i="6" s="1"/>
  <c r="AV153" i="6"/>
  <c r="AU145" i="6"/>
  <c r="AW145" i="6" s="1"/>
  <c r="AV171" i="6"/>
  <c r="AV119" i="6"/>
  <c r="AV185" i="6"/>
  <c r="AX185" i="6" s="1"/>
  <c r="AV125" i="6"/>
  <c r="AV122" i="6"/>
  <c r="AU194" i="6"/>
  <c r="AW194" i="6"/>
  <c r="AV194" i="6"/>
  <c r="AV111" i="6"/>
  <c r="AV198" i="6"/>
  <c r="AV177" i="6"/>
  <c r="AU105" i="6"/>
  <c r="AW105" i="6" s="1"/>
  <c r="AV191" i="6"/>
  <c r="AU125" i="6"/>
  <c r="AW125" i="6" s="1"/>
  <c r="AU168" i="6"/>
  <c r="AW168" i="6" s="1"/>
  <c r="AU172" i="6"/>
  <c r="AW172" i="6" s="1"/>
  <c r="AX172" i="6" s="1"/>
  <c r="AU107" i="6"/>
  <c r="AW107" i="6" s="1"/>
  <c r="AV123" i="6"/>
  <c r="AU132" i="6"/>
  <c r="AW132" i="6" s="1"/>
  <c r="AX132" i="6"/>
  <c r="AV144" i="6"/>
  <c r="AU149" i="6"/>
  <c r="AW149" i="6"/>
  <c r="AV105" i="6"/>
  <c r="AU92" i="6"/>
  <c r="AW92" i="6" s="1"/>
  <c r="AV32" i="6"/>
  <c r="AU18" i="6"/>
  <c r="AW18" i="6" s="1"/>
  <c r="AU33" i="6"/>
  <c r="AW33" i="6" s="1"/>
  <c r="AX33" i="6" s="1"/>
  <c r="AU32" i="6"/>
  <c r="AW32" i="6" s="1"/>
  <c r="AV15" i="6"/>
  <c r="AU35" i="6"/>
  <c r="AW35" i="6" s="1"/>
  <c r="AU26" i="6"/>
  <c r="AW26" i="6" s="1"/>
  <c r="AV20" i="6"/>
  <c r="AU31" i="6"/>
  <c r="AW31" i="6" s="1"/>
  <c r="AV29" i="6"/>
  <c r="AV18" i="6"/>
  <c r="AV28" i="6"/>
  <c r="AU16" i="6"/>
  <c r="AV25" i="6"/>
  <c r="AU25" i="6"/>
  <c r="AW25" i="6" s="1"/>
  <c r="AV31" i="6"/>
  <c r="AV19" i="6"/>
  <c r="AV17" i="6"/>
  <c r="AU28" i="6"/>
  <c r="AW28" i="6" s="1"/>
  <c r="AU19" i="6"/>
  <c r="AW19" i="6" s="1"/>
  <c r="AV30" i="6"/>
  <c r="AV160" i="6"/>
  <c r="AX160" i="6" s="1"/>
  <c r="AU126" i="6"/>
  <c r="AW126" i="6" s="1"/>
  <c r="AU99" i="6"/>
  <c r="AW99" i="6" s="1"/>
  <c r="AV176" i="6"/>
  <c r="AU106" i="6"/>
  <c r="AW106" i="6" s="1"/>
  <c r="AV199" i="6"/>
  <c r="AU175" i="6"/>
  <c r="AW175" i="6"/>
  <c r="AX175" i="6" s="1"/>
  <c r="AV110" i="6"/>
  <c r="AV101" i="6"/>
  <c r="AU165" i="6"/>
  <c r="AW165" i="6" s="1"/>
  <c r="AX165" i="6" s="1"/>
  <c r="AV201" i="6"/>
  <c r="AV156" i="6"/>
  <c r="AV94" i="6"/>
  <c r="AV93" i="6"/>
  <c r="AU140" i="6"/>
  <c r="AW140" i="6" s="1"/>
  <c r="AU122" i="6"/>
  <c r="AW122" i="6" s="1"/>
  <c r="AX122" i="6" s="1"/>
  <c r="AU104" i="6"/>
  <c r="AW104" i="6" s="1"/>
  <c r="AX104" i="6" s="1"/>
  <c r="AV197" i="6"/>
  <c r="AV99" i="6"/>
  <c r="AU144" i="6"/>
  <c r="AW144" i="6"/>
  <c r="AX144" i="6" s="1"/>
  <c r="AV181" i="6"/>
  <c r="AV103" i="6"/>
  <c r="AV189" i="6"/>
  <c r="AU150" i="6"/>
  <c r="AW150" i="6" s="1"/>
  <c r="AU119" i="6"/>
  <c r="AW119" i="6" s="1"/>
  <c r="AU195" i="6"/>
  <c r="AW195" i="6" s="1"/>
  <c r="AV148" i="6"/>
  <c r="AV151" i="6"/>
  <c r="AV137" i="6"/>
  <c r="AU199" i="6"/>
  <c r="AW199" i="6" s="1"/>
  <c r="AU169" i="6"/>
  <c r="AW169" i="6" s="1"/>
  <c r="AX169" i="6" s="1"/>
  <c r="AU120" i="6"/>
  <c r="AW120" i="6" s="1"/>
  <c r="AV196" i="6"/>
  <c r="AU159" i="6"/>
  <c r="AW159" i="6" s="1"/>
  <c r="AX159" i="6" s="1"/>
  <c r="AV116" i="6"/>
  <c r="AV95" i="6"/>
  <c r="AU158" i="6"/>
  <c r="AW158" i="6" s="1"/>
  <c r="AX158" i="6" s="1"/>
  <c r="AU202" i="6"/>
  <c r="AW202" i="6" s="1"/>
  <c r="AU170" i="6"/>
  <c r="AW170" i="6" s="1"/>
  <c r="AV152" i="6"/>
  <c r="AU178" i="6"/>
  <c r="AW178" i="6"/>
  <c r="AU109" i="6"/>
  <c r="AW109" i="6"/>
  <c r="AV138" i="6"/>
  <c r="AV145" i="6"/>
  <c r="AU118" i="6"/>
  <c r="AW118" i="6"/>
  <c r="AV114" i="6"/>
  <c r="AU142" i="6"/>
  <c r="AW142" i="6" s="1"/>
  <c r="AV109" i="6"/>
  <c r="AU113" i="6"/>
  <c r="AW113" i="6" s="1"/>
  <c r="AX113" i="6"/>
  <c r="AV155" i="6"/>
  <c r="AU137" i="6"/>
  <c r="AW137" i="6" s="1"/>
  <c r="AX137" i="6"/>
  <c r="AV143" i="6"/>
  <c r="AU135" i="6"/>
  <c r="AW135" i="6" s="1"/>
  <c r="AU182" i="6"/>
  <c r="AW182" i="6" s="1"/>
  <c r="AV146" i="6"/>
  <c r="AU171" i="6"/>
  <c r="AW171" i="6" s="1"/>
  <c r="AX171" i="6" s="1"/>
  <c r="AV130" i="6"/>
  <c r="AV178" i="6"/>
  <c r="AV163" i="6"/>
  <c r="AV128" i="6"/>
  <c r="AV182" i="6"/>
  <c r="AV192" i="6"/>
  <c r="AU131" i="6"/>
  <c r="AW131" i="6"/>
  <c r="AU108" i="6"/>
  <c r="AW108" i="6"/>
  <c r="AU128" i="6"/>
  <c r="AW128" i="6"/>
  <c r="AU96" i="6"/>
  <c r="AW96" i="6"/>
  <c r="AV167" i="6"/>
  <c r="AV142" i="6"/>
  <c r="AV139" i="6"/>
  <c r="AV195" i="6"/>
  <c r="AU117" i="6"/>
  <c r="AW117" i="6"/>
  <c r="AV166" i="6"/>
  <c r="AV126" i="6"/>
  <c r="AV115" i="6"/>
  <c r="AV174" i="6"/>
  <c r="AU130" i="6"/>
  <c r="AW130" i="6"/>
  <c r="AU112" i="6"/>
  <c r="AW112" i="6"/>
  <c r="AX112" i="6" s="1"/>
  <c r="AU180" i="6"/>
  <c r="AW180" i="6" s="1"/>
  <c r="AV136" i="6"/>
  <c r="AU167" i="6"/>
  <c r="AW167" i="6"/>
  <c r="AU98" i="6"/>
  <c r="AW98" i="6"/>
  <c r="AX98" i="6" s="1"/>
  <c r="AV120" i="6"/>
  <c r="AV188" i="6"/>
  <c r="AU154" i="6"/>
  <c r="AW154" i="6" s="1"/>
  <c r="AU143" i="6"/>
  <c r="AW143" i="6" s="1"/>
  <c r="AU94" i="6"/>
  <c r="AW94" i="6" s="1"/>
  <c r="AX94" i="6"/>
  <c r="AU162" i="6"/>
  <c r="AW162" i="6"/>
  <c r="AX162" i="6" s="1"/>
  <c r="AV118" i="6"/>
  <c r="AU174" i="6"/>
  <c r="AW174" i="6" s="1"/>
  <c r="AU201" i="6"/>
  <c r="AW201" i="6" s="1"/>
  <c r="AX201" i="6" s="1"/>
  <c r="AU187" i="6"/>
  <c r="AW187" i="6" s="1"/>
  <c r="AX187" i="6" s="1"/>
  <c r="AU127" i="6"/>
  <c r="AW127" i="6"/>
  <c r="AU101" i="6"/>
  <c r="AW101" i="6"/>
  <c r="AV170" i="6"/>
  <c r="AV150" i="6"/>
  <c r="AV180" i="6"/>
  <c r="AV121" i="6"/>
  <c r="AU138" i="6"/>
  <c r="AW138" i="6"/>
  <c r="AU198" i="6"/>
  <c r="AW198" i="6"/>
  <c r="AU188" i="6"/>
  <c r="AW188" i="6"/>
  <c r="AV131" i="6"/>
  <c r="AV179" i="6"/>
  <c r="AV168" i="6"/>
  <c r="AV135" i="6"/>
  <c r="AU147" i="6"/>
  <c r="AW147" i="6" s="1"/>
  <c r="AV200" i="6"/>
  <c r="AU197" i="6"/>
  <c r="AW197" i="6"/>
  <c r="AV164" i="6"/>
  <c r="AU181" i="6"/>
  <c r="AW181" i="6" s="1"/>
  <c r="AU186" i="6"/>
  <c r="AW186" i="6" s="1"/>
  <c r="AX186" i="6" s="1"/>
  <c r="AU114" i="6"/>
  <c r="AW114" i="6" s="1"/>
  <c r="AX114" i="6" s="1"/>
  <c r="AU111" i="6"/>
  <c r="AW111" i="6" s="1"/>
  <c r="AX111" i="6" s="1"/>
  <c r="AU191" i="6"/>
  <c r="AW191" i="6" s="1"/>
  <c r="AX191" i="6" s="1"/>
  <c r="AV117" i="6"/>
  <c r="AU100" i="6"/>
  <c r="AW100" i="6" s="1"/>
  <c r="AV92" i="6"/>
  <c r="AU200" i="6"/>
  <c r="AW200" i="6" s="1"/>
  <c r="AX200" i="6" s="1"/>
  <c r="AV97" i="6"/>
  <c r="AU123" i="6"/>
  <c r="AW123" i="6"/>
  <c r="AX123" i="6" s="1"/>
  <c r="AU151" i="6"/>
  <c r="AW151" i="6" s="1"/>
  <c r="U51" i="6"/>
  <c r="AV204" i="6"/>
  <c r="AU204" i="6"/>
  <c r="AW204" i="6"/>
  <c r="U52" i="6"/>
  <c r="I294" i="6"/>
  <c r="I302" i="6"/>
  <c r="AX101" i="6"/>
  <c r="AX116" i="6"/>
  <c r="AX219" i="6"/>
  <c r="AX261" i="6"/>
  <c r="AX189" i="6"/>
  <c r="I20" i="27"/>
  <c r="O5" i="27"/>
  <c r="C54" i="27"/>
  <c r="H25" i="27"/>
  <c r="H30" i="27"/>
  <c r="H22" i="27"/>
  <c r="H29" i="27"/>
  <c r="H21" i="27"/>
  <c r="I12" i="27"/>
  <c r="J55" i="27"/>
  <c r="BN14" i="6"/>
  <c r="F55" i="27"/>
  <c r="U55" i="27"/>
  <c r="BQ14" i="6"/>
  <c r="K55" i="27"/>
  <c r="X55" i="27"/>
  <c r="BR14" i="6"/>
  <c r="Y55" i="27"/>
  <c r="L55" i="27"/>
  <c r="T55" i="27"/>
  <c r="E55" i="27"/>
  <c r="BM14" i="6"/>
  <c r="D55" i="27"/>
  <c r="S55" i="27"/>
  <c r="BL14" i="6"/>
  <c r="M55" i="27"/>
  <c r="Z55" i="27"/>
  <c r="BS14" i="6"/>
  <c r="BT14" i="6"/>
  <c r="AA55" i="27"/>
  <c r="C55" i="27"/>
  <c r="BK14" i="6"/>
  <c r="R55" i="27"/>
  <c r="Q55" i="27"/>
  <c r="BJ14" i="6"/>
  <c r="I144" i="6"/>
  <c r="I262" i="6"/>
  <c r="I217" i="6"/>
  <c r="AS289" i="6"/>
  <c r="AX181" i="6"/>
  <c r="AX26" i="6"/>
  <c r="AX264" i="6"/>
  <c r="AX260" i="6"/>
  <c r="AX267" i="6"/>
  <c r="AX208" i="6"/>
  <c r="AX238" i="6"/>
  <c r="AX258" i="6"/>
  <c r="AX299" i="6"/>
  <c r="AX308" i="6"/>
  <c r="AX278" i="6"/>
  <c r="AX205" i="6"/>
  <c r="AX245" i="6"/>
  <c r="I191" i="6"/>
  <c r="I200" i="6"/>
  <c r="I358" i="6"/>
  <c r="I53" i="6"/>
  <c r="I111" i="6"/>
  <c r="I70" i="6"/>
  <c r="I108" i="6"/>
  <c r="I173" i="6"/>
  <c r="I163" i="6"/>
  <c r="I95" i="6"/>
  <c r="I86" i="6"/>
  <c r="I166" i="6"/>
  <c r="I237" i="6"/>
  <c r="I269" i="6"/>
  <c r="AS64" i="6"/>
  <c r="AS59" i="6"/>
  <c r="I321" i="6"/>
  <c r="I367" i="6"/>
  <c r="I363" i="6"/>
  <c r="I229" i="6"/>
  <c r="I290" i="6"/>
  <c r="I281" i="6"/>
  <c r="I371" i="6"/>
  <c r="AX176" i="6"/>
  <c r="AX222" i="6"/>
  <c r="AX197" i="6"/>
  <c r="AX143" i="6"/>
  <c r="AX128" i="6"/>
  <c r="AX178" i="6"/>
  <c r="AX119" i="6"/>
  <c r="AX19" i="6"/>
  <c r="AX35" i="6"/>
  <c r="AX192" i="6"/>
  <c r="AX27" i="6"/>
  <c r="AX34" i="6"/>
  <c r="AS373" i="6"/>
  <c r="AS376" i="6"/>
  <c r="AS361" i="6"/>
  <c r="AS363" i="6"/>
  <c r="AX307" i="6"/>
  <c r="AX306" i="6"/>
  <c r="AX272" i="6"/>
  <c r="AX209" i="6"/>
  <c r="AX220" i="6"/>
  <c r="AX239" i="6"/>
  <c r="I207" i="6"/>
  <c r="I327" i="6"/>
  <c r="I233" i="6"/>
  <c r="I43" i="6"/>
  <c r="I88" i="6"/>
  <c r="I62" i="6"/>
  <c r="I44" i="6"/>
  <c r="I76" i="6"/>
  <c r="I119" i="6"/>
  <c r="I71" i="6"/>
  <c r="I65" i="6"/>
  <c r="I115" i="6"/>
  <c r="I89" i="6"/>
  <c r="I36" i="6"/>
  <c r="I50" i="6"/>
  <c r="I46" i="6"/>
  <c r="I91" i="6"/>
  <c r="I117" i="6"/>
  <c r="I109" i="6"/>
  <c r="I141" i="6"/>
  <c r="I149" i="6"/>
  <c r="I152" i="6"/>
  <c r="I158" i="6"/>
  <c r="I170" i="6"/>
  <c r="I159" i="6"/>
  <c r="AS317" i="6"/>
  <c r="AS27" i="6"/>
  <c r="AS41" i="6"/>
  <c r="AS38" i="6"/>
  <c r="AS33" i="6"/>
  <c r="I331" i="6"/>
  <c r="AX117" i="6"/>
  <c r="AX131" i="6"/>
  <c r="AX99" i="6"/>
  <c r="AX105" i="6"/>
  <c r="AX106" i="6"/>
  <c r="AX149" i="6"/>
  <c r="AX152" i="6"/>
  <c r="AX179" i="6"/>
  <c r="AX221" i="6"/>
  <c r="AS253" i="6"/>
  <c r="AS267" i="6"/>
  <c r="I42" i="6"/>
  <c r="I79" i="6"/>
  <c r="I254" i="6"/>
  <c r="AX28" i="6"/>
  <c r="AX25" i="6"/>
  <c r="AX273" i="6"/>
  <c r="AX309" i="6"/>
  <c r="AX236" i="6"/>
  <c r="AX303" i="6"/>
  <c r="AX269" i="6"/>
  <c r="AX280" i="6"/>
  <c r="AX290" i="6"/>
  <c r="AX218" i="6"/>
  <c r="AX253" i="6"/>
  <c r="AS264" i="6"/>
  <c r="I348" i="6"/>
  <c r="I201" i="6"/>
  <c r="I205" i="6"/>
  <c r="I357" i="6"/>
  <c r="I284" i="6"/>
  <c r="I264" i="6"/>
  <c r="I375" i="6"/>
  <c r="I97" i="6"/>
  <c r="I125" i="6"/>
  <c r="I85" i="6"/>
  <c r="I78" i="6"/>
  <c r="I169" i="6"/>
  <c r="I345" i="6"/>
  <c r="I142" i="6"/>
  <c r="I160" i="6"/>
  <c r="I172" i="6"/>
  <c r="I253" i="6"/>
  <c r="AS39" i="6"/>
  <c r="AS31" i="6"/>
  <c r="AS40" i="6"/>
  <c r="AS76" i="6"/>
  <c r="AS66" i="6"/>
  <c r="AS35" i="6"/>
  <c r="AS67" i="6"/>
  <c r="AS26" i="6"/>
  <c r="AS32" i="6"/>
  <c r="AS29" i="6"/>
  <c r="I211" i="6"/>
  <c r="I361" i="6"/>
  <c r="I193" i="6"/>
  <c r="I236" i="6"/>
  <c r="I258" i="6"/>
  <c r="I277" i="6"/>
  <c r="I286" i="6"/>
  <c r="I319" i="6"/>
  <c r="I346" i="6"/>
  <c r="AS296" i="6"/>
  <c r="AS260" i="6"/>
  <c r="I213" i="6"/>
  <c r="AX188" i="6"/>
  <c r="AX127" i="6"/>
  <c r="AX194" i="6"/>
  <c r="AX30" i="6"/>
  <c r="AX250" i="6"/>
  <c r="AX249" i="6"/>
  <c r="I364" i="6"/>
  <c r="I344" i="6"/>
  <c r="I372" i="6"/>
  <c r="I378" i="6"/>
  <c r="I324" i="6"/>
  <c r="I223" i="6"/>
  <c r="I322" i="6"/>
  <c r="I219" i="6"/>
  <c r="I244" i="6"/>
  <c r="I130" i="6"/>
  <c r="I116" i="6"/>
  <c r="I106" i="6"/>
  <c r="I58" i="6"/>
  <c r="I64" i="6"/>
  <c r="I175" i="6"/>
  <c r="I174" i="6"/>
  <c r="I161" i="6"/>
  <c r="I143" i="6"/>
  <c r="I241" i="6"/>
  <c r="I274" i="6"/>
  <c r="I287" i="6"/>
  <c r="I231" i="6"/>
  <c r="AS45" i="6"/>
  <c r="AS56" i="6"/>
  <c r="AS47" i="6"/>
  <c r="AS28" i="6"/>
  <c r="AS57" i="6"/>
  <c r="AS65" i="6"/>
  <c r="AS61" i="6"/>
  <c r="AS58" i="6"/>
  <c r="AS70" i="6"/>
  <c r="AS54" i="6"/>
  <c r="I356" i="6"/>
  <c r="I315" i="6"/>
  <c r="AX136" i="6"/>
  <c r="AX102" i="6"/>
  <c r="AS379" i="6"/>
  <c r="AX211" i="6"/>
  <c r="I261" i="6"/>
  <c r="AS69" i="6"/>
  <c r="AX151" i="6"/>
  <c r="AX100" i="6"/>
  <c r="AX147" i="6"/>
  <c r="AX168" i="6"/>
  <c r="AX198" i="6"/>
  <c r="AX150" i="6"/>
  <c r="AX174" i="6"/>
  <c r="AX154" i="6"/>
  <c r="AX180" i="6"/>
  <c r="AX130" i="6"/>
  <c r="AX96" i="6"/>
  <c r="AX109" i="6"/>
  <c r="AX202" i="6"/>
  <c r="AX140" i="6"/>
  <c r="AX32" i="6"/>
  <c r="AX125" i="6"/>
  <c r="AX184" i="6"/>
  <c r="AX134" i="6"/>
  <c r="AS366" i="6"/>
  <c r="AS360" i="6"/>
  <c r="AS368" i="6"/>
  <c r="AS359" i="6"/>
  <c r="AX262" i="6"/>
  <c r="AX286" i="6"/>
  <c r="AX255" i="6"/>
  <c r="AX298" i="6"/>
  <c r="AX244" i="6"/>
  <c r="AX254" i="6"/>
  <c r="AX315" i="6"/>
  <c r="AS259" i="6"/>
  <c r="AS255" i="6"/>
  <c r="AS294" i="6"/>
  <c r="AS262" i="6"/>
  <c r="AS265" i="6"/>
  <c r="AS285" i="6"/>
  <c r="AS246" i="6"/>
  <c r="AS282" i="6"/>
  <c r="AS273" i="6"/>
  <c r="AS301" i="6"/>
  <c r="I330" i="6"/>
  <c r="I196" i="6"/>
  <c r="I204" i="6"/>
  <c r="I245" i="6"/>
  <c r="I240" i="6"/>
  <c r="I259" i="6"/>
  <c r="I246" i="6"/>
  <c r="I235" i="6"/>
  <c r="I272" i="6"/>
  <c r="I66" i="6"/>
  <c r="I49" i="6"/>
  <c r="I52" i="6"/>
  <c r="I171" i="6"/>
  <c r="I179" i="6"/>
  <c r="I186" i="6"/>
  <c r="I184" i="6"/>
  <c r="I155" i="6"/>
  <c r="I167" i="6"/>
  <c r="I153" i="6"/>
  <c r="I279" i="6"/>
  <c r="I238" i="6"/>
  <c r="AS30" i="6"/>
  <c r="AS23" i="6"/>
  <c r="AS44" i="6"/>
  <c r="AS24" i="6"/>
  <c r="AS22" i="6"/>
  <c r="AS72" i="6"/>
  <c r="AS52" i="6"/>
  <c r="AS43" i="6"/>
  <c r="I228" i="6"/>
  <c r="I373" i="6"/>
  <c r="I234" i="6"/>
  <c r="AX204" i="6"/>
  <c r="AX138" i="6"/>
  <c r="AX167" i="6"/>
  <c r="AX182" i="6"/>
  <c r="AX18" i="6"/>
  <c r="AX17" i="6"/>
  <c r="AX21" i="6"/>
  <c r="AX22" i="6"/>
  <c r="AX103" i="6"/>
  <c r="AX139" i="6"/>
  <c r="AS370" i="6"/>
  <c r="AX287" i="6"/>
  <c r="AX265" i="6"/>
  <c r="AX296" i="6"/>
  <c r="AX288" i="6"/>
  <c r="AX256" i="6"/>
  <c r="AX231" i="6"/>
  <c r="AX233" i="6"/>
  <c r="AS269" i="6"/>
  <c r="AS248" i="6"/>
  <c r="AS249" i="6"/>
  <c r="AS276" i="6"/>
  <c r="AS286" i="6"/>
  <c r="AS272" i="6"/>
  <c r="I206" i="6"/>
  <c r="I283" i="6"/>
  <c r="I92" i="6"/>
  <c r="I80" i="6"/>
  <c r="I226" i="6"/>
  <c r="AX92" i="6"/>
  <c r="AX115" i="6"/>
  <c r="AX155" i="6"/>
  <c r="AX97" i="6"/>
  <c r="AX153" i="6"/>
  <c r="AX166" i="6"/>
  <c r="AX110" i="6"/>
  <c r="AX146" i="6"/>
  <c r="AX107" i="6"/>
  <c r="AX95" i="6"/>
  <c r="AX121" i="6"/>
  <c r="AX311" i="6"/>
  <c r="AX313" i="6"/>
  <c r="AX240" i="6"/>
  <c r="AX259" i="6"/>
  <c r="AX274" i="6"/>
  <c r="AX224" i="6"/>
  <c r="AX242" i="6"/>
  <c r="AX281" i="6"/>
  <c r="AX292" i="6"/>
  <c r="AX305" i="6"/>
  <c r="AS266" i="6"/>
  <c r="AS293" i="6"/>
  <c r="AS258" i="6"/>
  <c r="AS261" i="6"/>
  <c r="I113" i="6"/>
  <c r="I104" i="6"/>
  <c r="I250" i="6"/>
  <c r="I128" i="6"/>
  <c r="I69" i="6"/>
  <c r="I114" i="6"/>
  <c r="I84" i="6"/>
  <c r="I41" i="6"/>
  <c r="I177" i="6"/>
  <c r="I185" i="6"/>
  <c r="I189" i="6"/>
  <c r="I156" i="6"/>
  <c r="I140" i="6"/>
  <c r="I252" i="6"/>
  <c r="I268" i="6"/>
  <c r="AS34" i="6"/>
  <c r="AS62" i="6"/>
  <c r="I192" i="6"/>
  <c r="I232" i="6"/>
  <c r="I168" i="6"/>
  <c r="I221" i="6"/>
  <c r="AS46" i="6"/>
  <c r="AS53" i="6"/>
  <c r="I336" i="6"/>
  <c r="I380" i="6"/>
  <c r="I194" i="6"/>
  <c r="I215" i="6"/>
  <c r="I347" i="6"/>
  <c r="I212" i="6"/>
  <c r="I216" i="6"/>
  <c r="I350" i="6"/>
  <c r="I366" i="6"/>
  <c r="I329" i="6"/>
  <c r="I341" i="6"/>
  <c r="I355" i="6"/>
  <c r="I370" i="6"/>
  <c r="AS349" i="6"/>
  <c r="I146" i="6"/>
  <c r="I266" i="6"/>
  <c r="I271" i="6"/>
  <c r="AS49" i="6"/>
  <c r="AX108" i="6"/>
  <c r="AX142" i="6"/>
  <c r="AX118" i="6"/>
  <c r="AX195" i="6"/>
  <c r="AX145" i="6"/>
  <c r="AX183" i="6"/>
  <c r="AX213" i="6"/>
  <c r="AX234" i="6"/>
  <c r="AX266" i="6"/>
  <c r="AX294" i="6"/>
  <c r="I278" i="6"/>
  <c r="I209" i="6"/>
  <c r="I131" i="6"/>
  <c r="AS68" i="6"/>
  <c r="AS51" i="6"/>
  <c r="AX170" i="6"/>
  <c r="AX120" i="6"/>
  <c r="AX199" i="6"/>
  <c r="AX126" i="6"/>
  <c r="AW16" i="6"/>
  <c r="AX16" i="6"/>
  <c r="AX31" i="6"/>
  <c r="AX29" i="6"/>
  <c r="AX93" i="6"/>
  <c r="AX148" i="6"/>
  <c r="AX156" i="6"/>
  <c r="AX173" i="6"/>
  <c r="AX163" i="6"/>
  <c r="AS380" i="6"/>
  <c r="AS378" i="6"/>
  <c r="AS371" i="6"/>
  <c r="AS369" i="6"/>
  <c r="AX284" i="6"/>
  <c r="AX227" i="6"/>
  <c r="AX232" i="6"/>
  <c r="AX226" i="6"/>
  <c r="AX276" i="6"/>
  <c r="AX270" i="6"/>
  <c r="AX223" i="6"/>
  <c r="AX229" i="6"/>
  <c r="AX228" i="6"/>
  <c r="AX243" i="6"/>
  <c r="AX230" i="6"/>
  <c r="AX212" i="6"/>
  <c r="AX285" i="6"/>
  <c r="AX312" i="6"/>
  <c r="AS298" i="6"/>
  <c r="I362" i="6"/>
  <c r="I359" i="6"/>
  <c r="I183" i="6"/>
  <c r="I37" i="6"/>
  <c r="I133" i="6"/>
  <c r="I132" i="6"/>
  <c r="I124" i="6"/>
  <c r="I255" i="6"/>
  <c r="I199" i="6"/>
  <c r="I224" i="6"/>
  <c r="I247" i="6"/>
  <c r="AS263" i="6"/>
  <c r="AS300" i="6"/>
  <c r="AS297" i="6"/>
  <c r="AS281" i="6"/>
  <c r="I379" i="6"/>
  <c r="I340" i="6"/>
  <c r="I208" i="6"/>
  <c r="I308" i="6"/>
  <c r="I162" i="6"/>
  <c r="I129" i="6"/>
  <c r="I157" i="6"/>
  <c r="I188" i="6"/>
  <c r="I251" i="6"/>
  <c r="AS75" i="6"/>
  <c r="I222" i="6"/>
  <c r="S29" i="6"/>
  <c r="T31" i="6" s="1"/>
  <c r="E78" i="6" l="1"/>
  <c r="AI10" i="7"/>
  <c r="AO10" i="7" s="1"/>
  <c r="AU10" i="7" s="1"/>
  <c r="BA10" i="7" s="1"/>
  <c r="BG10" i="7" s="1"/>
  <c r="BM10" i="7" s="1"/>
  <c r="BS10" i="7" s="1"/>
  <c r="BY10" i="7" s="1"/>
  <c r="AJ9" i="7"/>
  <c r="AL10" i="7" s="1"/>
  <c r="AP9" i="7" s="1"/>
  <c r="AR10" i="7" s="1"/>
  <c r="AH10" i="7"/>
  <c r="AN10" i="7" s="1"/>
  <c r="AT10" i="7" s="1"/>
  <c r="AZ10" i="7" s="1"/>
  <c r="BF10" i="7" s="1"/>
  <c r="BL10" i="7" s="1"/>
  <c r="BR10" i="7" s="1"/>
  <c r="BX10" i="7" s="1"/>
  <c r="H11" i="7"/>
  <c r="N11" i="7" s="1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AX196" i="6"/>
  <c r="AX283" i="6"/>
  <c r="AS257" i="6"/>
  <c r="AS287" i="6"/>
  <c r="AS292" i="6"/>
  <c r="AS256" i="6"/>
  <c r="AS275" i="6"/>
  <c r="I291" i="6"/>
  <c r="I317" i="6"/>
  <c r="I122" i="6"/>
  <c r="I40" i="6"/>
  <c r="I126" i="6"/>
  <c r="I48" i="6"/>
  <c r="I164" i="6"/>
  <c r="I187" i="6"/>
  <c r="I180" i="6"/>
  <c r="I136" i="6"/>
  <c r="I260" i="6"/>
  <c r="AX164" i="6"/>
  <c r="AX207" i="6"/>
  <c r="AX302" i="6"/>
  <c r="AS251" i="6"/>
  <c r="AS284" i="6"/>
  <c r="I103" i="6"/>
  <c r="I47" i="6"/>
  <c r="I74" i="6"/>
  <c r="I94" i="6"/>
  <c r="I54" i="6"/>
  <c r="I60" i="6"/>
  <c r="I72" i="6"/>
  <c r="I82" i="6"/>
  <c r="I148" i="6"/>
  <c r="AS25" i="6"/>
  <c r="AS74" i="6"/>
  <c r="I282" i="6"/>
  <c r="I276" i="6"/>
  <c r="F176" i="6"/>
  <c r="H176" i="6" s="1"/>
  <c r="I176" i="6" s="1"/>
  <c r="G182" i="6"/>
  <c r="F150" i="6"/>
  <c r="H150" i="6" s="1"/>
  <c r="I150" i="6" s="1"/>
  <c r="F145" i="6"/>
  <c r="H145" i="6" s="1"/>
  <c r="I145" i="6" s="1"/>
  <c r="G139" i="6"/>
  <c r="I139" i="6" s="1"/>
  <c r="O47" i="6"/>
  <c r="P45" i="6"/>
  <c r="P51" i="6" s="1"/>
  <c r="N49" i="6"/>
  <c r="G333" i="6"/>
  <c r="I333" i="6" s="1"/>
  <c r="F325" i="6"/>
  <c r="H325" i="6" s="1"/>
  <c r="I325" i="6" s="1"/>
  <c r="F339" i="6"/>
  <c r="H339" i="6" s="1"/>
  <c r="I339" i="6" s="1"/>
  <c r="G326" i="6"/>
  <c r="I326" i="6" s="1"/>
  <c r="G343" i="6"/>
  <c r="I343" i="6" s="1"/>
  <c r="G299" i="6"/>
  <c r="I299" i="6" s="1"/>
  <c r="G289" i="6"/>
  <c r="G295" i="6"/>
  <c r="I295" i="6" s="1"/>
  <c r="G300" i="6"/>
  <c r="I300" i="6" s="1"/>
  <c r="F334" i="6"/>
  <c r="H334" i="6" s="1"/>
  <c r="I334" i="6" s="1"/>
  <c r="F316" i="6"/>
  <c r="H316" i="6" s="1"/>
  <c r="I316" i="6" s="1"/>
  <c r="F298" i="6"/>
  <c r="H298" i="6" s="1"/>
  <c r="F292" i="6"/>
  <c r="H292" i="6" s="1"/>
  <c r="I292" i="6" s="1"/>
  <c r="G297" i="6"/>
  <c r="G306" i="6"/>
  <c r="I306" i="6" s="1"/>
  <c r="F342" i="6"/>
  <c r="H342" i="6" s="1"/>
  <c r="I342" i="6" s="1"/>
  <c r="F323" i="6"/>
  <c r="H323" i="6" s="1"/>
  <c r="I323" i="6" s="1"/>
  <c r="G292" i="6"/>
  <c r="F293" i="6"/>
  <c r="H293" i="6" s="1"/>
  <c r="I293" i="6" s="1"/>
  <c r="F296" i="6"/>
  <c r="H296" i="6" s="1"/>
  <c r="I296" i="6" s="1"/>
  <c r="G301" i="6"/>
  <c r="I301" i="6" s="1"/>
  <c r="G303" i="6"/>
  <c r="I303" i="6" s="1"/>
  <c r="AI21" i="6"/>
  <c r="F338" i="6"/>
  <c r="H338" i="6" s="1"/>
  <c r="I338" i="6" s="1"/>
  <c r="G318" i="6"/>
  <c r="I318" i="6" s="1"/>
  <c r="F332" i="6"/>
  <c r="H332" i="6" s="1"/>
  <c r="I332" i="6" s="1"/>
  <c r="G304" i="6"/>
  <c r="I304" i="6" s="1"/>
  <c r="F314" i="6"/>
  <c r="H314" i="6" s="1"/>
  <c r="I314" i="6" s="1"/>
  <c r="G298" i="6"/>
  <c r="F297" i="6"/>
  <c r="H297" i="6" s="1"/>
  <c r="I297" i="6" s="1"/>
  <c r="G313" i="6"/>
  <c r="I313" i="6" s="1"/>
  <c r="AS55" i="6"/>
  <c r="I225" i="6"/>
  <c r="I203" i="6"/>
  <c r="I227" i="6"/>
  <c r="I230" i="6"/>
  <c r="I289" i="6"/>
  <c r="I182" i="6"/>
  <c r="N52" i="6"/>
  <c r="W36" i="6"/>
  <c r="AS209" i="6"/>
  <c r="T37" i="6"/>
  <c r="AQ318" i="6"/>
  <c r="AP347" i="6"/>
  <c r="AR347" i="6" s="1"/>
  <c r="AP350" i="6"/>
  <c r="AR350" i="6" s="1"/>
  <c r="AP314" i="6"/>
  <c r="AR314" i="6" s="1"/>
  <c r="AP334" i="6"/>
  <c r="AR334" i="6" s="1"/>
  <c r="AS334" i="6" s="1"/>
  <c r="AQ334" i="6"/>
  <c r="AP302" i="6"/>
  <c r="AR302" i="6" s="1"/>
  <c r="AP324" i="6"/>
  <c r="AR324" i="6" s="1"/>
  <c r="AS324" i="6" s="1"/>
  <c r="AQ319" i="6"/>
  <c r="AS319" i="6" s="1"/>
  <c r="AP331" i="6"/>
  <c r="AR331" i="6" s="1"/>
  <c r="AS331" i="6" s="1"/>
  <c r="AP328" i="6"/>
  <c r="AR328" i="6" s="1"/>
  <c r="AQ302" i="6"/>
  <c r="AP340" i="6"/>
  <c r="AR340" i="6" s="1"/>
  <c r="AQ310" i="6"/>
  <c r="AS310" i="6" s="1"/>
  <c r="AQ332" i="6"/>
  <c r="AP342" i="6"/>
  <c r="AR342" i="6" s="1"/>
  <c r="AS342" i="6" s="1"/>
  <c r="AP355" i="6"/>
  <c r="AR355" i="6" s="1"/>
  <c r="AQ345" i="6"/>
  <c r="AS345" i="6" s="1"/>
  <c r="AQ354" i="6"/>
  <c r="AS354" i="6" s="1"/>
  <c r="AP337" i="6"/>
  <c r="AR337" i="6" s="1"/>
  <c r="AS337" i="6" s="1"/>
  <c r="AQ343" i="6"/>
  <c r="AS343" i="6" s="1"/>
  <c r="AQ303" i="6"/>
  <c r="AP322" i="6"/>
  <c r="AR322" i="6" s="1"/>
  <c r="AQ341" i="6"/>
  <c r="AP190" i="6"/>
  <c r="AR190" i="6" s="1"/>
  <c r="AQ245" i="6"/>
  <c r="AS245" i="6" s="1"/>
  <c r="AP230" i="6"/>
  <c r="AR230" i="6" s="1"/>
  <c r="AQ222" i="6"/>
  <c r="AQ227" i="6"/>
  <c r="AS227" i="6" s="1"/>
  <c r="AQ210" i="6"/>
  <c r="AP221" i="6"/>
  <c r="AR221" i="6" s="1"/>
  <c r="AQ234" i="6"/>
  <c r="AQ194" i="6"/>
  <c r="AQ201" i="6"/>
  <c r="AP223" i="6"/>
  <c r="AR223" i="6" s="1"/>
  <c r="AP231" i="6"/>
  <c r="AR231" i="6" s="1"/>
  <c r="AS231" i="6" s="1"/>
  <c r="AP229" i="6"/>
  <c r="AR229" i="6" s="1"/>
  <c r="AP338" i="6"/>
  <c r="AR338" i="6" s="1"/>
  <c r="AP321" i="6"/>
  <c r="AR321" i="6" s="1"/>
  <c r="AQ344" i="6"/>
  <c r="AS344" i="6" s="1"/>
  <c r="AP303" i="6"/>
  <c r="AR303" i="6" s="1"/>
  <c r="AS303" i="6" s="1"/>
  <c r="AQ326" i="6"/>
  <c r="AS326" i="6" s="1"/>
  <c r="AQ338" i="6"/>
  <c r="AQ314" i="6"/>
  <c r="AQ306" i="6"/>
  <c r="AS306" i="6" s="1"/>
  <c r="AP309" i="6"/>
  <c r="AR309" i="6" s="1"/>
  <c r="AS309" i="6" s="1"/>
  <c r="AQ323" i="6"/>
  <c r="AS323" i="6" s="1"/>
  <c r="AQ190" i="6"/>
  <c r="AP225" i="6"/>
  <c r="AR225" i="6" s="1"/>
  <c r="AQ192" i="6"/>
  <c r="AS192" i="6" s="1"/>
  <c r="AP233" i="6"/>
  <c r="AR233" i="6" s="1"/>
  <c r="AP191" i="6"/>
  <c r="AR191" i="6" s="1"/>
  <c r="AP219" i="6"/>
  <c r="AR219" i="6" s="1"/>
  <c r="AS219" i="6" s="1"/>
  <c r="AQ236" i="6"/>
  <c r="AS236" i="6" s="1"/>
  <c r="AP205" i="6"/>
  <c r="AR205" i="6" s="1"/>
  <c r="AS205" i="6" s="1"/>
  <c r="AP198" i="6"/>
  <c r="AR198" i="6" s="1"/>
  <c r="AQ216" i="6"/>
  <c r="AQ244" i="6"/>
  <c r="AQ218" i="6"/>
  <c r="AS218" i="6" s="1"/>
  <c r="AQ213" i="6"/>
  <c r="AP232" i="6"/>
  <c r="AR232" i="6" s="1"/>
  <c r="AS232" i="6" s="1"/>
  <c r="AP197" i="6"/>
  <c r="AR197" i="6" s="1"/>
  <c r="AS197" i="6" s="1"/>
  <c r="AP195" i="6"/>
  <c r="AR195" i="6" s="1"/>
  <c r="AS195" i="6" s="1"/>
  <c r="AQ205" i="6"/>
  <c r="AQ240" i="6"/>
  <c r="AQ204" i="6"/>
  <c r="AQ226" i="6"/>
  <c r="AS226" i="6" s="1"/>
  <c r="AP202" i="6"/>
  <c r="AR202" i="6" s="1"/>
  <c r="AP238" i="6"/>
  <c r="AR238" i="6" s="1"/>
  <c r="AS238" i="6" s="1"/>
  <c r="AQ241" i="6"/>
  <c r="AS241" i="6" s="1"/>
  <c r="AQ214" i="6"/>
  <c r="AS214" i="6" s="1"/>
  <c r="AQ239" i="6"/>
  <c r="AQ202" i="6"/>
  <c r="AQ212" i="6"/>
  <c r="AQ235" i="6"/>
  <c r="AQ211" i="6"/>
  <c r="AP222" i="6"/>
  <c r="AR222" i="6" s="1"/>
  <c r="AS222" i="6" s="1"/>
  <c r="AQ229" i="6"/>
  <c r="AP240" i="6"/>
  <c r="AR240" i="6" s="1"/>
  <c r="AS240" i="6" s="1"/>
  <c r="AQ230" i="6"/>
  <c r="AQ223" i="6"/>
  <c r="AP194" i="6"/>
  <c r="AR194" i="6" s="1"/>
  <c r="AS194" i="6" s="1"/>
  <c r="AP208" i="6"/>
  <c r="AR208" i="6" s="1"/>
  <c r="AP207" i="6"/>
  <c r="AR207" i="6" s="1"/>
  <c r="AP211" i="6"/>
  <c r="AR211" i="6" s="1"/>
  <c r="AS211" i="6" s="1"/>
  <c r="AQ221" i="6"/>
  <c r="AP203" i="6"/>
  <c r="AR203" i="6" s="1"/>
  <c r="AP213" i="6"/>
  <c r="AR213" i="6" s="1"/>
  <c r="AS213" i="6" s="1"/>
  <c r="AP243" i="6"/>
  <c r="AR243" i="6" s="1"/>
  <c r="AS243" i="6" s="1"/>
  <c r="AP239" i="6"/>
  <c r="AR239" i="6" s="1"/>
  <c r="AS239" i="6" s="1"/>
  <c r="AP193" i="6"/>
  <c r="AR193" i="6" s="1"/>
  <c r="AQ196" i="6"/>
  <c r="AS196" i="6" s="1"/>
  <c r="AP237" i="6"/>
  <c r="AR237" i="6" s="1"/>
  <c r="AS237" i="6" s="1"/>
  <c r="AQ228" i="6"/>
  <c r="AP235" i="6"/>
  <c r="AR235" i="6" s="1"/>
  <c r="AS235" i="6" s="1"/>
  <c r="AP210" i="6"/>
  <c r="AR210" i="6" s="1"/>
  <c r="AS210" i="6" s="1"/>
  <c r="AQ304" i="6"/>
  <c r="AS304" i="6" s="1"/>
  <c r="AP352" i="6"/>
  <c r="AR352" i="6" s="1"/>
  <c r="AS352" i="6" s="1"/>
  <c r="AQ340" i="6"/>
  <c r="AQ305" i="6"/>
  <c r="I243" i="6"/>
  <c r="I374" i="6"/>
  <c r="AP311" i="6"/>
  <c r="AR311" i="6" s="1"/>
  <c r="AS311" i="6" s="1"/>
  <c r="AQ312" i="6"/>
  <c r="AS312" i="6" s="1"/>
  <c r="AP307" i="6"/>
  <c r="AR307" i="6" s="1"/>
  <c r="AP333" i="6"/>
  <c r="AR333" i="6" s="1"/>
  <c r="AS333" i="6" s="1"/>
  <c r="AP339" i="6"/>
  <c r="AR339" i="6" s="1"/>
  <c r="AS339" i="6" s="1"/>
  <c r="AQ315" i="6"/>
  <c r="AQ355" i="6"/>
  <c r="AS355" i="6" s="1"/>
  <c r="AP329" i="6"/>
  <c r="AR329" i="6" s="1"/>
  <c r="AQ328" i="6"/>
  <c r="AP325" i="6"/>
  <c r="AR325" i="6" s="1"/>
  <c r="AS325" i="6" s="1"/>
  <c r="AQ347" i="6"/>
  <c r="AQ322" i="6"/>
  <c r="AP336" i="6"/>
  <c r="AR336" i="6" s="1"/>
  <c r="AS336" i="6" s="1"/>
  <c r="AP346" i="6"/>
  <c r="AR346" i="6" s="1"/>
  <c r="AS346" i="6" s="1"/>
  <c r="AP315" i="6"/>
  <c r="AR315" i="6" s="1"/>
  <c r="AQ330" i="6"/>
  <c r="AS330" i="6" s="1"/>
  <c r="AP305" i="6"/>
  <c r="AR305" i="6" s="1"/>
  <c r="AS305" i="6" s="1"/>
  <c r="AP332" i="6"/>
  <c r="AR332" i="6" s="1"/>
  <c r="AS332" i="6" s="1"/>
  <c r="AP318" i="6"/>
  <c r="AR318" i="6" s="1"/>
  <c r="AS318" i="6" s="1"/>
  <c r="AP341" i="6"/>
  <c r="AR341" i="6" s="1"/>
  <c r="AS341" i="6" s="1"/>
  <c r="AQ325" i="6"/>
  <c r="AQ316" i="6"/>
  <c r="AS316" i="6" s="1"/>
  <c r="AQ357" i="6"/>
  <c r="AS357" i="6" s="1"/>
  <c r="AQ307" i="6"/>
  <c r="AQ329" i="6"/>
  <c r="AQ335" i="6"/>
  <c r="AQ351" i="6"/>
  <c r="AS351" i="6" s="1"/>
  <c r="AQ356" i="6"/>
  <c r="AS356" i="6" s="1"/>
  <c r="AP308" i="6"/>
  <c r="AR308" i="6" s="1"/>
  <c r="AS308" i="6" s="1"/>
  <c r="AQ327" i="6"/>
  <c r="AS327" i="6" s="1"/>
  <c r="AP353" i="6"/>
  <c r="AR353" i="6" s="1"/>
  <c r="AS353" i="6" s="1"/>
  <c r="AP200" i="6"/>
  <c r="AR200" i="6" s="1"/>
  <c r="AS200" i="6" s="1"/>
  <c r="AP220" i="6"/>
  <c r="AR220" i="6" s="1"/>
  <c r="AS220" i="6" s="1"/>
  <c r="AP212" i="6"/>
  <c r="AR212" i="6" s="1"/>
  <c r="AS212" i="6" s="1"/>
  <c r="AQ225" i="6"/>
  <c r="AQ242" i="6"/>
  <c r="AQ193" i="6"/>
  <c r="AP234" i="6"/>
  <c r="AR234" i="6" s="1"/>
  <c r="AS234" i="6" s="1"/>
  <c r="AP215" i="6"/>
  <c r="AR215" i="6" s="1"/>
  <c r="AQ215" i="6"/>
  <c r="AP224" i="6"/>
  <c r="AR224" i="6" s="1"/>
  <c r="AQ207" i="6"/>
  <c r="AQ217" i="6"/>
  <c r="AS217" i="6" s="1"/>
  <c r="AQ233" i="6"/>
  <c r="AQ200" i="6"/>
  <c r="AP242" i="6"/>
  <c r="AR242" i="6" s="1"/>
  <c r="AS242" i="6" s="1"/>
  <c r="AQ208" i="6"/>
  <c r="AP201" i="6"/>
  <c r="AR201" i="6" s="1"/>
  <c r="AS201" i="6" s="1"/>
  <c r="AQ224" i="6"/>
  <c r="AP244" i="6"/>
  <c r="AR244" i="6" s="1"/>
  <c r="AS244" i="6" s="1"/>
  <c r="AP228" i="6"/>
  <c r="AR228" i="6" s="1"/>
  <c r="AS228" i="6" s="1"/>
  <c r="AP216" i="6"/>
  <c r="AR216" i="6" s="1"/>
  <c r="AS216" i="6" s="1"/>
  <c r="AQ203" i="6"/>
  <c r="AQ191" i="6"/>
  <c r="AQ206" i="6"/>
  <c r="AS206" i="6" s="1"/>
  <c r="AP204" i="6"/>
  <c r="AR204" i="6" s="1"/>
  <c r="AS204" i="6" s="1"/>
  <c r="AQ198" i="6"/>
  <c r="AQ350" i="6"/>
  <c r="AP335" i="6"/>
  <c r="AR335" i="6" s="1"/>
  <c r="AS335" i="6" s="1"/>
  <c r="AQ348" i="6"/>
  <c r="AS348" i="6" s="1"/>
  <c r="AQ321" i="6"/>
  <c r="Z30" i="6"/>
  <c r="Z36" i="6" s="1"/>
  <c r="X34" i="6"/>
  <c r="X37" i="6" s="1"/>
  <c r="T36" i="6"/>
  <c r="S30" i="6"/>
  <c r="S36" i="6" s="1"/>
  <c r="Q34" i="6"/>
  <c r="R32" i="6"/>
  <c r="F190" i="6"/>
  <c r="H190" i="6" s="1"/>
  <c r="I190" i="6" s="1"/>
  <c r="Z22" i="6"/>
  <c r="G288" i="6"/>
  <c r="I288" i="6" s="1"/>
  <c r="N30" i="6"/>
  <c r="N36" i="6" s="1"/>
  <c r="M32" i="6"/>
  <c r="L28" i="6"/>
  <c r="M30" i="6" s="1"/>
  <c r="R30" i="6"/>
  <c r="R36" i="6" s="1"/>
  <c r="Q32" i="6"/>
  <c r="AN15" i="6"/>
  <c r="AN21" i="6" s="1"/>
  <c r="M17" i="6"/>
  <c r="F32" i="6" s="1"/>
  <c r="H32" i="6" s="1"/>
  <c r="Z43" i="6"/>
  <c r="AX135" i="6"/>
  <c r="AX20" i="6"/>
  <c r="AS358" i="6"/>
  <c r="AS372" i="6"/>
  <c r="AX177" i="6"/>
  <c r="O44" i="6"/>
  <c r="P46" i="6" s="1"/>
  <c r="E120" i="6"/>
  <c r="E358" i="6"/>
  <c r="AE16" i="6"/>
  <c r="R44" i="6"/>
  <c r="Q50" i="6" s="1"/>
  <c r="E232" i="6"/>
  <c r="AC18" i="6"/>
  <c r="AC20" i="6"/>
  <c r="R35" i="6"/>
  <c r="AD16" i="6"/>
  <c r="Q44" i="6"/>
  <c r="R46" i="6" s="1"/>
  <c r="P44" i="6"/>
  <c r="Q46" i="6" s="1"/>
  <c r="AE18" i="6"/>
  <c r="U18" i="6"/>
  <c r="N44" i="6"/>
  <c r="M50" i="6" s="1"/>
  <c r="T50" i="6"/>
  <c r="U48" i="6"/>
  <c r="V46" i="6"/>
  <c r="S46" i="6"/>
  <c r="AB20" i="6"/>
  <c r="AB24" i="6" s="1"/>
  <c r="AB23" i="6" s="1"/>
  <c r="AB25" i="6" s="1"/>
  <c r="X20" i="6"/>
  <c r="V16" i="6"/>
  <c r="E64" i="6"/>
  <c r="R16" i="6"/>
  <c r="N20" i="6"/>
  <c r="E204" i="6"/>
  <c r="Q48" i="6"/>
  <c r="AG16" i="6"/>
  <c r="Q20" i="6"/>
  <c r="V18" i="6"/>
  <c r="E302" i="6"/>
  <c r="U29" i="6"/>
  <c r="U33" i="6" s="1"/>
  <c r="AK20" i="6"/>
  <c r="S16" i="6"/>
  <c r="AF18" i="6"/>
  <c r="AA16" i="6"/>
  <c r="Y29" i="6"/>
  <c r="Y33" i="6" s="1"/>
  <c r="E330" i="6"/>
  <c r="E372" i="6"/>
  <c r="Z29" i="6"/>
  <c r="Y35" i="6" s="1"/>
  <c r="X29" i="6"/>
  <c r="Y31" i="6" s="1"/>
  <c r="AI16" i="6"/>
  <c r="S33" i="6"/>
  <c r="L29" i="6"/>
  <c r="M31" i="6" s="1"/>
  <c r="Y16" i="6"/>
  <c r="E134" i="6"/>
  <c r="AH18" i="6"/>
  <c r="Y20" i="6"/>
  <c r="AM16" i="6"/>
  <c r="L13" i="6"/>
  <c r="O20" i="6"/>
  <c r="AC16" i="6"/>
  <c r="E106" i="6"/>
  <c r="AL20" i="6"/>
  <c r="AL24" i="6" s="1"/>
  <c r="AL23" i="6" s="1"/>
  <c r="AL25" i="6" s="1"/>
  <c r="E246" i="6"/>
  <c r="AM18" i="6"/>
  <c r="W29" i="6"/>
  <c r="W33" i="6" s="1"/>
  <c r="V29" i="6"/>
  <c r="U35" i="6" s="1"/>
  <c r="S20" i="6"/>
  <c r="Y50" i="6"/>
  <c r="Z48" i="6"/>
  <c r="AA46" i="6"/>
  <c r="AN16" i="6"/>
  <c r="M13" i="6"/>
  <c r="AK16" i="6"/>
  <c r="AI20" i="6"/>
  <c r="AJ20" i="6"/>
  <c r="E344" i="6"/>
  <c r="Y44" i="6"/>
  <c r="L44" i="6"/>
  <c r="M46" i="6" s="1"/>
  <c r="AK18" i="6"/>
  <c r="AJ16" i="6"/>
  <c r="W44" i="6"/>
  <c r="AI18" i="6"/>
  <c r="X46" i="6"/>
  <c r="AH16" i="6"/>
  <c r="E176" i="6"/>
  <c r="Z16" i="6"/>
  <c r="S44" i="6"/>
  <c r="R50" i="6" s="1"/>
  <c r="E148" i="6"/>
  <c r="W18" i="6"/>
  <c r="E92" i="6"/>
  <c r="S18" i="6"/>
  <c r="R20" i="6"/>
  <c r="P18" i="6"/>
  <c r="O29" i="6"/>
  <c r="O33" i="6" s="1"/>
  <c r="O18" i="6"/>
  <c r="E36" i="6"/>
  <c r="AO13" i="6"/>
  <c r="AH20" i="6"/>
  <c r="X44" i="6"/>
  <c r="E288" i="6"/>
  <c r="AG18" i="6"/>
  <c r="AF16" i="6"/>
  <c r="E274" i="6"/>
  <c r="AD20" i="6"/>
  <c r="AD24" i="6" s="1"/>
  <c r="AD23" i="6" s="1"/>
  <c r="AD25" i="6" s="1"/>
  <c r="V44" i="6"/>
  <c r="E218" i="6"/>
  <c r="AA20" i="6"/>
  <c r="AA18" i="6"/>
  <c r="T44" i="6"/>
  <c r="Z20" i="6"/>
  <c r="T29" i="6"/>
  <c r="Z18" i="6"/>
  <c r="W20" i="6"/>
  <c r="X18" i="6"/>
  <c r="V20" i="6"/>
  <c r="R29" i="6"/>
  <c r="U20" i="6"/>
  <c r="R31" i="6"/>
  <c r="Q33" i="6"/>
  <c r="P35" i="6"/>
  <c r="U16" i="6"/>
  <c r="T18" i="6"/>
  <c r="N50" i="6"/>
  <c r="R18" i="6"/>
  <c r="P33" i="6"/>
  <c r="O35" i="6"/>
  <c r="Q31" i="6"/>
  <c r="Q16" i="6"/>
  <c r="AB29" i="6"/>
  <c r="AA35" i="6" s="1"/>
  <c r="P20" i="6"/>
  <c r="AB44" i="6"/>
  <c r="AA50" i="6" s="1"/>
  <c r="E22" i="6"/>
  <c r="AN13" i="6"/>
  <c r="N29" i="6"/>
  <c r="N33" i="6" s="1"/>
  <c r="O16" i="6"/>
  <c r="M20" i="6"/>
  <c r="O55" i="27"/>
  <c r="H26" i="27"/>
  <c r="P62" i="27" s="1"/>
  <c r="Q54" i="27"/>
  <c r="H35" i="27"/>
  <c r="H34" i="27"/>
  <c r="P70" i="27" s="1"/>
  <c r="I35" i="27"/>
  <c r="I36" i="27" s="1"/>
  <c r="I37" i="27" s="1"/>
  <c r="I38" i="27" s="1"/>
  <c r="I39" i="27" s="1"/>
  <c r="I40" i="27" s="1"/>
  <c r="I41" i="27" s="1"/>
  <c r="I42" i="27" s="1"/>
  <c r="I43" i="27" s="1"/>
  <c r="I34" i="27"/>
  <c r="AY60" i="27"/>
  <c r="AY64" i="27"/>
  <c r="AY68" i="27"/>
  <c r="AY72" i="27"/>
  <c r="AY76" i="27"/>
  <c r="AY58" i="27"/>
  <c r="AY62" i="27"/>
  <c r="AY66" i="27"/>
  <c r="AY70" i="27"/>
  <c r="AY74" i="27"/>
  <c r="AY78" i="27"/>
  <c r="AO78" i="27" s="1"/>
  <c r="AY57" i="27"/>
  <c r="AO57" i="27" s="1"/>
  <c r="AY59" i="27"/>
  <c r="AY61" i="27"/>
  <c r="AY63" i="27"/>
  <c r="AY65" i="27"/>
  <c r="AY67" i="27"/>
  <c r="AY69" i="27"/>
  <c r="AY71" i="27"/>
  <c r="AY73" i="27"/>
  <c r="AO73" i="27" s="1"/>
  <c r="AY75" i="27"/>
  <c r="AY77" i="27"/>
  <c r="H36" i="27"/>
  <c r="H37" i="27" s="1"/>
  <c r="H38" i="27" s="1"/>
  <c r="H31" i="27"/>
  <c r="AE66" i="27" s="1"/>
  <c r="H33" i="27"/>
  <c r="H32" i="27"/>
  <c r="AY56" i="27"/>
  <c r="AX58" i="27"/>
  <c r="AX59" i="27"/>
  <c r="AX60" i="27"/>
  <c r="AX61" i="27"/>
  <c r="AX62" i="27"/>
  <c r="AX63" i="27"/>
  <c r="AX64" i="27"/>
  <c r="AX65" i="27"/>
  <c r="AX66" i="27"/>
  <c r="AX67" i="27"/>
  <c r="AX68" i="27"/>
  <c r="AX69" i="27"/>
  <c r="AX70" i="27"/>
  <c r="AX71" i="27"/>
  <c r="AX72" i="27"/>
  <c r="AX73" i="27"/>
  <c r="AX74" i="27"/>
  <c r="AX75" i="27"/>
  <c r="AX76" i="27"/>
  <c r="AX77" i="27"/>
  <c r="AX78" i="27"/>
  <c r="AX79" i="27"/>
  <c r="M21" i="27"/>
  <c r="N57" i="27" s="1"/>
  <c r="M22" i="27"/>
  <c r="N58" i="27" s="1"/>
  <c r="M23" i="27"/>
  <c r="N59" i="27" s="1"/>
  <c r="M24" i="27"/>
  <c r="N60" i="27" s="1"/>
  <c r="M25" i="27"/>
  <c r="N61" i="27" s="1"/>
  <c r="M26" i="27"/>
  <c r="N62" i="27" s="1"/>
  <c r="M27" i="27"/>
  <c r="N63" i="27" s="1"/>
  <c r="M28" i="27"/>
  <c r="N64" i="27" s="1"/>
  <c r="M29" i="27"/>
  <c r="N65" i="27" s="1"/>
  <c r="M30" i="27"/>
  <c r="N66" i="27" s="1"/>
  <c r="M31" i="27"/>
  <c r="N67" i="27" s="1"/>
  <c r="M32" i="27"/>
  <c r="N68" i="27" s="1"/>
  <c r="M33" i="27"/>
  <c r="N69" i="27" s="1"/>
  <c r="AE63" i="27"/>
  <c r="AO72" i="27"/>
  <c r="AO79" i="27"/>
  <c r="AO65" i="27"/>
  <c r="I77" i="27"/>
  <c r="C78" i="27"/>
  <c r="D78" i="27"/>
  <c r="H56" i="27"/>
  <c r="E78" i="27"/>
  <c r="G56" i="27"/>
  <c r="C76" i="27"/>
  <c r="J77" i="27"/>
  <c r="I78" i="27"/>
  <c r="L78" i="27"/>
  <c r="C56" i="27"/>
  <c r="H76" i="27"/>
  <c r="G10" i="27"/>
  <c r="I10" i="27" s="1"/>
  <c r="J32" i="27" s="1"/>
  <c r="L32" i="27" s="1"/>
  <c r="F68" i="27" s="1"/>
  <c r="F56" i="27"/>
  <c r="J56" i="27"/>
  <c r="M56" i="27"/>
  <c r="I56" i="27"/>
  <c r="E56" i="27"/>
  <c r="L56" i="27"/>
  <c r="D56" i="27"/>
  <c r="K68" i="27"/>
  <c r="G76" i="27"/>
  <c r="F76" i="27"/>
  <c r="F77" i="27"/>
  <c r="C77" i="27"/>
  <c r="K78" i="27"/>
  <c r="J78" i="27"/>
  <c r="M78" i="27"/>
  <c r="F11" i="27"/>
  <c r="I11" i="27" s="1"/>
  <c r="BQ15" i="7"/>
  <c r="BK15" i="7"/>
  <c r="J1" i="15"/>
  <c r="A6" i="6"/>
  <c r="BH9" i="6" s="1"/>
  <c r="U12" i="1" s="1"/>
  <c r="V14" i="1"/>
  <c r="A3" i="7"/>
  <c r="B11" i="7" s="1"/>
  <c r="P11" i="1" s="1"/>
  <c r="BS13" i="7"/>
  <c r="A11" i="19"/>
  <c r="A35" i="19" s="1"/>
  <c r="O11" i="1"/>
  <c r="BX13" i="7" s="1"/>
  <c r="A62" i="19"/>
  <c r="F14" i="15"/>
  <c r="A15" i="15"/>
  <c r="L1" i="1"/>
  <c r="A15" i="1"/>
  <c r="F7" i="1"/>
  <c r="AC12" i="1" s="1"/>
  <c r="X1" i="1"/>
  <c r="A61" i="19"/>
  <c r="F14" i="1"/>
  <c r="L12" i="1"/>
  <c r="M76" i="27"/>
  <c r="I76" i="27"/>
  <c r="E76" i="27"/>
  <c r="J76" i="27"/>
  <c r="L76" i="27"/>
  <c r="D76" i="27"/>
  <c r="L77" i="27"/>
  <c r="H77" i="27"/>
  <c r="D77" i="27"/>
  <c r="G77" i="27"/>
  <c r="M77" i="27"/>
  <c r="E77" i="27"/>
  <c r="G78" i="27"/>
  <c r="H78" i="27"/>
  <c r="P71" i="27"/>
  <c r="H20" i="27"/>
  <c r="P56" i="27" s="1"/>
  <c r="P65" i="27"/>
  <c r="AE65" i="27"/>
  <c r="AE64" i="27"/>
  <c r="AE58" i="27"/>
  <c r="P59" i="27"/>
  <c r="P63" i="27"/>
  <c r="P57" i="27"/>
  <c r="AE57" i="27"/>
  <c r="AE60" i="27"/>
  <c r="AE59" i="27"/>
  <c r="P61" i="27"/>
  <c r="AC9" i="1"/>
  <c r="E7" i="1"/>
  <c r="X15" i="15"/>
  <c r="J1" i="16"/>
  <c r="L1" i="15"/>
  <c r="A12" i="19"/>
  <c r="A36" i="19" s="1"/>
  <c r="Y14" i="15"/>
  <c r="BJ13" i="7"/>
  <c r="E8" i="1"/>
  <c r="K11" i="19" s="1"/>
  <c r="K35" i="19" s="1"/>
  <c r="AJ380" i="1"/>
  <c r="BM13" i="7"/>
  <c r="BY13" i="7"/>
  <c r="L1" i="16"/>
  <c r="J1" i="17"/>
  <c r="X1" i="16"/>
  <c r="C6" i="6"/>
  <c r="AB15" i="1"/>
  <c r="A16" i="1"/>
  <c r="BV13" i="7"/>
  <c r="B13" i="7"/>
  <c r="AV9" i="7" l="1"/>
  <c r="AX10" i="7" s="1"/>
  <c r="BB9" i="7" s="1"/>
  <c r="BD10" i="7" s="1"/>
  <c r="Y49" i="6"/>
  <c r="Y52" i="6" s="1"/>
  <c r="AA45" i="6"/>
  <c r="AA51" i="6" s="1"/>
  <c r="Z47" i="6"/>
  <c r="M37" i="6"/>
  <c r="AP17" i="6"/>
  <c r="AR17" i="6" s="1"/>
  <c r="AQ16" i="6"/>
  <c r="AQ18" i="6"/>
  <c r="AQ19" i="6"/>
  <c r="AQ15" i="6"/>
  <c r="AP18" i="6"/>
  <c r="AR18" i="6" s="1"/>
  <c r="AS18" i="6" s="1"/>
  <c r="AP16" i="6"/>
  <c r="AR16" i="6" s="1"/>
  <c r="AS16" i="6" s="1"/>
  <c r="AQ21" i="6"/>
  <c r="AP19" i="6"/>
  <c r="AR19" i="6" s="1"/>
  <c r="AS19" i="6" s="1"/>
  <c r="AQ20" i="6"/>
  <c r="AP15" i="6"/>
  <c r="AP20" i="6"/>
  <c r="AR20" i="6" s="1"/>
  <c r="AQ17" i="6"/>
  <c r="AP21" i="6"/>
  <c r="AR21" i="6" s="1"/>
  <c r="AS21" i="6" s="1"/>
  <c r="AS329" i="6"/>
  <c r="M21" i="6"/>
  <c r="AS193" i="6"/>
  <c r="AS203" i="6"/>
  <c r="AS208" i="6"/>
  <c r="AS233" i="6"/>
  <c r="AS225" i="6"/>
  <c r="AS321" i="6"/>
  <c r="AS229" i="6"/>
  <c r="AS223" i="6"/>
  <c r="AS221" i="6"/>
  <c r="AS230" i="6"/>
  <c r="AS190" i="6"/>
  <c r="AS322" i="6"/>
  <c r="AS340" i="6"/>
  <c r="AS328" i="6"/>
  <c r="AS302" i="6"/>
  <c r="AS350" i="6"/>
  <c r="G15" i="6"/>
  <c r="M22" i="6"/>
  <c r="G32" i="6"/>
  <c r="I32" i="6" s="1"/>
  <c r="F26" i="6"/>
  <c r="H26" i="6" s="1"/>
  <c r="G30" i="6"/>
  <c r="F21" i="6"/>
  <c r="H21" i="6" s="1"/>
  <c r="G27" i="6"/>
  <c r="F25" i="6"/>
  <c r="H25" i="6" s="1"/>
  <c r="G34" i="6"/>
  <c r="G25" i="6"/>
  <c r="G18" i="6"/>
  <c r="F24" i="6"/>
  <c r="H24" i="6" s="1"/>
  <c r="F33" i="6"/>
  <c r="H33" i="6" s="1"/>
  <c r="G21" i="6"/>
  <c r="F31" i="6"/>
  <c r="H31" i="6" s="1"/>
  <c r="F35" i="6"/>
  <c r="H35" i="6" s="1"/>
  <c r="F30" i="6"/>
  <c r="H30" i="6" s="1"/>
  <c r="I30" i="6" s="1"/>
  <c r="F19" i="6"/>
  <c r="H19" i="6" s="1"/>
  <c r="G23" i="6"/>
  <c r="G26" i="6"/>
  <c r="F22" i="6"/>
  <c r="H22" i="6" s="1"/>
  <c r="G33" i="6"/>
  <c r="F18" i="6"/>
  <c r="H18" i="6" s="1"/>
  <c r="I18" i="6" s="1"/>
  <c r="G29" i="6"/>
  <c r="F29" i="6"/>
  <c r="H29" i="6" s="1"/>
  <c r="G17" i="6"/>
  <c r="F34" i="6"/>
  <c r="H34" i="6" s="1"/>
  <c r="I34" i="6" s="1"/>
  <c r="F15" i="6"/>
  <c r="F27" i="6"/>
  <c r="H27" i="6" s="1"/>
  <c r="I27" i="6" s="1"/>
  <c r="G31" i="6"/>
  <c r="F17" i="6"/>
  <c r="H17" i="6" s="1"/>
  <c r="I17" i="6" s="1"/>
  <c r="G28" i="6"/>
  <c r="G24" i="6"/>
  <c r="G19" i="6"/>
  <c r="G35" i="6"/>
  <c r="F23" i="6"/>
  <c r="H23" i="6" s="1"/>
  <c r="I23" i="6" s="1"/>
  <c r="G16" i="6"/>
  <c r="F20" i="6"/>
  <c r="H20" i="6" s="1"/>
  <c r="G20" i="6"/>
  <c r="G22" i="6"/>
  <c r="Q37" i="6"/>
  <c r="Q36" i="6"/>
  <c r="AP78" i="6"/>
  <c r="AR78" i="6" s="1"/>
  <c r="AS78" i="6" s="1"/>
  <c r="AQ78" i="6"/>
  <c r="M36" i="6"/>
  <c r="R37" i="6"/>
  <c r="AP171" i="6"/>
  <c r="AR171" i="6" s="1"/>
  <c r="AP82" i="6"/>
  <c r="AR82" i="6" s="1"/>
  <c r="AQ81" i="6"/>
  <c r="AP159" i="6"/>
  <c r="AR159" i="6" s="1"/>
  <c r="AP148" i="6"/>
  <c r="AR148" i="6" s="1"/>
  <c r="AP188" i="6"/>
  <c r="AR188" i="6" s="1"/>
  <c r="AP189" i="6"/>
  <c r="AR189" i="6" s="1"/>
  <c r="AP110" i="6"/>
  <c r="AR110" i="6" s="1"/>
  <c r="AP80" i="6"/>
  <c r="AR80" i="6" s="1"/>
  <c r="AQ95" i="6"/>
  <c r="AP119" i="6"/>
  <c r="AR119" i="6" s="1"/>
  <c r="AQ159" i="6"/>
  <c r="AP138" i="6"/>
  <c r="AR138" i="6" s="1"/>
  <c r="AQ153" i="6"/>
  <c r="AQ170" i="6"/>
  <c r="AQ98" i="6"/>
  <c r="AP165" i="6"/>
  <c r="AR165" i="6" s="1"/>
  <c r="AQ105" i="6"/>
  <c r="AQ128" i="6"/>
  <c r="AQ134" i="6"/>
  <c r="AP88" i="6"/>
  <c r="AR88" i="6" s="1"/>
  <c r="AQ113" i="6"/>
  <c r="AQ166" i="6"/>
  <c r="AP96" i="6"/>
  <c r="AR96" i="6" s="1"/>
  <c r="AP161" i="6"/>
  <c r="AR161" i="6" s="1"/>
  <c r="AP99" i="6"/>
  <c r="AR99" i="6" s="1"/>
  <c r="AQ171" i="6"/>
  <c r="AP160" i="6"/>
  <c r="AR160" i="6" s="1"/>
  <c r="AP174" i="6"/>
  <c r="AR174" i="6" s="1"/>
  <c r="AQ150" i="6"/>
  <c r="AQ189" i="6"/>
  <c r="AP151" i="6"/>
  <c r="AR151" i="6" s="1"/>
  <c r="AQ106" i="6"/>
  <c r="AQ160" i="6"/>
  <c r="AP105" i="6"/>
  <c r="AR105" i="6" s="1"/>
  <c r="AS105" i="6" s="1"/>
  <c r="AQ86" i="6"/>
  <c r="AQ114" i="6"/>
  <c r="AQ130" i="6"/>
  <c r="AQ155" i="6"/>
  <c r="AQ127" i="6"/>
  <c r="AP135" i="6"/>
  <c r="AR135" i="6" s="1"/>
  <c r="AP107" i="6"/>
  <c r="AR107" i="6" s="1"/>
  <c r="AP118" i="6"/>
  <c r="AR118" i="6" s="1"/>
  <c r="AP103" i="6"/>
  <c r="AR103" i="6" s="1"/>
  <c r="AQ181" i="6"/>
  <c r="AP147" i="6"/>
  <c r="AR147" i="6" s="1"/>
  <c r="AQ129" i="6"/>
  <c r="AQ117" i="6"/>
  <c r="AQ158" i="6"/>
  <c r="AP121" i="6"/>
  <c r="AR121" i="6" s="1"/>
  <c r="AQ103" i="6"/>
  <c r="AQ163" i="6"/>
  <c r="AP183" i="6"/>
  <c r="AR183" i="6" s="1"/>
  <c r="AP100" i="6"/>
  <c r="AR100" i="6" s="1"/>
  <c r="AP173" i="6"/>
  <c r="AR173" i="6" s="1"/>
  <c r="AP93" i="6"/>
  <c r="AR93" i="6" s="1"/>
  <c r="AQ92" i="6"/>
  <c r="AQ124" i="6"/>
  <c r="AP92" i="6"/>
  <c r="AR92" i="6" s="1"/>
  <c r="AS92" i="6" s="1"/>
  <c r="AP177" i="6"/>
  <c r="AR177" i="6" s="1"/>
  <c r="AP85" i="6"/>
  <c r="AR85" i="6" s="1"/>
  <c r="AP128" i="6"/>
  <c r="AR128" i="6" s="1"/>
  <c r="AS128" i="6" s="1"/>
  <c r="AQ177" i="6"/>
  <c r="AP175" i="6"/>
  <c r="AR175" i="6" s="1"/>
  <c r="AQ173" i="6"/>
  <c r="AP140" i="6"/>
  <c r="AR140" i="6" s="1"/>
  <c r="AP182" i="6"/>
  <c r="AR182" i="6" s="1"/>
  <c r="AQ108" i="6"/>
  <c r="AP83" i="6"/>
  <c r="AR83" i="6" s="1"/>
  <c r="AP152" i="6"/>
  <c r="AR152" i="6" s="1"/>
  <c r="AQ144" i="6"/>
  <c r="AQ79" i="6"/>
  <c r="AQ143" i="6"/>
  <c r="AQ139" i="6"/>
  <c r="AP120" i="6"/>
  <c r="AR120" i="6" s="1"/>
  <c r="AQ138" i="6"/>
  <c r="AP91" i="6"/>
  <c r="AR91" i="6" s="1"/>
  <c r="AP113" i="6"/>
  <c r="AR113" i="6" s="1"/>
  <c r="AS113" i="6" s="1"/>
  <c r="AP136" i="6"/>
  <c r="AR136" i="6" s="1"/>
  <c r="AS136" i="6" s="1"/>
  <c r="AQ136" i="6"/>
  <c r="AP87" i="6"/>
  <c r="AR87" i="6" s="1"/>
  <c r="AP157" i="6"/>
  <c r="AR157" i="6" s="1"/>
  <c r="AQ137" i="6"/>
  <c r="AQ126" i="6"/>
  <c r="AP124" i="6"/>
  <c r="AR124" i="6" s="1"/>
  <c r="AS124" i="6" s="1"/>
  <c r="AP144" i="6"/>
  <c r="AR144" i="6" s="1"/>
  <c r="AS144" i="6" s="1"/>
  <c r="AQ147" i="6"/>
  <c r="AP94" i="6"/>
  <c r="AR94" i="6" s="1"/>
  <c r="AP155" i="6"/>
  <c r="AR155" i="6" s="1"/>
  <c r="AS155" i="6" s="1"/>
  <c r="AQ120" i="6"/>
  <c r="AQ156" i="6"/>
  <c r="AQ186" i="6"/>
  <c r="AP117" i="6"/>
  <c r="AR117" i="6" s="1"/>
  <c r="AS117" i="6" s="1"/>
  <c r="AQ83" i="6"/>
  <c r="AQ188" i="6"/>
  <c r="AP109" i="6"/>
  <c r="AR109" i="6" s="1"/>
  <c r="AQ148" i="6"/>
  <c r="AP143" i="6"/>
  <c r="AR143" i="6" s="1"/>
  <c r="AS143" i="6" s="1"/>
  <c r="AP158" i="6"/>
  <c r="AR158" i="6" s="1"/>
  <c r="AS158" i="6" s="1"/>
  <c r="AQ110" i="6"/>
  <c r="AP106" i="6"/>
  <c r="AR106" i="6" s="1"/>
  <c r="AS106" i="6" s="1"/>
  <c r="AP123" i="6"/>
  <c r="AR123" i="6" s="1"/>
  <c r="AQ131" i="6"/>
  <c r="AP154" i="6"/>
  <c r="AR154" i="6" s="1"/>
  <c r="AP170" i="6"/>
  <c r="AR170" i="6" s="1"/>
  <c r="AS170" i="6" s="1"/>
  <c r="AQ97" i="6"/>
  <c r="AQ88" i="6"/>
  <c r="AQ167" i="6"/>
  <c r="AQ157" i="6"/>
  <c r="AQ165" i="6"/>
  <c r="AP111" i="6"/>
  <c r="AR111" i="6" s="1"/>
  <c r="AQ101" i="6"/>
  <c r="AP168" i="6"/>
  <c r="AR168" i="6" s="1"/>
  <c r="AQ182" i="6"/>
  <c r="AQ82" i="6"/>
  <c r="AQ142" i="6"/>
  <c r="AQ183" i="6"/>
  <c r="AP153" i="6"/>
  <c r="AR153" i="6" s="1"/>
  <c r="AS153" i="6" s="1"/>
  <c r="AQ89" i="6"/>
  <c r="AQ169" i="6"/>
  <c r="AQ161" i="6"/>
  <c r="AP104" i="6"/>
  <c r="AR104" i="6" s="1"/>
  <c r="AP145" i="6"/>
  <c r="AR145" i="6" s="1"/>
  <c r="AQ121" i="6"/>
  <c r="AQ185" i="6"/>
  <c r="AP90" i="6"/>
  <c r="AR90" i="6" s="1"/>
  <c r="AP129" i="6"/>
  <c r="AR129" i="6" s="1"/>
  <c r="AS129" i="6" s="1"/>
  <c r="AQ179" i="6"/>
  <c r="AQ125" i="6"/>
  <c r="AQ176" i="6"/>
  <c r="AP127" i="6"/>
  <c r="AR127" i="6" s="1"/>
  <c r="AS127" i="6" s="1"/>
  <c r="AP141" i="6"/>
  <c r="AR141" i="6" s="1"/>
  <c r="AQ122" i="6"/>
  <c r="AP167" i="6"/>
  <c r="AR167" i="6" s="1"/>
  <c r="AS167" i="6" s="1"/>
  <c r="AP101" i="6"/>
  <c r="AR101" i="6" s="1"/>
  <c r="AS101" i="6" s="1"/>
  <c r="AQ87" i="6"/>
  <c r="AP169" i="6"/>
  <c r="AR169" i="6" s="1"/>
  <c r="AS169" i="6" s="1"/>
  <c r="AQ178" i="6"/>
  <c r="AP86" i="6"/>
  <c r="AR86" i="6" s="1"/>
  <c r="AS86" i="6" s="1"/>
  <c r="AQ146" i="6"/>
  <c r="AQ140" i="6"/>
  <c r="AP186" i="6"/>
  <c r="AR186" i="6" s="1"/>
  <c r="AS186" i="6" s="1"/>
  <c r="AP139" i="6"/>
  <c r="AR139" i="6" s="1"/>
  <c r="AQ94" i="6"/>
  <c r="AQ164" i="6"/>
  <c r="AP116" i="6"/>
  <c r="AR116" i="6" s="1"/>
  <c r="AP132" i="6"/>
  <c r="AR132" i="6" s="1"/>
  <c r="AS132" i="6" s="1"/>
  <c r="AP79" i="6"/>
  <c r="AR79" i="6" s="1"/>
  <c r="AS79" i="6" s="1"/>
  <c r="AP95" i="6"/>
  <c r="AR95" i="6" s="1"/>
  <c r="AS95" i="6" s="1"/>
  <c r="AQ85" i="6"/>
  <c r="AQ107" i="6"/>
  <c r="AQ132" i="6"/>
  <c r="AP81" i="6"/>
  <c r="AR81" i="6" s="1"/>
  <c r="AS81" i="6" s="1"/>
  <c r="AQ180" i="6"/>
  <c r="AQ93" i="6"/>
  <c r="AP178" i="6"/>
  <c r="AR178" i="6" s="1"/>
  <c r="AS178" i="6" s="1"/>
  <c r="AQ123" i="6"/>
  <c r="AP164" i="6"/>
  <c r="AR164" i="6" s="1"/>
  <c r="AS164" i="6" s="1"/>
  <c r="AQ135" i="6"/>
  <c r="AQ162" i="6"/>
  <c r="AQ99" i="6"/>
  <c r="AP115" i="6"/>
  <c r="AR115" i="6" s="1"/>
  <c r="AP134" i="6"/>
  <c r="AR134" i="6" s="1"/>
  <c r="AS134" i="6" s="1"/>
  <c r="AQ141" i="6"/>
  <c r="AQ174" i="6"/>
  <c r="AQ149" i="6"/>
  <c r="AP98" i="6"/>
  <c r="AR98" i="6" s="1"/>
  <c r="AS98" i="6" s="1"/>
  <c r="AQ91" i="6"/>
  <c r="AP130" i="6"/>
  <c r="AR130" i="6" s="1"/>
  <c r="AS130" i="6" s="1"/>
  <c r="AQ175" i="6"/>
  <c r="AP181" i="6"/>
  <c r="AR181" i="6" s="1"/>
  <c r="AS181" i="6" s="1"/>
  <c r="AP162" i="6"/>
  <c r="AR162" i="6" s="1"/>
  <c r="AS162" i="6" s="1"/>
  <c r="AQ96" i="6"/>
  <c r="AQ133" i="6"/>
  <c r="AQ184" i="6"/>
  <c r="AQ112" i="6"/>
  <c r="AP179" i="6"/>
  <c r="AR179" i="6" s="1"/>
  <c r="AS179" i="6" s="1"/>
  <c r="AP137" i="6"/>
  <c r="AR137" i="6" s="1"/>
  <c r="AS137" i="6" s="1"/>
  <c r="AQ119" i="6"/>
  <c r="AP131" i="6"/>
  <c r="AR131" i="6" s="1"/>
  <c r="AS131" i="6" s="1"/>
  <c r="AP142" i="6"/>
  <c r="AR142" i="6" s="1"/>
  <c r="AS142" i="6" s="1"/>
  <c r="AQ152" i="6"/>
  <c r="AP163" i="6"/>
  <c r="AR163" i="6" s="1"/>
  <c r="AS163" i="6" s="1"/>
  <c r="AP150" i="6"/>
  <c r="AR150" i="6" s="1"/>
  <c r="AS150" i="6" s="1"/>
  <c r="AQ84" i="6"/>
  <c r="AQ154" i="6"/>
  <c r="AP122" i="6"/>
  <c r="AR122" i="6" s="1"/>
  <c r="AS122" i="6" s="1"/>
  <c r="AP184" i="6"/>
  <c r="AR184" i="6" s="1"/>
  <c r="AS184" i="6" s="1"/>
  <c r="AP146" i="6"/>
  <c r="AR146" i="6" s="1"/>
  <c r="AS146" i="6" s="1"/>
  <c r="AP108" i="6"/>
  <c r="AR108" i="6" s="1"/>
  <c r="AS108" i="6" s="1"/>
  <c r="AQ104" i="6"/>
  <c r="AP176" i="6"/>
  <c r="AR176" i="6" s="1"/>
  <c r="AS176" i="6" s="1"/>
  <c r="AP89" i="6"/>
  <c r="AR89" i="6" s="1"/>
  <c r="AS89" i="6" s="1"/>
  <c r="AQ168" i="6"/>
  <c r="AP185" i="6"/>
  <c r="AR185" i="6" s="1"/>
  <c r="AS185" i="6" s="1"/>
  <c r="AP102" i="6"/>
  <c r="AR102" i="6" s="1"/>
  <c r="AQ116" i="6"/>
  <c r="AQ118" i="6"/>
  <c r="AP125" i="6"/>
  <c r="AR125" i="6" s="1"/>
  <c r="AS125" i="6" s="1"/>
  <c r="AQ102" i="6"/>
  <c r="AP187" i="6"/>
  <c r="AR187" i="6" s="1"/>
  <c r="AQ100" i="6"/>
  <c r="AQ187" i="6"/>
  <c r="AP84" i="6"/>
  <c r="AR84" i="6" s="1"/>
  <c r="AS84" i="6" s="1"/>
  <c r="AQ172" i="6"/>
  <c r="AQ111" i="6"/>
  <c r="AQ90" i="6"/>
  <c r="AP114" i="6"/>
  <c r="AR114" i="6" s="1"/>
  <c r="AS114" i="6" s="1"/>
  <c r="AP112" i="6"/>
  <c r="AR112" i="6" s="1"/>
  <c r="AS112" i="6" s="1"/>
  <c r="AQ151" i="6"/>
  <c r="AP126" i="6"/>
  <c r="AR126" i="6" s="1"/>
  <c r="AS126" i="6" s="1"/>
  <c r="AQ109" i="6"/>
  <c r="AQ115" i="6"/>
  <c r="AP149" i="6"/>
  <c r="AR149" i="6" s="1"/>
  <c r="AS149" i="6" s="1"/>
  <c r="AP133" i="6"/>
  <c r="AR133" i="6" s="1"/>
  <c r="AS133" i="6" s="1"/>
  <c r="AP180" i="6"/>
  <c r="AR180" i="6" s="1"/>
  <c r="AS180" i="6" s="1"/>
  <c r="AQ80" i="6"/>
  <c r="AP97" i="6"/>
  <c r="AR97" i="6" s="1"/>
  <c r="AS97" i="6" s="1"/>
  <c r="AP156" i="6"/>
  <c r="AR156" i="6" s="1"/>
  <c r="AS156" i="6" s="1"/>
  <c r="AQ145" i="6"/>
  <c r="AP166" i="6"/>
  <c r="AR166" i="6" s="1"/>
  <c r="AS166" i="6" s="1"/>
  <c r="AP172" i="6"/>
  <c r="AR172" i="6" s="1"/>
  <c r="AS172" i="6" s="1"/>
  <c r="AS224" i="6"/>
  <c r="AS215" i="6"/>
  <c r="AS315" i="6"/>
  <c r="AS307" i="6"/>
  <c r="AS207" i="6"/>
  <c r="AS202" i="6"/>
  <c r="AS198" i="6"/>
  <c r="AS191" i="6"/>
  <c r="AS338" i="6"/>
  <c r="AS314" i="6"/>
  <c r="AS347" i="6"/>
  <c r="I298" i="6"/>
  <c r="O52" i="6"/>
  <c r="O51" i="6"/>
  <c r="AV64" i="6"/>
  <c r="AU65" i="6"/>
  <c r="AW65" i="6" s="1"/>
  <c r="AV54" i="6"/>
  <c r="AU82" i="6"/>
  <c r="AW82" i="6" s="1"/>
  <c r="AU57" i="6"/>
  <c r="AW57" i="6" s="1"/>
  <c r="AV36" i="6"/>
  <c r="AU71" i="6"/>
  <c r="AW71" i="6" s="1"/>
  <c r="AV79" i="6"/>
  <c r="AU77" i="6"/>
  <c r="AW77" i="6" s="1"/>
  <c r="AU45" i="6"/>
  <c r="AW45" i="6" s="1"/>
  <c r="AV51" i="6"/>
  <c r="AU49" i="6"/>
  <c r="AW49" i="6" s="1"/>
  <c r="AV91" i="6"/>
  <c r="AU67" i="6"/>
  <c r="AW67" i="6" s="1"/>
  <c r="AV53" i="6"/>
  <c r="AU84" i="6"/>
  <c r="AW84" i="6" s="1"/>
  <c r="AU41" i="6"/>
  <c r="AW41" i="6" s="1"/>
  <c r="AV80" i="6"/>
  <c r="AU80" i="6"/>
  <c r="AW80" i="6" s="1"/>
  <c r="AX80" i="6" s="1"/>
  <c r="AV38" i="6"/>
  <c r="AU88" i="6"/>
  <c r="AW88" i="6" s="1"/>
  <c r="AU50" i="6"/>
  <c r="AW50" i="6" s="1"/>
  <c r="AV45" i="6"/>
  <c r="AU68" i="6"/>
  <c r="AW68" i="6" s="1"/>
  <c r="AU56" i="6"/>
  <c r="AW56" i="6" s="1"/>
  <c r="AV47" i="6"/>
  <c r="AU59" i="6"/>
  <c r="AW59" i="6" s="1"/>
  <c r="AV67" i="6"/>
  <c r="AU64" i="6"/>
  <c r="AW64" i="6" s="1"/>
  <c r="AX64" i="6" s="1"/>
  <c r="AV49" i="6"/>
  <c r="AV90" i="6"/>
  <c r="AU53" i="6"/>
  <c r="AW53" i="6" s="1"/>
  <c r="AX53" i="6" s="1"/>
  <c r="AV56" i="6"/>
  <c r="AU63" i="6"/>
  <c r="AW63" i="6" s="1"/>
  <c r="AV46" i="6"/>
  <c r="AU69" i="6"/>
  <c r="AW69" i="6" s="1"/>
  <c r="AV84" i="6"/>
  <c r="AU89" i="6"/>
  <c r="AW89" i="6" s="1"/>
  <c r="AU62" i="6"/>
  <c r="AW62" i="6" s="1"/>
  <c r="AV63" i="6"/>
  <c r="AV75" i="6"/>
  <c r="AU79" i="6"/>
  <c r="AW79" i="6" s="1"/>
  <c r="AX79" i="6" s="1"/>
  <c r="AV57" i="6"/>
  <c r="AU46" i="6"/>
  <c r="AW46" i="6" s="1"/>
  <c r="AU66" i="6"/>
  <c r="AW66" i="6" s="1"/>
  <c r="AV58" i="6"/>
  <c r="AU91" i="6"/>
  <c r="AW91" i="6" s="1"/>
  <c r="AX91" i="6" s="1"/>
  <c r="AV88" i="6"/>
  <c r="AV77" i="6"/>
  <c r="AV82" i="6"/>
  <c r="AU61" i="6"/>
  <c r="AW61" i="6" s="1"/>
  <c r="AV86" i="6"/>
  <c r="AU81" i="6"/>
  <c r="AW81" i="6" s="1"/>
  <c r="AX81" i="6" s="1"/>
  <c r="AV65" i="6"/>
  <c r="AU55" i="6"/>
  <c r="AW55" i="6" s="1"/>
  <c r="AV60" i="6"/>
  <c r="AV74" i="6"/>
  <c r="AV48" i="6"/>
  <c r="AU48" i="6"/>
  <c r="AW48" i="6" s="1"/>
  <c r="AX48" i="6" s="1"/>
  <c r="AV70" i="6"/>
  <c r="AV68" i="6"/>
  <c r="AV50" i="6"/>
  <c r="AU75" i="6"/>
  <c r="AW75" i="6" s="1"/>
  <c r="AX75" i="6" s="1"/>
  <c r="AU43" i="6"/>
  <c r="AW43" i="6" s="1"/>
  <c r="AV87" i="6"/>
  <c r="AV81" i="6"/>
  <c r="AU78" i="6"/>
  <c r="AW78" i="6" s="1"/>
  <c r="AX78" i="6" s="1"/>
  <c r="AU40" i="6"/>
  <c r="AW40" i="6" s="1"/>
  <c r="AV55" i="6"/>
  <c r="AV42" i="6"/>
  <c r="AU90" i="6"/>
  <c r="AW90" i="6" s="1"/>
  <c r="AX90" i="6" s="1"/>
  <c r="AV78" i="6"/>
  <c r="AV61" i="6"/>
  <c r="AV66" i="6"/>
  <c r="AU76" i="6"/>
  <c r="AW76" i="6" s="1"/>
  <c r="AU60" i="6"/>
  <c r="AW60" i="6" s="1"/>
  <c r="AX60" i="6" s="1"/>
  <c r="AU44" i="6"/>
  <c r="AW44" i="6" s="1"/>
  <c r="AX44" i="6" s="1"/>
  <c r="AV43" i="6"/>
  <c r="AU47" i="6"/>
  <c r="AW47" i="6" s="1"/>
  <c r="AX47" i="6" s="1"/>
  <c r="AU52" i="6"/>
  <c r="AW52" i="6" s="1"/>
  <c r="AV37" i="6"/>
  <c r="AV44" i="6"/>
  <c r="AV71" i="6"/>
  <c r="AV40" i="6"/>
  <c r="AU38" i="6"/>
  <c r="AW38" i="6" s="1"/>
  <c r="AX38" i="6" s="1"/>
  <c r="AV89" i="6"/>
  <c r="AV72" i="6"/>
  <c r="AV62" i="6"/>
  <c r="AU85" i="6"/>
  <c r="AW85" i="6" s="1"/>
  <c r="AX85" i="6" s="1"/>
  <c r="AU86" i="6"/>
  <c r="AW86" i="6" s="1"/>
  <c r="AX86" i="6" s="1"/>
  <c r="AU51" i="6"/>
  <c r="AW51" i="6" s="1"/>
  <c r="AX51" i="6" s="1"/>
  <c r="AV85" i="6"/>
  <c r="AV59" i="6"/>
  <c r="AU54" i="6"/>
  <c r="AW54" i="6" s="1"/>
  <c r="AX54" i="6" s="1"/>
  <c r="AV73" i="6"/>
  <c r="AU72" i="6"/>
  <c r="AW72" i="6" s="1"/>
  <c r="AV76" i="6"/>
  <c r="AU87" i="6"/>
  <c r="AW87" i="6" s="1"/>
  <c r="AX87" i="6" s="1"/>
  <c r="AV39" i="6"/>
  <c r="AU70" i="6"/>
  <c r="AW70" i="6" s="1"/>
  <c r="AX70" i="6" s="1"/>
  <c r="AU37" i="6"/>
  <c r="AW37" i="6" s="1"/>
  <c r="AX37" i="6" s="1"/>
  <c r="AV52" i="6"/>
  <c r="AU39" i="6"/>
  <c r="AW39" i="6" s="1"/>
  <c r="AX39" i="6" s="1"/>
  <c r="AV83" i="6"/>
  <c r="AU74" i="6"/>
  <c r="AW74" i="6" s="1"/>
  <c r="AX74" i="6" s="1"/>
  <c r="AU58" i="6"/>
  <c r="AW58" i="6" s="1"/>
  <c r="AX58" i="6" s="1"/>
  <c r="AU42" i="6"/>
  <c r="AW42" i="6" s="1"/>
  <c r="AX42" i="6" s="1"/>
  <c r="AU83" i="6"/>
  <c r="AW83" i="6" s="1"/>
  <c r="AX83" i="6" s="1"/>
  <c r="AV41" i="6"/>
  <c r="AV69" i="6"/>
  <c r="AU36" i="6"/>
  <c r="AU73" i="6"/>
  <c r="AW73" i="6" s="1"/>
  <c r="F16" i="6"/>
  <c r="H16" i="6" s="1"/>
  <c r="I16" i="6" s="1"/>
  <c r="F28" i="6"/>
  <c r="H28" i="6" s="1"/>
  <c r="I28" i="6" s="1"/>
  <c r="O46" i="6"/>
  <c r="P50" i="6"/>
  <c r="O48" i="6"/>
  <c r="N48" i="6"/>
  <c r="R48" i="6"/>
  <c r="B15" i="7"/>
  <c r="AE24" i="6"/>
  <c r="AE23" i="6" s="1"/>
  <c r="AE25" i="6" s="1"/>
  <c r="AJ24" i="6"/>
  <c r="AJ23" i="6" s="1"/>
  <c r="AJ25" i="6" s="1"/>
  <c r="V24" i="6"/>
  <c r="V23" i="6" s="1"/>
  <c r="V25" i="6" s="1"/>
  <c r="W24" i="6"/>
  <c r="W23" i="6" s="1"/>
  <c r="W25" i="6" s="1"/>
  <c r="X24" i="6"/>
  <c r="X23" i="6" s="1"/>
  <c r="X25" i="6" s="1"/>
  <c r="AC24" i="6"/>
  <c r="AC23" i="6" s="1"/>
  <c r="AC25" i="6" s="1"/>
  <c r="AG24" i="6"/>
  <c r="AG23" i="6" s="1"/>
  <c r="AG25" i="6" s="1"/>
  <c r="P24" i="6"/>
  <c r="P23" i="6" s="1"/>
  <c r="P25" i="6" s="1"/>
  <c r="U24" i="6"/>
  <c r="U23" i="6" s="1"/>
  <c r="U25" i="6" s="1"/>
  <c r="J127" i="6" s="1"/>
  <c r="X31" i="6"/>
  <c r="X35" i="6"/>
  <c r="O50" i="6"/>
  <c r="Z31" i="6"/>
  <c r="Y24" i="6"/>
  <c r="Y23" i="6" s="1"/>
  <c r="Y25" i="6" s="1"/>
  <c r="P48" i="6"/>
  <c r="Q54" i="6"/>
  <c r="Q53" i="6" s="1"/>
  <c r="Q55" i="6" s="1"/>
  <c r="Q24" i="6"/>
  <c r="Q23" i="6" s="1"/>
  <c r="J227" i="6"/>
  <c r="R24" i="6"/>
  <c r="R23" i="6" s="1"/>
  <c r="R25" i="6" s="1"/>
  <c r="AA31" i="6"/>
  <c r="V35" i="6"/>
  <c r="AF24" i="6"/>
  <c r="AF23" i="6" s="1"/>
  <c r="AF25" i="6" s="1"/>
  <c r="S24" i="6"/>
  <c r="S23" i="6" s="1"/>
  <c r="AK24" i="6"/>
  <c r="AK23" i="6" s="1"/>
  <c r="AK25" i="6" s="1"/>
  <c r="Z33" i="6"/>
  <c r="V31" i="6"/>
  <c r="T35" i="6"/>
  <c r="AI24" i="6"/>
  <c r="AI23" i="6" s="1"/>
  <c r="AI25" i="6" s="1"/>
  <c r="W35" i="6"/>
  <c r="X33" i="6"/>
  <c r="M29" i="6"/>
  <c r="M16" i="6"/>
  <c r="S25" i="6"/>
  <c r="J91" i="6" s="1"/>
  <c r="W31" i="6"/>
  <c r="AH24" i="6"/>
  <c r="AH23" i="6" s="1"/>
  <c r="AH25" i="6" s="1"/>
  <c r="V33" i="6"/>
  <c r="M18" i="6"/>
  <c r="N16" i="6"/>
  <c r="N24" i="6" s="1"/>
  <c r="N23" i="6" s="1"/>
  <c r="N25" i="6" s="1"/>
  <c r="M44" i="6"/>
  <c r="X50" i="6"/>
  <c r="Y48" i="6"/>
  <c r="Z46" i="6"/>
  <c r="W48" i="6"/>
  <c r="V50" i="6"/>
  <c r="Z24" i="6"/>
  <c r="Z23" i="6" s="1"/>
  <c r="Z25" i="6" s="1"/>
  <c r="T46" i="6"/>
  <c r="S48" i="6"/>
  <c r="E12" i="6"/>
  <c r="P31" i="6"/>
  <c r="P39" i="6" s="1"/>
  <c r="P38" i="6" s="1"/>
  <c r="N35" i="6"/>
  <c r="AN20" i="6"/>
  <c r="AA44" i="6"/>
  <c r="E13" i="6"/>
  <c r="J316" i="6"/>
  <c r="X48" i="6"/>
  <c r="Y46" i="6"/>
  <c r="W50" i="6"/>
  <c r="J324" i="6"/>
  <c r="Y39" i="6"/>
  <c r="Y38" i="6" s="1"/>
  <c r="Y40" i="6" s="1"/>
  <c r="W46" i="6"/>
  <c r="U50" i="6"/>
  <c r="V48" i="6"/>
  <c r="AA24" i="6"/>
  <c r="AA23" i="6" s="1"/>
  <c r="AA25" i="6" s="1"/>
  <c r="T48" i="6"/>
  <c r="S50" i="6"/>
  <c r="U46" i="6"/>
  <c r="U31" i="6"/>
  <c r="S35" i="6"/>
  <c r="T33" i="6"/>
  <c r="Q35" i="6"/>
  <c r="Q39" i="6" s="1"/>
  <c r="Q38" i="6" s="1"/>
  <c r="S31" i="6"/>
  <c r="R33" i="6"/>
  <c r="T24" i="6"/>
  <c r="T23" i="6" s="1"/>
  <c r="R39" i="6"/>
  <c r="R38" i="6" s="1"/>
  <c r="Q25" i="6"/>
  <c r="O24" i="6"/>
  <c r="O23" i="6" s="1"/>
  <c r="O25" i="6" s="1"/>
  <c r="AM20" i="6"/>
  <c r="AM24" i="6" s="1"/>
  <c r="AM23" i="6" s="1"/>
  <c r="AM25" i="6" s="1"/>
  <c r="AN18" i="6"/>
  <c r="AA29" i="6"/>
  <c r="M35" i="6"/>
  <c r="O31" i="6"/>
  <c r="O39" i="6" s="1"/>
  <c r="O38" i="6" s="1"/>
  <c r="BR13" i="7"/>
  <c r="AE61" i="27"/>
  <c r="AO56" i="27"/>
  <c r="AO63" i="27"/>
  <c r="AE62" i="27"/>
  <c r="AO64" i="27"/>
  <c r="AE71" i="27"/>
  <c r="AE68" i="27"/>
  <c r="AO74" i="27"/>
  <c r="AO71" i="27"/>
  <c r="AO66" i="27"/>
  <c r="AO58" i="27"/>
  <c r="AO77" i="27"/>
  <c r="AO69" i="27"/>
  <c r="AO61" i="27"/>
  <c r="AO76" i="27"/>
  <c r="AO68" i="27"/>
  <c r="AO60" i="27"/>
  <c r="AO62" i="27"/>
  <c r="AO70" i="27"/>
  <c r="AO75" i="27"/>
  <c r="AO67" i="27"/>
  <c r="AO59" i="27"/>
  <c r="P72" i="27"/>
  <c r="G36" i="27"/>
  <c r="AE72" i="27"/>
  <c r="P68" i="27"/>
  <c r="AE67" i="27"/>
  <c r="P67" i="27"/>
  <c r="G31" i="27" s="1"/>
  <c r="AE69" i="27"/>
  <c r="AE70" i="27"/>
  <c r="D68" i="27"/>
  <c r="I68" i="27"/>
  <c r="H68" i="27"/>
  <c r="G68" i="27"/>
  <c r="L68" i="27"/>
  <c r="M68" i="27"/>
  <c r="C68" i="27"/>
  <c r="J39" i="27"/>
  <c r="L39" i="27" s="1"/>
  <c r="M75" i="27" s="1"/>
  <c r="J37" i="27"/>
  <c r="L37" i="27" s="1"/>
  <c r="J35" i="27"/>
  <c r="L35" i="27" s="1"/>
  <c r="F71" i="27" s="1"/>
  <c r="J33" i="27"/>
  <c r="L33" i="27" s="1"/>
  <c r="J38" i="27"/>
  <c r="L38" i="27" s="1"/>
  <c r="M74" i="27" s="1"/>
  <c r="J36" i="27"/>
  <c r="L36" i="27" s="1"/>
  <c r="H72" i="27" s="1"/>
  <c r="J34" i="27"/>
  <c r="L34" i="27" s="1"/>
  <c r="P73" i="27"/>
  <c r="E68" i="27"/>
  <c r="J68" i="27"/>
  <c r="K72" i="27"/>
  <c r="G72" i="27"/>
  <c r="G25" i="27"/>
  <c r="G26" i="27"/>
  <c r="J18" i="27"/>
  <c r="J17" i="27"/>
  <c r="L17" i="27" s="1"/>
  <c r="J16" i="27"/>
  <c r="J30" i="27"/>
  <c r="L30" i="27" s="1"/>
  <c r="J28" i="27"/>
  <c r="L28" i="27" s="1"/>
  <c r="C64" i="27" s="1"/>
  <c r="J26" i="27"/>
  <c r="L26" i="27" s="1"/>
  <c r="J62" i="27" s="1"/>
  <c r="J24" i="27"/>
  <c r="L24" i="27" s="1"/>
  <c r="D60" i="27" s="1"/>
  <c r="J22" i="27"/>
  <c r="L22" i="27" s="1"/>
  <c r="J31" i="27"/>
  <c r="L31" i="27" s="1"/>
  <c r="J29" i="27"/>
  <c r="L29" i="27" s="1"/>
  <c r="I65" i="27" s="1"/>
  <c r="J27" i="27"/>
  <c r="L27" i="27" s="1"/>
  <c r="J25" i="27"/>
  <c r="L25" i="27" s="1"/>
  <c r="J23" i="27"/>
  <c r="L23" i="27" s="1"/>
  <c r="J21" i="27"/>
  <c r="L21" i="27" s="1"/>
  <c r="F64" i="27"/>
  <c r="AI12" i="1"/>
  <c r="G20" i="27"/>
  <c r="BL13" i="7"/>
  <c r="D13" i="7"/>
  <c r="R54" i="6"/>
  <c r="R53" i="6" s="1"/>
  <c r="R55" i="6" s="1"/>
  <c r="J237" i="6"/>
  <c r="B6" i="6"/>
  <c r="X1" i="15"/>
  <c r="G3" i="7"/>
  <c r="V14" i="15"/>
  <c r="L15" i="1"/>
  <c r="K15" i="1"/>
  <c r="A16" i="15"/>
  <c r="AB15" i="15"/>
  <c r="K15" i="15"/>
  <c r="X15" i="1"/>
  <c r="AK15" i="1"/>
  <c r="AJ15" i="1"/>
  <c r="L12" i="15"/>
  <c r="L11" i="15"/>
  <c r="G35" i="27"/>
  <c r="G34" i="27"/>
  <c r="AT56" i="27"/>
  <c r="AV56" i="27"/>
  <c r="AE56" i="27"/>
  <c r="AP56" i="27"/>
  <c r="AR56" i="27"/>
  <c r="H39" i="27"/>
  <c r="G38" i="27" s="1"/>
  <c r="BH10" i="6"/>
  <c r="D11" i="7"/>
  <c r="U11" i="1" s="1"/>
  <c r="AT2" i="7"/>
  <c r="F14" i="16"/>
  <c r="M3" i="7"/>
  <c r="A13" i="19"/>
  <c r="A37" i="19" s="1"/>
  <c r="V14" i="16"/>
  <c r="A15" i="16"/>
  <c r="A63" i="19"/>
  <c r="Y14" i="16"/>
  <c r="BW16" i="7"/>
  <c r="BK16" i="7"/>
  <c r="C16" i="7"/>
  <c r="BQ16" i="7"/>
  <c r="AB16" i="1"/>
  <c r="AK16" i="1"/>
  <c r="X16" i="1"/>
  <c r="AJ16" i="1"/>
  <c r="K16" i="1"/>
  <c r="L16" i="1"/>
  <c r="A17" i="1"/>
  <c r="S3" i="7"/>
  <c r="X1" i="17"/>
  <c r="A14" i="19"/>
  <c r="A38" i="19" s="1"/>
  <c r="J1" i="18"/>
  <c r="Y14" i="17"/>
  <c r="D6" i="6"/>
  <c r="A15" i="17"/>
  <c r="F14" i="17"/>
  <c r="A64" i="19"/>
  <c r="V14" i="17"/>
  <c r="L1" i="17"/>
  <c r="O10" i="1"/>
  <c r="AC10" i="1"/>
  <c r="AC15" i="1" s="1"/>
  <c r="F8" i="1"/>
  <c r="P12" i="1"/>
  <c r="AK380" i="1"/>
  <c r="BH9" i="7" l="1"/>
  <c r="BJ10" i="7" s="1"/>
  <c r="AW36" i="6"/>
  <c r="AX76" i="6"/>
  <c r="AX55" i="6"/>
  <c r="AX61" i="6"/>
  <c r="AX66" i="6"/>
  <c r="AX62" i="6"/>
  <c r="AX59" i="6"/>
  <c r="AX56" i="6"/>
  <c r="AX88" i="6"/>
  <c r="AX41" i="6"/>
  <c r="AX77" i="6"/>
  <c r="AX71" i="6"/>
  <c r="AX57" i="6"/>
  <c r="AS187" i="6"/>
  <c r="AS145" i="6"/>
  <c r="AS168" i="6"/>
  <c r="AS111" i="6"/>
  <c r="AS87" i="6"/>
  <c r="AS91" i="6"/>
  <c r="AS120" i="6"/>
  <c r="AS83" i="6"/>
  <c r="AS182" i="6"/>
  <c r="AS85" i="6"/>
  <c r="AS173" i="6"/>
  <c r="AS183" i="6"/>
  <c r="AS118" i="6"/>
  <c r="AS135" i="6"/>
  <c r="AS174" i="6"/>
  <c r="AS161" i="6"/>
  <c r="AS88" i="6"/>
  <c r="AS165" i="6"/>
  <c r="AS138" i="6"/>
  <c r="AS119" i="6"/>
  <c r="AS80" i="6"/>
  <c r="AS189" i="6"/>
  <c r="AS148" i="6"/>
  <c r="AS171" i="6"/>
  <c r="I29" i="6"/>
  <c r="I22" i="6"/>
  <c r="I31" i="6"/>
  <c r="I33" i="6"/>
  <c r="G12" i="6"/>
  <c r="G13" i="6"/>
  <c r="AR15" i="6"/>
  <c r="AP13" i="6"/>
  <c r="AP12" i="6"/>
  <c r="AQ13" i="6"/>
  <c r="AQ12" i="6"/>
  <c r="AS17" i="6"/>
  <c r="Z51" i="6"/>
  <c r="Z52" i="6"/>
  <c r="AU380" i="6"/>
  <c r="AW380" i="6" s="1"/>
  <c r="AV372" i="6"/>
  <c r="AV379" i="6"/>
  <c r="AV375" i="6"/>
  <c r="AU379" i="6"/>
  <c r="AW379" i="6" s="1"/>
  <c r="AX379" i="6" s="1"/>
  <c r="AU371" i="6"/>
  <c r="AW371" i="6" s="1"/>
  <c r="AU319" i="6"/>
  <c r="AW319" i="6" s="1"/>
  <c r="AV362" i="6"/>
  <c r="AU323" i="6"/>
  <c r="AW323" i="6" s="1"/>
  <c r="AU367" i="6"/>
  <c r="AW367" i="6" s="1"/>
  <c r="AU352" i="6"/>
  <c r="AW352" i="6" s="1"/>
  <c r="AV336" i="6"/>
  <c r="AV317" i="6"/>
  <c r="AU365" i="6"/>
  <c r="AW365" i="6" s="1"/>
  <c r="AV352" i="6"/>
  <c r="AU366" i="6"/>
  <c r="AW366" i="6" s="1"/>
  <c r="AV322" i="6"/>
  <c r="AV341" i="6"/>
  <c r="AU327" i="6"/>
  <c r="AW327" i="6" s="1"/>
  <c r="AV354" i="6"/>
  <c r="AU342" i="6"/>
  <c r="AW342" i="6" s="1"/>
  <c r="AU357" i="6"/>
  <c r="AW357" i="6" s="1"/>
  <c r="AV367" i="6"/>
  <c r="AU363" i="6"/>
  <c r="AW363" i="6" s="1"/>
  <c r="AU358" i="6"/>
  <c r="AW358" i="6" s="1"/>
  <c r="AU343" i="6"/>
  <c r="AW343" i="6" s="1"/>
  <c r="AV332" i="6"/>
  <c r="AU329" i="6"/>
  <c r="AW329" i="6" s="1"/>
  <c r="AV364" i="6"/>
  <c r="AU317" i="6"/>
  <c r="AW317" i="6" s="1"/>
  <c r="AX317" i="6" s="1"/>
  <c r="AV327" i="6"/>
  <c r="AU337" i="6"/>
  <c r="AW337" i="6" s="1"/>
  <c r="AU341" i="6"/>
  <c r="AW341" i="6" s="1"/>
  <c r="AX341" i="6" s="1"/>
  <c r="AU373" i="6"/>
  <c r="AW373" i="6" s="1"/>
  <c r="AU374" i="6"/>
  <c r="AW374" i="6" s="1"/>
  <c r="AU331" i="6"/>
  <c r="AW331" i="6" s="1"/>
  <c r="AV333" i="6"/>
  <c r="AV365" i="6"/>
  <c r="AV330" i="6"/>
  <c r="AV348" i="6"/>
  <c r="AU332" i="6"/>
  <c r="AW332" i="6" s="1"/>
  <c r="AX332" i="6" s="1"/>
  <c r="AU318" i="6"/>
  <c r="AW318" i="6" s="1"/>
  <c r="AU359" i="6"/>
  <c r="AW359" i="6" s="1"/>
  <c r="AU333" i="6"/>
  <c r="AW333" i="6" s="1"/>
  <c r="AX333" i="6" s="1"/>
  <c r="AU351" i="6"/>
  <c r="AW351" i="6" s="1"/>
  <c r="AV343" i="6"/>
  <c r="AX343" i="6" s="1"/>
  <c r="AU361" i="6"/>
  <c r="AW361" i="6" s="1"/>
  <c r="AV369" i="6"/>
  <c r="AV359" i="6"/>
  <c r="AV334" i="6"/>
  <c r="AV361" i="6"/>
  <c r="AV366" i="6"/>
  <c r="AU330" i="6"/>
  <c r="AW330" i="6" s="1"/>
  <c r="AX330" i="6" s="1"/>
  <c r="AU354" i="6"/>
  <c r="AW354" i="6" s="1"/>
  <c r="AX354" i="6" s="1"/>
  <c r="AU350" i="6"/>
  <c r="AW350" i="6" s="1"/>
  <c r="AV349" i="6"/>
  <c r="AV358" i="6"/>
  <c r="AV353" i="6"/>
  <c r="AU326" i="6"/>
  <c r="AW326" i="6" s="1"/>
  <c r="AU344" i="6"/>
  <c r="AW344" i="6" s="1"/>
  <c r="AU362" i="6"/>
  <c r="AW362" i="6" s="1"/>
  <c r="AX362" i="6" s="1"/>
  <c r="AU325" i="6"/>
  <c r="AW325" i="6" s="1"/>
  <c r="AV356" i="6"/>
  <c r="AV338" i="6"/>
  <c r="AU328" i="6"/>
  <c r="AW328" i="6" s="1"/>
  <c r="AU339" i="6"/>
  <c r="AW339" i="6" s="1"/>
  <c r="AV320" i="6"/>
  <c r="AV376" i="6"/>
  <c r="AU376" i="6"/>
  <c r="AW376" i="6" s="1"/>
  <c r="AX376" i="6" s="1"/>
  <c r="AV380" i="6"/>
  <c r="AV373" i="6"/>
  <c r="AU378" i="6"/>
  <c r="AW378" i="6" s="1"/>
  <c r="AU375" i="6"/>
  <c r="AW375" i="6" s="1"/>
  <c r="AX375" i="6" s="1"/>
  <c r="AV377" i="6"/>
  <c r="AU372" i="6"/>
  <c r="AW372" i="6" s="1"/>
  <c r="AX372" i="6" s="1"/>
  <c r="AV326" i="6"/>
  <c r="AU348" i="6"/>
  <c r="AW348" i="6" s="1"/>
  <c r="AX348" i="6" s="1"/>
  <c r="AV339" i="6"/>
  <c r="AU345" i="6"/>
  <c r="AW345" i="6" s="1"/>
  <c r="AU353" i="6"/>
  <c r="AW353" i="6" s="1"/>
  <c r="AX353" i="6" s="1"/>
  <c r="AU340" i="6"/>
  <c r="AW340" i="6" s="1"/>
  <c r="AV337" i="6"/>
  <c r="AU338" i="6"/>
  <c r="AW338" i="6" s="1"/>
  <c r="AX338" i="6" s="1"/>
  <c r="AV370" i="6"/>
  <c r="AV328" i="6"/>
  <c r="AU334" i="6"/>
  <c r="AW334" i="6" s="1"/>
  <c r="AX334" i="6" s="1"/>
  <c r="AV363" i="6"/>
  <c r="AU364" i="6"/>
  <c r="AW364" i="6" s="1"/>
  <c r="AX364" i="6" s="1"/>
  <c r="AU336" i="6"/>
  <c r="AW336" i="6" s="1"/>
  <c r="AX336" i="6" s="1"/>
  <c r="AV342" i="6"/>
  <c r="AV360" i="6"/>
  <c r="AV347" i="6"/>
  <c r="AU347" i="6"/>
  <c r="AW347" i="6" s="1"/>
  <c r="AX347" i="6" s="1"/>
  <c r="AU355" i="6"/>
  <c r="AW355" i="6" s="1"/>
  <c r="AU349" i="6"/>
  <c r="AW349" i="6" s="1"/>
  <c r="AX349" i="6" s="1"/>
  <c r="AU360" i="6"/>
  <c r="AW360" i="6" s="1"/>
  <c r="AV325" i="6"/>
  <c r="AV344" i="6"/>
  <c r="AV357" i="6"/>
  <c r="AV351" i="6"/>
  <c r="AU370" i="6"/>
  <c r="AW370" i="6" s="1"/>
  <c r="AX370" i="6" s="1"/>
  <c r="AU324" i="6"/>
  <c r="AW324" i="6" s="1"/>
  <c r="AU322" i="6"/>
  <c r="AW322" i="6" s="1"/>
  <c r="AX322" i="6" s="1"/>
  <c r="AV323" i="6"/>
  <c r="AV355" i="6"/>
  <c r="AV318" i="6"/>
  <c r="AV331" i="6"/>
  <c r="AV368" i="6"/>
  <c r="AV371" i="6"/>
  <c r="AV346" i="6"/>
  <c r="AV324" i="6"/>
  <c r="AV340" i="6"/>
  <c r="AU368" i="6"/>
  <c r="AW368" i="6" s="1"/>
  <c r="AX368" i="6" s="1"/>
  <c r="AU369" i="6"/>
  <c r="AW369" i="6" s="1"/>
  <c r="AX369" i="6" s="1"/>
  <c r="AU320" i="6"/>
  <c r="AW320" i="6" s="1"/>
  <c r="AX320" i="6" s="1"/>
  <c r="AU356" i="6"/>
  <c r="AW356" i="6" s="1"/>
  <c r="AX356" i="6" s="1"/>
  <c r="AV319" i="6"/>
  <c r="AU335" i="6"/>
  <c r="AW335" i="6" s="1"/>
  <c r="AV345" i="6"/>
  <c r="AV335" i="6"/>
  <c r="AU346" i="6"/>
  <c r="AW346" i="6" s="1"/>
  <c r="AX346" i="6" s="1"/>
  <c r="AU321" i="6"/>
  <c r="AW321" i="6" s="1"/>
  <c r="AV321" i="6"/>
  <c r="AV350" i="6"/>
  <c r="AV329" i="6"/>
  <c r="AV374" i="6"/>
  <c r="AV378" i="6"/>
  <c r="AU377" i="6"/>
  <c r="AW377" i="6" s="1"/>
  <c r="AX377" i="6" s="1"/>
  <c r="AX73" i="6"/>
  <c r="AX72" i="6"/>
  <c r="AX52" i="6"/>
  <c r="AX40" i="6"/>
  <c r="AX43" i="6"/>
  <c r="AX46" i="6"/>
  <c r="AX89" i="6"/>
  <c r="AX69" i="6"/>
  <c r="AX63" i="6"/>
  <c r="AX68" i="6"/>
  <c r="AX50" i="6"/>
  <c r="AX84" i="6"/>
  <c r="AX67" i="6"/>
  <c r="AX49" i="6"/>
  <c r="AX45" i="6"/>
  <c r="AV12" i="6"/>
  <c r="AV13" i="6"/>
  <c r="AX82" i="6"/>
  <c r="AX65" i="6"/>
  <c r="AS102" i="6"/>
  <c r="AS115" i="6"/>
  <c r="AS116" i="6"/>
  <c r="AS141" i="6"/>
  <c r="AS90" i="6"/>
  <c r="AS104" i="6"/>
  <c r="AS154" i="6"/>
  <c r="AS123" i="6"/>
  <c r="AS109" i="6"/>
  <c r="AS94" i="6"/>
  <c r="AS157" i="6"/>
  <c r="AS139" i="6"/>
  <c r="AS152" i="6"/>
  <c r="AS140" i="6"/>
  <c r="AS175" i="6"/>
  <c r="AS177" i="6"/>
  <c r="AS93" i="6"/>
  <c r="AS100" i="6"/>
  <c r="AS121" i="6"/>
  <c r="AS147" i="6"/>
  <c r="AS103" i="6"/>
  <c r="AS107" i="6"/>
  <c r="AS151" i="6"/>
  <c r="AS160" i="6"/>
  <c r="AS99" i="6"/>
  <c r="AS96" i="6"/>
  <c r="AS110" i="6"/>
  <c r="AS188" i="6"/>
  <c r="AS159" i="6"/>
  <c r="AS82" i="6"/>
  <c r="I20" i="6"/>
  <c r="H15" i="6"/>
  <c r="F12" i="6"/>
  <c r="F13" i="6"/>
  <c r="I19" i="6"/>
  <c r="I35" i="6"/>
  <c r="I24" i="6"/>
  <c r="I25" i="6"/>
  <c r="I21" i="6"/>
  <c r="I26" i="6"/>
  <c r="AR13" i="6"/>
  <c r="AS20" i="6"/>
  <c r="J83" i="6"/>
  <c r="P54" i="6"/>
  <c r="P53" i="6" s="1"/>
  <c r="J204" i="6"/>
  <c r="O54" i="6"/>
  <c r="O53" i="6" s="1"/>
  <c r="J229" i="6"/>
  <c r="J238" i="6"/>
  <c r="J268" i="6"/>
  <c r="J80" i="6"/>
  <c r="J220" i="6"/>
  <c r="J226" i="6"/>
  <c r="J218" i="6"/>
  <c r="J234" i="6"/>
  <c r="J232" i="6"/>
  <c r="J230" i="6"/>
  <c r="J223" i="6"/>
  <c r="J221" i="6"/>
  <c r="J233" i="6"/>
  <c r="J236" i="6"/>
  <c r="J225" i="6"/>
  <c r="J235" i="6"/>
  <c r="J208" i="6"/>
  <c r="J211" i="6"/>
  <c r="J369" i="6"/>
  <c r="W39" i="6"/>
  <c r="W38" i="6" s="1"/>
  <c r="J283" i="6"/>
  <c r="J224" i="6"/>
  <c r="J228" i="6"/>
  <c r="J219" i="6"/>
  <c r="J222" i="6"/>
  <c r="J244" i="6"/>
  <c r="J245" i="6"/>
  <c r="J240" i="6"/>
  <c r="J243" i="6"/>
  <c r="J241" i="6"/>
  <c r="J231" i="6"/>
  <c r="J239" i="6"/>
  <c r="J242" i="6"/>
  <c r="J163" i="6"/>
  <c r="J134" i="6"/>
  <c r="J205" i="6"/>
  <c r="X39" i="6"/>
  <c r="X38" i="6" s="1"/>
  <c r="X40" i="6" s="1"/>
  <c r="P55" i="6"/>
  <c r="AY113" i="6" s="1"/>
  <c r="J123" i="6"/>
  <c r="J319" i="6"/>
  <c r="J327" i="6"/>
  <c r="J311" i="6"/>
  <c r="J81" i="6"/>
  <c r="S54" i="6"/>
  <c r="S53" i="6" s="1"/>
  <c r="S55" i="6" s="1"/>
  <c r="J315" i="6"/>
  <c r="J336" i="6"/>
  <c r="J330" i="6"/>
  <c r="J341" i="6"/>
  <c r="J355" i="6"/>
  <c r="J348" i="6"/>
  <c r="J126" i="6"/>
  <c r="J87" i="6"/>
  <c r="J130" i="6"/>
  <c r="J133" i="6"/>
  <c r="J78" i="6"/>
  <c r="J84" i="6"/>
  <c r="J82" i="6"/>
  <c r="J167" i="6"/>
  <c r="T39" i="6"/>
  <c r="T38" i="6" s="1"/>
  <c r="T40" i="6" s="1"/>
  <c r="J312" i="6"/>
  <c r="J302" i="6"/>
  <c r="J353" i="6"/>
  <c r="J349" i="6"/>
  <c r="V39" i="6"/>
  <c r="V38" i="6" s="1"/>
  <c r="V40" i="6" s="1"/>
  <c r="J329" i="6"/>
  <c r="J307" i="6"/>
  <c r="J303" i="6"/>
  <c r="J322" i="6"/>
  <c r="J325" i="6"/>
  <c r="J310" i="6"/>
  <c r="J305" i="6"/>
  <c r="J317" i="6"/>
  <c r="J313" i="6"/>
  <c r="J314" i="6"/>
  <c r="J328" i="6"/>
  <c r="J304" i="6"/>
  <c r="J308" i="6"/>
  <c r="J326" i="6"/>
  <c r="J323" i="6"/>
  <c r="J320" i="6"/>
  <c r="J306" i="6"/>
  <c r="J309" i="6"/>
  <c r="J318" i="6"/>
  <c r="J321" i="6"/>
  <c r="M24" i="6"/>
  <c r="M23" i="6" s="1"/>
  <c r="J350" i="6"/>
  <c r="J357" i="6"/>
  <c r="J342" i="6"/>
  <c r="J343" i="6"/>
  <c r="J345" i="6"/>
  <c r="J337" i="6"/>
  <c r="J354" i="6"/>
  <c r="M33" i="6"/>
  <c r="M39" i="6" s="1"/>
  <c r="M38" i="6" s="1"/>
  <c r="M40" i="6" s="1"/>
  <c r="N31" i="6"/>
  <c r="N39" i="6" s="1"/>
  <c r="N38" i="6" s="1"/>
  <c r="N40" i="6" s="1"/>
  <c r="J210" i="6"/>
  <c r="J215" i="6"/>
  <c r="J88" i="6"/>
  <c r="J89" i="6"/>
  <c r="J79" i="6"/>
  <c r="J86" i="6"/>
  <c r="J90" i="6"/>
  <c r="J85" i="6"/>
  <c r="J344" i="6"/>
  <c r="J351" i="6"/>
  <c r="J338" i="6"/>
  <c r="J333" i="6"/>
  <c r="J356" i="6"/>
  <c r="J334" i="6"/>
  <c r="J335" i="6"/>
  <c r="J347" i="6"/>
  <c r="J352" i="6"/>
  <c r="J346" i="6"/>
  <c r="J339" i="6"/>
  <c r="J331" i="6"/>
  <c r="J340" i="6"/>
  <c r="J332" i="6"/>
  <c r="M48" i="6"/>
  <c r="N46" i="6"/>
  <c r="M25" i="6"/>
  <c r="J17" i="6" s="1"/>
  <c r="J358" i="6"/>
  <c r="J257" i="6"/>
  <c r="J286" i="6"/>
  <c r="J274" i="6"/>
  <c r="J246" i="6"/>
  <c r="J263" i="6"/>
  <c r="J276" i="6"/>
  <c r="J279" i="6"/>
  <c r="J285" i="6"/>
  <c r="J248" i="6"/>
  <c r="J266" i="6"/>
  <c r="J265" i="6"/>
  <c r="J250" i="6"/>
  <c r="J251" i="6"/>
  <c r="J259" i="6"/>
  <c r="J270" i="6"/>
  <c r="J262" i="6"/>
  <c r="J253" i="6"/>
  <c r="J190" i="6"/>
  <c r="J201" i="6"/>
  <c r="J185" i="6"/>
  <c r="J214" i="6"/>
  <c r="J209" i="6"/>
  <c r="J206" i="6"/>
  <c r="J213" i="6"/>
  <c r="J216" i="6"/>
  <c r="J212" i="6"/>
  <c r="J217" i="6"/>
  <c r="J207" i="6"/>
  <c r="J186" i="6"/>
  <c r="J188" i="6"/>
  <c r="J183" i="6"/>
  <c r="J194" i="6"/>
  <c r="J195" i="6"/>
  <c r="J178" i="6"/>
  <c r="J189" i="6"/>
  <c r="J177" i="6"/>
  <c r="J192" i="6"/>
  <c r="J198" i="6"/>
  <c r="J196" i="6"/>
  <c r="J202" i="6"/>
  <c r="J173" i="6"/>
  <c r="J174" i="6"/>
  <c r="J168" i="6"/>
  <c r="J138" i="6"/>
  <c r="J146" i="6"/>
  <c r="AA48" i="6"/>
  <c r="AA54" i="6" s="1"/>
  <c r="AA53" i="6" s="1"/>
  <c r="Z50" i="6"/>
  <c r="Z54" i="6" s="1"/>
  <c r="Z53" i="6" s="1"/>
  <c r="Z55" i="6" s="1"/>
  <c r="J359" i="6"/>
  <c r="J360" i="6"/>
  <c r="J364" i="6"/>
  <c r="J366" i="6"/>
  <c r="J371" i="6"/>
  <c r="Y54" i="6"/>
  <c r="Y53" i="6" s="1"/>
  <c r="X54" i="6"/>
  <c r="X53" i="6" s="1"/>
  <c r="X55" i="6" s="1"/>
  <c r="AT311" i="6"/>
  <c r="J294" i="6"/>
  <c r="J298" i="6"/>
  <c r="J296" i="6"/>
  <c r="J293" i="6"/>
  <c r="J290" i="6"/>
  <c r="J297" i="6"/>
  <c r="J300" i="6"/>
  <c r="J291" i="6"/>
  <c r="J292" i="6"/>
  <c r="J288" i="6"/>
  <c r="J280" i="6"/>
  <c r="J287" i="6"/>
  <c r="J275" i="6"/>
  <c r="J284" i="6"/>
  <c r="J281" i="6"/>
  <c r="J282" i="6"/>
  <c r="J278" i="6"/>
  <c r="J295" i="6"/>
  <c r="J289" i="6"/>
  <c r="J299" i="6"/>
  <c r="J301" i="6"/>
  <c r="J277" i="6"/>
  <c r="J256" i="6"/>
  <c r="J249" i="6"/>
  <c r="J254" i="6"/>
  <c r="J258" i="6"/>
  <c r="J255" i="6"/>
  <c r="J247" i="6"/>
  <c r="J252" i="6"/>
  <c r="J269" i="6"/>
  <c r="J260" i="6"/>
  <c r="J273" i="6"/>
  <c r="J271" i="6"/>
  <c r="J267" i="6"/>
  <c r="J261" i="6"/>
  <c r="J272" i="6"/>
  <c r="V54" i="6"/>
  <c r="V53" i="6" s="1"/>
  <c r="V55" i="6" s="1"/>
  <c r="W54" i="6"/>
  <c r="W53" i="6" s="1"/>
  <c r="W40" i="6"/>
  <c r="J264" i="6"/>
  <c r="U54" i="6"/>
  <c r="U53" i="6" s="1"/>
  <c r="T54" i="6"/>
  <c r="T53" i="6" s="1"/>
  <c r="T55" i="6" s="1"/>
  <c r="J187" i="6"/>
  <c r="J182" i="6"/>
  <c r="J176" i="6"/>
  <c r="J180" i="6"/>
  <c r="J181" i="6"/>
  <c r="J184" i="6"/>
  <c r="J179" i="6"/>
  <c r="J193" i="6"/>
  <c r="J200" i="6"/>
  <c r="J191" i="6"/>
  <c r="J199" i="6"/>
  <c r="J203" i="6"/>
  <c r="J197" i="6"/>
  <c r="U39" i="6"/>
  <c r="U38" i="6" s="1"/>
  <c r="J175" i="6"/>
  <c r="J155" i="6"/>
  <c r="J166" i="6"/>
  <c r="J171" i="6"/>
  <c r="J169" i="6"/>
  <c r="J172" i="6"/>
  <c r="J162" i="6"/>
  <c r="J170" i="6"/>
  <c r="J147" i="6"/>
  <c r="J152" i="6"/>
  <c r="J149" i="6"/>
  <c r="J164" i="6"/>
  <c r="J165" i="6"/>
  <c r="J144" i="6"/>
  <c r="J158" i="6"/>
  <c r="J136" i="6"/>
  <c r="J141" i="6"/>
  <c r="J160" i="6"/>
  <c r="S39" i="6"/>
  <c r="S38" i="6" s="1"/>
  <c r="J125" i="6"/>
  <c r="J129" i="6"/>
  <c r="J150" i="6"/>
  <c r="J137" i="6"/>
  <c r="J143" i="6"/>
  <c r="J139" i="6"/>
  <c r="J142" i="6"/>
  <c r="J135" i="6"/>
  <c r="J140" i="6"/>
  <c r="J161" i="6"/>
  <c r="J153" i="6"/>
  <c r="J157" i="6"/>
  <c r="J148" i="6"/>
  <c r="J151" i="6"/>
  <c r="J154" i="6"/>
  <c r="J156" i="6"/>
  <c r="J145" i="6"/>
  <c r="J159" i="6"/>
  <c r="T25" i="6"/>
  <c r="J103" i="6" s="1"/>
  <c r="J131" i="6"/>
  <c r="J128" i="6"/>
  <c r="J121" i="6"/>
  <c r="J120" i="6"/>
  <c r="J122" i="6"/>
  <c r="J124" i="6"/>
  <c r="J132" i="6"/>
  <c r="R40" i="6"/>
  <c r="J52" i="6"/>
  <c r="Q40" i="6"/>
  <c r="J61" i="6"/>
  <c r="J73" i="6"/>
  <c r="J77" i="6"/>
  <c r="J66" i="6"/>
  <c r="J76" i="6"/>
  <c r="J64" i="6"/>
  <c r="J72" i="6"/>
  <c r="J67" i="6"/>
  <c r="J65" i="6"/>
  <c r="J74" i="6"/>
  <c r="J60" i="6"/>
  <c r="J56" i="6"/>
  <c r="O55" i="6"/>
  <c r="J70" i="6"/>
  <c r="J68" i="6"/>
  <c r="J75" i="6"/>
  <c r="J69" i="6"/>
  <c r="J71" i="6"/>
  <c r="J63" i="6"/>
  <c r="J62" i="6"/>
  <c r="J50" i="6"/>
  <c r="J57" i="6"/>
  <c r="P40" i="6"/>
  <c r="J51" i="6"/>
  <c r="J54" i="6"/>
  <c r="J53" i="6"/>
  <c r="J59" i="6"/>
  <c r="J55" i="6"/>
  <c r="J58" i="6"/>
  <c r="J367" i="6"/>
  <c r="J370" i="6"/>
  <c r="J361" i="6"/>
  <c r="J368" i="6"/>
  <c r="J362" i="6"/>
  <c r="J363" i="6"/>
  <c r="J365" i="6"/>
  <c r="J30" i="6"/>
  <c r="J43" i="6"/>
  <c r="J41" i="6"/>
  <c r="J46" i="6"/>
  <c r="J49" i="6"/>
  <c r="J29" i="6"/>
  <c r="J24" i="6"/>
  <c r="J32" i="6"/>
  <c r="J25" i="6"/>
  <c r="J33" i="6"/>
  <c r="J28" i="6"/>
  <c r="J39" i="6"/>
  <c r="O40" i="6"/>
  <c r="AN24" i="6"/>
  <c r="AN23" i="6" s="1"/>
  <c r="J23" i="6"/>
  <c r="J27" i="6"/>
  <c r="J35" i="6"/>
  <c r="J26" i="6"/>
  <c r="J34" i="6"/>
  <c r="J22" i="6"/>
  <c r="J42" i="6"/>
  <c r="J45" i="6"/>
  <c r="J47" i="6"/>
  <c r="J48" i="6"/>
  <c r="J36" i="6"/>
  <c r="J31" i="6"/>
  <c r="AA33" i="6"/>
  <c r="Z35" i="6"/>
  <c r="E64" i="27"/>
  <c r="D72" i="27"/>
  <c r="M72" i="27"/>
  <c r="K62" i="27"/>
  <c r="AX56" i="27"/>
  <c r="M71" i="27"/>
  <c r="D75" i="27"/>
  <c r="L71" i="27"/>
  <c r="H71" i="27"/>
  <c r="K74" i="27"/>
  <c r="I72" i="27"/>
  <c r="F60" i="27"/>
  <c r="C72" i="27"/>
  <c r="J72" i="27"/>
  <c r="E72" i="27"/>
  <c r="G37" i="27"/>
  <c r="P74" i="27"/>
  <c r="J70" i="27"/>
  <c r="L70" i="27"/>
  <c r="I70" i="27"/>
  <c r="K70" i="27"/>
  <c r="D70" i="27"/>
  <c r="C70" i="27"/>
  <c r="F70" i="27"/>
  <c r="G70" i="27"/>
  <c r="E70" i="27"/>
  <c r="M70" i="27"/>
  <c r="H70" i="27"/>
  <c r="G74" i="27"/>
  <c r="F74" i="27"/>
  <c r="D74" i="27"/>
  <c r="L74" i="27"/>
  <c r="J74" i="27"/>
  <c r="H74" i="27"/>
  <c r="I71" i="27"/>
  <c r="C71" i="27"/>
  <c r="J71" i="27"/>
  <c r="G71" i="27"/>
  <c r="L75" i="27"/>
  <c r="F75" i="27"/>
  <c r="C75" i="27"/>
  <c r="AE73" i="27"/>
  <c r="K71" i="27"/>
  <c r="E71" i="27"/>
  <c r="K75" i="27"/>
  <c r="I75" i="27"/>
  <c r="J75" i="27"/>
  <c r="G75" i="27"/>
  <c r="I74" i="27"/>
  <c r="D71" i="27"/>
  <c r="E74" i="27"/>
  <c r="C74" i="27"/>
  <c r="H75" i="27"/>
  <c r="E75" i="27"/>
  <c r="F72" i="27"/>
  <c r="L72" i="27"/>
  <c r="L69" i="27"/>
  <c r="I69" i="27"/>
  <c r="J69" i="27"/>
  <c r="G69" i="27"/>
  <c r="H69" i="27"/>
  <c r="C69" i="27"/>
  <c r="E69" i="27"/>
  <c r="K69" i="27"/>
  <c r="M69" i="27"/>
  <c r="F69" i="27"/>
  <c r="D69" i="27"/>
  <c r="F73" i="27"/>
  <c r="C73" i="27"/>
  <c r="J73" i="27"/>
  <c r="I73" i="27"/>
  <c r="H73" i="27"/>
  <c r="G73" i="27"/>
  <c r="E73" i="27"/>
  <c r="K73" i="27"/>
  <c r="L73" i="27"/>
  <c r="D73" i="27"/>
  <c r="M73" i="27"/>
  <c r="L16" i="27"/>
  <c r="L18" i="27"/>
  <c r="L14" i="27" s="1"/>
  <c r="H62" i="27"/>
  <c r="C65" i="27"/>
  <c r="L65" i="27"/>
  <c r="D65" i="27"/>
  <c r="G60" i="27"/>
  <c r="M60" i="27"/>
  <c r="H64" i="27"/>
  <c r="D64" i="27"/>
  <c r="G62" i="27"/>
  <c r="F62" i="27"/>
  <c r="G65" i="27"/>
  <c r="M65" i="27"/>
  <c r="F65" i="27"/>
  <c r="L64" i="27"/>
  <c r="K64" i="27"/>
  <c r="M62" i="27"/>
  <c r="C62" i="27"/>
  <c r="K65" i="27"/>
  <c r="E65" i="27"/>
  <c r="J65" i="27"/>
  <c r="H65" i="27"/>
  <c r="D62" i="27"/>
  <c r="C57" i="27"/>
  <c r="J57" i="27"/>
  <c r="K57" i="27"/>
  <c r="M57" i="27"/>
  <c r="G57" i="27"/>
  <c r="D57" i="27"/>
  <c r="I57" i="27"/>
  <c r="H57" i="27"/>
  <c r="F57" i="27"/>
  <c r="L57" i="27"/>
  <c r="E57" i="27"/>
  <c r="F61" i="27"/>
  <c r="E61" i="27"/>
  <c r="K61" i="27"/>
  <c r="L61" i="27"/>
  <c r="I61" i="27"/>
  <c r="D61" i="27"/>
  <c r="G61" i="27"/>
  <c r="H61" i="27"/>
  <c r="J61" i="27"/>
  <c r="C61" i="27"/>
  <c r="M61" i="27"/>
  <c r="D58" i="27"/>
  <c r="H58" i="27"/>
  <c r="G58" i="27"/>
  <c r="M58" i="27"/>
  <c r="I58" i="27"/>
  <c r="C58" i="27"/>
  <c r="F58" i="27"/>
  <c r="K58" i="27"/>
  <c r="J58" i="27"/>
  <c r="L58" i="27"/>
  <c r="E58" i="27"/>
  <c r="E62" i="27"/>
  <c r="I62" i="27"/>
  <c r="L62" i="27"/>
  <c r="L66" i="27"/>
  <c r="K66" i="27"/>
  <c r="F66" i="27"/>
  <c r="E66" i="27"/>
  <c r="G66" i="27"/>
  <c r="M66" i="27"/>
  <c r="D66" i="27"/>
  <c r="I66" i="27"/>
  <c r="C66" i="27"/>
  <c r="J66" i="27"/>
  <c r="H66" i="27"/>
  <c r="G59" i="27"/>
  <c r="M59" i="27"/>
  <c r="K59" i="27"/>
  <c r="D59" i="27"/>
  <c r="E59" i="27"/>
  <c r="I59" i="27"/>
  <c r="L59" i="27"/>
  <c r="H59" i="27"/>
  <c r="F59" i="27"/>
  <c r="J59" i="27"/>
  <c r="C59" i="27"/>
  <c r="I63" i="27"/>
  <c r="E63" i="27"/>
  <c r="C63" i="27"/>
  <c r="M63" i="27"/>
  <c r="D63" i="27"/>
  <c r="K63" i="27"/>
  <c r="F63" i="27"/>
  <c r="H63" i="27"/>
  <c r="J63" i="27"/>
  <c r="L63" i="27"/>
  <c r="G63" i="27"/>
  <c r="C67" i="27"/>
  <c r="G67" i="27"/>
  <c r="K67" i="27"/>
  <c r="L67" i="27"/>
  <c r="E67" i="27"/>
  <c r="I67" i="27"/>
  <c r="H67" i="27"/>
  <c r="J67" i="27"/>
  <c r="F67" i="27"/>
  <c r="M67" i="27"/>
  <c r="D67" i="27"/>
  <c r="L60" i="27"/>
  <c r="K60" i="27"/>
  <c r="C60" i="27"/>
  <c r="J60" i="27"/>
  <c r="E60" i="27"/>
  <c r="H60" i="27"/>
  <c r="I60" i="27"/>
  <c r="M64" i="27"/>
  <c r="G64" i="27"/>
  <c r="J64" i="27"/>
  <c r="I64" i="27"/>
  <c r="J40" i="6"/>
  <c r="J38" i="6"/>
  <c r="J44" i="6"/>
  <c r="J37" i="6"/>
  <c r="AY125" i="6"/>
  <c r="AY140" i="6"/>
  <c r="AY122" i="6"/>
  <c r="AY121" i="6"/>
  <c r="AY142" i="6"/>
  <c r="AY130" i="6"/>
  <c r="AY127" i="6"/>
  <c r="AY147" i="6"/>
  <c r="AY143" i="6"/>
  <c r="AY124" i="6"/>
  <c r="AY131" i="6"/>
  <c r="AY129" i="6"/>
  <c r="AY123" i="6"/>
  <c r="AY126" i="6"/>
  <c r="AY139" i="6"/>
  <c r="AY132" i="6"/>
  <c r="AY133" i="6"/>
  <c r="AY136" i="6"/>
  <c r="AY128" i="6"/>
  <c r="AY135" i="6"/>
  <c r="AY134" i="6"/>
  <c r="AY120" i="6"/>
  <c r="AY144" i="6"/>
  <c r="AY141" i="6"/>
  <c r="AY145" i="6"/>
  <c r="AY137" i="6"/>
  <c r="AY138" i="6"/>
  <c r="AY146" i="6"/>
  <c r="O9" i="15"/>
  <c r="AJ16" i="15" s="1"/>
  <c r="AC16" i="1"/>
  <c r="AB16" i="15"/>
  <c r="X16" i="15"/>
  <c r="A17" i="15"/>
  <c r="K16" i="15"/>
  <c r="L16" i="15"/>
  <c r="D16" i="15" s="1"/>
  <c r="L15" i="15"/>
  <c r="D15" i="15" s="1"/>
  <c r="L11" i="16"/>
  <c r="AE74" i="27"/>
  <c r="H40" i="27"/>
  <c r="G39" i="27" s="1"/>
  <c r="P75" i="27"/>
  <c r="BH11" i="6"/>
  <c r="BH12" i="6" s="1"/>
  <c r="BH220" i="6" s="1"/>
  <c r="L12" i="16"/>
  <c r="L15" i="16"/>
  <c r="D15" i="16" s="1"/>
  <c r="K15" i="16"/>
  <c r="AB15" i="16"/>
  <c r="A16" i="16"/>
  <c r="X15" i="16"/>
  <c r="C13" i="7"/>
  <c r="I10" i="7" s="1"/>
  <c r="BW13" i="7"/>
  <c r="BQ13" i="7"/>
  <c r="BK13" i="7"/>
  <c r="O15" i="1"/>
  <c r="A16" i="17"/>
  <c r="X15" i="17"/>
  <c r="K15" i="17"/>
  <c r="AB15" i="17"/>
  <c r="L12" i="17"/>
  <c r="O16" i="1"/>
  <c r="X17" i="1"/>
  <c r="AK17" i="1"/>
  <c r="L17" i="1"/>
  <c r="K17" i="1"/>
  <c r="AC17" i="1"/>
  <c r="A18" i="1"/>
  <c r="O17" i="1"/>
  <c r="AJ17" i="1"/>
  <c r="AB17" i="1"/>
  <c r="L11" i="19"/>
  <c r="Q10" i="1"/>
  <c r="AE11" i="1" s="1"/>
  <c r="P10" i="1"/>
  <c r="U10" i="1"/>
  <c r="AI11" i="1" s="1"/>
  <c r="V14" i="18"/>
  <c r="E6" i="6"/>
  <c r="A15" i="18"/>
  <c r="L1" i="18"/>
  <c r="J1" i="20"/>
  <c r="Y14" i="18"/>
  <c r="Y3" i="7"/>
  <c r="A15" i="19"/>
  <c r="A39" i="19" s="1"/>
  <c r="A65" i="19"/>
  <c r="F14" i="18"/>
  <c r="X1" i="18"/>
  <c r="BK10" i="7" l="1"/>
  <c r="BN9" i="7"/>
  <c r="BP10" i="7" s="1"/>
  <c r="BH161" i="6"/>
  <c r="I15" i="6"/>
  <c r="H12" i="6"/>
  <c r="H13" i="6"/>
  <c r="AX340" i="6"/>
  <c r="AX345" i="6"/>
  <c r="AX328" i="6"/>
  <c r="AX326" i="6"/>
  <c r="AX350" i="6"/>
  <c r="AX361" i="6"/>
  <c r="AX351" i="6"/>
  <c r="AX359" i="6"/>
  <c r="AX374" i="6"/>
  <c r="AX358" i="6"/>
  <c r="AX342" i="6"/>
  <c r="AX327" i="6"/>
  <c r="AX352" i="6"/>
  <c r="AX323" i="6"/>
  <c r="AX319" i="6"/>
  <c r="AX380" i="6"/>
  <c r="AS15" i="6"/>
  <c r="AR12" i="6"/>
  <c r="AU12" i="6"/>
  <c r="AX321" i="6"/>
  <c r="AX335" i="6"/>
  <c r="AX324" i="6"/>
  <c r="AX360" i="6"/>
  <c r="AX355" i="6"/>
  <c r="AX378" i="6"/>
  <c r="AX339" i="6"/>
  <c r="AX325" i="6"/>
  <c r="AX344" i="6"/>
  <c r="AX318" i="6"/>
  <c r="AX331" i="6"/>
  <c r="AX373" i="6"/>
  <c r="AX337" i="6"/>
  <c r="AX329" i="6"/>
  <c r="AX363" i="6"/>
  <c r="AX357" i="6"/>
  <c r="AX366" i="6"/>
  <c r="AX365" i="6"/>
  <c r="AX367" i="6"/>
  <c r="AX371" i="6"/>
  <c r="AU13" i="6"/>
  <c r="AX36" i="6"/>
  <c r="AW13" i="6"/>
  <c r="AW12" i="6"/>
  <c r="BH290" i="6"/>
  <c r="BH286" i="6"/>
  <c r="BH337" i="6"/>
  <c r="BH327" i="6"/>
  <c r="BH104" i="6"/>
  <c r="BH45" i="6"/>
  <c r="Q17" i="1"/>
  <c r="AY109" i="6"/>
  <c r="AY99" i="6"/>
  <c r="AY149" i="6"/>
  <c r="AY160" i="6"/>
  <c r="AY199" i="6"/>
  <c r="AY92" i="6"/>
  <c r="AY116" i="6"/>
  <c r="AY100" i="6"/>
  <c r="AY119" i="6"/>
  <c r="AY111" i="6"/>
  <c r="AY98" i="6"/>
  <c r="AY117" i="6"/>
  <c r="AY96" i="6"/>
  <c r="AY95" i="6"/>
  <c r="AY93" i="6"/>
  <c r="AY114" i="6"/>
  <c r="AT319" i="6"/>
  <c r="AT318" i="6"/>
  <c r="AT307" i="6"/>
  <c r="AY161" i="6"/>
  <c r="AY157" i="6"/>
  <c r="AY164" i="6"/>
  <c r="AY150" i="6"/>
  <c r="AY152" i="6"/>
  <c r="AY103" i="6"/>
  <c r="AY112" i="6"/>
  <c r="AY108" i="6"/>
  <c r="AY97" i="6"/>
  <c r="AY94" i="6"/>
  <c r="AY110" i="6"/>
  <c r="AY115" i="6"/>
  <c r="AY107" i="6"/>
  <c r="AY118" i="6"/>
  <c r="AY106" i="6"/>
  <c r="AY102" i="6"/>
  <c r="AY105" i="6"/>
  <c r="AY101" i="6"/>
  <c r="AY104" i="6"/>
  <c r="AY162" i="6"/>
  <c r="AY174" i="6"/>
  <c r="AY159" i="6"/>
  <c r="AY148" i="6"/>
  <c r="AY165" i="6"/>
  <c r="AY169" i="6"/>
  <c r="AY168" i="6"/>
  <c r="AY167" i="6"/>
  <c r="AT262" i="6"/>
  <c r="AT272" i="6"/>
  <c r="AT317" i="6"/>
  <c r="AT324" i="6"/>
  <c r="AT316" i="6"/>
  <c r="AT305" i="6"/>
  <c r="AT306" i="6"/>
  <c r="AT315" i="6"/>
  <c r="AT323" i="6"/>
  <c r="AT310" i="6"/>
  <c r="AT328" i="6"/>
  <c r="AT327" i="6"/>
  <c r="AT308" i="6"/>
  <c r="AT302" i="6"/>
  <c r="AT325" i="6"/>
  <c r="AT313" i="6"/>
  <c r="AT320" i="6"/>
  <c r="AT314" i="6"/>
  <c r="AT321" i="6"/>
  <c r="AT312" i="6"/>
  <c r="AT326" i="6"/>
  <c r="AT303" i="6"/>
  <c r="AT322" i="6"/>
  <c r="AT304" i="6"/>
  <c r="AT309" i="6"/>
  <c r="AT329" i="6"/>
  <c r="J16" i="6"/>
  <c r="AY163" i="6"/>
  <c r="AY154" i="6"/>
  <c r="AY171" i="6"/>
  <c r="AY155" i="6"/>
  <c r="AY170" i="6"/>
  <c r="AY156" i="6"/>
  <c r="AY172" i="6"/>
  <c r="AY158" i="6"/>
  <c r="AY173" i="6"/>
  <c r="AY153" i="6"/>
  <c r="AY151" i="6"/>
  <c r="AY175" i="6"/>
  <c r="AY166" i="6"/>
  <c r="AT260" i="6"/>
  <c r="AT298" i="6"/>
  <c r="AT295" i="6"/>
  <c r="AT274" i="6"/>
  <c r="AT284" i="6"/>
  <c r="J15" i="6"/>
  <c r="AT96" i="6"/>
  <c r="AZ96" i="6" s="1"/>
  <c r="J18" i="6"/>
  <c r="J95" i="6"/>
  <c r="AT113" i="6"/>
  <c r="AZ113" i="6" s="1"/>
  <c r="J92" i="6"/>
  <c r="J116" i="6"/>
  <c r="AT267" i="6"/>
  <c r="AT270" i="6"/>
  <c r="AT282" i="6"/>
  <c r="AT299" i="6"/>
  <c r="AT289" i="6"/>
  <c r="AT275" i="6"/>
  <c r="M54" i="6"/>
  <c r="M53" i="6" s="1"/>
  <c r="J20" i="6"/>
  <c r="J19" i="6"/>
  <c r="J21" i="6"/>
  <c r="N54" i="6"/>
  <c r="N53" i="6" s="1"/>
  <c r="N55" i="6" s="1"/>
  <c r="AT249" i="6"/>
  <c r="AT253" i="6"/>
  <c r="AT246" i="6"/>
  <c r="AT248" i="6"/>
  <c r="AT285" i="6"/>
  <c r="AT286" i="6"/>
  <c r="AT278" i="6"/>
  <c r="AT300" i="6"/>
  <c r="AT297" i="6"/>
  <c r="AT283" i="6"/>
  <c r="AT291" i="6"/>
  <c r="AT287" i="6"/>
  <c r="AT258" i="6"/>
  <c r="AT128" i="6"/>
  <c r="AZ128" i="6" s="1"/>
  <c r="J106" i="6"/>
  <c r="AT133" i="6"/>
  <c r="AZ133" i="6" s="1"/>
  <c r="AT126" i="6"/>
  <c r="AZ126" i="6" s="1"/>
  <c r="J102" i="6"/>
  <c r="J111" i="6"/>
  <c r="J107" i="6"/>
  <c r="J104" i="6"/>
  <c r="J96" i="6"/>
  <c r="J108" i="6"/>
  <c r="J118" i="6"/>
  <c r="J93" i="6"/>
  <c r="J109" i="6"/>
  <c r="J105" i="6"/>
  <c r="J101" i="6"/>
  <c r="J99" i="6"/>
  <c r="J115" i="6"/>
  <c r="J117" i="6"/>
  <c r="J113" i="6"/>
  <c r="J112" i="6"/>
  <c r="J114" i="6"/>
  <c r="J119" i="6"/>
  <c r="J97" i="6"/>
  <c r="J98" i="6"/>
  <c r="J110" i="6"/>
  <c r="J100" i="6"/>
  <c r="J94" i="6"/>
  <c r="AT112" i="6"/>
  <c r="AZ112" i="6" s="1"/>
  <c r="AT120" i="6"/>
  <c r="AZ120" i="6" s="1"/>
  <c r="U380" i="6" s="1"/>
  <c r="U381" i="6" s="1"/>
  <c r="AT130" i="6"/>
  <c r="AZ130" i="6" s="1"/>
  <c r="AT110" i="6"/>
  <c r="AT66" i="6"/>
  <c r="AT103" i="6"/>
  <c r="AZ103" i="6" s="1"/>
  <c r="AA55" i="6"/>
  <c r="AY380" i="6" s="1"/>
  <c r="AT30" i="6"/>
  <c r="AT56" i="6"/>
  <c r="Y55" i="6"/>
  <c r="AY364" i="6" s="1"/>
  <c r="AT259" i="6"/>
  <c r="AT269" i="6"/>
  <c r="AT256" i="6"/>
  <c r="AT251" i="6"/>
  <c r="AT250" i="6"/>
  <c r="W55" i="6"/>
  <c r="AY297" i="6" s="1"/>
  <c r="AT266" i="6"/>
  <c r="AT271" i="6"/>
  <c r="AT261" i="6"/>
  <c r="AT263" i="6"/>
  <c r="AT257" i="6"/>
  <c r="AT268" i="6"/>
  <c r="AT301" i="6"/>
  <c r="AT280" i="6"/>
  <c r="AT292" i="6"/>
  <c r="AT277" i="6"/>
  <c r="AT296" i="6"/>
  <c r="AT279" i="6"/>
  <c r="AT281" i="6"/>
  <c r="AT294" i="6"/>
  <c r="AT290" i="6"/>
  <c r="AT288" i="6"/>
  <c r="AT276" i="6"/>
  <c r="AT293" i="6"/>
  <c r="AT264" i="6"/>
  <c r="AT273" i="6"/>
  <c r="AT265" i="6"/>
  <c r="AT255" i="6"/>
  <c r="AT252" i="6"/>
  <c r="AT254" i="6"/>
  <c r="AT247" i="6"/>
  <c r="AY187" i="6"/>
  <c r="AY202" i="6"/>
  <c r="AY194" i="6"/>
  <c r="AY196" i="6"/>
  <c r="AY191" i="6"/>
  <c r="AY180" i="6"/>
  <c r="AY193" i="6"/>
  <c r="AY203" i="6"/>
  <c r="AY192" i="6"/>
  <c r="AY186" i="6"/>
  <c r="AY178" i="6"/>
  <c r="AY190" i="6"/>
  <c r="AY188" i="6"/>
  <c r="AY183" i="6"/>
  <c r="AY181" i="6"/>
  <c r="AY201" i="6"/>
  <c r="AY179" i="6"/>
  <c r="AY182" i="6"/>
  <c r="AY184" i="6"/>
  <c r="U55" i="6"/>
  <c r="AY242" i="6" s="1"/>
  <c r="AY200" i="6"/>
  <c r="AY176" i="6"/>
  <c r="AY198" i="6"/>
  <c r="AY195" i="6"/>
  <c r="AY197" i="6"/>
  <c r="AY177" i="6"/>
  <c r="AY189" i="6"/>
  <c r="AY185" i="6"/>
  <c r="U40" i="6"/>
  <c r="S40" i="6"/>
  <c r="AT185" i="6" s="1"/>
  <c r="AT95" i="6"/>
  <c r="AT86" i="6"/>
  <c r="AT108" i="6"/>
  <c r="AZ108" i="6" s="1"/>
  <c r="AT127" i="6"/>
  <c r="AZ127" i="6" s="1"/>
  <c r="AT122" i="6"/>
  <c r="AZ122" i="6" s="1"/>
  <c r="AT125" i="6"/>
  <c r="AZ125" i="6" s="1"/>
  <c r="AT116" i="6"/>
  <c r="AZ116" i="6" s="1"/>
  <c r="AT118" i="6"/>
  <c r="AT111" i="6"/>
  <c r="AT98" i="6"/>
  <c r="AT99" i="6"/>
  <c r="AT79" i="6"/>
  <c r="AT83" i="6"/>
  <c r="AT121" i="6"/>
  <c r="AZ121" i="6" s="1"/>
  <c r="AT107" i="6"/>
  <c r="AT123" i="6"/>
  <c r="AZ123" i="6" s="1"/>
  <c r="AT109" i="6"/>
  <c r="AZ109" i="6" s="1"/>
  <c r="AT124" i="6"/>
  <c r="AZ124" i="6" s="1"/>
  <c r="AT114" i="6"/>
  <c r="AT117" i="6"/>
  <c r="AZ117" i="6" s="1"/>
  <c r="AT129" i="6"/>
  <c r="AZ129" i="6" s="1"/>
  <c r="AT131" i="6"/>
  <c r="AZ131" i="6" s="1"/>
  <c r="AT115" i="6"/>
  <c r="AZ115" i="6" s="1"/>
  <c r="AT132" i="6"/>
  <c r="AZ132" i="6" s="1"/>
  <c r="AT106" i="6"/>
  <c r="AT119" i="6"/>
  <c r="AT40" i="6"/>
  <c r="AT45" i="6"/>
  <c r="AT58" i="6"/>
  <c r="AT53" i="6"/>
  <c r="AT28" i="6"/>
  <c r="AT29" i="6"/>
  <c r="AT34" i="6"/>
  <c r="AT43" i="6"/>
  <c r="AT67" i="6"/>
  <c r="AT64" i="6"/>
  <c r="AT76" i="6"/>
  <c r="AT55" i="6"/>
  <c r="AT104" i="6"/>
  <c r="AT93" i="6"/>
  <c r="AT100" i="6"/>
  <c r="AT78" i="6"/>
  <c r="AT90" i="6"/>
  <c r="AT81" i="6"/>
  <c r="AT105" i="6"/>
  <c r="AY87" i="6"/>
  <c r="AY69" i="6"/>
  <c r="AY76" i="6"/>
  <c r="AY78" i="6"/>
  <c r="AY67" i="6"/>
  <c r="AY72" i="6"/>
  <c r="AY75" i="6"/>
  <c r="AY68" i="6"/>
  <c r="AY66" i="6"/>
  <c r="AY70" i="6"/>
  <c r="AY91" i="6"/>
  <c r="AY90" i="6"/>
  <c r="AY88" i="6"/>
  <c r="AY89" i="6"/>
  <c r="AY80" i="6"/>
  <c r="AY82" i="6"/>
  <c r="AY65" i="6"/>
  <c r="AY64" i="6"/>
  <c r="AY77" i="6"/>
  <c r="AY85" i="6"/>
  <c r="AY84" i="6"/>
  <c r="AY71" i="6"/>
  <c r="AY73" i="6"/>
  <c r="AY81" i="6"/>
  <c r="AY83" i="6"/>
  <c r="AY79" i="6"/>
  <c r="AY74" i="6"/>
  <c r="AY86" i="6"/>
  <c r="AT32" i="6"/>
  <c r="AT35" i="6"/>
  <c r="AT49" i="6"/>
  <c r="AT23" i="6"/>
  <c r="AT26" i="6"/>
  <c r="AT25" i="6"/>
  <c r="AT46" i="6"/>
  <c r="AT72" i="6"/>
  <c r="AT63" i="6"/>
  <c r="AT61" i="6"/>
  <c r="AT71" i="6"/>
  <c r="AT57" i="6"/>
  <c r="AT70" i="6"/>
  <c r="AT52" i="6"/>
  <c r="AT91" i="6"/>
  <c r="AT89" i="6"/>
  <c r="AT88" i="6"/>
  <c r="AT97" i="6"/>
  <c r="AT94" i="6"/>
  <c r="AT92" i="6"/>
  <c r="AT84" i="6"/>
  <c r="AZ84" i="6" s="1"/>
  <c r="AT85" i="6"/>
  <c r="AZ85" i="6" s="1"/>
  <c r="AT82" i="6"/>
  <c r="AT80" i="6"/>
  <c r="AT102" i="6"/>
  <c r="AT101" i="6"/>
  <c r="AZ101" i="6" s="1"/>
  <c r="AT87" i="6"/>
  <c r="AT37" i="6"/>
  <c r="AT47" i="6"/>
  <c r="AT44" i="6"/>
  <c r="AT41" i="6"/>
  <c r="AT36" i="6"/>
  <c r="AT42" i="6"/>
  <c r="AT48" i="6"/>
  <c r="AT33" i="6"/>
  <c r="AT22" i="6"/>
  <c r="AT39" i="6"/>
  <c r="AT38" i="6"/>
  <c r="AT31" i="6"/>
  <c r="AT27" i="6"/>
  <c r="AT24" i="6"/>
  <c r="AT69" i="6"/>
  <c r="AT74" i="6"/>
  <c r="AZ74" i="6" s="1"/>
  <c r="AT68" i="6"/>
  <c r="AT73" i="6"/>
  <c r="AZ73" i="6" s="1"/>
  <c r="AT51" i="6"/>
  <c r="AT59" i="6"/>
  <c r="AT54" i="6"/>
  <c r="AT77" i="6"/>
  <c r="AT65" i="6"/>
  <c r="AT75" i="6"/>
  <c r="AT50" i="6"/>
  <c r="AT62" i="6"/>
  <c r="AT60" i="6"/>
  <c r="AN25" i="6"/>
  <c r="J374" i="6" s="1"/>
  <c r="AT18" i="6"/>
  <c r="AT15" i="6"/>
  <c r="AT21" i="6"/>
  <c r="AT20" i="6"/>
  <c r="Z39" i="6"/>
  <c r="Z38" i="6" s="1"/>
  <c r="Z40" i="6" s="1"/>
  <c r="AT16" i="6"/>
  <c r="AT17" i="6"/>
  <c r="AT19" i="6"/>
  <c r="AA39" i="6"/>
  <c r="AA38" i="6" s="1"/>
  <c r="I33" i="27"/>
  <c r="I24" i="27"/>
  <c r="BH32" i="6"/>
  <c r="BH15" i="6"/>
  <c r="BH20" i="6"/>
  <c r="BH250" i="6"/>
  <c r="BH373" i="6"/>
  <c r="BH217" i="6"/>
  <c r="BH26" i="6"/>
  <c r="BH261" i="6"/>
  <c r="BH162" i="6"/>
  <c r="I26" i="27"/>
  <c r="I32" i="27"/>
  <c r="I31" i="27"/>
  <c r="BH228" i="6"/>
  <c r="BH34" i="6"/>
  <c r="BH51" i="6"/>
  <c r="BH326" i="6"/>
  <c r="BH192" i="6"/>
  <c r="BH379" i="6"/>
  <c r="BH283" i="6"/>
  <c r="BH199" i="6"/>
  <c r="BH22" i="6"/>
  <c r="BH277" i="6"/>
  <c r="BH23" i="6"/>
  <c r="BH305" i="6"/>
  <c r="BH113" i="6"/>
  <c r="BH176" i="6"/>
  <c r="BH367" i="6"/>
  <c r="BH350" i="6"/>
  <c r="I28" i="27"/>
  <c r="I27" i="27"/>
  <c r="I23" i="27"/>
  <c r="I30" i="27"/>
  <c r="I21" i="27"/>
  <c r="I29" i="27"/>
  <c r="BH97" i="6"/>
  <c r="BH121" i="6"/>
  <c r="BH72" i="6"/>
  <c r="BH19" i="6"/>
  <c r="BH53" i="6"/>
  <c r="BH57" i="6"/>
  <c r="BH366" i="6"/>
  <c r="BH79" i="6"/>
  <c r="BH282" i="6"/>
  <c r="BH197" i="6"/>
  <c r="BH183" i="6"/>
  <c r="BH147" i="6"/>
  <c r="BH237" i="6"/>
  <c r="BH334" i="6"/>
  <c r="BH329" i="6"/>
  <c r="BH279" i="6"/>
  <c r="BH359" i="6"/>
  <c r="BH362" i="6"/>
  <c r="BH335" i="6"/>
  <c r="BH259" i="6"/>
  <c r="BH357" i="6"/>
  <c r="BH300" i="6"/>
  <c r="BH24" i="6"/>
  <c r="BH203" i="6"/>
  <c r="BH186" i="6"/>
  <c r="BH216" i="6"/>
  <c r="BH245" i="6"/>
  <c r="BH231" i="6"/>
  <c r="BH73" i="6"/>
  <c r="BH311" i="6"/>
  <c r="BH224" i="6"/>
  <c r="BH69" i="6"/>
  <c r="BH262" i="6"/>
  <c r="BH256" i="6"/>
  <c r="BH146" i="6"/>
  <c r="BH267" i="6"/>
  <c r="BH377" i="6"/>
  <c r="BH60" i="6"/>
  <c r="BH170" i="6"/>
  <c r="BH370" i="6"/>
  <c r="BH345" i="6"/>
  <c r="BH260" i="6"/>
  <c r="BH365" i="6"/>
  <c r="BH154" i="6"/>
  <c r="BH333" i="6"/>
  <c r="BH130" i="6"/>
  <c r="BH226" i="6"/>
  <c r="BH185" i="6"/>
  <c r="BH179" i="6"/>
  <c r="BH89" i="6"/>
  <c r="BH101" i="6"/>
  <c r="BH318" i="6"/>
  <c r="BH103" i="6"/>
  <c r="BH39" i="6"/>
  <c r="BH221" i="6"/>
  <c r="BH323" i="6"/>
  <c r="BH268" i="6"/>
  <c r="BH257" i="6"/>
  <c r="BH276" i="6"/>
  <c r="BH281" i="6"/>
  <c r="BH343" i="6"/>
  <c r="BH252" i="6"/>
  <c r="BH242" i="6"/>
  <c r="BH174" i="6"/>
  <c r="BH368" i="6"/>
  <c r="BH48" i="6"/>
  <c r="BH116" i="6"/>
  <c r="BH227" i="6"/>
  <c r="BH105" i="6"/>
  <c r="BH188" i="6"/>
  <c r="BH361" i="6"/>
  <c r="BH158" i="6"/>
  <c r="BH200" i="6"/>
  <c r="BH240" i="6"/>
  <c r="BH223" i="6"/>
  <c r="BH107" i="6"/>
  <c r="BH98" i="6"/>
  <c r="BH310" i="6"/>
  <c r="BH278" i="6"/>
  <c r="BH232" i="6"/>
  <c r="BH152" i="6"/>
  <c r="BH122" i="6"/>
  <c r="BH21" i="6"/>
  <c r="BH249" i="6"/>
  <c r="BH273" i="6"/>
  <c r="BH78" i="6"/>
  <c r="BH248" i="6"/>
  <c r="BH36" i="6"/>
  <c r="BH204" i="6"/>
  <c r="BH143" i="6"/>
  <c r="BH83" i="6"/>
  <c r="BH336" i="6"/>
  <c r="BH157" i="6"/>
  <c r="BH258" i="6"/>
  <c r="BH124" i="6"/>
  <c r="BH86" i="6"/>
  <c r="BH58" i="6"/>
  <c r="BH66" i="6"/>
  <c r="BH229" i="6"/>
  <c r="BH169" i="6"/>
  <c r="BH126" i="6"/>
  <c r="BH29" i="6"/>
  <c r="BH288" i="6"/>
  <c r="I22" i="27"/>
  <c r="I25" i="27"/>
  <c r="E8" i="15"/>
  <c r="K12" i="19" s="1"/>
  <c r="K36" i="19" s="1"/>
  <c r="I11" i="7"/>
  <c r="Q11" i="15" s="1"/>
  <c r="BH293" i="6"/>
  <c r="BH85" i="6"/>
  <c r="BH304" i="6"/>
  <c r="BH70" i="6"/>
  <c r="H13" i="7"/>
  <c r="F7" i="15"/>
  <c r="AJ15" i="15"/>
  <c r="P11" i="15"/>
  <c r="AK17" i="15" s="1"/>
  <c r="H15" i="7"/>
  <c r="BH196" i="6"/>
  <c r="BH364" i="6"/>
  <c r="BH344" i="6"/>
  <c r="BH239" i="6"/>
  <c r="BH71" i="6"/>
  <c r="BH175" i="6"/>
  <c r="BH356" i="6"/>
  <c r="BH118" i="6"/>
  <c r="BH339" i="6"/>
  <c r="BH87" i="6"/>
  <c r="BH50" i="6"/>
  <c r="BH209" i="6"/>
  <c r="BH135" i="6"/>
  <c r="BH46" i="6"/>
  <c r="BH347" i="6"/>
  <c r="BH74" i="6"/>
  <c r="BH156" i="6"/>
  <c r="BH38" i="6"/>
  <c r="BH84" i="6"/>
  <c r="BH25" i="6"/>
  <c r="BH342" i="6"/>
  <c r="BH225" i="6"/>
  <c r="BH67" i="6"/>
  <c r="BH372" i="6"/>
  <c r="BH61" i="6"/>
  <c r="BH81" i="6"/>
  <c r="BH275" i="6"/>
  <c r="BH292" i="6"/>
  <c r="BH238" i="6"/>
  <c r="BH149" i="6"/>
  <c r="BH378" i="6"/>
  <c r="BH37" i="6"/>
  <c r="BH303" i="6"/>
  <c r="BH355" i="6"/>
  <c r="BH198" i="6"/>
  <c r="BH163" i="6"/>
  <c r="BH294" i="6"/>
  <c r="BH115" i="6"/>
  <c r="BH264" i="6"/>
  <c r="BH18" i="6"/>
  <c r="BH100" i="6"/>
  <c r="BH193" i="6"/>
  <c r="BH172" i="6"/>
  <c r="BH301" i="6"/>
  <c r="BH330" i="6"/>
  <c r="BH207" i="6"/>
  <c r="BH270" i="6"/>
  <c r="BH119" i="6"/>
  <c r="BH63" i="6"/>
  <c r="BH214" i="6"/>
  <c r="BH17" i="6"/>
  <c r="BH299" i="6"/>
  <c r="BH315" i="6"/>
  <c r="BH324" i="6"/>
  <c r="BH140" i="6"/>
  <c r="BH168" i="6"/>
  <c r="BH306" i="6"/>
  <c r="BH351" i="6"/>
  <c r="BH68" i="6"/>
  <c r="BH201" i="6"/>
  <c r="BH243" i="6"/>
  <c r="BH165" i="6"/>
  <c r="BH123" i="6"/>
  <c r="BH47" i="6"/>
  <c r="BH341" i="6"/>
  <c r="BH187" i="6"/>
  <c r="BH128" i="6"/>
  <c r="BH298" i="6"/>
  <c r="BH230" i="6"/>
  <c r="BH109" i="6"/>
  <c r="BH184" i="6"/>
  <c r="BH313" i="6"/>
  <c r="BH235" i="6"/>
  <c r="BH269" i="6"/>
  <c r="BH317" i="6"/>
  <c r="BH346" i="6"/>
  <c r="BH236" i="6"/>
  <c r="BH164" i="6"/>
  <c r="BH284" i="6"/>
  <c r="BH30" i="6"/>
  <c r="BH173" i="6"/>
  <c r="BH312" i="6"/>
  <c r="BH234" i="6"/>
  <c r="BH285" i="6"/>
  <c r="BH43" i="6"/>
  <c r="BH127" i="6"/>
  <c r="BH263" i="6"/>
  <c r="BH35" i="6"/>
  <c r="BH136" i="6"/>
  <c r="BH212" i="6"/>
  <c r="BH117" i="6"/>
  <c r="BH375" i="6"/>
  <c r="BH177" i="6"/>
  <c r="BH99" i="6"/>
  <c r="BH289" i="6"/>
  <c r="BH181" i="6"/>
  <c r="BH316" i="6"/>
  <c r="BH153" i="6"/>
  <c r="BH64" i="6"/>
  <c r="BH353" i="6"/>
  <c r="BH266" i="6"/>
  <c r="BH90" i="6"/>
  <c r="BH251" i="6"/>
  <c r="BH31" i="6"/>
  <c r="BH332" i="6"/>
  <c r="BH167" i="6"/>
  <c r="BH75" i="6"/>
  <c r="BH93" i="6"/>
  <c r="BH171" i="6"/>
  <c r="BH208" i="6"/>
  <c r="BH33" i="6"/>
  <c r="BH325" i="6"/>
  <c r="BH82" i="6"/>
  <c r="BH348" i="6"/>
  <c r="BH110" i="6"/>
  <c r="BH338" i="6"/>
  <c r="BH95" i="6"/>
  <c r="BH112" i="6"/>
  <c r="BH374" i="6"/>
  <c r="BH16" i="6"/>
  <c r="BH191" i="6"/>
  <c r="BH138" i="6"/>
  <c r="BH253" i="6"/>
  <c r="BH309" i="6"/>
  <c r="BH222" i="6"/>
  <c r="BH141" i="6"/>
  <c r="BH320" i="6"/>
  <c r="BH28" i="6"/>
  <c r="BH296" i="6"/>
  <c r="BH151" i="6"/>
  <c r="BH27" i="6"/>
  <c r="BH271" i="6"/>
  <c r="BH331" i="6"/>
  <c r="BH166" i="6"/>
  <c r="BH213" i="6"/>
  <c r="BH246" i="6"/>
  <c r="BH150" i="6"/>
  <c r="BH182" i="6"/>
  <c r="BH272" i="6"/>
  <c r="BH106" i="6"/>
  <c r="BH108" i="6"/>
  <c r="BH328" i="6"/>
  <c r="BH211" i="6"/>
  <c r="BH132" i="6"/>
  <c r="BH219" i="6"/>
  <c r="BH155" i="6"/>
  <c r="BH319" i="6"/>
  <c r="BH241" i="6"/>
  <c r="BH233" i="6"/>
  <c r="BH189" i="6"/>
  <c r="BH160" i="6"/>
  <c r="BH49" i="6"/>
  <c r="BH206" i="6"/>
  <c r="BH314" i="6"/>
  <c r="BH195" i="6"/>
  <c r="BH133" i="6"/>
  <c r="BH302" i="6"/>
  <c r="BH352" i="6"/>
  <c r="BH159" i="6"/>
  <c r="BH114" i="6"/>
  <c r="BH145" i="6"/>
  <c r="BH202" i="6"/>
  <c r="BH102" i="6"/>
  <c r="BH42" i="6"/>
  <c r="BH94" i="6"/>
  <c r="BH111" i="6"/>
  <c r="BH120" i="6"/>
  <c r="BH178" i="6"/>
  <c r="BH354" i="6"/>
  <c r="BH76" i="6"/>
  <c r="BH265" i="6"/>
  <c r="BH96" i="6"/>
  <c r="BH295" i="6"/>
  <c r="BH194" i="6"/>
  <c r="BH88" i="6"/>
  <c r="BH55" i="6"/>
  <c r="BH297" i="6"/>
  <c r="BH274" i="6"/>
  <c r="BH137" i="6"/>
  <c r="BH91" i="6"/>
  <c r="BH363" i="6"/>
  <c r="BH41" i="6"/>
  <c r="BH125" i="6"/>
  <c r="BH59" i="6"/>
  <c r="BH210" i="6"/>
  <c r="BH360" i="6"/>
  <c r="BH80" i="6"/>
  <c r="BH56" i="6"/>
  <c r="BH54" i="6"/>
  <c r="BH322" i="6"/>
  <c r="BH321" i="6"/>
  <c r="BH308" i="6"/>
  <c r="BH218" i="6"/>
  <c r="BH380" i="6"/>
  <c r="BH148" i="6"/>
  <c r="BH376" i="6"/>
  <c r="BH255" i="6"/>
  <c r="BH307" i="6"/>
  <c r="BH65" i="6"/>
  <c r="BH291" i="6"/>
  <c r="BH52" i="6"/>
  <c r="BH358" i="6"/>
  <c r="BH44" i="6"/>
  <c r="BH142" i="6"/>
  <c r="BH180" i="6"/>
  <c r="BH280" i="6"/>
  <c r="BH247" i="6"/>
  <c r="BH131" i="6"/>
  <c r="BH62" i="6"/>
  <c r="BH349" i="6"/>
  <c r="BH40" i="6"/>
  <c r="BH254" i="6"/>
  <c r="BH369" i="6"/>
  <c r="BH134" i="6"/>
  <c r="BH190" i="6"/>
  <c r="BH92" i="6"/>
  <c r="BH371" i="6"/>
  <c r="BH129" i="6"/>
  <c r="BH287" i="6"/>
  <c r="BH77" i="6"/>
  <c r="BH340" i="6"/>
  <c r="BH244" i="6"/>
  <c r="BH215" i="6"/>
  <c r="BH205" i="6"/>
  <c r="BH139" i="6"/>
  <c r="BH144" i="6"/>
  <c r="AJ17" i="15"/>
  <c r="X17" i="15"/>
  <c r="AB17" i="15"/>
  <c r="A18" i="15"/>
  <c r="K17" i="15"/>
  <c r="L17" i="15"/>
  <c r="D17" i="15" s="1"/>
  <c r="L11" i="17"/>
  <c r="L15" i="17" s="1"/>
  <c r="P76" i="27"/>
  <c r="AE75" i="27"/>
  <c r="H41" i="27"/>
  <c r="N15" i="7"/>
  <c r="P11" i="16"/>
  <c r="A17" i="16"/>
  <c r="X16" i="16"/>
  <c r="L16" i="16"/>
  <c r="D16" i="16" s="1"/>
  <c r="AK16" i="16"/>
  <c r="AB16" i="16"/>
  <c r="K16" i="16"/>
  <c r="L12" i="18"/>
  <c r="Y14" i="20"/>
  <c r="AE3" i="7"/>
  <c r="A15" i="20"/>
  <c r="V14" i="20"/>
  <c r="F6" i="6"/>
  <c r="L1" i="20"/>
  <c r="J1" i="22"/>
  <c r="A16" i="19"/>
  <c r="A40" i="19" s="1"/>
  <c r="X1" i="20"/>
  <c r="F14" i="20"/>
  <c r="X15" i="18"/>
  <c r="AB15" i="18"/>
  <c r="K15" i="18"/>
  <c r="A16" i="18"/>
  <c r="AE369" i="1"/>
  <c r="AE353" i="1"/>
  <c r="AE341" i="1"/>
  <c r="AE336" i="1"/>
  <c r="AE335" i="1"/>
  <c r="AE334" i="1"/>
  <c r="AE327" i="1"/>
  <c r="AE326" i="1"/>
  <c r="AE317" i="1"/>
  <c r="AE310" i="1"/>
  <c r="AE292" i="1"/>
  <c r="AE274" i="1"/>
  <c r="AE258" i="1"/>
  <c r="AE239" i="1"/>
  <c r="AE238" i="1"/>
  <c r="AE228" i="1"/>
  <c r="AE214" i="1"/>
  <c r="AE213" i="1"/>
  <c r="AE212" i="1"/>
  <c r="AE203" i="1"/>
  <c r="AE200" i="1"/>
  <c r="AE170" i="1"/>
  <c r="AE165" i="1"/>
  <c r="AE164" i="1"/>
  <c r="AE156" i="1"/>
  <c r="AE148" i="1"/>
  <c r="AE118" i="1"/>
  <c r="AE113" i="1"/>
  <c r="AE106" i="1"/>
  <c r="AE105" i="1"/>
  <c r="AE100" i="1"/>
  <c r="AE92" i="1"/>
  <c r="AE91" i="1"/>
  <c r="AE90" i="1"/>
  <c r="AE56" i="1"/>
  <c r="AE42" i="1"/>
  <c r="AE38" i="1"/>
  <c r="AE24" i="1"/>
  <c r="AE373" i="1"/>
  <c r="AE362" i="1"/>
  <c r="AE361" i="1"/>
  <c r="AE280" i="1"/>
  <c r="AE244" i="1"/>
  <c r="AE243" i="1"/>
  <c r="AE232" i="1"/>
  <c r="AE186" i="1"/>
  <c r="AE183" i="1"/>
  <c r="AE182" i="1"/>
  <c r="AE175" i="1"/>
  <c r="AE174" i="1"/>
  <c r="AE152" i="1"/>
  <c r="AE96" i="1"/>
  <c r="AE50" i="1"/>
  <c r="AE49" i="1"/>
  <c r="AE48" i="1"/>
  <c r="AE173" i="1"/>
  <c r="AE221" i="1"/>
  <c r="AE217" i="1"/>
  <c r="AE206" i="1"/>
  <c r="AE136" i="1"/>
  <c r="AE363" i="1"/>
  <c r="AE229" i="1"/>
  <c r="AE23" i="1"/>
  <c r="AE279" i="1"/>
  <c r="AE293" i="1"/>
  <c r="AE83" i="1"/>
  <c r="AE97" i="1"/>
  <c r="AE197" i="1"/>
  <c r="AE223" i="1"/>
  <c r="AE192" i="1"/>
  <c r="AE265" i="1"/>
  <c r="AE159" i="1"/>
  <c r="AE15" i="1"/>
  <c r="AE267" i="1"/>
  <c r="AE297" i="1"/>
  <c r="AE71" i="1"/>
  <c r="AE137" i="1"/>
  <c r="AE124" i="1"/>
  <c r="AE316" i="1"/>
  <c r="AE33" i="1"/>
  <c r="AE21" i="1"/>
  <c r="AE163" i="1"/>
  <c r="AE251" i="1"/>
  <c r="AE343" i="1"/>
  <c r="AE342" i="1"/>
  <c r="AE273" i="1"/>
  <c r="AE275" i="1"/>
  <c r="AE227" i="1"/>
  <c r="AE359" i="1"/>
  <c r="AE117" i="1"/>
  <c r="AE143" i="1"/>
  <c r="AE65" i="1"/>
  <c r="AE112" i="1"/>
  <c r="AE245" i="1"/>
  <c r="AE211" i="1"/>
  <c r="AE225" i="1"/>
  <c r="AE345" i="1"/>
  <c r="AE85" i="1"/>
  <c r="AE108" i="1"/>
  <c r="AE256" i="1"/>
  <c r="AE322" i="1"/>
  <c r="AE84" i="1"/>
  <c r="AE122" i="1"/>
  <c r="AE252" i="1"/>
  <c r="AE315" i="1"/>
  <c r="AE235" i="1"/>
  <c r="AE370" i="1"/>
  <c r="AE43" i="1"/>
  <c r="AE257" i="1"/>
  <c r="AE248" i="1"/>
  <c r="AE114" i="1"/>
  <c r="AE57" i="1"/>
  <c r="AE191" i="1"/>
  <c r="AE27" i="1"/>
  <c r="AE193" i="1"/>
  <c r="AE53" i="1"/>
  <c r="AE127" i="1"/>
  <c r="AE289" i="1"/>
  <c r="AE231" i="1"/>
  <c r="AE285" i="1"/>
  <c r="AE219" i="1"/>
  <c r="AE323" i="1"/>
  <c r="BY15" i="7"/>
  <c r="AE205" i="1"/>
  <c r="AE180" i="1"/>
  <c r="AE330" i="1"/>
  <c r="AE222" i="1"/>
  <c r="AE99" i="1"/>
  <c r="AE261" i="1"/>
  <c r="AE82" i="1"/>
  <c r="AE349" i="1"/>
  <c r="AE304" i="1"/>
  <c r="AE303" i="1"/>
  <c r="AE298" i="1"/>
  <c r="AE268" i="1"/>
  <c r="AE263" i="1"/>
  <c r="AE262" i="1"/>
  <c r="AE220" i="1"/>
  <c r="AE160" i="1"/>
  <c r="AE142" i="1"/>
  <c r="AE135" i="1"/>
  <c r="AE130" i="1"/>
  <c r="AE76" i="1"/>
  <c r="AE73" i="1"/>
  <c r="AE72" i="1"/>
  <c r="AE67" i="1"/>
  <c r="AE66" i="1"/>
  <c r="AE34" i="1"/>
  <c r="AE379" i="1"/>
  <c r="AE12" i="15" s="1"/>
  <c r="AE89" i="1"/>
  <c r="AE287" i="1"/>
  <c r="AE95" i="1"/>
  <c r="AE313" i="1"/>
  <c r="AE169" i="1"/>
  <c r="BM15" i="7"/>
  <c r="AE107" i="1"/>
  <c r="AE249" i="1"/>
  <c r="AE74" i="1"/>
  <c r="AE45" i="1"/>
  <c r="AE145" i="1"/>
  <c r="AE254" i="1"/>
  <c r="AE281" i="1"/>
  <c r="AE63" i="1"/>
  <c r="AE272" i="1"/>
  <c r="AE340" i="1"/>
  <c r="AE264" i="1"/>
  <c r="AE147" i="1"/>
  <c r="AE215" i="1"/>
  <c r="AE259" i="1"/>
  <c r="AE305" i="1"/>
  <c r="AE269" i="1"/>
  <c r="AE355" i="1"/>
  <c r="AE301" i="1"/>
  <c r="AE64" i="1"/>
  <c r="AE290" i="1"/>
  <c r="AE25" i="1"/>
  <c r="AE378" i="1"/>
  <c r="AE185" i="1"/>
  <c r="AE161" i="1"/>
  <c r="AE344" i="1"/>
  <c r="AE309" i="1"/>
  <c r="AE312" i="1"/>
  <c r="AE196" i="1"/>
  <c r="AE47" i="1"/>
  <c r="AE184" i="1"/>
  <c r="AE302" i="1"/>
  <c r="AE68" i="1"/>
  <c r="AE216" i="1"/>
  <c r="AE157" i="1"/>
  <c r="AE202" i="1"/>
  <c r="AE320" i="1"/>
  <c r="AE101" i="1"/>
  <c r="AE153" i="1"/>
  <c r="AE360" i="1"/>
  <c r="BS15" i="7"/>
  <c r="AE35" i="1"/>
  <c r="AE337" i="1"/>
  <c r="AE131" i="1"/>
  <c r="AE104" i="1"/>
  <c r="AE242" i="1"/>
  <c r="AE208" i="1"/>
  <c r="AE40" i="1"/>
  <c r="AE19" i="1"/>
  <c r="AE234" i="1"/>
  <c r="AE365" i="1"/>
  <c r="AE138" i="1"/>
  <c r="AE356" i="1"/>
  <c r="AE198" i="1"/>
  <c r="AE318" i="1"/>
  <c r="AE253" i="1"/>
  <c r="AE224" i="1"/>
  <c r="AE321" i="1"/>
  <c r="AE233" i="1"/>
  <c r="AE144" i="1"/>
  <c r="AE41" i="1"/>
  <c r="AE80" i="1"/>
  <c r="AE194" i="1"/>
  <c r="AE346" i="1"/>
  <c r="AE300" i="1"/>
  <c r="AE155" i="1"/>
  <c r="AE247" i="1"/>
  <c r="AE181" i="1"/>
  <c r="AE237" i="1"/>
  <c r="AE78" i="1"/>
  <c r="AE366" i="1"/>
  <c r="AE271" i="1"/>
  <c r="AE255" i="1"/>
  <c r="AE20" i="1"/>
  <c r="AE352" i="1"/>
  <c r="AE77" i="1"/>
  <c r="AE333" i="1"/>
  <c r="AE204" i="1"/>
  <c r="AE55" i="1"/>
  <c r="AE109" i="1"/>
  <c r="AE151" i="1"/>
  <c r="AE59" i="1"/>
  <c r="E15" i="7"/>
  <c r="AE209" i="1"/>
  <c r="AE176" i="1"/>
  <c r="AE354" i="1"/>
  <c r="AE149" i="1"/>
  <c r="AE282" i="1"/>
  <c r="AE51" i="1"/>
  <c r="AE331" i="1"/>
  <c r="AE358" i="1"/>
  <c r="AE81" i="1"/>
  <c r="AE126" i="1"/>
  <c r="AE201" i="1"/>
  <c r="AE123" i="1"/>
  <c r="AE283" i="1"/>
  <c r="AE75" i="1"/>
  <c r="AE266" i="1"/>
  <c r="AE125" i="1"/>
  <c r="AE311" i="1"/>
  <c r="AE328" i="1"/>
  <c r="AE171" i="1"/>
  <c r="AE195" i="1"/>
  <c r="AE246" i="1"/>
  <c r="AE69" i="1"/>
  <c r="AE119" i="1"/>
  <c r="AE187" i="1"/>
  <c r="AE291" i="1"/>
  <c r="AE16" i="1"/>
  <c r="AE166" i="1"/>
  <c r="AE314" i="1"/>
  <c r="AE37" i="1"/>
  <c r="AE240" i="1"/>
  <c r="AE325" i="1"/>
  <c r="AE199" i="1"/>
  <c r="AE30" i="1"/>
  <c r="AE286" i="1"/>
  <c r="AE60" i="1"/>
  <c r="AE129" i="1"/>
  <c r="AE350" i="1"/>
  <c r="AE79" i="1"/>
  <c r="AE299" i="1"/>
  <c r="AE374" i="1"/>
  <c r="AE93" i="1"/>
  <c r="AE141" i="1"/>
  <c r="AE179" i="1"/>
  <c r="AE134" i="1"/>
  <c r="AE284" i="1"/>
  <c r="AE348" i="1"/>
  <c r="AE18" i="1"/>
  <c r="AE17" i="1"/>
  <c r="AE26" i="1"/>
  <c r="AE29" i="1"/>
  <c r="AE39" i="1"/>
  <c r="AE46" i="1"/>
  <c r="AE54" i="1"/>
  <c r="AE70" i="1"/>
  <c r="AE28" i="1"/>
  <c r="AE58" i="1"/>
  <c r="AE87" i="1"/>
  <c r="AE110" i="1"/>
  <c r="AE128" i="1"/>
  <c r="AE140" i="1"/>
  <c r="AE167" i="1"/>
  <c r="AE260" i="1"/>
  <c r="AE296" i="1"/>
  <c r="AE319" i="1"/>
  <c r="AE347" i="1"/>
  <c r="AE371" i="1"/>
  <c r="AE44" i="1"/>
  <c r="AE115" i="1"/>
  <c r="AE172" i="1"/>
  <c r="AE189" i="1"/>
  <c r="AE230" i="1"/>
  <c r="AE276" i="1"/>
  <c r="AE338" i="1"/>
  <c r="AE367" i="1"/>
  <c r="AE375" i="1"/>
  <c r="AE22" i="1"/>
  <c r="AE36" i="1"/>
  <c r="AE61" i="1"/>
  <c r="AE88" i="1"/>
  <c r="AE103" i="1"/>
  <c r="AE116" i="1"/>
  <c r="AE132" i="1"/>
  <c r="AE146" i="1"/>
  <c r="AE162" i="1"/>
  <c r="AE177" i="1"/>
  <c r="AE190" i="1"/>
  <c r="AE226" i="1"/>
  <c r="AE250" i="1"/>
  <c r="AE277" i="1"/>
  <c r="AE295" i="1"/>
  <c r="AE308" i="1"/>
  <c r="AE332" i="1"/>
  <c r="AE351" i="1"/>
  <c r="AE368" i="1"/>
  <c r="AE376" i="1"/>
  <c r="AE32" i="1"/>
  <c r="AE62" i="1"/>
  <c r="AE102" i="1"/>
  <c r="AE120" i="1"/>
  <c r="AE133" i="1"/>
  <c r="AE158" i="1"/>
  <c r="AE218" i="1"/>
  <c r="AE294" i="1"/>
  <c r="AE307" i="1"/>
  <c r="AE329" i="1"/>
  <c r="AE94" i="1"/>
  <c r="AE150" i="1"/>
  <c r="AE178" i="1"/>
  <c r="AE207" i="1"/>
  <c r="AE241" i="1"/>
  <c r="AE278" i="1"/>
  <c r="AE357" i="1"/>
  <c r="AE377" i="1"/>
  <c r="AE372" i="1"/>
  <c r="AE31" i="1"/>
  <c r="AE52" i="1"/>
  <c r="AE86" i="1"/>
  <c r="AE98" i="1"/>
  <c r="AE111" i="1"/>
  <c r="AE121" i="1"/>
  <c r="AE139" i="1"/>
  <c r="AE154" i="1"/>
  <c r="AE168" i="1"/>
  <c r="AE188" i="1"/>
  <c r="AE210" i="1"/>
  <c r="AE236" i="1"/>
  <c r="AE270" i="1"/>
  <c r="AE288" i="1"/>
  <c r="AE306" i="1"/>
  <c r="AE324" i="1"/>
  <c r="AE339" i="1"/>
  <c r="AE364" i="1"/>
  <c r="Q18" i="1"/>
  <c r="K18" i="1"/>
  <c r="L18" i="1"/>
  <c r="A19" i="1"/>
  <c r="X18" i="1"/>
  <c r="AC18" i="1"/>
  <c r="AK18" i="1"/>
  <c r="AJ18" i="1"/>
  <c r="AB18" i="1"/>
  <c r="U18" i="1"/>
  <c r="T18" i="1" s="1"/>
  <c r="O18" i="1"/>
  <c r="AB16" i="17"/>
  <c r="K16" i="17"/>
  <c r="X16" i="17"/>
  <c r="A17" i="17"/>
  <c r="AI66" i="1"/>
  <c r="AH66" i="1" s="1"/>
  <c r="AI298" i="1"/>
  <c r="AH298" i="1" s="1"/>
  <c r="AI302" i="1"/>
  <c r="AH302" i="1" s="1"/>
  <c r="AI267" i="1"/>
  <c r="AH267" i="1" s="1"/>
  <c r="AI119" i="1"/>
  <c r="AI200" i="1"/>
  <c r="AH200" i="1" s="1"/>
  <c r="AI198" i="1"/>
  <c r="AH198" i="1" s="1"/>
  <c r="AI371" i="1"/>
  <c r="AI293" i="1"/>
  <c r="AH293" i="1" s="1"/>
  <c r="AI299" i="1"/>
  <c r="AH299" i="1" s="1"/>
  <c r="AI213" i="1"/>
  <c r="AH213" i="1" s="1"/>
  <c r="AI106" i="1"/>
  <c r="AH106" i="1" s="1"/>
  <c r="AI224" i="1"/>
  <c r="AH224" i="1" s="1"/>
  <c r="AI122" i="1"/>
  <c r="AI355" i="1"/>
  <c r="AH355" i="1" s="1"/>
  <c r="AI84" i="1"/>
  <c r="AH84" i="1" s="1"/>
  <c r="AI311" i="1"/>
  <c r="AH311" i="1" s="1"/>
  <c r="AI124" i="1"/>
  <c r="AI148" i="1"/>
  <c r="AH148" i="1" s="1"/>
  <c r="AI329" i="1"/>
  <c r="AH329" i="1" s="1"/>
  <c r="AI351" i="1"/>
  <c r="AH351" i="1" s="1"/>
  <c r="AI252" i="1"/>
  <c r="AH252" i="1" s="1"/>
  <c r="AI151" i="1"/>
  <c r="AH151" i="1" s="1"/>
  <c r="AI230" i="1"/>
  <c r="AH230" i="1" s="1"/>
  <c r="AI317" i="1"/>
  <c r="AI338" i="1"/>
  <c r="AH338" i="1" s="1"/>
  <c r="AI138" i="1"/>
  <c r="AH138" i="1" s="1"/>
  <c r="AI353" i="1"/>
  <c r="AH353" i="1" s="1"/>
  <c r="AI354" i="1"/>
  <c r="AH354" i="1" s="1"/>
  <c r="AI229" i="1"/>
  <c r="AH229" i="1" s="1"/>
  <c r="AI139" i="1"/>
  <c r="AH139" i="1" s="1"/>
  <c r="AI94" i="1"/>
  <c r="AH94" i="1" s="1"/>
  <c r="AI272" i="1"/>
  <c r="AH272" i="1" s="1"/>
  <c r="AI357" i="1"/>
  <c r="AH357" i="1" s="1"/>
  <c r="AI321" i="1"/>
  <c r="AI323" i="1"/>
  <c r="AH323" i="1" s="1"/>
  <c r="AI117" i="1"/>
  <c r="AH117" i="1" s="1"/>
  <c r="AI133" i="1"/>
  <c r="AH133" i="1" s="1"/>
  <c r="AI284" i="1"/>
  <c r="AI215" i="1"/>
  <c r="AI143" i="1"/>
  <c r="AH143" i="1" s="1"/>
  <c r="AI211" i="1"/>
  <c r="AI37" i="1"/>
  <c r="AI170" i="1"/>
  <c r="AI346" i="1"/>
  <c r="AI168" i="1"/>
  <c r="AH168" i="1" s="1"/>
  <c r="AI74" i="1"/>
  <c r="AH74" i="1" s="1"/>
  <c r="AI93" i="1"/>
  <c r="AH93" i="1" s="1"/>
  <c r="AI370" i="1"/>
  <c r="AH370" i="1" s="1"/>
  <c r="AI26" i="1"/>
  <c r="AH26" i="1" s="1"/>
  <c r="AI83" i="1"/>
  <c r="AH83" i="1" s="1"/>
  <c r="AI115" i="1"/>
  <c r="AH115" i="1" s="1"/>
  <c r="AI39" i="1"/>
  <c r="AH39" i="1" s="1"/>
  <c r="AI32" i="1"/>
  <c r="AI330" i="1"/>
  <c r="AI29" i="1"/>
  <c r="AH29" i="1" s="1"/>
  <c r="AI27" i="1"/>
  <c r="AH27" i="1" s="1"/>
  <c r="AI269" i="1"/>
  <c r="AI214" i="1"/>
  <c r="AH214" i="1" s="1"/>
  <c r="AI324" i="1"/>
  <c r="AH324" i="1" s="1"/>
  <c r="AI276" i="1"/>
  <c r="AI86" i="1"/>
  <c r="AI199" i="1"/>
  <c r="AH199" i="1" s="1"/>
  <c r="AI263" i="1"/>
  <c r="AH263" i="1" s="1"/>
  <c r="AI52" i="1"/>
  <c r="AH52" i="1" s="1"/>
  <c r="AI235" i="1"/>
  <c r="AH235" i="1" s="1"/>
  <c r="AI116" i="1"/>
  <c r="AH116" i="1" s="1"/>
  <c r="AI343" i="1"/>
  <c r="AH343" i="1" s="1"/>
  <c r="AI359" i="1"/>
  <c r="AI131" i="1"/>
  <c r="AH131" i="1" s="1"/>
  <c r="AI57" i="1"/>
  <c r="AH57" i="1" s="1"/>
  <c r="AI59" i="1"/>
  <c r="AH59" i="1" s="1"/>
  <c r="AI331" i="1"/>
  <c r="AH331" i="1" s="1"/>
  <c r="AI348" i="1"/>
  <c r="AI368" i="1"/>
  <c r="AH368" i="1" s="1"/>
  <c r="AI265" i="1"/>
  <c r="AH265" i="1" s="1"/>
  <c r="AI73" i="1"/>
  <c r="AI126" i="1"/>
  <c r="AH126" i="1" s="1"/>
  <c r="AI195" i="1"/>
  <c r="AH195" i="1" s="1"/>
  <c r="AI205" i="1"/>
  <c r="AH205" i="1" s="1"/>
  <c r="AI241" i="1"/>
  <c r="AI48" i="1"/>
  <c r="AH48" i="1" s="1"/>
  <c r="AI340" i="1"/>
  <c r="AH340" i="1" s="1"/>
  <c r="AI242" i="1"/>
  <c r="AH242" i="1" s="1"/>
  <c r="AI56" i="1"/>
  <c r="AH56" i="1" s="1"/>
  <c r="AI91" i="1"/>
  <c r="AH91" i="1" s="1"/>
  <c r="AI163" i="1"/>
  <c r="AH163" i="1" s="1"/>
  <c r="AI76" i="1"/>
  <c r="AH76" i="1" s="1"/>
  <c r="AI180" i="1"/>
  <c r="AH180" i="1" s="1"/>
  <c r="AI100" i="1"/>
  <c r="AH100" i="1" s="1"/>
  <c r="AI258" i="1"/>
  <c r="AH258" i="1" s="1"/>
  <c r="AI278" i="1"/>
  <c r="AH278" i="1" s="1"/>
  <c r="AI275" i="1"/>
  <c r="AH275" i="1" s="1"/>
  <c r="AI35" i="1"/>
  <c r="AI182" i="1"/>
  <c r="AH182" i="1" s="1"/>
  <c r="AI256" i="1"/>
  <c r="AH256" i="1" s="1"/>
  <c r="AI206" i="1"/>
  <c r="AI162" i="1"/>
  <c r="AI88" i="1"/>
  <c r="AH88" i="1" s="1"/>
  <c r="AI166" i="1"/>
  <c r="AH166" i="1" s="1"/>
  <c r="AI144" i="1"/>
  <c r="AI239" i="1"/>
  <c r="AI150" i="1"/>
  <c r="AH150" i="1" s="1"/>
  <c r="AI77" i="1"/>
  <c r="AH77" i="1" s="1"/>
  <c r="AI145" i="1"/>
  <c r="AH145" i="1" s="1"/>
  <c r="AI342" i="1"/>
  <c r="AH342" i="1" s="1"/>
  <c r="AI217" i="1"/>
  <c r="AH217" i="1" s="1"/>
  <c r="AI62" i="1"/>
  <c r="AI373" i="1"/>
  <c r="AH373" i="1" s="1"/>
  <c r="AI152" i="1"/>
  <c r="AI326" i="1"/>
  <c r="AH326" i="1" s="1"/>
  <c r="AI332" i="1"/>
  <c r="AI286" i="1"/>
  <c r="AH286" i="1" s="1"/>
  <c r="AI349" i="1"/>
  <c r="AI282" i="1"/>
  <c r="AI316" i="1"/>
  <c r="AH316" i="1" s="1"/>
  <c r="AI130" i="1"/>
  <c r="AI240" i="1"/>
  <c r="AH240" i="1" s="1"/>
  <c r="AI352" i="1"/>
  <c r="AH352" i="1" s="1"/>
  <c r="E16" i="7"/>
  <c r="AI16" i="1"/>
  <c r="AI41" i="1"/>
  <c r="AI207" i="1"/>
  <c r="AH207" i="1" s="1"/>
  <c r="AI201" i="1"/>
  <c r="AH201" i="1" s="1"/>
  <c r="AI158" i="1"/>
  <c r="BS16" i="7"/>
  <c r="AI261" i="1"/>
  <c r="AI108" i="1"/>
  <c r="AI374" i="1"/>
  <c r="AH374" i="1" s="1"/>
  <c r="AI270" i="1"/>
  <c r="AI53" i="1"/>
  <c r="AH53" i="1" s="1"/>
  <c r="AI318" i="1"/>
  <c r="AI249" i="1"/>
  <c r="AI283" i="1"/>
  <c r="AI42" i="1"/>
  <c r="AH42" i="1" s="1"/>
  <c r="AI231" i="1"/>
  <c r="AH231" i="1" s="1"/>
  <c r="AI377" i="1"/>
  <c r="AH377" i="1" s="1"/>
  <c r="AI315" i="1"/>
  <c r="AI379" i="1"/>
  <c r="AI177" i="1"/>
  <c r="AH177" i="1" s="1"/>
  <c r="AI79" i="1"/>
  <c r="AH79" i="1" s="1"/>
  <c r="AI227" i="1"/>
  <c r="AH227" i="1" s="1"/>
  <c r="AI189" i="1"/>
  <c r="AH189" i="1" s="1"/>
  <c r="AI103" i="1"/>
  <c r="AH103" i="1" s="1"/>
  <c r="AI44" i="1"/>
  <c r="AH44" i="1" s="1"/>
  <c r="AI142" i="1"/>
  <c r="AH142" i="1" s="1"/>
  <c r="AI266" i="1"/>
  <c r="AH266" i="1" s="1"/>
  <c r="AI157" i="1"/>
  <c r="AH157" i="1" s="1"/>
  <c r="AI184" i="1"/>
  <c r="AH184" i="1" s="1"/>
  <c r="AI85" i="1"/>
  <c r="AH85" i="1" s="1"/>
  <c r="AI307" i="1"/>
  <c r="AH307" i="1" s="1"/>
  <c r="AI23" i="1"/>
  <c r="AH23" i="1" s="1"/>
  <c r="AI253" i="1"/>
  <c r="AH253" i="1" s="1"/>
  <c r="AI277" i="1"/>
  <c r="AH277" i="1" s="1"/>
  <c r="AI101" i="1"/>
  <c r="AH101" i="1" s="1"/>
  <c r="AI141" i="1"/>
  <c r="AH141" i="1" s="1"/>
  <c r="AI280" i="1"/>
  <c r="AH280" i="1" s="1"/>
  <c r="AI327" i="1"/>
  <c r="AH327" i="1" s="1"/>
  <c r="AI22" i="1"/>
  <c r="AH22" i="1" s="1"/>
  <c r="AI173" i="1"/>
  <c r="AH173" i="1" s="1"/>
  <c r="AI197" i="1"/>
  <c r="AH197" i="1" s="1"/>
  <c r="AI271" i="1"/>
  <c r="AH271" i="1" s="1"/>
  <c r="AI90" i="1"/>
  <c r="AH90" i="1" s="1"/>
  <c r="AI361" i="1"/>
  <c r="AH361" i="1" s="1"/>
  <c r="AI187" i="1"/>
  <c r="AH187" i="1" s="1"/>
  <c r="AI118" i="1"/>
  <c r="AH118" i="1" s="1"/>
  <c r="AI72" i="1"/>
  <c r="AH72" i="1" s="1"/>
  <c r="AI337" i="1"/>
  <c r="AH337" i="1" s="1"/>
  <c r="AI107" i="1"/>
  <c r="AH107" i="1" s="1"/>
  <c r="AI75" i="1"/>
  <c r="AH75" i="1" s="1"/>
  <c r="AI196" i="1"/>
  <c r="AH196" i="1" s="1"/>
  <c r="AI268" i="1"/>
  <c r="AH268" i="1" s="1"/>
  <c r="AI193" i="1"/>
  <c r="AH193" i="1" s="1"/>
  <c r="AI181" i="1"/>
  <c r="AH181" i="1" s="1"/>
  <c r="AI262" i="1"/>
  <c r="AH262" i="1" s="1"/>
  <c r="AI363" i="1"/>
  <c r="AH363" i="1" s="1"/>
  <c r="AI243" i="1"/>
  <c r="AH243" i="1" s="1"/>
  <c r="AI80" i="1"/>
  <c r="AH80" i="1" s="1"/>
  <c r="AI18" i="1"/>
  <c r="AH18" i="1" s="1"/>
  <c r="AI292" i="1"/>
  <c r="AH292" i="1" s="1"/>
  <c r="BY16" i="7"/>
  <c r="AI288" i="1"/>
  <c r="AH288" i="1" s="1"/>
  <c r="AI291" i="1"/>
  <c r="AI339" i="1"/>
  <c r="AH339" i="1" s="1"/>
  <c r="AI313" i="1"/>
  <c r="AH313" i="1" s="1"/>
  <c r="AI82" i="1"/>
  <c r="AH82" i="1" s="1"/>
  <c r="AI202" i="1"/>
  <c r="AH202" i="1" s="1"/>
  <c r="AI222" i="1"/>
  <c r="AI223" i="1"/>
  <c r="AH223" i="1" s="1"/>
  <c r="AI45" i="1"/>
  <c r="AH45" i="1" s="1"/>
  <c r="AI314" i="1"/>
  <c r="AH314" i="1" s="1"/>
  <c r="AI179" i="1"/>
  <c r="AH179" i="1" s="1"/>
  <c r="AI219" i="1"/>
  <c r="AH219" i="1" s="1"/>
  <c r="AI165" i="1"/>
  <c r="AI289" i="1"/>
  <c r="AH289" i="1" s="1"/>
  <c r="AI204" i="1"/>
  <c r="AH204" i="1" s="1"/>
  <c r="AI364" i="1"/>
  <c r="AH364" i="1" s="1"/>
  <c r="AI255" i="1"/>
  <c r="AH255" i="1" s="1"/>
  <c r="AI132" i="1"/>
  <c r="AH132" i="1" s="1"/>
  <c r="AI121" i="1"/>
  <c r="AH121" i="1" s="1"/>
  <c r="AI335" i="1"/>
  <c r="AH335" i="1" s="1"/>
  <c r="AI300" i="1"/>
  <c r="AI203" i="1"/>
  <c r="AH203" i="1" s="1"/>
  <c r="AI153" i="1"/>
  <c r="AH153" i="1" s="1"/>
  <c r="AI31" i="1"/>
  <c r="AI104" i="1"/>
  <c r="AH104" i="1" s="1"/>
  <c r="AI303" i="1"/>
  <c r="AH303" i="1" s="1"/>
  <c r="AI236" i="1"/>
  <c r="AH236" i="1" s="1"/>
  <c r="AI183" i="1"/>
  <c r="AH183" i="1" s="1"/>
  <c r="AI251" i="1"/>
  <c r="AH251" i="1" s="1"/>
  <c r="AI63" i="1"/>
  <c r="AH63" i="1" s="1"/>
  <c r="AI220" i="1"/>
  <c r="AH220" i="1" s="1"/>
  <c r="AI113" i="1"/>
  <c r="AH113" i="1" s="1"/>
  <c r="AI212" i="1"/>
  <c r="AH212" i="1" s="1"/>
  <c r="AI70" i="1"/>
  <c r="AH70" i="1" s="1"/>
  <c r="AI167" i="1"/>
  <c r="AH167" i="1" s="1"/>
  <c r="AI310" i="1"/>
  <c r="AH310" i="1" s="1"/>
  <c r="AI109" i="1"/>
  <c r="AH109" i="1" s="1"/>
  <c r="AI19" i="1"/>
  <c r="AH19" i="1" s="1"/>
  <c r="AI259" i="1"/>
  <c r="AH259" i="1" s="1"/>
  <c r="AI33" i="1"/>
  <c r="AH33" i="1" s="1"/>
  <c r="BM16" i="7"/>
  <c r="AI260" i="1"/>
  <c r="AI58" i="1"/>
  <c r="AH58" i="1" s="1"/>
  <c r="AI350" i="1"/>
  <c r="AH350" i="1" s="1"/>
  <c r="AI232" i="1"/>
  <c r="AH232" i="1" s="1"/>
  <c r="AI279" i="1"/>
  <c r="AH279" i="1" s="1"/>
  <c r="AI234" i="1"/>
  <c r="AH234" i="1" s="1"/>
  <c r="AI175" i="1"/>
  <c r="AH175" i="1" s="1"/>
  <c r="AI89" i="1"/>
  <c r="AH89" i="1" s="1"/>
  <c r="AI285" i="1"/>
  <c r="AH285" i="1" s="1"/>
  <c r="AI185" i="1"/>
  <c r="AH185" i="1" s="1"/>
  <c r="AI105" i="1"/>
  <c r="AH105" i="1" s="1"/>
  <c r="AI248" i="1"/>
  <c r="AH248" i="1" s="1"/>
  <c r="AI15" i="1"/>
  <c r="AI225" i="1"/>
  <c r="AI188" i="1"/>
  <c r="AI68" i="1"/>
  <c r="AI155" i="1"/>
  <c r="AI111" i="1"/>
  <c r="AI336" i="1"/>
  <c r="AI320" i="1"/>
  <c r="AI156" i="1"/>
  <c r="AH156" i="1" s="1"/>
  <c r="AG156" i="1" s="1"/>
  <c r="AF156" i="1" s="1"/>
  <c r="AI362" i="1"/>
  <c r="AH362" i="1" s="1"/>
  <c r="AG362" i="1" s="1"/>
  <c r="AF362" i="1" s="1"/>
  <c r="AI137" i="1"/>
  <c r="AH137" i="1" s="1"/>
  <c r="AG137" i="1" s="1"/>
  <c r="AF137" i="1" s="1"/>
  <c r="AI147" i="1"/>
  <c r="AH147" i="1" s="1"/>
  <c r="AG147" i="1" s="1"/>
  <c r="AF147" i="1" s="1"/>
  <c r="AI164" i="1"/>
  <c r="AH164" i="1" s="1"/>
  <c r="AG164" i="1" s="1"/>
  <c r="AF164" i="1" s="1"/>
  <c r="AI345" i="1"/>
  <c r="AH345" i="1" s="1"/>
  <c r="AG345" i="1" s="1"/>
  <c r="AF345" i="1" s="1"/>
  <c r="AI25" i="1"/>
  <c r="AH25" i="1" s="1"/>
  <c r="AG25" i="1" s="1"/>
  <c r="AF25" i="1" s="1"/>
  <c r="AI127" i="1"/>
  <c r="AH127" i="1" s="1"/>
  <c r="AG127" i="1" s="1"/>
  <c r="AF127" i="1" s="1"/>
  <c r="AI194" i="1"/>
  <c r="AH194" i="1" s="1"/>
  <c r="AG194" i="1" s="1"/>
  <c r="AF194" i="1" s="1"/>
  <c r="AI295" i="1"/>
  <c r="AH295" i="1" s="1"/>
  <c r="AG295" i="1" s="1"/>
  <c r="AF295" i="1" s="1"/>
  <c r="AI250" i="1"/>
  <c r="AH250" i="1" s="1"/>
  <c r="AG250" i="1" s="1"/>
  <c r="AF250" i="1" s="1"/>
  <c r="AI375" i="1"/>
  <c r="AH375" i="1" s="1"/>
  <c r="AG375" i="1" s="1"/>
  <c r="AF375" i="1" s="1"/>
  <c r="AI334" i="1"/>
  <c r="AH334" i="1" s="1"/>
  <c r="AG334" i="1" s="1"/>
  <c r="AF334" i="1" s="1"/>
  <c r="AI296" i="1"/>
  <c r="AH296" i="1" s="1"/>
  <c r="AG296" i="1" s="1"/>
  <c r="AF296" i="1" s="1"/>
  <c r="AI149" i="1"/>
  <c r="AH149" i="1" s="1"/>
  <c r="AG149" i="1" s="1"/>
  <c r="AF149" i="1" s="1"/>
  <c r="AI78" i="1"/>
  <c r="AH78" i="1" s="1"/>
  <c r="AG78" i="1" s="1"/>
  <c r="AF78" i="1" s="1"/>
  <c r="AI238" i="1"/>
  <c r="AH238" i="1" s="1"/>
  <c r="AG238" i="1" s="1"/>
  <c r="AF238" i="1" s="1"/>
  <c r="AI190" i="1"/>
  <c r="AH190" i="1" s="1"/>
  <c r="AG190" i="1" s="1"/>
  <c r="AF190" i="1" s="1"/>
  <c r="AI372" i="1"/>
  <c r="AH372" i="1" s="1"/>
  <c r="AG372" i="1" s="1"/>
  <c r="AF372" i="1" s="1"/>
  <c r="AI319" i="1"/>
  <c r="AH319" i="1" s="1"/>
  <c r="AG319" i="1" s="1"/>
  <c r="AF319" i="1" s="1"/>
  <c r="AI264" i="1"/>
  <c r="AH264" i="1" s="1"/>
  <c r="AG264" i="1" s="1"/>
  <c r="AF264" i="1" s="1"/>
  <c r="AI210" i="1"/>
  <c r="AH210" i="1" s="1"/>
  <c r="AG210" i="1" s="1"/>
  <c r="AF210" i="1" s="1"/>
  <c r="AI287" i="1"/>
  <c r="AH287" i="1" s="1"/>
  <c r="AG287" i="1" s="1"/>
  <c r="AF287" i="1" s="1"/>
  <c r="AI358" i="1"/>
  <c r="AH358" i="1" s="1"/>
  <c r="AG358" i="1" s="1"/>
  <c r="AF358" i="1" s="1"/>
  <c r="AI102" i="1"/>
  <c r="AH102" i="1" s="1"/>
  <c r="AG102" i="1" s="1"/>
  <c r="AF102" i="1" s="1"/>
  <c r="AI169" i="1"/>
  <c r="AH169" i="1" s="1"/>
  <c r="AG169" i="1" s="1"/>
  <c r="AF169" i="1" s="1"/>
  <c r="AI125" i="1"/>
  <c r="AH125" i="1" s="1"/>
  <c r="AG125" i="1" s="1"/>
  <c r="AF125" i="1" s="1"/>
  <c r="AI97" i="1"/>
  <c r="AH97" i="1" s="1"/>
  <c r="AG97" i="1" s="1"/>
  <c r="AF97" i="1" s="1"/>
  <c r="AI308" i="1"/>
  <c r="AH308" i="1" s="1"/>
  <c r="AG308" i="1" s="1"/>
  <c r="AF308" i="1" s="1"/>
  <c r="AI38" i="1"/>
  <c r="AH38" i="1" s="1"/>
  <c r="AG38" i="1" s="1"/>
  <c r="AF38" i="1" s="1"/>
  <c r="AI54" i="1"/>
  <c r="AH54" i="1" s="1"/>
  <c r="AG54" i="1" s="1"/>
  <c r="AF54" i="1" s="1"/>
  <c r="AI67" i="1"/>
  <c r="AH67" i="1" s="1"/>
  <c r="AG67" i="1" s="1"/>
  <c r="AF67" i="1" s="1"/>
  <c r="AI216" i="1"/>
  <c r="AH216" i="1" s="1"/>
  <c r="AG216" i="1" s="1"/>
  <c r="AF216" i="1" s="1"/>
  <c r="AI306" i="1"/>
  <c r="AH306" i="1" s="1"/>
  <c r="AG306" i="1" s="1"/>
  <c r="AF306" i="1" s="1"/>
  <c r="AI322" i="1"/>
  <c r="AH322" i="1" s="1"/>
  <c r="AG322" i="1" s="1"/>
  <c r="AF322" i="1" s="1"/>
  <c r="AI134" i="1"/>
  <c r="AH134" i="1" s="1"/>
  <c r="AG134" i="1" s="1"/>
  <c r="AF134" i="1" s="1"/>
  <c r="AI246" i="1"/>
  <c r="AH246" i="1" s="1"/>
  <c r="AG246" i="1" s="1"/>
  <c r="AF246" i="1" s="1"/>
  <c r="AI254" i="1"/>
  <c r="AH254" i="1" s="1"/>
  <c r="AG254" i="1" s="1"/>
  <c r="AF254" i="1" s="1"/>
  <c r="AI221" i="1"/>
  <c r="AH221" i="1" s="1"/>
  <c r="AG221" i="1" s="1"/>
  <c r="AF221" i="1" s="1"/>
  <c r="AI136" i="1"/>
  <c r="AH136" i="1" s="1"/>
  <c r="AG136" i="1" s="1"/>
  <c r="AF136" i="1" s="1"/>
  <c r="AI65" i="1"/>
  <c r="AH65" i="1" s="1"/>
  <c r="AG65" i="1" s="1"/>
  <c r="AF65" i="1" s="1"/>
  <c r="AI92" i="1"/>
  <c r="AH92" i="1" s="1"/>
  <c r="AG92" i="1" s="1"/>
  <c r="AF92" i="1" s="1"/>
  <c r="AI304" i="1"/>
  <c r="AH304" i="1" s="1"/>
  <c r="AG304" i="1" s="1"/>
  <c r="AF304" i="1" s="1"/>
  <c r="AI176" i="1"/>
  <c r="AH176" i="1" s="1"/>
  <c r="AG176" i="1" s="1"/>
  <c r="AF176" i="1" s="1"/>
  <c r="AI24" i="1"/>
  <c r="AH24" i="1" s="1"/>
  <c r="AG24" i="1" s="1"/>
  <c r="AF24" i="1" s="1"/>
  <c r="AI191" i="1"/>
  <c r="AH191" i="1" s="1"/>
  <c r="AG191" i="1" s="1"/>
  <c r="AF191" i="1" s="1"/>
  <c r="AI233" i="1"/>
  <c r="AH233" i="1" s="1"/>
  <c r="AG233" i="1" s="1"/>
  <c r="AF233" i="1" s="1"/>
  <c r="AI69" i="1"/>
  <c r="AH69" i="1" s="1"/>
  <c r="AG69" i="1" s="1"/>
  <c r="AF69" i="1" s="1"/>
  <c r="AI112" i="1"/>
  <c r="AH112" i="1" s="1"/>
  <c r="AG112" i="1" s="1"/>
  <c r="AF112" i="1" s="1"/>
  <c r="AI51" i="1"/>
  <c r="AH51" i="1" s="1"/>
  <c r="AG51" i="1" s="1"/>
  <c r="AF51" i="1" s="1"/>
  <c r="AI341" i="1"/>
  <c r="AH341" i="1" s="1"/>
  <c r="AI328" i="1"/>
  <c r="AH328" i="1" s="1"/>
  <c r="AI20" i="1"/>
  <c r="AH20" i="1" s="1"/>
  <c r="AG20" i="1" s="1"/>
  <c r="AF20" i="1" s="1"/>
  <c r="AI365" i="1"/>
  <c r="AH365" i="1" s="1"/>
  <c r="AG365" i="1" s="1"/>
  <c r="AF365" i="1" s="1"/>
  <c r="AI301" i="1"/>
  <c r="AH301" i="1" s="1"/>
  <c r="AG301" i="1" s="1"/>
  <c r="AF301" i="1" s="1"/>
  <c r="AI98" i="1"/>
  <c r="AH98" i="1" s="1"/>
  <c r="AG98" i="1" s="1"/>
  <c r="AF98" i="1" s="1"/>
  <c r="AI273" i="1"/>
  <c r="AH273" i="1" s="1"/>
  <c r="AI40" i="1"/>
  <c r="AH40" i="1" s="1"/>
  <c r="AG40" i="1" s="1"/>
  <c r="AF40" i="1" s="1"/>
  <c r="AI297" i="1"/>
  <c r="AH297" i="1" s="1"/>
  <c r="AI128" i="1"/>
  <c r="AH128" i="1" s="1"/>
  <c r="AI71" i="1"/>
  <c r="AH71" i="1" s="1"/>
  <c r="AG71" i="1" s="1"/>
  <c r="AF71" i="1" s="1"/>
  <c r="AI60" i="1"/>
  <c r="AH60" i="1" s="1"/>
  <c r="AG60" i="1" s="1"/>
  <c r="AF60" i="1" s="1"/>
  <c r="AI209" i="1"/>
  <c r="AH209" i="1" s="1"/>
  <c r="AG209" i="1" s="1"/>
  <c r="AF209" i="1" s="1"/>
  <c r="AI99" i="1"/>
  <c r="AH99" i="1" s="1"/>
  <c r="AG99" i="1" s="1"/>
  <c r="AF99" i="1" s="1"/>
  <c r="AI244" i="1"/>
  <c r="AH244" i="1" s="1"/>
  <c r="AG244" i="1" s="1"/>
  <c r="AF244" i="1" s="1"/>
  <c r="AI17" i="1"/>
  <c r="AH17" i="1" s="1"/>
  <c r="AG17" i="1" s="1"/>
  <c r="AI46" i="1"/>
  <c r="AH46" i="1" s="1"/>
  <c r="AG46" i="1" s="1"/>
  <c r="AF46" i="1" s="1"/>
  <c r="AI64" i="1"/>
  <c r="AH64" i="1" s="1"/>
  <c r="AG64" i="1" s="1"/>
  <c r="AF64" i="1" s="1"/>
  <c r="AI174" i="1"/>
  <c r="AH174" i="1" s="1"/>
  <c r="AG174" i="1" s="1"/>
  <c r="AF174" i="1" s="1"/>
  <c r="AI120" i="1"/>
  <c r="AH120" i="1" s="1"/>
  <c r="AG120" i="1" s="1"/>
  <c r="AF120" i="1" s="1"/>
  <c r="AI30" i="1"/>
  <c r="AH30" i="1" s="1"/>
  <c r="AI290" i="1"/>
  <c r="AH290" i="1" s="1"/>
  <c r="AI376" i="1"/>
  <c r="AH376" i="1" s="1"/>
  <c r="AI123" i="1"/>
  <c r="AH123" i="1" s="1"/>
  <c r="AI245" i="1"/>
  <c r="AH245" i="1" s="1"/>
  <c r="AI333" i="1"/>
  <c r="AH333" i="1" s="1"/>
  <c r="AI257" i="1"/>
  <c r="AH257" i="1" s="1"/>
  <c r="AI347" i="1"/>
  <c r="AH347" i="1" s="1"/>
  <c r="AI360" i="1"/>
  <c r="AH360" i="1" s="1"/>
  <c r="AI49" i="1"/>
  <c r="AH49" i="1" s="1"/>
  <c r="AI218" i="1"/>
  <c r="AH218" i="1" s="1"/>
  <c r="AI344" i="1"/>
  <c r="AH344" i="1" s="1"/>
  <c r="AI247" i="1"/>
  <c r="AH247" i="1" s="1"/>
  <c r="AI356" i="1"/>
  <c r="AH356" i="1" s="1"/>
  <c r="AI294" i="1"/>
  <c r="AH294" i="1" s="1"/>
  <c r="AI226" i="1"/>
  <c r="AH226" i="1" s="1"/>
  <c r="AI96" i="1"/>
  <c r="AH96" i="1" s="1"/>
  <c r="AI95" i="1"/>
  <c r="AH95" i="1" s="1"/>
  <c r="AI161" i="1"/>
  <c r="AH161" i="1" s="1"/>
  <c r="AI186" i="1"/>
  <c r="AH186" i="1" s="1"/>
  <c r="AI34" i="1"/>
  <c r="AH34" i="1" s="1"/>
  <c r="AI274" i="1"/>
  <c r="AH274" i="1" s="1"/>
  <c r="AI159" i="1"/>
  <c r="AH159" i="1" s="1"/>
  <c r="AI154" i="1"/>
  <c r="AH154" i="1" s="1"/>
  <c r="AI208" i="1"/>
  <c r="AH208" i="1" s="1"/>
  <c r="AI114" i="1"/>
  <c r="AH114" i="1" s="1"/>
  <c r="AI87" i="1"/>
  <c r="AH87" i="1" s="1"/>
  <c r="AI43" i="1"/>
  <c r="AH43" i="1" s="1"/>
  <c r="AI171" i="1"/>
  <c r="AH171" i="1" s="1"/>
  <c r="AI192" i="1"/>
  <c r="AH192" i="1" s="1"/>
  <c r="AI110" i="1"/>
  <c r="AH110" i="1" s="1"/>
  <c r="AI28" i="1"/>
  <c r="AH28" i="1" s="1"/>
  <c r="AI309" i="1"/>
  <c r="AH309" i="1" s="1"/>
  <c r="AI160" i="1"/>
  <c r="AH160" i="1" s="1"/>
  <c r="AI325" i="1"/>
  <c r="AH325" i="1" s="1"/>
  <c r="AI55" i="1"/>
  <c r="AH55" i="1" s="1"/>
  <c r="AI369" i="1"/>
  <c r="AH369" i="1" s="1"/>
  <c r="AI378" i="1"/>
  <c r="AH378" i="1" s="1"/>
  <c r="AI172" i="1"/>
  <c r="AH172" i="1" s="1"/>
  <c r="AI47" i="1"/>
  <c r="AH47" i="1" s="1"/>
  <c r="AI366" i="1"/>
  <c r="AH366" i="1" s="1"/>
  <c r="AI21" i="1"/>
  <c r="AH21" i="1" s="1"/>
  <c r="AG21" i="1" s="1"/>
  <c r="AF21" i="1" s="1"/>
  <c r="AI50" i="1"/>
  <c r="AH50" i="1" s="1"/>
  <c r="AI140" i="1"/>
  <c r="AH140" i="1" s="1"/>
  <c r="AI129" i="1"/>
  <c r="AH129" i="1" s="1"/>
  <c r="AI178" i="1"/>
  <c r="AH178" i="1" s="1"/>
  <c r="AI146" i="1"/>
  <c r="AH146" i="1" s="1"/>
  <c r="AI367" i="1"/>
  <c r="AH367" i="1" s="1"/>
  <c r="AI36" i="1"/>
  <c r="AH36" i="1" s="1"/>
  <c r="AI61" i="1"/>
  <c r="AH61" i="1" s="1"/>
  <c r="AI281" i="1"/>
  <c r="AH281" i="1" s="1"/>
  <c r="AI305" i="1"/>
  <c r="AH305" i="1" s="1"/>
  <c r="AI135" i="1"/>
  <c r="AH135" i="1" s="1"/>
  <c r="AG135" i="1" s="1"/>
  <c r="AF135" i="1" s="1"/>
  <c r="AI237" i="1"/>
  <c r="AH237" i="1" s="1"/>
  <c r="AI81" i="1"/>
  <c r="AH81" i="1" s="1"/>
  <c r="AG81" i="1" s="1"/>
  <c r="AF81" i="1" s="1"/>
  <c r="AI228" i="1"/>
  <c r="AH228" i="1" s="1"/>
  <c r="AI312" i="1"/>
  <c r="AH312" i="1" s="1"/>
  <c r="Q16" i="1"/>
  <c r="U15" i="1"/>
  <c r="U16" i="1"/>
  <c r="T16" i="1" s="1"/>
  <c r="Q15" i="1"/>
  <c r="U17" i="1"/>
  <c r="T17" i="1" s="1"/>
  <c r="P11" i="17"/>
  <c r="AK16" i="17" s="1"/>
  <c r="T15" i="7"/>
  <c r="BQ10" i="7" l="1"/>
  <c r="BT9" i="7"/>
  <c r="BV10" i="7" s="1"/>
  <c r="AX12" i="6"/>
  <c r="AX13" i="6"/>
  <c r="AS12" i="6"/>
  <c r="AS13" i="6"/>
  <c r="I13" i="6"/>
  <c r="I12" i="6"/>
  <c r="AZ185" i="6"/>
  <c r="AF17" i="1"/>
  <c r="AD17" i="1" s="1"/>
  <c r="AD46" i="1"/>
  <c r="AD244" i="1"/>
  <c r="AD301" i="1"/>
  <c r="AD221" i="1"/>
  <c r="AD322" i="1"/>
  <c r="AD149" i="1"/>
  <c r="AD194" i="1"/>
  <c r="E7" i="15"/>
  <c r="AC10" i="15" s="1"/>
  <c r="AZ99" i="6"/>
  <c r="O11" i="7"/>
  <c r="Q11" i="16" s="1"/>
  <c r="AZ119" i="6"/>
  <c r="AZ92" i="6"/>
  <c r="S380" i="6" s="1"/>
  <c r="S381" i="6" s="1"/>
  <c r="AZ100" i="6"/>
  <c r="AZ93" i="6"/>
  <c r="AZ98" i="6"/>
  <c r="AZ105" i="6"/>
  <c r="AZ104" i="6"/>
  <c r="AY372" i="6"/>
  <c r="AY375" i="6"/>
  <c r="AZ114" i="6"/>
  <c r="AZ111" i="6"/>
  <c r="AZ95" i="6"/>
  <c r="AZ102" i="6"/>
  <c r="AZ94" i="6"/>
  <c r="AZ118" i="6"/>
  <c r="AZ97" i="6"/>
  <c r="AZ106" i="6"/>
  <c r="T380" i="6" s="1"/>
  <c r="T381" i="6" s="1"/>
  <c r="AZ107" i="6"/>
  <c r="AZ110" i="6"/>
  <c r="AT157" i="6"/>
  <c r="AZ157" i="6" s="1"/>
  <c r="AT158" i="6"/>
  <c r="AT136" i="6"/>
  <c r="AZ136" i="6" s="1"/>
  <c r="AT140" i="6"/>
  <c r="AZ140" i="6" s="1"/>
  <c r="AT154" i="6"/>
  <c r="AZ154" i="6" s="1"/>
  <c r="AT137" i="6"/>
  <c r="AZ137" i="6" s="1"/>
  <c r="AZ297" i="6"/>
  <c r="AZ158" i="6"/>
  <c r="AT149" i="6"/>
  <c r="AZ149" i="6" s="1"/>
  <c r="AY377" i="6"/>
  <c r="AZ65" i="6"/>
  <c r="AY376" i="6"/>
  <c r="AY373" i="6"/>
  <c r="AY374" i="6"/>
  <c r="AY378" i="6"/>
  <c r="AY379" i="6"/>
  <c r="AZ66" i="6"/>
  <c r="AZ67" i="6"/>
  <c r="AZ76" i="6"/>
  <c r="AT144" i="6"/>
  <c r="AZ144" i="6" s="1"/>
  <c r="AT139" i="6"/>
  <c r="AZ139" i="6" s="1"/>
  <c r="AT147" i="6"/>
  <c r="AZ147" i="6" s="1"/>
  <c r="AT155" i="6"/>
  <c r="AZ155" i="6" s="1"/>
  <c r="AT146" i="6"/>
  <c r="AZ146" i="6" s="1"/>
  <c r="AT134" i="6"/>
  <c r="AZ134" i="6" s="1"/>
  <c r="V380" i="6" s="1"/>
  <c r="V381" i="6" s="1"/>
  <c r="AT138" i="6"/>
  <c r="AZ138" i="6" s="1"/>
  <c r="AZ78" i="6"/>
  <c r="R380" i="6" s="1"/>
  <c r="R381" i="6" s="1"/>
  <c r="AY60" i="6"/>
  <c r="AZ60" i="6" s="1"/>
  <c r="AY58" i="6"/>
  <c r="AY55" i="6"/>
  <c r="AZ55" i="6" s="1"/>
  <c r="AY47" i="6"/>
  <c r="AZ47" i="6" s="1"/>
  <c r="AY48" i="6"/>
  <c r="AZ48" i="6" s="1"/>
  <c r="AY59" i="6"/>
  <c r="AZ59" i="6" s="1"/>
  <c r="AY39" i="6"/>
  <c r="AZ39" i="6" s="1"/>
  <c r="AY40" i="6"/>
  <c r="AY43" i="6"/>
  <c r="AZ43" i="6" s="1"/>
  <c r="AY41" i="6"/>
  <c r="AZ41" i="6" s="1"/>
  <c r="AY63" i="6"/>
  <c r="AZ63" i="6" s="1"/>
  <c r="AY37" i="6"/>
  <c r="AZ37" i="6" s="1"/>
  <c r="AY62" i="6"/>
  <c r="AZ62" i="6" s="1"/>
  <c r="AY36" i="6"/>
  <c r="AZ36" i="6" s="1"/>
  <c r="O380" i="6" s="1"/>
  <c r="O381" i="6" s="1"/>
  <c r="AY52" i="6"/>
  <c r="AZ52" i="6" s="1"/>
  <c r="AY44" i="6"/>
  <c r="AZ44" i="6" s="1"/>
  <c r="AY53" i="6"/>
  <c r="AY57" i="6"/>
  <c r="AZ57" i="6" s="1"/>
  <c r="AY45" i="6"/>
  <c r="AZ45" i="6" s="1"/>
  <c r="AY38" i="6"/>
  <c r="AZ38" i="6" s="1"/>
  <c r="AY54" i="6"/>
  <c r="AZ54" i="6" s="1"/>
  <c r="AY51" i="6"/>
  <c r="AZ51" i="6" s="1"/>
  <c r="AY50" i="6"/>
  <c r="AZ50" i="6" s="1"/>
  <c r="P380" i="6" s="1"/>
  <c r="P381" i="6" s="1"/>
  <c r="AY46" i="6"/>
  <c r="AZ46" i="6" s="1"/>
  <c r="AY49" i="6"/>
  <c r="AZ49" i="6" s="1"/>
  <c r="AY56" i="6"/>
  <c r="AZ56" i="6" s="1"/>
  <c r="AY42" i="6"/>
  <c r="AZ42" i="6" s="1"/>
  <c r="AY61" i="6"/>
  <c r="AZ61" i="6" s="1"/>
  <c r="M55" i="6"/>
  <c r="AY34" i="6" s="1"/>
  <c r="AZ34" i="6" s="1"/>
  <c r="AZ75" i="6"/>
  <c r="AZ87" i="6"/>
  <c r="AZ82" i="6"/>
  <c r="AZ70" i="6"/>
  <c r="AZ69" i="6"/>
  <c r="AZ80" i="6"/>
  <c r="AD112" i="1"/>
  <c r="AY324" i="6"/>
  <c r="AZ324" i="6" s="1"/>
  <c r="AY330" i="6"/>
  <c r="AY323" i="6"/>
  <c r="AZ323" i="6" s="1"/>
  <c r="AY322" i="6"/>
  <c r="AZ322" i="6" s="1"/>
  <c r="AY320" i="6"/>
  <c r="AZ320" i="6" s="1"/>
  <c r="AY342" i="6"/>
  <c r="AY332" i="6"/>
  <c r="AY365" i="6"/>
  <c r="AY321" i="6"/>
  <c r="AZ321" i="6" s="1"/>
  <c r="AY338" i="6"/>
  <c r="AY341" i="6"/>
  <c r="AY316" i="6"/>
  <c r="AZ316" i="6" s="1"/>
  <c r="AI380" i="6" s="1"/>
  <c r="AI381" i="6" s="1"/>
  <c r="AY370" i="6"/>
  <c r="AY340" i="6"/>
  <c r="AY325" i="6"/>
  <c r="AZ325" i="6" s="1"/>
  <c r="AY335" i="6"/>
  <c r="AY350" i="6"/>
  <c r="AY357" i="6"/>
  <c r="AY348" i="6"/>
  <c r="AY345" i="6"/>
  <c r="AY349" i="6"/>
  <c r="AY344" i="6"/>
  <c r="AY351" i="6"/>
  <c r="AY355" i="6"/>
  <c r="AY360" i="6"/>
  <c r="AY346" i="6"/>
  <c r="AY358" i="6"/>
  <c r="AY333" i="6"/>
  <c r="AY326" i="6"/>
  <c r="AZ326" i="6" s="1"/>
  <c r="AY343" i="6"/>
  <c r="AY331" i="6"/>
  <c r="AY336" i="6"/>
  <c r="AY318" i="6"/>
  <c r="AZ318" i="6" s="1"/>
  <c r="AY352" i="6"/>
  <c r="AY367" i="6"/>
  <c r="AY329" i="6"/>
  <c r="AZ329" i="6" s="1"/>
  <c r="AY319" i="6"/>
  <c r="AZ319" i="6" s="1"/>
  <c r="AY337" i="6"/>
  <c r="AY366" i="6"/>
  <c r="AY334" i="6"/>
  <c r="AY339" i="6"/>
  <c r="AY327" i="6"/>
  <c r="AZ327" i="6" s="1"/>
  <c r="AY317" i="6"/>
  <c r="AZ317" i="6" s="1"/>
  <c r="AY354" i="6"/>
  <c r="AY356" i="6"/>
  <c r="AY359" i="6"/>
  <c r="AY353" i="6"/>
  <c r="AY347" i="6"/>
  <c r="AY362" i="6"/>
  <c r="AY369" i="6"/>
  <c r="AY363" i="6"/>
  <c r="AY368" i="6"/>
  <c r="AY361" i="6"/>
  <c r="AY371" i="6"/>
  <c r="AY328" i="6"/>
  <c r="AZ328" i="6" s="1"/>
  <c r="AY260" i="6"/>
  <c r="AZ260" i="6" s="1"/>
  <c r="AE380" i="6" s="1"/>
  <c r="AE381" i="6" s="1"/>
  <c r="AY283" i="6"/>
  <c r="AZ283" i="6" s="1"/>
  <c r="AY280" i="6"/>
  <c r="AZ280" i="6" s="1"/>
  <c r="AY282" i="6"/>
  <c r="AZ282" i="6" s="1"/>
  <c r="AY261" i="6"/>
  <c r="AY286" i="6"/>
  <c r="AZ286" i="6" s="1"/>
  <c r="AY262" i="6"/>
  <c r="AZ262" i="6" s="1"/>
  <c r="AY288" i="6"/>
  <c r="AY296" i="6"/>
  <c r="AZ296" i="6" s="1"/>
  <c r="AY295" i="6"/>
  <c r="AZ295" i="6" s="1"/>
  <c r="AY289" i="6"/>
  <c r="AZ289" i="6" s="1"/>
  <c r="AY308" i="6"/>
  <c r="AZ308" i="6" s="1"/>
  <c r="AY310" i="6"/>
  <c r="AZ310" i="6" s="1"/>
  <c r="AY292" i="6"/>
  <c r="AZ292" i="6" s="1"/>
  <c r="AZ261" i="6"/>
  <c r="AY276" i="6"/>
  <c r="AZ276" i="6" s="1"/>
  <c r="AY284" i="6"/>
  <c r="AZ284" i="6" s="1"/>
  <c r="AY271" i="6"/>
  <c r="AZ271" i="6" s="1"/>
  <c r="AY277" i="6"/>
  <c r="AY287" i="6"/>
  <c r="AZ287" i="6" s="1"/>
  <c r="AY267" i="6"/>
  <c r="AZ267" i="6" s="1"/>
  <c r="AY264" i="6"/>
  <c r="AZ264" i="6" s="1"/>
  <c r="AY309" i="6"/>
  <c r="AZ309" i="6" s="1"/>
  <c r="AY315" i="6"/>
  <c r="AZ315" i="6" s="1"/>
  <c r="AY304" i="6"/>
  <c r="AZ304" i="6" s="1"/>
  <c r="AY291" i="6"/>
  <c r="AZ291" i="6" s="1"/>
  <c r="AY311" i="6"/>
  <c r="AZ311" i="6" s="1"/>
  <c r="AY305" i="6"/>
  <c r="AZ305" i="6" s="1"/>
  <c r="AY314" i="6"/>
  <c r="AZ314" i="6" s="1"/>
  <c r="AZ288" i="6"/>
  <c r="AG380" i="6" s="1"/>
  <c r="AG381" i="6" s="1"/>
  <c r="AZ277" i="6"/>
  <c r="AY281" i="6"/>
  <c r="AZ281" i="6" s="1"/>
  <c r="AY278" i="6"/>
  <c r="AZ278" i="6" s="1"/>
  <c r="AY279" i="6"/>
  <c r="AZ279" i="6" s="1"/>
  <c r="AY269" i="6"/>
  <c r="AZ269" i="6" s="1"/>
  <c r="AY263" i="6"/>
  <c r="AZ263" i="6" s="1"/>
  <c r="AY266" i="6"/>
  <c r="AZ266" i="6" s="1"/>
  <c r="AY274" i="6"/>
  <c r="AZ274" i="6" s="1"/>
  <c r="AF380" i="6" s="1"/>
  <c r="AF381" i="6" s="1"/>
  <c r="AY270" i="6"/>
  <c r="AZ270" i="6" s="1"/>
  <c r="AY275" i="6"/>
  <c r="AZ275" i="6" s="1"/>
  <c r="AY272" i="6"/>
  <c r="AZ272" i="6" s="1"/>
  <c r="AY273" i="6"/>
  <c r="AZ273" i="6" s="1"/>
  <c r="AY265" i="6"/>
  <c r="AZ265" i="6" s="1"/>
  <c r="AY285" i="6"/>
  <c r="AZ285" i="6" s="1"/>
  <c r="AY268" i="6"/>
  <c r="AZ268" i="6" s="1"/>
  <c r="AY312" i="6"/>
  <c r="AZ312" i="6" s="1"/>
  <c r="AY298" i="6"/>
  <c r="AZ298" i="6" s="1"/>
  <c r="AY313" i="6"/>
  <c r="AZ313" i="6" s="1"/>
  <c r="AY307" i="6"/>
  <c r="AZ307" i="6" s="1"/>
  <c r="AY294" i="6"/>
  <c r="AZ294" i="6" s="1"/>
  <c r="AY300" i="6"/>
  <c r="AZ300" i="6" s="1"/>
  <c r="AY290" i="6"/>
  <c r="AZ290" i="6" s="1"/>
  <c r="AY299" i="6"/>
  <c r="AZ299" i="6" s="1"/>
  <c r="AY301" i="6"/>
  <c r="AZ301" i="6" s="1"/>
  <c r="AY306" i="6"/>
  <c r="AZ306" i="6" s="1"/>
  <c r="AY302" i="6"/>
  <c r="AZ302" i="6" s="1"/>
  <c r="AH380" i="6" s="1"/>
  <c r="AH381" i="6" s="1"/>
  <c r="AY293" i="6"/>
  <c r="AZ293" i="6" s="1"/>
  <c r="AY303" i="6"/>
  <c r="AZ303" i="6" s="1"/>
  <c r="AZ58" i="6"/>
  <c r="AY230" i="6"/>
  <c r="AY223" i="6"/>
  <c r="AY205" i="6"/>
  <c r="AY209" i="6"/>
  <c r="AY207" i="6"/>
  <c r="AY211" i="6"/>
  <c r="AY215" i="6"/>
  <c r="AY204" i="6"/>
  <c r="AY206" i="6"/>
  <c r="AY213" i="6"/>
  <c r="AY226" i="6"/>
  <c r="AY227" i="6"/>
  <c r="AY231" i="6"/>
  <c r="AY221" i="6"/>
  <c r="AY250" i="6"/>
  <c r="AZ250" i="6" s="1"/>
  <c r="AY233" i="6"/>
  <c r="AY241" i="6"/>
  <c r="AY253" i="6"/>
  <c r="AZ253" i="6" s="1"/>
  <c r="AY252" i="6"/>
  <c r="AZ252" i="6" s="1"/>
  <c r="AY234" i="6"/>
  <c r="AY255" i="6"/>
  <c r="AZ255" i="6" s="1"/>
  <c r="AY248" i="6"/>
  <c r="AZ248" i="6" s="1"/>
  <c r="AY256" i="6"/>
  <c r="AZ256" i="6" s="1"/>
  <c r="AY237" i="6"/>
  <c r="AY239" i="6"/>
  <c r="AY245" i="6"/>
  <c r="AY249" i="6"/>
  <c r="AZ249" i="6" s="1"/>
  <c r="AY243" i="6"/>
  <c r="AY216" i="6"/>
  <c r="AY217" i="6"/>
  <c r="AY220" i="6"/>
  <c r="AY228" i="6"/>
  <c r="AY229" i="6"/>
  <c r="AY219" i="6"/>
  <c r="AY222" i="6"/>
  <c r="AY208" i="6"/>
  <c r="AY218" i="6"/>
  <c r="AY224" i="6"/>
  <c r="AY212" i="6"/>
  <c r="AY210" i="6"/>
  <c r="AY225" i="6"/>
  <c r="AY214" i="6"/>
  <c r="AY258" i="6"/>
  <c r="AZ258" i="6" s="1"/>
  <c r="AY254" i="6"/>
  <c r="AZ254" i="6" s="1"/>
  <c r="AY259" i="6"/>
  <c r="AZ259" i="6" s="1"/>
  <c r="AY247" i="6"/>
  <c r="AZ247" i="6" s="1"/>
  <c r="AY246" i="6"/>
  <c r="AZ246" i="6" s="1"/>
  <c r="AD380" i="6" s="1"/>
  <c r="AD381" i="6" s="1"/>
  <c r="AY244" i="6"/>
  <c r="AY238" i="6"/>
  <c r="AY251" i="6"/>
  <c r="AZ251" i="6" s="1"/>
  <c r="AY236" i="6"/>
  <c r="AY232" i="6"/>
  <c r="AY240" i="6"/>
  <c r="AY235" i="6"/>
  <c r="AY257" i="6"/>
  <c r="AZ257" i="6" s="1"/>
  <c r="AT187" i="6"/>
  <c r="AZ187" i="6" s="1"/>
  <c r="AT173" i="6"/>
  <c r="AZ173" i="6" s="1"/>
  <c r="AT183" i="6"/>
  <c r="AZ183" i="6" s="1"/>
  <c r="AT191" i="6"/>
  <c r="AZ191" i="6" s="1"/>
  <c r="AT207" i="6"/>
  <c r="AT199" i="6"/>
  <c r="AZ199" i="6" s="1"/>
  <c r="AT204" i="6"/>
  <c r="AZ204" i="6" s="1"/>
  <c r="AA380" i="6" s="1"/>
  <c r="AA381" i="6" s="1"/>
  <c r="AT192" i="6"/>
  <c r="AZ192" i="6" s="1"/>
  <c r="AT216" i="6"/>
  <c r="AT193" i="6"/>
  <c r="AZ193" i="6" s="1"/>
  <c r="AT210" i="6"/>
  <c r="AT217" i="6"/>
  <c r="AT208" i="6"/>
  <c r="AZ208" i="6" s="1"/>
  <c r="AT202" i="6"/>
  <c r="AZ202" i="6" s="1"/>
  <c r="AT213" i="6"/>
  <c r="AZ213" i="6" s="1"/>
  <c r="AT195" i="6"/>
  <c r="AZ195" i="6" s="1"/>
  <c r="AT211" i="6"/>
  <c r="AZ211" i="6" s="1"/>
  <c r="AT206" i="6"/>
  <c r="AZ206" i="6" s="1"/>
  <c r="AT198" i="6"/>
  <c r="AZ198" i="6" s="1"/>
  <c r="AT214" i="6"/>
  <c r="AT222" i="6"/>
  <c r="AT230" i="6"/>
  <c r="AZ230" i="6" s="1"/>
  <c r="AT223" i="6"/>
  <c r="AZ223" i="6" s="1"/>
  <c r="AT225" i="6"/>
  <c r="AZ225" i="6" s="1"/>
  <c r="AT221" i="6"/>
  <c r="AZ221" i="6" s="1"/>
  <c r="AT233" i="6"/>
  <c r="AT231" i="6"/>
  <c r="AT243" i="6"/>
  <c r="AT226" i="6"/>
  <c r="AT239" i="6"/>
  <c r="AZ239" i="6" s="1"/>
  <c r="AT224" i="6"/>
  <c r="AZ224" i="6" s="1"/>
  <c r="AT229" i="6"/>
  <c r="AZ229" i="6" s="1"/>
  <c r="AT235" i="6"/>
  <c r="AZ235" i="6" s="1"/>
  <c r="AT227" i="6"/>
  <c r="AT145" i="6"/>
  <c r="AZ145" i="6" s="1"/>
  <c r="AT159" i="6"/>
  <c r="AZ159" i="6" s="1"/>
  <c r="AT161" i="6"/>
  <c r="AZ161" i="6" s="1"/>
  <c r="AT150" i="6"/>
  <c r="AZ150" i="6" s="1"/>
  <c r="AT143" i="6"/>
  <c r="AZ143" i="6" s="1"/>
  <c r="AT156" i="6"/>
  <c r="AZ156" i="6" s="1"/>
  <c r="AT160" i="6"/>
  <c r="AZ160" i="6" s="1"/>
  <c r="AT148" i="6"/>
  <c r="AZ148" i="6" s="1"/>
  <c r="W380" i="6" s="1"/>
  <c r="W381" i="6" s="1"/>
  <c r="AT151" i="6"/>
  <c r="AZ151" i="6" s="1"/>
  <c r="AT153" i="6"/>
  <c r="AZ153" i="6" s="1"/>
  <c r="AT135" i="6"/>
  <c r="AZ135" i="6" s="1"/>
  <c r="AT152" i="6"/>
  <c r="AZ152" i="6" s="1"/>
  <c r="AT141" i="6"/>
  <c r="AZ141" i="6" s="1"/>
  <c r="AT142" i="6"/>
  <c r="AZ142" i="6" s="1"/>
  <c r="AT171" i="6"/>
  <c r="AZ171" i="6" s="1"/>
  <c r="AT162" i="6"/>
  <c r="AZ162" i="6" s="1"/>
  <c r="X380" i="6" s="1"/>
  <c r="X381" i="6" s="1"/>
  <c r="AT170" i="6"/>
  <c r="AZ170" i="6" s="1"/>
  <c r="AT189" i="6"/>
  <c r="AZ189" i="6" s="1"/>
  <c r="AT196" i="6"/>
  <c r="AZ196" i="6" s="1"/>
  <c r="AT190" i="6"/>
  <c r="AZ190" i="6" s="1"/>
  <c r="Z380" i="6" s="1"/>
  <c r="Z381" i="6" s="1"/>
  <c r="AT201" i="6"/>
  <c r="AZ201" i="6" s="1"/>
  <c r="AT212" i="6"/>
  <c r="AZ212" i="6" s="1"/>
  <c r="AT215" i="6"/>
  <c r="AT200" i="6"/>
  <c r="AZ200" i="6" s="1"/>
  <c r="AT203" i="6"/>
  <c r="AZ203" i="6" s="1"/>
  <c r="AT194" i="6"/>
  <c r="AZ194" i="6" s="1"/>
  <c r="AT205" i="6"/>
  <c r="AT197" i="6"/>
  <c r="AZ197" i="6" s="1"/>
  <c r="AT209" i="6"/>
  <c r="AZ209" i="6" s="1"/>
  <c r="AT245" i="6"/>
  <c r="AT234" i="6"/>
  <c r="AZ234" i="6" s="1"/>
  <c r="AT237" i="6"/>
  <c r="AT220" i="6"/>
  <c r="AT236" i="6"/>
  <c r="AT242" i="6"/>
  <c r="AZ242" i="6" s="1"/>
  <c r="AT228" i="6"/>
  <c r="AT240" i="6"/>
  <c r="AT238" i="6"/>
  <c r="AZ238" i="6" s="1"/>
  <c r="AT244" i="6"/>
  <c r="AZ244" i="6" s="1"/>
  <c r="AT241" i="6"/>
  <c r="AZ241" i="6" s="1"/>
  <c r="AT232" i="6"/>
  <c r="AZ232" i="6" s="1"/>
  <c r="AC380" i="6" s="1"/>
  <c r="AC381" i="6" s="1"/>
  <c r="AT218" i="6"/>
  <c r="AZ218" i="6" s="1"/>
  <c r="AB380" i="6" s="1"/>
  <c r="AB381" i="6" s="1"/>
  <c r="AT219" i="6"/>
  <c r="AZ219" i="6" s="1"/>
  <c r="AT178" i="6"/>
  <c r="AZ178" i="6" s="1"/>
  <c r="AT165" i="6"/>
  <c r="AZ165" i="6" s="1"/>
  <c r="AT186" i="6"/>
  <c r="AZ186" i="6" s="1"/>
  <c r="AT163" i="6"/>
  <c r="AZ163" i="6" s="1"/>
  <c r="AT169" i="6"/>
  <c r="AZ169" i="6" s="1"/>
  <c r="AT188" i="6"/>
  <c r="AZ188" i="6" s="1"/>
  <c r="AT166" i="6"/>
  <c r="AZ166" i="6" s="1"/>
  <c r="AZ86" i="6"/>
  <c r="AZ79" i="6"/>
  <c r="AZ81" i="6"/>
  <c r="AZ64" i="6"/>
  <c r="Q380" i="6" s="1"/>
  <c r="Q381" i="6" s="1"/>
  <c r="AZ40" i="6"/>
  <c r="AT168" i="6"/>
  <c r="AZ168" i="6" s="1"/>
  <c r="AT181" i="6"/>
  <c r="AZ181" i="6" s="1"/>
  <c r="AT164" i="6"/>
  <c r="AZ164" i="6" s="1"/>
  <c r="AT167" i="6"/>
  <c r="AZ167" i="6" s="1"/>
  <c r="AT172" i="6"/>
  <c r="AZ172" i="6" s="1"/>
  <c r="AT177" i="6"/>
  <c r="AZ177" i="6" s="1"/>
  <c r="AT174" i="6"/>
  <c r="AZ174" i="6" s="1"/>
  <c r="AT184" i="6"/>
  <c r="AZ184" i="6" s="1"/>
  <c r="AT182" i="6"/>
  <c r="AZ182" i="6" s="1"/>
  <c r="AT179" i="6"/>
  <c r="AZ179" i="6" s="1"/>
  <c r="AT175" i="6"/>
  <c r="AZ175" i="6" s="1"/>
  <c r="AT180" i="6"/>
  <c r="AZ180" i="6" s="1"/>
  <c r="AT176" i="6"/>
  <c r="AZ176" i="6" s="1"/>
  <c r="Y380" i="6" s="1"/>
  <c r="Y381" i="6" s="1"/>
  <c r="AZ83" i="6"/>
  <c r="AZ53" i="6"/>
  <c r="AZ77" i="6"/>
  <c r="AZ88" i="6"/>
  <c r="AZ91" i="6"/>
  <c r="AZ71" i="6"/>
  <c r="AZ90" i="6"/>
  <c r="AZ68" i="6"/>
  <c r="AZ89" i="6"/>
  <c r="AZ72" i="6"/>
  <c r="J375" i="6"/>
  <c r="AD375" i="1" s="1"/>
  <c r="J379" i="6"/>
  <c r="J376" i="6"/>
  <c r="J373" i="6"/>
  <c r="AA40" i="6"/>
  <c r="AT380" i="6" s="1"/>
  <c r="AZ380" i="6" s="1"/>
  <c r="AT330" i="6"/>
  <c r="AT333" i="6"/>
  <c r="AT338" i="6"/>
  <c r="AT332" i="6"/>
  <c r="AT341" i="6"/>
  <c r="AT340" i="6"/>
  <c r="AT349" i="6"/>
  <c r="AT339" i="6"/>
  <c r="AT336" i="6"/>
  <c r="AT346" i="6"/>
  <c r="AT355" i="6"/>
  <c r="AT335" i="6"/>
  <c r="AT354" i="6"/>
  <c r="AT351" i="6"/>
  <c r="AT331" i="6"/>
  <c r="AT350" i="6"/>
  <c r="AT353" i="6"/>
  <c r="AT337" i="6"/>
  <c r="AT348" i="6"/>
  <c r="AT356" i="6"/>
  <c r="AT345" i="6"/>
  <c r="AT342" i="6"/>
  <c r="AT347" i="6"/>
  <c r="AT352" i="6"/>
  <c r="AT357" i="6"/>
  <c r="AT344" i="6"/>
  <c r="AT334" i="6"/>
  <c r="AT343" i="6"/>
  <c r="J372" i="6"/>
  <c r="J380" i="6"/>
  <c r="J378" i="6"/>
  <c r="J377" i="6"/>
  <c r="AD250" i="1"/>
  <c r="AD81" i="1"/>
  <c r="AD174" i="1"/>
  <c r="AD209" i="1"/>
  <c r="AD20" i="1"/>
  <c r="AD24" i="1"/>
  <c r="AD304" i="1"/>
  <c r="AD246" i="1"/>
  <c r="AD216" i="1"/>
  <c r="AD308" i="1"/>
  <c r="AD334" i="1"/>
  <c r="AD25" i="1"/>
  <c r="AD164" i="1"/>
  <c r="AD135" i="1"/>
  <c r="AD71" i="1"/>
  <c r="AD233" i="1"/>
  <c r="AD65" i="1"/>
  <c r="AD54" i="1"/>
  <c r="AD125" i="1"/>
  <c r="AD102" i="1"/>
  <c r="AD287" i="1"/>
  <c r="AD264" i="1"/>
  <c r="AD238" i="1"/>
  <c r="AD137" i="1"/>
  <c r="AD156" i="1"/>
  <c r="O9" i="16"/>
  <c r="AJ17" i="16" s="1"/>
  <c r="AD21" i="1"/>
  <c r="AD98" i="1"/>
  <c r="AD365" i="1"/>
  <c r="AD51" i="1"/>
  <c r="AD69" i="1"/>
  <c r="AD191" i="1"/>
  <c r="AD176" i="1"/>
  <c r="AD97" i="1"/>
  <c r="AD345" i="1"/>
  <c r="AD319" i="1"/>
  <c r="AD190" i="1"/>
  <c r="AD295" i="1"/>
  <c r="AD147" i="1"/>
  <c r="AK15" i="15"/>
  <c r="F8" i="15"/>
  <c r="P12" i="15"/>
  <c r="AK16" i="15"/>
  <c r="AC12" i="15"/>
  <c r="O12" i="15"/>
  <c r="O11" i="15"/>
  <c r="AC9" i="15"/>
  <c r="AD120" i="1"/>
  <c r="AD64" i="1"/>
  <c r="AD99" i="1"/>
  <c r="AD60" i="1"/>
  <c r="AD40" i="1"/>
  <c r="AD92" i="1"/>
  <c r="AD136" i="1"/>
  <c r="AD254" i="1"/>
  <c r="AD134" i="1"/>
  <c r="AD306" i="1"/>
  <c r="AD67" i="1"/>
  <c r="AD38" i="1"/>
  <c r="AD169" i="1"/>
  <c r="AD358" i="1"/>
  <c r="AD210" i="1"/>
  <c r="AD78" i="1"/>
  <c r="AD296" i="1"/>
  <c r="AD127" i="1"/>
  <c r="AD362" i="1"/>
  <c r="L16" i="17"/>
  <c r="AB18" i="15"/>
  <c r="A19" i="15"/>
  <c r="X18" i="15"/>
  <c r="K18" i="15"/>
  <c r="AJ18" i="15"/>
  <c r="AK18" i="15"/>
  <c r="L18" i="15"/>
  <c r="D18" i="15" s="1"/>
  <c r="L11" i="18"/>
  <c r="L15" i="18" s="1"/>
  <c r="H42" i="27"/>
  <c r="G41" i="27" s="1"/>
  <c r="AE76" i="27"/>
  <c r="P77" i="27"/>
  <c r="G40" i="27"/>
  <c r="X17" i="16"/>
  <c r="A18" i="16"/>
  <c r="L17" i="16"/>
  <c r="D17" i="16" s="1"/>
  <c r="AB17" i="16"/>
  <c r="K17" i="16"/>
  <c r="AK17" i="16"/>
  <c r="F8" i="16"/>
  <c r="P12" i="16"/>
  <c r="AK15" i="16"/>
  <c r="S17" i="1"/>
  <c r="R17" i="1" s="1"/>
  <c r="P17" i="1" s="1"/>
  <c r="V17" i="1" s="1"/>
  <c r="S16" i="1"/>
  <c r="R16" i="1" s="1"/>
  <c r="P16" i="1" s="1"/>
  <c r="V16" i="1" s="1"/>
  <c r="AG228" i="1"/>
  <c r="AF228" i="1" s="1"/>
  <c r="AD228" i="1" s="1"/>
  <c r="AG237" i="1"/>
  <c r="AF237" i="1" s="1"/>
  <c r="AD237" i="1" s="1"/>
  <c r="AG305" i="1"/>
  <c r="AF305" i="1" s="1"/>
  <c r="AD305" i="1" s="1"/>
  <c r="AG61" i="1"/>
  <c r="AF61" i="1" s="1"/>
  <c r="AD61" i="1" s="1"/>
  <c r="AG367" i="1"/>
  <c r="AF367" i="1" s="1"/>
  <c r="AD367" i="1" s="1"/>
  <c r="AG178" i="1"/>
  <c r="AF178" i="1" s="1"/>
  <c r="AD178" i="1" s="1"/>
  <c r="AG140" i="1"/>
  <c r="AF140" i="1" s="1"/>
  <c r="AD140" i="1" s="1"/>
  <c r="AG47" i="1"/>
  <c r="AF47" i="1" s="1"/>
  <c r="AD47" i="1" s="1"/>
  <c r="AG378" i="1"/>
  <c r="AF378" i="1" s="1"/>
  <c r="AG55" i="1"/>
  <c r="AF55" i="1" s="1"/>
  <c r="AD55" i="1" s="1"/>
  <c r="AG160" i="1"/>
  <c r="AF160" i="1" s="1"/>
  <c r="AD160" i="1" s="1"/>
  <c r="AG28" i="1"/>
  <c r="AF28" i="1" s="1"/>
  <c r="AD28" i="1" s="1"/>
  <c r="AG192" i="1"/>
  <c r="AF192" i="1" s="1"/>
  <c r="AD192" i="1" s="1"/>
  <c r="AG43" i="1"/>
  <c r="AF43" i="1" s="1"/>
  <c r="AD43" i="1" s="1"/>
  <c r="AG114" i="1"/>
  <c r="AF114" i="1" s="1"/>
  <c r="AD114" i="1" s="1"/>
  <c r="AG154" i="1"/>
  <c r="AF154" i="1" s="1"/>
  <c r="AD154" i="1" s="1"/>
  <c r="AG274" i="1"/>
  <c r="AF274" i="1" s="1"/>
  <c r="AD274" i="1" s="1"/>
  <c r="AG186" i="1"/>
  <c r="AF186" i="1" s="1"/>
  <c r="AD186" i="1" s="1"/>
  <c r="AG95" i="1"/>
  <c r="AF95" i="1" s="1"/>
  <c r="AD95" i="1" s="1"/>
  <c r="AG226" i="1"/>
  <c r="AF226" i="1" s="1"/>
  <c r="AD226" i="1" s="1"/>
  <c r="AG356" i="1"/>
  <c r="AF356" i="1" s="1"/>
  <c r="AD356" i="1" s="1"/>
  <c r="AG344" i="1"/>
  <c r="AF344" i="1" s="1"/>
  <c r="AD344" i="1" s="1"/>
  <c r="AG49" i="1"/>
  <c r="AF49" i="1" s="1"/>
  <c r="AD49" i="1" s="1"/>
  <c r="AG347" i="1"/>
  <c r="AF347" i="1" s="1"/>
  <c r="AD347" i="1" s="1"/>
  <c r="AG333" i="1"/>
  <c r="AF333" i="1" s="1"/>
  <c r="AD333" i="1" s="1"/>
  <c r="AG123" i="1"/>
  <c r="AF123" i="1" s="1"/>
  <c r="AD123" i="1" s="1"/>
  <c r="AG290" i="1"/>
  <c r="AF290" i="1" s="1"/>
  <c r="AD290" i="1" s="1"/>
  <c r="AG128" i="1"/>
  <c r="AF128" i="1" s="1"/>
  <c r="AD128" i="1" s="1"/>
  <c r="AG328" i="1"/>
  <c r="AF328" i="1" s="1"/>
  <c r="AD328" i="1" s="1"/>
  <c r="AH320" i="1"/>
  <c r="AH111" i="1"/>
  <c r="AH68" i="1"/>
  <c r="AH225" i="1"/>
  <c r="AG248" i="1"/>
  <c r="AF248" i="1" s="1"/>
  <c r="AD248" i="1" s="1"/>
  <c r="AG185" i="1"/>
  <c r="AF185" i="1" s="1"/>
  <c r="AD185" i="1" s="1"/>
  <c r="AG89" i="1"/>
  <c r="AF89" i="1" s="1"/>
  <c r="AD89" i="1" s="1"/>
  <c r="AG234" i="1"/>
  <c r="AF234" i="1" s="1"/>
  <c r="AD234" i="1" s="1"/>
  <c r="AG232" i="1"/>
  <c r="AF232" i="1" s="1"/>
  <c r="AD232" i="1" s="1"/>
  <c r="AG58" i="1"/>
  <c r="AF58" i="1" s="1"/>
  <c r="AD58" i="1" s="1"/>
  <c r="AG259" i="1"/>
  <c r="AF259" i="1" s="1"/>
  <c r="AD259" i="1" s="1"/>
  <c r="AG109" i="1"/>
  <c r="AF109" i="1" s="1"/>
  <c r="AD109" i="1" s="1"/>
  <c r="AG167" i="1"/>
  <c r="AF167" i="1" s="1"/>
  <c r="AD167" i="1" s="1"/>
  <c r="AG212" i="1"/>
  <c r="AF212" i="1" s="1"/>
  <c r="AD212" i="1" s="1"/>
  <c r="AG220" i="1"/>
  <c r="AF220" i="1" s="1"/>
  <c r="AD220" i="1" s="1"/>
  <c r="AG251" i="1"/>
  <c r="AF251" i="1" s="1"/>
  <c r="AD251" i="1" s="1"/>
  <c r="AG236" i="1"/>
  <c r="AF236" i="1" s="1"/>
  <c r="AD236" i="1" s="1"/>
  <c r="AG104" i="1"/>
  <c r="AF104" i="1" s="1"/>
  <c r="AD104" i="1" s="1"/>
  <c r="AG153" i="1"/>
  <c r="AF153" i="1" s="1"/>
  <c r="AD153" i="1" s="1"/>
  <c r="AH300" i="1"/>
  <c r="AG121" i="1"/>
  <c r="AF121" i="1" s="1"/>
  <c r="AD121" i="1" s="1"/>
  <c r="AG255" i="1"/>
  <c r="AF255" i="1" s="1"/>
  <c r="AD255" i="1" s="1"/>
  <c r="AG204" i="1"/>
  <c r="AF204" i="1" s="1"/>
  <c r="AD204" i="1" s="1"/>
  <c r="AH165" i="1"/>
  <c r="AG179" i="1"/>
  <c r="AF179" i="1" s="1"/>
  <c r="AD179" i="1" s="1"/>
  <c r="AG45" i="1"/>
  <c r="AF45" i="1" s="1"/>
  <c r="AD45" i="1" s="1"/>
  <c r="AH222" i="1"/>
  <c r="AG82" i="1"/>
  <c r="AF82" i="1" s="1"/>
  <c r="AD82" i="1" s="1"/>
  <c r="AG339" i="1"/>
  <c r="AF339" i="1" s="1"/>
  <c r="AD339" i="1" s="1"/>
  <c r="AG288" i="1"/>
  <c r="AF288" i="1" s="1"/>
  <c r="AD288" i="1" s="1"/>
  <c r="AG292" i="1"/>
  <c r="AF292" i="1" s="1"/>
  <c r="AD292" i="1" s="1"/>
  <c r="AG80" i="1"/>
  <c r="AF80" i="1" s="1"/>
  <c r="AD80" i="1" s="1"/>
  <c r="AG363" i="1"/>
  <c r="AF363" i="1" s="1"/>
  <c r="AD363" i="1" s="1"/>
  <c r="AG181" i="1"/>
  <c r="AF181" i="1" s="1"/>
  <c r="AD181" i="1" s="1"/>
  <c r="AG268" i="1"/>
  <c r="AF268" i="1" s="1"/>
  <c r="AD268" i="1" s="1"/>
  <c r="AG75" i="1"/>
  <c r="AF75" i="1" s="1"/>
  <c r="AD75" i="1" s="1"/>
  <c r="AG337" i="1"/>
  <c r="AF337" i="1" s="1"/>
  <c r="AD337" i="1" s="1"/>
  <c r="AG118" i="1"/>
  <c r="AF118" i="1" s="1"/>
  <c r="AD118" i="1" s="1"/>
  <c r="AG361" i="1"/>
  <c r="AF361" i="1" s="1"/>
  <c r="AD361" i="1" s="1"/>
  <c r="AG271" i="1"/>
  <c r="AF271" i="1" s="1"/>
  <c r="AD271" i="1" s="1"/>
  <c r="AG173" i="1"/>
  <c r="AF173" i="1" s="1"/>
  <c r="AD173" i="1" s="1"/>
  <c r="AG327" i="1"/>
  <c r="AF327" i="1" s="1"/>
  <c r="AD327" i="1" s="1"/>
  <c r="AG141" i="1"/>
  <c r="AF141" i="1" s="1"/>
  <c r="AD141" i="1" s="1"/>
  <c r="AG277" i="1"/>
  <c r="AF277" i="1" s="1"/>
  <c r="AD277" i="1" s="1"/>
  <c r="AG23" i="1"/>
  <c r="AF23" i="1" s="1"/>
  <c r="AD23" i="1" s="1"/>
  <c r="AG85" i="1"/>
  <c r="AF85" i="1" s="1"/>
  <c r="AD85" i="1" s="1"/>
  <c r="AG157" i="1"/>
  <c r="AF157" i="1" s="1"/>
  <c r="AD157" i="1" s="1"/>
  <c r="AG142" i="1"/>
  <c r="AF142" i="1" s="1"/>
  <c r="AD142" i="1" s="1"/>
  <c r="AG103" i="1"/>
  <c r="AF103" i="1" s="1"/>
  <c r="AD103" i="1" s="1"/>
  <c r="AG227" i="1"/>
  <c r="AF227" i="1" s="1"/>
  <c r="AD227" i="1" s="1"/>
  <c r="AG177" i="1"/>
  <c r="AF177" i="1" s="1"/>
  <c r="AD177" i="1" s="1"/>
  <c r="AH315" i="1"/>
  <c r="AG231" i="1"/>
  <c r="AF231" i="1" s="1"/>
  <c r="AD231" i="1" s="1"/>
  <c r="AH283" i="1"/>
  <c r="AH318" i="1"/>
  <c r="AH270" i="1"/>
  <c r="AH108" i="1"/>
  <c r="AG201" i="1"/>
  <c r="AF201" i="1" s="1"/>
  <c r="AD201" i="1" s="1"/>
  <c r="AH41" i="1"/>
  <c r="AG240" i="1"/>
  <c r="AF240" i="1" s="1"/>
  <c r="AD240" i="1" s="1"/>
  <c r="AG316" i="1"/>
  <c r="AF316" i="1" s="1"/>
  <c r="AD316" i="1" s="1"/>
  <c r="AH349" i="1"/>
  <c r="AH332" i="1"/>
  <c r="AH152" i="1"/>
  <c r="AH62" i="1"/>
  <c r="AG342" i="1"/>
  <c r="AF342" i="1" s="1"/>
  <c r="AD342" i="1" s="1"/>
  <c r="AG77" i="1"/>
  <c r="AF77" i="1" s="1"/>
  <c r="AD77" i="1" s="1"/>
  <c r="AH239" i="1"/>
  <c r="AG166" i="1"/>
  <c r="AF166" i="1" s="1"/>
  <c r="AD166" i="1" s="1"/>
  <c r="AH162" i="1"/>
  <c r="AG256" i="1"/>
  <c r="AF256" i="1" s="1"/>
  <c r="AD256" i="1" s="1"/>
  <c r="AH35" i="1"/>
  <c r="AG35" i="1" s="1"/>
  <c r="AF35" i="1" s="1"/>
  <c r="AD35" i="1" s="1"/>
  <c r="AG278" i="1"/>
  <c r="AF278" i="1" s="1"/>
  <c r="AD278" i="1" s="1"/>
  <c r="AG100" i="1"/>
  <c r="AF100" i="1" s="1"/>
  <c r="AD100" i="1" s="1"/>
  <c r="AG76" i="1"/>
  <c r="AF76" i="1" s="1"/>
  <c r="AD76" i="1" s="1"/>
  <c r="AG91" i="1"/>
  <c r="AF91" i="1" s="1"/>
  <c r="AD91" i="1" s="1"/>
  <c r="AG242" i="1"/>
  <c r="AF242" i="1" s="1"/>
  <c r="AD242" i="1" s="1"/>
  <c r="AG48" i="1"/>
  <c r="AF48" i="1" s="1"/>
  <c r="AD48" i="1" s="1"/>
  <c r="AG205" i="1"/>
  <c r="AF205" i="1" s="1"/>
  <c r="AD205" i="1" s="1"/>
  <c r="AG126" i="1"/>
  <c r="AF126" i="1" s="1"/>
  <c r="AD126" i="1" s="1"/>
  <c r="AG265" i="1"/>
  <c r="AF265" i="1" s="1"/>
  <c r="AD265" i="1" s="1"/>
  <c r="AH348" i="1"/>
  <c r="AG59" i="1"/>
  <c r="AF59" i="1" s="1"/>
  <c r="AD59" i="1" s="1"/>
  <c r="AG131" i="1"/>
  <c r="AF131" i="1" s="1"/>
  <c r="AD131" i="1" s="1"/>
  <c r="AG343" i="1"/>
  <c r="AF343" i="1" s="1"/>
  <c r="AD343" i="1" s="1"/>
  <c r="AG235" i="1"/>
  <c r="AF235" i="1" s="1"/>
  <c r="AD235" i="1" s="1"/>
  <c r="AG263" i="1"/>
  <c r="AF263" i="1" s="1"/>
  <c r="AD263" i="1" s="1"/>
  <c r="AH86" i="1"/>
  <c r="AG324" i="1"/>
  <c r="AF324" i="1" s="1"/>
  <c r="AD324" i="1" s="1"/>
  <c r="AH269" i="1"/>
  <c r="AG29" i="1"/>
  <c r="AF29" i="1" s="1"/>
  <c r="AD29" i="1" s="1"/>
  <c r="AH32" i="1"/>
  <c r="AG115" i="1"/>
  <c r="AF115" i="1" s="1"/>
  <c r="AD115" i="1" s="1"/>
  <c r="AG26" i="1"/>
  <c r="AF26" i="1" s="1"/>
  <c r="AD26" i="1" s="1"/>
  <c r="AG93" i="1"/>
  <c r="AF93" i="1" s="1"/>
  <c r="AD93" i="1" s="1"/>
  <c r="AG168" i="1"/>
  <c r="AF168" i="1" s="1"/>
  <c r="AD168" i="1" s="1"/>
  <c r="AH170" i="1"/>
  <c r="AH211" i="1"/>
  <c r="AH215" i="1"/>
  <c r="AG133" i="1"/>
  <c r="AF133" i="1" s="1"/>
  <c r="AD133" i="1" s="1"/>
  <c r="AG323" i="1"/>
  <c r="AF323" i="1" s="1"/>
  <c r="AD323" i="1" s="1"/>
  <c r="AG357" i="1"/>
  <c r="AF357" i="1" s="1"/>
  <c r="AD357" i="1" s="1"/>
  <c r="AG94" i="1"/>
  <c r="AF94" i="1" s="1"/>
  <c r="AD94" i="1" s="1"/>
  <c r="AG229" i="1"/>
  <c r="AF229" i="1" s="1"/>
  <c r="AD229" i="1" s="1"/>
  <c r="AG353" i="1"/>
  <c r="AF353" i="1" s="1"/>
  <c r="AD353" i="1" s="1"/>
  <c r="AG338" i="1"/>
  <c r="AF338" i="1" s="1"/>
  <c r="AD338" i="1" s="1"/>
  <c r="AG230" i="1"/>
  <c r="AF230" i="1" s="1"/>
  <c r="AD230" i="1" s="1"/>
  <c r="AG252" i="1"/>
  <c r="AF252" i="1" s="1"/>
  <c r="AD252" i="1" s="1"/>
  <c r="AG329" i="1"/>
  <c r="AF329" i="1" s="1"/>
  <c r="AD329" i="1" s="1"/>
  <c r="AH124" i="1"/>
  <c r="AG124" i="1" s="1"/>
  <c r="AF124" i="1" s="1"/>
  <c r="AD124" i="1" s="1"/>
  <c r="AG84" i="1"/>
  <c r="AF84" i="1" s="1"/>
  <c r="AD84" i="1" s="1"/>
  <c r="AH122" i="1"/>
  <c r="AG106" i="1"/>
  <c r="AF106" i="1" s="1"/>
  <c r="AD106" i="1" s="1"/>
  <c r="AG299" i="1"/>
  <c r="AF299" i="1" s="1"/>
  <c r="AD299" i="1" s="1"/>
  <c r="AH371" i="1"/>
  <c r="AG200" i="1"/>
  <c r="AF200" i="1" s="1"/>
  <c r="AD200" i="1" s="1"/>
  <c r="AG267" i="1"/>
  <c r="AF267" i="1" s="1"/>
  <c r="AD267" i="1" s="1"/>
  <c r="AG298" i="1"/>
  <c r="AF298" i="1" s="1"/>
  <c r="AD298" i="1" s="1"/>
  <c r="A18" i="17"/>
  <c r="K17" i="17"/>
  <c r="X17" i="17"/>
  <c r="L17" i="17"/>
  <c r="AB17" i="17"/>
  <c r="AK17" i="17"/>
  <c r="AE381" i="1"/>
  <c r="X16" i="18"/>
  <c r="A17" i="18"/>
  <c r="AB16" i="18"/>
  <c r="K16" i="18"/>
  <c r="A15" i="22"/>
  <c r="Y14" i="22"/>
  <c r="A17" i="19"/>
  <c r="A41" i="19" s="1"/>
  <c r="G6" i="6"/>
  <c r="AK3" i="7"/>
  <c r="F14" i="22"/>
  <c r="X1" i="22"/>
  <c r="V14" i="22"/>
  <c r="L1" i="22"/>
  <c r="J1" i="23"/>
  <c r="A16" i="20"/>
  <c r="K15" i="20"/>
  <c r="AB15" i="20"/>
  <c r="X15" i="20"/>
  <c r="Z15" i="7"/>
  <c r="P11" i="18"/>
  <c r="AK16" i="18" s="1"/>
  <c r="P12" i="17"/>
  <c r="F8" i="17"/>
  <c r="AK380" i="17"/>
  <c r="AK15" i="17"/>
  <c r="T15" i="1"/>
  <c r="AG312" i="1"/>
  <c r="AF312" i="1" s="1"/>
  <c r="AD312" i="1" s="1"/>
  <c r="AG281" i="1"/>
  <c r="AF281" i="1" s="1"/>
  <c r="AD281" i="1" s="1"/>
  <c r="AG36" i="1"/>
  <c r="AF36" i="1" s="1"/>
  <c r="AD36" i="1" s="1"/>
  <c r="AG146" i="1"/>
  <c r="AF146" i="1" s="1"/>
  <c r="AD146" i="1" s="1"/>
  <c r="AG129" i="1"/>
  <c r="AF129" i="1" s="1"/>
  <c r="AD129" i="1" s="1"/>
  <c r="AG50" i="1"/>
  <c r="AF50" i="1" s="1"/>
  <c r="AD50" i="1" s="1"/>
  <c r="AG366" i="1"/>
  <c r="AF366" i="1" s="1"/>
  <c r="AD366" i="1" s="1"/>
  <c r="AG172" i="1"/>
  <c r="AF172" i="1" s="1"/>
  <c r="AD172" i="1" s="1"/>
  <c r="AG369" i="1"/>
  <c r="AF369" i="1" s="1"/>
  <c r="AD369" i="1" s="1"/>
  <c r="AG325" i="1"/>
  <c r="AF325" i="1" s="1"/>
  <c r="AD325" i="1" s="1"/>
  <c r="AG309" i="1"/>
  <c r="AF309" i="1" s="1"/>
  <c r="AD309" i="1" s="1"/>
  <c r="AG110" i="1"/>
  <c r="AF110" i="1" s="1"/>
  <c r="AD110" i="1" s="1"/>
  <c r="AG171" i="1"/>
  <c r="AF171" i="1" s="1"/>
  <c r="AD171" i="1" s="1"/>
  <c r="AG87" i="1"/>
  <c r="AF87" i="1" s="1"/>
  <c r="AD87" i="1" s="1"/>
  <c r="AG208" i="1"/>
  <c r="AF208" i="1" s="1"/>
  <c r="AD208" i="1" s="1"/>
  <c r="AG159" i="1"/>
  <c r="AF159" i="1" s="1"/>
  <c r="AD159" i="1" s="1"/>
  <c r="AG34" i="1"/>
  <c r="AF34" i="1" s="1"/>
  <c r="AD34" i="1" s="1"/>
  <c r="AG161" i="1"/>
  <c r="AF161" i="1" s="1"/>
  <c r="AD161" i="1" s="1"/>
  <c r="AG96" i="1"/>
  <c r="AF96" i="1" s="1"/>
  <c r="AD96" i="1" s="1"/>
  <c r="AG294" i="1"/>
  <c r="AF294" i="1" s="1"/>
  <c r="AD294" i="1" s="1"/>
  <c r="AG247" i="1"/>
  <c r="AF247" i="1" s="1"/>
  <c r="AD247" i="1" s="1"/>
  <c r="AG218" i="1"/>
  <c r="AF218" i="1" s="1"/>
  <c r="AD218" i="1" s="1"/>
  <c r="AG360" i="1"/>
  <c r="AF360" i="1" s="1"/>
  <c r="AD360" i="1" s="1"/>
  <c r="AG257" i="1"/>
  <c r="AF257" i="1" s="1"/>
  <c r="AD257" i="1" s="1"/>
  <c r="AG245" i="1"/>
  <c r="AF245" i="1" s="1"/>
  <c r="AD245" i="1" s="1"/>
  <c r="AG376" i="1"/>
  <c r="AF376" i="1" s="1"/>
  <c r="AG30" i="1"/>
  <c r="AF30" i="1" s="1"/>
  <c r="AD30" i="1" s="1"/>
  <c r="AG297" i="1"/>
  <c r="AF297" i="1" s="1"/>
  <c r="AD297" i="1" s="1"/>
  <c r="AG273" i="1"/>
  <c r="AF273" i="1" s="1"/>
  <c r="AD273" i="1" s="1"/>
  <c r="AG341" i="1"/>
  <c r="AF341" i="1" s="1"/>
  <c r="AD341" i="1" s="1"/>
  <c r="AH336" i="1"/>
  <c r="AH155" i="1"/>
  <c r="AH188" i="1"/>
  <c r="AH15" i="1"/>
  <c r="AI381" i="1"/>
  <c r="AI383" i="1"/>
  <c r="AI382" i="1"/>
  <c r="AG105" i="1"/>
  <c r="AF105" i="1" s="1"/>
  <c r="AD105" i="1" s="1"/>
  <c r="AG285" i="1"/>
  <c r="AF285" i="1" s="1"/>
  <c r="AD285" i="1" s="1"/>
  <c r="AG175" i="1"/>
  <c r="AF175" i="1" s="1"/>
  <c r="AD175" i="1" s="1"/>
  <c r="AG279" i="1"/>
  <c r="AF279" i="1" s="1"/>
  <c r="AD279" i="1" s="1"/>
  <c r="AG350" i="1"/>
  <c r="AF350" i="1" s="1"/>
  <c r="AD350" i="1" s="1"/>
  <c r="AH260" i="1"/>
  <c r="AG33" i="1"/>
  <c r="AF33" i="1" s="1"/>
  <c r="AD33" i="1" s="1"/>
  <c r="AG19" i="1"/>
  <c r="AF19" i="1" s="1"/>
  <c r="AD19" i="1" s="1"/>
  <c r="AG310" i="1"/>
  <c r="AF310" i="1" s="1"/>
  <c r="AD310" i="1" s="1"/>
  <c r="AG70" i="1"/>
  <c r="AF70" i="1" s="1"/>
  <c r="AD70" i="1" s="1"/>
  <c r="AG113" i="1"/>
  <c r="AF113" i="1" s="1"/>
  <c r="AD113" i="1" s="1"/>
  <c r="AG63" i="1"/>
  <c r="AF63" i="1" s="1"/>
  <c r="AD63" i="1" s="1"/>
  <c r="AG183" i="1"/>
  <c r="AF183" i="1" s="1"/>
  <c r="AD183" i="1" s="1"/>
  <c r="AG303" i="1"/>
  <c r="AF303" i="1" s="1"/>
  <c r="AD303" i="1" s="1"/>
  <c r="AH31" i="1"/>
  <c r="AG203" i="1"/>
  <c r="AF203" i="1" s="1"/>
  <c r="AD203" i="1" s="1"/>
  <c r="AG335" i="1"/>
  <c r="AF335" i="1" s="1"/>
  <c r="AD335" i="1" s="1"/>
  <c r="AG132" i="1"/>
  <c r="AF132" i="1" s="1"/>
  <c r="AD132" i="1" s="1"/>
  <c r="AG364" i="1"/>
  <c r="AF364" i="1" s="1"/>
  <c r="AD364" i="1" s="1"/>
  <c r="AG289" i="1"/>
  <c r="AF289" i="1" s="1"/>
  <c r="AD289" i="1" s="1"/>
  <c r="AG219" i="1"/>
  <c r="AF219" i="1" s="1"/>
  <c r="AD219" i="1" s="1"/>
  <c r="AG314" i="1"/>
  <c r="AF314" i="1" s="1"/>
  <c r="AD314" i="1" s="1"/>
  <c r="AG223" i="1"/>
  <c r="AF223" i="1" s="1"/>
  <c r="AD223" i="1" s="1"/>
  <c r="AG202" i="1"/>
  <c r="AF202" i="1" s="1"/>
  <c r="AD202" i="1" s="1"/>
  <c r="AG313" i="1"/>
  <c r="AF313" i="1" s="1"/>
  <c r="AD313" i="1" s="1"/>
  <c r="AH291" i="1"/>
  <c r="AG18" i="1"/>
  <c r="AF18" i="1" s="1"/>
  <c r="AD18" i="1" s="1"/>
  <c r="AG243" i="1"/>
  <c r="AF243" i="1" s="1"/>
  <c r="AD243" i="1" s="1"/>
  <c r="AG262" i="1"/>
  <c r="AF262" i="1" s="1"/>
  <c r="AD262" i="1" s="1"/>
  <c r="AG193" i="1"/>
  <c r="AF193" i="1" s="1"/>
  <c r="AD193" i="1" s="1"/>
  <c r="AG196" i="1"/>
  <c r="AF196" i="1" s="1"/>
  <c r="AD196" i="1" s="1"/>
  <c r="AG107" i="1"/>
  <c r="AF107" i="1" s="1"/>
  <c r="AD107" i="1" s="1"/>
  <c r="AG72" i="1"/>
  <c r="AF72" i="1" s="1"/>
  <c r="AD72" i="1" s="1"/>
  <c r="AG187" i="1"/>
  <c r="AF187" i="1" s="1"/>
  <c r="AD187" i="1" s="1"/>
  <c r="AG90" i="1"/>
  <c r="AF90" i="1" s="1"/>
  <c r="AD90" i="1" s="1"/>
  <c r="AG197" i="1"/>
  <c r="AF197" i="1" s="1"/>
  <c r="AD197" i="1" s="1"/>
  <c r="AG22" i="1"/>
  <c r="AF22" i="1" s="1"/>
  <c r="AD22" i="1" s="1"/>
  <c r="AG280" i="1"/>
  <c r="AF280" i="1" s="1"/>
  <c r="AD280" i="1" s="1"/>
  <c r="AG101" i="1"/>
  <c r="AF101" i="1" s="1"/>
  <c r="AD101" i="1" s="1"/>
  <c r="AG253" i="1"/>
  <c r="AF253" i="1" s="1"/>
  <c r="AD253" i="1" s="1"/>
  <c r="AG307" i="1"/>
  <c r="AF307" i="1" s="1"/>
  <c r="AD307" i="1" s="1"/>
  <c r="AG184" i="1"/>
  <c r="AF184" i="1" s="1"/>
  <c r="AD184" i="1" s="1"/>
  <c r="AG266" i="1"/>
  <c r="AF266" i="1" s="1"/>
  <c r="AD266" i="1" s="1"/>
  <c r="AG44" i="1"/>
  <c r="AF44" i="1" s="1"/>
  <c r="AD44" i="1" s="1"/>
  <c r="AG189" i="1"/>
  <c r="AF189" i="1" s="1"/>
  <c r="AD189" i="1" s="1"/>
  <c r="AG79" i="1"/>
  <c r="AF79" i="1" s="1"/>
  <c r="AD79" i="1" s="1"/>
  <c r="AH379" i="1"/>
  <c r="AI12" i="15"/>
  <c r="AG377" i="1"/>
  <c r="AF377" i="1" s="1"/>
  <c r="AG42" i="1"/>
  <c r="AF42" i="1" s="1"/>
  <c r="AD42" i="1" s="1"/>
  <c r="AH249" i="1"/>
  <c r="AG53" i="1"/>
  <c r="AF53" i="1" s="1"/>
  <c r="AD53" i="1" s="1"/>
  <c r="AG374" i="1"/>
  <c r="AF374" i="1" s="1"/>
  <c r="AD374" i="1" s="1"/>
  <c r="AH261" i="1"/>
  <c r="AH158" i="1"/>
  <c r="AG207" i="1"/>
  <c r="AF207" i="1" s="1"/>
  <c r="AD207" i="1" s="1"/>
  <c r="AH16" i="1"/>
  <c r="AG352" i="1"/>
  <c r="AF352" i="1" s="1"/>
  <c r="AD352" i="1" s="1"/>
  <c r="AH130" i="1"/>
  <c r="AH282" i="1"/>
  <c r="AG286" i="1"/>
  <c r="AF286" i="1" s="1"/>
  <c r="AD286" i="1" s="1"/>
  <c r="AG326" i="1"/>
  <c r="AF326" i="1" s="1"/>
  <c r="AD326" i="1" s="1"/>
  <c r="AG373" i="1"/>
  <c r="AF373" i="1" s="1"/>
  <c r="AG217" i="1"/>
  <c r="AF217" i="1" s="1"/>
  <c r="AD217" i="1" s="1"/>
  <c r="AG145" i="1"/>
  <c r="AF145" i="1" s="1"/>
  <c r="AD145" i="1" s="1"/>
  <c r="AG150" i="1"/>
  <c r="AF150" i="1" s="1"/>
  <c r="AD150" i="1" s="1"/>
  <c r="AH144" i="1"/>
  <c r="AG88" i="1"/>
  <c r="AF88" i="1" s="1"/>
  <c r="AD88" i="1" s="1"/>
  <c r="AH206" i="1"/>
  <c r="AG182" i="1"/>
  <c r="AF182" i="1" s="1"/>
  <c r="AD182" i="1" s="1"/>
  <c r="AG275" i="1"/>
  <c r="AF275" i="1" s="1"/>
  <c r="AD275" i="1" s="1"/>
  <c r="AG258" i="1"/>
  <c r="AF258" i="1" s="1"/>
  <c r="AD258" i="1" s="1"/>
  <c r="AG180" i="1"/>
  <c r="AF180" i="1" s="1"/>
  <c r="AD180" i="1" s="1"/>
  <c r="AG163" i="1"/>
  <c r="AF163" i="1" s="1"/>
  <c r="AD163" i="1" s="1"/>
  <c r="AG56" i="1"/>
  <c r="AF56" i="1" s="1"/>
  <c r="AD56" i="1" s="1"/>
  <c r="AG340" i="1"/>
  <c r="AF340" i="1" s="1"/>
  <c r="AD340" i="1" s="1"/>
  <c r="AH241" i="1"/>
  <c r="AG241" i="1" s="1"/>
  <c r="AF241" i="1" s="1"/>
  <c r="AD241" i="1" s="1"/>
  <c r="AG195" i="1"/>
  <c r="AF195" i="1" s="1"/>
  <c r="AD195" i="1" s="1"/>
  <c r="AH73" i="1"/>
  <c r="AG368" i="1"/>
  <c r="AF368" i="1" s="1"/>
  <c r="AD368" i="1" s="1"/>
  <c r="AG331" i="1"/>
  <c r="AF331" i="1" s="1"/>
  <c r="AD331" i="1" s="1"/>
  <c r="AG57" i="1"/>
  <c r="AF57" i="1" s="1"/>
  <c r="AD57" i="1" s="1"/>
  <c r="AH359" i="1"/>
  <c r="AG116" i="1"/>
  <c r="AF116" i="1" s="1"/>
  <c r="AD116" i="1" s="1"/>
  <c r="AG52" i="1"/>
  <c r="AF52" i="1" s="1"/>
  <c r="AD52" i="1" s="1"/>
  <c r="AG199" i="1"/>
  <c r="AF199" i="1" s="1"/>
  <c r="AD199" i="1" s="1"/>
  <c r="AH276" i="1"/>
  <c r="AG214" i="1"/>
  <c r="AF214" i="1" s="1"/>
  <c r="AD214" i="1" s="1"/>
  <c r="AG27" i="1"/>
  <c r="AF27" i="1" s="1"/>
  <c r="AD27" i="1" s="1"/>
  <c r="AH330" i="1"/>
  <c r="AG39" i="1"/>
  <c r="AF39" i="1" s="1"/>
  <c r="AD39" i="1" s="1"/>
  <c r="AG83" i="1"/>
  <c r="AF83" i="1" s="1"/>
  <c r="AD83" i="1" s="1"/>
  <c r="AG370" i="1"/>
  <c r="AF370" i="1" s="1"/>
  <c r="AD370" i="1" s="1"/>
  <c r="AG74" i="1"/>
  <c r="AF74" i="1" s="1"/>
  <c r="AD74" i="1" s="1"/>
  <c r="AH346" i="1"/>
  <c r="AH37" i="1"/>
  <c r="AG143" i="1"/>
  <c r="AF143" i="1" s="1"/>
  <c r="AD143" i="1" s="1"/>
  <c r="AH284" i="1"/>
  <c r="AG117" i="1"/>
  <c r="AF117" i="1" s="1"/>
  <c r="AD117" i="1" s="1"/>
  <c r="AH321" i="1"/>
  <c r="AG272" i="1"/>
  <c r="AF272" i="1" s="1"/>
  <c r="AD272" i="1" s="1"/>
  <c r="AG139" i="1"/>
  <c r="AF139" i="1" s="1"/>
  <c r="AD139" i="1" s="1"/>
  <c r="AG354" i="1"/>
  <c r="AF354" i="1" s="1"/>
  <c r="AD354" i="1" s="1"/>
  <c r="AG138" i="1"/>
  <c r="AF138" i="1" s="1"/>
  <c r="AD138" i="1" s="1"/>
  <c r="AH317" i="1"/>
  <c r="AG317" i="1" s="1"/>
  <c r="AF317" i="1" s="1"/>
  <c r="AD317" i="1" s="1"/>
  <c r="AG151" i="1"/>
  <c r="AF151" i="1" s="1"/>
  <c r="AD151" i="1" s="1"/>
  <c r="AG351" i="1"/>
  <c r="AF351" i="1" s="1"/>
  <c r="AD351" i="1" s="1"/>
  <c r="AG148" i="1"/>
  <c r="AF148" i="1" s="1"/>
  <c r="AD148" i="1" s="1"/>
  <c r="AG311" i="1"/>
  <c r="AF311" i="1" s="1"/>
  <c r="AD311" i="1" s="1"/>
  <c r="AG355" i="1"/>
  <c r="AF355" i="1" s="1"/>
  <c r="AD355" i="1" s="1"/>
  <c r="AG224" i="1"/>
  <c r="AF224" i="1" s="1"/>
  <c r="AD224" i="1" s="1"/>
  <c r="AG213" i="1"/>
  <c r="AF213" i="1" s="1"/>
  <c r="AD213" i="1" s="1"/>
  <c r="AG293" i="1"/>
  <c r="AF293" i="1" s="1"/>
  <c r="AD293" i="1" s="1"/>
  <c r="AG198" i="1"/>
  <c r="AF198" i="1" s="1"/>
  <c r="AD198" i="1" s="1"/>
  <c r="AH119" i="1"/>
  <c r="AG302" i="1"/>
  <c r="AF302" i="1" s="1"/>
  <c r="AD302" i="1" s="1"/>
  <c r="AG66" i="1"/>
  <c r="AF66" i="1" s="1"/>
  <c r="AD66" i="1" s="1"/>
  <c r="S18" i="1"/>
  <c r="R18" i="1" s="1"/>
  <c r="P18" i="1" s="1"/>
  <c r="V18" i="1" s="1"/>
  <c r="AK19" i="1"/>
  <c r="L19" i="1"/>
  <c r="Q19" i="1"/>
  <c r="AJ19" i="1"/>
  <c r="AB19" i="1"/>
  <c r="A20" i="1"/>
  <c r="K19" i="1"/>
  <c r="O19" i="1"/>
  <c r="AC19" i="1"/>
  <c r="X19" i="1"/>
  <c r="U19" i="1"/>
  <c r="T19" i="1" s="1"/>
  <c r="AE382" i="1"/>
  <c r="AE383" i="1"/>
  <c r="BW10" i="7" l="1"/>
  <c r="BZ9" i="7"/>
  <c r="L16" i="18"/>
  <c r="J13" i="7"/>
  <c r="K13" i="7"/>
  <c r="AZ210" i="6"/>
  <c r="AD377" i="1"/>
  <c r="AD376" i="1"/>
  <c r="O10" i="15"/>
  <c r="I13" i="7" s="1"/>
  <c r="AZ236" i="6"/>
  <c r="U11" i="7"/>
  <c r="Q11" i="17" s="1"/>
  <c r="AD378" i="1"/>
  <c r="AZ348" i="6"/>
  <c r="AZ353" i="6"/>
  <c r="AZ331" i="6"/>
  <c r="AZ349" i="6"/>
  <c r="AZ341" i="6"/>
  <c r="AY25" i="6"/>
  <c r="AZ25" i="6" s="1"/>
  <c r="AY24" i="6"/>
  <c r="AZ24" i="6" s="1"/>
  <c r="AY35" i="6"/>
  <c r="AZ35" i="6" s="1"/>
  <c r="AY31" i="6"/>
  <c r="AZ31" i="6" s="1"/>
  <c r="AY21" i="6"/>
  <c r="AZ21" i="6" s="1"/>
  <c r="AY15" i="6"/>
  <c r="AZ15" i="6" s="1"/>
  <c r="AY32" i="6"/>
  <c r="AZ32" i="6" s="1"/>
  <c r="AY16" i="6"/>
  <c r="AZ16" i="6" s="1"/>
  <c r="AY20" i="6"/>
  <c r="AZ20" i="6" s="1"/>
  <c r="AY18" i="6"/>
  <c r="AZ18" i="6" s="1"/>
  <c r="AY33" i="6"/>
  <c r="AZ33" i="6" s="1"/>
  <c r="AY30" i="6"/>
  <c r="AZ30" i="6" s="1"/>
  <c r="AY23" i="6"/>
  <c r="AZ23" i="6" s="1"/>
  <c r="AY27" i="6"/>
  <c r="AZ27" i="6" s="1"/>
  <c r="AY22" i="6"/>
  <c r="AZ22" i="6" s="1"/>
  <c r="N380" i="6" s="1"/>
  <c r="N381" i="6" s="1"/>
  <c r="AY29" i="6"/>
  <c r="AZ29" i="6" s="1"/>
  <c r="AY19" i="6"/>
  <c r="AZ19" i="6" s="1"/>
  <c r="AY17" i="6"/>
  <c r="AZ17" i="6" s="1"/>
  <c r="AY28" i="6"/>
  <c r="AZ28" i="6" s="1"/>
  <c r="AY26" i="6"/>
  <c r="AZ26" i="6" s="1"/>
  <c r="AZ356" i="6"/>
  <c r="AZ350" i="6"/>
  <c r="AZ351" i="6"/>
  <c r="AZ339" i="6"/>
  <c r="AZ332" i="6"/>
  <c r="AZ334" i="6"/>
  <c r="AZ357" i="6"/>
  <c r="AZ347" i="6"/>
  <c r="AZ345" i="6"/>
  <c r="AZ354" i="6"/>
  <c r="AZ355" i="6"/>
  <c r="AZ336" i="6"/>
  <c r="AZ338" i="6"/>
  <c r="AZ343" i="6"/>
  <c r="AZ344" i="6"/>
  <c r="AK380" i="6" s="1"/>
  <c r="AK381" i="6" s="1"/>
  <c r="AZ352" i="6"/>
  <c r="AZ342" i="6"/>
  <c r="AZ337" i="6"/>
  <c r="AZ335" i="6"/>
  <c r="AZ346" i="6"/>
  <c r="AZ340" i="6"/>
  <c r="AZ333" i="6"/>
  <c r="AZ240" i="6"/>
  <c r="AZ220" i="6"/>
  <c r="AZ205" i="6"/>
  <c r="AZ215" i="6"/>
  <c r="AZ226" i="6"/>
  <c r="AZ231" i="6"/>
  <c r="AZ222" i="6"/>
  <c r="AZ216" i="6"/>
  <c r="AZ207" i="6"/>
  <c r="AZ228" i="6"/>
  <c r="AZ237" i="6"/>
  <c r="AZ245" i="6"/>
  <c r="AZ227" i="6"/>
  <c r="AZ243" i="6"/>
  <c r="AZ233" i="6"/>
  <c r="AZ214" i="6"/>
  <c r="AZ217" i="6"/>
  <c r="AD373" i="1"/>
  <c r="V380" i="24"/>
  <c r="V380" i="1"/>
  <c r="AT364" i="6"/>
  <c r="AZ364" i="6" s="1"/>
  <c r="AT375" i="6"/>
  <c r="AZ375" i="6" s="1"/>
  <c r="AT365" i="6"/>
  <c r="AZ365" i="6" s="1"/>
  <c r="AT366" i="6"/>
  <c r="AZ366" i="6" s="1"/>
  <c r="AT368" i="6"/>
  <c r="AZ368" i="6" s="1"/>
  <c r="AT369" i="6"/>
  <c r="AZ369" i="6" s="1"/>
  <c r="AT370" i="6"/>
  <c r="AZ370" i="6" s="1"/>
  <c r="AT361" i="6"/>
  <c r="AZ361" i="6" s="1"/>
  <c r="AT376" i="6"/>
  <c r="AZ376" i="6" s="1"/>
  <c r="AT373" i="6"/>
  <c r="AZ373" i="6" s="1"/>
  <c r="AT360" i="6"/>
  <c r="AZ360" i="6" s="1"/>
  <c r="AT362" i="6"/>
  <c r="AZ362" i="6" s="1"/>
  <c r="J13" i="6"/>
  <c r="J12" i="6"/>
  <c r="AZ330" i="6"/>
  <c r="AD372" i="1"/>
  <c r="AT363" i="6"/>
  <c r="AZ363" i="6" s="1"/>
  <c r="AT359" i="6"/>
  <c r="AZ359" i="6" s="1"/>
  <c r="AT374" i="6"/>
  <c r="AZ374" i="6" s="1"/>
  <c r="AT367" i="6"/>
  <c r="AZ367" i="6" s="1"/>
  <c r="AT379" i="6"/>
  <c r="AZ379" i="6" s="1"/>
  <c r="AT378" i="6"/>
  <c r="AZ378" i="6" s="1"/>
  <c r="AT358" i="6"/>
  <c r="AZ358" i="6" s="1"/>
  <c r="AL380" i="6" s="1"/>
  <c r="AL381" i="6" s="1"/>
  <c r="AT372" i="6"/>
  <c r="AZ372" i="6" s="1"/>
  <c r="AM380" i="6" s="1"/>
  <c r="AM381" i="6" s="1"/>
  <c r="AT377" i="6"/>
  <c r="AZ377" i="6" s="1"/>
  <c r="AT371" i="6"/>
  <c r="AZ371" i="6" s="1"/>
  <c r="O9" i="17"/>
  <c r="AJ18" i="17" s="1"/>
  <c r="AJ15" i="16"/>
  <c r="N13" i="7"/>
  <c r="AJ16" i="16"/>
  <c r="F7" i="16"/>
  <c r="O11" i="16" s="1"/>
  <c r="AE11" i="15"/>
  <c r="AI11" i="15"/>
  <c r="L12" i="19"/>
  <c r="P10" i="15"/>
  <c r="A20" i="15"/>
  <c r="X19" i="15"/>
  <c r="K19" i="15"/>
  <c r="AB19" i="15"/>
  <c r="AK19" i="15"/>
  <c r="AJ19" i="15"/>
  <c r="L19" i="15"/>
  <c r="D19" i="15" s="1"/>
  <c r="AC19" i="15"/>
  <c r="AC15" i="15"/>
  <c r="AC16" i="15"/>
  <c r="AC18" i="15"/>
  <c r="AC17" i="15"/>
  <c r="L11" i="20"/>
  <c r="L12" i="20"/>
  <c r="AC20" i="15"/>
  <c r="H43" i="27"/>
  <c r="G42" i="27" s="1"/>
  <c r="AE77" i="27"/>
  <c r="P78" i="27"/>
  <c r="I17" i="1"/>
  <c r="AI11" i="16"/>
  <c r="AE11" i="16"/>
  <c r="L13" i="19"/>
  <c r="P10" i="16"/>
  <c r="A19" i="16"/>
  <c r="AB18" i="16"/>
  <c r="L18" i="16"/>
  <c r="D18" i="16" s="1"/>
  <c r="AK18" i="16"/>
  <c r="K18" i="16"/>
  <c r="X18" i="16"/>
  <c r="AJ18" i="16"/>
  <c r="P11" i="20"/>
  <c r="AK16" i="20" s="1"/>
  <c r="AF15" i="7"/>
  <c r="AC20" i="1"/>
  <c r="A21" i="1"/>
  <c r="X20" i="1"/>
  <c r="O20" i="1"/>
  <c r="AK20" i="1"/>
  <c r="AB20" i="1"/>
  <c r="Q20" i="1"/>
  <c r="AJ20" i="1"/>
  <c r="L20" i="1"/>
  <c r="K20" i="1"/>
  <c r="U20" i="1"/>
  <c r="T20" i="1" s="1"/>
  <c r="AG321" i="1"/>
  <c r="AF321" i="1" s="1"/>
  <c r="AD321" i="1" s="1"/>
  <c r="AG284" i="1"/>
  <c r="AF284" i="1" s="1"/>
  <c r="AD284" i="1" s="1"/>
  <c r="AG37" i="1"/>
  <c r="AF37" i="1" s="1"/>
  <c r="AD37" i="1" s="1"/>
  <c r="AG346" i="1"/>
  <c r="AF346" i="1" s="1"/>
  <c r="AD346" i="1" s="1"/>
  <c r="AG330" i="1"/>
  <c r="AF330" i="1" s="1"/>
  <c r="AD330" i="1" s="1"/>
  <c r="AG276" i="1"/>
  <c r="AF276" i="1" s="1"/>
  <c r="AD276" i="1" s="1"/>
  <c r="AG206" i="1"/>
  <c r="AF206" i="1" s="1"/>
  <c r="AD206" i="1" s="1"/>
  <c r="AG144" i="1"/>
  <c r="AF144" i="1" s="1"/>
  <c r="AD144" i="1" s="1"/>
  <c r="AG282" i="1"/>
  <c r="AF282" i="1" s="1"/>
  <c r="AD282" i="1" s="1"/>
  <c r="AG130" i="1"/>
  <c r="AF130" i="1" s="1"/>
  <c r="AD130" i="1" s="1"/>
  <c r="AG16" i="1"/>
  <c r="AF16" i="1" s="1"/>
  <c r="AD16" i="1" s="1"/>
  <c r="AA16" i="1" s="1"/>
  <c r="Z16" i="1" s="1"/>
  <c r="Y16" i="1" s="1"/>
  <c r="AG158" i="1"/>
  <c r="AF158" i="1" s="1"/>
  <c r="AD158" i="1" s="1"/>
  <c r="AG379" i="1"/>
  <c r="AF379" i="1" s="1"/>
  <c r="AD379" i="1" s="1"/>
  <c r="AG291" i="1"/>
  <c r="AF291" i="1" s="1"/>
  <c r="AD291" i="1" s="1"/>
  <c r="AG31" i="1"/>
  <c r="AF31" i="1" s="1"/>
  <c r="AD31" i="1" s="1"/>
  <c r="AG260" i="1"/>
  <c r="AF260" i="1" s="1"/>
  <c r="AD260" i="1" s="1"/>
  <c r="AG15" i="1"/>
  <c r="AH381" i="1"/>
  <c r="AH383" i="1"/>
  <c r="AH382" i="1"/>
  <c r="AG188" i="1"/>
  <c r="AF188" i="1" s="1"/>
  <c r="AD188" i="1" s="1"/>
  <c r="AG155" i="1"/>
  <c r="AF155" i="1" s="1"/>
  <c r="AD155" i="1" s="1"/>
  <c r="AG336" i="1"/>
  <c r="AF336" i="1" s="1"/>
  <c r="AD336" i="1" s="1"/>
  <c r="AI11" i="17"/>
  <c r="P10" i="17"/>
  <c r="L14" i="19"/>
  <c r="AE11" i="17"/>
  <c r="K16" i="20"/>
  <c r="AB16" i="20"/>
  <c r="X16" i="20"/>
  <c r="A17" i="20"/>
  <c r="K15" i="22"/>
  <c r="A16" i="22"/>
  <c r="X15" i="22"/>
  <c r="AB15" i="22"/>
  <c r="AB17" i="18"/>
  <c r="L17" i="18"/>
  <c r="A18" i="18"/>
  <c r="X17" i="18"/>
  <c r="K17" i="18"/>
  <c r="AK17" i="18"/>
  <c r="AB18" i="17"/>
  <c r="A19" i="17"/>
  <c r="L18" i="17"/>
  <c r="X18" i="17"/>
  <c r="K18" i="17"/>
  <c r="AK18" i="17"/>
  <c r="AG215" i="1"/>
  <c r="AF215" i="1" s="1"/>
  <c r="AD215" i="1" s="1"/>
  <c r="AG211" i="1"/>
  <c r="AF211" i="1" s="1"/>
  <c r="AD211" i="1" s="1"/>
  <c r="AG170" i="1"/>
  <c r="AF170" i="1" s="1"/>
  <c r="AD170" i="1" s="1"/>
  <c r="AG32" i="1"/>
  <c r="AF32" i="1" s="1"/>
  <c r="AD32" i="1" s="1"/>
  <c r="AG269" i="1"/>
  <c r="AF269" i="1" s="1"/>
  <c r="AD269" i="1" s="1"/>
  <c r="AG86" i="1"/>
  <c r="AF86" i="1" s="1"/>
  <c r="AD86" i="1" s="1"/>
  <c r="AG162" i="1"/>
  <c r="AF162" i="1" s="1"/>
  <c r="AD162" i="1" s="1"/>
  <c r="AG239" i="1"/>
  <c r="AF239" i="1" s="1"/>
  <c r="AD239" i="1" s="1"/>
  <c r="AG62" i="1"/>
  <c r="AF62" i="1" s="1"/>
  <c r="AD62" i="1" s="1"/>
  <c r="AG152" i="1"/>
  <c r="AF152" i="1" s="1"/>
  <c r="AD152" i="1" s="1"/>
  <c r="AG332" i="1"/>
  <c r="AF332" i="1" s="1"/>
  <c r="AD332" i="1" s="1"/>
  <c r="AG349" i="1"/>
  <c r="AF349" i="1" s="1"/>
  <c r="AD349" i="1" s="1"/>
  <c r="AG41" i="1"/>
  <c r="AF41" i="1" s="1"/>
  <c r="AD41" i="1" s="1"/>
  <c r="AG108" i="1"/>
  <c r="AF108" i="1" s="1"/>
  <c r="AD108" i="1" s="1"/>
  <c r="AG222" i="1"/>
  <c r="AF222" i="1" s="1"/>
  <c r="AD222" i="1" s="1"/>
  <c r="AG165" i="1"/>
  <c r="AF165" i="1" s="1"/>
  <c r="AD165" i="1" s="1"/>
  <c r="AG300" i="1"/>
  <c r="AF300" i="1" s="1"/>
  <c r="AD300" i="1" s="1"/>
  <c r="AG225" i="1"/>
  <c r="AF225" i="1" s="1"/>
  <c r="AD225" i="1" s="1"/>
  <c r="AG68" i="1"/>
  <c r="AF68" i="1" s="1"/>
  <c r="AD68" i="1" s="1"/>
  <c r="AG111" i="1"/>
  <c r="AF111" i="1" s="1"/>
  <c r="AD111" i="1" s="1"/>
  <c r="S19" i="1"/>
  <c r="R19" i="1" s="1"/>
  <c r="P19" i="1" s="1"/>
  <c r="V19" i="1" s="1"/>
  <c r="AG119" i="1"/>
  <c r="AF119" i="1" s="1"/>
  <c r="AD119" i="1" s="1"/>
  <c r="AG359" i="1"/>
  <c r="AF359" i="1" s="1"/>
  <c r="AD359" i="1" s="1"/>
  <c r="AG73" i="1"/>
  <c r="AF73" i="1" s="1"/>
  <c r="AD73" i="1" s="1"/>
  <c r="AG261" i="1"/>
  <c r="AF261" i="1" s="1"/>
  <c r="AD261" i="1" s="1"/>
  <c r="AG249" i="1"/>
  <c r="AF249" i="1" s="1"/>
  <c r="AD249" i="1" s="1"/>
  <c r="S15" i="1"/>
  <c r="P12" i="18"/>
  <c r="F8" i="18"/>
  <c r="AK380" i="18"/>
  <c r="AK15" i="18"/>
  <c r="L1" i="23"/>
  <c r="J1" i="24"/>
  <c r="V14" i="23"/>
  <c r="A15" i="23"/>
  <c r="Y14" i="23"/>
  <c r="A18" i="19"/>
  <c r="A42" i="19" s="1"/>
  <c r="F14" i="23"/>
  <c r="H6" i="6"/>
  <c r="AQ3" i="7"/>
  <c r="X1" i="23"/>
  <c r="AG371" i="1"/>
  <c r="AF371" i="1" s="1"/>
  <c r="AD371" i="1" s="1"/>
  <c r="AG122" i="1"/>
  <c r="AF122" i="1" s="1"/>
  <c r="AD122" i="1" s="1"/>
  <c r="AG348" i="1"/>
  <c r="AF348" i="1" s="1"/>
  <c r="AD348" i="1" s="1"/>
  <c r="AG270" i="1"/>
  <c r="AF270" i="1" s="1"/>
  <c r="AD270" i="1" s="1"/>
  <c r="AG318" i="1"/>
  <c r="AF318" i="1" s="1"/>
  <c r="AD318" i="1" s="1"/>
  <c r="AG283" i="1"/>
  <c r="AF283" i="1" s="1"/>
  <c r="AD283" i="1" s="1"/>
  <c r="AG315" i="1"/>
  <c r="AF315" i="1" s="1"/>
  <c r="AD315" i="1" s="1"/>
  <c r="AG320" i="1"/>
  <c r="AF320" i="1" s="1"/>
  <c r="AD320" i="1" s="1"/>
  <c r="I16" i="1"/>
  <c r="AA17" i="1"/>
  <c r="Z17" i="1" s="1"/>
  <c r="Y17" i="1" s="1"/>
  <c r="O17" i="15" l="1"/>
  <c r="E17" i="15" s="1"/>
  <c r="O16" i="15"/>
  <c r="E16" i="15" s="1"/>
  <c r="O19" i="15"/>
  <c r="O20" i="15"/>
  <c r="O15" i="15"/>
  <c r="E15" i="15" s="1"/>
  <c r="O18" i="15"/>
  <c r="E18" i="15" s="1"/>
  <c r="AA11" i="7"/>
  <c r="AG11" i="7" s="1"/>
  <c r="Q11" i="20" s="1"/>
  <c r="AY13" i="6"/>
  <c r="AY12" i="6"/>
  <c r="AT12" i="6"/>
  <c r="AT13" i="6"/>
  <c r="AJ380" i="6"/>
  <c r="AJ381" i="6" s="1"/>
  <c r="AZ12" i="6"/>
  <c r="AZ13" i="6"/>
  <c r="E19" i="15"/>
  <c r="O9" i="18"/>
  <c r="AJ18" i="18" s="1"/>
  <c r="AC9" i="16"/>
  <c r="AC12" i="16"/>
  <c r="AC19" i="16" s="1"/>
  <c r="O12" i="16"/>
  <c r="AJ15" i="17"/>
  <c r="F7" i="17"/>
  <c r="AJ16" i="17"/>
  <c r="AJ380" i="17"/>
  <c r="T13" i="7"/>
  <c r="AJ17" i="17"/>
  <c r="P13" i="7"/>
  <c r="O11" i="17"/>
  <c r="AB20" i="15"/>
  <c r="AJ20" i="15"/>
  <c r="AK20" i="15"/>
  <c r="X20" i="15"/>
  <c r="A21" i="15"/>
  <c r="L20" i="15"/>
  <c r="D20" i="15" s="1"/>
  <c r="K20" i="15"/>
  <c r="L15" i="20"/>
  <c r="L16" i="20"/>
  <c r="L11" i="22"/>
  <c r="AR57" i="27"/>
  <c r="AP57" i="27"/>
  <c r="AE79" i="27"/>
  <c r="AV57" i="27"/>
  <c r="AT57" i="27"/>
  <c r="AE78" i="27"/>
  <c r="P79" i="27"/>
  <c r="AB19" i="16"/>
  <c r="AK19" i="16"/>
  <c r="K19" i="16"/>
  <c r="X19" i="16"/>
  <c r="AJ19" i="16"/>
  <c r="A20" i="16"/>
  <c r="L19" i="16"/>
  <c r="D19" i="16" s="1"/>
  <c r="I19" i="1"/>
  <c r="AA19" i="1"/>
  <c r="Z19" i="1" s="1"/>
  <c r="Y19" i="1" s="1"/>
  <c r="I18" i="1"/>
  <c r="AA18" i="1"/>
  <c r="Z18" i="1" s="1"/>
  <c r="Y18" i="1" s="1"/>
  <c r="K15" i="23"/>
  <c r="A16" i="23"/>
  <c r="X15" i="23"/>
  <c r="AB15" i="23"/>
  <c r="A15" i="24"/>
  <c r="L1" i="24"/>
  <c r="J1" i="25"/>
  <c r="AW3" i="7"/>
  <c r="F14" i="24"/>
  <c r="A19" i="19"/>
  <c r="A43" i="19" s="1"/>
  <c r="V14" i="24"/>
  <c r="Y14" i="24"/>
  <c r="X1" i="24"/>
  <c r="I6" i="6"/>
  <c r="P10" i="18"/>
  <c r="L15" i="19"/>
  <c r="X19" i="17"/>
  <c r="AB19" i="17"/>
  <c r="L19" i="17"/>
  <c r="K19" i="17"/>
  <c r="A20" i="17"/>
  <c r="AK19" i="17"/>
  <c r="AJ19" i="17"/>
  <c r="AB16" i="22"/>
  <c r="A17" i="22"/>
  <c r="X16" i="22"/>
  <c r="K16" i="22"/>
  <c r="P11" i="22"/>
  <c r="AL15" i="7"/>
  <c r="AG381" i="1"/>
  <c r="AG383" i="1"/>
  <c r="AG382" i="1"/>
  <c r="AF15" i="1"/>
  <c r="X21" i="1"/>
  <c r="L21" i="1"/>
  <c r="Q21" i="1"/>
  <c r="AK21" i="1"/>
  <c r="AB21" i="1"/>
  <c r="O21" i="1"/>
  <c r="K21" i="1"/>
  <c r="A22" i="1"/>
  <c r="AJ21" i="1"/>
  <c r="AC21" i="1"/>
  <c r="U21" i="1"/>
  <c r="L12" i="22"/>
  <c r="P12" i="20"/>
  <c r="F8" i="20"/>
  <c r="AK15" i="20"/>
  <c r="E8" i="16"/>
  <c r="K13" i="19" s="1"/>
  <c r="K37" i="19" s="1"/>
  <c r="E7" i="16"/>
  <c r="R15" i="1"/>
  <c r="X18" i="18"/>
  <c r="K18" i="18"/>
  <c r="L18" i="18"/>
  <c r="AB18" i="18"/>
  <c r="A19" i="18"/>
  <c r="AK18" i="18"/>
  <c r="K17" i="20"/>
  <c r="AB17" i="20"/>
  <c r="L17" i="20"/>
  <c r="A18" i="20"/>
  <c r="X17" i="20"/>
  <c r="AK17" i="20"/>
  <c r="S20" i="1"/>
  <c r="R20" i="1" s="1"/>
  <c r="P20" i="1" s="1"/>
  <c r="V20" i="1" s="1"/>
  <c r="L15" i="22" l="1"/>
  <c r="Q13" i="7"/>
  <c r="E20" i="15"/>
  <c r="Q11" i="18"/>
  <c r="AX57" i="27"/>
  <c r="AN57" i="27" s="1"/>
  <c r="AN58" i="27" s="1"/>
  <c r="AN59" i="27" s="1"/>
  <c r="AN60" i="27" s="1"/>
  <c r="AN61" i="27" s="1"/>
  <c r="AN62" i="27" s="1"/>
  <c r="AN63" i="27" s="1"/>
  <c r="AN64" i="27" s="1"/>
  <c r="AN65" i="27" s="1"/>
  <c r="AN66" i="27" s="1"/>
  <c r="AN67" i="27" s="1"/>
  <c r="AC16" i="16"/>
  <c r="AC18" i="16"/>
  <c r="AC17" i="16"/>
  <c r="AC15" i="16"/>
  <c r="O9" i="20"/>
  <c r="AJ18" i="20" s="1"/>
  <c r="AC12" i="17"/>
  <c r="AC9" i="17"/>
  <c r="O12" i="17"/>
  <c r="AJ15" i="18"/>
  <c r="F7" i="18"/>
  <c r="AJ380" i="18"/>
  <c r="AJ16" i="18"/>
  <c r="Z13" i="7"/>
  <c r="AJ17" i="18"/>
  <c r="V13" i="7"/>
  <c r="O11" i="18"/>
  <c r="X21" i="15"/>
  <c r="AJ21" i="15"/>
  <c r="A22" i="15"/>
  <c r="AC21" i="15"/>
  <c r="L21" i="15"/>
  <c r="D21" i="15" s="1"/>
  <c r="K21" i="15"/>
  <c r="AK21" i="15"/>
  <c r="AB21" i="15"/>
  <c r="O21" i="15"/>
  <c r="E21" i="15" s="1"/>
  <c r="L11" i="23"/>
  <c r="AM11" i="7"/>
  <c r="K20" i="16"/>
  <c r="A21" i="16"/>
  <c r="L20" i="16"/>
  <c r="D20" i="16" s="1"/>
  <c r="AJ20" i="16"/>
  <c r="X20" i="16"/>
  <c r="AB20" i="16"/>
  <c r="AK20" i="16"/>
  <c r="AC20" i="16"/>
  <c r="K19" i="18"/>
  <c r="L19" i="18"/>
  <c r="AB19" i="18"/>
  <c r="A20" i="18"/>
  <c r="X19" i="18"/>
  <c r="AK19" i="18"/>
  <c r="AJ19" i="18"/>
  <c r="P15" i="1"/>
  <c r="O10" i="16"/>
  <c r="AC10" i="16"/>
  <c r="L12" i="23"/>
  <c r="L15" i="23" s="1"/>
  <c r="A23" i="1"/>
  <c r="K22" i="1"/>
  <c r="Q22" i="1"/>
  <c r="AB22" i="1"/>
  <c r="X22" i="1"/>
  <c r="AK22" i="1"/>
  <c r="AJ22" i="1"/>
  <c r="O22" i="1"/>
  <c r="AC22" i="1"/>
  <c r="L22" i="1"/>
  <c r="U22" i="1"/>
  <c r="T22" i="1" s="1"/>
  <c r="S22" i="1" s="1"/>
  <c r="R22" i="1" s="1"/>
  <c r="P22" i="1" s="1"/>
  <c r="AF381" i="1"/>
  <c r="AF382" i="1"/>
  <c r="AF383" i="1"/>
  <c r="AD15" i="1"/>
  <c r="F8" i="22"/>
  <c r="P12" i="22"/>
  <c r="AK15" i="22"/>
  <c r="AK16" i="22"/>
  <c r="A21" i="17"/>
  <c r="AB20" i="17"/>
  <c r="X20" i="17"/>
  <c r="L20" i="17"/>
  <c r="K20" i="17"/>
  <c r="AJ20" i="17"/>
  <c r="AK20" i="17"/>
  <c r="K16" i="23"/>
  <c r="AB16" i="23"/>
  <c r="X16" i="23"/>
  <c r="A17" i="23"/>
  <c r="A19" i="20"/>
  <c r="K18" i="20"/>
  <c r="AB18" i="20"/>
  <c r="X18" i="20"/>
  <c r="L18" i="20"/>
  <c r="AK18" i="20"/>
  <c r="AR15" i="7"/>
  <c r="P11" i="23"/>
  <c r="P10" i="20"/>
  <c r="L16" i="19"/>
  <c r="T21" i="1"/>
  <c r="L16" i="22"/>
  <c r="X17" i="22"/>
  <c r="L17" i="22"/>
  <c r="K17" i="22"/>
  <c r="AB17" i="22"/>
  <c r="A18" i="22"/>
  <c r="AK17" i="22"/>
  <c r="BC3" i="7"/>
  <c r="A20" i="19"/>
  <c r="A44" i="19" s="1"/>
  <c r="A15" i="25"/>
  <c r="L1" i="25"/>
  <c r="V14" i="25"/>
  <c r="J6" i="6"/>
  <c r="X1" i="25"/>
  <c r="F14" i="25"/>
  <c r="Y14" i="25"/>
  <c r="A16" i="24"/>
  <c r="K15" i="24"/>
  <c r="X15" i="24"/>
  <c r="AB15" i="24"/>
  <c r="W13" i="7" l="1"/>
  <c r="AN56" i="27"/>
  <c r="AK61" i="27" s="1"/>
  <c r="AC20" i="17"/>
  <c r="O9" i="22"/>
  <c r="AJ18" i="22" s="1"/>
  <c r="O12" i="18"/>
  <c r="AC12" i="18"/>
  <c r="AC9" i="18"/>
  <c r="AJ16" i="20"/>
  <c r="AF13" i="7"/>
  <c r="F7" i="20"/>
  <c r="AJ15" i="20"/>
  <c r="AJ17" i="20"/>
  <c r="AB13" i="7"/>
  <c r="O11" i="20"/>
  <c r="O22" i="15"/>
  <c r="L22" i="15"/>
  <c r="D22" i="15" s="1"/>
  <c r="AK22" i="15"/>
  <c r="AJ22" i="15"/>
  <c r="AC22" i="15"/>
  <c r="A23" i="15"/>
  <c r="K22" i="15"/>
  <c r="X22" i="15"/>
  <c r="AB22" i="15"/>
  <c r="L11" i="24"/>
  <c r="AN68" i="27"/>
  <c r="AN69" i="27" s="1"/>
  <c r="AN70" i="27" s="1"/>
  <c r="AN71" i="27" s="1"/>
  <c r="AN72" i="27" s="1"/>
  <c r="AN73" i="27" s="1"/>
  <c r="AN74" i="27" s="1"/>
  <c r="AN75" i="27" s="1"/>
  <c r="AN76" i="27" s="1"/>
  <c r="AN77" i="27" s="1"/>
  <c r="AN78" i="27" s="1"/>
  <c r="AN79" i="27" s="1"/>
  <c r="AC15" i="17"/>
  <c r="AC16" i="17"/>
  <c r="AC19" i="17"/>
  <c r="AC17" i="17"/>
  <c r="AC18" i="17"/>
  <c r="K21" i="16"/>
  <c r="L21" i="16"/>
  <c r="D21" i="16" s="1"/>
  <c r="X21" i="16"/>
  <c r="AK21" i="16"/>
  <c r="AB21" i="16"/>
  <c r="A22" i="16"/>
  <c r="AJ21" i="16"/>
  <c r="AC21" i="16"/>
  <c r="Q11" i="22"/>
  <c r="AS11" i="7"/>
  <c r="Q11" i="23" s="1"/>
  <c r="A17" i="24"/>
  <c r="AB16" i="24"/>
  <c r="X16" i="24"/>
  <c r="K16" i="24"/>
  <c r="A19" i="22"/>
  <c r="X18" i="22"/>
  <c r="L18" i="22"/>
  <c r="K18" i="22"/>
  <c r="AB18" i="22"/>
  <c r="AK18" i="22"/>
  <c r="P11" i="24"/>
  <c r="AK16" i="24" s="1"/>
  <c r="AX15" i="7"/>
  <c r="A22" i="17"/>
  <c r="K21" i="17"/>
  <c r="AB21" i="17"/>
  <c r="L21" i="17"/>
  <c r="X21" i="17"/>
  <c r="AK21" i="17"/>
  <c r="AJ21" i="17"/>
  <c r="AC21" i="17"/>
  <c r="AD383" i="1"/>
  <c r="AD382" i="1"/>
  <c r="AD381" i="1"/>
  <c r="AK23" i="1"/>
  <c r="AJ23" i="1"/>
  <c r="O23" i="1"/>
  <c r="L23" i="1"/>
  <c r="AC23" i="1"/>
  <c r="K23" i="1"/>
  <c r="AB23" i="1"/>
  <c r="A24" i="1"/>
  <c r="X23" i="1"/>
  <c r="Q23" i="1"/>
  <c r="U23" i="1"/>
  <c r="V15" i="1"/>
  <c r="AA15" i="1" s="1"/>
  <c r="AB20" i="18"/>
  <c r="X20" i="18"/>
  <c r="K20" i="18"/>
  <c r="A21" i="18"/>
  <c r="L20" i="18"/>
  <c r="AK20" i="18"/>
  <c r="AJ20" i="18"/>
  <c r="K15" i="25"/>
  <c r="AB15" i="25"/>
  <c r="A16" i="25"/>
  <c r="X15" i="25"/>
  <c r="S21" i="1"/>
  <c r="AK380" i="23"/>
  <c r="F8" i="23"/>
  <c r="P12" i="23"/>
  <c r="AK15" i="23"/>
  <c r="X19" i="20"/>
  <c r="AB19" i="20"/>
  <c r="L19" i="20"/>
  <c r="A20" i="20"/>
  <c r="K19" i="20"/>
  <c r="AK19" i="20"/>
  <c r="AJ19" i="20"/>
  <c r="AK16" i="23"/>
  <c r="A18" i="23"/>
  <c r="K17" i="23"/>
  <c r="L17" i="23"/>
  <c r="X17" i="23"/>
  <c r="AB17" i="23"/>
  <c r="AK17" i="23"/>
  <c r="L16" i="23"/>
  <c r="P10" i="22"/>
  <c r="L17" i="19"/>
  <c r="V22" i="1"/>
  <c r="L12" i="24"/>
  <c r="O17" i="16"/>
  <c r="E17" i="16" s="1"/>
  <c r="O20" i="16"/>
  <c r="E20" i="16" s="1"/>
  <c r="O13" i="7"/>
  <c r="O19" i="16"/>
  <c r="E19" i="16" s="1"/>
  <c r="O21" i="16"/>
  <c r="O18" i="16"/>
  <c r="E18" i="16" s="1"/>
  <c r="O15" i="16"/>
  <c r="O16" i="16"/>
  <c r="E16" i="16" s="1"/>
  <c r="AC13" i="7" l="1"/>
  <c r="L15" i="24"/>
  <c r="AK73" i="27"/>
  <c r="AL73" i="27" s="1"/>
  <c r="AK66" i="27"/>
  <c r="AL66" i="27" s="1"/>
  <c r="AK76" i="27"/>
  <c r="AL76" i="27" s="1"/>
  <c r="AK60" i="27"/>
  <c r="AL60" i="27" s="1"/>
  <c r="AK65" i="27"/>
  <c r="AM65" i="27" s="1"/>
  <c r="AK79" i="27"/>
  <c r="AM79" i="27" s="1"/>
  <c r="AK78" i="27"/>
  <c r="AL78" i="27" s="1"/>
  <c r="AK74" i="27"/>
  <c r="AL74" i="27" s="1"/>
  <c r="AK56" i="27"/>
  <c r="AL56" i="27" s="1"/>
  <c r="AK62" i="27"/>
  <c r="AL62" i="27" s="1"/>
  <c r="AK63" i="27"/>
  <c r="AM63" i="27" s="1"/>
  <c r="AK59" i="27"/>
  <c r="AM59" i="27" s="1"/>
  <c r="AK77" i="27"/>
  <c r="AL77" i="27" s="1"/>
  <c r="AK75" i="27"/>
  <c r="AM75" i="27" s="1"/>
  <c r="AK71" i="27"/>
  <c r="AM71" i="27" s="1"/>
  <c r="AK72" i="27"/>
  <c r="AL72" i="27" s="1"/>
  <c r="AK70" i="27"/>
  <c r="AL70" i="27" s="1"/>
  <c r="AK57" i="27"/>
  <c r="AL57" i="27" s="1"/>
  <c r="AK64" i="27"/>
  <c r="AL64" i="27" s="1"/>
  <c r="AK68" i="27"/>
  <c r="AL68" i="27" s="1"/>
  <c r="AK69" i="27"/>
  <c r="AL69" i="27" s="1"/>
  <c r="AK67" i="27"/>
  <c r="AM67" i="27" s="1"/>
  <c r="AK58" i="27"/>
  <c r="AL58" i="27" s="1"/>
  <c r="AM57" i="27"/>
  <c r="AM64" i="27"/>
  <c r="AM68" i="27"/>
  <c r="AM69" i="27"/>
  <c r="AL67" i="27"/>
  <c r="AM58" i="27"/>
  <c r="AM60" i="27"/>
  <c r="AM66" i="27"/>
  <c r="AL65" i="27"/>
  <c r="AM61" i="27"/>
  <c r="AL61" i="27"/>
  <c r="AY11" i="7"/>
  <c r="Q11" i="24" s="1"/>
  <c r="AC9" i="20"/>
  <c r="AC12" i="20"/>
  <c r="O12" i="20"/>
  <c r="O9" i="23"/>
  <c r="AJ18" i="23" s="1"/>
  <c r="AJ15" i="22"/>
  <c r="AJ16" i="22"/>
  <c r="F7" i="22"/>
  <c r="AL13" i="7"/>
  <c r="AJ17" i="22"/>
  <c r="AH13" i="7"/>
  <c r="O11" i="22"/>
  <c r="E8" i="17"/>
  <c r="K14" i="19" s="1"/>
  <c r="K38" i="19" s="1"/>
  <c r="E7" i="17"/>
  <c r="E22" i="15"/>
  <c r="A24" i="15"/>
  <c r="AJ23" i="15"/>
  <c r="X23" i="15"/>
  <c r="AC23" i="15"/>
  <c r="L23" i="15"/>
  <c r="D23" i="15" s="1"/>
  <c r="AK23" i="15"/>
  <c r="AB23" i="15"/>
  <c r="K23" i="15"/>
  <c r="O23" i="15"/>
  <c r="E23" i="15" s="1"/>
  <c r="E21" i="16"/>
  <c r="L11" i="25"/>
  <c r="L16" i="25" s="1"/>
  <c r="AM76" i="27"/>
  <c r="AM73" i="27"/>
  <c r="AM56" i="27"/>
  <c r="AL71" i="27"/>
  <c r="L16" i="24"/>
  <c r="R21" i="1"/>
  <c r="A23" i="16"/>
  <c r="L22" i="16"/>
  <c r="D22" i="16" s="1"/>
  <c r="K22" i="16"/>
  <c r="AJ22" i="16"/>
  <c r="O22" i="16"/>
  <c r="AB22" i="16"/>
  <c r="X22" i="16"/>
  <c r="AK22" i="16"/>
  <c r="AC22" i="16"/>
  <c r="E15" i="16"/>
  <c r="L12" i="25"/>
  <c r="AA20" i="1"/>
  <c r="Z20" i="1" s="1"/>
  <c r="Y20" i="1" s="1"/>
  <c r="I20" i="1"/>
  <c r="A19" i="23"/>
  <c r="AB18" i="23"/>
  <c r="X18" i="23"/>
  <c r="K18" i="23"/>
  <c r="L18" i="23"/>
  <c r="AK18" i="23"/>
  <c r="A21" i="20"/>
  <c r="AB20" i="20"/>
  <c r="L20" i="20"/>
  <c r="X20" i="20"/>
  <c r="K20" i="20"/>
  <c r="AJ20" i="20"/>
  <c r="AK20" i="20"/>
  <c r="P10" i="23"/>
  <c r="L18" i="19"/>
  <c r="X21" i="18"/>
  <c r="K21" i="18"/>
  <c r="L21" i="18"/>
  <c r="A22" i="18"/>
  <c r="AB21" i="18"/>
  <c r="AJ21" i="18"/>
  <c r="AK21" i="18"/>
  <c r="L24" i="1"/>
  <c r="K24" i="1"/>
  <c r="AB24" i="1"/>
  <c r="AJ24" i="1"/>
  <c r="A25" i="1"/>
  <c r="Q24" i="1"/>
  <c r="AC24" i="1"/>
  <c r="O24" i="1"/>
  <c r="X24" i="1"/>
  <c r="AK24" i="1"/>
  <c r="U24" i="1"/>
  <c r="Z15" i="1"/>
  <c r="A23" i="17"/>
  <c r="K22" i="17"/>
  <c r="X22" i="17"/>
  <c r="AB22" i="17"/>
  <c r="L22" i="17"/>
  <c r="AJ22" i="17"/>
  <c r="AK22" i="17"/>
  <c r="AC22" i="17"/>
  <c r="P11" i="25"/>
  <c r="BD15" i="7"/>
  <c r="K16" i="25"/>
  <c r="A17" i="25"/>
  <c r="AB16" i="25"/>
  <c r="X16" i="25"/>
  <c r="T23" i="1"/>
  <c r="F8" i="24"/>
  <c r="P12" i="24"/>
  <c r="AK380" i="24"/>
  <c r="AK15" i="24"/>
  <c r="K19" i="22"/>
  <c r="L19" i="22"/>
  <c r="AB19" i="22"/>
  <c r="A20" i="22"/>
  <c r="X19" i="22"/>
  <c r="AJ19" i="22"/>
  <c r="AK19" i="22"/>
  <c r="K17" i="24"/>
  <c r="X17" i="24"/>
  <c r="L17" i="24"/>
  <c r="A18" i="24"/>
  <c r="AB17" i="24"/>
  <c r="AK17" i="24"/>
  <c r="L15" i="25" l="1"/>
  <c r="AI13" i="7"/>
  <c r="BE11" i="7"/>
  <c r="Q11" i="25" s="1"/>
  <c r="AM70" i="27"/>
  <c r="AJ70" i="27" s="1"/>
  <c r="U70" i="27" s="1"/>
  <c r="AM77" i="27"/>
  <c r="AM78" i="27"/>
  <c r="AJ78" i="27" s="1"/>
  <c r="AL63" i="27"/>
  <c r="AM74" i="27"/>
  <c r="AJ74" i="27" s="1"/>
  <c r="AL79" i="27"/>
  <c r="AM72" i="27"/>
  <c r="AJ72" i="27" s="1"/>
  <c r="AL75" i="27"/>
  <c r="AL59" i="27"/>
  <c r="AJ59" i="27" s="1"/>
  <c r="AM62" i="27"/>
  <c r="AJ63" i="27"/>
  <c r="T63" i="27" s="1"/>
  <c r="AJ66" i="27"/>
  <c r="Q66" i="27" s="1"/>
  <c r="AJ58" i="27"/>
  <c r="Z58" i="27" s="1"/>
  <c r="AJ67" i="27"/>
  <c r="T67" i="27" s="1"/>
  <c r="AJ69" i="27"/>
  <c r="R69" i="27" s="1"/>
  <c r="AJ68" i="27"/>
  <c r="V68" i="27" s="1"/>
  <c r="AJ64" i="27"/>
  <c r="Q64" i="27" s="1"/>
  <c r="AJ61" i="27"/>
  <c r="U61" i="27" s="1"/>
  <c r="W63" i="27"/>
  <c r="AJ65" i="27"/>
  <c r="AJ62" i="27"/>
  <c r="AJ60" i="27"/>
  <c r="AJ57" i="27"/>
  <c r="AJ71" i="27"/>
  <c r="X71" i="27" s="1"/>
  <c r="AJ77" i="27"/>
  <c r="Z77" i="27" s="1"/>
  <c r="AJ56" i="27"/>
  <c r="AA56" i="27" s="1"/>
  <c r="AJ73" i="27"/>
  <c r="R73" i="27" s="1"/>
  <c r="AJ76" i="27"/>
  <c r="Y76" i="27" s="1"/>
  <c r="AJ79" i="27"/>
  <c r="U79" i="27" s="1"/>
  <c r="AC12" i="22"/>
  <c r="AC9" i="22"/>
  <c r="O12" i="22"/>
  <c r="AJ380" i="23"/>
  <c r="AJ16" i="23"/>
  <c r="F7" i="23"/>
  <c r="O11" i="23" s="1"/>
  <c r="AR13" i="7"/>
  <c r="AJ15" i="23"/>
  <c r="AJ17" i="23"/>
  <c r="O9" i="24"/>
  <c r="AJ18" i="24" s="1"/>
  <c r="AN13" i="7"/>
  <c r="AK16" i="25"/>
  <c r="O10" i="17"/>
  <c r="AC10" i="17"/>
  <c r="AC22" i="18" s="1"/>
  <c r="E22" i="16"/>
  <c r="L24" i="15"/>
  <c r="D24" i="15" s="1"/>
  <c r="AJ24" i="15"/>
  <c r="K24" i="15"/>
  <c r="AC24" i="15"/>
  <c r="AB24" i="15"/>
  <c r="AK24" i="15"/>
  <c r="X24" i="15"/>
  <c r="A25" i="15"/>
  <c r="O24" i="15"/>
  <c r="E24" i="15" s="1"/>
  <c r="AJ75" i="27"/>
  <c r="R71" i="27"/>
  <c r="P21" i="1"/>
  <c r="K23" i="16"/>
  <c r="X23" i="16"/>
  <c r="AK23" i="16"/>
  <c r="AC23" i="16"/>
  <c r="AB23" i="16"/>
  <c r="A24" i="16"/>
  <c r="L23" i="16"/>
  <c r="D23" i="16" s="1"/>
  <c r="AJ23" i="16"/>
  <c r="O23" i="16"/>
  <c r="I22" i="1"/>
  <c r="AA22" i="1"/>
  <c r="Z22" i="1" s="1"/>
  <c r="Y22" i="1" s="1"/>
  <c r="X18" i="24"/>
  <c r="A19" i="24"/>
  <c r="L18" i="24"/>
  <c r="K18" i="24"/>
  <c r="AB18" i="24"/>
  <c r="AK18" i="24"/>
  <c r="S23" i="1"/>
  <c r="T24" i="1"/>
  <c r="L25" i="1"/>
  <c r="O25" i="1"/>
  <c r="AB25" i="1"/>
  <c r="AJ25" i="1"/>
  <c r="AK25" i="1"/>
  <c r="K25" i="1"/>
  <c r="X25" i="1"/>
  <c r="A26" i="1"/>
  <c r="AC25" i="1"/>
  <c r="Q25" i="1"/>
  <c r="U25" i="1"/>
  <c r="K19" i="23"/>
  <c r="X19" i="23"/>
  <c r="L19" i="23"/>
  <c r="AB19" i="23"/>
  <c r="A20" i="23"/>
  <c r="AK19" i="23"/>
  <c r="AJ19" i="23"/>
  <c r="AB20" i="22"/>
  <c r="L20" i="22"/>
  <c r="K20" i="22"/>
  <c r="X20" i="22"/>
  <c r="A21" i="22"/>
  <c r="AJ20" i="22"/>
  <c r="AK20" i="22"/>
  <c r="P10" i="24"/>
  <c r="L19" i="19"/>
  <c r="K17" i="25"/>
  <c r="L17" i="25"/>
  <c r="A18" i="25"/>
  <c r="X17" i="25"/>
  <c r="AB17" i="25"/>
  <c r="AK17" i="25"/>
  <c r="BK11" i="7"/>
  <c r="BL11" i="7"/>
  <c r="BJ15" i="7"/>
  <c r="F8" i="25"/>
  <c r="P12" i="25"/>
  <c r="AK15" i="25"/>
  <c r="K23" i="17"/>
  <c r="A24" i="17"/>
  <c r="L23" i="17"/>
  <c r="AB23" i="17"/>
  <c r="X23" i="17"/>
  <c r="AJ23" i="17"/>
  <c r="AK23" i="17"/>
  <c r="AC23" i="17"/>
  <c r="O23" i="17"/>
  <c r="Y15" i="1"/>
  <c r="A23" i="18"/>
  <c r="L22" i="18"/>
  <c r="K22" i="18"/>
  <c r="X22" i="18"/>
  <c r="AB22" i="18"/>
  <c r="AJ22" i="18"/>
  <c r="AK22" i="18"/>
  <c r="X21" i="20"/>
  <c r="A22" i="20"/>
  <c r="AB21" i="20"/>
  <c r="L21" i="20"/>
  <c r="K21" i="20"/>
  <c r="AJ21" i="20"/>
  <c r="AK21" i="20"/>
  <c r="AO13" i="7" l="1"/>
  <c r="S78" i="27"/>
  <c r="Q78" i="27"/>
  <c r="S56" i="27"/>
  <c r="S74" i="27"/>
  <c r="Z74" i="27"/>
  <c r="AA79" i="27"/>
  <c r="AB79" i="27" s="1"/>
  <c r="AC79" i="27" s="1"/>
  <c r="AD79" i="27" s="1"/>
  <c r="Q76" i="27"/>
  <c r="V73" i="27"/>
  <c r="Q77" i="27"/>
  <c r="T69" i="27"/>
  <c r="Z64" i="27"/>
  <c r="W58" i="27"/>
  <c r="AA72" i="27"/>
  <c r="X72" i="27"/>
  <c r="T64" i="27"/>
  <c r="S58" i="27"/>
  <c r="S63" i="27"/>
  <c r="Q68" i="27"/>
  <c r="S66" i="27"/>
  <c r="U64" i="27"/>
  <c r="Y69" i="27"/>
  <c r="V58" i="27"/>
  <c r="U63" i="27"/>
  <c r="S67" i="27"/>
  <c r="R66" i="27"/>
  <c r="AA71" i="27"/>
  <c r="T70" i="27"/>
  <c r="U68" i="27"/>
  <c r="Y68" i="27"/>
  <c r="V66" i="27"/>
  <c r="W67" i="27"/>
  <c r="R67" i="27"/>
  <c r="V69" i="27"/>
  <c r="AA78" i="27"/>
  <c r="AB78" i="27" s="1"/>
  <c r="AC78" i="27" s="1"/>
  <c r="AD78" i="27" s="1"/>
  <c r="T74" i="27"/>
  <c r="R74" i="27"/>
  <c r="W56" i="27"/>
  <c r="V71" i="27"/>
  <c r="W70" i="27"/>
  <c r="AA64" i="27"/>
  <c r="R64" i="27"/>
  <c r="U69" i="27"/>
  <c r="W69" i="27"/>
  <c r="T58" i="27"/>
  <c r="X58" i="27"/>
  <c r="Y63" i="27"/>
  <c r="Q63" i="27"/>
  <c r="S68" i="27"/>
  <c r="Z68" i="27"/>
  <c r="Y67" i="27"/>
  <c r="Z67" i="27"/>
  <c r="Y66" i="27"/>
  <c r="U66" i="27"/>
  <c r="T61" i="27"/>
  <c r="X61" i="27"/>
  <c r="AA61" i="27"/>
  <c r="S61" i="27"/>
  <c r="Y61" i="27"/>
  <c r="S79" i="27"/>
  <c r="W76" i="27"/>
  <c r="X73" i="27"/>
  <c r="T77" i="27"/>
  <c r="U72" i="27"/>
  <c r="W64" i="27"/>
  <c r="Y64" i="27"/>
  <c r="V64" i="27"/>
  <c r="S64" i="27"/>
  <c r="X64" i="27"/>
  <c r="Q69" i="27"/>
  <c r="S69" i="27"/>
  <c r="X69" i="27"/>
  <c r="Z69" i="27"/>
  <c r="AA69" i="27"/>
  <c r="AA58" i="27"/>
  <c r="U58" i="27"/>
  <c r="Y58" i="27"/>
  <c r="Q58" i="27"/>
  <c r="R58" i="27"/>
  <c r="X63" i="27"/>
  <c r="AA63" i="27"/>
  <c r="Z63" i="27"/>
  <c r="V63" i="27"/>
  <c r="R63" i="27"/>
  <c r="Y78" i="27"/>
  <c r="V78" i="27"/>
  <c r="U78" i="27"/>
  <c r="Q74" i="27"/>
  <c r="X74" i="27"/>
  <c r="V56" i="27"/>
  <c r="Y56" i="27"/>
  <c r="R56" i="27"/>
  <c r="Q71" i="27"/>
  <c r="S71" i="27"/>
  <c r="Z70" i="27"/>
  <c r="V70" i="27"/>
  <c r="Q70" i="27"/>
  <c r="X68" i="27"/>
  <c r="W68" i="27"/>
  <c r="T68" i="27"/>
  <c r="AA68" i="27"/>
  <c r="R68" i="27"/>
  <c r="U67" i="27"/>
  <c r="AA67" i="27"/>
  <c r="V67" i="27"/>
  <c r="Q67" i="27"/>
  <c r="X67" i="27"/>
  <c r="T66" i="27"/>
  <c r="X66" i="27"/>
  <c r="AA66" i="27"/>
  <c r="AB66" i="27" s="1"/>
  <c r="AC66" i="27" s="1"/>
  <c r="Z66" i="27"/>
  <c r="W66" i="27"/>
  <c r="Z61" i="27"/>
  <c r="Q61" i="27"/>
  <c r="W61" i="27"/>
  <c r="R61" i="27"/>
  <c r="V61" i="27"/>
  <c r="X79" i="27"/>
  <c r="Q79" i="27"/>
  <c r="W79" i="27"/>
  <c r="R76" i="27"/>
  <c r="Z76" i="27"/>
  <c r="V76" i="27"/>
  <c r="Q73" i="27"/>
  <c r="W73" i="27"/>
  <c r="AA73" i="27"/>
  <c r="AB72" i="27" s="1"/>
  <c r="AC72" i="27" s="1"/>
  <c r="AD72" i="27" s="1"/>
  <c r="W77" i="27"/>
  <c r="Y77" i="27"/>
  <c r="X77" i="27"/>
  <c r="T72" i="27"/>
  <c r="R72" i="27"/>
  <c r="W72" i="27"/>
  <c r="AB63" i="27"/>
  <c r="AC63" i="27" s="1"/>
  <c r="Y60" i="27"/>
  <c r="X60" i="27"/>
  <c r="Q60" i="27"/>
  <c r="W60" i="27"/>
  <c r="Z60" i="27"/>
  <c r="R60" i="27"/>
  <c r="AA60" i="27"/>
  <c r="U60" i="27"/>
  <c r="V60" i="27"/>
  <c r="S60" i="27"/>
  <c r="T60" i="27"/>
  <c r="R65" i="27"/>
  <c r="W65" i="27"/>
  <c r="U65" i="27"/>
  <c r="T65" i="27"/>
  <c r="Z65" i="27"/>
  <c r="S65" i="27"/>
  <c r="Y65" i="27"/>
  <c r="AA65" i="27"/>
  <c r="X65" i="27"/>
  <c r="V65" i="27"/>
  <c r="Q65" i="27"/>
  <c r="X78" i="27"/>
  <c r="Z78" i="27"/>
  <c r="R78" i="27"/>
  <c r="W78" i="27"/>
  <c r="T78" i="27"/>
  <c r="W74" i="27"/>
  <c r="V74" i="27"/>
  <c r="AA74" i="27"/>
  <c r="U74" i="27"/>
  <c r="Y74" i="27"/>
  <c r="T56" i="27"/>
  <c r="Q56" i="27"/>
  <c r="U56" i="27"/>
  <c r="X56" i="27"/>
  <c r="Z56" i="27"/>
  <c r="Y71" i="27"/>
  <c r="Z71" i="27"/>
  <c r="W71" i="27"/>
  <c r="T71" i="27"/>
  <c r="U71" i="27"/>
  <c r="R70" i="27"/>
  <c r="AA70" i="27"/>
  <c r="AB70" i="27" s="1"/>
  <c r="AC70" i="27" s="1"/>
  <c r="AD70" i="27" s="1"/>
  <c r="X70" i="27"/>
  <c r="Y70" i="27"/>
  <c r="S70" i="27"/>
  <c r="Z57" i="27"/>
  <c r="U57" i="27"/>
  <c r="Q57" i="27"/>
  <c r="T57" i="27"/>
  <c r="R57" i="27"/>
  <c r="X57" i="27"/>
  <c r="W57" i="27"/>
  <c r="Y57" i="27"/>
  <c r="S57" i="27"/>
  <c r="V57" i="27"/>
  <c r="AA57" i="27"/>
  <c r="AB57" i="27" s="1"/>
  <c r="AC57" i="27" s="1"/>
  <c r="S62" i="27"/>
  <c r="T62" i="27"/>
  <c r="U62" i="27"/>
  <c r="AA62" i="27"/>
  <c r="AB62" i="27" s="1"/>
  <c r="AC62" i="27" s="1"/>
  <c r="AD62" i="27" s="1"/>
  <c r="Z62" i="27"/>
  <c r="Y62" i="27"/>
  <c r="R62" i="27"/>
  <c r="X62" i="27"/>
  <c r="Q62" i="27"/>
  <c r="W62" i="27"/>
  <c r="V62" i="27"/>
  <c r="Q59" i="27"/>
  <c r="Z59" i="27"/>
  <c r="AA59" i="27"/>
  <c r="AB58" i="27" s="1"/>
  <c r="AC58" i="27" s="1"/>
  <c r="V59" i="27"/>
  <c r="S59" i="27"/>
  <c r="U59" i="27"/>
  <c r="T59" i="27"/>
  <c r="R59" i="27"/>
  <c r="X59" i="27"/>
  <c r="W59" i="27"/>
  <c r="Y59" i="27"/>
  <c r="Z79" i="27"/>
  <c r="V79" i="27"/>
  <c r="R79" i="27"/>
  <c r="Y79" i="27"/>
  <c r="T79" i="27"/>
  <c r="T76" i="27"/>
  <c r="X76" i="27"/>
  <c r="U76" i="27"/>
  <c r="S76" i="27"/>
  <c r="AA76" i="27"/>
  <c r="U73" i="27"/>
  <c r="T73" i="27"/>
  <c r="S73" i="27"/>
  <c r="Y73" i="27"/>
  <c r="Z73" i="27"/>
  <c r="S77" i="27"/>
  <c r="AA77" i="27"/>
  <c r="U77" i="27"/>
  <c r="R77" i="27"/>
  <c r="V77" i="27"/>
  <c r="V72" i="27"/>
  <c r="Q72" i="27"/>
  <c r="Y72" i="27"/>
  <c r="Z72" i="27"/>
  <c r="S72" i="27"/>
  <c r="AJ15" i="24"/>
  <c r="AJ16" i="24"/>
  <c r="AJ380" i="24"/>
  <c r="F7" i="24"/>
  <c r="O11" i="24" s="1"/>
  <c r="AX13" i="7"/>
  <c r="AJ17" i="24"/>
  <c r="O9" i="25"/>
  <c r="AJ18" i="25" s="1"/>
  <c r="AC9" i="23"/>
  <c r="O12" i="23"/>
  <c r="AC12" i="23"/>
  <c r="AT13" i="7"/>
  <c r="U13" i="7"/>
  <c r="AA10" i="7" s="1"/>
  <c r="O20" i="17"/>
  <c r="O18" i="17"/>
  <c r="O21" i="17"/>
  <c r="O17" i="17"/>
  <c r="O15" i="17"/>
  <c r="O19" i="17"/>
  <c r="O16" i="17"/>
  <c r="O22" i="17"/>
  <c r="AC18" i="18"/>
  <c r="AC19" i="18"/>
  <c r="AC15" i="18"/>
  <c r="AC16" i="18"/>
  <c r="AC17" i="18"/>
  <c r="AC20" i="18"/>
  <c r="AC21" i="18"/>
  <c r="AJ25" i="15"/>
  <c r="L25" i="15"/>
  <c r="D25" i="15" s="1"/>
  <c r="K25" i="15"/>
  <c r="AK25" i="15"/>
  <c r="O25" i="15"/>
  <c r="A26" i="15"/>
  <c r="AB25" i="15"/>
  <c r="X25" i="15"/>
  <c r="AC25" i="15"/>
  <c r="X75" i="27"/>
  <c r="AA75" i="27"/>
  <c r="U75" i="27"/>
  <c r="S75" i="27"/>
  <c r="T75" i="27"/>
  <c r="V75" i="27"/>
  <c r="W75" i="27"/>
  <c r="Q75" i="27"/>
  <c r="Z75" i="27"/>
  <c r="R75" i="27"/>
  <c r="Y75" i="27"/>
  <c r="R23" i="1"/>
  <c r="A25" i="16"/>
  <c r="L24" i="16"/>
  <c r="D24" i="16" s="1"/>
  <c r="K24" i="16"/>
  <c r="AJ24" i="16"/>
  <c r="O24" i="16"/>
  <c r="AB24" i="16"/>
  <c r="AC24" i="16"/>
  <c r="X24" i="16"/>
  <c r="AK24" i="16"/>
  <c r="V21" i="1"/>
  <c r="E23" i="16"/>
  <c r="X23" i="18"/>
  <c r="A24" i="18"/>
  <c r="L23" i="18"/>
  <c r="AB23" i="18"/>
  <c r="K23" i="18"/>
  <c r="AJ23" i="18"/>
  <c r="AK23" i="18"/>
  <c r="AC23" i="18"/>
  <c r="P10" i="25"/>
  <c r="L20" i="19"/>
  <c r="AI11" i="25"/>
  <c r="AE11" i="25"/>
  <c r="K20" i="23"/>
  <c r="X20" i="23"/>
  <c r="L20" i="23"/>
  <c r="AB20" i="23"/>
  <c r="A21" i="23"/>
  <c r="AJ20" i="23"/>
  <c r="AK20" i="23"/>
  <c r="AC26" i="1"/>
  <c r="L26" i="1"/>
  <c r="X26" i="1"/>
  <c r="O26" i="1"/>
  <c r="A27" i="1"/>
  <c r="AB26" i="1"/>
  <c r="AJ26" i="1"/>
  <c r="AK26" i="1"/>
  <c r="K26" i="1"/>
  <c r="Q26" i="1"/>
  <c r="U26" i="1"/>
  <c r="T26" i="1" s="1"/>
  <c r="K22" i="20"/>
  <c r="L22" i="20"/>
  <c r="A23" i="20"/>
  <c r="AB22" i="20"/>
  <c r="X22" i="20"/>
  <c r="AJ22" i="20"/>
  <c r="AK22" i="20"/>
  <c r="X24" i="17"/>
  <c r="A25" i="17"/>
  <c r="L24" i="17"/>
  <c r="AB24" i="17"/>
  <c r="K24" i="17"/>
  <c r="AK24" i="17"/>
  <c r="AJ24" i="17"/>
  <c r="O24" i="17"/>
  <c r="AC24" i="17"/>
  <c r="BP15" i="7"/>
  <c r="BR11" i="7"/>
  <c r="BQ11" i="7"/>
  <c r="K18" i="25"/>
  <c r="AB18" i="25"/>
  <c r="A19" i="25"/>
  <c r="L18" i="25"/>
  <c r="X18" i="25"/>
  <c r="AK18" i="25"/>
  <c r="K21" i="22"/>
  <c r="X21" i="22"/>
  <c r="A22" i="22"/>
  <c r="AB21" i="22"/>
  <c r="L21" i="22"/>
  <c r="AJ21" i="22"/>
  <c r="AK21" i="22"/>
  <c r="T25" i="1"/>
  <c r="S24" i="1"/>
  <c r="R24" i="1" s="1"/>
  <c r="P24" i="1" s="1"/>
  <c r="V24" i="1" s="1"/>
  <c r="A20" i="24"/>
  <c r="K19" i="24"/>
  <c r="AB19" i="24"/>
  <c r="L19" i="24"/>
  <c r="X19" i="24"/>
  <c r="AJ19" i="24"/>
  <c r="AK19" i="24"/>
  <c r="AZ13" i="7" l="1"/>
  <c r="AU13" i="7"/>
  <c r="AB71" i="27"/>
  <c r="AC71" i="27" s="1"/>
  <c r="AD71" i="27" s="1"/>
  <c r="AB77" i="27"/>
  <c r="AC77" i="27" s="1"/>
  <c r="AD77" i="27" s="1"/>
  <c r="AF58" i="27"/>
  <c r="P58" i="27" s="1"/>
  <c r="AB68" i="27"/>
  <c r="AC68" i="27" s="1"/>
  <c r="AB67" i="27"/>
  <c r="AC67" i="27" s="1"/>
  <c r="AD67" i="27" s="1"/>
  <c r="AB60" i="27"/>
  <c r="AC60" i="27" s="1"/>
  <c r="AB73" i="27"/>
  <c r="AC73" i="27" s="1"/>
  <c r="AD73" i="27" s="1"/>
  <c r="AB69" i="27"/>
  <c r="AC69" i="27" s="1"/>
  <c r="AB64" i="27"/>
  <c r="AC64" i="27" s="1"/>
  <c r="AB65" i="27"/>
  <c r="AC65" i="27" s="1"/>
  <c r="AF66" i="27" s="1"/>
  <c r="P66" i="27" s="1"/>
  <c r="AB59" i="27"/>
  <c r="AC59" i="27" s="1"/>
  <c r="AB61" i="27"/>
  <c r="AC61" i="27" s="1"/>
  <c r="AD61" i="27" s="1"/>
  <c r="AB56" i="27"/>
  <c r="AC56" i="27" s="1"/>
  <c r="AD56" i="27" s="1"/>
  <c r="AB76" i="27"/>
  <c r="AC76" i="27" s="1"/>
  <c r="AD76" i="27" s="1"/>
  <c r="AB75" i="27"/>
  <c r="AC75" i="27" s="1"/>
  <c r="AD75" i="27" s="1"/>
  <c r="AJ16" i="25"/>
  <c r="AJ17" i="25"/>
  <c r="F7" i="25"/>
  <c r="AJ15" i="25"/>
  <c r="BD13" i="7"/>
  <c r="AC12" i="24"/>
  <c r="O12" i="24"/>
  <c r="AC9" i="24"/>
  <c r="E7" i="18"/>
  <c r="E8" i="18"/>
  <c r="K15" i="19" s="1"/>
  <c r="K39" i="19" s="1"/>
  <c r="X26" i="15"/>
  <c r="L26" i="15"/>
  <c r="D26" i="15" s="1"/>
  <c r="AC26" i="15"/>
  <c r="K26" i="15"/>
  <c r="O26" i="15"/>
  <c r="AB26" i="15"/>
  <c r="AJ26" i="15"/>
  <c r="A27" i="15"/>
  <c r="AK26" i="15"/>
  <c r="E24" i="16"/>
  <c r="E25" i="15"/>
  <c r="AB74" i="27"/>
  <c r="AC74" i="27" s="1"/>
  <c r="AD74" i="27" s="1"/>
  <c r="P23" i="1"/>
  <c r="X25" i="16"/>
  <c r="L25" i="16"/>
  <c r="D25" i="16" s="1"/>
  <c r="K25" i="16"/>
  <c r="AK25" i="16"/>
  <c r="O25" i="16"/>
  <c r="AB25" i="16"/>
  <c r="A26" i="16"/>
  <c r="AJ25" i="16"/>
  <c r="AC25" i="16"/>
  <c r="AA24" i="1"/>
  <c r="Z24" i="1" s="1"/>
  <c r="Y24" i="1" s="1"/>
  <c r="A21" i="24"/>
  <c r="K20" i="24"/>
  <c r="L20" i="24"/>
  <c r="AB20" i="24"/>
  <c r="X20" i="24"/>
  <c r="AJ20" i="24"/>
  <c r="AK20" i="24"/>
  <c r="S25" i="1"/>
  <c r="R25" i="1" s="1"/>
  <c r="P25" i="1" s="1"/>
  <c r="V25" i="1" s="1"/>
  <c r="K19" i="25"/>
  <c r="L19" i="25"/>
  <c r="A20" i="25"/>
  <c r="X19" i="25"/>
  <c r="AB19" i="25"/>
  <c r="AJ19" i="25"/>
  <c r="AK19" i="25"/>
  <c r="BX11" i="7"/>
  <c r="BV15" i="7"/>
  <c r="BW11" i="7"/>
  <c r="A26" i="17"/>
  <c r="K25" i="17"/>
  <c r="AB25" i="17"/>
  <c r="X25" i="17"/>
  <c r="L25" i="17"/>
  <c r="AJ25" i="17"/>
  <c r="AK25" i="17"/>
  <c r="AC25" i="17"/>
  <c r="O25" i="17"/>
  <c r="K22" i="22"/>
  <c r="L22" i="22"/>
  <c r="X22" i="22"/>
  <c r="AB22" i="22"/>
  <c r="A23" i="22"/>
  <c r="AJ22" i="22"/>
  <c r="AK22" i="22"/>
  <c r="AB23" i="20"/>
  <c r="K23" i="20"/>
  <c r="X23" i="20"/>
  <c r="L23" i="20"/>
  <c r="A24" i="20"/>
  <c r="AJ23" i="20"/>
  <c r="AK23" i="20"/>
  <c r="S26" i="1"/>
  <c r="R26" i="1" s="1"/>
  <c r="P26" i="1" s="1"/>
  <c r="V26" i="1" s="1"/>
  <c r="AB27" i="1"/>
  <c r="AC27" i="1"/>
  <c r="AJ27" i="1"/>
  <c r="X27" i="1"/>
  <c r="AK27" i="1"/>
  <c r="L27" i="1"/>
  <c r="O27" i="1"/>
  <c r="A28" i="1"/>
  <c r="K27" i="1"/>
  <c r="Q27" i="1"/>
  <c r="U27" i="1"/>
  <c r="T27" i="1" s="1"/>
  <c r="K21" i="23"/>
  <c r="X21" i="23"/>
  <c r="A22" i="23"/>
  <c r="L21" i="23"/>
  <c r="AB21" i="23"/>
  <c r="AJ21" i="23"/>
  <c r="AK21" i="23"/>
  <c r="AB24" i="18"/>
  <c r="X24" i="18"/>
  <c r="K24" i="18"/>
  <c r="A25" i="18"/>
  <c r="L24" i="18"/>
  <c r="AJ24" i="18"/>
  <c r="AK24" i="18"/>
  <c r="AC24" i="18"/>
  <c r="BA13" i="7" l="1"/>
  <c r="AF60" i="27"/>
  <c r="P60" i="27" s="1"/>
  <c r="AF64" i="27"/>
  <c r="P64" i="27" s="1"/>
  <c r="G21" i="27"/>
  <c r="AD57" i="27" s="1"/>
  <c r="G22" i="27"/>
  <c r="AD58" i="27" s="1"/>
  <c r="AF69" i="27"/>
  <c r="P69" i="27" s="1"/>
  <c r="G30" i="27"/>
  <c r="AD66" i="27" s="1"/>
  <c r="G29" i="27"/>
  <c r="AD65" i="27" s="1"/>
  <c r="O12" i="25"/>
  <c r="BG13" i="7" s="1"/>
  <c r="AC9" i="25"/>
  <c r="AC12" i="25"/>
  <c r="O11" i="25"/>
  <c r="BF13" i="7" s="1"/>
  <c r="O10" i="18"/>
  <c r="O25" i="18" s="1"/>
  <c r="AC10" i="18"/>
  <c r="AC24" i="20" s="1"/>
  <c r="K27" i="15"/>
  <c r="X27" i="15"/>
  <c r="A28" i="15"/>
  <c r="AK27" i="15"/>
  <c r="AC27" i="15"/>
  <c r="AB27" i="15"/>
  <c r="AJ27" i="15"/>
  <c r="L27" i="15"/>
  <c r="D27" i="15" s="1"/>
  <c r="O27" i="15"/>
  <c r="E26" i="15"/>
  <c r="I24" i="1"/>
  <c r="E25" i="16"/>
  <c r="V23" i="1"/>
  <c r="AB26" i="16"/>
  <c r="L26" i="16"/>
  <c r="D26" i="16" s="1"/>
  <c r="AK26" i="16"/>
  <c r="AC26" i="16"/>
  <c r="A27" i="16"/>
  <c r="X26" i="16"/>
  <c r="K26" i="16"/>
  <c r="AJ26" i="16"/>
  <c r="O26" i="16"/>
  <c r="AA21" i="1"/>
  <c r="I21" i="1"/>
  <c r="I25" i="1"/>
  <c r="AA25" i="1"/>
  <c r="Z25" i="1" s="1"/>
  <c r="Y25" i="1" s="1"/>
  <c r="AB22" i="23"/>
  <c r="X22" i="23"/>
  <c r="L22" i="23"/>
  <c r="A23" i="23"/>
  <c r="K22" i="23"/>
  <c r="AJ22" i="23"/>
  <c r="AK22" i="23"/>
  <c r="S27" i="1"/>
  <c r="R27" i="1" s="1"/>
  <c r="P27" i="1" s="1"/>
  <c r="V27" i="1" s="1"/>
  <c r="A24" i="22"/>
  <c r="K23" i="22"/>
  <c r="L23" i="22"/>
  <c r="AB23" i="22"/>
  <c r="X23" i="22"/>
  <c r="AJ23" i="22"/>
  <c r="AK23" i="22"/>
  <c r="AB26" i="17"/>
  <c r="K26" i="17"/>
  <c r="X26" i="17"/>
  <c r="L26" i="17"/>
  <c r="A27" i="17"/>
  <c r="AK26" i="17"/>
  <c r="AJ26" i="17"/>
  <c r="AC26" i="17"/>
  <c r="O26" i="17"/>
  <c r="X20" i="25"/>
  <c r="A21" i="25"/>
  <c r="K20" i="25"/>
  <c r="L20" i="25"/>
  <c r="AB20" i="25"/>
  <c r="AJ20" i="25"/>
  <c r="AK20" i="25"/>
  <c r="X25" i="18"/>
  <c r="L25" i="18"/>
  <c r="A26" i="18"/>
  <c r="K25" i="18"/>
  <c r="AB25" i="18"/>
  <c r="AK25" i="18"/>
  <c r="AJ25" i="18"/>
  <c r="AC25" i="18"/>
  <c r="AJ28" i="1"/>
  <c r="A29" i="1"/>
  <c r="AC28" i="1"/>
  <c r="Q28" i="1"/>
  <c r="AK28" i="1"/>
  <c r="AB28" i="1"/>
  <c r="L28" i="1"/>
  <c r="X28" i="1"/>
  <c r="O28" i="1"/>
  <c r="K28" i="1"/>
  <c r="U28" i="1"/>
  <c r="T28" i="1" s="1"/>
  <c r="X24" i="20"/>
  <c r="K24" i="20"/>
  <c r="AB24" i="20"/>
  <c r="L24" i="20"/>
  <c r="A25" i="20"/>
  <c r="AJ24" i="20"/>
  <c r="AK24" i="20"/>
  <c r="A22" i="24"/>
  <c r="K21" i="24"/>
  <c r="X21" i="24"/>
  <c r="AB21" i="24"/>
  <c r="L21" i="24"/>
  <c r="AJ21" i="24"/>
  <c r="AK21" i="24"/>
  <c r="G23" i="27" l="1"/>
  <c r="AD59" i="27" s="1"/>
  <c r="G24" i="27"/>
  <c r="AD60" i="27" s="1"/>
  <c r="A82" i="27" a="1"/>
  <c r="X92" i="27" s="1"/>
  <c r="G28" i="27"/>
  <c r="AD64" i="27" s="1"/>
  <c r="G27" i="27"/>
  <c r="AD63" i="27" s="1"/>
  <c r="G32" i="27"/>
  <c r="AD68" i="27" s="1"/>
  <c r="G33" i="27"/>
  <c r="AD69" i="27" s="1"/>
  <c r="AC16" i="20"/>
  <c r="AC19" i="20"/>
  <c r="AC15" i="20"/>
  <c r="AC17" i="20"/>
  <c r="AC18" i="20"/>
  <c r="AC20" i="20"/>
  <c r="AC21" i="20"/>
  <c r="AC22" i="20"/>
  <c r="AC23" i="20"/>
  <c r="AA13" i="7"/>
  <c r="AG10" i="7" s="1"/>
  <c r="O16" i="18"/>
  <c r="O17" i="18"/>
  <c r="O15" i="18"/>
  <c r="O18" i="18"/>
  <c r="O19" i="18"/>
  <c r="O20" i="18"/>
  <c r="O21" i="18"/>
  <c r="O22" i="18"/>
  <c r="O23" i="18"/>
  <c r="O24" i="18"/>
  <c r="E27" i="15"/>
  <c r="X28" i="15"/>
  <c r="AK28" i="15"/>
  <c r="AB28" i="15"/>
  <c r="AC28" i="15"/>
  <c r="A29" i="15"/>
  <c r="K28" i="15"/>
  <c r="L28" i="15"/>
  <c r="D28" i="15" s="1"/>
  <c r="AJ28" i="15"/>
  <c r="O28" i="15"/>
  <c r="AA27" i="1"/>
  <c r="Z27" i="1" s="1"/>
  <c r="Y27" i="1" s="1"/>
  <c r="Z21" i="1"/>
  <c r="E26" i="16"/>
  <c r="X27" i="16"/>
  <c r="L27" i="16"/>
  <c r="D27" i="16" s="1"/>
  <c r="AJ27" i="16"/>
  <c r="AC27" i="16"/>
  <c r="A28" i="16"/>
  <c r="AB27" i="16"/>
  <c r="K27" i="16"/>
  <c r="AK27" i="16"/>
  <c r="O27" i="16"/>
  <c r="L22" i="24"/>
  <c r="AB22" i="24"/>
  <c r="A23" i="24"/>
  <c r="X22" i="24"/>
  <c r="K22" i="24"/>
  <c r="AK22" i="24"/>
  <c r="AJ22" i="24"/>
  <c r="A30" i="1"/>
  <c r="AB29" i="1"/>
  <c r="X29" i="1"/>
  <c r="AK29" i="1"/>
  <c r="AC29" i="1"/>
  <c r="A20" i="7"/>
  <c r="L29" i="1"/>
  <c r="AJ29" i="1"/>
  <c r="O29" i="1"/>
  <c r="C20" i="7" s="1"/>
  <c r="K29" i="1"/>
  <c r="Q29" i="1"/>
  <c r="U29" i="1"/>
  <c r="T29" i="1" s="1"/>
  <c r="X26" i="18"/>
  <c r="K26" i="18"/>
  <c r="L26" i="18"/>
  <c r="A27" i="18"/>
  <c r="AB26" i="18"/>
  <c r="AK26" i="18"/>
  <c r="O26" i="18"/>
  <c r="AJ26" i="18"/>
  <c r="AC26" i="18"/>
  <c r="A28" i="17"/>
  <c r="L27" i="17"/>
  <c r="AB27" i="17"/>
  <c r="K27" i="17"/>
  <c r="X27" i="17"/>
  <c r="AJ27" i="17"/>
  <c r="AK27" i="17"/>
  <c r="AC27" i="17"/>
  <c r="O27" i="17"/>
  <c r="A25" i="22"/>
  <c r="L24" i="22"/>
  <c r="K24" i="22"/>
  <c r="AB24" i="22"/>
  <c r="X24" i="22"/>
  <c r="AK24" i="22"/>
  <c r="AJ24" i="22"/>
  <c r="X25" i="20"/>
  <c r="A26" i="20"/>
  <c r="K25" i="20"/>
  <c r="L25" i="20"/>
  <c r="AB25" i="20"/>
  <c r="AK25" i="20"/>
  <c r="AJ25" i="20"/>
  <c r="AC25" i="20"/>
  <c r="S28" i="1"/>
  <c r="R28" i="1" s="1"/>
  <c r="X21" i="25"/>
  <c r="K21" i="25"/>
  <c r="AB21" i="25"/>
  <c r="A22" i="25"/>
  <c r="L21" i="25"/>
  <c r="AJ21" i="25"/>
  <c r="AK21" i="25"/>
  <c r="I26" i="1"/>
  <c r="AA26" i="1"/>
  <c r="Z26" i="1" s="1"/>
  <c r="Y26" i="1" s="1"/>
  <c r="A24" i="23"/>
  <c r="K23" i="23"/>
  <c r="L23" i="23"/>
  <c r="X23" i="23"/>
  <c r="AB23" i="23"/>
  <c r="AJ23" i="23"/>
  <c r="AK23" i="23"/>
  <c r="M82" i="27" l="1"/>
  <c r="I90" i="27"/>
  <c r="L93" i="27"/>
  <c r="M93" i="27"/>
  <c r="Z93" i="27"/>
  <c r="R83" i="27"/>
  <c r="C84" i="27"/>
  <c r="A89" i="27"/>
  <c r="B94" i="27"/>
  <c r="A82" i="27"/>
  <c r="J91" i="27"/>
  <c r="O94" i="27"/>
  <c r="B90" i="27"/>
  <c r="Z91" i="27"/>
  <c r="F87" i="27"/>
  <c r="A92" i="27"/>
  <c r="D89" i="27"/>
  <c r="V94" i="27"/>
  <c r="E87" i="27"/>
  <c r="Y82" i="27"/>
  <c r="U94" i="27"/>
  <c r="H94" i="27"/>
  <c r="G85" i="27"/>
  <c r="D85" i="27"/>
  <c r="K87" i="27"/>
  <c r="G92" i="27"/>
  <c r="D83" i="27"/>
  <c r="I86" i="27"/>
  <c r="U89" i="27"/>
  <c r="L86" i="27"/>
  <c r="X90" i="27"/>
  <c r="I84" i="27"/>
  <c r="H85" i="27"/>
  <c r="G86" i="27"/>
  <c r="S89" i="27"/>
  <c r="I88" i="27"/>
  <c r="O83" i="27"/>
  <c r="J93" i="27"/>
  <c r="P91" i="27"/>
  <c r="T93" i="27"/>
  <c r="A83" i="27"/>
  <c r="H86" i="27"/>
  <c r="D88" i="27"/>
  <c r="D93" i="27"/>
  <c r="F92" i="27"/>
  <c r="C92" i="27"/>
  <c r="X94" i="27"/>
  <c r="O82" i="27"/>
  <c r="F91" i="27"/>
  <c r="S93" i="27"/>
  <c r="Z90" i="27"/>
  <c r="P90" i="27"/>
  <c r="P84" i="27"/>
  <c r="Q83" i="27"/>
  <c r="W92" i="27"/>
  <c r="A91" i="27"/>
  <c r="R89" i="27"/>
  <c r="Y90" i="27"/>
  <c r="H83" i="27"/>
  <c r="U88" i="27"/>
  <c r="M85" i="27"/>
  <c r="A93" i="27"/>
  <c r="E84" i="27"/>
  <c r="S86" i="27"/>
  <c r="D92" i="27"/>
  <c r="J86" i="27"/>
  <c r="X91" i="27"/>
  <c r="Q85" i="27"/>
  <c r="B85" i="27"/>
  <c r="O92" i="27"/>
  <c r="O91" i="27"/>
  <c r="M86" i="27"/>
  <c r="P85" i="27"/>
  <c r="K84" i="27"/>
  <c r="Z86" i="27"/>
  <c r="Y92" i="27"/>
  <c r="O88" i="27"/>
  <c r="V90" i="27"/>
  <c r="C94" i="27"/>
  <c r="D86" i="27"/>
  <c r="P92" i="27"/>
  <c r="O85" i="27"/>
  <c r="M89" i="27"/>
  <c r="A88" i="27"/>
  <c r="F93" i="27"/>
  <c r="H92" i="27"/>
  <c r="A94" i="27"/>
  <c r="Y91" i="27"/>
  <c r="O87" i="27"/>
  <c r="K92" i="27"/>
  <c r="P94" i="27"/>
  <c r="G83" i="27"/>
  <c r="N86" i="27"/>
  <c r="T84" i="27"/>
  <c r="M94" i="27"/>
  <c r="N90" i="27"/>
  <c r="J90" i="27"/>
  <c r="V84" i="27"/>
  <c r="W94" i="27"/>
  <c r="R94" i="27"/>
  <c r="E82" i="27"/>
  <c r="C87" i="27"/>
  <c r="W85" i="27"/>
  <c r="F94" i="27"/>
  <c r="B88" i="27"/>
  <c r="G82" i="27"/>
  <c r="I93" i="27"/>
  <c r="I89" i="27"/>
  <c r="X85" i="27"/>
  <c r="W87" i="27"/>
  <c r="E90" i="27"/>
  <c r="T82" i="27"/>
  <c r="V92" i="27"/>
  <c r="L83" i="27"/>
  <c r="X88" i="27"/>
  <c r="X89" i="27"/>
  <c r="O89" i="27"/>
  <c r="Q91" i="27"/>
  <c r="U87" i="27"/>
  <c r="Z89" i="27"/>
  <c r="T92" i="27"/>
  <c r="G93" i="27"/>
  <c r="Y83" i="27"/>
  <c r="F83" i="27"/>
  <c r="U91" i="27"/>
  <c r="X83" i="27"/>
  <c r="J82" i="27"/>
  <c r="N83" i="27"/>
  <c r="T89" i="27"/>
  <c r="E86" i="27"/>
  <c r="X82" i="27"/>
  <c r="K93" i="27"/>
  <c r="B82" i="27"/>
  <c r="P83" i="27"/>
  <c r="V83" i="27"/>
  <c r="C89" i="27"/>
  <c r="B91" i="27"/>
  <c r="P93" i="27"/>
  <c r="K94" i="27"/>
  <c r="E94" i="27"/>
  <c r="U85" i="27"/>
  <c r="Z88" i="27"/>
  <c r="S82" i="27"/>
  <c r="N82" i="27"/>
  <c r="O84" i="27"/>
  <c r="W83" i="27"/>
  <c r="S91" i="27"/>
  <c r="P86" i="27"/>
  <c r="E93" i="27"/>
  <c r="E92" i="27"/>
  <c r="V88" i="27"/>
  <c r="L90" i="27"/>
  <c r="D91" i="27"/>
  <c r="I85" i="27"/>
  <c r="U83" i="27"/>
  <c r="Y86" i="27"/>
  <c r="E85" i="27"/>
  <c r="P88" i="27"/>
  <c r="M87" i="27"/>
  <c r="H89" i="27"/>
  <c r="K89" i="27"/>
  <c r="N88" i="27"/>
  <c r="Q86" i="27"/>
  <c r="U82" i="27"/>
  <c r="K90" i="27"/>
  <c r="O86" i="27"/>
  <c r="D90" i="27"/>
  <c r="F88" i="27"/>
  <c r="Z92" i="27"/>
  <c r="B93" i="27"/>
  <c r="T88" i="27"/>
  <c r="V87" i="27"/>
  <c r="P82" i="27"/>
  <c r="X84" i="27"/>
  <c r="C88" i="27"/>
  <c r="A84" i="27"/>
  <c r="N92" i="27"/>
  <c r="I92" i="27"/>
  <c r="A85" i="27"/>
  <c r="H91" i="27"/>
  <c r="Q84" i="27"/>
  <c r="T86" i="27"/>
  <c r="T90" i="27"/>
  <c r="Y88" i="27"/>
  <c r="D82" i="27"/>
  <c r="L89" i="27"/>
  <c r="J87" i="27"/>
  <c r="S83" i="27"/>
  <c r="V89" i="27"/>
  <c r="A90" i="27"/>
  <c r="Q90" i="27"/>
  <c r="N89" i="27"/>
  <c r="D87" i="27"/>
  <c r="A87" i="27"/>
  <c r="E89" i="27"/>
  <c r="W82" i="27"/>
  <c r="Y84" i="27"/>
  <c r="Y87" i="27"/>
  <c r="B83" i="27"/>
  <c r="N94" i="27"/>
  <c r="P87" i="27"/>
  <c r="I87" i="27"/>
  <c r="B84" i="27"/>
  <c r="R91" i="27"/>
  <c r="R84" i="27"/>
  <c r="G94" i="27"/>
  <c r="O90" i="27"/>
  <c r="U84" i="27"/>
  <c r="L87" i="27"/>
  <c r="I82" i="27"/>
  <c r="C86" i="27"/>
  <c r="L85" i="27"/>
  <c r="S85" i="27"/>
  <c r="S88" i="27"/>
  <c r="G88" i="27"/>
  <c r="J92" i="27"/>
  <c r="X86" i="27"/>
  <c r="O93" i="27"/>
  <c r="B92" i="27"/>
  <c r="S90" i="27"/>
  <c r="Z84" i="27"/>
  <c r="J89" i="27"/>
  <c r="R87" i="27"/>
  <c r="N84" i="27"/>
  <c r="M92" i="27"/>
  <c r="U92" i="27"/>
  <c r="B86" i="27"/>
  <c r="R93" i="27"/>
  <c r="C85" i="27"/>
  <c r="C91" i="27"/>
  <c r="J84" i="27"/>
  <c r="Y93" i="27"/>
  <c r="L92" i="27"/>
  <c r="L88" i="27"/>
  <c r="F82" i="27"/>
  <c r="S92" i="27"/>
  <c r="Z87" i="27"/>
  <c r="Y94" i="27"/>
  <c r="Z85" i="27"/>
  <c r="H93" i="27"/>
  <c r="K91" i="27"/>
  <c r="L84" i="27"/>
  <c r="R90" i="27"/>
  <c r="Q88" i="27"/>
  <c r="U93" i="27"/>
  <c r="G87" i="27"/>
  <c r="V91" i="27"/>
  <c r="M83" i="27"/>
  <c r="R86" i="27"/>
  <c r="M84" i="27"/>
  <c r="Q89" i="27"/>
  <c r="L82" i="27"/>
  <c r="G89" i="27"/>
  <c r="G90" i="27"/>
  <c r="T94" i="27"/>
  <c r="V86" i="27"/>
  <c r="H90" i="27"/>
  <c r="Z82" i="27"/>
  <c r="M88" i="27"/>
  <c r="B87" i="27"/>
  <c r="M91" i="27"/>
  <c r="P89" i="27"/>
  <c r="S94" i="27"/>
  <c r="Y89" i="27"/>
  <c r="X93" i="27"/>
  <c r="W91" i="27"/>
  <c r="E88" i="27"/>
  <c r="U90" i="27"/>
  <c r="F86" i="27"/>
  <c r="T83" i="27"/>
  <c r="H84" i="27"/>
  <c r="S87" i="27"/>
  <c r="W86" i="27"/>
  <c r="G84" i="27"/>
  <c r="D84" i="27"/>
  <c r="A86" i="27"/>
  <c r="V85" i="27"/>
  <c r="F89" i="27"/>
  <c r="T85" i="27"/>
  <c r="W84" i="27"/>
  <c r="F90" i="27"/>
  <c r="L91" i="27"/>
  <c r="D94" i="27"/>
  <c r="K83" i="27"/>
  <c r="Q92" i="27"/>
  <c r="R85" i="27"/>
  <c r="N91" i="27"/>
  <c r="J83" i="27"/>
  <c r="L94" i="27"/>
  <c r="W89" i="27"/>
  <c r="W90" i="27"/>
  <c r="Q93" i="27"/>
  <c r="F85" i="27"/>
  <c r="C93" i="27"/>
  <c r="C82" i="27"/>
  <c r="U86" i="27"/>
  <c r="R88" i="27"/>
  <c r="I94" i="27"/>
  <c r="I91" i="27"/>
  <c r="K86" i="27"/>
  <c r="Q87" i="27"/>
  <c r="B89" i="27"/>
  <c r="K88" i="27"/>
  <c r="C83" i="27"/>
  <c r="E91" i="27"/>
  <c r="N93" i="27"/>
  <c r="S84" i="27"/>
  <c r="Y85" i="27"/>
  <c r="J94" i="27"/>
  <c r="M90" i="27"/>
  <c r="R92" i="27"/>
  <c r="G91" i="27"/>
  <c r="K85" i="27"/>
  <c r="Q94" i="27"/>
  <c r="I83" i="27"/>
  <c r="K82" i="27"/>
  <c r="F84" i="27"/>
  <c r="H87" i="27"/>
  <c r="N87" i="27"/>
  <c r="Z94" i="27"/>
  <c r="T87" i="27"/>
  <c r="W88" i="27"/>
  <c r="J85" i="27"/>
  <c r="R82" i="27"/>
  <c r="T91" i="27"/>
  <c r="H88" i="27"/>
  <c r="X87" i="27"/>
  <c r="W93" i="27"/>
  <c r="H82" i="27"/>
  <c r="V82" i="27"/>
  <c r="Z83" i="27"/>
  <c r="C90" i="27"/>
  <c r="Q82" i="27"/>
  <c r="J88" i="27"/>
  <c r="E83" i="27"/>
  <c r="V93" i="27"/>
  <c r="N85" i="27"/>
  <c r="I27" i="1"/>
  <c r="E8" i="20"/>
  <c r="K16" i="19" s="1"/>
  <c r="E7" i="20"/>
  <c r="E28" i="15"/>
  <c r="A32" i="7"/>
  <c r="A30" i="15"/>
  <c r="AC29" i="15"/>
  <c r="L29" i="15"/>
  <c r="AK29" i="15"/>
  <c r="X29" i="15"/>
  <c r="AJ29" i="15"/>
  <c r="K29" i="15"/>
  <c r="AB29" i="15"/>
  <c r="O29" i="15"/>
  <c r="C32" i="7" s="1"/>
  <c r="E27" i="16"/>
  <c r="Y21" i="1"/>
  <c r="P28" i="1"/>
  <c r="I23" i="1"/>
  <c r="AA23" i="1"/>
  <c r="K28" i="16"/>
  <c r="L28" i="16"/>
  <c r="D28" i="16" s="1"/>
  <c r="AJ28" i="16"/>
  <c r="AC28" i="16"/>
  <c r="A29" i="16"/>
  <c r="AB28" i="16"/>
  <c r="X28" i="16"/>
  <c r="AK28" i="16"/>
  <c r="O28" i="16"/>
  <c r="A25" i="23"/>
  <c r="K24" i="23"/>
  <c r="X24" i="23"/>
  <c r="L24" i="23"/>
  <c r="AB24" i="23"/>
  <c r="AK24" i="23"/>
  <c r="AJ24" i="23"/>
  <c r="K22" i="25"/>
  <c r="AB22" i="25"/>
  <c r="X22" i="25"/>
  <c r="A23" i="25"/>
  <c r="L22" i="25"/>
  <c r="AJ22" i="25"/>
  <c r="AK22" i="25"/>
  <c r="K26" i="20"/>
  <c r="AB26" i="20"/>
  <c r="X26" i="20"/>
  <c r="A27" i="20"/>
  <c r="L26" i="20"/>
  <c r="AK26" i="20"/>
  <c r="AJ26" i="20"/>
  <c r="AC26" i="20"/>
  <c r="A26" i="22"/>
  <c r="L25" i="22"/>
  <c r="X25" i="22"/>
  <c r="AB25" i="22"/>
  <c r="K25" i="22"/>
  <c r="AK25" i="22"/>
  <c r="AJ25" i="22"/>
  <c r="A29" i="17"/>
  <c r="L28" i="17"/>
  <c r="K28" i="17"/>
  <c r="X28" i="17"/>
  <c r="AB28" i="17"/>
  <c r="AJ28" i="17"/>
  <c r="AK28" i="17"/>
  <c r="AC28" i="17"/>
  <c r="O28" i="17"/>
  <c r="A28" i="18"/>
  <c r="L27" i="18"/>
  <c r="K27" i="18"/>
  <c r="AB27" i="18"/>
  <c r="X27" i="18"/>
  <c r="AJ27" i="18"/>
  <c r="AK27" i="18"/>
  <c r="O27" i="18"/>
  <c r="AC27" i="18"/>
  <c r="S29" i="1"/>
  <c r="R29" i="1" s="1"/>
  <c r="P29" i="1" s="1"/>
  <c r="A24" i="24"/>
  <c r="AB23" i="24"/>
  <c r="L23" i="24"/>
  <c r="K23" i="24"/>
  <c r="X23" i="24"/>
  <c r="AJ23" i="24"/>
  <c r="AK23" i="24"/>
  <c r="B20" i="7"/>
  <c r="K30" i="1"/>
  <c r="AK30" i="1"/>
  <c r="A31" i="1"/>
  <c r="AB30" i="1"/>
  <c r="AJ30" i="1"/>
  <c r="O30" i="1"/>
  <c r="X30" i="1"/>
  <c r="Q30" i="1"/>
  <c r="L30" i="1"/>
  <c r="AC30" i="1"/>
  <c r="U30" i="1"/>
  <c r="T30" i="1" s="1"/>
  <c r="K40" i="19" l="1"/>
  <c r="O10" i="20"/>
  <c r="O27" i="20" s="1"/>
  <c r="AC10" i="20"/>
  <c r="AC26" i="22" s="1"/>
  <c r="D29" i="15"/>
  <c r="E29" i="15" s="1"/>
  <c r="B32" i="7"/>
  <c r="A31" i="15"/>
  <c r="AK30" i="15"/>
  <c r="AB30" i="15"/>
  <c r="AJ30" i="15"/>
  <c r="X30" i="15"/>
  <c r="K30" i="15"/>
  <c r="AC30" i="15"/>
  <c r="L30" i="15"/>
  <c r="D30" i="15" s="1"/>
  <c r="O30" i="15"/>
  <c r="E28" i="16"/>
  <c r="D20" i="7"/>
  <c r="V29" i="1"/>
  <c r="X29" i="16"/>
  <c r="K29" i="16"/>
  <c r="L29" i="16"/>
  <c r="AJ29" i="16"/>
  <c r="AC29" i="16"/>
  <c r="AB29" i="16"/>
  <c r="A44" i="7"/>
  <c r="A30" i="16"/>
  <c r="AK29" i="16"/>
  <c r="O29" i="16"/>
  <c r="C44" i="7" s="1"/>
  <c r="Z23" i="1"/>
  <c r="V28" i="1"/>
  <c r="A29" i="18"/>
  <c r="L28" i="18"/>
  <c r="X28" i="18"/>
  <c r="AB28" i="18"/>
  <c r="K28" i="18"/>
  <c r="AK28" i="18"/>
  <c r="O28" i="18"/>
  <c r="AJ28" i="18"/>
  <c r="AC28" i="18"/>
  <c r="K25" i="23"/>
  <c r="A26" i="23"/>
  <c r="AB25" i="23"/>
  <c r="L25" i="23"/>
  <c r="X25" i="23"/>
  <c r="AK25" i="23"/>
  <c r="AJ25" i="23"/>
  <c r="S30" i="1"/>
  <c r="R30" i="1" s="1"/>
  <c r="P30" i="1" s="1"/>
  <c r="A32" i="1"/>
  <c r="AK31" i="1"/>
  <c r="O31" i="1"/>
  <c r="L31" i="1"/>
  <c r="X31" i="1"/>
  <c r="Q31" i="1"/>
  <c r="AJ31" i="1"/>
  <c r="AC31" i="1"/>
  <c r="AB31" i="1"/>
  <c r="K31" i="1"/>
  <c r="U31" i="1"/>
  <c r="K24" i="24"/>
  <c r="X24" i="24"/>
  <c r="AB24" i="24"/>
  <c r="L24" i="24"/>
  <c r="A25" i="24"/>
  <c r="AK24" i="24"/>
  <c r="AJ24" i="24"/>
  <c r="A56" i="7"/>
  <c r="X29" i="17"/>
  <c r="L29" i="17"/>
  <c r="A30" i="17"/>
  <c r="AB29" i="17"/>
  <c r="K29" i="17"/>
  <c r="AK29" i="17"/>
  <c r="AJ29" i="17"/>
  <c r="O29" i="17"/>
  <c r="C56" i="7" s="1"/>
  <c r="AC29" i="17"/>
  <c r="X26" i="22"/>
  <c r="A27" i="22"/>
  <c r="K26" i="22"/>
  <c r="AB26" i="22"/>
  <c r="L26" i="22"/>
  <c r="AK26" i="22"/>
  <c r="AJ26" i="22"/>
  <c r="X27" i="20"/>
  <c r="A28" i="20"/>
  <c r="K27" i="20"/>
  <c r="L27" i="20"/>
  <c r="AB27" i="20"/>
  <c r="AJ27" i="20"/>
  <c r="AK27" i="20"/>
  <c r="AC27" i="20"/>
  <c r="A24" i="25"/>
  <c r="AB23" i="25"/>
  <c r="L23" i="25"/>
  <c r="X23" i="25"/>
  <c r="K23" i="25"/>
  <c r="AJ23" i="25"/>
  <c r="AK23" i="25"/>
  <c r="E30" i="15" l="1"/>
  <c r="AC17" i="22"/>
  <c r="AC16" i="22"/>
  <c r="AC19" i="22"/>
  <c r="AC15" i="22"/>
  <c r="AC18" i="22"/>
  <c r="AC20" i="22"/>
  <c r="AC21" i="22"/>
  <c r="AC22" i="22"/>
  <c r="AC23" i="22"/>
  <c r="AC24" i="22"/>
  <c r="AC25" i="22"/>
  <c r="AG13" i="7"/>
  <c r="AM10" i="7" s="1"/>
  <c r="O15" i="20"/>
  <c r="O16" i="20"/>
  <c r="O17" i="20"/>
  <c r="O18" i="20"/>
  <c r="O19" i="20"/>
  <c r="O20" i="20"/>
  <c r="O21" i="20"/>
  <c r="O22" i="20"/>
  <c r="O23" i="20"/>
  <c r="O24" i="20"/>
  <c r="O25" i="20"/>
  <c r="O26" i="20"/>
  <c r="K31" i="15"/>
  <c r="AJ31" i="15"/>
  <c r="AB31" i="15"/>
  <c r="AK31" i="15"/>
  <c r="L31" i="15"/>
  <c r="D31" i="15" s="1"/>
  <c r="X31" i="15"/>
  <c r="AC31" i="15"/>
  <c r="A32" i="15"/>
  <c r="O31" i="15"/>
  <c r="V30" i="1"/>
  <c r="X30" i="16"/>
  <c r="AB30" i="16"/>
  <c r="A31" i="16"/>
  <c r="AJ30" i="16"/>
  <c r="O30" i="16"/>
  <c r="K30" i="16"/>
  <c r="L30" i="16"/>
  <c r="D30" i="16" s="1"/>
  <c r="AK30" i="16"/>
  <c r="AC30" i="16"/>
  <c r="Y23" i="1"/>
  <c r="D29" i="16"/>
  <c r="E29" i="16" s="1"/>
  <c r="B44" i="7"/>
  <c r="X27" i="22"/>
  <c r="L27" i="22"/>
  <c r="A28" i="22"/>
  <c r="AB27" i="22"/>
  <c r="K27" i="22"/>
  <c r="AJ27" i="22"/>
  <c r="AK27" i="22"/>
  <c r="AC27" i="22"/>
  <c r="AB30" i="17"/>
  <c r="L30" i="17"/>
  <c r="X30" i="17"/>
  <c r="K30" i="17"/>
  <c r="A31" i="17"/>
  <c r="AJ30" i="17"/>
  <c r="AK30" i="17"/>
  <c r="AC30" i="17"/>
  <c r="O30" i="17"/>
  <c r="AB26" i="23"/>
  <c r="X26" i="23"/>
  <c r="K26" i="23"/>
  <c r="A27" i="23"/>
  <c r="L26" i="23"/>
  <c r="AK26" i="23"/>
  <c r="AJ26" i="23"/>
  <c r="AB29" i="18"/>
  <c r="X29" i="18"/>
  <c r="A68" i="7"/>
  <c r="K29" i="18"/>
  <c r="A30" i="18"/>
  <c r="L29" i="18"/>
  <c r="AJ29" i="18"/>
  <c r="AK29" i="18"/>
  <c r="O29" i="18"/>
  <c r="C68" i="7" s="1"/>
  <c r="AC29" i="18"/>
  <c r="A25" i="25"/>
  <c r="K24" i="25"/>
  <c r="AB24" i="25"/>
  <c r="L24" i="25"/>
  <c r="X24" i="25"/>
  <c r="AJ24" i="25"/>
  <c r="AK24" i="25"/>
  <c r="A29" i="20"/>
  <c r="AB28" i="20"/>
  <c r="L28" i="20"/>
  <c r="X28" i="20"/>
  <c r="K28" i="20"/>
  <c r="AJ28" i="20"/>
  <c r="AK28" i="20"/>
  <c r="O28" i="20"/>
  <c r="AC28" i="20"/>
  <c r="B56" i="7"/>
  <c r="K25" i="24"/>
  <c r="A26" i="24"/>
  <c r="X25" i="24"/>
  <c r="AB25" i="24"/>
  <c r="L25" i="24"/>
  <c r="AJ25" i="24"/>
  <c r="AK25" i="24"/>
  <c r="T31" i="1"/>
  <c r="AJ32" i="1"/>
  <c r="A33" i="1"/>
  <c r="Q32" i="1"/>
  <c r="L32" i="1"/>
  <c r="O32" i="1"/>
  <c r="K32" i="1"/>
  <c r="AK32" i="1"/>
  <c r="X32" i="1"/>
  <c r="AB32" i="1"/>
  <c r="AC32" i="1"/>
  <c r="U32" i="1"/>
  <c r="T32" i="1" s="1"/>
  <c r="AA29" i="1"/>
  <c r="Z29" i="1" s="1"/>
  <c r="Y29" i="1" s="1"/>
  <c r="I29" i="1"/>
  <c r="E7" i="22" l="1"/>
  <c r="E8" i="22"/>
  <c r="K17" i="19" s="1"/>
  <c r="K41" i="19" s="1"/>
  <c r="E30" i="16"/>
  <c r="K32" i="15"/>
  <c r="AB32" i="15"/>
  <c r="O32" i="15"/>
  <c r="A33" i="15"/>
  <c r="AC32" i="15"/>
  <c r="X32" i="15"/>
  <c r="AJ32" i="15"/>
  <c r="L32" i="15"/>
  <c r="D32" i="15" s="1"/>
  <c r="AK32" i="15"/>
  <c r="E31" i="15"/>
  <c r="I28" i="1"/>
  <c r="AA28" i="1"/>
  <c r="AB31" i="16"/>
  <c r="X31" i="16"/>
  <c r="K31" i="16"/>
  <c r="AJ31" i="16"/>
  <c r="O31" i="16"/>
  <c r="A32" i="16"/>
  <c r="L31" i="16"/>
  <c r="D31" i="16" s="1"/>
  <c r="E31" i="16" s="1"/>
  <c r="AK31" i="16"/>
  <c r="AC31" i="16"/>
  <c r="AA30" i="1"/>
  <c r="Z30" i="1" s="1"/>
  <c r="Y30" i="1" s="1"/>
  <c r="I30" i="1"/>
  <c r="A34" i="1"/>
  <c r="AK33" i="1"/>
  <c r="O33" i="1"/>
  <c r="AC33" i="1"/>
  <c r="X33" i="1"/>
  <c r="AJ33" i="1"/>
  <c r="AB33" i="1"/>
  <c r="K33" i="1"/>
  <c r="L33" i="1"/>
  <c r="Q33" i="1"/>
  <c r="U33" i="1"/>
  <c r="T33" i="1" s="1"/>
  <c r="X26" i="24"/>
  <c r="K26" i="24"/>
  <c r="A27" i="24"/>
  <c r="AB26" i="24"/>
  <c r="L26" i="24"/>
  <c r="AJ26" i="24"/>
  <c r="AK26" i="24"/>
  <c r="X30" i="18"/>
  <c r="L30" i="18"/>
  <c r="AB30" i="18"/>
  <c r="A31" i="18"/>
  <c r="K30" i="18"/>
  <c r="O30" i="18"/>
  <c r="AK30" i="18"/>
  <c r="AJ30" i="18"/>
  <c r="AC30" i="18"/>
  <c r="AB27" i="23"/>
  <c r="K27" i="23"/>
  <c r="X27" i="23"/>
  <c r="A28" i="23"/>
  <c r="L27" i="23"/>
  <c r="AJ27" i="23"/>
  <c r="AK27" i="23"/>
  <c r="A32" i="17"/>
  <c r="L31" i="17"/>
  <c r="K31" i="17"/>
  <c r="X31" i="17"/>
  <c r="AB31" i="17"/>
  <c r="AJ31" i="17"/>
  <c r="AK31" i="17"/>
  <c r="AC31" i="17"/>
  <c r="O31" i="17"/>
  <c r="S32" i="1"/>
  <c r="R32" i="1" s="1"/>
  <c r="P32" i="1" s="1"/>
  <c r="V32" i="1" s="1"/>
  <c r="S31" i="1"/>
  <c r="R31" i="1" s="1"/>
  <c r="P31" i="1" s="1"/>
  <c r="AE20" i="7"/>
  <c r="L29" i="20"/>
  <c r="X29" i="20"/>
  <c r="AB29" i="20"/>
  <c r="A30" i="20"/>
  <c r="K29" i="20"/>
  <c r="AJ29" i="20"/>
  <c r="AK29" i="20"/>
  <c r="O29" i="20"/>
  <c r="AG20" i="7" s="1"/>
  <c r="AC29" i="20"/>
  <c r="K25" i="25"/>
  <c r="X25" i="25"/>
  <c r="AB25" i="25"/>
  <c r="L25" i="25"/>
  <c r="A26" i="25"/>
  <c r="AJ25" i="25"/>
  <c r="AK25" i="25"/>
  <c r="B68" i="7"/>
  <c r="X28" i="22"/>
  <c r="AB28" i="22"/>
  <c r="A29" i="22"/>
  <c r="K28" i="22"/>
  <c r="L28" i="22"/>
  <c r="AJ28" i="22"/>
  <c r="AK28" i="22"/>
  <c r="AC28" i="22"/>
  <c r="O10" i="22" l="1"/>
  <c r="AC10" i="22"/>
  <c r="AC28" i="23" s="1"/>
  <c r="K33" i="15"/>
  <c r="AJ33" i="15"/>
  <c r="AB33" i="15"/>
  <c r="AK33" i="15"/>
  <c r="L33" i="15"/>
  <c r="D33" i="15" s="1"/>
  <c r="X33" i="15"/>
  <c r="AC33" i="15"/>
  <c r="A34" i="15"/>
  <c r="O33" i="15"/>
  <c r="E33" i="15" s="1"/>
  <c r="E32" i="15"/>
  <c r="AA32" i="1"/>
  <c r="Z32" i="1" s="1"/>
  <c r="Y32" i="1" s="1"/>
  <c r="Z28" i="1"/>
  <c r="A33" i="16"/>
  <c r="K32" i="16"/>
  <c r="AK32" i="16"/>
  <c r="AC32" i="16"/>
  <c r="X32" i="16"/>
  <c r="AB32" i="16"/>
  <c r="L32" i="16"/>
  <c r="D32" i="16" s="1"/>
  <c r="AJ32" i="16"/>
  <c r="O32" i="16"/>
  <c r="V31" i="1"/>
  <c r="AE32" i="7"/>
  <c r="A30" i="22"/>
  <c r="K29" i="22"/>
  <c r="L29" i="22"/>
  <c r="AB29" i="22"/>
  <c r="X29" i="22"/>
  <c r="AJ29" i="22"/>
  <c r="AK29" i="22"/>
  <c r="AC29" i="22"/>
  <c r="X26" i="25"/>
  <c r="L26" i="25"/>
  <c r="A27" i="25"/>
  <c r="K26" i="25"/>
  <c r="AB26" i="25"/>
  <c r="AJ26" i="25"/>
  <c r="AK26" i="25"/>
  <c r="AB30" i="20"/>
  <c r="K30" i="20"/>
  <c r="X30" i="20"/>
  <c r="A31" i="20"/>
  <c r="L30" i="20"/>
  <c r="AJ30" i="20"/>
  <c r="AK30" i="20"/>
  <c r="O30" i="20"/>
  <c r="AC30" i="20"/>
  <c r="AB32" i="17"/>
  <c r="K32" i="17"/>
  <c r="A33" i="17"/>
  <c r="L32" i="17"/>
  <c r="X32" i="17"/>
  <c r="AK32" i="17"/>
  <c r="AJ32" i="17"/>
  <c r="AC32" i="17"/>
  <c r="O32" i="17"/>
  <c r="X28" i="23"/>
  <c r="A29" i="23"/>
  <c r="K28" i="23"/>
  <c r="L28" i="23"/>
  <c r="AB28" i="23"/>
  <c r="AJ28" i="23"/>
  <c r="AK28" i="23"/>
  <c r="S33" i="1"/>
  <c r="R33" i="1" s="1"/>
  <c r="P33" i="1" s="1"/>
  <c r="V33" i="1" s="1"/>
  <c r="AB34" i="1"/>
  <c r="AC34" i="1"/>
  <c r="AK34" i="1"/>
  <c r="L34" i="1"/>
  <c r="X34" i="1"/>
  <c r="A35" i="1"/>
  <c r="AJ34" i="1"/>
  <c r="O34" i="1"/>
  <c r="K34" i="1"/>
  <c r="Q34" i="1"/>
  <c r="U34" i="1"/>
  <c r="T34" i="1" s="1"/>
  <c r="S34" i="1" s="1"/>
  <c r="R34" i="1" s="1"/>
  <c r="AF20" i="7"/>
  <c r="A32" i="18"/>
  <c r="AB31" i="18"/>
  <c r="L31" i="18"/>
  <c r="X31" i="18"/>
  <c r="K31" i="18"/>
  <c r="AK31" i="18"/>
  <c r="O31" i="18"/>
  <c r="AJ31" i="18"/>
  <c r="AC31" i="18"/>
  <c r="A28" i="24"/>
  <c r="L27" i="24"/>
  <c r="X27" i="24"/>
  <c r="K27" i="24"/>
  <c r="AB27" i="24"/>
  <c r="AJ27" i="24"/>
  <c r="AK27" i="24"/>
  <c r="O29" i="22" l="1"/>
  <c r="AG32" i="7" s="1"/>
  <c r="O27" i="22"/>
  <c r="O17" i="22"/>
  <c r="O18" i="22"/>
  <c r="O20" i="22"/>
  <c r="O22" i="22"/>
  <c r="O24" i="22"/>
  <c r="O26" i="22"/>
  <c r="AM13" i="7"/>
  <c r="AS10" i="7" s="1"/>
  <c r="O15" i="22"/>
  <c r="O16" i="22"/>
  <c r="O19" i="22"/>
  <c r="O21" i="22"/>
  <c r="O23" i="22"/>
  <c r="O25" i="22"/>
  <c r="O28" i="22"/>
  <c r="AC26" i="23"/>
  <c r="AC17" i="23"/>
  <c r="AC20" i="23"/>
  <c r="AC19" i="23"/>
  <c r="AC21" i="23"/>
  <c r="AC23" i="23"/>
  <c r="AC25" i="23"/>
  <c r="AC27" i="23"/>
  <c r="AC16" i="23"/>
  <c r="AC15" i="23"/>
  <c r="AC18" i="23"/>
  <c r="AC22" i="23"/>
  <c r="AC24" i="23"/>
  <c r="AB34" i="15"/>
  <c r="AK34" i="15"/>
  <c r="L34" i="15"/>
  <c r="D34" i="15" s="1"/>
  <c r="K34" i="15"/>
  <c r="AC34" i="15"/>
  <c r="X34" i="15"/>
  <c r="O34" i="15"/>
  <c r="A35" i="15"/>
  <c r="AJ34" i="15"/>
  <c r="I32" i="1"/>
  <c r="E32" i="16"/>
  <c r="K33" i="16"/>
  <c r="L33" i="16"/>
  <c r="D33" i="16" s="1"/>
  <c r="AJ33" i="16"/>
  <c r="AC33" i="16"/>
  <c r="A34" i="16"/>
  <c r="X33" i="16"/>
  <c r="O33" i="16"/>
  <c r="AB33" i="16"/>
  <c r="AK33" i="16"/>
  <c r="Y28" i="1"/>
  <c r="AA31" i="1"/>
  <c r="L32" i="18"/>
  <c r="A33" i="18"/>
  <c r="AB32" i="18"/>
  <c r="X32" i="18"/>
  <c r="K32" i="18"/>
  <c r="O32" i="18"/>
  <c r="AK32" i="18"/>
  <c r="AJ32" i="18"/>
  <c r="AC32" i="18"/>
  <c r="L35" i="1"/>
  <c r="O35" i="1"/>
  <c r="X35" i="1"/>
  <c r="A36" i="1"/>
  <c r="K35" i="1"/>
  <c r="AB35" i="1"/>
  <c r="AC35" i="1"/>
  <c r="Q35" i="1"/>
  <c r="AJ35" i="1"/>
  <c r="AK35" i="1"/>
  <c r="U35" i="1"/>
  <c r="T35" i="1" s="1"/>
  <c r="AE44" i="7"/>
  <c r="L29" i="23"/>
  <c r="A30" i="23"/>
  <c r="AB29" i="23"/>
  <c r="K29" i="23"/>
  <c r="X29" i="23"/>
  <c r="AJ29" i="23"/>
  <c r="AK29" i="23"/>
  <c r="AC29" i="23"/>
  <c r="A34" i="17"/>
  <c r="K33" i="17"/>
  <c r="X33" i="17"/>
  <c r="L33" i="17"/>
  <c r="AB33" i="17"/>
  <c r="AJ33" i="17"/>
  <c r="AK33" i="17"/>
  <c r="AC33" i="17"/>
  <c r="O33" i="17"/>
  <c r="A32" i="20"/>
  <c r="L31" i="20"/>
  <c r="K31" i="20"/>
  <c r="AB31" i="20"/>
  <c r="X31" i="20"/>
  <c r="AJ31" i="20"/>
  <c r="AK31" i="20"/>
  <c r="O31" i="20"/>
  <c r="AC31" i="20"/>
  <c r="X27" i="25"/>
  <c r="K27" i="25"/>
  <c r="A28" i="25"/>
  <c r="AB27" i="25"/>
  <c r="L27" i="25"/>
  <c r="AK27" i="25"/>
  <c r="AJ27" i="25"/>
  <c r="L28" i="24"/>
  <c r="A29" i="24"/>
  <c r="X28" i="24"/>
  <c r="AB28" i="24"/>
  <c r="K28" i="24"/>
  <c r="AK28" i="24"/>
  <c r="AJ28" i="24"/>
  <c r="P34" i="1"/>
  <c r="V34" i="1" s="1"/>
  <c r="AF32" i="7"/>
  <c r="X30" i="22"/>
  <c r="L30" i="22"/>
  <c r="A31" i="22"/>
  <c r="K30" i="22"/>
  <c r="AB30" i="22"/>
  <c r="AK30" i="22"/>
  <c r="AJ30" i="22"/>
  <c r="O30" i="22"/>
  <c r="AC30" i="22"/>
  <c r="E8" i="23" l="1"/>
  <c r="K18" i="19" s="1"/>
  <c r="K42" i="19" s="1"/>
  <c r="E7" i="23"/>
  <c r="I31" i="1"/>
  <c r="K35" i="15"/>
  <c r="AK35" i="15"/>
  <c r="A36" i="15"/>
  <c r="AB35" i="15"/>
  <c r="AC35" i="15"/>
  <c r="L35" i="15"/>
  <c r="D35" i="15" s="1"/>
  <c r="O35" i="15"/>
  <c r="X35" i="15"/>
  <c r="AJ35" i="15"/>
  <c r="E34" i="15"/>
  <c r="Z31" i="1"/>
  <c r="E33" i="16"/>
  <c r="A35" i="16"/>
  <c r="X34" i="16"/>
  <c r="L34" i="16"/>
  <c r="D34" i="16" s="1"/>
  <c r="AK34" i="16"/>
  <c r="O34" i="16"/>
  <c r="K34" i="16"/>
  <c r="AB34" i="16"/>
  <c r="AJ34" i="16"/>
  <c r="AC34" i="16"/>
  <c r="K31" i="22"/>
  <c r="X31" i="22"/>
  <c r="L31" i="22"/>
  <c r="A32" i="22"/>
  <c r="AB31" i="22"/>
  <c r="AJ31" i="22"/>
  <c r="AK31" i="22"/>
  <c r="O31" i="22"/>
  <c r="AC31" i="22"/>
  <c r="K29" i="24"/>
  <c r="A30" i="24"/>
  <c r="X29" i="24"/>
  <c r="AE56" i="7"/>
  <c r="AB29" i="24"/>
  <c r="L29" i="24"/>
  <c r="AK29" i="24"/>
  <c r="AJ29" i="24"/>
  <c r="K28" i="25"/>
  <c r="AB28" i="25"/>
  <c r="A29" i="25"/>
  <c r="L28" i="25"/>
  <c r="X28" i="25"/>
  <c r="AJ28" i="25"/>
  <c r="AK28" i="25"/>
  <c r="K34" i="17"/>
  <c r="X34" i="17"/>
  <c r="L34" i="17"/>
  <c r="A35" i="17"/>
  <c r="AB34" i="17"/>
  <c r="AJ34" i="17"/>
  <c r="AK34" i="17"/>
  <c r="O34" i="17"/>
  <c r="AC34" i="17"/>
  <c r="AF44" i="7"/>
  <c r="S35" i="1"/>
  <c r="R35" i="1" s="1"/>
  <c r="P35" i="1" s="1"/>
  <c r="V35" i="1" s="1"/>
  <c r="A34" i="18"/>
  <c r="K33" i="18"/>
  <c r="X33" i="18"/>
  <c r="AB33" i="18"/>
  <c r="L33" i="18"/>
  <c r="AK33" i="18"/>
  <c r="O33" i="18"/>
  <c r="AJ33" i="18"/>
  <c r="AC33" i="18"/>
  <c r="AA33" i="1"/>
  <c r="Z33" i="1" s="1"/>
  <c r="Y33" i="1" s="1"/>
  <c r="I33" i="1"/>
  <c r="K32" i="20"/>
  <c r="A33" i="20"/>
  <c r="AB32" i="20"/>
  <c r="L32" i="20"/>
  <c r="X32" i="20"/>
  <c r="AK32" i="20"/>
  <c r="AJ32" i="20"/>
  <c r="O32" i="20"/>
  <c r="AC32" i="20"/>
  <c r="X30" i="23"/>
  <c r="L30" i="23"/>
  <c r="AB30" i="23"/>
  <c r="K30" i="23"/>
  <c r="A31" i="23"/>
  <c r="AJ30" i="23"/>
  <c r="AK30" i="23"/>
  <c r="AC30" i="23"/>
  <c r="AB36" i="1"/>
  <c r="L36" i="1"/>
  <c r="A37" i="1"/>
  <c r="AK36" i="1"/>
  <c r="X36" i="1"/>
  <c r="O36" i="1"/>
  <c r="K36" i="1"/>
  <c r="AJ36" i="1"/>
  <c r="Q36" i="1"/>
  <c r="AC36" i="1"/>
  <c r="U36" i="1"/>
  <c r="O10" i="23" l="1"/>
  <c r="AC10" i="23"/>
  <c r="AC30" i="24" s="1"/>
  <c r="E35" i="15"/>
  <c r="AB36" i="15"/>
  <c r="O36" i="15"/>
  <c r="L36" i="15"/>
  <c r="D36" i="15" s="1"/>
  <c r="AJ36" i="15"/>
  <c r="A37" i="15"/>
  <c r="AK36" i="15"/>
  <c r="K36" i="15"/>
  <c r="X36" i="15"/>
  <c r="AC36" i="15"/>
  <c r="Y31" i="1"/>
  <c r="E34" i="16"/>
  <c r="L35" i="16"/>
  <c r="D35" i="16" s="1"/>
  <c r="K35" i="16"/>
  <c r="AK35" i="16"/>
  <c r="AC35" i="16"/>
  <c r="A36" i="16"/>
  <c r="AB35" i="16"/>
  <c r="X35" i="16"/>
  <c r="AJ35" i="16"/>
  <c r="O35" i="16"/>
  <c r="I34" i="1"/>
  <c r="AA34" i="1"/>
  <c r="Z34" i="1" s="1"/>
  <c r="Y34" i="1" s="1"/>
  <c r="X35" i="17"/>
  <c r="A36" i="17"/>
  <c r="L35" i="17"/>
  <c r="AB35" i="17"/>
  <c r="K35" i="17"/>
  <c r="AJ35" i="17"/>
  <c r="AK35" i="17"/>
  <c r="AC35" i="17"/>
  <c r="O35" i="17"/>
  <c r="K29" i="25"/>
  <c r="X29" i="25"/>
  <c r="AB29" i="25"/>
  <c r="L29" i="25"/>
  <c r="AE68" i="7"/>
  <c r="A30" i="25"/>
  <c r="AJ29" i="25"/>
  <c r="AK29" i="25"/>
  <c r="T36" i="1"/>
  <c r="L37" i="1"/>
  <c r="K37" i="1"/>
  <c r="AJ37" i="1"/>
  <c r="O37" i="1"/>
  <c r="A38" i="1"/>
  <c r="Q37" i="1"/>
  <c r="AB37" i="1"/>
  <c r="X37" i="1"/>
  <c r="AC37" i="1"/>
  <c r="AK37" i="1"/>
  <c r="U37" i="1"/>
  <c r="T37" i="1" s="1"/>
  <c r="K31" i="23"/>
  <c r="X31" i="23"/>
  <c r="A32" i="23"/>
  <c r="AB31" i="23"/>
  <c r="L31" i="23"/>
  <c r="AJ31" i="23"/>
  <c r="AK31" i="23"/>
  <c r="AC31" i="23"/>
  <c r="AB33" i="20"/>
  <c r="X33" i="20"/>
  <c r="A34" i="20"/>
  <c r="L33" i="20"/>
  <c r="K33" i="20"/>
  <c r="AJ33" i="20"/>
  <c r="AK33" i="20"/>
  <c r="O33" i="20"/>
  <c r="AC33" i="20"/>
  <c r="A35" i="18"/>
  <c r="X34" i="18"/>
  <c r="K34" i="18"/>
  <c r="AB34" i="18"/>
  <c r="L34" i="18"/>
  <c r="AJ34" i="18"/>
  <c r="AK34" i="18"/>
  <c r="O34" i="18"/>
  <c r="AC34" i="18"/>
  <c r="AF56" i="7"/>
  <c r="L30" i="24"/>
  <c r="A31" i="24"/>
  <c r="X30" i="24"/>
  <c r="AB30" i="24"/>
  <c r="K30" i="24"/>
  <c r="AJ30" i="24"/>
  <c r="AK30" i="24"/>
  <c r="A33" i="22"/>
  <c r="K32" i="22"/>
  <c r="AB32" i="22"/>
  <c r="X32" i="22"/>
  <c r="L32" i="22"/>
  <c r="AJ32" i="22"/>
  <c r="AK32" i="22"/>
  <c r="O32" i="22"/>
  <c r="AC32" i="22"/>
  <c r="AS13" i="7" l="1"/>
  <c r="AY10" i="7" s="1"/>
  <c r="O21" i="23"/>
  <c r="O17" i="23"/>
  <c r="O19" i="23"/>
  <c r="O24" i="23"/>
  <c r="O20" i="23"/>
  <c r="O18" i="23"/>
  <c r="O27" i="23"/>
  <c r="O29" i="23"/>
  <c r="AG44" i="7" s="1"/>
  <c r="O16" i="23"/>
  <c r="O25" i="23"/>
  <c r="O28" i="23"/>
  <c r="O23" i="23"/>
  <c r="O26" i="23"/>
  <c r="O22" i="23"/>
  <c r="O15" i="23"/>
  <c r="O30" i="23"/>
  <c r="O31" i="23"/>
  <c r="AC28" i="24"/>
  <c r="AC15" i="24"/>
  <c r="AC19" i="24"/>
  <c r="AC23" i="24"/>
  <c r="AC27" i="24"/>
  <c r="AC17" i="24"/>
  <c r="AC22" i="24"/>
  <c r="AC26" i="24"/>
  <c r="AC18" i="24"/>
  <c r="AC21" i="24"/>
  <c r="AC25" i="24"/>
  <c r="AC16" i="24"/>
  <c r="AC20" i="24"/>
  <c r="AC24" i="24"/>
  <c r="AC29" i="24"/>
  <c r="L37" i="15"/>
  <c r="D37" i="15" s="1"/>
  <c r="AJ37" i="15"/>
  <c r="AB37" i="15"/>
  <c r="AK37" i="15"/>
  <c r="K37" i="15"/>
  <c r="X37" i="15"/>
  <c r="AC37" i="15"/>
  <c r="A38" i="15"/>
  <c r="O37" i="15"/>
  <c r="E36" i="15"/>
  <c r="AB36" i="16"/>
  <c r="X36" i="16"/>
  <c r="AJ36" i="16"/>
  <c r="AC36" i="16"/>
  <c r="L36" i="16"/>
  <c r="D36" i="16" s="1"/>
  <c r="AK36" i="16"/>
  <c r="K36" i="16"/>
  <c r="A37" i="16"/>
  <c r="O36" i="16"/>
  <c r="E35" i="16"/>
  <c r="X33" i="22"/>
  <c r="AB33" i="22"/>
  <c r="A34" i="22"/>
  <c r="K33" i="22"/>
  <c r="L33" i="22"/>
  <c r="AJ33" i="22"/>
  <c r="AK33" i="22"/>
  <c r="O33" i="22"/>
  <c r="AC33" i="22"/>
  <c r="AB31" i="24"/>
  <c r="A32" i="24"/>
  <c r="L31" i="24"/>
  <c r="X31" i="24"/>
  <c r="K31" i="24"/>
  <c r="AJ31" i="24"/>
  <c r="AK31" i="24"/>
  <c r="AC31" i="24"/>
  <c r="K35" i="18"/>
  <c r="L35" i="18"/>
  <c r="X35" i="18"/>
  <c r="AB35" i="18"/>
  <c r="A36" i="18"/>
  <c r="O35" i="18"/>
  <c r="AK35" i="18"/>
  <c r="AJ35" i="18"/>
  <c r="AC35" i="18"/>
  <c r="A33" i="23"/>
  <c r="K32" i="23"/>
  <c r="AB32" i="23"/>
  <c r="X32" i="23"/>
  <c r="L32" i="23"/>
  <c r="AJ32" i="23"/>
  <c r="AK32" i="23"/>
  <c r="O32" i="23"/>
  <c r="AC32" i="23"/>
  <c r="X36" i="17"/>
  <c r="K36" i="17"/>
  <c r="L36" i="17"/>
  <c r="AB36" i="17"/>
  <c r="A37" i="17"/>
  <c r="AJ36" i="17"/>
  <c r="AK36" i="17"/>
  <c r="AC36" i="17"/>
  <c r="O36" i="17"/>
  <c r="A35" i="20"/>
  <c r="L34" i="20"/>
  <c r="X34" i="20"/>
  <c r="K34" i="20"/>
  <c r="AB34" i="20"/>
  <c r="AJ34" i="20"/>
  <c r="AK34" i="20"/>
  <c r="O34" i="20"/>
  <c r="AC34" i="20"/>
  <c r="S37" i="1"/>
  <c r="R37" i="1" s="1"/>
  <c r="P37" i="1" s="1"/>
  <c r="V37" i="1" s="1"/>
  <c r="K38" i="1"/>
  <c r="X38" i="1"/>
  <c r="A39" i="1"/>
  <c r="AK38" i="1"/>
  <c r="AJ38" i="1"/>
  <c r="AB38" i="1"/>
  <c r="Q38" i="1"/>
  <c r="L38" i="1"/>
  <c r="AC38" i="1"/>
  <c r="O38" i="1"/>
  <c r="U38" i="1"/>
  <c r="T38" i="1" s="1"/>
  <c r="S36" i="1"/>
  <c r="R36" i="1" s="1"/>
  <c r="P36" i="1" s="1"/>
  <c r="V36" i="1" s="1"/>
  <c r="A31" i="25"/>
  <c r="K30" i="25"/>
  <c r="X30" i="25"/>
  <c r="L30" i="25"/>
  <c r="AB30" i="25"/>
  <c r="AK30" i="25"/>
  <c r="AJ30" i="25"/>
  <c r="AF68" i="7"/>
  <c r="I35" i="1"/>
  <c r="AA35" i="1"/>
  <c r="Z35" i="1" s="1"/>
  <c r="Y35" i="1" s="1"/>
  <c r="E7" i="24" l="1"/>
  <c r="E8" i="24"/>
  <c r="K19" i="19" s="1"/>
  <c r="K43" i="19" s="1"/>
  <c r="L38" i="15"/>
  <c r="D38" i="15" s="1"/>
  <c r="AK38" i="15"/>
  <c r="A39" i="15"/>
  <c r="AJ38" i="15"/>
  <c r="AB38" i="15"/>
  <c r="X38" i="15"/>
  <c r="O38" i="15"/>
  <c r="K38" i="15"/>
  <c r="AC38" i="15"/>
  <c r="E37" i="15"/>
  <c r="I37" i="1"/>
  <c r="X37" i="16"/>
  <c r="K37" i="16"/>
  <c r="A38" i="16"/>
  <c r="AJ37" i="16"/>
  <c r="O37" i="16"/>
  <c r="AB37" i="16"/>
  <c r="L37" i="16"/>
  <c r="D37" i="16" s="1"/>
  <c r="E37" i="16" s="1"/>
  <c r="AK37" i="16"/>
  <c r="AC37" i="16"/>
  <c r="E36" i="16"/>
  <c r="X31" i="25"/>
  <c r="A32" i="25"/>
  <c r="K31" i="25"/>
  <c r="L31" i="25"/>
  <c r="AB31" i="25"/>
  <c r="AJ31" i="25"/>
  <c r="AK31" i="25"/>
  <c r="AA36" i="1"/>
  <c r="Z36" i="1" s="1"/>
  <c r="Y36" i="1" s="1"/>
  <c r="I36" i="1"/>
  <c r="S38" i="1"/>
  <c r="R38" i="1" s="1"/>
  <c r="P38" i="1" s="1"/>
  <c r="V38" i="1" s="1"/>
  <c r="AJ39" i="1"/>
  <c r="A40" i="1"/>
  <c r="X39" i="1"/>
  <c r="K39" i="1"/>
  <c r="AK39" i="1"/>
  <c r="AB39" i="1"/>
  <c r="L39" i="1"/>
  <c r="AC39" i="1"/>
  <c r="O39" i="1"/>
  <c r="Q39" i="1"/>
  <c r="U39" i="1"/>
  <c r="T39" i="1" s="1"/>
  <c r="S39" i="1" s="1"/>
  <c r="R39" i="1" s="1"/>
  <c r="AB35" i="20"/>
  <c r="A36" i="20"/>
  <c r="X35" i="20"/>
  <c r="K35" i="20"/>
  <c r="L35" i="20"/>
  <c r="AJ35" i="20"/>
  <c r="AK35" i="20"/>
  <c r="O35" i="20"/>
  <c r="AC35" i="20"/>
  <c r="K37" i="17"/>
  <c r="X37" i="17"/>
  <c r="L37" i="17"/>
  <c r="AB37" i="17"/>
  <c r="A38" i="17"/>
  <c r="AK37" i="17"/>
  <c r="AJ37" i="17"/>
  <c r="AC37" i="17"/>
  <c r="O37" i="17"/>
  <c r="A34" i="23"/>
  <c r="X33" i="23"/>
  <c r="AB33" i="23"/>
  <c r="K33" i="23"/>
  <c r="L33" i="23"/>
  <c r="AK33" i="23"/>
  <c r="AJ33" i="23"/>
  <c r="O33" i="23"/>
  <c r="AC33" i="23"/>
  <c r="X36" i="18"/>
  <c r="L36" i="18"/>
  <c r="K36" i="18"/>
  <c r="A37" i="18"/>
  <c r="AB36" i="18"/>
  <c r="AK36" i="18"/>
  <c r="O36" i="18"/>
  <c r="AJ36" i="18"/>
  <c r="AC36" i="18"/>
  <c r="K32" i="24"/>
  <c r="L32" i="24"/>
  <c r="X32" i="24"/>
  <c r="A33" i="24"/>
  <c r="AB32" i="24"/>
  <c r="AJ32" i="24"/>
  <c r="AK32" i="24"/>
  <c r="AC32" i="24"/>
  <c r="X34" i="22"/>
  <c r="L34" i="22"/>
  <c r="AB34" i="22"/>
  <c r="A35" i="22"/>
  <c r="K34" i="22"/>
  <c r="AJ34" i="22"/>
  <c r="AK34" i="22"/>
  <c r="O34" i="22"/>
  <c r="AC34" i="22"/>
  <c r="O10" i="24" l="1"/>
  <c r="AC10" i="24"/>
  <c r="AA37" i="1"/>
  <c r="Z37" i="1" s="1"/>
  <c r="Y37" i="1" s="1"/>
  <c r="X39" i="15"/>
  <c r="AB39" i="15"/>
  <c r="AC39" i="15"/>
  <c r="A40" i="15"/>
  <c r="O39" i="15"/>
  <c r="K39" i="15"/>
  <c r="AJ39" i="15"/>
  <c r="L39" i="15"/>
  <c r="D39" i="15" s="1"/>
  <c r="AK39" i="15"/>
  <c r="E38" i="15"/>
  <c r="P39" i="1"/>
  <c r="V39" i="1" s="1"/>
  <c r="A39" i="16"/>
  <c r="X38" i="16"/>
  <c r="AJ38" i="16"/>
  <c r="AC38" i="16"/>
  <c r="L38" i="16"/>
  <c r="D38" i="16" s="1"/>
  <c r="AB38" i="16"/>
  <c r="K38" i="16"/>
  <c r="AK38" i="16"/>
  <c r="O38" i="16"/>
  <c r="X33" i="24"/>
  <c r="AB33" i="24"/>
  <c r="K33" i="24"/>
  <c r="L33" i="24"/>
  <c r="A34" i="24"/>
  <c r="AJ33" i="24"/>
  <c r="AK33" i="24"/>
  <c r="O33" i="24"/>
  <c r="AC33" i="24"/>
  <c r="AB38" i="17"/>
  <c r="L38" i="17"/>
  <c r="K38" i="17"/>
  <c r="X38" i="17"/>
  <c r="A39" i="17"/>
  <c r="AJ38" i="17"/>
  <c r="AK38" i="17"/>
  <c r="AC38" i="17"/>
  <c r="O38" i="17"/>
  <c r="A37" i="20"/>
  <c r="X36" i="20"/>
  <c r="L36" i="20"/>
  <c r="AB36" i="20"/>
  <c r="K36" i="20"/>
  <c r="AJ36" i="20"/>
  <c r="AK36" i="20"/>
  <c r="O36" i="20"/>
  <c r="AC36" i="20"/>
  <c r="AB35" i="22"/>
  <c r="K35" i="22"/>
  <c r="X35" i="22"/>
  <c r="A36" i="22"/>
  <c r="L35" i="22"/>
  <c r="AJ35" i="22"/>
  <c r="AK35" i="22"/>
  <c r="O35" i="22"/>
  <c r="AC35" i="22"/>
  <c r="A38" i="18"/>
  <c r="L37" i="18"/>
  <c r="AB37" i="18"/>
  <c r="X37" i="18"/>
  <c r="K37" i="18"/>
  <c r="AJ37" i="18"/>
  <c r="O37" i="18"/>
  <c r="AK37" i="18"/>
  <c r="AC37" i="18"/>
  <c r="A35" i="23"/>
  <c r="L34" i="23"/>
  <c r="X34" i="23"/>
  <c r="K34" i="23"/>
  <c r="AB34" i="23"/>
  <c r="AJ34" i="23"/>
  <c r="AK34" i="23"/>
  <c r="O34" i="23"/>
  <c r="AC34" i="23"/>
  <c r="O40" i="1"/>
  <c r="A41" i="1"/>
  <c r="AC40" i="1"/>
  <c r="L40" i="1"/>
  <c r="AB40" i="1"/>
  <c r="Q40" i="1"/>
  <c r="K40" i="1"/>
  <c r="AK40" i="1"/>
  <c r="AJ40" i="1"/>
  <c r="X40" i="1"/>
  <c r="U40" i="1"/>
  <c r="AB32" i="25"/>
  <c r="A33" i="25"/>
  <c r="X32" i="25"/>
  <c r="K32" i="25"/>
  <c r="L32" i="25"/>
  <c r="AJ32" i="25"/>
  <c r="AK32" i="25"/>
  <c r="AC32" i="25"/>
  <c r="AY13" i="7" l="1"/>
  <c r="BE10" i="7" s="1"/>
  <c r="O16" i="24"/>
  <c r="O21" i="24"/>
  <c r="O25" i="24"/>
  <c r="O15" i="24"/>
  <c r="O20" i="24"/>
  <c r="O24" i="24"/>
  <c r="O30" i="24"/>
  <c r="O27" i="24"/>
  <c r="O18" i="24"/>
  <c r="O19" i="24"/>
  <c r="O23" i="24"/>
  <c r="O28" i="24"/>
  <c r="O17" i="24"/>
  <c r="O22" i="24"/>
  <c r="O26" i="24"/>
  <c r="O29" i="24"/>
  <c r="AG56" i="7" s="1"/>
  <c r="O31" i="24"/>
  <c r="O32" i="24"/>
  <c r="AC28" i="25"/>
  <c r="AC26" i="25"/>
  <c r="AC15" i="25"/>
  <c r="AC20" i="25"/>
  <c r="AC24" i="25"/>
  <c r="AC18" i="25"/>
  <c r="AC21" i="25"/>
  <c r="AC25" i="25"/>
  <c r="AC29" i="25"/>
  <c r="AC19" i="25"/>
  <c r="AC17" i="25"/>
  <c r="AC22" i="25"/>
  <c r="AC27" i="25"/>
  <c r="AC16" i="25"/>
  <c r="AC23" i="25"/>
  <c r="AC30" i="25"/>
  <c r="AC31" i="25"/>
  <c r="E39" i="15"/>
  <c r="L40" i="15"/>
  <c r="D40" i="15" s="1"/>
  <c r="AB40" i="15"/>
  <c r="AC40" i="15"/>
  <c r="X40" i="15"/>
  <c r="O40" i="15"/>
  <c r="E40" i="15" s="1"/>
  <c r="K40" i="15"/>
  <c r="AJ40" i="15"/>
  <c r="A41" i="15"/>
  <c r="AK40" i="15"/>
  <c r="E38" i="16"/>
  <c r="AB39" i="16"/>
  <c r="K39" i="16"/>
  <c r="X39" i="16"/>
  <c r="AJ39" i="16"/>
  <c r="O39" i="16"/>
  <c r="L39" i="16"/>
  <c r="D39" i="16" s="1"/>
  <c r="A40" i="16"/>
  <c r="AK39" i="16"/>
  <c r="AC39" i="16"/>
  <c r="Q41" i="1"/>
  <c r="L41" i="1"/>
  <c r="O41" i="1"/>
  <c r="A42" i="1"/>
  <c r="K41" i="1"/>
  <c r="AJ41" i="1"/>
  <c r="X41" i="1"/>
  <c r="AC41" i="1"/>
  <c r="AK41" i="1"/>
  <c r="AB41" i="1"/>
  <c r="U41" i="1"/>
  <c r="T41" i="1" s="1"/>
  <c r="A39" i="18"/>
  <c r="X38" i="18"/>
  <c r="K38" i="18"/>
  <c r="AB38" i="18"/>
  <c r="L38" i="18"/>
  <c r="O38" i="18"/>
  <c r="AJ38" i="18"/>
  <c r="AK38" i="18"/>
  <c r="AC38" i="18"/>
  <c r="AB36" i="22"/>
  <c r="L36" i="22"/>
  <c r="K36" i="22"/>
  <c r="X36" i="22"/>
  <c r="A37" i="22"/>
  <c r="AJ36" i="22"/>
  <c r="AK36" i="22"/>
  <c r="O36" i="22"/>
  <c r="AC36" i="22"/>
  <c r="I39" i="1"/>
  <c r="AA39" i="1"/>
  <c r="Z39" i="1" s="1"/>
  <c r="Y39" i="1" s="1"/>
  <c r="X37" i="20"/>
  <c r="K37" i="20"/>
  <c r="A38" i="20"/>
  <c r="AB37" i="20"/>
  <c r="L37" i="20"/>
  <c r="AJ37" i="20"/>
  <c r="AK37" i="20"/>
  <c r="O37" i="20"/>
  <c r="AC37" i="20"/>
  <c r="K33" i="25"/>
  <c r="A34" i="25"/>
  <c r="L33" i="25"/>
  <c r="AB33" i="25"/>
  <c r="X33" i="25"/>
  <c r="AJ33" i="25"/>
  <c r="AK33" i="25"/>
  <c r="AC33" i="25"/>
  <c r="T40" i="1"/>
  <c r="X35" i="23"/>
  <c r="A36" i="23"/>
  <c r="AB35" i="23"/>
  <c r="L35" i="23"/>
  <c r="K35" i="23"/>
  <c r="AK35" i="23"/>
  <c r="AJ35" i="23"/>
  <c r="O35" i="23"/>
  <c r="AC35" i="23"/>
  <c r="K39" i="17"/>
  <c r="L39" i="17"/>
  <c r="A40" i="17"/>
  <c r="X39" i="17"/>
  <c r="AB39" i="17"/>
  <c r="AK39" i="17"/>
  <c r="AJ39" i="17"/>
  <c r="AC39" i="17"/>
  <c r="O39" i="17"/>
  <c r="X34" i="24"/>
  <c r="L34" i="24"/>
  <c r="K34" i="24"/>
  <c r="AB34" i="24"/>
  <c r="A35" i="24"/>
  <c r="AJ34" i="24"/>
  <c r="AK34" i="24"/>
  <c r="O34" i="24"/>
  <c r="AC34" i="24"/>
  <c r="I38" i="1"/>
  <c r="AA38" i="1"/>
  <c r="Z38" i="1" s="1"/>
  <c r="Y38" i="1" s="1"/>
  <c r="E8" i="25" l="1"/>
  <c r="K20" i="19" s="1"/>
  <c r="K44" i="19" s="1"/>
  <c r="E7" i="25"/>
  <c r="AB41" i="15"/>
  <c r="A42" i="15"/>
  <c r="AC41" i="15"/>
  <c r="X41" i="15"/>
  <c r="O41" i="15"/>
  <c r="K41" i="15"/>
  <c r="AJ41" i="15"/>
  <c r="L41" i="15"/>
  <c r="D41" i="15" s="1"/>
  <c r="AK41" i="15"/>
  <c r="E39" i="16"/>
  <c r="X40" i="16"/>
  <c r="K40" i="16"/>
  <c r="AK40" i="16"/>
  <c r="AC40" i="16"/>
  <c r="A41" i="16"/>
  <c r="L40" i="16"/>
  <c r="D40" i="16" s="1"/>
  <c r="AB40" i="16"/>
  <c r="AJ40" i="16"/>
  <c r="O40" i="16"/>
  <c r="A36" i="24"/>
  <c r="X35" i="24"/>
  <c r="K35" i="24"/>
  <c r="L35" i="24"/>
  <c r="AB35" i="24"/>
  <c r="AJ35" i="24"/>
  <c r="AK35" i="24"/>
  <c r="O35" i="24"/>
  <c r="AC35" i="24"/>
  <c r="X36" i="23"/>
  <c r="AB36" i="23"/>
  <c r="L36" i="23"/>
  <c r="K36" i="23"/>
  <c r="A37" i="23"/>
  <c r="AJ36" i="23"/>
  <c r="AK36" i="23"/>
  <c r="O36" i="23"/>
  <c r="AC36" i="23"/>
  <c r="X38" i="20"/>
  <c r="A39" i="20"/>
  <c r="L38" i="20"/>
  <c r="K38" i="20"/>
  <c r="AB38" i="20"/>
  <c r="AJ38" i="20"/>
  <c r="AK38" i="20"/>
  <c r="O38" i="20"/>
  <c r="AC38" i="20"/>
  <c r="AB37" i="22"/>
  <c r="K37" i="22"/>
  <c r="L37" i="22"/>
  <c r="X37" i="22"/>
  <c r="A38" i="22"/>
  <c r="AJ37" i="22"/>
  <c r="AK37" i="22"/>
  <c r="O37" i="22"/>
  <c r="AC37" i="22"/>
  <c r="AB39" i="18"/>
  <c r="X39" i="18"/>
  <c r="A40" i="18"/>
  <c r="L39" i="18"/>
  <c r="K39" i="18"/>
  <c r="AJ39" i="18"/>
  <c r="AK39" i="18"/>
  <c r="O39" i="18"/>
  <c r="AC39" i="18"/>
  <c r="S41" i="1"/>
  <c r="R41" i="1" s="1"/>
  <c r="P41" i="1" s="1"/>
  <c r="V41" i="1" s="1"/>
  <c r="A41" i="17"/>
  <c r="L40" i="17"/>
  <c r="X40" i="17"/>
  <c r="AB40" i="17"/>
  <c r="K40" i="17"/>
  <c r="AJ40" i="17"/>
  <c r="AK40" i="17"/>
  <c r="AC40" i="17"/>
  <c r="O40" i="17"/>
  <c r="S40" i="1"/>
  <c r="R40" i="1" s="1"/>
  <c r="P40" i="1" s="1"/>
  <c r="AB34" i="25"/>
  <c r="A35" i="25"/>
  <c r="X34" i="25"/>
  <c r="K34" i="25"/>
  <c r="L34" i="25"/>
  <c r="AJ34" i="25"/>
  <c r="AK34" i="25"/>
  <c r="AC34" i="25"/>
  <c r="A43" i="1"/>
  <c r="O42" i="1"/>
  <c r="X42" i="1"/>
  <c r="K42" i="1"/>
  <c r="L42" i="1"/>
  <c r="Q42" i="1"/>
  <c r="AB42" i="1"/>
  <c r="AJ42" i="1"/>
  <c r="AK42" i="1"/>
  <c r="AC42" i="1"/>
  <c r="U42" i="1"/>
  <c r="T42" i="1" s="1"/>
  <c r="O10" i="25" l="1"/>
  <c r="AC10" i="25"/>
  <c r="AB42" i="15"/>
  <c r="AK42" i="15"/>
  <c r="L42" i="15"/>
  <c r="D42" i="15" s="1"/>
  <c r="AJ42" i="15"/>
  <c r="X42" i="15"/>
  <c r="A43" i="15"/>
  <c r="O42" i="15"/>
  <c r="K42" i="15"/>
  <c r="AC42" i="15"/>
  <c r="E41" i="15"/>
  <c r="E40" i="16"/>
  <c r="K41" i="16"/>
  <c r="L41" i="16"/>
  <c r="D41" i="16" s="1"/>
  <c r="X41" i="16"/>
  <c r="AK41" i="16"/>
  <c r="O41" i="16"/>
  <c r="A42" i="16"/>
  <c r="AB41" i="16"/>
  <c r="AJ41" i="16"/>
  <c r="AC41" i="16"/>
  <c r="V40" i="1"/>
  <c r="I41" i="1"/>
  <c r="AA41" i="1"/>
  <c r="Z41" i="1" s="1"/>
  <c r="Y41" i="1" s="1"/>
  <c r="X35" i="25"/>
  <c r="K35" i="25"/>
  <c r="L35" i="25"/>
  <c r="A36" i="25"/>
  <c r="AB35" i="25"/>
  <c r="AK35" i="25"/>
  <c r="AJ35" i="25"/>
  <c r="O35" i="25"/>
  <c r="AC35" i="25"/>
  <c r="K38" i="22"/>
  <c r="X38" i="22"/>
  <c r="A39" i="22"/>
  <c r="AB38" i="22"/>
  <c r="L38" i="22"/>
  <c r="AJ38" i="22"/>
  <c r="AK38" i="22"/>
  <c r="O38" i="22"/>
  <c r="AC38" i="22"/>
  <c r="A40" i="20"/>
  <c r="K39" i="20"/>
  <c r="AB39" i="20"/>
  <c r="L39" i="20"/>
  <c r="X39" i="20"/>
  <c r="AJ39" i="20"/>
  <c r="AK39" i="20"/>
  <c r="O39" i="20"/>
  <c r="AC39" i="20"/>
  <c r="K37" i="23"/>
  <c r="X37" i="23"/>
  <c r="A38" i="23"/>
  <c r="L37" i="23"/>
  <c r="AB37" i="23"/>
  <c r="AJ37" i="23"/>
  <c r="AK37" i="23"/>
  <c r="O37" i="23"/>
  <c r="AC37" i="23"/>
  <c r="X36" i="24"/>
  <c r="A37" i="24"/>
  <c r="L36" i="24"/>
  <c r="K36" i="24"/>
  <c r="AB36" i="24"/>
  <c r="AK36" i="24"/>
  <c r="AJ36" i="24"/>
  <c r="O36" i="24"/>
  <c r="AC36" i="24"/>
  <c r="S42" i="1"/>
  <c r="R42" i="1" s="1"/>
  <c r="P42" i="1" s="1"/>
  <c r="V42" i="1" s="1"/>
  <c r="K43" i="1"/>
  <c r="O43" i="1"/>
  <c r="AC43" i="1"/>
  <c r="Q43" i="1"/>
  <c r="A44" i="1"/>
  <c r="L43" i="1"/>
  <c r="AK43" i="1"/>
  <c r="X43" i="1"/>
  <c r="AB43" i="1"/>
  <c r="AJ43" i="1"/>
  <c r="U43" i="1"/>
  <c r="T43" i="1" s="1"/>
  <c r="L41" i="17"/>
  <c r="K41" i="17"/>
  <c r="A42" i="17"/>
  <c r="X41" i="17"/>
  <c r="AB41" i="17"/>
  <c r="AK41" i="17"/>
  <c r="AJ41" i="17"/>
  <c r="AC41" i="17"/>
  <c r="O41" i="17"/>
  <c r="A41" i="18"/>
  <c r="AB40" i="18"/>
  <c r="K40" i="18"/>
  <c r="X40" i="18"/>
  <c r="L40" i="18"/>
  <c r="O40" i="18"/>
  <c r="AK40" i="18"/>
  <c r="AJ40" i="18"/>
  <c r="AC40" i="18"/>
  <c r="BE13" i="7" l="1"/>
  <c r="O23" i="25"/>
  <c r="O21" i="25"/>
  <c r="O26" i="25"/>
  <c r="O15" i="25"/>
  <c r="O25" i="25"/>
  <c r="O20" i="25"/>
  <c r="O31" i="25"/>
  <c r="O32" i="25"/>
  <c r="O33" i="25"/>
  <c r="O16" i="25"/>
  <c r="O19" i="25"/>
  <c r="O28" i="25"/>
  <c r="O22" i="25"/>
  <c r="O29" i="25"/>
  <c r="AG68" i="7" s="1"/>
  <c r="O17" i="25"/>
  <c r="O27" i="25"/>
  <c r="O24" i="25"/>
  <c r="O18" i="25"/>
  <c r="O30" i="25"/>
  <c r="O34" i="25"/>
  <c r="AB43" i="15"/>
  <c r="AK43" i="15"/>
  <c r="L43" i="15"/>
  <c r="D43" i="15" s="1"/>
  <c r="K43" i="15"/>
  <c r="O43" i="15"/>
  <c r="E43" i="15" s="1"/>
  <c r="X43" i="15"/>
  <c r="AC43" i="15"/>
  <c r="A44" i="15"/>
  <c r="AJ43" i="15"/>
  <c r="E42" i="15"/>
  <c r="I42" i="1"/>
  <c r="E41" i="16"/>
  <c r="A43" i="16"/>
  <c r="AB42" i="16"/>
  <c r="L42" i="16"/>
  <c r="D42" i="16" s="1"/>
  <c r="AK42" i="16"/>
  <c r="O42" i="16"/>
  <c r="X42" i="16"/>
  <c r="K42" i="16"/>
  <c r="AJ42" i="16"/>
  <c r="AC42" i="16"/>
  <c r="K42" i="17"/>
  <c r="L42" i="17"/>
  <c r="X42" i="17"/>
  <c r="AB42" i="17"/>
  <c r="A43" i="17"/>
  <c r="AJ42" i="17"/>
  <c r="AK42" i="17"/>
  <c r="AC42" i="17"/>
  <c r="O42" i="17"/>
  <c r="S43" i="1"/>
  <c r="R43" i="1" s="1"/>
  <c r="P43" i="1" s="1"/>
  <c r="V43" i="1" s="1"/>
  <c r="AC44" i="1"/>
  <c r="AB44" i="1"/>
  <c r="Q44" i="1"/>
  <c r="AK44" i="1"/>
  <c r="L44" i="1"/>
  <c r="O44" i="1"/>
  <c r="K44" i="1"/>
  <c r="A45" i="1"/>
  <c r="AJ44" i="1"/>
  <c r="X44" i="1"/>
  <c r="U44" i="1"/>
  <c r="T44" i="1" s="1"/>
  <c r="X37" i="24"/>
  <c r="AB37" i="24"/>
  <c r="A38" i="24"/>
  <c r="L37" i="24"/>
  <c r="K37" i="24"/>
  <c r="AK37" i="24"/>
  <c r="AJ37" i="24"/>
  <c r="O37" i="24"/>
  <c r="AC37" i="24"/>
  <c r="A39" i="23"/>
  <c r="AB38" i="23"/>
  <c r="X38" i="23"/>
  <c r="K38" i="23"/>
  <c r="L38" i="23"/>
  <c r="AJ38" i="23"/>
  <c r="AK38" i="23"/>
  <c r="O38" i="23"/>
  <c r="AC38" i="23"/>
  <c r="AA40" i="1"/>
  <c r="Z40" i="1" s="1"/>
  <c r="Y40" i="1" s="1"/>
  <c r="I40" i="1"/>
  <c r="AB41" i="18"/>
  <c r="A42" i="18"/>
  <c r="K41" i="18"/>
  <c r="X41" i="18"/>
  <c r="L41" i="18"/>
  <c r="AK41" i="18"/>
  <c r="AJ41" i="18"/>
  <c r="O41" i="18"/>
  <c r="AC41" i="18"/>
  <c r="K40" i="20"/>
  <c r="L40" i="20"/>
  <c r="X40" i="20"/>
  <c r="AB40" i="20"/>
  <c r="A41" i="20"/>
  <c r="AJ40" i="20"/>
  <c r="AK40" i="20"/>
  <c r="O40" i="20"/>
  <c r="AC40" i="20"/>
  <c r="A40" i="22"/>
  <c r="K39" i="22"/>
  <c r="AB39" i="22"/>
  <c r="L39" i="22"/>
  <c r="X39" i="22"/>
  <c r="AJ39" i="22"/>
  <c r="AK39" i="22"/>
  <c r="O39" i="22"/>
  <c r="AC39" i="22"/>
  <c r="X36" i="25"/>
  <c r="L36" i="25"/>
  <c r="AB36" i="25"/>
  <c r="K36" i="25"/>
  <c r="A37" i="25"/>
  <c r="AJ36" i="25"/>
  <c r="AK36" i="25"/>
  <c r="O36" i="25"/>
  <c r="AC36" i="25"/>
  <c r="A45" i="15" l="1"/>
  <c r="AK44" i="15"/>
  <c r="X44" i="15"/>
  <c r="K44" i="15"/>
  <c r="O44" i="15"/>
  <c r="AB44" i="15"/>
  <c r="AC44" i="15"/>
  <c r="L44" i="15"/>
  <c r="D44" i="15" s="1"/>
  <c r="AJ44" i="15"/>
  <c r="AA42" i="1"/>
  <c r="Z42" i="1" s="1"/>
  <c r="Y42" i="1" s="1"/>
  <c r="E42" i="16"/>
  <c r="X43" i="16"/>
  <c r="L43" i="16"/>
  <c r="D43" i="16" s="1"/>
  <c r="A44" i="16"/>
  <c r="AJ43" i="16"/>
  <c r="O43" i="16"/>
  <c r="AB43" i="16"/>
  <c r="K43" i="16"/>
  <c r="AK43" i="16"/>
  <c r="AC43" i="16"/>
  <c r="AB37" i="25"/>
  <c r="X37" i="25"/>
  <c r="K37" i="25"/>
  <c r="A38" i="25"/>
  <c r="L37" i="25"/>
  <c r="AJ37" i="25"/>
  <c r="O37" i="25"/>
  <c r="AK37" i="25"/>
  <c r="AC37" i="25"/>
  <c r="AB40" i="22"/>
  <c r="A41" i="22"/>
  <c r="K40" i="22"/>
  <c r="X40" i="22"/>
  <c r="L40" i="22"/>
  <c r="AK40" i="22"/>
  <c r="AJ40" i="22"/>
  <c r="O40" i="22"/>
  <c r="AC40" i="22"/>
  <c r="AB38" i="24"/>
  <c r="L38" i="24"/>
  <c r="A39" i="24"/>
  <c r="K38" i="24"/>
  <c r="X38" i="24"/>
  <c r="AK38" i="24"/>
  <c r="AJ38" i="24"/>
  <c r="O38" i="24"/>
  <c r="AC38" i="24"/>
  <c r="AJ45" i="1"/>
  <c r="AC45" i="1"/>
  <c r="AB45" i="1"/>
  <c r="L45" i="1"/>
  <c r="A46" i="1"/>
  <c r="AK45" i="1"/>
  <c r="Q45" i="1"/>
  <c r="O45" i="1"/>
  <c r="K45" i="1"/>
  <c r="X45" i="1"/>
  <c r="U45" i="1"/>
  <c r="T45" i="1" s="1"/>
  <c r="A44" i="17"/>
  <c r="K43" i="17"/>
  <c r="L43" i="17"/>
  <c r="AB43" i="17"/>
  <c r="X43" i="17"/>
  <c r="AJ43" i="17"/>
  <c r="AK43" i="17"/>
  <c r="O43" i="17"/>
  <c r="AC43" i="17"/>
  <c r="A42" i="20"/>
  <c r="L41" i="20"/>
  <c r="AB41" i="20"/>
  <c r="X41" i="20"/>
  <c r="K41" i="20"/>
  <c r="AJ41" i="20"/>
  <c r="AK41" i="20"/>
  <c r="O41" i="20"/>
  <c r="AC41" i="20"/>
  <c r="X42" i="18"/>
  <c r="L42" i="18"/>
  <c r="A43" i="18"/>
  <c r="AB42" i="18"/>
  <c r="K42" i="18"/>
  <c r="AJ42" i="18"/>
  <c r="AK42" i="18"/>
  <c r="O42" i="18"/>
  <c r="AC42" i="18"/>
  <c r="X39" i="23"/>
  <c r="L39" i="23"/>
  <c r="K39" i="23"/>
  <c r="A40" i="23"/>
  <c r="AB39" i="23"/>
  <c r="AJ39" i="23"/>
  <c r="AK39" i="23"/>
  <c r="O39" i="23"/>
  <c r="AC39" i="23"/>
  <c r="S44" i="1"/>
  <c r="R44" i="1" s="1"/>
  <c r="P44" i="1" s="1"/>
  <c r="V44" i="1" s="1"/>
  <c r="E44" i="15" l="1"/>
  <c r="A46" i="15"/>
  <c r="AC45" i="15"/>
  <c r="L45" i="15"/>
  <c r="D45" i="15" s="1"/>
  <c r="AJ45" i="15"/>
  <c r="K45" i="15"/>
  <c r="AK45" i="15"/>
  <c r="AB45" i="15"/>
  <c r="X45" i="15"/>
  <c r="O45" i="15"/>
  <c r="E43" i="16"/>
  <c r="L44" i="16"/>
  <c r="D44" i="16" s="1"/>
  <c r="A45" i="16"/>
  <c r="AK44" i="16"/>
  <c r="AC44" i="16"/>
  <c r="AB44" i="16"/>
  <c r="K44" i="16"/>
  <c r="X44" i="16"/>
  <c r="AJ44" i="16"/>
  <c r="O44" i="16"/>
  <c r="AA44" i="1"/>
  <c r="Z44" i="1" s="1"/>
  <c r="Y44" i="1" s="1"/>
  <c r="AB40" i="23"/>
  <c r="L40" i="23"/>
  <c r="A41" i="23"/>
  <c r="K40" i="23"/>
  <c r="X40" i="23"/>
  <c r="AK40" i="23"/>
  <c r="AJ40" i="23"/>
  <c r="O40" i="23"/>
  <c r="AC40" i="23"/>
  <c r="A44" i="18"/>
  <c r="X43" i="18"/>
  <c r="L43" i="18"/>
  <c r="AB43" i="18"/>
  <c r="K43" i="18"/>
  <c r="O43" i="18"/>
  <c r="AJ43" i="18"/>
  <c r="AK43" i="18"/>
  <c r="AC43" i="18"/>
  <c r="AB42" i="20"/>
  <c r="K42" i="20"/>
  <c r="X42" i="20"/>
  <c r="L42" i="20"/>
  <c r="A43" i="20"/>
  <c r="AJ42" i="20"/>
  <c r="AK42" i="20"/>
  <c r="O42" i="20"/>
  <c r="AC42" i="20"/>
  <c r="A45" i="17"/>
  <c r="K44" i="17"/>
  <c r="L44" i="17"/>
  <c r="AB44" i="17"/>
  <c r="X44" i="17"/>
  <c r="AJ44" i="17"/>
  <c r="AK44" i="17"/>
  <c r="AC44" i="17"/>
  <c r="O44" i="17"/>
  <c r="AB39" i="24"/>
  <c r="L39" i="24"/>
  <c r="K39" i="24"/>
  <c r="X39" i="24"/>
  <c r="A40" i="24"/>
  <c r="AJ39" i="24"/>
  <c r="AK39" i="24"/>
  <c r="O39" i="24"/>
  <c r="AC39" i="24"/>
  <c r="AB38" i="25"/>
  <c r="A39" i="25"/>
  <c r="L38" i="25"/>
  <c r="X38" i="25"/>
  <c r="K38" i="25"/>
  <c r="AJ38" i="25"/>
  <c r="O38" i="25"/>
  <c r="AK38" i="25"/>
  <c r="AC38" i="25"/>
  <c r="S45" i="1"/>
  <c r="R45" i="1" s="1"/>
  <c r="P45" i="1" s="1"/>
  <c r="V45" i="1" s="1"/>
  <c r="X46" i="1"/>
  <c r="K46" i="1"/>
  <c r="AJ46" i="1"/>
  <c r="L46" i="1"/>
  <c r="O46" i="1"/>
  <c r="AC46" i="1"/>
  <c r="AK46" i="1"/>
  <c r="AB46" i="1"/>
  <c r="A47" i="1"/>
  <c r="U46" i="1"/>
  <c r="Q46" i="1"/>
  <c r="I43" i="1"/>
  <c r="AA43" i="1"/>
  <c r="Z43" i="1" s="1"/>
  <c r="Y43" i="1" s="1"/>
  <c r="X41" i="22"/>
  <c r="K41" i="22"/>
  <c r="A42" i="22"/>
  <c r="L41" i="22"/>
  <c r="AB41" i="22"/>
  <c r="AK41" i="22"/>
  <c r="AJ41" i="22"/>
  <c r="O41" i="22"/>
  <c r="AC41" i="22"/>
  <c r="E45" i="15" l="1"/>
  <c r="AB46" i="15"/>
  <c r="O46" i="15"/>
  <c r="L46" i="15"/>
  <c r="D46" i="15" s="1"/>
  <c r="AK46" i="15"/>
  <c r="X46" i="15"/>
  <c r="AJ46" i="15"/>
  <c r="A47" i="15"/>
  <c r="K46" i="15"/>
  <c r="AC46" i="15"/>
  <c r="I44" i="1"/>
  <c r="E44" i="16"/>
  <c r="X45" i="16"/>
  <c r="L45" i="16"/>
  <c r="D45" i="16" s="1"/>
  <c r="AK45" i="16"/>
  <c r="AC45" i="16"/>
  <c r="AB45" i="16"/>
  <c r="A46" i="16"/>
  <c r="K45" i="16"/>
  <c r="AJ45" i="16"/>
  <c r="O45" i="16"/>
  <c r="A43" i="22"/>
  <c r="L42" i="22"/>
  <c r="X42" i="22"/>
  <c r="K42" i="22"/>
  <c r="AB42" i="22"/>
  <c r="AJ42" i="22"/>
  <c r="AK42" i="22"/>
  <c r="O42" i="22"/>
  <c r="AC42" i="22"/>
  <c r="X47" i="1"/>
  <c r="AC47" i="1"/>
  <c r="K47" i="1"/>
  <c r="AJ47" i="1"/>
  <c r="Q47" i="1"/>
  <c r="A48" i="1"/>
  <c r="AB47" i="1"/>
  <c r="O47" i="1"/>
  <c r="AK47" i="1"/>
  <c r="L47" i="1"/>
  <c r="U47" i="1"/>
  <c r="T47" i="1" s="1"/>
  <c r="AB39" i="25"/>
  <c r="K39" i="25"/>
  <c r="X39" i="25"/>
  <c r="A40" i="25"/>
  <c r="L39" i="25"/>
  <c r="AJ39" i="25"/>
  <c r="AK39" i="25"/>
  <c r="O39" i="25"/>
  <c r="AC39" i="25"/>
  <c r="X45" i="17"/>
  <c r="A46" i="17"/>
  <c r="AB45" i="17"/>
  <c r="L45" i="17"/>
  <c r="K45" i="17"/>
  <c r="AK45" i="17"/>
  <c r="AJ45" i="17"/>
  <c r="AC45" i="17"/>
  <c r="O45" i="17"/>
  <c r="K44" i="18"/>
  <c r="X44" i="18"/>
  <c r="A45" i="18"/>
  <c r="AB44" i="18"/>
  <c r="L44" i="18"/>
  <c r="AJ44" i="18"/>
  <c r="AK44" i="18"/>
  <c r="O44" i="18"/>
  <c r="AC44" i="18"/>
  <c r="T46" i="1"/>
  <c r="A41" i="24"/>
  <c r="X40" i="24"/>
  <c r="AB40" i="24"/>
  <c r="K40" i="24"/>
  <c r="L40" i="24"/>
  <c r="AK40" i="24"/>
  <c r="O40" i="24"/>
  <c r="AJ40" i="24"/>
  <c r="AC40" i="24"/>
  <c r="AB43" i="20"/>
  <c r="K43" i="20"/>
  <c r="L43" i="20"/>
  <c r="A44" i="20"/>
  <c r="X43" i="20"/>
  <c r="AJ43" i="20"/>
  <c r="AK43" i="20"/>
  <c r="O43" i="20"/>
  <c r="AC43" i="20"/>
  <c r="AB41" i="23"/>
  <c r="X41" i="23"/>
  <c r="K41" i="23"/>
  <c r="A42" i="23"/>
  <c r="L41" i="23"/>
  <c r="AJ41" i="23"/>
  <c r="AK41" i="23"/>
  <c r="O41" i="23"/>
  <c r="AC41" i="23"/>
  <c r="E46" i="15" l="1"/>
  <c r="L47" i="15"/>
  <c r="D47" i="15" s="1"/>
  <c r="AJ47" i="15"/>
  <c r="A48" i="15"/>
  <c r="AK47" i="15"/>
  <c r="K47" i="15"/>
  <c r="X47" i="15"/>
  <c r="AC47" i="15"/>
  <c r="AB47" i="15"/>
  <c r="O47" i="15"/>
  <c r="K46" i="16"/>
  <c r="AB46" i="16"/>
  <c r="X46" i="16"/>
  <c r="AJ46" i="16"/>
  <c r="O46" i="16"/>
  <c r="A47" i="16"/>
  <c r="L46" i="16"/>
  <c r="D46" i="16" s="1"/>
  <c r="E46" i="16" s="1"/>
  <c r="AK46" i="16"/>
  <c r="AC46" i="16"/>
  <c r="E45" i="16"/>
  <c r="X42" i="23"/>
  <c r="AB42" i="23"/>
  <c r="A43" i="23"/>
  <c r="L42" i="23"/>
  <c r="K42" i="23"/>
  <c r="AJ42" i="23"/>
  <c r="AK42" i="23"/>
  <c r="O42" i="23"/>
  <c r="AC42" i="23"/>
  <c r="AB48" i="1"/>
  <c r="AK48" i="1"/>
  <c r="K48" i="1"/>
  <c r="X48" i="1"/>
  <c r="L48" i="1"/>
  <c r="Q48" i="1"/>
  <c r="AJ48" i="1"/>
  <c r="AC48" i="1"/>
  <c r="O48" i="1"/>
  <c r="A49" i="1"/>
  <c r="U48" i="1"/>
  <c r="T48" i="1" s="1"/>
  <c r="AB43" i="22"/>
  <c r="L43" i="22"/>
  <c r="X43" i="22"/>
  <c r="A44" i="22"/>
  <c r="K43" i="22"/>
  <c r="AJ43" i="22"/>
  <c r="AK43" i="22"/>
  <c r="O43" i="22"/>
  <c r="AC43" i="22"/>
  <c r="AA45" i="1"/>
  <c r="Z45" i="1" s="1"/>
  <c r="Y45" i="1" s="1"/>
  <c r="I45" i="1"/>
  <c r="X44" i="20"/>
  <c r="A45" i="20"/>
  <c r="AB44" i="20"/>
  <c r="L44" i="20"/>
  <c r="K44" i="20"/>
  <c r="AK44" i="20"/>
  <c r="AJ44" i="20"/>
  <c r="O44" i="20"/>
  <c r="AC44" i="20"/>
  <c r="X41" i="24"/>
  <c r="A42" i="24"/>
  <c r="AB41" i="24"/>
  <c r="K41" i="24"/>
  <c r="L41" i="24"/>
  <c r="AJ41" i="24"/>
  <c r="AK41" i="24"/>
  <c r="O41" i="24"/>
  <c r="AC41" i="24"/>
  <c r="S46" i="1"/>
  <c r="R46" i="1" s="1"/>
  <c r="P46" i="1" s="1"/>
  <c r="A46" i="18"/>
  <c r="AB45" i="18"/>
  <c r="L45" i="18"/>
  <c r="K45" i="18"/>
  <c r="X45" i="18"/>
  <c r="O45" i="18"/>
  <c r="AJ45" i="18"/>
  <c r="AK45" i="18"/>
  <c r="AC45" i="18"/>
  <c r="K46" i="17"/>
  <c r="AB46" i="17"/>
  <c r="L46" i="17"/>
  <c r="A47" i="17"/>
  <c r="X46" i="17"/>
  <c r="AK46" i="17"/>
  <c r="AJ46" i="17"/>
  <c r="AC46" i="17"/>
  <c r="O46" i="17"/>
  <c r="AB40" i="25"/>
  <c r="L40" i="25"/>
  <c r="K40" i="25"/>
  <c r="A41" i="25"/>
  <c r="X40" i="25"/>
  <c r="AK40" i="25"/>
  <c r="AJ40" i="25"/>
  <c r="O40" i="25"/>
  <c r="AC40" i="25"/>
  <c r="S47" i="1"/>
  <c r="R47" i="1" s="1"/>
  <c r="P47" i="1" s="1"/>
  <c r="V47" i="1" s="1"/>
  <c r="L48" i="15" l="1"/>
  <c r="D48" i="15" s="1"/>
  <c r="O48" i="15"/>
  <c r="K48" i="15"/>
  <c r="AJ48" i="15"/>
  <c r="A49" i="15"/>
  <c r="AK48" i="15"/>
  <c r="AB48" i="15"/>
  <c r="X48" i="15"/>
  <c r="AC48" i="15"/>
  <c r="E47" i="15"/>
  <c r="K47" i="16"/>
  <c r="L47" i="16"/>
  <c r="D47" i="16" s="1"/>
  <c r="AJ47" i="16"/>
  <c r="AC47" i="16"/>
  <c r="AB47" i="16"/>
  <c r="A48" i="16"/>
  <c r="X47" i="16"/>
  <c r="AK47" i="16"/>
  <c r="O47" i="16"/>
  <c r="AA47" i="1"/>
  <c r="Z47" i="1" s="1"/>
  <c r="Y47" i="1" s="1"/>
  <c r="I47" i="1"/>
  <c r="V46" i="1"/>
  <c r="A43" i="24"/>
  <c r="AB42" i="24"/>
  <c r="X42" i="24"/>
  <c r="K42" i="24"/>
  <c r="L42" i="24"/>
  <c r="AJ42" i="24"/>
  <c r="AK42" i="24"/>
  <c r="O42" i="24"/>
  <c r="AC42" i="24"/>
  <c r="K49" i="1"/>
  <c r="Q49" i="1"/>
  <c r="AB49" i="1"/>
  <c r="AC49" i="1"/>
  <c r="A50" i="1"/>
  <c r="L49" i="1"/>
  <c r="AK49" i="1"/>
  <c r="X49" i="1"/>
  <c r="O49" i="1"/>
  <c r="AJ49" i="1"/>
  <c r="U49" i="1"/>
  <c r="A44" i="23"/>
  <c r="AB43" i="23"/>
  <c r="K43" i="23"/>
  <c r="X43" i="23"/>
  <c r="L43" i="23"/>
  <c r="AK43" i="23"/>
  <c r="AJ43" i="23"/>
  <c r="O43" i="23"/>
  <c r="AC43" i="23"/>
  <c r="AB41" i="25"/>
  <c r="K41" i="25"/>
  <c r="A42" i="25"/>
  <c r="X41" i="25"/>
  <c r="L41" i="25"/>
  <c r="AJ41" i="25"/>
  <c r="O41" i="25"/>
  <c r="AK41" i="25"/>
  <c r="AC41" i="25"/>
  <c r="K47" i="17"/>
  <c r="L47" i="17"/>
  <c r="A48" i="17"/>
  <c r="AB47" i="17"/>
  <c r="X47" i="17"/>
  <c r="AJ47" i="17"/>
  <c r="AK47" i="17"/>
  <c r="AC47" i="17"/>
  <c r="O47" i="17"/>
  <c r="K46" i="18"/>
  <c r="X46" i="18"/>
  <c r="L46" i="18"/>
  <c r="A47" i="18"/>
  <c r="AB46" i="18"/>
  <c r="AJ46" i="18"/>
  <c r="O46" i="18"/>
  <c r="AK46" i="18"/>
  <c r="AC46" i="18"/>
  <c r="AB45" i="20"/>
  <c r="X45" i="20"/>
  <c r="A46" i="20"/>
  <c r="K45" i="20"/>
  <c r="L45" i="20"/>
  <c r="AJ45" i="20"/>
  <c r="AK45" i="20"/>
  <c r="O45" i="20"/>
  <c r="AC45" i="20"/>
  <c r="AB44" i="22"/>
  <c r="L44" i="22"/>
  <c r="K44" i="22"/>
  <c r="X44" i="22"/>
  <c r="A45" i="22"/>
  <c r="AJ44" i="22"/>
  <c r="AK44" i="22"/>
  <c r="O44" i="22"/>
  <c r="AC44" i="22"/>
  <c r="S48" i="1"/>
  <c r="R48" i="1" s="1"/>
  <c r="P48" i="1" s="1"/>
  <c r="V48" i="1" s="1"/>
  <c r="E48" i="15" l="1"/>
  <c r="K49" i="15"/>
  <c r="AB49" i="15"/>
  <c r="O49" i="15"/>
  <c r="A50" i="15"/>
  <c r="AC49" i="15"/>
  <c r="L49" i="15"/>
  <c r="D49" i="15" s="1"/>
  <c r="AJ49" i="15"/>
  <c r="X49" i="15"/>
  <c r="AK49" i="15"/>
  <c r="E47" i="16"/>
  <c r="K48" i="16"/>
  <c r="X48" i="16"/>
  <c r="AK48" i="16"/>
  <c r="AC48" i="16"/>
  <c r="A49" i="16"/>
  <c r="L48" i="16"/>
  <c r="D48" i="16" s="1"/>
  <c r="AB48" i="16"/>
  <c r="AJ48" i="16"/>
  <c r="O48" i="16"/>
  <c r="AA46" i="1"/>
  <c r="Z46" i="1" s="1"/>
  <c r="Y46" i="1" s="1"/>
  <c r="I46" i="1"/>
  <c r="A45" i="23"/>
  <c r="L44" i="23"/>
  <c r="X44" i="23"/>
  <c r="K44" i="23"/>
  <c r="AB44" i="23"/>
  <c r="AJ44" i="23"/>
  <c r="AK44" i="23"/>
  <c r="O44" i="23"/>
  <c r="AC44" i="23"/>
  <c r="T49" i="1"/>
  <c r="A51" i="1"/>
  <c r="K50" i="1"/>
  <c r="L50" i="1"/>
  <c r="AC50" i="1"/>
  <c r="Q50" i="1"/>
  <c r="AJ50" i="1"/>
  <c r="AB50" i="1"/>
  <c r="O50" i="1"/>
  <c r="AK50" i="1"/>
  <c r="X50" i="1"/>
  <c r="U50" i="1"/>
  <c r="T50" i="1" s="1"/>
  <c r="S50" i="1" s="1"/>
  <c r="R50" i="1" s="1"/>
  <c r="P50" i="1" s="1"/>
  <c r="AB45" i="22"/>
  <c r="A46" i="22"/>
  <c r="X45" i="22"/>
  <c r="L45" i="22"/>
  <c r="K45" i="22"/>
  <c r="AJ45" i="22"/>
  <c r="AK45" i="22"/>
  <c r="O45" i="22"/>
  <c r="AC45" i="22"/>
  <c r="X46" i="20"/>
  <c r="L46" i="20"/>
  <c r="A47" i="20"/>
  <c r="K46" i="20"/>
  <c r="AB46" i="20"/>
  <c r="AJ46" i="20"/>
  <c r="AK46" i="20"/>
  <c r="O46" i="20"/>
  <c r="AC46" i="20"/>
  <c r="A48" i="18"/>
  <c r="K47" i="18"/>
  <c r="AB47" i="18"/>
  <c r="L47" i="18"/>
  <c r="X47" i="18"/>
  <c r="AK47" i="18"/>
  <c r="O47" i="18"/>
  <c r="AJ47" i="18"/>
  <c r="AC47" i="18"/>
  <c r="X48" i="17"/>
  <c r="L48" i="17"/>
  <c r="K48" i="17"/>
  <c r="A49" i="17"/>
  <c r="AB48" i="17"/>
  <c r="AJ48" i="17"/>
  <c r="AK48" i="17"/>
  <c r="AC48" i="17"/>
  <c r="O48" i="17"/>
  <c r="A43" i="25"/>
  <c r="X42" i="25"/>
  <c r="AB42" i="25"/>
  <c r="L42" i="25"/>
  <c r="K42" i="25"/>
  <c r="AJ42" i="25"/>
  <c r="AK42" i="25"/>
  <c r="O42" i="25"/>
  <c r="AC42" i="25"/>
  <c r="K43" i="24"/>
  <c r="A44" i="24"/>
  <c r="AB43" i="24"/>
  <c r="X43" i="24"/>
  <c r="L43" i="24"/>
  <c r="AJ43" i="24"/>
  <c r="AK43" i="24"/>
  <c r="O43" i="24"/>
  <c r="AC43" i="24"/>
  <c r="E49" i="15" l="1"/>
  <c r="AB50" i="15"/>
  <c r="AK50" i="15"/>
  <c r="L50" i="15"/>
  <c r="D50" i="15" s="1"/>
  <c r="A51" i="15"/>
  <c r="AC50" i="15"/>
  <c r="K50" i="15"/>
  <c r="O50" i="15"/>
  <c r="X50" i="15"/>
  <c r="AJ50" i="15"/>
  <c r="E48" i="16"/>
  <c r="X49" i="16"/>
  <c r="AB49" i="16"/>
  <c r="K49" i="16"/>
  <c r="AK49" i="16"/>
  <c r="O49" i="16"/>
  <c r="A50" i="16"/>
  <c r="AJ49" i="16"/>
  <c r="AC49" i="16"/>
  <c r="L49" i="16"/>
  <c r="D49" i="16" s="1"/>
  <c r="E49" i="16" s="1"/>
  <c r="K44" i="24"/>
  <c r="X44" i="24"/>
  <c r="A45" i="24"/>
  <c r="L44" i="24"/>
  <c r="AB44" i="24"/>
  <c r="AJ44" i="24"/>
  <c r="AK44" i="24"/>
  <c r="O44" i="24"/>
  <c r="AC44" i="24"/>
  <c r="X43" i="25"/>
  <c r="AB43" i="25"/>
  <c r="A44" i="25"/>
  <c r="L43" i="25"/>
  <c r="K43" i="25"/>
  <c r="AJ43" i="25"/>
  <c r="AK43" i="25"/>
  <c r="O43" i="25"/>
  <c r="AC43" i="25"/>
  <c r="AB49" i="17"/>
  <c r="K49" i="17"/>
  <c r="A50" i="17"/>
  <c r="X49" i="17"/>
  <c r="L49" i="17"/>
  <c r="AJ49" i="17"/>
  <c r="AK49" i="17"/>
  <c r="AC49" i="17"/>
  <c r="O49" i="17"/>
  <c r="K47" i="20"/>
  <c r="L47" i="20"/>
  <c r="AB47" i="20"/>
  <c r="A48" i="20"/>
  <c r="X47" i="20"/>
  <c r="AK47" i="20"/>
  <c r="AJ47" i="20"/>
  <c r="O47" i="20"/>
  <c r="AC47" i="20"/>
  <c r="AB46" i="22"/>
  <c r="K46" i="22"/>
  <c r="L46" i="22"/>
  <c r="A47" i="22"/>
  <c r="X46" i="22"/>
  <c r="AJ46" i="22"/>
  <c r="AK46" i="22"/>
  <c r="O46" i="22"/>
  <c r="AC46" i="22"/>
  <c r="AB45" i="23"/>
  <c r="A46" i="23"/>
  <c r="L45" i="23"/>
  <c r="X45" i="23"/>
  <c r="K45" i="23"/>
  <c r="AK45" i="23"/>
  <c r="AJ45" i="23"/>
  <c r="O45" i="23"/>
  <c r="AC45" i="23"/>
  <c r="AA48" i="1"/>
  <c r="Z48" i="1" s="1"/>
  <c r="Y48" i="1" s="1"/>
  <c r="I48" i="1"/>
  <c r="X48" i="18"/>
  <c r="A49" i="18"/>
  <c r="AB48" i="18"/>
  <c r="L48" i="18"/>
  <c r="K48" i="18"/>
  <c r="AK48" i="18"/>
  <c r="O48" i="18"/>
  <c r="AJ48" i="18"/>
  <c r="AC48" i="18"/>
  <c r="V50" i="1"/>
  <c r="A52" i="1"/>
  <c r="K51" i="1"/>
  <c r="AC51" i="1"/>
  <c r="L51" i="1"/>
  <c r="Q51" i="1"/>
  <c r="AK51" i="1"/>
  <c r="X51" i="1"/>
  <c r="O51" i="1"/>
  <c r="AJ51" i="1"/>
  <c r="AB51" i="1"/>
  <c r="U51" i="1"/>
  <c r="T51" i="1" s="1"/>
  <c r="S51" i="1" s="1"/>
  <c r="R51" i="1" s="1"/>
  <c r="P51" i="1" s="1"/>
  <c r="S49" i="1"/>
  <c r="R49" i="1" s="1"/>
  <c r="P49" i="1" s="1"/>
  <c r="K51" i="15" l="1"/>
  <c r="AK51" i="15"/>
  <c r="L51" i="15"/>
  <c r="D51" i="15" s="1"/>
  <c r="X51" i="15"/>
  <c r="AC51" i="15"/>
  <c r="A52" i="15"/>
  <c r="O51" i="15"/>
  <c r="AB51" i="15"/>
  <c r="AJ51" i="15"/>
  <c r="E50" i="15"/>
  <c r="L50" i="16"/>
  <c r="D50" i="16" s="1"/>
  <c r="AB50" i="16"/>
  <c r="A51" i="16"/>
  <c r="AJ50" i="16"/>
  <c r="O50" i="16"/>
  <c r="X50" i="16"/>
  <c r="K50" i="16"/>
  <c r="AK50" i="16"/>
  <c r="AC50" i="16"/>
  <c r="V49" i="1"/>
  <c r="V51" i="1"/>
  <c r="AB46" i="23"/>
  <c r="L46" i="23"/>
  <c r="X46" i="23"/>
  <c r="K46" i="23"/>
  <c r="A47" i="23"/>
  <c r="AJ46" i="23"/>
  <c r="AK46" i="23"/>
  <c r="O46" i="23"/>
  <c r="AC46" i="23"/>
  <c r="X47" i="22"/>
  <c r="AB47" i="22"/>
  <c r="A48" i="22"/>
  <c r="K47" i="22"/>
  <c r="L47" i="22"/>
  <c r="AJ47" i="22"/>
  <c r="AK47" i="22"/>
  <c r="O47" i="22"/>
  <c r="AC47" i="22"/>
  <c r="AB50" i="17"/>
  <c r="X50" i="17"/>
  <c r="K50" i="17"/>
  <c r="A51" i="17"/>
  <c r="L50" i="17"/>
  <c r="AK50" i="17"/>
  <c r="AJ50" i="17"/>
  <c r="O50" i="17"/>
  <c r="AC50" i="17"/>
  <c r="AB45" i="24"/>
  <c r="A46" i="24"/>
  <c r="X45" i="24"/>
  <c r="K45" i="24"/>
  <c r="L45" i="24"/>
  <c r="AJ45" i="24"/>
  <c r="AK45" i="24"/>
  <c r="O45" i="24"/>
  <c r="AC45" i="24"/>
  <c r="O52" i="1"/>
  <c r="AK52" i="1"/>
  <c r="AC52" i="1"/>
  <c r="X52" i="1"/>
  <c r="Q52" i="1"/>
  <c r="AJ52" i="1"/>
  <c r="K52" i="1"/>
  <c r="AB52" i="1"/>
  <c r="L52" i="1"/>
  <c r="A53" i="1"/>
  <c r="U52" i="1"/>
  <c r="K49" i="18"/>
  <c r="AB49" i="18"/>
  <c r="L49" i="18"/>
  <c r="X49" i="18"/>
  <c r="A50" i="18"/>
  <c r="AK49" i="18"/>
  <c r="O49" i="18"/>
  <c r="AJ49" i="18"/>
  <c r="AC49" i="18"/>
  <c r="X48" i="20"/>
  <c r="A49" i="20"/>
  <c r="AB48" i="20"/>
  <c r="L48" i="20"/>
  <c r="K48" i="20"/>
  <c r="AJ48" i="20"/>
  <c r="AK48" i="20"/>
  <c r="O48" i="20"/>
  <c r="AC48" i="20"/>
  <c r="AB44" i="25"/>
  <c r="L44" i="25"/>
  <c r="K44" i="25"/>
  <c r="A45" i="25"/>
  <c r="X44" i="25"/>
  <c r="AJ44" i="25"/>
  <c r="AK44" i="25"/>
  <c r="O44" i="25"/>
  <c r="AC44" i="25"/>
  <c r="I50" i="1" l="1"/>
  <c r="AA50" i="1"/>
  <c r="Z50" i="1" s="1"/>
  <c r="Y50" i="1" s="1"/>
  <c r="A53" i="15"/>
  <c r="O52" i="15"/>
  <c r="K52" i="15"/>
  <c r="AJ52" i="15"/>
  <c r="L52" i="15"/>
  <c r="D52" i="15" s="1"/>
  <c r="AK52" i="15"/>
  <c r="AB52" i="15"/>
  <c r="X52" i="15"/>
  <c r="AC52" i="15"/>
  <c r="E51" i="15"/>
  <c r="AB51" i="16"/>
  <c r="A52" i="16"/>
  <c r="AJ51" i="16"/>
  <c r="AC51" i="16"/>
  <c r="X51" i="16"/>
  <c r="L51" i="16"/>
  <c r="D51" i="16" s="1"/>
  <c r="K51" i="16"/>
  <c r="AK51" i="16"/>
  <c r="O51" i="16"/>
  <c r="E50" i="16"/>
  <c r="X45" i="25"/>
  <c r="K45" i="25"/>
  <c r="L45" i="25"/>
  <c r="A46" i="25"/>
  <c r="AB45" i="25"/>
  <c r="AJ45" i="25"/>
  <c r="O45" i="25"/>
  <c r="AK45" i="25"/>
  <c r="AC45" i="25"/>
  <c r="AB50" i="18"/>
  <c r="X50" i="18"/>
  <c r="A51" i="18"/>
  <c r="L50" i="18"/>
  <c r="K50" i="18"/>
  <c r="O50" i="18"/>
  <c r="AJ50" i="18"/>
  <c r="AK50" i="18"/>
  <c r="AC50" i="18"/>
  <c r="AC53" i="1"/>
  <c r="AK53" i="1"/>
  <c r="AJ53" i="1"/>
  <c r="K53" i="1"/>
  <c r="L53" i="1"/>
  <c r="O53" i="1"/>
  <c r="AB53" i="1"/>
  <c r="Q53" i="1"/>
  <c r="A54" i="1"/>
  <c r="X53" i="1"/>
  <c r="U53" i="1"/>
  <c r="T53" i="1" s="1"/>
  <c r="K48" i="22"/>
  <c r="L48" i="22"/>
  <c r="A49" i="22"/>
  <c r="AB48" i="22"/>
  <c r="X48" i="22"/>
  <c r="AJ48" i="22"/>
  <c r="AK48" i="22"/>
  <c r="O48" i="22"/>
  <c r="AC48" i="22"/>
  <c r="I49" i="1"/>
  <c r="AA49" i="1"/>
  <c r="Z49" i="1" s="1"/>
  <c r="Y49" i="1" s="1"/>
  <c r="K49" i="20"/>
  <c r="A50" i="20"/>
  <c r="X49" i="20"/>
  <c r="L49" i="20"/>
  <c r="AB49" i="20"/>
  <c r="AJ49" i="20"/>
  <c r="AK49" i="20"/>
  <c r="O49" i="20"/>
  <c r="AC49" i="20"/>
  <c r="T52" i="1"/>
  <c r="A47" i="24"/>
  <c r="X46" i="24"/>
  <c r="L46" i="24"/>
  <c r="K46" i="24"/>
  <c r="AB46" i="24"/>
  <c r="AJ46" i="24"/>
  <c r="AK46" i="24"/>
  <c r="O46" i="24"/>
  <c r="AC46" i="24"/>
  <c r="AB51" i="17"/>
  <c r="X51" i="17"/>
  <c r="L51" i="17"/>
  <c r="K51" i="17"/>
  <c r="A52" i="17"/>
  <c r="AJ51" i="17"/>
  <c r="AK51" i="17"/>
  <c r="O51" i="17"/>
  <c r="AC51" i="17"/>
  <c r="X47" i="23"/>
  <c r="A48" i="23"/>
  <c r="AB47" i="23"/>
  <c r="K47" i="23"/>
  <c r="L47" i="23"/>
  <c r="AJ47" i="23"/>
  <c r="AK47" i="23"/>
  <c r="O47" i="23"/>
  <c r="AC47" i="23"/>
  <c r="E52" i="15" l="1"/>
  <c r="K53" i="15"/>
  <c r="O53" i="15"/>
  <c r="A54" i="15"/>
  <c r="AJ53" i="15"/>
  <c r="L53" i="15"/>
  <c r="D53" i="15" s="1"/>
  <c r="AK53" i="15"/>
  <c r="AB53" i="15"/>
  <c r="X53" i="15"/>
  <c r="AC53" i="15"/>
  <c r="E51" i="16"/>
  <c r="L52" i="16"/>
  <c r="D52" i="16" s="1"/>
  <c r="X52" i="16"/>
  <c r="AK52" i="16"/>
  <c r="AC52" i="16"/>
  <c r="A53" i="16"/>
  <c r="K52" i="16"/>
  <c r="AB52" i="16"/>
  <c r="AJ52" i="16"/>
  <c r="O52" i="16"/>
  <c r="S52" i="1"/>
  <c r="R52" i="1" s="1"/>
  <c r="P52" i="1" s="1"/>
  <c r="V52" i="1" s="1"/>
  <c r="K50" i="20"/>
  <c r="L50" i="20"/>
  <c r="AB50" i="20"/>
  <c r="A51" i="20"/>
  <c r="X50" i="20"/>
  <c r="AJ50" i="20"/>
  <c r="AK50" i="20"/>
  <c r="O50" i="20"/>
  <c r="AC50" i="20"/>
  <c r="K49" i="22"/>
  <c r="L49" i="22"/>
  <c r="A50" i="22"/>
  <c r="X49" i="22"/>
  <c r="AB49" i="22"/>
  <c r="AJ49" i="22"/>
  <c r="AK49" i="22"/>
  <c r="O49" i="22"/>
  <c r="AC49" i="22"/>
  <c r="A52" i="18"/>
  <c r="X51" i="18"/>
  <c r="K51" i="18"/>
  <c r="L51" i="18"/>
  <c r="AB51" i="18"/>
  <c r="O51" i="18"/>
  <c r="AJ51" i="18"/>
  <c r="AK51" i="18"/>
  <c r="AC51" i="18"/>
  <c r="A47" i="25"/>
  <c r="X46" i="25"/>
  <c r="L46" i="25"/>
  <c r="K46" i="25"/>
  <c r="AB46" i="25"/>
  <c r="AJ46" i="25"/>
  <c r="O46" i="25"/>
  <c r="AK46" i="25"/>
  <c r="AC46" i="25"/>
  <c r="AA51" i="1"/>
  <c r="Z51" i="1" s="1"/>
  <c r="Y51" i="1" s="1"/>
  <c r="I51" i="1"/>
  <c r="X48" i="23"/>
  <c r="AB48" i="23"/>
  <c r="A49" i="23"/>
  <c r="L48" i="23"/>
  <c r="K48" i="23"/>
  <c r="AJ48" i="23"/>
  <c r="AK48" i="23"/>
  <c r="O48" i="23"/>
  <c r="AC48" i="23"/>
  <c r="K52" i="17"/>
  <c r="L52" i="17"/>
  <c r="AB52" i="17"/>
  <c r="X52" i="17"/>
  <c r="A53" i="17"/>
  <c r="AJ52" i="17"/>
  <c r="AK52" i="17"/>
  <c r="AC52" i="17"/>
  <c r="O52" i="17"/>
  <c r="K47" i="24"/>
  <c r="A48" i="24"/>
  <c r="X47" i="24"/>
  <c r="AB47" i="24"/>
  <c r="L47" i="24"/>
  <c r="AK47" i="24"/>
  <c r="AJ47" i="24"/>
  <c r="O47" i="24"/>
  <c r="AC47" i="24"/>
  <c r="S53" i="1"/>
  <c r="R53" i="1" s="1"/>
  <c r="P53" i="1" s="1"/>
  <c r="V53" i="1" s="1"/>
  <c r="O54" i="1"/>
  <c r="AK54" i="1"/>
  <c r="A55" i="1"/>
  <c r="AC54" i="1"/>
  <c r="K54" i="1"/>
  <c r="L54" i="1"/>
  <c r="X54" i="1"/>
  <c r="AJ54" i="1"/>
  <c r="AB54" i="1"/>
  <c r="U54" i="1"/>
  <c r="T54" i="1" s="1"/>
  <c r="Q54" i="1"/>
  <c r="E53" i="15" l="1"/>
  <c r="L54" i="15"/>
  <c r="D54" i="15" s="1"/>
  <c r="AK54" i="15"/>
  <c r="X54" i="15"/>
  <c r="AJ54" i="15"/>
  <c r="AB54" i="15"/>
  <c r="K54" i="15"/>
  <c r="AC54" i="15"/>
  <c r="A55" i="15"/>
  <c r="O54" i="15"/>
  <c r="X53" i="16"/>
  <c r="L53" i="16"/>
  <c r="D53" i="16" s="1"/>
  <c r="AB53" i="16"/>
  <c r="AJ53" i="16"/>
  <c r="O53" i="16"/>
  <c r="K53" i="16"/>
  <c r="A54" i="16"/>
  <c r="AK53" i="16"/>
  <c r="AC53" i="16"/>
  <c r="E52" i="16"/>
  <c r="S54" i="1"/>
  <c r="R54" i="1" s="1"/>
  <c r="P54" i="1" s="1"/>
  <c r="V54" i="1" s="1"/>
  <c r="AB48" i="24"/>
  <c r="A49" i="24"/>
  <c r="K48" i="24"/>
  <c r="L48" i="24"/>
  <c r="X48" i="24"/>
  <c r="AK48" i="24"/>
  <c r="AJ48" i="24"/>
  <c r="O48" i="24"/>
  <c r="AC48" i="24"/>
  <c r="K53" i="17"/>
  <c r="L53" i="17"/>
  <c r="A54" i="17"/>
  <c r="AB53" i="17"/>
  <c r="X53" i="17"/>
  <c r="AJ53" i="17"/>
  <c r="AK53" i="17"/>
  <c r="AC53" i="17"/>
  <c r="O53" i="17"/>
  <c r="K52" i="18"/>
  <c r="A53" i="18"/>
  <c r="L52" i="18"/>
  <c r="AB52" i="18"/>
  <c r="X52" i="18"/>
  <c r="AK52" i="18"/>
  <c r="AJ52" i="18"/>
  <c r="O52" i="18"/>
  <c r="AC52" i="18"/>
  <c r="A51" i="22"/>
  <c r="X50" i="22"/>
  <c r="K50" i="22"/>
  <c r="L50" i="22"/>
  <c r="AB50" i="22"/>
  <c r="AK50" i="22"/>
  <c r="AJ50" i="22"/>
  <c r="O50" i="22"/>
  <c r="AC50" i="22"/>
  <c r="X51" i="20"/>
  <c r="A52" i="20"/>
  <c r="AB51" i="20"/>
  <c r="K51" i="20"/>
  <c r="L51" i="20"/>
  <c r="AJ51" i="20"/>
  <c r="AK51" i="20"/>
  <c r="O51" i="20"/>
  <c r="AC51" i="20"/>
  <c r="I52" i="1"/>
  <c r="AA52" i="1"/>
  <c r="Z52" i="1" s="1"/>
  <c r="Y52" i="1" s="1"/>
  <c r="A56" i="1"/>
  <c r="K55" i="1"/>
  <c r="X55" i="1"/>
  <c r="AB55" i="1"/>
  <c r="L55" i="1"/>
  <c r="Q55" i="1"/>
  <c r="AJ55" i="1"/>
  <c r="AC55" i="1"/>
  <c r="O55" i="1"/>
  <c r="AK55" i="1"/>
  <c r="U55" i="1"/>
  <c r="T55" i="1" s="1"/>
  <c r="AB49" i="23"/>
  <c r="A50" i="23"/>
  <c r="L49" i="23"/>
  <c r="X49" i="23"/>
  <c r="K49" i="23"/>
  <c r="AJ49" i="23"/>
  <c r="AK49" i="23"/>
  <c r="O49" i="23"/>
  <c r="AC49" i="23"/>
  <c r="X47" i="25"/>
  <c r="AB47" i="25"/>
  <c r="A48" i="25"/>
  <c r="L47" i="25"/>
  <c r="K47" i="25"/>
  <c r="AJ47" i="25"/>
  <c r="O47" i="25"/>
  <c r="AK47" i="25"/>
  <c r="AC47" i="25"/>
  <c r="L55" i="15" l="1"/>
  <c r="D55" i="15" s="1"/>
  <c r="AK55" i="15"/>
  <c r="X55" i="15"/>
  <c r="AJ55" i="15"/>
  <c r="AB55" i="15"/>
  <c r="K55" i="15"/>
  <c r="AC55" i="15"/>
  <c r="A56" i="15"/>
  <c r="O55" i="15"/>
  <c r="E55" i="15" s="1"/>
  <c r="E54" i="15"/>
  <c r="E53" i="16"/>
  <c r="AB54" i="16"/>
  <c r="A55" i="16"/>
  <c r="L54" i="16"/>
  <c r="D54" i="16" s="1"/>
  <c r="AK54" i="16"/>
  <c r="O54" i="16"/>
  <c r="K54" i="16"/>
  <c r="X54" i="16"/>
  <c r="AJ54" i="16"/>
  <c r="AC54" i="16"/>
  <c r="X48" i="25"/>
  <c r="AB48" i="25"/>
  <c r="K48" i="25"/>
  <c r="A49" i="25"/>
  <c r="L48" i="25"/>
  <c r="AJ48" i="25"/>
  <c r="O48" i="25"/>
  <c r="AK48" i="25"/>
  <c r="AC48" i="25"/>
  <c r="K50" i="23"/>
  <c r="L50" i="23"/>
  <c r="A51" i="23"/>
  <c r="X50" i="23"/>
  <c r="AB50" i="23"/>
  <c r="AK50" i="23"/>
  <c r="AJ50" i="23"/>
  <c r="O50" i="23"/>
  <c r="AC50" i="23"/>
  <c r="A53" i="20"/>
  <c r="X52" i="20"/>
  <c r="L52" i="20"/>
  <c r="AB52" i="20"/>
  <c r="K52" i="20"/>
  <c r="AJ52" i="20"/>
  <c r="AK52" i="20"/>
  <c r="O52" i="20"/>
  <c r="AC52" i="20"/>
  <c r="A52" i="22"/>
  <c r="L51" i="22"/>
  <c r="AB51" i="22"/>
  <c r="X51" i="22"/>
  <c r="K51" i="22"/>
  <c r="AJ51" i="22"/>
  <c r="AK51" i="22"/>
  <c r="O51" i="22"/>
  <c r="AC51" i="22"/>
  <c r="AB53" i="18"/>
  <c r="K53" i="18"/>
  <c r="X53" i="18"/>
  <c r="A54" i="18"/>
  <c r="L53" i="18"/>
  <c r="AJ53" i="18"/>
  <c r="AK53" i="18"/>
  <c r="O53" i="18"/>
  <c r="AC53" i="18"/>
  <c r="K49" i="24"/>
  <c r="A50" i="24"/>
  <c r="X49" i="24"/>
  <c r="AB49" i="24"/>
  <c r="L49" i="24"/>
  <c r="AK49" i="24"/>
  <c r="O49" i="24"/>
  <c r="AJ49" i="24"/>
  <c r="AC49" i="24"/>
  <c r="S55" i="1"/>
  <c r="R55" i="1" s="1"/>
  <c r="P55" i="1" s="1"/>
  <c r="V55" i="1" s="1"/>
  <c r="A57" i="1"/>
  <c r="AJ56" i="1"/>
  <c r="K56" i="1"/>
  <c r="Q56" i="1"/>
  <c r="X56" i="1"/>
  <c r="L56" i="1"/>
  <c r="AC56" i="1"/>
  <c r="O56" i="1"/>
  <c r="AB56" i="1"/>
  <c r="AK56" i="1"/>
  <c r="U56" i="1"/>
  <c r="T56" i="1" s="1"/>
  <c r="S56" i="1" s="1"/>
  <c r="R56" i="1" s="1"/>
  <c r="X54" i="17"/>
  <c r="L54" i="17"/>
  <c r="AB54" i="17"/>
  <c r="A55" i="17"/>
  <c r="K54" i="17"/>
  <c r="AJ54" i="17"/>
  <c r="AK54" i="17"/>
  <c r="AC54" i="17"/>
  <c r="O54" i="17"/>
  <c r="AA53" i="1"/>
  <c r="Z53" i="1" s="1"/>
  <c r="Y53" i="1" s="1"/>
  <c r="I53" i="1"/>
  <c r="X56" i="15" l="1"/>
  <c r="O56" i="15"/>
  <c r="L56" i="15"/>
  <c r="D56" i="15" s="1"/>
  <c r="AJ56" i="15"/>
  <c r="AB56" i="15"/>
  <c r="AK56" i="15"/>
  <c r="A57" i="15"/>
  <c r="K56" i="15"/>
  <c r="AC56" i="15"/>
  <c r="K55" i="16"/>
  <c r="A56" i="16"/>
  <c r="AJ55" i="16"/>
  <c r="AC55" i="16"/>
  <c r="L55" i="16"/>
  <c r="D55" i="16" s="1"/>
  <c r="AB55" i="16"/>
  <c r="X55" i="16"/>
  <c r="AK55" i="16"/>
  <c r="O55" i="16"/>
  <c r="E54" i="16"/>
  <c r="K50" i="24"/>
  <c r="AB50" i="24"/>
  <c r="A51" i="24"/>
  <c r="X50" i="24"/>
  <c r="L50" i="24"/>
  <c r="AJ50" i="24"/>
  <c r="AK50" i="24"/>
  <c r="O50" i="24"/>
  <c r="AC50" i="24"/>
  <c r="A55" i="18"/>
  <c r="AB54" i="18"/>
  <c r="L54" i="18"/>
  <c r="K54" i="18"/>
  <c r="AJ54" i="18"/>
  <c r="X54" i="18"/>
  <c r="AK54" i="18"/>
  <c r="O54" i="18"/>
  <c r="AC54" i="18"/>
  <c r="X52" i="22"/>
  <c r="A53" i="22"/>
  <c r="AB52" i="22"/>
  <c r="K52" i="22"/>
  <c r="L52" i="22"/>
  <c r="AK52" i="22"/>
  <c r="AJ52" i="22"/>
  <c r="O52" i="22"/>
  <c r="AC52" i="22"/>
  <c r="I54" i="1"/>
  <c r="AA54" i="1"/>
  <c r="Z54" i="1" s="1"/>
  <c r="Y54" i="1" s="1"/>
  <c r="AB55" i="17"/>
  <c r="L55" i="17"/>
  <c r="K55" i="17"/>
  <c r="X55" i="17"/>
  <c r="A56" i="17"/>
  <c r="AK55" i="17"/>
  <c r="AJ55" i="17"/>
  <c r="AC55" i="17"/>
  <c r="O55" i="17"/>
  <c r="P56" i="1"/>
  <c r="V56" i="1" s="1"/>
  <c r="A58" i="1"/>
  <c r="AB57" i="1"/>
  <c r="X57" i="1"/>
  <c r="AC57" i="1"/>
  <c r="Q57" i="1"/>
  <c r="O57" i="1"/>
  <c r="AK57" i="1"/>
  <c r="L57" i="1"/>
  <c r="K57" i="1"/>
  <c r="AJ57" i="1"/>
  <c r="U57" i="1"/>
  <c r="T57" i="1" s="1"/>
  <c r="A54" i="20"/>
  <c r="K53" i="20"/>
  <c r="L53" i="20"/>
  <c r="X53" i="20"/>
  <c r="AB53" i="20"/>
  <c r="AK53" i="20"/>
  <c r="AJ53" i="20"/>
  <c r="O53" i="20"/>
  <c r="AC53" i="20"/>
  <c r="A52" i="23"/>
  <c r="L51" i="23"/>
  <c r="X51" i="23"/>
  <c r="AB51" i="23"/>
  <c r="K51" i="23"/>
  <c r="AJ51" i="23"/>
  <c r="AK51" i="23"/>
  <c r="O51" i="23"/>
  <c r="AC51" i="23"/>
  <c r="A50" i="25"/>
  <c r="AB49" i="25"/>
  <c r="X49" i="25"/>
  <c r="L49" i="25"/>
  <c r="K49" i="25"/>
  <c r="AK49" i="25"/>
  <c r="AJ49" i="25"/>
  <c r="O49" i="25"/>
  <c r="AC49" i="25"/>
  <c r="AK57" i="15" l="1"/>
  <c r="L57" i="15"/>
  <c r="D57" i="15" s="1"/>
  <c r="AJ57" i="15"/>
  <c r="K57" i="15"/>
  <c r="O57" i="15"/>
  <c r="AB57" i="15"/>
  <c r="X57" i="15"/>
  <c r="AC57" i="15"/>
  <c r="A58" i="15"/>
  <c r="E56" i="15"/>
  <c r="K56" i="16"/>
  <c r="L56" i="16"/>
  <c r="D56" i="16" s="1"/>
  <c r="A57" i="16"/>
  <c r="AJ56" i="16"/>
  <c r="O56" i="16"/>
  <c r="AB56" i="16"/>
  <c r="X56" i="16"/>
  <c r="AK56" i="16"/>
  <c r="AC56" i="16"/>
  <c r="E55" i="16"/>
  <c r="A51" i="25"/>
  <c r="L50" i="25"/>
  <c r="AB50" i="25"/>
  <c r="K50" i="25"/>
  <c r="X50" i="25"/>
  <c r="AJ50" i="25"/>
  <c r="AK50" i="25"/>
  <c r="O50" i="25"/>
  <c r="AC50" i="25"/>
  <c r="K54" i="20"/>
  <c r="X54" i="20"/>
  <c r="AB54" i="20"/>
  <c r="L54" i="20"/>
  <c r="A55" i="20"/>
  <c r="AK54" i="20"/>
  <c r="AJ54" i="20"/>
  <c r="O54" i="20"/>
  <c r="AC54" i="20"/>
  <c r="S57" i="1"/>
  <c r="R57" i="1" s="1"/>
  <c r="P57" i="1" s="1"/>
  <c r="V57" i="1" s="1"/>
  <c r="A59" i="1"/>
  <c r="AK58" i="1"/>
  <c r="L58" i="1"/>
  <c r="O58" i="1"/>
  <c r="AB58" i="1"/>
  <c r="Q58" i="1"/>
  <c r="AJ58" i="1"/>
  <c r="K58" i="1"/>
  <c r="X58" i="1"/>
  <c r="AC58" i="1"/>
  <c r="U58" i="1"/>
  <c r="T58" i="1" s="1"/>
  <c r="K56" i="17"/>
  <c r="X56" i="17"/>
  <c r="A57" i="17"/>
  <c r="L56" i="17"/>
  <c r="AB56" i="17"/>
  <c r="AK56" i="17"/>
  <c r="AJ56" i="17"/>
  <c r="AC56" i="17"/>
  <c r="O56" i="17"/>
  <c r="X52" i="23"/>
  <c r="A53" i="23"/>
  <c r="L52" i="23"/>
  <c r="AB52" i="23"/>
  <c r="K52" i="23"/>
  <c r="AJ52" i="23"/>
  <c r="AK52" i="23"/>
  <c r="O52" i="23"/>
  <c r="AC52" i="23"/>
  <c r="K53" i="22"/>
  <c r="X53" i="22"/>
  <c r="AB53" i="22"/>
  <c r="A54" i="22"/>
  <c r="L53" i="22"/>
  <c r="AJ53" i="22"/>
  <c r="AK53" i="22"/>
  <c r="O53" i="22"/>
  <c r="AC53" i="22"/>
  <c r="A56" i="18"/>
  <c r="L55" i="18"/>
  <c r="K55" i="18"/>
  <c r="X55" i="18"/>
  <c r="AB55" i="18"/>
  <c r="AK55" i="18"/>
  <c r="O55" i="18"/>
  <c r="AJ55" i="18"/>
  <c r="AC55" i="18"/>
  <c r="K51" i="24"/>
  <c r="L51" i="24"/>
  <c r="X51" i="24"/>
  <c r="AB51" i="24"/>
  <c r="A52" i="24"/>
  <c r="AJ51" i="24"/>
  <c r="AK51" i="24"/>
  <c r="O51" i="24"/>
  <c r="AC51" i="24"/>
  <c r="AA55" i="1"/>
  <c r="Z55" i="1" s="1"/>
  <c r="Y55" i="1" s="1"/>
  <c r="I55" i="1"/>
  <c r="AB58" i="15" l="1"/>
  <c r="AK58" i="15"/>
  <c r="A59" i="15"/>
  <c r="X58" i="15"/>
  <c r="AC58" i="15"/>
  <c r="L58" i="15"/>
  <c r="D58" i="15" s="1"/>
  <c r="O58" i="15"/>
  <c r="K58" i="15"/>
  <c r="AJ58" i="15"/>
  <c r="E57" i="15"/>
  <c r="E56" i="16"/>
  <c r="AC57" i="16"/>
  <c r="A58" i="16"/>
  <c r="L57" i="16"/>
  <c r="D57" i="16" s="1"/>
  <c r="K57" i="16"/>
  <c r="AK57" i="16"/>
  <c r="O57" i="16"/>
  <c r="AB57" i="16"/>
  <c r="X57" i="16"/>
  <c r="AJ57" i="16"/>
  <c r="A53" i="24"/>
  <c r="L52" i="24"/>
  <c r="AB52" i="24"/>
  <c r="K52" i="24"/>
  <c r="X52" i="24"/>
  <c r="AK52" i="24"/>
  <c r="AJ52" i="24"/>
  <c r="O52" i="24"/>
  <c r="AC52" i="24"/>
  <c r="AB53" i="23"/>
  <c r="L53" i="23"/>
  <c r="A54" i="23"/>
  <c r="X53" i="23"/>
  <c r="K53" i="23"/>
  <c r="AJ53" i="23"/>
  <c r="AK53" i="23"/>
  <c r="O53" i="23"/>
  <c r="AC53" i="23"/>
  <c r="AA56" i="1"/>
  <c r="Z56" i="1" s="1"/>
  <c r="Y56" i="1" s="1"/>
  <c r="I56" i="1"/>
  <c r="A52" i="25"/>
  <c r="K51" i="25"/>
  <c r="X51" i="25"/>
  <c r="AB51" i="25"/>
  <c r="L51" i="25"/>
  <c r="AK51" i="25"/>
  <c r="AJ51" i="25"/>
  <c r="O51" i="25"/>
  <c r="AC51" i="25"/>
  <c r="L56" i="18"/>
  <c r="A57" i="18"/>
  <c r="AB56" i="18"/>
  <c r="X56" i="18"/>
  <c r="K56" i="18"/>
  <c r="AK56" i="18"/>
  <c r="O56" i="18"/>
  <c r="AJ56" i="18"/>
  <c r="AC56" i="18"/>
  <c r="A55" i="22"/>
  <c r="K54" i="22"/>
  <c r="AB54" i="22"/>
  <c r="X54" i="22"/>
  <c r="L54" i="22"/>
  <c r="AJ54" i="22"/>
  <c r="AK54" i="22"/>
  <c r="O54" i="22"/>
  <c r="AC54" i="22"/>
  <c r="K57" i="17"/>
  <c r="X57" i="17"/>
  <c r="L57" i="17"/>
  <c r="AB57" i="17"/>
  <c r="A58" i="17"/>
  <c r="AJ57" i="17"/>
  <c r="AK57" i="17"/>
  <c r="O57" i="17"/>
  <c r="AC57" i="17"/>
  <c r="S58" i="1"/>
  <c r="R58" i="1" s="1"/>
  <c r="P58" i="1" s="1"/>
  <c r="V58" i="1" s="1"/>
  <c r="AK59" i="1"/>
  <c r="L59" i="1"/>
  <c r="O59" i="1"/>
  <c r="A60" i="1"/>
  <c r="AJ59" i="1"/>
  <c r="Q59" i="1"/>
  <c r="AC59" i="1"/>
  <c r="AB59" i="1"/>
  <c r="K59" i="1"/>
  <c r="X59" i="1"/>
  <c r="U59" i="1"/>
  <c r="T59" i="1" s="1"/>
  <c r="K55" i="20"/>
  <c r="L55" i="20"/>
  <c r="AB55" i="20"/>
  <c r="X55" i="20"/>
  <c r="A56" i="20"/>
  <c r="AJ55" i="20"/>
  <c r="AK55" i="20"/>
  <c r="O55" i="20"/>
  <c r="AC55" i="20"/>
  <c r="E58" i="15" l="1"/>
  <c r="K59" i="15"/>
  <c r="AB59" i="15"/>
  <c r="AC59" i="15"/>
  <c r="L59" i="15"/>
  <c r="D59" i="15" s="1"/>
  <c r="O59" i="15"/>
  <c r="A60" i="15"/>
  <c r="AJ59" i="15"/>
  <c r="X59" i="15"/>
  <c r="AK59" i="15"/>
  <c r="E57" i="16"/>
  <c r="X58" i="16"/>
  <c r="AB58" i="16"/>
  <c r="AK58" i="16"/>
  <c r="AC58" i="16"/>
  <c r="K58" i="16"/>
  <c r="A59" i="16"/>
  <c r="L58" i="16"/>
  <c r="D58" i="16" s="1"/>
  <c r="AJ58" i="16"/>
  <c r="O58" i="16"/>
  <c r="K56" i="20"/>
  <c r="A57" i="20"/>
  <c r="L56" i="20"/>
  <c r="X56" i="20"/>
  <c r="AB56" i="20"/>
  <c r="AJ56" i="20"/>
  <c r="AK56" i="20"/>
  <c r="O56" i="20"/>
  <c r="AC56" i="20"/>
  <c r="X60" i="1"/>
  <c r="AJ60" i="1"/>
  <c r="Q60" i="1"/>
  <c r="A61" i="1"/>
  <c r="AB60" i="1"/>
  <c r="AC60" i="1"/>
  <c r="O60" i="1"/>
  <c r="C21" i="7" s="1"/>
  <c r="A21" i="7"/>
  <c r="K60" i="1"/>
  <c r="AK60" i="1"/>
  <c r="L60" i="1"/>
  <c r="U60" i="1"/>
  <c r="T60" i="1" s="1"/>
  <c r="AB58" i="17"/>
  <c r="A59" i="17"/>
  <c r="X58" i="17"/>
  <c r="K58" i="17"/>
  <c r="L58" i="17"/>
  <c r="AJ58" i="17"/>
  <c r="AK58" i="17"/>
  <c r="AC58" i="17"/>
  <c r="O58" i="17"/>
  <c r="K55" i="22"/>
  <c r="L55" i="22"/>
  <c r="A56" i="22"/>
  <c r="X55" i="22"/>
  <c r="AB55" i="22"/>
  <c r="AJ55" i="22"/>
  <c r="AK55" i="22"/>
  <c r="O55" i="22"/>
  <c r="AC55" i="22"/>
  <c r="K57" i="18"/>
  <c r="AB57" i="18"/>
  <c r="L57" i="18"/>
  <c r="A58" i="18"/>
  <c r="AJ57" i="18"/>
  <c r="X57" i="18"/>
  <c r="O57" i="18"/>
  <c r="AK57" i="18"/>
  <c r="AC57" i="18"/>
  <c r="AB54" i="23"/>
  <c r="A55" i="23"/>
  <c r="K54" i="23"/>
  <c r="L54" i="23"/>
  <c r="X54" i="23"/>
  <c r="AK54" i="23"/>
  <c r="AJ54" i="23"/>
  <c r="O54" i="23"/>
  <c r="AC54" i="23"/>
  <c r="A54" i="24"/>
  <c r="AB53" i="24"/>
  <c r="L53" i="24"/>
  <c r="X53" i="24"/>
  <c r="K53" i="24"/>
  <c r="AK53" i="24"/>
  <c r="AJ53" i="24"/>
  <c r="O53" i="24"/>
  <c r="AC53" i="24"/>
  <c r="S59" i="1"/>
  <c r="R59" i="1" s="1"/>
  <c r="P59" i="1" s="1"/>
  <c r="V59" i="1" s="1"/>
  <c r="I57" i="1"/>
  <c r="AA57" i="1"/>
  <c r="Z57" i="1" s="1"/>
  <c r="Y57" i="1" s="1"/>
  <c r="X52" i="25"/>
  <c r="A53" i="25"/>
  <c r="K52" i="25"/>
  <c r="AB52" i="25"/>
  <c r="L52" i="25"/>
  <c r="AJ52" i="25"/>
  <c r="O52" i="25"/>
  <c r="AK52" i="25"/>
  <c r="AC52" i="25"/>
  <c r="E59" i="15" l="1"/>
  <c r="K60" i="15"/>
  <c r="L60" i="15"/>
  <c r="AC60" i="15"/>
  <c r="AB60" i="15"/>
  <c r="AJ60" i="15"/>
  <c r="X60" i="15"/>
  <c r="AK60" i="15"/>
  <c r="A33" i="7"/>
  <c r="A61" i="15"/>
  <c r="O60" i="15"/>
  <c r="C33" i="7" s="1"/>
  <c r="X59" i="16"/>
  <c r="A60" i="16"/>
  <c r="AJ59" i="16"/>
  <c r="AC59" i="16"/>
  <c r="L59" i="16"/>
  <c r="D59" i="16" s="1"/>
  <c r="AB59" i="16"/>
  <c r="O59" i="16"/>
  <c r="K59" i="16"/>
  <c r="AK59" i="16"/>
  <c r="E58" i="16"/>
  <c r="AB53" i="25"/>
  <c r="X53" i="25"/>
  <c r="K53" i="25"/>
  <c r="L53" i="25"/>
  <c r="A54" i="25"/>
  <c r="AJ53" i="25"/>
  <c r="AK53" i="25"/>
  <c r="O53" i="25"/>
  <c r="AC53" i="25"/>
  <c r="A60" i="17"/>
  <c r="AB59" i="17"/>
  <c r="X59" i="17"/>
  <c r="K59" i="17"/>
  <c r="L59" i="17"/>
  <c r="AJ59" i="17"/>
  <c r="AK59" i="17"/>
  <c r="AC59" i="17"/>
  <c r="O59" i="17"/>
  <c r="S60" i="1"/>
  <c r="R60" i="1" s="1"/>
  <c r="P60" i="1" s="1"/>
  <c r="AB61" i="1"/>
  <c r="L61" i="1"/>
  <c r="K61" i="1"/>
  <c r="AC61" i="1"/>
  <c r="AJ61" i="1"/>
  <c r="O61" i="1"/>
  <c r="AK61" i="1"/>
  <c r="A62" i="1"/>
  <c r="X61" i="1"/>
  <c r="Q61" i="1"/>
  <c r="U61" i="1"/>
  <c r="T61" i="1" s="1"/>
  <c r="X54" i="24"/>
  <c r="A55" i="24"/>
  <c r="AB54" i="24"/>
  <c r="K54" i="24"/>
  <c r="L54" i="24"/>
  <c r="AK54" i="24"/>
  <c r="AJ54" i="24"/>
  <c r="O54" i="24"/>
  <c r="AC54" i="24"/>
  <c r="X55" i="23"/>
  <c r="K55" i="23"/>
  <c r="L55" i="23"/>
  <c r="A56" i="23"/>
  <c r="AB55" i="23"/>
  <c r="AJ55" i="23"/>
  <c r="AK55" i="23"/>
  <c r="O55" i="23"/>
  <c r="AC55" i="23"/>
  <c r="AA58" i="1"/>
  <c r="Z58" i="1" s="1"/>
  <c r="Y58" i="1" s="1"/>
  <c r="I58" i="1"/>
  <c r="A59" i="18"/>
  <c r="K58" i="18"/>
  <c r="X58" i="18"/>
  <c r="AB58" i="18"/>
  <c r="L58" i="18"/>
  <c r="AJ58" i="18"/>
  <c r="AK58" i="18"/>
  <c r="O58" i="18"/>
  <c r="AC58" i="18"/>
  <c r="X56" i="22"/>
  <c r="A57" i="22"/>
  <c r="L56" i="22"/>
  <c r="K56" i="22"/>
  <c r="AB56" i="22"/>
  <c r="AJ56" i="22"/>
  <c r="AK56" i="22"/>
  <c r="O56" i="22"/>
  <c r="AC56" i="22"/>
  <c r="B21" i="7"/>
  <c r="K57" i="20"/>
  <c r="L57" i="20"/>
  <c r="AB57" i="20"/>
  <c r="A58" i="20"/>
  <c r="X57" i="20"/>
  <c r="AK57" i="20"/>
  <c r="AJ57" i="20"/>
  <c r="O57" i="20"/>
  <c r="AC57" i="20"/>
  <c r="D60" i="15" l="1"/>
  <c r="E60" i="15" s="1"/>
  <c r="B33" i="7"/>
  <c r="L61" i="15"/>
  <c r="D61" i="15" s="1"/>
  <c r="A62" i="15"/>
  <c r="O61" i="15"/>
  <c r="E61" i="15" s="1"/>
  <c r="X61" i="15"/>
  <c r="AC61" i="15"/>
  <c r="AB61" i="15"/>
  <c r="AK61" i="15"/>
  <c r="K61" i="15"/>
  <c r="AJ61" i="15"/>
  <c r="E59" i="16"/>
  <c r="A61" i="16"/>
  <c r="A45" i="7"/>
  <c r="X60" i="16"/>
  <c r="AK60" i="16"/>
  <c r="O60" i="16"/>
  <c r="C45" i="7" s="1"/>
  <c r="AC60" i="16"/>
  <c r="K60" i="16"/>
  <c r="AB60" i="16"/>
  <c r="L60" i="16"/>
  <c r="AJ60" i="16"/>
  <c r="D21" i="7"/>
  <c r="V60" i="1"/>
  <c r="AA59" i="1"/>
  <c r="Z59" i="1" s="1"/>
  <c r="Y59" i="1" s="1"/>
  <c r="I59" i="1"/>
  <c r="A58" i="22"/>
  <c r="AB57" i="22"/>
  <c r="X57" i="22"/>
  <c r="K57" i="22"/>
  <c r="L57" i="22"/>
  <c r="AJ57" i="22"/>
  <c r="AK57" i="22"/>
  <c r="O57" i="22"/>
  <c r="AC57" i="22"/>
  <c r="A60" i="18"/>
  <c r="X59" i="18"/>
  <c r="L59" i="18"/>
  <c r="K59" i="18"/>
  <c r="AJ59" i="18"/>
  <c r="AB59" i="18"/>
  <c r="AK59" i="18"/>
  <c r="O59" i="18"/>
  <c r="AC59" i="18"/>
  <c r="AB55" i="24"/>
  <c r="A56" i="24"/>
  <c r="X55" i="24"/>
  <c r="K55" i="24"/>
  <c r="L55" i="24"/>
  <c r="AJ55" i="24"/>
  <c r="AK55" i="24"/>
  <c r="O55" i="24"/>
  <c r="AC55" i="24"/>
  <c r="S61" i="1"/>
  <c r="R61" i="1" s="1"/>
  <c r="P61" i="1" s="1"/>
  <c r="V61" i="1" s="1"/>
  <c r="K58" i="20"/>
  <c r="X58" i="20"/>
  <c r="L58" i="20"/>
  <c r="A59" i="20"/>
  <c r="AB58" i="20"/>
  <c r="AJ58" i="20"/>
  <c r="AK58" i="20"/>
  <c r="O58" i="20"/>
  <c r="AC58" i="20"/>
  <c r="K56" i="23"/>
  <c r="L56" i="23"/>
  <c r="A57" i="23"/>
  <c r="AB56" i="23"/>
  <c r="X56" i="23"/>
  <c r="AK56" i="23"/>
  <c r="AJ56" i="23"/>
  <c r="O56" i="23"/>
  <c r="AC56" i="23"/>
  <c r="X62" i="1"/>
  <c r="AJ62" i="1"/>
  <c r="A63" i="1"/>
  <c r="AB62" i="1"/>
  <c r="L62" i="1"/>
  <c r="AC62" i="1"/>
  <c r="K62" i="1"/>
  <c r="O62" i="1"/>
  <c r="AK62" i="1"/>
  <c r="Q62" i="1"/>
  <c r="U62" i="1"/>
  <c r="T62" i="1" s="1"/>
  <c r="S62" i="1" s="1"/>
  <c r="R62" i="1" s="1"/>
  <c r="K60" i="17"/>
  <c r="X60" i="17"/>
  <c r="A57" i="7"/>
  <c r="A61" i="17"/>
  <c r="L60" i="17"/>
  <c r="AB60" i="17"/>
  <c r="AJ60" i="17"/>
  <c r="AK60" i="17"/>
  <c r="O60" i="17"/>
  <c r="C57" i="7" s="1"/>
  <c r="AC60" i="17"/>
  <c r="A55" i="25"/>
  <c r="L54" i="25"/>
  <c r="K54" i="25"/>
  <c r="X54" i="25"/>
  <c r="AB54" i="25"/>
  <c r="AJ54" i="25"/>
  <c r="O54" i="25"/>
  <c r="AK54" i="25"/>
  <c r="AC54" i="25"/>
  <c r="P62" i="1" l="1"/>
  <c r="V62" i="1" s="1"/>
  <c r="A63" i="15"/>
  <c r="AK62" i="15"/>
  <c r="L62" i="15"/>
  <c r="D62" i="15" s="1"/>
  <c r="X62" i="15"/>
  <c r="AC62" i="15"/>
  <c r="AB62" i="15"/>
  <c r="O62" i="15"/>
  <c r="K62" i="15"/>
  <c r="AJ62" i="15"/>
  <c r="D60" i="16"/>
  <c r="E60" i="16" s="1"/>
  <c r="B45" i="7"/>
  <c r="AB61" i="16"/>
  <c r="K61" i="16"/>
  <c r="AK61" i="16"/>
  <c r="AC61" i="16"/>
  <c r="A62" i="16"/>
  <c r="L61" i="16"/>
  <c r="D61" i="16" s="1"/>
  <c r="X61" i="16"/>
  <c r="AJ61" i="16"/>
  <c r="O61" i="16"/>
  <c r="AA61" i="1"/>
  <c r="Z61" i="1" s="1"/>
  <c r="Y61" i="1" s="1"/>
  <c r="AA60" i="1"/>
  <c r="Z60" i="1" s="1"/>
  <c r="Y60" i="1" s="1"/>
  <c r="I60" i="1"/>
  <c r="B57" i="7"/>
  <c r="AC63" i="1"/>
  <c r="AK63" i="1"/>
  <c r="Q63" i="1"/>
  <c r="AJ63" i="1"/>
  <c r="O63" i="1"/>
  <c r="K63" i="1"/>
  <c r="AB63" i="1"/>
  <c r="A64" i="1"/>
  <c r="X63" i="1"/>
  <c r="L63" i="1"/>
  <c r="U63" i="1"/>
  <c r="T63" i="1" s="1"/>
  <c r="K56" i="24"/>
  <c r="X56" i="24"/>
  <c r="A57" i="24"/>
  <c r="L56" i="24"/>
  <c r="AB56" i="24"/>
  <c r="AJ56" i="24"/>
  <c r="AK56" i="24"/>
  <c r="O56" i="24"/>
  <c r="AC56" i="24"/>
  <c r="A61" i="18"/>
  <c r="L60" i="18"/>
  <c r="A69" i="7"/>
  <c r="X60" i="18"/>
  <c r="AB60" i="18"/>
  <c r="K60" i="18"/>
  <c r="AJ60" i="18"/>
  <c r="O60" i="18"/>
  <c r="C69" i="7" s="1"/>
  <c r="AK60" i="18"/>
  <c r="AC60" i="18"/>
  <c r="X55" i="25"/>
  <c r="L55" i="25"/>
  <c r="AB55" i="25"/>
  <c r="A56" i="25"/>
  <c r="K55" i="25"/>
  <c r="AJ55" i="25"/>
  <c r="O55" i="25"/>
  <c r="AK55" i="25"/>
  <c r="AC55" i="25"/>
  <c r="A62" i="17"/>
  <c r="L61" i="17"/>
  <c r="AB61" i="17"/>
  <c r="X61" i="17"/>
  <c r="K61" i="17"/>
  <c r="AJ61" i="17"/>
  <c r="AK61" i="17"/>
  <c r="AC61" i="17"/>
  <c r="O61" i="17"/>
  <c r="X57" i="23"/>
  <c r="K57" i="23"/>
  <c r="A58" i="23"/>
  <c r="L57" i="23"/>
  <c r="AB57" i="23"/>
  <c r="AJ57" i="23"/>
  <c r="AK57" i="23"/>
  <c r="O57" i="23"/>
  <c r="AC57" i="23"/>
  <c r="K59" i="20"/>
  <c r="AB59" i="20"/>
  <c r="X59" i="20"/>
  <c r="A60" i="20"/>
  <c r="L59" i="20"/>
  <c r="AK59" i="20"/>
  <c r="AJ59" i="20"/>
  <c r="O59" i="20"/>
  <c r="AC59" i="20"/>
  <c r="K58" i="22"/>
  <c r="X58" i="22"/>
  <c r="L58" i="22"/>
  <c r="A59" i="22"/>
  <c r="AB58" i="22"/>
  <c r="AJ58" i="22"/>
  <c r="AK58" i="22"/>
  <c r="O58" i="22"/>
  <c r="AC58" i="22"/>
  <c r="E62" i="15" l="1"/>
  <c r="K63" i="15"/>
  <c r="AJ63" i="15"/>
  <c r="AB63" i="15"/>
  <c r="AK63" i="15"/>
  <c r="A64" i="15"/>
  <c r="L63" i="15"/>
  <c r="D63" i="15" s="1"/>
  <c r="AC63" i="15"/>
  <c r="X63" i="15"/>
  <c r="O63" i="15"/>
  <c r="E61" i="16"/>
  <c r="I61" i="1"/>
  <c r="A63" i="16"/>
  <c r="L62" i="16"/>
  <c r="D62" i="16" s="1"/>
  <c r="AK62" i="16"/>
  <c r="AC62" i="16"/>
  <c r="X62" i="16"/>
  <c r="AB62" i="16"/>
  <c r="K62" i="16"/>
  <c r="AJ62" i="16"/>
  <c r="O62" i="16"/>
  <c r="AA62" i="1"/>
  <c r="Z62" i="1" s="1"/>
  <c r="Y62" i="1" s="1"/>
  <c r="I62" i="1"/>
  <c r="K61" i="18"/>
  <c r="X61" i="18"/>
  <c r="L61" i="18"/>
  <c r="AB61" i="18"/>
  <c r="A62" i="18"/>
  <c r="AK61" i="18"/>
  <c r="O61" i="18"/>
  <c r="AJ61" i="18"/>
  <c r="AC61" i="18"/>
  <c r="S63" i="1"/>
  <c r="R63" i="1" s="1"/>
  <c r="P63" i="1" s="1"/>
  <c r="V63" i="1" s="1"/>
  <c r="X59" i="22"/>
  <c r="A60" i="22"/>
  <c r="AB59" i="22"/>
  <c r="K59" i="22"/>
  <c r="L59" i="22"/>
  <c r="AJ59" i="22"/>
  <c r="AK59" i="22"/>
  <c r="O59" i="22"/>
  <c r="AC59" i="22"/>
  <c r="AE21" i="7"/>
  <c r="X60" i="20"/>
  <c r="K60" i="20"/>
  <c r="L60" i="20"/>
  <c r="AB60" i="20"/>
  <c r="A61" i="20"/>
  <c r="AJ60" i="20"/>
  <c r="AK60" i="20"/>
  <c r="O60" i="20"/>
  <c r="AG21" i="7" s="1"/>
  <c r="AC60" i="20"/>
  <c r="L58" i="23"/>
  <c r="X58" i="23"/>
  <c r="K58" i="23"/>
  <c r="A59" i="23"/>
  <c r="AB58" i="23"/>
  <c r="AK58" i="23"/>
  <c r="AJ58" i="23"/>
  <c r="O58" i="23"/>
  <c r="AC58" i="23"/>
  <c r="X62" i="17"/>
  <c r="K62" i="17"/>
  <c r="AB62" i="17"/>
  <c r="L62" i="17"/>
  <c r="A63" i="17"/>
  <c r="AJ62" i="17"/>
  <c r="AK62" i="17"/>
  <c r="AC62" i="17"/>
  <c r="O62" i="17"/>
  <c r="AB56" i="25"/>
  <c r="X56" i="25"/>
  <c r="L56" i="25"/>
  <c r="A57" i="25"/>
  <c r="K56" i="25"/>
  <c r="AJ56" i="25"/>
  <c r="AK56" i="25"/>
  <c r="O56" i="25"/>
  <c r="AC56" i="25"/>
  <c r="B69" i="7"/>
  <c r="K57" i="24"/>
  <c r="L57" i="24"/>
  <c r="X57" i="24"/>
  <c r="AB57" i="24"/>
  <c r="A58" i="24"/>
  <c r="AK57" i="24"/>
  <c r="AJ57" i="24"/>
  <c r="O57" i="24"/>
  <c r="AC57" i="24"/>
  <c r="A65" i="1"/>
  <c r="AK64" i="1"/>
  <c r="K64" i="1"/>
  <c r="O64" i="1"/>
  <c r="X64" i="1"/>
  <c r="AB64" i="1"/>
  <c r="L64" i="1"/>
  <c r="AJ64" i="1"/>
  <c r="AC64" i="1"/>
  <c r="Q64" i="1"/>
  <c r="U64" i="1"/>
  <c r="T64" i="1" s="1"/>
  <c r="AB64" i="15" l="1"/>
  <c r="AK64" i="15"/>
  <c r="K64" i="15"/>
  <c r="A65" i="15"/>
  <c r="AC64" i="15"/>
  <c r="L64" i="15"/>
  <c r="D64" i="15" s="1"/>
  <c r="O64" i="15"/>
  <c r="X64" i="15"/>
  <c r="AJ64" i="15"/>
  <c r="E63" i="15"/>
  <c r="A64" i="16"/>
  <c r="L63" i="16"/>
  <c r="D63" i="16" s="1"/>
  <c r="AB63" i="16"/>
  <c r="AK63" i="16"/>
  <c r="O63" i="16"/>
  <c r="K63" i="16"/>
  <c r="X63" i="16"/>
  <c r="AJ63" i="16"/>
  <c r="AC63" i="16"/>
  <c r="E62" i="16"/>
  <c r="A59" i="24"/>
  <c r="L58" i="24"/>
  <c r="X58" i="24"/>
  <c r="K58" i="24"/>
  <c r="AB58" i="24"/>
  <c r="AJ58" i="24"/>
  <c r="AK58" i="24"/>
  <c r="O58" i="24"/>
  <c r="AC58" i="24"/>
  <c r="X59" i="23"/>
  <c r="K59" i="23"/>
  <c r="A60" i="23"/>
  <c r="AB59" i="23"/>
  <c r="L59" i="23"/>
  <c r="AJ59" i="23"/>
  <c r="AK59" i="23"/>
  <c r="O59" i="23"/>
  <c r="AC59" i="23"/>
  <c r="X61" i="20"/>
  <c r="K61" i="20"/>
  <c r="AB61" i="20"/>
  <c r="L61" i="20"/>
  <c r="A62" i="20"/>
  <c r="AJ61" i="20"/>
  <c r="AK61" i="20"/>
  <c r="O61" i="20"/>
  <c r="AC61" i="20"/>
  <c r="AF21" i="7"/>
  <c r="S64" i="1"/>
  <c r="R64" i="1" s="1"/>
  <c r="P64" i="1" s="1"/>
  <c r="V64" i="1" s="1"/>
  <c r="X65" i="1"/>
  <c r="AB65" i="1"/>
  <c r="A66" i="1"/>
  <c r="L65" i="1"/>
  <c r="O65" i="1"/>
  <c r="Q65" i="1"/>
  <c r="AJ65" i="1"/>
  <c r="K65" i="1"/>
  <c r="AC65" i="1"/>
  <c r="AK65" i="1"/>
  <c r="U65" i="1"/>
  <c r="T65" i="1" s="1"/>
  <c r="A58" i="25"/>
  <c r="AB57" i="25"/>
  <c r="L57" i="25"/>
  <c r="X57" i="25"/>
  <c r="K57" i="25"/>
  <c r="AJ57" i="25"/>
  <c r="O57" i="25"/>
  <c r="AK57" i="25"/>
  <c r="AC57" i="25"/>
  <c r="X63" i="17"/>
  <c r="L63" i="17"/>
  <c r="A64" i="17"/>
  <c r="K63" i="17"/>
  <c r="AB63" i="17"/>
  <c r="AJ63" i="17"/>
  <c r="AK63" i="17"/>
  <c r="O63" i="17"/>
  <c r="AC63" i="17"/>
  <c r="AB60" i="22"/>
  <c r="X60" i="22"/>
  <c r="L60" i="22"/>
  <c r="K60" i="22"/>
  <c r="AE33" i="7"/>
  <c r="A61" i="22"/>
  <c r="AK60" i="22"/>
  <c r="AJ60" i="22"/>
  <c r="O60" i="22"/>
  <c r="AG33" i="7" s="1"/>
  <c r="AC60" i="22"/>
  <c r="AB62" i="18"/>
  <c r="L62" i="18"/>
  <c r="K62" i="18"/>
  <c r="A63" i="18"/>
  <c r="X62" i="18"/>
  <c r="AJ62" i="18"/>
  <c r="O62" i="18"/>
  <c r="AK62" i="18"/>
  <c r="AC62" i="18"/>
  <c r="A66" i="15" l="1"/>
  <c r="AK65" i="15"/>
  <c r="X65" i="15"/>
  <c r="AB65" i="15"/>
  <c r="O65" i="15"/>
  <c r="L65" i="15"/>
  <c r="D65" i="15" s="1"/>
  <c r="AC65" i="15"/>
  <c r="K65" i="15"/>
  <c r="AJ65" i="15"/>
  <c r="E64" i="15"/>
  <c r="I64" i="1"/>
  <c r="E63" i="16"/>
  <c r="X64" i="16"/>
  <c r="A65" i="16"/>
  <c r="L64" i="16"/>
  <c r="D64" i="16" s="1"/>
  <c r="AK64" i="16"/>
  <c r="O64" i="16"/>
  <c r="AB64" i="16"/>
  <c r="AC64" i="16"/>
  <c r="K64" i="16"/>
  <c r="AJ64" i="16"/>
  <c r="X63" i="18"/>
  <c r="L63" i="18"/>
  <c r="K63" i="18"/>
  <c r="AB63" i="18"/>
  <c r="A64" i="18"/>
  <c r="O63" i="18"/>
  <c r="AK63" i="18"/>
  <c r="AJ63" i="18"/>
  <c r="AC63" i="18"/>
  <c r="K61" i="22"/>
  <c r="L61" i="22"/>
  <c r="AB61" i="22"/>
  <c r="A62" i="22"/>
  <c r="X61" i="22"/>
  <c r="AJ61" i="22"/>
  <c r="AK61" i="22"/>
  <c r="O61" i="22"/>
  <c r="AC61" i="22"/>
  <c r="X64" i="17"/>
  <c r="K64" i="17"/>
  <c r="A65" i="17"/>
  <c r="AB64" i="17"/>
  <c r="L64" i="17"/>
  <c r="AJ64" i="17"/>
  <c r="AK64" i="17"/>
  <c r="AC64" i="17"/>
  <c r="O64" i="17"/>
  <c r="X58" i="25"/>
  <c r="K58" i="25"/>
  <c r="A59" i="25"/>
  <c r="L58" i="25"/>
  <c r="AB58" i="25"/>
  <c r="AJ58" i="25"/>
  <c r="O58" i="25"/>
  <c r="AK58" i="25"/>
  <c r="AC58" i="25"/>
  <c r="S65" i="1"/>
  <c r="R65" i="1" s="1"/>
  <c r="P65" i="1" s="1"/>
  <c r="V65" i="1" s="1"/>
  <c r="L66" i="1"/>
  <c r="O66" i="1"/>
  <c r="X66" i="1"/>
  <c r="Q66" i="1"/>
  <c r="AC66" i="1"/>
  <c r="K66" i="1"/>
  <c r="AB66" i="1"/>
  <c r="AK66" i="1"/>
  <c r="A67" i="1"/>
  <c r="AJ66" i="1"/>
  <c r="U66" i="1"/>
  <c r="T66" i="1" s="1"/>
  <c r="S66" i="1" s="1"/>
  <c r="R66" i="1" s="1"/>
  <c r="K62" i="20"/>
  <c r="A63" i="20"/>
  <c r="AB62" i="20"/>
  <c r="L62" i="20"/>
  <c r="X62" i="20"/>
  <c r="AJ62" i="20"/>
  <c r="AK62" i="20"/>
  <c r="O62" i="20"/>
  <c r="AC62" i="20"/>
  <c r="AF33" i="7"/>
  <c r="I63" i="1"/>
  <c r="AA63" i="1"/>
  <c r="Z63" i="1" s="1"/>
  <c r="Y63" i="1" s="1"/>
  <c r="AB60" i="23"/>
  <c r="AE45" i="7"/>
  <c r="A61" i="23"/>
  <c r="L60" i="23"/>
  <c r="X60" i="23"/>
  <c r="K60" i="23"/>
  <c r="AJ60" i="23"/>
  <c r="AK60" i="23"/>
  <c r="O60" i="23"/>
  <c r="AG45" i="7" s="1"/>
  <c r="AC60" i="23"/>
  <c r="K59" i="24"/>
  <c r="L59" i="24"/>
  <c r="AB59" i="24"/>
  <c r="A60" i="24"/>
  <c r="X59" i="24"/>
  <c r="AJ59" i="24"/>
  <c r="AK59" i="24"/>
  <c r="O59" i="24"/>
  <c r="AC59" i="24"/>
  <c r="AA64" i="1" l="1"/>
  <c r="Z64" i="1" s="1"/>
  <c r="Y64" i="1" s="1"/>
  <c r="E65" i="15"/>
  <c r="P66" i="1"/>
  <c r="V66" i="1" s="1"/>
  <c r="L66" i="15"/>
  <c r="D66" i="15" s="1"/>
  <c r="O66" i="15"/>
  <c r="A67" i="15"/>
  <c r="AK66" i="15"/>
  <c r="AB66" i="15"/>
  <c r="AJ66" i="15"/>
  <c r="K66" i="15"/>
  <c r="X66" i="15"/>
  <c r="AC66" i="15"/>
  <c r="E64" i="16"/>
  <c r="AA65" i="1"/>
  <c r="Z65" i="1" s="1"/>
  <c r="Y65" i="1" s="1"/>
  <c r="AB65" i="16"/>
  <c r="X65" i="16"/>
  <c r="K65" i="16"/>
  <c r="AJ65" i="16"/>
  <c r="O65" i="16"/>
  <c r="A66" i="16"/>
  <c r="L65" i="16"/>
  <c r="D65" i="16" s="1"/>
  <c r="E65" i="16" s="1"/>
  <c r="AK65" i="16"/>
  <c r="AC65" i="16"/>
  <c r="I65" i="1"/>
  <c r="A62" i="23"/>
  <c r="AB61" i="23"/>
  <c r="K61" i="23"/>
  <c r="L61" i="23"/>
  <c r="X61" i="23"/>
  <c r="AJ61" i="23"/>
  <c r="AK61" i="23"/>
  <c r="O61" i="23"/>
  <c r="AC61" i="23"/>
  <c r="AB63" i="20"/>
  <c r="K63" i="20"/>
  <c r="L63" i="20"/>
  <c r="A64" i="20"/>
  <c r="X63" i="20"/>
  <c r="AJ63" i="20"/>
  <c r="AK63" i="20"/>
  <c r="O63" i="20"/>
  <c r="AC63" i="20"/>
  <c r="Q67" i="1"/>
  <c r="AB67" i="1"/>
  <c r="O67" i="1"/>
  <c r="K67" i="1"/>
  <c r="X67" i="1"/>
  <c r="A68" i="1"/>
  <c r="L67" i="1"/>
  <c r="AC67" i="1"/>
  <c r="AJ67" i="1"/>
  <c r="AK67" i="1"/>
  <c r="U67" i="1"/>
  <c r="T67" i="1" s="1"/>
  <c r="AB65" i="17"/>
  <c r="A66" i="17"/>
  <c r="X65" i="17"/>
  <c r="K65" i="17"/>
  <c r="L65" i="17"/>
  <c r="AJ65" i="17"/>
  <c r="AK65" i="17"/>
  <c r="AC65" i="17"/>
  <c r="O65" i="17"/>
  <c r="AB62" i="22"/>
  <c r="X62" i="22"/>
  <c r="L62" i="22"/>
  <c r="A63" i="22"/>
  <c r="K62" i="22"/>
  <c r="AJ62" i="22"/>
  <c r="AK62" i="22"/>
  <c r="O62" i="22"/>
  <c r="AC62" i="22"/>
  <c r="AB64" i="18"/>
  <c r="K64" i="18"/>
  <c r="A65" i="18"/>
  <c r="L64" i="18"/>
  <c r="X64" i="18"/>
  <c r="O64" i="18"/>
  <c r="AJ64" i="18"/>
  <c r="AK64" i="18"/>
  <c r="AC64" i="18"/>
  <c r="K60" i="24"/>
  <c r="A61" i="24"/>
  <c r="L60" i="24"/>
  <c r="X60" i="24"/>
  <c r="AE57" i="7"/>
  <c r="AB60" i="24"/>
  <c r="AK60" i="24"/>
  <c r="AJ60" i="24"/>
  <c r="O60" i="24"/>
  <c r="AG57" i="7" s="1"/>
  <c r="AC60" i="24"/>
  <c r="AF45" i="7"/>
  <c r="X59" i="25"/>
  <c r="L59" i="25"/>
  <c r="K59" i="25"/>
  <c r="AB59" i="25"/>
  <c r="A60" i="25"/>
  <c r="AJ59" i="25"/>
  <c r="O59" i="25"/>
  <c r="AK59" i="25"/>
  <c r="AC59" i="25"/>
  <c r="AB67" i="15" l="1"/>
  <c r="X67" i="15"/>
  <c r="O67" i="15"/>
  <c r="A68" i="15"/>
  <c r="AC67" i="15"/>
  <c r="L67" i="15"/>
  <c r="D67" i="15" s="1"/>
  <c r="AJ67" i="15"/>
  <c r="K67" i="15"/>
  <c r="AK67" i="15"/>
  <c r="E66" i="15"/>
  <c r="AB66" i="16"/>
  <c r="X66" i="16"/>
  <c r="AK66" i="16"/>
  <c r="AC66" i="16"/>
  <c r="A67" i="16"/>
  <c r="L66" i="16"/>
  <c r="D66" i="16" s="1"/>
  <c r="K66" i="16"/>
  <c r="AJ66" i="16"/>
  <c r="O66" i="16"/>
  <c r="AF57" i="7"/>
  <c r="AB66" i="17"/>
  <c r="A67" i="17"/>
  <c r="K66" i="17"/>
  <c r="L66" i="17"/>
  <c r="X66" i="17"/>
  <c r="AJ66" i="17"/>
  <c r="AK66" i="17"/>
  <c r="O66" i="17"/>
  <c r="AC66" i="17"/>
  <c r="O68" i="1"/>
  <c r="L68" i="1"/>
  <c r="Q68" i="1"/>
  <c r="A69" i="1"/>
  <c r="X68" i="1"/>
  <c r="AK68" i="1"/>
  <c r="K68" i="1"/>
  <c r="AC68" i="1"/>
  <c r="AB68" i="1"/>
  <c r="AJ68" i="1"/>
  <c r="U68" i="1"/>
  <c r="T68" i="1" s="1"/>
  <c r="L62" i="23"/>
  <c r="AB62" i="23"/>
  <c r="K62" i="23"/>
  <c r="A63" i="23"/>
  <c r="X62" i="23"/>
  <c r="AJ62" i="23"/>
  <c r="AK62" i="23"/>
  <c r="O62" i="23"/>
  <c r="AC62" i="23"/>
  <c r="X60" i="25"/>
  <c r="AE69" i="7"/>
  <c r="A61" i="25"/>
  <c r="L60" i="25"/>
  <c r="K60" i="25"/>
  <c r="AB60" i="25"/>
  <c r="AJ60" i="25"/>
  <c r="O60" i="25"/>
  <c r="AG69" i="7" s="1"/>
  <c r="AK60" i="25"/>
  <c r="AC60" i="25"/>
  <c r="K61" i="24"/>
  <c r="A62" i="24"/>
  <c r="X61" i="24"/>
  <c r="AB61" i="24"/>
  <c r="L61" i="24"/>
  <c r="AJ61" i="24"/>
  <c r="AK61" i="24"/>
  <c r="O61" i="24"/>
  <c r="AC61" i="24"/>
  <c r="K65" i="18"/>
  <c r="L65" i="18"/>
  <c r="X65" i="18"/>
  <c r="AJ65" i="18"/>
  <c r="A66" i="18"/>
  <c r="AB65" i="18"/>
  <c r="O65" i="18"/>
  <c r="AK65" i="18"/>
  <c r="AC65" i="18"/>
  <c r="AB63" i="22"/>
  <c r="L63" i="22"/>
  <c r="K63" i="22"/>
  <c r="X63" i="22"/>
  <c r="A64" i="22"/>
  <c r="AJ63" i="22"/>
  <c r="AK63" i="22"/>
  <c r="O63" i="22"/>
  <c r="AC63" i="22"/>
  <c r="S67" i="1"/>
  <c r="R67" i="1" s="1"/>
  <c r="P67" i="1" s="1"/>
  <c r="V67" i="1" s="1"/>
  <c r="K64" i="20"/>
  <c r="X64" i="20"/>
  <c r="AB64" i="20"/>
  <c r="L64" i="20"/>
  <c r="A65" i="20"/>
  <c r="AJ64" i="20"/>
  <c r="AK64" i="20"/>
  <c r="O64" i="20"/>
  <c r="AC64" i="20"/>
  <c r="E67" i="15" l="1"/>
  <c r="L68" i="15"/>
  <c r="D68" i="15" s="1"/>
  <c r="AK68" i="15"/>
  <c r="X68" i="15"/>
  <c r="AJ68" i="15"/>
  <c r="A69" i="15"/>
  <c r="K68" i="15"/>
  <c r="AC68" i="15"/>
  <c r="AB68" i="15"/>
  <c r="O68" i="15"/>
  <c r="X67" i="16"/>
  <c r="L67" i="16"/>
  <c r="D67" i="16" s="1"/>
  <c r="AK67" i="16"/>
  <c r="AC67" i="16"/>
  <c r="AB67" i="16"/>
  <c r="A68" i="16"/>
  <c r="K67" i="16"/>
  <c r="AJ67" i="16"/>
  <c r="O67" i="16"/>
  <c r="E66" i="16"/>
  <c r="K65" i="20"/>
  <c r="AB65" i="20"/>
  <c r="A66" i="20"/>
  <c r="L65" i="20"/>
  <c r="X65" i="20"/>
  <c r="AK65" i="20"/>
  <c r="AJ65" i="20"/>
  <c r="O65" i="20"/>
  <c r="AC65" i="20"/>
  <c r="I66" i="1"/>
  <c r="AA66" i="1"/>
  <c r="Z66" i="1" s="1"/>
  <c r="Y66" i="1" s="1"/>
  <c r="A65" i="22"/>
  <c r="X64" i="22"/>
  <c r="L64" i="22"/>
  <c r="K64" i="22"/>
  <c r="AB64" i="22"/>
  <c r="AJ64" i="22"/>
  <c r="AK64" i="22"/>
  <c r="O64" i="22"/>
  <c r="AC64" i="22"/>
  <c r="A63" i="24"/>
  <c r="K62" i="24"/>
  <c r="X62" i="24"/>
  <c r="AB62" i="24"/>
  <c r="L62" i="24"/>
  <c r="AK62" i="24"/>
  <c r="AJ62" i="24"/>
  <c r="O62" i="24"/>
  <c r="AC62" i="24"/>
  <c r="AF69" i="7"/>
  <c r="AK69" i="1"/>
  <c r="X69" i="1"/>
  <c r="Q69" i="1"/>
  <c r="K69" i="1"/>
  <c r="L69" i="1"/>
  <c r="O69" i="1"/>
  <c r="A70" i="1"/>
  <c r="AJ69" i="1"/>
  <c r="AB69" i="1"/>
  <c r="AC69" i="1"/>
  <c r="U69" i="1"/>
  <c r="T69" i="1" s="1"/>
  <c r="X67" i="17"/>
  <c r="AB67" i="17"/>
  <c r="A68" i="17"/>
  <c r="K67" i="17"/>
  <c r="L67" i="17"/>
  <c r="AJ67" i="17"/>
  <c r="AK67" i="17"/>
  <c r="O67" i="17"/>
  <c r="AC67" i="17"/>
  <c r="AB66" i="18"/>
  <c r="A67" i="18"/>
  <c r="K66" i="18"/>
  <c r="X66" i="18"/>
  <c r="L66" i="18"/>
  <c r="AJ66" i="18"/>
  <c r="AK66" i="18"/>
  <c r="O66" i="18"/>
  <c r="AC66" i="18"/>
  <c r="K61" i="25"/>
  <c r="L61" i="25"/>
  <c r="X61" i="25"/>
  <c r="AB61" i="25"/>
  <c r="A62" i="25"/>
  <c r="AJ61" i="25"/>
  <c r="O61" i="25"/>
  <c r="AK61" i="25"/>
  <c r="AC61" i="25"/>
  <c r="X63" i="23"/>
  <c r="L63" i="23"/>
  <c r="A64" i="23"/>
  <c r="AB63" i="23"/>
  <c r="K63" i="23"/>
  <c r="AJ63" i="23"/>
  <c r="AK63" i="23"/>
  <c r="O63" i="23"/>
  <c r="AC63" i="23"/>
  <c r="S68" i="1"/>
  <c r="R68" i="1" s="1"/>
  <c r="P68" i="1" s="1"/>
  <c r="V68" i="1" s="1"/>
  <c r="A70" i="15" l="1"/>
  <c r="AC69" i="15"/>
  <c r="L69" i="15"/>
  <c r="D69" i="15" s="1"/>
  <c r="AJ69" i="15"/>
  <c r="AB69" i="15"/>
  <c r="AK69" i="15"/>
  <c r="K69" i="15"/>
  <c r="X69" i="15"/>
  <c r="O69" i="15"/>
  <c r="E68" i="15"/>
  <c r="E67" i="16"/>
  <c r="X68" i="16"/>
  <c r="A69" i="16"/>
  <c r="K68" i="16"/>
  <c r="AK68" i="16"/>
  <c r="O68" i="16"/>
  <c r="L68" i="16"/>
  <c r="D68" i="16" s="1"/>
  <c r="AB68" i="16"/>
  <c r="AJ68" i="16"/>
  <c r="AC68" i="16"/>
  <c r="X62" i="25"/>
  <c r="L62" i="25"/>
  <c r="AB62" i="25"/>
  <c r="A63" i="25"/>
  <c r="K62" i="25"/>
  <c r="AJ62" i="25"/>
  <c r="AK62" i="25"/>
  <c r="O62" i="25"/>
  <c r="AC62" i="25"/>
  <c r="K68" i="17"/>
  <c r="L68" i="17"/>
  <c r="AB68" i="17"/>
  <c r="A69" i="17"/>
  <c r="X68" i="17"/>
  <c r="AK68" i="17"/>
  <c r="AJ68" i="17"/>
  <c r="O68" i="17"/>
  <c r="AC68" i="17"/>
  <c r="S69" i="1"/>
  <c r="R69" i="1" s="1"/>
  <c r="P69" i="1" s="1"/>
  <c r="V69" i="1" s="1"/>
  <c r="AK70" i="1"/>
  <c r="AB70" i="1"/>
  <c r="K70" i="1"/>
  <c r="L70" i="1"/>
  <c r="X70" i="1"/>
  <c r="AJ70" i="1"/>
  <c r="O70" i="1"/>
  <c r="AC70" i="1"/>
  <c r="A71" i="1"/>
  <c r="Q70" i="1"/>
  <c r="U70" i="1"/>
  <c r="T70" i="1" s="1"/>
  <c r="AB64" i="23"/>
  <c r="A65" i="23"/>
  <c r="K64" i="23"/>
  <c r="X64" i="23"/>
  <c r="L64" i="23"/>
  <c r="AJ64" i="23"/>
  <c r="AK64" i="23"/>
  <c r="O64" i="23"/>
  <c r="AC64" i="23"/>
  <c r="A68" i="18"/>
  <c r="X67" i="18"/>
  <c r="K67" i="18"/>
  <c r="AB67" i="18"/>
  <c r="L67" i="18"/>
  <c r="AJ67" i="18"/>
  <c r="AK67" i="18"/>
  <c r="O67" i="18"/>
  <c r="AC67" i="18"/>
  <c r="I67" i="1"/>
  <c r="AA67" i="1"/>
  <c r="Z67" i="1" s="1"/>
  <c r="Y67" i="1" s="1"/>
  <c r="AB63" i="24"/>
  <c r="X63" i="24"/>
  <c r="K63" i="24"/>
  <c r="A64" i="24"/>
  <c r="L63" i="24"/>
  <c r="AK63" i="24"/>
  <c r="AJ63" i="24"/>
  <c r="O63" i="24"/>
  <c r="AC63" i="24"/>
  <c r="AB65" i="22"/>
  <c r="L65" i="22"/>
  <c r="X65" i="22"/>
  <c r="K65" i="22"/>
  <c r="A66" i="22"/>
  <c r="AK65" i="22"/>
  <c r="AJ65" i="22"/>
  <c r="O65" i="22"/>
  <c r="AC65" i="22"/>
  <c r="X66" i="20"/>
  <c r="L66" i="20"/>
  <c r="A67" i="20"/>
  <c r="K66" i="20"/>
  <c r="AB66" i="20"/>
  <c r="AJ66" i="20"/>
  <c r="AK66" i="20"/>
  <c r="O66" i="20"/>
  <c r="AC66" i="20"/>
  <c r="E69" i="15" l="1"/>
  <c r="AB70" i="15"/>
  <c r="AJ70" i="15"/>
  <c r="K70" i="15"/>
  <c r="L70" i="15"/>
  <c r="D70" i="15" s="1"/>
  <c r="O70" i="15"/>
  <c r="X70" i="15"/>
  <c r="AC70" i="15"/>
  <c r="A71" i="15"/>
  <c r="AK70" i="15"/>
  <c r="E68" i="16"/>
  <c r="K69" i="16"/>
  <c r="X69" i="16"/>
  <c r="AJ69" i="16"/>
  <c r="AC69" i="16"/>
  <c r="AB69" i="16"/>
  <c r="L69" i="16"/>
  <c r="D69" i="16" s="1"/>
  <c r="A70" i="16"/>
  <c r="AK69" i="16"/>
  <c r="O69" i="16"/>
  <c r="A68" i="20"/>
  <c r="AB67" i="20"/>
  <c r="K67" i="20"/>
  <c r="L67" i="20"/>
  <c r="X67" i="20"/>
  <c r="AJ67" i="20"/>
  <c r="AK67" i="20"/>
  <c r="O67" i="20"/>
  <c r="AC67" i="20"/>
  <c r="K68" i="18"/>
  <c r="A69" i="18"/>
  <c r="AB68" i="18"/>
  <c r="X68" i="18"/>
  <c r="L68" i="18"/>
  <c r="AK68" i="18"/>
  <c r="O68" i="18"/>
  <c r="AJ68" i="18"/>
  <c r="AC68" i="18"/>
  <c r="K65" i="23"/>
  <c r="AB65" i="23"/>
  <c r="X65" i="23"/>
  <c r="A66" i="23"/>
  <c r="L65" i="23"/>
  <c r="AJ65" i="23"/>
  <c r="AK65" i="23"/>
  <c r="O65" i="23"/>
  <c r="AC65" i="23"/>
  <c r="S70" i="1"/>
  <c r="R70" i="1" s="1"/>
  <c r="P70" i="1" s="1"/>
  <c r="V70" i="1" s="1"/>
  <c r="A72" i="1"/>
  <c r="L71" i="1"/>
  <c r="AC71" i="1"/>
  <c r="X71" i="1"/>
  <c r="Q71" i="1"/>
  <c r="AB71" i="1"/>
  <c r="O71" i="1"/>
  <c r="AJ71" i="1"/>
  <c r="K71" i="1"/>
  <c r="AK71" i="1"/>
  <c r="U71" i="1"/>
  <c r="T71" i="1" s="1"/>
  <c r="K69" i="17"/>
  <c r="AB69" i="17"/>
  <c r="A70" i="17"/>
  <c r="X69" i="17"/>
  <c r="L69" i="17"/>
  <c r="AJ69" i="17"/>
  <c r="AK69" i="17"/>
  <c r="O69" i="17"/>
  <c r="AC69" i="17"/>
  <c r="A67" i="22"/>
  <c r="L66" i="22"/>
  <c r="AB66" i="22"/>
  <c r="X66" i="22"/>
  <c r="K66" i="22"/>
  <c r="AJ66" i="22"/>
  <c r="AK66" i="22"/>
  <c r="O66" i="22"/>
  <c r="AC66" i="22"/>
  <c r="K64" i="24"/>
  <c r="A65" i="24"/>
  <c r="X64" i="24"/>
  <c r="AB64" i="24"/>
  <c r="L64" i="24"/>
  <c r="AJ64" i="24"/>
  <c r="AK64" i="24"/>
  <c r="O64" i="24"/>
  <c r="AC64" i="24"/>
  <c r="X63" i="25"/>
  <c r="L63" i="25"/>
  <c r="K63" i="25"/>
  <c r="AB63" i="25"/>
  <c r="A64" i="25"/>
  <c r="AJ63" i="25"/>
  <c r="AK63" i="25"/>
  <c r="O63" i="25"/>
  <c r="AC63" i="25"/>
  <c r="AA68" i="1"/>
  <c r="Z68" i="1" s="1"/>
  <c r="Y68" i="1" s="1"/>
  <c r="I68" i="1"/>
  <c r="E70" i="15" l="1"/>
  <c r="L71" i="15"/>
  <c r="D71" i="15" s="1"/>
  <c r="AJ71" i="15"/>
  <c r="A72" i="15"/>
  <c r="K71" i="15"/>
  <c r="AC71" i="15"/>
  <c r="AB71" i="15"/>
  <c r="O71" i="15"/>
  <c r="X71" i="15"/>
  <c r="AK71" i="15"/>
  <c r="E69" i="16"/>
  <c r="AB70" i="16"/>
  <c r="A71" i="16"/>
  <c r="AK70" i="16"/>
  <c r="AC70" i="16"/>
  <c r="X70" i="16"/>
  <c r="L70" i="16"/>
  <c r="D70" i="16" s="1"/>
  <c r="K70" i="16"/>
  <c r="AJ70" i="16"/>
  <c r="O70" i="16"/>
  <c r="I69" i="1"/>
  <c r="AA69" i="1"/>
  <c r="Z69" i="1" s="1"/>
  <c r="Y69" i="1" s="1"/>
  <c r="AB65" i="24"/>
  <c r="L65" i="24"/>
  <c r="K65" i="24"/>
  <c r="X65" i="24"/>
  <c r="A66" i="24"/>
  <c r="AJ65" i="24"/>
  <c r="AK65" i="24"/>
  <c r="O65" i="24"/>
  <c r="AC65" i="24"/>
  <c r="A71" i="17"/>
  <c r="X70" i="17"/>
  <c r="AB70" i="17"/>
  <c r="K70" i="17"/>
  <c r="L70" i="17"/>
  <c r="AK70" i="17"/>
  <c r="AJ70" i="17"/>
  <c r="AC70" i="17"/>
  <c r="O70" i="17"/>
  <c r="S71" i="1"/>
  <c r="R71" i="1" s="1"/>
  <c r="P71" i="1" s="1"/>
  <c r="V71" i="1" s="1"/>
  <c r="AC72" i="1"/>
  <c r="AJ72" i="1"/>
  <c r="A73" i="1"/>
  <c r="O72" i="1"/>
  <c r="Q72" i="1"/>
  <c r="L72" i="1"/>
  <c r="X72" i="1"/>
  <c r="AK72" i="1"/>
  <c r="K72" i="1"/>
  <c r="AB72" i="1"/>
  <c r="U72" i="1"/>
  <c r="T72" i="1" s="1"/>
  <c r="X66" i="23"/>
  <c r="A67" i="23"/>
  <c r="AB66" i="23"/>
  <c r="K66" i="23"/>
  <c r="L66" i="23"/>
  <c r="AJ66" i="23"/>
  <c r="AK66" i="23"/>
  <c r="O66" i="23"/>
  <c r="AC66" i="23"/>
  <c r="K69" i="18"/>
  <c r="L69" i="18"/>
  <c r="X69" i="18"/>
  <c r="AB69" i="18"/>
  <c r="A70" i="18"/>
  <c r="AJ69" i="18"/>
  <c r="AK69" i="18"/>
  <c r="O69" i="18"/>
  <c r="AC69" i="18"/>
  <c r="AB64" i="25"/>
  <c r="L64" i="25"/>
  <c r="X64" i="25"/>
  <c r="K64" i="25"/>
  <c r="A65" i="25"/>
  <c r="AJ64" i="25"/>
  <c r="AK64" i="25"/>
  <c r="O64" i="25"/>
  <c r="AC64" i="25"/>
  <c r="AB67" i="22"/>
  <c r="X67" i="22"/>
  <c r="A68" i="22"/>
  <c r="L67" i="22"/>
  <c r="K67" i="22"/>
  <c r="AK67" i="22"/>
  <c r="AJ67" i="22"/>
  <c r="O67" i="22"/>
  <c r="AC67" i="22"/>
  <c r="AB68" i="20"/>
  <c r="A69" i="20"/>
  <c r="K68" i="20"/>
  <c r="X68" i="20"/>
  <c r="L68" i="20"/>
  <c r="AJ68" i="20"/>
  <c r="AK68" i="20"/>
  <c r="O68" i="20"/>
  <c r="AC68" i="20"/>
  <c r="K72" i="15" l="1"/>
  <c r="AJ72" i="15"/>
  <c r="AB72" i="15"/>
  <c r="AK72" i="15"/>
  <c r="A73" i="15"/>
  <c r="L72" i="15"/>
  <c r="D72" i="15" s="1"/>
  <c r="AC72" i="15"/>
  <c r="X72" i="15"/>
  <c r="O72" i="15"/>
  <c r="E71" i="15"/>
  <c r="E70" i="16"/>
  <c r="AA71" i="1"/>
  <c r="Z71" i="1" s="1"/>
  <c r="Y71" i="1" s="1"/>
  <c r="K71" i="16"/>
  <c r="A72" i="16"/>
  <c r="AK71" i="16"/>
  <c r="AC71" i="16"/>
  <c r="L71" i="16"/>
  <c r="D71" i="16" s="1"/>
  <c r="AB71" i="16"/>
  <c r="X71" i="16"/>
  <c r="AJ71" i="16"/>
  <c r="O71" i="16"/>
  <c r="I71" i="1"/>
  <c r="AB65" i="25"/>
  <c r="A66" i="25"/>
  <c r="K65" i="25"/>
  <c r="L65" i="25"/>
  <c r="X65" i="25"/>
  <c r="AJ65" i="25"/>
  <c r="AK65" i="25"/>
  <c r="O65" i="25"/>
  <c r="AC65" i="25"/>
  <c r="L67" i="23"/>
  <c r="K67" i="23"/>
  <c r="A68" i="23"/>
  <c r="X67" i="23"/>
  <c r="AB67" i="23"/>
  <c r="AK67" i="23"/>
  <c r="AJ67" i="23"/>
  <c r="O67" i="23"/>
  <c r="AC67" i="23"/>
  <c r="S72" i="1"/>
  <c r="R72" i="1" s="1"/>
  <c r="P72" i="1" s="1"/>
  <c r="V72" i="1" s="1"/>
  <c r="X73" i="1"/>
  <c r="K73" i="1"/>
  <c r="A74" i="1"/>
  <c r="AK73" i="1"/>
  <c r="Q73" i="1"/>
  <c r="AJ73" i="1"/>
  <c r="L73" i="1"/>
  <c r="AC73" i="1"/>
  <c r="AB73" i="1"/>
  <c r="O73" i="1"/>
  <c r="U73" i="1"/>
  <c r="T73" i="1" s="1"/>
  <c r="AB66" i="24"/>
  <c r="A67" i="24"/>
  <c r="X66" i="24"/>
  <c r="K66" i="24"/>
  <c r="L66" i="24"/>
  <c r="AJ66" i="24"/>
  <c r="AK66" i="24"/>
  <c r="O66" i="24"/>
  <c r="AC66" i="24"/>
  <c r="X69" i="20"/>
  <c r="A70" i="20"/>
  <c r="AB69" i="20"/>
  <c r="K69" i="20"/>
  <c r="L69" i="20"/>
  <c r="AK69" i="20"/>
  <c r="AJ69" i="20"/>
  <c r="O69" i="20"/>
  <c r="AC69" i="20"/>
  <c r="X68" i="22"/>
  <c r="A69" i="22"/>
  <c r="AB68" i="22"/>
  <c r="K68" i="22"/>
  <c r="L68" i="22"/>
  <c r="AJ68" i="22"/>
  <c r="AK68" i="22"/>
  <c r="O68" i="22"/>
  <c r="AC68" i="22"/>
  <c r="AA70" i="1"/>
  <c r="Z70" i="1" s="1"/>
  <c r="Y70" i="1" s="1"/>
  <c r="I70" i="1"/>
  <c r="AB70" i="18"/>
  <c r="K70" i="18"/>
  <c r="AJ70" i="18"/>
  <c r="X70" i="18"/>
  <c r="L70" i="18"/>
  <c r="A71" i="18"/>
  <c r="O70" i="18"/>
  <c r="AK70" i="18"/>
  <c r="AC70" i="18"/>
  <c r="K71" i="17"/>
  <c r="AB71" i="17"/>
  <c r="X71" i="17"/>
  <c r="L71" i="17"/>
  <c r="A72" i="17"/>
  <c r="AJ71" i="17"/>
  <c r="AK71" i="17"/>
  <c r="AC71" i="17"/>
  <c r="O71" i="17"/>
  <c r="E72" i="15" l="1"/>
  <c r="A74" i="15"/>
  <c r="AJ73" i="15"/>
  <c r="K73" i="15"/>
  <c r="AB73" i="15"/>
  <c r="AC73" i="15"/>
  <c r="X73" i="15"/>
  <c r="O73" i="15"/>
  <c r="L73" i="15"/>
  <c r="D73" i="15" s="1"/>
  <c r="AK73" i="15"/>
  <c r="AB72" i="16"/>
  <c r="X72" i="16"/>
  <c r="AK72" i="16"/>
  <c r="AC72" i="16"/>
  <c r="L72" i="16"/>
  <c r="D72" i="16" s="1"/>
  <c r="A73" i="16"/>
  <c r="K72" i="16"/>
  <c r="AJ72" i="16"/>
  <c r="O72" i="16"/>
  <c r="E71" i="16"/>
  <c r="A70" i="22"/>
  <c r="K69" i="22"/>
  <c r="AB69" i="22"/>
  <c r="L69" i="22"/>
  <c r="X69" i="22"/>
  <c r="AJ69" i="22"/>
  <c r="AK69" i="22"/>
  <c r="O69" i="22"/>
  <c r="AC69" i="22"/>
  <c r="AB67" i="24"/>
  <c r="A68" i="24"/>
  <c r="X67" i="24"/>
  <c r="L67" i="24"/>
  <c r="K67" i="24"/>
  <c r="AK67" i="24"/>
  <c r="O67" i="24"/>
  <c r="AJ67" i="24"/>
  <c r="AC67" i="24"/>
  <c r="S73" i="1"/>
  <c r="R73" i="1" s="1"/>
  <c r="P73" i="1" s="1"/>
  <c r="V73" i="1" s="1"/>
  <c r="X74" i="1"/>
  <c r="AC74" i="1"/>
  <c r="AK74" i="1"/>
  <c r="Q74" i="1"/>
  <c r="A75" i="1"/>
  <c r="AB74" i="1"/>
  <c r="L74" i="1"/>
  <c r="O74" i="1"/>
  <c r="K74" i="1"/>
  <c r="AJ74" i="1"/>
  <c r="U74" i="1"/>
  <c r="T74" i="1" s="1"/>
  <c r="A73" i="17"/>
  <c r="L72" i="17"/>
  <c r="K72" i="17"/>
  <c r="X72" i="17"/>
  <c r="AB72" i="17"/>
  <c r="AJ72" i="17"/>
  <c r="AK72" i="17"/>
  <c r="O72" i="17"/>
  <c r="AC72" i="17"/>
  <c r="X71" i="18"/>
  <c r="K71" i="18"/>
  <c r="A72" i="18"/>
  <c r="AB71" i="18"/>
  <c r="L71" i="18"/>
  <c r="AK71" i="18"/>
  <c r="O71" i="18"/>
  <c r="AJ71" i="18"/>
  <c r="AC71" i="18"/>
  <c r="AB70" i="20"/>
  <c r="X70" i="20"/>
  <c r="A71" i="20"/>
  <c r="K70" i="20"/>
  <c r="L70" i="20"/>
  <c r="AJ70" i="20"/>
  <c r="AK70" i="20"/>
  <c r="O70" i="20"/>
  <c r="AC70" i="20"/>
  <c r="A69" i="23"/>
  <c r="X68" i="23"/>
  <c r="L68" i="23"/>
  <c r="AB68" i="23"/>
  <c r="K68" i="23"/>
  <c r="AJ68" i="23"/>
  <c r="AK68" i="23"/>
  <c r="O68" i="23"/>
  <c r="AC68" i="23"/>
  <c r="K66" i="25"/>
  <c r="L66" i="25"/>
  <c r="AB66" i="25"/>
  <c r="A67" i="25"/>
  <c r="X66" i="25"/>
  <c r="AJ66" i="25"/>
  <c r="O66" i="25"/>
  <c r="AK66" i="25"/>
  <c r="AC66" i="25"/>
  <c r="K74" i="15" l="1"/>
  <c r="AK74" i="15"/>
  <c r="L74" i="15"/>
  <c r="D74" i="15" s="1"/>
  <c r="X74" i="15"/>
  <c r="AC74" i="15"/>
  <c r="A75" i="15"/>
  <c r="O74" i="15"/>
  <c r="AB74" i="15"/>
  <c r="AJ74" i="15"/>
  <c r="E73" i="15"/>
  <c r="I73" i="1"/>
  <c r="A74" i="16"/>
  <c r="K73" i="16"/>
  <c r="X73" i="16"/>
  <c r="AK73" i="16"/>
  <c r="O73" i="16"/>
  <c r="L73" i="16"/>
  <c r="D73" i="16" s="1"/>
  <c r="AB73" i="16"/>
  <c r="AJ73" i="16"/>
  <c r="AC73" i="16"/>
  <c r="E72" i="16"/>
  <c r="A68" i="25"/>
  <c r="K67" i="25"/>
  <c r="L67" i="25"/>
  <c r="AB67" i="25"/>
  <c r="X67" i="25"/>
  <c r="AJ67" i="25"/>
  <c r="AK67" i="25"/>
  <c r="O67" i="25"/>
  <c r="AC67" i="25"/>
  <c r="AB69" i="23"/>
  <c r="L69" i="23"/>
  <c r="K69" i="23"/>
  <c r="A70" i="23"/>
  <c r="X69" i="23"/>
  <c r="AK69" i="23"/>
  <c r="AJ69" i="23"/>
  <c r="O69" i="23"/>
  <c r="AC69" i="23"/>
  <c r="K71" i="20"/>
  <c r="A72" i="20"/>
  <c r="AB71" i="20"/>
  <c r="L71" i="20"/>
  <c r="X71" i="20"/>
  <c r="AK71" i="20"/>
  <c r="AJ71" i="20"/>
  <c r="O71" i="20"/>
  <c r="AC71" i="20"/>
  <c r="I72" i="1"/>
  <c r="AA72" i="1"/>
  <c r="Z72" i="1" s="1"/>
  <c r="Y72" i="1" s="1"/>
  <c r="S74" i="1"/>
  <c r="R74" i="1" s="1"/>
  <c r="P74" i="1" s="1"/>
  <c r="V74" i="1" s="1"/>
  <c r="K75" i="1"/>
  <c r="A76" i="1"/>
  <c r="AC75" i="1"/>
  <c r="Q75" i="1"/>
  <c r="L75" i="1"/>
  <c r="X75" i="1"/>
  <c r="AB75" i="1"/>
  <c r="AJ75" i="1"/>
  <c r="O75" i="1"/>
  <c r="AK75" i="1"/>
  <c r="U75" i="1"/>
  <c r="T75" i="1" s="1"/>
  <c r="K68" i="24"/>
  <c r="L68" i="24"/>
  <c r="X68" i="24"/>
  <c r="AB68" i="24"/>
  <c r="A69" i="24"/>
  <c r="AK68" i="24"/>
  <c r="AJ68" i="24"/>
  <c r="O68" i="24"/>
  <c r="AC68" i="24"/>
  <c r="AB70" i="22"/>
  <c r="L70" i="22"/>
  <c r="A71" i="22"/>
  <c r="K70" i="22"/>
  <c r="X70" i="22"/>
  <c r="AJ70" i="22"/>
  <c r="AK70" i="22"/>
  <c r="O70" i="22"/>
  <c r="AC70" i="22"/>
  <c r="A73" i="18"/>
  <c r="L72" i="18"/>
  <c r="K72" i="18"/>
  <c r="X72" i="18"/>
  <c r="AB72" i="18"/>
  <c r="AJ72" i="18"/>
  <c r="AK72" i="18"/>
  <c r="O72" i="18"/>
  <c r="AC72" i="18"/>
  <c r="X73" i="17"/>
  <c r="AB73" i="17"/>
  <c r="K73" i="17"/>
  <c r="L73" i="17"/>
  <c r="A74" i="17"/>
  <c r="AJ73" i="17"/>
  <c r="AK73" i="17"/>
  <c r="AC73" i="17"/>
  <c r="O73" i="17"/>
  <c r="E73" i="16" l="1"/>
  <c r="AA73" i="1"/>
  <c r="Z73" i="1" s="1"/>
  <c r="Y73" i="1" s="1"/>
  <c r="K75" i="15"/>
  <c r="O75" i="15"/>
  <c r="L75" i="15"/>
  <c r="D75" i="15" s="1"/>
  <c r="AJ75" i="15"/>
  <c r="A76" i="15"/>
  <c r="AK75" i="15"/>
  <c r="AB75" i="15"/>
  <c r="X75" i="15"/>
  <c r="AC75" i="15"/>
  <c r="E74" i="15"/>
  <c r="AB74" i="16"/>
  <c r="K74" i="16"/>
  <c r="A75" i="16"/>
  <c r="AJ74" i="16"/>
  <c r="O74" i="16"/>
  <c r="X74" i="16"/>
  <c r="L74" i="16"/>
  <c r="D74" i="16" s="1"/>
  <c r="E74" i="16" s="1"/>
  <c r="AK74" i="16"/>
  <c r="AC74" i="16"/>
  <c r="AB74" i="17"/>
  <c r="A75" i="17"/>
  <c r="L74" i="17"/>
  <c r="X74" i="17"/>
  <c r="K74" i="17"/>
  <c r="AJ74" i="17"/>
  <c r="AK74" i="17"/>
  <c r="AC74" i="17"/>
  <c r="O74" i="17"/>
  <c r="A70" i="24"/>
  <c r="AB69" i="24"/>
  <c r="K69" i="24"/>
  <c r="L69" i="24"/>
  <c r="X69" i="24"/>
  <c r="AK69" i="24"/>
  <c r="AJ69" i="24"/>
  <c r="O69" i="24"/>
  <c r="AC69" i="24"/>
  <c r="AK76" i="1"/>
  <c r="AC76" i="1"/>
  <c r="AB76" i="1"/>
  <c r="Q76" i="1"/>
  <c r="A77" i="1"/>
  <c r="X76" i="1"/>
  <c r="K76" i="1"/>
  <c r="AJ76" i="1"/>
  <c r="L76" i="1"/>
  <c r="O76" i="1"/>
  <c r="U76" i="1"/>
  <c r="T76" i="1" s="1"/>
  <c r="AB72" i="20"/>
  <c r="X72" i="20"/>
  <c r="A73" i="20"/>
  <c r="K72" i="20"/>
  <c r="L72" i="20"/>
  <c r="AJ72" i="20"/>
  <c r="AK72" i="20"/>
  <c r="O72" i="20"/>
  <c r="AC72" i="20"/>
  <c r="A74" i="18"/>
  <c r="AB73" i="18"/>
  <c r="L73" i="18"/>
  <c r="X73" i="18"/>
  <c r="K73" i="18"/>
  <c r="AK73" i="18"/>
  <c r="O73" i="18"/>
  <c r="AJ73" i="18"/>
  <c r="AC73" i="18"/>
  <c r="L71" i="22"/>
  <c r="X71" i="22"/>
  <c r="K71" i="22"/>
  <c r="A72" i="22"/>
  <c r="AB71" i="22"/>
  <c r="AJ71" i="22"/>
  <c r="AK71" i="22"/>
  <c r="O71" i="22"/>
  <c r="AC71" i="22"/>
  <c r="S75" i="1"/>
  <c r="R75" i="1" s="1"/>
  <c r="P75" i="1" s="1"/>
  <c r="V75" i="1" s="1"/>
  <c r="A71" i="23"/>
  <c r="L70" i="23"/>
  <c r="K70" i="23"/>
  <c r="AB70" i="23"/>
  <c r="X70" i="23"/>
  <c r="AJ70" i="23"/>
  <c r="AK70" i="23"/>
  <c r="O70" i="23"/>
  <c r="AC70" i="23"/>
  <c r="X68" i="25"/>
  <c r="AB68" i="25"/>
  <c r="A69" i="25"/>
  <c r="L68" i="25"/>
  <c r="K68" i="25"/>
  <c r="AJ68" i="25"/>
  <c r="O68" i="25"/>
  <c r="AK68" i="25"/>
  <c r="AC68" i="25"/>
  <c r="L76" i="15" l="1"/>
  <c r="D76" i="15" s="1"/>
  <c r="AK76" i="15"/>
  <c r="AB76" i="15"/>
  <c r="AJ76" i="15"/>
  <c r="A77" i="15"/>
  <c r="K76" i="15"/>
  <c r="AC76" i="15"/>
  <c r="X76" i="15"/>
  <c r="O76" i="15"/>
  <c r="E76" i="15" s="1"/>
  <c r="E75" i="15"/>
  <c r="A76" i="16"/>
  <c r="L75" i="16"/>
  <c r="D75" i="16" s="1"/>
  <c r="AJ75" i="16"/>
  <c r="AC75" i="16"/>
  <c r="K75" i="16"/>
  <c r="AB75" i="16"/>
  <c r="X75" i="16"/>
  <c r="AK75" i="16"/>
  <c r="O75" i="16"/>
  <c r="X69" i="25"/>
  <c r="K69" i="25"/>
  <c r="AB69" i="25"/>
  <c r="L69" i="25"/>
  <c r="A70" i="25"/>
  <c r="AJ69" i="25"/>
  <c r="AK69" i="25"/>
  <c r="O69" i="25"/>
  <c r="AC69" i="25"/>
  <c r="I74" i="1"/>
  <c r="AA74" i="1"/>
  <c r="Z74" i="1" s="1"/>
  <c r="Y74" i="1" s="1"/>
  <c r="K74" i="18"/>
  <c r="A75" i="18"/>
  <c r="X74" i="18"/>
  <c r="AB74" i="18"/>
  <c r="L74" i="18"/>
  <c r="AJ74" i="18"/>
  <c r="AK74" i="18"/>
  <c r="O74" i="18"/>
  <c r="AC74" i="18"/>
  <c r="A71" i="24"/>
  <c r="K70" i="24"/>
  <c r="L70" i="24"/>
  <c r="AB70" i="24"/>
  <c r="X70" i="24"/>
  <c r="AJ70" i="24"/>
  <c r="AK70" i="24"/>
  <c r="O70" i="24"/>
  <c r="AC70" i="24"/>
  <c r="AB75" i="17"/>
  <c r="X75" i="17"/>
  <c r="L75" i="17"/>
  <c r="A76" i="17"/>
  <c r="K75" i="17"/>
  <c r="AK75" i="17"/>
  <c r="AJ75" i="17"/>
  <c r="AC75" i="17"/>
  <c r="O75" i="17"/>
  <c r="K71" i="23"/>
  <c r="L71" i="23"/>
  <c r="AB71" i="23"/>
  <c r="A72" i="23"/>
  <c r="X71" i="23"/>
  <c r="AJ71" i="23"/>
  <c r="AK71" i="23"/>
  <c r="O71" i="23"/>
  <c r="AC71" i="23"/>
  <c r="X72" i="22"/>
  <c r="K72" i="22"/>
  <c r="A73" i="22"/>
  <c r="L72" i="22"/>
  <c r="AB72" i="22"/>
  <c r="AJ72" i="22"/>
  <c r="AK72" i="22"/>
  <c r="O72" i="22"/>
  <c r="AC72" i="22"/>
  <c r="A74" i="20"/>
  <c r="K73" i="20"/>
  <c r="X73" i="20"/>
  <c r="L73" i="20"/>
  <c r="AB73" i="20"/>
  <c r="AK73" i="20"/>
  <c r="AJ73" i="20"/>
  <c r="O73" i="20"/>
  <c r="AC73" i="20"/>
  <c r="S76" i="1"/>
  <c r="R76" i="1" s="1"/>
  <c r="P76" i="1" s="1"/>
  <c r="V76" i="1" s="1"/>
  <c r="AC77" i="1"/>
  <c r="L77" i="1"/>
  <c r="K77" i="1"/>
  <c r="Q77" i="1"/>
  <c r="X77" i="1"/>
  <c r="AB77" i="1"/>
  <c r="AJ77" i="1"/>
  <c r="AK77" i="1"/>
  <c r="A78" i="1"/>
  <c r="O77" i="1"/>
  <c r="U77" i="1"/>
  <c r="T77" i="1" s="1"/>
  <c r="I75" i="1" l="1"/>
  <c r="L77" i="15"/>
  <c r="D77" i="15" s="1"/>
  <c r="O77" i="15"/>
  <c r="AB77" i="15"/>
  <c r="AJ77" i="15"/>
  <c r="K77" i="15"/>
  <c r="AK77" i="15"/>
  <c r="A78" i="15"/>
  <c r="X77" i="15"/>
  <c r="AC77" i="15"/>
  <c r="E75" i="16"/>
  <c r="AA75" i="1"/>
  <c r="Z75" i="1" s="1"/>
  <c r="Y75" i="1" s="1"/>
  <c r="AB76" i="16"/>
  <c r="X76" i="16"/>
  <c r="AJ76" i="16"/>
  <c r="AC76" i="16"/>
  <c r="K76" i="16"/>
  <c r="L76" i="16"/>
  <c r="D76" i="16" s="1"/>
  <c r="A77" i="16"/>
  <c r="AK76" i="16"/>
  <c r="O76" i="16"/>
  <c r="S77" i="1"/>
  <c r="R77" i="1" s="1"/>
  <c r="P77" i="1" s="1"/>
  <c r="V77" i="1" s="1"/>
  <c r="AJ78" i="1"/>
  <c r="A79" i="1"/>
  <c r="AB78" i="1"/>
  <c r="AK78" i="1"/>
  <c r="AC78" i="1"/>
  <c r="X78" i="1"/>
  <c r="L78" i="1"/>
  <c r="O78" i="1"/>
  <c r="Q78" i="1"/>
  <c r="K78" i="1"/>
  <c r="U78" i="1"/>
  <c r="T78" i="1" s="1"/>
  <c r="AB76" i="17"/>
  <c r="X76" i="17"/>
  <c r="K76" i="17"/>
  <c r="L76" i="17"/>
  <c r="A77" i="17"/>
  <c r="AJ76" i="17"/>
  <c r="AK76" i="17"/>
  <c r="AC76" i="17"/>
  <c r="O76" i="17"/>
  <c r="X71" i="24"/>
  <c r="AB71" i="24"/>
  <c r="L71" i="24"/>
  <c r="A72" i="24"/>
  <c r="K71" i="24"/>
  <c r="AK71" i="24"/>
  <c r="AJ71" i="24"/>
  <c r="O71" i="24"/>
  <c r="AC71" i="24"/>
  <c r="X75" i="18"/>
  <c r="L75" i="18"/>
  <c r="A76" i="18"/>
  <c r="K75" i="18"/>
  <c r="AB75" i="18"/>
  <c r="O75" i="18"/>
  <c r="AJ75" i="18"/>
  <c r="AK75" i="18"/>
  <c r="AC75" i="18"/>
  <c r="X74" i="20"/>
  <c r="A75" i="20"/>
  <c r="L74" i="20"/>
  <c r="K74" i="20"/>
  <c r="AB74" i="20"/>
  <c r="AK74" i="20"/>
  <c r="AJ74" i="20"/>
  <c r="O74" i="20"/>
  <c r="AC74" i="20"/>
  <c r="AB73" i="22"/>
  <c r="A74" i="22"/>
  <c r="X73" i="22"/>
  <c r="K73" i="22"/>
  <c r="L73" i="22"/>
  <c r="AJ73" i="22"/>
  <c r="AK73" i="22"/>
  <c r="O73" i="22"/>
  <c r="AC73" i="22"/>
  <c r="A73" i="23"/>
  <c r="L72" i="23"/>
  <c r="K72" i="23"/>
  <c r="AB72" i="23"/>
  <c r="X72" i="23"/>
  <c r="AJ72" i="23"/>
  <c r="AK72" i="23"/>
  <c r="O72" i="23"/>
  <c r="AC72" i="23"/>
  <c r="X70" i="25"/>
  <c r="A71" i="25"/>
  <c r="K70" i="25"/>
  <c r="L70" i="25"/>
  <c r="AB70" i="25"/>
  <c r="AJ70" i="25"/>
  <c r="O70" i="25"/>
  <c r="AK70" i="25"/>
  <c r="AC70" i="25"/>
  <c r="E77" i="15" l="1"/>
  <c r="X78" i="15"/>
  <c r="AJ78" i="15"/>
  <c r="K78" i="15"/>
  <c r="AB78" i="15"/>
  <c r="AC78" i="15"/>
  <c r="A79" i="15"/>
  <c r="O78" i="15"/>
  <c r="L78" i="15"/>
  <c r="D78" i="15" s="1"/>
  <c r="AK78" i="15"/>
  <c r="E76" i="16"/>
  <c r="K77" i="16"/>
  <c r="X77" i="16"/>
  <c r="AK77" i="16"/>
  <c r="AC77" i="16"/>
  <c r="L77" i="16"/>
  <c r="D77" i="16" s="1"/>
  <c r="A78" i="16"/>
  <c r="AB77" i="16"/>
  <c r="AJ77" i="16"/>
  <c r="O77" i="16"/>
  <c r="A74" i="23"/>
  <c r="X73" i="23"/>
  <c r="K73" i="23"/>
  <c r="AB73" i="23"/>
  <c r="L73" i="23"/>
  <c r="AK73" i="23"/>
  <c r="AJ73" i="23"/>
  <c r="O73" i="23"/>
  <c r="AC73" i="23"/>
  <c r="AB74" i="22"/>
  <c r="K74" i="22"/>
  <c r="A75" i="22"/>
  <c r="X74" i="22"/>
  <c r="L74" i="22"/>
  <c r="AJ74" i="22"/>
  <c r="AK74" i="22"/>
  <c r="O74" i="22"/>
  <c r="AC74" i="22"/>
  <c r="AA76" i="1"/>
  <c r="Z76" i="1" s="1"/>
  <c r="Y76" i="1" s="1"/>
  <c r="I76" i="1"/>
  <c r="AB79" i="1"/>
  <c r="O79" i="1"/>
  <c r="AJ79" i="1"/>
  <c r="K79" i="1"/>
  <c r="AC79" i="1"/>
  <c r="L79" i="1"/>
  <c r="AK79" i="1"/>
  <c r="A80" i="1"/>
  <c r="X79" i="1"/>
  <c r="Q79" i="1"/>
  <c r="U79" i="1"/>
  <c r="T79" i="1" s="1"/>
  <c r="A72" i="25"/>
  <c r="AB71" i="25"/>
  <c r="K71" i="25"/>
  <c r="X71" i="25"/>
  <c r="L71" i="25"/>
  <c r="AJ71" i="25"/>
  <c r="O71" i="25"/>
  <c r="AK71" i="25"/>
  <c r="AC71" i="25"/>
  <c r="X75" i="20"/>
  <c r="L75" i="20"/>
  <c r="K75" i="20"/>
  <c r="A76" i="20"/>
  <c r="AB75" i="20"/>
  <c r="AJ75" i="20"/>
  <c r="AK75" i="20"/>
  <c r="O75" i="20"/>
  <c r="AC75" i="20"/>
  <c r="AB76" i="18"/>
  <c r="X76" i="18"/>
  <c r="A77" i="18"/>
  <c r="K76" i="18"/>
  <c r="L76" i="18"/>
  <c r="AJ76" i="18"/>
  <c r="O76" i="18"/>
  <c r="AK76" i="18"/>
  <c r="AC76" i="18"/>
  <c r="AB72" i="24"/>
  <c r="X72" i="24"/>
  <c r="A73" i="24"/>
  <c r="L72" i="24"/>
  <c r="K72" i="24"/>
  <c r="AK72" i="24"/>
  <c r="O72" i="24"/>
  <c r="AJ72" i="24"/>
  <c r="AC72" i="24"/>
  <c r="A78" i="17"/>
  <c r="K77" i="17"/>
  <c r="X77" i="17"/>
  <c r="L77" i="17"/>
  <c r="AB77" i="17"/>
  <c r="AJ77" i="17"/>
  <c r="AK77" i="17"/>
  <c r="AC77" i="17"/>
  <c r="O77" i="17"/>
  <c r="S78" i="1"/>
  <c r="R78" i="1" s="1"/>
  <c r="P78" i="1" s="1"/>
  <c r="V78" i="1" s="1"/>
  <c r="E78" i="15" l="1"/>
  <c r="A80" i="15"/>
  <c r="O79" i="15"/>
  <c r="L79" i="15"/>
  <c r="D79" i="15" s="1"/>
  <c r="AJ79" i="15"/>
  <c r="AB79" i="15"/>
  <c r="AK79" i="15"/>
  <c r="K79" i="15"/>
  <c r="X79" i="15"/>
  <c r="AC79" i="15"/>
  <c r="L78" i="16"/>
  <c r="D78" i="16" s="1"/>
  <c r="A79" i="16"/>
  <c r="AB78" i="16"/>
  <c r="AJ78" i="16"/>
  <c r="O78" i="16"/>
  <c r="X78" i="16"/>
  <c r="K78" i="16"/>
  <c r="AK78" i="16"/>
  <c r="AC78" i="16"/>
  <c r="E77" i="16"/>
  <c r="X77" i="18"/>
  <c r="K77" i="18"/>
  <c r="A78" i="18"/>
  <c r="AB77" i="18"/>
  <c r="L77" i="18"/>
  <c r="O77" i="18"/>
  <c r="AJ77" i="18"/>
  <c r="AK77" i="18"/>
  <c r="AC77" i="18"/>
  <c r="X76" i="20"/>
  <c r="AB76" i="20"/>
  <c r="A77" i="20"/>
  <c r="L76" i="20"/>
  <c r="K76" i="20"/>
  <c r="AJ76" i="20"/>
  <c r="AK76" i="20"/>
  <c r="O76" i="20"/>
  <c r="AC76" i="20"/>
  <c r="X72" i="25"/>
  <c r="AB72" i="25"/>
  <c r="A73" i="25"/>
  <c r="L72" i="25"/>
  <c r="K72" i="25"/>
  <c r="AJ72" i="25"/>
  <c r="AK72" i="25"/>
  <c r="O72" i="25"/>
  <c r="AC72" i="25"/>
  <c r="A81" i="1"/>
  <c r="K80" i="1"/>
  <c r="Q80" i="1"/>
  <c r="L80" i="1"/>
  <c r="O80" i="1"/>
  <c r="AJ80" i="1"/>
  <c r="AK80" i="1"/>
  <c r="AC80" i="1"/>
  <c r="AB80" i="1"/>
  <c r="X80" i="1"/>
  <c r="U80" i="1"/>
  <c r="T80" i="1" s="1"/>
  <c r="AA77" i="1"/>
  <c r="Z77" i="1" s="1"/>
  <c r="Y77" i="1" s="1"/>
  <c r="I77" i="1"/>
  <c r="AB74" i="23"/>
  <c r="L74" i="23"/>
  <c r="A75" i="23"/>
  <c r="K74" i="23"/>
  <c r="X74" i="23"/>
  <c r="AJ74" i="23"/>
  <c r="AK74" i="23"/>
  <c r="O74" i="23"/>
  <c r="AC74" i="23"/>
  <c r="X78" i="17"/>
  <c r="L78" i="17"/>
  <c r="AB78" i="17"/>
  <c r="A79" i="17"/>
  <c r="K78" i="17"/>
  <c r="AK78" i="17"/>
  <c r="AJ78" i="17"/>
  <c r="AC78" i="17"/>
  <c r="O78" i="17"/>
  <c r="AB73" i="24"/>
  <c r="K73" i="24"/>
  <c r="A74" i="24"/>
  <c r="X73" i="24"/>
  <c r="L73" i="24"/>
  <c r="AJ73" i="24"/>
  <c r="AK73" i="24"/>
  <c r="O73" i="24"/>
  <c r="AC73" i="24"/>
  <c r="S79" i="1"/>
  <c r="R79" i="1" s="1"/>
  <c r="P79" i="1" s="1"/>
  <c r="V79" i="1" s="1"/>
  <c r="K75" i="22"/>
  <c r="L75" i="22"/>
  <c r="X75" i="22"/>
  <c r="A76" i="22"/>
  <c r="AB75" i="22"/>
  <c r="AJ75" i="22"/>
  <c r="AK75" i="22"/>
  <c r="O75" i="22"/>
  <c r="AC75" i="22"/>
  <c r="E79" i="15" l="1"/>
  <c r="AB80" i="15"/>
  <c r="O80" i="15"/>
  <c r="L80" i="15"/>
  <c r="D80" i="15" s="1"/>
  <c r="AJ80" i="15"/>
  <c r="K80" i="15"/>
  <c r="AK80" i="15"/>
  <c r="A81" i="15"/>
  <c r="X80" i="15"/>
  <c r="AC80" i="15"/>
  <c r="E78" i="16"/>
  <c r="K79" i="16"/>
  <c r="A80" i="16"/>
  <c r="AJ79" i="16"/>
  <c r="AC79" i="16"/>
  <c r="X79" i="16"/>
  <c r="L79" i="16"/>
  <c r="D79" i="16" s="1"/>
  <c r="AB79" i="16"/>
  <c r="AK79" i="16"/>
  <c r="O79" i="16"/>
  <c r="AB76" i="22"/>
  <c r="L76" i="22"/>
  <c r="X76" i="22"/>
  <c r="A77" i="22"/>
  <c r="K76" i="22"/>
  <c r="AJ76" i="22"/>
  <c r="AK76" i="22"/>
  <c r="O76" i="22"/>
  <c r="AC76" i="22"/>
  <c r="X74" i="24"/>
  <c r="A75" i="24"/>
  <c r="K74" i="24"/>
  <c r="AB74" i="24"/>
  <c r="L74" i="24"/>
  <c r="AJ74" i="24"/>
  <c r="AK74" i="24"/>
  <c r="O74" i="24"/>
  <c r="AC74" i="24"/>
  <c r="K79" i="17"/>
  <c r="A80" i="17"/>
  <c r="X79" i="17"/>
  <c r="L79" i="17"/>
  <c r="AB79" i="17"/>
  <c r="AJ79" i="17"/>
  <c r="AK79" i="17"/>
  <c r="AC79" i="17"/>
  <c r="O79" i="17"/>
  <c r="K73" i="25"/>
  <c r="AB73" i="25"/>
  <c r="A74" i="25"/>
  <c r="X73" i="25"/>
  <c r="L73" i="25"/>
  <c r="AJ73" i="25"/>
  <c r="O73" i="25"/>
  <c r="AK73" i="25"/>
  <c r="AC73" i="25"/>
  <c r="K77" i="20"/>
  <c r="L77" i="20"/>
  <c r="X77" i="20"/>
  <c r="A78" i="20"/>
  <c r="AB77" i="20"/>
  <c r="AJ77" i="20"/>
  <c r="AK77" i="20"/>
  <c r="O77" i="20"/>
  <c r="AC77" i="20"/>
  <c r="AA78" i="1"/>
  <c r="Z78" i="1" s="1"/>
  <c r="Y78" i="1" s="1"/>
  <c r="I78" i="1"/>
  <c r="K75" i="23"/>
  <c r="L75" i="23"/>
  <c r="AB75" i="23"/>
  <c r="X75" i="23"/>
  <c r="A76" i="23"/>
  <c r="AJ75" i="23"/>
  <c r="AK75" i="23"/>
  <c r="O75" i="23"/>
  <c r="AC75" i="23"/>
  <c r="S80" i="1"/>
  <c r="R80" i="1" s="1"/>
  <c r="P80" i="1" s="1"/>
  <c r="V80" i="1" s="1"/>
  <c r="A82" i="1"/>
  <c r="AB81" i="1"/>
  <c r="AJ81" i="1"/>
  <c r="O81" i="1"/>
  <c r="AK81" i="1"/>
  <c r="L81" i="1"/>
  <c r="X81" i="1"/>
  <c r="K81" i="1"/>
  <c r="Q81" i="1"/>
  <c r="AC81" i="1"/>
  <c r="U81" i="1"/>
  <c r="T81" i="1" s="1"/>
  <c r="X78" i="18"/>
  <c r="A79" i="18"/>
  <c r="K78" i="18"/>
  <c r="AB78" i="18"/>
  <c r="L78" i="18"/>
  <c r="AJ78" i="18"/>
  <c r="AK78" i="18"/>
  <c r="O78" i="18"/>
  <c r="AC78" i="18"/>
  <c r="E80" i="15" l="1"/>
  <c r="A82" i="15"/>
  <c r="AC81" i="15"/>
  <c r="AB81" i="15"/>
  <c r="AK81" i="15"/>
  <c r="X81" i="15"/>
  <c r="AJ81" i="15"/>
  <c r="L81" i="15"/>
  <c r="D81" i="15" s="1"/>
  <c r="K81" i="15"/>
  <c r="O81" i="15"/>
  <c r="E81" i="15" s="1"/>
  <c r="E79" i="16"/>
  <c r="AB80" i="16"/>
  <c r="A81" i="16"/>
  <c r="X80" i="16"/>
  <c r="AJ80" i="16"/>
  <c r="O80" i="16"/>
  <c r="L80" i="16"/>
  <c r="D80" i="16" s="1"/>
  <c r="K80" i="16"/>
  <c r="AK80" i="16"/>
  <c r="AC80" i="16"/>
  <c r="AB78" i="20"/>
  <c r="X78" i="20"/>
  <c r="L78" i="20"/>
  <c r="A79" i="20"/>
  <c r="K78" i="20"/>
  <c r="AJ78" i="20"/>
  <c r="AK78" i="20"/>
  <c r="O78" i="20"/>
  <c r="AC78" i="20"/>
  <c r="AA79" i="1"/>
  <c r="Z79" i="1" s="1"/>
  <c r="Y79" i="1" s="1"/>
  <c r="I79" i="1"/>
  <c r="AB80" i="17"/>
  <c r="K80" i="17"/>
  <c r="X80" i="17"/>
  <c r="A81" i="17"/>
  <c r="L80" i="17"/>
  <c r="AJ80" i="17"/>
  <c r="AK80" i="17"/>
  <c r="AC80" i="17"/>
  <c r="O80" i="17"/>
  <c r="A80" i="18"/>
  <c r="AB79" i="18"/>
  <c r="K79" i="18"/>
  <c r="X79" i="18"/>
  <c r="L79" i="18"/>
  <c r="O79" i="18"/>
  <c r="AK79" i="18"/>
  <c r="AJ79" i="18"/>
  <c r="AC79" i="18"/>
  <c r="S81" i="1"/>
  <c r="R81" i="1" s="1"/>
  <c r="P81" i="1" s="1"/>
  <c r="V81" i="1" s="1"/>
  <c r="A83" i="1"/>
  <c r="L82" i="1"/>
  <c r="AJ82" i="1"/>
  <c r="X82" i="1"/>
  <c r="O82" i="1"/>
  <c r="AC82" i="1"/>
  <c r="AB82" i="1"/>
  <c r="Q82" i="1"/>
  <c r="AK82" i="1"/>
  <c r="K82" i="1"/>
  <c r="U82" i="1"/>
  <c r="T82" i="1" s="1"/>
  <c r="K76" i="23"/>
  <c r="A77" i="23"/>
  <c r="AB76" i="23"/>
  <c r="L76" i="23"/>
  <c r="X76" i="23"/>
  <c r="AK76" i="23"/>
  <c r="AJ76" i="23"/>
  <c r="O76" i="23"/>
  <c r="AC76" i="23"/>
  <c r="K74" i="25"/>
  <c r="L74" i="25"/>
  <c r="A75" i="25"/>
  <c r="X74" i="25"/>
  <c r="AB74" i="25"/>
  <c r="AJ74" i="25"/>
  <c r="O74" i="25"/>
  <c r="AK74" i="25"/>
  <c r="AC74" i="25"/>
  <c r="A76" i="24"/>
  <c r="L75" i="24"/>
  <c r="AB75" i="24"/>
  <c r="X75" i="24"/>
  <c r="K75" i="24"/>
  <c r="AJ75" i="24"/>
  <c r="AK75" i="24"/>
  <c r="O75" i="24"/>
  <c r="AC75" i="24"/>
  <c r="A78" i="22"/>
  <c r="X77" i="22"/>
  <c r="K77" i="22"/>
  <c r="AB77" i="22"/>
  <c r="L77" i="22"/>
  <c r="AJ77" i="22"/>
  <c r="AK77" i="22"/>
  <c r="O77" i="22"/>
  <c r="AC77" i="22"/>
  <c r="I81" i="1" l="1"/>
  <c r="A83" i="15"/>
  <c r="O82" i="15"/>
  <c r="AB82" i="15"/>
  <c r="AJ82" i="15"/>
  <c r="L82" i="15"/>
  <c r="D82" i="15" s="1"/>
  <c r="AK82" i="15"/>
  <c r="X82" i="15"/>
  <c r="K82" i="15"/>
  <c r="AC82" i="15"/>
  <c r="E80" i="16"/>
  <c r="L81" i="16"/>
  <c r="D81" i="16" s="1"/>
  <c r="AB81" i="16"/>
  <c r="A82" i="16"/>
  <c r="AK81" i="16"/>
  <c r="O81" i="16"/>
  <c r="K81" i="16"/>
  <c r="X81" i="16"/>
  <c r="AJ81" i="16"/>
  <c r="AC81" i="16"/>
  <c r="AA81" i="1"/>
  <c r="Z81" i="1" s="1"/>
  <c r="Y81" i="1" s="1"/>
  <c r="X78" i="22"/>
  <c r="K78" i="22"/>
  <c r="L78" i="22"/>
  <c r="AB78" i="22"/>
  <c r="A79" i="22"/>
  <c r="AJ78" i="22"/>
  <c r="AK78" i="22"/>
  <c r="O78" i="22"/>
  <c r="AC78" i="22"/>
  <c r="A78" i="23"/>
  <c r="L77" i="23"/>
  <c r="AB77" i="23"/>
  <c r="X77" i="23"/>
  <c r="K77" i="23"/>
  <c r="AK77" i="23"/>
  <c r="AJ77" i="23"/>
  <c r="O77" i="23"/>
  <c r="AC77" i="23"/>
  <c r="S82" i="1"/>
  <c r="R82" i="1" s="1"/>
  <c r="P82" i="1" s="1"/>
  <c r="V82" i="1" s="1"/>
  <c r="AJ83" i="1"/>
  <c r="X83" i="1"/>
  <c r="AB83" i="1"/>
  <c r="Q83" i="1"/>
  <c r="AC83" i="1"/>
  <c r="AK83" i="1"/>
  <c r="A84" i="1"/>
  <c r="L83" i="1"/>
  <c r="O83" i="1"/>
  <c r="K83" i="1"/>
  <c r="U83" i="1"/>
  <c r="T83" i="1" s="1"/>
  <c r="I80" i="1"/>
  <c r="AA80" i="1"/>
  <c r="Z80" i="1" s="1"/>
  <c r="Y80" i="1" s="1"/>
  <c r="A77" i="24"/>
  <c r="L76" i="24"/>
  <c r="X76" i="24"/>
  <c r="AB76" i="24"/>
  <c r="K76" i="24"/>
  <c r="AJ76" i="24"/>
  <c r="AK76" i="24"/>
  <c r="O76" i="24"/>
  <c r="AC76" i="24"/>
  <c r="L75" i="25"/>
  <c r="K75" i="25"/>
  <c r="AB75" i="25"/>
  <c r="X75" i="25"/>
  <c r="A76" i="25"/>
  <c r="AJ75" i="25"/>
  <c r="AK75" i="25"/>
  <c r="O75" i="25"/>
  <c r="AC75" i="25"/>
  <c r="X80" i="18"/>
  <c r="AB80" i="18"/>
  <c r="L80" i="18"/>
  <c r="K80" i="18"/>
  <c r="A81" i="18"/>
  <c r="O80" i="18"/>
  <c r="AK80" i="18"/>
  <c r="AJ80" i="18"/>
  <c r="AC80" i="18"/>
  <c r="X81" i="17"/>
  <c r="L81" i="17"/>
  <c r="K81" i="17"/>
  <c r="AB81" i="17"/>
  <c r="A82" i="17"/>
  <c r="AJ81" i="17"/>
  <c r="AK81" i="17"/>
  <c r="AC81" i="17"/>
  <c r="O81" i="17"/>
  <c r="AB79" i="20"/>
  <c r="K79" i="20"/>
  <c r="A80" i="20"/>
  <c r="X79" i="20"/>
  <c r="L79" i="20"/>
  <c r="AJ79" i="20"/>
  <c r="AK79" i="20"/>
  <c r="O79" i="20"/>
  <c r="AC79" i="20"/>
  <c r="E82" i="15" l="1"/>
  <c r="AB83" i="15"/>
  <c r="AK83" i="15"/>
  <c r="A84" i="15"/>
  <c r="X83" i="15"/>
  <c r="AC83" i="15"/>
  <c r="K83" i="15"/>
  <c r="O83" i="15"/>
  <c r="L83" i="15"/>
  <c r="D83" i="15" s="1"/>
  <c r="AJ83" i="15"/>
  <c r="I82" i="1"/>
  <c r="L82" i="16"/>
  <c r="D82" i="16" s="1"/>
  <c r="X82" i="16"/>
  <c r="AJ82" i="16"/>
  <c r="AC82" i="16"/>
  <c r="K82" i="16"/>
  <c r="A83" i="16"/>
  <c r="AB82" i="16"/>
  <c r="AK82" i="16"/>
  <c r="O82" i="16"/>
  <c r="E81" i="16"/>
  <c r="A81" i="20"/>
  <c r="L80" i="20"/>
  <c r="AB80" i="20"/>
  <c r="X80" i="20"/>
  <c r="K80" i="20"/>
  <c r="AJ80" i="20"/>
  <c r="AK80" i="20"/>
  <c r="O80" i="20"/>
  <c r="AC80" i="20"/>
  <c r="X81" i="18"/>
  <c r="A82" i="18"/>
  <c r="K81" i="18"/>
  <c r="L81" i="18"/>
  <c r="AB81" i="18"/>
  <c r="AK81" i="18"/>
  <c r="O81" i="18"/>
  <c r="AJ81" i="18"/>
  <c r="AC81" i="18"/>
  <c r="L77" i="24"/>
  <c r="K77" i="24"/>
  <c r="AB77" i="24"/>
  <c r="A78" i="24"/>
  <c r="X77" i="24"/>
  <c r="AK77" i="24"/>
  <c r="AJ77" i="24"/>
  <c r="O77" i="24"/>
  <c r="AC77" i="24"/>
  <c r="X78" i="23"/>
  <c r="AB78" i="23"/>
  <c r="A79" i="23"/>
  <c r="K78" i="23"/>
  <c r="L78" i="23"/>
  <c r="AJ78" i="23"/>
  <c r="AK78" i="23"/>
  <c r="O78" i="23"/>
  <c r="AC78" i="23"/>
  <c r="K82" i="17"/>
  <c r="X82" i="17"/>
  <c r="L82" i="17"/>
  <c r="AB82" i="17"/>
  <c r="A83" i="17"/>
  <c r="AK82" i="17"/>
  <c r="AJ82" i="17"/>
  <c r="O82" i="17"/>
  <c r="AC82" i="17"/>
  <c r="X76" i="25"/>
  <c r="L76" i="25"/>
  <c r="K76" i="25"/>
  <c r="AB76" i="25"/>
  <c r="A77" i="25"/>
  <c r="AK76" i="25"/>
  <c r="AJ76" i="25"/>
  <c r="O76" i="25"/>
  <c r="AC76" i="25"/>
  <c r="S83" i="1"/>
  <c r="R83" i="1" s="1"/>
  <c r="P83" i="1" s="1"/>
  <c r="V83" i="1" s="1"/>
  <c r="K84" i="1"/>
  <c r="A85" i="1"/>
  <c r="AJ84" i="1"/>
  <c r="L84" i="1"/>
  <c r="AC84" i="1"/>
  <c r="O84" i="1"/>
  <c r="X84" i="1"/>
  <c r="AK84" i="1"/>
  <c r="AB84" i="1"/>
  <c r="Q84" i="1"/>
  <c r="U84" i="1"/>
  <c r="T84" i="1" s="1"/>
  <c r="A80" i="22"/>
  <c r="AB79" i="22"/>
  <c r="X79" i="22"/>
  <c r="K79" i="22"/>
  <c r="L79" i="22"/>
  <c r="AJ79" i="22"/>
  <c r="AK79" i="22"/>
  <c r="O79" i="22"/>
  <c r="AC79" i="22"/>
  <c r="AA82" i="1" l="1"/>
  <c r="Z82" i="1" s="1"/>
  <c r="Y82" i="1" s="1"/>
  <c r="E83" i="15"/>
  <c r="K84" i="15"/>
  <c r="O84" i="15"/>
  <c r="AB84" i="15"/>
  <c r="AJ84" i="15"/>
  <c r="X84" i="15"/>
  <c r="AK84" i="15"/>
  <c r="A85" i="15"/>
  <c r="L84" i="15"/>
  <c r="D84" i="15" s="1"/>
  <c r="E84" i="15" s="1"/>
  <c r="AC84" i="15"/>
  <c r="AB83" i="16"/>
  <c r="L83" i="16"/>
  <c r="D83" i="16" s="1"/>
  <c r="AK83" i="16"/>
  <c r="AC83" i="16"/>
  <c r="A84" i="16"/>
  <c r="K83" i="16"/>
  <c r="X83" i="16"/>
  <c r="AJ83" i="16"/>
  <c r="O83" i="16"/>
  <c r="AA83" i="1"/>
  <c r="Z83" i="1" s="1"/>
  <c r="Y83" i="1" s="1"/>
  <c r="E82" i="16"/>
  <c r="A81" i="22"/>
  <c r="L80" i="22"/>
  <c r="AB80" i="22"/>
  <c r="X80" i="22"/>
  <c r="K80" i="22"/>
  <c r="AJ80" i="22"/>
  <c r="AK80" i="22"/>
  <c r="O80" i="22"/>
  <c r="AC80" i="22"/>
  <c r="S84" i="1"/>
  <c r="R84" i="1" s="1"/>
  <c r="P84" i="1" s="1"/>
  <c r="V84" i="1" s="1"/>
  <c r="AB77" i="25"/>
  <c r="X77" i="25"/>
  <c r="A78" i="25"/>
  <c r="L77" i="25"/>
  <c r="K77" i="25"/>
  <c r="AJ77" i="25"/>
  <c r="O77" i="25"/>
  <c r="AK77" i="25"/>
  <c r="AC77" i="25"/>
  <c r="X79" i="23"/>
  <c r="L79" i="23"/>
  <c r="K79" i="23"/>
  <c r="A80" i="23"/>
  <c r="AB79" i="23"/>
  <c r="AJ79" i="23"/>
  <c r="AK79" i="23"/>
  <c r="O79" i="23"/>
  <c r="AC79" i="23"/>
  <c r="A79" i="24"/>
  <c r="L78" i="24"/>
  <c r="K78" i="24"/>
  <c r="X78" i="24"/>
  <c r="AB78" i="24"/>
  <c r="AJ78" i="24"/>
  <c r="AK78" i="24"/>
  <c r="O78" i="24"/>
  <c r="AC78" i="24"/>
  <c r="D84" i="1"/>
  <c r="E84" i="1" s="1"/>
  <c r="K85" i="1"/>
  <c r="L85" i="1"/>
  <c r="AK85" i="1"/>
  <c r="Q85" i="1"/>
  <c r="AC85" i="1"/>
  <c r="AJ85" i="1"/>
  <c r="A86" i="1"/>
  <c r="O85" i="1"/>
  <c r="AB85" i="1"/>
  <c r="X85" i="1"/>
  <c r="U85" i="1"/>
  <c r="T85" i="1" s="1"/>
  <c r="X83" i="17"/>
  <c r="L83" i="17"/>
  <c r="A84" i="17"/>
  <c r="K83" i="17"/>
  <c r="AB83" i="17"/>
  <c r="AJ83" i="17"/>
  <c r="AK83" i="17"/>
  <c r="AC83" i="17"/>
  <c r="O83" i="17"/>
  <c r="X82" i="18"/>
  <c r="K82" i="18"/>
  <c r="L82" i="18"/>
  <c r="A83" i="18"/>
  <c r="AB82" i="18"/>
  <c r="O82" i="18"/>
  <c r="AJ82" i="18"/>
  <c r="AK82" i="18"/>
  <c r="AC82" i="18"/>
  <c r="X81" i="20"/>
  <c r="A82" i="20"/>
  <c r="K81" i="20"/>
  <c r="L81" i="20"/>
  <c r="AB81" i="20"/>
  <c r="AJ81" i="20"/>
  <c r="AK81" i="20"/>
  <c r="O81" i="20"/>
  <c r="AC81" i="20"/>
  <c r="L85" i="15" l="1"/>
  <c r="D85" i="15" s="1"/>
  <c r="AC85" i="15"/>
  <c r="X85" i="15"/>
  <c r="AJ85" i="15"/>
  <c r="K85" i="15"/>
  <c r="AK85" i="15"/>
  <c r="AB85" i="15"/>
  <c r="A86" i="15"/>
  <c r="O85" i="15"/>
  <c r="E83" i="16"/>
  <c r="I83" i="1"/>
  <c r="L84" i="16"/>
  <c r="D84" i="16" s="1"/>
  <c r="X84" i="16"/>
  <c r="AK84" i="16"/>
  <c r="AC84" i="16"/>
  <c r="A85" i="16"/>
  <c r="AB84" i="16"/>
  <c r="K84" i="16"/>
  <c r="AJ84" i="16"/>
  <c r="O84" i="16"/>
  <c r="F84" i="1"/>
  <c r="G84" i="1" s="1"/>
  <c r="BW84" i="6" s="1"/>
  <c r="A84" i="18"/>
  <c r="K83" i="18"/>
  <c r="L83" i="18"/>
  <c r="AB83" i="18"/>
  <c r="AJ83" i="18"/>
  <c r="X83" i="18"/>
  <c r="AK83" i="18"/>
  <c r="O83" i="18"/>
  <c r="AC83" i="18"/>
  <c r="AB84" i="17"/>
  <c r="A85" i="17"/>
  <c r="X84" i="17"/>
  <c r="K84" i="17"/>
  <c r="L84" i="17"/>
  <c r="AJ84" i="17"/>
  <c r="AK84" i="17"/>
  <c r="AC84" i="17"/>
  <c r="O84" i="17"/>
  <c r="D85" i="1"/>
  <c r="E85" i="1" s="1"/>
  <c r="X78" i="25"/>
  <c r="L78" i="25"/>
  <c r="K78" i="25"/>
  <c r="A79" i="25"/>
  <c r="AB78" i="25"/>
  <c r="AJ78" i="25"/>
  <c r="AK78" i="25"/>
  <c r="O78" i="25"/>
  <c r="AC78" i="25"/>
  <c r="X82" i="20"/>
  <c r="L82" i="20"/>
  <c r="A83" i="20"/>
  <c r="K82" i="20"/>
  <c r="AB82" i="20"/>
  <c r="AJ82" i="20"/>
  <c r="AK82" i="20"/>
  <c r="O82" i="20"/>
  <c r="AC82" i="20"/>
  <c r="S85" i="1"/>
  <c r="R85" i="1" s="1"/>
  <c r="P85" i="1" s="1"/>
  <c r="V85" i="1" s="1"/>
  <c r="L86" i="1"/>
  <c r="AC86" i="1"/>
  <c r="AK86" i="1"/>
  <c r="X86" i="1"/>
  <c r="K86" i="1"/>
  <c r="AB86" i="1"/>
  <c r="AJ86" i="1"/>
  <c r="O86" i="1"/>
  <c r="A87" i="1"/>
  <c r="Q86" i="1"/>
  <c r="U86" i="1"/>
  <c r="T86" i="1" s="1"/>
  <c r="A80" i="24"/>
  <c r="K79" i="24"/>
  <c r="AB79" i="24"/>
  <c r="X79" i="24"/>
  <c r="L79" i="24"/>
  <c r="AK79" i="24"/>
  <c r="AJ79" i="24"/>
  <c r="O79" i="24"/>
  <c r="AC79" i="24"/>
  <c r="AB80" i="23"/>
  <c r="L80" i="23"/>
  <c r="A81" i="23"/>
  <c r="K80" i="23"/>
  <c r="X80" i="23"/>
  <c r="AJ80" i="23"/>
  <c r="AK80" i="23"/>
  <c r="O80" i="23"/>
  <c r="AC80" i="23"/>
  <c r="K81" i="22"/>
  <c r="AB81" i="22"/>
  <c r="X81" i="22"/>
  <c r="A82" i="22"/>
  <c r="L81" i="22"/>
  <c r="AJ81" i="22"/>
  <c r="AK81" i="22"/>
  <c r="O81" i="22"/>
  <c r="AC81" i="22"/>
  <c r="AA84" i="1" l="1"/>
  <c r="Z84" i="1" s="1"/>
  <c r="Y84" i="1" s="1"/>
  <c r="L86" i="15"/>
  <c r="D86" i="15" s="1"/>
  <c r="K86" i="15"/>
  <c r="AC86" i="15"/>
  <c r="AB86" i="15"/>
  <c r="O86" i="15"/>
  <c r="X86" i="15"/>
  <c r="AJ86" i="15"/>
  <c r="A87" i="15"/>
  <c r="AK86" i="15"/>
  <c r="E85" i="15"/>
  <c r="I84" i="1"/>
  <c r="L85" i="16"/>
  <c r="D85" i="16" s="1"/>
  <c r="X85" i="16"/>
  <c r="AJ85" i="16"/>
  <c r="AC85" i="16"/>
  <c r="AB85" i="16"/>
  <c r="K85" i="16"/>
  <c r="A86" i="16"/>
  <c r="AK85" i="16"/>
  <c r="O85" i="16"/>
  <c r="E84" i="16"/>
  <c r="A82" i="23"/>
  <c r="L81" i="23"/>
  <c r="X81" i="23"/>
  <c r="K81" i="23"/>
  <c r="AB81" i="23"/>
  <c r="AJ81" i="23"/>
  <c r="AK81" i="23"/>
  <c r="O81" i="23"/>
  <c r="AC81" i="23"/>
  <c r="S86" i="1"/>
  <c r="R86" i="1" s="1"/>
  <c r="P86" i="1" s="1"/>
  <c r="V86" i="1" s="1"/>
  <c r="L87" i="1"/>
  <c r="X87" i="1"/>
  <c r="K87" i="1"/>
  <c r="AK87" i="1"/>
  <c r="AB87" i="1"/>
  <c r="A88" i="1"/>
  <c r="O87" i="1"/>
  <c r="AJ87" i="1"/>
  <c r="Q87" i="1"/>
  <c r="AC87" i="1"/>
  <c r="U87" i="1"/>
  <c r="T87" i="1" s="1"/>
  <c r="D86" i="1"/>
  <c r="E86" i="1" s="1"/>
  <c r="X79" i="25"/>
  <c r="AB79" i="25"/>
  <c r="K79" i="25"/>
  <c r="A80" i="25"/>
  <c r="L79" i="25"/>
  <c r="AJ79" i="25"/>
  <c r="AK79" i="25"/>
  <c r="O79" i="25"/>
  <c r="AC79" i="25"/>
  <c r="F85" i="1"/>
  <c r="A86" i="17"/>
  <c r="K85" i="17"/>
  <c r="AB85" i="17"/>
  <c r="L85" i="17"/>
  <c r="X85" i="17"/>
  <c r="AK85" i="17"/>
  <c r="AJ85" i="17"/>
  <c r="AC85" i="17"/>
  <c r="O85" i="17"/>
  <c r="A83" i="22"/>
  <c r="X82" i="22"/>
  <c r="AB82" i="22"/>
  <c r="L82" i="22"/>
  <c r="K82" i="22"/>
  <c r="AK82" i="22"/>
  <c r="AJ82" i="22"/>
  <c r="O82" i="22"/>
  <c r="AC82" i="22"/>
  <c r="AB80" i="24"/>
  <c r="A81" i="24"/>
  <c r="K80" i="24"/>
  <c r="L80" i="24"/>
  <c r="X80" i="24"/>
  <c r="AK80" i="24"/>
  <c r="AJ80" i="24"/>
  <c r="O80" i="24"/>
  <c r="AC80" i="24"/>
  <c r="AB83" i="20"/>
  <c r="X83" i="20"/>
  <c r="K83" i="20"/>
  <c r="A84" i="20"/>
  <c r="L83" i="20"/>
  <c r="AJ83" i="20"/>
  <c r="AK83" i="20"/>
  <c r="O83" i="20"/>
  <c r="AC83" i="20"/>
  <c r="AB84" i="18"/>
  <c r="L84" i="18"/>
  <c r="A85" i="18"/>
  <c r="K84" i="18"/>
  <c r="X84" i="18"/>
  <c r="O84" i="18"/>
  <c r="AJ84" i="18"/>
  <c r="AK84" i="18"/>
  <c r="AC84" i="18"/>
  <c r="AB87" i="15" l="1"/>
  <c r="AK87" i="15"/>
  <c r="A88" i="15"/>
  <c r="K87" i="15"/>
  <c r="AC87" i="15"/>
  <c r="L87" i="15"/>
  <c r="D87" i="15" s="1"/>
  <c r="O87" i="15"/>
  <c r="X87" i="15"/>
  <c r="AJ87" i="15"/>
  <c r="E86" i="15"/>
  <c r="F86" i="1"/>
  <c r="G86" i="1" s="1"/>
  <c r="BW86" i="6" s="1"/>
  <c r="AB86" i="16"/>
  <c r="L86" i="16"/>
  <c r="D86" i="16" s="1"/>
  <c r="A87" i="16"/>
  <c r="AK86" i="16"/>
  <c r="O86" i="16"/>
  <c r="K86" i="16"/>
  <c r="X86" i="16"/>
  <c r="AJ86" i="16"/>
  <c r="AC86" i="16"/>
  <c r="E85" i="16"/>
  <c r="X84" i="20"/>
  <c r="AB84" i="20"/>
  <c r="A85" i="20"/>
  <c r="K84" i="20"/>
  <c r="L84" i="20"/>
  <c r="AJ84" i="20"/>
  <c r="AK84" i="20"/>
  <c r="O84" i="20"/>
  <c r="AC84" i="20"/>
  <c r="K83" i="22"/>
  <c r="A84" i="22"/>
  <c r="L83" i="22"/>
  <c r="X83" i="22"/>
  <c r="AB83" i="22"/>
  <c r="AK83" i="22"/>
  <c r="AJ83" i="22"/>
  <c r="O83" i="22"/>
  <c r="AC83" i="22"/>
  <c r="AA85" i="1"/>
  <c r="Z85" i="1" s="1"/>
  <c r="Y85" i="1" s="1"/>
  <c r="G85" i="1"/>
  <c r="BW85" i="6" s="1"/>
  <c r="I85" i="1"/>
  <c r="A81" i="25"/>
  <c r="X80" i="25"/>
  <c r="AB80" i="25"/>
  <c r="K80" i="25"/>
  <c r="L80" i="25"/>
  <c r="AJ80" i="25"/>
  <c r="O80" i="25"/>
  <c r="AK80" i="25"/>
  <c r="AC80" i="25"/>
  <c r="S87" i="1"/>
  <c r="R87" i="1" s="1"/>
  <c r="P87" i="1" s="1"/>
  <c r="V87" i="1" s="1"/>
  <c r="D87" i="1"/>
  <c r="E87" i="1" s="1"/>
  <c r="AB85" i="18"/>
  <c r="X85" i="18"/>
  <c r="A86" i="18"/>
  <c r="L85" i="18"/>
  <c r="K85" i="18"/>
  <c r="AJ85" i="18"/>
  <c r="AK85" i="18"/>
  <c r="O85" i="18"/>
  <c r="AC85" i="18"/>
  <c r="X81" i="24"/>
  <c r="L81" i="24"/>
  <c r="K81" i="24"/>
  <c r="AB81" i="24"/>
  <c r="A82" i="24"/>
  <c r="AK81" i="24"/>
  <c r="AJ81" i="24"/>
  <c r="O81" i="24"/>
  <c r="AC81" i="24"/>
  <c r="X86" i="17"/>
  <c r="L86" i="17"/>
  <c r="K86" i="17"/>
  <c r="AB86" i="17"/>
  <c r="A87" i="17"/>
  <c r="AJ86" i="17"/>
  <c r="AK86" i="17"/>
  <c r="O86" i="17"/>
  <c r="AC86" i="17"/>
  <c r="AC88" i="1"/>
  <c r="L88" i="1"/>
  <c r="AK88" i="1"/>
  <c r="O88" i="1"/>
  <c r="C22" i="7" s="1"/>
  <c r="A22" i="7"/>
  <c r="Q88" i="1"/>
  <c r="AJ88" i="1"/>
  <c r="AB88" i="1"/>
  <c r="A89" i="1"/>
  <c r="X88" i="1"/>
  <c r="K88" i="1"/>
  <c r="U88" i="1"/>
  <c r="T88" i="1" s="1"/>
  <c r="AB82" i="23"/>
  <c r="A83" i="23"/>
  <c r="X82" i="23"/>
  <c r="K82" i="23"/>
  <c r="L82" i="23"/>
  <c r="AJ82" i="23"/>
  <c r="AK82" i="23"/>
  <c r="O82" i="23"/>
  <c r="AC82" i="23"/>
  <c r="E87" i="15" l="1"/>
  <c r="A89" i="15"/>
  <c r="AJ88" i="15"/>
  <c r="L88" i="15"/>
  <c r="X88" i="15"/>
  <c r="AC88" i="15"/>
  <c r="A34" i="7"/>
  <c r="AB88" i="15"/>
  <c r="O88" i="15"/>
  <c r="C34" i="7" s="1"/>
  <c r="K88" i="15"/>
  <c r="AK88" i="15"/>
  <c r="E86" i="16"/>
  <c r="AA86" i="1"/>
  <c r="Z86" i="1" s="1"/>
  <c r="Y86" i="1" s="1"/>
  <c r="I86" i="1"/>
  <c r="K87" i="16"/>
  <c r="L87" i="16"/>
  <c r="D87" i="16" s="1"/>
  <c r="AK87" i="16"/>
  <c r="AC87" i="16"/>
  <c r="AB87" i="16"/>
  <c r="A88" i="16"/>
  <c r="X87" i="16"/>
  <c r="AJ87" i="16"/>
  <c r="O87" i="16"/>
  <c r="K89" i="1"/>
  <c r="O89" i="1"/>
  <c r="AK89" i="1"/>
  <c r="AB89" i="1"/>
  <c r="A90" i="1"/>
  <c r="X89" i="1"/>
  <c r="L89" i="1"/>
  <c r="AC89" i="1"/>
  <c r="Q89" i="1"/>
  <c r="AJ89" i="1"/>
  <c r="U89" i="1"/>
  <c r="T89" i="1" s="1"/>
  <c r="A87" i="18"/>
  <c r="X86" i="18"/>
  <c r="K86" i="18"/>
  <c r="AB86" i="18"/>
  <c r="L86" i="18"/>
  <c r="AJ86" i="18"/>
  <c r="AK86" i="18"/>
  <c r="O86" i="18"/>
  <c r="AC86" i="18"/>
  <c r="F87" i="1"/>
  <c r="X84" i="22"/>
  <c r="AB84" i="22"/>
  <c r="K84" i="22"/>
  <c r="L84" i="22"/>
  <c r="A85" i="22"/>
  <c r="AJ84" i="22"/>
  <c r="AK84" i="22"/>
  <c r="O84" i="22"/>
  <c r="AC84" i="22"/>
  <c r="K85" i="20"/>
  <c r="L85" i="20"/>
  <c r="A86" i="20"/>
  <c r="X85" i="20"/>
  <c r="AB85" i="20"/>
  <c r="AJ85" i="20"/>
  <c r="AK85" i="20"/>
  <c r="O85" i="20"/>
  <c r="AC85" i="20"/>
  <c r="X83" i="23"/>
  <c r="L83" i="23"/>
  <c r="K83" i="23"/>
  <c r="AB83" i="23"/>
  <c r="A84" i="23"/>
  <c r="AJ83" i="23"/>
  <c r="AK83" i="23"/>
  <c r="O83" i="23"/>
  <c r="AC83" i="23"/>
  <c r="S88" i="1"/>
  <c r="R88" i="1" s="1"/>
  <c r="P88" i="1" s="1"/>
  <c r="B22" i="7"/>
  <c r="D88" i="1"/>
  <c r="E88" i="1" s="1"/>
  <c r="A88" i="17"/>
  <c r="L87" i="17"/>
  <c r="AB87" i="17"/>
  <c r="X87" i="17"/>
  <c r="K87" i="17"/>
  <c r="AJ87" i="17"/>
  <c r="AK87" i="17"/>
  <c r="AC87" i="17"/>
  <c r="O87" i="17"/>
  <c r="K82" i="24"/>
  <c r="L82" i="24"/>
  <c r="AB82" i="24"/>
  <c r="X82" i="24"/>
  <c r="A83" i="24"/>
  <c r="AK82" i="24"/>
  <c r="AJ82" i="24"/>
  <c r="O82" i="24"/>
  <c r="AC82" i="24"/>
  <c r="K81" i="25"/>
  <c r="X81" i="25"/>
  <c r="A82" i="25"/>
  <c r="L81" i="25"/>
  <c r="AB81" i="25"/>
  <c r="AJ81" i="25"/>
  <c r="AK81" i="25"/>
  <c r="O81" i="25"/>
  <c r="AC81" i="25"/>
  <c r="B34" i="7" l="1"/>
  <c r="D88" i="15"/>
  <c r="E88" i="15" s="1"/>
  <c r="K89" i="15"/>
  <c r="A90" i="15"/>
  <c r="AC89" i="15"/>
  <c r="AB89" i="15"/>
  <c r="O89" i="15"/>
  <c r="L89" i="15"/>
  <c r="D89" i="15" s="1"/>
  <c r="AJ89" i="15"/>
  <c r="X89" i="15"/>
  <c r="AK89" i="15"/>
  <c r="E87" i="16"/>
  <c r="L88" i="16"/>
  <c r="X88" i="16"/>
  <c r="A89" i="16"/>
  <c r="AK88" i="16"/>
  <c r="AC88" i="16"/>
  <c r="K88" i="16"/>
  <c r="A46" i="7"/>
  <c r="AB88" i="16"/>
  <c r="AJ88" i="16"/>
  <c r="O88" i="16"/>
  <c r="C46" i="7" s="1"/>
  <c r="D22" i="7"/>
  <c r="V88" i="1"/>
  <c r="F88" i="1" s="1"/>
  <c r="X83" i="24"/>
  <c r="K83" i="24"/>
  <c r="L83" i="24"/>
  <c r="AB83" i="24"/>
  <c r="A84" i="24"/>
  <c r="AJ83" i="24"/>
  <c r="AK83" i="24"/>
  <c r="O83" i="24"/>
  <c r="AC83" i="24"/>
  <c r="K86" i="20"/>
  <c r="L86" i="20"/>
  <c r="A87" i="20"/>
  <c r="X86" i="20"/>
  <c r="AB86" i="20"/>
  <c r="AJ86" i="20"/>
  <c r="AK86" i="20"/>
  <c r="O86" i="20"/>
  <c r="AC86" i="20"/>
  <c r="S89" i="1"/>
  <c r="R89" i="1" s="1"/>
  <c r="P89" i="1" s="1"/>
  <c r="V89" i="1" s="1"/>
  <c r="D89" i="1"/>
  <c r="E89" i="1" s="1"/>
  <c r="X90" i="1"/>
  <c r="AB90" i="1"/>
  <c r="AC90" i="1"/>
  <c r="K90" i="1"/>
  <c r="O90" i="1"/>
  <c r="L90" i="1"/>
  <c r="AJ90" i="1"/>
  <c r="A91" i="1"/>
  <c r="AK90" i="1"/>
  <c r="Q90" i="1"/>
  <c r="U90" i="1"/>
  <c r="T90" i="1" s="1"/>
  <c r="S90" i="1" s="1"/>
  <c r="R90" i="1" s="1"/>
  <c r="AB82" i="25"/>
  <c r="K82" i="25"/>
  <c r="A83" i="25"/>
  <c r="L82" i="25"/>
  <c r="X82" i="25"/>
  <c r="AJ82" i="25"/>
  <c r="O82" i="25"/>
  <c r="AK82" i="25"/>
  <c r="AC82" i="25"/>
  <c r="AB88" i="17"/>
  <c r="A89" i="17"/>
  <c r="A58" i="7"/>
  <c r="X88" i="17"/>
  <c r="K88" i="17"/>
  <c r="L88" i="17"/>
  <c r="AK88" i="17"/>
  <c r="AJ88" i="17"/>
  <c r="AC88" i="17"/>
  <c r="O88" i="17"/>
  <c r="C58" i="7" s="1"/>
  <c r="K84" i="23"/>
  <c r="AB84" i="23"/>
  <c r="L84" i="23"/>
  <c r="X84" i="23"/>
  <c r="A85" i="23"/>
  <c r="AJ84" i="23"/>
  <c r="AK84" i="23"/>
  <c r="O84" i="23"/>
  <c r="AC84" i="23"/>
  <c r="A86" i="22"/>
  <c r="AB85" i="22"/>
  <c r="X85" i="22"/>
  <c r="L85" i="22"/>
  <c r="K85" i="22"/>
  <c r="AJ85" i="22"/>
  <c r="AK85" i="22"/>
  <c r="O85" i="22"/>
  <c r="AC85" i="22"/>
  <c r="G87" i="1"/>
  <c r="BW87" i="6" s="1"/>
  <c r="AA87" i="1"/>
  <c r="Z87" i="1" s="1"/>
  <c r="Y87" i="1" s="1"/>
  <c r="I87" i="1"/>
  <c r="AB87" i="18"/>
  <c r="L87" i="18"/>
  <c r="A88" i="18"/>
  <c r="K87" i="18"/>
  <c r="X87" i="18"/>
  <c r="O87" i="18"/>
  <c r="AJ87" i="18"/>
  <c r="AK87" i="18"/>
  <c r="AC87" i="18"/>
  <c r="K90" i="15" l="1"/>
  <c r="O90" i="15"/>
  <c r="AC90" i="15"/>
  <c r="L90" i="15"/>
  <c r="D90" i="15" s="1"/>
  <c r="E90" i="15" s="1"/>
  <c r="AB90" i="15"/>
  <c r="AK90" i="15"/>
  <c r="A91" i="15"/>
  <c r="X90" i="15"/>
  <c r="AJ90" i="15"/>
  <c r="E89" i="15"/>
  <c r="F89" i="1"/>
  <c r="I89" i="1" s="1"/>
  <c r="X89" i="16"/>
  <c r="K89" i="16"/>
  <c r="AB89" i="16"/>
  <c r="AK89" i="16"/>
  <c r="O89" i="16"/>
  <c r="A90" i="16"/>
  <c r="AJ89" i="16"/>
  <c r="AC89" i="16"/>
  <c r="L89" i="16"/>
  <c r="D89" i="16" s="1"/>
  <c r="E89" i="16" s="1"/>
  <c r="D88" i="16"/>
  <c r="E88" i="16" s="1"/>
  <c r="B46" i="7"/>
  <c r="A89" i="18"/>
  <c r="L88" i="18"/>
  <c r="A70" i="7"/>
  <c r="X88" i="18"/>
  <c r="AB88" i="18"/>
  <c r="K88" i="18"/>
  <c r="AJ88" i="18"/>
  <c r="AK88" i="18"/>
  <c r="O88" i="18"/>
  <c r="C70" i="7" s="1"/>
  <c r="AC88" i="18"/>
  <c r="X86" i="22"/>
  <c r="A87" i="22"/>
  <c r="AB86" i="22"/>
  <c r="K86" i="22"/>
  <c r="L86" i="22"/>
  <c r="AK86" i="22"/>
  <c r="AJ86" i="22"/>
  <c r="O86" i="22"/>
  <c r="AC86" i="22"/>
  <c r="G88" i="1"/>
  <c r="BW88" i="6" s="1"/>
  <c r="AA88" i="1"/>
  <c r="Z88" i="1" s="1"/>
  <c r="Y88" i="1" s="1"/>
  <c r="I88" i="1"/>
  <c r="X83" i="25"/>
  <c r="K83" i="25"/>
  <c r="A84" i="25"/>
  <c r="L83" i="25"/>
  <c r="AB83" i="25"/>
  <c r="AJ83" i="25"/>
  <c r="O83" i="25"/>
  <c r="AK83" i="25"/>
  <c r="AC83" i="25"/>
  <c r="K91" i="1"/>
  <c r="AC91" i="1"/>
  <c r="AB91" i="1"/>
  <c r="O91" i="1"/>
  <c r="A92" i="1"/>
  <c r="AJ91" i="1"/>
  <c r="X91" i="1"/>
  <c r="AK91" i="1"/>
  <c r="L91" i="1"/>
  <c r="Q91" i="1"/>
  <c r="U91" i="1"/>
  <c r="D90" i="1"/>
  <c r="E90" i="1" s="1"/>
  <c r="AB87" i="20"/>
  <c r="K87" i="20"/>
  <c r="L87" i="20"/>
  <c r="X87" i="20"/>
  <c r="A88" i="20"/>
  <c r="AJ87" i="20"/>
  <c r="AK87" i="20"/>
  <c r="O87" i="20"/>
  <c r="AC87" i="20"/>
  <c r="X85" i="23"/>
  <c r="K85" i="23"/>
  <c r="AB85" i="23"/>
  <c r="L85" i="23"/>
  <c r="A86" i="23"/>
  <c r="AJ85" i="23"/>
  <c r="AK85" i="23"/>
  <c r="O85" i="23"/>
  <c r="AC85" i="23"/>
  <c r="B58" i="7"/>
  <c r="X89" i="17"/>
  <c r="A90" i="17"/>
  <c r="L89" i="17"/>
  <c r="AB89" i="17"/>
  <c r="K89" i="17"/>
  <c r="AK89" i="17"/>
  <c r="AJ89" i="17"/>
  <c r="O89" i="17"/>
  <c r="AC89" i="17"/>
  <c r="P90" i="1"/>
  <c r="V90" i="1" s="1"/>
  <c r="A85" i="24"/>
  <c r="L84" i="24"/>
  <c r="K84" i="24"/>
  <c r="AB84" i="24"/>
  <c r="X84" i="24"/>
  <c r="AJ84" i="24"/>
  <c r="AK84" i="24"/>
  <c r="O84" i="24"/>
  <c r="AC84" i="24"/>
  <c r="G89" i="1" l="1"/>
  <c r="BW89" i="6" s="1"/>
  <c r="AA89" i="1"/>
  <c r="Z89" i="1" s="1"/>
  <c r="Y89" i="1" s="1"/>
  <c r="X91" i="15"/>
  <c r="AK91" i="15"/>
  <c r="A92" i="15"/>
  <c r="AB91" i="15"/>
  <c r="O91" i="15"/>
  <c r="K91" i="15"/>
  <c r="AC91" i="15"/>
  <c r="L91" i="15"/>
  <c r="D91" i="15" s="1"/>
  <c r="AJ91" i="15"/>
  <c r="F90" i="1"/>
  <c r="I90" i="1" s="1"/>
  <c r="K90" i="16"/>
  <c r="AB90" i="16"/>
  <c r="AJ90" i="16"/>
  <c r="AC90" i="16"/>
  <c r="X90" i="16"/>
  <c r="A91" i="16"/>
  <c r="L90" i="16"/>
  <c r="D90" i="16" s="1"/>
  <c r="AK90" i="16"/>
  <c r="O90" i="16"/>
  <c r="K86" i="23"/>
  <c r="L86" i="23"/>
  <c r="AB86" i="23"/>
  <c r="A87" i="23"/>
  <c r="X86" i="23"/>
  <c r="AJ86" i="23"/>
  <c r="AK86" i="23"/>
  <c r="O86" i="23"/>
  <c r="AC86" i="23"/>
  <c r="X88" i="20"/>
  <c r="AE22" i="7"/>
  <c r="L88" i="20"/>
  <c r="A89" i="20"/>
  <c r="K88" i="20"/>
  <c r="AB88" i="20"/>
  <c r="AK88" i="20"/>
  <c r="AJ88" i="20"/>
  <c r="O88" i="20"/>
  <c r="AG22" i="7" s="1"/>
  <c r="AC88" i="20"/>
  <c r="T91" i="1"/>
  <c r="D91" i="1"/>
  <c r="E91" i="1" s="1"/>
  <c r="A93" i="1"/>
  <c r="AC92" i="1"/>
  <c r="AK92" i="1"/>
  <c r="K92" i="1"/>
  <c r="X92" i="1"/>
  <c r="AJ92" i="1"/>
  <c r="L92" i="1"/>
  <c r="Q92" i="1"/>
  <c r="AB92" i="1"/>
  <c r="O92" i="1"/>
  <c r="U92" i="1"/>
  <c r="T92" i="1" s="1"/>
  <c r="A88" i="22"/>
  <c r="AB87" i="22"/>
  <c r="K87" i="22"/>
  <c r="L87" i="22"/>
  <c r="X87" i="22"/>
  <c r="AJ87" i="22"/>
  <c r="AK87" i="22"/>
  <c r="O87" i="22"/>
  <c r="AC87" i="22"/>
  <c r="A90" i="18"/>
  <c r="AB89" i="18"/>
  <c r="L89" i="18"/>
  <c r="X89" i="18"/>
  <c r="K89" i="18"/>
  <c r="O89" i="18"/>
  <c r="AJ89" i="18"/>
  <c r="AK89" i="18"/>
  <c r="AC89" i="18"/>
  <c r="K85" i="24"/>
  <c r="A86" i="24"/>
  <c r="X85" i="24"/>
  <c r="AB85" i="24"/>
  <c r="L85" i="24"/>
  <c r="AJ85" i="24"/>
  <c r="AK85" i="24"/>
  <c r="O85" i="24"/>
  <c r="AC85" i="24"/>
  <c r="A91" i="17"/>
  <c r="K90" i="17"/>
  <c r="AB90" i="17"/>
  <c r="L90" i="17"/>
  <c r="X90" i="17"/>
  <c r="AJ90" i="17"/>
  <c r="AK90" i="17"/>
  <c r="AC90" i="17"/>
  <c r="O90" i="17"/>
  <c r="A85" i="25"/>
  <c r="X84" i="25"/>
  <c r="K84" i="25"/>
  <c r="AB84" i="25"/>
  <c r="L84" i="25"/>
  <c r="AJ84" i="25"/>
  <c r="AK84" i="25"/>
  <c r="O84" i="25"/>
  <c r="AC84" i="25"/>
  <c r="B70" i="7"/>
  <c r="E91" i="15" l="1"/>
  <c r="G90" i="1"/>
  <c r="BW90" i="6" s="1"/>
  <c r="X92" i="15"/>
  <c r="O92" i="15"/>
  <c r="L92" i="15"/>
  <c r="D92" i="15" s="1"/>
  <c r="AJ92" i="15"/>
  <c r="K92" i="15"/>
  <c r="AK92" i="15"/>
  <c r="AB92" i="15"/>
  <c r="A93" i="15"/>
  <c r="AC92" i="15"/>
  <c r="AA90" i="1"/>
  <c r="Z90" i="1" s="1"/>
  <c r="Y90" i="1" s="1"/>
  <c r="E90" i="16"/>
  <c r="AB91" i="16"/>
  <c r="K91" i="16"/>
  <c r="L91" i="16"/>
  <c r="D91" i="16" s="1"/>
  <c r="AK91" i="16"/>
  <c r="O91" i="16"/>
  <c r="A92" i="16"/>
  <c r="X91" i="16"/>
  <c r="AJ91" i="16"/>
  <c r="AC91" i="16"/>
  <c r="X86" i="24"/>
  <c r="A87" i="24"/>
  <c r="L86" i="24"/>
  <c r="K86" i="24"/>
  <c r="AB86" i="24"/>
  <c r="AJ86" i="24"/>
  <c r="AK86" i="24"/>
  <c r="O86" i="24"/>
  <c r="AC86" i="24"/>
  <c r="K90" i="18"/>
  <c r="AJ90" i="18"/>
  <c r="A91" i="18"/>
  <c r="X90" i="18"/>
  <c r="AB90" i="18"/>
  <c r="L90" i="18"/>
  <c r="O90" i="18"/>
  <c r="AK90" i="18"/>
  <c r="AC90" i="18"/>
  <c r="S92" i="1"/>
  <c r="R92" i="1" s="1"/>
  <c r="P92" i="1" s="1"/>
  <c r="V92" i="1" s="1"/>
  <c r="D92" i="1"/>
  <c r="AK93" i="1"/>
  <c r="AC93" i="1"/>
  <c r="Q93" i="1"/>
  <c r="L93" i="1"/>
  <c r="A94" i="1"/>
  <c r="O93" i="1"/>
  <c r="AB93" i="1"/>
  <c r="X93" i="1"/>
  <c r="AJ93" i="1"/>
  <c r="K93" i="1"/>
  <c r="U93" i="1"/>
  <c r="T93" i="1" s="1"/>
  <c r="S91" i="1"/>
  <c r="R91" i="1" s="1"/>
  <c r="P91" i="1" s="1"/>
  <c r="V91" i="1" s="1"/>
  <c r="AF22" i="7"/>
  <c r="K85" i="25"/>
  <c r="X85" i="25"/>
  <c r="A86" i="25"/>
  <c r="AB85" i="25"/>
  <c r="L85" i="25"/>
  <c r="AK85" i="25"/>
  <c r="AJ85" i="25"/>
  <c r="O85" i="25"/>
  <c r="AC85" i="25"/>
  <c r="AB91" i="17"/>
  <c r="L91" i="17"/>
  <c r="X91" i="17"/>
  <c r="K91" i="17"/>
  <c r="A92" i="17"/>
  <c r="AJ91" i="17"/>
  <c r="AK91" i="17"/>
  <c r="AC91" i="17"/>
  <c r="O91" i="17"/>
  <c r="A89" i="22"/>
  <c r="AB88" i="22"/>
  <c r="X88" i="22"/>
  <c r="L88" i="22"/>
  <c r="AE34" i="7"/>
  <c r="K88" i="22"/>
  <c r="AK88" i="22"/>
  <c r="AJ88" i="22"/>
  <c r="O88" i="22"/>
  <c r="AG34" i="7" s="1"/>
  <c r="AC88" i="22"/>
  <c r="E92" i="1"/>
  <c r="A90" i="20"/>
  <c r="X89" i="20"/>
  <c r="K89" i="20"/>
  <c r="L89" i="20"/>
  <c r="AB89" i="20"/>
  <c r="AK89" i="20"/>
  <c r="AJ89" i="20"/>
  <c r="O89" i="20"/>
  <c r="AC89" i="20"/>
  <c r="K87" i="23"/>
  <c r="AB87" i="23"/>
  <c r="X87" i="23"/>
  <c r="A88" i="23"/>
  <c r="L87" i="23"/>
  <c r="AJ87" i="23"/>
  <c r="AK87" i="23"/>
  <c r="O87" i="23"/>
  <c r="AC87" i="23"/>
  <c r="E92" i="15" l="1"/>
  <c r="K93" i="15"/>
  <c r="O93" i="15"/>
  <c r="AB93" i="15"/>
  <c r="AK93" i="15"/>
  <c r="A94" i="15"/>
  <c r="AJ93" i="15"/>
  <c r="L93" i="15"/>
  <c r="D93" i="15" s="1"/>
  <c r="X93" i="15"/>
  <c r="AC93" i="15"/>
  <c r="E91" i="16"/>
  <c r="X92" i="16"/>
  <c r="L92" i="16"/>
  <c r="D92" i="16" s="1"/>
  <c r="A93" i="16"/>
  <c r="AJ92" i="16"/>
  <c r="O92" i="16"/>
  <c r="AB92" i="16"/>
  <c r="K92" i="16"/>
  <c r="AK92" i="16"/>
  <c r="AC92" i="16"/>
  <c r="K89" i="22"/>
  <c r="A90" i="22"/>
  <c r="L89" i="22"/>
  <c r="X89" i="22"/>
  <c r="AB89" i="22"/>
  <c r="AJ89" i="22"/>
  <c r="AK89" i="22"/>
  <c r="O89" i="22"/>
  <c r="AC89" i="22"/>
  <c r="F91" i="1"/>
  <c r="D93" i="1"/>
  <c r="E93" i="1" s="1"/>
  <c r="F92" i="1"/>
  <c r="K91" i="18"/>
  <c r="AB91" i="18"/>
  <c r="L91" i="18"/>
  <c r="A92" i="18"/>
  <c r="AJ91" i="18"/>
  <c r="X91" i="18"/>
  <c r="O91" i="18"/>
  <c r="AK91" i="18"/>
  <c r="AC91" i="18"/>
  <c r="A88" i="24"/>
  <c r="X87" i="24"/>
  <c r="L87" i="24"/>
  <c r="AB87" i="24"/>
  <c r="K87" i="24"/>
  <c r="AK87" i="24"/>
  <c r="AJ87" i="24"/>
  <c r="O87" i="24"/>
  <c r="AC87" i="24"/>
  <c r="AB88" i="23"/>
  <c r="X88" i="23"/>
  <c r="L88" i="23"/>
  <c r="A89" i="23"/>
  <c r="K88" i="23"/>
  <c r="AE46" i="7"/>
  <c r="AJ88" i="23"/>
  <c r="AK88" i="23"/>
  <c r="O88" i="23"/>
  <c r="AG46" i="7" s="1"/>
  <c r="AC88" i="23"/>
  <c r="A91" i="20"/>
  <c r="X90" i="20"/>
  <c r="K90" i="20"/>
  <c r="L90" i="20"/>
  <c r="AB90" i="20"/>
  <c r="AJ90" i="20"/>
  <c r="AK90" i="20"/>
  <c r="O90" i="20"/>
  <c r="AC90" i="20"/>
  <c r="AF34" i="7"/>
  <c r="X92" i="17"/>
  <c r="A93" i="17"/>
  <c r="AB92" i="17"/>
  <c r="L92" i="17"/>
  <c r="K92" i="17"/>
  <c r="AJ92" i="17"/>
  <c r="AK92" i="17"/>
  <c r="AC92" i="17"/>
  <c r="O92" i="17"/>
  <c r="K86" i="25"/>
  <c r="X86" i="25"/>
  <c r="L86" i="25"/>
  <c r="AB86" i="25"/>
  <c r="A87" i="25"/>
  <c r="AJ86" i="25"/>
  <c r="O86" i="25"/>
  <c r="AK86" i="25"/>
  <c r="AC86" i="25"/>
  <c r="S93" i="1"/>
  <c r="R93" i="1" s="1"/>
  <c r="P93" i="1" s="1"/>
  <c r="V93" i="1" s="1"/>
  <c r="F93" i="1" s="1"/>
  <c r="A95" i="1"/>
  <c r="AJ94" i="1"/>
  <c r="O94" i="1"/>
  <c r="L94" i="1"/>
  <c r="X94" i="1"/>
  <c r="Q94" i="1"/>
  <c r="AK94" i="1"/>
  <c r="AB94" i="1"/>
  <c r="AC94" i="1"/>
  <c r="K94" i="1"/>
  <c r="U94" i="1"/>
  <c r="T94" i="1" s="1"/>
  <c r="E93" i="15" l="1"/>
  <c r="AB94" i="15"/>
  <c r="O94" i="15"/>
  <c r="L94" i="15"/>
  <c r="D94" i="15" s="1"/>
  <c r="AK94" i="15"/>
  <c r="K94" i="15"/>
  <c r="AJ94" i="15"/>
  <c r="X94" i="15"/>
  <c r="A95" i="15"/>
  <c r="AC94" i="15"/>
  <c r="E92" i="16"/>
  <c r="A94" i="16"/>
  <c r="L93" i="16"/>
  <c r="D93" i="16" s="1"/>
  <c r="X93" i="16"/>
  <c r="AK93" i="16"/>
  <c r="O93" i="16"/>
  <c r="K93" i="16"/>
  <c r="AB93" i="16"/>
  <c r="AJ93" i="16"/>
  <c r="AC93" i="16"/>
  <c r="I93" i="1"/>
  <c r="AA93" i="1"/>
  <c r="Z93" i="1" s="1"/>
  <c r="Y93" i="1" s="1"/>
  <c r="G93" i="1"/>
  <c r="BW93" i="6" s="1"/>
  <c r="S94" i="1"/>
  <c r="R94" i="1" s="1"/>
  <c r="P94" i="1" s="1"/>
  <c r="V94" i="1" s="1"/>
  <c r="X95" i="1"/>
  <c r="AJ95" i="1"/>
  <c r="K95" i="1"/>
  <c r="AB95" i="1"/>
  <c r="O95" i="1"/>
  <c r="AC95" i="1"/>
  <c r="L95" i="1"/>
  <c r="AK95" i="1"/>
  <c r="A96" i="1"/>
  <c r="Q95" i="1"/>
  <c r="U95" i="1"/>
  <c r="T95" i="1" s="1"/>
  <c r="S95" i="1" s="1"/>
  <c r="R95" i="1" s="1"/>
  <c r="AF46" i="7"/>
  <c r="AA91" i="1"/>
  <c r="Z91" i="1" s="1"/>
  <c r="Y91" i="1" s="1"/>
  <c r="G91" i="1"/>
  <c r="BW91" i="6" s="1"/>
  <c r="I91" i="1"/>
  <c r="D94" i="1"/>
  <c r="E94" i="1" s="1"/>
  <c r="F94" i="1" s="1"/>
  <c r="X87" i="25"/>
  <c r="L87" i="25"/>
  <c r="K87" i="25"/>
  <c r="AB87" i="25"/>
  <c r="A88" i="25"/>
  <c r="AJ87" i="25"/>
  <c r="O87" i="25"/>
  <c r="AK87" i="25"/>
  <c r="AC87" i="25"/>
  <c r="A94" i="17"/>
  <c r="K93" i="17"/>
  <c r="X93" i="17"/>
  <c r="AB93" i="17"/>
  <c r="L93" i="17"/>
  <c r="AJ93" i="17"/>
  <c r="AK93" i="17"/>
  <c r="AC93" i="17"/>
  <c r="O93" i="17"/>
  <c r="X91" i="20"/>
  <c r="AB91" i="20"/>
  <c r="A92" i="20"/>
  <c r="L91" i="20"/>
  <c r="K91" i="20"/>
  <c r="AJ91" i="20"/>
  <c r="AK91" i="20"/>
  <c r="O91" i="20"/>
  <c r="AC91" i="20"/>
  <c r="A90" i="23"/>
  <c r="AB89" i="23"/>
  <c r="L89" i="23"/>
  <c r="X89" i="23"/>
  <c r="K89" i="23"/>
  <c r="AJ89" i="23"/>
  <c r="AK89" i="23"/>
  <c r="O89" i="23"/>
  <c r="AC89" i="23"/>
  <c r="X88" i="24"/>
  <c r="AB88" i="24"/>
  <c r="K88" i="24"/>
  <c r="L88" i="24"/>
  <c r="A89" i="24"/>
  <c r="AE58" i="7"/>
  <c r="AK88" i="24"/>
  <c r="O88" i="24"/>
  <c r="AG58" i="7" s="1"/>
  <c r="AJ88" i="24"/>
  <c r="AC88" i="24"/>
  <c r="X92" i="18"/>
  <c r="AJ92" i="18"/>
  <c r="A93" i="18"/>
  <c r="K92" i="18"/>
  <c r="AB92" i="18"/>
  <c r="L92" i="18"/>
  <c r="AK92" i="18"/>
  <c r="O92" i="18"/>
  <c r="AC92" i="18"/>
  <c r="I92" i="1"/>
  <c r="G92" i="1"/>
  <c r="BW92" i="6" s="1"/>
  <c r="AA92" i="1"/>
  <c r="Z92" i="1" s="1"/>
  <c r="Y92" i="1" s="1"/>
  <c r="AB90" i="22"/>
  <c r="L90" i="22"/>
  <c r="K90" i="22"/>
  <c r="X90" i="22"/>
  <c r="A91" i="22"/>
  <c r="AK90" i="22"/>
  <c r="AJ90" i="22"/>
  <c r="O90" i="22"/>
  <c r="AC90" i="22"/>
  <c r="E94" i="15" l="1"/>
  <c r="X95" i="15"/>
  <c r="AB95" i="15"/>
  <c r="K95" i="15"/>
  <c r="O95" i="15"/>
  <c r="AK95" i="15"/>
  <c r="AC95" i="15"/>
  <c r="L95" i="15"/>
  <c r="D95" i="15" s="1"/>
  <c r="AJ95" i="15"/>
  <c r="A96" i="15"/>
  <c r="E93" i="16"/>
  <c r="X94" i="16"/>
  <c r="A95" i="16"/>
  <c r="K94" i="16"/>
  <c r="O94" i="16"/>
  <c r="L94" i="16"/>
  <c r="D94" i="16" s="1"/>
  <c r="AB94" i="16"/>
  <c r="AK94" i="16"/>
  <c r="AC94" i="16"/>
  <c r="AJ94" i="16"/>
  <c r="I94" i="1"/>
  <c r="AA94" i="1"/>
  <c r="Z94" i="1" s="1"/>
  <c r="Y94" i="1" s="1"/>
  <c r="G94" i="1"/>
  <c r="BW94" i="6" s="1"/>
  <c r="K91" i="22"/>
  <c r="A92" i="22"/>
  <c r="L91" i="22"/>
  <c r="AB91" i="22"/>
  <c r="X91" i="22"/>
  <c r="AJ91" i="22"/>
  <c r="AK91" i="22"/>
  <c r="O91" i="22"/>
  <c r="AC91" i="22"/>
  <c r="X93" i="18"/>
  <c r="K93" i="18"/>
  <c r="A94" i="18"/>
  <c r="AB93" i="18"/>
  <c r="L93" i="18"/>
  <c r="AK93" i="18"/>
  <c r="AJ93" i="18"/>
  <c r="O93" i="18"/>
  <c r="AC93" i="18"/>
  <c r="K89" i="24"/>
  <c r="L89" i="24"/>
  <c r="X89" i="24"/>
  <c r="AB89" i="24"/>
  <c r="A90" i="24"/>
  <c r="AJ89" i="24"/>
  <c r="AK89" i="24"/>
  <c r="O89" i="24"/>
  <c r="AC89" i="24"/>
  <c r="AB92" i="20"/>
  <c r="X92" i="20"/>
  <c r="A93" i="20"/>
  <c r="L92" i="20"/>
  <c r="K92" i="20"/>
  <c r="AJ92" i="20"/>
  <c r="AK92" i="20"/>
  <c r="O92" i="20"/>
  <c r="AC92" i="20"/>
  <c r="K88" i="25"/>
  <c r="A89" i="25"/>
  <c r="AE70" i="7"/>
  <c r="X88" i="25"/>
  <c r="AB88" i="25"/>
  <c r="L88" i="25"/>
  <c r="AJ88" i="25"/>
  <c r="AK88" i="25"/>
  <c r="O88" i="25"/>
  <c r="AG70" i="7" s="1"/>
  <c r="AC88" i="25"/>
  <c r="AF58" i="7"/>
  <c r="A91" i="23"/>
  <c r="L90" i="23"/>
  <c r="AB90" i="23"/>
  <c r="X90" i="23"/>
  <c r="K90" i="23"/>
  <c r="AJ90" i="23"/>
  <c r="AK90" i="23"/>
  <c r="O90" i="23"/>
  <c r="AC90" i="23"/>
  <c r="A95" i="17"/>
  <c r="AB94" i="17"/>
  <c r="K94" i="17"/>
  <c r="L94" i="17"/>
  <c r="X94" i="17"/>
  <c r="AJ94" i="17"/>
  <c r="AK94" i="17"/>
  <c r="O94" i="17"/>
  <c r="AC94" i="17"/>
  <c r="P95" i="1"/>
  <c r="V95" i="1" s="1"/>
  <c r="A97" i="1"/>
  <c r="L96" i="1"/>
  <c r="AB96" i="1"/>
  <c r="AC96" i="1"/>
  <c r="X96" i="1"/>
  <c r="AK96" i="1"/>
  <c r="K96" i="1"/>
  <c r="AJ96" i="1"/>
  <c r="O96" i="1"/>
  <c r="Q96" i="1"/>
  <c r="U96" i="1"/>
  <c r="T96" i="1" s="1"/>
  <c r="D95" i="1"/>
  <c r="E95" i="1" s="1"/>
  <c r="K96" i="15" l="1"/>
  <c r="A97" i="15"/>
  <c r="AC96" i="15"/>
  <c r="L96" i="15"/>
  <c r="D96" i="15" s="1"/>
  <c r="O96" i="15"/>
  <c r="AB96" i="15"/>
  <c r="AJ96" i="15"/>
  <c r="X96" i="15"/>
  <c r="AK96" i="15"/>
  <c r="E95" i="15"/>
  <c r="AB95" i="16"/>
  <c r="A96" i="16"/>
  <c r="AK95" i="16"/>
  <c r="AC95" i="16"/>
  <c r="L95" i="16"/>
  <c r="D95" i="16" s="1"/>
  <c r="K95" i="16"/>
  <c r="X95" i="16"/>
  <c r="AJ95" i="16"/>
  <c r="O95" i="16"/>
  <c r="E94" i="16"/>
  <c r="S96" i="1"/>
  <c r="R96" i="1" s="1"/>
  <c r="P96" i="1" s="1"/>
  <c r="V96" i="1" s="1"/>
  <c r="AK97" i="1"/>
  <c r="L97" i="1"/>
  <c r="Q97" i="1"/>
  <c r="K97" i="1"/>
  <c r="X97" i="1"/>
  <c r="AC97" i="1"/>
  <c r="AB97" i="1"/>
  <c r="O97" i="1"/>
  <c r="A98" i="1"/>
  <c r="AJ97" i="1"/>
  <c r="U97" i="1"/>
  <c r="T97" i="1" s="1"/>
  <c r="K95" i="17"/>
  <c r="X95" i="17"/>
  <c r="L95" i="17"/>
  <c r="AB95" i="17"/>
  <c r="A96" i="17"/>
  <c r="AJ95" i="17"/>
  <c r="AK95" i="17"/>
  <c r="O95" i="17"/>
  <c r="AC95" i="17"/>
  <c r="K91" i="23"/>
  <c r="L91" i="23"/>
  <c r="AB91" i="23"/>
  <c r="X91" i="23"/>
  <c r="A92" i="23"/>
  <c r="AK91" i="23"/>
  <c r="AJ91" i="23"/>
  <c r="O91" i="23"/>
  <c r="AC91" i="23"/>
  <c r="X90" i="24"/>
  <c r="L90" i="24"/>
  <c r="A91" i="24"/>
  <c r="K90" i="24"/>
  <c r="AB90" i="24"/>
  <c r="AJ90" i="24"/>
  <c r="AK90" i="24"/>
  <c r="O90" i="24"/>
  <c r="AC90" i="24"/>
  <c r="F95" i="1"/>
  <c r="D96" i="1"/>
  <c r="E96" i="1" s="1"/>
  <c r="AF70" i="7"/>
  <c r="X89" i="25"/>
  <c r="AB89" i="25"/>
  <c r="K89" i="25"/>
  <c r="A90" i="25"/>
  <c r="L89" i="25"/>
  <c r="AJ89" i="25"/>
  <c r="AK89" i="25"/>
  <c r="O89" i="25"/>
  <c r="AC89" i="25"/>
  <c r="X93" i="20"/>
  <c r="L93" i="20"/>
  <c r="AB93" i="20"/>
  <c r="K93" i="20"/>
  <c r="A94" i="20"/>
  <c r="AK93" i="20"/>
  <c r="AJ93" i="20"/>
  <c r="O93" i="20"/>
  <c r="AC93" i="20"/>
  <c r="K94" i="18"/>
  <c r="L94" i="18"/>
  <c r="AB94" i="18"/>
  <c r="A95" i="18"/>
  <c r="X94" i="18"/>
  <c r="AJ94" i="18"/>
  <c r="AK94" i="18"/>
  <c r="O94" i="18"/>
  <c r="AC94" i="18"/>
  <c r="K92" i="22"/>
  <c r="A93" i="22"/>
  <c r="AB92" i="22"/>
  <c r="L92" i="22"/>
  <c r="X92" i="22"/>
  <c r="AJ92" i="22"/>
  <c r="AK92" i="22"/>
  <c r="O92" i="22"/>
  <c r="AC92" i="22"/>
  <c r="AB97" i="15" l="1"/>
  <c r="AJ97" i="15"/>
  <c r="X97" i="15"/>
  <c r="AK97" i="15"/>
  <c r="L97" i="15"/>
  <c r="D97" i="15" s="1"/>
  <c r="K97" i="15"/>
  <c r="AC97" i="15"/>
  <c r="A98" i="15"/>
  <c r="O97" i="15"/>
  <c r="E97" i="15" s="1"/>
  <c r="E96" i="15"/>
  <c r="E95" i="16"/>
  <c r="F96" i="1"/>
  <c r="G96" i="1" s="1"/>
  <c r="BW96" i="6" s="1"/>
  <c r="L96" i="16"/>
  <c r="D96" i="16" s="1"/>
  <c r="A97" i="16"/>
  <c r="K96" i="16"/>
  <c r="AK96" i="16"/>
  <c r="O96" i="16"/>
  <c r="AB96" i="16"/>
  <c r="X96" i="16"/>
  <c r="AJ96" i="16"/>
  <c r="AC96" i="16"/>
  <c r="AA96" i="1"/>
  <c r="Z96" i="1" s="1"/>
  <c r="Y96" i="1" s="1"/>
  <c r="AB95" i="18"/>
  <c r="L95" i="18"/>
  <c r="A96" i="18"/>
  <c r="K95" i="18"/>
  <c r="X95" i="18"/>
  <c r="AK95" i="18"/>
  <c r="O95" i="18"/>
  <c r="AJ95" i="18"/>
  <c r="AC95" i="18"/>
  <c r="A95" i="20"/>
  <c r="L94" i="20"/>
  <c r="X94" i="20"/>
  <c r="AB94" i="20"/>
  <c r="K94" i="20"/>
  <c r="AJ94" i="20"/>
  <c r="AK94" i="20"/>
  <c r="O94" i="20"/>
  <c r="AC94" i="20"/>
  <c r="AB90" i="25"/>
  <c r="L90" i="25"/>
  <c r="A91" i="25"/>
  <c r="K90" i="25"/>
  <c r="X90" i="25"/>
  <c r="AK90" i="25"/>
  <c r="AJ90" i="25"/>
  <c r="O90" i="25"/>
  <c r="AC90" i="25"/>
  <c r="A92" i="24"/>
  <c r="L91" i="24"/>
  <c r="X91" i="24"/>
  <c r="K91" i="24"/>
  <c r="AB91" i="24"/>
  <c r="AJ91" i="24"/>
  <c r="AK91" i="24"/>
  <c r="O91" i="24"/>
  <c r="AC91" i="24"/>
  <c r="A97" i="17"/>
  <c r="AB96" i="17"/>
  <c r="L96" i="17"/>
  <c r="X96" i="17"/>
  <c r="K96" i="17"/>
  <c r="AJ96" i="17"/>
  <c r="AK96" i="17"/>
  <c r="AC96" i="17"/>
  <c r="O96" i="17"/>
  <c r="D97" i="1"/>
  <c r="E97" i="1" s="1"/>
  <c r="K93" i="22"/>
  <c r="X93" i="22"/>
  <c r="A94" i="22"/>
  <c r="L93" i="22"/>
  <c r="AB93" i="22"/>
  <c r="AK93" i="22"/>
  <c r="AJ93" i="22"/>
  <c r="O93" i="22"/>
  <c r="AC93" i="22"/>
  <c r="AA95" i="1"/>
  <c r="Z95" i="1" s="1"/>
  <c r="Y95" i="1" s="1"/>
  <c r="G95" i="1"/>
  <c r="BW95" i="6" s="1"/>
  <c r="I95" i="1"/>
  <c r="A93" i="23"/>
  <c r="K92" i="23"/>
  <c r="X92" i="23"/>
  <c r="AB92" i="23"/>
  <c r="L92" i="23"/>
  <c r="AK92" i="23"/>
  <c r="AJ92" i="23"/>
  <c r="O92" i="23"/>
  <c r="AC92" i="23"/>
  <c r="S97" i="1"/>
  <c r="R97" i="1" s="1"/>
  <c r="P97" i="1" s="1"/>
  <c r="V97" i="1" s="1"/>
  <c r="AC98" i="1"/>
  <c r="AK98" i="1"/>
  <c r="A99" i="1"/>
  <c r="O98" i="1"/>
  <c r="Q98" i="1"/>
  <c r="K98" i="1"/>
  <c r="L98" i="1"/>
  <c r="AJ98" i="1"/>
  <c r="X98" i="1"/>
  <c r="AB98" i="1"/>
  <c r="U98" i="1"/>
  <c r="T98" i="1" s="1"/>
  <c r="L98" i="15" l="1"/>
  <c r="D98" i="15" s="1"/>
  <c r="K98" i="15"/>
  <c r="O98" i="15"/>
  <c r="E98" i="15" s="1"/>
  <c r="X98" i="15"/>
  <c r="AC98" i="15"/>
  <c r="A99" i="15"/>
  <c r="AK98" i="15"/>
  <c r="AB98" i="15"/>
  <c r="AJ98" i="15"/>
  <c r="F97" i="1"/>
  <c r="AA97" i="1" s="1"/>
  <c r="Z97" i="1" s="1"/>
  <c r="Y97" i="1" s="1"/>
  <c r="I96" i="1"/>
  <c r="E96" i="16"/>
  <c r="K97" i="16"/>
  <c r="A98" i="16"/>
  <c r="AK97" i="16"/>
  <c r="AC97" i="16"/>
  <c r="AB97" i="16"/>
  <c r="L97" i="16"/>
  <c r="D97" i="16" s="1"/>
  <c r="X97" i="16"/>
  <c r="AJ97" i="16"/>
  <c r="O97" i="16"/>
  <c r="I97" i="1"/>
  <c r="X94" i="22"/>
  <c r="A95" i="22"/>
  <c r="AB94" i="22"/>
  <c r="L94" i="22"/>
  <c r="K94" i="22"/>
  <c r="AJ94" i="22"/>
  <c r="AK94" i="22"/>
  <c r="O94" i="22"/>
  <c r="AC94" i="22"/>
  <c r="X97" i="17"/>
  <c r="A98" i="17"/>
  <c r="AB97" i="17"/>
  <c r="L97" i="17"/>
  <c r="K97" i="17"/>
  <c r="AJ97" i="17"/>
  <c r="AK97" i="17"/>
  <c r="AC97" i="17"/>
  <c r="O97" i="17"/>
  <c r="A92" i="25"/>
  <c r="AB91" i="25"/>
  <c r="L91" i="25"/>
  <c r="X91" i="25"/>
  <c r="K91" i="25"/>
  <c r="AJ91" i="25"/>
  <c r="O91" i="25"/>
  <c r="AK91" i="25"/>
  <c r="AC91" i="25"/>
  <c r="A97" i="18"/>
  <c r="X96" i="18"/>
  <c r="L96" i="18"/>
  <c r="AB96" i="18"/>
  <c r="AJ96" i="18"/>
  <c r="K96" i="18"/>
  <c r="O96" i="18"/>
  <c r="AK96" i="18"/>
  <c r="AC96" i="18"/>
  <c r="S98" i="1"/>
  <c r="R98" i="1" s="1"/>
  <c r="P98" i="1" s="1"/>
  <c r="V98" i="1" s="1"/>
  <c r="D98" i="1"/>
  <c r="E98" i="1" s="1"/>
  <c r="K99" i="1"/>
  <c r="Q99" i="1"/>
  <c r="AJ99" i="1"/>
  <c r="AB99" i="1"/>
  <c r="A100" i="1"/>
  <c r="L99" i="1"/>
  <c r="O99" i="1"/>
  <c r="AK99" i="1"/>
  <c r="AC99" i="1"/>
  <c r="X99" i="1"/>
  <c r="U99" i="1"/>
  <c r="T99" i="1" s="1"/>
  <c r="A94" i="23"/>
  <c r="AB93" i="23"/>
  <c r="X93" i="23"/>
  <c r="K93" i="23"/>
  <c r="L93" i="23"/>
  <c r="AJ93" i="23"/>
  <c r="AK93" i="23"/>
  <c r="O93" i="23"/>
  <c r="AC93" i="23"/>
  <c r="X92" i="24"/>
  <c r="K92" i="24"/>
  <c r="L92" i="24"/>
  <c r="A93" i="24"/>
  <c r="AB92" i="24"/>
  <c r="AJ92" i="24"/>
  <c r="AK92" i="24"/>
  <c r="O92" i="24"/>
  <c r="AC92" i="24"/>
  <c r="X95" i="20"/>
  <c r="K95" i="20"/>
  <c r="L95" i="20"/>
  <c r="A96" i="20"/>
  <c r="AB95" i="20"/>
  <c r="AJ95" i="20"/>
  <c r="AK95" i="20"/>
  <c r="O95" i="20"/>
  <c r="AC95" i="20"/>
  <c r="G97" i="1" l="1"/>
  <c r="BW97" i="6" s="1"/>
  <c r="K99" i="15"/>
  <c r="AJ99" i="15"/>
  <c r="L99" i="15"/>
  <c r="D99" i="15" s="1"/>
  <c r="AK99" i="15"/>
  <c r="AB99" i="15"/>
  <c r="A100" i="15"/>
  <c r="AC99" i="15"/>
  <c r="X99" i="15"/>
  <c r="O99" i="15"/>
  <c r="F98" i="1"/>
  <c r="I98" i="1" s="1"/>
  <c r="E97" i="16"/>
  <c r="A99" i="16"/>
  <c r="L98" i="16"/>
  <c r="D98" i="16" s="1"/>
  <c r="AJ98" i="16"/>
  <c r="AC98" i="16"/>
  <c r="X98" i="16"/>
  <c r="K98" i="16"/>
  <c r="AB98" i="16"/>
  <c r="AK98" i="16"/>
  <c r="O98" i="16"/>
  <c r="X93" i="24"/>
  <c r="L93" i="24"/>
  <c r="K93" i="24"/>
  <c r="A94" i="24"/>
  <c r="AB93" i="24"/>
  <c r="AJ93" i="24"/>
  <c r="AK93" i="24"/>
  <c r="O93" i="24"/>
  <c r="AC93" i="24"/>
  <c r="AB94" i="23"/>
  <c r="L94" i="23"/>
  <c r="X94" i="23"/>
  <c r="A95" i="23"/>
  <c r="K94" i="23"/>
  <c r="AJ94" i="23"/>
  <c r="AK94" i="23"/>
  <c r="O94" i="23"/>
  <c r="AC94" i="23"/>
  <c r="D99" i="1"/>
  <c r="E99" i="1" s="1"/>
  <c r="AA98" i="1"/>
  <c r="Z98" i="1" s="1"/>
  <c r="Y98" i="1" s="1"/>
  <c r="X97" i="18"/>
  <c r="K97" i="18"/>
  <c r="AJ97" i="18"/>
  <c r="AB97" i="18"/>
  <c r="L97" i="18"/>
  <c r="A98" i="18"/>
  <c r="AK97" i="18"/>
  <c r="O97" i="18"/>
  <c r="AC97" i="18"/>
  <c r="K95" i="22"/>
  <c r="AB95" i="22"/>
  <c r="L95" i="22"/>
  <c r="X95" i="22"/>
  <c r="A96" i="22"/>
  <c r="AJ95" i="22"/>
  <c r="AK95" i="22"/>
  <c r="O95" i="22"/>
  <c r="AC95" i="22"/>
  <c r="X96" i="20"/>
  <c r="A97" i="20"/>
  <c r="L96" i="20"/>
  <c r="AB96" i="20"/>
  <c r="K96" i="20"/>
  <c r="AK96" i="20"/>
  <c r="AJ96" i="20"/>
  <c r="O96" i="20"/>
  <c r="AC96" i="20"/>
  <c r="S99" i="1"/>
  <c r="R99" i="1" s="1"/>
  <c r="P99" i="1" s="1"/>
  <c r="V99" i="1" s="1"/>
  <c r="AC100" i="1"/>
  <c r="AK100" i="1"/>
  <c r="X100" i="1"/>
  <c r="A101" i="1"/>
  <c r="AJ100" i="1"/>
  <c r="O100" i="1"/>
  <c r="L100" i="1"/>
  <c r="AB100" i="1"/>
  <c r="Q100" i="1"/>
  <c r="K100" i="1"/>
  <c r="U100" i="1"/>
  <c r="T100" i="1" s="1"/>
  <c r="K92" i="25"/>
  <c r="X92" i="25"/>
  <c r="AB92" i="25"/>
  <c r="L92" i="25"/>
  <c r="A93" i="25"/>
  <c r="AJ92" i="25"/>
  <c r="O92" i="25"/>
  <c r="AK92" i="25"/>
  <c r="AC92" i="25"/>
  <c r="AB98" i="17"/>
  <c r="K98" i="17"/>
  <c r="X98" i="17"/>
  <c r="A99" i="17"/>
  <c r="L98" i="17"/>
  <c r="AK98" i="17"/>
  <c r="AJ98" i="17"/>
  <c r="AC98" i="17"/>
  <c r="O98" i="17"/>
  <c r="G98" i="1" l="1"/>
  <c r="BW98" i="6" s="1"/>
  <c r="L100" i="15"/>
  <c r="D100" i="15" s="1"/>
  <c r="O100" i="15"/>
  <c r="AB100" i="15"/>
  <c r="AJ100" i="15"/>
  <c r="A101" i="15"/>
  <c r="AK100" i="15"/>
  <c r="K100" i="15"/>
  <c r="X100" i="15"/>
  <c r="AC100" i="15"/>
  <c r="E99" i="15"/>
  <c r="F99" i="1"/>
  <c r="G99" i="1" s="1"/>
  <c r="BW99" i="6" s="1"/>
  <c r="E98" i="16"/>
  <c r="A100" i="16"/>
  <c r="L99" i="16"/>
  <c r="D99" i="16" s="1"/>
  <c r="X99" i="16"/>
  <c r="AJ99" i="16"/>
  <c r="O99" i="16"/>
  <c r="K99" i="16"/>
  <c r="AB99" i="16"/>
  <c r="AK99" i="16"/>
  <c r="AC99" i="16"/>
  <c r="S100" i="1"/>
  <c r="R100" i="1" s="1"/>
  <c r="P100" i="1" s="1"/>
  <c r="V100" i="1" s="1"/>
  <c r="D100" i="1"/>
  <c r="E100" i="1" s="1"/>
  <c r="A99" i="18"/>
  <c r="K98" i="18"/>
  <c r="L98" i="18"/>
  <c r="AB98" i="18"/>
  <c r="AJ98" i="18"/>
  <c r="X98" i="18"/>
  <c r="AK98" i="18"/>
  <c r="O98" i="18"/>
  <c r="AC98" i="18"/>
  <c r="AB95" i="23"/>
  <c r="K95" i="23"/>
  <c r="L95" i="23"/>
  <c r="A96" i="23"/>
  <c r="X95" i="23"/>
  <c r="AJ95" i="23"/>
  <c r="AK95" i="23"/>
  <c r="O95" i="23"/>
  <c r="AC95" i="23"/>
  <c r="AB99" i="17"/>
  <c r="K99" i="17"/>
  <c r="A100" i="17"/>
  <c r="X99" i="17"/>
  <c r="L99" i="17"/>
  <c r="AJ99" i="17"/>
  <c r="AK99" i="17"/>
  <c r="AC99" i="17"/>
  <c r="O99" i="17"/>
  <c r="AB93" i="25"/>
  <c r="A94" i="25"/>
  <c r="X93" i="25"/>
  <c r="L93" i="25"/>
  <c r="K93" i="25"/>
  <c r="AK93" i="25"/>
  <c r="AJ93" i="25"/>
  <c r="O93" i="25"/>
  <c r="AC93" i="25"/>
  <c r="AK101" i="1"/>
  <c r="L101" i="1"/>
  <c r="AC101" i="1"/>
  <c r="A102" i="1"/>
  <c r="K101" i="1"/>
  <c r="X101" i="1"/>
  <c r="AJ101" i="1"/>
  <c r="Q101" i="1"/>
  <c r="AB101" i="1"/>
  <c r="O101" i="1"/>
  <c r="U101" i="1"/>
  <c r="T101" i="1" s="1"/>
  <c r="X97" i="20"/>
  <c r="K97" i="20"/>
  <c r="A98" i="20"/>
  <c r="AB97" i="20"/>
  <c r="L97" i="20"/>
  <c r="AJ97" i="20"/>
  <c r="AK97" i="20"/>
  <c r="O97" i="20"/>
  <c r="AC97" i="20"/>
  <c r="AB96" i="22"/>
  <c r="L96" i="22"/>
  <c r="K96" i="22"/>
  <c r="A97" i="22"/>
  <c r="X96" i="22"/>
  <c r="AJ96" i="22"/>
  <c r="AK96" i="22"/>
  <c r="O96" i="22"/>
  <c r="AC96" i="22"/>
  <c r="A95" i="24"/>
  <c r="L94" i="24"/>
  <c r="AB94" i="24"/>
  <c r="X94" i="24"/>
  <c r="K94" i="24"/>
  <c r="AK94" i="24"/>
  <c r="AJ94" i="24"/>
  <c r="O94" i="24"/>
  <c r="AC94" i="24"/>
  <c r="AA99" i="1" l="1"/>
  <c r="Z99" i="1" s="1"/>
  <c r="Y99" i="1" s="1"/>
  <c r="I99" i="1"/>
  <c r="X101" i="15"/>
  <c r="L101" i="15"/>
  <c r="D101" i="15" s="1"/>
  <c r="AC101" i="15"/>
  <c r="AB101" i="15"/>
  <c r="O101" i="15"/>
  <c r="K101" i="15"/>
  <c r="AK101" i="15"/>
  <c r="A102" i="15"/>
  <c r="AJ101" i="15"/>
  <c r="E100" i="15"/>
  <c r="E99" i="16"/>
  <c r="L100" i="16"/>
  <c r="D100" i="16" s="1"/>
  <c r="X100" i="16"/>
  <c r="K100" i="16"/>
  <c r="AJ100" i="16"/>
  <c r="O100" i="16"/>
  <c r="AB100" i="16"/>
  <c r="A101" i="16"/>
  <c r="AK100" i="16"/>
  <c r="AC100" i="16"/>
  <c r="K98" i="20"/>
  <c r="L98" i="20"/>
  <c r="AB98" i="20"/>
  <c r="A99" i="20"/>
  <c r="X98" i="20"/>
  <c r="AJ98" i="20"/>
  <c r="AK98" i="20"/>
  <c r="O98" i="20"/>
  <c r="AC98" i="20"/>
  <c r="AJ102" i="1"/>
  <c r="AB102" i="1"/>
  <c r="L102" i="1"/>
  <c r="X102" i="1"/>
  <c r="O102" i="1"/>
  <c r="A103" i="1"/>
  <c r="AK102" i="1"/>
  <c r="Q102" i="1"/>
  <c r="K102" i="1"/>
  <c r="AC102" i="1"/>
  <c r="U102" i="1"/>
  <c r="T102" i="1" s="1"/>
  <c r="S102" i="1" s="1"/>
  <c r="R102" i="1" s="1"/>
  <c r="D101" i="1"/>
  <c r="E101" i="1" s="1"/>
  <c r="F100" i="1"/>
  <c r="X95" i="24"/>
  <c r="A96" i="24"/>
  <c r="AB95" i="24"/>
  <c r="L95" i="24"/>
  <c r="K95" i="24"/>
  <c r="AJ95" i="24"/>
  <c r="AK95" i="24"/>
  <c r="O95" i="24"/>
  <c r="AC95" i="24"/>
  <c r="AB97" i="22"/>
  <c r="A98" i="22"/>
  <c r="K97" i="22"/>
  <c r="L97" i="22"/>
  <c r="X97" i="22"/>
  <c r="AJ97" i="22"/>
  <c r="AK97" i="22"/>
  <c r="O97" i="22"/>
  <c r="AC97" i="22"/>
  <c r="S101" i="1"/>
  <c r="R101" i="1" s="1"/>
  <c r="P101" i="1" s="1"/>
  <c r="V101" i="1" s="1"/>
  <c r="X94" i="25"/>
  <c r="AB94" i="25"/>
  <c r="A95" i="25"/>
  <c r="K94" i="25"/>
  <c r="L94" i="25"/>
  <c r="AJ94" i="25"/>
  <c r="O94" i="25"/>
  <c r="AK94" i="25"/>
  <c r="AC94" i="25"/>
  <c r="X100" i="17"/>
  <c r="K100" i="17"/>
  <c r="L100" i="17"/>
  <c r="AB100" i="17"/>
  <c r="A101" i="17"/>
  <c r="AJ100" i="17"/>
  <c r="AK100" i="17"/>
  <c r="AC100" i="17"/>
  <c r="O100" i="17"/>
  <c r="A97" i="23"/>
  <c r="K96" i="23"/>
  <c r="L96" i="23"/>
  <c r="X96" i="23"/>
  <c r="AB96" i="23"/>
  <c r="AJ96" i="23"/>
  <c r="AK96" i="23"/>
  <c r="O96" i="23"/>
  <c r="AC96" i="23"/>
  <c r="K99" i="18"/>
  <c r="AJ99" i="18"/>
  <c r="A100" i="18"/>
  <c r="X99" i="18"/>
  <c r="AB99" i="18"/>
  <c r="L99" i="18"/>
  <c r="AK99" i="18"/>
  <c r="O99" i="18"/>
  <c r="AC99" i="18"/>
  <c r="F101" i="1" l="1"/>
  <c r="AA101" i="1" s="1"/>
  <c r="Z101" i="1" s="1"/>
  <c r="Y101" i="1" s="1"/>
  <c r="P102" i="1"/>
  <c r="V102" i="1" s="1"/>
  <c r="E101" i="15"/>
  <c r="AB102" i="15"/>
  <c r="AC102" i="15"/>
  <c r="O102" i="15"/>
  <c r="L102" i="15"/>
  <c r="D102" i="15" s="1"/>
  <c r="A103" i="15"/>
  <c r="AK102" i="15"/>
  <c r="X102" i="15"/>
  <c r="K102" i="15"/>
  <c r="AJ102" i="15"/>
  <c r="L101" i="16"/>
  <c r="D101" i="16" s="1"/>
  <c r="AB101" i="16"/>
  <c r="AK101" i="16"/>
  <c r="AC101" i="16"/>
  <c r="A102" i="16"/>
  <c r="K101" i="16"/>
  <c r="X101" i="16"/>
  <c r="AJ101" i="16"/>
  <c r="O101" i="16"/>
  <c r="E100" i="16"/>
  <c r="G101" i="1"/>
  <c r="BW101" i="6" s="1"/>
  <c r="K97" i="23"/>
  <c r="AB97" i="23"/>
  <c r="X97" i="23"/>
  <c r="L97" i="23"/>
  <c r="A98" i="23"/>
  <c r="AJ97" i="23"/>
  <c r="AK97" i="23"/>
  <c r="O97" i="23"/>
  <c r="AC97" i="23"/>
  <c r="X101" i="17"/>
  <c r="K101" i="17"/>
  <c r="A102" i="17"/>
  <c r="AB101" i="17"/>
  <c r="L101" i="17"/>
  <c r="AJ101" i="17"/>
  <c r="AK101" i="17"/>
  <c r="O101" i="17"/>
  <c r="AC101" i="17"/>
  <c r="A96" i="25"/>
  <c r="L95" i="25"/>
  <c r="K95" i="25"/>
  <c r="AB95" i="25"/>
  <c r="X95" i="25"/>
  <c r="AJ95" i="25"/>
  <c r="O95" i="25"/>
  <c r="AK95" i="25"/>
  <c r="AC95" i="25"/>
  <c r="X98" i="22"/>
  <c r="A99" i="22"/>
  <c r="L98" i="22"/>
  <c r="AB98" i="22"/>
  <c r="K98" i="22"/>
  <c r="AJ98" i="22"/>
  <c r="AK98" i="22"/>
  <c r="O98" i="22"/>
  <c r="AC98" i="22"/>
  <c r="D102" i="1"/>
  <c r="E102" i="1" s="1"/>
  <c r="AB100" i="18"/>
  <c r="K100" i="18"/>
  <c r="A101" i="18"/>
  <c r="X100" i="18"/>
  <c r="L100" i="18"/>
  <c r="O100" i="18"/>
  <c r="AJ100" i="18"/>
  <c r="AK100" i="18"/>
  <c r="AC100" i="18"/>
  <c r="K96" i="24"/>
  <c r="L96" i="24"/>
  <c r="A97" i="24"/>
  <c r="X96" i="24"/>
  <c r="AB96" i="24"/>
  <c r="AJ96" i="24"/>
  <c r="AK96" i="24"/>
  <c r="O96" i="24"/>
  <c r="AC96" i="24"/>
  <c r="AA100" i="1"/>
  <c r="Z100" i="1" s="1"/>
  <c r="Y100" i="1" s="1"/>
  <c r="I100" i="1"/>
  <c r="G100" i="1"/>
  <c r="BW100" i="6" s="1"/>
  <c r="A104" i="1"/>
  <c r="AC103" i="1"/>
  <c r="AK103" i="1"/>
  <c r="AB103" i="1"/>
  <c r="AJ103" i="1"/>
  <c r="L103" i="1"/>
  <c r="Q103" i="1"/>
  <c r="K103" i="1"/>
  <c r="X103" i="1"/>
  <c r="O103" i="1"/>
  <c r="U103" i="1"/>
  <c r="T103" i="1" s="1"/>
  <c r="A100" i="20"/>
  <c r="X99" i="20"/>
  <c r="AB99" i="20"/>
  <c r="L99" i="20"/>
  <c r="K99" i="20"/>
  <c r="AJ99" i="20"/>
  <c r="AK99" i="20"/>
  <c r="O99" i="20"/>
  <c r="AC99" i="20"/>
  <c r="I101" i="1" l="1"/>
  <c r="E102" i="15"/>
  <c r="L103" i="15"/>
  <c r="D103" i="15" s="1"/>
  <c r="AJ103" i="15"/>
  <c r="A104" i="15"/>
  <c r="AK103" i="15"/>
  <c r="AB103" i="15"/>
  <c r="K103" i="15"/>
  <c r="AC103" i="15"/>
  <c r="X103" i="15"/>
  <c r="O103" i="15"/>
  <c r="AB102" i="16"/>
  <c r="X102" i="16"/>
  <c r="AJ102" i="16"/>
  <c r="AC102" i="16"/>
  <c r="K102" i="16"/>
  <c r="L102" i="16"/>
  <c r="D102" i="16" s="1"/>
  <c r="A103" i="16"/>
  <c r="AK102" i="16"/>
  <c r="O102" i="16"/>
  <c r="E101" i="16"/>
  <c r="X100" i="20"/>
  <c r="L100" i="20"/>
  <c r="AB100" i="20"/>
  <c r="A101" i="20"/>
  <c r="K100" i="20"/>
  <c r="AJ100" i="20"/>
  <c r="AK100" i="20"/>
  <c r="O100" i="20"/>
  <c r="AC100" i="20"/>
  <c r="D103" i="1"/>
  <c r="E103" i="1" s="1"/>
  <c r="X101" i="18"/>
  <c r="L101" i="18"/>
  <c r="A102" i="18"/>
  <c r="K101" i="18"/>
  <c r="AB101" i="18"/>
  <c r="O101" i="18"/>
  <c r="AJ101" i="18"/>
  <c r="AK101" i="18"/>
  <c r="AC101" i="18"/>
  <c r="AB99" i="22"/>
  <c r="X99" i="22"/>
  <c r="A100" i="22"/>
  <c r="K99" i="22"/>
  <c r="L99" i="22"/>
  <c r="AJ99" i="22"/>
  <c r="AK99" i="22"/>
  <c r="O99" i="22"/>
  <c r="AC99" i="22"/>
  <c r="X96" i="25"/>
  <c r="A97" i="25"/>
  <c r="K96" i="25"/>
  <c r="L96" i="25"/>
  <c r="AB96" i="25"/>
  <c r="AJ96" i="25"/>
  <c r="AK96" i="25"/>
  <c r="O96" i="25"/>
  <c r="AC96" i="25"/>
  <c r="S103" i="1"/>
  <c r="R103" i="1" s="1"/>
  <c r="P103" i="1" s="1"/>
  <c r="V103" i="1" s="1"/>
  <c r="O104" i="1"/>
  <c r="A105" i="1"/>
  <c r="Q104" i="1"/>
  <c r="X104" i="1"/>
  <c r="AC104" i="1"/>
  <c r="AK104" i="1"/>
  <c r="AJ104" i="1"/>
  <c r="AB104" i="1"/>
  <c r="K104" i="1"/>
  <c r="L104" i="1"/>
  <c r="U104" i="1"/>
  <c r="T104" i="1" s="1"/>
  <c r="K97" i="24"/>
  <c r="L97" i="24"/>
  <c r="X97" i="24"/>
  <c r="A98" i="24"/>
  <c r="AB97" i="24"/>
  <c r="AK97" i="24"/>
  <c r="AJ97" i="24"/>
  <c r="O97" i="24"/>
  <c r="AC97" i="24"/>
  <c r="F102" i="1"/>
  <c r="AB102" i="17"/>
  <c r="K102" i="17"/>
  <c r="A103" i="17"/>
  <c r="X102" i="17"/>
  <c r="L102" i="17"/>
  <c r="AK102" i="17"/>
  <c r="AJ102" i="17"/>
  <c r="AC102" i="17"/>
  <c r="O102" i="17"/>
  <c r="K98" i="23"/>
  <c r="AB98" i="23"/>
  <c r="A99" i="23"/>
  <c r="L98" i="23"/>
  <c r="X98" i="23"/>
  <c r="AJ98" i="23"/>
  <c r="AK98" i="23"/>
  <c r="O98" i="23"/>
  <c r="AC98" i="23"/>
  <c r="K104" i="15" l="1"/>
  <c r="AK104" i="15"/>
  <c r="L104" i="15"/>
  <c r="D104" i="15" s="1"/>
  <c r="AJ104" i="15"/>
  <c r="AB104" i="15"/>
  <c r="A105" i="15"/>
  <c r="AC104" i="15"/>
  <c r="X104" i="15"/>
  <c r="O104" i="15"/>
  <c r="E103" i="15"/>
  <c r="E102" i="16"/>
  <c r="A104" i="16"/>
  <c r="X103" i="16"/>
  <c r="L103" i="16"/>
  <c r="D103" i="16" s="1"/>
  <c r="AJ103" i="16"/>
  <c r="O103" i="16"/>
  <c r="AB103" i="16"/>
  <c r="K103" i="16"/>
  <c r="AK103" i="16"/>
  <c r="AC103" i="16"/>
  <c r="F103" i="1"/>
  <c r="AB103" i="17"/>
  <c r="X103" i="17"/>
  <c r="L103" i="17"/>
  <c r="K103" i="17"/>
  <c r="A104" i="17"/>
  <c r="AJ103" i="17"/>
  <c r="AK103" i="17"/>
  <c r="AC103" i="17"/>
  <c r="O103" i="17"/>
  <c r="S104" i="1"/>
  <c r="R104" i="1" s="1"/>
  <c r="P104" i="1" s="1"/>
  <c r="V104" i="1" s="1"/>
  <c r="AB102" i="18"/>
  <c r="K102" i="18"/>
  <c r="L102" i="18"/>
  <c r="A103" i="18"/>
  <c r="X102" i="18"/>
  <c r="AJ102" i="18"/>
  <c r="AK102" i="18"/>
  <c r="O102" i="18"/>
  <c r="AC102" i="18"/>
  <c r="X99" i="23"/>
  <c r="K99" i="23"/>
  <c r="A100" i="23"/>
  <c r="L99" i="23"/>
  <c r="AB99" i="23"/>
  <c r="AJ99" i="23"/>
  <c r="AK99" i="23"/>
  <c r="O99" i="23"/>
  <c r="AC99" i="23"/>
  <c r="G102" i="1"/>
  <c r="BW102" i="6" s="1"/>
  <c r="AA102" i="1"/>
  <c r="Z102" i="1" s="1"/>
  <c r="Y102" i="1" s="1"/>
  <c r="I102" i="1"/>
  <c r="AB98" i="24"/>
  <c r="L98" i="24"/>
  <c r="A99" i="24"/>
  <c r="X98" i="24"/>
  <c r="K98" i="24"/>
  <c r="AK98" i="24"/>
  <c r="AJ98" i="24"/>
  <c r="O98" i="24"/>
  <c r="AC98" i="24"/>
  <c r="D104" i="1"/>
  <c r="E104" i="1" s="1"/>
  <c r="X105" i="1"/>
  <c r="AC105" i="1"/>
  <c r="AJ105" i="1"/>
  <c r="AB105" i="1"/>
  <c r="L105" i="1"/>
  <c r="K105" i="1"/>
  <c r="O105" i="1"/>
  <c r="A106" i="1"/>
  <c r="AK105" i="1"/>
  <c r="Q105" i="1"/>
  <c r="U105" i="1"/>
  <c r="T105" i="1" s="1"/>
  <c r="K97" i="25"/>
  <c r="A98" i="25"/>
  <c r="X97" i="25"/>
  <c r="AB97" i="25"/>
  <c r="L97" i="25"/>
  <c r="AJ97" i="25"/>
  <c r="O97" i="25"/>
  <c r="AK97" i="25"/>
  <c r="AC97" i="25"/>
  <c r="K100" i="22"/>
  <c r="X100" i="22"/>
  <c r="A101" i="22"/>
  <c r="AB100" i="22"/>
  <c r="L100" i="22"/>
  <c r="AJ100" i="22"/>
  <c r="AK100" i="22"/>
  <c r="O100" i="22"/>
  <c r="AC100" i="22"/>
  <c r="X101" i="20"/>
  <c r="AB101" i="20"/>
  <c r="L101" i="20"/>
  <c r="A102" i="20"/>
  <c r="K101" i="20"/>
  <c r="AJ101" i="20"/>
  <c r="AK101" i="20"/>
  <c r="O101" i="20"/>
  <c r="AC101" i="20"/>
  <c r="E104" i="15" l="1"/>
  <c r="X105" i="15"/>
  <c r="AK105" i="15"/>
  <c r="L105" i="15"/>
  <c r="D105" i="15" s="1"/>
  <c r="K105" i="15"/>
  <c r="AC105" i="15"/>
  <c r="AB105" i="15"/>
  <c r="O105" i="15"/>
  <c r="E105" i="15" s="1"/>
  <c r="A106" i="15"/>
  <c r="AJ105" i="15"/>
  <c r="F104" i="1"/>
  <c r="G104" i="1" s="1"/>
  <c r="BW104" i="6" s="1"/>
  <c r="E103" i="16"/>
  <c r="L104" i="16"/>
  <c r="D104" i="16" s="1"/>
  <c r="AB104" i="16"/>
  <c r="AJ104" i="16"/>
  <c r="AC104" i="16"/>
  <c r="K104" i="16"/>
  <c r="X104" i="16"/>
  <c r="A105" i="16"/>
  <c r="AK104" i="16"/>
  <c r="O104" i="16"/>
  <c r="X102" i="20"/>
  <c r="K102" i="20"/>
  <c r="AB102" i="20"/>
  <c r="A103" i="20"/>
  <c r="L102" i="20"/>
  <c r="AK102" i="20"/>
  <c r="AJ102" i="20"/>
  <c r="O102" i="20"/>
  <c r="AC102" i="20"/>
  <c r="AC106" i="1"/>
  <c r="AJ106" i="1"/>
  <c r="Q106" i="1"/>
  <c r="O106" i="1"/>
  <c r="AK106" i="1"/>
  <c r="X106" i="1"/>
  <c r="K106" i="1"/>
  <c r="A107" i="1"/>
  <c r="AB106" i="1"/>
  <c r="L106" i="1"/>
  <c r="U106" i="1"/>
  <c r="T106" i="1" s="1"/>
  <c r="AB99" i="24"/>
  <c r="K99" i="24"/>
  <c r="X99" i="24"/>
  <c r="L99" i="24"/>
  <c r="A100" i="24"/>
  <c r="AK99" i="24"/>
  <c r="AJ99" i="24"/>
  <c r="O99" i="24"/>
  <c r="AC99" i="24"/>
  <c r="AB100" i="23"/>
  <c r="L100" i="23"/>
  <c r="K100" i="23"/>
  <c r="A101" i="23"/>
  <c r="X100" i="23"/>
  <c r="AK100" i="23"/>
  <c r="AJ100" i="23"/>
  <c r="O100" i="23"/>
  <c r="AC100" i="23"/>
  <c r="K103" i="18"/>
  <c r="L103" i="18"/>
  <c r="X103" i="18"/>
  <c r="A104" i="18"/>
  <c r="AB103" i="18"/>
  <c r="O103" i="18"/>
  <c r="AK103" i="18"/>
  <c r="AJ103" i="18"/>
  <c r="AC103" i="18"/>
  <c r="AB101" i="22"/>
  <c r="L101" i="22"/>
  <c r="K101" i="22"/>
  <c r="A102" i="22"/>
  <c r="X101" i="22"/>
  <c r="AJ101" i="22"/>
  <c r="AK101" i="22"/>
  <c r="O101" i="22"/>
  <c r="AC101" i="22"/>
  <c r="AB98" i="25"/>
  <c r="A99" i="25"/>
  <c r="L98" i="25"/>
  <c r="K98" i="25"/>
  <c r="X98" i="25"/>
  <c r="AJ98" i="25"/>
  <c r="AK98" i="25"/>
  <c r="O98" i="25"/>
  <c r="AC98" i="25"/>
  <c r="S105" i="1"/>
  <c r="R105" i="1" s="1"/>
  <c r="P105" i="1" s="1"/>
  <c r="V105" i="1" s="1"/>
  <c r="D105" i="1"/>
  <c r="E105" i="1" s="1"/>
  <c r="K104" i="17"/>
  <c r="X104" i="17"/>
  <c r="L104" i="17"/>
  <c r="A105" i="17"/>
  <c r="AB104" i="17"/>
  <c r="AJ104" i="17"/>
  <c r="AK104" i="17"/>
  <c r="O104" i="17"/>
  <c r="AC104" i="17"/>
  <c r="AA103" i="1"/>
  <c r="Z103" i="1" s="1"/>
  <c r="Y103" i="1" s="1"/>
  <c r="G103" i="1"/>
  <c r="BW103" i="6" s="1"/>
  <c r="I103" i="1"/>
  <c r="I104" i="1" l="1"/>
  <c r="A107" i="15"/>
  <c r="O106" i="15"/>
  <c r="AB106" i="15"/>
  <c r="AC106" i="15"/>
  <c r="L106" i="15"/>
  <c r="D106" i="15" s="1"/>
  <c r="K106" i="15"/>
  <c r="X106" i="15"/>
  <c r="AK106" i="15"/>
  <c r="AJ106" i="15"/>
  <c r="F105" i="1"/>
  <c r="G105" i="1" s="1"/>
  <c r="BW105" i="6" s="1"/>
  <c r="AA104" i="1"/>
  <c r="Z104" i="1" s="1"/>
  <c r="Y104" i="1" s="1"/>
  <c r="AB105" i="16"/>
  <c r="K105" i="16"/>
  <c r="AJ105" i="16"/>
  <c r="AC105" i="16"/>
  <c r="L105" i="16"/>
  <c r="D105" i="16" s="1"/>
  <c r="X105" i="16"/>
  <c r="A106" i="16"/>
  <c r="AK105" i="16"/>
  <c r="O105" i="16"/>
  <c r="E104" i="16"/>
  <c r="I105" i="1"/>
  <c r="A106" i="17"/>
  <c r="K105" i="17"/>
  <c r="L105" i="17"/>
  <c r="X105" i="17"/>
  <c r="AB105" i="17"/>
  <c r="AJ105" i="17"/>
  <c r="AK105" i="17"/>
  <c r="AC105" i="17"/>
  <c r="O105" i="17"/>
  <c r="AB99" i="25"/>
  <c r="A100" i="25"/>
  <c r="X99" i="25"/>
  <c r="K99" i="25"/>
  <c r="L99" i="25"/>
  <c r="AJ99" i="25"/>
  <c r="O99" i="25"/>
  <c r="AK99" i="25"/>
  <c r="AC99" i="25"/>
  <c r="AB104" i="18"/>
  <c r="AJ104" i="18"/>
  <c r="A105" i="18"/>
  <c r="X104" i="18"/>
  <c r="K104" i="18"/>
  <c r="L104" i="18"/>
  <c r="AK104" i="18"/>
  <c r="O104" i="18"/>
  <c r="AC104" i="18"/>
  <c r="S106" i="1"/>
  <c r="R106" i="1" s="1"/>
  <c r="P106" i="1" s="1"/>
  <c r="V106" i="1" s="1"/>
  <c r="AB103" i="20"/>
  <c r="L103" i="20"/>
  <c r="K103" i="20"/>
  <c r="X103" i="20"/>
  <c r="A104" i="20"/>
  <c r="AJ103" i="20"/>
  <c r="AK103" i="20"/>
  <c r="O103" i="20"/>
  <c r="AC103" i="20"/>
  <c r="AB102" i="22"/>
  <c r="X102" i="22"/>
  <c r="K102" i="22"/>
  <c r="L102" i="22"/>
  <c r="A103" i="22"/>
  <c r="AJ102" i="22"/>
  <c r="AK102" i="22"/>
  <c r="O102" i="22"/>
  <c r="AC102" i="22"/>
  <c r="K101" i="23"/>
  <c r="X101" i="23"/>
  <c r="L101" i="23"/>
  <c r="AB101" i="23"/>
  <c r="A102" i="23"/>
  <c r="AK101" i="23"/>
  <c r="AJ101" i="23"/>
  <c r="O101" i="23"/>
  <c r="AC101" i="23"/>
  <c r="A101" i="24"/>
  <c r="X100" i="24"/>
  <c r="AB100" i="24"/>
  <c r="L100" i="24"/>
  <c r="K100" i="24"/>
  <c r="AK100" i="24"/>
  <c r="AJ100" i="24"/>
  <c r="O100" i="24"/>
  <c r="AC100" i="24"/>
  <c r="D106" i="1"/>
  <c r="E106" i="1" s="1"/>
  <c r="AK107" i="1"/>
  <c r="AJ107" i="1"/>
  <c r="AB107" i="1"/>
  <c r="AC107" i="1"/>
  <c r="K107" i="1"/>
  <c r="L107" i="1"/>
  <c r="Q107" i="1"/>
  <c r="A108" i="1"/>
  <c r="X107" i="1"/>
  <c r="O107" i="1"/>
  <c r="U107" i="1"/>
  <c r="T107" i="1" s="1"/>
  <c r="S107" i="1" s="1"/>
  <c r="R107" i="1" s="1"/>
  <c r="P107" i="1" l="1"/>
  <c r="AA105" i="1"/>
  <c r="Z105" i="1" s="1"/>
  <c r="Y105" i="1" s="1"/>
  <c r="A108" i="15"/>
  <c r="AK107" i="15"/>
  <c r="L107" i="15"/>
  <c r="D107" i="15" s="1"/>
  <c r="X107" i="15"/>
  <c r="O107" i="15"/>
  <c r="E107" i="15" s="1"/>
  <c r="K107" i="15"/>
  <c r="AC107" i="15"/>
  <c r="AB107" i="15"/>
  <c r="AJ107" i="15"/>
  <c r="E106" i="15"/>
  <c r="F106" i="1"/>
  <c r="G106" i="1" s="1"/>
  <c r="BW106" i="6" s="1"/>
  <c r="AB106" i="16"/>
  <c r="K106" i="16"/>
  <c r="AK106" i="16"/>
  <c r="AC106" i="16"/>
  <c r="X106" i="16"/>
  <c r="L106" i="16"/>
  <c r="D106" i="16" s="1"/>
  <c r="A107" i="16"/>
  <c r="AJ106" i="16"/>
  <c r="O106" i="16"/>
  <c r="E105" i="16"/>
  <c r="X102" i="23"/>
  <c r="A103" i="23"/>
  <c r="K102" i="23"/>
  <c r="L102" i="23"/>
  <c r="AB102" i="23"/>
  <c r="AJ102" i="23"/>
  <c r="AK102" i="23"/>
  <c r="O102" i="23"/>
  <c r="AC102" i="23"/>
  <c r="K103" i="22"/>
  <c r="AB103" i="22"/>
  <c r="L103" i="22"/>
  <c r="A104" i="22"/>
  <c r="X103" i="22"/>
  <c r="AK103" i="22"/>
  <c r="AJ103" i="22"/>
  <c r="O103" i="22"/>
  <c r="AC103" i="22"/>
  <c r="K105" i="18"/>
  <c r="A106" i="18"/>
  <c r="X105" i="18"/>
  <c r="L105" i="18"/>
  <c r="AB105" i="18"/>
  <c r="AJ105" i="18"/>
  <c r="AK105" i="18"/>
  <c r="O105" i="18"/>
  <c r="AC105" i="18"/>
  <c r="A101" i="25"/>
  <c r="L100" i="25"/>
  <c r="AB100" i="25"/>
  <c r="K100" i="25"/>
  <c r="X100" i="25"/>
  <c r="AJ100" i="25"/>
  <c r="O100" i="25"/>
  <c r="AK100" i="25"/>
  <c r="AC100" i="25"/>
  <c r="A107" i="17"/>
  <c r="L106" i="17"/>
  <c r="K106" i="17"/>
  <c r="X106" i="17"/>
  <c r="AB106" i="17"/>
  <c r="AJ106" i="17"/>
  <c r="AK106" i="17"/>
  <c r="O106" i="17"/>
  <c r="AC106" i="17"/>
  <c r="A109" i="1"/>
  <c r="AJ108" i="1"/>
  <c r="K108" i="1"/>
  <c r="X108" i="1"/>
  <c r="L108" i="1"/>
  <c r="Q108" i="1"/>
  <c r="AK108" i="1"/>
  <c r="AB108" i="1"/>
  <c r="O108" i="1"/>
  <c r="AC108" i="1"/>
  <c r="U108" i="1"/>
  <c r="T108" i="1" s="1"/>
  <c r="D107" i="1"/>
  <c r="E107" i="1" s="1"/>
  <c r="V107" i="1"/>
  <c r="AB101" i="24"/>
  <c r="K101" i="24"/>
  <c r="L101" i="24"/>
  <c r="A102" i="24"/>
  <c r="X101" i="24"/>
  <c r="AJ101" i="24"/>
  <c r="AK101" i="24"/>
  <c r="O101" i="24"/>
  <c r="AC101" i="24"/>
  <c r="A105" i="20"/>
  <c r="X104" i="20"/>
  <c r="AB104" i="20"/>
  <c r="K104" i="20"/>
  <c r="L104" i="20"/>
  <c r="AJ104" i="20"/>
  <c r="AK104" i="20"/>
  <c r="O104" i="20"/>
  <c r="AC104" i="20"/>
  <c r="I106" i="1" l="1"/>
  <c r="L108" i="15"/>
  <c r="D108" i="15" s="1"/>
  <c r="AK108" i="15"/>
  <c r="A109" i="15"/>
  <c r="AJ108" i="15"/>
  <c r="K108" i="15"/>
  <c r="X108" i="15"/>
  <c r="AC108" i="15"/>
  <c r="AB108" i="15"/>
  <c r="O108" i="15"/>
  <c r="AA106" i="1"/>
  <c r="Z106" i="1" s="1"/>
  <c r="Y106" i="1" s="1"/>
  <c r="E106" i="16"/>
  <c r="F107" i="1"/>
  <c r="I107" i="1" s="1"/>
  <c r="AB107" i="16"/>
  <c r="L107" i="16"/>
  <c r="D107" i="16" s="1"/>
  <c r="K107" i="16"/>
  <c r="AJ107" i="16"/>
  <c r="O107" i="16"/>
  <c r="X107" i="16"/>
  <c r="A108" i="16"/>
  <c r="AK107" i="16"/>
  <c r="AC107" i="16"/>
  <c r="X102" i="24"/>
  <c r="L102" i="24"/>
  <c r="A103" i="24"/>
  <c r="K102" i="24"/>
  <c r="AB102" i="24"/>
  <c r="AJ102" i="24"/>
  <c r="AK102" i="24"/>
  <c r="O102" i="24"/>
  <c r="AC102" i="24"/>
  <c r="S108" i="1"/>
  <c r="R108" i="1" s="1"/>
  <c r="P108" i="1" s="1"/>
  <c r="V108" i="1" s="1"/>
  <c r="D108" i="1"/>
  <c r="E108" i="1" s="1"/>
  <c r="K109" i="1"/>
  <c r="O109" i="1"/>
  <c r="AK109" i="1"/>
  <c r="AJ109" i="1"/>
  <c r="Q109" i="1"/>
  <c r="A110" i="1"/>
  <c r="L109" i="1"/>
  <c r="AC109" i="1"/>
  <c r="X109" i="1"/>
  <c r="AB109" i="1"/>
  <c r="U109" i="1"/>
  <c r="T109" i="1" s="1"/>
  <c r="S109" i="1" s="1"/>
  <c r="R109" i="1" s="1"/>
  <c r="P109" i="1" s="1"/>
  <c r="A108" i="17"/>
  <c r="K107" i="17"/>
  <c r="AB107" i="17"/>
  <c r="X107" i="17"/>
  <c r="L107" i="17"/>
  <c r="AJ107" i="17"/>
  <c r="AK107" i="17"/>
  <c r="AC107" i="17"/>
  <c r="O107" i="17"/>
  <c r="X101" i="25"/>
  <c r="K101" i="25"/>
  <c r="L101" i="25"/>
  <c r="AB101" i="25"/>
  <c r="A102" i="25"/>
  <c r="AJ101" i="25"/>
  <c r="AK101" i="25"/>
  <c r="O101" i="25"/>
  <c r="AC101" i="25"/>
  <c r="AB106" i="18"/>
  <c r="A107" i="18"/>
  <c r="AJ106" i="18"/>
  <c r="K106" i="18"/>
  <c r="L106" i="18"/>
  <c r="X106" i="18"/>
  <c r="O106" i="18"/>
  <c r="AK106" i="18"/>
  <c r="AC106" i="18"/>
  <c r="AB103" i="23"/>
  <c r="X103" i="23"/>
  <c r="A104" i="23"/>
  <c r="L103" i="23"/>
  <c r="K103" i="23"/>
  <c r="AK103" i="23"/>
  <c r="AJ103" i="23"/>
  <c r="O103" i="23"/>
  <c r="AC103" i="23"/>
  <c r="K105" i="20"/>
  <c r="AB105" i="20"/>
  <c r="X105" i="20"/>
  <c r="L105" i="20"/>
  <c r="A106" i="20"/>
  <c r="AK105" i="20"/>
  <c r="AJ105" i="20"/>
  <c r="O105" i="20"/>
  <c r="AC105" i="20"/>
  <c r="K104" i="22"/>
  <c r="L104" i="22"/>
  <c r="X104" i="22"/>
  <c r="AB104" i="22"/>
  <c r="A105" i="22"/>
  <c r="AK104" i="22"/>
  <c r="AJ104" i="22"/>
  <c r="O104" i="22"/>
  <c r="AC104" i="22"/>
  <c r="G107" i="1" l="1"/>
  <c r="BW107" i="6" s="1"/>
  <c r="AA107" i="1"/>
  <c r="Z107" i="1" s="1"/>
  <c r="Y107" i="1" s="1"/>
  <c r="X109" i="15"/>
  <c r="AK109" i="15"/>
  <c r="A110" i="15"/>
  <c r="K109" i="15"/>
  <c r="AC109" i="15"/>
  <c r="AB109" i="15"/>
  <c r="O109" i="15"/>
  <c r="L109" i="15"/>
  <c r="D109" i="15" s="1"/>
  <c r="AJ109" i="15"/>
  <c r="E108" i="15"/>
  <c r="E107" i="16"/>
  <c r="K108" i="16"/>
  <c r="O108" i="16"/>
  <c r="L108" i="16"/>
  <c r="D108" i="16" s="1"/>
  <c r="A109" i="16"/>
  <c r="AJ108" i="16"/>
  <c r="AC108" i="16"/>
  <c r="X108" i="16"/>
  <c r="AB108" i="16"/>
  <c r="AK108" i="16"/>
  <c r="F108" i="1"/>
  <c r="X106" i="20"/>
  <c r="AB106" i="20"/>
  <c r="K106" i="20"/>
  <c r="L106" i="20"/>
  <c r="A107" i="20"/>
  <c r="AJ106" i="20"/>
  <c r="AK106" i="20"/>
  <c r="O106" i="20"/>
  <c r="AC106" i="20"/>
  <c r="X107" i="18"/>
  <c r="L107" i="18"/>
  <c r="K107" i="18"/>
  <c r="AB107" i="18"/>
  <c r="A108" i="18"/>
  <c r="AK107" i="18"/>
  <c r="O107" i="18"/>
  <c r="AJ107" i="18"/>
  <c r="AC107" i="18"/>
  <c r="K102" i="25"/>
  <c r="AB102" i="25"/>
  <c r="L102" i="25"/>
  <c r="A103" i="25"/>
  <c r="X102" i="25"/>
  <c r="AJ102" i="25"/>
  <c r="O102" i="25"/>
  <c r="AK102" i="25"/>
  <c r="AC102" i="25"/>
  <c r="D109" i="1"/>
  <c r="E109" i="1" s="1"/>
  <c r="V109" i="1"/>
  <c r="A104" i="24"/>
  <c r="X103" i="24"/>
  <c r="K103" i="24"/>
  <c r="AB103" i="24"/>
  <c r="L103" i="24"/>
  <c r="AK103" i="24"/>
  <c r="O103" i="24"/>
  <c r="AJ103" i="24"/>
  <c r="AC103" i="24"/>
  <c r="AB105" i="22"/>
  <c r="A106" i="22"/>
  <c r="K105" i="22"/>
  <c r="L105" i="22"/>
  <c r="X105" i="22"/>
  <c r="AK105" i="22"/>
  <c r="AJ105" i="22"/>
  <c r="O105" i="22"/>
  <c r="AC105" i="22"/>
  <c r="AB104" i="23"/>
  <c r="K104" i="23"/>
  <c r="A105" i="23"/>
  <c r="L104" i="23"/>
  <c r="X104" i="23"/>
  <c r="AJ104" i="23"/>
  <c r="AK104" i="23"/>
  <c r="O104" i="23"/>
  <c r="AC104" i="23"/>
  <c r="A109" i="17"/>
  <c r="K108" i="17"/>
  <c r="L108" i="17"/>
  <c r="X108" i="17"/>
  <c r="AB108" i="17"/>
  <c r="AK108" i="17"/>
  <c r="AJ108" i="17"/>
  <c r="AC108" i="17"/>
  <c r="O108" i="17"/>
  <c r="K110" i="1"/>
  <c r="L110" i="1"/>
  <c r="X110" i="1"/>
  <c r="AB110" i="1"/>
  <c r="AK110" i="1"/>
  <c r="O110" i="1"/>
  <c r="AJ110" i="1"/>
  <c r="A111" i="1"/>
  <c r="AC110" i="1"/>
  <c r="Q110" i="1"/>
  <c r="U110" i="1"/>
  <c r="T110" i="1" s="1"/>
  <c r="L110" i="15" l="1"/>
  <c r="D110" i="15" s="1"/>
  <c r="AJ110" i="15"/>
  <c r="X110" i="15"/>
  <c r="AK110" i="15"/>
  <c r="AB110" i="15"/>
  <c r="A111" i="15"/>
  <c r="O110" i="15"/>
  <c r="E110" i="15" s="1"/>
  <c r="K110" i="15"/>
  <c r="AC110" i="15"/>
  <c r="E109" i="15"/>
  <c r="F109" i="1"/>
  <c r="G109" i="1" s="1"/>
  <c r="BW109" i="6" s="1"/>
  <c r="E108" i="16"/>
  <c r="X109" i="16"/>
  <c r="K109" i="16"/>
  <c r="AB109" i="16"/>
  <c r="AK109" i="16"/>
  <c r="O109" i="16"/>
  <c r="L109" i="16"/>
  <c r="D109" i="16" s="1"/>
  <c r="A110" i="16"/>
  <c r="AJ109" i="16"/>
  <c r="AC109" i="16"/>
  <c r="S110" i="1"/>
  <c r="R110" i="1" s="1"/>
  <c r="P110" i="1" s="1"/>
  <c r="V110" i="1" s="1"/>
  <c r="A107" i="22"/>
  <c r="K106" i="22"/>
  <c r="L106" i="22"/>
  <c r="X106" i="22"/>
  <c r="AB106" i="22"/>
  <c r="AJ106" i="22"/>
  <c r="AK106" i="22"/>
  <c r="O106" i="22"/>
  <c r="AC106" i="22"/>
  <c r="AB104" i="24"/>
  <c r="A105" i="24"/>
  <c r="L104" i="24"/>
  <c r="K104" i="24"/>
  <c r="X104" i="24"/>
  <c r="AK104" i="24"/>
  <c r="AJ104" i="24"/>
  <c r="O104" i="24"/>
  <c r="AC104" i="24"/>
  <c r="I109" i="1"/>
  <c r="A104" i="25"/>
  <c r="X103" i="25"/>
  <c r="AB103" i="25"/>
  <c r="L103" i="25"/>
  <c r="K103" i="25"/>
  <c r="AJ103" i="25"/>
  <c r="AK103" i="25"/>
  <c r="O103" i="25"/>
  <c r="AC103" i="25"/>
  <c r="A109" i="18"/>
  <c r="AB108" i="18"/>
  <c r="K108" i="18"/>
  <c r="L108" i="18"/>
  <c r="X108" i="18"/>
  <c r="AJ108" i="18"/>
  <c r="O108" i="18"/>
  <c r="AK108" i="18"/>
  <c r="AC108" i="18"/>
  <c r="G108" i="1"/>
  <c r="BW108" i="6" s="1"/>
  <c r="AA108" i="1"/>
  <c r="Z108" i="1" s="1"/>
  <c r="Y108" i="1" s="1"/>
  <c r="I108" i="1"/>
  <c r="A112" i="1"/>
  <c r="X111" i="1"/>
  <c r="AB111" i="1"/>
  <c r="L111" i="1"/>
  <c r="AJ111" i="1"/>
  <c r="AC111" i="1"/>
  <c r="K111" i="1"/>
  <c r="O111" i="1"/>
  <c r="AK111" i="1"/>
  <c r="Q111" i="1"/>
  <c r="U111" i="1"/>
  <c r="T111" i="1" s="1"/>
  <c r="S111" i="1" s="1"/>
  <c r="R111" i="1" s="1"/>
  <c r="D110" i="1"/>
  <c r="E110" i="1" s="1"/>
  <c r="AB109" i="17"/>
  <c r="L109" i="17"/>
  <c r="X109" i="17"/>
  <c r="A110" i="17"/>
  <c r="K109" i="17"/>
  <c r="AJ109" i="17"/>
  <c r="AK109" i="17"/>
  <c r="AC109" i="17"/>
  <c r="O109" i="17"/>
  <c r="X105" i="23"/>
  <c r="K105" i="23"/>
  <c r="L105" i="23"/>
  <c r="A106" i="23"/>
  <c r="AB105" i="23"/>
  <c r="AJ105" i="23"/>
  <c r="AK105" i="23"/>
  <c r="O105" i="23"/>
  <c r="AC105" i="23"/>
  <c r="A108" i="20"/>
  <c r="X107" i="20"/>
  <c r="L107" i="20"/>
  <c r="AB107" i="20"/>
  <c r="K107" i="20"/>
  <c r="AJ107" i="20"/>
  <c r="AK107" i="20"/>
  <c r="O107" i="20"/>
  <c r="AC107" i="20"/>
  <c r="AA109" i="1" l="1"/>
  <c r="Z109" i="1" s="1"/>
  <c r="Y109" i="1" s="1"/>
  <c r="L111" i="15"/>
  <c r="D111" i="15" s="1"/>
  <c r="AK111" i="15"/>
  <c r="AB111" i="15"/>
  <c r="K111" i="15"/>
  <c r="AC111" i="15"/>
  <c r="A112" i="15"/>
  <c r="O111" i="15"/>
  <c r="X111" i="15"/>
  <c r="AJ111" i="15"/>
  <c r="E109" i="16"/>
  <c r="X110" i="16"/>
  <c r="L110" i="16"/>
  <c r="D110" i="16" s="1"/>
  <c r="AJ110" i="16"/>
  <c r="AC110" i="16"/>
  <c r="K110" i="16"/>
  <c r="A111" i="16"/>
  <c r="AB110" i="16"/>
  <c r="AK110" i="16"/>
  <c r="O110" i="16"/>
  <c r="K108" i="20"/>
  <c r="L108" i="20"/>
  <c r="A109" i="20"/>
  <c r="X108" i="20"/>
  <c r="AB108" i="20"/>
  <c r="AJ108" i="20"/>
  <c r="AK108" i="20"/>
  <c r="O108" i="20"/>
  <c r="AC108" i="20"/>
  <c r="A107" i="23"/>
  <c r="K106" i="23"/>
  <c r="L106" i="23"/>
  <c r="AB106" i="23"/>
  <c r="X106" i="23"/>
  <c r="AK106" i="23"/>
  <c r="AJ106" i="23"/>
  <c r="O106" i="23"/>
  <c r="AC106" i="23"/>
  <c r="F110" i="1"/>
  <c r="D111" i="1"/>
  <c r="E111" i="1" s="1"/>
  <c r="A105" i="25"/>
  <c r="K104" i="25"/>
  <c r="AB104" i="25"/>
  <c r="L104" i="25"/>
  <c r="X104" i="25"/>
  <c r="AJ104" i="25"/>
  <c r="AK104" i="25"/>
  <c r="O104" i="25"/>
  <c r="AC104" i="25"/>
  <c r="K110" i="17"/>
  <c r="AB110" i="17"/>
  <c r="A111" i="17"/>
  <c r="L110" i="17"/>
  <c r="X110" i="17"/>
  <c r="AK110" i="17"/>
  <c r="AJ110" i="17"/>
  <c r="AC110" i="17"/>
  <c r="O110" i="17"/>
  <c r="P111" i="1"/>
  <c r="V111" i="1" s="1"/>
  <c r="X112" i="1"/>
  <c r="AC112" i="1"/>
  <c r="AK112" i="1"/>
  <c r="K112" i="1"/>
  <c r="A113" i="1"/>
  <c r="L112" i="1"/>
  <c r="O112" i="1"/>
  <c r="AJ112" i="1"/>
  <c r="AB112" i="1"/>
  <c r="Q112" i="1"/>
  <c r="U112" i="1"/>
  <c r="K109" i="18"/>
  <c r="L109" i="18"/>
  <c r="AB109" i="18"/>
  <c r="X109" i="18"/>
  <c r="A110" i="18"/>
  <c r="AK109" i="18"/>
  <c r="AJ109" i="18"/>
  <c r="O109" i="18"/>
  <c r="AC109" i="18"/>
  <c r="A106" i="24"/>
  <c r="AB105" i="24"/>
  <c r="K105" i="24"/>
  <c r="X105" i="24"/>
  <c r="L105" i="24"/>
  <c r="AJ105" i="24"/>
  <c r="AK105" i="24"/>
  <c r="O105" i="24"/>
  <c r="AC105" i="24"/>
  <c r="K107" i="22"/>
  <c r="X107" i="22"/>
  <c r="A108" i="22"/>
  <c r="AB107" i="22"/>
  <c r="L107" i="22"/>
  <c r="AK107" i="22"/>
  <c r="AJ107" i="22"/>
  <c r="O107" i="22"/>
  <c r="AC107" i="22"/>
  <c r="F111" i="1" l="1"/>
  <c r="G111" i="1" s="1"/>
  <c r="BW111" i="6" s="1"/>
  <c r="E110" i="16"/>
  <c r="E111" i="15"/>
  <c r="A113" i="15"/>
  <c r="AJ112" i="15"/>
  <c r="L112" i="15"/>
  <c r="D112" i="15" s="1"/>
  <c r="X112" i="15"/>
  <c r="AC112" i="15"/>
  <c r="K112" i="15"/>
  <c r="O112" i="15"/>
  <c r="AB112" i="15"/>
  <c r="AK112" i="15"/>
  <c r="L111" i="16"/>
  <c r="D111" i="16" s="1"/>
  <c r="A112" i="16"/>
  <c r="K111" i="16"/>
  <c r="AJ111" i="16"/>
  <c r="O111" i="16"/>
  <c r="X111" i="16"/>
  <c r="AB111" i="16"/>
  <c r="AK111" i="16"/>
  <c r="AC111" i="16"/>
  <c r="K108" i="22"/>
  <c r="AB108" i="22"/>
  <c r="L108" i="22"/>
  <c r="X108" i="22"/>
  <c r="A109" i="22"/>
  <c r="AJ108" i="22"/>
  <c r="AK108" i="22"/>
  <c r="O108" i="22"/>
  <c r="AC108" i="22"/>
  <c r="T112" i="1"/>
  <c r="AK113" i="1"/>
  <c r="AB113" i="1"/>
  <c r="A114" i="1"/>
  <c r="X113" i="1"/>
  <c r="O113" i="1"/>
  <c r="AJ113" i="1"/>
  <c r="Q113" i="1"/>
  <c r="AC113" i="1"/>
  <c r="L113" i="1"/>
  <c r="K113" i="1"/>
  <c r="U113" i="1"/>
  <c r="AB111" i="17"/>
  <c r="L111" i="17"/>
  <c r="X111" i="17"/>
  <c r="K111" i="17"/>
  <c r="A112" i="17"/>
  <c r="AJ111" i="17"/>
  <c r="AK111" i="17"/>
  <c r="AC111" i="17"/>
  <c r="O111" i="17"/>
  <c r="AA110" i="1"/>
  <c r="Z110" i="1" s="1"/>
  <c r="Y110" i="1" s="1"/>
  <c r="G110" i="1"/>
  <c r="BW110" i="6" s="1"/>
  <c r="I110" i="1"/>
  <c r="X107" i="23"/>
  <c r="L107" i="23"/>
  <c r="AB107" i="23"/>
  <c r="K107" i="23"/>
  <c r="A108" i="23"/>
  <c r="AK107" i="23"/>
  <c r="AJ107" i="23"/>
  <c r="O107" i="23"/>
  <c r="AC107" i="23"/>
  <c r="X106" i="24"/>
  <c r="L106" i="24"/>
  <c r="K106" i="24"/>
  <c r="A107" i="24"/>
  <c r="AB106" i="24"/>
  <c r="AJ106" i="24"/>
  <c r="AK106" i="24"/>
  <c r="O106" i="24"/>
  <c r="AC106" i="24"/>
  <c r="AB110" i="18"/>
  <c r="X110" i="18"/>
  <c r="A111" i="18"/>
  <c r="L110" i="18"/>
  <c r="K110" i="18"/>
  <c r="O110" i="18"/>
  <c r="AJ110" i="18"/>
  <c r="AK110" i="18"/>
  <c r="AC110" i="18"/>
  <c r="D112" i="1"/>
  <c r="E112" i="1" s="1"/>
  <c r="X105" i="25"/>
  <c r="A106" i="25"/>
  <c r="AB105" i="25"/>
  <c r="K105" i="25"/>
  <c r="L105" i="25"/>
  <c r="AK105" i="25"/>
  <c r="AJ105" i="25"/>
  <c r="O105" i="25"/>
  <c r="AC105" i="25"/>
  <c r="A110" i="20"/>
  <c r="AB109" i="20"/>
  <c r="X109" i="20"/>
  <c r="K109" i="20"/>
  <c r="L109" i="20"/>
  <c r="AK109" i="20"/>
  <c r="AJ109" i="20"/>
  <c r="O109" i="20"/>
  <c r="AC109" i="20"/>
  <c r="AA111" i="1" l="1"/>
  <c r="Z111" i="1" s="1"/>
  <c r="Y111" i="1" s="1"/>
  <c r="I111" i="1"/>
  <c r="E112" i="15"/>
  <c r="K113" i="15"/>
  <c r="AJ113" i="15"/>
  <c r="A114" i="15"/>
  <c r="AK113" i="15"/>
  <c r="X113" i="15"/>
  <c r="AB113" i="15"/>
  <c r="O113" i="15"/>
  <c r="L113" i="15"/>
  <c r="D113" i="15" s="1"/>
  <c r="AC113" i="15"/>
  <c r="E111" i="16"/>
  <c r="L112" i="16"/>
  <c r="D112" i="16" s="1"/>
  <c r="X112" i="16"/>
  <c r="K112" i="16"/>
  <c r="AK112" i="16"/>
  <c r="O112" i="16"/>
  <c r="A113" i="16"/>
  <c r="AB112" i="16"/>
  <c r="AJ112" i="16"/>
  <c r="AC112" i="16"/>
  <c r="X110" i="20"/>
  <c r="K110" i="20"/>
  <c r="A111" i="20"/>
  <c r="AB110" i="20"/>
  <c r="L110" i="20"/>
  <c r="AJ110" i="20"/>
  <c r="AK110" i="20"/>
  <c r="O110" i="20"/>
  <c r="AC110" i="20"/>
  <c r="X106" i="25"/>
  <c r="AB106" i="25"/>
  <c r="K106" i="25"/>
  <c r="A107" i="25"/>
  <c r="L106" i="25"/>
  <c r="AJ106" i="25"/>
  <c r="O106" i="25"/>
  <c r="AK106" i="25"/>
  <c r="AC106" i="25"/>
  <c r="S112" i="1"/>
  <c r="R112" i="1" s="1"/>
  <c r="P112" i="1" s="1"/>
  <c r="V112" i="1" s="1"/>
  <c r="F112" i="1" s="1"/>
  <c r="A110" i="22"/>
  <c r="X109" i="22"/>
  <c r="K109" i="22"/>
  <c r="L109" i="22"/>
  <c r="AB109" i="22"/>
  <c r="AJ109" i="22"/>
  <c r="AK109" i="22"/>
  <c r="O109" i="22"/>
  <c r="AC109" i="22"/>
  <c r="K111" i="18"/>
  <c r="X111" i="18"/>
  <c r="AB111" i="18"/>
  <c r="A112" i="18"/>
  <c r="L111" i="18"/>
  <c r="O111" i="18"/>
  <c r="AK111" i="18"/>
  <c r="AJ111" i="18"/>
  <c r="AC111" i="18"/>
  <c r="K107" i="24"/>
  <c r="L107" i="24"/>
  <c r="X107" i="24"/>
  <c r="A108" i="24"/>
  <c r="AB107" i="24"/>
  <c r="AK107" i="24"/>
  <c r="O107" i="24"/>
  <c r="AJ107" i="24"/>
  <c r="AC107" i="24"/>
  <c r="AB108" i="23"/>
  <c r="A109" i="23"/>
  <c r="K108" i="23"/>
  <c r="L108" i="23"/>
  <c r="X108" i="23"/>
  <c r="AJ108" i="23"/>
  <c r="AK108" i="23"/>
  <c r="O108" i="23"/>
  <c r="AC108" i="23"/>
  <c r="K112" i="17"/>
  <c r="X112" i="17"/>
  <c r="L112" i="17"/>
  <c r="A113" i="17"/>
  <c r="AB112" i="17"/>
  <c r="AK112" i="17"/>
  <c r="AJ112" i="17"/>
  <c r="O112" i="17"/>
  <c r="AC112" i="17"/>
  <c r="T113" i="1"/>
  <c r="D113" i="1"/>
  <c r="E113" i="1" s="1"/>
  <c r="AJ114" i="1"/>
  <c r="L114" i="1"/>
  <c r="O114" i="1"/>
  <c r="K114" i="1"/>
  <c r="AB114" i="1"/>
  <c r="A115" i="1"/>
  <c r="AK114" i="1"/>
  <c r="AC114" i="1"/>
  <c r="X114" i="1"/>
  <c r="Q114" i="1"/>
  <c r="U114" i="1"/>
  <c r="T114" i="1" s="1"/>
  <c r="S114" i="1" s="1"/>
  <c r="R114" i="1" s="1"/>
  <c r="E113" i="15" l="1"/>
  <c r="X114" i="15"/>
  <c r="O114" i="15"/>
  <c r="L114" i="15"/>
  <c r="D114" i="15" s="1"/>
  <c r="AJ114" i="15"/>
  <c r="A115" i="15"/>
  <c r="AK114" i="15"/>
  <c r="AB114" i="15"/>
  <c r="K114" i="15"/>
  <c r="AC114" i="15"/>
  <c r="E112" i="16"/>
  <c r="A114" i="16"/>
  <c r="K113" i="16"/>
  <c r="X113" i="16"/>
  <c r="AK113" i="16"/>
  <c r="O113" i="16"/>
  <c r="AB113" i="16"/>
  <c r="L113" i="16"/>
  <c r="D113" i="16" s="1"/>
  <c r="E113" i="16" s="1"/>
  <c r="AJ113" i="16"/>
  <c r="AC113" i="16"/>
  <c r="AK115" i="1"/>
  <c r="Q115" i="1"/>
  <c r="A116" i="1"/>
  <c r="O115" i="1"/>
  <c r="K115" i="1"/>
  <c r="L115" i="1"/>
  <c r="X115" i="1"/>
  <c r="AC115" i="1"/>
  <c r="AJ115" i="1"/>
  <c r="AB115" i="1"/>
  <c r="U115" i="1"/>
  <c r="T115" i="1" s="1"/>
  <c r="D114" i="1"/>
  <c r="X113" i="17"/>
  <c r="K113" i="17"/>
  <c r="A114" i="17"/>
  <c r="L113" i="17"/>
  <c r="AB113" i="17"/>
  <c r="AJ113" i="17"/>
  <c r="AK113" i="17"/>
  <c r="AC113" i="17"/>
  <c r="O113" i="17"/>
  <c r="A110" i="23"/>
  <c r="AB109" i="23"/>
  <c r="K109" i="23"/>
  <c r="L109" i="23"/>
  <c r="X109" i="23"/>
  <c r="AJ109" i="23"/>
  <c r="AK109" i="23"/>
  <c r="O109" i="23"/>
  <c r="AC109" i="23"/>
  <c r="K112" i="18"/>
  <c r="X112" i="18"/>
  <c r="AB112" i="18"/>
  <c r="A113" i="18"/>
  <c r="L112" i="18"/>
  <c r="AJ112" i="18"/>
  <c r="AK112" i="18"/>
  <c r="O112" i="18"/>
  <c r="AC112" i="18"/>
  <c r="G112" i="1"/>
  <c r="BW112" i="6" s="1"/>
  <c r="AA112" i="1"/>
  <c r="Z112" i="1" s="1"/>
  <c r="Y112" i="1" s="1"/>
  <c r="I112" i="1"/>
  <c r="AB107" i="25"/>
  <c r="K107" i="25"/>
  <c r="X107" i="25"/>
  <c r="A108" i="25"/>
  <c r="L107" i="25"/>
  <c r="AJ107" i="25"/>
  <c r="AK107" i="25"/>
  <c r="O107" i="25"/>
  <c r="AC107" i="25"/>
  <c r="AB111" i="20"/>
  <c r="X111" i="20"/>
  <c r="L111" i="20"/>
  <c r="A112" i="20"/>
  <c r="K111" i="20"/>
  <c r="AJ111" i="20"/>
  <c r="AK111" i="20"/>
  <c r="O111" i="20"/>
  <c r="AC111" i="20"/>
  <c r="P114" i="1"/>
  <c r="V114" i="1" s="1"/>
  <c r="E114" i="1"/>
  <c r="S113" i="1"/>
  <c r="R113" i="1" s="1"/>
  <c r="P113" i="1" s="1"/>
  <c r="V113" i="1" s="1"/>
  <c r="F113" i="1" s="1"/>
  <c r="X108" i="24"/>
  <c r="L108" i="24"/>
  <c r="K108" i="24"/>
  <c r="AB108" i="24"/>
  <c r="A109" i="24"/>
  <c r="AJ108" i="24"/>
  <c r="AK108" i="24"/>
  <c r="O108" i="24"/>
  <c r="AC108" i="24"/>
  <c r="AB110" i="22"/>
  <c r="K110" i="22"/>
  <c r="A111" i="22"/>
  <c r="L110" i="22"/>
  <c r="X110" i="22"/>
  <c r="AJ110" i="22"/>
  <c r="AK110" i="22"/>
  <c r="O110" i="22"/>
  <c r="AC110" i="22"/>
  <c r="E114" i="15" l="1"/>
  <c r="AB115" i="15"/>
  <c r="AK115" i="15"/>
  <c r="K115" i="15"/>
  <c r="AJ115" i="15"/>
  <c r="L115" i="15"/>
  <c r="D115" i="15" s="1"/>
  <c r="A116" i="15"/>
  <c r="AC115" i="15"/>
  <c r="X115" i="15"/>
  <c r="O115" i="15"/>
  <c r="E115" i="15" s="1"/>
  <c r="X114" i="16"/>
  <c r="A115" i="16"/>
  <c r="AK114" i="16"/>
  <c r="AC114" i="16"/>
  <c r="AB114" i="16"/>
  <c r="L114" i="16"/>
  <c r="D114" i="16" s="1"/>
  <c r="K114" i="16"/>
  <c r="AJ114" i="16"/>
  <c r="O114" i="16"/>
  <c r="A112" i="22"/>
  <c r="AB111" i="22"/>
  <c r="K111" i="22"/>
  <c r="L111" i="22"/>
  <c r="X111" i="22"/>
  <c r="AJ111" i="22"/>
  <c r="AK111" i="22"/>
  <c r="O111" i="22"/>
  <c r="AC111" i="22"/>
  <c r="I113" i="1"/>
  <c r="AA113" i="1"/>
  <c r="Z113" i="1" s="1"/>
  <c r="Y113" i="1" s="1"/>
  <c r="G113" i="1"/>
  <c r="BW113" i="6" s="1"/>
  <c r="AB108" i="25"/>
  <c r="K108" i="25"/>
  <c r="X108" i="25"/>
  <c r="A109" i="25"/>
  <c r="L108" i="25"/>
  <c r="AK108" i="25"/>
  <c r="AJ108" i="25"/>
  <c r="O108" i="25"/>
  <c r="AC108" i="25"/>
  <c r="X113" i="18"/>
  <c r="AB113" i="18"/>
  <c r="L113" i="18"/>
  <c r="A114" i="18"/>
  <c r="K113" i="18"/>
  <c r="O113" i="18"/>
  <c r="AJ113" i="18"/>
  <c r="AK113" i="18"/>
  <c r="AC113" i="18"/>
  <c r="X110" i="23"/>
  <c r="L110" i="23"/>
  <c r="K110" i="23"/>
  <c r="A111" i="23"/>
  <c r="AB110" i="23"/>
  <c r="AK110" i="23"/>
  <c r="AJ110" i="23"/>
  <c r="O110" i="23"/>
  <c r="AC110" i="23"/>
  <c r="X114" i="17"/>
  <c r="AB114" i="17"/>
  <c r="K114" i="17"/>
  <c r="L114" i="17"/>
  <c r="A115" i="17"/>
  <c r="AJ114" i="17"/>
  <c r="AK114" i="17"/>
  <c r="O114" i="17"/>
  <c r="AC114" i="17"/>
  <c r="F114" i="1"/>
  <c r="S115" i="1"/>
  <c r="R115" i="1" s="1"/>
  <c r="P115" i="1" s="1"/>
  <c r="V115" i="1" s="1"/>
  <c r="O116" i="1"/>
  <c r="K116" i="1"/>
  <c r="AC116" i="1"/>
  <c r="AK116" i="1"/>
  <c r="L116" i="1"/>
  <c r="X116" i="1"/>
  <c r="AB116" i="1"/>
  <c r="A117" i="1"/>
  <c r="AJ116" i="1"/>
  <c r="Q116" i="1"/>
  <c r="U116" i="1"/>
  <c r="T116" i="1" s="1"/>
  <c r="S116" i="1" s="1"/>
  <c r="R116" i="1" s="1"/>
  <c r="X109" i="24"/>
  <c r="AB109" i="24"/>
  <c r="K109" i="24"/>
  <c r="L109" i="24"/>
  <c r="A110" i="24"/>
  <c r="AK109" i="24"/>
  <c r="AJ109" i="24"/>
  <c r="O109" i="24"/>
  <c r="AC109" i="24"/>
  <c r="AB112" i="20"/>
  <c r="L112" i="20"/>
  <c r="A113" i="20"/>
  <c r="K112" i="20"/>
  <c r="X112" i="20"/>
  <c r="AJ112" i="20"/>
  <c r="AK112" i="20"/>
  <c r="O112" i="20"/>
  <c r="AC112" i="20"/>
  <c r="D115" i="1"/>
  <c r="E115" i="1" s="1"/>
  <c r="X116" i="15" l="1"/>
  <c r="AK116" i="15"/>
  <c r="L116" i="15"/>
  <c r="D116" i="15" s="1"/>
  <c r="AJ116" i="15"/>
  <c r="AB116" i="15"/>
  <c r="K116" i="15"/>
  <c r="AC116" i="15"/>
  <c r="A117" i="15"/>
  <c r="O116" i="15"/>
  <c r="E114" i="16"/>
  <c r="AB115" i="16"/>
  <c r="L115" i="16"/>
  <c r="D115" i="16" s="1"/>
  <c r="AJ115" i="16"/>
  <c r="AC115" i="16"/>
  <c r="A116" i="16"/>
  <c r="X115" i="16"/>
  <c r="K115" i="16"/>
  <c r="AK115" i="16"/>
  <c r="O115" i="16"/>
  <c r="X113" i="20"/>
  <c r="A114" i="20"/>
  <c r="AB113" i="20"/>
  <c r="K113" i="20"/>
  <c r="L113" i="20"/>
  <c r="AJ113" i="20"/>
  <c r="AK113" i="20"/>
  <c r="O113" i="20"/>
  <c r="AC113" i="20"/>
  <c r="A118" i="1"/>
  <c r="AC117" i="1"/>
  <c r="AK117" i="1"/>
  <c r="K117" i="1"/>
  <c r="L117" i="1"/>
  <c r="X117" i="1"/>
  <c r="O117" i="1"/>
  <c r="AB117" i="1"/>
  <c r="AJ117" i="1"/>
  <c r="Q117" i="1"/>
  <c r="U117" i="1"/>
  <c r="T117" i="1" s="1"/>
  <c r="G114" i="1"/>
  <c r="BW114" i="6" s="1"/>
  <c r="AA114" i="1"/>
  <c r="Z114" i="1" s="1"/>
  <c r="Y114" i="1" s="1"/>
  <c r="I114" i="1"/>
  <c r="AB111" i="23"/>
  <c r="L111" i="23"/>
  <c r="X111" i="23"/>
  <c r="A112" i="23"/>
  <c r="K111" i="23"/>
  <c r="AJ111" i="23"/>
  <c r="AK111" i="23"/>
  <c r="O111" i="23"/>
  <c r="AC111" i="23"/>
  <c r="A110" i="25"/>
  <c r="K109" i="25"/>
  <c r="AB109" i="25"/>
  <c r="X109" i="25"/>
  <c r="L109" i="25"/>
  <c r="AJ109" i="25"/>
  <c r="O109" i="25"/>
  <c r="AK109" i="25"/>
  <c r="AC109" i="25"/>
  <c r="F115" i="1"/>
  <c r="AB110" i="24"/>
  <c r="L110" i="24"/>
  <c r="K110" i="24"/>
  <c r="A111" i="24"/>
  <c r="X110" i="24"/>
  <c r="AJ110" i="24"/>
  <c r="AK110" i="24"/>
  <c r="O110" i="24"/>
  <c r="AC110" i="24"/>
  <c r="P116" i="1"/>
  <c r="V116" i="1" s="1"/>
  <c r="D116" i="1"/>
  <c r="E116" i="1" s="1"/>
  <c r="AB115" i="17"/>
  <c r="A116" i="17"/>
  <c r="K115" i="17"/>
  <c r="L115" i="17"/>
  <c r="X115" i="17"/>
  <c r="AK115" i="17"/>
  <c r="AJ115" i="17"/>
  <c r="AC115" i="17"/>
  <c r="O115" i="17"/>
  <c r="AB114" i="18"/>
  <c r="K114" i="18"/>
  <c r="AJ114" i="18"/>
  <c r="A115" i="18"/>
  <c r="L114" i="18"/>
  <c r="X114" i="18"/>
  <c r="AK114" i="18"/>
  <c r="O114" i="18"/>
  <c r="AC114" i="18"/>
  <c r="AB112" i="22"/>
  <c r="X112" i="22"/>
  <c r="K112" i="22"/>
  <c r="A113" i="22"/>
  <c r="L112" i="22"/>
  <c r="AJ112" i="22"/>
  <c r="AK112" i="22"/>
  <c r="O112" i="22"/>
  <c r="AC112" i="22"/>
  <c r="E116" i="15" l="1"/>
  <c r="K117" i="15"/>
  <c r="O117" i="15"/>
  <c r="AB117" i="15"/>
  <c r="AJ117" i="15"/>
  <c r="L117" i="15"/>
  <c r="D117" i="15" s="1"/>
  <c r="AK117" i="15"/>
  <c r="X117" i="15"/>
  <c r="A118" i="15"/>
  <c r="AC117" i="15"/>
  <c r="F116" i="1"/>
  <c r="G116" i="1" s="1"/>
  <c r="BW116" i="6" s="1"/>
  <c r="A117" i="16"/>
  <c r="L116" i="16"/>
  <c r="D116" i="16" s="1"/>
  <c r="AJ116" i="16"/>
  <c r="AC116" i="16"/>
  <c r="AB116" i="16"/>
  <c r="K116" i="16"/>
  <c r="AK116" i="16"/>
  <c r="O116" i="16"/>
  <c r="X116" i="16"/>
  <c r="E115" i="16"/>
  <c r="A114" i="22"/>
  <c r="L113" i="22"/>
  <c r="X113" i="22"/>
  <c r="K113" i="22"/>
  <c r="AB113" i="22"/>
  <c r="AJ113" i="22"/>
  <c r="AK113" i="22"/>
  <c r="O113" i="22"/>
  <c r="AC113" i="22"/>
  <c r="X116" i="17"/>
  <c r="K116" i="17"/>
  <c r="A117" i="17"/>
  <c r="L116" i="17"/>
  <c r="AB116" i="17"/>
  <c r="AJ116" i="17"/>
  <c r="AK116" i="17"/>
  <c r="O116" i="17"/>
  <c r="AC116" i="17"/>
  <c r="AB111" i="24"/>
  <c r="A112" i="24"/>
  <c r="K111" i="24"/>
  <c r="L111" i="24"/>
  <c r="X111" i="24"/>
  <c r="AJ111" i="24"/>
  <c r="AK111" i="24"/>
  <c r="O111" i="24"/>
  <c r="AC111" i="24"/>
  <c r="G115" i="1"/>
  <c r="BW115" i="6" s="1"/>
  <c r="I115" i="1"/>
  <c r="AA115" i="1"/>
  <c r="Z115" i="1" s="1"/>
  <c r="Y115" i="1" s="1"/>
  <c r="K110" i="25"/>
  <c r="A111" i="25"/>
  <c r="X110" i="25"/>
  <c r="L110" i="25"/>
  <c r="AB110" i="25"/>
  <c r="AJ110" i="25"/>
  <c r="AK110" i="25"/>
  <c r="O110" i="25"/>
  <c r="AC110" i="25"/>
  <c r="X112" i="23"/>
  <c r="AB112" i="23"/>
  <c r="L112" i="23"/>
  <c r="A113" i="23"/>
  <c r="K112" i="23"/>
  <c r="AK112" i="23"/>
  <c r="AJ112" i="23"/>
  <c r="O112" i="23"/>
  <c r="AC112" i="23"/>
  <c r="S117" i="1"/>
  <c r="R117" i="1" s="1"/>
  <c r="P117" i="1" s="1"/>
  <c r="V117" i="1" s="1"/>
  <c r="D117" i="1"/>
  <c r="E117" i="1" s="1"/>
  <c r="O118" i="1"/>
  <c r="X118" i="1"/>
  <c r="Q118" i="1"/>
  <c r="AK118" i="1"/>
  <c r="AB118" i="1"/>
  <c r="AJ118" i="1"/>
  <c r="AC118" i="1"/>
  <c r="A119" i="1"/>
  <c r="K118" i="1"/>
  <c r="L118" i="1"/>
  <c r="U118" i="1"/>
  <c r="T118" i="1" s="1"/>
  <c r="S118" i="1" s="1"/>
  <c r="R118" i="1" s="1"/>
  <c r="AB115" i="18"/>
  <c r="AJ115" i="18"/>
  <c r="X115" i="18"/>
  <c r="K115" i="18"/>
  <c r="A116" i="18"/>
  <c r="L115" i="18"/>
  <c r="O115" i="18"/>
  <c r="AK115" i="18"/>
  <c r="AC115" i="18"/>
  <c r="K114" i="20"/>
  <c r="X114" i="20"/>
  <c r="AB114" i="20"/>
  <c r="A115" i="20"/>
  <c r="L114" i="20"/>
  <c r="AJ114" i="20"/>
  <c r="AK114" i="20"/>
  <c r="O114" i="20"/>
  <c r="AC114" i="20"/>
  <c r="P118" i="1" l="1"/>
  <c r="F117" i="1"/>
  <c r="I117" i="1" s="1"/>
  <c r="AB118" i="15"/>
  <c r="AK118" i="15"/>
  <c r="X118" i="15"/>
  <c r="A119" i="15"/>
  <c r="O118" i="15"/>
  <c r="L118" i="15"/>
  <c r="D118" i="15" s="1"/>
  <c r="AC118" i="15"/>
  <c r="AJ118" i="15"/>
  <c r="K118" i="15"/>
  <c r="I116" i="1"/>
  <c r="E117" i="15"/>
  <c r="AA116" i="1"/>
  <c r="Z116" i="1" s="1"/>
  <c r="Y116" i="1" s="1"/>
  <c r="E116" i="16"/>
  <c r="A118" i="16"/>
  <c r="K117" i="16"/>
  <c r="AJ117" i="16"/>
  <c r="AC117" i="16"/>
  <c r="X117" i="16"/>
  <c r="AB117" i="16"/>
  <c r="L117" i="16"/>
  <c r="D117" i="16" s="1"/>
  <c r="AK117" i="16"/>
  <c r="O117" i="16"/>
  <c r="K115" i="20"/>
  <c r="L115" i="20"/>
  <c r="AB115" i="20"/>
  <c r="A116" i="20"/>
  <c r="X115" i="20"/>
  <c r="AJ115" i="20"/>
  <c r="AK115" i="20"/>
  <c r="O115" i="20"/>
  <c r="AC115" i="20"/>
  <c r="A114" i="23"/>
  <c r="K113" i="23"/>
  <c r="AB113" i="23"/>
  <c r="X113" i="23"/>
  <c r="L113" i="23"/>
  <c r="AJ113" i="23"/>
  <c r="AK113" i="23"/>
  <c r="O113" i="23"/>
  <c r="AC113" i="23"/>
  <c r="X112" i="24"/>
  <c r="L112" i="24"/>
  <c r="A113" i="24"/>
  <c r="AB112" i="24"/>
  <c r="K112" i="24"/>
  <c r="AJ112" i="24"/>
  <c r="AK112" i="24"/>
  <c r="O112" i="24"/>
  <c r="AC112" i="24"/>
  <c r="A118" i="17"/>
  <c r="L117" i="17"/>
  <c r="X117" i="17"/>
  <c r="AB117" i="17"/>
  <c r="K117" i="17"/>
  <c r="AJ117" i="17"/>
  <c r="AK117" i="17"/>
  <c r="AC117" i="17"/>
  <c r="O117" i="17"/>
  <c r="AB116" i="18"/>
  <c r="L116" i="18"/>
  <c r="X116" i="18"/>
  <c r="A117" i="18"/>
  <c r="K116" i="18"/>
  <c r="AJ116" i="18"/>
  <c r="O116" i="18"/>
  <c r="AK116" i="18"/>
  <c r="AC116" i="18"/>
  <c r="D118" i="1"/>
  <c r="E118" i="1" s="1"/>
  <c r="V118" i="1"/>
  <c r="AB119" i="1"/>
  <c r="AJ119" i="1"/>
  <c r="A120" i="1"/>
  <c r="X119" i="1"/>
  <c r="AC119" i="1"/>
  <c r="O119" i="1"/>
  <c r="C23" i="7" s="1"/>
  <c r="K119" i="1"/>
  <c r="Q119" i="1"/>
  <c r="L119" i="1"/>
  <c r="AK119" i="1"/>
  <c r="A23" i="7"/>
  <c r="U119" i="1"/>
  <c r="T119" i="1" s="1"/>
  <c r="S119" i="1" s="1"/>
  <c r="R119" i="1" s="1"/>
  <c r="P119" i="1" s="1"/>
  <c r="D23" i="7" s="1"/>
  <c r="AB111" i="25"/>
  <c r="X111" i="25"/>
  <c r="A112" i="25"/>
  <c r="K111" i="25"/>
  <c r="L111" i="25"/>
  <c r="AJ111" i="25"/>
  <c r="O111" i="25"/>
  <c r="AK111" i="25"/>
  <c r="AC111" i="25"/>
  <c r="K114" i="22"/>
  <c r="AB114" i="22"/>
  <c r="A115" i="22"/>
  <c r="X114" i="22"/>
  <c r="L114" i="22"/>
  <c r="AK114" i="22"/>
  <c r="AJ114" i="22"/>
  <c r="O114" i="22"/>
  <c r="AC114" i="22"/>
  <c r="G117" i="1" l="1"/>
  <c r="BW117" i="6" s="1"/>
  <c r="AA117" i="1"/>
  <c r="Z117" i="1" s="1"/>
  <c r="Y117" i="1" s="1"/>
  <c r="E118" i="15"/>
  <c r="K119" i="15"/>
  <c r="AJ119" i="15"/>
  <c r="A120" i="15"/>
  <c r="L119" i="15"/>
  <c r="O119" i="15"/>
  <c r="C35" i="7" s="1"/>
  <c r="A35" i="7"/>
  <c r="X119" i="15"/>
  <c r="AC119" i="15"/>
  <c r="AB119" i="15"/>
  <c r="AK119" i="15"/>
  <c r="E117" i="16"/>
  <c r="AB118" i="16"/>
  <c r="L118" i="16"/>
  <c r="D118" i="16" s="1"/>
  <c r="X118" i="16"/>
  <c r="AJ118" i="16"/>
  <c r="O118" i="16"/>
  <c r="K118" i="16"/>
  <c r="A119" i="16"/>
  <c r="AK118" i="16"/>
  <c r="AC118" i="16"/>
  <c r="AB115" i="22"/>
  <c r="A116" i="22"/>
  <c r="L115" i="22"/>
  <c r="K115" i="22"/>
  <c r="X115" i="22"/>
  <c r="AJ115" i="22"/>
  <c r="AK115" i="22"/>
  <c r="O115" i="22"/>
  <c r="AC115" i="22"/>
  <c r="AB112" i="25"/>
  <c r="L112" i="25"/>
  <c r="A113" i="25"/>
  <c r="K112" i="25"/>
  <c r="X112" i="25"/>
  <c r="AK112" i="25"/>
  <c r="AJ112" i="25"/>
  <c r="O112" i="25"/>
  <c r="AC112" i="25"/>
  <c r="D119" i="1"/>
  <c r="E119" i="1" s="1"/>
  <c r="B23" i="7"/>
  <c r="V119" i="1"/>
  <c r="AJ120" i="1"/>
  <c r="AC120" i="1"/>
  <c r="K120" i="1"/>
  <c r="O120" i="1"/>
  <c r="A121" i="1"/>
  <c r="AK120" i="1"/>
  <c r="Q120" i="1"/>
  <c r="X120" i="1"/>
  <c r="L120" i="1"/>
  <c r="AB120" i="1"/>
  <c r="U120" i="1"/>
  <c r="T120" i="1" s="1"/>
  <c r="K117" i="18"/>
  <c r="A118" i="18"/>
  <c r="L117" i="18"/>
  <c r="AB117" i="18"/>
  <c r="AJ117" i="18"/>
  <c r="X117" i="18"/>
  <c r="AK117" i="18"/>
  <c r="O117" i="18"/>
  <c r="AC117" i="18"/>
  <c r="AB114" i="23"/>
  <c r="K114" i="23"/>
  <c r="A115" i="23"/>
  <c r="X114" i="23"/>
  <c r="L114" i="23"/>
  <c r="AJ114" i="23"/>
  <c r="AK114" i="23"/>
  <c r="O114" i="23"/>
  <c r="AC114" i="23"/>
  <c r="K116" i="20"/>
  <c r="X116" i="20"/>
  <c r="AB116" i="20"/>
  <c r="L116" i="20"/>
  <c r="A117" i="20"/>
  <c r="AK116" i="20"/>
  <c r="AJ116" i="20"/>
  <c r="O116" i="20"/>
  <c r="AC116" i="20"/>
  <c r="F118" i="1"/>
  <c r="K118" i="17"/>
  <c r="A119" i="17"/>
  <c r="L118" i="17"/>
  <c r="X118" i="17"/>
  <c r="AB118" i="17"/>
  <c r="AJ118" i="17"/>
  <c r="AK118" i="17"/>
  <c r="AC118" i="17"/>
  <c r="O118" i="17"/>
  <c r="A114" i="24"/>
  <c r="L113" i="24"/>
  <c r="K113" i="24"/>
  <c r="AB113" i="24"/>
  <c r="X113" i="24"/>
  <c r="AK113" i="24"/>
  <c r="AJ113" i="24"/>
  <c r="O113" i="24"/>
  <c r="AC113" i="24"/>
  <c r="B35" i="7" l="1"/>
  <c r="D119" i="15"/>
  <c r="E119" i="15" s="1"/>
  <c r="K120" i="15"/>
  <c r="AJ120" i="15"/>
  <c r="A121" i="15"/>
  <c r="AB120" i="15"/>
  <c r="O120" i="15"/>
  <c r="X120" i="15"/>
  <c r="AC120" i="15"/>
  <c r="L120" i="15"/>
  <c r="D120" i="15" s="1"/>
  <c r="AK120" i="15"/>
  <c r="E118" i="16"/>
  <c r="L119" i="16"/>
  <c r="A47" i="7"/>
  <c r="A120" i="16"/>
  <c r="AK119" i="16"/>
  <c r="AC119" i="16"/>
  <c r="AB119" i="16"/>
  <c r="K119" i="16"/>
  <c r="X119" i="16"/>
  <c r="AJ119" i="16"/>
  <c r="O119" i="16"/>
  <c r="C47" i="7" s="1"/>
  <c r="K114" i="24"/>
  <c r="AB114" i="24"/>
  <c r="A115" i="24"/>
  <c r="L114" i="24"/>
  <c r="X114" i="24"/>
  <c r="AK114" i="24"/>
  <c r="AJ114" i="24"/>
  <c r="O114" i="24"/>
  <c r="AC114" i="24"/>
  <c r="A59" i="7"/>
  <c r="X119" i="17"/>
  <c r="L119" i="17"/>
  <c r="K119" i="17"/>
  <c r="A120" i="17"/>
  <c r="AB119" i="17"/>
  <c r="AK119" i="17"/>
  <c r="AJ119" i="17"/>
  <c r="AC119" i="17"/>
  <c r="O119" i="17"/>
  <c r="C59" i="7" s="1"/>
  <c r="X117" i="20"/>
  <c r="A118" i="20"/>
  <c r="L117" i="20"/>
  <c r="K117" i="20"/>
  <c r="AB117" i="20"/>
  <c r="AJ117" i="20"/>
  <c r="AK117" i="20"/>
  <c r="O117" i="20"/>
  <c r="AC117" i="20"/>
  <c r="X115" i="23"/>
  <c r="AB115" i="23"/>
  <c r="K115" i="23"/>
  <c r="A116" i="23"/>
  <c r="L115" i="23"/>
  <c r="AJ115" i="23"/>
  <c r="AK115" i="23"/>
  <c r="O115" i="23"/>
  <c r="AC115" i="23"/>
  <c r="F119" i="1"/>
  <c r="I118" i="1"/>
  <c r="AA118" i="1"/>
  <c r="Z118" i="1" s="1"/>
  <c r="Y118" i="1" s="1"/>
  <c r="G118" i="1"/>
  <c r="BW118" i="6" s="1"/>
  <c r="K118" i="18"/>
  <c r="A119" i="18"/>
  <c r="L118" i="18"/>
  <c r="X118" i="18"/>
  <c r="AJ118" i="18"/>
  <c r="AB118" i="18"/>
  <c r="O118" i="18"/>
  <c r="AK118" i="18"/>
  <c r="AC118" i="18"/>
  <c r="S120" i="1"/>
  <c r="R120" i="1" s="1"/>
  <c r="P120" i="1" s="1"/>
  <c r="V120" i="1" s="1"/>
  <c r="D120" i="1"/>
  <c r="E120" i="1" s="1"/>
  <c r="X121" i="1"/>
  <c r="AC121" i="1"/>
  <c r="L121" i="1"/>
  <c r="AJ121" i="1"/>
  <c r="Q121" i="1"/>
  <c r="A122" i="1"/>
  <c r="AB121" i="1"/>
  <c r="K121" i="1"/>
  <c r="AK121" i="1"/>
  <c r="O121" i="1"/>
  <c r="U121" i="1"/>
  <c r="T121" i="1" s="1"/>
  <c r="AB113" i="25"/>
  <c r="A114" i="25"/>
  <c r="X113" i="25"/>
  <c r="L113" i="25"/>
  <c r="K113" i="25"/>
  <c r="AJ113" i="25"/>
  <c r="AK113" i="25"/>
  <c r="O113" i="25"/>
  <c r="AC113" i="25"/>
  <c r="X116" i="22"/>
  <c r="K116" i="22"/>
  <c r="AB116" i="22"/>
  <c r="L116" i="22"/>
  <c r="A117" i="22"/>
  <c r="AJ116" i="22"/>
  <c r="AK116" i="22"/>
  <c r="O116" i="22"/>
  <c r="AC116" i="22"/>
  <c r="E120" i="15" l="1"/>
  <c r="L121" i="15"/>
  <c r="D121" i="15" s="1"/>
  <c r="AK121" i="15"/>
  <c r="K121" i="15"/>
  <c r="AB121" i="15"/>
  <c r="AC121" i="15"/>
  <c r="A122" i="15"/>
  <c r="O121" i="15"/>
  <c r="E121" i="15" s="1"/>
  <c r="X121" i="15"/>
  <c r="AJ121" i="15"/>
  <c r="F120" i="1"/>
  <c r="I120" i="1" s="1"/>
  <c r="A121" i="16"/>
  <c r="AB120" i="16"/>
  <c r="AJ120" i="16"/>
  <c r="AC120" i="16"/>
  <c r="K120" i="16"/>
  <c r="L120" i="16"/>
  <c r="D120" i="16" s="1"/>
  <c r="X120" i="16"/>
  <c r="AK120" i="16"/>
  <c r="O120" i="16"/>
  <c r="B47" i="7"/>
  <c r="D119" i="16"/>
  <c r="E119" i="16" s="1"/>
  <c r="AA120" i="1"/>
  <c r="Z120" i="1" s="1"/>
  <c r="Y120" i="1" s="1"/>
  <c r="X117" i="22"/>
  <c r="AB117" i="22"/>
  <c r="L117" i="22"/>
  <c r="A118" i="22"/>
  <c r="K117" i="22"/>
  <c r="AJ117" i="22"/>
  <c r="AK117" i="22"/>
  <c r="O117" i="22"/>
  <c r="AC117" i="22"/>
  <c r="X114" i="25"/>
  <c r="K114" i="25"/>
  <c r="A115" i="25"/>
  <c r="L114" i="25"/>
  <c r="AB114" i="25"/>
  <c r="AJ114" i="25"/>
  <c r="AK114" i="25"/>
  <c r="O114" i="25"/>
  <c r="AC114" i="25"/>
  <c r="S121" i="1"/>
  <c r="R121" i="1" s="1"/>
  <c r="P121" i="1" s="1"/>
  <c r="V121" i="1" s="1"/>
  <c r="D121" i="1"/>
  <c r="E121" i="1" s="1"/>
  <c r="AB119" i="18"/>
  <c r="X119" i="18"/>
  <c r="A120" i="18"/>
  <c r="K119" i="18"/>
  <c r="A71" i="7"/>
  <c r="L119" i="18"/>
  <c r="AK119" i="18"/>
  <c r="AJ119" i="18"/>
  <c r="O119" i="18"/>
  <c r="C71" i="7" s="1"/>
  <c r="AC119" i="18"/>
  <c r="I119" i="1"/>
  <c r="AA119" i="1"/>
  <c r="Z119" i="1" s="1"/>
  <c r="Y119" i="1" s="1"/>
  <c r="G119" i="1"/>
  <c r="BW119" i="6" s="1"/>
  <c r="AB115" i="24"/>
  <c r="A116" i="24"/>
  <c r="L115" i="24"/>
  <c r="K115" i="24"/>
  <c r="X115" i="24"/>
  <c r="AJ115" i="24"/>
  <c r="AK115" i="24"/>
  <c r="O115" i="24"/>
  <c r="AC115" i="24"/>
  <c r="L122" i="1"/>
  <c r="K122" i="1"/>
  <c r="AB122" i="1"/>
  <c r="X122" i="1"/>
  <c r="A123" i="1"/>
  <c r="O122" i="1"/>
  <c r="AC122" i="1"/>
  <c r="AJ122" i="1"/>
  <c r="Q122" i="1"/>
  <c r="AK122" i="1"/>
  <c r="U122" i="1"/>
  <c r="X116" i="23"/>
  <c r="A117" i="23"/>
  <c r="AB116" i="23"/>
  <c r="L116" i="23"/>
  <c r="K116" i="23"/>
  <c r="AJ116" i="23"/>
  <c r="AK116" i="23"/>
  <c r="O116" i="23"/>
  <c r="AC116" i="23"/>
  <c r="AB118" i="20"/>
  <c r="A119" i="20"/>
  <c r="K118" i="20"/>
  <c r="L118" i="20"/>
  <c r="X118" i="20"/>
  <c r="AJ118" i="20"/>
  <c r="AK118" i="20"/>
  <c r="O118" i="20"/>
  <c r="AC118" i="20"/>
  <c r="X120" i="17"/>
  <c r="A121" i="17"/>
  <c r="K120" i="17"/>
  <c r="L120" i="17"/>
  <c r="AB120" i="17"/>
  <c r="AJ120" i="17"/>
  <c r="AK120" i="17"/>
  <c r="AC120" i="17"/>
  <c r="O120" i="17"/>
  <c r="B59" i="7"/>
  <c r="AB122" i="15" l="1"/>
  <c r="AK122" i="15"/>
  <c r="X122" i="15"/>
  <c r="K122" i="15"/>
  <c r="AC122" i="15"/>
  <c r="L122" i="15"/>
  <c r="D122" i="15" s="1"/>
  <c r="O122" i="15"/>
  <c r="A123" i="15"/>
  <c r="AJ122" i="15"/>
  <c r="E120" i="16"/>
  <c r="G120" i="1"/>
  <c r="BW120" i="6" s="1"/>
  <c r="X121" i="16"/>
  <c r="L121" i="16"/>
  <c r="D121" i="16" s="1"/>
  <c r="A122" i="16"/>
  <c r="AK121" i="16"/>
  <c r="O121" i="16"/>
  <c r="K121" i="16"/>
  <c r="AB121" i="16"/>
  <c r="AJ121" i="16"/>
  <c r="AC121" i="16"/>
  <c r="A120" i="20"/>
  <c r="AB119" i="20"/>
  <c r="X119" i="20"/>
  <c r="AE23" i="7"/>
  <c r="L119" i="20"/>
  <c r="K119" i="20"/>
  <c r="AJ119" i="20"/>
  <c r="AK119" i="20"/>
  <c r="O119" i="20"/>
  <c r="AG23" i="7" s="1"/>
  <c r="AC119" i="20"/>
  <c r="B71" i="7"/>
  <c r="A116" i="25"/>
  <c r="X115" i="25"/>
  <c r="K115" i="25"/>
  <c r="L115" i="25"/>
  <c r="AB115" i="25"/>
  <c r="AJ115" i="25"/>
  <c r="O115" i="25"/>
  <c r="AK115" i="25"/>
  <c r="AC115" i="25"/>
  <c r="A119" i="22"/>
  <c r="X118" i="22"/>
  <c r="K118" i="22"/>
  <c r="L118" i="22"/>
  <c r="AB118" i="22"/>
  <c r="AJ118" i="22"/>
  <c r="AK118" i="22"/>
  <c r="O118" i="22"/>
  <c r="AC118" i="22"/>
  <c r="K121" i="17"/>
  <c r="L121" i="17"/>
  <c r="AB121" i="17"/>
  <c r="X121" i="17"/>
  <c r="A122" i="17"/>
  <c r="AJ121" i="17"/>
  <c r="AK121" i="17"/>
  <c r="O121" i="17"/>
  <c r="AC121" i="17"/>
  <c r="AB117" i="23"/>
  <c r="L117" i="23"/>
  <c r="X117" i="23"/>
  <c r="A118" i="23"/>
  <c r="K117" i="23"/>
  <c r="AK117" i="23"/>
  <c r="AJ117" i="23"/>
  <c r="O117" i="23"/>
  <c r="AC117" i="23"/>
  <c r="T122" i="1"/>
  <c r="X123" i="1"/>
  <c r="L123" i="1"/>
  <c r="AC123" i="1"/>
  <c r="A124" i="1"/>
  <c r="O123" i="1"/>
  <c r="AK123" i="1"/>
  <c r="K123" i="1"/>
  <c r="Q123" i="1"/>
  <c r="AJ123" i="1"/>
  <c r="AB123" i="1"/>
  <c r="U123" i="1"/>
  <c r="T123" i="1" s="1"/>
  <c r="D122" i="1"/>
  <c r="E122" i="1" s="1"/>
  <c r="AB116" i="24"/>
  <c r="A117" i="24"/>
  <c r="L116" i="24"/>
  <c r="X116" i="24"/>
  <c r="K116" i="24"/>
  <c r="AJ116" i="24"/>
  <c r="AK116" i="24"/>
  <c r="O116" i="24"/>
  <c r="AC116" i="24"/>
  <c r="X120" i="18"/>
  <c r="K120" i="18"/>
  <c r="A121" i="18"/>
  <c r="AB120" i="18"/>
  <c r="L120" i="18"/>
  <c r="AJ120" i="18"/>
  <c r="AK120" i="18"/>
  <c r="O120" i="18"/>
  <c r="AC120" i="18"/>
  <c r="F121" i="1"/>
  <c r="K123" i="15" l="1"/>
  <c r="AB123" i="15"/>
  <c r="O123" i="15"/>
  <c r="L123" i="15"/>
  <c r="D123" i="15" s="1"/>
  <c r="AC123" i="15"/>
  <c r="X123" i="15"/>
  <c r="AK123" i="15"/>
  <c r="A124" i="15"/>
  <c r="AJ123" i="15"/>
  <c r="E122" i="15"/>
  <c r="E121" i="16"/>
  <c r="L122" i="16"/>
  <c r="D122" i="16" s="1"/>
  <c r="X122" i="16"/>
  <c r="AJ122" i="16"/>
  <c r="AC122" i="16"/>
  <c r="AB122" i="16"/>
  <c r="A123" i="16"/>
  <c r="K122" i="16"/>
  <c r="AK122" i="16"/>
  <c r="O122" i="16"/>
  <c r="I121" i="1"/>
  <c r="G121" i="1"/>
  <c r="BW121" i="6" s="1"/>
  <c r="AA121" i="1"/>
  <c r="Z121" i="1" s="1"/>
  <c r="Y121" i="1" s="1"/>
  <c r="A118" i="24"/>
  <c r="L117" i="24"/>
  <c r="K117" i="24"/>
  <c r="X117" i="24"/>
  <c r="AB117" i="24"/>
  <c r="AJ117" i="24"/>
  <c r="AK117" i="24"/>
  <c r="O117" i="24"/>
  <c r="AC117" i="24"/>
  <c r="S123" i="1"/>
  <c r="R123" i="1" s="1"/>
  <c r="P123" i="1" s="1"/>
  <c r="V123" i="1" s="1"/>
  <c r="S122" i="1"/>
  <c r="R122" i="1" s="1"/>
  <c r="P122" i="1" s="1"/>
  <c r="V122" i="1" s="1"/>
  <c r="A119" i="23"/>
  <c r="L118" i="23"/>
  <c r="AB118" i="23"/>
  <c r="K118" i="23"/>
  <c r="X118" i="23"/>
  <c r="AJ118" i="23"/>
  <c r="AK118" i="23"/>
  <c r="O118" i="23"/>
  <c r="AC118" i="23"/>
  <c r="AB119" i="22"/>
  <c r="AE35" i="7"/>
  <c r="K119" i="22"/>
  <c r="L119" i="22"/>
  <c r="A120" i="22"/>
  <c r="X119" i="22"/>
  <c r="AJ119" i="22"/>
  <c r="AK119" i="22"/>
  <c r="O119" i="22"/>
  <c r="AG35" i="7" s="1"/>
  <c r="AC119" i="22"/>
  <c r="AF23" i="7"/>
  <c r="A121" i="20"/>
  <c r="K120" i="20"/>
  <c r="AB120" i="20"/>
  <c r="X120" i="20"/>
  <c r="L120" i="20"/>
  <c r="AJ120" i="20"/>
  <c r="AK120" i="20"/>
  <c r="O120" i="20"/>
  <c r="AC120" i="20"/>
  <c r="X121" i="18"/>
  <c r="AB121" i="18"/>
  <c r="K121" i="18"/>
  <c r="A122" i="18"/>
  <c r="AJ121" i="18"/>
  <c r="L121" i="18"/>
  <c r="AK121" i="18"/>
  <c r="O121" i="18"/>
  <c r="AC121" i="18"/>
  <c r="K124" i="1"/>
  <c r="X124" i="1"/>
  <c r="A125" i="1"/>
  <c r="O124" i="1"/>
  <c r="AK124" i="1"/>
  <c r="AB124" i="1"/>
  <c r="L124" i="1"/>
  <c r="AC124" i="1"/>
  <c r="AJ124" i="1"/>
  <c r="Q124" i="1"/>
  <c r="U124" i="1"/>
  <c r="T124" i="1" s="1"/>
  <c r="D123" i="1"/>
  <c r="E123" i="1" s="1"/>
  <c r="L122" i="17"/>
  <c r="AB122" i="17"/>
  <c r="A123" i="17"/>
  <c r="X122" i="17"/>
  <c r="K122" i="17"/>
  <c r="AJ122" i="17"/>
  <c r="AK122" i="17"/>
  <c r="AC122" i="17"/>
  <c r="O122" i="17"/>
  <c r="AB116" i="25"/>
  <c r="K116" i="25"/>
  <c r="X116" i="25"/>
  <c r="A117" i="25"/>
  <c r="L116" i="25"/>
  <c r="AJ116" i="25"/>
  <c r="O116" i="25"/>
  <c r="AK116" i="25"/>
  <c r="AC116" i="25"/>
  <c r="E123" i="15" l="1"/>
  <c r="K124" i="15"/>
  <c r="AB124" i="15"/>
  <c r="AC124" i="15"/>
  <c r="X124" i="15"/>
  <c r="O124" i="15"/>
  <c r="A125" i="15"/>
  <c r="AK124" i="15"/>
  <c r="L124" i="15"/>
  <c r="D124" i="15" s="1"/>
  <c r="AJ124" i="15"/>
  <c r="L123" i="16"/>
  <c r="D123" i="16" s="1"/>
  <c r="X123" i="16"/>
  <c r="AB123" i="16"/>
  <c r="AJ123" i="16"/>
  <c r="O123" i="16"/>
  <c r="K123" i="16"/>
  <c r="A124" i="16"/>
  <c r="AK123" i="16"/>
  <c r="AC123" i="16"/>
  <c r="E122" i="16"/>
  <c r="S124" i="1"/>
  <c r="R124" i="1" s="1"/>
  <c r="P124" i="1" s="1"/>
  <c r="V124" i="1" s="1"/>
  <c r="D124" i="1"/>
  <c r="E124" i="1" s="1"/>
  <c r="L125" i="1"/>
  <c r="AB125" i="1"/>
  <c r="AC125" i="1"/>
  <c r="AJ125" i="1"/>
  <c r="X125" i="1"/>
  <c r="AK125" i="1"/>
  <c r="Q125" i="1"/>
  <c r="A126" i="1"/>
  <c r="O125" i="1"/>
  <c r="K125" i="1"/>
  <c r="U125" i="1"/>
  <c r="K120" i="22"/>
  <c r="A121" i="22"/>
  <c r="X120" i="22"/>
  <c r="AB120" i="22"/>
  <c r="L120" i="22"/>
  <c r="AJ120" i="22"/>
  <c r="AK120" i="22"/>
  <c r="O120" i="22"/>
  <c r="AC120" i="22"/>
  <c r="F123" i="1"/>
  <c r="AB117" i="25"/>
  <c r="X117" i="25"/>
  <c r="K117" i="25"/>
  <c r="L117" i="25"/>
  <c r="A118" i="25"/>
  <c r="AJ117" i="25"/>
  <c r="O117" i="25"/>
  <c r="AK117" i="25"/>
  <c r="AC117" i="25"/>
  <c r="K123" i="17"/>
  <c r="L123" i="17"/>
  <c r="X123" i="17"/>
  <c r="A124" i="17"/>
  <c r="AB123" i="17"/>
  <c r="AJ123" i="17"/>
  <c r="AK123" i="17"/>
  <c r="O123" i="17"/>
  <c r="AC123" i="17"/>
  <c r="F122" i="1"/>
  <c r="K122" i="18"/>
  <c r="AB122" i="18"/>
  <c r="A123" i="18"/>
  <c r="L122" i="18"/>
  <c r="X122" i="18"/>
  <c r="AK122" i="18"/>
  <c r="AJ122" i="18"/>
  <c r="O122" i="18"/>
  <c r="AC122" i="18"/>
  <c r="A122" i="20"/>
  <c r="AB121" i="20"/>
  <c r="X121" i="20"/>
  <c r="L121" i="20"/>
  <c r="K121" i="20"/>
  <c r="AJ121" i="20"/>
  <c r="AK121" i="20"/>
  <c r="O121" i="20"/>
  <c r="AC121" i="20"/>
  <c r="AF35" i="7"/>
  <c r="K119" i="23"/>
  <c r="X119" i="23"/>
  <c r="L119" i="23"/>
  <c r="AE47" i="7"/>
  <c r="AB119" i="23"/>
  <c r="A120" i="23"/>
  <c r="AJ119" i="23"/>
  <c r="AK119" i="23"/>
  <c r="O119" i="23"/>
  <c r="AG47" i="7" s="1"/>
  <c r="AC119" i="23"/>
  <c r="X118" i="24"/>
  <c r="L118" i="24"/>
  <c r="K118" i="24"/>
  <c r="AB118" i="24"/>
  <c r="A119" i="24"/>
  <c r="AK118" i="24"/>
  <c r="AJ118" i="24"/>
  <c r="O118" i="24"/>
  <c r="AC118" i="24"/>
  <c r="E124" i="15" l="1"/>
  <c r="L125" i="15"/>
  <c r="D125" i="15" s="1"/>
  <c r="AJ125" i="15"/>
  <c r="K125" i="15"/>
  <c r="AK125" i="15"/>
  <c r="A126" i="15"/>
  <c r="AB125" i="15"/>
  <c r="AC125" i="15"/>
  <c r="X125" i="15"/>
  <c r="O125" i="15"/>
  <c r="X124" i="16"/>
  <c r="AB124" i="16"/>
  <c r="K124" i="16"/>
  <c r="L124" i="16"/>
  <c r="D124" i="16" s="1"/>
  <c r="AK124" i="16"/>
  <c r="O124" i="16"/>
  <c r="A125" i="16"/>
  <c r="AJ124" i="16"/>
  <c r="AC124" i="16"/>
  <c r="E123" i="16"/>
  <c r="AB119" i="24"/>
  <c r="AE59" i="7"/>
  <c r="K119" i="24"/>
  <c r="A120" i="24"/>
  <c r="X119" i="24"/>
  <c r="L119" i="24"/>
  <c r="AJ119" i="24"/>
  <c r="AK119" i="24"/>
  <c r="O119" i="24"/>
  <c r="AG59" i="7" s="1"/>
  <c r="AC119" i="24"/>
  <c r="AF47" i="7"/>
  <c r="A124" i="18"/>
  <c r="K123" i="18"/>
  <c r="X123" i="18"/>
  <c r="L123" i="18"/>
  <c r="AB123" i="18"/>
  <c r="O123" i="18"/>
  <c r="AJ123" i="18"/>
  <c r="AK123" i="18"/>
  <c r="AC123" i="18"/>
  <c r="X118" i="25"/>
  <c r="K118" i="25"/>
  <c r="L118" i="25"/>
  <c r="AB118" i="25"/>
  <c r="A119" i="25"/>
  <c r="AJ118" i="25"/>
  <c r="AK118" i="25"/>
  <c r="O118" i="25"/>
  <c r="AC118" i="25"/>
  <c r="I123" i="1"/>
  <c r="G123" i="1"/>
  <c r="BW123" i="6" s="1"/>
  <c r="AA123" i="1"/>
  <c r="Z123" i="1" s="1"/>
  <c r="Y123" i="1" s="1"/>
  <c r="AB121" i="22"/>
  <c r="K121" i="22"/>
  <c r="L121" i="22"/>
  <c r="A122" i="22"/>
  <c r="X121" i="22"/>
  <c r="AJ121" i="22"/>
  <c r="AK121" i="22"/>
  <c r="O121" i="22"/>
  <c r="AC121" i="22"/>
  <c r="T125" i="1"/>
  <c r="D125" i="1"/>
  <c r="E125" i="1" s="1"/>
  <c r="F124" i="1"/>
  <c r="K120" i="23"/>
  <c r="A121" i="23"/>
  <c r="L120" i="23"/>
  <c r="X120" i="23"/>
  <c r="AB120" i="23"/>
  <c r="AJ120" i="23"/>
  <c r="AK120" i="23"/>
  <c r="O120" i="23"/>
  <c r="AC120" i="23"/>
  <c r="X122" i="20"/>
  <c r="AB122" i="20"/>
  <c r="K122" i="20"/>
  <c r="A123" i="20"/>
  <c r="L122" i="20"/>
  <c r="AJ122" i="20"/>
  <c r="AK122" i="20"/>
  <c r="O122" i="20"/>
  <c r="AC122" i="20"/>
  <c r="AA122" i="1"/>
  <c r="Z122" i="1" s="1"/>
  <c r="Y122" i="1" s="1"/>
  <c r="I122" i="1"/>
  <c r="G122" i="1"/>
  <c r="BW122" i="6" s="1"/>
  <c r="K124" i="17"/>
  <c r="A125" i="17"/>
  <c r="X124" i="17"/>
  <c r="L124" i="17"/>
  <c r="AB124" i="17"/>
  <c r="O124" i="17"/>
  <c r="AJ124" i="17"/>
  <c r="AK124" i="17"/>
  <c r="AC124" i="17"/>
  <c r="A127" i="1"/>
  <c r="AK126" i="1"/>
  <c r="X126" i="1"/>
  <c r="Q126" i="1"/>
  <c r="L126" i="1"/>
  <c r="AB126" i="1"/>
  <c r="O126" i="1"/>
  <c r="AJ126" i="1"/>
  <c r="AC126" i="1"/>
  <c r="K126" i="1"/>
  <c r="U126" i="1"/>
  <c r="X126" i="15" l="1"/>
  <c r="O126" i="15"/>
  <c r="AB126" i="15"/>
  <c r="AJ126" i="15"/>
  <c r="K126" i="15"/>
  <c r="AK126" i="15"/>
  <c r="L126" i="15"/>
  <c r="D126" i="15" s="1"/>
  <c r="A127" i="15"/>
  <c r="AC126" i="15"/>
  <c r="E125" i="15"/>
  <c r="E124" i="16"/>
  <c r="A126" i="16"/>
  <c r="L125" i="16"/>
  <c r="D125" i="16" s="1"/>
  <c r="AK125" i="16"/>
  <c r="AC125" i="16"/>
  <c r="X125" i="16"/>
  <c r="AB125" i="16"/>
  <c r="K125" i="16"/>
  <c r="AJ125" i="16"/>
  <c r="O125" i="16"/>
  <c r="T126" i="1"/>
  <c r="D126" i="1"/>
  <c r="E126" i="1" s="1"/>
  <c r="AJ127" i="1"/>
  <c r="O127" i="1"/>
  <c r="AB127" i="1"/>
  <c r="AC127" i="1"/>
  <c r="A128" i="1"/>
  <c r="K127" i="1"/>
  <c r="X127" i="1"/>
  <c r="AK127" i="1"/>
  <c r="L127" i="1"/>
  <c r="Q127" i="1"/>
  <c r="U127" i="1"/>
  <c r="T127" i="1" s="1"/>
  <c r="AB125" i="17"/>
  <c r="K125" i="17"/>
  <c r="X125" i="17"/>
  <c r="A126" i="17"/>
  <c r="L125" i="17"/>
  <c r="O125" i="17"/>
  <c r="AK125" i="17"/>
  <c r="AJ125" i="17"/>
  <c r="AC125" i="17"/>
  <c r="K121" i="23"/>
  <c r="X121" i="23"/>
  <c r="A122" i="23"/>
  <c r="AB121" i="23"/>
  <c r="L121" i="23"/>
  <c r="AJ121" i="23"/>
  <c r="AK121" i="23"/>
  <c r="O121" i="23"/>
  <c r="AC121" i="23"/>
  <c r="AA124" i="1"/>
  <c r="Z124" i="1" s="1"/>
  <c r="Y124" i="1" s="1"/>
  <c r="I124" i="1"/>
  <c r="G124" i="1"/>
  <c r="BW124" i="6" s="1"/>
  <c r="AE71" i="7"/>
  <c r="K119" i="25"/>
  <c r="A120" i="25"/>
  <c r="L119" i="25"/>
  <c r="AB119" i="25"/>
  <c r="X119" i="25"/>
  <c r="AJ119" i="25"/>
  <c r="O119" i="25"/>
  <c r="AG71" i="7" s="1"/>
  <c r="AK119" i="25"/>
  <c r="AC119" i="25"/>
  <c r="AF59" i="7"/>
  <c r="X120" i="24"/>
  <c r="L120" i="24"/>
  <c r="A121" i="24"/>
  <c r="K120" i="24"/>
  <c r="AB120" i="24"/>
  <c r="AK120" i="24"/>
  <c r="AJ120" i="24"/>
  <c r="O120" i="24"/>
  <c r="AC120" i="24"/>
  <c r="AB123" i="20"/>
  <c r="L123" i="20"/>
  <c r="X123" i="20"/>
  <c r="K123" i="20"/>
  <c r="A124" i="20"/>
  <c r="AJ123" i="20"/>
  <c r="AK123" i="20"/>
  <c r="O123" i="20"/>
  <c r="AC123" i="20"/>
  <c r="S125" i="1"/>
  <c r="R125" i="1" s="1"/>
  <c r="P125" i="1" s="1"/>
  <c r="V125" i="1" s="1"/>
  <c r="K122" i="22"/>
  <c r="AB122" i="22"/>
  <c r="A123" i="22"/>
  <c r="X122" i="22"/>
  <c r="L122" i="22"/>
  <c r="AK122" i="22"/>
  <c r="AJ122" i="22"/>
  <c r="O122" i="22"/>
  <c r="AC122" i="22"/>
  <c r="A125" i="18"/>
  <c r="L124" i="18"/>
  <c r="K124" i="18"/>
  <c r="AB124" i="18"/>
  <c r="X124" i="18"/>
  <c r="AK124" i="18"/>
  <c r="AJ124" i="18"/>
  <c r="O124" i="18"/>
  <c r="AC124" i="18"/>
  <c r="L127" i="15" l="1"/>
  <c r="D127" i="15" s="1"/>
  <c r="AK127" i="15"/>
  <c r="A128" i="15"/>
  <c r="K127" i="15"/>
  <c r="O127" i="15"/>
  <c r="E127" i="15" s="1"/>
  <c r="AB127" i="15"/>
  <c r="AC127" i="15"/>
  <c r="X127" i="15"/>
  <c r="AJ127" i="15"/>
  <c r="E126" i="15"/>
  <c r="AB126" i="16"/>
  <c r="X126" i="16"/>
  <c r="L126" i="16"/>
  <c r="D126" i="16" s="1"/>
  <c r="AK126" i="16"/>
  <c r="AC126" i="16"/>
  <c r="A127" i="16"/>
  <c r="K126" i="16"/>
  <c r="AJ126" i="16"/>
  <c r="O126" i="16"/>
  <c r="E125" i="16"/>
  <c r="A126" i="18"/>
  <c r="L125" i="18"/>
  <c r="K125" i="18"/>
  <c r="AB125" i="18"/>
  <c r="X125" i="18"/>
  <c r="AJ125" i="18"/>
  <c r="O125" i="18"/>
  <c r="AK125" i="18"/>
  <c r="AC125" i="18"/>
  <c r="AF71" i="7"/>
  <c r="X122" i="23"/>
  <c r="L122" i="23"/>
  <c r="A123" i="23"/>
  <c r="AB122" i="23"/>
  <c r="K122" i="23"/>
  <c r="AK122" i="23"/>
  <c r="AJ122" i="23"/>
  <c r="O122" i="23"/>
  <c r="AC122" i="23"/>
  <c r="K126" i="17"/>
  <c r="AB126" i="17"/>
  <c r="X126" i="17"/>
  <c r="A127" i="17"/>
  <c r="L126" i="17"/>
  <c r="AJ126" i="17"/>
  <c r="O126" i="17"/>
  <c r="AK126" i="17"/>
  <c r="AC126" i="17"/>
  <c r="S127" i="1"/>
  <c r="R127" i="1" s="1"/>
  <c r="P127" i="1" s="1"/>
  <c r="V127" i="1" s="1"/>
  <c r="D127" i="1"/>
  <c r="E127" i="1" s="1"/>
  <c r="AK128" i="1"/>
  <c r="L128" i="1"/>
  <c r="Q128" i="1"/>
  <c r="O128" i="1"/>
  <c r="K128" i="1"/>
  <c r="AC128" i="1"/>
  <c r="AJ128" i="1"/>
  <c r="X128" i="1"/>
  <c r="A129" i="1"/>
  <c r="AB128" i="1"/>
  <c r="U128" i="1"/>
  <c r="T128" i="1" s="1"/>
  <c r="S128" i="1" s="1"/>
  <c r="R128" i="1" s="1"/>
  <c r="P128" i="1" s="1"/>
  <c r="F125" i="1"/>
  <c r="X123" i="22"/>
  <c r="AB123" i="22"/>
  <c r="L123" i="22"/>
  <c r="K123" i="22"/>
  <c r="A124" i="22"/>
  <c r="AK123" i="22"/>
  <c r="AJ123" i="22"/>
  <c r="O123" i="22"/>
  <c r="AC123" i="22"/>
  <c r="K124" i="20"/>
  <c r="A125" i="20"/>
  <c r="X124" i="20"/>
  <c r="L124" i="20"/>
  <c r="AB124" i="20"/>
  <c r="AJ124" i="20"/>
  <c r="AK124" i="20"/>
  <c r="O124" i="20"/>
  <c r="AC124" i="20"/>
  <c r="A122" i="24"/>
  <c r="K121" i="24"/>
  <c r="X121" i="24"/>
  <c r="L121" i="24"/>
  <c r="AB121" i="24"/>
  <c r="AJ121" i="24"/>
  <c r="AK121" i="24"/>
  <c r="O121" i="24"/>
  <c r="AC121" i="24"/>
  <c r="A121" i="25"/>
  <c r="K120" i="25"/>
  <c r="L120" i="25"/>
  <c r="X120" i="25"/>
  <c r="AB120" i="25"/>
  <c r="AJ120" i="25"/>
  <c r="AK120" i="25"/>
  <c r="O120" i="25"/>
  <c r="AC120" i="25"/>
  <c r="S126" i="1"/>
  <c r="R126" i="1" s="1"/>
  <c r="P126" i="1" s="1"/>
  <c r="V126" i="1" s="1"/>
  <c r="F126" i="1" s="1"/>
  <c r="A129" i="15" l="1"/>
  <c r="O128" i="15"/>
  <c r="L128" i="15"/>
  <c r="D128" i="15" s="1"/>
  <c r="AK128" i="15"/>
  <c r="X128" i="15"/>
  <c r="AJ128" i="15"/>
  <c r="K128" i="15"/>
  <c r="AB128" i="15"/>
  <c r="AC128" i="15"/>
  <c r="F127" i="1"/>
  <c r="AA127" i="1" s="1"/>
  <c r="Z127" i="1" s="1"/>
  <c r="Y127" i="1" s="1"/>
  <c r="E126" i="16"/>
  <c r="AB127" i="16"/>
  <c r="K127" i="16"/>
  <c r="X127" i="16"/>
  <c r="AK127" i="16"/>
  <c r="O127" i="16"/>
  <c r="L127" i="16"/>
  <c r="D127" i="16" s="1"/>
  <c r="A128" i="16"/>
  <c r="AJ127" i="16"/>
  <c r="AC127" i="16"/>
  <c r="I126" i="1"/>
  <c r="AA126" i="1"/>
  <c r="Z126" i="1" s="1"/>
  <c r="Y126" i="1" s="1"/>
  <c r="G126" i="1"/>
  <c r="BW126" i="6" s="1"/>
  <c r="K121" i="25"/>
  <c r="AB121" i="25"/>
  <c r="A122" i="25"/>
  <c r="L121" i="25"/>
  <c r="X121" i="25"/>
  <c r="AJ121" i="25"/>
  <c r="AK121" i="25"/>
  <c r="O121" i="25"/>
  <c r="AC121" i="25"/>
  <c r="X124" i="22"/>
  <c r="AB124" i="22"/>
  <c r="K124" i="22"/>
  <c r="L124" i="22"/>
  <c r="A125" i="22"/>
  <c r="AJ124" i="22"/>
  <c r="AK124" i="22"/>
  <c r="O124" i="22"/>
  <c r="AC124" i="22"/>
  <c r="A130" i="1"/>
  <c r="K129" i="1"/>
  <c r="AK129" i="1"/>
  <c r="AJ129" i="1"/>
  <c r="O129" i="1"/>
  <c r="X129" i="1"/>
  <c r="L129" i="1"/>
  <c r="AC129" i="1"/>
  <c r="Q129" i="1"/>
  <c r="AB129" i="1"/>
  <c r="U129" i="1"/>
  <c r="T129" i="1" s="1"/>
  <c r="A128" i="17"/>
  <c r="L127" i="17"/>
  <c r="AB127" i="17"/>
  <c r="K127" i="17"/>
  <c r="X127" i="17"/>
  <c r="O127" i="17"/>
  <c r="AJ127" i="17"/>
  <c r="AK127" i="17"/>
  <c r="AC127" i="17"/>
  <c r="K123" i="23"/>
  <c r="X123" i="23"/>
  <c r="L123" i="23"/>
  <c r="AB123" i="23"/>
  <c r="A124" i="23"/>
  <c r="AJ123" i="23"/>
  <c r="AK123" i="23"/>
  <c r="O123" i="23"/>
  <c r="AC123" i="23"/>
  <c r="AB126" i="18"/>
  <c r="L126" i="18"/>
  <c r="K126" i="18"/>
  <c r="A127" i="18"/>
  <c r="X126" i="18"/>
  <c r="AJ126" i="18"/>
  <c r="O126" i="18"/>
  <c r="AK126" i="18"/>
  <c r="AC126" i="18"/>
  <c r="K122" i="24"/>
  <c r="AB122" i="24"/>
  <c r="X122" i="24"/>
  <c r="A123" i="24"/>
  <c r="L122" i="24"/>
  <c r="AJ122" i="24"/>
  <c r="AK122" i="24"/>
  <c r="O122" i="24"/>
  <c r="AC122" i="24"/>
  <c r="X125" i="20"/>
  <c r="A126" i="20"/>
  <c r="L125" i="20"/>
  <c r="AB125" i="20"/>
  <c r="K125" i="20"/>
  <c r="AJ125" i="20"/>
  <c r="AK125" i="20"/>
  <c r="O125" i="20"/>
  <c r="AC125" i="20"/>
  <c r="G125" i="1"/>
  <c r="BW125" i="6" s="1"/>
  <c r="I125" i="1"/>
  <c r="AA125" i="1"/>
  <c r="Z125" i="1" s="1"/>
  <c r="Y125" i="1" s="1"/>
  <c r="D128" i="1"/>
  <c r="E128" i="1" s="1"/>
  <c r="V128" i="1"/>
  <c r="I127" i="1" l="1"/>
  <c r="E128" i="15"/>
  <c r="L129" i="15"/>
  <c r="D129" i="15" s="1"/>
  <c r="X129" i="15"/>
  <c r="AC129" i="15"/>
  <c r="A130" i="15"/>
  <c r="O129" i="15"/>
  <c r="E129" i="15" s="1"/>
  <c r="AB129" i="15"/>
  <c r="AJ129" i="15"/>
  <c r="K129" i="15"/>
  <c r="AK129" i="15"/>
  <c r="G127" i="1"/>
  <c r="BW127" i="6" s="1"/>
  <c r="E127" i="16"/>
  <c r="X128" i="16"/>
  <c r="L128" i="16"/>
  <c r="D128" i="16" s="1"/>
  <c r="K128" i="16"/>
  <c r="AK128" i="16"/>
  <c r="O128" i="16"/>
  <c r="A129" i="16"/>
  <c r="AB128" i="16"/>
  <c r="AJ128" i="16"/>
  <c r="AC128" i="16"/>
  <c r="F128" i="1"/>
  <c r="K126" i="20"/>
  <c r="X126" i="20"/>
  <c r="AB126" i="20"/>
  <c r="A127" i="20"/>
  <c r="L126" i="20"/>
  <c r="AK126" i="20"/>
  <c r="AJ126" i="20"/>
  <c r="O126" i="20"/>
  <c r="AC126" i="20"/>
  <c r="L127" i="18"/>
  <c r="A128" i="18"/>
  <c r="AB127" i="18"/>
  <c r="X127" i="18"/>
  <c r="K127" i="18"/>
  <c r="AJ127" i="18"/>
  <c r="O127" i="18"/>
  <c r="AK127" i="18"/>
  <c r="AC127" i="18"/>
  <c r="L128" i="17"/>
  <c r="K128" i="17"/>
  <c r="X128" i="17"/>
  <c r="AB128" i="17"/>
  <c r="A129" i="17"/>
  <c r="O128" i="17"/>
  <c r="AJ128" i="17"/>
  <c r="AK128" i="17"/>
  <c r="AC128" i="17"/>
  <c r="K125" i="22"/>
  <c r="A126" i="22"/>
  <c r="AB125" i="22"/>
  <c r="X125" i="22"/>
  <c r="L125" i="22"/>
  <c r="AJ125" i="22"/>
  <c r="AK125" i="22"/>
  <c r="O125" i="22"/>
  <c r="AC125" i="22"/>
  <c r="A123" i="25"/>
  <c r="AB122" i="25"/>
  <c r="X122" i="25"/>
  <c r="L122" i="25"/>
  <c r="K122" i="25"/>
  <c r="AK122" i="25"/>
  <c r="AJ122" i="25"/>
  <c r="O122" i="25"/>
  <c r="AC122" i="25"/>
  <c r="X123" i="24"/>
  <c r="L123" i="24"/>
  <c r="K123" i="24"/>
  <c r="A124" i="24"/>
  <c r="AB123" i="24"/>
  <c r="AK123" i="24"/>
  <c r="AJ123" i="24"/>
  <c r="O123" i="24"/>
  <c r="AC123" i="24"/>
  <c r="X124" i="23"/>
  <c r="AB124" i="23"/>
  <c r="A125" i="23"/>
  <c r="L124" i="23"/>
  <c r="K124" i="23"/>
  <c r="AJ124" i="23"/>
  <c r="AK124" i="23"/>
  <c r="O124" i="23"/>
  <c r="AC124" i="23"/>
  <c r="S129" i="1"/>
  <c r="R129" i="1" s="1"/>
  <c r="P129" i="1" s="1"/>
  <c r="V129" i="1" s="1"/>
  <c r="D129" i="1"/>
  <c r="E129" i="1" s="1"/>
  <c r="A131" i="1"/>
  <c r="AK130" i="1"/>
  <c r="K130" i="1"/>
  <c r="L130" i="1"/>
  <c r="AC130" i="1"/>
  <c r="O130" i="1"/>
  <c r="AJ130" i="1"/>
  <c r="AB130" i="1"/>
  <c r="X130" i="1"/>
  <c r="Q130" i="1"/>
  <c r="U130" i="1"/>
  <c r="T130" i="1" s="1"/>
  <c r="A131" i="15" l="1"/>
  <c r="AJ130" i="15"/>
  <c r="K130" i="15"/>
  <c r="X130" i="15"/>
  <c r="AC130" i="15"/>
  <c r="L130" i="15"/>
  <c r="D130" i="15" s="1"/>
  <c r="O130" i="15"/>
  <c r="AB130" i="15"/>
  <c r="AK130" i="15"/>
  <c r="E128" i="16"/>
  <c r="X129" i="16"/>
  <c r="K129" i="16"/>
  <c r="L129" i="16"/>
  <c r="D129" i="16" s="1"/>
  <c r="AK129" i="16"/>
  <c r="O129" i="16"/>
  <c r="AB129" i="16"/>
  <c r="A130" i="16"/>
  <c r="AJ129" i="16"/>
  <c r="AC129" i="16"/>
  <c r="S130" i="1"/>
  <c r="R130" i="1" s="1"/>
  <c r="P130" i="1" s="1"/>
  <c r="V130" i="1" s="1"/>
  <c r="A132" i="1"/>
  <c r="L131" i="1"/>
  <c r="AC131" i="1"/>
  <c r="K131" i="1"/>
  <c r="AB131" i="1"/>
  <c r="O131" i="1"/>
  <c r="X131" i="1"/>
  <c r="AJ131" i="1"/>
  <c r="AK131" i="1"/>
  <c r="Q131" i="1"/>
  <c r="U131" i="1"/>
  <c r="T131" i="1" s="1"/>
  <c r="F129" i="1"/>
  <c r="A127" i="22"/>
  <c r="AB126" i="22"/>
  <c r="L126" i="22"/>
  <c r="X126" i="22"/>
  <c r="K126" i="22"/>
  <c r="AJ126" i="22"/>
  <c r="AK126" i="22"/>
  <c r="O126" i="22"/>
  <c r="AC126" i="22"/>
  <c r="AB129" i="17"/>
  <c r="X129" i="17"/>
  <c r="K129" i="17"/>
  <c r="A130" i="17"/>
  <c r="L129" i="17"/>
  <c r="AJ129" i="17"/>
  <c r="O129" i="17"/>
  <c r="AK129" i="17"/>
  <c r="AC129" i="17"/>
  <c r="X128" i="18"/>
  <c r="A129" i="18"/>
  <c r="AB128" i="18"/>
  <c r="L128" i="18"/>
  <c r="K128" i="18"/>
  <c r="AJ128" i="18"/>
  <c r="AK128" i="18"/>
  <c r="O128" i="18"/>
  <c r="AC128" i="18"/>
  <c r="AA128" i="1"/>
  <c r="Z128" i="1" s="1"/>
  <c r="Y128" i="1" s="1"/>
  <c r="I128" i="1"/>
  <c r="G128" i="1"/>
  <c r="BW128" i="6" s="1"/>
  <c r="D130" i="1"/>
  <c r="E130" i="1" s="1"/>
  <c r="A126" i="23"/>
  <c r="K125" i="23"/>
  <c r="X125" i="23"/>
  <c r="AB125" i="23"/>
  <c r="L125" i="23"/>
  <c r="AJ125" i="23"/>
  <c r="AK125" i="23"/>
  <c r="O125" i="23"/>
  <c r="AC125" i="23"/>
  <c r="AB124" i="24"/>
  <c r="L124" i="24"/>
  <c r="A125" i="24"/>
  <c r="X124" i="24"/>
  <c r="K124" i="24"/>
  <c r="AJ124" i="24"/>
  <c r="AK124" i="24"/>
  <c r="O124" i="24"/>
  <c r="AC124" i="24"/>
  <c r="AB123" i="25"/>
  <c r="K123" i="25"/>
  <c r="A124" i="25"/>
  <c r="L123" i="25"/>
  <c r="X123" i="25"/>
  <c r="AJ123" i="25"/>
  <c r="O123" i="25"/>
  <c r="AK123" i="25"/>
  <c r="AC123" i="25"/>
  <c r="A128" i="20"/>
  <c r="AB127" i="20"/>
  <c r="L127" i="20"/>
  <c r="X127" i="20"/>
  <c r="K127" i="20"/>
  <c r="AJ127" i="20"/>
  <c r="AK127" i="20"/>
  <c r="O127" i="20"/>
  <c r="AC127" i="20"/>
  <c r="F130" i="1" l="1"/>
  <c r="AA130" i="1" s="1"/>
  <c r="Z130" i="1" s="1"/>
  <c r="Y130" i="1" s="1"/>
  <c r="E130" i="15"/>
  <c r="K131" i="15"/>
  <c r="AK131" i="15"/>
  <c r="A132" i="15"/>
  <c r="AB131" i="15"/>
  <c r="AC131" i="15"/>
  <c r="X131" i="15"/>
  <c r="O131" i="15"/>
  <c r="L131" i="15"/>
  <c r="D131" i="15" s="1"/>
  <c r="AJ131" i="15"/>
  <c r="A131" i="16"/>
  <c r="AB130" i="16"/>
  <c r="X130" i="16"/>
  <c r="AJ130" i="16"/>
  <c r="O130" i="16"/>
  <c r="L130" i="16"/>
  <c r="D130" i="16" s="1"/>
  <c r="K130" i="16"/>
  <c r="AK130" i="16"/>
  <c r="AC130" i="16"/>
  <c r="E129" i="16"/>
  <c r="K124" i="25"/>
  <c r="L124" i="25"/>
  <c r="AB124" i="25"/>
  <c r="X124" i="25"/>
  <c r="A125" i="25"/>
  <c r="AJ124" i="25"/>
  <c r="O124" i="25"/>
  <c r="AK124" i="25"/>
  <c r="AC124" i="25"/>
  <c r="AB126" i="23"/>
  <c r="L126" i="23"/>
  <c r="X126" i="23"/>
  <c r="K126" i="23"/>
  <c r="A127" i="23"/>
  <c r="AJ126" i="23"/>
  <c r="AK126" i="23"/>
  <c r="O126" i="23"/>
  <c r="AC126" i="23"/>
  <c r="A130" i="18"/>
  <c r="AB129" i="18"/>
  <c r="X129" i="18"/>
  <c r="L129" i="18"/>
  <c r="K129" i="18"/>
  <c r="AJ129" i="18"/>
  <c r="AK129" i="18"/>
  <c r="O129" i="18"/>
  <c r="AC129" i="18"/>
  <c r="S131" i="1"/>
  <c r="R131" i="1" s="1"/>
  <c r="P131" i="1" s="1"/>
  <c r="V131" i="1" s="1"/>
  <c r="K132" i="1"/>
  <c r="L132" i="1"/>
  <c r="AJ132" i="1"/>
  <c r="AC132" i="1"/>
  <c r="X132" i="1"/>
  <c r="AK132" i="1"/>
  <c r="O132" i="1"/>
  <c r="Q132" i="1"/>
  <c r="A133" i="1"/>
  <c r="AB132" i="1"/>
  <c r="U132" i="1"/>
  <c r="K128" i="20"/>
  <c r="AB128" i="20"/>
  <c r="A129" i="20"/>
  <c r="L128" i="20"/>
  <c r="X128" i="20"/>
  <c r="AJ128" i="20"/>
  <c r="AK128" i="20"/>
  <c r="O128" i="20"/>
  <c r="AC128" i="20"/>
  <c r="A126" i="24"/>
  <c r="K125" i="24"/>
  <c r="X125" i="24"/>
  <c r="L125" i="24"/>
  <c r="AB125" i="24"/>
  <c r="AK125" i="24"/>
  <c r="AJ125" i="24"/>
  <c r="O125" i="24"/>
  <c r="AC125" i="24"/>
  <c r="X130" i="17"/>
  <c r="A131" i="17"/>
  <c r="L130" i="17"/>
  <c r="K130" i="17"/>
  <c r="AB130" i="17"/>
  <c r="AJ130" i="17"/>
  <c r="O130" i="17"/>
  <c r="AK130" i="17"/>
  <c r="AC130" i="17"/>
  <c r="A128" i="22"/>
  <c r="X127" i="22"/>
  <c r="L127" i="22"/>
  <c r="AB127" i="22"/>
  <c r="K127" i="22"/>
  <c r="AJ127" i="22"/>
  <c r="AK127" i="22"/>
  <c r="O127" i="22"/>
  <c r="AC127" i="22"/>
  <c r="I129" i="1"/>
  <c r="G129" i="1"/>
  <c r="BW129" i="6" s="1"/>
  <c r="AA129" i="1"/>
  <c r="Z129" i="1" s="1"/>
  <c r="Y129" i="1" s="1"/>
  <c r="D131" i="1"/>
  <c r="E131" i="1" s="1"/>
  <c r="G130" i="1" l="1"/>
  <c r="BW130" i="6" s="1"/>
  <c r="I130" i="1"/>
  <c r="A133" i="15"/>
  <c r="AK132" i="15"/>
  <c r="X132" i="15"/>
  <c r="L132" i="15"/>
  <c r="D132" i="15" s="1"/>
  <c r="AC132" i="15"/>
  <c r="K132" i="15"/>
  <c r="O132" i="15"/>
  <c r="AB132" i="15"/>
  <c r="AJ132" i="15"/>
  <c r="E131" i="15"/>
  <c r="E130" i="16"/>
  <c r="K131" i="16"/>
  <c r="X131" i="16"/>
  <c r="AJ131" i="16"/>
  <c r="AC131" i="16"/>
  <c r="L131" i="16"/>
  <c r="D131" i="16" s="1"/>
  <c r="AB131" i="16"/>
  <c r="A132" i="16"/>
  <c r="AK131" i="16"/>
  <c r="O131" i="16"/>
  <c r="F131" i="1"/>
  <c r="A129" i="22"/>
  <c r="L128" i="22"/>
  <c r="AB128" i="22"/>
  <c r="K128" i="22"/>
  <c r="X128" i="22"/>
  <c r="AJ128" i="22"/>
  <c r="AK128" i="22"/>
  <c r="O128" i="22"/>
  <c r="AC128" i="22"/>
  <c r="A132" i="17"/>
  <c r="X131" i="17"/>
  <c r="AB131" i="17"/>
  <c r="L131" i="17"/>
  <c r="K131" i="17"/>
  <c r="AK131" i="17"/>
  <c r="AJ131" i="17"/>
  <c r="O131" i="17"/>
  <c r="AC131" i="17"/>
  <c r="K129" i="20"/>
  <c r="AB129" i="20"/>
  <c r="A130" i="20"/>
  <c r="X129" i="20"/>
  <c r="L129" i="20"/>
  <c r="AJ129" i="20"/>
  <c r="AK129" i="20"/>
  <c r="O129" i="20"/>
  <c r="AC129" i="20"/>
  <c r="D132" i="1"/>
  <c r="E132" i="1" s="1"/>
  <c r="L130" i="18"/>
  <c r="AB130" i="18"/>
  <c r="K130" i="18"/>
  <c r="X130" i="18"/>
  <c r="A131" i="18"/>
  <c r="AJ130" i="18"/>
  <c r="AK130" i="18"/>
  <c r="O130" i="18"/>
  <c r="AC130" i="18"/>
  <c r="A128" i="23"/>
  <c r="X127" i="23"/>
  <c r="L127" i="23"/>
  <c r="AB127" i="23"/>
  <c r="K127" i="23"/>
  <c r="AJ127" i="23"/>
  <c r="AK127" i="23"/>
  <c r="O127" i="23"/>
  <c r="AC127" i="23"/>
  <c r="K126" i="24"/>
  <c r="AB126" i="24"/>
  <c r="L126" i="24"/>
  <c r="A127" i="24"/>
  <c r="X126" i="24"/>
  <c r="AJ126" i="24"/>
  <c r="AK126" i="24"/>
  <c r="O126" i="24"/>
  <c r="AC126" i="24"/>
  <c r="T132" i="1"/>
  <c r="AJ133" i="1"/>
  <c r="AK133" i="1"/>
  <c r="Q133" i="1"/>
  <c r="K133" i="1"/>
  <c r="O133" i="1"/>
  <c r="X133" i="1"/>
  <c r="AC133" i="1"/>
  <c r="A134" i="1"/>
  <c r="L133" i="1"/>
  <c r="AB133" i="1"/>
  <c r="U133" i="1"/>
  <c r="T133" i="1" s="1"/>
  <c r="AB125" i="25"/>
  <c r="X125" i="25"/>
  <c r="K125" i="25"/>
  <c r="L125" i="25"/>
  <c r="A126" i="25"/>
  <c r="AJ125" i="25"/>
  <c r="O125" i="25"/>
  <c r="AK125" i="25"/>
  <c r="AC125" i="25"/>
  <c r="E132" i="15" l="1"/>
  <c r="O133" i="15"/>
  <c r="L133" i="15"/>
  <c r="D133" i="15" s="1"/>
  <c r="AJ133" i="15"/>
  <c r="X133" i="15"/>
  <c r="A134" i="15"/>
  <c r="K133" i="15"/>
  <c r="AB133" i="15"/>
  <c r="AC133" i="15"/>
  <c r="AK133" i="15"/>
  <c r="A133" i="16"/>
  <c r="L132" i="16"/>
  <c r="D132" i="16" s="1"/>
  <c r="K132" i="16"/>
  <c r="AK132" i="16"/>
  <c r="O132" i="16"/>
  <c r="X132" i="16"/>
  <c r="AB132" i="16"/>
  <c r="AJ132" i="16"/>
  <c r="AC132" i="16"/>
  <c r="E131" i="16"/>
  <c r="S133" i="1"/>
  <c r="R133" i="1" s="1"/>
  <c r="P133" i="1" s="1"/>
  <c r="V133" i="1" s="1"/>
  <c r="D133" i="1"/>
  <c r="E133" i="1" s="1"/>
  <c r="S132" i="1"/>
  <c r="R132" i="1" s="1"/>
  <c r="P132" i="1" s="1"/>
  <c r="V132" i="1" s="1"/>
  <c r="K127" i="24"/>
  <c r="A128" i="24"/>
  <c r="L127" i="24"/>
  <c r="AB127" i="24"/>
  <c r="X127" i="24"/>
  <c r="AK127" i="24"/>
  <c r="AJ127" i="24"/>
  <c r="O127" i="24"/>
  <c r="AC127" i="24"/>
  <c r="K131" i="18"/>
  <c r="AB131" i="18"/>
  <c r="X131" i="18"/>
  <c r="L131" i="18"/>
  <c r="A132" i="18"/>
  <c r="AJ131" i="18"/>
  <c r="O131" i="18"/>
  <c r="AK131" i="18"/>
  <c r="AC131" i="18"/>
  <c r="A133" i="17"/>
  <c r="X132" i="17"/>
  <c r="L132" i="17"/>
  <c r="K132" i="17"/>
  <c r="AB132" i="17"/>
  <c r="AJ132" i="17"/>
  <c r="O132" i="17"/>
  <c r="AK132" i="17"/>
  <c r="AC132" i="17"/>
  <c r="I131" i="1"/>
  <c r="G131" i="1"/>
  <c r="BW131" i="6" s="1"/>
  <c r="AA131" i="1"/>
  <c r="Z131" i="1" s="1"/>
  <c r="Y131" i="1" s="1"/>
  <c r="K126" i="25"/>
  <c r="X126" i="25"/>
  <c r="A127" i="25"/>
  <c r="L126" i="25"/>
  <c r="AB126" i="25"/>
  <c r="AJ126" i="25"/>
  <c r="O126" i="25"/>
  <c r="AK126" i="25"/>
  <c r="AC126" i="25"/>
  <c r="L134" i="1"/>
  <c r="AJ134" i="1"/>
  <c r="Q134" i="1"/>
  <c r="O134" i="1"/>
  <c r="A135" i="1"/>
  <c r="AK134" i="1"/>
  <c r="AC134" i="1"/>
  <c r="AB134" i="1"/>
  <c r="X134" i="1"/>
  <c r="K134" i="1"/>
  <c r="U134" i="1"/>
  <c r="T134" i="1" s="1"/>
  <c r="X128" i="23"/>
  <c r="K128" i="23"/>
  <c r="A129" i="23"/>
  <c r="AB128" i="23"/>
  <c r="L128" i="23"/>
  <c r="AJ128" i="23"/>
  <c r="AK128" i="23"/>
  <c r="O128" i="23"/>
  <c r="AC128" i="23"/>
  <c r="K130" i="20"/>
  <c r="A131" i="20"/>
  <c r="X130" i="20"/>
  <c r="AB130" i="20"/>
  <c r="L130" i="20"/>
  <c r="AJ130" i="20"/>
  <c r="AK130" i="20"/>
  <c r="O130" i="20"/>
  <c r="AC130" i="20"/>
  <c r="A130" i="22"/>
  <c r="AB129" i="22"/>
  <c r="L129" i="22"/>
  <c r="K129" i="22"/>
  <c r="X129" i="22"/>
  <c r="AK129" i="22"/>
  <c r="AJ129" i="22"/>
  <c r="O129" i="22"/>
  <c r="AC129" i="22"/>
  <c r="E133" i="15" l="1"/>
  <c r="AB134" i="15"/>
  <c r="AJ134" i="15"/>
  <c r="X134" i="15"/>
  <c r="AK134" i="15"/>
  <c r="K134" i="15"/>
  <c r="L134" i="15"/>
  <c r="D134" i="15" s="1"/>
  <c r="O134" i="15"/>
  <c r="A135" i="15"/>
  <c r="AC134" i="15"/>
  <c r="E132" i="16"/>
  <c r="AB133" i="16"/>
  <c r="K133" i="16"/>
  <c r="X133" i="16"/>
  <c r="AJ133" i="16"/>
  <c r="O133" i="16"/>
  <c r="A134" i="16"/>
  <c r="L133" i="16"/>
  <c r="D133" i="16" s="1"/>
  <c r="AK133" i="16"/>
  <c r="AC133" i="16"/>
  <c r="AB129" i="23"/>
  <c r="A130" i="23"/>
  <c r="X129" i="23"/>
  <c r="L129" i="23"/>
  <c r="K129" i="23"/>
  <c r="AJ129" i="23"/>
  <c r="AK129" i="23"/>
  <c r="O129" i="23"/>
  <c r="AC129" i="23"/>
  <c r="X127" i="25"/>
  <c r="L127" i="25"/>
  <c r="K127" i="25"/>
  <c r="A128" i="25"/>
  <c r="AB127" i="25"/>
  <c r="AJ127" i="25"/>
  <c r="O127" i="25"/>
  <c r="AK127" i="25"/>
  <c r="AC127" i="25"/>
  <c r="X133" i="17"/>
  <c r="K133" i="17"/>
  <c r="AB133" i="17"/>
  <c r="L133" i="17"/>
  <c r="A134" i="17"/>
  <c r="O133" i="17"/>
  <c r="AK133" i="17"/>
  <c r="AJ133" i="17"/>
  <c r="AC133" i="17"/>
  <c r="K128" i="24"/>
  <c r="X128" i="24"/>
  <c r="L128" i="24"/>
  <c r="A129" i="24"/>
  <c r="AB128" i="24"/>
  <c r="AJ128" i="24"/>
  <c r="AK128" i="24"/>
  <c r="O128" i="24"/>
  <c r="AC128" i="24"/>
  <c r="K130" i="22"/>
  <c r="A131" i="22"/>
  <c r="X130" i="22"/>
  <c r="AB130" i="22"/>
  <c r="L130" i="22"/>
  <c r="AJ130" i="22"/>
  <c r="AK130" i="22"/>
  <c r="O130" i="22"/>
  <c r="AC130" i="22"/>
  <c r="A132" i="20"/>
  <c r="L131" i="20"/>
  <c r="K131" i="20"/>
  <c r="X131" i="20"/>
  <c r="AB131" i="20"/>
  <c r="AK131" i="20"/>
  <c r="AJ131" i="20"/>
  <c r="O131" i="20"/>
  <c r="AC131" i="20"/>
  <c r="S134" i="1"/>
  <c r="R134" i="1" s="1"/>
  <c r="P134" i="1" s="1"/>
  <c r="V134" i="1" s="1"/>
  <c r="AB135" i="1"/>
  <c r="AK135" i="1"/>
  <c r="Q135" i="1"/>
  <c r="A136" i="1"/>
  <c r="AC135" i="1"/>
  <c r="X135" i="1"/>
  <c r="L135" i="1"/>
  <c r="K135" i="1"/>
  <c r="O135" i="1"/>
  <c r="AJ135" i="1"/>
  <c r="U135" i="1"/>
  <c r="T135" i="1" s="1"/>
  <c r="D134" i="1"/>
  <c r="E134" i="1" s="1"/>
  <c r="K132" i="18"/>
  <c r="L132" i="18"/>
  <c r="AB132" i="18"/>
  <c r="X132" i="18"/>
  <c r="A133" i="18"/>
  <c r="O132" i="18"/>
  <c r="AJ132" i="18"/>
  <c r="AK132" i="18"/>
  <c r="AC132" i="18"/>
  <c r="F133" i="1"/>
  <c r="F132" i="1"/>
  <c r="E133" i="16" l="1"/>
  <c r="E134" i="15"/>
  <c r="O135" i="15"/>
  <c r="AB135" i="15"/>
  <c r="AK135" i="15"/>
  <c r="K135" i="15"/>
  <c r="L135" i="15"/>
  <c r="D135" i="15" s="1"/>
  <c r="E135" i="15" s="1"/>
  <c r="A136" i="15"/>
  <c r="X135" i="15"/>
  <c r="AC135" i="15"/>
  <c r="AJ135" i="15"/>
  <c r="F134" i="1"/>
  <c r="AA134" i="1" s="1"/>
  <c r="Z134" i="1" s="1"/>
  <c r="Y134" i="1" s="1"/>
  <c r="A135" i="16"/>
  <c r="K134" i="16"/>
  <c r="AB134" i="16"/>
  <c r="AK134" i="16"/>
  <c r="O134" i="16"/>
  <c r="X134" i="16"/>
  <c r="L134" i="16"/>
  <c r="D134" i="16" s="1"/>
  <c r="E134" i="16" s="1"/>
  <c r="AJ134" i="16"/>
  <c r="AC134" i="16"/>
  <c r="I134" i="1"/>
  <c r="I132" i="1"/>
  <c r="G132" i="1"/>
  <c r="BW132" i="6" s="1"/>
  <c r="AA132" i="1"/>
  <c r="Z132" i="1" s="1"/>
  <c r="Y132" i="1" s="1"/>
  <c r="X133" i="18"/>
  <c r="A134" i="18"/>
  <c r="K133" i="18"/>
  <c r="AB133" i="18"/>
  <c r="L133" i="18"/>
  <c r="AJ133" i="18"/>
  <c r="O133" i="18"/>
  <c r="AK133" i="18"/>
  <c r="AC133" i="18"/>
  <c r="K136" i="1"/>
  <c r="A137" i="1"/>
  <c r="X136" i="1"/>
  <c r="L136" i="1"/>
  <c r="AJ136" i="1"/>
  <c r="AK136" i="1"/>
  <c r="AB136" i="1"/>
  <c r="AC136" i="1"/>
  <c r="O136" i="1"/>
  <c r="Q136" i="1"/>
  <c r="U136" i="1"/>
  <c r="T136" i="1" s="1"/>
  <c r="A133" i="20"/>
  <c r="AB132" i="20"/>
  <c r="L132" i="20"/>
  <c r="K132" i="20"/>
  <c r="X132" i="20"/>
  <c r="AJ132" i="20"/>
  <c r="AK132" i="20"/>
  <c r="O132" i="20"/>
  <c r="AC132" i="20"/>
  <c r="AB131" i="22"/>
  <c r="A132" i="22"/>
  <c r="K131" i="22"/>
  <c r="L131" i="22"/>
  <c r="X131" i="22"/>
  <c r="AJ131" i="22"/>
  <c r="AK131" i="22"/>
  <c r="O131" i="22"/>
  <c r="AC131" i="22"/>
  <c r="K128" i="25"/>
  <c r="L128" i="25"/>
  <c r="A129" i="25"/>
  <c r="AB128" i="25"/>
  <c r="X128" i="25"/>
  <c r="AK128" i="25"/>
  <c r="AJ128" i="25"/>
  <c r="O128" i="25"/>
  <c r="AC128" i="25"/>
  <c r="X130" i="23"/>
  <c r="AB130" i="23"/>
  <c r="K130" i="23"/>
  <c r="L130" i="23"/>
  <c r="A131" i="23"/>
  <c r="AK130" i="23"/>
  <c r="AJ130" i="23"/>
  <c r="O130" i="23"/>
  <c r="AC130" i="23"/>
  <c r="AA133" i="1"/>
  <c r="Z133" i="1" s="1"/>
  <c r="Y133" i="1" s="1"/>
  <c r="I133" i="1"/>
  <c r="G133" i="1"/>
  <c r="BW133" i="6" s="1"/>
  <c r="S135" i="1"/>
  <c r="R135" i="1" s="1"/>
  <c r="P135" i="1" s="1"/>
  <c r="V135" i="1" s="1"/>
  <c r="D135" i="1"/>
  <c r="E135" i="1" s="1"/>
  <c r="AB129" i="24"/>
  <c r="L129" i="24"/>
  <c r="K129" i="24"/>
  <c r="X129" i="24"/>
  <c r="A130" i="24"/>
  <c r="AK129" i="24"/>
  <c r="AJ129" i="24"/>
  <c r="O129" i="24"/>
  <c r="AC129" i="24"/>
  <c r="AB134" i="17"/>
  <c r="A135" i="17"/>
  <c r="X134" i="17"/>
  <c r="K134" i="17"/>
  <c r="L134" i="17"/>
  <c r="AJ134" i="17"/>
  <c r="O134" i="17"/>
  <c r="AK134" i="17"/>
  <c r="AC134" i="17"/>
  <c r="X136" i="15" l="1"/>
  <c r="AK136" i="15"/>
  <c r="K136" i="15"/>
  <c r="AJ136" i="15"/>
  <c r="L136" i="15"/>
  <c r="D136" i="15" s="1"/>
  <c r="AB136" i="15"/>
  <c r="AC136" i="15"/>
  <c r="A137" i="15"/>
  <c r="O136" i="15"/>
  <c r="G134" i="1"/>
  <c r="BW134" i="6" s="1"/>
  <c r="X135" i="16"/>
  <c r="L135" i="16"/>
  <c r="D135" i="16" s="1"/>
  <c r="AK135" i="16"/>
  <c r="AC135" i="16"/>
  <c r="AB135" i="16"/>
  <c r="K135" i="16"/>
  <c r="A136" i="16"/>
  <c r="AJ135" i="16"/>
  <c r="O135" i="16"/>
  <c r="F135" i="1"/>
  <c r="A136" i="17"/>
  <c r="L135" i="17"/>
  <c r="X135" i="17"/>
  <c r="K135" i="17"/>
  <c r="AB135" i="17"/>
  <c r="AJ135" i="17"/>
  <c r="O135" i="17"/>
  <c r="AK135" i="17"/>
  <c r="AC135" i="17"/>
  <c r="X130" i="24"/>
  <c r="K130" i="24"/>
  <c r="AB130" i="24"/>
  <c r="A131" i="24"/>
  <c r="L130" i="24"/>
  <c r="AJ130" i="24"/>
  <c r="AK130" i="24"/>
  <c r="O130" i="24"/>
  <c r="AC130" i="24"/>
  <c r="AB131" i="23"/>
  <c r="A132" i="23"/>
  <c r="K131" i="23"/>
  <c r="X131" i="23"/>
  <c r="L131" i="23"/>
  <c r="AJ131" i="23"/>
  <c r="AK131" i="23"/>
  <c r="O131" i="23"/>
  <c r="AC131" i="23"/>
  <c r="X132" i="22"/>
  <c r="K132" i="22"/>
  <c r="AB132" i="22"/>
  <c r="A133" i="22"/>
  <c r="L132" i="22"/>
  <c r="AJ132" i="22"/>
  <c r="AK132" i="22"/>
  <c r="O132" i="22"/>
  <c r="AC132" i="22"/>
  <c r="A134" i="20"/>
  <c r="K133" i="20"/>
  <c r="AB133" i="20"/>
  <c r="X133" i="20"/>
  <c r="L133" i="20"/>
  <c r="AJ133" i="20"/>
  <c r="AK133" i="20"/>
  <c r="O133" i="20"/>
  <c r="AC133" i="20"/>
  <c r="D136" i="1"/>
  <c r="E136" i="1" s="1"/>
  <c r="AK137" i="1"/>
  <c r="K137" i="1"/>
  <c r="Q137" i="1"/>
  <c r="L137" i="1"/>
  <c r="O137" i="1"/>
  <c r="AC137" i="1"/>
  <c r="X137" i="1"/>
  <c r="AB137" i="1"/>
  <c r="A138" i="1"/>
  <c r="AJ137" i="1"/>
  <c r="U137" i="1"/>
  <c r="T137" i="1" s="1"/>
  <c r="S137" i="1" s="1"/>
  <c r="R137" i="1" s="1"/>
  <c r="P137" i="1" s="1"/>
  <c r="K129" i="25"/>
  <c r="X129" i="25"/>
  <c r="A130" i="25"/>
  <c r="AB129" i="25"/>
  <c r="L129" i="25"/>
  <c r="AJ129" i="25"/>
  <c r="O129" i="25"/>
  <c r="AK129" i="25"/>
  <c r="AC129" i="25"/>
  <c r="S136" i="1"/>
  <c r="R136" i="1" s="1"/>
  <c r="P136" i="1" s="1"/>
  <c r="V136" i="1" s="1"/>
  <c r="AB134" i="18"/>
  <c r="X134" i="18"/>
  <c r="A135" i="18"/>
  <c r="L134" i="18"/>
  <c r="K134" i="18"/>
  <c r="AJ134" i="18"/>
  <c r="AK134" i="18"/>
  <c r="O134" i="18"/>
  <c r="AC134" i="18"/>
  <c r="L137" i="15" l="1"/>
  <c r="D137" i="15" s="1"/>
  <c r="AJ137" i="15"/>
  <c r="X137" i="15"/>
  <c r="AK137" i="15"/>
  <c r="K137" i="15"/>
  <c r="A138" i="15"/>
  <c r="O137" i="15"/>
  <c r="AB137" i="15"/>
  <c r="AC137" i="15"/>
  <c r="E136" i="15"/>
  <c r="E135" i="16"/>
  <c r="X136" i="16"/>
  <c r="A137" i="16"/>
  <c r="L136" i="16"/>
  <c r="D136" i="16" s="1"/>
  <c r="AJ136" i="16"/>
  <c r="O136" i="16"/>
  <c r="AB136" i="16"/>
  <c r="K136" i="16"/>
  <c r="AK136" i="16"/>
  <c r="AC136" i="16"/>
  <c r="AB135" i="18"/>
  <c r="A136" i="18"/>
  <c r="X135" i="18"/>
  <c r="AJ135" i="18"/>
  <c r="L135" i="18"/>
  <c r="K135" i="18"/>
  <c r="AK135" i="18"/>
  <c r="O135" i="18"/>
  <c r="AC135" i="18"/>
  <c r="A139" i="1"/>
  <c r="L138" i="1"/>
  <c r="K138" i="1"/>
  <c r="AJ138" i="1"/>
  <c r="AK138" i="1"/>
  <c r="AB138" i="1"/>
  <c r="X138" i="1"/>
  <c r="O138" i="1"/>
  <c r="Q138" i="1"/>
  <c r="AC138" i="1"/>
  <c r="U138" i="1"/>
  <c r="T138" i="1" s="1"/>
  <c r="F136" i="1"/>
  <c r="X131" i="24"/>
  <c r="AB131" i="24"/>
  <c r="A132" i="24"/>
  <c r="L131" i="24"/>
  <c r="K131" i="24"/>
  <c r="AK131" i="24"/>
  <c r="AJ131" i="24"/>
  <c r="O131" i="24"/>
  <c r="AC131" i="24"/>
  <c r="X136" i="17"/>
  <c r="AB136" i="17"/>
  <c r="L136" i="17"/>
  <c r="K136" i="17"/>
  <c r="A137" i="17"/>
  <c r="AJ136" i="17"/>
  <c r="O136" i="17"/>
  <c r="AK136" i="17"/>
  <c r="AC136" i="17"/>
  <c r="X130" i="25"/>
  <c r="AB130" i="25"/>
  <c r="L130" i="25"/>
  <c r="K130" i="25"/>
  <c r="A131" i="25"/>
  <c r="AJ130" i="25"/>
  <c r="O130" i="25"/>
  <c r="AK130" i="25"/>
  <c r="AC130" i="25"/>
  <c r="D137" i="1"/>
  <c r="E137" i="1" s="1"/>
  <c r="V137" i="1"/>
  <c r="AB134" i="20"/>
  <c r="K134" i="20"/>
  <c r="L134" i="20"/>
  <c r="A135" i="20"/>
  <c r="X134" i="20"/>
  <c r="AJ134" i="20"/>
  <c r="AK134" i="20"/>
  <c r="O134" i="20"/>
  <c r="AC134" i="20"/>
  <c r="AB133" i="22"/>
  <c r="A134" i="22"/>
  <c r="K133" i="22"/>
  <c r="X133" i="22"/>
  <c r="L133" i="22"/>
  <c r="AJ133" i="22"/>
  <c r="AK133" i="22"/>
  <c r="O133" i="22"/>
  <c r="AC133" i="22"/>
  <c r="AB132" i="23"/>
  <c r="L132" i="23"/>
  <c r="A133" i="23"/>
  <c r="K132" i="23"/>
  <c r="X132" i="23"/>
  <c r="AJ132" i="23"/>
  <c r="AK132" i="23"/>
  <c r="O132" i="23"/>
  <c r="AC132" i="23"/>
  <c r="I135" i="1"/>
  <c r="AA135" i="1"/>
  <c r="Z135" i="1" s="1"/>
  <c r="Y135" i="1" s="1"/>
  <c r="G135" i="1"/>
  <c r="BW135" i="6" s="1"/>
  <c r="AB138" i="15" l="1"/>
  <c r="AK138" i="15"/>
  <c r="X138" i="15"/>
  <c r="A139" i="15"/>
  <c r="O138" i="15"/>
  <c r="K138" i="15"/>
  <c r="AC138" i="15"/>
  <c r="L138" i="15"/>
  <c r="D138" i="15" s="1"/>
  <c r="AJ138" i="15"/>
  <c r="E137" i="15"/>
  <c r="AB137" i="16"/>
  <c r="K137" i="16"/>
  <c r="AJ137" i="16"/>
  <c r="AC137" i="16"/>
  <c r="X137" i="16"/>
  <c r="L137" i="16"/>
  <c r="D137" i="16" s="1"/>
  <c r="A138" i="16"/>
  <c r="AK137" i="16"/>
  <c r="O137" i="16"/>
  <c r="F137" i="1"/>
  <c r="AA137" i="1" s="1"/>
  <c r="Z137" i="1" s="1"/>
  <c r="Y137" i="1" s="1"/>
  <c r="E136" i="16"/>
  <c r="AB135" i="20"/>
  <c r="L135" i="20"/>
  <c r="K135" i="20"/>
  <c r="A136" i="20"/>
  <c r="X135" i="20"/>
  <c r="AK135" i="20"/>
  <c r="AJ135" i="20"/>
  <c r="O135" i="20"/>
  <c r="AC135" i="20"/>
  <c r="A132" i="25"/>
  <c r="L131" i="25"/>
  <c r="AB131" i="25"/>
  <c r="X131" i="25"/>
  <c r="K131" i="25"/>
  <c r="AJ131" i="25"/>
  <c r="AK131" i="25"/>
  <c r="O131" i="25"/>
  <c r="AC131" i="25"/>
  <c r="D138" i="1"/>
  <c r="E138" i="1" s="1"/>
  <c r="X133" i="23"/>
  <c r="A134" i="23"/>
  <c r="L133" i="23"/>
  <c r="K133" i="23"/>
  <c r="AB133" i="23"/>
  <c r="AJ133" i="23"/>
  <c r="AK133" i="23"/>
  <c r="O133" i="23"/>
  <c r="AC133" i="23"/>
  <c r="K134" i="22"/>
  <c r="L134" i="22"/>
  <c r="A135" i="22"/>
  <c r="AB134" i="22"/>
  <c r="X134" i="22"/>
  <c r="AJ134" i="22"/>
  <c r="AK134" i="22"/>
  <c r="O134" i="22"/>
  <c r="AC134" i="22"/>
  <c r="K137" i="17"/>
  <c r="X137" i="17"/>
  <c r="L137" i="17"/>
  <c r="A138" i="17"/>
  <c r="AB137" i="17"/>
  <c r="O137" i="17"/>
  <c r="AK137" i="17"/>
  <c r="AJ137" i="17"/>
  <c r="AC137" i="17"/>
  <c r="AB132" i="24"/>
  <c r="A133" i="24"/>
  <c r="X132" i="24"/>
  <c r="K132" i="24"/>
  <c r="L132" i="24"/>
  <c r="AJ132" i="24"/>
  <c r="AK132" i="24"/>
  <c r="O132" i="24"/>
  <c r="AC132" i="24"/>
  <c r="I136" i="1"/>
  <c r="AA136" i="1"/>
  <c r="Z136" i="1" s="1"/>
  <c r="Y136" i="1" s="1"/>
  <c r="G136" i="1"/>
  <c r="BW136" i="6" s="1"/>
  <c r="S138" i="1"/>
  <c r="R138" i="1" s="1"/>
  <c r="P138" i="1" s="1"/>
  <c r="V138" i="1" s="1"/>
  <c r="K139" i="1"/>
  <c r="AJ139" i="1"/>
  <c r="AB139" i="1"/>
  <c r="AK139" i="1"/>
  <c r="A140" i="1"/>
  <c r="O139" i="1"/>
  <c r="X139" i="1"/>
  <c r="Q139" i="1"/>
  <c r="L139" i="1"/>
  <c r="AC139" i="1"/>
  <c r="U139" i="1"/>
  <c r="T139" i="1" s="1"/>
  <c r="S139" i="1" s="1"/>
  <c r="R139" i="1" s="1"/>
  <c r="AB136" i="18"/>
  <c r="A137" i="18"/>
  <c r="K136" i="18"/>
  <c r="X136" i="18"/>
  <c r="L136" i="18"/>
  <c r="AJ136" i="18"/>
  <c r="O136" i="18"/>
  <c r="AK136" i="18"/>
  <c r="AC136" i="18"/>
  <c r="E138" i="15" l="1"/>
  <c r="A140" i="15"/>
  <c r="O139" i="15"/>
  <c r="K139" i="15"/>
  <c r="AJ139" i="15"/>
  <c r="AB139" i="15"/>
  <c r="AK139" i="15"/>
  <c r="X139" i="15"/>
  <c r="L139" i="15"/>
  <c r="D139" i="15" s="1"/>
  <c r="E139" i="15" s="1"/>
  <c r="AC139" i="15"/>
  <c r="G137" i="1"/>
  <c r="BW137" i="6" s="1"/>
  <c r="E137" i="16"/>
  <c r="F138" i="1"/>
  <c r="I138" i="1" s="1"/>
  <c r="I137" i="1"/>
  <c r="A139" i="16"/>
  <c r="L138" i="16"/>
  <c r="D138" i="16" s="1"/>
  <c r="K138" i="16"/>
  <c r="AK138" i="16"/>
  <c r="O138" i="16"/>
  <c r="X138" i="16"/>
  <c r="AB138" i="16"/>
  <c r="AJ138" i="16"/>
  <c r="AC138" i="16"/>
  <c r="A134" i="24"/>
  <c r="K133" i="24"/>
  <c r="X133" i="24"/>
  <c r="L133" i="24"/>
  <c r="AB133" i="24"/>
  <c r="AK133" i="24"/>
  <c r="O133" i="24"/>
  <c r="AJ133" i="24"/>
  <c r="AC133" i="24"/>
  <c r="K136" i="20"/>
  <c r="L136" i="20"/>
  <c r="A137" i="20"/>
  <c r="AB136" i="20"/>
  <c r="X136" i="20"/>
  <c r="AK136" i="20"/>
  <c r="AJ136" i="20"/>
  <c r="O136" i="20"/>
  <c r="AC136" i="20"/>
  <c r="AB137" i="18"/>
  <c r="AJ137" i="18"/>
  <c r="X137" i="18"/>
  <c r="K137" i="18"/>
  <c r="A138" i="18"/>
  <c r="L137" i="18"/>
  <c r="O137" i="18"/>
  <c r="AK137" i="18"/>
  <c r="AC137" i="18"/>
  <c r="P139" i="1"/>
  <c r="V139" i="1" s="1"/>
  <c r="D139" i="1"/>
  <c r="E139" i="1" s="1"/>
  <c r="AK140" i="1"/>
  <c r="K140" i="1"/>
  <c r="A141" i="1"/>
  <c r="O140" i="1"/>
  <c r="AJ140" i="1"/>
  <c r="X140" i="1"/>
  <c r="Q140" i="1"/>
  <c r="L140" i="1"/>
  <c r="AB140" i="1"/>
  <c r="AC140" i="1"/>
  <c r="U140" i="1"/>
  <c r="T140" i="1" s="1"/>
  <c r="X138" i="17"/>
  <c r="L138" i="17"/>
  <c r="AB138" i="17"/>
  <c r="K138" i="17"/>
  <c r="A139" i="17"/>
  <c r="AJ138" i="17"/>
  <c r="O138" i="17"/>
  <c r="AK138" i="17"/>
  <c r="AC138" i="17"/>
  <c r="AB135" i="22"/>
  <c r="A136" i="22"/>
  <c r="L135" i="22"/>
  <c r="X135" i="22"/>
  <c r="K135" i="22"/>
  <c r="AJ135" i="22"/>
  <c r="AK135" i="22"/>
  <c r="O135" i="22"/>
  <c r="AC135" i="22"/>
  <c r="X134" i="23"/>
  <c r="K134" i="23"/>
  <c r="AB134" i="23"/>
  <c r="A135" i="23"/>
  <c r="L134" i="23"/>
  <c r="AK134" i="23"/>
  <c r="AJ134" i="23"/>
  <c r="O134" i="23"/>
  <c r="AC134" i="23"/>
  <c r="K132" i="25"/>
  <c r="AB132" i="25"/>
  <c r="X132" i="25"/>
  <c r="L132" i="25"/>
  <c r="A133" i="25"/>
  <c r="AJ132" i="25"/>
  <c r="O132" i="25"/>
  <c r="AK132" i="25"/>
  <c r="AC132" i="25"/>
  <c r="AA138" i="1" l="1"/>
  <c r="Z138" i="1" s="1"/>
  <c r="Y138" i="1" s="1"/>
  <c r="G138" i="1"/>
  <c r="BW138" i="6" s="1"/>
  <c r="L140" i="15"/>
  <c r="D140" i="15" s="1"/>
  <c r="AK140" i="15"/>
  <c r="AB140" i="15"/>
  <c r="X140" i="15"/>
  <c r="AC140" i="15"/>
  <c r="K140" i="15"/>
  <c r="O140" i="15"/>
  <c r="A141" i="15"/>
  <c r="AJ140" i="15"/>
  <c r="E138" i="16"/>
  <c r="A140" i="16"/>
  <c r="AB139" i="16"/>
  <c r="AJ139" i="16"/>
  <c r="AC139" i="16"/>
  <c r="K139" i="16"/>
  <c r="L139" i="16"/>
  <c r="D139" i="16" s="1"/>
  <c r="X139" i="16"/>
  <c r="AK139" i="16"/>
  <c r="O139" i="16"/>
  <c r="K136" i="22"/>
  <c r="AB136" i="22"/>
  <c r="X136" i="22"/>
  <c r="L136" i="22"/>
  <c r="A137" i="22"/>
  <c r="AK136" i="22"/>
  <c r="AJ136" i="22"/>
  <c r="O136" i="22"/>
  <c r="AC136" i="22"/>
  <c r="AB139" i="17"/>
  <c r="X139" i="17"/>
  <c r="A140" i="17"/>
  <c r="K139" i="17"/>
  <c r="L139" i="17"/>
  <c r="AJ139" i="17"/>
  <c r="O139" i="17"/>
  <c r="AK139" i="17"/>
  <c r="AC139" i="17"/>
  <c r="D140" i="1"/>
  <c r="E140" i="1" s="1"/>
  <c r="A138" i="20"/>
  <c r="K137" i="20"/>
  <c r="AB137" i="20"/>
  <c r="L137" i="20"/>
  <c r="X137" i="20"/>
  <c r="AJ137" i="20"/>
  <c r="AK137" i="20"/>
  <c r="O137" i="20"/>
  <c r="AC137" i="20"/>
  <c r="F139" i="1"/>
  <c r="AB133" i="25"/>
  <c r="L133" i="25"/>
  <c r="X133" i="25"/>
  <c r="A134" i="25"/>
  <c r="K133" i="25"/>
  <c r="AJ133" i="25"/>
  <c r="AK133" i="25"/>
  <c r="O133" i="25"/>
  <c r="AC133" i="25"/>
  <c r="A136" i="23"/>
  <c r="AB135" i="23"/>
  <c r="K135" i="23"/>
  <c r="L135" i="23"/>
  <c r="X135" i="23"/>
  <c r="AJ135" i="23"/>
  <c r="AK135" i="23"/>
  <c r="O135" i="23"/>
  <c r="AC135" i="23"/>
  <c r="S140" i="1"/>
  <c r="R140" i="1" s="1"/>
  <c r="P140" i="1" s="1"/>
  <c r="V140" i="1" s="1"/>
  <c r="A142" i="1"/>
  <c r="O141" i="1"/>
  <c r="AB141" i="1"/>
  <c r="K141" i="1"/>
  <c r="AC141" i="1"/>
  <c r="L141" i="1"/>
  <c r="X141" i="1"/>
  <c r="AJ141" i="1"/>
  <c r="AK141" i="1"/>
  <c r="Q141" i="1"/>
  <c r="U141" i="1"/>
  <c r="T141" i="1" s="1"/>
  <c r="X138" i="18"/>
  <c r="L138" i="18"/>
  <c r="AJ138" i="18"/>
  <c r="AB138" i="18"/>
  <c r="A139" i="18"/>
  <c r="K138" i="18"/>
  <c r="AK138" i="18"/>
  <c r="O138" i="18"/>
  <c r="AC138" i="18"/>
  <c r="AB134" i="24"/>
  <c r="L134" i="24"/>
  <c r="A135" i="24"/>
  <c r="X134" i="24"/>
  <c r="K134" i="24"/>
  <c r="AJ134" i="24"/>
  <c r="AK134" i="24"/>
  <c r="O134" i="24"/>
  <c r="AC134" i="24"/>
  <c r="F140" i="1" l="1"/>
  <c r="G140" i="1" s="1"/>
  <c r="BW140" i="6" s="1"/>
  <c r="E140" i="15"/>
  <c r="L141" i="15"/>
  <c r="D141" i="15" s="1"/>
  <c r="AC141" i="15"/>
  <c r="K141" i="15"/>
  <c r="AK141" i="15"/>
  <c r="X141" i="15"/>
  <c r="AJ141" i="15"/>
  <c r="AB141" i="15"/>
  <c r="A142" i="15"/>
  <c r="O141" i="15"/>
  <c r="E139" i="16"/>
  <c r="A141" i="16"/>
  <c r="K140" i="16"/>
  <c r="AJ140" i="16"/>
  <c r="AC140" i="16"/>
  <c r="X140" i="16"/>
  <c r="L140" i="16"/>
  <c r="D140" i="16" s="1"/>
  <c r="AB140" i="16"/>
  <c r="AK140" i="16"/>
  <c r="O140" i="16"/>
  <c r="L139" i="18"/>
  <c r="X139" i="18"/>
  <c r="AB139" i="18"/>
  <c r="A140" i="18"/>
  <c r="K139" i="18"/>
  <c r="AJ139" i="18"/>
  <c r="O139" i="18"/>
  <c r="AK139" i="18"/>
  <c r="AC139" i="18"/>
  <c r="D141" i="1"/>
  <c r="E141" i="1" s="1"/>
  <c r="X140" i="17"/>
  <c r="A141" i="17"/>
  <c r="L140" i="17"/>
  <c r="AB140" i="17"/>
  <c r="K140" i="17"/>
  <c r="AJ140" i="17"/>
  <c r="AK140" i="17"/>
  <c r="O140" i="17"/>
  <c r="AC140" i="17"/>
  <c r="X137" i="22"/>
  <c r="AB137" i="22"/>
  <c r="K137" i="22"/>
  <c r="A138" i="22"/>
  <c r="L137" i="22"/>
  <c r="AK137" i="22"/>
  <c r="AJ137" i="22"/>
  <c r="O137" i="22"/>
  <c r="AC137" i="22"/>
  <c r="K135" i="24"/>
  <c r="L135" i="24"/>
  <c r="AB135" i="24"/>
  <c r="A136" i="24"/>
  <c r="X135" i="24"/>
  <c r="AJ135" i="24"/>
  <c r="AK135" i="24"/>
  <c r="O135" i="24"/>
  <c r="AC135" i="24"/>
  <c r="S141" i="1"/>
  <c r="R141" i="1" s="1"/>
  <c r="P141" i="1" s="1"/>
  <c r="V141" i="1" s="1"/>
  <c r="AB142" i="1"/>
  <c r="Q142" i="1"/>
  <c r="L142" i="1"/>
  <c r="O142" i="1"/>
  <c r="AC142" i="1"/>
  <c r="A143" i="1"/>
  <c r="AK142" i="1"/>
  <c r="X142" i="1"/>
  <c r="AJ142" i="1"/>
  <c r="K142" i="1"/>
  <c r="U142" i="1"/>
  <c r="T142" i="1" s="1"/>
  <c r="S142" i="1" s="1"/>
  <c r="R142" i="1" s="1"/>
  <c r="X136" i="23"/>
  <c r="AB136" i="23"/>
  <c r="A137" i="23"/>
  <c r="L136" i="23"/>
  <c r="K136" i="23"/>
  <c r="AK136" i="23"/>
  <c r="AJ136" i="23"/>
  <c r="O136" i="23"/>
  <c r="AC136" i="23"/>
  <c r="X134" i="25"/>
  <c r="AB134" i="25"/>
  <c r="A135" i="25"/>
  <c r="K134" i="25"/>
  <c r="L134" i="25"/>
  <c r="AJ134" i="25"/>
  <c r="AK134" i="25"/>
  <c r="O134" i="25"/>
  <c r="AC134" i="25"/>
  <c r="I139" i="1"/>
  <c r="AA139" i="1"/>
  <c r="Z139" i="1" s="1"/>
  <c r="Y139" i="1" s="1"/>
  <c r="G139" i="1"/>
  <c r="BW139" i="6" s="1"/>
  <c r="A139" i="20"/>
  <c r="L138" i="20"/>
  <c r="X138" i="20"/>
  <c r="K138" i="20"/>
  <c r="AB138" i="20"/>
  <c r="AJ138" i="20"/>
  <c r="AK138" i="20"/>
  <c r="O138" i="20"/>
  <c r="AC138" i="20"/>
  <c r="I140" i="1" l="1"/>
  <c r="AA140" i="1"/>
  <c r="Z140" i="1" s="1"/>
  <c r="Y140" i="1" s="1"/>
  <c r="P142" i="1"/>
  <c r="E141" i="15"/>
  <c r="L142" i="15"/>
  <c r="D142" i="15" s="1"/>
  <c r="O142" i="15"/>
  <c r="A143" i="15"/>
  <c r="K142" i="15"/>
  <c r="AB142" i="15"/>
  <c r="AK142" i="15"/>
  <c r="X142" i="15"/>
  <c r="AC142" i="15"/>
  <c r="AJ142" i="15"/>
  <c r="E140" i="16"/>
  <c r="F141" i="1"/>
  <c r="I141" i="1" s="1"/>
  <c r="A142" i="16"/>
  <c r="X141" i="16"/>
  <c r="AB141" i="16"/>
  <c r="AK141" i="16"/>
  <c r="O141" i="16"/>
  <c r="K141" i="16"/>
  <c r="L141" i="16"/>
  <c r="D141" i="16" s="1"/>
  <c r="E141" i="16" s="1"/>
  <c r="AJ141" i="16"/>
  <c r="AC141" i="16"/>
  <c r="AA141" i="1"/>
  <c r="Z141" i="1" s="1"/>
  <c r="Y141" i="1" s="1"/>
  <c r="X139" i="20"/>
  <c r="AB139" i="20"/>
  <c r="K139" i="20"/>
  <c r="A140" i="20"/>
  <c r="L139" i="20"/>
  <c r="AJ139" i="20"/>
  <c r="AK139" i="20"/>
  <c r="O139" i="20"/>
  <c r="AC139" i="20"/>
  <c r="K135" i="25"/>
  <c r="L135" i="25"/>
  <c r="X135" i="25"/>
  <c r="A136" i="25"/>
  <c r="AB135" i="25"/>
  <c r="AJ135" i="25"/>
  <c r="AK135" i="25"/>
  <c r="O135" i="25"/>
  <c r="AC135" i="25"/>
  <c r="D142" i="1"/>
  <c r="E142" i="1" s="1"/>
  <c r="V142" i="1"/>
  <c r="A139" i="22"/>
  <c r="AB138" i="22"/>
  <c r="L138" i="22"/>
  <c r="K138" i="22"/>
  <c r="X138" i="22"/>
  <c r="AJ138" i="22"/>
  <c r="AK138" i="22"/>
  <c r="O138" i="22"/>
  <c r="AC138" i="22"/>
  <c r="X140" i="18"/>
  <c r="A141" i="18"/>
  <c r="L140" i="18"/>
  <c r="AB140" i="18"/>
  <c r="AJ140" i="18"/>
  <c r="K140" i="18"/>
  <c r="O140" i="18"/>
  <c r="AK140" i="18"/>
  <c r="AC140" i="18"/>
  <c r="AB137" i="23"/>
  <c r="X137" i="23"/>
  <c r="A138" i="23"/>
  <c r="K137" i="23"/>
  <c r="L137" i="23"/>
  <c r="AJ137" i="23"/>
  <c r="AK137" i="23"/>
  <c r="O137" i="23"/>
  <c r="AC137" i="23"/>
  <c r="AJ143" i="1"/>
  <c r="AC143" i="1"/>
  <c r="AB143" i="1"/>
  <c r="Q143" i="1"/>
  <c r="A144" i="1"/>
  <c r="X143" i="1"/>
  <c r="O143" i="1"/>
  <c r="K143" i="1"/>
  <c r="AK143" i="1"/>
  <c r="L143" i="1"/>
  <c r="U143" i="1"/>
  <c r="T143" i="1" s="1"/>
  <c r="AB136" i="24"/>
  <c r="L136" i="24"/>
  <c r="A137" i="24"/>
  <c r="X136" i="24"/>
  <c r="K136" i="24"/>
  <c r="AK136" i="24"/>
  <c r="AJ136" i="24"/>
  <c r="O136" i="24"/>
  <c r="AC136" i="24"/>
  <c r="K141" i="17"/>
  <c r="AB141" i="17"/>
  <c r="A142" i="17"/>
  <c r="L141" i="17"/>
  <c r="X141" i="17"/>
  <c r="AJ141" i="17"/>
  <c r="O141" i="17"/>
  <c r="AK141" i="17"/>
  <c r="AC141" i="17"/>
  <c r="G141" i="1" l="1"/>
  <c r="BW141" i="6" s="1"/>
  <c r="AB143" i="15"/>
  <c r="AK143" i="15"/>
  <c r="X143" i="15"/>
  <c r="AJ143" i="15"/>
  <c r="L143" i="15"/>
  <c r="D143" i="15" s="1"/>
  <c r="K143" i="15"/>
  <c r="AC143" i="15"/>
  <c r="A144" i="15"/>
  <c r="O143" i="15"/>
  <c r="F142" i="1"/>
  <c r="I142" i="1" s="1"/>
  <c r="E142" i="15"/>
  <c r="K142" i="16"/>
  <c r="A143" i="16"/>
  <c r="X142" i="16"/>
  <c r="AK142" i="16"/>
  <c r="O142" i="16"/>
  <c r="AB142" i="16"/>
  <c r="L142" i="16"/>
  <c r="D142" i="16" s="1"/>
  <c r="E142" i="16" s="1"/>
  <c r="AJ142" i="16"/>
  <c r="AC142" i="16"/>
  <c r="K142" i="17"/>
  <c r="A143" i="17"/>
  <c r="L142" i="17"/>
  <c r="X142" i="17"/>
  <c r="AB142" i="17"/>
  <c r="AJ142" i="17"/>
  <c r="O142" i="17"/>
  <c r="AK142" i="17"/>
  <c r="AC142" i="17"/>
  <c r="AB137" i="24"/>
  <c r="A138" i="24"/>
  <c r="K137" i="24"/>
  <c r="X137" i="24"/>
  <c r="L137" i="24"/>
  <c r="AJ137" i="24"/>
  <c r="AK137" i="24"/>
  <c r="O137" i="24"/>
  <c r="AC137" i="24"/>
  <c r="D143" i="1"/>
  <c r="E143" i="1" s="1"/>
  <c r="AB138" i="23"/>
  <c r="L138" i="23"/>
  <c r="A139" i="23"/>
  <c r="K138" i="23"/>
  <c r="X138" i="23"/>
  <c r="AJ138" i="23"/>
  <c r="AK138" i="23"/>
  <c r="O138" i="23"/>
  <c r="AC138" i="23"/>
  <c r="AB141" i="18"/>
  <c r="L141" i="18"/>
  <c r="A142" i="18"/>
  <c r="X141" i="18"/>
  <c r="K141" i="18"/>
  <c r="AJ141" i="18"/>
  <c r="O141" i="18"/>
  <c r="AK141" i="18"/>
  <c r="AC141" i="18"/>
  <c r="K139" i="22"/>
  <c r="AB139" i="22"/>
  <c r="X139" i="22"/>
  <c r="A140" i="22"/>
  <c r="L139" i="22"/>
  <c r="AJ139" i="22"/>
  <c r="AK139" i="22"/>
  <c r="O139" i="22"/>
  <c r="AC139" i="22"/>
  <c r="A141" i="20"/>
  <c r="L140" i="20"/>
  <c r="K140" i="20"/>
  <c r="X140" i="20"/>
  <c r="AB140" i="20"/>
  <c r="AJ140" i="20"/>
  <c r="AK140" i="20"/>
  <c r="O140" i="20"/>
  <c r="AC140" i="20"/>
  <c r="S143" i="1"/>
  <c r="R143" i="1" s="1"/>
  <c r="P143" i="1" s="1"/>
  <c r="V143" i="1" s="1"/>
  <c r="O144" i="1"/>
  <c r="A145" i="1"/>
  <c r="AJ144" i="1"/>
  <c r="AC144" i="1"/>
  <c r="L144" i="1"/>
  <c r="X144" i="1"/>
  <c r="Q144" i="1"/>
  <c r="AB144" i="1"/>
  <c r="K144" i="1"/>
  <c r="AK144" i="1"/>
  <c r="U144" i="1"/>
  <c r="A137" i="25"/>
  <c r="AB136" i="25"/>
  <c r="K136" i="25"/>
  <c r="L136" i="25"/>
  <c r="X136" i="25"/>
  <c r="AJ136" i="25"/>
  <c r="O136" i="25"/>
  <c r="AK136" i="25"/>
  <c r="AC136" i="25"/>
  <c r="G142" i="1" l="1"/>
  <c r="BW142" i="6" s="1"/>
  <c r="AA142" i="1"/>
  <c r="Z142" i="1" s="1"/>
  <c r="Y142" i="1" s="1"/>
  <c r="K144" i="15"/>
  <c r="AJ144" i="15"/>
  <c r="X144" i="15"/>
  <c r="AK144" i="15"/>
  <c r="AB144" i="15"/>
  <c r="A145" i="15"/>
  <c r="AC144" i="15"/>
  <c r="L144" i="15"/>
  <c r="D144" i="15" s="1"/>
  <c r="O144" i="15"/>
  <c r="E143" i="15"/>
  <c r="AB143" i="16"/>
  <c r="A144" i="16"/>
  <c r="AJ143" i="16"/>
  <c r="AC143" i="16"/>
  <c r="X143" i="16"/>
  <c r="L143" i="16"/>
  <c r="D143" i="16" s="1"/>
  <c r="K143" i="16"/>
  <c r="AK143" i="16"/>
  <c r="O143" i="16"/>
  <c r="K137" i="25"/>
  <c r="X137" i="25"/>
  <c r="A138" i="25"/>
  <c r="AB137" i="25"/>
  <c r="L137" i="25"/>
  <c r="AJ137" i="25"/>
  <c r="O137" i="25"/>
  <c r="AK137" i="25"/>
  <c r="AC137" i="25"/>
  <c r="T144" i="1"/>
  <c r="D144" i="1"/>
  <c r="E144" i="1" s="1"/>
  <c r="X141" i="20"/>
  <c r="K141" i="20"/>
  <c r="A142" i="20"/>
  <c r="L141" i="20"/>
  <c r="AB141" i="20"/>
  <c r="AK141" i="20"/>
  <c r="AJ141" i="20"/>
  <c r="O141" i="20"/>
  <c r="AC141" i="20"/>
  <c r="AB140" i="22"/>
  <c r="L140" i="22"/>
  <c r="X140" i="22"/>
  <c r="K140" i="22"/>
  <c r="A141" i="22"/>
  <c r="AK140" i="22"/>
  <c r="AJ140" i="22"/>
  <c r="O140" i="22"/>
  <c r="AC140" i="22"/>
  <c r="X139" i="23"/>
  <c r="K139" i="23"/>
  <c r="A140" i="23"/>
  <c r="AB139" i="23"/>
  <c r="L139" i="23"/>
  <c r="AJ139" i="23"/>
  <c r="AK139" i="23"/>
  <c r="O139" i="23"/>
  <c r="AC139" i="23"/>
  <c r="F143" i="1"/>
  <c r="X143" i="17"/>
  <c r="A144" i="17"/>
  <c r="AB143" i="17"/>
  <c r="L143" i="17"/>
  <c r="K143" i="17"/>
  <c r="AK143" i="17"/>
  <c r="AJ143" i="17"/>
  <c r="O143" i="17"/>
  <c r="AC143" i="17"/>
  <c r="A146" i="1"/>
  <c r="O145" i="1"/>
  <c r="X145" i="1"/>
  <c r="K145" i="1"/>
  <c r="AK145" i="1"/>
  <c r="L145" i="1"/>
  <c r="AB145" i="1"/>
  <c r="Q145" i="1"/>
  <c r="AJ145" i="1"/>
  <c r="AC145" i="1"/>
  <c r="U145" i="1"/>
  <c r="AB142" i="18"/>
  <c r="K142" i="18"/>
  <c r="AJ142" i="18"/>
  <c r="A143" i="18"/>
  <c r="L142" i="18"/>
  <c r="X142" i="18"/>
  <c r="AK142" i="18"/>
  <c r="O142" i="18"/>
  <c r="AC142" i="18"/>
  <c r="A139" i="24"/>
  <c r="L138" i="24"/>
  <c r="AB138" i="24"/>
  <c r="X138" i="24"/>
  <c r="K138" i="24"/>
  <c r="AJ138" i="24"/>
  <c r="AK138" i="24"/>
  <c r="O138" i="24"/>
  <c r="AC138" i="24"/>
  <c r="X145" i="15" l="1"/>
  <c r="L145" i="15"/>
  <c r="D145" i="15" s="1"/>
  <c r="AC145" i="15"/>
  <c r="A146" i="15"/>
  <c r="O145" i="15"/>
  <c r="K145" i="15"/>
  <c r="AK145" i="15"/>
  <c r="AB145" i="15"/>
  <c r="AJ145" i="15"/>
  <c r="E144" i="15"/>
  <c r="E143" i="16"/>
  <c r="L144" i="16"/>
  <c r="D144" i="16" s="1"/>
  <c r="AB144" i="16"/>
  <c r="K144" i="16"/>
  <c r="AJ144" i="16"/>
  <c r="O144" i="16"/>
  <c r="A145" i="16"/>
  <c r="X144" i="16"/>
  <c r="AK144" i="16"/>
  <c r="AC144" i="16"/>
  <c r="A140" i="24"/>
  <c r="AB139" i="24"/>
  <c r="K139" i="24"/>
  <c r="L139" i="24"/>
  <c r="X139" i="24"/>
  <c r="AK139" i="24"/>
  <c r="AJ139" i="24"/>
  <c r="O139" i="24"/>
  <c r="AC139" i="24"/>
  <c r="X143" i="18"/>
  <c r="K143" i="18"/>
  <c r="L143" i="18"/>
  <c r="AB143" i="18"/>
  <c r="AJ143" i="18"/>
  <c r="A144" i="18"/>
  <c r="AK143" i="18"/>
  <c r="O143" i="18"/>
  <c r="AC143" i="18"/>
  <c r="D145" i="1"/>
  <c r="E145" i="1" s="1"/>
  <c r="A145" i="17"/>
  <c r="X144" i="17"/>
  <c r="K144" i="17"/>
  <c r="L144" i="17"/>
  <c r="AB144" i="17"/>
  <c r="AJ144" i="17"/>
  <c r="O144" i="17"/>
  <c r="AK144" i="17"/>
  <c r="AC144" i="17"/>
  <c r="A141" i="23"/>
  <c r="K140" i="23"/>
  <c r="AB140" i="23"/>
  <c r="L140" i="23"/>
  <c r="X140" i="23"/>
  <c r="AJ140" i="23"/>
  <c r="AK140" i="23"/>
  <c r="O140" i="23"/>
  <c r="AC140" i="23"/>
  <c r="K142" i="20"/>
  <c r="L142" i="20"/>
  <c r="A143" i="20"/>
  <c r="X142" i="20"/>
  <c r="AB142" i="20"/>
  <c r="AJ142" i="20"/>
  <c r="AK142" i="20"/>
  <c r="O142" i="20"/>
  <c r="AC142" i="20"/>
  <c r="S144" i="1"/>
  <c r="R144" i="1" s="1"/>
  <c r="P144" i="1" s="1"/>
  <c r="AB138" i="25"/>
  <c r="L138" i="25"/>
  <c r="K138" i="25"/>
  <c r="X138" i="25"/>
  <c r="A139" i="25"/>
  <c r="AK138" i="25"/>
  <c r="AJ138" i="25"/>
  <c r="O138" i="25"/>
  <c r="AC138" i="25"/>
  <c r="T145" i="1"/>
  <c r="S145" i="1" s="1"/>
  <c r="R145" i="1" s="1"/>
  <c r="P145" i="1" s="1"/>
  <c r="V145" i="1" s="1"/>
  <c r="L146" i="1"/>
  <c r="AJ146" i="1"/>
  <c r="Q146" i="1"/>
  <c r="X146" i="1"/>
  <c r="AC146" i="1"/>
  <c r="AK146" i="1"/>
  <c r="AB146" i="1"/>
  <c r="A147" i="1"/>
  <c r="K146" i="1"/>
  <c r="O146" i="1"/>
  <c r="U146" i="1"/>
  <c r="T146" i="1" s="1"/>
  <c r="I143" i="1"/>
  <c r="G143" i="1"/>
  <c r="BW143" i="6" s="1"/>
  <c r="AA143" i="1"/>
  <c r="Z143" i="1" s="1"/>
  <c r="Y143" i="1" s="1"/>
  <c r="A142" i="22"/>
  <c r="L141" i="22"/>
  <c r="AB141" i="22"/>
  <c r="K141" i="22"/>
  <c r="X141" i="22"/>
  <c r="AJ141" i="22"/>
  <c r="AK141" i="22"/>
  <c r="O141" i="22"/>
  <c r="AC141" i="22"/>
  <c r="E145" i="15" l="1"/>
  <c r="A147" i="15"/>
  <c r="X146" i="15"/>
  <c r="AC146" i="15"/>
  <c r="K146" i="15"/>
  <c r="O146" i="15"/>
  <c r="AB146" i="15"/>
  <c r="AJ146" i="15"/>
  <c r="L146" i="15"/>
  <c r="D146" i="15" s="1"/>
  <c r="AK146" i="15"/>
  <c r="F145" i="1"/>
  <c r="AA145" i="1" s="1"/>
  <c r="Z145" i="1" s="1"/>
  <c r="Y145" i="1" s="1"/>
  <c r="A146" i="16"/>
  <c r="L145" i="16"/>
  <c r="D145" i="16" s="1"/>
  <c r="X145" i="16"/>
  <c r="AK145" i="16"/>
  <c r="O145" i="16"/>
  <c r="K145" i="16"/>
  <c r="AB145" i="16"/>
  <c r="AJ145" i="16"/>
  <c r="AC145" i="16"/>
  <c r="E144" i="16"/>
  <c r="V144" i="1"/>
  <c r="F144" i="1" s="1"/>
  <c r="K142" i="22"/>
  <c r="L142" i="22"/>
  <c r="AB142" i="22"/>
  <c r="X142" i="22"/>
  <c r="A143" i="22"/>
  <c r="AJ142" i="22"/>
  <c r="AK142" i="22"/>
  <c r="O142" i="22"/>
  <c r="AC142" i="22"/>
  <c r="AJ147" i="1"/>
  <c r="X147" i="1"/>
  <c r="AB147" i="1"/>
  <c r="L147" i="1"/>
  <c r="AK147" i="1"/>
  <c r="A148" i="1"/>
  <c r="Q147" i="1"/>
  <c r="AC147" i="1"/>
  <c r="O147" i="1"/>
  <c r="K147" i="1"/>
  <c r="U147" i="1"/>
  <c r="T147" i="1" s="1"/>
  <c r="S147" i="1" s="1"/>
  <c r="R147" i="1" s="1"/>
  <c r="P147" i="1" s="1"/>
  <c r="K139" i="25"/>
  <c r="A140" i="25"/>
  <c r="L139" i="25"/>
  <c r="AB139" i="25"/>
  <c r="X139" i="25"/>
  <c r="AK139" i="25"/>
  <c r="AJ139" i="25"/>
  <c r="O139" i="25"/>
  <c r="AC139" i="25"/>
  <c r="K141" i="23"/>
  <c r="X141" i="23"/>
  <c r="L141" i="23"/>
  <c r="AB141" i="23"/>
  <c r="A142" i="23"/>
  <c r="AJ141" i="23"/>
  <c r="AK141" i="23"/>
  <c r="O141" i="23"/>
  <c r="AC141" i="23"/>
  <c r="S146" i="1"/>
  <c r="R146" i="1" s="1"/>
  <c r="P146" i="1" s="1"/>
  <c r="V146" i="1" s="1"/>
  <c r="D146" i="1"/>
  <c r="E146" i="1" s="1"/>
  <c r="X143" i="20"/>
  <c r="K143" i="20"/>
  <c r="AB143" i="20"/>
  <c r="L143" i="20"/>
  <c r="A144" i="20"/>
  <c r="AJ143" i="20"/>
  <c r="AK143" i="20"/>
  <c r="O143" i="20"/>
  <c r="AC143" i="20"/>
  <c r="K145" i="17"/>
  <c r="AB145" i="17"/>
  <c r="L145" i="17"/>
  <c r="A146" i="17"/>
  <c r="X145" i="17"/>
  <c r="O145" i="17"/>
  <c r="AK145" i="17"/>
  <c r="AJ145" i="17"/>
  <c r="AC145" i="17"/>
  <c r="K144" i="18"/>
  <c r="AB144" i="18"/>
  <c r="L144" i="18"/>
  <c r="X144" i="18"/>
  <c r="AJ144" i="18"/>
  <c r="A145" i="18"/>
  <c r="O144" i="18"/>
  <c r="AK144" i="18"/>
  <c r="AC144" i="18"/>
  <c r="K140" i="24"/>
  <c r="X140" i="24"/>
  <c r="AB140" i="24"/>
  <c r="L140" i="24"/>
  <c r="A141" i="24"/>
  <c r="AJ140" i="24"/>
  <c r="AK140" i="24"/>
  <c r="O140" i="24"/>
  <c r="AC140" i="24"/>
  <c r="I145" i="1" l="1"/>
  <c r="E146" i="15"/>
  <c r="G145" i="1"/>
  <c r="BW145" i="6" s="1"/>
  <c r="A148" i="15"/>
  <c r="AK147" i="15"/>
  <c r="AB147" i="15"/>
  <c r="AJ147" i="15"/>
  <c r="K147" i="15"/>
  <c r="X147" i="15"/>
  <c r="AC147" i="15"/>
  <c r="L147" i="15"/>
  <c r="D147" i="15" s="1"/>
  <c r="O147" i="15"/>
  <c r="E145" i="16"/>
  <c r="AJ146" i="16"/>
  <c r="K146" i="16"/>
  <c r="AB146" i="16"/>
  <c r="X146" i="16"/>
  <c r="AK146" i="16"/>
  <c r="O146" i="16"/>
  <c r="L146" i="16"/>
  <c r="D146" i="16" s="1"/>
  <c r="A147" i="16"/>
  <c r="AC146" i="16"/>
  <c r="G144" i="1"/>
  <c r="BW144" i="6" s="1"/>
  <c r="I144" i="1"/>
  <c r="AA144" i="1"/>
  <c r="Z144" i="1" s="1"/>
  <c r="Y144" i="1" s="1"/>
  <c r="X141" i="24"/>
  <c r="A142" i="24"/>
  <c r="K141" i="24"/>
  <c r="AB141" i="24"/>
  <c r="L141" i="24"/>
  <c r="AJ141" i="24"/>
  <c r="AK141" i="24"/>
  <c r="O141" i="24"/>
  <c r="AC141" i="24"/>
  <c r="A146" i="18"/>
  <c r="X145" i="18"/>
  <c r="AJ145" i="18"/>
  <c r="AB145" i="18"/>
  <c r="L145" i="18"/>
  <c r="K145" i="18"/>
  <c r="O145" i="18"/>
  <c r="AK145" i="18"/>
  <c r="AC145" i="18"/>
  <c r="A145" i="20"/>
  <c r="AB144" i="20"/>
  <c r="K144" i="20"/>
  <c r="X144" i="20"/>
  <c r="L144" i="20"/>
  <c r="AJ144" i="20"/>
  <c r="AK144" i="20"/>
  <c r="O144" i="20"/>
  <c r="AC144" i="20"/>
  <c r="F146" i="1"/>
  <c r="K148" i="1"/>
  <c r="O148" i="1"/>
  <c r="AC148" i="1"/>
  <c r="L148" i="1"/>
  <c r="AK148" i="1"/>
  <c r="AJ148" i="1"/>
  <c r="X148" i="1"/>
  <c r="Q148" i="1"/>
  <c r="A149" i="1"/>
  <c r="AB148" i="1"/>
  <c r="U148" i="1"/>
  <c r="D147" i="1"/>
  <c r="E147" i="1" s="1"/>
  <c r="V147" i="1"/>
  <c r="AB143" i="22"/>
  <c r="L143" i="22"/>
  <c r="K143" i="22"/>
  <c r="X143" i="22"/>
  <c r="A144" i="22"/>
  <c r="AJ143" i="22"/>
  <c r="AK143" i="22"/>
  <c r="O143" i="22"/>
  <c r="AC143" i="22"/>
  <c r="A147" i="17"/>
  <c r="X146" i="17"/>
  <c r="K146" i="17"/>
  <c r="AB146" i="17"/>
  <c r="L146" i="17"/>
  <c r="AJ146" i="17"/>
  <c r="O146" i="17"/>
  <c r="AK146" i="17"/>
  <c r="AC146" i="17"/>
  <c r="K142" i="23"/>
  <c r="X142" i="23"/>
  <c r="A143" i="23"/>
  <c r="AB142" i="23"/>
  <c r="L142" i="23"/>
  <c r="AJ142" i="23"/>
  <c r="AK142" i="23"/>
  <c r="O142" i="23"/>
  <c r="AC142" i="23"/>
  <c r="K140" i="25"/>
  <c r="X140" i="25"/>
  <c r="L140" i="25"/>
  <c r="AB140" i="25"/>
  <c r="A141" i="25"/>
  <c r="AK140" i="25"/>
  <c r="AJ140" i="25"/>
  <c r="O140" i="25"/>
  <c r="AC140" i="25"/>
  <c r="E147" i="15" l="1"/>
  <c r="AB148" i="15"/>
  <c r="AK148" i="15"/>
  <c r="K148" i="15"/>
  <c r="AJ148" i="15"/>
  <c r="A149" i="15"/>
  <c r="L148" i="15"/>
  <c r="D148" i="15" s="1"/>
  <c r="AC148" i="15"/>
  <c r="X148" i="15"/>
  <c r="O148" i="15"/>
  <c r="E146" i="16"/>
  <c r="AB147" i="16"/>
  <c r="K147" i="16"/>
  <c r="AK147" i="16"/>
  <c r="AC147" i="16"/>
  <c r="X147" i="16"/>
  <c r="L147" i="16"/>
  <c r="D147" i="16" s="1"/>
  <c r="A148" i="16"/>
  <c r="AJ147" i="16"/>
  <c r="O147" i="16"/>
  <c r="X141" i="25"/>
  <c r="K141" i="25"/>
  <c r="AB141" i="25"/>
  <c r="L141" i="25"/>
  <c r="A142" i="25"/>
  <c r="AJ141" i="25"/>
  <c r="AK141" i="25"/>
  <c r="O141" i="25"/>
  <c r="AC141" i="25"/>
  <c r="T148" i="1"/>
  <c r="AB149" i="1"/>
  <c r="A150" i="1"/>
  <c r="L149" i="1"/>
  <c r="Q149" i="1"/>
  <c r="AJ149" i="1"/>
  <c r="X149" i="1"/>
  <c r="K149" i="1"/>
  <c r="A24" i="7"/>
  <c r="AC149" i="1"/>
  <c r="O149" i="1"/>
  <c r="C24" i="7" s="1"/>
  <c r="AK149" i="1"/>
  <c r="U149" i="1"/>
  <c r="I146" i="1"/>
  <c r="G146" i="1"/>
  <c r="BW146" i="6" s="1"/>
  <c r="AA146" i="1"/>
  <c r="Z146" i="1" s="1"/>
  <c r="Y146" i="1" s="1"/>
  <c r="AJ146" i="18"/>
  <c r="A147" i="18"/>
  <c r="K146" i="18"/>
  <c r="AB146" i="18"/>
  <c r="X146" i="18"/>
  <c r="L146" i="18"/>
  <c r="AK146" i="18"/>
  <c r="O146" i="18"/>
  <c r="AC146" i="18"/>
  <c r="A143" i="24"/>
  <c r="X142" i="24"/>
  <c r="AB142" i="24"/>
  <c r="K142" i="24"/>
  <c r="L142" i="24"/>
  <c r="AJ142" i="24"/>
  <c r="AK142" i="24"/>
  <c r="O142" i="24"/>
  <c r="AC142" i="24"/>
  <c r="F147" i="1"/>
  <c r="A144" i="23"/>
  <c r="X143" i="23"/>
  <c r="AB143" i="23"/>
  <c r="L143" i="23"/>
  <c r="K143" i="23"/>
  <c r="AJ143" i="23"/>
  <c r="AK143" i="23"/>
  <c r="O143" i="23"/>
  <c r="AC143" i="23"/>
  <c r="A148" i="17"/>
  <c r="AB147" i="17"/>
  <c r="K147" i="17"/>
  <c r="L147" i="17"/>
  <c r="X147" i="17"/>
  <c r="O147" i="17"/>
  <c r="AK147" i="17"/>
  <c r="AJ147" i="17"/>
  <c r="AC147" i="17"/>
  <c r="AB144" i="22"/>
  <c r="A145" i="22"/>
  <c r="L144" i="22"/>
  <c r="X144" i="22"/>
  <c r="K144" i="22"/>
  <c r="AJ144" i="22"/>
  <c r="AK144" i="22"/>
  <c r="O144" i="22"/>
  <c r="AC144" i="22"/>
  <c r="D148" i="1"/>
  <c r="E148" i="1" s="1"/>
  <c r="A146" i="20"/>
  <c r="K145" i="20"/>
  <c r="AB145" i="20"/>
  <c r="L145" i="20"/>
  <c r="X145" i="20"/>
  <c r="AJ145" i="20"/>
  <c r="AK145" i="20"/>
  <c r="O145" i="20"/>
  <c r="AC145" i="20"/>
  <c r="E148" i="15" l="1"/>
  <c r="K149" i="15"/>
  <c r="A150" i="15"/>
  <c r="O149" i="15"/>
  <c r="C36" i="7" s="1"/>
  <c r="X149" i="15"/>
  <c r="AJ149" i="15"/>
  <c r="L149" i="15"/>
  <c r="AK149" i="15"/>
  <c r="AB149" i="15"/>
  <c r="A36" i="7"/>
  <c r="AC149" i="15"/>
  <c r="E147" i="16"/>
  <c r="AB148" i="16"/>
  <c r="K148" i="16"/>
  <c r="X148" i="16"/>
  <c r="AK148" i="16"/>
  <c r="O148" i="16"/>
  <c r="A149" i="16"/>
  <c r="L148" i="16"/>
  <c r="D148" i="16" s="1"/>
  <c r="E148" i="16" s="1"/>
  <c r="AJ148" i="16"/>
  <c r="AC148" i="16"/>
  <c r="A147" i="20"/>
  <c r="X146" i="20"/>
  <c r="K146" i="20"/>
  <c r="L146" i="20"/>
  <c r="AB146" i="20"/>
  <c r="AJ146" i="20"/>
  <c r="AK146" i="20"/>
  <c r="O146" i="20"/>
  <c r="AC146" i="20"/>
  <c r="K145" i="22"/>
  <c r="AB145" i="22"/>
  <c r="X145" i="22"/>
  <c r="L145" i="22"/>
  <c r="A146" i="22"/>
  <c r="AJ145" i="22"/>
  <c r="AK145" i="22"/>
  <c r="O145" i="22"/>
  <c r="AC145" i="22"/>
  <c r="AB144" i="23"/>
  <c r="X144" i="23"/>
  <c r="L144" i="23"/>
  <c r="A145" i="23"/>
  <c r="K144" i="23"/>
  <c r="AJ144" i="23"/>
  <c r="AK144" i="23"/>
  <c r="O144" i="23"/>
  <c r="AC144" i="23"/>
  <c r="AB143" i="24"/>
  <c r="L143" i="24"/>
  <c r="K143" i="24"/>
  <c r="X143" i="24"/>
  <c r="A144" i="24"/>
  <c r="AJ143" i="24"/>
  <c r="AK143" i="24"/>
  <c r="O143" i="24"/>
  <c r="AC143" i="24"/>
  <c r="K147" i="18"/>
  <c r="L147" i="18"/>
  <c r="X147" i="18"/>
  <c r="A148" i="18"/>
  <c r="AB147" i="18"/>
  <c r="AJ147" i="18"/>
  <c r="O147" i="18"/>
  <c r="AK147" i="18"/>
  <c r="AC147" i="18"/>
  <c r="B24" i="7"/>
  <c r="D149" i="1"/>
  <c r="E149" i="1" s="1"/>
  <c r="S148" i="1"/>
  <c r="R148" i="1" s="1"/>
  <c r="P148" i="1" s="1"/>
  <c r="K148" i="17"/>
  <c r="AB148" i="17"/>
  <c r="X148" i="17"/>
  <c r="L148" i="17"/>
  <c r="A149" i="17"/>
  <c r="AJ148" i="17"/>
  <c r="O148" i="17"/>
  <c r="AK148" i="17"/>
  <c r="AC148" i="17"/>
  <c r="AA147" i="1"/>
  <c r="Z147" i="1" s="1"/>
  <c r="Y147" i="1" s="1"/>
  <c r="I147" i="1"/>
  <c r="G147" i="1"/>
  <c r="BW147" i="6" s="1"/>
  <c r="T149" i="1"/>
  <c r="A151" i="1"/>
  <c r="O150" i="1"/>
  <c r="L150" i="1"/>
  <c r="AC150" i="1"/>
  <c r="AK150" i="1"/>
  <c r="Q150" i="1"/>
  <c r="AB150" i="1"/>
  <c r="K150" i="1"/>
  <c r="AJ150" i="1"/>
  <c r="X150" i="1"/>
  <c r="U150" i="1"/>
  <c r="T150" i="1" s="1"/>
  <c r="AB142" i="25"/>
  <c r="X142" i="25"/>
  <c r="K142" i="25"/>
  <c r="A143" i="25"/>
  <c r="L142" i="25"/>
  <c r="AJ142" i="25"/>
  <c r="O142" i="25"/>
  <c r="AK142" i="25"/>
  <c r="AC142" i="25"/>
  <c r="D149" i="15" l="1"/>
  <c r="E149" i="15" s="1"/>
  <c r="B36" i="7"/>
  <c r="AB150" i="15"/>
  <c r="AK150" i="15"/>
  <c r="L150" i="15"/>
  <c r="D150" i="15" s="1"/>
  <c r="K150" i="15"/>
  <c r="AC150" i="15"/>
  <c r="X150" i="15"/>
  <c r="O150" i="15"/>
  <c r="A151" i="15"/>
  <c r="AJ150" i="15"/>
  <c r="X149" i="16"/>
  <c r="K149" i="16"/>
  <c r="AB149" i="16"/>
  <c r="AK149" i="16"/>
  <c r="O149" i="16"/>
  <c r="C48" i="7" s="1"/>
  <c r="L149" i="16"/>
  <c r="A150" i="16"/>
  <c r="A48" i="7"/>
  <c r="AJ149" i="16"/>
  <c r="AC149" i="16"/>
  <c r="V148" i="1"/>
  <c r="F148" i="1" s="1"/>
  <c r="A150" i="17"/>
  <c r="AB149" i="17"/>
  <c r="X149" i="17"/>
  <c r="K149" i="17"/>
  <c r="L149" i="17"/>
  <c r="A60" i="7"/>
  <c r="AJ149" i="17"/>
  <c r="O149" i="17"/>
  <c r="C60" i="7" s="1"/>
  <c r="AK149" i="17"/>
  <c r="AC149" i="17"/>
  <c r="X143" i="25"/>
  <c r="AB143" i="25"/>
  <c r="L143" i="25"/>
  <c r="K143" i="25"/>
  <c r="A144" i="25"/>
  <c r="AJ143" i="25"/>
  <c r="O143" i="25"/>
  <c r="AK143" i="25"/>
  <c r="AC143" i="25"/>
  <c r="S150" i="1"/>
  <c r="R150" i="1" s="1"/>
  <c r="P150" i="1" s="1"/>
  <c r="V150" i="1" s="1"/>
  <c r="D150" i="1"/>
  <c r="E150" i="1" s="1"/>
  <c r="AJ151" i="1"/>
  <c r="Q151" i="1"/>
  <c r="L151" i="1"/>
  <c r="X151" i="1"/>
  <c r="O151" i="1"/>
  <c r="K151" i="1"/>
  <c r="AK151" i="1"/>
  <c r="A152" i="1"/>
  <c r="AC151" i="1"/>
  <c r="AB151" i="1"/>
  <c r="U151" i="1"/>
  <c r="T151" i="1" s="1"/>
  <c r="S149" i="1"/>
  <c r="R149" i="1" s="1"/>
  <c r="P149" i="1" s="1"/>
  <c r="AB148" i="18"/>
  <c r="AJ148" i="18"/>
  <c r="A149" i="18"/>
  <c r="K148" i="18"/>
  <c r="X148" i="18"/>
  <c r="L148" i="18"/>
  <c r="AK148" i="18"/>
  <c r="O148" i="18"/>
  <c r="AC148" i="18"/>
  <c r="X144" i="24"/>
  <c r="AB144" i="24"/>
  <c r="A145" i="24"/>
  <c r="L144" i="24"/>
  <c r="K144" i="24"/>
  <c r="AK144" i="24"/>
  <c r="O144" i="24"/>
  <c r="AJ144" i="24"/>
  <c r="AC144" i="24"/>
  <c r="A146" i="23"/>
  <c r="K145" i="23"/>
  <c r="L145" i="23"/>
  <c r="X145" i="23"/>
  <c r="AB145" i="23"/>
  <c r="AJ145" i="23"/>
  <c r="AK145" i="23"/>
  <c r="O145" i="23"/>
  <c r="AC145" i="23"/>
  <c r="X146" i="22"/>
  <c r="K146" i="22"/>
  <c r="AB146" i="22"/>
  <c r="L146" i="22"/>
  <c r="A147" i="22"/>
  <c r="AJ146" i="22"/>
  <c r="AK146" i="22"/>
  <c r="O146" i="22"/>
  <c r="AC146" i="22"/>
  <c r="K147" i="20"/>
  <c r="X147" i="20"/>
  <c r="A148" i="20"/>
  <c r="L147" i="20"/>
  <c r="AB147" i="20"/>
  <c r="AK147" i="20"/>
  <c r="AJ147" i="20"/>
  <c r="O147" i="20"/>
  <c r="AC147" i="20"/>
  <c r="K151" i="15" l="1"/>
  <c r="O151" i="15"/>
  <c r="AB151" i="15"/>
  <c r="AK151" i="15"/>
  <c r="L151" i="15"/>
  <c r="D151" i="15" s="1"/>
  <c r="AJ151" i="15"/>
  <c r="X151" i="15"/>
  <c r="A152" i="15"/>
  <c r="AC151" i="15"/>
  <c r="E150" i="15"/>
  <c r="A151" i="16"/>
  <c r="X150" i="16"/>
  <c r="AJ150" i="16"/>
  <c r="AC150" i="16"/>
  <c r="K150" i="16"/>
  <c r="L150" i="16"/>
  <c r="D150" i="16" s="1"/>
  <c r="AB150" i="16"/>
  <c r="AK150" i="16"/>
  <c r="O150" i="16"/>
  <c r="D149" i="16"/>
  <c r="E149" i="16" s="1"/>
  <c r="B48" i="7"/>
  <c r="D24" i="7"/>
  <c r="V149" i="1"/>
  <c r="F149" i="1" s="1"/>
  <c r="A149" i="20"/>
  <c r="L148" i="20"/>
  <c r="K148" i="20"/>
  <c r="AB148" i="20"/>
  <c r="X148" i="20"/>
  <c r="AJ148" i="20"/>
  <c r="AK148" i="20"/>
  <c r="O148" i="20"/>
  <c r="AC148" i="20"/>
  <c r="A147" i="23"/>
  <c r="AB146" i="23"/>
  <c r="K146" i="23"/>
  <c r="X146" i="23"/>
  <c r="L146" i="23"/>
  <c r="AJ146" i="23"/>
  <c r="AK146" i="23"/>
  <c r="O146" i="23"/>
  <c r="AC146" i="23"/>
  <c r="AB149" i="18"/>
  <c r="X149" i="18"/>
  <c r="AJ149" i="18"/>
  <c r="A150" i="18"/>
  <c r="L149" i="18"/>
  <c r="K149" i="18"/>
  <c r="A72" i="7"/>
  <c r="O149" i="18"/>
  <c r="C72" i="7" s="1"/>
  <c r="AK149" i="18"/>
  <c r="AC149" i="18"/>
  <c r="AB152" i="1"/>
  <c r="AC152" i="1"/>
  <c r="O152" i="1"/>
  <c r="Q152" i="1"/>
  <c r="X152" i="1"/>
  <c r="A153" i="1"/>
  <c r="K152" i="1"/>
  <c r="L152" i="1"/>
  <c r="AJ152" i="1"/>
  <c r="AK152" i="1"/>
  <c r="U152" i="1"/>
  <c r="T152" i="1" s="1"/>
  <c r="F150" i="1"/>
  <c r="K144" i="25"/>
  <c r="A145" i="25"/>
  <c r="L144" i="25"/>
  <c r="X144" i="25"/>
  <c r="AB144" i="25"/>
  <c r="AJ144" i="25"/>
  <c r="O144" i="25"/>
  <c r="AK144" i="25"/>
  <c r="AC144" i="25"/>
  <c r="B60" i="7"/>
  <c r="AB150" i="17"/>
  <c r="X150" i="17"/>
  <c r="L150" i="17"/>
  <c r="A151" i="17"/>
  <c r="K150" i="17"/>
  <c r="AJ150" i="17"/>
  <c r="O150" i="17"/>
  <c r="AK150" i="17"/>
  <c r="AC150" i="17"/>
  <c r="I148" i="1"/>
  <c r="AA148" i="1"/>
  <c r="Z148" i="1" s="1"/>
  <c r="Y148" i="1" s="1"/>
  <c r="G148" i="1"/>
  <c r="BW148" i="6" s="1"/>
  <c r="A148" i="22"/>
  <c r="AB147" i="22"/>
  <c r="X147" i="22"/>
  <c r="K147" i="22"/>
  <c r="L147" i="22"/>
  <c r="AJ147" i="22"/>
  <c r="AK147" i="22"/>
  <c r="O147" i="22"/>
  <c r="AC147" i="22"/>
  <c r="A146" i="24"/>
  <c r="L145" i="24"/>
  <c r="K145" i="24"/>
  <c r="X145" i="24"/>
  <c r="AB145" i="24"/>
  <c r="AK145" i="24"/>
  <c r="O145" i="24"/>
  <c r="AJ145" i="24"/>
  <c r="AC145" i="24"/>
  <c r="S151" i="1"/>
  <c r="R151" i="1" s="1"/>
  <c r="P151" i="1" s="1"/>
  <c r="V151" i="1" s="1"/>
  <c r="D151" i="1"/>
  <c r="E151" i="1" s="1"/>
  <c r="A153" i="15" l="1"/>
  <c r="L152" i="15"/>
  <c r="D152" i="15" s="1"/>
  <c r="O152" i="15"/>
  <c r="K152" i="15"/>
  <c r="AC152" i="15"/>
  <c r="X152" i="15"/>
  <c r="AJ152" i="15"/>
  <c r="AB152" i="15"/>
  <c r="AK152" i="15"/>
  <c r="E151" i="15"/>
  <c r="K151" i="16"/>
  <c r="A152" i="16"/>
  <c r="AK151" i="16"/>
  <c r="AC151" i="16"/>
  <c r="AB151" i="16"/>
  <c r="L151" i="16"/>
  <c r="D151" i="16" s="1"/>
  <c r="X151" i="16"/>
  <c r="AJ151" i="16"/>
  <c r="O151" i="16"/>
  <c r="E150" i="16"/>
  <c r="F151" i="1"/>
  <c r="X146" i="24"/>
  <c r="K146" i="24"/>
  <c r="AB146" i="24"/>
  <c r="L146" i="24"/>
  <c r="A147" i="24"/>
  <c r="AK146" i="24"/>
  <c r="AJ146" i="24"/>
  <c r="O146" i="24"/>
  <c r="AC146" i="24"/>
  <c r="K151" i="17"/>
  <c r="X151" i="17"/>
  <c r="L151" i="17"/>
  <c r="A152" i="17"/>
  <c r="AB151" i="17"/>
  <c r="O151" i="17"/>
  <c r="AK151" i="17"/>
  <c r="AJ151" i="17"/>
  <c r="AC151" i="17"/>
  <c r="X145" i="25"/>
  <c r="L145" i="25"/>
  <c r="A146" i="25"/>
  <c r="AB145" i="25"/>
  <c r="K145" i="25"/>
  <c r="AJ145" i="25"/>
  <c r="AK145" i="25"/>
  <c r="O145" i="25"/>
  <c r="AC145" i="25"/>
  <c r="G150" i="1"/>
  <c r="BW150" i="6" s="1"/>
  <c r="I150" i="1"/>
  <c r="AA150" i="1"/>
  <c r="Z150" i="1" s="1"/>
  <c r="Y150" i="1" s="1"/>
  <c r="D152" i="1"/>
  <c r="E152" i="1" s="1"/>
  <c r="L153" i="1"/>
  <c r="AB153" i="1"/>
  <c r="AJ153" i="1"/>
  <c r="K153" i="1"/>
  <c r="Q153" i="1"/>
  <c r="A154" i="1"/>
  <c r="O153" i="1"/>
  <c r="X153" i="1"/>
  <c r="AK153" i="1"/>
  <c r="AC153" i="1"/>
  <c r="U153" i="1"/>
  <c r="X150" i="18"/>
  <c r="AJ150" i="18"/>
  <c r="A151" i="18"/>
  <c r="K150" i="18"/>
  <c r="AB150" i="18"/>
  <c r="L150" i="18"/>
  <c r="AK150" i="18"/>
  <c r="O150" i="18"/>
  <c r="AC150" i="18"/>
  <c r="X147" i="23"/>
  <c r="L147" i="23"/>
  <c r="AB147" i="23"/>
  <c r="K147" i="23"/>
  <c r="A148" i="23"/>
  <c r="AK147" i="23"/>
  <c r="AJ147" i="23"/>
  <c r="O147" i="23"/>
  <c r="AC147" i="23"/>
  <c r="G149" i="1"/>
  <c r="BW149" i="6" s="1"/>
  <c r="AA149" i="1"/>
  <c r="Z149" i="1" s="1"/>
  <c r="Y149" i="1" s="1"/>
  <c r="I149" i="1"/>
  <c r="K148" i="22"/>
  <c r="X148" i="22"/>
  <c r="L148" i="22"/>
  <c r="AB148" i="22"/>
  <c r="A149" i="22"/>
  <c r="AJ148" i="22"/>
  <c r="AK148" i="22"/>
  <c r="O148" i="22"/>
  <c r="AC148" i="22"/>
  <c r="S152" i="1"/>
  <c r="R152" i="1" s="1"/>
  <c r="P152" i="1" s="1"/>
  <c r="V152" i="1" s="1"/>
  <c r="B72" i="7"/>
  <c r="K149" i="20"/>
  <c r="AE24" i="7"/>
  <c r="A150" i="20"/>
  <c r="L149" i="20"/>
  <c r="X149" i="20"/>
  <c r="AB149" i="20"/>
  <c r="AJ149" i="20"/>
  <c r="AK149" i="20"/>
  <c r="O149" i="20"/>
  <c r="AG24" i="7" s="1"/>
  <c r="AC149" i="20"/>
  <c r="E152" i="15" l="1"/>
  <c r="A154" i="15"/>
  <c r="AC153" i="15"/>
  <c r="K153" i="15"/>
  <c r="AJ153" i="15"/>
  <c r="L153" i="15"/>
  <c r="D153" i="15" s="1"/>
  <c r="AK153" i="15"/>
  <c r="AB153" i="15"/>
  <c r="X153" i="15"/>
  <c r="O153" i="15"/>
  <c r="E151" i="16"/>
  <c r="AB152" i="16"/>
  <c r="X152" i="16"/>
  <c r="A153" i="16"/>
  <c r="AK152" i="16"/>
  <c r="O152" i="16"/>
  <c r="K152" i="16"/>
  <c r="L152" i="16"/>
  <c r="D152" i="16" s="1"/>
  <c r="E152" i="16" s="1"/>
  <c r="AJ152" i="16"/>
  <c r="AC152" i="16"/>
  <c r="AF24" i="7"/>
  <c r="AB149" i="22"/>
  <c r="A150" i="22"/>
  <c r="L149" i="22"/>
  <c r="AE36" i="7"/>
  <c r="X149" i="22"/>
  <c r="K149" i="22"/>
  <c r="AJ149" i="22"/>
  <c r="AK149" i="22"/>
  <c r="O149" i="22"/>
  <c r="AG36" i="7" s="1"/>
  <c r="AC149" i="22"/>
  <c r="A149" i="23"/>
  <c r="L148" i="23"/>
  <c r="AB148" i="23"/>
  <c r="X148" i="23"/>
  <c r="K148" i="23"/>
  <c r="AK148" i="23"/>
  <c r="AJ148" i="23"/>
  <c r="O148" i="23"/>
  <c r="AC148" i="23"/>
  <c r="X154" i="1"/>
  <c r="O154" i="1"/>
  <c r="K154" i="1"/>
  <c r="AC154" i="1"/>
  <c r="AK154" i="1"/>
  <c r="L154" i="1"/>
  <c r="Q154" i="1"/>
  <c r="A155" i="1"/>
  <c r="AJ154" i="1"/>
  <c r="AB154" i="1"/>
  <c r="U154" i="1"/>
  <c r="T154" i="1" s="1"/>
  <c r="X152" i="17"/>
  <c r="AB152" i="17"/>
  <c r="K152" i="17"/>
  <c r="A153" i="17"/>
  <c r="L152" i="17"/>
  <c r="AJ152" i="17"/>
  <c r="O152" i="17"/>
  <c r="AK152" i="17"/>
  <c r="AC152" i="17"/>
  <c r="A151" i="20"/>
  <c r="AB150" i="20"/>
  <c r="K150" i="20"/>
  <c r="L150" i="20"/>
  <c r="X150" i="20"/>
  <c r="AK150" i="20"/>
  <c r="AJ150" i="20"/>
  <c r="O150" i="20"/>
  <c r="AC150" i="20"/>
  <c r="F152" i="1"/>
  <c r="AB151" i="18"/>
  <c r="A152" i="18"/>
  <c r="L151" i="18"/>
  <c r="X151" i="18"/>
  <c r="AJ151" i="18"/>
  <c r="K151" i="18"/>
  <c r="AK151" i="18"/>
  <c r="O151" i="18"/>
  <c r="AC151" i="18"/>
  <c r="T153" i="1"/>
  <c r="D153" i="1"/>
  <c r="E153" i="1" s="1"/>
  <c r="A147" i="25"/>
  <c r="X146" i="25"/>
  <c r="L146" i="25"/>
  <c r="AB146" i="25"/>
  <c r="K146" i="25"/>
  <c r="AJ146" i="25"/>
  <c r="AK146" i="25"/>
  <c r="O146" i="25"/>
  <c r="AC146" i="25"/>
  <c r="K147" i="24"/>
  <c r="X147" i="24"/>
  <c r="L147" i="24"/>
  <c r="AB147" i="24"/>
  <c r="A148" i="24"/>
  <c r="AJ147" i="24"/>
  <c r="AK147" i="24"/>
  <c r="O147" i="24"/>
  <c r="AC147" i="24"/>
  <c r="G151" i="1"/>
  <c r="BW151" i="6" s="1"/>
  <c r="AA151" i="1"/>
  <c r="Z151" i="1" s="1"/>
  <c r="Y151" i="1" s="1"/>
  <c r="I151" i="1"/>
  <c r="E153" i="15" l="1"/>
  <c r="X154" i="15"/>
  <c r="A155" i="15"/>
  <c r="AC154" i="15"/>
  <c r="AB154" i="15"/>
  <c r="O154" i="15"/>
  <c r="L154" i="15"/>
  <c r="D154" i="15" s="1"/>
  <c r="AK154" i="15"/>
  <c r="K154" i="15"/>
  <c r="AJ154" i="15"/>
  <c r="A154" i="16"/>
  <c r="X153" i="16"/>
  <c r="AJ153" i="16"/>
  <c r="AC153" i="16"/>
  <c r="AB153" i="16"/>
  <c r="L153" i="16"/>
  <c r="D153" i="16" s="1"/>
  <c r="K153" i="16"/>
  <c r="AK153" i="16"/>
  <c r="O153" i="16"/>
  <c r="K147" i="25"/>
  <c r="L147" i="25"/>
  <c r="A148" i="25"/>
  <c r="X147" i="25"/>
  <c r="AB147" i="25"/>
  <c r="AJ147" i="25"/>
  <c r="O147" i="25"/>
  <c r="AK147" i="25"/>
  <c r="AC147" i="25"/>
  <c r="S153" i="1"/>
  <c r="R153" i="1" s="1"/>
  <c r="P153" i="1" s="1"/>
  <c r="V153" i="1" s="1"/>
  <c r="F153" i="1" s="1"/>
  <c r="A153" i="18"/>
  <c r="AB152" i="18"/>
  <c r="L152" i="18"/>
  <c r="X152" i="18"/>
  <c r="AJ152" i="18"/>
  <c r="K152" i="18"/>
  <c r="AK152" i="18"/>
  <c r="O152" i="18"/>
  <c r="AC152" i="18"/>
  <c r="G152" i="1"/>
  <c r="BW152" i="6" s="1"/>
  <c r="AA152" i="1"/>
  <c r="Z152" i="1" s="1"/>
  <c r="Y152" i="1" s="1"/>
  <c r="I152" i="1"/>
  <c r="AB151" i="20"/>
  <c r="K151" i="20"/>
  <c r="A152" i="20"/>
  <c r="X151" i="20"/>
  <c r="L151" i="20"/>
  <c r="AJ151" i="20"/>
  <c r="AK151" i="20"/>
  <c r="O151" i="20"/>
  <c r="AC151" i="20"/>
  <c r="AB153" i="17"/>
  <c r="X153" i="17"/>
  <c r="A154" i="17"/>
  <c r="L153" i="17"/>
  <c r="K153" i="17"/>
  <c r="O153" i="17"/>
  <c r="AK153" i="17"/>
  <c r="AJ153" i="17"/>
  <c r="AC153" i="17"/>
  <c r="AJ155" i="1"/>
  <c r="AB155" i="1"/>
  <c r="O155" i="1"/>
  <c r="K155" i="1"/>
  <c r="L155" i="1"/>
  <c r="AK155" i="1"/>
  <c r="A156" i="1"/>
  <c r="X155" i="1"/>
  <c r="AC155" i="1"/>
  <c r="Q155" i="1"/>
  <c r="U155" i="1"/>
  <c r="T155" i="1" s="1"/>
  <c r="D154" i="1"/>
  <c r="E154" i="1" s="1"/>
  <c r="AE48" i="7"/>
  <c r="L149" i="23"/>
  <c r="A150" i="23"/>
  <c r="X149" i="23"/>
  <c r="K149" i="23"/>
  <c r="AB149" i="23"/>
  <c r="AJ149" i="23"/>
  <c r="AK149" i="23"/>
  <c r="O149" i="23"/>
  <c r="AG48" i="7" s="1"/>
  <c r="AC149" i="23"/>
  <c r="AF36" i="7"/>
  <c r="A149" i="24"/>
  <c r="K148" i="24"/>
  <c r="X148" i="24"/>
  <c r="L148" i="24"/>
  <c r="AB148" i="24"/>
  <c r="AJ148" i="24"/>
  <c r="AK148" i="24"/>
  <c r="O148" i="24"/>
  <c r="AC148" i="24"/>
  <c r="S154" i="1"/>
  <c r="R154" i="1" s="1"/>
  <c r="P154" i="1" s="1"/>
  <c r="V154" i="1" s="1"/>
  <c r="A151" i="22"/>
  <c r="AB150" i="22"/>
  <c r="K150" i="22"/>
  <c r="L150" i="22"/>
  <c r="X150" i="22"/>
  <c r="AJ150" i="22"/>
  <c r="AK150" i="22"/>
  <c r="O150" i="22"/>
  <c r="AC150" i="22"/>
  <c r="E154" i="15" l="1"/>
  <c r="K155" i="15"/>
  <c r="A156" i="15"/>
  <c r="AB155" i="15"/>
  <c r="AK155" i="15"/>
  <c r="AC155" i="15"/>
  <c r="X155" i="15"/>
  <c r="AJ155" i="15"/>
  <c r="L155" i="15"/>
  <c r="D155" i="15" s="1"/>
  <c r="O155" i="15"/>
  <c r="E153" i="16"/>
  <c r="F154" i="1"/>
  <c r="G154" i="1" s="1"/>
  <c r="BW154" i="6" s="1"/>
  <c r="L154" i="16"/>
  <c r="D154" i="16" s="1"/>
  <c r="A155" i="16"/>
  <c r="AJ154" i="16"/>
  <c r="AC154" i="16"/>
  <c r="AB154" i="16"/>
  <c r="K154" i="16"/>
  <c r="X154" i="16"/>
  <c r="AK154" i="16"/>
  <c r="O154" i="16"/>
  <c r="AB151" i="22"/>
  <c r="K151" i="22"/>
  <c r="A152" i="22"/>
  <c r="X151" i="22"/>
  <c r="L151" i="22"/>
  <c r="AK151" i="22"/>
  <c r="AJ151" i="22"/>
  <c r="O151" i="22"/>
  <c r="AC151" i="22"/>
  <c r="A150" i="24"/>
  <c r="L149" i="24"/>
  <c r="K149" i="24"/>
  <c r="X149" i="24"/>
  <c r="AE60" i="7"/>
  <c r="AB149" i="24"/>
  <c r="AJ149" i="24"/>
  <c r="AK149" i="24"/>
  <c r="O149" i="24"/>
  <c r="AG60" i="7" s="1"/>
  <c r="AC149" i="24"/>
  <c r="A151" i="23"/>
  <c r="K150" i="23"/>
  <c r="AB150" i="23"/>
  <c r="X150" i="23"/>
  <c r="L150" i="23"/>
  <c r="AJ150" i="23"/>
  <c r="AK150" i="23"/>
  <c r="O150" i="23"/>
  <c r="AC150" i="23"/>
  <c r="S155" i="1"/>
  <c r="R155" i="1" s="1"/>
  <c r="P155" i="1" s="1"/>
  <c r="V155" i="1" s="1"/>
  <c r="K156" i="1"/>
  <c r="X156" i="1"/>
  <c r="AJ156" i="1"/>
  <c r="AB156" i="1"/>
  <c r="AC156" i="1"/>
  <c r="A157" i="1"/>
  <c r="O156" i="1"/>
  <c r="Q156" i="1"/>
  <c r="AK156" i="1"/>
  <c r="L156" i="1"/>
  <c r="U156" i="1"/>
  <c r="T156" i="1" s="1"/>
  <c r="S156" i="1" s="1"/>
  <c r="R156" i="1" s="1"/>
  <c r="D155" i="1"/>
  <c r="E155" i="1" s="1"/>
  <c r="K154" i="17"/>
  <c r="L154" i="17"/>
  <c r="X154" i="17"/>
  <c r="AB154" i="17"/>
  <c r="A155" i="17"/>
  <c r="AJ154" i="17"/>
  <c r="O154" i="17"/>
  <c r="AK154" i="17"/>
  <c r="AC154" i="17"/>
  <c r="X153" i="18"/>
  <c r="L153" i="18"/>
  <c r="A154" i="18"/>
  <c r="AB153" i="18"/>
  <c r="K153" i="18"/>
  <c r="AJ153" i="18"/>
  <c r="O153" i="18"/>
  <c r="AK153" i="18"/>
  <c r="AC153" i="18"/>
  <c r="G153" i="1"/>
  <c r="BW153" i="6" s="1"/>
  <c r="I153" i="1"/>
  <c r="AA153" i="1"/>
  <c r="Z153" i="1" s="1"/>
  <c r="Y153" i="1" s="1"/>
  <c r="X148" i="25"/>
  <c r="A149" i="25"/>
  <c r="AB148" i="25"/>
  <c r="L148" i="25"/>
  <c r="K148" i="25"/>
  <c r="AJ148" i="25"/>
  <c r="AK148" i="25"/>
  <c r="O148" i="25"/>
  <c r="AC148" i="25"/>
  <c r="AF48" i="7"/>
  <c r="K152" i="20"/>
  <c r="L152" i="20"/>
  <c r="X152" i="20"/>
  <c r="A153" i="20"/>
  <c r="AB152" i="20"/>
  <c r="AJ152" i="20"/>
  <c r="AK152" i="20"/>
  <c r="O152" i="20"/>
  <c r="AC152" i="20"/>
  <c r="AB156" i="15" l="1"/>
  <c r="AK156" i="15"/>
  <c r="K156" i="15"/>
  <c r="A157" i="15"/>
  <c r="AC156" i="15"/>
  <c r="X156" i="15"/>
  <c r="O156" i="15"/>
  <c r="L156" i="15"/>
  <c r="D156" i="15" s="1"/>
  <c r="AJ156" i="15"/>
  <c r="E155" i="15"/>
  <c r="F155" i="1"/>
  <c r="I155" i="1" s="1"/>
  <c r="AA154" i="1"/>
  <c r="Z154" i="1" s="1"/>
  <c r="Y154" i="1" s="1"/>
  <c r="I154" i="1"/>
  <c r="A156" i="16"/>
  <c r="K155" i="16"/>
  <c r="AK155" i="16"/>
  <c r="AC155" i="16"/>
  <c r="X155" i="16"/>
  <c r="L155" i="16"/>
  <c r="D155" i="16" s="1"/>
  <c r="AB155" i="16"/>
  <c r="AJ155" i="16"/>
  <c r="O155" i="16"/>
  <c r="E154" i="16"/>
  <c r="D156" i="1"/>
  <c r="E156" i="1" s="1"/>
  <c r="AB157" i="1"/>
  <c r="AJ157" i="1"/>
  <c r="AC157" i="1"/>
  <c r="K157" i="1"/>
  <c r="X157" i="1"/>
  <c r="L157" i="1"/>
  <c r="O157" i="1"/>
  <c r="A158" i="1"/>
  <c r="AK157" i="1"/>
  <c r="Q157" i="1"/>
  <c r="U157" i="1"/>
  <c r="T157" i="1" s="1"/>
  <c r="K151" i="23"/>
  <c r="X151" i="23"/>
  <c r="L151" i="23"/>
  <c r="A152" i="23"/>
  <c r="AB151" i="23"/>
  <c r="AJ151" i="23"/>
  <c r="AK151" i="23"/>
  <c r="O151" i="23"/>
  <c r="AC151" i="23"/>
  <c r="A151" i="24"/>
  <c r="K150" i="24"/>
  <c r="L150" i="24"/>
  <c r="AB150" i="24"/>
  <c r="X150" i="24"/>
  <c r="AK150" i="24"/>
  <c r="AJ150" i="24"/>
  <c r="O150" i="24"/>
  <c r="AC150" i="24"/>
  <c r="X152" i="22"/>
  <c r="K152" i="22"/>
  <c r="AB152" i="22"/>
  <c r="L152" i="22"/>
  <c r="A153" i="22"/>
  <c r="AJ152" i="22"/>
  <c r="AK152" i="22"/>
  <c r="O152" i="22"/>
  <c r="AC152" i="22"/>
  <c r="X153" i="20"/>
  <c r="A154" i="20"/>
  <c r="L153" i="20"/>
  <c r="AB153" i="20"/>
  <c r="K153" i="20"/>
  <c r="AK153" i="20"/>
  <c r="AJ153" i="20"/>
  <c r="O153" i="20"/>
  <c r="AC153" i="20"/>
  <c r="AB149" i="25"/>
  <c r="L149" i="25"/>
  <c r="K149" i="25"/>
  <c r="X149" i="25"/>
  <c r="A150" i="25"/>
  <c r="AE72" i="7"/>
  <c r="AJ149" i="25"/>
  <c r="AK149" i="25"/>
  <c r="O149" i="25"/>
  <c r="AG72" i="7" s="1"/>
  <c r="AC149" i="25"/>
  <c r="A155" i="18"/>
  <c r="AJ154" i="18"/>
  <c r="L154" i="18"/>
  <c r="K154" i="18"/>
  <c r="X154" i="18"/>
  <c r="AB154" i="18"/>
  <c r="O154" i="18"/>
  <c r="AK154" i="18"/>
  <c r="AC154" i="18"/>
  <c r="K155" i="17"/>
  <c r="L155" i="17"/>
  <c r="X155" i="17"/>
  <c r="AB155" i="17"/>
  <c r="A156" i="17"/>
  <c r="AK155" i="17"/>
  <c r="AJ155" i="17"/>
  <c r="O155" i="17"/>
  <c r="AC155" i="17"/>
  <c r="P156" i="1"/>
  <c r="V156" i="1" s="1"/>
  <c r="F156" i="1" s="1"/>
  <c r="AF60" i="7"/>
  <c r="G155" i="1" l="1"/>
  <c r="BW155" i="6" s="1"/>
  <c r="AA155" i="1"/>
  <c r="Z155" i="1" s="1"/>
  <c r="Y155" i="1" s="1"/>
  <c r="E156" i="15"/>
  <c r="K157" i="15"/>
  <c r="X157" i="15"/>
  <c r="AC157" i="15"/>
  <c r="A158" i="15"/>
  <c r="O157" i="15"/>
  <c r="L157" i="15"/>
  <c r="D157" i="15" s="1"/>
  <c r="AK157" i="15"/>
  <c r="AB157" i="15"/>
  <c r="AJ157" i="15"/>
  <c r="E155" i="16"/>
  <c r="A157" i="16"/>
  <c r="X156" i="16"/>
  <c r="K156" i="16"/>
  <c r="AK156" i="16"/>
  <c r="O156" i="16"/>
  <c r="L156" i="16"/>
  <c r="D156" i="16" s="1"/>
  <c r="AB156" i="16"/>
  <c r="AJ156" i="16"/>
  <c r="AC156" i="16"/>
  <c r="G156" i="1"/>
  <c r="BW156" i="6" s="1"/>
  <c r="AA156" i="1"/>
  <c r="Z156" i="1" s="1"/>
  <c r="Y156" i="1" s="1"/>
  <c r="I156" i="1"/>
  <c r="A157" i="17"/>
  <c r="L156" i="17"/>
  <c r="K156" i="17"/>
  <c r="X156" i="17"/>
  <c r="AB156" i="17"/>
  <c r="O156" i="17"/>
  <c r="AJ156" i="17"/>
  <c r="AK156" i="17"/>
  <c r="AC156" i="17"/>
  <c r="K155" i="18"/>
  <c r="A156" i="18"/>
  <c r="AJ155" i="18"/>
  <c r="AB155" i="18"/>
  <c r="L155" i="18"/>
  <c r="X155" i="18"/>
  <c r="O155" i="18"/>
  <c r="AK155" i="18"/>
  <c r="AC155" i="18"/>
  <c r="AF72" i="7"/>
  <c r="A152" i="24"/>
  <c r="L151" i="24"/>
  <c r="AB151" i="24"/>
  <c r="X151" i="24"/>
  <c r="K151" i="24"/>
  <c r="AK151" i="24"/>
  <c r="AJ151" i="24"/>
  <c r="O151" i="24"/>
  <c r="AC151" i="24"/>
  <c r="K152" i="23"/>
  <c r="A153" i="23"/>
  <c r="AB152" i="23"/>
  <c r="X152" i="23"/>
  <c r="L152" i="23"/>
  <c r="AK152" i="23"/>
  <c r="AJ152" i="23"/>
  <c r="O152" i="23"/>
  <c r="AC152" i="23"/>
  <c r="S157" i="1"/>
  <c r="R157" i="1" s="1"/>
  <c r="P157" i="1" s="1"/>
  <c r="V157" i="1" s="1"/>
  <c r="K150" i="25"/>
  <c r="X150" i="25"/>
  <c r="AB150" i="25"/>
  <c r="L150" i="25"/>
  <c r="A151" i="25"/>
  <c r="AJ150" i="25"/>
  <c r="AK150" i="25"/>
  <c r="O150" i="25"/>
  <c r="AC150" i="25"/>
  <c r="X154" i="20"/>
  <c r="L154" i="20"/>
  <c r="K154" i="20"/>
  <c r="A155" i="20"/>
  <c r="AB154" i="20"/>
  <c r="AJ154" i="20"/>
  <c r="AK154" i="20"/>
  <c r="O154" i="20"/>
  <c r="AC154" i="20"/>
  <c r="X153" i="22"/>
  <c r="AB153" i="22"/>
  <c r="K153" i="22"/>
  <c r="L153" i="22"/>
  <c r="A154" i="22"/>
  <c r="AK153" i="22"/>
  <c r="AJ153" i="22"/>
  <c r="O153" i="22"/>
  <c r="AC153" i="22"/>
  <c r="L158" i="1"/>
  <c r="AC158" i="1"/>
  <c r="K158" i="1"/>
  <c r="X158" i="1"/>
  <c r="AK158" i="1"/>
  <c r="AJ158" i="1"/>
  <c r="O158" i="1"/>
  <c r="A159" i="1"/>
  <c r="AB158" i="1"/>
  <c r="Q158" i="1"/>
  <c r="U158" i="1"/>
  <c r="T158" i="1" s="1"/>
  <c r="D157" i="1"/>
  <c r="E157" i="1" s="1"/>
  <c r="E157" i="15" l="1"/>
  <c r="X158" i="15"/>
  <c r="K158" i="15"/>
  <c r="AC158" i="15"/>
  <c r="L158" i="15"/>
  <c r="D158" i="15" s="1"/>
  <c r="O158" i="15"/>
  <c r="AB158" i="15"/>
  <c r="AK158" i="15"/>
  <c r="A159" i="15"/>
  <c r="AJ158" i="15"/>
  <c r="X157" i="16"/>
  <c r="A158" i="16"/>
  <c r="L157" i="16"/>
  <c r="D157" i="16" s="1"/>
  <c r="AK157" i="16"/>
  <c r="O157" i="16"/>
  <c r="AB157" i="16"/>
  <c r="K157" i="16"/>
  <c r="AJ157" i="16"/>
  <c r="AC157" i="16"/>
  <c r="E156" i="16"/>
  <c r="F157" i="1"/>
  <c r="K159" i="1"/>
  <c r="L159" i="1"/>
  <c r="AC159" i="1"/>
  <c r="AK159" i="1"/>
  <c r="AJ159" i="1"/>
  <c r="AB159" i="1"/>
  <c r="X159" i="1"/>
  <c r="O159" i="1"/>
  <c r="A160" i="1"/>
  <c r="Q159" i="1"/>
  <c r="U159" i="1"/>
  <c r="T159" i="1" s="1"/>
  <c r="A155" i="22"/>
  <c r="AB154" i="22"/>
  <c r="X154" i="22"/>
  <c r="K154" i="22"/>
  <c r="L154" i="22"/>
  <c r="AJ154" i="22"/>
  <c r="AK154" i="22"/>
  <c r="O154" i="22"/>
  <c r="AC154" i="22"/>
  <c r="X155" i="20"/>
  <c r="L155" i="20"/>
  <c r="A156" i="20"/>
  <c r="AB155" i="20"/>
  <c r="K155" i="20"/>
  <c r="AK155" i="20"/>
  <c r="AJ155" i="20"/>
  <c r="O155" i="20"/>
  <c r="AC155" i="20"/>
  <c r="A152" i="25"/>
  <c r="L151" i="25"/>
  <c r="X151" i="25"/>
  <c r="K151" i="25"/>
  <c r="AB151" i="25"/>
  <c r="AJ151" i="25"/>
  <c r="AK151" i="25"/>
  <c r="O151" i="25"/>
  <c r="AC151" i="25"/>
  <c r="X153" i="23"/>
  <c r="AB153" i="23"/>
  <c r="A154" i="23"/>
  <c r="L153" i="23"/>
  <c r="K153" i="23"/>
  <c r="AJ153" i="23"/>
  <c r="AK153" i="23"/>
  <c r="O153" i="23"/>
  <c r="AC153" i="23"/>
  <c r="K152" i="24"/>
  <c r="AB152" i="24"/>
  <c r="X152" i="24"/>
  <c r="L152" i="24"/>
  <c r="A153" i="24"/>
  <c r="AJ152" i="24"/>
  <c r="AK152" i="24"/>
  <c r="O152" i="24"/>
  <c r="AC152" i="24"/>
  <c r="A157" i="18"/>
  <c r="AJ156" i="18"/>
  <c r="L156" i="18"/>
  <c r="X156" i="18"/>
  <c r="AB156" i="18"/>
  <c r="K156" i="18"/>
  <c r="AK156" i="18"/>
  <c r="O156" i="18"/>
  <c r="AC156" i="18"/>
  <c r="X157" i="17"/>
  <c r="L157" i="17"/>
  <c r="K157" i="17"/>
  <c r="A158" i="17"/>
  <c r="AB157" i="17"/>
  <c r="AJ157" i="17"/>
  <c r="AK157" i="17"/>
  <c r="O157" i="17"/>
  <c r="AC157" i="17"/>
  <c r="S158" i="1"/>
  <c r="R158" i="1" s="1"/>
  <c r="P158" i="1" s="1"/>
  <c r="V158" i="1" s="1"/>
  <c r="D158" i="1"/>
  <c r="E158" i="1" s="1"/>
  <c r="AB159" i="15" l="1"/>
  <c r="AK159" i="15"/>
  <c r="K159" i="15"/>
  <c r="X159" i="15"/>
  <c r="AC159" i="15"/>
  <c r="A160" i="15"/>
  <c r="O159" i="15"/>
  <c r="L159" i="15"/>
  <c r="D159" i="15" s="1"/>
  <c r="AJ159" i="15"/>
  <c r="E158" i="15"/>
  <c r="X158" i="16"/>
  <c r="A159" i="16"/>
  <c r="AJ158" i="16"/>
  <c r="AC158" i="16"/>
  <c r="K158" i="16"/>
  <c r="AB158" i="16"/>
  <c r="L158" i="16"/>
  <c r="D158" i="16" s="1"/>
  <c r="AK158" i="16"/>
  <c r="O158" i="16"/>
  <c r="E157" i="16"/>
  <c r="F158" i="1"/>
  <c r="K158" i="17"/>
  <c r="X158" i="17"/>
  <c r="A159" i="17"/>
  <c r="AB158" i="17"/>
  <c r="L158" i="17"/>
  <c r="O158" i="17"/>
  <c r="AJ158" i="17"/>
  <c r="AK158" i="17"/>
  <c r="AC158" i="17"/>
  <c r="X157" i="18"/>
  <c r="L157" i="18"/>
  <c r="A158" i="18"/>
  <c r="AB157" i="18"/>
  <c r="K157" i="18"/>
  <c r="AJ157" i="18"/>
  <c r="O157" i="18"/>
  <c r="AK157" i="18"/>
  <c r="AC157" i="18"/>
  <c r="K154" i="23"/>
  <c r="X154" i="23"/>
  <c r="A155" i="23"/>
  <c r="L154" i="23"/>
  <c r="AB154" i="23"/>
  <c r="AK154" i="23"/>
  <c r="AJ154" i="23"/>
  <c r="O154" i="23"/>
  <c r="AC154" i="23"/>
  <c r="K152" i="25"/>
  <c r="L152" i="25"/>
  <c r="X152" i="25"/>
  <c r="AB152" i="25"/>
  <c r="A153" i="25"/>
  <c r="AJ152" i="25"/>
  <c r="O152" i="25"/>
  <c r="AK152" i="25"/>
  <c r="AC152" i="25"/>
  <c r="S159" i="1"/>
  <c r="R159" i="1" s="1"/>
  <c r="P159" i="1" s="1"/>
  <c r="V159" i="1" s="1"/>
  <c r="A161" i="1"/>
  <c r="AC160" i="1"/>
  <c r="O160" i="1"/>
  <c r="Q160" i="1"/>
  <c r="L160" i="1"/>
  <c r="AK160" i="1"/>
  <c r="X160" i="1"/>
  <c r="K160" i="1"/>
  <c r="AB160" i="1"/>
  <c r="AJ160" i="1"/>
  <c r="U160" i="1"/>
  <c r="T160" i="1" s="1"/>
  <c r="A154" i="24"/>
  <c r="K153" i="24"/>
  <c r="AB153" i="24"/>
  <c r="X153" i="24"/>
  <c r="L153" i="24"/>
  <c r="AJ153" i="24"/>
  <c r="AK153" i="24"/>
  <c r="O153" i="24"/>
  <c r="AC153" i="24"/>
  <c r="K156" i="20"/>
  <c r="L156" i="20"/>
  <c r="AB156" i="20"/>
  <c r="X156" i="20"/>
  <c r="A157" i="20"/>
  <c r="AJ156" i="20"/>
  <c r="AK156" i="20"/>
  <c r="O156" i="20"/>
  <c r="AC156" i="20"/>
  <c r="AB155" i="22"/>
  <c r="A156" i="22"/>
  <c r="X155" i="22"/>
  <c r="K155" i="22"/>
  <c r="L155" i="22"/>
  <c r="AJ155" i="22"/>
  <c r="AK155" i="22"/>
  <c r="O155" i="22"/>
  <c r="AC155" i="22"/>
  <c r="D159" i="1"/>
  <c r="E159" i="1" s="1"/>
  <c r="I157" i="1"/>
  <c r="AA157" i="1"/>
  <c r="Z157" i="1" s="1"/>
  <c r="Y157" i="1" s="1"/>
  <c r="G157" i="1"/>
  <c r="BW157" i="6" s="1"/>
  <c r="E159" i="15" l="1"/>
  <c r="AB160" i="15"/>
  <c r="AJ160" i="15"/>
  <c r="K160" i="15"/>
  <c r="L160" i="15"/>
  <c r="D160" i="15" s="1"/>
  <c r="AC160" i="15"/>
  <c r="X160" i="15"/>
  <c r="O160" i="15"/>
  <c r="A161" i="15"/>
  <c r="AK160" i="15"/>
  <c r="F159" i="1"/>
  <c r="I159" i="1" s="1"/>
  <c r="E158" i="16"/>
  <c r="L159" i="16"/>
  <c r="D159" i="16" s="1"/>
  <c r="AB159" i="16"/>
  <c r="A160" i="16"/>
  <c r="AK159" i="16"/>
  <c r="O159" i="16"/>
  <c r="X159" i="16"/>
  <c r="K159" i="16"/>
  <c r="AJ159" i="16"/>
  <c r="AC159" i="16"/>
  <c r="AB156" i="22"/>
  <c r="L156" i="22"/>
  <c r="K156" i="22"/>
  <c r="X156" i="22"/>
  <c r="A157" i="22"/>
  <c r="AJ156" i="22"/>
  <c r="AK156" i="22"/>
  <c r="O156" i="22"/>
  <c r="AC156" i="22"/>
  <c r="AB157" i="20"/>
  <c r="X157" i="20"/>
  <c r="L157" i="20"/>
  <c r="K157" i="20"/>
  <c r="A158" i="20"/>
  <c r="AJ157" i="20"/>
  <c r="AK157" i="20"/>
  <c r="O157" i="20"/>
  <c r="AC157" i="20"/>
  <c r="A155" i="24"/>
  <c r="K154" i="24"/>
  <c r="X154" i="24"/>
  <c r="L154" i="24"/>
  <c r="AB154" i="24"/>
  <c r="AJ154" i="24"/>
  <c r="AK154" i="24"/>
  <c r="O154" i="24"/>
  <c r="AC154" i="24"/>
  <c r="AB153" i="25"/>
  <c r="X153" i="25"/>
  <c r="K153" i="25"/>
  <c r="A154" i="25"/>
  <c r="L153" i="25"/>
  <c r="AJ153" i="25"/>
  <c r="O153" i="25"/>
  <c r="AK153" i="25"/>
  <c r="AC153" i="25"/>
  <c r="X155" i="23"/>
  <c r="AB155" i="23"/>
  <c r="L155" i="23"/>
  <c r="A156" i="23"/>
  <c r="K155" i="23"/>
  <c r="AJ155" i="23"/>
  <c r="AK155" i="23"/>
  <c r="O155" i="23"/>
  <c r="AC155" i="23"/>
  <c r="A160" i="17"/>
  <c r="L159" i="17"/>
  <c r="X159" i="17"/>
  <c r="AB159" i="17"/>
  <c r="K159" i="17"/>
  <c r="AJ159" i="17"/>
  <c r="O159" i="17"/>
  <c r="AK159" i="17"/>
  <c r="AC159" i="17"/>
  <c r="G158" i="1"/>
  <c r="BW158" i="6" s="1"/>
  <c r="I158" i="1"/>
  <c r="AA158" i="1"/>
  <c r="Z158" i="1" s="1"/>
  <c r="Y158" i="1" s="1"/>
  <c r="S160" i="1"/>
  <c r="R160" i="1" s="1"/>
  <c r="P160" i="1" s="1"/>
  <c r="V160" i="1" s="1"/>
  <c r="D160" i="1"/>
  <c r="E160" i="1" s="1"/>
  <c r="A162" i="1"/>
  <c r="K161" i="1"/>
  <c r="AC161" i="1"/>
  <c r="AJ161" i="1"/>
  <c r="L161" i="1"/>
  <c r="Q161" i="1"/>
  <c r="AB161" i="1"/>
  <c r="O161" i="1"/>
  <c r="AK161" i="1"/>
  <c r="X161" i="1"/>
  <c r="U161" i="1"/>
  <c r="T161" i="1" s="1"/>
  <c r="A159" i="18"/>
  <c r="X158" i="18"/>
  <c r="AJ158" i="18"/>
  <c r="L158" i="18"/>
  <c r="AB158" i="18"/>
  <c r="K158" i="18"/>
  <c r="O158" i="18"/>
  <c r="AK158" i="18"/>
  <c r="AC158" i="18"/>
  <c r="AA159" i="1" l="1"/>
  <c r="Z159" i="1" s="1"/>
  <c r="Y159" i="1" s="1"/>
  <c r="E160" i="15"/>
  <c r="X161" i="15"/>
  <c r="AK161" i="15"/>
  <c r="A162" i="15"/>
  <c r="AB161" i="15"/>
  <c r="AC161" i="15"/>
  <c r="L161" i="15"/>
  <c r="D161" i="15" s="1"/>
  <c r="O161" i="15"/>
  <c r="K161" i="15"/>
  <c r="AJ161" i="15"/>
  <c r="G159" i="1"/>
  <c r="BW159" i="6" s="1"/>
  <c r="X160" i="16"/>
  <c r="K160" i="16"/>
  <c r="L160" i="16"/>
  <c r="D160" i="16" s="1"/>
  <c r="AJ160" i="16"/>
  <c r="O160" i="16"/>
  <c r="A161" i="16"/>
  <c r="AB160" i="16"/>
  <c r="AK160" i="16"/>
  <c r="AC160" i="16"/>
  <c r="E159" i="16"/>
  <c r="X159" i="18"/>
  <c r="L159" i="18"/>
  <c r="AJ159" i="18"/>
  <c r="AB159" i="18"/>
  <c r="K159" i="18"/>
  <c r="A160" i="18"/>
  <c r="AK159" i="18"/>
  <c r="O159" i="18"/>
  <c r="AC159" i="18"/>
  <c r="S161" i="1"/>
  <c r="R161" i="1" s="1"/>
  <c r="P161" i="1" s="1"/>
  <c r="V161" i="1" s="1"/>
  <c r="D161" i="1"/>
  <c r="O162" i="1"/>
  <c r="AB162" i="1"/>
  <c r="AC162" i="1"/>
  <c r="X162" i="1"/>
  <c r="A163" i="1"/>
  <c r="L162" i="1"/>
  <c r="AJ162" i="1"/>
  <c r="K162" i="1"/>
  <c r="Q162" i="1"/>
  <c r="AK162" i="1"/>
  <c r="U162" i="1"/>
  <c r="T162" i="1" s="1"/>
  <c r="X160" i="17"/>
  <c r="AB160" i="17"/>
  <c r="L160" i="17"/>
  <c r="K160" i="17"/>
  <c r="A161" i="17"/>
  <c r="AJ160" i="17"/>
  <c r="AK160" i="17"/>
  <c r="O160" i="17"/>
  <c r="AC160" i="17"/>
  <c r="L156" i="23"/>
  <c r="K156" i="23"/>
  <c r="X156" i="23"/>
  <c r="A157" i="23"/>
  <c r="AB156" i="23"/>
  <c r="AJ156" i="23"/>
  <c r="AK156" i="23"/>
  <c r="O156" i="23"/>
  <c r="AC156" i="23"/>
  <c r="K155" i="24"/>
  <c r="L155" i="24"/>
  <c r="X155" i="24"/>
  <c r="AB155" i="24"/>
  <c r="A156" i="24"/>
  <c r="AJ155" i="24"/>
  <c r="AK155" i="24"/>
  <c r="O155" i="24"/>
  <c r="AC155" i="24"/>
  <c r="K158" i="20"/>
  <c r="A159" i="20"/>
  <c r="L158" i="20"/>
  <c r="AB158" i="20"/>
  <c r="X158" i="20"/>
  <c r="AK158" i="20"/>
  <c r="AJ158" i="20"/>
  <c r="O158" i="20"/>
  <c r="AC158" i="20"/>
  <c r="E161" i="1"/>
  <c r="F160" i="1"/>
  <c r="A155" i="25"/>
  <c r="X154" i="25"/>
  <c r="K154" i="25"/>
  <c r="L154" i="25"/>
  <c r="AB154" i="25"/>
  <c r="AJ154" i="25"/>
  <c r="O154" i="25"/>
  <c r="AK154" i="25"/>
  <c r="AC154" i="25"/>
  <c r="K157" i="22"/>
  <c r="X157" i="22"/>
  <c r="A158" i="22"/>
  <c r="AB157" i="22"/>
  <c r="L157" i="22"/>
  <c r="AK157" i="22"/>
  <c r="AJ157" i="22"/>
  <c r="O157" i="22"/>
  <c r="AC157" i="22"/>
  <c r="E161" i="15" l="1"/>
  <c r="X162" i="15"/>
  <c r="AJ162" i="15"/>
  <c r="A163" i="15"/>
  <c r="AK162" i="15"/>
  <c r="AB162" i="15"/>
  <c r="K162" i="15"/>
  <c r="AC162" i="15"/>
  <c r="L162" i="15"/>
  <c r="D162" i="15" s="1"/>
  <c r="O162" i="15"/>
  <c r="F161" i="1"/>
  <c r="I161" i="1" s="1"/>
  <c r="A162" i="16"/>
  <c r="K161" i="16"/>
  <c r="AJ161" i="16"/>
  <c r="AC161" i="16"/>
  <c r="AB161" i="16"/>
  <c r="L161" i="16"/>
  <c r="D161" i="16" s="1"/>
  <c r="X161" i="16"/>
  <c r="AK161" i="16"/>
  <c r="O161" i="16"/>
  <c r="E160" i="16"/>
  <c r="A159" i="22"/>
  <c r="X158" i="22"/>
  <c r="L158" i="22"/>
  <c r="AB158" i="22"/>
  <c r="K158" i="22"/>
  <c r="AK158" i="22"/>
  <c r="AJ158" i="22"/>
  <c r="O158" i="22"/>
  <c r="AC158" i="22"/>
  <c r="G161" i="1"/>
  <c r="BW161" i="6" s="1"/>
  <c r="D162" i="1"/>
  <c r="X160" i="18"/>
  <c r="AB160" i="18"/>
  <c r="L160" i="18"/>
  <c r="A161" i="18"/>
  <c r="AJ160" i="18"/>
  <c r="K160" i="18"/>
  <c r="AK160" i="18"/>
  <c r="O160" i="18"/>
  <c r="AC160" i="18"/>
  <c r="X155" i="25"/>
  <c r="L155" i="25"/>
  <c r="A156" i="25"/>
  <c r="AB155" i="25"/>
  <c r="K155" i="25"/>
  <c r="AJ155" i="25"/>
  <c r="O155" i="25"/>
  <c r="AK155" i="25"/>
  <c r="AC155" i="25"/>
  <c r="AA160" i="1"/>
  <c r="Z160" i="1" s="1"/>
  <c r="Y160" i="1" s="1"/>
  <c r="G160" i="1"/>
  <c r="BW160" i="6" s="1"/>
  <c r="I160" i="1"/>
  <c r="A160" i="20"/>
  <c r="X159" i="20"/>
  <c r="K159" i="20"/>
  <c r="L159" i="20"/>
  <c r="AB159" i="20"/>
  <c r="AJ159" i="20"/>
  <c r="AK159" i="20"/>
  <c r="O159" i="20"/>
  <c r="AC159" i="20"/>
  <c r="K156" i="24"/>
  <c r="L156" i="24"/>
  <c r="A157" i="24"/>
  <c r="AB156" i="24"/>
  <c r="X156" i="24"/>
  <c r="AK156" i="24"/>
  <c r="AJ156" i="24"/>
  <c r="O156" i="24"/>
  <c r="AC156" i="24"/>
  <c r="K157" i="23"/>
  <c r="A158" i="23"/>
  <c r="AB157" i="23"/>
  <c r="L157" i="23"/>
  <c r="X157" i="23"/>
  <c r="AJ157" i="23"/>
  <c r="AK157" i="23"/>
  <c r="O157" i="23"/>
  <c r="AC157" i="23"/>
  <c r="K161" i="17"/>
  <c r="AB161" i="17"/>
  <c r="A162" i="17"/>
  <c r="L161" i="17"/>
  <c r="X161" i="17"/>
  <c r="AJ161" i="17"/>
  <c r="O161" i="17"/>
  <c r="AK161" i="17"/>
  <c r="AC161" i="17"/>
  <c r="S162" i="1"/>
  <c r="R162" i="1" s="1"/>
  <c r="P162" i="1" s="1"/>
  <c r="V162" i="1" s="1"/>
  <c r="Q163" i="1"/>
  <c r="AC163" i="1"/>
  <c r="AK163" i="1"/>
  <c r="A164" i="1"/>
  <c r="AB163" i="1"/>
  <c r="X163" i="1"/>
  <c r="K163" i="1"/>
  <c r="AJ163" i="1"/>
  <c r="O163" i="1"/>
  <c r="L163" i="1"/>
  <c r="U163" i="1"/>
  <c r="T163" i="1" s="1"/>
  <c r="E162" i="1"/>
  <c r="E162" i="15" l="1"/>
  <c r="AA161" i="1"/>
  <c r="Z161" i="1" s="1"/>
  <c r="Y161" i="1" s="1"/>
  <c r="X163" i="15"/>
  <c r="K163" i="15"/>
  <c r="O163" i="15"/>
  <c r="A164" i="15"/>
  <c r="AC163" i="15"/>
  <c r="L163" i="15"/>
  <c r="D163" i="15" s="1"/>
  <c r="AJ163" i="15"/>
  <c r="AB163" i="15"/>
  <c r="AK163" i="15"/>
  <c r="E161" i="16"/>
  <c r="F162" i="1"/>
  <c r="AA162" i="1" s="1"/>
  <c r="Z162" i="1" s="1"/>
  <c r="Y162" i="1" s="1"/>
  <c r="AB162" i="16"/>
  <c r="L162" i="16"/>
  <c r="D162" i="16" s="1"/>
  <c r="K162" i="16"/>
  <c r="AJ162" i="16"/>
  <c r="O162" i="16"/>
  <c r="A163" i="16"/>
  <c r="X162" i="16"/>
  <c r="AK162" i="16"/>
  <c r="AC162" i="16"/>
  <c r="G162" i="1"/>
  <c r="BW162" i="6" s="1"/>
  <c r="D163" i="1"/>
  <c r="E163" i="1" s="1"/>
  <c r="O164" i="1"/>
  <c r="A165" i="1"/>
  <c r="L164" i="1"/>
  <c r="Q164" i="1"/>
  <c r="AC164" i="1"/>
  <c r="K164" i="1"/>
  <c r="AK164" i="1"/>
  <c r="AB164" i="1"/>
  <c r="AJ164" i="1"/>
  <c r="X164" i="1"/>
  <c r="U164" i="1"/>
  <c r="T164" i="1" s="1"/>
  <c r="AB160" i="20"/>
  <c r="K160" i="20"/>
  <c r="L160" i="20"/>
  <c r="X160" i="20"/>
  <c r="A161" i="20"/>
  <c r="AJ160" i="20"/>
  <c r="AK160" i="20"/>
  <c r="O160" i="20"/>
  <c r="AC160" i="20"/>
  <c r="AB156" i="25"/>
  <c r="X156" i="25"/>
  <c r="L156" i="25"/>
  <c r="A157" i="25"/>
  <c r="K156" i="25"/>
  <c r="AK156" i="25"/>
  <c r="AJ156" i="25"/>
  <c r="O156" i="25"/>
  <c r="AC156" i="25"/>
  <c r="K161" i="18"/>
  <c r="L161" i="18"/>
  <c r="AB161" i="18"/>
  <c r="X161" i="18"/>
  <c r="A162" i="18"/>
  <c r="AJ161" i="18"/>
  <c r="AK161" i="18"/>
  <c r="O161" i="18"/>
  <c r="AC161" i="18"/>
  <c r="S163" i="1"/>
  <c r="R163" i="1" s="1"/>
  <c r="P163" i="1" s="1"/>
  <c r="V163" i="1" s="1"/>
  <c r="A163" i="17"/>
  <c r="K162" i="17"/>
  <c r="AB162" i="17"/>
  <c r="X162" i="17"/>
  <c r="L162" i="17"/>
  <c r="O162" i="17"/>
  <c r="AK162" i="17"/>
  <c r="AJ162" i="17"/>
  <c r="AC162" i="17"/>
  <c r="AB158" i="23"/>
  <c r="K158" i="23"/>
  <c r="X158" i="23"/>
  <c r="A159" i="23"/>
  <c r="L158" i="23"/>
  <c r="AK158" i="23"/>
  <c r="AJ158" i="23"/>
  <c r="O158" i="23"/>
  <c r="AC158" i="23"/>
  <c r="AB157" i="24"/>
  <c r="A158" i="24"/>
  <c r="K157" i="24"/>
  <c r="L157" i="24"/>
  <c r="X157" i="24"/>
  <c r="AK157" i="24"/>
  <c r="AJ157" i="24"/>
  <c r="O157" i="24"/>
  <c r="AC157" i="24"/>
  <c r="X159" i="22"/>
  <c r="AB159" i="22"/>
  <c r="A160" i="22"/>
  <c r="K159" i="22"/>
  <c r="L159" i="22"/>
  <c r="AK159" i="22"/>
  <c r="AJ159" i="22"/>
  <c r="O159" i="22"/>
  <c r="AC159" i="22"/>
  <c r="I162" i="1" l="1"/>
  <c r="X164" i="15"/>
  <c r="K164" i="15"/>
  <c r="O164" i="15"/>
  <c r="L164" i="15"/>
  <c r="D164" i="15" s="1"/>
  <c r="AC164" i="15"/>
  <c r="AB164" i="15"/>
  <c r="AJ164" i="15"/>
  <c r="A165" i="15"/>
  <c r="AK164" i="15"/>
  <c r="E163" i="15"/>
  <c r="E162" i="16"/>
  <c r="L163" i="16"/>
  <c r="D163" i="16" s="1"/>
  <c r="A164" i="16"/>
  <c r="AB163" i="16"/>
  <c r="AK163" i="16"/>
  <c r="O163" i="16"/>
  <c r="X163" i="16"/>
  <c r="K163" i="16"/>
  <c r="AJ163" i="16"/>
  <c r="AC163" i="16"/>
  <c r="AB160" i="22"/>
  <c r="A161" i="22"/>
  <c r="X160" i="22"/>
  <c r="K160" i="22"/>
  <c r="L160" i="22"/>
  <c r="AJ160" i="22"/>
  <c r="AK160" i="22"/>
  <c r="O160" i="22"/>
  <c r="AC160" i="22"/>
  <c r="A160" i="23"/>
  <c r="K159" i="23"/>
  <c r="X159" i="23"/>
  <c r="AB159" i="23"/>
  <c r="L159" i="23"/>
  <c r="AK159" i="23"/>
  <c r="AJ159" i="23"/>
  <c r="O159" i="23"/>
  <c r="AC159" i="23"/>
  <c r="X163" i="17"/>
  <c r="L163" i="17"/>
  <c r="AB163" i="17"/>
  <c r="A164" i="17"/>
  <c r="K163" i="17"/>
  <c r="AJ163" i="17"/>
  <c r="O163" i="17"/>
  <c r="AK163" i="17"/>
  <c r="AC163" i="17"/>
  <c r="S164" i="1"/>
  <c r="R164" i="1" s="1"/>
  <c r="P164" i="1" s="1"/>
  <c r="V164" i="1" s="1"/>
  <c r="D164" i="1"/>
  <c r="E164" i="1" s="1"/>
  <c r="F163" i="1"/>
  <c r="A159" i="24"/>
  <c r="K158" i="24"/>
  <c r="AB158" i="24"/>
  <c r="X158" i="24"/>
  <c r="L158" i="24"/>
  <c r="AK158" i="24"/>
  <c r="AJ158" i="24"/>
  <c r="O158" i="24"/>
  <c r="AC158" i="24"/>
  <c r="A163" i="18"/>
  <c r="L162" i="18"/>
  <c r="AB162" i="18"/>
  <c r="K162" i="18"/>
  <c r="X162" i="18"/>
  <c r="AJ162" i="18"/>
  <c r="O162" i="18"/>
  <c r="AK162" i="18"/>
  <c r="AC162" i="18"/>
  <c r="A158" i="25"/>
  <c r="X157" i="25"/>
  <c r="L157" i="25"/>
  <c r="AB157" i="25"/>
  <c r="K157" i="25"/>
  <c r="AK157" i="25"/>
  <c r="AJ157" i="25"/>
  <c r="O157" i="25"/>
  <c r="AC157" i="25"/>
  <c r="A162" i="20"/>
  <c r="L161" i="20"/>
  <c r="K161" i="20"/>
  <c r="AB161" i="20"/>
  <c r="X161" i="20"/>
  <c r="AJ161" i="20"/>
  <c r="AK161" i="20"/>
  <c r="O161" i="20"/>
  <c r="AC161" i="20"/>
  <c r="K165" i="1"/>
  <c r="Q165" i="1"/>
  <c r="AB165" i="1"/>
  <c r="X165" i="1"/>
  <c r="A166" i="1"/>
  <c r="AK165" i="1"/>
  <c r="O165" i="1"/>
  <c r="L165" i="1"/>
  <c r="AJ165" i="1"/>
  <c r="AC165" i="1"/>
  <c r="U165" i="1"/>
  <c r="T165" i="1" s="1"/>
  <c r="E164" i="15" l="1"/>
  <c r="A166" i="15"/>
  <c r="AK165" i="15"/>
  <c r="AB165" i="15"/>
  <c r="AJ165" i="15"/>
  <c r="X165" i="15"/>
  <c r="K165" i="15"/>
  <c r="AC165" i="15"/>
  <c r="L165" i="15"/>
  <c r="D165" i="15" s="1"/>
  <c r="O165" i="15"/>
  <c r="F164" i="1"/>
  <c r="I164" i="1" s="1"/>
  <c r="K164" i="16"/>
  <c r="A165" i="16"/>
  <c r="AJ164" i="16"/>
  <c r="AC164" i="16"/>
  <c r="L164" i="16"/>
  <c r="D164" i="16" s="1"/>
  <c r="X164" i="16"/>
  <c r="AB164" i="16"/>
  <c r="AK164" i="16"/>
  <c r="O164" i="16"/>
  <c r="E163" i="16"/>
  <c r="S165" i="1"/>
  <c r="R165" i="1" s="1"/>
  <c r="P165" i="1" s="1"/>
  <c r="V165" i="1" s="1"/>
  <c r="AK166" i="1"/>
  <c r="AJ166" i="1"/>
  <c r="A167" i="1"/>
  <c r="O166" i="1"/>
  <c r="AC166" i="1"/>
  <c r="L166" i="1"/>
  <c r="K166" i="1"/>
  <c r="Q166" i="1"/>
  <c r="X166" i="1"/>
  <c r="AB166" i="1"/>
  <c r="U166" i="1"/>
  <c r="T166" i="1" s="1"/>
  <c r="K158" i="25"/>
  <c r="L158" i="25"/>
  <c r="X158" i="25"/>
  <c r="AB158" i="25"/>
  <c r="A159" i="25"/>
  <c r="AJ158" i="25"/>
  <c r="O158" i="25"/>
  <c r="AK158" i="25"/>
  <c r="AC158" i="25"/>
  <c r="K159" i="24"/>
  <c r="X159" i="24"/>
  <c r="AB159" i="24"/>
  <c r="L159" i="24"/>
  <c r="A160" i="24"/>
  <c r="AJ159" i="24"/>
  <c r="AK159" i="24"/>
  <c r="O159" i="24"/>
  <c r="AC159" i="24"/>
  <c r="AB164" i="17"/>
  <c r="K164" i="17"/>
  <c r="L164" i="17"/>
  <c r="A165" i="17"/>
  <c r="X164" i="17"/>
  <c r="AJ164" i="17"/>
  <c r="O164" i="17"/>
  <c r="AK164" i="17"/>
  <c r="AC164" i="17"/>
  <c r="X160" i="23"/>
  <c r="A161" i="23"/>
  <c r="K160" i="23"/>
  <c r="AB160" i="23"/>
  <c r="L160" i="23"/>
  <c r="AJ160" i="23"/>
  <c r="AK160" i="23"/>
  <c r="O160" i="23"/>
  <c r="AC160" i="23"/>
  <c r="K161" i="22"/>
  <c r="A162" i="22"/>
  <c r="AB161" i="22"/>
  <c r="L161" i="22"/>
  <c r="X161" i="22"/>
  <c r="AJ161" i="22"/>
  <c r="AK161" i="22"/>
  <c r="O161" i="22"/>
  <c r="AC161" i="22"/>
  <c r="D165" i="1"/>
  <c r="E165" i="1" s="1"/>
  <c r="K162" i="20"/>
  <c r="AB162" i="20"/>
  <c r="X162" i="20"/>
  <c r="A163" i="20"/>
  <c r="L162" i="20"/>
  <c r="AK162" i="20"/>
  <c r="AJ162" i="20"/>
  <c r="O162" i="20"/>
  <c r="AC162" i="20"/>
  <c r="K163" i="18"/>
  <c r="AJ163" i="18"/>
  <c r="A164" i="18"/>
  <c r="X163" i="18"/>
  <c r="AB163" i="18"/>
  <c r="L163" i="18"/>
  <c r="O163" i="18"/>
  <c r="AK163" i="18"/>
  <c r="AC163" i="18"/>
  <c r="G163" i="1"/>
  <c r="BW163" i="6" s="1"/>
  <c r="AA163" i="1"/>
  <c r="Z163" i="1" s="1"/>
  <c r="Y163" i="1" s="1"/>
  <c r="I163" i="1"/>
  <c r="AA164" i="1" l="1"/>
  <c r="Z164" i="1" s="1"/>
  <c r="Y164" i="1" s="1"/>
  <c r="E165" i="15"/>
  <c r="X166" i="15"/>
  <c r="AK166" i="15"/>
  <c r="AB166" i="15"/>
  <c r="AJ166" i="15"/>
  <c r="L166" i="15"/>
  <c r="D166" i="15" s="1"/>
  <c r="K166" i="15"/>
  <c r="O166" i="15"/>
  <c r="E166" i="15" s="1"/>
  <c r="A167" i="15"/>
  <c r="AC166" i="15"/>
  <c r="G164" i="1"/>
  <c r="BW164" i="6" s="1"/>
  <c r="E164" i="16"/>
  <c r="L165" i="16"/>
  <c r="D165" i="16" s="1"/>
  <c r="X165" i="16"/>
  <c r="AJ165" i="16"/>
  <c r="AC165" i="16"/>
  <c r="A166" i="16"/>
  <c r="AB165" i="16"/>
  <c r="K165" i="16"/>
  <c r="AK165" i="16"/>
  <c r="O165" i="16"/>
  <c r="A165" i="18"/>
  <c r="AJ164" i="18"/>
  <c r="K164" i="18"/>
  <c r="X164" i="18"/>
  <c r="AB164" i="18"/>
  <c r="L164" i="18"/>
  <c r="O164" i="18"/>
  <c r="AK164" i="18"/>
  <c r="AC164" i="18"/>
  <c r="K163" i="20"/>
  <c r="A164" i="20"/>
  <c r="L163" i="20"/>
  <c r="X163" i="20"/>
  <c r="AB163" i="20"/>
  <c r="AJ163" i="20"/>
  <c r="AK163" i="20"/>
  <c r="O163" i="20"/>
  <c r="AC163" i="20"/>
  <c r="A162" i="23"/>
  <c r="L161" i="23"/>
  <c r="K161" i="23"/>
  <c r="AB161" i="23"/>
  <c r="X161" i="23"/>
  <c r="AJ161" i="23"/>
  <c r="AK161" i="23"/>
  <c r="O161" i="23"/>
  <c r="AC161" i="23"/>
  <c r="AB159" i="25"/>
  <c r="A160" i="25"/>
  <c r="X159" i="25"/>
  <c r="L159" i="25"/>
  <c r="K159" i="25"/>
  <c r="AJ159" i="25"/>
  <c r="O159" i="25"/>
  <c r="AK159" i="25"/>
  <c r="AC159" i="25"/>
  <c r="D166" i="1"/>
  <c r="E166" i="1" s="1"/>
  <c r="F165" i="1"/>
  <c r="A163" i="22"/>
  <c r="K162" i="22"/>
  <c r="L162" i="22"/>
  <c r="AB162" i="22"/>
  <c r="X162" i="22"/>
  <c r="AJ162" i="22"/>
  <c r="AK162" i="22"/>
  <c r="O162" i="22"/>
  <c r="AC162" i="22"/>
  <c r="K165" i="17"/>
  <c r="A166" i="17"/>
  <c r="L165" i="17"/>
  <c r="AB165" i="17"/>
  <c r="X165" i="17"/>
  <c r="O165" i="17"/>
  <c r="AJ165" i="17"/>
  <c r="AK165" i="17"/>
  <c r="AC165" i="17"/>
  <c r="A161" i="24"/>
  <c r="X160" i="24"/>
  <c r="AB160" i="24"/>
  <c r="K160" i="24"/>
  <c r="L160" i="24"/>
  <c r="AJ160" i="24"/>
  <c r="AK160" i="24"/>
  <c r="O160" i="24"/>
  <c r="AC160" i="24"/>
  <c r="S166" i="1"/>
  <c r="R166" i="1" s="1"/>
  <c r="P166" i="1" s="1"/>
  <c r="V166" i="1" s="1"/>
  <c r="A168" i="1"/>
  <c r="O167" i="1"/>
  <c r="AJ167" i="1"/>
  <c r="AB167" i="1"/>
  <c r="AK167" i="1"/>
  <c r="L167" i="1"/>
  <c r="K167" i="1"/>
  <c r="AC167" i="1"/>
  <c r="X167" i="1"/>
  <c r="Q167" i="1"/>
  <c r="U167" i="1"/>
  <c r="T167" i="1" s="1"/>
  <c r="AB167" i="15" l="1"/>
  <c r="O167" i="15"/>
  <c r="K167" i="15"/>
  <c r="AJ167" i="15"/>
  <c r="L167" i="15"/>
  <c r="D167" i="15" s="1"/>
  <c r="AK167" i="15"/>
  <c r="X167" i="15"/>
  <c r="A168" i="15"/>
  <c r="AC167" i="15"/>
  <c r="X166" i="16"/>
  <c r="A167" i="16"/>
  <c r="AJ166" i="16"/>
  <c r="AC166" i="16"/>
  <c r="AB166" i="16"/>
  <c r="K166" i="16"/>
  <c r="L166" i="16"/>
  <c r="D166" i="16" s="1"/>
  <c r="AK166" i="16"/>
  <c r="O166" i="16"/>
  <c r="E165" i="16"/>
  <c r="F166" i="1"/>
  <c r="S167" i="1"/>
  <c r="R167" i="1" s="1"/>
  <c r="P167" i="1" s="1"/>
  <c r="V167" i="1" s="1"/>
  <c r="O168" i="1"/>
  <c r="L168" i="1"/>
  <c r="AJ168" i="1"/>
  <c r="AB168" i="1"/>
  <c r="A169" i="1"/>
  <c r="K168" i="1"/>
  <c r="AC168" i="1"/>
  <c r="AK168" i="1"/>
  <c r="Q168" i="1"/>
  <c r="X168" i="1"/>
  <c r="U168" i="1"/>
  <c r="T168" i="1" s="1"/>
  <c r="AB161" i="24"/>
  <c r="X161" i="24"/>
  <c r="A162" i="24"/>
  <c r="K161" i="24"/>
  <c r="L161" i="24"/>
  <c r="AK161" i="24"/>
  <c r="AJ161" i="24"/>
  <c r="O161" i="24"/>
  <c r="AC161" i="24"/>
  <c r="X166" i="17"/>
  <c r="A167" i="17"/>
  <c r="AB166" i="17"/>
  <c r="L166" i="17"/>
  <c r="K166" i="17"/>
  <c r="AJ166" i="17"/>
  <c r="AK166" i="17"/>
  <c r="O166" i="17"/>
  <c r="AC166" i="17"/>
  <c r="X163" i="22"/>
  <c r="A164" i="22"/>
  <c r="L163" i="22"/>
  <c r="AB163" i="22"/>
  <c r="K163" i="22"/>
  <c r="AJ163" i="22"/>
  <c r="AK163" i="22"/>
  <c r="O163" i="22"/>
  <c r="AC163" i="22"/>
  <c r="I165" i="1"/>
  <c r="AA165" i="1"/>
  <c r="Z165" i="1" s="1"/>
  <c r="Y165" i="1" s="1"/>
  <c r="G165" i="1"/>
  <c r="BW165" i="6" s="1"/>
  <c r="D167" i="1"/>
  <c r="E167" i="1" s="1"/>
  <c r="X160" i="25"/>
  <c r="A161" i="25"/>
  <c r="AB160" i="25"/>
  <c r="L160" i="25"/>
  <c r="K160" i="25"/>
  <c r="AJ160" i="25"/>
  <c r="O160" i="25"/>
  <c r="AK160" i="25"/>
  <c r="AC160" i="25"/>
  <c r="A163" i="23"/>
  <c r="X162" i="23"/>
  <c r="K162" i="23"/>
  <c r="L162" i="23"/>
  <c r="AB162" i="23"/>
  <c r="AJ162" i="23"/>
  <c r="AK162" i="23"/>
  <c r="O162" i="23"/>
  <c r="AC162" i="23"/>
  <c r="K164" i="20"/>
  <c r="AB164" i="20"/>
  <c r="L164" i="20"/>
  <c r="A165" i="20"/>
  <c r="X164" i="20"/>
  <c r="AJ164" i="20"/>
  <c r="AK164" i="20"/>
  <c r="O164" i="20"/>
  <c r="AC164" i="20"/>
  <c r="X165" i="18"/>
  <c r="K165" i="18"/>
  <c r="L165" i="18"/>
  <c r="A166" i="18"/>
  <c r="AJ165" i="18"/>
  <c r="AB165" i="18"/>
  <c r="AK165" i="18"/>
  <c r="O165" i="18"/>
  <c r="AC165" i="18"/>
  <c r="K168" i="15" l="1"/>
  <c r="AK168" i="15"/>
  <c r="A169" i="15"/>
  <c r="X168" i="15"/>
  <c r="AC168" i="15"/>
  <c r="AB168" i="15"/>
  <c r="O168" i="15"/>
  <c r="L168" i="15"/>
  <c r="D168" i="15" s="1"/>
  <c r="AJ168" i="15"/>
  <c r="E167" i="15"/>
  <c r="E166" i="16"/>
  <c r="X167" i="16"/>
  <c r="K167" i="16"/>
  <c r="AJ167" i="16"/>
  <c r="AC167" i="16"/>
  <c r="AB167" i="16"/>
  <c r="L167" i="16"/>
  <c r="D167" i="16" s="1"/>
  <c r="A168" i="16"/>
  <c r="AK167" i="16"/>
  <c r="O167" i="16"/>
  <c r="X165" i="20"/>
  <c r="AB165" i="20"/>
  <c r="K165" i="20"/>
  <c r="L165" i="20"/>
  <c r="A166" i="20"/>
  <c r="AJ165" i="20"/>
  <c r="AK165" i="20"/>
  <c r="O165" i="20"/>
  <c r="AC165" i="20"/>
  <c r="AB163" i="23"/>
  <c r="A164" i="23"/>
  <c r="K163" i="23"/>
  <c r="X163" i="23"/>
  <c r="L163" i="23"/>
  <c r="AJ163" i="23"/>
  <c r="AK163" i="23"/>
  <c r="O163" i="23"/>
  <c r="AC163" i="23"/>
  <c r="K161" i="25"/>
  <c r="L161" i="25"/>
  <c r="X161" i="25"/>
  <c r="A162" i="25"/>
  <c r="AB161" i="25"/>
  <c r="AJ161" i="25"/>
  <c r="O161" i="25"/>
  <c r="AK161" i="25"/>
  <c r="AC161" i="25"/>
  <c r="K167" i="17"/>
  <c r="A168" i="17"/>
  <c r="X167" i="17"/>
  <c r="AB167" i="17"/>
  <c r="L167" i="17"/>
  <c r="AJ167" i="17"/>
  <c r="O167" i="17"/>
  <c r="AK167" i="17"/>
  <c r="AC167" i="17"/>
  <c r="S168" i="1"/>
  <c r="R168" i="1" s="1"/>
  <c r="P168" i="1" s="1"/>
  <c r="V168" i="1" s="1"/>
  <c r="AJ169" i="1"/>
  <c r="X169" i="1"/>
  <c r="Q169" i="1"/>
  <c r="AB169" i="1"/>
  <c r="L169" i="1"/>
  <c r="AK169" i="1"/>
  <c r="AC169" i="1"/>
  <c r="A170" i="1"/>
  <c r="K169" i="1"/>
  <c r="O169" i="1"/>
  <c r="U169" i="1"/>
  <c r="A167" i="18"/>
  <c r="AJ166" i="18"/>
  <c r="K166" i="18"/>
  <c r="X166" i="18"/>
  <c r="AB166" i="18"/>
  <c r="L166" i="18"/>
  <c r="O166" i="18"/>
  <c r="AK166" i="18"/>
  <c r="AC166" i="18"/>
  <c r="F167" i="1"/>
  <c r="K164" i="22"/>
  <c r="AB164" i="22"/>
  <c r="X164" i="22"/>
  <c r="A165" i="22"/>
  <c r="L164" i="22"/>
  <c r="AK164" i="22"/>
  <c r="AJ164" i="22"/>
  <c r="O164" i="22"/>
  <c r="AC164" i="22"/>
  <c r="X162" i="24"/>
  <c r="K162" i="24"/>
  <c r="AB162" i="24"/>
  <c r="A163" i="24"/>
  <c r="L162" i="24"/>
  <c r="AJ162" i="24"/>
  <c r="AK162" i="24"/>
  <c r="O162" i="24"/>
  <c r="AC162" i="24"/>
  <c r="D168" i="1"/>
  <c r="E168" i="1" s="1"/>
  <c r="G166" i="1"/>
  <c r="BW166" i="6" s="1"/>
  <c r="AA166" i="1"/>
  <c r="Z166" i="1" s="1"/>
  <c r="Y166" i="1" s="1"/>
  <c r="I166" i="1"/>
  <c r="E167" i="16" l="1"/>
  <c r="E168" i="15"/>
  <c r="A170" i="15"/>
  <c r="AJ169" i="15"/>
  <c r="X169" i="15"/>
  <c r="AK169" i="15"/>
  <c r="AB169" i="15"/>
  <c r="L169" i="15"/>
  <c r="D169" i="15" s="1"/>
  <c r="AC169" i="15"/>
  <c r="K169" i="15"/>
  <c r="O169" i="15"/>
  <c r="L168" i="16"/>
  <c r="D168" i="16" s="1"/>
  <c r="X168" i="16"/>
  <c r="K168" i="16"/>
  <c r="AK168" i="16"/>
  <c r="O168" i="16"/>
  <c r="AB168" i="16"/>
  <c r="A169" i="16"/>
  <c r="AJ168" i="16"/>
  <c r="AC168" i="16"/>
  <c r="F168" i="1"/>
  <c r="L163" i="24"/>
  <c r="K163" i="24"/>
  <c r="AB163" i="24"/>
  <c r="A164" i="24"/>
  <c r="X163" i="24"/>
  <c r="AK163" i="24"/>
  <c r="AJ163" i="24"/>
  <c r="O163" i="24"/>
  <c r="AC163" i="24"/>
  <c r="T169" i="1"/>
  <c r="D169" i="1"/>
  <c r="E169" i="1" s="1"/>
  <c r="AB168" i="17"/>
  <c r="X168" i="17"/>
  <c r="K168" i="17"/>
  <c r="A169" i="17"/>
  <c r="L168" i="17"/>
  <c r="O168" i="17"/>
  <c r="AK168" i="17"/>
  <c r="AJ168" i="17"/>
  <c r="AC168" i="17"/>
  <c r="X164" i="23"/>
  <c r="A165" i="23"/>
  <c r="L164" i="23"/>
  <c r="K164" i="23"/>
  <c r="AB164" i="23"/>
  <c r="AJ164" i="23"/>
  <c r="AK164" i="23"/>
  <c r="O164" i="23"/>
  <c r="AC164" i="23"/>
  <c r="AB166" i="20"/>
  <c r="K166" i="20"/>
  <c r="X166" i="20"/>
  <c r="A167" i="20"/>
  <c r="L166" i="20"/>
  <c r="AJ166" i="20"/>
  <c r="AK166" i="20"/>
  <c r="O166" i="20"/>
  <c r="AC166" i="20"/>
  <c r="K165" i="22"/>
  <c r="A166" i="22"/>
  <c r="L165" i="22"/>
  <c r="AB165" i="22"/>
  <c r="X165" i="22"/>
  <c r="AJ165" i="22"/>
  <c r="AK165" i="22"/>
  <c r="O165" i="22"/>
  <c r="AC165" i="22"/>
  <c r="AA167" i="1"/>
  <c r="Z167" i="1" s="1"/>
  <c r="Y167" i="1" s="1"/>
  <c r="I167" i="1"/>
  <c r="G167" i="1"/>
  <c r="BW167" i="6" s="1"/>
  <c r="A168" i="18"/>
  <c r="K167" i="18"/>
  <c r="AJ167" i="18"/>
  <c r="AB167" i="18"/>
  <c r="L167" i="18"/>
  <c r="X167" i="18"/>
  <c r="AK167" i="18"/>
  <c r="O167" i="18"/>
  <c r="AC167" i="18"/>
  <c r="AK170" i="1"/>
  <c r="K170" i="1"/>
  <c r="X170" i="1"/>
  <c r="O170" i="1"/>
  <c r="Q170" i="1"/>
  <c r="A171" i="1"/>
  <c r="AJ170" i="1"/>
  <c r="AC170" i="1"/>
  <c r="L170" i="1"/>
  <c r="AB170" i="1"/>
  <c r="U170" i="1"/>
  <c r="T170" i="1" s="1"/>
  <c r="L162" i="25"/>
  <c r="K162" i="25"/>
  <c r="AB162" i="25"/>
  <c r="A163" i="25"/>
  <c r="X162" i="25"/>
  <c r="AJ162" i="25"/>
  <c r="AK162" i="25"/>
  <c r="O162" i="25"/>
  <c r="AC162" i="25"/>
  <c r="E169" i="15" l="1"/>
  <c r="A171" i="15"/>
  <c r="AJ170" i="15"/>
  <c r="X170" i="15"/>
  <c r="AK170" i="15"/>
  <c r="K170" i="15"/>
  <c r="AB170" i="15"/>
  <c r="AC170" i="15"/>
  <c r="L170" i="15"/>
  <c r="D170" i="15" s="1"/>
  <c r="O170" i="15"/>
  <c r="A170" i="16"/>
  <c r="K169" i="16"/>
  <c r="AK169" i="16"/>
  <c r="AC169" i="16"/>
  <c r="L169" i="16"/>
  <c r="D169" i="16" s="1"/>
  <c r="X169" i="16"/>
  <c r="AB169" i="16"/>
  <c r="AJ169" i="16"/>
  <c r="O169" i="16"/>
  <c r="E168" i="16"/>
  <c r="AC171" i="1"/>
  <c r="A172" i="1"/>
  <c r="L171" i="1"/>
  <c r="Q171" i="1"/>
  <c r="O171" i="1"/>
  <c r="K171" i="1"/>
  <c r="AK171" i="1"/>
  <c r="AJ171" i="1"/>
  <c r="AB171" i="1"/>
  <c r="X171" i="1"/>
  <c r="U171" i="1"/>
  <c r="AB168" i="18"/>
  <c r="AJ168" i="18"/>
  <c r="K168" i="18"/>
  <c r="X168" i="18"/>
  <c r="A169" i="18"/>
  <c r="L168" i="18"/>
  <c r="O168" i="18"/>
  <c r="AK168" i="18"/>
  <c r="AC168" i="18"/>
  <c r="A167" i="22"/>
  <c r="L166" i="22"/>
  <c r="K166" i="22"/>
  <c r="AB166" i="22"/>
  <c r="X166" i="22"/>
  <c r="AJ166" i="22"/>
  <c r="AK166" i="22"/>
  <c r="O166" i="22"/>
  <c r="AC166" i="22"/>
  <c r="A166" i="23"/>
  <c r="AB165" i="23"/>
  <c r="K165" i="23"/>
  <c r="L165" i="23"/>
  <c r="X165" i="23"/>
  <c r="AJ165" i="23"/>
  <c r="AK165" i="23"/>
  <c r="O165" i="23"/>
  <c r="AC165" i="23"/>
  <c r="K169" i="17"/>
  <c r="AB169" i="17"/>
  <c r="X169" i="17"/>
  <c r="L169" i="17"/>
  <c r="A170" i="17"/>
  <c r="AJ169" i="17"/>
  <c r="O169" i="17"/>
  <c r="AK169" i="17"/>
  <c r="AC169" i="17"/>
  <c r="AB163" i="25"/>
  <c r="A164" i="25"/>
  <c r="X163" i="25"/>
  <c r="K163" i="25"/>
  <c r="L163" i="25"/>
  <c r="AJ163" i="25"/>
  <c r="AK163" i="25"/>
  <c r="O163" i="25"/>
  <c r="AC163" i="25"/>
  <c r="S170" i="1"/>
  <c r="R170" i="1" s="1"/>
  <c r="P170" i="1" s="1"/>
  <c r="V170" i="1" s="1"/>
  <c r="D170" i="1"/>
  <c r="E170" i="1" s="1"/>
  <c r="K167" i="20"/>
  <c r="AB167" i="20"/>
  <c r="L167" i="20"/>
  <c r="A168" i="20"/>
  <c r="X167" i="20"/>
  <c r="AK167" i="20"/>
  <c r="AJ167" i="20"/>
  <c r="O167" i="20"/>
  <c r="AC167" i="20"/>
  <c r="S169" i="1"/>
  <c r="R169" i="1" s="1"/>
  <c r="P169" i="1" s="1"/>
  <c r="V169" i="1" s="1"/>
  <c r="AB164" i="24"/>
  <c r="L164" i="24"/>
  <c r="X164" i="24"/>
  <c r="K164" i="24"/>
  <c r="A165" i="24"/>
  <c r="AK164" i="24"/>
  <c r="AJ164" i="24"/>
  <c r="O164" i="24"/>
  <c r="AC164" i="24"/>
  <c r="I168" i="1"/>
  <c r="G168" i="1"/>
  <c r="BW168" i="6" s="1"/>
  <c r="AA168" i="1"/>
  <c r="Z168" i="1" s="1"/>
  <c r="Y168" i="1" s="1"/>
  <c r="E170" i="15" l="1"/>
  <c r="K171" i="15"/>
  <c r="AB171" i="15"/>
  <c r="O171" i="15"/>
  <c r="X171" i="15"/>
  <c r="AC171" i="15"/>
  <c r="L171" i="15"/>
  <c r="D171" i="15" s="1"/>
  <c r="AJ171" i="15"/>
  <c r="A172" i="15"/>
  <c r="AK171" i="15"/>
  <c r="F169" i="1"/>
  <c r="G169" i="1" s="1"/>
  <c r="BW169" i="6" s="1"/>
  <c r="E169" i="16"/>
  <c r="K170" i="16"/>
  <c r="L170" i="16"/>
  <c r="D170" i="16" s="1"/>
  <c r="AJ170" i="16"/>
  <c r="AC170" i="16"/>
  <c r="A171" i="16"/>
  <c r="X170" i="16"/>
  <c r="AB170" i="16"/>
  <c r="AK170" i="16"/>
  <c r="O170" i="16"/>
  <c r="X170" i="17"/>
  <c r="A171" i="17"/>
  <c r="L170" i="17"/>
  <c r="K170" i="17"/>
  <c r="AB170" i="17"/>
  <c r="AJ170" i="17"/>
  <c r="O170" i="17"/>
  <c r="AK170" i="17"/>
  <c r="AC170" i="17"/>
  <c r="A167" i="23"/>
  <c r="L166" i="23"/>
  <c r="K166" i="23"/>
  <c r="X166" i="23"/>
  <c r="AB166" i="23"/>
  <c r="AJ166" i="23"/>
  <c r="AK166" i="23"/>
  <c r="O166" i="23"/>
  <c r="AC166" i="23"/>
  <c r="K169" i="18"/>
  <c r="AJ169" i="18"/>
  <c r="X169" i="18"/>
  <c r="A170" i="18"/>
  <c r="L169" i="18"/>
  <c r="AB169" i="18"/>
  <c r="AK169" i="18"/>
  <c r="O169" i="18"/>
  <c r="AC169" i="18"/>
  <c r="K172" i="1"/>
  <c r="AJ172" i="1"/>
  <c r="AB172" i="1"/>
  <c r="A173" i="1"/>
  <c r="L172" i="1"/>
  <c r="O172" i="1"/>
  <c r="AK172" i="1"/>
  <c r="Q172" i="1"/>
  <c r="X172" i="1"/>
  <c r="AC172" i="1"/>
  <c r="U172" i="1"/>
  <c r="T172" i="1" s="1"/>
  <c r="S172" i="1" s="1"/>
  <c r="R172" i="1" s="1"/>
  <c r="K165" i="24"/>
  <c r="X165" i="24"/>
  <c r="A166" i="24"/>
  <c r="L165" i="24"/>
  <c r="AB165" i="24"/>
  <c r="AJ165" i="24"/>
  <c r="AK165" i="24"/>
  <c r="O165" i="24"/>
  <c r="AC165" i="24"/>
  <c r="A169" i="20"/>
  <c r="X168" i="20"/>
  <c r="K168" i="20"/>
  <c r="AB168" i="20"/>
  <c r="L168" i="20"/>
  <c r="AK168" i="20"/>
  <c r="AJ168" i="20"/>
  <c r="O168" i="20"/>
  <c r="AC168" i="20"/>
  <c r="F170" i="1"/>
  <c r="A165" i="25"/>
  <c r="AB164" i="25"/>
  <c r="L164" i="25"/>
  <c r="X164" i="25"/>
  <c r="K164" i="25"/>
  <c r="AJ164" i="25"/>
  <c r="O164" i="25"/>
  <c r="AK164" i="25"/>
  <c r="AC164" i="25"/>
  <c r="K167" i="22"/>
  <c r="L167" i="22"/>
  <c r="AB167" i="22"/>
  <c r="X167" i="22"/>
  <c r="A168" i="22"/>
  <c r="AJ167" i="22"/>
  <c r="AK167" i="22"/>
  <c r="O167" i="22"/>
  <c r="AC167" i="22"/>
  <c r="T171" i="1"/>
  <c r="D171" i="1"/>
  <c r="E171" i="1" s="1"/>
  <c r="P172" i="1" l="1"/>
  <c r="V172" i="1" s="1"/>
  <c r="I169" i="1"/>
  <c r="E171" i="15"/>
  <c r="X172" i="15"/>
  <c r="O172" i="15"/>
  <c r="L172" i="15"/>
  <c r="D172" i="15" s="1"/>
  <c r="AK172" i="15"/>
  <c r="A173" i="15"/>
  <c r="AJ172" i="15"/>
  <c r="AB172" i="15"/>
  <c r="K172" i="15"/>
  <c r="AC172" i="15"/>
  <c r="AA169" i="1"/>
  <c r="Z169" i="1" s="1"/>
  <c r="Y169" i="1" s="1"/>
  <c r="A172" i="16"/>
  <c r="AB171" i="16"/>
  <c r="AK171" i="16"/>
  <c r="AC171" i="16"/>
  <c r="K171" i="16"/>
  <c r="L171" i="16"/>
  <c r="D171" i="16" s="1"/>
  <c r="X171" i="16"/>
  <c r="AJ171" i="16"/>
  <c r="O171" i="16"/>
  <c r="E170" i="16"/>
  <c r="A169" i="22"/>
  <c r="L168" i="22"/>
  <c r="X168" i="22"/>
  <c r="AB168" i="22"/>
  <c r="K168" i="22"/>
  <c r="AK168" i="22"/>
  <c r="AJ168" i="22"/>
  <c r="O168" i="22"/>
  <c r="AC168" i="22"/>
  <c r="A166" i="25"/>
  <c r="AB165" i="25"/>
  <c r="L165" i="25"/>
  <c r="K165" i="25"/>
  <c r="X165" i="25"/>
  <c r="AJ165" i="25"/>
  <c r="AK165" i="25"/>
  <c r="O165" i="25"/>
  <c r="AC165" i="25"/>
  <c r="X169" i="20"/>
  <c r="AB169" i="20"/>
  <c r="K169" i="20"/>
  <c r="L169" i="20"/>
  <c r="A170" i="20"/>
  <c r="AJ169" i="20"/>
  <c r="AK169" i="20"/>
  <c r="O169" i="20"/>
  <c r="AC169" i="20"/>
  <c r="D172" i="1"/>
  <c r="E172" i="1" s="1"/>
  <c r="X170" i="18"/>
  <c r="L170" i="18"/>
  <c r="K170" i="18"/>
  <c r="A171" i="18"/>
  <c r="AB170" i="18"/>
  <c r="AJ170" i="18"/>
  <c r="O170" i="18"/>
  <c r="AK170" i="18"/>
  <c r="AC170" i="18"/>
  <c r="K167" i="23"/>
  <c r="AB167" i="23"/>
  <c r="X167" i="23"/>
  <c r="L167" i="23"/>
  <c r="A168" i="23"/>
  <c r="AK167" i="23"/>
  <c r="AJ167" i="23"/>
  <c r="O167" i="23"/>
  <c r="AC167" i="23"/>
  <c r="S171" i="1"/>
  <c r="R171" i="1" s="1"/>
  <c r="P171" i="1" s="1"/>
  <c r="I170" i="1"/>
  <c r="G170" i="1"/>
  <c r="BW170" i="6" s="1"/>
  <c r="AA170" i="1"/>
  <c r="Z170" i="1" s="1"/>
  <c r="Y170" i="1" s="1"/>
  <c r="K166" i="24"/>
  <c r="L166" i="24"/>
  <c r="A167" i="24"/>
  <c r="X166" i="24"/>
  <c r="AB166" i="24"/>
  <c r="AK166" i="24"/>
  <c r="AJ166" i="24"/>
  <c r="O166" i="24"/>
  <c r="AC166" i="24"/>
  <c r="AB173" i="1"/>
  <c r="AC173" i="1"/>
  <c r="O173" i="1"/>
  <c r="AJ173" i="1"/>
  <c r="K173" i="1"/>
  <c r="L173" i="1"/>
  <c r="AK173" i="1"/>
  <c r="A174" i="1"/>
  <c r="X173" i="1"/>
  <c r="Q173" i="1"/>
  <c r="U173" i="1"/>
  <c r="T173" i="1" s="1"/>
  <c r="AB171" i="17"/>
  <c r="X171" i="17"/>
  <c r="A172" i="17"/>
  <c r="L171" i="17"/>
  <c r="K171" i="17"/>
  <c r="AJ171" i="17"/>
  <c r="O171" i="17"/>
  <c r="AK171" i="17"/>
  <c r="AC171" i="17"/>
  <c r="A174" i="15" l="1"/>
  <c r="K173" i="15"/>
  <c r="AC173" i="15"/>
  <c r="L173" i="15"/>
  <c r="D173" i="15" s="1"/>
  <c r="O173" i="15"/>
  <c r="X173" i="15"/>
  <c r="AJ173" i="15"/>
  <c r="AB173" i="15"/>
  <c r="AK173" i="15"/>
  <c r="E172" i="15"/>
  <c r="F172" i="1"/>
  <c r="AA172" i="1" s="1"/>
  <c r="Z172" i="1" s="1"/>
  <c r="Y172" i="1" s="1"/>
  <c r="E171" i="16"/>
  <c r="K172" i="16"/>
  <c r="X172" i="16"/>
  <c r="AJ172" i="16"/>
  <c r="L172" i="16"/>
  <c r="D172" i="16" s="1"/>
  <c r="AB172" i="16"/>
  <c r="A173" i="16"/>
  <c r="AK172" i="16"/>
  <c r="O172" i="16"/>
  <c r="AC172" i="16"/>
  <c r="V171" i="1"/>
  <c r="F171" i="1" s="1"/>
  <c r="S173" i="1"/>
  <c r="R173" i="1" s="1"/>
  <c r="P173" i="1" s="1"/>
  <c r="V173" i="1" s="1"/>
  <c r="A169" i="23"/>
  <c r="X168" i="23"/>
  <c r="K168" i="23"/>
  <c r="AB168" i="23"/>
  <c r="L168" i="23"/>
  <c r="AJ168" i="23"/>
  <c r="AK168" i="23"/>
  <c r="O168" i="23"/>
  <c r="AC168" i="23"/>
  <c r="A172" i="18"/>
  <c r="L171" i="18"/>
  <c r="K171" i="18"/>
  <c r="X171" i="18"/>
  <c r="AB171" i="18"/>
  <c r="AJ171" i="18"/>
  <c r="O171" i="18"/>
  <c r="AK171" i="18"/>
  <c r="AC171" i="18"/>
  <c r="X170" i="20"/>
  <c r="L170" i="20"/>
  <c r="A171" i="20"/>
  <c r="K170" i="20"/>
  <c r="AB170" i="20"/>
  <c r="AK170" i="20"/>
  <c r="AJ170" i="20"/>
  <c r="O170" i="20"/>
  <c r="AC170" i="20"/>
  <c r="AB172" i="17"/>
  <c r="X172" i="17"/>
  <c r="K172" i="17"/>
  <c r="A173" i="17"/>
  <c r="L172" i="17"/>
  <c r="AJ172" i="17"/>
  <c r="O172" i="17"/>
  <c r="AK172" i="17"/>
  <c r="AC172" i="17"/>
  <c r="L174" i="1"/>
  <c r="AB174" i="1"/>
  <c r="AK174" i="1"/>
  <c r="X174" i="1"/>
  <c r="Q174" i="1"/>
  <c r="A175" i="1"/>
  <c r="AJ174" i="1"/>
  <c r="O174" i="1"/>
  <c r="AC174" i="1"/>
  <c r="K174" i="1"/>
  <c r="U174" i="1"/>
  <c r="T174" i="1" s="1"/>
  <c r="S174" i="1" s="1"/>
  <c r="R174" i="1" s="1"/>
  <c r="P174" i="1" s="1"/>
  <c r="D173" i="1"/>
  <c r="E173" i="1" s="1"/>
  <c r="A168" i="24"/>
  <c r="X167" i="24"/>
  <c r="K167" i="24"/>
  <c r="L167" i="24"/>
  <c r="AB167" i="24"/>
  <c r="AJ167" i="24"/>
  <c r="AK167" i="24"/>
  <c r="O167" i="24"/>
  <c r="AC167" i="24"/>
  <c r="AB166" i="25"/>
  <c r="A167" i="25"/>
  <c r="K166" i="25"/>
  <c r="X166" i="25"/>
  <c r="L166" i="25"/>
  <c r="AJ166" i="25"/>
  <c r="AK166" i="25"/>
  <c r="O166" i="25"/>
  <c r="AC166" i="25"/>
  <c r="X169" i="22"/>
  <c r="A170" i="22"/>
  <c r="L169" i="22"/>
  <c r="AB169" i="22"/>
  <c r="K169" i="22"/>
  <c r="AJ169" i="22"/>
  <c r="AK169" i="22"/>
  <c r="O169" i="22"/>
  <c r="AC169" i="22"/>
  <c r="G172" i="1" l="1"/>
  <c r="BW172" i="6" s="1"/>
  <c r="E173" i="15"/>
  <c r="L174" i="15"/>
  <c r="D174" i="15" s="1"/>
  <c r="O174" i="15"/>
  <c r="X174" i="15"/>
  <c r="AK174" i="15"/>
  <c r="A175" i="15"/>
  <c r="AJ174" i="15"/>
  <c r="AB174" i="15"/>
  <c r="K174" i="15"/>
  <c r="AC174" i="15"/>
  <c r="I172" i="1"/>
  <c r="L173" i="16"/>
  <c r="D173" i="16" s="1"/>
  <c r="X173" i="16"/>
  <c r="A174" i="16"/>
  <c r="AK173" i="16"/>
  <c r="O173" i="16"/>
  <c r="AB173" i="16"/>
  <c r="K173" i="16"/>
  <c r="AJ173" i="16"/>
  <c r="AC173" i="16"/>
  <c r="E172" i="16"/>
  <c r="F173" i="1"/>
  <c r="K170" i="22"/>
  <c r="AB170" i="22"/>
  <c r="X170" i="22"/>
  <c r="L170" i="22"/>
  <c r="A171" i="22"/>
  <c r="AJ170" i="22"/>
  <c r="AK170" i="22"/>
  <c r="O170" i="22"/>
  <c r="AC170" i="22"/>
  <c r="K168" i="24"/>
  <c r="A169" i="24"/>
  <c r="X168" i="24"/>
  <c r="AB168" i="24"/>
  <c r="L168" i="24"/>
  <c r="AK168" i="24"/>
  <c r="AJ168" i="24"/>
  <c r="O168" i="24"/>
  <c r="AC168" i="24"/>
  <c r="X175" i="1"/>
  <c r="AC175" i="1"/>
  <c r="AK175" i="1"/>
  <c r="Q175" i="1"/>
  <c r="A176" i="1"/>
  <c r="K175" i="1"/>
  <c r="O175" i="1"/>
  <c r="AJ175" i="1"/>
  <c r="L175" i="1"/>
  <c r="AB175" i="1"/>
  <c r="U175" i="1"/>
  <c r="A170" i="23"/>
  <c r="L169" i="23"/>
  <c r="K169" i="23"/>
  <c r="X169" i="23"/>
  <c r="AB169" i="23"/>
  <c r="AJ169" i="23"/>
  <c r="AK169" i="23"/>
  <c r="O169" i="23"/>
  <c r="AC169" i="23"/>
  <c r="I171" i="1"/>
  <c r="AA171" i="1"/>
  <c r="Z171" i="1" s="1"/>
  <c r="Y171" i="1" s="1"/>
  <c r="G171" i="1"/>
  <c r="BW171" i="6" s="1"/>
  <c r="A168" i="25"/>
  <c r="AB167" i="25"/>
  <c r="L167" i="25"/>
  <c r="K167" i="25"/>
  <c r="X167" i="25"/>
  <c r="AJ167" i="25"/>
  <c r="O167" i="25"/>
  <c r="AK167" i="25"/>
  <c r="AC167" i="25"/>
  <c r="D174" i="1"/>
  <c r="E174" i="1" s="1"/>
  <c r="V174" i="1"/>
  <c r="X173" i="17"/>
  <c r="A174" i="17"/>
  <c r="AB173" i="17"/>
  <c r="K173" i="17"/>
  <c r="L173" i="17"/>
  <c r="O173" i="17"/>
  <c r="AK173" i="17"/>
  <c r="AJ173" i="17"/>
  <c r="AC173" i="17"/>
  <c r="X171" i="20"/>
  <c r="A172" i="20"/>
  <c r="L171" i="20"/>
  <c r="K171" i="20"/>
  <c r="AB171" i="20"/>
  <c r="AJ171" i="20"/>
  <c r="AK171" i="20"/>
  <c r="O171" i="20"/>
  <c r="AC171" i="20"/>
  <c r="K172" i="18"/>
  <c r="L172" i="18"/>
  <c r="X172" i="18"/>
  <c r="A173" i="18"/>
  <c r="AB172" i="18"/>
  <c r="AJ172" i="18"/>
  <c r="O172" i="18"/>
  <c r="AK172" i="18"/>
  <c r="AC172" i="18"/>
  <c r="L175" i="15" l="1"/>
  <c r="D175" i="15" s="1"/>
  <c r="K175" i="15"/>
  <c r="AC175" i="15"/>
  <c r="O175" i="15"/>
  <c r="AK175" i="15"/>
  <c r="A176" i="15"/>
  <c r="AJ175" i="15"/>
  <c r="X175" i="15"/>
  <c r="AB175" i="15"/>
  <c r="E174" i="15"/>
  <c r="X174" i="16"/>
  <c r="AB174" i="16"/>
  <c r="AK174" i="16"/>
  <c r="AC174" i="16"/>
  <c r="A175" i="16"/>
  <c r="L174" i="16"/>
  <c r="D174" i="16" s="1"/>
  <c r="K174" i="16"/>
  <c r="AJ174" i="16"/>
  <c r="O174" i="16"/>
  <c r="E173" i="16"/>
  <c r="A174" i="18"/>
  <c r="AB173" i="18"/>
  <c r="K173" i="18"/>
  <c r="X173" i="18"/>
  <c r="AJ173" i="18"/>
  <c r="L173" i="18"/>
  <c r="O173" i="18"/>
  <c r="AK173" i="18"/>
  <c r="AC173" i="18"/>
  <c r="A175" i="17"/>
  <c r="X174" i="17"/>
  <c r="K174" i="17"/>
  <c r="L174" i="17"/>
  <c r="AB174" i="17"/>
  <c r="AJ174" i="17"/>
  <c r="AK174" i="17"/>
  <c r="O174" i="17"/>
  <c r="AC174" i="17"/>
  <c r="AB168" i="25"/>
  <c r="X168" i="25"/>
  <c r="A169" i="25"/>
  <c r="K168" i="25"/>
  <c r="L168" i="25"/>
  <c r="AJ168" i="25"/>
  <c r="O168" i="25"/>
  <c r="AK168" i="25"/>
  <c r="AC168" i="25"/>
  <c r="F174" i="1"/>
  <c r="A170" i="24"/>
  <c r="L169" i="24"/>
  <c r="AB169" i="24"/>
  <c r="X169" i="24"/>
  <c r="K169" i="24"/>
  <c r="AJ169" i="24"/>
  <c r="AK169" i="24"/>
  <c r="O169" i="24"/>
  <c r="AC169" i="24"/>
  <c r="K171" i="22"/>
  <c r="AB171" i="22"/>
  <c r="L171" i="22"/>
  <c r="X171" i="22"/>
  <c r="A172" i="22"/>
  <c r="AJ171" i="22"/>
  <c r="AK171" i="22"/>
  <c r="O171" i="22"/>
  <c r="AC171" i="22"/>
  <c r="X172" i="20"/>
  <c r="A173" i="20"/>
  <c r="AB172" i="20"/>
  <c r="L172" i="20"/>
  <c r="K172" i="20"/>
  <c r="AK172" i="20"/>
  <c r="AJ172" i="20"/>
  <c r="O172" i="20"/>
  <c r="AC172" i="20"/>
  <c r="X170" i="23"/>
  <c r="AB170" i="23"/>
  <c r="K170" i="23"/>
  <c r="L170" i="23"/>
  <c r="A171" i="23"/>
  <c r="AK170" i="23"/>
  <c r="AJ170" i="23"/>
  <c r="O170" i="23"/>
  <c r="AC170" i="23"/>
  <c r="T175" i="1"/>
  <c r="S175" i="1" s="1"/>
  <c r="R175" i="1" s="1"/>
  <c r="P175" i="1" s="1"/>
  <c r="V175" i="1" s="1"/>
  <c r="D175" i="1"/>
  <c r="E175" i="1" s="1"/>
  <c r="AJ176" i="1"/>
  <c r="X176" i="1"/>
  <c r="L176" i="1"/>
  <c r="AC176" i="1"/>
  <c r="Q176" i="1"/>
  <c r="A177" i="1"/>
  <c r="AB176" i="1"/>
  <c r="O176" i="1"/>
  <c r="AK176" i="1"/>
  <c r="K176" i="1"/>
  <c r="U176" i="1"/>
  <c r="T176" i="1" s="1"/>
  <c r="G173" i="1"/>
  <c r="BW173" i="6" s="1"/>
  <c r="I173" i="1"/>
  <c r="AA173" i="1"/>
  <c r="Z173" i="1" s="1"/>
  <c r="Y173" i="1" s="1"/>
  <c r="E174" i="16" l="1"/>
  <c r="E175" i="15"/>
  <c r="L176" i="15"/>
  <c r="D176" i="15" s="1"/>
  <c r="O176" i="15"/>
  <c r="A177" i="15"/>
  <c r="AK176" i="15"/>
  <c r="X176" i="15"/>
  <c r="AJ176" i="15"/>
  <c r="K176" i="15"/>
  <c r="AB176" i="15"/>
  <c r="AC176" i="15"/>
  <c r="A176" i="16"/>
  <c r="K175" i="16"/>
  <c r="AB175" i="16"/>
  <c r="AK175" i="16"/>
  <c r="O175" i="16"/>
  <c r="L175" i="16"/>
  <c r="D175" i="16" s="1"/>
  <c r="X175" i="16"/>
  <c r="AJ175" i="16"/>
  <c r="AC175" i="16"/>
  <c r="S176" i="1"/>
  <c r="R176" i="1" s="1"/>
  <c r="P176" i="1" s="1"/>
  <c r="V176" i="1" s="1"/>
  <c r="D176" i="1"/>
  <c r="E176" i="1" s="1"/>
  <c r="F175" i="1"/>
  <c r="X170" i="24"/>
  <c r="L170" i="24"/>
  <c r="A171" i="24"/>
  <c r="K170" i="24"/>
  <c r="AB170" i="24"/>
  <c r="AK170" i="24"/>
  <c r="AJ170" i="24"/>
  <c r="O170" i="24"/>
  <c r="AC170" i="24"/>
  <c r="X175" i="17"/>
  <c r="AB175" i="17"/>
  <c r="K175" i="17"/>
  <c r="A176" i="17"/>
  <c r="L175" i="17"/>
  <c r="AJ175" i="17"/>
  <c r="O175" i="17"/>
  <c r="AK175" i="17"/>
  <c r="AC175" i="17"/>
  <c r="K174" i="18"/>
  <c r="L174" i="18"/>
  <c r="AB174" i="18"/>
  <c r="X174" i="18"/>
  <c r="A175" i="18"/>
  <c r="AJ174" i="18"/>
  <c r="O174" i="18"/>
  <c r="AK174" i="18"/>
  <c r="AC174" i="18"/>
  <c r="A178" i="1"/>
  <c r="AC177" i="1"/>
  <c r="Q177" i="1"/>
  <c r="AK177" i="1"/>
  <c r="O177" i="1"/>
  <c r="X177" i="1"/>
  <c r="K177" i="1"/>
  <c r="AJ177" i="1"/>
  <c r="L177" i="1"/>
  <c r="AB177" i="1"/>
  <c r="U177" i="1"/>
  <c r="T177" i="1" s="1"/>
  <c r="S177" i="1" s="1"/>
  <c r="R177" i="1" s="1"/>
  <c r="K171" i="23"/>
  <c r="X171" i="23"/>
  <c r="A172" i="23"/>
  <c r="L171" i="23"/>
  <c r="AB171" i="23"/>
  <c r="AJ171" i="23"/>
  <c r="AK171" i="23"/>
  <c r="O171" i="23"/>
  <c r="AC171" i="23"/>
  <c r="A174" i="20"/>
  <c r="X173" i="20"/>
  <c r="AB173" i="20"/>
  <c r="K173" i="20"/>
  <c r="L173" i="20"/>
  <c r="AJ173" i="20"/>
  <c r="AK173" i="20"/>
  <c r="O173" i="20"/>
  <c r="AC173" i="20"/>
  <c r="AB172" i="22"/>
  <c r="L172" i="22"/>
  <c r="A173" i="22"/>
  <c r="X172" i="22"/>
  <c r="K172" i="22"/>
  <c r="AJ172" i="22"/>
  <c r="AK172" i="22"/>
  <c r="O172" i="22"/>
  <c r="AC172" i="22"/>
  <c r="AA174" i="1"/>
  <c r="Z174" i="1" s="1"/>
  <c r="Y174" i="1" s="1"/>
  <c r="I174" i="1"/>
  <c r="G174" i="1"/>
  <c r="BW174" i="6" s="1"/>
  <c r="K169" i="25"/>
  <c r="X169" i="25"/>
  <c r="AB169" i="25"/>
  <c r="A170" i="25"/>
  <c r="L169" i="25"/>
  <c r="AJ169" i="25"/>
  <c r="O169" i="25"/>
  <c r="AK169" i="25"/>
  <c r="AC169" i="25"/>
  <c r="P177" i="1" l="1"/>
  <c r="V177" i="1" s="1"/>
  <c r="E176" i="15"/>
  <c r="X177" i="15"/>
  <c r="AK177" i="15"/>
  <c r="K177" i="15"/>
  <c r="AB177" i="15"/>
  <c r="AC177" i="15"/>
  <c r="A178" i="15"/>
  <c r="O177" i="15"/>
  <c r="L177" i="15"/>
  <c r="D177" i="15" s="1"/>
  <c r="AJ177" i="15"/>
  <c r="L176" i="16"/>
  <c r="D176" i="16" s="1"/>
  <c r="K176" i="16"/>
  <c r="AK176" i="16"/>
  <c r="AC176" i="16"/>
  <c r="X176" i="16"/>
  <c r="A177" i="16"/>
  <c r="AB176" i="16"/>
  <c r="AJ176" i="16"/>
  <c r="O176" i="16"/>
  <c r="E175" i="16"/>
  <c r="AB173" i="22"/>
  <c r="K173" i="22"/>
  <c r="A174" i="22"/>
  <c r="X173" i="22"/>
  <c r="L173" i="22"/>
  <c r="AJ173" i="22"/>
  <c r="AK173" i="22"/>
  <c r="O173" i="22"/>
  <c r="AC173" i="22"/>
  <c r="AB172" i="23"/>
  <c r="A173" i="23"/>
  <c r="L172" i="23"/>
  <c r="K172" i="23"/>
  <c r="X172" i="23"/>
  <c r="AJ172" i="23"/>
  <c r="AK172" i="23"/>
  <c r="O172" i="23"/>
  <c r="AC172" i="23"/>
  <c r="F176" i="1"/>
  <c r="K171" i="24"/>
  <c r="A172" i="24"/>
  <c r="AB171" i="24"/>
  <c r="X171" i="24"/>
  <c r="L171" i="24"/>
  <c r="AK171" i="24"/>
  <c r="AJ171" i="24"/>
  <c r="O171" i="24"/>
  <c r="AC171" i="24"/>
  <c r="AA175" i="1"/>
  <c r="Z175" i="1" s="1"/>
  <c r="Y175" i="1" s="1"/>
  <c r="I175" i="1"/>
  <c r="G175" i="1"/>
  <c r="BW175" i="6" s="1"/>
  <c r="X170" i="25"/>
  <c r="L170" i="25"/>
  <c r="AB170" i="25"/>
  <c r="A171" i="25"/>
  <c r="K170" i="25"/>
  <c r="AJ170" i="25"/>
  <c r="O170" i="25"/>
  <c r="AK170" i="25"/>
  <c r="AC170" i="25"/>
  <c r="K174" i="20"/>
  <c r="A175" i="20"/>
  <c r="AB174" i="20"/>
  <c r="X174" i="20"/>
  <c r="L174" i="20"/>
  <c r="AK174" i="20"/>
  <c r="AJ174" i="20"/>
  <c r="O174" i="20"/>
  <c r="AC174" i="20"/>
  <c r="D177" i="1"/>
  <c r="E177" i="1" s="1"/>
  <c r="X178" i="1"/>
  <c r="O178" i="1"/>
  <c r="AC178" i="1"/>
  <c r="AK178" i="1"/>
  <c r="A179" i="1"/>
  <c r="L178" i="1"/>
  <c r="K178" i="1"/>
  <c r="AJ178" i="1"/>
  <c r="Q178" i="1"/>
  <c r="AB178" i="1"/>
  <c r="U178" i="1"/>
  <c r="T178" i="1" s="1"/>
  <c r="S178" i="1" s="1"/>
  <c r="R178" i="1" s="1"/>
  <c r="P178" i="1" s="1"/>
  <c r="K175" i="18"/>
  <c r="X175" i="18"/>
  <c r="L175" i="18"/>
  <c r="AB175" i="18"/>
  <c r="AJ175" i="18"/>
  <c r="A176" i="18"/>
  <c r="AK175" i="18"/>
  <c r="O175" i="18"/>
  <c r="AC175" i="18"/>
  <c r="A177" i="17"/>
  <c r="AB176" i="17"/>
  <c r="K176" i="17"/>
  <c r="X176" i="17"/>
  <c r="L176" i="17"/>
  <c r="O176" i="17"/>
  <c r="AK176" i="17"/>
  <c r="AJ176" i="17"/>
  <c r="AC176" i="17"/>
  <c r="E177" i="15" l="1"/>
  <c r="L178" i="15"/>
  <c r="D178" i="15" s="1"/>
  <c r="AC178" i="15"/>
  <c r="X178" i="15"/>
  <c r="AJ178" i="15"/>
  <c r="A179" i="15"/>
  <c r="AK178" i="15"/>
  <c r="K178" i="15"/>
  <c r="AB178" i="15"/>
  <c r="O178" i="15"/>
  <c r="AB177" i="16"/>
  <c r="L177" i="16"/>
  <c r="D177" i="16" s="1"/>
  <c r="A178" i="16"/>
  <c r="AK177" i="16"/>
  <c r="O177" i="16"/>
  <c r="X177" i="16"/>
  <c r="K177" i="16"/>
  <c r="AJ177" i="16"/>
  <c r="AC177" i="16"/>
  <c r="E176" i="16"/>
  <c r="K176" i="18"/>
  <c r="AB176" i="18"/>
  <c r="L176" i="18"/>
  <c r="A177" i="18"/>
  <c r="AJ176" i="18"/>
  <c r="X176" i="18"/>
  <c r="AK176" i="18"/>
  <c r="O176" i="18"/>
  <c r="AC176" i="18"/>
  <c r="AJ179" i="1"/>
  <c r="AC179" i="1"/>
  <c r="AK179" i="1"/>
  <c r="Q179" i="1"/>
  <c r="A180" i="1"/>
  <c r="X179" i="1"/>
  <c r="K179" i="1"/>
  <c r="L179" i="1"/>
  <c r="AB179" i="1"/>
  <c r="O179" i="1"/>
  <c r="U179" i="1"/>
  <c r="T179" i="1" s="1"/>
  <c r="X177" i="17"/>
  <c r="K177" i="17"/>
  <c r="A178" i="17"/>
  <c r="L177" i="17"/>
  <c r="AB177" i="17"/>
  <c r="AJ177" i="17"/>
  <c r="AK177" i="17"/>
  <c r="O177" i="17"/>
  <c r="AC177" i="17"/>
  <c r="D178" i="1"/>
  <c r="E178" i="1" s="1"/>
  <c r="V178" i="1"/>
  <c r="F177" i="1"/>
  <c r="AB175" i="20"/>
  <c r="K175" i="20"/>
  <c r="L175" i="20"/>
  <c r="X175" i="20"/>
  <c r="A176" i="20"/>
  <c r="AJ175" i="20"/>
  <c r="AK175" i="20"/>
  <c r="O175" i="20"/>
  <c r="AC175" i="20"/>
  <c r="X171" i="25"/>
  <c r="A172" i="25"/>
  <c r="AB171" i="25"/>
  <c r="K171" i="25"/>
  <c r="L171" i="25"/>
  <c r="AJ171" i="25"/>
  <c r="AK171" i="25"/>
  <c r="O171" i="25"/>
  <c r="AC171" i="25"/>
  <c r="K172" i="24"/>
  <c r="AB172" i="24"/>
  <c r="X172" i="24"/>
  <c r="A173" i="24"/>
  <c r="L172" i="24"/>
  <c r="AJ172" i="24"/>
  <c r="AK172" i="24"/>
  <c r="O172" i="24"/>
  <c r="AC172" i="24"/>
  <c r="I176" i="1"/>
  <c r="AA176" i="1"/>
  <c r="Z176" i="1" s="1"/>
  <c r="Y176" i="1" s="1"/>
  <c r="G176" i="1"/>
  <c r="BW176" i="6" s="1"/>
  <c r="A174" i="23"/>
  <c r="X173" i="23"/>
  <c r="L173" i="23"/>
  <c r="K173" i="23"/>
  <c r="AB173" i="23"/>
  <c r="AK173" i="23"/>
  <c r="AJ173" i="23"/>
  <c r="O173" i="23"/>
  <c r="AC173" i="23"/>
  <c r="A175" i="22"/>
  <c r="X174" i="22"/>
  <c r="K174" i="22"/>
  <c r="AB174" i="22"/>
  <c r="L174" i="22"/>
  <c r="AJ174" i="22"/>
  <c r="AK174" i="22"/>
  <c r="O174" i="22"/>
  <c r="AC174" i="22"/>
  <c r="L179" i="15" l="1"/>
  <c r="D179" i="15" s="1"/>
  <c r="O179" i="15"/>
  <c r="AB179" i="15"/>
  <c r="AK179" i="15"/>
  <c r="A180" i="15"/>
  <c r="AJ179" i="15"/>
  <c r="K179" i="15"/>
  <c r="X179" i="15"/>
  <c r="AC179" i="15"/>
  <c r="E178" i="15"/>
  <c r="E177" i="16"/>
  <c r="F178" i="1"/>
  <c r="AA178" i="1" s="1"/>
  <c r="Z178" i="1" s="1"/>
  <c r="Y178" i="1" s="1"/>
  <c r="K178" i="16"/>
  <c r="A179" i="16"/>
  <c r="L178" i="16"/>
  <c r="D178" i="16" s="1"/>
  <c r="AK178" i="16"/>
  <c r="O178" i="16"/>
  <c r="AB178" i="16"/>
  <c r="X178" i="16"/>
  <c r="AJ178" i="16"/>
  <c r="AC178" i="16"/>
  <c r="X175" i="22"/>
  <c r="A176" i="22"/>
  <c r="K175" i="22"/>
  <c r="L175" i="22"/>
  <c r="AB175" i="22"/>
  <c r="AJ175" i="22"/>
  <c r="AK175" i="22"/>
  <c r="O175" i="22"/>
  <c r="AC175" i="22"/>
  <c r="AB173" i="24"/>
  <c r="A174" i="24"/>
  <c r="K173" i="24"/>
  <c r="X173" i="24"/>
  <c r="L173" i="24"/>
  <c r="AJ173" i="24"/>
  <c r="AK173" i="24"/>
  <c r="O173" i="24"/>
  <c r="AC173" i="24"/>
  <c r="G177" i="1"/>
  <c r="BW177" i="6" s="1"/>
  <c r="AA177" i="1"/>
  <c r="Z177" i="1" s="1"/>
  <c r="Y177" i="1" s="1"/>
  <c r="I177" i="1"/>
  <c r="S179" i="1"/>
  <c r="R179" i="1" s="1"/>
  <c r="P179" i="1" s="1"/>
  <c r="V179" i="1" s="1"/>
  <c r="A25" i="7"/>
  <c r="O180" i="1"/>
  <c r="C25" i="7" s="1"/>
  <c r="L180" i="1"/>
  <c r="AK180" i="1"/>
  <c r="AJ180" i="1"/>
  <c r="Q180" i="1"/>
  <c r="AB180" i="1"/>
  <c r="A181" i="1"/>
  <c r="K180" i="1"/>
  <c r="AC180" i="1"/>
  <c r="X180" i="1"/>
  <c r="U180" i="1"/>
  <c r="T180" i="1" s="1"/>
  <c r="K177" i="18"/>
  <c r="L177" i="18"/>
  <c r="X177" i="18"/>
  <c r="AB177" i="18"/>
  <c r="A178" i="18"/>
  <c r="AJ177" i="18"/>
  <c r="O177" i="18"/>
  <c r="AK177" i="18"/>
  <c r="AC177" i="18"/>
  <c r="AB174" i="23"/>
  <c r="K174" i="23"/>
  <c r="L174" i="23"/>
  <c r="A175" i="23"/>
  <c r="X174" i="23"/>
  <c r="AJ174" i="23"/>
  <c r="AK174" i="23"/>
  <c r="O174" i="23"/>
  <c r="AC174" i="23"/>
  <c r="K172" i="25"/>
  <c r="X172" i="25"/>
  <c r="A173" i="25"/>
  <c r="L172" i="25"/>
  <c r="AB172" i="25"/>
  <c r="AJ172" i="25"/>
  <c r="AK172" i="25"/>
  <c r="O172" i="25"/>
  <c r="AC172" i="25"/>
  <c r="AB176" i="20"/>
  <c r="A177" i="20"/>
  <c r="L176" i="20"/>
  <c r="X176" i="20"/>
  <c r="K176" i="20"/>
  <c r="AJ176" i="20"/>
  <c r="AK176" i="20"/>
  <c r="O176" i="20"/>
  <c r="AC176" i="20"/>
  <c r="K178" i="17"/>
  <c r="X178" i="17"/>
  <c r="AB178" i="17"/>
  <c r="A179" i="17"/>
  <c r="L178" i="17"/>
  <c r="AJ178" i="17"/>
  <c r="O178" i="17"/>
  <c r="AK178" i="17"/>
  <c r="AC178" i="17"/>
  <c r="D179" i="1"/>
  <c r="E179" i="1" s="1"/>
  <c r="I178" i="1" l="1"/>
  <c r="G178" i="1"/>
  <c r="BW178" i="6" s="1"/>
  <c r="A181" i="15"/>
  <c r="L180" i="15"/>
  <c r="O180" i="15"/>
  <c r="C37" i="7" s="1"/>
  <c r="K180" i="15"/>
  <c r="AK180" i="15"/>
  <c r="AB180" i="15"/>
  <c r="AJ180" i="15"/>
  <c r="X180" i="15"/>
  <c r="A37" i="7"/>
  <c r="AC180" i="15"/>
  <c r="E179" i="15"/>
  <c r="X179" i="16"/>
  <c r="K179" i="16"/>
  <c r="AJ179" i="16"/>
  <c r="AC179" i="16"/>
  <c r="A180" i="16"/>
  <c r="L179" i="16"/>
  <c r="D179" i="16" s="1"/>
  <c r="AB179" i="16"/>
  <c r="AK179" i="16"/>
  <c r="O179" i="16"/>
  <c r="E178" i="16"/>
  <c r="F179" i="1"/>
  <c r="K179" i="17"/>
  <c r="A180" i="17"/>
  <c r="X179" i="17"/>
  <c r="L179" i="17"/>
  <c r="AB179" i="17"/>
  <c r="AJ179" i="17"/>
  <c r="O179" i="17"/>
  <c r="AK179" i="17"/>
  <c r="AC179" i="17"/>
  <c r="AB177" i="20"/>
  <c r="K177" i="20"/>
  <c r="L177" i="20"/>
  <c r="A178" i="20"/>
  <c r="X177" i="20"/>
  <c r="AJ177" i="20"/>
  <c r="AK177" i="20"/>
  <c r="O177" i="20"/>
  <c r="AC177" i="20"/>
  <c r="AB173" i="25"/>
  <c r="L173" i="25"/>
  <c r="A174" i="25"/>
  <c r="K173" i="25"/>
  <c r="X173" i="25"/>
  <c r="AJ173" i="25"/>
  <c r="AK173" i="25"/>
  <c r="O173" i="25"/>
  <c r="AC173" i="25"/>
  <c r="S180" i="1"/>
  <c r="R180" i="1" s="1"/>
  <c r="P180" i="1" s="1"/>
  <c r="D25" i="7" s="1"/>
  <c r="AJ181" i="1"/>
  <c r="K181" i="1"/>
  <c r="Q181" i="1"/>
  <c r="X181" i="1"/>
  <c r="AC181" i="1"/>
  <c r="AK181" i="1"/>
  <c r="AB181" i="1"/>
  <c r="A182" i="1"/>
  <c r="L181" i="1"/>
  <c r="O181" i="1"/>
  <c r="U181" i="1"/>
  <c r="X176" i="22"/>
  <c r="K176" i="22"/>
  <c r="AB176" i="22"/>
  <c r="L176" i="22"/>
  <c r="A177" i="22"/>
  <c r="AJ176" i="22"/>
  <c r="AK176" i="22"/>
  <c r="O176" i="22"/>
  <c r="AC176" i="22"/>
  <c r="AB175" i="23"/>
  <c r="K175" i="23"/>
  <c r="A176" i="23"/>
  <c r="L175" i="23"/>
  <c r="X175" i="23"/>
  <c r="AJ175" i="23"/>
  <c r="AK175" i="23"/>
  <c r="O175" i="23"/>
  <c r="AC175" i="23"/>
  <c r="A179" i="18"/>
  <c r="X178" i="18"/>
  <c r="AJ178" i="18"/>
  <c r="AB178" i="18"/>
  <c r="L178" i="18"/>
  <c r="K178" i="18"/>
  <c r="O178" i="18"/>
  <c r="AK178" i="18"/>
  <c r="AC178" i="18"/>
  <c r="B25" i="7"/>
  <c r="D180" i="1"/>
  <c r="E180" i="1" s="1"/>
  <c r="AB174" i="24"/>
  <c r="A175" i="24"/>
  <c r="X174" i="24"/>
  <c r="L174" i="24"/>
  <c r="K174" i="24"/>
  <c r="AK174" i="24"/>
  <c r="O174" i="24"/>
  <c r="AJ174" i="24"/>
  <c r="AC174" i="24"/>
  <c r="E179" i="16" l="1"/>
  <c r="O181" i="15"/>
  <c r="K181" i="15"/>
  <c r="AK181" i="15"/>
  <c r="L181" i="15"/>
  <c r="D181" i="15" s="1"/>
  <c r="A182" i="15"/>
  <c r="AB181" i="15"/>
  <c r="X181" i="15"/>
  <c r="AC181" i="15"/>
  <c r="AJ181" i="15"/>
  <c r="D180" i="15"/>
  <c r="E180" i="15" s="1"/>
  <c r="B37" i="7"/>
  <c r="A49" i="7"/>
  <c r="AB180" i="16"/>
  <c r="L180" i="16"/>
  <c r="AJ180" i="16"/>
  <c r="AC180" i="16"/>
  <c r="K180" i="16"/>
  <c r="X180" i="16"/>
  <c r="A181" i="16"/>
  <c r="AK180" i="16"/>
  <c r="O180" i="16"/>
  <c r="C49" i="7" s="1"/>
  <c r="A180" i="18"/>
  <c r="AJ179" i="18"/>
  <c r="X179" i="18"/>
  <c r="K179" i="18"/>
  <c r="AB179" i="18"/>
  <c r="L179" i="18"/>
  <c r="O179" i="18"/>
  <c r="AK179" i="18"/>
  <c r="AC179" i="18"/>
  <c r="AB177" i="22"/>
  <c r="X177" i="22"/>
  <c r="L177" i="22"/>
  <c r="K177" i="22"/>
  <c r="A178" i="22"/>
  <c r="AJ177" i="22"/>
  <c r="AK177" i="22"/>
  <c r="O177" i="22"/>
  <c r="AC177" i="22"/>
  <c r="X182" i="1"/>
  <c r="L182" i="1"/>
  <c r="O182" i="1"/>
  <c r="AB182" i="1"/>
  <c r="Q182" i="1"/>
  <c r="A183" i="1"/>
  <c r="AJ182" i="1"/>
  <c r="K182" i="1"/>
  <c r="AK182" i="1"/>
  <c r="AC182" i="1"/>
  <c r="U182" i="1"/>
  <c r="T182" i="1" s="1"/>
  <c r="K175" i="24"/>
  <c r="A176" i="24"/>
  <c r="L175" i="24"/>
  <c r="X175" i="24"/>
  <c r="AB175" i="24"/>
  <c r="AJ175" i="24"/>
  <c r="AK175" i="24"/>
  <c r="O175" i="24"/>
  <c r="AC175" i="24"/>
  <c r="V180" i="1"/>
  <c r="F180" i="1" s="1"/>
  <c r="AB176" i="23"/>
  <c r="K176" i="23"/>
  <c r="A177" i="23"/>
  <c r="L176" i="23"/>
  <c r="X176" i="23"/>
  <c r="AJ176" i="23"/>
  <c r="AK176" i="23"/>
  <c r="O176" i="23"/>
  <c r="AC176" i="23"/>
  <c r="T181" i="1"/>
  <c r="D181" i="1"/>
  <c r="E181" i="1" s="1"/>
  <c r="A175" i="25"/>
  <c r="X174" i="25"/>
  <c r="K174" i="25"/>
  <c r="AB174" i="25"/>
  <c r="L174" i="25"/>
  <c r="AJ174" i="25"/>
  <c r="O174" i="25"/>
  <c r="AK174" i="25"/>
  <c r="AC174" i="25"/>
  <c r="A179" i="20"/>
  <c r="L178" i="20"/>
  <c r="K178" i="20"/>
  <c r="AB178" i="20"/>
  <c r="X178" i="20"/>
  <c r="AJ178" i="20"/>
  <c r="AK178" i="20"/>
  <c r="O178" i="20"/>
  <c r="AC178" i="20"/>
  <c r="AB180" i="17"/>
  <c r="A61" i="7"/>
  <c r="A181" i="17"/>
  <c r="X180" i="17"/>
  <c r="K180" i="17"/>
  <c r="L180" i="17"/>
  <c r="AJ180" i="17"/>
  <c r="O180" i="17"/>
  <c r="C61" i="7" s="1"/>
  <c r="AK180" i="17"/>
  <c r="AC180" i="17"/>
  <c r="AA179" i="1"/>
  <c r="Z179" i="1" s="1"/>
  <c r="Y179" i="1" s="1"/>
  <c r="I179" i="1"/>
  <c r="G179" i="1"/>
  <c r="BW179" i="6" s="1"/>
  <c r="L182" i="15" l="1"/>
  <c r="D182" i="15" s="1"/>
  <c r="AK182" i="15"/>
  <c r="A183" i="15"/>
  <c r="AJ182" i="15"/>
  <c r="K182" i="15"/>
  <c r="X182" i="15"/>
  <c r="O182" i="15"/>
  <c r="E182" i="15" s="1"/>
  <c r="AB182" i="15"/>
  <c r="AC182" i="15"/>
  <c r="E181" i="15"/>
  <c r="D180" i="16"/>
  <c r="E180" i="16" s="1"/>
  <c r="B49" i="7"/>
  <c r="AB181" i="16"/>
  <c r="K181" i="16"/>
  <c r="AK181" i="16"/>
  <c r="AC181" i="16"/>
  <c r="X181" i="16"/>
  <c r="L181" i="16"/>
  <c r="D181" i="16" s="1"/>
  <c r="A182" i="16"/>
  <c r="AJ181" i="16"/>
  <c r="O181" i="16"/>
  <c r="I180" i="1"/>
  <c r="G180" i="1"/>
  <c r="BW180" i="6" s="1"/>
  <c r="AA180" i="1"/>
  <c r="Z180" i="1" s="1"/>
  <c r="Y180" i="1" s="1"/>
  <c r="A182" i="17"/>
  <c r="X181" i="17"/>
  <c r="AB181" i="17"/>
  <c r="K181" i="17"/>
  <c r="L181" i="17"/>
  <c r="AJ181" i="17"/>
  <c r="O181" i="17"/>
  <c r="AK181" i="17"/>
  <c r="AC181" i="17"/>
  <c r="X175" i="25"/>
  <c r="L175" i="25"/>
  <c r="K175" i="25"/>
  <c r="A176" i="25"/>
  <c r="AB175" i="25"/>
  <c r="AJ175" i="25"/>
  <c r="O175" i="25"/>
  <c r="AK175" i="25"/>
  <c r="AC175" i="25"/>
  <c r="S181" i="1"/>
  <c r="R181" i="1" s="1"/>
  <c r="P181" i="1" s="1"/>
  <c r="V181" i="1" s="1"/>
  <c r="F181" i="1" s="1"/>
  <c r="A177" i="24"/>
  <c r="K176" i="24"/>
  <c r="L176" i="24"/>
  <c r="AB176" i="24"/>
  <c r="X176" i="24"/>
  <c r="AJ176" i="24"/>
  <c r="AK176" i="24"/>
  <c r="O176" i="24"/>
  <c r="AC176" i="24"/>
  <c r="S182" i="1"/>
  <c r="R182" i="1" s="1"/>
  <c r="P182" i="1" s="1"/>
  <c r="V182" i="1" s="1"/>
  <c r="A181" i="18"/>
  <c r="X180" i="18"/>
  <c r="L180" i="18"/>
  <c r="AJ180" i="18"/>
  <c r="AB180" i="18"/>
  <c r="A73" i="7"/>
  <c r="K180" i="18"/>
  <c r="AK180" i="18"/>
  <c r="O180" i="18"/>
  <c r="C73" i="7" s="1"/>
  <c r="AC180" i="18"/>
  <c r="B61" i="7"/>
  <c r="AB179" i="20"/>
  <c r="X179" i="20"/>
  <c r="A180" i="20"/>
  <c r="K179" i="20"/>
  <c r="L179" i="20"/>
  <c r="AK179" i="20"/>
  <c r="AJ179" i="20"/>
  <c r="O179" i="20"/>
  <c r="AC179" i="20"/>
  <c r="X177" i="23"/>
  <c r="K177" i="23"/>
  <c r="AB177" i="23"/>
  <c r="L177" i="23"/>
  <c r="A178" i="23"/>
  <c r="AJ177" i="23"/>
  <c r="AK177" i="23"/>
  <c r="O177" i="23"/>
  <c r="AC177" i="23"/>
  <c r="AJ183" i="1"/>
  <c r="AC183" i="1"/>
  <c r="AB183" i="1"/>
  <c r="Q183" i="1"/>
  <c r="A184" i="1"/>
  <c r="X183" i="1"/>
  <c r="O183" i="1"/>
  <c r="K183" i="1"/>
  <c r="L183" i="1"/>
  <c r="AK183" i="1"/>
  <c r="U183" i="1"/>
  <c r="T183" i="1" s="1"/>
  <c r="D182" i="1"/>
  <c r="E182" i="1" s="1"/>
  <c r="K178" i="22"/>
  <c r="AB178" i="22"/>
  <c r="X178" i="22"/>
  <c r="A179" i="22"/>
  <c r="L178" i="22"/>
  <c r="AK178" i="22"/>
  <c r="AJ178" i="22"/>
  <c r="O178" i="22"/>
  <c r="AC178" i="22"/>
  <c r="A184" i="15" l="1"/>
  <c r="X183" i="15"/>
  <c r="AC183" i="15"/>
  <c r="AB183" i="15"/>
  <c r="O183" i="15"/>
  <c r="L183" i="15"/>
  <c r="D183" i="15" s="1"/>
  <c r="AJ183" i="15"/>
  <c r="K183" i="15"/>
  <c r="AK183" i="15"/>
  <c r="E181" i="16"/>
  <c r="A183" i="16"/>
  <c r="L182" i="16"/>
  <c r="D182" i="16" s="1"/>
  <c r="AJ182" i="16"/>
  <c r="AC182" i="16"/>
  <c r="K182" i="16"/>
  <c r="AB182" i="16"/>
  <c r="X182" i="16"/>
  <c r="AK182" i="16"/>
  <c r="O182" i="16"/>
  <c r="AA181" i="1"/>
  <c r="Z181" i="1" s="1"/>
  <c r="Y181" i="1" s="1"/>
  <c r="I181" i="1"/>
  <c r="G181" i="1"/>
  <c r="BW181" i="6" s="1"/>
  <c r="F182" i="1"/>
  <c r="K178" i="23"/>
  <c r="A179" i="23"/>
  <c r="X178" i="23"/>
  <c r="AB178" i="23"/>
  <c r="L178" i="23"/>
  <c r="AJ178" i="23"/>
  <c r="AK178" i="23"/>
  <c r="O178" i="23"/>
  <c r="AC178" i="23"/>
  <c r="X177" i="24"/>
  <c r="L177" i="24"/>
  <c r="A178" i="24"/>
  <c r="K177" i="24"/>
  <c r="AB177" i="24"/>
  <c r="AK177" i="24"/>
  <c r="O177" i="24"/>
  <c r="AJ177" i="24"/>
  <c r="AC177" i="24"/>
  <c r="X176" i="25"/>
  <c r="L176" i="25"/>
  <c r="K176" i="25"/>
  <c r="AB176" i="25"/>
  <c r="A177" i="25"/>
  <c r="AJ176" i="25"/>
  <c r="O176" i="25"/>
  <c r="AK176" i="25"/>
  <c r="AC176" i="25"/>
  <c r="X182" i="17"/>
  <c r="AB182" i="17"/>
  <c r="L182" i="17"/>
  <c r="A183" i="17"/>
  <c r="K182" i="17"/>
  <c r="AJ182" i="17"/>
  <c r="AK182" i="17"/>
  <c r="O182" i="17"/>
  <c r="AC182" i="17"/>
  <c r="AB179" i="22"/>
  <c r="L179" i="22"/>
  <c r="K179" i="22"/>
  <c r="A180" i="22"/>
  <c r="X179" i="22"/>
  <c r="AK179" i="22"/>
  <c r="AJ179" i="22"/>
  <c r="O179" i="22"/>
  <c r="AC179" i="22"/>
  <c r="S183" i="1"/>
  <c r="R183" i="1" s="1"/>
  <c r="P183" i="1" s="1"/>
  <c r="V183" i="1" s="1"/>
  <c r="D183" i="1"/>
  <c r="E183" i="1" s="1"/>
  <c r="L184" i="1"/>
  <c r="AJ184" i="1"/>
  <c r="O184" i="1"/>
  <c r="A185" i="1"/>
  <c r="X184" i="1"/>
  <c r="K184" i="1"/>
  <c r="AC184" i="1"/>
  <c r="Q184" i="1"/>
  <c r="AK184" i="1"/>
  <c r="AB184" i="1"/>
  <c r="U184" i="1"/>
  <c r="T184" i="1" s="1"/>
  <c r="S184" i="1" s="1"/>
  <c r="R184" i="1" s="1"/>
  <c r="X180" i="20"/>
  <c r="K180" i="20"/>
  <c r="AE25" i="7"/>
  <c r="A181" i="20"/>
  <c r="L180" i="20"/>
  <c r="AB180" i="20"/>
  <c r="AJ180" i="20"/>
  <c r="AK180" i="20"/>
  <c r="O180" i="20"/>
  <c r="AG25" i="7" s="1"/>
  <c r="AC180" i="20"/>
  <c r="B73" i="7"/>
  <c r="X181" i="18"/>
  <c r="AJ181" i="18"/>
  <c r="A182" i="18"/>
  <c r="AB181" i="18"/>
  <c r="K181" i="18"/>
  <c r="L181" i="18"/>
  <c r="AK181" i="18"/>
  <c r="O181" i="18"/>
  <c r="AC181" i="18"/>
  <c r="E183" i="15" l="1"/>
  <c r="K184" i="15"/>
  <c r="X184" i="15"/>
  <c r="AC184" i="15"/>
  <c r="AB184" i="15"/>
  <c r="O184" i="15"/>
  <c r="L184" i="15"/>
  <c r="D184" i="15" s="1"/>
  <c r="AJ184" i="15"/>
  <c r="A185" i="15"/>
  <c r="AK184" i="15"/>
  <c r="P184" i="1"/>
  <c r="F183" i="1"/>
  <c r="AA183" i="1" s="1"/>
  <c r="Z183" i="1" s="1"/>
  <c r="Y183" i="1" s="1"/>
  <c r="E182" i="16"/>
  <c r="L183" i="16"/>
  <c r="D183" i="16" s="1"/>
  <c r="AB183" i="16"/>
  <c r="X183" i="16"/>
  <c r="AK183" i="16"/>
  <c r="O183" i="16"/>
  <c r="A184" i="16"/>
  <c r="K183" i="16"/>
  <c r="AJ183" i="16"/>
  <c r="AC183" i="16"/>
  <c r="K181" i="20"/>
  <c r="AB181" i="20"/>
  <c r="L181" i="20"/>
  <c r="X181" i="20"/>
  <c r="A182" i="20"/>
  <c r="AJ181" i="20"/>
  <c r="AK181" i="20"/>
  <c r="O181" i="20"/>
  <c r="AC181" i="20"/>
  <c r="D184" i="1"/>
  <c r="E184" i="1" s="1"/>
  <c r="V184" i="1"/>
  <c r="AE37" i="7"/>
  <c r="AB180" i="22"/>
  <c r="A181" i="22"/>
  <c r="X180" i="22"/>
  <c r="K180" i="22"/>
  <c r="L180" i="22"/>
  <c r="AJ180" i="22"/>
  <c r="AK180" i="22"/>
  <c r="O180" i="22"/>
  <c r="AG37" i="7" s="1"/>
  <c r="AC180" i="22"/>
  <c r="K178" i="24"/>
  <c r="X178" i="24"/>
  <c r="AB178" i="24"/>
  <c r="A179" i="24"/>
  <c r="L178" i="24"/>
  <c r="AJ178" i="24"/>
  <c r="AK178" i="24"/>
  <c r="O178" i="24"/>
  <c r="AC178" i="24"/>
  <c r="I182" i="1"/>
  <c r="AA182" i="1"/>
  <c r="Z182" i="1" s="1"/>
  <c r="Y182" i="1" s="1"/>
  <c r="G182" i="1"/>
  <c r="BW182" i="6" s="1"/>
  <c r="A183" i="18"/>
  <c r="L182" i="18"/>
  <c r="K182" i="18"/>
  <c r="AB182" i="18"/>
  <c r="X182" i="18"/>
  <c r="AJ182" i="18"/>
  <c r="O182" i="18"/>
  <c r="AK182" i="18"/>
  <c r="AC182" i="18"/>
  <c r="AF25" i="7"/>
  <c r="L185" i="1"/>
  <c r="K185" i="1"/>
  <c r="AC185" i="1"/>
  <c r="AB185" i="1"/>
  <c r="X185" i="1"/>
  <c r="AJ185" i="1"/>
  <c r="A186" i="1"/>
  <c r="AK185" i="1"/>
  <c r="O185" i="1"/>
  <c r="Q185" i="1"/>
  <c r="U185" i="1"/>
  <c r="A184" i="17"/>
  <c r="AB183" i="17"/>
  <c r="L183" i="17"/>
  <c r="X183" i="17"/>
  <c r="K183" i="17"/>
  <c r="AK183" i="17"/>
  <c r="AJ183" i="17"/>
  <c r="O183" i="17"/>
  <c r="AC183" i="17"/>
  <c r="AB177" i="25"/>
  <c r="X177" i="25"/>
  <c r="K177" i="25"/>
  <c r="L177" i="25"/>
  <c r="A178" i="25"/>
  <c r="AJ177" i="25"/>
  <c r="AK177" i="25"/>
  <c r="O177" i="25"/>
  <c r="AC177" i="25"/>
  <c r="X179" i="23"/>
  <c r="AB179" i="23"/>
  <c r="K179" i="23"/>
  <c r="A180" i="23"/>
  <c r="L179" i="23"/>
  <c r="AJ179" i="23"/>
  <c r="AK179" i="23"/>
  <c r="O179" i="23"/>
  <c r="AC179" i="23"/>
  <c r="I183" i="1" l="1"/>
  <c r="G183" i="1"/>
  <c r="BW183" i="6" s="1"/>
  <c r="L185" i="15"/>
  <c r="D185" i="15" s="1"/>
  <c r="AC185" i="15"/>
  <c r="K185" i="15"/>
  <c r="AJ185" i="15"/>
  <c r="AB185" i="15"/>
  <c r="AK185" i="15"/>
  <c r="A186" i="15"/>
  <c r="X185" i="15"/>
  <c r="O185" i="15"/>
  <c r="E184" i="15"/>
  <c r="F184" i="1"/>
  <c r="I184" i="1" s="1"/>
  <c r="AB184" i="16"/>
  <c r="K184" i="16"/>
  <c r="AK184" i="16"/>
  <c r="AC184" i="16"/>
  <c r="A185" i="16"/>
  <c r="L184" i="16"/>
  <c r="D184" i="16" s="1"/>
  <c r="X184" i="16"/>
  <c r="AJ184" i="16"/>
  <c r="O184" i="16"/>
  <c r="E183" i="16"/>
  <c r="A181" i="23"/>
  <c r="L180" i="23"/>
  <c r="X180" i="23"/>
  <c r="AB180" i="23"/>
  <c r="K180" i="23"/>
  <c r="AE49" i="7"/>
  <c r="AJ180" i="23"/>
  <c r="AK180" i="23"/>
  <c r="O180" i="23"/>
  <c r="AG49" i="7" s="1"/>
  <c r="AC180" i="23"/>
  <c r="A179" i="25"/>
  <c r="X178" i="25"/>
  <c r="K178" i="25"/>
  <c r="AB178" i="25"/>
  <c r="L178" i="25"/>
  <c r="AJ178" i="25"/>
  <c r="AK178" i="25"/>
  <c r="O178" i="25"/>
  <c r="AC178" i="25"/>
  <c r="K183" i="18"/>
  <c r="X183" i="18"/>
  <c r="AJ183" i="18"/>
  <c r="AB183" i="18"/>
  <c r="L183" i="18"/>
  <c r="A184" i="18"/>
  <c r="O183" i="18"/>
  <c r="AK183" i="18"/>
  <c r="AC183" i="18"/>
  <c r="AF37" i="7"/>
  <c r="K182" i="20"/>
  <c r="A183" i="20"/>
  <c r="L182" i="20"/>
  <c r="X182" i="20"/>
  <c r="AB182" i="20"/>
  <c r="AJ182" i="20"/>
  <c r="AK182" i="20"/>
  <c r="O182" i="20"/>
  <c r="AC182" i="20"/>
  <c r="AB184" i="17"/>
  <c r="L184" i="17"/>
  <c r="X184" i="17"/>
  <c r="A185" i="17"/>
  <c r="K184" i="17"/>
  <c r="AJ184" i="17"/>
  <c r="O184" i="17"/>
  <c r="AK184" i="17"/>
  <c r="AC184" i="17"/>
  <c r="T185" i="1"/>
  <c r="S185" i="1" s="1"/>
  <c r="R185" i="1" s="1"/>
  <c r="P185" i="1" s="1"/>
  <c r="V185" i="1" s="1"/>
  <c r="A187" i="1"/>
  <c r="O186" i="1"/>
  <c r="Q186" i="1"/>
  <c r="L186" i="1"/>
  <c r="AB186" i="1"/>
  <c r="X186" i="1"/>
  <c r="AJ186" i="1"/>
  <c r="K186" i="1"/>
  <c r="AK186" i="1"/>
  <c r="AC186" i="1"/>
  <c r="U186" i="1"/>
  <c r="D185" i="1"/>
  <c r="E185" i="1" s="1"/>
  <c r="X179" i="24"/>
  <c r="AB179" i="24"/>
  <c r="K179" i="24"/>
  <c r="L179" i="24"/>
  <c r="A180" i="24"/>
  <c r="AJ179" i="24"/>
  <c r="AK179" i="24"/>
  <c r="O179" i="24"/>
  <c r="AC179" i="24"/>
  <c r="K181" i="22"/>
  <c r="L181" i="22"/>
  <c r="AB181" i="22"/>
  <c r="X181" i="22"/>
  <c r="A182" i="22"/>
  <c r="AJ181" i="22"/>
  <c r="AK181" i="22"/>
  <c r="O181" i="22"/>
  <c r="AC181" i="22"/>
  <c r="AA184" i="1" l="1"/>
  <c r="Z184" i="1" s="1"/>
  <c r="Y184" i="1" s="1"/>
  <c r="AB186" i="15"/>
  <c r="AJ186" i="15"/>
  <c r="X186" i="15"/>
  <c r="AK186" i="15"/>
  <c r="L186" i="15"/>
  <c r="D186" i="15" s="1"/>
  <c r="K186" i="15"/>
  <c r="O186" i="15"/>
  <c r="E186" i="15" s="1"/>
  <c r="A187" i="15"/>
  <c r="AC186" i="15"/>
  <c r="E185" i="15"/>
  <c r="G184" i="1"/>
  <c r="BW184" i="6" s="1"/>
  <c r="E184" i="16"/>
  <c r="K185" i="16"/>
  <c r="A186" i="16"/>
  <c r="L185" i="16"/>
  <c r="D185" i="16" s="1"/>
  <c r="AK185" i="16"/>
  <c r="O185" i="16"/>
  <c r="X185" i="16"/>
  <c r="AB185" i="16"/>
  <c r="AJ185" i="16"/>
  <c r="AC185" i="16"/>
  <c r="K182" i="22"/>
  <c r="X182" i="22"/>
  <c r="A183" i="22"/>
  <c r="L182" i="22"/>
  <c r="AB182" i="22"/>
  <c r="AJ182" i="22"/>
  <c r="AK182" i="22"/>
  <c r="O182" i="22"/>
  <c r="AC182" i="22"/>
  <c r="T186" i="1"/>
  <c r="AK187" i="1"/>
  <c r="X187" i="1"/>
  <c r="A188" i="1"/>
  <c r="AJ187" i="1"/>
  <c r="O187" i="1"/>
  <c r="AB187" i="1"/>
  <c r="K187" i="1"/>
  <c r="Q187" i="1"/>
  <c r="L187" i="1"/>
  <c r="AC187" i="1"/>
  <c r="U187" i="1"/>
  <c r="T187" i="1" s="1"/>
  <c r="X183" i="20"/>
  <c r="AB183" i="20"/>
  <c r="A184" i="20"/>
  <c r="K183" i="20"/>
  <c r="L183" i="20"/>
  <c r="AJ183" i="20"/>
  <c r="AK183" i="20"/>
  <c r="O183" i="20"/>
  <c r="AC183" i="20"/>
  <c r="K184" i="18"/>
  <c r="AB184" i="18"/>
  <c r="AJ184" i="18"/>
  <c r="A185" i="18"/>
  <c r="L184" i="18"/>
  <c r="X184" i="18"/>
  <c r="O184" i="18"/>
  <c r="AK184" i="18"/>
  <c r="AC184" i="18"/>
  <c r="A180" i="25"/>
  <c r="X179" i="25"/>
  <c r="K179" i="25"/>
  <c r="AB179" i="25"/>
  <c r="L179" i="25"/>
  <c r="AJ179" i="25"/>
  <c r="O179" i="25"/>
  <c r="AK179" i="25"/>
  <c r="AC179" i="25"/>
  <c r="A182" i="23"/>
  <c r="K181" i="23"/>
  <c r="AB181" i="23"/>
  <c r="L181" i="23"/>
  <c r="X181" i="23"/>
  <c r="AK181" i="23"/>
  <c r="AJ181" i="23"/>
  <c r="O181" i="23"/>
  <c r="AC181" i="23"/>
  <c r="K180" i="24"/>
  <c r="A181" i="24"/>
  <c r="AE61" i="7"/>
  <c r="AB180" i="24"/>
  <c r="L180" i="24"/>
  <c r="X180" i="24"/>
  <c r="AJ180" i="24"/>
  <c r="AK180" i="24"/>
  <c r="O180" i="24"/>
  <c r="AG61" i="7" s="1"/>
  <c r="AC180" i="24"/>
  <c r="F185" i="1"/>
  <c r="D186" i="1"/>
  <c r="E186" i="1" s="1"/>
  <c r="AB185" i="17"/>
  <c r="X185" i="17"/>
  <c r="L185" i="17"/>
  <c r="A186" i="17"/>
  <c r="K185" i="17"/>
  <c r="AJ185" i="17"/>
  <c r="O185" i="17"/>
  <c r="AK185" i="17"/>
  <c r="AC185" i="17"/>
  <c r="AF49" i="7"/>
  <c r="X187" i="15" l="1"/>
  <c r="AK187" i="15"/>
  <c r="L187" i="15"/>
  <c r="D187" i="15" s="1"/>
  <c r="AJ187" i="15"/>
  <c r="A188" i="15"/>
  <c r="K187" i="15"/>
  <c r="O187" i="15"/>
  <c r="AB187" i="15"/>
  <c r="AC187" i="15"/>
  <c r="A187" i="16"/>
  <c r="AB186" i="16"/>
  <c r="AJ186" i="16"/>
  <c r="AC186" i="16"/>
  <c r="X186" i="16"/>
  <c r="L186" i="16"/>
  <c r="D186" i="16" s="1"/>
  <c r="K186" i="16"/>
  <c r="AK186" i="16"/>
  <c r="O186" i="16"/>
  <c r="E185" i="16"/>
  <c r="G185" i="1"/>
  <c r="BW185" i="6" s="1"/>
  <c r="AA185" i="1"/>
  <c r="Z185" i="1" s="1"/>
  <c r="Y185" i="1" s="1"/>
  <c r="I185" i="1"/>
  <c r="AF61" i="7"/>
  <c r="AB180" i="25"/>
  <c r="L180" i="25"/>
  <c r="AE73" i="7"/>
  <c r="X180" i="25"/>
  <c r="K180" i="25"/>
  <c r="A181" i="25"/>
  <c r="AK180" i="25"/>
  <c r="AJ180" i="25"/>
  <c r="O180" i="25"/>
  <c r="AG73" i="7" s="1"/>
  <c r="AC180" i="25"/>
  <c r="S187" i="1"/>
  <c r="R187" i="1" s="1"/>
  <c r="P187" i="1" s="1"/>
  <c r="V187" i="1" s="1"/>
  <c r="D187" i="1"/>
  <c r="E187" i="1" s="1"/>
  <c r="AJ188" i="1"/>
  <c r="Q188" i="1"/>
  <c r="AK188" i="1"/>
  <c r="A189" i="1"/>
  <c r="X188" i="1"/>
  <c r="O188" i="1"/>
  <c r="AB188" i="1"/>
  <c r="AC188" i="1"/>
  <c r="K188" i="1"/>
  <c r="L188" i="1"/>
  <c r="U188" i="1"/>
  <c r="T188" i="1" s="1"/>
  <c r="S186" i="1"/>
  <c r="R186" i="1" s="1"/>
  <c r="P186" i="1" s="1"/>
  <c r="A187" i="17"/>
  <c r="K186" i="17"/>
  <c r="AB186" i="17"/>
  <c r="X186" i="17"/>
  <c r="L186" i="17"/>
  <c r="O186" i="17"/>
  <c r="AK186" i="17"/>
  <c r="AJ186" i="17"/>
  <c r="AC186" i="17"/>
  <c r="K181" i="24"/>
  <c r="X181" i="24"/>
  <c r="A182" i="24"/>
  <c r="L181" i="24"/>
  <c r="AB181" i="24"/>
  <c r="AK181" i="24"/>
  <c r="AJ181" i="24"/>
  <c r="O181" i="24"/>
  <c r="AC181" i="24"/>
  <c r="AB182" i="23"/>
  <c r="K182" i="23"/>
  <c r="X182" i="23"/>
  <c r="L182" i="23"/>
  <c r="A183" i="23"/>
  <c r="AJ182" i="23"/>
  <c r="AK182" i="23"/>
  <c r="O182" i="23"/>
  <c r="AC182" i="23"/>
  <c r="K185" i="18"/>
  <c r="AJ185" i="18"/>
  <c r="AB185" i="18"/>
  <c r="X185" i="18"/>
  <c r="A186" i="18"/>
  <c r="L185" i="18"/>
  <c r="O185" i="18"/>
  <c r="AK185" i="18"/>
  <c r="AC185" i="18"/>
  <c r="A185" i="20"/>
  <c r="AB184" i="20"/>
  <c r="L184" i="20"/>
  <c r="X184" i="20"/>
  <c r="K184" i="20"/>
  <c r="AK184" i="20"/>
  <c r="AJ184" i="20"/>
  <c r="O184" i="20"/>
  <c r="AC184" i="20"/>
  <c r="X183" i="22"/>
  <c r="L183" i="22"/>
  <c r="K183" i="22"/>
  <c r="A184" i="22"/>
  <c r="AB183" i="22"/>
  <c r="AJ183" i="22"/>
  <c r="AK183" i="22"/>
  <c r="O183" i="22"/>
  <c r="AC183" i="22"/>
  <c r="E186" i="16" l="1"/>
  <c r="L188" i="15"/>
  <c r="D188" i="15" s="1"/>
  <c r="AJ188" i="15"/>
  <c r="X188" i="15"/>
  <c r="AK188" i="15"/>
  <c r="A189" i="15"/>
  <c r="K188" i="15"/>
  <c r="O188" i="15"/>
  <c r="E188" i="15" s="1"/>
  <c r="AB188" i="15"/>
  <c r="AC188" i="15"/>
  <c r="E187" i="15"/>
  <c r="F187" i="1"/>
  <c r="AA187" i="1" s="1"/>
  <c r="Z187" i="1" s="1"/>
  <c r="Y187" i="1" s="1"/>
  <c r="A188" i="16"/>
  <c r="AB187" i="16"/>
  <c r="K187" i="16"/>
  <c r="AK187" i="16"/>
  <c r="O187" i="16"/>
  <c r="L187" i="16"/>
  <c r="D187" i="16" s="1"/>
  <c r="X187" i="16"/>
  <c r="AJ187" i="16"/>
  <c r="AC187" i="16"/>
  <c r="V186" i="1"/>
  <c r="F186" i="1" s="1"/>
  <c r="AB186" i="18"/>
  <c r="AJ186" i="18"/>
  <c r="A187" i="18"/>
  <c r="K186" i="18"/>
  <c r="X186" i="18"/>
  <c r="L186" i="18"/>
  <c r="O186" i="18"/>
  <c r="AK186" i="18"/>
  <c r="AC186" i="18"/>
  <c r="AB183" i="23"/>
  <c r="A184" i="23"/>
  <c r="L183" i="23"/>
  <c r="K183" i="23"/>
  <c r="X183" i="23"/>
  <c r="AJ183" i="23"/>
  <c r="AK183" i="23"/>
  <c r="O183" i="23"/>
  <c r="AC183" i="23"/>
  <c r="D188" i="1"/>
  <c r="E188" i="1" s="1"/>
  <c r="AJ189" i="1"/>
  <c r="A190" i="1"/>
  <c r="AK189" i="1"/>
  <c r="Q189" i="1"/>
  <c r="K189" i="1"/>
  <c r="X189" i="1"/>
  <c r="AC189" i="1"/>
  <c r="AB189" i="1"/>
  <c r="L189" i="1"/>
  <c r="O189" i="1"/>
  <c r="U189" i="1"/>
  <c r="T189" i="1" s="1"/>
  <c r="A185" i="22"/>
  <c r="X184" i="22"/>
  <c r="K184" i="22"/>
  <c r="AB184" i="22"/>
  <c r="L184" i="22"/>
  <c r="AK184" i="22"/>
  <c r="AJ184" i="22"/>
  <c r="O184" i="22"/>
  <c r="AC184" i="22"/>
  <c r="K185" i="20"/>
  <c r="X185" i="20"/>
  <c r="A186" i="20"/>
  <c r="L185" i="20"/>
  <c r="AB185" i="20"/>
  <c r="AJ185" i="20"/>
  <c r="AK185" i="20"/>
  <c r="O185" i="20"/>
  <c r="AC185" i="20"/>
  <c r="X182" i="24"/>
  <c r="A183" i="24"/>
  <c r="L182" i="24"/>
  <c r="AB182" i="24"/>
  <c r="K182" i="24"/>
  <c r="AK182" i="24"/>
  <c r="AJ182" i="24"/>
  <c r="O182" i="24"/>
  <c r="AC182" i="24"/>
  <c r="AB187" i="17"/>
  <c r="A188" i="17"/>
  <c r="X187" i="17"/>
  <c r="K187" i="17"/>
  <c r="L187" i="17"/>
  <c r="AJ187" i="17"/>
  <c r="O187" i="17"/>
  <c r="AK187" i="17"/>
  <c r="AC187" i="17"/>
  <c r="S188" i="1"/>
  <c r="R188" i="1" s="1"/>
  <c r="P188" i="1" s="1"/>
  <c r="V188" i="1" s="1"/>
  <c r="A182" i="25"/>
  <c r="L181" i="25"/>
  <c r="K181" i="25"/>
  <c r="X181" i="25"/>
  <c r="AB181" i="25"/>
  <c r="AK181" i="25"/>
  <c r="AJ181" i="25"/>
  <c r="O181" i="25"/>
  <c r="AC181" i="25"/>
  <c r="AF73" i="7"/>
  <c r="I187" i="1" l="1"/>
  <c r="G187" i="1"/>
  <c r="BW187" i="6" s="1"/>
  <c r="AB189" i="15"/>
  <c r="AK189" i="15"/>
  <c r="L189" i="15"/>
  <c r="D189" i="15" s="1"/>
  <c r="AJ189" i="15"/>
  <c r="X189" i="15"/>
  <c r="K189" i="15"/>
  <c r="AC189" i="15"/>
  <c r="A190" i="15"/>
  <c r="O189" i="15"/>
  <c r="E189" i="15" s="1"/>
  <c r="E187" i="16"/>
  <c r="L188" i="16"/>
  <c r="D188" i="16" s="1"/>
  <c r="K188" i="16"/>
  <c r="A189" i="16"/>
  <c r="AK188" i="16"/>
  <c r="O188" i="16"/>
  <c r="X188" i="16"/>
  <c r="AB188" i="16"/>
  <c r="AJ188" i="16"/>
  <c r="AC188" i="16"/>
  <c r="K183" i="24"/>
  <c r="L183" i="24"/>
  <c r="A184" i="24"/>
  <c r="AB183" i="24"/>
  <c r="X183" i="24"/>
  <c r="AJ183" i="24"/>
  <c r="AK183" i="24"/>
  <c r="O183" i="24"/>
  <c r="AC183" i="24"/>
  <c r="A187" i="20"/>
  <c r="K186" i="20"/>
  <c r="AB186" i="20"/>
  <c r="X186" i="20"/>
  <c r="L186" i="20"/>
  <c r="AJ186" i="20"/>
  <c r="AK186" i="20"/>
  <c r="O186" i="20"/>
  <c r="AC186" i="20"/>
  <c r="AB190" i="1"/>
  <c r="X190" i="1"/>
  <c r="K190" i="1"/>
  <c r="A191" i="1"/>
  <c r="AK190" i="1"/>
  <c r="O190" i="1"/>
  <c r="AC190" i="1"/>
  <c r="Q190" i="1"/>
  <c r="AJ190" i="1"/>
  <c r="L190" i="1"/>
  <c r="U190" i="1"/>
  <c r="T190" i="1" s="1"/>
  <c r="F188" i="1"/>
  <c r="I186" i="1"/>
  <c r="G186" i="1"/>
  <c r="BW186" i="6" s="1"/>
  <c r="AA186" i="1"/>
  <c r="Z186" i="1" s="1"/>
  <c r="Y186" i="1" s="1"/>
  <c r="AB182" i="25"/>
  <c r="X182" i="25"/>
  <c r="L182" i="25"/>
  <c r="K182" i="25"/>
  <c r="A183" i="25"/>
  <c r="AJ182" i="25"/>
  <c r="AK182" i="25"/>
  <c r="O182" i="25"/>
  <c r="AC182" i="25"/>
  <c r="X188" i="17"/>
  <c r="L188" i="17"/>
  <c r="A189" i="17"/>
  <c r="K188" i="17"/>
  <c r="AB188" i="17"/>
  <c r="AK188" i="17"/>
  <c r="AJ188" i="17"/>
  <c r="O188" i="17"/>
  <c r="AC188" i="17"/>
  <c r="A186" i="22"/>
  <c r="L185" i="22"/>
  <c r="X185" i="22"/>
  <c r="K185" i="22"/>
  <c r="AB185" i="22"/>
  <c r="AK185" i="22"/>
  <c r="AJ185" i="22"/>
  <c r="O185" i="22"/>
  <c r="AC185" i="22"/>
  <c r="S189" i="1"/>
  <c r="R189" i="1" s="1"/>
  <c r="P189" i="1" s="1"/>
  <c r="V189" i="1" s="1"/>
  <c r="D189" i="1"/>
  <c r="E189" i="1" s="1"/>
  <c r="K184" i="23"/>
  <c r="AB184" i="23"/>
  <c r="A185" i="23"/>
  <c r="L184" i="23"/>
  <c r="X184" i="23"/>
  <c r="AJ184" i="23"/>
  <c r="AK184" i="23"/>
  <c r="O184" i="23"/>
  <c r="AC184" i="23"/>
  <c r="A188" i="18"/>
  <c r="AB187" i="18"/>
  <c r="AJ187" i="18"/>
  <c r="X187" i="18"/>
  <c r="L187" i="18"/>
  <c r="K187" i="18"/>
  <c r="AK187" i="18"/>
  <c r="O187" i="18"/>
  <c r="AC187" i="18"/>
  <c r="X190" i="15" l="1"/>
  <c r="L190" i="15"/>
  <c r="D190" i="15" s="1"/>
  <c r="AC190" i="15"/>
  <c r="A191" i="15"/>
  <c r="O190" i="15"/>
  <c r="AB190" i="15"/>
  <c r="AK190" i="15"/>
  <c r="K190" i="15"/>
  <c r="AJ190" i="15"/>
  <c r="F189" i="1"/>
  <c r="G189" i="1" s="1"/>
  <c r="BW189" i="6" s="1"/>
  <c r="A190" i="16"/>
  <c r="L189" i="16"/>
  <c r="D189" i="16" s="1"/>
  <c r="K189" i="16"/>
  <c r="AK189" i="16"/>
  <c r="O189" i="16"/>
  <c r="AB189" i="16"/>
  <c r="X189" i="16"/>
  <c r="AJ189" i="16"/>
  <c r="AC189" i="16"/>
  <c r="E188" i="16"/>
  <c r="A186" i="23"/>
  <c r="L185" i="23"/>
  <c r="AB185" i="23"/>
  <c r="K185" i="23"/>
  <c r="X185" i="23"/>
  <c r="AJ185" i="23"/>
  <c r="AK185" i="23"/>
  <c r="O185" i="23"/>
  <c r="AC185" i="23"/>
  <c r="A190" i="17"/>
  <c r="L189" i="17"/>
  <c r="K189" i="17"/>
  <c r="AB189" i="17"/>
  <c r="X189" i="17"/>
  <c r="AK189" i="17"/>
  <c r="AJ189" i="17"/>
  <c r="O189" i="17"/>
  <c r="AC189" i="17"/>
  <c r="G188" i="1"/>
  <c r="BW188" i="6" s="1"/>
  <c r="I188" i="1"/>
  <c r="AA188" i="1"/>
  <c r="Z188" i="1" s="1"/>
  <c r="Y188" i="1" s="1"/>
  <c r="D190" i="1"/>
  <c r="E190" i="1" s="1"/>
  <c r="K191" i="1"/>
  <c r="AJ191" i="1"/>
  <c r="AB191" i="1"/>
  <c r="AK191" i="1"/>
  <c r="Q191" i="1"/>
  <c r="A192" i="1"/>
  <c r="L191" i="1"/>
  <c r="AC191" i="1"/>
  <c r="O191" i="1"/>
  <c r="X191" i="1"/>
  <c r="U191" i="1"/>
  <c r="T191" i="1" s="1"/>
  <c r="A188" i="20"/>
  <c r="L187" i="20"/>
  <c r="K187" i="20"/>
  <c r="AB187" i="20"/>
  <c r="X187" i="20"/>
  <c r="AJ187" i="20"/>
  <c r="AK187" i="20"/>
  <c r="O187" i="20"/>
  <c r="AC187" i="20"/>
  <c r="AB188" i="18"/>
  <c r="K188" i="18"/>
  <c r="AJ188" i="18"/>
  <c r="X188" i="18"/>
  <c r="L188" i="18"/>
  <c r="A189" i="18"/>
  <c r="O188" i="18"/>
  <c r="AK188" i="18"/>
  <c r="AC188" i="18"/>
  <c r="X186" i="22"/>
  <c r="K186" i="22"/>
  <c r="A187" i="22"/>
  <c r="L186" i="22"/>
  <c r="AB186" i="22"/>
  <c r="AK186" i="22"/>
  <c r="AJ186" i="22"/>
  <c r="O186" i="22"/>
  <c r="AC186" i="22"/>
  <c r="X183" i="25"/>
  <c r="L183" i="25"/>
  <c r="AB183" i="25"/>
  <c r="A184" i="25"/>
  <c r="K183" i="25"/>
  <c r="AJ183" i="25"/>
  <c r="O183" i="25"/>
  <c r="AK183" i="25"/>
  <c r="AC183" i="25"/>
  <c r="S190" i="1"/>
  <c r="R190" i="1" s="1"/>
  <c r="P190" i="1" s="1"/>
  <c r="V190" i="1" s="1"/>
  <c r="F190" i="1" s="1"/>
  <c r="X184" i="24"/>
  <c r="K184" i="24"/>
  <c r="A185" i="24"/>
  <c r="AB184" i="24"/>
  <c r="L184" i="24"/>
  <c r="AK184" i="24"/>
  <c r="AJ184" i="24"/>
  <c r="O184" i="24"/>
  <c r="AC184" i="24"/>
  <c r="AA189" i="1" l="1"/>
  <c r="Z189" i="1" s="1"/>
  <c r="Y189" i="1" s="1"/>
  <c r="E189" i="16"/>
  <c r="A192" i="15"/>
  <c r="O191" i="15"/>
  <c r="X191" i="15"/>
  <c r="AJ191" i="15"/>
  <c r="K191" i="15"/>
  <c r="AK191" i="15"/>
  <c r="L191" i="15"/>
  <c r="D191" i="15" s="1"/>
  <c r="AB191" i="15"/>
  <c r="AC191" i="15"/>
  <c r="I189" i="1"/>
  <c r="E190" i="15"/>
  <c r="A191" i="16"/>
  <c r="L190" i="16"/>
  <c r="D190" i="16" s="1"/>
  <c r="AK190" i="16"/>
  <c r="AC190" i="16"/>
  <c r="K190" i="16"/>
  <c r="X190" i="16"/>
  <c r="AB190" i="16"/>
  <c r="AJ190" i="16"/>
  <c r="O190" i="16"/>
  <c r="G190" i="1"/>
  <c r="BW190" i="6" s="1"/>
  <c r="I190" i="1"/>
  <c r="AA190" i="1"/>
  <c r="Z190" i="1" s="1"/>
  <c r="Y190" i="1" s="1"/>
  <c r="A186" i="24"/>
  <c r="L185" i="24"/>
  <c r="K185" i="24"/>
  <c r="X185" i="24"/>
  <c r="AB185" i="24"/>
  <c r="AJ185" i="24"/>
  <c r="AK185" i="24"/>
  <c r="O185" i="24"/>
  <c r="AC185" i="24"/>
  <c r="AB184" i="25"/>
  <c r="A185" i="25"/>
  <c r="K184" i="25"/>
  <c r="X184" i="25"/>
  <c r="L184" i="25"/>
  <c r="AJ184" i="25"/>
  <c r="O184" i="25"/>
  <c r="AK184" i="25"/>
  <c r="AC184" i="25"/>
  <c r="K187" i="22"/>
  <c r="X187" i="22"/>
  <c r="AB187" i="22"/>
  <c r="L187" i="22"/>
  <c r="A188" i="22"/>
  <c r="AJ187" i="22"/>
  <c r="AK187" i="22"/>
  <c r="O187" i="22"/>
  <c r="AC187" i="22"/>
  <c r="A190" i="18"/>
  <c r="AB189" i="18"/>
  <c r="L189" i="18"/>
  <c r="K189" i="18"/>
  <c r="AJ189" i="18"/>
  <c r="X189" i="18"/>
  <c r="AK189" i="18"/>
  <c r="O189" i="18"/>
  <c r="AC189" i="18"/>
  <c r="AJ192" i="1"/>
  <c r="AB192" i="1"/>
  <c r="A193" i="1"/>
  <c r="O192" i="1"/>
  <c r="AK192" i="1"/>
  <c r="X192" i="1"/>
  <c r="Q192" i="1"/>
  <c r="L192" i="1"/>
  <c r="AC192" i="1"/>
  <c r="K192" i="1"/>
  <c r="U192" i="1"/>
  <c r="T192" i="1" s="1"/>
  <c r="S192" i="1" s="1"/>
  <c r="R192" i="1" s="1"/>
  <c r="P192" i="1" s="1"/>
  <c r="A187" i="23"/>
  <c r="K186" i="23"/>
  <c r="AB186" i="23"/>
  <c r="X186" i="23"/>
  <c r="L186" i="23"/>
  <c r="AJ186" i="23"/>
  <c r="AK186" i="23"/>
  <c r="O186" i="23"/>
  <c r="AC186" i="23"/>
  <c r="AB188" i="20"/>
  <c r="K188" i="20"/>
  <c r="X188" i="20"/>
  <c r="L188" i="20"/>
  <c r="A189" i="20"/>
  <c r="AJ188" i="20"/>
  <c r="AK188" i="20"/>
  <c r="O188" i="20"/>
  <c r="AC188" i="20"/>
  <c r="S191" i="1"/>
  <c r="R191" i="1" s="1"/>
  <c r="P191" i="1" s="1"/>
  <c r="V191" i="1" s="1"/>
  <c r="D191" i="1"/>
  <c r="E191" i="1" s="1"/>
  <c r="A191" i="17"/>
  <c r="K190" i="17"/>
  <c r="X190" i="17"/>
  <c r="L190" i="17"/>
  <c r="AB190" i="17"/>
  <c r="AJ190" i="17"/>
  <c r="O190" i="17"/>
  <c r="AK190" i="17"/>
  <c r="AC190" i="17"/>
  <c r="E191" i="15" l="1"/>
  <c r="K192" i="15"/>
  <c r="AJ192" i="15"/>
  <c r="X192" i="15"/>
  <c r="AK192" i="15"/>
  <c r="L192" i="15"/>
  <c r="D192" i="15" s="1"/>
  <c r="A193" i="15"/>
  <c r="AC192" i="15"/>
  <c r="AB192" i="15"/>
  <c r="O192" i="15"/>
  <c r="E192" i="15" s="1"/>
  <c r="E190" i="16"/>
  <c r="A192" i="16"/>
  <c r="L191" i="16"/>
  <c r="D191" i="16" s="1"/>
  <c r="K191" i="16"/>
  <c r="AK191" i="16"/>
  <c r="O191" i="16"/>
  <c r="X191" i="16"/>
  <c r="AJ191" i="16"/>
  <c r="AB191" i="16"/>
  <c r="AC191" i="16"/>
  <c r="X191" i="17"/>
  <c r="L191" i="17"/>
  <c r="K191" i="17"/>
  <c r="AB191" i="17"/>
  <c r="A192" i="17"/>
  <c r="AJ191" i="17"/>
  <c r="O191" i="17"/>
  <c r="AK191" i="17"/>
  <c r="AC191" i="17"/>
  <c r="A190" i="20"/>
  <c r="L189" i="20"/>
  <c r="X189" i="20"/>
  <c r="K189" i="20"/>
  <c r="AB189" i="20"/>
  <c r="AJ189" i="20"/>
  <c r="AK189" i="20"/>
  <c r="O189" i="20"/>
  <c r="AC189" i="20"/>
  <c r="K187" i="23"/>
  <c r="X187" i="23"/>
  <c r="A188" i="23"/>
  <c r="L187" i="23"/>
  <c r="AB187" i="23"/>
  <c r="AJ187" i="23"/>
  <c r="AK187" i="23"/>
  <c r="O187" i="23"/>
  <c r="AC187" i="23"/>
  <c r="D192" i="1"/>
  <c r="E192" i="1" s="1"/>
  <c r="V192" i="1"/>
  <c r="K190" i="18"/>
  <c r="AJ190" i="18"/>
  <c r="X190" i="18"/>
  <c r="A191" i="18"/>
  <c r="AB190" i="18"/>
  <c r="L190" i="18"/>
  <c r="O190" i="18"/>
  <c r="AK190" i="18"/>
  <c r="AC190" i="18"/>
  <c r="AB186" i="24"/>
  <c r="K186" i="24"/>
  <c r="A187" i="24"/>
  <c r="X186" i="24"/>
  <c r="L186" i="24"/>
  <c r="AJ186" i="24"/>
  <c r="AK186" i="24"/>
  <c r="O186" i="24"/>
  <c r="AC186" i="24"/>
  <c r="F191" i="1"/>
  <c r="AK193" i="1"/>
  <c r="X193" i="1"/>
  <c r="AB193" i="1"/>
  <c r="AJ193" i="1"/>
  <c r="AC193" i="1"/>
  <c r="L193" i="1"/>
  <c r="O193" i="1"/>
  <c r="A194" i="1"/>
  <c r="K193" i="1"/>
  <c r="Q193" i="1"/>
  <c r="U193" i="1"/>
  <c r="T193" i="1" s="1"/>
  <c r="K188" i="22"/>
  <c r="L188" i="22"/>
  <c r="X188" i="22"/>
  <c r="AB188" i="22"/>
  <c r="A189" i="22"/>
  <c r="AJ188" i="22"/>
  <c r="AK188" i="22"/>
  <c r="O188" i="22"/>
  <c r="AC188" i="22"/>
  <c r="K185" i="25"/>
  <c r="AB185" i="25"/>
  <c r="X185" i="25"/>
  <c r="L185" i="25"/>
  <c r="A186" i="25"/>
  <c r="AJ185" i="25"/>
  <c r="O185" i="25"/>
  <c r="AK185" i="25"/>
  <c r="AC185" i="25"/>
  <c r="X193" i="15" l="1"/>
  <c r="O193" i="15"/>
  <c r="K193" i="15"/>
  <c r="AJ193" i="15"/>
  <c r="L193" i="15"/>
  <c r="D193" i="15" s="1"/>
  <c r="AK193" i="15"/>
  <c r="AB193" i="15"/>
  <c r="A194" i="15"/>
  <c r="AC193" i="15"/>
  <c r="E191" i="16"/>
  <c r="X192" i="16"/>
  <c r="AB192" i="16"/>
  <c r="A193" i="16"/>
  <c r="AJ192" i="16"/>
  <c r="O192" i="16"/>
  <c r="K192" i="16"/>
  <c r="L192" i="16"/>
  <c r="D192" i="16" s="1"/>
  <c r="E192" i="16" s="1"/>
  <c r="AK192" i="16"/>
  <c r="AC192" i="16"/>
  <c r="AB189" i="22"/>
  <c r="A190" i="22"/>
  <c r="K189" i="22"/>
  <c r="L189" i="22"/>
  <c r="X189" i="22"/>
  <c r="AJ189" i="22"/>
  <c r="AK189" i="22"/>
  <c r="O189" i="22"/>
  <c r="AC189" i="22"/>
  <c r="O194" i="1"/>
  <c r="K194" i="1"/>
  <c r="AJ194" i="1"/>
  <c r="AB194" i="1"/>
  <c r="AK194" i="1"/>
  <c r="A195" i="1"/>
  <c r="Q194" i="1"/>
  <c r="AC194" i="1"/>
  <c r="X194" i="1"/>
  <c r="L194" i="1"/>
  <c r="U194" i="1"/>
  <c r="T194" i="1" s="1"/>
  <c r="D193" i="1"/>
  <c r="E193" i="1" s="1"/>
  <c r="G191" i="1"/>
  <c r="BW191" i="6" s="1"/>
  <c r="I191" i="1"/>
  <c r="AA191" i="1"/>
  <c r="Z191" i="1" s="1"/>
  <c r="Y191" i="1" s="1"/>
  <c r="X187" i="24"/>
  <c r="K187" i="24"/>
  <c r="A188" i="24"/>
  <c r="AB187" i="24"/>
  <c r="L187" i="24"/>
  <c r="AK187" i="24"/>
  <c r="AJ187" i="24"/>
  <c r="O187" i="24"/>
  <c r="AC187" i="24"/>
  <c r="K191" i="18"/>
  <c r="A192" i="18"/>
  <c r="L191" i="18"/>
  <c r="X191" i="18"/>
  <c r="AJ191" i="18"/>
  <c r="AB191" i="18"/>
  <c r="AK191" i="18"/>
  <c r="O191" i="18"/>
  <c r="AC191" i="18"/>
  <c r="A191" i="20"/>
  <c r="K190" i="20"/>
  <c r="L190" i="20"/>
  <c r="X190" i="20"/>
  <c r="AB190" i="20"/>
  <c r="AJ190" i="20"/>
  <c r="AK190" i="20"/>
  <c r="O190" i="20"/>
  <c r="AC190" i="20"/>
  <c r="X186" i="25"/>
  <c r="K186" i="25"/>
  <c r="A187" i="25"/>
  <c r="AB186" i="25"/>
  <c r="L186" i="25"/>
  <c r="AJ186" i="25"/>
  <c r="O186" i="25"/>
  <c r="AK186" i="25"/>
  <c r="AC186" i="25"/>
  <c r="S193" i="1"/>
  <c r="R193" i="1" s="1"/>
  <c r="P193" i="1" s="1"/>
  <c r="V193" i="1" s="1"/>
  <c r="F192" i="1"/>
  <c r="AB188" i="23"/>
  <c r="L188" i="23"/>
  <c r="X188" i="23"/>
  <c r="A189" i="23"/>
  <c r="K188" i="23"/>
  <c r="AJ188" i="23"/>
  <c r="AK188" i="23"/>
  <c r="O188" i="23"/>
  <c r="AC188" i="23"/>
  <c r="AB192" i="17"/>
  <c r="X192" i="17"/>
  <c r="A193" i="17"/>
  <c r="L192" i="17"/>
  <c r="K192" i="17"/>
  <c r="AJ192" i="17"/>
  <c r="O192" i="17"/>
  <c r="AK192" i="17"/>
  <c r="AC192" i="17"/>
  <c r="L194" i="15" l="1"/>
  <c r="D194" i="15" s="1"/>
  <c r="AK194" i="15"/>
  <c r="A195" i="15"/>
  <c r="X194" i="15"/>
  <c r="AC194" i="15"/>
  <c r="K194" i="15"/>
  <c r="O194" i="15"/>
  <c r="E194" i="15" s="1"/>
  <c r="AB194" i="15"/>
  <c r="AJ194" i="15"/>
  <c r="E193" i="15"/>
  <c r="X193" i="16"/>
  <c r="L193" i="16"/>
  <c r="D193" i="16" s="1"/>
  <c r="A194" i="16"/>
  <c r="AK193" i="16"/>
  <c r="O193" i="16"/>
  <c r="AB193" i="16"/>
  <c r="K193" i="16"/>
  <c r="AJ193" i="16"/>
  <c r="AC193" i="16"/>
  <c r="F193" i="1"/>
  <c r="AA193" i="1" s="1"/>
  <c r="Z193" i="1" s="1"/>
  <c r="Y193" i="1" s="1"/>
  <c r="AB193" i="17"/>
  <c r="L193" i="17"/>
  <c r="A194" i="17"/>
  <c r="X193" i="17"/>
  <c r="K193" i="17"/>
  <c r="AJ193" i="17"/>
  <c r="O193" i="17"/>
  <c r="AK193" i="17"/>
  <c r="AC193" i="17"/>
  <c r="X189" i="23"/>
  <c r="L189" i="23"/>
  <c r="AB189" i="23"/>
  <c r="A190" i="23"/>
  <c r="K189" i="23"/>
  <c r="AK189" i="23"/>
  <c r="AJ189" i="23"/>
  <c r="O189" i="23"/>
  <c r="AC189" i="23"/>
  <c r="G192" i="1"/>
  <c r="BW192" i="6" s="1"/>
  <c r="I192" i="1"/>
  <c r="AA192" i="1"/>
  <c r="Z192" i="1" s="1"/>
  <c r="Y192" i="1" s="1"/>
  <c r="A192" i="20"/>
  <c r="K191" i="20"/>
  <c r="X191" i="20"/>
  <c r="AB191" i="20"/>
  <c r="L191" i="20"/>
  <c r="AJ191" i="20"/>
  <c r="AK191" i="20"/>
  <c r="O191" i="20"/>
  <c r="AC191" i="20"/>
  <c r="AB192" i="18"/>
  <c r="AJ192" i="18"/>
  <c r="X192" i="18"/>
  <c r="K192" i="18"/>
  <c r="A193" i="18"/>
  <c r="L192" i="18"/>
  <c r="AK192" i="18"/>
  <c r="O192" i="18"/>
  <c r="AC192" i="18"/>
  <c r="AB188" i="24"/>
  <c r="X188" i="24"/>
  <c r="K188" i="24"/>
  <c r="L188" i="24"/>
  <c r="A189" i="24"/>
  <c r="AJ188" i="24"/>
  <c r="AK188" i="24"/>
  <c r="O188" i="24"/>
  <c r="AC188" i="24"/>
  <c r="S194" i="1"/>
  <c r="R194" i="1" s="1"/>
  <c r="P194" i="1" s="1"/>
  <c r="V194" i="1" s="1"/>
  <c r="K190" i="22"/>
  <c r="L190" i="22"/>
  <c r="X190" i="22"/>
  <c r="A191" i="22"/>
  <c r="AB190" i="22"/>
  <c r="AJ190" i="22"/>
  <c r="AK190" i="22"/>
  <c r="O190" i="22"/>
  <c r="AC190" i="22"/>
  <c r="K187" i="25"/>
  <c r="A188" i="25"/>
  <c r="L187" i="25"/>
  <c r="X187" i="25"/>
  <c r="AB187" i="25"/>
  <c r="AJ187" i="25"/>
  <c r="AK187" i="25"/>
  <c r="O187" i="25"/>
  <c r="AC187" i="25"/>
  <c r="D194" i="1"/>
  <c r="E194" i="1" s="1"/>
  <c r="AK195" i="1"/>
  <c r="L195" i="1"/>
  <c r="O195" i="1"/>
  <c r="AC195" i="1"/>
  <c r="A196" i="1"/>
  <c r="AJ195" i="1"/>
  <c r="AB195" i="1"/>
  <c r="Q195" i="1"/>
  <c r="X195" i="1"/>
  <c r="K195" i="1"/>
  <c r="U195" i="1"/>
  <c r="T195" i="1" s="1"/>
  <c r="S195" i="1" s="1"/>
  <c r="R195" i="1" s="1"/>
  <c r="P195" i="1" l="1"/>
  <c r="V195" i="1" s="1"/>
  <c r="G61" i="19" s="1"/>
  <c r="I193" i="1"/>
  <c r="A196" i="15"/>
  <c r="X195" i="15"/>
  <c r="AC195" i="15"/>
  <c r="L195" i="15"/>
  <c r="D195" i="15" s="1"/>
  <c r="O195" i="15"/>
  <c r="AB195" i="15"/>
  <c r="AJ195" i="15"/>
  <c r="K195" i="15"/>
  <c r="AK195" i="15"/>
  <c r="E193" i="16"/>
  <c r="G193" i="1"/>
  <c r="BW193" i="6" s="1"/>
  <c r="F194" i="1"/>
  <c r="AA194" i="1" s="1"/>
  <c r="Z194" i="1" s="1"/>
  <c r="Y194" i="1" s="1"/>
  <c r="X194" i="16"/>
  <c r="AB194" i="16"/>
  <c r="AK194" i="16"/>
  <c r="AC194" i="16"/>
  <c r="K194" i="16"/>
  <c r="L194" i="16"/>
  <c r="D194" i="16" s="1"/>
  <c r="A195" i="16"/>
  <c r="AJ194" i="16"/>
  <c r="O194" i="16"/>
  <c r="A197" i="1"/>
  <c r="AB196" i="1"/>
  <c r="Q196" i="1"/>
  <c r="AJ196" i="1"/>
  <c r="AC196" i="1"/>
  <c r="X196" i="1"/>
  <c r="K196" i="1"/>
  <c r="O196" i="1"/>
  <c r="AK196" i="1"/>
  <c r="L196" i="1"/>
  <c r="U196" i="1"/>
  <c r="T196" i="1" s="1"/>
  <c r="S196" i="1" s="1"/>
  <c r="R196" i="1" s="1"/>
  <c r="P196" i="1" s="1"/>
  <c r="AB188" i="25"/>
  <c r="A189" i="25"/>
  <c r="K188" i="25"/>
  <c r="X188" i="25"/>
  <c r="L188" i="25"/>
  <c r="AJ188" i="25"/>
  <c r="AK188" i="25"/>
  <c r="O188" i="25"/>
  <c r="AC188" i="25"/>
  <c r="AB189" i="24"/>
  <c r="L189" i="24"/>
  <c r="X189" i="24"/>
  <c r="A190" i="24"/>
  <c r="K189" i="24"/>
  <c r="AK189" i="24"/>
  <c r="O189" i="24"/>
  <c r="AJ189" i="24"/>
  <c r="AC189" i="24"/>
  <c r="X192" i="20"/>
  <c r="L192" i="20"/>
  <c r="AB192" i="20"/>
  <c r="K192" i="20"/>
  <c r="A193" i="20"/>
  <c r="AK192" i="20"/>
  <c r="AJ192" i="20"/>
  <c r="O192" i="20"/>
  <c r="AC192" i="20"/>
  <c r="D195" i="1"/>
  <c r="E195" i="1" s="1"/>
  <c r="A192" i="22"/>
  <c r="X191" i="22"/>
  <c r="K191" i="22"/>
  <c r="AB191" i="22"/>
  <c r="L191" i="22"/>
  <c r="AJ191" i="22"/>
  <c r="AK191" i="22"/>
  <c r="O191" i="22"/>
  <c r="AC191" i="22"/>
  <c r="K193" i="18"/>
  <c r="L193" i="18"/>
  <c r="X193" i="18"/>
  <c r="AB193" i="18"/>
  <c r="A194" i="18"/>
  <c r="AJ193" i="18"/>
  <c r="O193" i="18"/>
  <c r="AK193" i="18"/>
  <c r="AC193" i="18"/>
  <c r="A191" i="23"/>
  <c r="K190" i="23"/>
  <c r="AB190" i="23"/>
  <c r="X190" i="23"/>
  <c r="L190" i="23"/>
  <c r="AJ190" i="23"/>
  <c r="AK190" i="23"/>
  <c r="O190" i="23"/>
  <c r="AC190" i="23"/>
  <c r="K194" i="17"/>
  <c r="L194" i="17"/>
  <c r="X194" i="17"/>
  <c r="A195" i="17"/>
  <c r="AB194" i="17"/>
  <c r="AJ194" i="17"/>
  <c r="O194" i="17"/>
  <c r="AK194" i="17"/>
  <c r="AC194" i="17"/>
  <c r="E195" i="15" l="1"/>
  <c r="L196" i="15"/>
  <c r="D196" i="15" s="1"/>
  <c r="AJ196" i="15"/>
  <c r="K196" i="15"/>
  <c r="A197" i="15"/>
  <c r="AC196" i="15"/>
  <c r="AB196" i="15"/>
  <c r="O196" i="15"/>
  <c r="E196" i="15" s="1"/>
  <c r="X196" i="15"/>
  <c r="AK196" i="15"/>
  <c r="E194" i="16"/>
  <c r="G194" i="1"/>
  <c r="BW194" i="6" s="1"/>
  <c r="I194" i="1"/>
  <c r="K195" i="16"/>
  <c r="AB195" i="16"/>
  <c r="A196" i="16"/>
  <c r="AK195" i="16"/>
  <c r="O195" i="16"/>
  <c r="L195" i="16"/>
  <c r="D195" i="16" s="1"/>
  <c r="X195" i="16"/>
  <c r="AJ195" i="16"/>
  <c r="AC195" i="16"/>
  <c r="AB191" i="23"/>
  <c r="K191" i="23"/>
  <c r="L191" i="23"/>
  <c r="X191" i="23"/>
  <c r="A192" i="23"/>
  <c r="AJ191" i="23"/>
  <c r="AK191" i="23"/>
  <c r="O191" i="23"/>
  <c r="AC191" i="23"/>
  <c r="A193" i="22"/>
  <c r="AB192" i="22"/>
  <c r="L192" i="22"/>
  <c r="K192" i="22"/>
  <c r="X192" i="22"/>
  <c r="AK192" i="22"/>
  <c r="AJ192" i="22"/>
  <c r="O192" i="22"/>
  <c r="AC192" i="22"/>
  <c r="K189" i="25"/>
  <c r="A190" i="25"/>
  <c r="L189" i="25"/>
  <c r="X189" i="25"/>
  <c r="AB189" i="25"/>
  <c r="AK189" i="25"/>
  <c r="AJ189" i="25"/>
  <c r="O189" i="25"/>
  <c r="AC189" i="25"/>
  <c r="D196" i="1"/>
  <c r="E196" i="1" s="1"/>
  <c r="V196" i="1"/>
  <c r="A196" i="17"/>
  <c r="X195" i="17"/>
  <c r="L195" i="17"/>
  <c r="K195" i="17"/>
  <c r="AB195" i="17"/>
  <c r="AJ195" i="17"/>
  <c r="AK195" i="17"/>
  <c r="O195" i="17"/>
  <c r="AC195" i="17"/>
  <c r="A195" i="18"/>
  <c r="AJ194" i="18"/>
  <c r="AB194" i="18"/>
  <c r="K194" i="18"/>
  <c r="X194" i="18"/>
  <c r="L194" i="18"/>
  <c r="O194" i="18"/>
  <c r="AK194" i="18"/>
  <c r="AC194" i="18"/>
  <c r="F195" i="1"/>
  <c r="AB193" i="20"/>
  <c r="A194" i="20"/>
  <c r="K193" i="20"/>
  <c r="L193" i="20"/>
  <c r="X193" i="20"/>
  <c r="AJ193" i="20"/>
  <c r="AK193" i="20"/>
  <c r="O193" i="20"/>
  <c r="AC193" i="20"/>
  <c r="K190" i="24"/>
  <c r="A191" i="24"/>
  <c r="AB190" i="24"/>
  <c r="L190" i="24"/>
  <c r="X190" i="24"/>
  <c r="AJ190" i="24"/>
  <c r="AK190" i="24"/>
  <c r="O190" i="24"/>
  <c r="AC190" i="24"/>
  <c r="AK197" i="1"/>
  <c r="Q197" i="1"/>
  <c r="AC197" i="1"/>
  <c r="A198" i="1"/>
  <c r="AJ197" i="1"/>
  <c r="X197" i="1"/>
  <c r="O197" i="1"/>
  <c r="AB197" i="1"/>
  <c r="L197" i="1"/>
  <c r="K197" i="1"/>
  <c r="U197" i="1"/>
  <c r="T197" i="1" s="1"/>
  <c r="S197" i="1" s="1"/>
  <c r="R197" i="1" s="1"/>
  <c r="P197" i="1" l="1"/>
  <c r="V197" i="1" s="1"/>
  <c r="A198" i="15"/>
  <c r="AK197" i="15"/>
  <c r="K197" i="15"/>
  <c r="L197" i="15"/>
  <c r="D197" i="15" s="1"/>
  <c r="AC197" i="15"/>
  <c r="X197" i="15"/>
  <c r="O197" i="15"/>
  <c r="AB197" i="15"/>
  <c r="AJ197" i="15"/>
  <c r="E195" i="16"/>
  <c r="L196" i="16"/>
  <c r="D196" i="16" s="1"/>
  <c r="AB196" i="16"/>
  <c r="A197" i="16"/>
  <c r="AJ196" i="16"/>
  <c r="O196" i="16"/>
  <c r="K196" i="16"/>
  <c r="X196" i="16"/>
  <c r="AK196" i="16"/>
  <c r="AC196" i="16"/>
  <c r="D197" i="1"/>
  <c r="E197" i="1" s="1"/>
  <c r="AB194" i="20"/>
  <c r="L194" i="20"/>
  <c r="X194" i="20"/>
  <c r="K194" i="20"/>
  <c r="A195" i="20"/>
  <c r="AK194" i="20"/>
  <c r="AJ194" i="20"/>
  <c r="O194" i="20"/>
  <c r="AC194" i="20"/>
  <c r="AA195" i="1"/>
  <c r="Z195" i="1" s="1"/>
  <c r="Y195" i="1" s="1"/>
  <c r="I195" i="1"/>
  <c r="G195" i="1"/>
  <c r="BW195" i="6" s="1"/>
  <c r="K190" i="25"/>
  <c r="AB190" i="25"/>
  <c r="L190" i="25"/>
  <c r="A191" i="25"/>
  <c r="X190" i="25"/>
  <c r="AJ190" i="25"/>
  <c r="O190" i="25"/>
  <c r="AK190" i="25"/>
  <c r="AC190" i="25"/>
  <c r="X193" i="22"/>
  <c r="L193" i="22"/>
  <c r="K193" i="22"/>
  <c r="AB193" i="22"/>
  <c r="A194" i="22"/>
  <c r="AK193" i="22"/>
  <c r="AJ193" i="22"/>
  <c r="O193" i="22"/>
  <c r="AC193" i="22"/>
  <c r="AK198" i="1"/>
  <c r="A199" i="1"/>
  <c r="O198" i="1"/>
  <c r="X198" i="1"/>
  <c r="AB198" i="1"/>
  <c r="AC198" i="1"/>
  <c r="L198" i="1"/>
  <c r="K198" i="1"/>
  <c r="Q198" i="1"/>
  <c r="AJ198" i="1"/>
  <c r="U198" i="1"/>
  <c r="T198" i="1" s="1"/>
  <c r="X191" i="24"/>
  <c r="K191" i="24"/>
  <c r="A192" i="24"/>
  <c r="L191" i="24"/>
  <c r="AB191" i="24"/>
  <c r="AJ191" i="24"/>
  <c r="AK191" i="24"/>
  <c r="O191" i="24"/>
  <c r="AC191" i="24"/>
  <c r="X195" i="18"/>
  <c r="AJ195" i="18"/>
  <c r="AB195" i="18"/>
  <c r="A196" i="18"/>
  <c r="K195" i="18"/>
  <c r="L195" i="18"/>
  <c r="O195" i="18"/>
  <c r="AK195" i="18"/>
  <c r="AC195" i="18"/>
  <c r="K196" i="17"/>
  <c r="X196" i="17"/>
  <c r="A197" i="17"/>
  <c r="L196" i="17"/>
  <c r="AB196" i="17"/>
  <c r="O196" i="17"/>
  <c r="AJ196" i="17"/>
  <c r="AK196" i="17"/>
  <c r="AC196" i="17"/>
  <c r="F196" i="1"/>
  <c r="A193" i="23"/>
  <c r="L192" i="23"/>
  <c r="AB192" i="23"/>
  <c r="X192" i="23"/>
  <c r="K192" i="23"/>
  <c r="AJ192" i="23"/>
  <c r="AK192" i="23"/>
  <c r="O192" i="23"/>
  <c r="AC192" i="23"/>
  <c r="E197" i="15" l="1"/>
  <c r="AB198" i="15"/>
  <c r="K198" i="15"/>
  <c r="AC198" i="15"/>
  <c r="L198" i="15"/>
  <c r="D198" i="15" s="1"/>
  <c r="O198" i="15"/>
  <c r="X198" i="15"/>
  <c r="AK198" i="15"/>
  <c r="A199" i="15"/>
  <c r="AJ198" i="15"/>
  <c r="X197" i="16"/>
  <c r="L197" i="16"/>
  <c r="D197" i="16" s="1"/>
  <c r="AJ197" i="16"/>
  <c r="AC197" i="16"/>
  <c r="A198" i="16"/>
  <c r="K197" i="16"/>
  <c r="AB197" i="16"/>
  <c r="AK197" i="16"/>
  <c r="O197" i="16"/>
  <c r="E196" i="16"/>
  <c r="G196" i="1"/>
  <c r="BW196" i="6" s="1"/>
  <c r="AA196" i="1"/>
  <c r="Z196" i="1" s="1"/>
  <c r="Y196" i="1" s="1"/>
  <c r="I196" i="1"/>
  <c r="S198" i="1"/>
  <c r="R198" i="1" s="1"/>
  <c r="P198" i="1" s="1"/>
  <c r="V198" i="1" s="1"/>
  <c r="D198" i="1"/>
  <c r="E198" i="1" s="1"/>
  <c r="AB195" i="20"/>
  <c r="L195" i="20"/>
  <c r="K195" i="20"/>
  <c r="X195" i="20"/>
  <c r="A196" i="20"/>
  <c r="AJ195" i="20"/>
  <c r="AK195" i="20"/>
  <c r="O195" i="20"/>
  <c r="AC195" i="20"/>
  <c r="K193" i="23"/>
  <c r="A194" i="23"/>
  <c r="L193" i="23"/>
  <c r="AB193" i="23"/>
  <c r="X193" i="23"/>
  <c r="AJ193" i="23"/>
  <c r="AK193" i="23"/>
  <c r="O193" i="23"/>
  <c r="AC193" i="23"/>
  <c r="K197" i="17"/>
  <c r="L197" i="17"/>
  <c r="A198" i="17"/>
  <c r="AB197" i="17"/>
  <c r="X197" i="17"/>
  <c r="AJ197" i="17"/>
  <c r="O197" i="17"/>
  <c r="AK197" i="17"/>
  <c r="AC197" i="17"/>
  <c r="K196" i="18"/>
  <c r="L196" i="18"/>
  <c r="AB196" i="18"/>
  <c r="X196" i="18"/>
  <c r="A197" i="18"/>
  <c r="AJ196" i="18"/>
  <c r="O196" i="18"/>
  <c r="AK196" i="18"/>
  <c r="AC196" i="18"/>
  <c r="X192" i="24"/>
  <c r="K192" i="24"/>
  <c r="AB192" i="24"/>
  <c r="L192" i="24"/>
  <c r="A193" i="24"/>
  <c r="AJ192" i="24"/>
  <c r="AK192" i="24"/>
  <c r="O192" i="24"/>
  <c r="AC192" i="24"/>
  <c r="K199" i="1"/>
  <c r="AJ199" i="1"/>
  <c r="Q199" i="1"/>
  <c r="L199" i="1"/>
  <c r="AK199" i="1"/>
  <c r="AC199" i="1"/>
  <c r="X199" i="1"/>
  <c r="A200" i="1"/>
  <c r="O199" i="1"/>
  <c r="AB199" i="1"/>
  <c r="U199" i="1"/>
  <c r="T199" i="1" s="1"/>
  <c r="S199" i="1" s="1"/>
  <c r="R199" i="1" s="1"/>
  <c r="P199" i="1" s="1"/>
  <c r="A195" i="22"/>
  <c r="X194" i="22"/>
  <c r="AB194" i="22"/>
  <c r="L194" i="22"/>
  <c r="K194" i="22"/>
  <c r="AJ194" i="22"/>
  <c r="AK194" i="22"/>
  <c r="O194" i="22"/>
  <c r="AC194" i="22"/>
  <c r="K191" i="25"/>
  <c r="A192" i="25"/>
  <c r="AB191" i="25"/>
  <c r="L191" i="25"/>
  <c r="X191" i="25"/>
  <c r="AJ191" i="25"/>
  <c r="AK191" i="25"/>
  <c r="O191" i="25"/>
  <c r="AC191" i="25"/>
  <c r="F197" i="1"/>
  <c r="L199" i="15" l="1"/>
  <c r="D199" i="15" s="1"/>
  <c r="AK199" i="15"/>
  <c r="X199" i="15"/>
  <c r="AJ199" i="15"/>
  <c r="A200" i="15"/>
  <c r="AB199" i="15"/>
  <c r="AC199" i="15"/>
  <c r="K199" i="15"/>
  <c r="O199" i="15"/>
  <c r="E198" i="15"/>
  <c r="L198" i="16"/>
  <c r="D198" i="16" s="1"/>
  <c r="K198" i="16"/>
  <c r="AK198" i="16"/>
  <c r="AC198" i="16"/>
  <c r="AB198" i="16"/>
  <c r="A199" i="16"/>
  <c r="X198" i="16"/>
  <c r="AJ198" i="16"/>
  <c r="O198" i="16"/>
  <c r="E197" i="16"/>
  <c r="AB197" i="18"/>
  <c r="K197" i="18"/>
  <c r="AJ197" i="18"/>
  <c r="X197" i="18"/>
  <c r="L197" i="18"/>
  <c r="A198" i="18"/>
  <c r="O197" i="18"/>
  <c r="AK197" i="18"/>
  <c r="AC197" i="18"/>
  <c r="AA197" i="1"/>
  <c r="Z197" i="1" s="1"/>
  <c r="Y197" i="1" s="1"/>
  <c r="G197" i="1"/>
  <c r="BW197" i="6" s="1"/>
  <c r="I197" i="1"/>
  <c r="A193" i="25"/>
  <c r="AB192" i="25"/>
  <c r="L192" i="25"/>
  <c r="X192" i="25"/>
  <c r="K192" i="25"/>
  <c r="AJ192" i="25"/>
  <c r="O192" i="25"/>
  <c r="AK192" i="25"/>
  <c r="AC192" i="25"/>
  <c r="X195" i="22"/>
  <c r="L195" i="22"/>
  <c r="A196" i="22"/>
  <c r="AB195" i="22"/>
  <c r="K195" i="22"/>
  <c r="AJ195" i="22"/>
  <c r="AK195" i="22"/>
  <c r="O195" i="22"/>
  <c r="AC195" i="22"/>
  <c r="L200" i="1"/>
  <c r="AC200" i="1"/>
  <c r="O200" i="1"/>
  <c r="X200" i="1"/>
  <c r="Q200" i="1"/>
  <c r="AK200" i="1"/>
  <c r="AJ200" i="1"/>
  <c r="A201" i="1"/>
  <c r="K200" i="1"/>
  <c r="AB200" i="1"/>
  <c r="U200" i="1"/>
  <c r="T200" i="1" s="1"/>
  <c r="D199" i="1"/>
  <c r="E199" i="1" s="1"/>
  <c r="V199" i="1"/>
  <c r="AB193" i="24"/>
  <c r="X193" i="24"/>
  <c r="A194" i="24"/>
  <c r="K193" i="24"/>
  <c r="L193" i="24"/>
  <c r="AJ193" i="24"/>
  <c r="AK193" i="24"/>
  <c r="O193" i="24"/>
  <c r="AC193" i="24"/>
  <c r="A199" i="17"/>
  <c r="K198" i="17"/>
  <c r="L198" i="17"/>
  <c r="X198" i="17"/>
  <c r="AB198" i="17"/>
  <c r="AK198" i="17"/>
  <c r="AJ198" i="17"/>
  <c r="O198" i="17"/>
  <c r="AC198" i="17"/>
  <c r="AB194" i="23"/>
  <c r="L194" i="23"/>
  <c r="K194" i="23"/>
  <c r="A195" i="23"/>
  <c r="X194" i="23"/>
  <c r="AK194" i="23"/>
  <c r="AJ194" i="23"/>
  <c r="O194" i="23"/>
  <c r="AC194" i="23"/>
  <c r="A197" i="20"/>
  <c r="L196" i="20"/>
  <c r="AB196" i="20"/>
  <c r="K196" i="20"/>
  <c r="X196" i="20"/>
  <c r="AJ196" i="20"/>
  <c r="AK196" i="20"/>
  <c r="O196" i="20"/>
  <c r="AC196" i="20"/>
  <c r="F198" i="1"/>
  <c r="X200" i="15" l="1"/>
  <c r="AK200" i="15"/>
  <c r="A201" i="15"/>
  <c r="K200" i="15"/>
  <c r="AC200" i="15"/>
  <c r="AB200" i="15"/>
  <c r="O200" i="15"/>
  <c r="L200" i="15"/>
  <c r="D200" i="15" s="1"/>
  <c r="AJ200" i="15"/>
  <c r="E199" i="15"/>
  <c r="K199" i="16"/>
  <c r="X199" i="16"/>
  <c r="A200" i="16"/>
  <c r="AK199" i="16"/>
  <c r="O199" i="16"/>
  <c r="AB199" i="16"/>
  <c r="L199" i="16"/>
  <c r="D199" i="16" s="1"/>
  <c r="E199" i="16" s="1"/>
  <c r="AJ199" i="16"/>
  <c r="AC199" i="16"/>
  <c r="E198" i="16"/>
  <c r="A198" i="20"/>
  <c r="AB197" i="20"/>
  <c r="L197" i="20"/>
  <c r="K197" i="20"/>
  <c r="X197" i="20"/>
  <c r="AJ197" i="20"/>
  <c r="AK197" i="20"/>
  <c r="O197" i="20"/>
  <c r="AC197" i="20"/>
  <c r="X195" i="23"/>
  <c r="K195" i="23"/>
  <c r="A196" i="23"/>
  <c r="AB195" i="23"/>
  <c r="L195" i="23"/>
  <c r="AJ195" i="23"/>
  <c r="AK195" i="23"/>
  <c r="O195" i="23"/>
  <c r="AC195" i="23"/>
  <c r="AB199" i="17"/>
  <c r="L199" i="17"/>
  <c r="A200" i="17"/>
  <c r="K199" i="17"/>
  <c r="X199" i="17"/>
  <c r="AJ199" i="17"/>
  <c r="O199" i="17"/>
  <c r="AK199" i="17"/>
  <c r="AC199" i="17"/>
  <c r="K194" i="24"/>
  <c r="X194" i="24"/>
  <c r="AB194" i="24"/>
  <c r="L194" i="24"/>
  <c r="A195" i="24"/>
  <c r="AJ194" i="24"/>
  <c r="AK194" i="24"/>
  <c r="O194" i="24"/>
  <c r="AC194" i="24"/>
  <c r="L201" i="1"/>
  <c r="X201" i="1"/>
  <c r="AJ201" i="1"/>
  <c r="A202" i="1"/>
  <c r="Q201" i="1"/>
  <c r="K201" i="1"/>
  <c r="AK201" i="1"/>
  <c r="O201" i="1"/>
  <c r="AC201" i="1"/>
  <c r="AB201" i="1"/>
  <c r="U201" i="1"/>
  <c r="T201" i="1" s="1"/>
  <c r="AB196" i="22"/>
  <c r="X196" i="22"/>
  <c r="A197" i="22"/>
  <c r="K196" i="22"/>
  <c r="L196" i="22"/>
  <c r="AK196" i="22"/>
  <c r="AJ196" i="22"/>
  <c r="O196" i="22"/>
  <c r="AC196" i="22"/>
  <c r="AA198" i="1"/>
  <c r="Z198" i="1" s="1"/>
  <c r="Y198" i="1" s="1"/>
  <c r="I198" i="1"/>
  <c r="G198" i="1"/>
  <c r="BW198" i="6" s="1"/>
  <c r="F199" i="1"/>
  <c r="S200" i="1"/>
  <c r="R200" i="1" s="1"/>
  <c r="P200" i="1" s="1"/>
  <c r="V200" i="1" s="1"/>
  <c r="D200" i="1"/>
  <c r="E200" i="1" s="1"/>
  <c r="AB193" i="25"/>
  <c r="L193" i="25"/>
  <c r="A194" i="25"/>
  <c r="X193" i="25"/>
  <c r="K193" i="25"/>
  <c r="AJ193" i="25"/>
  <c r="O193" i="25"/>
  <c r="AK193" i="25"/>
  <c r="AC193" i="25"/>
  <c r="A199" i="18"/>
  <c r="AJ198" i="18"/>
  <c r="K198" i="18"/>
  <c r="AB198" i="18"/>
  <c r="X198" i="18"/>
  <c r="L198" i="18"/>
  <c r="O198" i="18"/>
  <c r="AK198" i="18"/>
  <c r="AC198" i="18"/>
  <c r="E200" i="15" l="1"/>
  <c r="A202" i="15"/>
  <c r="AB201" i="15"/>
  <c r="O201" i="15"/>
  <c r="L201" i="15"/>
  <c r="D201" i="15" s="1"/>
  <c r="AC201" i="15"/>
  <c r="X201" i="15"/>
  <c r="AJ201" i="15"/>
  <c r="K201" i="15"/>
  <c r="AK201" i="15"/>
  <c r="F200" i="1"/>
  <c r="G200" i="1" s="1"/>
  <c r="BW200" i="6" s="1"/>
  <c r="AB200" i="16"/>
  <c r="X200" i="16"/>
  <c r="A201" i="16"/>
  <c r="AK200" i="16"/>
  <c r="O200" i="16"/>
  <c r="K200" i="16"/>
  <c r="L200" i="16"/>
  <c r="D200" i="16" s="1"/>
  <c r="E200" i="16" s="1"/>
  <c r="AJ200" i="16"/>
  <c r="AC200" i="16"/>
  <c r="AA200" i="1"/>
  <c r="Z200" i="1" s="1"/>
  <c r="Y200" i="1" s="1"/>
  <c r="A195" i="25"/>
  <c r="AB194" i="25"/>
  <c r="X194" i="25"/>
  <c r="L194" i="25"/>
  <c r="K194" i="25"/>
  <c r="AJ194" i="25"/>
  <c r="O194" i="25"/>
  <c r="AK194" i="25"/>
  <c r="AC194" i="25"/>
  <c r="I199" i="1"/>
  <c r="AA199" i="1"/>
  <c r="Z199" i="1" s="1"/>
  <c r="Y199" i="1" s="1"/>
  <c r="G199" i="1"/>
  <c r="BW199" i="6" s="1"/>
  <c r="S201" i="1"/>
  <c r="R201" i="1" s="1"/>
  <c r="P201" i="1" s="1"/>
  <c r="V201" i="1" s="1"/>
  <c r="D201" i="1"/>
  <c r="E201" i="1" s="1"/>
  <c r="AB200" i="17"/>
  <c r="K200" i="17"/>
  <c r="A201" i="17"/>
  <c r="X200" i="17"/>
  <c r="L200" i="17"/>
  <c r="AK200" i="17"/>
  <c r="AJ200" i="17"/>
  <c r="O200" i="17"/>
  <c r="AC200" i="17"/>
  <c r="AB198" i="20"/>
  <c r="L198" i="20"/>
  <c r="K198" i="20"/>
  <c r="A199" i="20"/>
  <c r="X198" i="20"/>
  <c r="AJ198" i="20"/>
  <c r="AK198" i="20"/>
  <c r="O198" i="20"/>
  <c r="AC198" i="20"/>
  <c r="AB199" i="18"/>
  <c r="AJ199" i="18"/>
  <c r="K199" i="18"/>
  <c r="A200" i="18"/>
  <c r="X199" i="18"/>
  <c r="L199" i="18"/>
  <c r="O199" i="18"/>
  <c r="AK199" i="18"/>
  <c r="AC199" i="18"/>
  <c r="AB197" i="22"/>
  <c r="X197" i="22"/>
  <c r="A198" i="22"/>
  <c r="L197" i="22"/>
  <c r="K197" i="22"/>
  <c r="AK197" i="22"/>
  <c r="AJ197" i="22"/>
  <c r="O197" i="22"/>
  <c r="AC197" i="22"/>
  <c r="X202" i="1"/>
  <c r="L202" i="1"/>
  <c r="AK202" i="1"/>
  <c r="A203" i="1"/>
  <c r="AB202" i="1"/>
  <c r="K202" i="1"/>
  <c r="AC202" i="1"/>
  <c r="O202" i="1"/>
  <c r="Q202" i="1"/>
  <c r="AJ202" i="1"/>
  <c r="U202" i="1"/>
  <c r="T202" i="1" s="1"/>
  <c r="K195" i="24"/>
  <c r="X195" i="24"/>
  <c r="AB195" i="24"/>
  <c r="A196" i="24"/>
  <c r="L195" i="24"/>
  <c r="AJ195" i="24"/>
  <c r="AK195" i="24"/>
  <c r="O195" i="24"/>
  <c r="AC195" i="24"/>
  <c r="K196" i="23"/>
  <c r="L196" i="23"/>
  <c r="A197" i="23"/>
  <c r="AB196" i="23"/>
  <c r="X196" i="23"/>
  <c r="AJ196" i="23"/>
  <c r="AK196" i="23"/>
  <c r="O196" i="23"/>
  <c r="AC196" i="23"/>
  <c r="E201" i="15" l="1"/>
  <c r="A203" i="15"/>
  <c r="AK202" i="15"/>
  <c r="L202" i="15"/>
  <c r="D202" i="15" s="1"/>
  <c r="AJ202" i="15"/>
  <c r="AB202" i="15"/>
  <c r="K202" i="15"/>
  <c r="O202" i="15"/>
  <c r="X202" i="15"/>
  <c r="AC202" i="15"/>
  <c r="I200" i="1"/>
  <c r="AJ201" i="16"/>
  <c r="A202" i="16"/>
  <c r="AB201" i="16"/>
  <c r="X201" i="16"/>
  <c r="AK201" i="16"/>
  <c r="O201" i="16"/>
  <c r="K201" i="16"/>
  <c r="L201" i="16"/>
  <c r="D201" i="16" s="1"/>
  <c r="E201" i="16" s="1"/>
  <c r="AC201" i="16"/>
  <c r="X196" i="24"/>
  <c r="L196" i="24"/>
  <c r="AB196" i="24"/>
  <c r="A197" i="24"/>
  <c r="K196" i="24"/>
  <c r="AK196" i="24"/>
  <c r="AJ196" i="24"/>
  <c r="O196" i="24"/>
  <c r="AC196" i="24"/>
  <c r="S202" i="1"/>
  <c r="R202" i="1" s="1"/>
  <c r="P202" i="1" s="1"/>
  <c r="V202" i="1" s="1"/>
  <c r="A199" i="22"/>
  <c r="AB198" i="22"/>
  <c r="K198" i="22"/>
  <c r="L198" i="22"/>
  <c r="X198" i="22"/>
  <c r="AK198" i="22"/>
  <c r="AJ198" i="22"/>
  <c r="O198" i="22"/>
  <c r="AC198" i="22"/>
  <c r="A201" i="18"/>
  <c r="AB200" i="18"/>
  <c r="L200" i="18"/>
  <c r="K200" i="18"/>
  <c r="AJ200" i="18"/>
  <c r="X200" i="18"/>
  <c r="AK200" i="18"/>
  <c r="O200" i="18"/>
  <c r="AC200" i="18"/>
  <c r="A200" i="20"/>
  <c r="AB199" i="20"/>
  <c r="X199" i="20"/>
  <c r="L199" i="20"/>
  <c r="K199" i="20"/>
  <c r="AK199" i="20"/>
  <c r="AJ199" i="20"/>
  <c r="O199" i="20"/>
  <c r="AC199" i="20"/>
  <c r="AB197" i="23"/>
  <c r="L197" i="23"/>
  <c r="X197" i="23"/>
  <c r="K197" i="23"/>
  <c r="A198" i="23"/>
  <c r="AJ197" i="23"/>
  <c r="AK197" i="23"/>
  <c r="O197" i="23"/>
  <c r="AC197" i="23"/>
  <c r="AJ203" i="1"/>
  <c r="L203" i="1"/>
  <c r="Q203" i="1"/>
  <c r="AK203" i="1"/>
  <c r="AC203" i="1"/>
  <c r="AB203" i="1"/>
  <c r="O203" i="1"/>
  <c r="K203" i="1"/>
  <c r="X203" i="1"/>
  <c r="A204" i="1"/>
  <c r="U203" i="1"/>
  <c r="T203" i="1" s="1"/>
  <c r="D202" i="1"/>
  <c r="E202" i="1" s="1"/>
  <c r="F202" i="1" s="1"/>
  <c r="F201" i="1"/>
  <c r="AB201" i="17"/>
  <c r="X201" i="17"/>
  <c r="A202" i="17"/>
  <c r="K201" i="17"/>
  <c r="L201" i="17"/>
  <c r="AJ201" i="17"/>
  <c r="O201" i="17"/>
  <c r="AK201" i="17"/>
  <c r="AC201" i="17"/>
  <c r="AB195" i="25"/>
  <c r="L195" i="25"/>
  <c r="A196" i="25"/>
  <c r="X195" i="25"/>
  <c r="K195" i="25"/>
  <c r="AJ195" i="25"/>
  <c r="AK195" i="25"/>
  <c r="O195" i="25"/>
  <c r="AC195" i="25"/>
  <c r="E202" i="15" l="1"/>
  <c r="X203" i="15"/>
  <c r="O203" i="15"/>
  <c r="L203" i="15"/>
  <c r="D203" i="15" s="1"/>
  <c r="AJ203" i="15"/>
  <c r="A204" i="15"/>
  <c r="AK203" i="15"/>
  <c r="AB203" i="15"/>
  <c r="K203" i="15"/>
  <c r="AC203" i="15"/>
  <c r="K202" i="16"/>
  <c r="L202" i="16"/>
  <c r="D202" i="16" s="1"/>
  <c r="AB202" i="16"/>
  <c r="AJ202" i="16"/>
  <c r="O202" i="16"/>
  <c r="X202" i="16"/>
  <c r="A203" i="16"/>
  <c r="AK202" i="16"/>
  <c r="AC202" i="16"/>
  <c r="G202" i="1"/>
  <c r="BW202" i="6" s="1"/>
  <c r="I202" i="1"/>
  <c r="AA202" i="1"/>
  <c r="Z202" i="1" s="1"/>
  <c r="Y202" i="1" s="1"/>
  <c r="AB196" i="25"/>
  <c r="L196" i="25"/>
  <c r="X196" i="25"/>
  <c r="A197" i="25"/>
  <c r="K196" i="25"/>
  <c r="AK196" i="25"/>
  <c r="AJ196" i="25"/>
  <c r="O196" i="25"/>
  <c r="AC196" i="25"/>
  <c r="AA201" i="1"/>
  <c r="Z201" i="1" s="1"/>
  <c r="Y201" i="1" s="1"/>
  <c r="G201" i="1"/>
  <c r="BW201" i="6" s="1"/>
  <c r="I201" i="1"/>
  <c r="X204" i="1"/>
  <c r="O204" i="1"/>
  <c r="Q204" i="1"/>
  <c r="A205" i="1"/>
  <c r="AB204" i="1"/>
  <c r="AC204" i="1"/>
  <c r="L204" i="1"/>
  <c r="AJ204" i="1"/>
  <c r="K204" i="1"/>
  <c r="AK204" i="1"/>
  <c r="U204" i="1"/>
  <c r="T204" i="1" s="1"/>
  <c r="D203" i="1"/>
  <c r="E203" i="1" s="1"/>
  <c r="X200" i="20"/>
  <c r="L200" i="20"/>
  <c r="K200" i="20"/>
  <c r="A201" i="20"/>
  <c r="AB200" i="20"/>
  <c r="AJ200" i="20"/>
  <c r="AK200" i="20"/>
  <c r="O200" i="20"/>
  <c r="AC200" i="20"/>
  <c r="A200" i="22"/>
  <c r="L199" i="22"/>
  <c r="X199" i="22"/>
  <c r="AB199" i="22"/>
  <c r="K199" i="22"/>
  <c r="AJ199" i="22"/>
  <c r="AK199" i="22"/>
  <c r="O199" i="22"/>
  <c r="AC199" i="22"/>
  <c r="AB197" i="24"/>
  <c r="L197" i="24"/>
  <c r="A198" i="24"/>
  <c r="K197" i="24"/>
  <c r="X197" i="24"/>
  <c r="AJ197" i="24"/>
  <c r="AK197" i="24"/>
  <c r="O197" i="24"/>
  <c r="AC197" i="24"/>
  <c r="A203" i="17"/>
  <c r="K202" i="17"/>
  <c r="L202" i="17"/>
  <c r="AB202" i="17"/>
  <c r="X202" i="17"/>
  <c r="AJ202" i="17"/>
  <c r="AK202" i="17"/>
  <c r="O202" i="17"/>
  <c r="AC202" i="17"/>
  <c r="S203" i="1"/>
  <c r="R203" i="1" s="1"/>
  <c r="P203" i="1" s="1"/>
  <c r="V203" i="1" s="1"/>
  <c r="AB198" i="23"/>
  <c r="K198" i="23"/>
  <c r="X198" i="23"/>
  <c r="L198" i="23"/>
  <c r="A199" i="23"/>
  <c r="AJ198" i="23"/>
  <c r="AK198" i="23"/>
  <c r="O198" i="23"/>
  <c r="AC198" i="23"/>
  <c r="AB201" i="18"/>
  <c r="AJ201" i="18"/>
  <c r="L201" i="18"/>
  <c r="A202" i="18"/>
  <c r="K201" i="18"/>
  <c r="X201" i="18"/>
  <c r="O201" i="18"/>
  <c r="AK201" i="18"/>
  <c r="AC201" i="18"/>
  <c r="E203" i="15" l="1"/>
  <c r="A205" i="15"/>
  <c r="O204" i="15"/>
  <c r="X204" i="15"/>
  <c r="AJ204" i="15"/>
  <c r="AB204" i="15"/>
  <c r="AK204" i="15"/>
  <c r="L204" i="15"/>
  <c r="D204" i="15" s="1"/>
  <c r="K204" i="15"/>
  <c r="AC204" i="15"/>
  <c r="E202" i="16"/>
  <c r="A204" i="16"/>
  <c r="L203" i="16"/>
  <c r="D203" i="16" s="1"/>
  <c r="AB203" i="16"/>
  <c r="AK203" i="16"/>
  <c r="O203" i="16"/>
  <c r="X203" i="16"/>
  <c r="AJ203" i="16"/>
  <c r="K203" i="16"/>
  <c r="AC203" i="16"/>
  <c r="X202" i="18"/>
  <c r="L202" i="18"/>
  <c r="AB202" i="18"/>
  <c r="K202" i="18"/>
  <c r="A203" i="18"/>
  <c r="AJ202" i="18"/>
  <c r="O202" i="18"/>
  <c r="AK202" i="18"/>
  <c r="AC202" i="18"/>
  <c r="F203" i="1"/>
  <c r="AB203" i="17"/>
  <c r="X203" i="17"/>
  <c r="A204" i="17"/>
  <c r="K203" i="17"/>
  <c r="L203" i="17"/>
  <c r="O203" i="17"/>
  <c r="AJ203" i="17"/>
  <c r="AK203" i="17"/>
  <c r="AC203" i="17"/>
  <c r="AB198" i="24"/>
  <c r="A199" i="24"/>
  <c r="X198" i="24"/>
  <c r="L198" i="24"/>
  <c r="K198" i="24"/>
  <c r="AK198" i="24"/>
  <c r="AJ198" i="24"/>
  <c r="O198" i="24"/>
  <c r="AC198" i="24"/>
  <c r="X201" i="20"/>
  <c r="A202" i="20"/>
  <c r="L201" i="20"/>
  <c r="AB201" i="20"/>
  <c r="K201" i="20"/>
  <c r="AJ201" i="20"/>
  <c r="AK201" i="20"/>
  <c r="O201" i="20"/>
  <c r="AC201" i="20"/>
  <c r="S204" i="1"/>
  <c r="R204" i="1" s="1"/>
  <c r="P204" i="1" s="1"/>
  <c r="V204" i="1" s="1"/>
  <c r="D204" i="1"/>
  <c r="E204" i="1" s="1"/>
  <c r="X197" i="25"/>
  <c r="L197" i="25"/>
  <c r="A198" i="25"/>
  <c r="K197" i="25"/>
  <c r="AB197" i="25"/>
  <c r="AJ197" i="25"/>
  <c r="O197" i="25"/>
  <c r="AK197" i="25"/>
  <c r="AC197" i="25"/>
  <c r="A200" i="23"/>
  <c r="K199" i="23"/>
  <c r="X199" i="23"/>
  <c r="AB199" i="23"/>
  <c r="L199" i="23"/>
  <c r="AJ199" i="23"/>
  <c r="AK199" i="23"/>
  <c r="O199" i="23"/>
  <c r="AC199" i="23"/>
  <c r="AB200" i="22"/>
  <c r="K200" i="22"/>
  <c r="A201" i="22"/>
  <c r="X200" i="22"/>
  <c r="L200" i="22"/>
  <c r="AJ200" i="22"/>
  <c r="AK200" i="22"/>
  <c r="O200" i="22"/>
  <c r="AC200" i="22"/>
  <c r="AJ205" i="1"/>
  <c r="X205" i="1"/>
  <c r="A206" i="1"/>
  <c r="K205" i="1"/>
  <c r="Q205" i="1"/>
  <c r="L205" i="1"/>
  <c r="O205" i="1"/>
  <c r="AB205" i="1"/>
  <c r="AC205" i="1"/>
  <c r="AK205" i="1"/>
  <c r="U205" i="1"/>
  <c r="T205" i="1" s="1"/>
  <c r="E204" i="15" l="1"/>
  <c r="AB205" i="15"/>
  <c r="AJ205" i="15"/>
  <c r="L205" i="15"/>
  <c r="D205" i="15" s="1"/>
  <c r="X205" i="15"/>
  <c r="O205" i="15"/>
  <c r="E205" i="15" s="1"/>
  <c r="A206" i="15"/>
  <c r="AC205" i="15"/>
  <c r="K205" i="15"/>
  <c r="AK205" i="15"/>
  <c r="A205" i="16"/>
  <c r="L204" i="16"/>
  <c r="D204" i="16" s="1"/>
  <c r="AJ204" i="16"/>
  <c r="AC204" i="16"/>
  <c r="AB204" i="16"/>
  <c r="K204" i="16"/>
  <c r="X204" i="16"/>
  <c r="AK204" i="16"/>
  <c r="O204" i="16"/>
  <c r="E203" i="16"/>
  <c r="S205" i="1"/>
  <c r="R205" i="1" s="1"/>
  <c r="P205" i="1" s="1"/>
  <c r="V205" i="1" s="1"/>
  <c r="AB206" i="1"/>
  <c r="X206" i="1"/>
  <c r="Q206" i="1"/>
  <c r="K206" i="1"/>
  <c r="L206" i="1"/>
  <c r="O206" i="1"/>
  <c r="AC206" i="1"/>
  <c r="AK206" i="1"/>
  <c r="A207" i="1"/>
  <c r="AJ206" i="1"/>
  <c r="U206" i="1"/>
  <c r="T206" i="1" s="1"/>
  <c r="A200" i="24"/>
  <c r="K199" i="24"/>
  <c r="X199" i="24"/>
  <c r="AB199" i="24"/>
  <c r="L199" i="24"/>
  <c r="AJ199" i="24"/>
  <c r="AK199" i="24"/>
  <c r="O199" i="24"/>
  <c r="AC199" i="24"/>
  <c r="A205" i="17"/>
  <c r="AB204" i="17"/>
  <c r="K204" i="17"/>
  <c r="L204" i="17"/>
  <c r="X204" i="17"/>
  <c r="AK204" i="17"/>
  <c r="AJ204" i="17"/>
  <c r="O204" i="17"/>
  <c r="AC204" i="17"/>
  <c r="G203" i="1"/>
  <c r="BW203" i="6" s="1"/>
  <c r="AA203" i="1"/>
  <c r="Z203" i="1" s="1"/>
  <c r="Y203" i="1" s="1"/>
  <c r="I203" i="1"/>
  <c r="AB203" i="18"/>
  <c r="K203" i="18"/>
  <c r="AJ203" i="18"/>
  <c r="A204" i="18"/>
  <c r="L203" i="18"/>
  <c r="X203" i="18"/>
  <c r="AK203" i="18"/>
  <c r="O203" i="18"/>
  <c r="AC203" i="18"/>
  <c r="D205" i="1"/>
  <c r="E205" i="1" s="1"/>
  <c r="K201" i="22"/>
  <c r="AB201" i="22"/>
  <c r="L201" i="22"/>
  <c r="X201" i="22"/>
  <c r="A202" i="22"/>
  <c r="AJ201" i="22"/>
  <c r="AK201" i="22"/>
  <c r="O201" i="22"/>
  <c r="AC201" i="22"/>
  <c r="AB200" i="23"/>
  <c r="X200" i="23"/>
  <c r="L200" i="23"/>
  <c r="K200" i="23"/>
  <c r="A201" i="23"/>
  <c r="AJ200" i="23"/>
  <c r="AK200" i="23"/>
  <c r="O200" i="23"/>
  <c r="AC200" i="23"/>
  <c r="X198" i="25"/>
  <c r="A199" i="25"/>
  <c r="AB198" i="25"/>
  <c r="L198" i="25"/>
  <c r="K198" i="25"/>
  <c r="AJ198" i="25"/>
  <c r="O198" i="25"/>
  <c r="AK198" i="25"/>
  <c r="AC198" i="25"/>
  <c r="F204" i="1"/>
  <c r="A203" i="20"/>
  <c r="X202" i="20"/>
  <c r="L202" i="20"/>
  <c r="AB202" i="20"/>
  <c r="K202" i="20"/>
  <c r="AJ202" i="20"/>
  <c r="AK202" i="20"/>
  <c r="O202" i="20"/>
  <c r="AC202" i="20"/>
  <c r="X206" i="15" l="1"/>
  <c r="AB206" i="15"/>
  <c r="AC206" i="15"/>
  <c r="A207" i="15"/>
  <c r="O206" i="15"/>
  <c r="L206" i="15"/>
  <c r="D206" i="15" s="1"/>
  <c r="AK206" i="15"/>
  <c r="K206" i="15"/>
  <c r="AJ206" i="15"/>
  <c r="E204" i="16"/>
  <c r="F205" i="1"/>
  <c r="I205" i="1" s="1"/>
  <c r="K205" i="16"/>
  <c r="L205" i="16"/>
  <c r="D205" i="16" s="1"/>
  <c r="AB205" i="16"/>
  <c r="AJ205" i="16"/>
  <c r="O205" i="16"/>
  <c r="X205" i="16"/>
  <c r="A206" i="16"/>
  <c r="AK205" i="16"/>
  <c r="AC205" i="16"/>
  <c r="G205" i="1"/>
  <c r="BW205" i="6" s="1"/>
  <c r="AB203" i="20"/>
  <c r="A204" i="20"/>
  <c r="X203" i="20"/>
  <c r="K203" i="20"/>
  <c r="L203" i="20"/>
  <c r="AJ203" i="20"/>
  <c r="AK203" i="20"/>
  <c r="O203" i="20"/>
  <c r="AC203" i="20"/>
  <c r="AB202" i="22"/>
  <c r="K202" i="22"/>
  <c r="X202" i="22"/>
  <c r="A203" i="22"/>
  <c r="L202" i="22"/>
  <c r="AJ202" i="22"/>
  <c r="AK202" i="22"/>
  <c r="O202" i="22"/>
  <c r="AC202" i="22"/>
  <c r="AJ204" i="18"/>
  <c r="A205" i="18"/>
  <c r="X204" i="18"/>
  <c r="AB204" i="18"/>
  <c r="K204" i="18"/>
  <c r="L204" i="18"/>
  <c r="O204" i="18"/>
  <c r="AK204" i="18"/>
  <c r="AC204" i="18"/>
  <c r="A201" i="24"/>
  <c r="X200" i="24"/>
  <c r="AB200" i="24"/>
  <c r="K200" i="24"/>
  <c r="L200" i="24"/>
  <c r="AK200" i="24"/>
  <c r="O200" i="24"/>
  <c r="AJ200" i="24"/>
  <c r="AC200" i="24"/>
  <c r="I204" i="1"/>
  <c r="AA204" i="1"/>
  <c r="Z204" i="1" s="1"/>
  <c r="Y204" i="1" s="1"/>
  <c r="G204" i="1"/>
  <c r="BW204" i="6" s="1"/>
  <c r="AB199" i="25"/>
  <c r="X199" i="25"/>
  <c r="A200" i="25"/>
  <c r="K199" i="25"/>
  <c r="L199" i="25"/>
  <c r="AJ199" i="25"/>
  <c r="AK199" i="25"/>
  <c r="O199" i="25"/>
  <c r="AC199" i="25"/>
  <c r="K201" i="23"/>
  <c r="AB201" i="23"/>
  <c r="X201" i="23"/>
  <c r="A202" i="23"/>
  <c r="L201" i="23"/>
  <c r="AJ201" i="23"/>
  <c r="AK201" i="23"/>
  <c r="O201" i="23"/>
  <c r="AC201" i="23"/>
  <c r="A206" i="17"/>
  <c r="K205" i="17"/>
  <c r="AB205" i="17"/>
  <c r="X205" i="17"/>
  <c r="L205" i="17"/>
  <c r="AJ205" i="17"/>
  <c r="O205" i="17"/>
  <c r="AK205" i="17"/>
  <c r="AC205" i="17"/>
  <c r="S206" i="1"/>
  <c r="R206" i="1" s="1"/>
  <c r="P206" i="1" s="1"/>
  <c r="V206" i="1" s="1"/>
  <c r="A208" i="1"/>
  <c r="AC207" i="1"/>
  <c r="K207" i="1"/>
  <c r="L207" i="1"/>
  <c r="AB207" i="1"/>
  <c r="AJ207" i="1"/>
  <c r="Q207" i="1"/>
  <c r="AK207" i="1"/>
  <c r="O207" i="1"/>
  <c r="X207" i="1"/>
  <c r="U207" i="1"/>
  <c r="T207" i="1" s="1"/>
  <c r="S207" i="1" s="1"/>
  <c r="R207" i="1" s="1"/>
  <c r="P207" i="1" s="1"/>
  <c r="D206" i="1"/>
  <c r="E206" i="1" s="1"/>
  <c r="AB207" i="15" l="1"/>
  <c r="K207" i="15"/>
  <c r="O207" i="15"/>
  <c r="X207" i="15"/>
  <c r="AC207" i="15"/>
  <c r="A208" i="15"/>
  <c r="AJ207" i="15"/>
  <c r="L207" i="15"/>
  <c r="D207" i="15" s="1"/>
  <c r="AK207" i="15"/>
  <c r="AA205" i="1"/>
  <c r="Z205" i="1" s="1"/>
  <c r="Y205" i="1" s="1"/>
  <c r="E206" i="15"/>
  <c r="E205" i="16"/>
  <c r="AB206" i="16"/>
  <c r="A207" i="16"/>
  <c r="L206" i="16"/>
  <c r="D206" i="16" s="1"/>
  <c r="AK206" i="16"/>
  <c r="O206" i="16"/>
  <c r="K206" i="16"/>
  <c r="X206" i="16"/>
  <c r="AJ206" i="16"/>
  <c r="AC206" i="16"/>
  <c r="AK208" i="1"/>
  <c r="A209" i="1"/>
  <c r="AJ208" i="1"/>
  <c r="AB208" i="1"/>
  <c r="L208" i="1"/>
  <c r="X208" i="1"/>
  <c r="O208" i="1"/>
  <c r="AC208" i="1"/>
  <c r="K208" i="1"/>
  <c r="Q208" i="1"/>
  <c r="U208" i="1"/>
  <c r="T208" i="1" s="1"/>
  <c r="F206" i="1"/>
  <c r="K205" i="18"/>
  <c r="X205" i="18"/>
  <c r="AJ205" i="18"/>
  <c r="AB205" i="18"/>
  <c r="L205" i="18"/>
  <c r="A206" i="18"/>
  <c r="AK205" i="18"/>
  <c r="O205" i="18"/>
  <c r="AC205" i="18"/>
  <c r="AB204" i="20"/>
  <c r="L204" i="20"/>
  <c r="A205" i="20"/>
  <c r="K204" i="20"/>
  <c r="X204" i="20"/>
  <c r="AJ204" i="20"/>
  <c r="AK204" i="20"/>
  <c r="O204" i="20"/>
  <c r="AC204" i="20"/>
  <c r="D207" i="1"/>
  <c r="E207" i="1" s="1"/>
  <c r="V207" i="1"/>
  <c r="A207" i="17"/>
  <c r="AB206" i="17"/>
  <c r="K206" i="17"/>
  <c r="X206" i="17"/>
  <c r="L206" i="17"/>
  <c r="AJ206" i="17"/>
  <c r="O206" i="17"/>
  <c r="AK206" i="17"/>
  <c r="AC206" i="17"/>
  <c r="K202" i="23"/>
  <c r="X202" i="23"/>
  <c r="AB202" i="23"/>
  <c r="L202" i="23"/>
  <c r="A203" i="23"/>
  <c r="AJ202" i="23"/>
  <c r="AK202" i="23"/>
  <c r="O202" i="23"/>
  <c r="AC202" i="23"/>
  <c r="AB200" i="25"/>
  <c r="L200" i="25"/>
  <c r="K200" i="25"/>
  <c r="A201" i="25"/>
  <c r="X200" i="25"/>
  <c r="AJ200" i="25"/>
  <c r="O200" i="25"/>
  <c r="AK200" i="25"/>
  <c r="AC200" i="25"/>
  <c r="X201" i="24"/>
  <c r="K201" i="24"/>
  <c r="AB201" i="24"/>
  <c r="A202" i="24"/>
  <c r="L201" i="24"/>
  <c r="AK201" i="24"/>
  <c r="AJ201" i="24"/>
  <c r="O201" i="24"/>
  <c r="AC201" i="24"/>
  <c r="A204" i="22"/>
  <c r="K203" i="22"/>
  <c r="AB203" i="22"/>
  <c r="L203" i="22"/>
  <c r="X203" i="22"/>
  <c r="AK203" i="22"/>
  <c r="AJ203" i="22"/>
  <c r="O203" i="22"/>
  <c r="AC203" i="22"/>
  <c r="E207" i="15" l="1"/>
  <c r="L208" i="15"/>
  <c r="D208" i="15" s="1"/>
  <c r="K208" i="15"/>
  <c r="A209" i="15"/>
  <c r="O208" i="15"/>
  <c r="AK208" i="15"/>
  <c r="AC208" i="15"/>
  <c r="AB208" i="15"/>
  <c r="AJ208" i="15"/>
  <c r="X208" i="15"/>
  <c r="F207" i="1"/>
  <c r="I207" i="1" s="1"/>
  <c r="K207" i="16"/>
  <c r="L207" i="16"/>
  <c r="D207" i="16" s="1"/>
  <c r="X207" i="16"/>
  <c r="AK207" i="16"/>
  <c r="O207" i="16"/>
  <c r="AB207" i="16"/>
  <c r="A208" i="16"/>
  <c r="AJ207" i="16"/>
  <c r="AC207" i="16"/>
  <c r="E206" i="16"/>
  <c r="AB202" i="24"/>
  <c r="K202" i="24"/>
  <c r="L202" i="24"/>
  <c r="A203" i="24"/>
  <c r="X202" i="24"/>
  <c r="AJ202" i="24"/>
  <c r="AK202" i="24"/>
  <c r="O202" i="24"/>
  <c r="AC202" i="24"/>
  <c r="A202" i="25"/>
  <c r="X201" i="25"/>
  <c r="K201" i="25"/>
  <c r="AB201" i="25"/>
  <c r="L201" i="25"/>
  <c r="AJ201" i="25"/>
  <c r="O201" i="25"/>
  <c r="AK201" i="25"/>
  <c r="AC201" i="25"/>
  <c r="X203" i="23"/>
  <c r="K203" i="23"/>
  <c r="AB203" i="23"/>
  <c r="L203" i="23"/>
  <c r="A204" i="23"/>
  <c r="AJ203" i="23"/>
  <c r="AK203" i="23"/>
  <c r="O203" i="23"/>
  <c r="AC203" i="23"/>
  <c r="Q209" i="1"/>
  <c r="K209" i="1"/>
  <c r="X209" i="1"/>
  <c r="AB209" i="1"/>
  <c r="AC209" i="1"/>
  <c r="L209" i="1"/>
  <c r="AJ209" i="1"/>
  <c r="A210" i="1"/>
  <c r="O209" i="1"/>
  <c r="AK209" i="1"/>
  <c r="U209" i="1"/>
  <c r="T209" i="1" s="1"/>
  <c r="AB204" i="22"/>
  <c r="L204" i="22"/>
  <c r="A205" i="22"/>
  <c r="K204" i="22"/>
  <c r="X204" i="22"/>
  <c r="AJ204" i="22"/>
  <c r="AK204" i="22"/>
  <c r="O204" i="22"/>
  <c r="AC204" i="22"/>
  <c r="AB207" i="17"/>
  <c r="X207" i="17"/>
  <c r="A208" i="17"/>
  <c r="K207" i="17"/>
  <c r="L207" i="17"/>
  <c r="AJ207" i="17"/>
  <c r="O207" i="17"/>
  <c r="AK207" i="17"/>
  <c r="AC207" i="17"/>
  <c r="K205" i="20"/>
  <c r="L205" i="20"/>
  <c r="X205" i="20"/>
  <c r="A206" i="20"/>
  <c r="AB205" i="20"/>
  <c r="AK205" i="20"/>
  <c r="AJ205" i="20"/>
  <c r="O205" i="20"/>
  <c r="AC205" i="20"/>
  <c r="A207" i="18"/>
  <c r="AB206" i="18"/>
  <c r="AJ206" i="18"/>
  <c r="K206" i="18"/>
  <c r="L206" i="18"/>
  <c r="X206" i="18"/>
  <c r="O206" i="18"/>
  <c r="AK206" i="18"/>
  <c r="AC206" i="18"/>
  <c r="I206" i="1"/>
  <c r="AA206" i="1"/>
  <c r="Z206" i="1" s="1"/>
  <c r="Y206" i="1" s="1"/>
  <c r="G206" i="1"/>
  <c r="BW206" i="6" s="1"/>
  <c r="S208" i="1"/>
  <c r="R208" i="1" s="1"/>
  <c r="P208" i="1" s="1"/>
  <c r="V208" i="1" s="1"/>
  <c r="D208" i="1"/>
  <c r="E208" i="1" s="1"/>
  <c r="E208" i="15" l="1"/>
  <c r="G207" i="1"/>
  <c r="BW207" i="6" s="1"/>
  <c r="AA207" i="1"/>
  <c r="Z207" i="1" s="1"/>
  <c r="Y207" i="1" s="1"/>
  <c r="X209" i="15"/>
  <c r="AK209" i="15"/>
  <c r="K209" i="15"/>
  <c r="AJ209" i="15"/>
  <c r="AB209" i="15"/>
  <c r="L209" i="15"/>
  <c r="D209" i="15" s="1"/>
  <c r="AC209" i="15"/>
  <c r="A210" i="15"/>
  <c r="O209" i="15"/>
  <c r="L208" i="16"/>
  <c r="D208" i="16" s="1"/>
  <c r="K208" i="16"/>
  <c r="X208" i="16"/>
  <c r="AK208" i="16"/>
  <c r="O208" i="16"/>
  <c r="A209" i="16"/>
  <c r="AB208" i="16"/>
  <c r="AJ208" i="16"/>
  <c r="AC208" i="16"/>
  <c r="E207" i="16"/>
  <c r="F208" i="1"/>
  <c r="AB207" i="18"/>
  <c r="K207" i="18"/>
  <c r="AJ207" i="18"/>
  <c r="A208" i="18"/>
  <c r="L207" i="18"/>
  <c r="X207" i="18"/>
  <c r="O207" i="18"/>
  <c r="AK207" i="18"/>
  <c r="AC207" i="18"/>
  <c r="AB206" i="20"/>
  <c r="A207" i="20"/>
  <c r="X206" i="20"/>
  <c r="L206" i="20"/>
  <c r="K206" i="20"/>
  <c r="AK206" i="20"/>
  <c r="AJ206" i="20"/>
  <c r="O206" i="20"/>
  <c r="AC206" i="20"/>
  <c r="X208" i="17"/>
  <c r="AB208" i="17"/>
  <c r="L208" i="17"/>
  <c r="A209" i="17"/>
  <c r="K208" i="17"/>
  <c r="AJ208" i="17"/>
  <c r="AK208" i="17"/>
  <c r="O208" i="17"/>
  <c r="AC208" i="17"/>
  <c r="S209" i="1"/>
  <c r="R209" i="1" s="1"/>
  <c r="P209" i="1" s="1"/>
  <c r="V209" i="1" s="1"/>
  <c r="A203" i="25"/>
  <c r="K202" i="25"/>
  <c r="AB202" i="25"/>
  <c r="L202" i="25"/>
  <c r="X202" i="25"/>
  <c r="AJ202" i="25"/>
  <c r="O202" i="25"/>
  <c r="AK202" i="25"/>
  <c r="AC202" i="25"/>
  <c r="AB203" i="24"/>
  <c r="K203" i="24"/>
  <c r="L203" i="24"/>
  <c r="X203" i="24"/>
  <c r="A204" i="24"/>
  <c r="AJ203" i="24"/>
  <c r="AK203" i="24"/>
  <c r="O203" i="24"/>
  <c r="AC203" i="24"/>
  <c r="X205" i="22"/>
  <c r="A206" i="22"/>
  <c r="K205" i="22"/>
  <c r="AB205" i="22"/>
  <c r="L205" i="22"/>
  <c r="AJ205" i="22"/>
  <c r="AK205" i="22"/>
  <c r="O205" i="22"/>
  <c r="AC205" i="22"/>
  <c r="O210" i="1"/>
  <c r="C26" i="7" s="1"/>
  <c r="AC210" i="1"/>
  <c r="K210" i="1"/>
  <c r="X210" i="1"/>
  <c r="AB210" i="1"/>
  <c r="L210" i="1"/>
  <c r="A26" i="7"/>
  <c r="AK210" i="1"/>
  <c r="A211" i="1"/>
  <c r="Q210" i="1"/>
  <c r="AJ210" i="1"/>
  <c r="U210" i="1"/>
  <c r="D209" i="1"/>
  <c r="E209" i="1" s="1"/>
  <c r="K204" i="23"/>
  <c r="A205" i="23"/>
  <c r="L204" i="23"/>
  <c r="AB204" i="23"/>
  <c r="X204" i="23"/>
  <c r="AK204" i="23"/>
  <c r="AJ204" i="23"/>
  <c r="O204" i="23"/>
  <c r="AC204" i="23"/>
  <c r="A38" i="7" l="1"/>
  <c r="AB210" i="15"/>
  <c r="X210" i="15"/>
  <c r="O210" i="15"/>
  <c r="C38" i="7" s="1"/>
  <c r="L210" i="15"/>
  <c r="AK210" i="15"/>
  <c r="A211" i="15"/>
  <c r="AJ210" i="15"/>
  <c r="K210" i="15"/>
  <c r="AC210" i="15"/>
  <c r="E209" i="15"/>
  <c r="X209" i="16"/>
  <c r="A210" i="16"/>
  <c r="L209" i="16"/>
  <c r="D209" i="16" s="1"/>
  <c r="AK209" i="16"/>
  <c r="O209" i="16"/>
  <c r="K209" i="16"/>
  <c r="AB209" i="16"/>
  <c r="AJ209" i="16"/>
  <c r="AC209" i="16"/>
  <c r="E208" i="16"/>
  <c r="AB205" i="23"/>
  <c r="A206" i="23"/>
  <c r="K205" i="23"/>
  <c r="L205" i="23"/>
  <c r="X205" i="23"/>
  <c r="AJ205" i="23"/>
  <c r="AK205" i="23"/>
  <c r="O205" i="23"/>
  <c r="AC205" i="23"/>
  <c r="F209" i="1"/>
  <c r="K211" i="1"/>
  <c r="AK211" i="1"/>
  <c r="X211" i="1"/>
  <c r="Q211" i="1"/>
  <c r="AC211" i="1"/>
  <c r="AB211" i="1"/>
  <c r="AJ211" i="1"/>
  <c r="L211" i="1"/>
  <c r="A212" i="1"/>
  <c r="O211" i="1"/>
  <c r="U211" i="1"/>
  <c r="T211" i="1" s="1"/>
  <c r="AB206" i="22"/>
  <c r="A207" i="22"/>
  <c r="K206" i="22"/>
  <c r="X206" i="22"/>
  <c r="L206" i="22"/>
  <c r="AJ206" i="22"/>
  <c r="AK206" i="22"/>
  <c r="O206" i="22"/>
  <c r="AC206" i="22"/>
  <c r="X204" i="24"/>
  <c r="L204" i="24"/>
  <c r="A205" i="24"/>
  <c r="AB204" i="24"/>
  <c r="K204" i="24"/>
  <c r="AJ204" i="24"/>
  <c r="AK204" i="24"/>
  <c r="O204" i="24"/>
  <c r="AC204" i="24"/>
  <c r="K207" i="20"/>
  <c r="L207" i="20"/>
  <c r="AB207" i="20"/>
  <c r="X207" i="20"/>
  <c r="A208" i="20"/>
  <c r="AJ207" i="20"/>
  <c r="AK207" i="20"/>
  <c r="O207" i="20"/>
  <c r="AC207" i="20"/>
  <c r="T210" i="1"/>
  <c r="B26" i="7"/>
  <c r="D210" i="1"/>
  <c r="E210" i="1" s="1"/>
  <c r="K203" i="25"/>
  <c r="L203" i="25"/>
  <c r="A204" i="25"/>
  <c r="X203" i="25"/>
  <c r="AB203" i="25"/>
  <c r="AJ203" i="25"/>
  <c r="AK203" i="25"/>
  <c r="O203" i="25"/>
  <c r="AC203" i="25"/>
  <c r="AB209" i="17"/>
  <c r="K209" i="17"/>
  <c r="X209" i="17"/>
  <c r="A210" i="17"/>
  <c r="L209" i="17"/>
  <c r="AJ209" i="17"/>
  <c r="O209" i="17"/>
  <c r="AK209" i="17"/>
  <c r="AC209" i="17"/>
  <c r="K208" i="18"/>
  <c r="L208" i="18"/>
  <c r="X208" i="18"/>
  <c r="AB208" i="18"/>
  <c r="A209" i="18"/>
  <c r="AJ208" i="18"/>
  <c r="O208" i="18"/>
  <c r="AK208" i="18"/>
  <c r="AC208" i="18"/>
  <c r="G208" i="1"/>
  <c r="BW208" i="6" s="1"/>
  <c r="AA208" i="1"/>
  <c r="Z208" i="1" s="1"/>
  <c r="Y208" i="1" s="1"/>
  <c r="I208" i="1"/>
  <c r="A212" i="15" l="1"/>
  <c r="AJ211" i="15"/>
  <c r="AB211" i="15"/>
  <c r="AK211" i="15"/>
  <c r="L211" i="15"/>
  <c r="D211" i="15" s="1"/>
  <c r="K211" i="15"/>
  <c r="AC211" i="15"/>
  <c r="X211" i="15"/>
  <c r="O211" i="15"/>
  <c r="D210" i="15"/>
  <c r="E210" i="15" s="1"/>
  <c r="B38" i="7"/>
  <c r="E209" i="16"/>
  <c r="X210" i="16"/>
  <c r="A211" i="16"/>
  <c r="L210" i="16"/>
  <c r="AK210" i="16"/>
  <c r="O210" i="16"/>
  <c r="C50" i="7" s="1"/>
  <c r="A50" i="7"/>
  <c r="AB210" i="16"/>
  <c r="K210" i="16"/>
  <c r="AJ210" i="16"/>
  <c r="AC210" i="16"/>
  <c r="A210" i="18"/>
  <c r="AB209" i="18"/>
  <c r="AJ209" i="18"/>
  <c r="X209" i="18"/>
  <c r="L209" i="18"/>
  <c r="K209" i="18"/>
  <c r="AK209" i="18"/>
  <c r="O209" i="18"/>
  <c r="AC209" i="18"/>
  <c r="AB210" i="17"/>
  <c r="A62" i="7"/>
  <c r="K210" i="17"/>
  <c r="A211" i="17"/>
  <c r="X210" i="17"/>
  <c r="L210" i="17"/>
  <c r="O210" i="17"/>
  <c r="C62" i="7" s="1"/>
  <c r="AK210" i="17"/>
  <c r="AJ210" i="17"/>
  <c r="AC210" i="17"/>
  <c r="AB204" i="25"/>
  <c r="A205" i="25"/>
  <c r="X204" i="25"/>
  <c r="L204" i="25"/>
  <c r="K204" i="25"/>
  <c r="AK204" i="25"/>
  <c r="AJ204" i="25"/>
  <c r="O204" i="25"/>
  <c r="AC204" i="25"/>
  <c r="S210" i="1"/>
  <c r="R210" i="1" s="1"/>
  <c r="P210" i="1" s="1"/>
  <c r="D211" i="1"/>
  <c r="E211" i="1" s="1"/>
  <c r="I209" i="1"/>
  <c r="G209" i="1"/>
  <c r="BW209" i="6" s="1"/>
  <c r="AA209" i="1"/>
  <c r="Z209" i="1" s="1"/>
  <c r="Y209" i="1" s="1"/>
  <c r="A209" i="20"/>
  <c r="L208" i="20"/>
  <c r="K208" i="20"/>
  <c r="X208" i="20"/>
  <c r="AB208" i="20"/>
  <c r="AJ208" i="20"/>
  <c r="AK208" i="20"/>
  <c r="O208" i="20"/>
  <c r="AC208" i="20"/>
  <c r="A206" i="24"/>
  <c r="L205" i="24"/>
  <c r="K205" i="24"/>
  <c r="X205" i="24"/>
  <c r="AB205" i="24"/>
  <c r="AJ205" i="24"/>
  <c r="AK205" i="24"/>
  <c r="O205" i="24"/>
  <c r="AC205" i="24"/>
  <c r="K207" i="22"/>
  <c r="AB207" i="22"/>
  <c r="A208" i="22"/>
  <c r="L207" i="22"/>
  <c r="X207" i="22"/>
  <c r="AJ207" i="22"/>
  <c r="AK207" i="22"/>
  <c r="O207" i="22"/>
  <c r="AC207" i="22"/>
  <c r="S211" i="1"/>
  <c r="R211" i="1" s="1"/>
  <c r="P211" i="1" s="1"/>
  <c r="V211" i="1" s="1"/>
  <c r="AJ212" i="1"/>
  <c r="AB212" i="1"/>
  <c r="X212" i="1"/>
  <c r="AK212" i="1"/>
  <c r="O212" i="1"/>
  <c r="AC212" i="1"/>
  <c r="A213" i="1"/>
  <c r="L212" i="1"/>
  <c r="K212" i="1"/>
  <c r="Q212" i="1"/>
  <c r="U212" i="1"/>
  <c r="A207" i="23"/>
  <c r="AB206" i="23"/>
  <c r="X206" i="23"/>
  <c r="L206" i="23"/>
  <c r="K206" i="23"/>
  <c r="AJ206" i="23"/>
  <c r="AK206" i="23"/>
  <c r="O206" i="23"/>
  <c r="AC206" i="23"/>
  <c r="E211" i="15" l="1"/>
  <c r="A213" i="15"/>
  <c r="AK212" i="15"/>
  <c r="L212" i="15"/>
  <c r="D212" i="15" s="1"/>
  <c r="AJ212" i="15"/>
  <c r="X212" i="15"/>
  <c r="AB212" i="15"/>
  <c r="AC212" i="15"/>
  <c r="K212" i="15"/>
  <c r="O212" i="15"/>
  <c r="B50" i="7"/>
  <c r="D210" i="16"/>
  <c r="E210" i="16" s="1"/>
  <c r="K211" i="16"/>
  <c r="X211" i="16"/>
  <c r="AK211" i="16"/>
  <c r="AC211" i="16"/>
  <c r="AB211" i="16"/>
  <c r="L211" i="16"/>
  <c r="D211" i="16" s="1"/>
  <c r="A212" i="16"/>
  <c r="AJ211" i="16"/>
  <c r="O211" i="16"/>
  <c r="D26" i="7"/>
  <c r="V210" i="1"/>
  <c r="F210" i="1" s="1"/>
  <c r="D212" i="1"/>
  <c r="AB208" i="22"/>
  <c r="K208" i="22"/>
  <c r="L208" i="22"/>
  <c r="X208" i="22"/>
  <c r="A209" i="22"/>
  <c r="AJ208" i="22"/>
  <c r="AK208" i="22"/>
  <c r="O208" i="22"/>
  <c r="AC208" i="22"/>
  <c r="K209" i="20"/>
  <c r="AB209" i="20"/>
  <c r="X209" i="20"/>
  <c r="A210" i="20"/>
  <c r="L209" i="20"/>
  <c r="AK209" i="20"/>
  <c r="AJ209" i="20"/>
  <c r="O209" i="20"/>
  <c r="AC209" i="20"/>
  <c r="F211" i="1"/>
  <c r="AB205" i="25"/>
  <c r="X205" i="25"/>
  <c r="L205" i="25"/>
  <c r="K205" i="25"/>
  <c r="A206" i="25"/>
  <c r="AK205" i="25"/>
  <c r="AJ205" i="25"/>
  <c r="O205" i="25"/>
  <c r="AC205" i="25"/>
  <c r="B62" i="7"/>
  <c r="A212" i="17"/>
  <c r="AB211" i="17"/>
  <c r="X211" i="17"/>
  <c r="L211" i="17"/>
  <c r="K211" i="17"/>
  <c r="AJ211" i="17"/>
  <c r="O211" i="17"/>
  <c r="AK211" i="17"/>
  <c r="AC211" i="17"/>
  <c r="AB210" i="18"/>
  <c r="AJ210" i="18"/>
  <c r="A74" i="7"/>
  <c r="X210" i="18"/>
  <c r="A211" i="18"/>
  <c r="K210" i="18"/>
  <c r="L210" i="18"/>
  <c r="O210" i="18"/>
  <c r="C74" i="7" s="1"/>
  <c r="AK210" i="18"/>
  <c r="AC210" i="18"/>
  <c r="A208" i="23"/>
  <c r="L207" i="23"/>
  <c r="AB207" i="23"/>
  <c r="X207" i="23"/>
  <c r="K207" i="23"/>
  <c r="AJ207" i="23"/>
  <c r="AK207" i="23"/>
  <c r="O207" i="23"/>
  <c r="AC207" i="23"/>
  <c r="T212" i="1"/>
  <c r="K213" i="1"/>
  <c r="L213" i="1"/>
  <c r="A214" i="1"/>
  <c r="AB213" i="1"/>
  <c r="O213" i="1"/>
  <c r="Q213" i="1"/>
  <c r="AK213" i="1"/>
  <c r="AC213" i="1"/>
  <c r="AJ213" i="1"/>
  <c r="X213" i="1"/>
  <c r="U213" i="1"/>
  <c r="T213" i="1" s="1"/>
  <c r="E212" i="1"/>
  <c r="AB206" i="24"/>
  <c r="A207" i="24"/>
  <c r="K206" i="24"/>
  <c r="L206" i="24"/>
  <c r="X206" i="24"/>
  <c r="AK206" i="24"/>
  <c r="AJ206" i="24"/>
  <c r="O206" i="24"/>
  <c r="AC206" i="24"/>
  <c r="E211" i="16" l="1"/>
  <c r="E212" i="15"/>
  <c r="AB213" i="15"/>
  <c r="O213" i="15"/>
  <c r="L213" i="15"/>
  <c r="D213" i="15" s="1"/>
  <c r="AJ213" i="15"/>
  <c r="K213" i="15"/>
  <c r="AK213" i="15"/>
  <c r="A214" i="15"/>
  <c r="X213" i="15"/>
  <c r="AC213" i="15"/>
  <c r="L212" i="16"/>
  <c r="D212" i="16" s="1"/>
  <c r="A213" i="16"/>
  <c r="AB212" i="16"/>
  <c r="AK212" i="16"/>
  <c r="O212" i="16"/>
  <c r="X212" i="16"/>
  <c r="K212" i="16"/>
  <c r="AJ212" i="16"/>
  <c r="AC212" i="16"/>
  <c r="A208" i="24"/>
  <c r="AB207" i="24"/>
  <c r="K207" i="24"/>
  <c r="L207" i="24"/>
  <c r="X207" i="24"/>
  <c r="AJ207" i="24"/>
  <c r="AK207" i="24"/>
  <c r="O207" i="24"/>
  <c r="AC207" i="24"/>
  <c r="D213" i="1"/>
  <c r="E213" i="1" s="1"/>
  <c r="AB208" i="23"/>
  <c r="L208" i="23"/>
  <c r="K208" i="23"/>
  <c r="A209" i="23"/>
  <c r="X208" i="23"/>
  <c r="AJ208" i="23"/>
  <c r="AK208" i="23"/>
  <c r="O208" i="23"/>
  <c r="AC208" i="23"/>
  <c r="B74" i="7"/>
  <c r="K211" i="18"/>
  <c r="AJ211" i="18"/>
  <c r="X211" i="18"/>
  <c r="L211" i="18"/>
  <c r="AB211" i="18"/>
  <c r="A212" i="18"/>
  <c r="O211" i="18"/>
  <c r="AK211" i="18"/>
  <c r="AC211" i="18"/>
  <c r="I210" i="1"/>
  <c r="G210" i="1"/>
  <c r="BW210" i="6" s="1"/>
  <c r="AA210" i="1"/>
  <c r="Z210" i="1" s="1"/>
  <c r="Y210" i="1" s="1"/>
  <c r="S213" i="1"/>
  <c r="R213" i="1" s="1"/>
  <c r="P213" i="1" s="1"/>
  <c r="V213" i="1" s="1"/>
  <c r="A215" i="1"/>
  <c r="X214" i="1"/>
  <c r="K214" i="1"/>
  <c r="AB214" i="1"/>
  <c r="Q214" i="1"/>
  <c r="AJ214" i="1"/>
  <c r="AK214" i="1"/>
  <c r="L214" i="1"/>
  <c r="O214" i="1"/>
  <c r="AC214" i="1"/>
  <c r="U214" i="1"/>
  <c r="T214" i="1" s="1"/>
  <c r="S212" i="1"/>
  <c r="R212" i="1" s="1"/>
  <c r="P212" i="1" s="1"/>
  <c r="V212" i="1" s="1"/>
  <c r="F212" i="1" s="1"/>
  <c r="X212" i="17"/>
  <c r="L212" i="17"/>
  <c r="K212" i="17"/>
  <c r="AB212" i="17"/>
  <c r="A213" i="17"/>
  <c r="AJ212" i="17"/>
  <c r="O212" i="17"/>
  <c r="AK212" i="17"/>
  <c r="AC212" i="17"/>
  <c r="X206" i="25"/>
  <c r="K206" i="25"/>
  <c r="A207" i="25"/>
  <c r="AB206" i="25"/>
  <c r="L206" i="25"/>
  <c r="AJ206" i="25"/>
  <c r="O206" i="25"/>
  <c r="AK206" i="25"/>
  <c r="AC206" i="25"/>
  <c r="I211" i="1"/>
  <c r="AA211" i="1"/>
  <c r="Z211" i="1" s="1"/>
  <c r="Y211" i="1" s="1"/>
  <c r="G211" i="1"/>
  <c r="BW211" i="6" s="1"/>
  <c r="X210" i="20"/>
  <c r="K210" i="20"/>
  <c r="A211" i="20"/>
  <c r="L210" i="20"/>
  <c r="AB210" i="20"/>
  <c r="AE26" i="7"/>
  <c r="AJ210" i="20"/>
  <c r="AK210" i="20"/>
  <c r="O210" i="20"/>
  <c r="AG26" i="7" s="1"/>
  <c r="AC210" i="20"/>
  <c r="X209" i="22"/>
  <c r="AB209" i="22"/>
  <c r="A210" i="22"/>
  <c r="L209" i="22"/>
  <c r="K209" i="22"/>
  <c r="AJ209" i="22"/>
  <c r="AK209" i="22"/>
  <c r="O209" i="22"/>
  <c r="AC209" i="22"/>
  <c r="E213" i="15" l="1"/>
  <c r="L214" i="15"/>
  <c r="D214" i="15" s="1"/>
  <c r="O214" i="15"/>
  <c r="K214" i="15"/>
  <c r="AK214" i="15"/>
  <c r="AB214" i="15"/>
  <c r="AJ214" i="15"/>
  <c r="X214" i="15"/>
  <c r="A215" i="15"/>
  <c r="AC214" i="15"/>
  <c r="K213" i="16"/>
  <c r="AB213" i="16"/>
  <c r="A214" i="16"/>
  <c r="AJ213" i="16"/>
  <c r="O213" i="16"/>
  <c r="L213" i="16"/>
  <c r="D213" i="16" s="1"/>
  <c r="X213" i="16"/>
  <c r="AK213" i="16"/>
  <c r="AC213" i="16"/>
  <c r="E212" i="16"/>
  <c r="AF26" i="7"/>
  <c r="K213" i="17"/>
  <c r="A214" i="17"/>
  <c r="X213" i="17"/>
  <c r="AB213" i="17"/>
  <c r="L213" i="17"/>
  <c r="O213" i="17"/>
  <c r="AK213" i="17"/>
  <c r="AJ213" i="17"/>
  <c r="AC213" i="17"/>
  <c r="G212" i="1"/>
  <c r="BW212" i="6" s="1"/>
  <c r="I212" i="1"/>
  <c r="AA212" i="1"/>
  <c r="Z212" i="1" s="1"/>
  <c r="Y212" i="1" s="1"/>
  <c r="S214" i="1"/>
  <c r="R214" i="1" s="1"/>
  <c r="P214" i="1" s="1"/>
  <c r="V214" i="1" s="1"/>
  <c r="AC215" i="1"/>
  <c r="Q215" i="1"/>
  <c r="AK215" i="1"/>
  <c r="O215" i="1"/>
  <c r="AB215" i="1"/>
  <c r="K215" i="1"/>
  <c r="L215" i="1"/>
  <c r="A216" i="1"/>
  <c r="AJ215" i="1"/>
  <c r="X215" i="1"/>
  <c r="U215" i="1"/>
  <c r="T215" i="1" s="1"/>
  <c r="K212" i="18"/>
  <c r="AJ212" i="18"/>
  <c r="X212" i="18"/>
  <c r="AB212" i="18"/>
  <c r="A213" i="18"/>
  <c r="L212" i="18"/>
  <c r="O212" i="18"/>
  <c r="AK212" i="18"/>
  <c r="AC212" i="18"/>
  <c r="F213" i="1"/>
  <c r="AB210" i="22"/>
  <c r="A211" i="22"/>
  <c r="X210" i="22"/>
  <c r="AE38" i="7"/>
  <c r="K210" i="22"/>
  <c r="L210" i="22"/>
  <c r="AJ210" i="22"/>
  <c r="AK210" i="22"/>
  <c r="O210" i="22"/>
  <c r="AG38" i="7" s="1"/>
  <c r="AC210" i="22"/>
  <c r="K211" i="20"/>
  <c r="X211" i="20"/>
  <c r="A212" i="20"/>
  <c r="AB211" i="20"/>
  <c r="L211" i="20"/>
  <c r="AK211" i="20"/>
  <c r="AJ211" i="20"/>
  <c r="O211" i="20"/>
  <c r="AC211" i="20"/>
  <c r="K207" i="25"/>
  <c r="A208" i="25"/>
  <c r="AB207" i="25"/>
  <c r="L207" i="25"/>
  <c r="X207" i="25"/>
  <c r="AJ207" i="25"/>
  <c r="O207" i="25"/>
  <c r="AK207" i="25"/>
  <c r="AC207" i="25"/>
  <c r="D214" i="1"/>
  <c r="E214" i="1" s="1"/>
  <c r="A210" i="23"/>
  <c r="AB209" i="23"/>
  <c r="X209" i="23"/>
  <c r="L209" i="23"/>
  <c r="K209" i="23"/>
  <c r="AK209" i="23"/>
  <c r="AJ209" i="23"/>
  <c r="O209" i="23"/>
  <c r="AC209" i="23"/>
  <c r="K208" i="24"/>
  <c r="L208" i="24"/>
  <c r="AB208" i="24"/>
  <c r="A209" i="24"/>
  <c r="X208" i="24"/>
  <c r="AJ208" i="24"/>
  <c r="AK208" i="24"/>
  <c r="O208" i="24"/>
  <c r="AC208" i="24"/>
  <c r="X215" i="15" l="1"/>
  <c r="L215" i="15"/>
  <c r="D215" i="15" s="1"/>
  <c r="AB215" i="15"/>
  <c r="AK215" i="15"/>
  <c r="AC215" i="15"/>
  <c r="A216" i="15"/>
  <c r="AJ215" i="15"/>
  <c r="K215" i="15"/>
  <c r="O215" i="15"/>
  <c r="E214" i="15"/>
  <c r="E213" i="16"/>
  <c r="AB214" i="16"/>
  <c r="A215" i="16"/>
  <c r="L214" i="16"/>
  <c r="D214" i="16" s="1"/>
  <c r="AK214" i="16"/>
  <c r="O214" i="16"/>
  <c r="K214" i="16"/>
  <c r="X214" i="16"/>
  <c r="AJ214" i="16"/>
  <c r="AC214" i="16"/>
  <c r="F214" i="1"/>
  <c r="A209" i="25"/>
  <c r="AB208" i="25"/>
  <c r="L208" i="25"/>
  <c r="K208" i="25"/>
  <c r="X208" i="25"/>
  <c r="AJ208" i="25"/>
  <c r="AK208" i="25"/>
  <c r="O208" i="25"/>
  <c r="AC208" i="25"/>
  <c r="A213" i="20"/>
  <c r="L212" i="20"/>
  <c r="AB212" i="20"/>
  <c r="X212" i="20"/>
  <c r="K212" i="20"/>
  <c r="AJ212" i="20"/>
  <c r="AK212" i="20"/>
  <c r="O212" i="20"/>
  <c r="AC212" i="20"/>
  <c r="K213" i="18"/>
  <c r="AJ213" i="18"/>
  <c r="X213" i="18"/>
  <c r="AB213" i="18"/>
  <c r="A214" i="18"/>
  <c r="L213" i="18"/>
  <c r="O213" i="18"/>
  <c r="AK213" i="18"/>
  <c r="AC213" i="18"/>
  <c r="AC216" i="1"/>
  <c r="Q216" i="1"/>
  <c r="X216" i="1"/>
  <c r="L216" i="1"/>
  <c r="AB216" i="1"/>
  <c r="O216" i="1"/>
  <c r="AK216" i="1"/>
  <c r="K216" i="1"/>
  <c r="A217" i="1"/>
  <c r="AJ216" i="1"/>
  <c r="U216" i="1"/>
  <c r="A210" i="24"/>
  <c r="X209" i="24"/>
  <c r="K209" i="24"/>
  <c r="L209" i="24"/>
  <c r="AB209" i="24"/>
  <c r="AJ209" i="24"/>
  <c r="AK209" i="24"/>
  <c r="O209" i="24"/>
  <c r="AC209" i="24"/>
  <c r="X210" i="23"/>
  <c r="A211" i="23"/>
  <c r="L210" i="23"/>
  <c r="AB210" i="23"/>
  <c r="K210" i="23"/>
  <c r="AE50" i="7"/>
  <c r="AJ210" i="23"/>
  <c r="AK210" i="23"/>
  <c r="O210" i="23"/>
  <c r="AG50" i="7" s="1"/>
  <c r="AC210" i="23"/>
  <c r="AF38" i="7"/>
  <c r="AB211" i="22"/>
  <c r="X211" i="22"/>
  <c r="A212" i="22"/>
  <c r="L211" i="22"/>
  <c r="K211" i="22"/>
  <c r="AJ211" i="22"/>
  <c r="AK211" i="22"/>
  <c r="O211" i="22"/>
  <c r="AC211" i="22"/>
  <c r="I213" i="1"/>
  <c r="AA213" i="1"/>
  <c r="Z213" i="1" s="1"/>
  <c r="Y213" i="1" s="1"/>
  <c r="G213" i="1"/>
  <c r="BW213" i="6" s="1"/>
  <c r="S215" i="1"/>
  <c r="R215" i="1" s="1"/>
  <c r="P215" i="1" s="1"/>
  <c r="V215" i="1" s="1"/>
  <c r="D215" i="1"/>
  <c r="E215" i="1" s="1"/>
  <c r="AB214" i="17"/>
  <c r="K214" i="17"/>
  <c r="L214" i="17"/>
  <c r="A215" i="17"/>
  <c r="X214" i="17"/>
  <c r="AJ214" i="17"/>
  <c r="O214" i="17"/>
  <c r="AK214" i="17"/>
  <c r="AC214" i="17"/>
  <c r="E215" i="15" l="1"/>
  <c r="K216" i="15"/>
  <c r="O216" i="15"/>
  <c r="A217" i="15"/>
  <c r="AJ216" i="15"/>
  <c r="X216" i="15"/>
  <c r="AK216" i="15"/>
  <c r="AB216" i="15"/>
  <c r="L216" i="15"/>
  <c r="D216" i="15" s="1"/>
  <c r="AC216" i="15"/>
  <c r="E214" i="16"/>
  <c r="K215" i="16"/>
  <c r="AB215" i="16"/>
  <c r="L215" i="16"/>
  <c r="D215" i="16" s="1"/>
  <c r="AK215" i="16"/>
  <c r="O215" i="16"/>
  <c r="A216" i="16"/>
  <c r="X215" i="16"/>
  <c r="AJ215" i="16"/>
  <c r="AC215" i="16"/>
  <c r="F215" i="1"/>
  <c r="A216" i="17"/>
  <c r="K215" i="17"/>
  <c r="AB215" i="17"/>
  <c r="X215" i="17"/>
  <c r="L215" i="17"/>
  <c r="AJ215" i="17"/>
  <c r="O215" i="17"/>
  <c r="AK215" i="17"/>
  <c r="AC215" i="17"/>
  <c r="X212" i="22"/>
  <c r="A213" i="22"/>
  <c r="L212" i="22"/>
  <c r="K212" i="22"/>
  <c r="AB212" i="22"/>
  <c r="AK212" i="22"/>
  <c r="AJ212" i="22"/>
  <c r="O212" i="22"/>
  <c r="AC212" i="22"/>
  <c r="A212" i="23"/>
  <c r="AB211" i="23"/>
  <c r="K211" i="23"/>
  <c r="X211" i="23"/>
  <c r="L211" i="23"/>
  <c r="AK211" i="23"/>
  <c r="AJ211" i="23"/>
  <c r="O211" i="23"/>
  <c r="AC211" i="23"/>
  <c r="AE62" i="7"/>
  <c r="L210" i="24"/>
  <c r="K210" i="24"/>
  <c r="A211" i="24"/>
  <c r="AB210" i="24"/>
  <c r="X210" i="24"/>
  <c r="AK210" i="24"/>
  <c r="O210" i="24"/>
  <c r="AG62" i="7" s="1"/>
  <c r="AJ210" i="24"/>
  <c r="AC210" i="24"/>
  <c r="T216" i="1"/>
  <c r="O217" i="1"/>
  <c r="Q217" i="1"/>
  <c r="AJ217" i="1"/>
  <c r="L217" i="1"/>
  <c r="X217" i="1"/>
  <c r="A218" i="1"/>
  <c r="AC217" i="1"/>
  <c r="AK217" i="1"/>
  <c r="K217" i="1"/>
  <c r="AB217" i="1"/>
  <c r="U217" i="1"/>
  <c r="T217" i="1" s="1"/>
  <c r="X213" i="20"/>
  <c r="K213" i="20"/>
  <c r="AB213" i="20"/>
  <c r="L213" i="20"/>
  <c r="A214" i="20"/>
  <c r="AJ213" i="20"/>
  <c r="AK213" i="20"/>
  <c r="O213" i="20"/>
  <c r="AC213" i="20"/>
  <c r="AF50" i="7"/>
  <c r="D216" i="1"/>
  <c r="E216" i="1" s="1"/>
  <c r="A215" i="18"/>
  <c r="L214" i="18"/>
  <c r="X214" i="18"/>
  <c r="K214" i="18"/>
  <c r="AB214" i="18"/>
  <c r="AJ214" i="18"/>
  <c r="O214" i="18"/>
  <c r="AK214" i="18"/>
  <c r="AC214" i="18"/>
  <c r="K209" i="25"/>
  <c r="AB209" i="25"/>
  <c r="X209" i="25"/>
  <c r="L209" i="25"/>
  <c r="A210" i="25"/>
  <c r="AJ209" i="25"/>
  <c r="AK209" i="25"/>
  <c r="O209" i="25"/>
  <c r="AC209" i="25"/>
  <c r="AA214" i="1"/>
  <c r="Z214" i="1" s="1"/>
  <c r="Y214" i="1" s="1"/>
  <c r="I214" i="1"/>
  <c r="G214" i="1"/>
  <c r="BW214" i="6" s="1"/>
  <c r="E216" i="15" l="1"/>
  <c r="A218" i="15"/>
  <c r="AJ217" i="15"/>
  <c r="AC217" i="15"/>
  <c r="L217" i="15"/>
  <c r="D217" i="15" s="1"/>
  <c r="X217" i="15"/>
  <c r="K217" i="15"/>
  <c r="O217" i="15"/>
  <c r="AB217" i="15"/>
  <c r="AK217" i="15"/>
  <c r="X216" i="16"/>
  <c r="AB216" i="16"/>
  <c r="AJ216" i="16"/>
  <c r="AC216" i="16"/>
  <c r="L216" i="16"/>
  <c r="D216" i="16" s="1"/>
  <c r="K216" i="16"/>
  <c r="A217" i="16"/>
  <c r="AK216" i="16"/>
  <c r="O216" i="16"/>
  <c r="E215" i="16"/>
  <c r="AB215" i="18"/>
  <c r="K215" i="18"/>
  <c r="AJ215" i="18"/>
  <c r="A216" i="18"/>
  <c r="L215" i="18"/>
  <c r="X215" i="18"/>
  <c r="AK215" i="18"/>
  <c r="O215" i="18"/>
  <c r="AC215" i="18"/>
  <c r="S217" i="1"/>
  <c r="R217" i="1" s="1"/>
  <c r="P217" i="1" s="1"/>
  <c r="V217" i="1" s="1"/>
  <c r="X213" i="22"/>
  <c r="A214" i="22"/>
  <c r="K213" i="22"/>
  <c r="L213" i="22"/>
  <c r="AB213" i="22"/>
  <c r="AK213" i="22"/>
  <c r="AJ213" i="22"/>
  <c r="O213" i="22"/>
  <c r="AC213" i="22"/>
  <c r="G215" i="1"/>
  <c r="BW215" i="6" s="1"/>
  <c r="AA215" i="1"/>
  <c r="Z215" i="1" s="1"/>
  <c r="Y215" i="1" s="1"/>
  <c r="I215" i="1"/>
  <c r="X210" i="25"/>
  <c r="L210" i="25"/>
  <c r="A211" i="25"/>
  <c r="K210" i="25"/>
  <c r="AE74" i="7"/>
  <c r="AB210" i="25"/>
  <c r="AJ210" i="25"/>
  <c r="O210" i="25"/>
  <c r="AG74" i="7" s="1"/>
  <c r="AK210" i="25"/>
  <c r="AC210" i="25"/>
  <c r="AB214" i="20"/>
  <c r="A215" i="20"/>
  <c r="X214" i="20"/>
  <c r="K214" i="20"/>
  <c r="L214" i="20"/>
  <c r="AJ214" i="20"/>
  <c r="AK214" i="20"/>
  <c r="O214" i="20"/>
  <c r="AC214" i="20"/>
  <c r="AB218" i="1"/>
  <c r="X218" i="1"/>
  <c r="Q218" i="1"/>
  <c r="K218" i="1"/>
  <c r="AJ218" i="1"/>
  <c r="O218" i="1"/>
  <c r="A219" i="1"/>
  <c r="AC218" i="1"/>
  <c r="AK218" i="1"/>
  <c r="L218" i="1"/>
  <c r="U218" i="1"/>
  <c r="T218" i="1" s="1"/>
  <c r="D217" i="1"/>
  <c r="E217" i="1" s="1"/>
  <c r="S216" i="1"/>
  <c r="R216" i="1" s="1"/>
  <c r="P216" i="1" s="1"/>
  <c r="V216" i="1" s="1"/>
  <c r="AB211" i="24"/>
  <c r="A212" i="24"/>
  <c r="K211" i="24"/>
  <c r="X211" i="24"/>
  <c r="L211" i="24"/>
  <c r="AK211" i="24"/>
  <c r="AJ211" i="24"/>
  <c r="O211" i="24"/>
  <c r="AC211" i="24"/>
  <c r="AF62" i="7"/>
  <c r="AB212" i="23"/>
  <c r="K212" i="23"/>
  <c r="L212" i="23"/>
  <c r="A213" i="23"/>
  <c r="X212" i="23"/>
  <c r="AJ212" i="23"/>
  <c r="AK212" i="23"/>
  <c r="O212" i="23"/>
  <c r="AC212" i="23"/>
  <c r="K216" i="17"/>
  <c r="A217" i="17"/>
  <c r="L216" i="17"/>
  <c r="X216" i="17"/>
  <c r="AB216" i="17"/>
  <c r="AJ216" i="17"/>
  <c r="AK216" i="17"/>
  <c r="O216" i="17"/>
  <c r="AC216" i="17"/>
  <c r="K218" i="15" l="1"/>
  <c r="AK218" i="15"/>
  <c r="L218" i="15"/>
  <c r="D218" i="15" s="1"/>
  <c r="AB218" i="15"/>
  <c r="AC218" i="15"/>
  <c r="A219" i="15"/>
  <c r="O218" i="15"/>
  <c r="X218" i="15"/>
  <c r="AJ218" i="15"/>
  <c r="E217" i="15"/>
  <c r="A218" i="16"/>
  <c r="L217" i="16"/>
  <c r="D217" i="16" s="1"/>
  <c r="K217" i="16"/>
  <c r="AK217" i="16"/>
  <c r="O217" i="16"/>
  <c r="AB217" i="16"/>
  <c r="X217" i="16"/>
  <c r="AJ217" i="16"/>
  <c r="AC217" i="16"/>
  <c r="E216" i="16"/>
  <c r="X217" i="17"/>
  <c r="A218" i="17"/>
  <c r="L217" i="17"/>
  <c r="AB217" i="17"/>
  <c r="K217" i="17"/>
  <c r="O217" i="17"/>
  <c r="AK217" i="17"/>
  <c r="AJ217" i="17"/>
  <c r="AC217" i="17"/>
  <c r="AB212" i="24"/>
  <c r="A213" i="24"/>
  <c r="L212" i="24"/>
  <c r="K212" i="24"/>
  <c r="X212" i="24"/>
  <c r="AJ212" i="24"/>
  <c r="AK212" i="24"/>
  <c r="O212" i="24"/>
  <c r="AC212" i="24"/>
  <c r="S218" i="1"/>
  <c r="R218" i="1" s="1"/>
  <c r="P218" i="1" s="1"/>
  <c r="V218" i="1" s="1"/>
  <c r="X219" i="1"/>
  <c r="AK219" i="1"/>
  <c r="K219" i="1"/>
  <c r="A220" i="1"/>
  <c r="AC219" i="1"/>
  <c r="AB219" i="1"/>
  <c r="O219" i="1"/>
  <c r="AJ219" i="1"/>
  <c r="L219" i="1"/>
  <c r="Q219" i="1"/>
  <c r="U219" i="1"/>
  <c r="T219" i="1" s="1"/>
  <c r="A216" i="20"/>
  <c r="AB215" i="20"/>
  <c r="K215" i="20"/>
  <c r="X215" i="20"/>
  <c r="L215" i="20"/>
  <c r="AJ215" i="20"/>
  <c r="AK215" i="20"/>
  <c r="O215" i="20"/>
  <c r="AC215" i="20"/>
  <c r="AF74" i="7"/>
  <c r="AB214" i="22"/>
  <c r="X214" i="22"/>
  <c r="A215" i="22"/>
  <c r="L214" i="22"/>
  <c r="K214" i="22"/>
  <c r="AJ214" i="22"/>
  <c r="AK214" i="22"/>
  <c r="O214" i="22"/>
  <c r="AC214" i="22"/>
  <c r="F217" i="1"/>
  <c r="A217" i="18"/>
  <c r="X216" i="18"/>
  <c r="AJ216" i="18"/>
  <c r="K216" i="18"/>
  <c r="L216" i="18"/>
  <c r="AB216" i="18"/>
  <c r="O216" i="18"/>
  <c r="AK216" i="18"/>
  <c r="AC216" i="18"/>
  <c r="F216" i="1"/>
  <c r="AB213" i="23"/>
  <c r="K213" i="23"/>
  <c r="L213" i="23"/>
  <c r="X213" i="23"/>
  <c r="A214" i="23"/>
  <c r="AJ213" i="23"/>
  <c r="AK213" i="23"/>
  <c r="O213" i="23"/>
  <c r="AC213" i="23"/>
  <c r="D218" i="1"/>
  <c r="E218" i="1" s="1"/>
  <c r="X211" i="25"/>
  <c r="L211" i="25"/>
  <c r="K211" i="25"/>
  <c r="AB211" i="25"/>
  <c r="A212" i="25"/>
  <c r="AJ211" i="25"/>
  <c r="AK211" i="25"/>
  <c r="O211" i="25"/>
  <c r="AC211" i="25"/>
  <c r="K219" i="15" l="1"/>
  <c r="O219" i="15"/>
  <c r="X219" i="15"/>
  <c r="AJ219" i="15"/>
  <c r="L219" i="15"/>
  <c r="D219" i="15" s="1"/>
  <c r="AK219" i="15"/>
  <c r="A220" i="15"/>
  <c r="AB219" i="15"/>
  <c r="AC219" i="15"/>
  <c r="E218" i="15"/>
  <c r="A219" i="16"/>
  <c r="L218" i="16"/>
  <c r="D218" i="16" s="1"/>
  <c r="AJ218" i="16"/>
  <c r="AC218" i="16"/>
  <c r="K218" i="16"/>
  <c r="AB218" i="16"/>
  <c r="X218" i="16"/>
  <c r="AK218" i="16"/>
  <c r="O218" i="16"/>
  <c r="F218" i="1"/>
  <c r="I218" i="1" s="1"/>
  <c r="E217" i="16"/>
  <c r="AA218" i="1"/>
  <c r="Z218" i="1" s="1"/>
  <c r="Y218" i="1" s="1"/>
  <c r="AB214" i="23"/>
  <c r="K214" i="23"/>
  <c r="L214" i="23"/>
  <c r="A215" i="23"/>
  <c r="X214" i="23"/>
  <c r="AJ214" i="23"/>
  <c r="AK214" i="23"/>
  <c r="O214" i="23"/>
  <c r="AC214" i="23"/>
  <c r="A218" i="18"/>
  <c r="K217" i="18"/>
  <c r="L217" i="18"/>
  <c r="X217" i="18"/>
  <c r="AJ217" i="18"/>
  <c r="AB217" i="18"/>
  <c r="O217" i="18"/>
  <c r="AK217" i="18"/>
  <c r="AC217" i="18"/>
  <c r="K215" i="22"/>
  <c r="AB215" i="22"/>
  <c r="L215" i="22"/>
  <c r="X215" i="22"/>
  <c r="A216" i="22"/>
  <c r="AJ215" i="22"/>
  <c r="AK215" i="22"/>
  <c r="O215" i="22"/>
  <c r="AC215" i="22"/>
  <c r="A217" i="20"/>
  <c r="L216" i="20"/>
  <c r="K216" i="20"/>
  <c r="X216" i="20"/>
  <c r="AB216" i="20"/>
  <c r="AJ216" i="20"/>
  <c r="AK216" i="20"/>
  <c r="O216" i="20"/>
  <c r="AC216" i="20"/>
  <c r="AJ220" i="1"/>
  <c r="X220" i="1"/>
  <c r="AK220" i="1"/>
  <c r="A221" i="1"/>
  <c r="AB220" i="1"/>
  <c r="AC220" i="1"/>
  <c r="L220" i="1"/>
  <c r="Q220" i="1"/>
  <c r="O220" i="1"/>
  <c r="K220" i="1"/>
  <c r="U220" i="1"/>
  <c r="T220" i="1" s="1"/>
  <c r="K212" i="25"/>
  <c r="AB212" i="25"/>
  <c r="A213" i="25"/>
  <c r="L212" i="25"/>
  <c r="X212" i="25"/>
  <c r="AK212" i="25"/>
  <c r="AJ212" i="25"/>
  <c r="O212" i="25"/>
  <c r="AC212" i="25"/>
  <c r="I216" i="1"/>
  <c r="AA216" i="1"/>
  <c r="Z216" i="1" s="1"/>
  <c r="Y216" i="1" s="1"/>
  <c r="G216" i="1"/>
  <c r="BW216" i="6" s="1"/>
  <c r="G217" i="1"/>
  <c r="BW217" i="6" s="1"/>
  <c r="I217" i="1"/>
  <c r="AA217" i="1"/>
  <c r="Z217" i="1" s="1"/>
  <c r="Y217" i="1" s="1"/>
  <c r="S219" i="1"/>
  <c r="R219" i="1" s="1"/>
  <c r="P219" i="1" s="1"/>
  <c r="V219" i="1" s="1"/>
  <c r="D219" i="1"/>
  <c r="E219" i="1" s="1"/>
  <c r="K213" i="24"/>
  <c r="A214" i="24"/>
  <c r="AB213" i="24"/>
  <c r="X213" i="24"/>
  <c r="L213" i="24"/>
  <c r="AJ213" i="24"/>
  <c r="AK213" i="24"/>
  <c r="O213" i="24"/>
  <c r="AC213" i="24"/>
  <c r="K218" i="17"/>
  <c r="AB218" i="17"/>
  <c r="A219" i="17"/>
  <c r="L218" i="17"/>
  <c r="X218" i="17"/>
  <c r="AJ218" i="17"/>
  <c r="O218" i="17"/>
  <c r="AK218" i="17"/>
  <c r="AC218" i="17"/>
  <c r="A221" i="15" l="1"/>
  <c r="O220" i="15"/>
  <c r="L220" i="15"/>
  <c r="D220" i="15" s="1"/>
  <c r="AJ220" i="15"/>
  <c r="AB220" i="15"/>
  <c r="AK220" i="15"/>
  <c r="X220" i="15"/>
  <c r="K220" i="15"/>
  <c r="AC220" i="15"/>
  <c r="E219" i="15"/>
  <c r="E218" i="16"/>
  <c r="G218" i="1"/>
  <c r="BW218" i="6" s="1"/>
  <c r="K219" i="16"/>
  <c r="AB219" i="16"/>
  <c r="AJ219" i="16"/>
  <c r="AC219" i="16"/>
  <c r="X219" i="16"/>
  <c r="A220" i="16"/>
  <c r="L219" i="16"/>
  <c r="D219" i="16" s="1"/>
  <c r="AK219" i="16"/>
  <c r="O219" i="16"/>
  <c r="AB219" i="17"/>
  <c r="A220" i="17"/>
  <c r="K219" i="17"/>
  <c r="L219" i="17"/>
  <c r="X219" i="17"/>
  <c r="AJ219" i="17"/>
  <c r="O219" i="17"/>
  <c r="AK219" i="17"/>
  <c r="AC219" i="17"/>
  <c r="A214" i="25"/>
  <c r="L213" i="25"/>
  <c r="X213" i="25"/>
  <c r="AB213" i="25"/>
  <c r="K213" i="25"/>
  <c r="AJ213" i="25"/>
  <c r="AK213" i="25"/>
  <c r="O213" i="25"/>
  <c r="AC213" i="25"/>
  <c r="X221" i="1"/>
  <c r="O221" i="1"/>
  <c r="K221" i="1"/>
  <c r="L221" i="1"/>
  <c r="Q221" i="1"/>
  <c r="AK221" i="1"/>
  <c r="AB221" i="1"/>
  <c r="AC221" i="1"/>
  <c r="AJ221" i="1"/>
  <c r="A222" i="1"/>
  <c r="U221" i="1"/>
  <c r="T221" i="1" s="1"/>
  <c r="S221" i="1" s="1"/>
  <c r="R221" i="1" s="1"/>
  <c r="P221" i="1" s="1"/>
  <c r="AB217" i="20"/>
  <c r="X217" i="20"/>
  <c r="A218" i="20"/>
  <c r="L217" i="20"/>
  <c r="K217" i="20"/>
  <c r="AJ217" i="20"/>
  <c r="AK217" i="20"/>
  <c r="O217" i="20"/>
  <c r="AC217" i="20"/>
  <c r="K218" i="18"/>
  <c r="L218" i="18"/>
  <c r="X218" i="18"/>
  <c r="AJ218" i="18"/>
  <c r="AB218" i="18"/>
  <c r="A219" i="18"/>
  <c r="AK218" i="18"/>
  <c r="O218" i="18"/>
  <c r="AC218" i="18"/>
  <c r="X214" i="24"/>
  <c r="L214" i="24"/>
  <c r="AB214" i="24"/>
  <c r="K214" i="24"/>
  <c r="A215" i="24"/>
  <c r="AK214" i="24"/>
  <c r="AJ214" i="24"/>
  <c r="O214" i="24"/>
  <c r="AC214" i="24"/>
  <c r="F219" i="1"/>
  <c r="S220" i="1"/>
  <c r="R220" i="1" s="1"/>
  <c r="P220" i="1" s="1"/>
  <c r="V220" i="1" s="1"/>
  <c r="D220" i="1"/>
  <c r="E220" i="1" s="1"/>
  <c r="AB216" i="22"/>
  <c r="A217" i="22"/>
  <c r="K216" i="22"/>
  <c r="X216" i="22"/>
  <c r="L216" i="22"/>
  <c r="AJ216" i="22"/>
  <c r="AK216" i="22"/>
  <c r="O216" i="22"/>
  <c r="AC216" i="22"/>
  <c r="AB215" i="23"/>
  <c r="K215" i="23"/>
  <c r="A216" i="23"/>
  <c r="X215" i="23"/>
  <c r="L215" i="23"/>
  <c r="AJ215" i="23"/>
  <c r="AK215" i="23"/>
  <c r="O215" i="23"/>
  <c r="AC215" i="23"/>
  <c r="E220" i="15" l="1"/>
  <c r="K221" i="15"/>
  <c r="AJ221" i="15"/>
  <c r="A222" i="15"/>
  <c r="X221" i="15"/>
  <c r="AC221" i="15"/>
  <c r="AB221" i="15"/>
  <c r="O221" i="15"/>
  <c r="L221" i="15"/>
  <c r="D221" i="15" s="1"/>
  <c r="AK221" i="15"/>
  <c r="X220" i="16"/>
  <c r="A221" i="16"/>
  <c r="L220" i="16"/>
  <c r="D220" i="16" s="1"/>
  <c r="AJ220" i="16"/>
  <c r="O220" i="16"/>
  <c r="AB220" i="16"/>
  <c r="K220" i="16"/>
  <c r="AK220" i="16"/>
  <c r="AC220" i="16"/>
  <c r="E219" i="16"/>
  <c r="F220" i="1"/>
  <c r="I219" i="1"/>
  <c r="G219" i="1"/>
  <c r="BW219" i="6" s="1"/>
  <c r="AA219" i="1"/>
  <c r="Z219" i="1" s="1"/>
  <c r="Y219" i="1" s="1"/>
  <c r="X219" i="18"/>
  <c r="K219" i="18"/>
  <c r="AJ219" i="18"/>
  <c r="A220" i="18"/>
  <c r="L219" i="18"/>
  <c r="AB219" i="18"/>
  <c r="O219" i="18"/>
  <c r="AK219" i="18"/>
  <c r="AC219" i="18"/>
  <c r="AB218" i="20"/>
  <c r="L218" i="20"/>
  <c r="X218" i="20"/>
  <c r="A219" i="20"/>
  <c r="K218" i="20"/>
  <c r="AJ218" i="20"/>
  <c r="AK218" i="20"/>
  <c r="O218" i="20"/>
  <c r="AC218" i="20"/>
  <c r="AJ222" i="1"/>
  <c r="A223" i="1"/>
  <c r="AB222" i="1"/>
  <c r="AK222" i="1"/>
  <c r="Q222" i="1"/>
  <c r="AC222" i="1"/>
  <c r="O222" i="1"/>
  <c r="X222" i="1"/>
  <c r="L222" i="1"/>
  <c r="K222" i="1"/>
  <c r="U222" i="1"/>
  <c r="T222" i="1" s="1"/>
  <c r="D221" i="1"/>
  <c r="V221" i="1"/>
  <c r="E221" i="1"/>
  <c r="X214" i="25"/>
  <c r="A215" i="25"/>
  <c r="K214" i="25"/>
  <c r="AB214" i="25"/>
  <c r="L214" i="25"/>
  <c r="AJ214" i="25"/>
  <c r="AK214" i="25"/>
  <c r="O214" i="25"/>
  <c r="AC214" i="25"/>
  <c r="AB216" i="23"/>
  <c r="X216" i="23"/>
  <c r="K216" i="23"/>
  <c r="L216" i="23"/>
  <c r="A217" i="23"/>
  <c r="AK216" i="23"/>
  <c r="AJ216" i="23"/>
  <c r="O216" i="23"/>
  <c r="AC216" i="23"/>
  <c r="A218" i="22"/>
  <c r="AB217" i="22"/>
  <c r="K217" i="22"/>
  <c r="L217" i="22"/>
  <c r="X217" i="22"/>
  <c r="AJ217" i="22"/>
  <c r="AK217" i="22"/>
  <c r="O217" i="22"/>
  <c r="AC217" i="22"/>
  <c r="A216" i="24"/>
  <c r="L215" i="24"/>
  <c r="AB215" i="24"/>
  <c r="X215" i="24"/>
  <c r="K215" i="24"/>
  <c r="AJ215" i="24"/>
  <c r="AK215" i="24"/>
  <c r="O215" i="24"/>
  <c r="AC215" i="24"/>
  <c r="X220" i="17"/>
  <c r="L220" i="17"/>
  <c r="AB220" i="17"/>
  <c r="A221" i="17"/>
  <c r="K220" i="17"/>
  <c r="AK220" i="17"/>
  <c r="AJ220" i="17"/>
  <c r="O220" i="17"/>
  <c r="AC220" i="17"/>
  <c r="AB222" i="15" l="1"/>
  <c r="A223" i="15"/>
  <c r="AJ222" i="15"/>
  <c r="X222" i="15"/>
  <c r="L222" i="15"/>
  <c r="D222" i="15" s="1"/>
  <c r="AK222" i="15"/>
  <c r="K222" i="15"/>
  <c r="O222" i="15"/>
  <c r="AC222" i="15"/>
  <c r="E221" i="15"/>
  <c r="X221" i="16"/>
  <c r="L221" i="16"/>
  <c r="D221" i="16" s="1"/>
  <c r="AJ221" i="16"/>
  <c r="AC221" i="16"/>
  <c r="AB221" i="16"/>
  <c r="K221" i="16"/>
  <c r="A222" i="16"/>
  <c r="AK221" i="16"/>
  <c r="O221" i="16"/>
  <c r="F221" i="1"/>
  <c r="G221" i="1" s="1"/>
  <c r="BW221" i="6" s="1"/>
  <c r="E220" i="16"/>
  <c r="X216" i="24"/>
  <c r="AB216" i="24"/>
  <c r="L216" i="24"/>
  <c r="A217" i="24"/>
  <c r="K216" i="24"/>
  <c r="AJ216" i="24"/>
  <c r="AK216" i="24"/>
  <c r="O216" i="24"/>
  <c r="AC216" i="24"/>
  <c r="A218" i="23"/>
  <c r="AB217" i="23"/>
  <c r="L217" i="23"/>
  <c r="K217" i="23"/>
  <c r="X217" i="23"/>
  <c r="AJ217" i="23"/>
  <c r="AK217" i="23"/>
  <c r="O217" i="23"/>
  <c r="AC217" i="23"/>
  <c r="A216" i="25"/>
  <c r="X215" i="25"/>
  <c r="AB215" i="25"/>
  <c r="K215" i="25"/>
  <c r="L215" i="25"/>
  <c r="AJ215" i="25"/>
  <c r="O215" i="25"/>
  <c r="AK215" i="25"/>
  <c r="AC215" i="25"/>
  <c r="O223" i="1"/>
  <c r="AJ223" i="1"/>
  <c r="AC223" i="1"/>
  <c r="L223" i="1"/>
  <c r="Q223" i="1"/>
  <c r="A224" i="1"/>
  <c r="K223" i="1"/>
  <c r="AB223" i="1"/>
  <c r="AK223" i="1"/>
  <c r="X223" i="1"/>
  <c r="U223" i="1"/>
  <c r="T223" i="1" s="1"/>
  <c r="X220" i="18"/>
  <c r="A221" i="18"/>
  <c r="L220" i="18"/>
  <c r="AB220" i="18"/>
  <c r="AJ220" i="18"/>
  <c r="K220" i="18"/>
  <c r="O220" i="18"/>
  <c r="AK220" i="18"/>
  <c r="AC220" i="18"/>
  <c r="AA220" i="1"/>
  <c r="Z220" i="1" s="1"/>
  <c r="Y220" i="1" s="1"/>
  <c r="I220" i="1"/>
  <c r="G220" i="1"/>
  <c r="BW220" i="6" s="1"/>
  <c r="K221" i="17"/>
  <c r="L221" i="17"/>
  <c r="X221" i="17"/>
  <c r="A222" i="17"/>
  <c r="AB221" i="17"/>
  <c r="AJ221" i="17"/>
  <c r="O221" i="17"/>
  <c r="AK221" i="17"/>
  <c r="AC221" i="17"/>
  <c r="A219" i="22"/>
  <c r="AB218" i="22"/>
  <c r="L218" i="22"/>
  <c r="X218" i="22"/>
  <c r="K218" i="22"/>
  <c r="AK218" i="22"/>
  <c r="AJ218" i="22"/>
  <c r="O218" i="22"/>
  <c r="AC218" i="22"/>
  <c r="S222" i="1"/>
  <c r="R222" i="1" s="1"/>
  <c r="P222" i="1" s="1"/>
  <c r="V222" i="1" s="1"/>
  <c r="D222" i="1"/>
  <c r="E222" i="1" s="1"/>
  <c r="AB219" i="20"/>
  <c r="K219" i="20"/>
  <c r="X219" i="20"/>
  <c r="A220" i="20"/>
  <c r="L219" i="20"/>
  <c r="AJ219" i="20"/>
  <c r="AK219" i="20"/>
  <c r="O219" i="20"/>
  <c r="AC219" i="20"/>
  <c r="AA221" i="1" l="1"/>
  <c r="Z221" i="1" s="1"/>
  <c r="Y221" i="1" s="1"/>
  <c r="I221" i="1"/>
  <c r="A224" i="15"/>
  <c r="AJ223" i="15"/>
  <c r="K223" i="15"/>
  <c r="AK223" i="15"/>
  <c r="AB223" i="15"/>
  <c r="L223" i="15"/>
  <c r="D223" i="15" s="1"/>
  <c r="AC223" i="15"/>
  <c r="X223" i="15"/>
  <c r="O223" i="15"/>
  <c r="E222" i="15"/>
  <c r="F222" i="1"/>
  <c r="AA222" i="1" s="1"/>
  <c r="Z222" i="1" s="1"/>
  <c r="Y222" i="1" s="1"/>
  <c r="A223" i="16"/>
  <c r="AB222" i="16"/>
  <c r="L222" i="16"/>
  <c r="D222" i="16" s="1"/>
  <c r="AJ222" i="16"/>
  <c r="O222" i="16"/>
  <c r="K222" i="16"/>
  <c r="X222" i="16"/>
  <c r="AK222" i="16"/>
  <c r="AC222" i="16"/>
  <c r="E221" i="16"/>
  <c r="AB219" i="22"/>
  <c r="X219" i="22"/>
  <c r="A220" i="22"/>
  <c r="L219" i="22"/>
  <c r="K219" i="22"/>
  <c r="AJ219" i="22"/>
  <c r="AK219" i="22"/>
  <c r="O219" i="22"/>
  <c r="AC219" i="22"/>
  <c r="K224" i="1"/>
  <c r="L224" i="1"/>
  <c r="AC224" i="1"/>
  <c r="Q224" i="1"/>
  <c r="A225" i="1"/>
  <c r="AK224" i="1"/>
  <c r="O224" i="1"/>
  <c r="AJ224" i="1"/>
  <c r="X224" i="1"/>
  <c r="AB224" i="1"/>
  <c r="U224" i="1"/>
  <c r="D223" i="1"/>
  <c r="E223" i="1" s="1"/>
  <c r="AB218" i="23"/>
  <c r="L218" i="23"/>
  <c r="X218" i="23"/>
  <c r="A219" i="23"/>
  <c r="K218" i="23"/>
  <c r="AK218" i="23"/>
  <c r="AJ218" i="23"/>
  <c r="O218" i="23"/>
  <c r="AC218" i="23"/>
  <c r="K217" i="24"/>
  <c r="A218" i="24"/>
  <c r="AB217" i="24"/>
  <c r="X217" i="24"/>
  <c r="L217" i="24"/>
  <c r="AK217" i="24"/>
  <c r="AJ217" i="24"/>
  <c r="O217" i="24"/>
  <c r="AC217" i="24"/>
  <c r="X220" i="20"/>
  <c r="AB220" i="20"/>
  <c r="A221" i="20"/>
  <c r="L220" i="20"/>
  <c r="K220" i="20"/>
  <c r="AJ220" i="20"/>
  <c r="AK220" i="20"/>
  <c r="O220" i="20"/>
  <c r="AC220" i="20"/>
  <c r="X222" i="17"/>
  <c r="L222" i="17"/>
  <c r="A223" i="17"/>
  <c r="AB222" i="17"/>
  <c r="K222" i="17"/>
  <c r="AJ222" i="17"/>
  <c r="O222" i="17"/>
  <c r="AK222" i="17"/>
  <c r="AC222" i="17"/>
  <c r="AB221" i="18"/>
  <c r="AJ221" i="18"/>
  <c r="L221" i="18"/>
  <c r="K221" i="18"/>
  <c r="X221" i="18"/>
  <c r="A222" i="18"/>
  <c r="O221" i="18"/>
  <c r="AK221" i="18"/>
  <c r="AC221" i="18"/>
  <c r="S223" i="1"/>
  <c r="R223" i="1" s="1"/>
  <c r="P223" i="1" s="1"/>
  <c r="V223" i="1" s="1"/>
  <c r="A217" i="25"/>
  <c r="K216" i="25"/>
  <c r="L216" i="25"/>
  <c r="AB216" i="25"/>
  <c r="X216" i="25"/>
  <c r="AJ216" i="25"/>
  <c r="O216" i="25"/>
  <c r="AK216" i="25"/>
  <c r="AC216" i="25"/>
  <c r="G222" i="1" l="1"/>
  <c r="BW222" i="6" s="1"/>
  <c r="E223" i="15"/>
  <c r="X224" i="15"/>
  <c r="AJ224" i="15"/>
  <c r="L224" i="15"/>
  <c r="D224" i="15" s="1"/>
  <c r="AK224" i="15"/>
  <c r="K224" i="15"/>
  <c r="AB224" i="15"/>
  <c r="AC224" i="15"/>
  <c r="A225" i="15"/>
  <c r="O224" i="15"/>
  <c r="I222" i="1"/>
  <c r="E222" i="16"/>
  <c r="A224" i="16"/>
  <c r="AB223" i="16"/>
  <c r="AJ223" i="16"/>
  <c r="AC223" i="16"/>
  <c r="L223" i="16"/>
  <c r="D223" i="16" s="1"/>
  <c r="K223" i="16"/>
  <c r="X223" i="16"/>
  <c r="AK223" i="16"/>
  <c r="O223" i="16"/>
  <c r="A218" i="25"/>
  <c r="X217" i="25"/>
  <c r="AB217" i="25"/>
  <c r="K217" i="25"/>
  <c r="L217" i="25"/>
  <c r="AK217" i="25"/>
  <c r="AJ217" i="25"/>
  <c r="O217" i="25"/>
  <c r="AC217" i="25"/>
  <c r="K221" i="20"/>
  <c r="L221" i="20"/>
  <c r="A222" i="20"/>
  <c r="X221" i="20"/>
  <c r="AB221" i="20"/>
  <c r="AJ221" i="20"/>
  <c r="AK221" i="20"/>
  <c r="O221" i="20"/>
  <c r="AC221" i="20"/>
  <c r="A219" i="24"/>
  <c r="L218" i="24"/>
  <c r="AB218" i="24"/>
  <c r="K218" i="24"/>
  <c r="X218" i="24"/>
  <c r="AK218" i="24"/>
  <c r="AJ218" i="24"/>
  <c r="O218" i="24"/>
  <c r="AC218" i="24"/>
  <c r="T224" i="1"/>
  <c r="K225" i="1"/>
  <c r="AJ225" i="1"/>
  <c r="A226" i="1"/>
  <c r="L225" i="1"/>
  <c r="AB225" i="1"/>
  <c r="AC225" i="1"/>
  <c r="AK225" i="1"/>
  <c r="O225" i="1"/>
  <c r="X225" i="1"/>
  <c r="Q225" i="1"/>
  <c r="U225" i="1"/>
  <c r="T225" i="1" s="1"/>
  <c r="X220" i="22"/>
  <c r="AB220" i="22"/>
  <c r="K220" i="22"/>
  <c r="L220" i="22"/>
  <c r="A221" i="22"/>
  <c r="AK220" i="22"/>
  <c r="AJ220" i="22"/>
  <c r="O220" i="22"/>
  <c r="AC220" i="22"/>
  <c r="F223" i="1"/>
  <c r="AB222" i="18"/>
  <c r="AJ222" i="18"/>
  <c r="X222" i="18"/>
  <c r="K222" i="18"/>
  <c r="A223" i="18"/>
  <c r="L222" i="18"/>
  <c r="AK222" i="18"/>
  <c r="O222" i="18"/>
  <c r="AC222" i="18"/>
  <c r="K223" i="17"/>
  <c r="L223" i="17"/>
  <c r="A224" i="17"/>
  <c r="AB223" i="17"/>
  <c r="X223" i="17"/>
  <c r="AJ223" i="17"/>
  <c r="AK223" i="17"/>
  <c r="O223" i="17"/>
  <c r="AC223" i="17"/>
  <c r="A220" i="23"/>
  <c r="X219" i="23"/>
  <c r="AB219" i="23"/>
  <c r="L219" i="23"/>
  <c r="K219" i="23"/>
  <c r="AJ219" i="23"/>
  <c r="AK219" i="23"/>
  <c r="O219" i="23"/>
  <c r="AC219" i="23"/>
  <c r="D224" i="1"/>
  <c r="E224" i="1" s="1"/>
  <c r="A226" i="15" l="1"/>
  <c r="AB225" i="15"/>
  <c r="AC225" i="15"/>
  <c r="X225" i="15"/>
  <c r="O225" i="15"/>
  <c r="K225" i="15"/>
  <c r="AK225" i="15"/>
  <c r="L225" i="15"/>
  <c r="D225" i="15" s="1"/>
  <c r="AJ225" i="15"/>
  <c r="E224" i="15"/>
  <c r="E223" i="16"/>
  <c r="AB224" i="16"/>
  <c r="X224" i="16"/>
  <c r="A225" i="16"/>
  <c r="AJ224" i="16"/>
  <c r="O224" i="16"/>
  <c r="L224" i="16"/>
  <c r="D224" i="16" s="1"/>
  <c r="K224" i="16"/>
  <c r="AK224" i="16"/>
  <c r="AC224" i="16"/>
  <c r="AB223" i="18"/>
  <c r="AJ223" i="18"/>
  <c r="K223" i="18"/>
  <c r="X223" i="18"/>
  <c r="A224" i="18"/>
  <c r="L223" i="18"/>
  <c r="O223" i="18"/>
  <c r="AK223" i="18"/>
  <c r="AC223" i="18"/>
  <c r="AB221" i="22"/>
  <c r="K221" i="22"/>
  <c r="A222" i="22"/>
  <c r="L221" i="22"/>
  <c r="X221" i="22"/>
  <c r="AK221" i="22"/>
  <c r="AJ221" i="22"/>
  <c r="O221" i="22"/>
  <c r="AC221" i="22"/>
  <c r="D225" i="1"/>
  <c r="E225" i="1" s="1"/>
  <c r="S224" i="1"/>
  <c r="R224" i="1" s="1"/>
  <c r="P224" i="1" s="1"/>
  <c r="V224" i="1" s="1"/>
  <c r="F224" i="1" s="1"/>
  <c r="AB218" i="25"/>
  <c r="X218" i="25"/>
  <c r="K218" i="25"/>
  <c r="A219" i="25"/>
  <c r="L218" i="25"/>
  <c r="AJ218" i="25"/>
  <c r="O218" i="25"/>
  <c r="AK218" i="25"/>
  <c r="AC218" i="25"/>
  <c r="AB220" i="23"/>
  <c r="L220" i="23"/>
  <c r="K220" i="23"/>
  <c r="X220" i="23"/>
  <c r="A221" i="23"/>
  <c r="AJ220" i="23"/>
  <c r="AK220" i="23"/>
  <c r="O220" i="23"/>
  <c r="AC220" i="23"/>
  <c r="AB224" i="17"/>
  <c r="L224" i="17"/>
  <c r="X224" i="17"/>
  <c r="K224" i="17"/>
  <c r="A225" i="17"/>
  <c r="O224" i="17"/>
  <c r="AJ224" i="17"/>
  <c r="AK224" i="17"/>
  <c r="AC224" i="17"/>
  <c r="G223" i="1"/>
  <c r="BW223" i="6" s="1"/>
  <c r="I223" i="1"/>
  <c r="AA223" i="1"/>
  <c r="Z223" i="1" s="1"/>
  <c r="Y223" i="1" s="1"/>
  <c r="S225" i="1"/>
  <c r="R225" i="1" s="1"/>
  <c r="P225" i="1" s="1"/>
  <c r="V225" i="1" s="1"/>
  <c r="F225" i="1" s="1"/>
  <c r="AB226" i="1"/>
  <c r="Q226" i="1"/>
  <c r="L226" i="1"/>
  <c r="X226" i="1"/>
  <c r="AK226" i="1"/>
  <c r="AC226" i="1"/>
  <c r="K226" i="1"/>
  <c r="O226" i="1"/>
  <c r="AJ226" i="1"/>
  <c r="A227" i="1"/>
  <c r="U226" i="1"/>
  <c r="T226" i="1" s="1"/>
  <c r="X219" i="24"/>
  <c r="AB219" i="24"/>
  <c r="L219" i="24"/>
  <c r="A220" i="24"/>
  <c r="K219" i="24"/>
  <c r="AK219" i="24"/>
  <c r="AJ219" i="24"/>
  <c r="O219" i="24"/>
  <c r="AC219" i="24"/>
  <c r="X222" i="20"/>
  <c r="AB222" i="20"/>
  <c r="A223" i="20"/>
  <c r="L222" i="20"/>
  <c r="K222" i="20"/>
  <c r="AK222" i="20"/>
  <c r="AJ222" i="20"/>
  <c r="O222" i="20"/>
  <c r="AC222" i="20"/>
  <c r="E225" i="15" l="1"/>
  <c r="X226" i="15"/>
  <c r="AJ226" i="15"/>
  <c r="K226" i="15"/>
  <c r="AB226" i="15"/>
  <c r="AC226" i="15"/>
  <c r="A227" i="15"/>
  <c r="O226" i="15"/>
  <c r="L226" i="15"/>
  <c r="D226" i="15" s="1"/>
  <c r="AK226" i="15"/>
  <c r="E224" i="16"/>
  <c r="A226" i="16"/>
  <c r="X225" i="16"/>
  <c r="AK225" i="16"/>
  <c r="AC225" i="16"/>
  <c r="L225" i="16"/>
  <c r="D225" i="16" s="1"/>
  <c r="AB225" i="16"/>
  <c r="K225" i="16"/>
  <c r="AJ225" i="16"/>
  <c r="O225" i="16"/>
  <c r="AA225" i="1"/>
  <c r="Z225" i="1" s="1"/>
  <c r="Y225" i="1" s="1"/>
  <c r="I225" i="1"/>
  <c r="G225" i="1"/>
  <c r="BW225" i="6" s="1"/>
  <c r="G224" i="1"/>
  <c r="BW224" i="6" s="1"/>
  <c r="AA224" i="1"/>
  <c r="Z224" i="1" s="1"/>
  <c r="Y224" i="1" s="1"/>
  <c r="I224" i="1"/>
  <c r="A224" i="20"/>
  <c r="L223" i="20"/>
  <c r="K223" i="20"/>
  <c r="X223" i="20"/>
  <c r="AB223" i="20"/>
  <c r="AJ223" i="20"/>
  <c r="AK223" i="20"/>
  <c r="O223" i="20"/>
  <c r="AC223" i="20"/>
  <c r="AB220" i="24"/>
  <c r="K220" i="24"/>
  <c r="A221" i="24"/>
  <c r="X220" i="24"/>
  <c r="L220" i="24"/>
  <c r="AJ220" i="24"/>
  <c r="AK220" i="24"/>
  <c r="O220" i="24"/>
  <c r="AC220" i="24"/>
  <c r="S226" i="1"/>
  <c r="R226" i="1" s="1"/>
  <c r="P226" i="1" s="1"/>
  <c r="V226" i="1" s="1"/>
  <c r="H61" i="19" s="1"/>
  <c r="D226" i="1"/>
  <c r="E226" i="1" s="1"/>
  <c r="AB221" i="23"/>
  <c r="A222" i="23"/>
  <c r="K221" i="23"/>
  <c r="L221" i="23"/>
  <c r="X221" i="23"/>
  <c r="AJ221" i="23"/>
  <c r="AK221" i="23"/>
  <c r="O221" i="23"/>
  <c r="AC221" i="23"/>
  <c r="A220" i="25"/>
  <c r="AB219" i="25"/>
  <c r="L219" i="25"/>
  <c r="K219" i="25"/>
  <c r="X219" i="25"/>
  <c r="AJ219" i="25"/>
  <c r="O219" i="25"/>
  <c r="AK219" i="25"/>
  <c r="AC219" i="25"/>
  <c r="A223" i="22"/>
  <c r="L222" i="22"/>
  <c r="AB222" i="22"/>
  <c r="K222" i="22"/>
  <c r="X222" i="22"/>
  <c r="AK222" i="22"/>
  <c r="AJ222" i="22"/>
  <c r="O222" i="22"/>
  <c r="AC222" i="22"/>
  <c r="K224" i="18"/>
  <c r="L224" i="18"/>
  <c r="X224" i="18"/>
  <c r="AB224" i="18"/>
  <c r="A225" i="18"/>
  <c r="AJ224" i="18"/>
  <c r="O224" i="18"/>
  <c r="AK224" i="18"/>
  <c r="AC224" i="18"/>
  <c r="AB227" i="1"/>
  <c r="AC227" i="1"/>
  <c r="AJ227" i="1"/>
  <c r="X227" i="1"/>
  <c r="A228" i="1"/>
  <c r="AK227" i="1"/>
  <c r="K227" i="1"/>
  <c r="L227" i="1"/>
  <c r="O227" i="1"/>
  <c r="Q227" i="1"/>
  <c r="U227" i="1"/>
  <c r="T227" i="1" s="1"/>
  <c r="S227" i="1" s="1"/>
  <c r="R227" i="1" s="1"/>
  <c r="AB225" i="17"/>
  <c r="K225" i="17"/>
  <c r="X225" i="17"/>
  <c r="L225" i="17"/>
  <c r="A226" i="17"/>
  <c r="AJ225" i="17"/>
  <c r="AK225" i="17"/>
  <c r="O225" i="17"/>
  <c r="AC225" i="17"/>
  <c r="E226" i="15" l="1"/>
  <c r="K227" i="15"/>
  <c r="AB227" i="15"/>
  <c r="AK227" i="15"/>
  <c r="A228" i="15"/>
  <c r="AC227" i="15"/>
  <c r="AJ227" i="15"/>
  <c r="L227" i="15"/>
  <c r="D227" i="15" s="1"/>
  <c r="O227" i="15"/>
  <c r="X227" i="15"/>
  <c r="P227" i="1"/>
  <c r="V227" i="1" s="1"/>
  <c r="E225" i="16"/>
  <c r="X226" i="16"/>
  <c r="L226" i="16"/>
  <c r="D226" i="16" s="1"/>
  <c r="K226" i="16"/>
  <c r="AK226" i="16"/>
  <c r="O226" i="16"/>
  <c r="AB226" i="16"/>
  <c r="A227" i="16"/>
  <c r="AJ226" i="16"/>
  <c r="AC226" i="16"/>
  <c r="F226" i="1"/>
  <c r="AB226" i="17"/>
  <c r="L226" i="17"/>
  <c r="X226" i="17"/>
  <c r="A227" i="17"/>
  <c r="K226" i="17"/>
  <c r="AJ226" i="17"/>
  <c r="O226" i="17"/>
  <c r="AK226" i="17"/>
  <c r="AC226" i="17"/>
  <c r="O228" i="1"/>
  <c r="A229" i="1"/>
  <c r="AJ228" i="1"/>
  <c r="K228" i="1"/>
  <c r="X228" i="1"/>
  <c r="AB228" i="1"/>
  <c r="AC228" i="1"/>
  <c r="AK228" i="1"/>
  <c r="L228" i="1"/>
  <c r="Q228" i="1"/>
  <c r="U228" i="1"/>
  <c r="K223" i="22"/>
  <c r="L223" i="22"/>
  <c r="A224" i="22"/>
  <c r="AB223" i="22"/>
  <c r="X223" i="22"/>
  <c r="AJ223" i="22"/>
  <c r="AK223" i="22"/>
  <c r="O223" i="22"/>
  <c r="AC223" i="22"/>
  <c r="A225" i="20"/>
  <c r="K224" i="20"/>
  <c r="X224" i="20"/>
  <c r="L224" i="20"/>
  <c r="AB224" i="20"/>
  <c r="AJ224" i="20"/>
  <c r="AK224" i="20"/>
  <c r="O224" i="20"/>
  <c r="AC224" i="20"/>
  <c r="D227" i="1"/>
  <c r="E227" i="1" s="1"/>
  <c r="X225" i="18"/>
  <c r="AJ225" i="18"/>
  <c r="K225" i="18"/>
  <c r="A226" i="18"/>
  <c r="AB225" i="18"/>
  <c r="L225" i="18"/>
  <c r="AK225" i="18"/>
  <c r="O225" i="18"/>
  <c r="AC225" i="18"/>
  <c r="AB220" i="25"/>
  <c r="X220" i="25"/>
  <c r="L220" i="25"/>
  <c r="K220" i="25"/>
  <c r="A221" i="25"/>
  <c r="AJ220" i="25"/>
  <c r="O220" i="25"/>
  <c r="AK220" i="25"/>
  <c r="AC220" i="25"/>
  <c r="X222" i="23"/>
  <c r="A223" i="23"/>
  <c r="L222" i="23"/>
  <c r="AB222" i="23"/>
  <c r="K222" i="23"/>
  <c r="AJ222" i="23"/>
  <c r="AK222" i="23"/>
  <c r="O222" i="23"/>
  <c r="AC222" i="23"/>
  <c r="AB221" i="24"/>
  <c r="K221" i="24"/>
  <c r="A222" i="24"/>
  <c r="X221" i="24"/>
  <c r="L221" i="24"/>
  <c r="AJ221" i="24"/>
  <c r="AK221" i="24"/>
  <c r="O221" i="24"/>
  <c r="AC221" i="24"/>
  <c r="E227" i="15" l="1"/>
  <c r="A229" i="15"/>
  <c r="AJ228" i="15"/>
  <c r="K228" i="15"/>
  <c r="AK228" i="15"/>
  <c r="L228" i="15"/>
  <c r="D228" i="15" s="1"/>
  <c r="AB228" i="15"/>
  <c r="O228" i="15"/>
  <c r="E228" i="15" s="1"/>
  <c r="X228" i="15"/>
  <c r="AC228" i="15"/>
  <c r="E226" i="16"/>
  <c r="K227" i="16"/>
  <c r="L227" i="16"/>
  <c r="D227" i="16" s="1"/>
  <c r="AJ227" i="16"/>
  <c r="AC227" i="16"/>
  <c r="X227" i="16"/>
  <c r="A228" i="16"/>
  <c r="AB227" i="16"/>
  <c r="AK227" i="16"/>
  <c r="O227" i="16"/>
  <c r="AB222" i="24"/>
  <c r="K222" i="24"/>
  <c r="A223" i="24"/>
  <c r="L222" i="24"/>
  <c r="X222" i="24"/>
  <c r="AJ222" i="24"/>
  <c r="AK222" i="24"/>
  <c r="O222" i="24"/>
  <c r="AC222" i="24"/>
  <c r="K223" i="23"/>
  <c r="L223" i="23"/>
  <c r="A224" i="23"/>
  <c r="AB223" i="23"/>
  <c r="X223" i="23"/>
  <c r="AJ223" i="23"/>
  <c r="AK223" i="23"/>
  <c r="O223" i="23"/>
  <c r="AC223" i="23"/>
  <c r="A222" i="25"/>
  <c r="L221" i="25"/>
  <c r="X221" i="25"/>
  <c r="AB221" i="25"/>
  <c r="K221" i="25"/>
  <c r="AJ221" i="25"/>
  <c r="O221" i="25"/>
  <c r="AK221" i="25"/>
  <c r="AC221" i="25"/>
  <c r="AB226" i="18"/>
  <c r="L226" i="18"/>
  <c r="A227" i="18"/>
  <c r="K226" i="18"/>
  <c r="X226" i="18"/>
  <c r="AJ226" i="18"/>
  <c r="AK226" i="18"/>
  <c r="O226" i="18"/>
  <c r="AC226" i="18"/>
  <c r="A226" i="20"/>
  <c r="K225" i="20"/>
  <c r="AB225" i="20"/>
  <c r="L225" i="20"/>
  <c r="X225" i="20"/>
  <c r="AJ225" i="20"/>
  <c r="AK225" i="20"/>
  <c r="O225" i="20"/>
  <c r="AC225" i="20"/>
  <c r="T228" i="1"/>
  <c r="D228" i="1"/>
  <c r="E228" i="1" s="1"/>
  <c r="AB227" i="17"/>
  <c r="L227" i="17"/>
  <c r="X227" i="17"/>
  <c r="K227" i="17"/>
  <c r="A228" i="17"/>
  <c r="AJ227" i="17"/>
  <c r="O227" i="17"/>
  <c r="AK227" i="17"/>
  <c r="AC227" i="17"/>
  <c r="AA226" i="1"/>
  <c r="Z226" i="1" s="1"/>
  <c r="Y226" i="1" s="1"/>
  <c r="G226" i="1"/>
  <c r="BW226" i="6" s="1"/>
  <c r="I226" i="1"/>
  <c r="F227" i="1"/>
  <c r="X224" i="22"/>
  <c r="A225" i="22"/>
  <c r="K224" i="22"/>
  <c r="AB224" i="22"/>
  <c r="L224" i="22"/>
  <c r="AJ224" i="22"/>
  <c r="AK224" i="22"/>
  <c r="O224" i="22"/>
  <c r="AC224" i="22"/>
  <c r="A230" i="1"/>
  <c r="L229" i="1"/>
  <c r="Q229" i="1"/>
  <c r="AK229" i="1"/>
  <c r="AJ229" i="1"/>
  <c r="X229" i="1"/>
  <c r="AB229" i="1"/>
  <c r="K229" i="1"/>
  <c r="O229" i="1"/>
  <c r="AC229" i="1"/>
  <c r="U229" i="1"/>
  <c r="T229" i="1" s="1"/>
  <c r="K229" i="15" l="1"/>
  <c r="O229" i="15"/>
  <c r="A230" i="15"/>
  <c r="AK229" i="15"/>
  <c r="AB229" i="15"/>
  <c r="AJ229" i="15"/>
  <c r="L229" i="15"/>
  <c r="D229" i="15" s="1"/>
  <c r="X229" i="15"/>
  <c r="AC229" i="15"/>
  <c r="L228" i="16"/>
  <c r="D228" i="16" s="1"/>
  <c r="X228" i="16"/>
  <c r="A229" i="16"/>
  <c r="AJ228" i="16"/>
  <c r="O228" i="16"/>
  <c r="AB228" i="16"/>
  <c r="K228" i="16"/>
  <c r="AK228" i="16"/>
  <c r="AC228" i="16"/>
  <c r="E227" i="16"/>
  <c r="D229" i="1"/>
  <c r="E229" i="1" s="1"/>
  <c r="S228" i="1"/>
  <c r="R228" i="1" s="1"/>
  <c r="P228" i="1" s="1"/>
  <c r="V228" i="1" s="1"/>
  <c r="A223" i="25"/>
  <c r="AB222" i="25"/>
  <c r="X222" i="25"/>
  <c r="L222" i="25"/>
  <c r="K222" i="25"/>
  <c r="AJ222" i="25"/>
  <c r="AK222" i="25"/>
  <c r="O222" i="25"/>
  <c r="AC222" i="25"/>
  <c r="K223" i="24"/>
  <c r="L223" i="24"/>
  <c r="AB223" i="24"/>
  <c r="X223" i="24"/>
  <c r="A224" i="24"/>
  <c r="AK223" i="24"/>
  <c r="O223" i="24"/>
  <c r="AJ223" i="24"/>
  <c r="AC223" i="24"/>
  <c r="S229" i="1"/>
  <c r="R229" i="1" s="1"/>
  <c r="P229" i="1" s="1"/>
  <c r="V229" i="1" s="1"/>
  <c r="AK230" i="1"/>
  <c r="AC230" i="1"/>
  <c r="AB230" i="1"/>
  <c r="O230" i="1"/>
  <c r="Q230" i="1"/>
  <c r="X230" i="1"/>
  <c r="L230" i="1"/>
  <c r="A231" i="1"/>
  <c r="K230" i="1"/>
  <c r="AJ230" i="1"/>
  <c r="U230" i="1"/>
  <c r="A226" i="22"/>
  <c r="L225" i="22"/>
  <c r="K225" i="22"/>
  <c r="X225" i="22"/>
  <c r="AB225" i="22"/>
  <c r="AJ225" i="22"/>
  <c r="AK225" i="22"/>
  <c r="O225" i="22"/>
  <c r="AC225" i="22"/>
  <c r="G227" i="1"/>
  <c r="BW227" i="6" s="1"/>
  <c r="I227" i="1"/>
  <c r="AA227" i="1"/>
  <c r="Z227" i="1" s="1"/>
  <c r="Y227" i="1" s="1"/>
  <c r="K228" i="17"/>
  <c r="AB228" i="17"/>
  <c r="A229" i="17"/>
  <c r="L228" i="17"/>
  <c r="X228" i="17"/>
  <c r="AJ228" i="17"/>
  <c r="AK228" i="17"/>
  <c r="O228" i="17"/>
  <c r="AC228" i="17"/>
  <c r="AB226" i="20"/>
  <c r="X226" i="20"/>
  <c r="A227" i="20"/>
  <c r="L226" i="20"/>
  <c r="K226" i="20"/>
  <c r="AJ226" i="20"/>
  <c r="AK226" i="20"/>
  <c r="O226" i="20"/>
  <c r="AC226" i="20"/>
  <c r="K227" i="18"/>
  <c r="AB227" i="18"/>
  <c r="L227" i="18"/>
  <c r="A228" i="18"/>
  <c r="AJ227" i="18"/>
  <c r="X227" i="18"/>
  <c r="O227" i="18"/>
  <c r="AK227" i="18"/>
  <c r="AC227" i="18"/>
  <c r="K224" i="23"/>
  <c r="A225" i="23"/>
  <c r="L224" i="23"/>
  <c r="X224" i="23"/>
  <c r="AB224" i="23"/>
  <c r="AJ224" i="23"/>
  <c r="AK224" i="23"/>
  <c r="O224" i="23"/>
  <c r="AC224" i="23"/>
  <c r="E229" i="15" l="1"/>
  <c r="K230" i="15"/>
  <c r="A231" i="15"/>
  <c r="AC230" i="15"/>
  <c r="L230" i="15"/>
  <c r="D230" i="15" s="1"/>
  <c r="O230" i="15"/>
  <c r="X230" i="15"/>
  <c r="AK230" i="15"/>
  <c r="AB230" i="15"/>
  <c r="AJ230" i="15"/>
  <c r="F228" i="1"/>
  <c r="AA228" i="1" s="1"/>
  <c r="Z228" i="1" s="1"/>
  <c r="Y228" i="1" s="1"/>
  <c r="X229" i="16"/>
  <c r="L229" i="16"/>
  <c r="D229" i="16" s="1"/>
  <c r="AJ229" i="16"/>
  <c r="AC229" i="16"/>
  <c r="A230" i="16"/>
  <c r="AB229" i="16"/>
  <c r="K229" i="16"/>
  <c r="AK229" i="16"/>
  <c r="O229" i="16"/>
  <c r="E228" i="16"/>
  <c r="F229" i="1"/>
  <c r="AB228" i="18"/>
  <c r="AJ228" i="18"/>
  <c r="K228" i="18"/>
  <c r="A229" i="18"/>
  <c r="X228" i="18"/>
  <c r="L228" i="18"/>
  <c r="O228" i="18"/>
  <c r="AK228" i="18"/>
  <c r="AC228" i="18"/>
  <c r="A228" i="20"/>
  <c r="X227" i="20"/>
  <c r="AB227" i="20"/>
  <c r="K227" i="20"/>
  <c r="L227" i="20"/>
  <c r="AJ227" i="20"/>
  <c r="AK227" i="20"/>
  <c r="O227" i="20"/>
  <c r="AC227" i="20"/>
  <c r="T230" i="1"/>
  <c r="D230" i="1"/>
  <c r="X224" i="24"/>
  <c r="AB224" i="24"/>
  <c r="A225" i="24"/>
  <c r="K224" i="24"/>
  <c r="L224" i="24"/>
  <c r="AJ224" i="24"/>
  <c r="AK224" i="24"/>
  <c r="O224" i="24"/>
  <c r="AC224" i="24"/>
  <c r="A226" i="23"/>
  <c r="X225" i="23"/>
  <c r="L225" i="23"/>
  <c r="AB225" i="23"/>
  <c r="K225" i="23"/>
  <c r="AJ225" i="23"/>
  <c r="AK225" i="23"/>
  <c r="O225" i="23"/>
  <c r="AC225" i="23"/>
  <c r="AB229" i="17"/>
  <c r="X229" i="17"/>
  <c r="K229" i="17"/>
  <c r="A230" i="17"/>
  <c r="L229" i="17"/>
  <c r="AK229" i="17"/>
  <c r="AJ229" i="17"/>
  <c r="O229" i="17"/>
  <c r="AC229" i="17"/>
  <c r="A227" i="22"/>
  <c r="L226" i="22"/>
  <c r="X226" i="22"/>
  <c r="K226" i="22"/>
  <c r="AB226" i="22"/>
  <c r="AJ226" i="22"/>
  <c r="AK226" i="22"/>
  <c r="O226" i="22"/>
  <c r="AC226" i="22"/>
  <c r="A232" i="1"/>
  <c r="AC231" i="1"/>
  <c r="L231" i="1"/>
  <c r="AJ231" i="1"/>
  <c r="AK231" i="1"/>
  <c r="X231" i="1"/>
  <c r="O231" i="1"/>
  <c r="K231" i="1"/>
  <c r="Q231" i="1"/>
  <c r="AB231" i="1"/>
  <c r="U231" i="1"/>
  <c r="T231" i="1" s="1"/>
  <c r="E230" i="1"/>
  <c r="A224" i="25"/>
  <c r="X223" i="25"/>
  <c r="K223" i="25"/>
  <c r="AB223" i="25"/>
  <c r="L223" i="25"/>
  <c r="AJ223" i="25"/>
  <c r="AK223" i="25"/>
  <c r="O223" i="25"/>
  <c r="AC223" i="25"/>
  <c r="E230" i="15" l="1"/>
  <c r="G228" i="1"/>
  <c r="BW228" i="6" s="1"/>
  <c r="AB231" i="15"/>
  <c r="AC231" i="15"/>
  <c r="K231" i="15"/>
  <c r="L231" i="15"/>
  <c r="D231" i="15" s="1"/>
  <c r="A232" i="15"/>
  <c r="AK231" i="15"/>
  <c r="X231" i="15"/>
  <c r="O231" i="15"/>
  <c r="AJ231" i="15"/>
  <c r="I228" i="1"/>
  <c r="K230" i="16"/>
  <c r="L230" i="16"/>
  <c r="D230" i="16" s="1"/>
  <c r="AJ230" i="16"/>
  <c r="AC230" i="16"/>
  <c r="X230" i="16"/>
  <c r="A231" i="16"/>
  <c r="AB230" i="16"/>
  <c r="AK230" i="16"/>
  <c r="O230" i="16"/>
  <c r="E229" i="16"/>
  <c r="K227" i="22"/>
  <c r="AB227" i="22"/>
  <c r="A228" i="22"/>
  <c r="L227" i="22"/>
  <c r="X227" i="22"/>
  <c r="AJ227" i="22"/>
  <c r="AK227" i="22"/>
  <c r="O227" i="22"/>
  <c r="AC227" i="22"/>
  <c r="A227" i="23"/>
  <c r="AB226" i="23"/>
  <c r="K226" i="23"/>
  <c r="L226" i="23"/>
  <c r="X226" i="23"/>
  <c r="AJ226" i="23"/>
  <c r="AK226" i="23"/>
  <c r="O226" i="23"/>
  <c r="AC226" i="23"/>
  <c r="K225" i="24"/>
  <c r="X225" i="24"/>
  <c r="A226" i="24"/>
  <c r="L225" i="24"/>
  <c r="AB225" i="24"/>
  <c r="AJ225" i="24"/>
  <c r="AK225" i="24"/>
  <c r="O225" i="24"/>
  <c r="AC225" i="24"/>
  <c r="S230" i="1"/>
  <c r="R230" i="1" s="1"/>
  <c r="P230" i="1" s="1"/>
  <c r="V230" i="1" s="1"/>
  <c r="X224" i="25"/>
  <c r="L224" i="25"/>
  <c r="A225" i="25"/>
  <c r="K224" i="25"/>
  <c r="AB224" i="25"/>
  <c r="AJ224" i="25"/>
  <c r="O224" i="25"/>
  <c r="AK224" i="25"/>
  <c r="AC224" i="25"/>
  <c r="S231" i="1"/>
  <c r="R231" i="1" s="1"/>
  <c r="P231" i="1" s="1"/>
  <c r="V231" i="1" s="1"/>
  <c r="D231" i="1"/>
  <c r="E231" i="1" s="1"/>
  <c r="L232" i="1"/>
  <c r="X232" i="1"/>
  <c r="O232" i="1"/>
  <c r="AC232" i="1"/>
  <c r="Q232" i="1"/>
  <c r="AB232" i="1"/>
  <c r="AK232" i="1"/>
  <c r="K232" i="1"/>
  <c r="A233" i="1"/>
  <c r="AJ232" i="1"/>
  <c r="U232" i="1"/>
  <c r="T232" i="1" s="1"/>
  <c r="X230" i="17"/>
  <c r="K230" i="17"/>
  <c r="A231" i="17"/>
  <c r="L230" i="17"/>
  <c r="AB230" i="17"/>
  <c r="O230" i="17"/>
  <c r="AJ230" i="17"/>
  <c r="AK230" i="17"/>
  <c r="AC230" i="17"/>
  <c r="A229" i="20"/>
  <c r="K228" i="20"/>
  <c r="L228" i="20"/>
  <c r="X228" i="20"/>
  <c r="AB228" i="20"/>
  <c r="AK228" i="20"/>
  <c r="AJ228" i="20"/>
  <c r="O228" i="20"/>
  <c r="AC228" i="20"/>
  <c r="X229" i="18"/>
  <c r="AJ229" i="18"/>
  <c r="A230" i="18"/>
  <c r="K229" i="18"/>
  <c r="AB229" i="18"/>
  <c r="L229" i="18"/>
  <c r="O229" i="18"/>
  <c r="AK229" i="18"/>
  <c r="AC229" i="18"/>
  <c r="AA229" i="1"/>
  <c r="Z229" i="1" s="1"/>
  <c r="Y229" i="1" s="1"/>
  <c r="G229" i="1"/>
  <c r="BW229" i="6" s="1"/>
  <c r="I229" i="1"/>
  <c r="X232" i="15" l="1"/>
  <c r="AJ232" i="15"/>
  <c r="AB232" i="15"/>
  <c r="A233" i="15"/>
  <c r="AC232" i="15"/>
  <c r="K232" i="15"/>
  <c r="O232" i="15"/>
  <c r="L232" i="15"/>
  <c r="D232" i="15" s="1"/>
  <c r="AK232" i="15"/>
  <c r="E231" i="15"/>
  <c r="E230" i="16"/>
  <c r="X231" i="16"/>
  <c r="K231" i="16"/>
  <c r="AJ231" i="16"/>
  <c r="AC231" i="16"/>
  <c r="L231" i="16"/>
  <c r="D231" i="16" s="1"/>
  <c r="A232" i="16"/>
  <c r="AB231" i="16"/>
  <c r="AK231" i="16"/>
  <c r="O231" i="16"/>
  <c r="A231" i="18"/>
  <c r="AJ230" i="18"/>
  <c r="X230" i="18"/>
  <c r="AB230" i="18"/>
  <c r="K230" i="18"/>
  <c r="L230" i="18"/>
  <c r="AK230" i="18"/>
  <c r="O230" i="18"/>
  <c r="AC230" i="18"/>
  <c r="S232" i="1"/>
  <c r="R232" i="1" s="1"/>
  <c r="P232" i="1" s="1"/>
  <c r="V232" i="1" s="1"/>
  <c r="K233" i="1"/>
  <c r="L233" i="1"/>
  <c r="AJ233" i="1"/>
  <c r="AB233" i="1"/>
  <c r="AK233" i="1"/>
  <c r="O233" i="1"/>
  <c r="Q233" i="1"/>
  <c r="X233" i="1"/>
  <c r="AC233" i="1"/>
  <c r="A234" i="1"/>
  <c r="U233" i="1"/>
  <c r="T233" i="1" s="1"/>
  <c r="D232" i="1"/>
  <c r="E232" i="1" s="1"/>
  <c r="F231" i="1"/>
  <c r="A227" i="24"/>
  <c r="X226" i="24"/>
  <c r="K226" i="24"/>
  <c r="AB226" i="24"/>
  <c r="L226" i="24"/>
  <c r="AK226" i="24"/>
  <c r="O226" i="24"/>
  <c r="AJ226" i="24"/>
  <c r="AC226" i="24"/>
  <c r="X228" i="22"/>
  <c r="L228" i="22"/>
  <c r="A229" i="22"/>
  <c r="AB228" i="22"/>
  <c r="K228" i="22"/>
  <c r="AJ228" i="22"/>
  <c r="AK228" i="22"/>
  <c r="O228" i="22"/>
  <c r="AC228" i="22"/>
  <c r="A230" i="20"/>
  <c r="K229" i="20"/>
  <c r="X229" i="20"/>
  <c r="AB229" i="20"/>
  <c r="L229" i="20"/>
  <c r="AJ229" i="20"/>
  <c r="AK229" i="20"/>
  <c r="O229" i="20"/>
  <c r="AC229" i="20"/>
  <c r="K231" i="17"/>
  <c r="A232" i="17"/>
  <c r="X231" i="17"/>
  <c r="AB231" i="17"/>
  <c r="L231" i="17"/>
  <c r="AJ231" i="17"/>
  <c r="O231" i="17"/>
  <c r="AK231" i="17"/>
  <c r="AC231" i="17"/>
  <c r="X225" i="25"/>
  <c r="K225" i="25"/>
  <c r="AB225" i="25"/>
  <c r="L225" i="25"/>
  <c r="A226" i="25"/>
  <c r="AK225" i="25"/>
  <c r="AJ225" i="25"/>
  <c r="O225" i="25"/>
  <c r="AC225" i="25"/>
  <c r="A228" i="23"/>
  <c r="L227" i="23"/>
  <c r="AB227" i="23"/>
  <c r="X227" i="23"/>
  <c r="K227" i="23"/>
  <c r="AK227" i="23"/>
  <c r="AJ227" i="23"/>
  <c r="O227" i="23"/>
  <c r="AC227" i="23"/>
  <c r="F230" i="1"/>
  <c r="E232" i="15" l="1"/>
  <c r="K233" i="15"/>
  <c r="AJ233" i="15"/>
  <c r="AB233" i="15"/>
  <c r="AK233" i="15"/>
  <c r="A234" i="15"/>
  <c r="X233" i="15"/>
  <c r="AC233" i="15"/>
  <c r="L233" i="15"/>
  <c r="D233" i="15" s="1"/>
  <c r="O233" i="15"/>
  <c r="F232" i="1"/>
  <c r="I232" i="1" s="1"/>
  <c r="X232" i="16"/>
  <c r="L232" i="16"/>
  <c r="D232" i="16" s="1"/>
  <c r="AJ232" i="16"/>
  <c r="AC232" i="16"/>
  <c r="K232" i="16"/>
  <c r="A233" i="16"/>
  <c r="AB232" i="16"/>
  <c r="AK232" i="16"/>
  <c r="O232" i="16"/>
  <c r="E231" i="16"/>
  <c r="AA230" i="1"/>
  <c r="Z230" i="1" s="1"/>
  <c r="Y230" i="1" s="1"/>
  <c r="G230" i="1"/>
  <c r="BW230" i="6" s="1"/>
  <c r="I230" i="1"/>
  <c r="A229" i="23"/>
  <c r="L228" i="23"/>
  <c r="X228" i="23"/>
  <c r="K228" i="23"/>
  <c r="AB228" i="23"/>
  <c r="AJ228" i="23"/>
  <c r="AK228" i="23"/>
  <c r="O228" i="23"/>
  <c r="AC228" i="23"/>
  <c r="L227" i="24"/>
  <c r="AB227" i="24"/>
  <c r="X227" i="24"/>
  <c r="A228" i="24"/>
  <c r="K227" i="24"/>
  <c r="AK227" i="24"/>
  <c r="AJ227" i="24"/>
  <c r="O227" i="24"/>
  <c r="AC227" i="24"/>
  <c r="G232" i="1"/>
  <c r="BW232" i="6" s="1"/>
  <c r="AK234" i="1"/>
  <c r="X234" i="1"/>
  <c r="L234" i="1"/>
  <c r="AB234" i="1"/>
  <c r="K234" i="1"/>
  <c r="AJ234" i="1"/>
  <c r="A235" i="1"/>
  <c r="AC234" i="1"/>
  <c r="O234" i="1"/>
  <c r="Q234" i="1"/>
  <c r="U234" i="1"/>
  <c r="T234" i="1" s="1"/>
  <c r="D233" i="1"/>
  <c r="E233" i="1" s="1"/>
  <c r="K226" i="25"/>
  <c r="A227" i="25"/>
  <c r="AB226" i="25"/>
  <c r="X226" i="25"/>
  <c r="L226" i="25"/>
  <c r="AJ226" i="25"/>
  <c r="AK226" i="25"/>
  <c r="O226" i="25"/>
  <c r="AC226" i="25"/>
  <c r="A233" i="17"/>
  <c r="X232" i="17"/>
  <c r="AB232" i="17"/>
  <c r="L232" i="17"/>
  <c r="K232" i="17"/>
  <c r="AJ232" i="17"/>
  <c r="AK232" i="17"/>
  <c r="O232" i="17"/>
  <c r="AC232" i="17"/>
  <c r="X230" i="20"/>
  <c r="AB230" i="20"/>
  <c r="K230" i="20"/>
  <c r="A231" i="20"/>
  <c r="L230" i="20"/>
  <c r="AJ230" i="20"/>
  <c r="AK230" i="20"/>
  <c r="O230" i="20"/>
  <c r="AC230" i="20"/>
  <c r="K229" i="22"/>
  <c r="L229" i="22"/>
  <c r="AB229" i="22"/>
  <c r="A230" i="22"/>
  <c r="X229" i="22"/>
  <c r="AJ229" i="22"/>
  <c r="AK229" i="22"/>
  <c r="O229" i="22"/>
  <c r="AC229" i="22"/>
  <c r="G231" i="1"/>
  <c r="BW231" i="6" s="1"/>
  <c r="AA231" i="1"/>
  <c r="Z231" i="1" s="1"/>
  <c r="Y231" i="1" s="1"/>
  <c r="I231" i="1"/>
  <c r="S233" i="1"/>
  <c r="R233" i="1" s="1"/>
  <c r="P233" i="1" s="1"/>
  <c r="V233" i="1" s="1"/>
  <c r="F233" i="1" s="1"/>
  <c r="A232" i="18"/>
  <c r="AB231" i="18"/>
  <c r="L231" i="18"/>
  <c r="K231" i="18"/>
  <c r="AJ231" i="18"/>
  <c r="X231" i="18"/>
  <c r="AK231" i="18"/>
  <c r="O231" i="18"/>
  <c r="AC231" i="18"/>
  <c r="AA232" i="1" l="1"/>
  <c r="Z232" i="1" s="1"/>
  <c r="Y232" i="1" s="1"/>
  <c r="E233" i="15"/>
  <c r="AB234" i="15"/>
  <c r="AC234" i="15"/>
  <c r="X234" i="15"/>
  <c r="AJ234" i="15"/>
  <c r="K234" i="15"/>
  <c r="AK234" i="15"/>
  <c r="A235" i="15"/>
  <c r="L234" i="15"/>
  <c r="D234" i="15" s="1"/>
  <c r="O234" i="15"/>
  <c r="E232" i="16"/>
  <c r="L233" i="16"/>
  <c r="D233" i="16" s="1"/>
  <c r="A234" i="16"/>
  <c r="AB233" i="16"/>
  <c r="AJ233" i="16"/>
  <c r="O233" i="16"/>
  <c r="X233" i="16"/>
  <c r="K233" i="16"/>
  <c r="AK233" i="16"/>
  <c r="AC233" i="16"/>
  <c r="I233" i="1"/>
  <c r="AA233" i="1"/>
  <c r="Z233" i="1" s="1"/>
  <c r="Y233" i="1" s="1"/>
  <c r="G233" i="1"/>
  <c r="BW233" i="6" s="1"/>
  <c r="K232" i="18"/>
  <c r="AB232" i="18"/>
  <c r="AJ232" i="18"/>
  <c r="X232" i="18"/>
  <c r="L232" i="18"/>
  <c r="A233" i="18"/>
  <c r="O232" i="18"/>
  <c r="AK232" i="18"/>
  <c r="AC232" i="18"/>
  <c r="A232" i="20"/>
  <c r="AB231" i="20"/>
  <c r="X231" i="20"/>
  <c r="L231" i="20"/>
  <c r="K231" i="20"/>
  <c r="AK231" i="20"/>
  <c r="AJ231" i="20"/>
  <c r="O231" i="20"/>
  <c r="AC231" i="20"/>
  <c r="X233" i="17"/>
  <c r="K233" i="17"/>
  <c r="AB233" i="17"/>
  <c r="L233" i="17"/>
  <c r="A234" i="17"/>
  <c r="AJ233" i="17"/>
  <c r="O233" i="17"/>
  <c r="AK233" i="17"/>
  <c r="AC233" i="17"/>
  <c r="AB227" i="25"/>
  <c r="L227" i="25"/>
  <c r="X227" i="25"/>
  <c r="K227" i="25"/>
  <c r="A228" i="25"/>
  <c r="AJ227" i="25"/>
  <c r="O227" i="25"/>
  <c r="AK227" i="25"/>
  <c r="AC227" i="25"/>
  <c r="S234" i="1"/>
  <c r="R234" i="1" s="1"/>
  <c r="P234" i="1" s="1"/>
  <c r="V234" i="1" s="1"/>
  <c r="AK235" i="1"/>
  <c r="AB235" i="1"/>
  <c r="A236" i="1"/>
  <c r="X235" i="1"/>
  <c r="L235" i="1"/>
  <c r="AJ235" i="1"/>
  <c r="K235" i="1"/>
  <c r="Q235" i="1"/>
  <c r="O235" i="1"/>
  <c r="AC235" i="1"/>
  <c r="U235" i="1"/>
  <c r="T235" i="1" s="1"/>
  <c r="S235" i="1" s="1"/>
  <c r="R235" i="1" s="1"/>
  <c r="D234" i="1"/>
  <c r="E234" i="1" s="1"/>
  <c r="K229" i="23"/>
  <c r="L229" i="23"/>
  <c r="A230" i="23"/>
  <c r="X229" i="23"/>
  <c r="AB229" i="23"/>
  <c r="AK229" i="23"/>
  <c r="AJ229" i="23"/>
  <c r="O229" i="23"/>
  <c r="AC229" i="23"/>
  <c r="K230" i="22"/>
  <c r="L230" i="22"/>
  <c r="X230" i="22"/>
  <c r="A231" i="22"/>
  <c r="AB230" i="22"/>
  <c r="AJ230" i="22"/>
  <c r="AK230" i="22"/>
  <c r="O230" i="22"/>
  <c r="AC230" i="22"/>
  <c r="AB228" i="24"/>
  <c r="K228" i="24"/>
  <c r="A229" i="24"/>
  <c r="X228" i="24"/>
  <c r="L228" i="24"/>
  <c r="AJ228" i="24"/>
  <c r="AK228" i="24"/>
  <c r="O228" i="24"/>
  <c r="AC228" i="24"/>
  <c r="E234" i="15" l="1"/>
  <c r="L235" i="15"/>
  <c r="D235" i="15" s="1"/>
  <c r="O235" i="15"/>
  <c r="K235" i="15"/>
  <c r="AJ235" i="15"/>
  <c r="X235" i="15"/>
  <c r="AK235" i="15"/>
  <c r="A236" i="15"/>
  <c r="AB235" i="15"/>
  <c r="AC235" i="15"/>
  <c r="P235" i="1"/>
  <c r="V235" i="1" s="1"/>
  <c r="F234" i="1"/>
  <c r="G234" i="1" s="1"/>
  <c r="BW234" i="6" s="1"/>
  <c r="X234" i="16"/>
  <c r="K234" i="16"/>
  <c r="AJ234" i="16"/>
  <c r="AC234" i="16"/>
  <c r="AB234" i="16"/>
  <c r="L234" i="16"/>
  <c r="D234" i="16" s="1"/>
  <c r="A235" i="16"/>
  <c r="AK234" i="16"/>
  <c r="O234" i="16"/>
  <c r="E233" i="16"/>
  <c r="D235" i="1"/>
  <c r="E235" i="1" s="1"/>
  <c r="AC236" i="1"/>
  <c r="AK236" i="1"/>
  <c r="AJ236" i="1"/>
  <c r="L236" i="1"/>
  <c r="K236" i="1"/>
  <c r="O236" i="1"/>
  <c r="Q236" i="1"/>
  <c r="A237" i="1"/>
  <c r="X236" i="1"/>
  <c r="AB236" i="1"/>
  <c r="U236" i="1"/>
  <c r="T236" i="1" s="1"/>
  <c r="X228" i="25"/>
  <c r="L228" i="25"/>
  <c r="K228" i="25"/>
  <c r="A229" i="25"/>
  <c r="AB228" i="25"/>
  <c r="AJ228" i="25"/>
  <c r="AK228" i="25"/>
  <c r="O228" i="25"/>
  <c r="AC228" i="25"/>
  <c r="X232" i="20"/>
  <c r="A233" i="20"/>
  <c r="AB232" i="20"/>
  <c r="K232" i="20"/>
  <c r="L232" i="20"/>
  <c r="AK232" i="20"/>
  <c r="AJ232" i="20"/>
  <c r="O232" i="20"/>
  <c r="AC232" i="20"/>
  <c r="X233" i="18"/>
  <c r="AB233" i="18"/>
  <c r="AJ233" i="18"/>
  <c r="A234" i="18"/>
  <c r="L233" i="18"/>
  <c r="K233" i="18"/>
  <c r="AK233" i="18"/>
  <c r="O233" i="18"/>
  <c r="AC233" i="18"/>
  <c r="AB229" i="24"/>
  <c r="L229" i="24"/>
  <c r="A230" i="24"/>
  <c r="X229" i="24"/>
  <c r="K229" i="24"/>
  <c r="AJ229" i="24"/>
  <c r="AK229" i="24"/>
  <c r="O229" i="24"/>
  <c r="AC229" i="24"/>
  <c r="K231" i="22"/>
  <c r="L231" i="22"/>
  <c r="A232" i="22"/>
  <c r="AB231" i="22"/>
  <c r="X231" i="22"/>
  <c r="AJ231" i="22"/>
  <c r="AK231" i="22"/>
  <c r="O231" i="22"/>
  <c r="AC231" i="22"/>
  <c r="AB230" i="23"/>
  <c r="L230" i="23"/>
  <c r="A231" i="23"/>
  <c r="X230" i="23"/>
  <c r="K230" i="23"/>
  <c r="AJ230" i="23"/>
  <c r="AK230" i="23"/>
  <c r="O230" i="23"/>
  <c r="AC230" i="23"/>
  <c r="AB234" i="17"/>
  <c r="K234" i="17"/>
  <c r="X234" i="17"/>
  <c r="L234" i="17"/>
  <c r="A235" i="17"/>
  <c r="AJ234" i="17"/>
  <c r="O234" i="17"/>
  <c r="AK234" i="17"/>
  <c r="AC234" i="17"/>
  <c r="E234" i="16" l="1"/>
  <c r="I234" i="1"/>
  <c r="K236" i="15"/>
  <c r="AJ236" i="15"/>
  <c r="L236" i="15"/>
  <c r="D236" i="15" s="1"/>
  <c r="X236" i="15"/>
  <c r="AK236" i="15"/>
  <c r="A237" i="15"/>
  <c r="O236" i="15"/>
  <c r="E236" i="15" s="1"/>
  <c r="AB236" i="15"/>
  <c r="AC236" i="15"/>
  <c r="AA234" i="1"/>
  <c r="Z234" i="1" s="1"/>
  <c r="Y234" i="1" s="1"/>
  <c r="E235" i="15"/>
  <c r="F235" i="1"/>
  <c r="G235" i="1" s="1"/>
  <c r="BW235" i="6" s="1"/>
  <c r="AK235" i="16"/>
  <c r="K235" i="16"/>
  <c r="L235" i="16"/>
  <c r="D235" i="16" s="1"/>
  <c r="X235" i="16"/>
  <c r="AJ235" i="16"/>
  <c r="O235" i="16"/>
  <c r="A236" i="16"/>
  <c r="AB235" i="16"/>
  <c r="AC235" i="16"/>
  <c r="I235" i="1"/>
  <c r="K231" i="23"/>
  <c r="L231" i="23"/>
  <c r="A232" i="23"/>
  <c r="AB231" i="23"/>
  <c r="X231" i="23"/>
  <c r="AK231" i="23"/>
  <c r="AJ231" i="23"/>
  <c r="O231" i="23"/>
  <c r="AC231" i="23"/>
  <c r="K230" i="24"/>
  <c r="X230" i="24"/>
  <c r="A231" i="24"/>
  <c r="L230" i="24"/>
  <c r="AB230" i="24"/>
  <c r="AJ230" i="24"/>
  <c r="AK230" i="24"/>
  <c r="O230" i="24"/>
  <c r="AC230" i="24"/>
  <c r="X234" i="18"/>
  <c r="AB234" i="18"/>
  <c r="L234" i="18"/>
  <c r="K234" i="18"/>
  <c r="AJ234" i="18"/>
  <c r="A235" i="18"/>
  <c r="O234" i="18"/>
  <c r="AK234" i="18"/>
  <c r="AC234" i="18"/>
  <c r="X229" i="25"/>
  <c r="L229" i="25"/>
  <c r="AB229" i="25"/>
  <c r="A230" i="25"/>
  <c r="K229" i="25"/>
  <c r="AJ229" i="25"/>
  <c r="O229" i="25"/>
  <c r="AK229" i="25"/>
  <c r="AC229" i="25"/>
  <c r="S236" i="1"/>
  <c r="R236" i="1" s="1"/>
  <c r="P236" i="1" s="1"/>
  <c r="V236" i="1" s="1"/>
  <c r="K235" i="17"/>
  <c r="AB235" i="17"/>
  <c r="X235" i="17"/>
  <c r="A236" i="17"/>
  <c r="L235" i="17"/>
  <c r="AJ235" i="17"/>
  <c r="O235" i="17"/>
  <c r="AK235" i="17"/>
  <c r="AC235" i="17"/>
  <c r="X232" i="22"/>
  <c r="AB232" i="22"/>
  <c r="L232" i="22"/>
  <c r="A233" i="22"/>
  <c r="K232" i="22"/>
  <c r="AJ232" i="22"/>
  <c r="AK232" i="22"/>
  <c r="O232" i="22"/>
  <c r="AC232" i="22"/>
  <c r="K233" i="20"/>
  <c r="A234" i="20"/>
  <c r="X233" i="20"/>
  <c r="AB233" i="20"/>
  <c r="L233" i="20"/>
  <c r="AJ233" i="20"/>
  <c r="AK233" i="20"/>
  <c r="O233" i="20"/>
  <c r="AC233" i="20"/>
  <c r="L237" i="1"/>
  <c r="X237" i="1"/>
  <c r="O237" i="1"/>
  <c r="AK237" i="1"/>
  <c r="AB237" i="1"/>
  <c r="Q237" i="1"/>
  <c r="AJ237" i="1"/>
  <c r="K237" i="1"/>
  <c r="A238" i="1"/>
  <c r="AC237" i="1"/>
  <c r="U237" i="1"/>
  <c r="T237" i="1" s="1"/>
  <c r="D236" i="1"/>
  <c r="E236" i="1" s="1"/>
  <c r="F236" i="1" l="1"/>
  <c r="I236" i="1" s="1"/>
  <c r="AA235" i="1"/>
  <c r="Z235" i="1" s="1"/>
  <c r="Y235" i="1" s="1"/>
  <c r="A238" i="15"/>
  <c r="K237" i="15"/>
  <c r="O237" i="15"/>
  <c r="AB237" i="15"/>
  <c r="AC237" i="15"/>
  <c r="X237" i="15"/>
  <c r="AJ237" i="15"/>
  <c r="L237" i="15"/>
  <c r="D237" i="15" s="1"/>
  <c r="AK237" i="15"/>
  <c r="X236" i="16"/>
  <c r="AB236" i="16"/>
  <c r="AJ236" i="16"/>
  <c r="AC236" i="16"/>
  <c r="A237" i="16"/>
  <c r="K236" i="16"/>
  <c r="L236" i="16"/>
  <c r="D236" i="16" s="1"/>
  <c r="AK236" i="16"/>
  <c r="O236" i="16"/>
  <c r="E235" i="16"/>
  <c r="S237" i="1"/>
  <c r="R237" i="1" s="1"/>
  <c r="P237" i="1" s="1"/>
  <c r="V237" i="1" s="1"/>
  <c r="A239" i="1"/>
  <c r="Q238" i="1"/>
  <c r="O238" i="1"/>
  <c r="AC238" i="1"/>
  <c r="L238" i="1"/>
  <c r="AK238" i="1"/>
  <c r="AB238" i="1"/>
  <c r="K238" i="1"/>
  <c r="X238" i="1"/>
  <c r="AJ238" i="1"/>
  <c r="U238" i="1"/>
  <c r="T238" i="1" s="1"/>
  <c r="S238" i="1" s="1"/>
  <c r="R238" i="1" s="1"/>
  <c r="D237" i="1"/>
  <c r="E237" i="1" s="1"/>
  <c r="K234" i="20"/>
  <c r="L234" i="20"/>
  <c r="AB234" i="20"/>
  <c r="X234" i="20"/>
  <c r="A235" i="20"/>
  <c r="AJ234" i="20"/>
  <c r="AK234" i="20"/>
  <c r="O234" i="20"/>
  <c r="AC234" i="20"/>
  <c r="K236" i="17"/>
  <c r="X236" i="17"/>
  <c r="AB236" i="17"/>
  <c r="A237" i="17"/>
  <c r="L236" i="17"/>
  <c r="AJ236" i="17"/>
  <c r="O236" i="17"/>
  <c r="AK236" i="17"/>
  <c r="AC236" i="17"/>
  <c r="K230" i="25"/>
  <c r="X230" i="25"/>
  <c r="A231" i="25"/>
  <c r="L230" i="25"/>
  <c r="AB230" i="25"/>
  <c r="AJ230" i="25"/>
  <c r="AK230" i="25"/>
  <c r="O230" i="25"/>
  <c r="AC230" i="25"/>
  <c r="X235" i="18"/>
  <c r="A236" i="18"/>
  <c r="L235" i="18"/>
  <c r="K235" i="18"/>
  <c r="AJ235" i="18"/>
  <c r="AB235" i="18"/>
  <c r="O235" i="18"/>
  <c r="AK235" i="18"/>
  <c r="AC235" i="18"/>
  <c r="A232" i="24"/>
  <c r="L231" i="24"/>
  <c r="X231" i="24"/>
  <c r="K231" i="24"/>
  <c r="AB231" i="24"/>
  <c r="AJ231" i="24"/>
  <c r="AK231" i="24"/>
  <c r="O231" i="24"/>
  <c r="AC231" i="24"/>
  <c r="K232" i="23"/>
  <c r="A233" i="23"/>
  <c r="AB232" i="23"/>
  <c r="X232" i="23"/>
  <c r="L232" i="23"/>
  <c r="AK232" i="23"/>
  <c r="AJ232" i="23"/>
  <c r="O232" i="23"/>
  <c r="AC232" i="23"/>
  <c r="AB233" i="22"/>
  <c r="K233" i="22"/>
  <c r="X233" i="22"/>
  <c r="L233" i="22"/>
  <c r="A234" i="22"/>
  <c r="AK233" i="22"/>
  <c r="AJ233" i="22"/>
  <c r="O233" i="22"/>
  <c r="AC233" i="22"/>
  <c r="AA236" i="1" l="1"/>
  <c r="Z236" i="1" s="1"/>
  <c r="Y236" i="1" s="1"/>
  <c r="G236" i="1"/>
  <c r="BW236" i="6" s="1"/>
  <c r="E237" i="15"/>
  <c r="K238" i="15"/>
  <c r="AJ238" i="15"/>
  <c r="X238" i="15"/>
  <c r="AK238" i="15"/>
  <c r="AB238" i="15"/>
  <c r="A239" i="15"/>
  <c r="AC238" i="15"/>
  <c r="L238" i="15"/>
  <c r="D238" i="15" s="1"/>
  <c r="O238" i="15"/>
  <c r="P238" i="1"/>
  <c r="V238" i="1" s="1"/>
  <c r="E236" i="16"/>
  <c r="AB237" i="16"/>
  <c r="A238" i="16"/>
  <c r="AJ237" i="16"/>
  <c r="AC237" i="16"/>
  <c r="X237" i="16"/>
  <c r="K237" i="16"/>
  <c r="L237" i="16"/>
  <c r="D237" i="16" s="1"/>
  <c r="AK237" i="16"/>
  <c r="O237" i="16"/>
  <c r="F237" i="1"/>
  <c r="K233" i="23"/>
  <c r="AB233" i="23"/>
  <c r="L233" i="23"/>
  <c r="A234" i="23"/>
  <c r="X233" i="23"/>
  <c r="AJ233" i="23"/>
  <c r="AK233" i="23"/>
  <c r="O233" i="23"/>
  <c r="AC233" i="23"/>
  <c r="A233" i="24"/>
  <c r="AB232" i="24"/>
  <c r="K232" i="24"/>
  <c r="X232" i="24"/>
  <c r="L232" i="24"/>
  <c r="AK232" i="24"/>
  <c r="AJ232" i="24"/>
  <c r="O232" i="24"/>
  <c r="AC232" i="24"/>
  <c r="X236" i="18"/>
  <c r="L236" i="18"/>
  <c r="A237" i="18"/>
  <c r="K236" i="18"/>
  <c r="AB236" i="18"/>
  <c r="AJ236" i="18"/>
  <c r="O236" i="18"/>
  <c r="AK236" i="18"/>
  <c r="AC236" i="18"/>
  <c r="K231" i="25"/>
  <c r="A232" i="25"/>
  <c r="X231" i="25"/>
  <c r="AB231" i="25"/>
  <c r="L231" i="25"/>
  <c r="AJ231" i="25"/>
  <c r="O231" i="25"/>
  <c r="AK231" i="25"/>
  <c r="AC231" i="25"/>
  <c r="A238" i="17"/>
  <c r="L237" i="17"/>
  <c r="X237" i="17"/>
  <c r="AB237" i="17"/>
  <c r="K237" i="17"/>
  <c r="AJ237" i="17"/>
  <c r="O237" i="17"/>
  <c r="AK237" i="17"/>
  <c r="AC237" i="17"/>
  <c r="X235" i="20"/>
  <c r="AB235" i="20"/>
  <c r="L235" i="20"/>
  <c r="A236" i="20"/>
  <c r="K235" i="20"/>
  <c r="AK235" i="20"/>
  <c r="AJ235" i="20"/>
  <c r="O235" i="20"/>
  <c r="AC235" i="20"/>
  <c r="D238" i="1"/>
  <c r="E238" i="1"/>
  <c r="K239" i="1"/>
  <c r="AK239" i="1"/>
  <c r="O239" i="1"/>
  <c r="AB239" i="1"/>
  <c r="L239" i="1"/>
  <c r="X239" i="1"/>
  <c r="AJ239" i="1"/>
  <c r="Q239" i="1"/>
  <c r="AC239" i="1"/>
  <c r="A240" i="1"/>
  <c r="U239" i="1"/>
  <c r="T239" i="1" s="1"/>
  <c r="AB234" i="22"/>
  <c r="X234" i="22"/>
  <c r="K234" i="22"/>
  <c r="L234" i="22"/>
  <c r="A235" i="22"/>
  <c r="AK234" i="22"/>
  <c r="AJ234" i="22"/>
  <c r="O234" i="22"/>
  <c r="AC234" i="22"/>
  <c r="K239" i="15" l="1"/>
  <c r="AK239" i="15"/>
  <c r="L239" i="15"/>
  <c r="D239" i="15" s="1"/>
  <c r="AJ239" i="15"/>
  <c r="AB239" i="15"/>
  <c r="A240" i="15"/>
  <c r="AC239" i="15"/>
  <c r="X239" i="15"/>
  <c r="O239" i="15"/>
  <c r="E239" i="15" s="1"/>
  <c r="E238" i="15"/>
  <c r="F238" i="1"/>
  <c r="AA238" i="1" s="1"/>
  <c r="Z238" i="1" s="1"/>
  <c r="Y238" i="1" s="1"/>
  <c r="A239" i="16"/>
  <c r="X238" i="16"/>
  <c r="K238" i="16"/>
  <c r="AK238" i="16"/>
  <c r="O238" i="16"/>
  <c r="AJ238" i="16"/>
  <c r="L238" i="16"/>
  <c r="D238" i="16" s="1"/>
  <c r="E238" i="16" s="1"/>
  <c r="AB238" i="16"/>
  <c r="AC238" i="16"/>
  <c r="E237" i="16"/>
  <c r="S239" i="1"/>
  <c r="R239" i="1" s="1"/>
  <c r="P239" i="1" s="1"/>
  <c r="V239" i="1" s="1"/>
  <c r="D239" i="1"/>
  <c r="E239" i="1" s="1"/>
  <c r="K233" i="24"/>
  <c r="A234" i="24"/>
  <c r="L233" i="24"/>
  <c r="AB233" i="24"/>
  <c r="X233" i="24"/>
  <c r="AJ233" i="24"/>
  <c r="AK233" i="24"/>
  <c r="O233" i="24"/>
  <c r="AC233" i="24"/>
  <c r="X234" i="23"/>
  <c r="L234" i="23"/>
  <c r="K234" i="23"/>
  <c r="AB234" i="23"/>
  <c r="A235" i="23"/>
  <c r="AJ234" i="23"/>
  <c r="AK234" i="23"/>
  <c r="O234" i="23"/>
  <c r="AC234" i="23"/>
  <c r="A236" i="22"/>
  <c r="X235" i="22"/>
  <c r="AB235" i="22"/>
  <c r="L235" i="22"/>
  <c r="K235" i="22"/>
  <c r="AJ235" i="22"/>
  <c r="AK235" i="22"/>
  <c r="O235" i="22"/>
  <c r="AC235" i="22"/>
  <c r="AK240" i="1"/>
  <c r="AJ240" i="1"/>
  <c r="Q240" i="1"/>
  <c r="A241" i="1"/>
  <c r="AC240" i="1"/>
  <c r="K240" i="1"/>
  <c r="L240" i="1"/>
  <c r="O240" i="1"/>
  <c r="AB240" i="1"/>
  <c r="X240" i="1"/>
  <c r="U240" i="1"/>
  <c r="T240" i="1" s="1"/>
  <c r="AB236" i="20"/>
  <c r="X236" i="20"/>
  <c r="K236" i="20"/>
  <c r="L236" i="20"/>
  <c r="A237" i="20"/>
  <c r="AJ236" i="20"/>
  <c r="AK236" i="20"/>
  <c r="O236" i="20"/>
  <c r="AC236" i="20"/>
  <c r="X238" i="17"/>
  <c r="L238" i="17"/>
  <c r="AB238" i="17"/>
  <c r="A239" i="17"/>
  <c r="K238" i="17"/>
  <c r="AJ238" i="17"/>
  <c r="O238" i="17"/>
  <c r="AK238" i="17"/>
  <c r="AC238" i="17"/>
  <c r="K232" i="25"/>
  <c r="X232" i="25"/>
  <c r="AB232" i="25"/>
  <c r="L232" i="25"/>
  <c r="A233" i="25"/>
  <c r="AJ232" i="25"/>
  <c r="AK232" i="25"/>
  <c r="O232" i="25"/>
  <c r="AC232" i="25"/>
  <c r="K237" i="18"/>
  <c r="X237" i="18"/>
  <c r="AJ237" i="18"/>
  <c r="AB237" i="18"/>
  <c r="L237" i="18"/>
  <c r="A238" i="18"/>
  <c r="AK237" i="18"/>
  <c r="O237" i="18"/>
  <c r="AC237" i="18"/>
  <c r="I237" i="1"/>
  <c r="G237" i="1"/>
  <c r="BW237" i="6" s="1"/>
  <c r="AA237" i="1"/>
  <c r="Z237" i="1" s="1"/>
  <c r="Y237" i="1" s="1"/>
  <c r="G238" i="1" l="1"/>
  <c r="BW238" i="6" s="1"/>
  <c r="I238" i="1"/>
  <c r="AB240" i="15"/>
  <c r="X240" i="15"/>
  <c r="AC240" i="15"/>
  <c r="A241" i="15"/>
  <c r="O240" i="15"/>
  <c r="K240" i="15"/>
  <c r="AK240" i="15"/>
  <c r="L240" i="15"/>
  <c r="D240" i="15" s="1"/>
  <c r="AJ240" i="15"/>
  <c r="F239" i="1"/>
  <c r="AA239" i="1" s="1"/>
  <c r="Z239" i="1" s="1"/>
  <c r="Y239" i="1" s="1"/>
  <c r="X239" i="16"/>
  <c r="A240" i="16"/>
  <c r="AJ239" i="16"/>
  <c r="AC239" i="16"/>
  <c r="K239" i="16"/>
  <c r="L239" i="16"/>
  <c r="D239" i="16" s="1"/>
  <c r="AB239" i="16"/>
  <c r="AK239" i="16"/>
  <c r="O239" i="16"/>
  <c r="S240" i="1"/>
  <c r="R240" i="1" s="1"/>
  <c r="P240" i="1" s="1"/>
  <c r="V240" i="1" s="1"/>
  <c r="D240" i="1"/>
  <c r="E240" i="1" s="1"/>
  <c r="AB238" i="18"/>
  <c r="A239" i="18"/>
  <c r="AJ238" i="18"/>
  <c r="K238" i="18"/>
  <c r="L238" i="18"/>
  <c r="X238" i="18"/>
  <c r="AK238" i="18"/>
  <c r="O238" i="18"/>
  <c r="AC238" i="18"/>
  <c r="K233" i="25"/>
  <c r="X233" i="25"/>
  <c r="L233" i="25"/>
  <c r="AB233" i="25"/>
  <c r="A234" i="25"/>
  <c r="AJ233" i="25"/>
  <c r="AK233" i="25"/>
  <c r="O233" i="25"/>
  <c r="AC233" i="25"/>
  <c r="AB239" i="17"/>
  <c r="L239" i="17"/>
  <c r="X239" i="17"/>
  <c r="A240" i="17"/>
  <c r="K239" i="17"/>
  <c r="AJ239" i="17"/>
  <c r="AK239" i="17"/>
  <c r="O239" i="17"/>
  <c r="AC239" i="17"/>
  <c r="K237" i="20"/>
  <c r="A238" i="20"/>
  <c r="L237" i="20"/>
  <c r="X237" i="20"/>
  <c r="AB237" i="20"/>
  <c r="AJ237" i="20"/>
  <c r="AK237" i="20"/>
  <c r="O237" i="20"/>
  <c r="AC237" i="20"/>
  <c r="AC241" i="1"/>
  <c r="O241" i="1"/>
  <c r="C27" i="7" s="1"/>
  <c r="K241" i="1"/>
  <c r="AJ241" i="1"/>
  <c r="Q241" i="1"/>
  <c r="A27" i="7"/>
  <c r="A242" i="1"/>
  <c r="AK241" i="1"/>
  <c r="L241" i="1"/>
  <c r="X241" i="1"/>
  <c r="AB241" i="1"/>
  <c r="U241" i="1"/>
  <c r="T241" i="1" s="1"/>
  <c r="K236" i="22"/>
  <c r="A237" i="22"/>
  <c r="AB236" i="22"/>
  <c r="L236" i="22"/>
  <c r="X236" i="22"/>
  <c r="AJ236" i="22"/>
  <c r="AK236" i="22"/>
  <c r="O236" i="22"/>
  <c r="AC236" i="22"/>
  <c r="X235" i="23"/>
  <c r="A236" i="23"/>
  <c r="AB235" i="23"/>
  <c r="L235" i="23"/>
  <c r="K235" i="23"/>
  <c r="AJ235" i="23"/>
  <c r="AK235" i="23"/>
  <c r="O235" i="23"/>
  <c r="AC235" i="23"/>
  <c r="AB234" i="24"/>
  <c r="X234" i="24"/>
  <c r="L234" i="24"/>
  <c r="A235" i="24"/>
  <c r="K234" i="24"/>
  <c r="AK234" i="24"/>
  <c r="AJ234" i="24"/>
  <c r="O234" i="24"/>
  <c r="AC234" i="24"/>
  <c r="L241" i="15" l="1"/>
  <c r="AK241" i="15"/>
  <c r="K241" i="15"/>
  <c r="X241" i="15"/>
  <c r="AC241" i="15"/>
  <c r="A39" i="7"/>
  <c r="A242" i="15"/>
  <c r="O241" i="15"/>
  <c r="C39" i="7" s="1"/>
  <c r="AB241" i="15"/>
  <c r="AJ241" i="15"/>
  <c r="G239" i="1"/>
  <c r="BW239" i="6" s="1"/>
  <c r="E240" i="15"/>
  <c r="I239" i="1"/>
  <c r="E239" i="16"/>
  <c r="L240" i="16"/>
  <c r="D240" i="16" s="1"/>
  <c r="AB240" i="16"/>
  <c r="A241" i="16"/>
  <c r="AJ240" i="16"/>
  <c r="O240" i="16"/>
  <c r="X240" i="16"/>
  <c r="K240" i="16"/>
  <c r="AK240" i="16"/>
  <c r="AC240" i="16"/>
  <c r="L235" i="24"/>
  <c r="A236" i="24"/>
  <c r="K235" i="24"/>
  <c r="X235" i="24"/>
  <c r="AB235" i="24"/>
  <c r="AK235" i="24"/>
  <c r="AJ235" i="24"/>
  <c r="O235" i="24"/>
  <c r="AC235" i="24"/>
  <c r="AB237" i="22"/>
  <c r="K237" i="22"/>
  <c r="X237" i="22"/>
  <c r="A238" i="22"/>
  <c r="L237" i="22"/>
  <c r="AK237" i="22"/>
  <c r="AJ237" i="22"/>
  <c r="O237" i="22"/>
  <c r="AC237" i="22"/>
  <c r="S241" i="1"/>
  <c r="R241" i="1" s="1"/>
  <c r="P241" i="1" s="1"/>
  <c r="D27" i="7" s="1"/>
  <c r="X238" i="20"/>
  <c r="L238" i="20"/>
  <c r="A239" i="20"/>
  <c r="K238" i="20"/>
  <c r="AB238" i="20"/>
  <c r="AJ238" i="20"/>
  <c r="AK238" i="20"/>
  <c r="O238" i="20"/>
  <c r="AC238" i="20"/>
  <c r="K234" i="25"/>
  <c r="L234" i="25"/>
  <c r="AB234" i="25"/>
  <c r="A235" i="25"/>
  <c r="X234" i="25"/>
  <c r="AJ234" i="25"/>
  <c r="O234" i="25"/>
  <c r="AK234" i="25"/>
  <c r="AC234" i="25"/>
  <c r="K239" i="18"/>
  <c r="A240" i="18"/>
  <c r="AB239" i="18"/>
  <c r="X239" i="18"/>
  <c r="AJ239" i="18"/>
  <c r="L239" i="18"/>
  <c r="AK239" i="18"/>
  <c r="O239" i="18"/>
  <c r="AC239" i="18"/>
  <c r="F240" i="1"/>
  <c r="A237" i="23"/>
  <c r="AB236" i="23"/>
  <c r="X236" i="23"/>
  <c r="L236" i="23"/>
  <c r="K236" i="23"/>
  <c r="AJ236" i="23"/>
  <c r="AK236" i="23"/>
  <c r="O236" i="23"/>
  <c r="AC236" i="23"/>
  <c r="B27" i="7"/>
  <c r="D241" i="1"/>
  <c r="E241" i="1" s="1"/>
  <c r="AJ242" i="1"/>
  <c r="Q242" i="1"/>
  <c r="O242" i="1"/>
  <c r="X242" i="1"/>
  <c r="A243" i="1"/>
  <c r="AB242" i="1"/>
  <c r="K242" i="1"/>
  <c r="AK242" i="1"/>
  <c r="L242" i="1"/>
  <c r="AC242" i="1"/>
  <c r="U242" i="1"/>
  <c r="T242" i="1" s="1"/>
  <c r="A241" i="17"/>
  <c r="AB240" i="17"/>
  <c r="K240" i="17"/>
  <c r="L240" i="17"/>
  <c r="X240" i="17"/>
  <c r="O240" i="17"/>
  <c r="AJ240" i="17"/>
  <c r="AK240" i="17"/>
  <c r="AC240" i="17"/>
  <c r="AB242" i="15" l="1"/>
  <c r="AK242" i="15"/>
  <c r="L242" i="15"/>
  <c r="D242" i="15" s="1"/>
  <c r="K242" i="15"/>
  <c r="AC242" i="15"/>
  <c r="A243" i="15"/>
  <c r="O242" i="15"/>
  <c r="X242" i="15"/>
  <c r="AJ242" i="15"/>
  <c r="D241" i="15"/>
  <c r="E241" i="15" s="1"/>
  <c r="B39" i="7"/>
  <c r="A51" i="7"/>
  <c r="AB241" i="16"/>
  <c r="L241" i="16"/>
  <c r="AK241" i="16"/>
  <c r="O241" i="16"/>
  <c r="C51" i="7" s="1"/>
  <c r="X241" i="16"/>
  <c r="A242" i="16"/>
  <c r="K241" i="16"/>
  <c r="AJ241" i="16"/>
  <c r="AC241" i="16"/>
  <c r="E240" i="16"/>
  <c r="S242" i="1"/>
  <c r="R242" i="1" s="1"/>
  <c r="P242" i="1" s="1"/>
  <c r="V242" i="1" s="1"/>
  <c r="D242" i="1"/>
  <c r="AK243" i="1"/>
  <c r="K243" i="1"/>
  <c r="AB243" i="1"/>
  <c r="X243" i="1"/>
  <c r="O243" i="1"/>
  <c r="AJ243" i="1"/>
  <c r="A244" i="1"/>
  <c r="Q243" i="1"/>
  <c r="L243" i="1"/>
  <c r="AC243" i="1"/>
  <c r="U243" i="1"/>
  <c r="T243" i="1" s="1"/>
  <c r="E242" i="1"/>
  <c r="A238" i="23"/>
  <c r="L237" i="23"/>
  <c r="X237" i="23"/>
  <c r="K237" i="23"/>
  <c r="AB237" i="23"/>
  <c r="AJ237" i="23"/>
  <c r="AK237" i="23"/>
  <c r="O237" i="23"/>
  <c r="AC237" i="23"/>
  <c r="G240" i="1"/>
  <c r="BW240" i="6" s="1"/>
  <c r="I240" i="1"/>
  <c r="AA240" i="1"/>
  <c r="Z240" i="1" s="1"/>
  <c r="Y240" i="1" s="1"/>
  <c r="AB240" i="18"/>
  <c r="L240" i="18"/>
  <c r="K240" i="18"/>
  <c r="A241" i="18"/>
  <c r="X240" i="18"/>
  <c r="AJ240" i="18"/>
  <c r="O240" i="18"/>
  <c r="AK240" i="18"/>
  <c r="AC240" i="18"/>
  <c r="X241" i="17"/>
  <c r="A242" i="17"/>
  <c r="AB241" i="17"/>
  <c r="A63" i="7"/>
  <c r="K241" i="17"/>
  <c r="L241" i="17"/>
  <c r="AJ241" i="17"/>
  <c r="AK241" i="17"/>
  <c r="O241" i="17"/>
  <c r="C63" i="7" s="1"/>
  <c r="AC241" i="17"/>
  <c r="V241" i="1"/>
  <c r="F241" i="1" s="1"/>
  <c r="A236" i="25"/>
  <c r="AB235" i="25"/>
  <c r="K235" i="25"/>
  <c r="X235" i="25"/>
  <c r="L235" i="25"/>
  <c r="AJ235" i="25"/>
  <c r="O235" i="25"/>
  <c r="AK235" i="25"/>
  <c r="AC235" i="25"/>
  <c r="X239" i="20"/>
  <c r="AB239" i="20"/>
  <c r="L239" i="20"/>
  <c r="A240" i="20"/>
  <c r="K239" i="20"/>
  <c r="AJ239" i="20"/>
  <c r="AK239" i="20"/>
  <c r="O239" i="20"/>
  <c r="AC239" i="20"/>
  <c r="AB238" i="22"/>
  <c r="X238" i="22"/>
  <c r="A239" i="22"/>
  <c r="L238" i="22"/>
  <c r="K238" i="22"/>
  <c r="AK238" i="22"/>
  <c r="AJ238" i="22"/>
  <c r="O238" i="22"/>
  <c r="AC238" i="22"/>
  <c r="A237" i="24"/>
  <c r="L236" i="24"/>
  <c r="AB236" i="24"/>
  <c r="K236" i="24"/>
  <c r="X236" i="24"/>
  <c r="AJ236" i="24"/>
  <c r="AK236" i="24"/>
  <c r="O236" i="24"/>
  <c r="AC236" i="24"/>
  <c r="AB243" i="15" l="1"/>
  <c r="K243" i="15"/>
  <c r="AC243" i="15"/>
  <c r="A244" i="15"/>
  <c r="O243" i="15"/>
  <c r="L243" i="15"/>
  <c r="D243" i="15" s="1"/>
  <c r="AJ243" i="15"/>
  <c r="X243" i="15"/>
  <c r="AK243" i="15"/>
  <c r="E242" i="15"/>
  <c r="K242" i="16"/>
  <c r="A243" i="16"/>
  <c r="X242" i="16"/>
  <c r="AJ242" i="16"/>
  <c r="O242" i="16"/>
  <c r="AB242" i="16"/>
  <c r="AC242" i="16"/>
  <c r="L242" i="16"/>
  <c r="D242" i="16" s="1"/>
  <c r="AK242" i="16"/>
  <c r="D241" i="16"/>
  <c r="E241" i="16" s="1"/>
  <c r="B51" i="7"/>
  <c r="B63" i="7"/>
  <c r="X242" i="17"/>
  <c r="AB242" i="17"/>
  <c r="L242" i="17"/>
  <c r="K242" i="17"/>
  <c r="A243" i="17"/>
  <c r="AJ242" i="17"/>
  <c r="AK242" i="17"/>
  <c r="O242" i="17"/>
  <c r="AC242" i="17"/>
  <c r="AB241" i="18"/>
  <c r="L241" i="18"/>
  <c r="A242" i="18"/>
  <c r="X241" i="18"/>
  <c r="K241" i="18"/>
  <c r="A75" i="7"/>
  <c r="AJ241" i="18"/>
  <c r="O241" i="18"/>
  <c r="C75" i="7" s="1"/>
  <c r="AK241" i="18"/>
  <c r="AC241" i="18"/>
  <c r="F242" i="1"/>
  <c r="AB237" i="24"/>
  <c r="X237" i="24"/>
  <c r="A238" i="24"/>
  <c r="L237" i="24"/>
  <c r="K237" i="24"/>
  <c r="AK237" i="24"/>
  <c r="AJ237" i="24"/>
  <c r="O237" i="24"/>
  <c r="AC237" i="24"/>
  <c r="AB239" i="22"/>
  <c r="K239" i="22"/>
  <c r="L239" i="22"/>
  <c r="A240" i="22"/>
  <c r="X239" i="22"/>
  <c r="AJ239" i="22"/>
  <c r="AK239" i="22"/>
  <c r="O239" i="22"/>
  <c r="AC239" i="22"/>
  <c r="A241" i="20"/>
  <c r="L240" i="20"/>
  <c r="K240" i="20"/>
  <c r="AB240" i="20"/>
  <c r="X240" i="20"/>
  <c r="AJ240" i="20"/>
  <c r="AK240" i="20"/>
  <c r="O240" i="20"/>
  <c r="AC240" i="20"/>
  <c r="AB236" i="25"/>
  <c r="L236" i="25"/>
  <c r="A237" i="25"/>
  <c r="K236" i="25"/>
  <c r="X236" i="25"/>
  <c r="AJ236" i="25"/>
  <c r="O236" i="25"/>
  <c r="AK236" i="25"/>
  <c r="AC236" i="25"/>
  <c r="G241" i="1"/>
  <c r="BW241" i="6" s="1"/>
  <c r="I241" i="1"/>
  <c r="AA241" i="1"/>
  <c r="Z241" i="1" s="1"/>
  <c r="Y241" i="1" s="1"/>
  <c r="K238" i="23"/>
  <c r="X238" i="23"/>
  <c r="A239" i="23"/>
  <c r="L238" i="23"/>
  <c r="AB238" i="23"/>
  <c r="AJ238" i="23"/>
  <c r="AK238" i="23"/>
  <c r="O238" i="23"/>
  <c r="AC238" i="23"/>
  <c r="S243" i="1"/>
  <c r="R243" i="1" s="1"/>
  <c r="P243" i="1" s="1"/>
  <c r="V243" i="1" s="1"/>
  <c r="D243" i="1"/>
  <c r="E243" i="1" s="1"/>
  <c r="AK244" i="1"/>
  <c r="X244" i="1"/>
  <c r="O244" i="1"/>
  <c r="AC244" i="1"/>
  <c r="Q244" i="1"/>
  <c r="K244" i="1"/>
  <c r="AB244" i="1"/>
  <c r="L244" i="1"/>
  <c r="AJ244" i="1"/>
  <c r="A245" i="1"/>
  <c r="U244" i="1"/>
  <c r="T244" i="1" s="1"/>
  <c r="S244" i="1" s="1"/>
  <c r="R244" i="1" s="1"/>
  <c r="P244" i="1" s="1"/>
  <c r="E243" i="15" l="1"/>
  <c r="K244" i="15"/>
  <c r="AK244" i="15"/>
  <c r="L244" i="15"/>
  <c r="D244" i="15" s="1"/>
  <c r="AB244" i="15"/>
  <c r="AC244" i="15"/>
  <c r="A245" i="15"/>
  <c r="O244" i="15"/>
  <c r="X244" i="15"/>
  <c r="AJ244" i="15"/>
  <c r="F243" i="1"/>
  <c r="G243" i="1" s="1"/>
  <c r="BW243" i="6" s="1"/>
  <c r="E242" i="16"/>
  <c r="K243" i="16"/>
  <c r="AB243" i="16"/>
  <c r="AK243" i="16"/>
  <c r="AC243" i="16"/>
  <c r="L243" i="16"/>
  <c r="D243" i="16" s="1"/>
  <c r="X243" i="16"/>
  <c r="A244" i="16"/>
  <c r="AJ243" i="16"/>
  <c r="O243" i="16"/>
  <c r="K237" i="25"/>
  <c r="L237" i="25"/>
  <c r="AB237" i="25"/>
  <c r="X237" i="25"/>
  <c r="A238" i="25"/>
  <c r="AJ237" i="25"/>
  <c r="O237" i="25"/>
  <c r="AK237" i="25"/>
  <c r="AC237" i="25"/>
  <c r="G242" i="1"/>
  <c r="BW242" i="6" s="1"/>
  <c r="AA242" i="1"/>
  <c r="Z242" i="1" s="1"/>
  <c r="Y242" i="1" s="1"/>
  <c r="I242" i="1"/>
  <c r="X242" i="18"/>
  <c r="A243" i="18"/>
  <c r="L242" i="18"/>
  <c r="AB242" i="18"/>
  <c r="AJ242" i="18"/>
  <c r="K242" i="18"/>
  <c r="O242" i="18"/>
  <c r="AK242" i="18"/>
  <c r="AC242" i="18"/>
  <c r="A244" i="17"/>
  <c r="L243" i="17"/>
  <c r="K243" i="17"/>
  <c r="X243" i="17"/>
  <c r="AB243" i="17"/>
  <c r="AK243" i="17"/>
  <c r="AJ243" i="17"/>
  <c r="O243" i="17"/>
  <c r="AC243" i="17"/>
  <c r="K245" i="1"/>
  <c r="A246" i="1"/>
  <c r="AB245" i="1"/>
  <c r="AK245" i="1"/>
  <c r="X245" i="1"/>
  <c r="L245" i="1"/>
  <c r="O245" i="1"/>
  <c r="Q245" i="1"/>
  <c r="AC245" i="1"/>
  <c r="AJ245" i="1"/>
  <c r="U245" i="1"/>
  <c r="T245" i="1" s="1"/>
  <c r="D244" i="1"/>
  <c r="E244" i="1" s="1"/>
  <c r="V244" i="1"/>
  <c r="K239" i="23"/>
  <c r="AB239" i="23"/>
  <c r="L239" i="23"/>
  <c r="X239" i="23"/>
  <c r="A240" i="23"/>
  <c r="AJ239" i="23"/>
  <c r="AK239" i="23"/>
  <c r="O239" i="23"/>
  <c r="AC239" i="23"/>
  <c r="AB241" i="20"/>
  <c r="L241" i="20"/>
  <c r="K241" i="20"/>
  <c r="A242" i="20"/>
  <c r="AE27" i="7"/>
  <c r="X241" i="20"/>
  <c r="AJ241" i="20"/>
  <c r="AK241" i="20"/>
  <c r="O241" i="20"/>
  <c r="AG27" i="7" s="1"/>
  <c r="AC241" i="20"/>
  <c r="A241" i="22"/>
  <c r="L240" i="22"/>
  <c r="AB240" i="22"/>
  <c r="X240" i="22"/>
  <c r="K240" i="22"/>
  <c r="AJ240" i="22"/>
  <c r="AK240" i="22"/>
  <c r="O240" i="22"/>
  <c r="AC240" i="22"/>
  <c r="A239" i="24"/>
  <c r="K238" i="24"/>
  <c r="X238" i="24"/>
  <c r="AB238" i="24"/>
  <c r="L238" i="24"/>
  <c r="AK238" i="24"/>
  <c r="AJ238" i="24"/>
  <c r="O238" i="24"/>
  <c r="AC238" i="24"/>
  <c r="B75" i="7"/>
  <c r="AA243" i="1" l="1"/>
  <c r="Z243" i="1" s="1"/>
  <c r="Y243" i="1" s="1"/>
  <c r="X245" i="15"/>
  <c r="AJ245" i="15"/>
  <c r="K245" i="15"/>
  <c r="AB245" i="15"/>
  <c r="O245" i="15"/>
  <c r="L245" i="15"/>
  <c r="D245" i="15" s="1"/>
  <c r="AC245" i="15"/>
  <c r="A246" i="15"/>
  <c r="AK245" i="15"/>
  <c r="I243" i="1"/>
  <c r="E244" i="15"/>
  <c r="K244" i="16"/>
  <c r="X244" i="16"/>
  <c r="AB244" i="16"/>
  <c r="AK244" i="16"/>
  <c r="O244" i="16"/>
  <c r="L244" i="16"/>
  <c r="D244" i="16" s="1"/>
  <c r="A245" i="16"/>
  <c r="AJ244" i="16"/>
  <c r="AC244" i="16"/>
  <c r="E243" i="16"/>
  <c r="AE39" i="7"/>
  <c r="K241" i="22"/>
  <c r="L241" i="22"/>
  <c r="X241" i="22"/>
  <c r="AB241" i="22"/>
  <c r="A242" i="22"/>
  <c r="AJ241" i="22"/>
  <c r="AK241" i="22"/>
  <c r="O241" i="22"/>
  <c r="AG39" i="7" s="1"/>
  <c r="AC241" i="22"/>
  <c r="S245" i="1"/>
  <c r="R245" i="1" s="1"/>
  <c r="P245" i="1" s="1"/>
  <c r="V245" i="1" s="1"/>
  <c r="F244" i="1"/>
  <c r="AB239" i="24"/>
  <c r="K239" i="24"/>
  <c r="X239" i="24"/>
  <c r="A240" i="24"/>
  <c r="L239" i="24"/>
  <c r="AJ239" i="24"/>
  <c r="AK239" i="24"/>
  <c r="O239" i="24"/>
  <c r="AC239" i="24"/>
  <c r="AB242" i="20"/>
  <c r="X242" i="20"/>
  <c r="K242" i="20"/>
  <c r="L242" i="20"/>
  <c r="A243" i="20"/>
  <c r="AJ242" i="20"/>
  <c r="AK242" i="20"/>
  <c r="O242" i="20"/>
  <c r="AC242" i="20"/>
  <c r="AF27" i="7"/>
  <c r="AB240" i="23"/>
  <c r="A241" i="23"/>
  <c r="K240" i="23"/>
  <c r="X240" i="23"/>
  <c r="L240" i="23"/>
  <c r="AJ240" i="23"/>
  <c r="AK240" i="23"/>
  <c r="O240" i="23"/>
  <c r="AC240" i="23"/>
  <c r="D245" i="1"/>
  <c r="E245" i="1" s="1"/>
  <c r="AK246" i="1"/>
  <c r="AJ246" i="1"/>
  <c r="Q246" i="1"/>
  <c r="X246" i="1"/>
  <c r="O246" i="1"/>
  <c r="K246" i="1"/>
  <c r="A247" i="1"/>
  <c r="AC246" i="1"/>
  <c r="AB246" i="1"/>
  <c r="L246" i="1"/>
  <c r="U246" i="1"/>
  <c r="T246" i="1" s="1"/>
  <c r="A245" i="17"/>
  <c r="L244" i="17"/>
  <c r="AB244" i="17"/>
  <c r="K244" i="17"/>
  <c r="X244" i="17"/>
  <c r="AJ244" i="17"/>
  <c r="O244" i="17"/>
  <c r="AK244" i="17"/>
  <c r="AC244" i="17"/>
  <c r="X243" i="18"/>
  <c r="AB243" i="18"/>
  <c r="AJ243" i="18"/>
  <c r="K243" i="18"/>
  <c r="L243" i="18"/>
  <c r="A244" i="18"/>
  <c r="O243" i="18"/>
  <c r="AK243" i="18"/>
  <c r="AC243" i="18"/>
  <c r="A239" i="25"/>
  <c r="AB238" i="25"/>
  <c r="L238" i="25"/>
  <c r="X238" i="25"/>
  <c r="K238" i="25"/>
  <c r="AJ238" i="25"/>
  <c r="O238" i="25"/>
  <c r="AK238" i="25"/>
  <c r="AC238" i="25"/>
  <c r="E245" i="15" l="1"/>
  <c r="L246" i="15"/>
  <c r="D246" i="15" s="1"/>
  <c r="AJ246" i="15"/>
  <c r="AB246" i="15"/>
  <c r="X246" i="15"/>
  <c r="O246" i="15"/>
  <c r="E246" i="15" s="1"/>
  <c r="A247" i="15"/>
  <c r="AC246" i="15"/>
  <c r="K246" i="15"/>
  <c r="AK246" i="15"/>
  <c r="K245" i="16"/>
  <c r="X245" i="16"/>
  <c r="AB245" i="16"/>
  <c r="AK245" i="16"/>
  <c r="O245" i="16"/>
  <c r="A246" i="16"/>
  <c r="L245" i="16"/>
  <c r="D245" i="16" s="1"/>
  <c r="E245" i="16" s="1"/>
  <c r="AJ245" i="16"/>
  <c r="AC245" i="16"/>
  <c r="E244" i="16"/>
  <c r="AB239" i="25"/>
  <c r="A240" i="25"/>
  <c r="X239" i="25"/>
  <c r="K239" i="25"/>
  <c r="L239" i="25"/>
  <c r="AK239" i="25"/>
  <c r="AJ239" i="25"/>
  <c r="O239" i="25"/>
  <c r="AC239" i="25"/>
  <c r="K244" i="18"/>
  <c r="AB244" i="18"/>
  <c r="X244" i="18"/>
  <c r="A245" i="18"/>
  <c r="AJ244" i="18"/>
  <c r="L244" i="18"/>
  <c r="AK244" i="18"/>
  <c r="O244" i="18"/>
  <c r="AC244" i="18"/>
  <c r="AB245" i="17"/>
  <c r="A246" i="17"/>
  <c r="X245" i="17"/>
  <c r="L245" i="17"/>
  <c r="K245" i="17"/>
  <c r="AJ245" i="17"/>
  <c r="AK245" i="17"/>
  <c r="O245" i="17"/>
  <c r="AC245" i="17"/>
  <c r="D246" i="1"/>
  <c r="E246" i="1" s="1"/>
  <c r="K243" i="20"/>
  <c r="AB243" i="20"/>
  <c r="L243" i="20"/>
  <c r="X243" i="20"/>
  <c r="A244" i="20"/>
  <c r="AJ243" i="20"/>
  <c r="AK243" i="20"/>
  <c r="O243" i="20"/>
  <c r="AC243" i="20"/>
  <c r="AB240" i="24"/>
  <c r="X240" i="24"/>
  <c r="L240" i="24"/>
  <c r="K240" i="24"/>
  <c r="A241" i="24"/>
  <c r="AJ240" i="24"/>
  <c r="AK240" i="24"/>
  <c r="O240" i="24"/>
  <c r="AC240" i="24"/>
  <c r="F245" i="1"/>
  <c r="A243" i="22"/>
  <c r="X242" i="22"/>
  <c r="AB242" i="22"/>
  <c r="L242" i="22"/>
  <c r="K242" i="22"/>
  <c r="AJ242" i="22"/>
  <c r="AK242" i="22"/>
  <c r="O242" i="22"/>
  <c r="AC242" i="22"/>
  <c r="S246" i="1"/>
  <c r="R246" i="1" s="1"/>
  <c r="P246" i="1" s="1"/>
  <c r="V246" i="1" s="1"/>
  <c r="AK247" i="1"/>
  <c r="L247" i="1"/>
  <c r="AJ247" i="1"/>
  <c r="AB247" i="1"/>
  <c r="AC247" i="1"/>
  <c r="A248" i="1"/>
  <c r="Q247" i="1"/>
  <c r="O247" i="1"/>
  <c r="X247" i="1"/>
  <c r="K247" i="1"/>
  <c r="U247" i="1"/>
  <c r="T247" i="1" s="1"/>
  <c r="X241" i="23"/>
  <c r="L241" i="23"/>
  <c r="K241" i="23"/>
  <c r="AB241" i="23"/>
  <c r="A242" i="23"/>
  <c r="AE51" i="7"/>
  <c r="AK241" i="23"/>
  <c r="AJ241" i="23"/>
  <c r="O241" i="23"/>
  <c r="AG51" i="7" s="1"/>
  <c r="AC241" i="23"/>
  <c r="I244" i="1"/>
  <c r="G244" i="1"/>
  <c r="BW244" i="6" s="1"/>
  <c r="AA244" i="1"/>
  <c r="Z244" i="1" s="1"/>
  <c r="Y244" i="1" s="1"/>
  <c r="AF39" i="7"/>
  <c r="A248" i="15" l="1"/>
  <c r="O247" i="15"/>
  <c r="AB247" i="15"/>
  <c r="L247" i="15"/>
  <c r="D247" i="15" s="1"/>
  <c r="E247" i="15" s="1"/>
  <c r="K247" i="15"/>
  <c r="AK247" i="15"/>
  <c r="X247" i="15"/>
  <c r="AC247" i="15"/>
  <c r="AJ247" i="15"/>
  <c r="X246" i="16"/>
  <c r="K246" i="16"/>
  <c r="AK246" i="16"/>
  <c r="AC246" i="16"/>
  <c r="A247" i="16"/>
  <c r="L246" i="16"/>
  <c r="D246" i="16" s="1"/>
  <c r="AB246" i="16"/>
  <c r="AJ246" i="16"/>
  <c r="O246" i="16"/>
  <c r="F246" i="1"/>
  <c r="I246" i="1" s="1"/>
  <c r="AF51" i="7"/>
  <c r="AJ248" i="1"/>
  <c r="Q248" i="1"/>
  <c r="AB248" i="1"/>
  <c r="O248" i="1"/>
  <c r="AK248" i="1"/>
  <c r="X248" i="1"/>
  <c r="A249" i="1"/>
  <c r="L248" i="1"/>
  <c r="K248" i="1"/>
  <c r="AC248" i="1"/>
  <c r="U248" i="1"/>
  <c r="T248" i="1" s="1"/>
  <c r="D247" i="1"/>
  <c r="E247" i="1" s="1"/>
  <c r="X243" i="22"/>
  <c r="A244" i="22"/>
  <c r="AB243" i="22"/>
  <c r="K243" i="22"/>
  <c r="L243" i="22"/>
  <c r="AK243" i="22"/>
  <c r="AJ243" i="22"/>
  <c r="O243" i="22"/>
  <c r="AC243" i="22"/>
  <c r="A242" i="24"/>
  <c r="K241" i="24"/>
  <c r="AB241" i="24"/>
  <c r="L241" i="24"/>
  <c r="AE63" i="7"/>
  <c r="X241" i="24"/>
  <c r="AJ241" i="24"/>
  <c r="AK241" i="24"/>
  <c r="O241" i="24"/>
  <c r="AG63" i="7" s="1"/>
  <c r="AC241" i="24"/>
  <c r="A247" i="17"/>
  <c r="X246" i="17"/>
  <c r="K246" i="17"/>
  <c r="L246" i="17"/>
  <c r="AB246" i="17"/>
  <c r="AJ246" i="17"/>
  <c r="O246" i="17"/>
  <c r="AK246" i="17"/>
  <c r="AC246" i="17"/>
  <c r="X240" i="25"/>
  <c r="K240" i="25"/>
  <c r="L240" i="25"/>
  <c r="A241" i="25"/>
  <c r="AB240" i="25"/>
  <c r="AJ240" i="25"/>
  <c r="AK240" i="25"/>
  <c r="O240" i="25"/>
  <c r="AC240" i="25"/>
  <c r="K242" i="23"/>
  <c r="A243" i="23"/>
  <c r="AB242" i="23"/>
  <c r="X242" i="23"/>
  <c r="L242" i="23"/>
  <c r="AJ242" i="23"/>
  <c r="AK242" i="23"/>
  <c r="O242" i="23"/>
  <c r="AC242" i="23"/>
  <c r="S247" i="1"/>
  <c r="R247" i="1" s="1"/>
  <c r="P247" i="1" s="1"/>
  <c r="V247" i="1" s="1"/>
  <c r="AA245" i="1"/>
  <c r="Z245" i="1" s="1"/>
  <c r="Y245" i="1" s="1"/>
  <c r="G245" i="1"/>
  <c r="BW245" i="6" s="1"/>
  <c r="I245" i="1"/>
  <c r="A245" i="20"/>
  <c r="AB244" i="20"/>
  <c r="X244" i="20"/>
  <c r="L244" i="20"/>
  <c r="K244" i="20"/>
  <c r="AK244" i="20"/>
  <c r="AJ244" i="20"/>
  <c r="O244" i="20"/>
  <c r="AC244" i="20"/>
  <c r="AB245" i="18"/>
  <c r="A246" i="18"/>
  <c r="AJ245" i="18"/>
  <c r="L245" i="18"/>
  <c r="K245" i="18"/>
  <c r="X245" i="18"/>
  <c r="O245" i="18"/>
  <c r="AK245" i="18"/>
  <c r="AC245" i="18"/>
  <c r="G246" i="1" l="1"/>
  <c r="BW246" i="6" s="1"/>
  <c r="E246" i="16"/>
  <c r="K248" i="15"/>
  <c r="AJ248" i="15"/>
  <c r="X248" i="15"/>
  <c r="AK248" i="15"/>
  <c r="AB248" i="15"/>
  <c r="A249" i="15"/>
  <c r="O248" i="15"/>
  <c r="L248" i="15"/>
  <c r="D248" i="15" s="1"/>
  <c r="AC248" i="15"/>
  <c r="AA246" i="1"/>
  <c r="Z246" i="1" s="1"/>
  <c r="Y246" i="1" s="1"/>
  <c r="K247" i="16"/>
  <c r="AB247" i="16"/>
  <c r="AJ247" i="16"/>
  <c r="AC247" i="16"/>
  <c r="X247" i="16"/>
  <c r="L247" i="16"/>
  <c r="D247" i="16" s="1"/>
  <c r="A248" i="16"/>
  <c r="AK247" i="16"/>
  <c r="O247" i="16"/>
  <c r="F247" i="1"/>
  <c r="K246" i="18"/>
  <c r="AB246" i="18"/>
  <c r="X246" i="18"/>
  <c r="A247" i="18"/>
  <c r="L246" i="18"/>
  <c r="AJ246" i="18"/>
  <c r="O246" i="18"/>
  <c r="AK246" i="18"/>
  <c r="AC246" i="18"/>
  <c r="K245" i="20"/>
  <c r="X245" i="20"/>
  <c r="AB245" i="20"/>
  <c r="L245" i="20"/>
  <c r="A246" i="20"/>
  <c r="AJ245" i="20"/>
  <c r="AK245" i="20"/>
  <c r="O245" i="20"/>
  <c r="AC245" i="20"/>
  <c r="AE75" i="7"/>
  <c r="L241" i="25"/>
  <c r="AB241" i="25"/>
  <c r="K241" i="25"/>
  <c r="A242" i="25"/>
  <c r="X241" i="25"/>
  <c r="AJ241" i="25"/>
  <c r="AK241" i="25"/>
  <c r="O241" i="25"/>
  <c r="AG75" i="7" s="1"/>
  <c r="AC241" i="25"/>
  <c r="X247" i="17"/>
  <c r="L247" i="17"/>
  <c r="AB247" i="17"/>
  <c r="K247" i="17"/>
  <c r="A248" i="17"/>
  <c r="AJ247" i="17"/>
  <c r="AK247" i="17"/>
  <c r="O247" i="17"/>
  <c r="AC247" i="17"/>
  <c r="AB242" i="24"/>
  <c r="X242" i="24"/>
  <c r="A243" i="24"/>
  <c r="K242" i="24"/>
  <c r="L242" i="24"/>
  <c r="AK242" i="24"/>
  <c r="AJ242" i="24"/>
  <c r="O242" i="24"/>
  <c r="AC242" i="24"/>
  <c r="AB244" i="22"/>
  <c r="X244" i="22"/>
  <c r="L244" i="22"/>
  <c r="A245" i="22"/>
  <c r="K244" i="22"/>
  <c r="AK244" i="22"/>
  <c r="AJ244" i="22"/>
  <c r="O244" i="22"/>
  <c r="AC244" i="22"/>
  <c r="S248" i="1"/>
  <c r="R248" i="1" s="1"/>
  <c r="P248" i="1" s="1"/>
  <c r="V248" i="1" s="1"/>
  <c r="L249" i="1"/>
  <c r="AK249" i="1"/>
  <c r="A250" i="1"/>
  <c r="O249" i="1"/>
  <c r="AJ249" i="1"/>
  <c r="Q249" i="1"/>
  <c r="X249" i="1"/>
  <c r="AC249" i="1"/>
  <c r="K249" i="1"/>
  <c r="AB249" i="1"/>
  <c r="U249" i="1"/>
  <c r="T249" i="1" s="1"/>
  <c r="S249" i="1" s="1"/>
  <c r="R249" i="1" s="1"/>
  <c r="K243" i="23"/>
  <c r="X243" i="23"/>
  <c r="L243" i="23"/>
  <c r="A244" i="23"/>
  <c r="AB243" i="23"/>
  <c r="AJ243" i="23"/>
  <c r="AK243" i="23"/>
  <c r="O243" i="23"/>
  <c r="AC243" i="23"/>
  <c r="AF63" i="7"/>
  <c r="D248" i="1"/>
  <c r="E248" i="1" s="1"/>
  <c r="E248" i="15" l="1"/>
  <c r="K249" i="15"/>
  <c r="O249" i="15"/>
  <c r="L249" i="15"/>
  <c r="D249" i="15" s="1"/>
  <c r="AJ249" i="15"/>
  <c r="A250" i="15"/>
  <c r="AK249" i="15"/>
  <c r="AB249" i="15"/>
  <c r="X249" i="15"/>
  <c r="AC249" i="15"/>
  <c r="E247" i="16"/>
  <c r="P249" i="1"/>
  <c r="V249" i="1" s="1"/>
  <c r="F248" i="1"/>
  <c r="AA248" i="1" s="1"/>
  <c r="Z248" i="1" s="1"/>
  <c r="Y248" i="1" s="1"/>
  <c r="A249" i="16"/>
  <c r="AB248" i="16"/>
  <c r="AJ248" i="16"/>
  <c r="AC248" i="16"/>
  <c r="L248" i="16"/>
  <c r="D248" i="16" s="1"/>
  <c r="X248" i="16"/>
  <c r="K248" i="16"/>
  <c r="AK248" i="16"/>
  <c r="O248" i="16"/>
  <c r="G248" i="1"/>
  <c r="BW248" i="6" s="1"/>
  <c r="AB244" i="23"/>
  <c r="K244" i="23"/>
  <c r="A245" i="23"/>
  <c r="L244" i="23"/>
  <c r="X244" i="23"/>
  <c r="AJ244" i="23"/>
  <c r="AK244" i="23"/>
  <c r="O244" i="23"/>
  <c r="AC244" i="23"/>
  <c r="AB250" i="1"/>
  <c r="L250" i="1"/>
  <c r="A251" i="1"/>
  <c r="AJ250" i="1"/>
  <c r="Q250" i="1"/>
  <c r="X250" i="1"/>
  <c r="AC250" i="1"/>
  <c r="AK250" i="1"/>
  <c r="O250" i="1"/>
  <c r="K250" i="1"/>
  <c r="U250" i="1"/>
  <c r="T250" i="1" s="1"/>
  <c r="D249" i="1"/>
  <c r="E249" i="1" s="1"/>
  <c r="K245" i="22"/>
  <c r="A246" i="22"/>
  <c r="AB245" i="22"/>
  <c r="X245" i="22"/>
  <c r="L245" i="22"/>
  <c r="AJ245" i="22"/>
  <c r="AK245" i="22"/>
  <c r="O245" i="22"/>
  <c r="AC245" i="22"/>
  <c r="X248" i="17"/>
  <c r="K248" i="17"/>
  <c r="L248" i="17"/>
  <c r="AB248" i="17"/>
  <c r="A249" i="17"/>
  <c r="AJ248" i="17"/>
  <c r="O248" i="17"/>
  <c r="AK248" i="17"/>
  <c r="AC248" i="17"/>
  <c r="K242" i="25"/>
  <c r="L242" i="25"/>
  <c r="AB242" i="25"/>
  <c r="A243" i="25"/>
  <c r="X242" i="25"/>
  <c r="AJ242" i="25"/>
  <c r="AK242" i="25"/>
  <c r="O242" i="25"/>
  <c r="AC242" i="25"/>
  <c r="AB243" i="24"/>
  <c r="A244" i="24"/>
  <c r="L243" i="24"/>
  <c r="X243" i="24"/>
  <c r="K243" i="24"/>
  <c r="AJ243" i="24"/>
  <c r="AK243" i="24"/>
  <c r="O243" i="24"/>
  <c r="AC243" i="24"/>
  <c r="AF75" i="7"/>
  <c r="AB246" i="20"/>
  <c r="L246" i="20"/>
  <c r="X246" i="20"/>
  <c r="K246" i="20"/>
  <c r="A247" i="20"/>
  <c r="AJ246" i="20"/>
  <c r="AK246" i="20"/>
  <c r="O246" i="20"/>
  <c r="AC246" i="20"/>
  <c r="AB247" i="18"/>
  <c r="K247" i="18"/>
  <c r="L247" i="18"/>
  <c r="X247" i="18"/>
  <c r="AJ247" i="18"/>
  <c r="A248" i="18"/>
  <c r="O247" i="18"/>
  <c r="AK247" i="18"/>
  <c r="AC247" i="18"/>
  <c r="AA247" i="1"/>
  <c r="Z247" i="1" s="1"/>
  <c r="Y247" i="1" s="1"/>
  <c r="I247" i="1"/>
  <c r="G247" i="1"/>
  <c r="BW247" i="6" s="1"/>
  <c r="I248" i="1" l="1"/>
  <c r="E249" i="15"/>
  <c r="X250" i="15"/>
  <c r="K250" i="15"/>
  <c r="AC250" i="15"/>
  <c r="A251" i="15"/>
  <c r="O250" i="15"/>
  <c r="AB250" i="15"/>
  <c r="AJ250" i="15"/>
  <c r="L250" i="15"/>
  <c r="D250" i="15" s="1"/>
  <c r="AK250" i="15"/>
  <c r="F249" i="1"/>
  <c r="I249" i="1" s="1"/>
  <c r="E248" i="16"/>
  <c r="L249" i="16"/>
  <c r="D249" i="16" s="1"/>
  <c r="X249" i="16"/>
  <c r="AJ249" i="16"/>
  <c r="AC249" i="16"/>
  <c r="AB249" i="16"/>
  <c r="A250" i="16"/>
  <c r="K249" i="16"/>
  <c r="AK249" i="16"/>
  <c r="O249" i="16"/>
  <c r="D250" i="1"/>
  <c r="E250" i="1" s="1"/>
  <c r="A249" i="18"/>
  <c r="L248" i="18"/>
  <c r="K248" i="18"/>
  <c r="AB248" i="18"/>
  <c r="X248" i="18"/>
  <c r="AJ248" i="18"/>
  <c r="O248" i="18"/>
  <c r="AK248" i="18"/>
  <c r="AC248" i="18"/>
  <c r="AB247" i="20"/>
  <c r="X247" i="20"/>
  <c r="L247" i="20"/>
  <c r="A248" i="20"/>
  <c r="K247" i="20"/>
  <c r="AK247" i="20"/>
  <c r="AJ247" i="20"/>
  <c r="O247" i="20"/>
  <c r="AC247" i="20"/>
  <c r="K244" i="24"/>
  <c r="A245" i="24"/>
  <c r="AB244" i="24"/>
  <c r="L244" i="24"/>
  <c r="X244" i="24"/>
  <c r="AJ244" i="24"/>
  <c r="AK244" i="24"/>
  <c r="O244" i="24"/>
  <c r="AC244" i="24"/>
  <c r="K243" i="25"/>
  <c r="A244" i="25"/>
  <c r="X243" i="25"/>
  <c r="L243" i="25"/>
  <c r="AB243" i="25"/>
  <c r="AJ243" i="25"/>
  <c r="O243" i="25"/>
  <c r="AK243" i="25"/>
  <c r="AC243" i="25"/>
  <c r="AB249" i="17"/>
  <c r="X249" i="17"/>
  <c r="K249" i="17"/>
  <c r="A250" i="17"/>
  <c r="L249" i="17"/>
  <c r="O249" i="17"/>
  <c r="AK249" i="17"/>
  <c r="AJ249" i="17"/>
  <c r="AC249" i="17"/>
  <c r="AB246" i="22"/>
  <c r="A247" i="22"/>
  <c r="L246" i="22"/>
  <c r="X246" i="22"/>
  <c r="K246" i="22"/>
  <c r="AJ246" i="22"/>
  <c r="AK246" i="22"/>
  <c r="O246" i="22"/>
  <c r="AC246" i="22"/>
  <c r="S250" i="1"/>
  <c r="R250" i="1" s="1"/>
  <c r="P250" i="1" s="1"/>
  <c r="V250" i="1" s="1"/>
  <c r="X251" i="1"/>
  <c r="Q251" i="1"/>
  <c r="K251" i="1"/>
  <c r="A252" i="1"/>
  <c r="O251" i="1"/>
  <c r="L251" i="1"/>
  <c r="AK251" i="1"/>
  <c r="AC251" i="1"/>
  <c r="AJ251" i="1"/>
  <c r="AB251" i="1"/>
  <c r="U251" i="1"/>
  <c r="T251" i="1" s="1"/>
  <c r="A246" i="23"/>
  <c r="X245" i="23"/>
  <c r="L245" i="23"/>
  <c r="AB245" i="23"/>
  <c r="K245" i="23"/>
  <c r="AK245" i="23"/>
  <c r="AJ245" i="23"/>
  <c r="O245" i="23"/>
  <c r="AC245" i="23"/>
  <c r="F250" i="1" l="1"/>
  <c r="I250" i="1" s="1"/>
  <c r="G249" i="1"/>
  <c r="BW249" i="6" s="1"/>
  <c r="AA249" i="1"/>
  <c r="Z249" i="1" s="1"/>
  <c r="Y249" i="1" s="1"/>
  <c r="E250" i="15"/>
  <c r="A252" i="15"/>
  <c r="AK251" i="15"/>
  <c r="L251" i="15"/>
  <c r="D251" i="15" s="1"/>
  <c r="AJ251" i="15"/>
  <c r="X251" i="15"/>
  <c r="AB251" i="15"/>
  <c r="AC251" i="15"/>
  <c r="K251" i="15"/>
  <c r="O251" i="15"/>
  <c r="A251" i="16"/>
  <c r="AB250" i="16"/>
  <c r="K250" i="16"/>
  <c r="AJ250" i="16"/>
  <c r="O250" i="16"/>
  <c r="L250" i="16"/>
  <c r="D250" i="16" s="1"/>
  <c r="X250" i="16"/>
  <c r="AK250" i="16"/>
  <c r="AC250" i="16"/>
  <c r="E249" i="16"/>
  <c r="S251" i="1"/>
  <c r="R251" i="1" s="1"/>
  <c r="P251" i="1" s="1"/>
  <c r="V251" i="1" s="1"/>
  <c r="K250" i="17"/>
  <c r="AB250" i="17"/>
  <c r="L250" i="17"/>
  <c r="A251" i="17"/>
  <c r="X250" i="17"/>
  <c r="AJ250" i="17"/>
  <c r="O250" i="17"/>
  <c r="AK250" i="17"/>
  <c r="AC250" i="17"/>
  <c r="X244" i="25"/>
  <c r="K244" i="25"/>
  <c r="AB244" i="25"/>
  <c r="A245" i="25"/>
  <c r="L244" i="25"/>
  <c r="AK244" i="25"/>
  <c r="AJ244" i="25"/>
  <c r="O244" i="25"/>
  <c r="AC244" i="25"/>
  <c r="A246" i="24"/>
  <c r="AB245" i="24"/>
  <c r="K245" i="24"/>
  <c r="L245" i="24"/>
  <c r="X245" i="24"/>
  <c r="AJ245" i="24"/>
  <c r="AK245" i="24"/>
  <c r="O245" i="24"/>
  <c r="AC245" i="24"/>
  <c r="K248" i="20"/>
  <c r="AB248" i="20"/>
  <c r="L248" i="20"/>
  <c r="X248" i="20"/>
  <c r="A249" i="20"/>
  <c r="AJ248" i="20"/>
  <c r="AK248" i="20"/>
  <c r="O248" i="20"/>
  <c r="AC248" i="20"/>
  <c r="K249" i="18"/>
  <c r="AB249" i="18"/>
  <c r="L249" i="18"/>
  <c r="X249" i="18"/>
  <c r="AJ249" i="18"/>
  <c r="A250" i="18"/>
  <c r="AK249" i="18"/>
  <c r="O249" i="18"/>
  <c r="AC249" i="18"/>
  <c r="A247" i="23"/>
  <c r="X246" i="23"/>
  <c r="L246" i="23"/>
  <c r="K246" i="23"/>
  <c r="AB246" i="23"/>
  <c r="AJ246" i="23"/>
  <c r="AK246" i="23"/>
  <c r="O246" i="23"/>
  <c r="AC246" i="23"/>
  <c r="D251" i="1"/>
  <c r="E251" i="1" s="1"/>
  <c r="AC252" i="1"/>
  <c r="K252" i="1"/>
  <c r="AK252" i="1"/>
  <c r="O252" i="1"/>
  <c r="L252" i="1"/>
  <c r="A253" i="1"/>
  <c r="AJ252" i="1"/>
  <c r="X252" i="1"/>
  <c r="AB252" i="1"/>
  <c r="Q252" i="1"/>
  <c r="U252" i="1"/>
  <c r="AB247" i="22"/>
  <c r="L247" i="22"/>
  <c r="A248" i="22"/>
  <c r="X247" i="22"/>
  <c r="K247" i="22"/>
  <c r="AJ247" i="22"/>
  <c r="AK247" i="22"/>
  <c r="O247" i="22"/>
  <c r="AC247" i="22"/>
  <c r="AA250" i="1" l="1"/>
  <c r="Z250" i="1" s="1"/>
  <c r="Y250" i="1" s="1"/>
  <c r="G250" i="1"/>
  <c r="BW250" i="6" s="1"/>
  <c r="E251" i="15"/>
  <c r="A253" i="15"/>
  <c r="AK252" i="15"/>
  <c r="AB252" i="15"/>
  <c r="X252" i="15"/>
  <c r="O252" i="15"/>
  <c r="L252" i="15"/>
  <c r="D252" i="15" s="1"/>
  <c r="AC252" i="15"/>
  <c r="K252" i="15"/>
  <c r="AJ252" i="15"/>
  <c r="E250" i="16"/>
  <c r="F251" i="1"/>
  <c r="AA251" i="1" s="1"/>
  <c r="Z251" i="1" s="1"/>
  <c r="Y251" i="1" s="1"/>
  <c r="K251" i="16"/>
  <c r="AB251" i="16"/>
  <c r="X251" i="16"/>
  <c r="AK251" i="16"/>
  <c r="O251" i="16"/>
  <c r="L251" i="16"/>
  <c r="D251" i="16" s="1"/>
  <c r="A252" i="16"/>
  <c r="AJ251" i="16"/>
  <c r="AC251" i="16"/>
  <c r="I251" i="1"/>
  <c r="T252" i="1"/>
  <c r="D252" i="1"/>
  <c r="A251" i="18"/>
  <c r="AB250" i="18"/>
  <c r="AJ250" i="18"/>
  <c r="K250" i="18"/>
  <c r="L250" i="18"/>
  <c r="X250" i="18"/>
  <c r="O250" i="18"/>
  <c r="AK250" i="18"/>
  <c r="AC250" i="18"/>
  <c r="K249" i="20"/>
  <c r="A250" i="20"/>
  <c r="X249" i="20"/>
  <c r="L249" i="20"/>
  <c r="AB249" i="20"/>
  <c r="AJ249" i="20"/>
  <c r="AK249" i="20"/>
  <c r="O249" i="20"/>
  <c r="AC249" i="20"/>
  <c r="X251" i="17"/>
  <c r="AB251" i="17"/>
  <c r="A252" i="17"/>
  <c r="L251" i="17"/>
  <c r="K251" i="17"/>
  <c r="AJ251" i="17"/>
  <c r="O251" i="17"/>
  <c r="AK251" i="17"/>
  <c r="AC251" i="17"/>
  <c r="K248" i="22"/>
  <c r="AB248" i="22"/>
  <c r="A249" i="22"/>
  <c r="L248" i="22"/>
  <c r="X248" i="22"/>
  <c r="AK248" i="22"/>
  <c r="AJ248" i="22"/>
  <c r="O248" i="22"/>
  <c r="AC248" i="22"/>
  <c r="AB253" i="1"/>
  <c r="AC253" i="1"/>
  <c r="Q253" i="1"/>
  <c r="O253" i="1"/>
  <c r="K253" i="1"/>
  <c r="AK253" i="1"/>
  <c r="AJ253" i="1"/>
  <c r="A254" i="1"/>
  <c r="X253" i="1"/>
  <c r="L253" i="1"/>
  <c r="U253" i="1"/>
  <c r="T253" i="1" s="1"/>
  <c r="S253" i="1" s="1"/>
  <c r="R253" i="1" s="1"/>
  <c r="P253" i="1" s="1"/>
  <c r="E252" i="1"/>
  <c r="A248" i="23"/>
  <c r="K247" i="23"/>
  <c r="L247" i="23"/>
  <c r="AB247" i="23"/>
  <c r="X247" i="23"/>
  <c r="AJ247" i="23"/>
  <c r="AK247" i="23"/>
  <c r="O247" i="23"/>
  <c r="AC247" i="23"/>
  <c r="K246" i="24"/>
  <c r="AB246" i="24"/>
  <c r="A247" i="24"/>
  <c r="X246" i="24"/>
  <c r="L246" i="24"/>
  <c r="AK246" i="24"/>
  <c r="O246" i="24"/>
  <c r="AJ246" i="24"/>
  <c r="AC246" i="24"/>
  <c r="A246" i="25"/>
  <c r="X245" i="25"/>
  <c r="L245" i="25"/>
  <c r="AB245" i="25"/>
  <c r="K245" i="25"/>
  <c r="AJ245" i="25"/>
  <c r="AK245" i="25"/>
  <c r="O245" i="25"/>
  <c r="AC245" i="25"/>
  <c r="G251" i="1" l="1"/>
  <c r="BW251" i="6" s="1"/>
  <c r="E252" i="15"/>
  <c r="AB253" i="15"/>
  <c r="AK253" i="15"/>
  <c r="A254" i="15"/>
  <c r="AJ253" i="15"/>
  <c r="X253" i="15"/>
  <c r="K253" i="15"/>
  <c r="AC253" i="15"/>
  <c r="L253" i="15"/>
  <c r="D253" i="15" s="1"/>
  <c r="O253" i="15"/>
  <c r="E251" i="16"/>
  <c r="A253" i="16"/>
  <c r="AB252" i="16"/>
  <c r="K252" i="16"/>
  <c r="AK252" i="16"/>
  <c r="O252" i="16"/>
  <c r="X252" i="16"/>
  <c r="L252" i="16"/>
  <c r="D252" i="16" s="1"/>
  <c r="E252" i="16" s="1"/>
  <c r="AJ252" i="16"/>
  <c r="AC252" i="16"/>
  <c r="A248" i="24"/>
  <c r="X247" i="24"/>
  <c r="L247" i="24"/>
  <c r="K247" i="24"/>
  <c r="AB247" i="24"/>
  <c r="AJ247" i="24"/>
  <c r="AK247" i="24"/>
  <c r="O247" i="24"/>
  <c r="AC247" i="24"/>
  <c r="D253" i="1"/>
  <c r="E253" i="1" s="1"/>
  <c r="V253" i="1"/>
  <c r="AJ254" i="1"/>
  <c r="Q254" i="1"/>
  <c r="A255" i="1"/>
  <c r="AK254" i="1"/>
  <c r="AC254" i="1"/>
  <c r="L254" i="1"/>
  <c r="AB254" i="1"/>
  <c r="K254" i="1"/>
  <c r="X254" i="1"/>
  <c r="O254" i="1"/>
  <c r="U254" i="1"/>
  <c r="T254" i="1" s="1"/>
  <c r="S254" i="1" s="1"/>
  <c r="R254" i="1" s="1"/>
  <c r="A250" i="22"/>
  <c r="AB249" i="22"/>
  <c r="L249" i="22"/>
  <c r="X249" i="22"/>
  <c r="K249" i="22"/>
  <c r="AK249" i="22"/>
  <c r="AJ249" i="22"/>
  <c r="O249" i="22"/>
  <c r="AC249" i="22"/>
  <c r="K246" i="25"/>
  <c r="A247" i="25"/>
  <c r="AB246" i="25"/>
  <c r="L246" i="25"/>
  <c r="X246" i="25"/>
  <c r="AJ246" i="25"/>
  <c r="O246" i="25"/>
  <c r="AK246" i="25"/>
  <c r="AC246" i="25"/>
  <c r="A249" i="23"/>
  <c r="L248" i="23"/>
  <c r="X248" i="23"/>
  <c r="AB248" i="23"/>
  <c r="K248" i="23"/>
  <c r="AJ248" i="23"/>
  <c r="AK248" i="23"/>
  <c r="O248" i="23"/>
  <c r="AC248" i="23"/>
  <c r="K252" i="17"/>
  <c r="AB252" i="17"/>
  <c r="X252" i="17"/>
  <c r="L252" i="17"/>
  <c r="A253" i="17"/>
  <c r="AJ252" i="17"/>
  <c r="O252" i="17"/>
  <c r="AK252" i="17"/>
  <c r="AC252" i="17"/>
  <c r="K250" i="20"/>
  <c r="A251" i="20"/>
  <c r="X250" i="20"/>
  <c r="AB250" i="20"/>
  <c r="L250" i="20"/>
  <c r="AK250" i="20"/>
  <c r="AJ250" i="20"/>
  <c r="O250" i="20"/>
  <c r="AC250" i="20"/>
  <c r="AB251" i="18"/>
  <c r="K251" i="18"/>
  <c r="L251" i="18"/>
  <c r="A252" i="18"/>
  <c r="AJ251" i="18"/>
  <c r="X251" i="18"/>
  <c r="AK251" i="18"/>
  <c r="O251" i="18"/>
  <c r="AC251" i="18"/>
  <c r="S252" i="1"/>
  <c r="R252" i="1" s="1"/>
  <c r="P252" i="1" s="1"/>
  <c r="V252" i="1" s="1"/>
  <c r="F252" i="1" s="1"/>
  <c r="E253" i="15" l="1"/>
  <c r="F253" i="1"/>
  <c r="G253" i="1" s="1"/>
  <c r="BW253" i="6" s="1"/>
  <c r="AB254" i="15"/>
  <c r="AK254" i="15"/>
  <c r="X254" i="15"/>
  <c r="K254" i="15"/>
  <c r="AC254" i="15"/>
  <c r="L254" i="15"/>
  <c r="D254" i="15" s="1"/>
  <c r="O254" i="15"/>
  <c r="A255" i="15"/>
  <c r="AJ254" i="15"/>
  <c r="A254" i="16"/>
  <c r="X253" i="16"/>
  <c r="AJ253" i="16"/>
  <c r="AC253" i="16"/>
  <c r="L253" i="16"/>
  <c r="D253" i="16" s="1"/>
  <c r="AB253" i="16"/>
  <c r="K253" i="16"/>
  <c r="AK253" i="16"/>
  <c r="O253" i="16"/>
  <c r="AA252" i="1"/>
  <c r="Z252" i="1" s="1"/>
  <c r="Y252" i="1" s="1"/>
  <c r="I252" i="1"/>
  <c r="G252" i="1"/>
  <c r="BW252" i="6" s="1"/>
  <c r="X251" i="20"/>
  <c r="K251" i="20"/>
  <c r="L251" i="20"/>
  <c r="A252" i="20"/>
  <c r="AB251" i="20"/>
  <c r="AJ251" i="20"/>
  <c r="AK251" i="20"/>
  <c r="O251" i="20"/>
  <c r="AC251" i="20"/>
  <c r="X253" i="17"/>
  <c r="A254" i="17"/>
  <c r="K253" i="17"/>
  <c r="L253" i="17"/>
  <c r="AB253" i="17"/>
  <c r="AK253" i="17"/>
  <c r="AJ253" i="17"/>
  <c r="O253" i="17"/>
  <c r="AC253" i="17"/>
  <c r="A250" i="23"/>
  <c r="AB249" i="23"/>
  <c r="K249" i="23"/>
  <c r="X249" i="23"/>
  <c r="L249" i="23"/>
  <c r="AK249" i="23"/>
  <c r="AJ249" i="23"/>
  <c r="O249" i="23"/>
  <c r="AC249" i="23"/>
  <c r="AB247" i="25"/>
  <c r="A248" i="25"/>
  <c r="X247" i="25"/>
  <c r="L247" i="25"/>
  <c r="K247" i="25"/>
  <c r="AJ247" i="25"/>
  <c r="O247" i="25"/>
  <c r="AK247" i="25"/>
  <c r="AC247" i="25"/>
  <c r="D254" i="1"/>
  <c r="E254" i="1" s="1"/>
  <c r="K248" i="24"/>
  <c r="A249" i="24"/>
  <c r="X248" i="24"/>
  <c r="AB248" i="24"/>
  <c r="L248" i="24"/>
  <c r="AJ248" i="24"/>
  <c r="AK248" i="24"/>
  <c r="O248" i="24"/>
  <c r="AC248" i="24"/>
  <c r="AB252" i="18"/>
  <c r="L252" i="18"/>
  <c r="A253" i="18"/>
  <c r="K252" i="18"/>
  <c r="X252" i="18"/>
  <c r="AJ252" i="18"/>
  <c r="AK252" i="18"/>
  <c r="O252" i="18"/>
  <c r="AC252" i="18"/>
  <c r="A251" i="22"/>
  <c r="K250" i="22"/>
  <c r="L250" i="22"/>
  <c r="X250" i="22"/>
  <c r="AB250" i="22"/>
  <c r="AJ250" i="22"/>
  <c r="AK250" i="22"/>
  <c r="O250" i="22"/>
  <c r="AC250" i="22"/>
  <c r="P254" i="1"/>
  <c r="V254" i="1" s="1"/>
  <c r="X255" i="1"/>
  <c r="AC255" i="1"/>
  <c r="L255" i="1"/>
  <c r="A256" i="1"/>
  <c r="K255" i="1"/>
  <c r="AJ255" i="1"/>
  <c r="AK255" i="1"/>
  <c r="Q255" i="1"/>
  <c r="O255" i="1"/>
  <c r="AB255" i="1"/>
  <c r="U255" i="1"/>
  <c r="T255" i="1" s="1"/>
  <c r="S255" i="1" s="1"/>
  <c r="R255" i="1" s="1"/>
  <c r="I253" i="1" l="1"/>
  <c r="AA253" i="1"/>
  <c r="Z253" i="1" s="1"/>
  <c r="Y253" i="1" s="1"/>
  <c r="AB255" i="15"/>
  <c r="O255" i="15"/>
  <c r="A256" i="15"/>
  <c r="AK255" i="15"/>
  <c r="X255" i="15"/>
  <c r="AJ255" i="15"/>
  <c r="K255" i="15"/>
  <c r="L255" i="15"/>
  <c r="D255" i="15" s="1"/>
  <c r="AC255" i="15"/>
  <c r="E254" i="15"/>
  <c r="E253" i="16"/>
  <c r="K254" i="16"/>
  <c r="X254" i="16"/>
  <c r="L254" i="16"/>
  <c r="D254" i="16" s="1"/>
  <c r="AK254" i="16"/>
  <c r="O254" i="16"/>
  <c r="A255" i="16"/>
  <c r="AB254" i="16"/>
  <c r="AJ254" i="16"/>
  <c r="AC254" i="16"/>
  <c r="F254" i="1"/>
  <c r="G254" i="1" s="1"/>
  <c r="BW254" i="6" s="1"/>
  <c r="AJ256" i="1"/>
  <c r="A257" i="1"/>
  <c r="Q256" i="1"/>
  <c r="X256" i="1"/>
  <c r="AK256" i="1"/>
  <c r="AB256" i="1"/>
  <c r="AC256" i="1"/>
  <c r="O256" i="1"/>
  <c r="L256" i="1"/>
  <c r="K256" i="1"/>
  <c r="U256" i="1"/>
  <c r="T256" i="1" s="1"/>
  <c r="S256" i="1" s="1"/>
  <c r="R256" i="1" s="1"/>
  <c r="P256" i="1" s="1"/>
  <c r="AB253" i="18"/>
  <c r="AJ253" i="18"/>
  <c r="K253" i="18"/>
  <c r="A254" i="18"/>
  <c r="X253" i="18"/>
  <c r="L253" i="18"/>
  <c r="O253" i="18"/>
  <c r="AK253" i="18"/>
  <c r="AC253" i="18"/>
  <c r="X249" i="24"/>
  <c r="K249" i="24"/>
  <c r="L249" i="24"/>
  <c r="AB249" i="24"/>
  <c r="A250" i="24"/>
  <c r="AJ249" i="24"/>
  <c r="AK249" i="24"/>
  <c r="O249" i="24"/>
  <c r="AC249" i="24"/>
  <c r="K254" i="17"/>
  <c r="AB254" i="17"/>
  <c r="X254" i="17"/>
  <c r="A255" i="17"/>
  <c r="L254" i="17"/>
  <c r="AJ254" i="17"/>
  <c r="AK254" i="17"/>
  <c r="O254" i="17"/>
  <c r="AC254" i="17"/>
  <c r="K252" i="20"/>
  <c r="AB252" i="20"/>
  <c r="X252" i="20"/>
  <c r="L252" i="20"/>
  <c r="A253" i="20"/>
  <c r="AJ252" i="20"/>
  <c r="AK252" i="20"/>
  <c r="O252" i="20"/>
  <c r="AC252" i="20"/>
  <c r="P255" i="1"/>
  <c r="V255" i="1" s="1"/>
  <c r="D255" i="1"/>
  <c r="E255" i="1" s="1"/>
  <c r="K251" i="22"/>
  <c r="X251" i="22"/>
  <c r="A252" i="22"/>
  <c r="AB251" i="22"/>
  <c r="L251" i="22"/>
  <c r="AJ251" i="22"/>
  <c r="AK251" i="22"/>
  <c r="O251" i="22"/>
  <c r="AC251" i="22"/>
  <c r="A249" i="25"/>
  <c r="L248" i="25"/>
  <c r="X248" i="25"/>
  <c r="K248" i="25"/>
  <c r="AB248" i="25"/>
  <c r="AJ248" i="25"/>
  <c r="O248" i="25"/>
  <c r="AK248" i="25"/>
  <c r="AC248" i="25"/>
  <c r="AB250" i="23"/>
  <c r="X250" i="23"/>
  <c r="K250" i="23"/>
  <c r="L250" i="23"/>
  <c r="A251" i="23"/>
  <c r="AK250" i="23"/>
  <c r="AJ250" i="23"/>
  <c r="O250" i="23"/>
  <c r="AC250" i="23"/>
  <c r="I254" i="1" l="1"/>
  <c r="X256" i="15"/>
  <c r="K256" i="15"/>
  <c r="AC256" i="15"/>
  <c r="A257" i="15"/>
  <c r="O256" i="15"/>
  <c r="AB256" i="15"/>
  <c r="AJ256" i="15"/>
  <c r="L256" i="15"/>
  <c r="D256" i="15" s="1"/>
  <c r="AK256" i="15"/>
  <c r="E255" i="15"/>
  <c r="AA254" i="1"/>
  <c r="Z254" i="1" s="1"/>
  <c r="Y254" i="1" s="1"/>
  <c r="E254" i="16"/>
  <c r="F255" i="1"/>
  <c r="I255" i="1" s="1"/>
  <c r="K255" i="16"/>
  <c r="L255" i="16"/>
  <c r="D255" i="16" s="1"/>
  <c r="A256" i="16"/>
  <c r="AJ255" i="16"/>
  <c r="O255" i="16"/>
  <c r="AB255" i="16"/>
  <c r="X255" i="16"/>
  <c r="AK255" i="16"/>
  <c r="AC255" i="16"/>
  <c r="AA255" i="1"/>
  <c r="Z255" i="1" s="1"/>
  <c r="Y255" i="1" s="1"/>
  <c r="K249" i="25"/>
  <c r="A250" i="25"/>
  <c r="AB249" i="25"/>
  <c r="X249" i="25"/>
  <c r="L249" i="25"/>
  <c r="AJ249" i="25"/>
  <c r="AK249" i="25"/>
  <c r="O249" i="25"/>
  <c r="AC249" i="25"/>
  <c r="AB252" i="22"/>
  <c r="L252" i="22"/>
  <c r="X252" i="22"/>
  <c r="A253" i="22"/>
  <c r="K252" i="22"/>
  <c r="AJ252" i="22"/>
  <c r="AK252" i="22"/>
  <c r="O252" i="22"/>
  <c r="AC252" i="22"/>
  <c r="A256" i="17"/>
  <c r="K255" i="17"/>
  <c r="X255" i="17"/>
  <c r="L255" i="17"/>
  <c r="AB255" i="17"/>
  <c r="O255" i="17"/>
  <c r="AJ255" i="17"/>
  <c r="AK255" i="17"/>
  <c r="AC255" i="17"/>
  <c r="X250" i="24"/>
  <c r="A251" i="24"/>
  <c r="AB250" i="24"/>
  <c r="L250" i="24"/>
  <c r="K250" i="24"/>
  <c r="AJ250" i="24"/>
  <c r="AK250" i="24"/>
  <c r="O250" i="24"/>
  <c r="AC250" i="24"/>
  <c r="AB254" i="18"/>
  <c r="L254" i="18"/>
  <c r="A255" i="18"/>
  <c r="K254" i="18"/>
  <c r="X254" i="18"/>
  <c r="AJ254" i="18"/>
  <c r="AK254" i="18"/>
  <c r="O254" i="18"/>
  <c r="AC254" i="18"/>
  <c r="O257" i="1"/>
  <c r="A258" i="1"/>
  <c r="Q257" i="1"/>
  <c r="AJ257" i="1"/>
  <c r="K257" i="1"/>
  <c r="L257" i="1"/>
  <c r="X257" i="1"/>
  <c r="AC257" i="1"/>
  <c r="AK257" i="1"/>
  <c r="AB257" i="1"/>
  <c r="U257" i="1"/>
  <c r="T257" i="1" s="1"/>
  <c r="S257" i="1" s="1"/>
  <c r="R257" i="1" s="1"/>
  <c r="A252" i="23"/>
  <c r="AB251" i="23"/>
  <c r="X251" i="23"/>
  <c r="L251" i="23"/>
  <c r="K251" i="23"/>
  <c r="AJ251" i="23"/>
  <c r="AK251" i="23"/>
  <c r="O251" i="23"/>
  <c r="AC251" i="23"/>
  <c r="K253" i="20"/>
  <c r="X253" i="20"/>
  <c r="L253" i="20"/>
  <c r="A254" i="20"/>
  <c r="AB253" i="20"/>
  <c r="AJ253" i="20"/>
  <c r="AK253" i="20"/>
  <c r="O253" i="20"/>
  <c r="AC253" i="20"/>
  <c r="D256" i="1"/>
  <c r="E256" i="1" s="1"/>
  <c r="V256" i="1"/>
  <c r="P257" i="1" l="1"/>
  <c r="V257" i="1" s="1"/>
  <c r="I61" i="19" s="1"/>
  <c r="E256" i="15"/>
  <c r="AB257" i="15"/>
  <c r="AJ257" i="15"/>
  <c r="L257" i="15"/>
  <c r="D257" i="15" s="1"/>
  <c r="AK257" i="15"/>
  <c r="A258" i="15"/>
  <c r="K257" i="15"/>
  <c r="O257" i="15"/>
  <c r="E257" i="15" s="1"/>
  <c r="X257" i="15"/>
  <c r="AC257" i="15"/>
  <c r="F256" i="1"/>
  <c r="I256" i="1" s="1"/>
  <c r="G255" i="1"/>
  <c r="BW255" i="6" s="1"/>
  <c r="E255" i="16"/>
  <c r="AB256" i="16"/>
  <c r="X256" i="16"/>
  <c r="K256" i="16"/>
  <c r="AJ256" i="16"/>
  <c r="O256" i="16"/>
  <c r="L256" i="16"/>
  <c r="D256" i="16" s="1"/>
  <c r="A257" i="16"/>
  <c r="AK256" i="16"/>
  <c r="AC256" i="16"/>
  <c r="D257" i="1"/>
  <c r="E257" i="1" s="1"/>
  <c r="AC258" i="1"/>
  <c r="Q258" i="1"/>
  <c r="L258" i="1"/>
  <c r="AJ258" i="1"/>
  <c r="AB258" i="1"/>
  <c r="O258" i="1"/>
  <c r="A259" i="1"/>
  <c r="K258" i="1"/>
  <c r="X258" i="1"/>
  <c r="AK258" i="1"/>
  <c r="U258" i="1"/>
  <c r="X255" i="18"/>
  <c r="AJ255" i="18"/>
  <c r="K255" i="18"/>
  <c r="A256" i="18"/>
  <c r="AB255" i="18"/>
  <c r="L255" i="18"/>
  <c r="O255" i="18"/>
  <c r="AK255" i="18"/>
  <c r="AC255" i="18"/>
  <c r="AB251" i="24"/>
  <c r="K251" i="24"/>
  <c r="L251" i="24"/>
  <c r="A252" i="24"/>
  <c r="X251" i="24"/>
  <c r="AJ251" i="24"/>
  <c r="AK251" i="24"/>
  <c r="O251" i="24"/>
  <c r="AC251" i="24"/>
  <c r="K256" i="17"/>
  <c r="X256" i="17"/>
  <c r="A257" i="17"/>
  <c r="L256" i="17"/>
  <c r="AB256" i="17"/>
  <c r="AJ256" i="17"/>
  <c r="O256" i="17"/>
  <c r="AK256" i="17"/>
  <c r="AC256" i="17"/>
  <c r="X253" i="22"/>
  <c r="A254" i="22"/>
  <c r="AB253" i="22"/>
  <c r="K253" i="22"/>
  <c r="L253" i="22"/>
  <c r="AJ253" i="22"/>
  <c r="AK253" i="22"/>
  <c r="O253" i="22"/>
  <c r="AC253" i="22"/>
  <c r="AB254" i="20"/>
  <c r="L254" i="20"/>
  <c r="K254" i="20"/>
  <c r="A255" i="20"/>
  <c r="X254" i="20"/>
  <c r="AJ254" i="20"/>
  <c r="AK254" i="20"/>
  <c r="O254" i="20"/>
  <c r="AC254" i="20"/>
  <c r="A253" i="23"/>
  <c r="K252" i="23"/>
  <c r="X252" i="23"/>
  <c r="AB252" i="23"/>
  <c r="L252" i="23"/>
  <c r="AJ252" i="23"/>
  <c r="AK252" i="23"/>
  <c r="O252" i="23"/>
  <c r="AC252" i="23"/>
  <c r="K250" i="25"/>
  <c r="L250" i="25"/>
  <c r="A251" i="25"/>
  <c r="X250" i="25"/>
  <c r="AB250" i="25"/>
  <c r="AJ250" i="25"/>
  <c r="O250" i="25"/>
  <c r="AK250" i="25"/>
  <c r="AC250" i="25"/>
  <c r="F257" i="1" l="1"/>
  <c r="AA257" i="1" s="1"/>
  <c r="Z257" i="1" s="1"/>
  <c r="Y257" i="1" s="1"/>
  <c r="AA256" i="1"/>
  <c r="Z256" i="1" s="1"/>
  <c r="Y256" i="1" s="1"/>
  <c r="L258" i="15"/>
  <c r="D258" i="15" s="1"/>
  <c r="AK258" i="15"/>
  <c r="X258" i="15"/>
  <c r="K258" i="15"/>
  <c r="O258" i="15"/>
  <c r="E258" i="15" s="1"/>
  <c r="A259" i="15"/>
  <c r="AC258" i="15"/>
  <c r="AB258" i="15"/>
  <c r="AJ258" i="15"/>
  <c r="G256" i="1"/>
  <c r="BW256" i="6" s="1"/>
  <c r="E256" i="16"/>
  <c r="AB257" i="16"/>
  <c r="K257" i="16"/>
  <c r="AJ257" i="16"/>
  <c r="AC257" i="16"/>
  <c r="A258" i="16"/>
  <c r="L257" i="16"/>
  <c r="D257" i="16" s="1"/>
  <c r="X257" i="16"/>
  <c r="AK257" i="16"/>
  <c r="O257" i="16"/>
  <c r="I257" i="1"/>
  <c r="K254" i="22"/>
  <c r="X254" i="22"/>
  <c r="L254" i="22"/>
  <c r="A255" i="22"/>
  <c r="AB254" i="22"/>
  <c r="AJ254" i="22"/>
  <c r="AK254" i="22"/>
  <c r="O254" i="22"/>
  <c r="AC254" i="22"/>
  <c r="K257" i="17"/>
  <c r="L257" i="17"/>
  <c r="X257" i="17"/>
  <c r="AB257" i="17"/>
  <c r="A258" i="17"/>
  <c r="AJ257" i="17"/>
  <c r="O257" i="17"/>
  <c r="AK257" i="17"/>
  <c r="AC257" i="17"/>
  <c r="K252" i="24"/>
  <c r="L252" i="24"/>
  <c r="X252" i="24"/>
  <c r="A253" i="24"/>
  <c r="AB252" i="24"/>
  <c r="AK252" i="24"/>
  <c r="AJ252" i="24"/>
  <c r="O252" i="24"/>
  <c r="AC252" i="24"/>
  <c r="A252" i="25"/>
  <c r="K251" i="25"/>
  <c r="AB251" i="25"/>
  <c r="X251" i="25"/>
  <c r="L251" i="25"/>
  <c r="AJ251" i="25"/>
  <c r="O251" i="25"/>
  <c r="AK251" i="25"/>
  <c r="AC251" i="25"/>
  <c r="AB253" i="23"/>
  <c r="K253" i="23"/>
  <c r="L253" i="23"/>
  <c r="A254" i="23"/>
  <c r="X253" i="23"/>
  <c r="AJ253" i="23"/>
  <c r="AK253" i="23"/>
  <c r="O253" i="23"/>
  <c r="AC253" i="23"/>
  <c r="AB255" i="20"/>
  <c r="K255" i="20"/>
  <c r="X255" i="20"/>
  <c r="L255" i="20"/>
  <c r="A256" i="20"/>
  <c r="AK255" i="20"/>
  <c r="AJ255" i="20"/>
  <c r="O255" i="20"/>
  <c r="AC255" i="20"/>
  <c r="AB256" i="18"/>
  <c r="AJ256" i="18"/>
  <c r="X256" i="18"/>
  <c r="A257" i="18"/>
  <c r="K256" i="18"/>
  <c r="L256" i="18"/>
  <c r="AK256" i="18"/>
  <c r="O256" i="18"/>
  <c r="AC256" i="18"/>
  <c r="T258" i="1"/>
  <c r="L259" i="1"/>
  <c r="AC259" i="1"/>
  <c r="K259" i="1"/>
  <c r="O259" i="1"/>
  <c r="AB259" i="1"/>
  <c r="AJ259" i="1"/>
  <c r="A260" i="1"/>
  <c r="X259" i="1"/>
  <c r="AK259" i="1"/>
  <c r="Q259" i="1"/>
  <c r="U259" i="1"/>
  <c r="T259" i="1" s="1"/>
  <c r="D258" i="1"/>
  <c r="E258" i="1" s="1"/>
  <c r="G257" i="1" l="1"/>
  <c r="BW257" i="6" s="1"/>
  <c r="K259" i="15"/>
  <c r="O259" i="15"/>
  <c r="L259" i="15"/>
  <c r="D259" i="15" s="1"/>
  <c r="AK259" i="15"/>
  <c r="AB259" i="15"/>
  <c r="AJ259" i="15"/>
  <c r="X259" i="15"/>
  <c r="A260" i="15"/>
  <c r="AC259" i="15"/>
  <c r="E257" i="16"/>
  <c r="AB258" i="16"/>
  <c r="A259" i="16"/>
  <c r="AJ258" i="16"/>
  <c r="AC258" i="16"/>
  <c r="K258" i="16"/>
  <c r="X258" i="16"/>
  <c r="L258" i="16"/>
  <c r="D258" i="16" s="1"/>
  <c r="AK258" i="16"/>
  <c r="O258" i="16"/>
  <c r="AB256" i="20"/>
  <c r="L256" i="20"/>
  <c r="X256" i="20"/>
  <c r="K256" i="20"/>
  <c r="A257" i="20"/>
  <c r="AJ256" i="20"/>
  <c r="AK256" i="20"/>
  <c r="O256" i="20"/>
  <c r="AC256" i="20"/>
  <c r="X254" i="23"/>
  <c r="AB254" i="23"/>
  <c r="L254" i="23"/>
  <c r="A255" i="23"/>
  <c r="K254" i="23"/>
  <c r="AK254" i="23"/>
  <c r="AJ254" i="23"/>
  <c r="O254" i="23"/>
  <c r="AC254" i="23"/>
  <c r="K253" i="24"/>
  <c r="AB253" i="24"/>
  <c r="L253" i="24"/>
  <c r="X253" i="24"/>
  <c r="A254" i="24"/>
  <c r="AK253" i="24"/>
  <c r="AJ253" i="24"/>
  <c r="O253" i="24"/>
  <c r="AC253" i="24"/>
  <c r="X258" i="17"/>
  <c r="AB258" i="17"/>
  <c r="A259" i="17"/>
  <c r="L258" i="17"/>
  <c r="K258" i="17"/>
  <c r="AJ258" i="17"/>
  <c r="AK258" i="17"/>
  <c r="O258" i="17"/>
  <c r="AC258" i="17"/>
  <c r="S259" i="1"/>
  <c r="R259" i="1" s="1"/>
  <c r="P259" i="1" s="1"/>
  <c r="V259" i="1" s="1"/>
  <c r="X260" i="1"/>
  <c r="O260" i="1"/>
  <c r="Q260" i="1"/>
  <c r="AK260" i="1"/>
  <c r="K260" i="1"/>
  <c r="AC260" i="1"/>
  <c r="A261" i="1"/>
  <c r="AJ260" i="1"/>
  <c r="L260" i="1"/>
  <c r="AB260" i="1"/>
  <c r="U260" i="1"/>
  <c r="D259" i="1"/>
  <c r="E259" i="1" s="1"/>
  <c r="F259" i="1" s="1"/>
  <c r="S258" i="1"/>
  <c r="R258" i="1" s="1"/>
  <c r="P258" i="1" s="1"/>
  <c r="V258" i="1" s="1"/>
  <c r="A258" i="18"/>
  <c r="K257" i="18"/>
  <c r="AJ257" i="18"/>
  <c r="X257" i="18"/>
  <c r="L257" i="18"/>
  <c r="AB257" i="18"/>
  <c r="AK257" i="18"/>
  <c r="O257" i="18"/>
  <c r="AC257" i="18"/>
  <c r="AB252" i="25"/>
  <c r="X252" i="25"/>
  <c r="K252" i="25"/>
  <c r="L252" i="25"/>
  <c r="A253" i="25"/>
  <c r="AJ252" i="25"/>
  <c r="AK252" i="25"/>
  <c r="O252" i="25"/>
  <c r="AC252" i="25"/>
  <c r="K255" i="22"/>
  <c r="A256" i="22"/>
  <c r="AB255" i="22"/>
  <c r="X255" i="22"/>
  <c r="L255" i="22"/>
  <c r="AJ255" i="22"/>
  <c r="AK255" i="22"/>
  <c r="O255" i="22"/>
  <c r="AC255" i="22"/>
  <c r="E259" i="15" l="1"/>
  <c r="AB260" i="15"/>
  <c r="AK260" i="15"/>
  <c r="A261" i="15"/>
  <c r="AJ260" i="15"/>
  <c r="L260" i="15"/>
  <c r="D260" i="15" s="1"/>
  <c r="X260" i="15"/>
  <c r="AC260" i="15"/>
  <c r="K260" i="15"/>
  <c r="O260" i="15"/>
  <c r="A260" i="16"/>
  <c r="L259" i="16"/>
  <c r="D259" i="16" s="1"/>
  <c r="AB259" i="16"/>
  <c r="AK259" i="16"/>
  <c r="O259" i="16"/>
  <c r="X259" i="16"/>
  <c r="K259" i="16"/>
  <c r="AJ259" i="16"/>
  <c r="AC259" i="16"/>
  <c r="E258" i="16"/>
  <c r="G259" i="1"/>
  <c r="BW259" i="6" s="1"/>
  <c r="AA259" i="1"/>
  <c r="Z259" i="1" s="1"/>
  <c r="Y259" i="1" s="1"/>
  <c r="I259" i="1"/>
  <c r="A257" i="22"/>
  <c r="K256" i="22"/>
  <c r="L256" i="22"/>
  <c r="X256" i="22"/>
  <c r="AB256" i="22"/>
  <c r="AJ256" i="22"/>
  <c r="AK256" i="22"/>
  <c r="O256" i="22"/>
  <c r="AC256" i="22"/>
  <c r="X253" i="25"/>
  <c r="A254" i="25"/>
  <c r="K253" i="25"/>
  <c r="L253" i="25"/>
  <c r="AB253" i="25"/>
  <c r="AJ253" i="25"/>
  <c r="AK253" i="25"/>
  <c r="O253" i="25"/>
  <c r="AC253" i="25"/>
  <c r="F258" i="1"/>
  <c r="T260" i="1"/>
  <c r="D260" i="1"/>
  <c r="E260" i="1" s="1"/>
  <c r="AB261" i="1"/>
  <c r="A262" i="1"/>
  <c r="AC261" i="1"/>
  <c r="L261" i="1"/>
  <c r="AJ261" i="1"/>
  <c r="X261" i="1"/>
  <c r="O261" i="1"/>
  <c r="AK261" i="1"/>
  <c r="K261" i="1"/>
  <c r="Q261" i="1"/>
  <c r="U261" i="1"/>
  <c r="T261" i="1" s="1"/>
  <c r="K259" i="17"/>
  <c r="L259" i="17"/>
  <c r="X259" i="17"/>
  <c r="A260" i="17"/>
  <c r="AB259" i="17"/>
  <c r="O259" i="17"/>
  <c r="AJ259" i="17"/>
  <c r="AK259" i="17"/>
  <c r="AC259" i="17"/>
  <c r="A255" i="24"/>
  <c r="L254" i="24"/>
  <c r="K254" i="24"/>
  <c r="X254" i="24"/>
  <c r="AB254" i="24"/>
  <c r="AJ254" i="24"/>
  <c r="AK254" i="24"/>
  <c r="O254" i="24"/>
  <c r="AC254" i="24"/>
  <c r="AB255" i="23"/>
  <c r="K255" i="23"/>
  <c r="L255" i="23"/>
  <c r="X255" i="23"/>
  <c r="A256" i="23"/>
  <c r="AJ255" i="23"/>
  <c r="AK255" i="23"/>
  <c r="O255" i="23"/>
  <c r="AC255" i="23"/>
  <c r="K257" i="20"/>
  <c r="X257" i="20"/>
  <c r="AB257" i="20"/>
  <c r="L257" i="20"/>
  <c r="A258" i="20"/>
  <c r="AJ257" i="20"/>
  <c r="AK257" i="20"/>
  <c r="O257" i="20"/>
  <c r="AC257" i="20"/>
  <c r="K258" i="18"/>
  <c r="A259" i="18"/>
  <c r="AJ258" i="18"/>
  <c r="X258" i="18"/>
  <c r="L258" i="18"/>
  <c r="AB258" i="18"/>
  <c r="O258" i="18"/>
  <c r="AK258" i="18"/>
  <c r="AC258" i="18"/>
  <c r="E260" i="15" l="1"/>
  <c r="L261" i="15"/>
  <c r="D261" i="15" s="1"/>
  <c r="AC261" i="15"/>
  <c r="A262" i="15"/>
  <c r="AK261" i="15"/>
  <c r="AB261" i="15"/>
  <c r="AJ261" i="15"/>
  <c r="X261" i="15"/>
  <c r="K261" i="15"/>
  <c r="O261" i="15"/>
  <c r="E259" i="16"/>
  <c r="A261" i="16"/>
  <c r="K260" i="16"/>
  <c r="X260" i="16"/>
  <c r="AK260" i="16"/>
  <c r="O260" i="16"/>
  <c r="AB260" i="16"/>
  <c r="L260" i="16"/>
  <c r="D260" i="16" s="1"/>
  <c r="AJ260" i="16"/>
  <c r="AC260" i="16"/>
  <c r="X259" i="18"/>
  <c r="A260" i="18"/>
  <c r="AJ259" i="18"/>
  <c r="AB259" i="18"/>
  <c r="L259" i="18"/>
  <c r="K259" i="18"/>
  <c r="O259" i="18"/>
  <c r="AK259" i="18"/>
  <c r="AC259" i="18"/>
  <c r="AB258" i="20"/>
  <c r="L258" i="20"/>
  <c r="A259" i="20"/>
  <c r="X258" i="20"/>
  <c r="K258" i="20"/>
  <c r="AK258" i="20"/>
  <c r="AJ258" i="20"/>
  <c r="O258" i="20"/>
  <c r="AC258" i="20"/>
  <c r="S261" i="1"/>
  <c r="R261" i="1" s="1"/>
  <c r="P261" i="1" s="1"/>
  <c r="V261" i="1" s="1"/>
  <c r="S260" i="1"/>
  <c r="R260" i="1" s="1"/>
  <c r="P260" i="1" s="1"/>
  <c r="V260" i="1" s="1"/>
  <c r="I258" i="1"/>
  <c r="G258" i="1"/>
  <c r="BW258" i="6" s="1"/>
  <c r="AA258" i="1"/>
  <c r="Z258" i="1" s="1"/>
  <c r="Y258" i="1" s="1"/>
  <c r="X254" i="25"/>
  <c r="AB254" i="25"/>
  <c r="L254" i="25"/>
  <c r="K254" i="25"/>
  <c r="A255" i="25"/>
  <c r="AK254" i="25"/>
  <c r="AJ254" i="25"/>
  <c r="O254" i="25"/>
  <c r="AC254" i="25"/>
  <c r="K257" i="22"/>
  <c r="AB257" i="22"/>
  <c r="A258" i="22"/>
  <c r="L257" i="22"/>
  <c r="X257" i="22"/>
  <c r="AK257" i="22"/>
  <c r="AJ257" i="22"/>
  <c r="O257" i="22"/>
  <c r="AC257" i="22"/>
  <c r="AB256" i="23"/>
  <c r="A257" i="23"/>
  <c r="L256" i="23"/>
  <c r="K256" i="23"/>
  <c r="X256" i="23"/>
  <c r="AJ256" i="23"/>
  <c r="AK256" i="23"/>
  <c r="O256" i="23"/>
  <c r="AC256" i="23"/>
  <c r="K255" i="24"/>
  <c r="A256" i="24"/>
  <c r="X255" i="24"/>
  <c r="L255" i="24"/>
  <c r="AB255" i="24"/>
  <c r="AK255" i="24"/>
  <c r="AJ255" i="24"/>
  <c r="O255" i="24"/>
  <c r="AC255" i="24"/>
  <c r="K260" i="17"/>
  <c r="AB260" i="17"/>
  <c r="L260" i="17"/>
  <c r="A261" i="17"/>
  <c r="X260" i="17"/>
  <c r="AJ260" i="17"/>
  <c r="O260" i="17"/>
  <c r="AK260" i="17"/>
  <c r="AC260" i="17"/>
  <c r="D261" i="1"/>
  <c r="E261" i="1" s="1"/>
  <c r="AJ262" i="1"/>
  <c r="A263" i="1"/>
  <c r="L262" i="1"/>
  <c r="O262" i="1"/>
  <c r="AC262" i="1"/>
  <c r="X262" i="1"/>
  <c r="AK262" i="1"/>
  <c r="K262" i="1"/>
  <c r="AB262" i="1"/>
  <c r="Q262" i="1"/>
  <c r="U262" i="1"/>
  <c r="T262" i="1" s="1"/>
  <c r="E260" i="16" l="1"/>
  <c r="K262" i="15"/>
  <c r="AJ262" i="15"/>
  <c r="A263" i="15"/>
  <c r="X262" i="15"/>
  <c r="AC262" i="15"/>
  <c r="L262" i="15"/>
  <c r="D262" i="15" s="1"/>
  <c r="O262" i="15"/>
  <c r="AB262" i="15"/>
  <c r="AK262" i="15"/>
  <c r="E261" i="15"/>
  <c r="K261" i="16"/>
  <c r="AB261" i="16"/>
  <c r="AJ261" i="16"/>
  <c r="AC261" i="16"/>
  <c r="L261" i="16"/>
  <c r="D261" i="16" s="1"/>
  <c r="X261" i="16"/>
  <c r="AK261" i="16"/>
  <c r="A262" i="16"/>
  <c r="O261" i="16"/>
  <c r="A264" i="1"/>
  <c r="O263" i="1"/>
  <c r="AJ263" i="1"/>
  <c r="L263" i="1"/>
  <c r="AK263" i="1"/>
  <c r="X263" i="1"/>
  <c r="Q263" i="1"/>
  <c r="K263" i="1"/>
  <c r="AC263" i="1"/>
  <c r="AB263" i="1"/>
  <c r="U263" i="1"/>
  <c r="T263" i="1" s="1"/>
  <c r="S263" i="1" s="1"/>
  <c r="R263" i="1" s="1"/>
  <c r="P263" i="1" s="1"/>
  <c r="F261" i="1"/>
  <c r="AB257" i="23"/>
  <c r="K257" i="23"/>
  <c r="X257" i="23"/>
  <c r="A258" i="23"/>
  <c r="L257" i="23"/>
  <c r="AJ257" i="23"/>
  <c r="AK257" i="23"/>
  <c r="O257" i="23"/>
  <c r="AC257" i="23"/>
  <c r="AB255" i="25"/>
  <c r="X255" i="25"/>
  <c r="K255" i="25"/>
  <c r="A256" i="25"/>
  <c r="L255" i="25"/>
  <c r="AJ255" i="25"/>
  <c r="AK255" i="25"/>
  <c r="O255" i="25"/>
  <c r="AC255" i="25"/>
  <c r="F260" i="1"/>
  <c r="X259" i="20"/>
  <c r="K259" i="20"/>
  <c r="AB259" i="20"/>
  <c r="A260" i="20"/>
  <c r="L259" i="20"/>
  <c r="AJ259" i="20"/>
  <c r="AK259" i="20"/>
  <c r="O259" i="20"/>
  <c r="AC259" i="20"/>
  <c r="A261" i="18"/>
  <c r="X260" i="18"/>
  <c r="AJ260" i="18"/>
  <c r="L260" i="18"/>
  <c r="AB260" i="18"/>
  <c r="K260" i="18"/>
  <c r="O260" i="18"/>
  <c r="AK260" i="18"/>
  <c r="AC260" i="18"/>
  <c r="S262" i="1"/>
  <c r="R262" i="1" s="1"/>
  <c r="P262" i="1" s="1"/>
  <c r="V262" i="1" s="1"/>
  <c r="D262" i="1"/>
  <c r="E262" i="1" s="1"/>
  <c r="X261" i="17"/>
  <c r="A262" i="17"/>
  <c r="AB261" i="17"/>
  <c r="K261" i="17"/>
  <c r="L261" i="17"/>
  <c r="AJ261" i="17"/>
  <c r="O261" i="17"/>
  <c r="AK261" i="17"/>
  <c r="AC261" i="17"/>
  <c r="K256" i="24"/>
  <c r="AB256" i="24"/>
  <c r="L256" i="24"/>
  <c r="X256" i="24"/>
  <c r="A257" i="24"/>
  <c r="AJ256" i="24"/>
  <c r="AK256" i="24"/>
  <c r="O256" i="24"/>
  <c r="AC256" i="24"/>
  <c r="A259" i="22"/>
  <c r="K258" i="22"/>
  <c r="L258" i="22"/>
  <c r="X258" i="22"/>
  <c r="AB258" i="22"/>
  <c r="AJ258" i="22"/>
  <c r="AK258" i="22"/>
  <c r="O258" i="22"/>
  <c r="AC258" i="22"/>
  <c r="E262" i="15" l="1"/>
  <c r="AB263" i="15"/>
  <c r="AJ263" i="15"/>
  <c r="A264" i="15"/>
  <c r="X263" i="15"/>
  <c r="AC263" i="15"/>
  <c r="K263" i="15"/>
  <c r="O263" i="15"/>
  <c r="L263" i="15"/>
  <c r="D263" i="15" s="1"/>
  <c r="AK263" i="15"/>
  <c r="F262" i="1"/>
  <c r="AA262" i="1" s="1"/>
  <c r="Z262" i="1" s="1"/>
  <c r="Y262" i="1" s="1"/>
  <c r="E261" i="16"/>
  <c r="K262" i="16"/>
  <c r="AB262" i="16"/>
  <c r="X262" i="16"/>
  <c r="AJ262" i="16"/>
  <c r="O262" i="16"/>
  <c r="L262" i="16"/>
  <c r="D262" i="16" s="1"/>
  <c r="A263" i="16"/>
  <c r="AK262" i="16"/>
  <c r="AC262" i="16"/>
  <c r="X257" i="24"/>
  <c r="A258" i="24"/>
  <c r="L257" i="24"/>
  <c r="K257" i="24"/>
  <c r="AB257" i="24"/>
  <c r="AK257" i="24"/>
  <c r="AJ257" i="24"/>
  <c r="O257" i="24"/>
  <c r="AC257" i="24"/>
  <c r="AB262" i="17"/>
  <c r="L262" i="17"/>
  <c r="A263" i="17"/>
  <c r="X262" i="17"/>
  <c r="K262" i="17"/>
  <c r="AK262" i="17"/>
  <c r="AJ262" i="17"/>
  <c r="O262" i="17"/>
  <c r="AC262" i="17"/>
  <c r="X258" i="23"/>
  <c r="K258" i="23"/>
  <c r="L258" i="23"/>
  <c r="AB258" i="23"/>
  <c r="A259" i="23"/>
  <c r="AK258" i="23"/>
  <c r="AJ258" i="23"/>
  <c r="O258" i="23"/>
  <c r="AC258" i="23"/>
  <c r="A265" i="1"/>
  <c r="AJ264" i="1"/>
  <c r="AC264" i="1"/>
  <c r="O264" i="1"/>
  <c r="AK264" i="1"/>
  <c r="AB264" i="1"/>
  <c r="Q264" i="1"/>
  <c r="X264" i="1"/>
  <c r="K264" i="1"/>
  <c r="L264" i="1"/>
  <c r="U264" i="1"/>
  <c r="T264" i="1" s="1"/>
  <c r="X259" i="22"/>
  <c r="L259" i="22"/>
  <c r="K259" i="22"/>
  <c r="A260" i="22"/>
  <c r="AB259" i="22"/>
  <c r="AJ259" i="22"/>
  <c r="AK259" i="22"/>
  <c r="O259" i="22"/>
  <c r="AC259" i="22"/>
  <c r="X261" i="18"/>
  <c r="AB261" i="18"/>
  <c r="AJ261" i="18"/>
  <c r="A262" i="18"/>
  <c r="K261" i="18"/>
  <c r="L261" i="18"/>
  <c r="O261" i="18"/>
  <c r="AK261" i="18"/>
  <c r="AC261" i="18"/>
  <c r="AB260" i="20"/>
  <c r="L260" i="20"/>
  <c r="A261" i="20"/>
  <c r="K260" i="20"/>
  <c r="X260" i="20"/>
  <c r="AJ260" i="20"/>
  <c r="AK260" i="20"/>
  <c r="O260" i="20"/>
  <c r="AC260" i="20"/>
  <c r="G260" i="1"/>
  <c r="BW260" i="6" s="1"/>
  <c r="AA260" i="1"/>
  <c r="Z260" i="1" s="1"/>
  <c r="Y260" i="1" s="1"/>
  <c r="I260" i="1"/>
  <c r="X256" i="25"/>
  <c r="K256" i="25"/>
  <c r="AB256" i="25"/>
  <c r="A257" i="25"/>
  <c r="L256" i="25"/>
  <c r="AJ256" i="25"/>
  <c r="AK256" i="25"/>
  <c r="O256" i="25"/>
  <c r="AC256" i="25"/>
  <c r="I261" i="1"/>
  <c r="G261" i="1"/>
  <c r="BW261" i="6" s="1"/>
  <c r="AA261" i="1"/>
  <c r="Z261" i="1" s="1"/>
  <c r="Y261" i="1" s="1"/>
  <c r="D263" i="1"/>
  <c r="E263" i="1" s="1"/>
  <c r="V263" i="1"/>
  <c r="I262" i="1" l="1"/>
  <c r="X264" i="15"/>
  <c r="AK264" i="15"/>
  <c r="L264" i="15"/>
  <c r="D264" i="15" s="1"/>
  <c r="AB264" i="15"/>
  <c r="AC264" i="15"/>
  <c r="K264" i="15"/>
  <c r="O264" i="15"/>
  <c r="A265" i="15"/>
  <c r="AJ264" i="15"/>
  <c r="G262" i="1"/>
  <c r="BW262" i="6" s="1"/>
  <c r="E263" i="15"/>
  <c r="E262" i="16"/>
  <c r="X263" i="16"/>
  <c r="K263" i="16"/>
  <c r="AJ263" i="16"/>
  <c r="AC263" i="16"/>
  <c r="A264" i="16"/>
  <c r="L263" i="16"/>
  <c r="D263" i="16" s="1"/>
  <c r="AB263" i="16"/>
  <c r="AK263" i="16"/>
  <c r="O263" i="16"/>
  <c r="X257" i="25"/>
  <c r="AB257" i="25"/>
  <c r="A258" i="25"/>
  <c r="L257" i="25"/>
  <c r="K257" i="25"/>
  <c r="AJ257" i="25"/>
  <c r="O257" i="25"/>
  <c r="AK257" i="25"/>
  <c r="AC257" i="25"/>
  <c r="L260" i="22"/>
  <c r="K260" i="22"/>
  <c r="A261" i="22"/>
  <c r="X260" i="22"/>
  <c r="AB260" i="22"/>
  <c r="AJ260" i="22"/>
  <c r="AK260" i="22"/>
  <c r="O260" i="22"/>
  <c r="AC260" i="22"/>
  <c r="D264" i="1"/>
  <c r="E264" i="1" s="1"/>
  <c r="AB263" i="17"/>
  <c r="L263" i="17"/>
  <c r="X263" i="17"/>
  <c r="A264" i="17"/>
  <c r="K263" i="17"/>
  <c r="AJ263" i="17"/>
  <c r="O263" i="17"/>
  <c r="AK263" i="17"/>
  <c r="AC263" i="17"/>
  <c r="F263" i="1"/>
  <c r="X261" i="20"/>
  <c r="K261" i="20"/>
  <c r="AB261" i="20"/>
  <c r="A262" i="20"/>
  <c r="L261" i="20"/>
  <c r="AJ261" i="20"/>
  <c r="AK261" i="20"/>
  <c r="O261" i="20"/>
  <c r="AC261" i="20"/>
  <c r="X262" i="18"/>
  <c r="AB262" i="18"/>
  <c r="AJ262" i="18"/>
  <c r="L262" i="18"/>
  <c r="A263" i="18"/>
  <c r="K262" i="18"/>
  <c r="O262" i="18"/>
  <c r="AK262" i="18"/>
  <c r="AC262" i="18"/>
  <c r="S264" i="1"/>
  <c r="R264" i="1" s="1"/>
  <c r="P264" i="1" s="1"/>
  <c r="V264" i="1" s="1"/>
  <c r="AB265" i="1"/>
  <c r="AC265" i="1"/>
  <c r="O265" i="1"/>
  <c r="K265" i="1"/>
  <c r="Q265" i="1"/>
  <c r="AJ265" i="1"/>
  <c r="A266" i="1"/>
  <c r="L265" i="1"/>
  <c r="X265" i="1"/>
  <c r="AK265" i="1"/>
  <c r="U265" i="1"/>
  <c r="T265" i="1" s="1"/>
  <c r="K259" i="23"/>
  <c r="L259" i="23"/>
  <c r="A260" i="23"/>
  <c r="AB259" i="23"/>
  <c r="X259" i="23"/>
  <c r="AJ259" i="23"/>
  <c r="AK259" i="23"/>
  <c r="O259" i="23"/>
  <c r="AC259" i="23"/>
  <c r="A259" i="24"/>
  <c r="K258" i="24"/>
  <c r="X258" i="24"/>
  <c r="L258" i="24"/>
  <c r="AB258" i="24"/>
  <c r="AJ258" i="24"/>
  <c r="AK258" i="24"/>
  <c r="O258" i="24"/>
  <c r="AC258" i="24"/>
  <c r="K265" i="15" l="1"/>
  <c r="AK265" i="15"/>
  <c r="X265" i="15"/>
  <c r="AJ265" i="15"/>
  <c r="L265" i="15"/>
  <c r="D265" i="15" s="1"/>
  <c r="AB265" i="15"/>
  <c r="AC265" i="15"/>
  <c r="A266" i="15"/>
  <c r="O265" i="15"/>
  <c r="E265" i="15" s="1"/>
  <c r="E264" i="15"/>
  <c r="E263" i="16"/>
  <c r="L264" i="16"/>
  <c r="D264" i="16" s="1"/>
  <c r="X264" i="16"/>
  <c r="K264" i="16"/>
  <c r="AK264" i="16"/>
  <c r="O264" i="16"/>
  <c r="A265" i="16"/>
  <c r="AB264" i="16"/>
  <c r="AJ264" i="16"/>
  <c r="AC264" i="16"/>
  <c r="AB260" i="23"/>
  <c r="K260" i="23"/>
  <c r="L260" i="23"/>
  <c r="X260" i="23"/>
  <c r="A261" i="23"/>
  <c r="AJ260" i="23"/>
  <c r="AK260" i="23"/>
  <c r="O260" i="23"/>
  <c r="AC260" i="23"/>
  <c r="D265" i="1"/>
  <c r="E265" i="1" s="1"/>
  <c r="X263" i="18"/>
  <c r="AJ263" i="18"/>
  <c r="L263" i="18"/>
  <c r="A264" i="18"/>
  <c r="AB263" i="18"/>
  <c r="K263" i="18"/>
  <c r="AK263" i="18"/>
  <c r="O263" i="18"/>
  <c r="AC263" i="18"/>
  <c r="X262" i="20"/>
  <c r="L262" i="20"/>
  <c r="K262" i="20"/>
  <c r="A263" i="20"/>
  <c r="AB262" i="20"/>
  <c r="AJ262" i="20"/>
  <c r="AK262" i="20"/>
  <c r="O262" i="20"/>
  <c r="AC262" i="20"/>
  <c r="AA263" i="1"/>
  <c r="Z263" i="1" s="1"/>
  <c r="Y263" i="1" s="1"/>
  <c r="I263" i="1"/>
  <c r="G263" i="1"/>
  <c r="BW263" i="6" s="1"/>
  <c r="F264" i="1"/>
  <c r="X261" i="22"/>
  <c r="L261" i="22"/>
  <c r="K261" i="22"/>
  <c r="AB261" i="22"/>
  <c r="A262" i="22"/>
  <c r="AJ261" i="22"/>
  <c r="AK261" i="22"/>
  <c r="O261" i="22"/>
  <c r="AC261" i="22"/>
  <c r="X259" i="24"/>
  <c r="AB259" i="24"/>
  <c r="A260" i="24"/>
  <c r="K259" i="24"/>
  <c r="L259" i="24"/>
  <c r="AK259" i="24"/>
  <c r="AJ259" i="24"/>
  <c r="O259" i="24"/>
  <c r="AC259" i="24"/>
  <c r="S265" i="1"/>
  <c r="R265" i="1" s="1"/>
  <c r="P265" i="1" s="1"/>
  <c r="V265" i="1" s="1"/>
  <c r="AK266" i="1"/>
  <c r="Q266" i="1"/>
  <c r="O266" i="1"/>
  <c r="X266" i="1"/>
  <c r="AC266" i="1"/>
  <c r="AJ266" i="1"/>
  <c r="L266" i="1"/>
  <c r="AB266" i="1"/>
  <c r="A267" i="1"/>
  <c r="K266" i="1"/>
  <c r="U266" i="1"/>
  <c r="T266" i="1" s="1"/>
  <c r="A265" i="17"/>
  <c r="X264" i="17"/>
  <c r="L264" i="17"/>
  <c r="AB264" i="17"/>
  <c r="K264" i="17"/>
  <c r="AJ264" i="17"/>
  <c r="O264" i="17"/>
  <c r="AK264" i="17"/>
  <c r="AC264" i="17"/>
  <c r="A259" i="25"/>
  <c r="L258" i="25"/>
  <c r="X258" i="25"/>
  <c r="K258" i="25"/>
  <c r="AB258" i="25"/>
  <c r="AJ258" i="25"/>
  <c r="O258" i="25"/>
  <c r="AK258" i="25"/>
  <c r="AC258" i="25"/>
  <c r="A267" i="15" l="1"/>
  <c r="K266" i="15"/>
  <c r="AC266" i="15"/>
  <c r="AB266" i="15"/>
  <c r="O266" i="15"/>
  <c r="L266" i="15"/>
  <c r="D266" i="15" s="1"/>
  <c r="AJ266" i="15"/>
  <c r="X266" i="15"/>
  <c r="AK266" i="15"/>
  <c r="E264" i="16"/>
  <c r="X265" i="16"/>
  <c r="K265" i="16"/>
  <c r="AJ265" i="16"/>
  <c r="AC265" i="16"/>
  <c r="AB265" i="16"/>
  <c r="L265" i="16"/>
  <c r="D265" i="16" s="1"/>
  <c r="A266" i="16"/>
  <c r="AK265" i="16"/>
  <c r="O265" i="16"/>
  <c r="F265" i="1"/>
  <c r="K259" i="25"/>
  <c r="A260" i="25"/>
  <c r="AB259" i="25"/>
  <c r="X259" i="25"/>
  <c r="L259" i="25"/>
  <c r="AJ259" i="25"/>
  <c r="AK259" i="25"/>
  <c r="O259" i="25"/>
  <c r="AC259" i="25"/>
  <c r="S266" i="1"/>
  <c r="R266" i="1" s="1"/>
  <c r="P266" i="1" s="1"/>
  <c r="V266" i="1" s="1"/>
  <c r="K267" i="1"/>
  <c r="AJ267" i="1"/>
  <c r="AB267" i="1"/>
  <c r="O267" i="1"/>
  <c r="AK267" i="1"/>
  <c r="Q267" i="1"/>
  <c r="X267" i="1"/>
  <c r="AC267" i="1"/>
  <c r="A268" i="1"/>
  <c r="L267" i="1"/>
  <c r="U267" i="1"/>
  <c r="T267" i="1" s="1"/>
  <c r="D266" i="1"/>
  <c r="E266" i="1" s="1"/>
  <c r="K262" i="22"/>
  <c r="X262" i="22"/>
  <c r="L262" i="22"/>
  <c r="A263" i="22"/>
  <c r="AB262" i="22"/>
  <c r="AJ262" i="22"/>
  <c r="AK262" i="22"/>
  <c r="O262" i="22"/>
  <c r="AC262" i="22"/>
  <c r="AB263" i="20"/>
  <c r="X263" i="20"/>
  <c r="L263" i="20"/>
  <c r="K263" i="20"/>
  <c r="A264" i="20"/>
  <c r="AJ263" i="20"/>
  <c r="AK263" i="20"/>
  <c r="O263" i="20"/>
  <c r="AC263" i="20"/>
  <c r="AB265" i="17"/>
  <c r="L265" i="17"/>
  <c r="A266" i="17"/>
  <c r="K265" i="17"/>
  <c r="X265" i="17"/>
  <c r="AK265" i="17"/>
  <c r="AJ265" i="17"/>
  <c r="O265" i="17"/>
  <c r="AC265" i="17"/>
  <c r="X260" i="24"/>
  <c r="A261" i="24"/>
  <c r="K260" i="24"/>
  <c r="AB260" i="24"/>
  <c r="L260" i="24"/>
  <c r="AJ260" i="24"/>
  <c r="AK260" i="24"/>
  <c r="O260" i="24"/>
  <c r="AC260" i="24"/>
  <c r="AA264" i="1"/>
  <c r="Z264" i="1" s="1"/>
  <c r="Y264" i="1" s="1"/>
  <c r="G264" i="1"/>
  <c r="BW264" i="6" s="1"/>
  <c r="I264" i="1"/>
  <c r="X264" i="18"/>
  <c r="AJ264" i="18"/>
  <c r="A265" i="18"/>
  <c r="AB264" i="18"/>
  <c r="L264" i="18"/>
  <c r="K264" i="18"/>
  <c r="O264" i="18"/>
  <c r="AK264" i="18"/>
  <c r="AC264" i="18"/>
  <c r="X261" i="23"/>
  <c r="AB261" i="23"/>
  <c r="L261" i="23"/>
  <c r="K261" i="23"/>
  <c r="A262" i="23"/>
  <c r="AJ261" i="23"/>
  <c r="AK261" i="23"/>
  <c r="O261" i="23"/>
  <c r="AC261" i="23"/>
  <c r="E266" i="15" l="1"/>
  <c r="X267" i="15"/>
  <c r="AK267" i="15"/>
  <c r="L267" i="15"/>
  <c r="D267" i="15" s="1"/>
  <c r="AJ267" i="15"/>
  <c r="A268" i="15"/>
  <c r="AB267" i="15"/>
  <c r="AC267" i="15"/>
  <c r="K267" i="15"/>
  <c r="O267" i="15"/>
  <c r="E265" i="16"/>
  <c r="X266" i="16"/>
  <c r="L266" i="16"/>
  <c r="D266" i="16" s="1"/>
  <c r="AJ266" i="16"/>
  <c r="AC266" i="16"/>
  <c r="AB266" i="16"/>
  <c r="A267" i="16"/>
  <c r="K266" i="16"/>
  <c r="AK266" i="16"/>
  <c r="O266" i="16"/>
  <c r="F266" i="1"/>
  <c r="G266" i="1" s="1"/>
  <c r="BW266" i="6" s="1"/>
  <c r="X262" i="23"/>
  <c r="K262" i="23"/>
  <c r="AB262" i="23"/>
  <c r="A263" i="23"/>
  <c r="L262" i="23"/>
  <c r="AK262" i="23"/>
  <c r="AJ262" i="23"/>
  <c r="O262" i="23"/>
  <c r="AC262" i="23"/>
  <c r="K266" i="17"/>
  <c r="A267" i="17"/>
  <c r="L266" i="17"/>
  <c r="AB266" i="17"/>
  <c r="X266" i="17"/>
  <c r="AJ266" i="17"/>
  <c r="AK266" i="17"/>
  <c r="O266" i="17"/>
  <c r="AC266" i="17"/>
  <c r="S267" i="1"/>
  <c r="R267" i="1" s="1"/>
  <c r="P267" i="1" s="1"/>
  <c r="V267" i="1" s="1"/>
  <c r="AC268" i="1"/>
  <c r="X268" i="1"/>
  <c r="AB268" i="1"/>
  <c r="O268" i="1"/>
  <c r="AK268" i="1"/>
  <c r="K268" i="1"/>
  <c r="Q268" i="1"/>
  <c r="AJ268" i="1"/>
  <c r="A269" i="1"/>
  <c r="L268" i="1"/>
  <c r="U268" i="1"/>
  <c r="T268" i="1" s="1"/>
  <c r="K260" i="25"/>
  <c r="L260" i="25"/>
  <c r="AB260" i="25"/>
  <c r="A261" i="25"/>
  <c r="X260" i="25"/>
  <c r="AJ260" i="25"/>
  <c r="O260" i="25"/>
  <c r="AK260" i="25"/>
  <c r="AC260" i="25"/>
  <c r="G265" i="1"/>
  <c r="BW265" i="6" s="1"/>
  <c r="AA265" i="1"/>
  <c r="Z265" i="1" s="1"/>
  <c r="Y265" i="1" s="1"/>
  <c r="I265" i="1"/>
  <c r="K265" i="18"/>
  <c r="AJ265" i="18"/>
  <c r="A266" i="18"/>
  <c r="X265" i="18"/>
  <c r="AB265" i="18"/>
  <c r="L265" i="18"/>
  <c r="O265" i="18"/>
  <c r="AK265" i="18"/>
  <c r="AC265" i="18"/>
  <c r="K261" i="24"/>
  <c r="X261" i="24"/>
  <c r="L261" i="24"/>
  <c r="A262" i="24"/>
  <c r="AB261" i="24"/>
  <c r="AJ261" i="24"/>
  <c r="AK261" i="24"/>
  <c r="O261" i="24"/>
  <c r="AC261" i="24"/>
  <c r="K264" i="20"/>
  <c r="X264" i="20"/>
  <c r="L264" i="20"/>
  <c r="AB264" i="20"/>
  <c r="A265" i="20"/>
  <c r="AK264" i="20"/>
  <c r="AJ264" i="20"/>
  <c r="O264" i="20"/>
  <c r="AC264" i="20"/>
  <c r="K263" i="22"/>
  <c r="A264" i="22"/>
  <c r="L263" i="22"/>
  <c r="X263" i="22"/>
  <c r="AB263" i="22"/>
  <c r="AK263" i="22"/>
  <c r="AJ263" i="22"/>
  <c r="O263" i="22"/>
  <c r="AC263" i="22"/>
  <c r="D267" i="1"/>
  <c r="E267" i="1" s="1"/>
  <c r="A269" i="15" l="1"/>
  <c r="AJ268" i="15"/>
  <c r="X268" i="15"/>
  <c r="AB268" i="15"/>
  <c r="O268" i="15"/>
  <c r="K268" i="15"/>
  <c r="AC268" i="15"/>
  <c r="L268" i="15"/>
  <c r="D268" i="15" s="1"/>
  <c r="AK268" i="15"/>
  <c r="E267" i="15"/>
  <c r="E266" i="16"/>
  <c r="AA266" i="1"/>
  <c r="Z266" i="1" s="1"/>
  <c r="Y266" i="1" s="1"/>
  <c r="F267" i="1"/>
  <c r="I267" i="1" s="1"/>
  <c r="A268" i="16"/>
  <c r="X267" i="16"/>
  <c r="L267" i="16"/>
  <c r="D267" i="16" s="1"/>
  <c r="AK267" i="16"/>
  <c r="O267" i="16"/>
  <c r="K267" i="16"/>
  <c r="AB267" i="16"/>
  <c r="AJ267" i="16"/>
  <c r="AC267" i="16"/>
  <c r="I266" i="1"/>
  <c r="AB264" i="22"/>
  <c r="X264" i="22"/>
  <c r="A265" i="22"/>
  <c r="K264" i="22"/>
  <c r="L264" i="22"/>
  <c r="AK264" i="22"/>
  <c r="AJ264" i="22"/>
  <c r="O264" i="22"/>
  <c r="AC264" i="22"/>
  <c r="A266" i="20"/>
  <c r="K265" i="20"/>
  <c r="X265" i="20"/>
  <c r="AB265" i="20"/>
  <c r="L265" i="20"/>
  <c r="AJ265" i="20"/>
  <c r="AK265" i="20"/>
  <c r="O265" i="20"/>
  <c r="AC265" i="20"/>
  <c r="AB262" i="24"/>
  <c r="X262" i="24"/>
  <c r="L262" i="24"/>
  <c r="A263" i="24"/>
  <c r="K262" i="24"/>
  <c r="AJ262" i="24"/>
  <c r="AK262" i="24"/>
  <c r="O262" i="24"/>
  <c r="AC262" i="24"/>
  <c r="X266" i="18"/>
  <c r="AB266" i="18"/>
  <c r="L266" i="18"/>
  <c r="K266" i="18"/>
  <c r="A267" i="18"/>
  <c r="AJ266" i="18"/>
  <c r="O266" i="18"/>
  <c r="AK266" i="18"/>
  <c r="AC266" i="18"/>
  <c r="S268" i="1"/>
  <c r="R268" i="1" s="1"/>
  <c r="P268" i="1" s="1"/>
  <c r="V268" i="1" s="1"/>
  <c r="K269" i="1"/>
  <c r="Q269" i="1"/>
  <c r="X269" i="1"/>
  <c r="A270" i="1"/>
  <c r="AK269" i="1"/>
  <c r="L269" i="1"/>
  <c r="AJ269" i="1"/>
  <c r="AC269" i="1"/>
  <c r="O269" i="1"/>
  <c r="AB269" i="1"/>
  <c r="U269" i="1"/>
  <c r="T269" i="1" s="1"/>
  <c r="S269" i="1" s="1"/>
  <c r="R269" i="1" s="1"/>
  <c r="A268" i="17"/>
  <c r="K267" i="17"/>
  <c r="L267" i="17"/>
  <c r="X267" i="17"/>
  <c r="AB267" i="17"/>
  <c r="O267" i="17"/>
  <c r="AJ267" i="17"/>
  <c r="AK267" i="17"/>
  <c r="AC267" i="17"/>
  <c r="X261" i="25"/>
  <c r="AB261" i="25"/>
  <c r="L261" i="25"/>
  <c r="K261" i="25"/>
  <c r="A262" i="25"/>
  <c r="AK261" i="25"/>
  <c r="AJ261" i="25"/>
  <c r="O261" i="25"/>
  <c r="AC261" i="25"/>
  <c r="D268" i="1"/>
  <c r="E268" i="1" s="1"/>
  <c r="K263" i="23"/>
  <c r="L263" i="23"/>
  <c r="AB263" i="23"/>
  <c r="A264" i="23"/>
  <c r="X263" i="23"/>
  <c r="AJ263" i="23"/>
  <c r="AK263" i="23"/>
  <c r="O263" i="23"/>
  <c r="AC263" i="23"/>
  <c r="AA267" i="1" l="1"/>
  <c r="Z267" i="1" s="1"/>
  <c r="Y267" i="1" s="1"/>
  <c r="G267" i="1"/>
  <c r="BW267" i="6" s="1"/>
  <c r="P269" i="1"/>
  <c r="V269" i="1" s="1"/>
  <c r="E268" i="15"/>
  <c r="K269" i="15"/>
  <c r="O269" i="15"/>
  <c r="L269" i="15"/>
  <c r="D269" i="15" s="1"/>
  <c r="AK269" i="15"/>
  <c r="X269" i="15"/>
  <c r="AJ269" i="15"/>
  <c r="AB269" i="15"/>
  <c r="A270" i="15"/>
  <c r="AC269" i="15"/>
  <c r="E267" i="16"/>
  <c r="AB268" i="16"/>
  <c r="K268" i="16"/>
  <c r="A269" i="16"/>
  <c r="AK268" i="16"/>
  <c r="O268" i="16"/>
  <c r="L268" i="16"/>
  <c r="D268" i="16" s="1"/>
  <c r="X268" i="16"/>
  <c r="AJ268" i="16"/>
  <c r="AC268" i="16"/>
  <c r="X264" i="23"/>
  <c r="A265" i="23"/>
  <c r="L264" i="23"/>
  <c r="AB264" i="23"/>
  <c r="K264" i="23"/>
  <c r="AJ264" i="23"/>
  <c r="AK264" i="23"/>
  <c r="O264" i="23"/>
  <c r="AC264" i="23"/>
  <c r="AB268" i="17"/>
  <c r="A269" i="17"/>
  <c r="L268" i="17"/>
  <c r="K268" i="17"/>
  <c r="X268" i="17"/>
  <c r="AK268" i="17"/>
  <c r="AJ268" i="17"/>
  <c r="O268" i="17"/>
  <c r="AC268" i="17"/>
  <c r="AB267" i="18"/>
  <c r="K267" i="18"/>
  <c r="AJ267" i="18"/>
  <c r="L267" i="18"/>
  <c r="A268" i="18"/>
  <c r="X267" i="18"/>
  <c r="AK267" i="18"/>
  <c r="O267" i="18"/>
  <c r="AC267" i="18"/>
  <c r="AB263" i="24"/>
  <c r="L263" i="24"/>
  <c r="X263" i="24"/>
  <c r="A264" i="24"/>
  <c r="K263" i="24"/>
  <c r="AK263" i="24"/>
  <c r="O263" i="24"/>
  <c r="AJ263" i="24"/>
  <c r="AC263" i="24"/>
  <c r="A267" i="20"/>
  <c r="L266" i="20"/>
  <c r="AB266" i="20"/>
  <c r="X266" i="20"/>
  <c r="K266" i="20"/>
  <c r="AJ266" i="20"/>
  <c r="AK266" i="20"/>
  <c r="O266" i="20"/>
  <c r="AC266" i="20"/>
  <c r="F268" i="1"/>
  <c r="X262" i="25"/>
  <c r="A263" i="25"/>
  <c r="AB262" i="25"/>
  <c r="L262" i="25"/>
  <c r="K262" i="25"/>
  <c r="AK262" i="25"/>
  <c r="AJ262" i="25"/>
  <c r="O262" i="25"/>
  <c r="AC262" i="25"/>
  <c r="D269" i="1"/>
  <c r="E269" i="1" s="1"/>
  <c r="L270" i="1"/>
  <c r="AB270" i="1"/>
  <c r="Q270" i="1"/>
  <c r="AK270" i="1"/>
  <c r="K270" i="1"/>
  <c r="A271" i="1"/>
  <c r="AC270" i="1"/>
  <c r="O270" i="1"/>
  <c r="X270" i="1"/>
  <c r="AJ270" i="1"/>
  <c r="U270" i="1"/>
  <c r="T270" i="1" s="1"/>
  <c r="K265" i="22"/>
  <c r="X265" i="22"/>
  <c r="L265" i="22"/>
  <c r="A266" i="22"/>
  <c r="AB265" i="22"/>
  <c r="AJ265" i="22"/>
  <c r="AK265" i="22"/>
  <c r="O265" i="22"/>
  <c r="AC265" i="22"/>
  <c r="A271" i="15" l="1"/>
  <c r="AK270" i="15"/>
  <c r="L270" i="15"/>
  <c r="D270" i="15" s="1"/>
  <c r="AJ270" i="15"/>
  <c r="AB270" i="15"/>
  <c r="K270" i="15"/>
  <c r="AC270" i="15"/>
  <c r="X270" i="15"/>
  <c r="O270" i="15"/>
  <c r="E269" i="15"/>
  <c r="E268" i="16"/>
  <c r="F269" i="1"/>
  <c r="G269" i="1" s="1"/>
  <c r="BW269" i="6" s="1"/>
  <c r="A270" i="16"/>
  <c r="AB269" i="16"/>
  <c r="X269" i="16"/>
  <c r="AJ269" i="16"/>
  <c r="O269" i="16"/>
  <c r="K269" i="16"/>
  <c r="L269" i="16"/>
  <c r="D269" i="16" s="1"/>
  <c r="E269" i="16" s="1"/>
  <c r="AK269" i="16"/>
  <c r="AC269" i="16"/>
  <c r="L271" i="1"/>
  <c r="O271" i="1"/>
  <c r="K271" i="1"/>
  <c r="A272" i="1"/>
  <c r="AC271" i="1"/>
  <c r="AB271" i="1"/>
  <c r="X271" i="1"/>
  <c r="AK271" i="1"/>
  <c r="AJ271" i="1"/>
  <c r="Q271" i="1"/>
  <c r="U271" i="1"/>
  <c r="T271" i="1" s="1"/>
  <c r="AB263" i="25"/>
  <c r="K263" i="25"/>
  <c r="A264" i="25"/>
  <c r="X263" i="25"/>
  <c r="L263" i="25"/>
  <c r="AJ263" i="25"/>
  <c r="O263" i="25"/>
  <c r="AK263" i="25"/>
  <c r="AC263" i="25"/>
  <c r="AB267" i="20"/>
  <c r="A268" i="20"/>
  <c r="X267" i="20"/>
  <c r="L267" i="20"/>
  <c r="K267" i="20"/>
  <c r="AJ267" i="20"/>
  <c r="AK267" i="20"/>
  <c r="O267" i="20"/>
  <c r="AC267" i="20"/>
  <c r="X264" i="24"/>
  <c r="A265" i="24"/>
  <c r="L264" i="24"/>
  <c r="AB264" i="24"/>
  <c r="K264" i="24"/>
  <c r="AK264" i="24"/>
  <c r="AJ264" i="24"/>
  <c r="O264" i="24"/>
  <c r="AC264" i="24"/>
  <c r="A269" i="18"/>
  <c r="L268" i="18"/>
  <c r="K268" i="18"/>
  <c r="X268" i="18"/>
  <c r="AJ268" i="18"/>
  <c r="AB268" i="18"/>
  <c r="AK268" i="18"/>
  <c r="O268" i="18"/>
  <c r="AC268" i="18"/>
  <c r="X266" i="22"/>
  <c r="L266" i="22"/>
  <c r="A267" i="22"/>
  <c r="K266" i="22"/>
  <c r="AB266" i="22"/>
  <c r="AJ266" i="22"/>
  <c r="AK266" i="22"/>
  <c r="O266" i="22"/>
  <c r="AC266" i="22"/>
  <c r="S270" i="1"/>
  <c r="R270" i="1" s="1"/>
  <c r="P270" i="1" s="1"/>
  <c r="V270" i="1" s="1"/>
  <c r="D270" i="1"/>
  <c r="E270" i="1" s="1"/>
  <c r="G268" i="1"/>
  <c r="BW268" i="6" s="1"/>
  <c r="I268" i="1"/>
  <c r="AA268" i="1"/>
  <c r="Z268" i="1" s="1"/>
  <c r="Y268" i="1" s="1"/>
  <c r="K269" i="17"/>
  <c r="AB269" i="17"/>
  <c r="A270" i="17"/>
  <c r="X269" i="17"/>
  <c r="L269" i="17"/>
  <c r="AJ269" i="17"/>
  <c r="O269" i="17"/>
  <c r="AK269" i="17"/>
  <c r="AC269" i="17"/>
  <c r="A266" i="23"/>
  <c r="L265" i="23"/>
  <c r="X265" i="23"/>
  <c r="K265" i="23"/>
  <c r="AB265" i="23"/>
  <c r="AK265" i="23"/>
  <c r="AJ265" i="23"/>
  <c r="O265" i="23"/>
  <c r="AC265" i="23"/>
  <c r="AA269" i="1" l="1"/>
  <c r="Z269" i="1" s="1"/>
  <c r="Y269" i="1" s="1"/>
  <c r="E270" i="15"/>
  <c r="X271" i="15"/>
  <c r="AK271" i="15"/>
  <c r="L271" i="15"/>
  <c r="D271" i="15" s="1"/>
  <c r="AJ271" i="15"/>
  <c r="K271" i="15"/>
  <c r="AB271" i="15"/>
  <c r="AC271" i="15"/>
  <c r="A272" i="15"/>
  <c r="O271" i="15"/>
  <c r="I269" i="1"/>
  <c r="AB270" i="16"/>
  <c r="K270" i="16"/>
  <c r="AJ270" i="16"/>
  <c r="AC270" i="16"/>
  <c r="A271" i="16"/>
  <c r="L270" i="16"/>
  <c r="D270" i="16" s="1"/>
  <c r="X270" i="16"/>
  <c r="AK270" i="16"/>
  <c r="O270" i="16"/>
  <c r="F270" i="1"/>
  <c r="X266" i="23"/>
  <c r="A267" i="23"/>
  <c r="K266" i="23"/>
  <c r="AB266" i="23"/>
  <c r="L266" i="23"/>
  <c r="AJ266" i="23"/>
  <c r="AK266" i="23"/>
  <c r="O266" i="23"/>
  <c r="AC266" i="23"/>
  <c r="AB269" i="18"/>
  <c r="AJ269" i="18"/>
  <c r="L269" i="18"/>
  <c r="X269" i="18"/>
  <c r="A270" i="18"/>
  <c r="K269" i="18"/>
  <c r="O269" i="18"/>
  <c r="AK269" i="18"/>
  <c r="AC269" i="18"/>
  <c r="AB265" i="24"/>
  <c r="X265" i="24"/>
  <c r="K265" i="24"/>
  <c r="L265" i="24"/>
  <c r="A266" i="24"/>
  <c r="AK265" i="24"/>
  <c r="AJ265" i="24"/>
  <c r="O265" i="24"/>
  <c r="AC265" i="24"/>
  <c r="S271" i="1"/>
  <c r="R271" i="1" s="1"/>
  <c r="P271" i="1" s="1"/>
  <c r="V271" i="1" s="1"/>
  <c r="D271" i="1"/>
  <c r="E271" i="1" s="1"/>
  <c r="X270" i="17"/>
  <c r="AB270" i="17"/>
  <c r="A271" i="17"/>
  <c r="K270" i="17"/>
  <c r="L270" i="17"/>
  <c r="AJ270" i="17"/>
  <c r="O270" i="17"/>
  <c r="AK270" i="17"/>
  <c r="AC270" i="17"/>
  <c r="X267" i="22"/>
  <c r="L267" i="22"/>
  <c r="K267" i="22"/>
  <c r="A268" i="22"/>
  <c r="AB267" i="22"/>
  <c r="AJ267" i="22"/>
  <c r="AK267" i="22"/>
  <c r="O267" i="22"/>
  <c r="AC267" i="22"/>
  <c r="X268" i="20"/>
  <c r="K268" i="20"/>
  <c r="L268" i="20"/>
  <c r="AB268" i="20"/>
  <c r="A269" i="20"/>
  <c r="AJ268" i="20"/>
  <c r="AK268" i="20"/>
  <c r="O268" i="20"/>
  <c r="AC268" i="20"/>
  <c r="X264" i="25"/>
  <c r="L264" i="25"/>
  <c r="K264" i="25"/>
  <c r="A265" i="25"/>
  <c r="AB264" i="25"/>
  <c r="AJ264" i="25"/>
  <c r="O264" i="25"/>
  <c r="AK264" i="25"/>
  <c r="AC264" i="25"/>
  <c r="O272" i="1"/>
  <c r="C28" i="7" s="1"/>
  <c r="AC272" i="1"/>
  <c r="K272" i="1"/>
  <c r="AK272" i="1"/>
  <c r="Q272" i="1"/>
  <c r="X272" i="1"/>
  <c r="AB272" i="1"/>
  <c r="L272" i="1"/>
  <c r="A28" i="7"/>
  <c r="A273" i="1"/>
  <c r="AJ272" i="1"/>
  <c r="U272" i="1"/>
  <c r="T272" i="1" s="1"/>
  <c r="S272" i="1" s="1"/>
  <c r="R272" i="1" s="1"/>
  <c r="AB272" i="15" l="1"/>
  <c r="A273" i="15"/>
  <c r="AC272" i="15"/>
  <c r="L272" i="15"/>
  <c r="K272" i="15"/>
  <c r="X272" i="15"/>
  <c r="AK272" i="15"/>
  <c r="O272" i="15"/>
  <c r="C40" i="7" s="1"/>
  <c r="A40" i="7"/>
  <c r="AJ272" i="15"/>
  <c r="E271" i="15"/>
  <c r="K271" i="16"/>
  <c r="AB271" i="16"/>
  <c r="X271" i="16"/>
  <c r="AK271" i="16"/>
  <c r="O271" i="16"/>
  <c r="AJ271" i="16"/>
  <c r="AC271" i="16"/>
  <c r="L271" i="16"/>
  <c r="D271" i="16" s="1"/>
  <c r="A272" i="16"/>
  <c r="E270" i="16"/>
  <c r="K265" i="25"/>
  <c r="A266" i="25"/>
  <c r="X265" i="25"/>
  <c r="AB265" i="25"/>
  <c r="L265" i="25"/>
  <c r="AJ265" i="25"/>
  <c r="O265" i="25"/>
  <c r="AK265" i="25"/>
  <c r="AC265" i="25"/>
  <c r="A270" i="20"/>
  <c r="X269" i="20"/>
  <c r="L269" i="20"/>
  <c r="K269" i="20"/>
  <c r="AB269" i="20"/>
  <c r="AJ269" i="20"/>
  <c r="AK269" i="20"/>
  <c r="O269" i="20"/>
  <c r="AC269" i="20"/>
  <c r="K268" i="22"/>
  <c r="L268" i="22"/>
  <c r="A269" i="22"/>
  <c r="X268" i="22"/>
  <c r="AB268" i="22"/>
  <c r="AJ268" i="22"/>
  <c r="AK268" i="22"/>
  <c r="O268" i="22"/>
  <c r="AC268" i="22"/>
  <c r="X271" i="17"/>
  <c r="AB271" i="17"/>
  <c r="L271" i="17"/>
  <c r="A272" i="17"/>
  <c r="K271" i="17"/>
  <c r="O271" i="17"/>
  <c r="AK271" i="17"/>
  <c r="AJ271" i="17"/>
  <c r="AC271" i="17"/>
  <c r="F271" i="1"/>
  <c r="K266" i="24"/>
  <c r="A267" i="24"/>
  <c r="AB266" i="24"/>
  <c r="X266" i="24"/>
  <c r="L266" i="24"/>
  <c r="AK266" i="24"/>
  <c r="AJ266" i="24"/>
  <c r="O266" i="24"/>
  <c r="AC266" i="24"/>
  <c r="K267" i="23"/>
  <c r="AB267" i="23"/>
  <c r="X267" i="23"/>
  <c r="L267" i="23"/>
  <c r="A268" i="23"/>
  <c r="AJ267" i="23"/>
  <c r="AK267" i="23"/>
  <c r="O267" i="23"/>
  <c r="AC267" i="23"/>
  <c r="I270" i="1"/>
  <c r="G270" i="1"/>
  <c r="BW270" i="6" s="1"/>
  <c r="AA270" i="1"/>
  <c r="Z270" i="1" s="1"/>
  <c r="Y270" i="1" s="1"/>
  <c r="P272" i="1"/>
  <c r="D28" i="7" s="1"/>
  <c r="X273" i="1"/>
  <c r="AC273" i="1"/>
  <c r="AJ273" i="1"/>
  <c r="A274" i="1"/>
  <c r="L273" i="1"/>
  <c r="K273" i="1"/>
  <c r="O273" i="1"/>
  <c r="AB273" i="1"/>
  <c r="AK273" i="1"/>
  <c r="Q273" i="1"/>
  <c r="U273" i="1"/>
  <c r="T273" i="1" s="1"/>
  <c r="D272" i="1"/>
  <c r="E272" i="1" s="1"/>
  <c r="B28" i="7"/>
  <c r="A271" i="18"/>
  <c r="L270" i="18"/>
  <c r="X270" i="18"/>
  <c r="K270" i="18"/>
  <c r="AB270" i="18"/>
  <c r="AJ270" i="18"/>
  <c r="O270" i="18"/>
  <c r="AK270" i="18"/>
  <c r="AC270" i="18"/>
  <c r="V272" i="1" l="1"/>
  <c r="F272" i="1" s="1"/>
  <c r="D272" i="15"/>
  <c r="E272" i="15" s="1"/>
  <c r="B40" i="7"/>
  <c r="L273" i="15"/>
  <c r="D273" i="15" s="1"/>
  <c r="AJ273" i="15"/>
  <c r="A274" i="15"/>
  <c r="AK273" i="15"/>
  <c r="X273" i="15"/>
  <c r="AB273" i="15"/>
  <c r="O273" i="15"/>
  <c r="K273" i="15"/>
  <c r="AC273" i="15"/>
  <c r="E271" i="16"/>
  <c r="A52" i="7"/>
  <c r="AB272" i="16"/>
  <c r="K272" i="16"/>
  <c r="AJ272" i="16"/>
  <c r="O272" i="16"/>
  <c r="C52" i="7" s="1"/>
  <c r="L272" i="16"/>
  <c r="X272" i="16"/>
  <c r="A273" i="16"/>
  <c r="AK272" i="16"/>
  <c r="AC272" i="16"/>
  <c r="A275" i="1"/>
  <c r="AJ274" i="1"/>
  <c r="L274" i="1"/>
  <c r="AB274" i="1"/>
  <c r="O274" i="1"/>
  <c r="AC274" i="1"/>
  <c r="X274" i="1"/>
  <c r="Q274" i="1"/>
  <c r="K274" i="1"/>
  <c r="AK274" i="1"/>
  <c r="U274" i="1"/>
  <c r="X268" i="23"/>
  <c r="A269" i="23"/>
  <c r="K268" i="23"/>
  <c r="AB268" i="23"/>
  <c r="L268" i="23"/>
  <c r="AK268" i="23"/>
  <c r="AJ268" i="23"/>
  <c r="O268" i="23"/>
  <c r="AC268" i="23"/>
  <c r="A268" i="24"/>
  <c r="L267" i="24"/>
  <c r="X267" i="24"/>
  <c r="AB267" i="24"/>
  <c r="K267" i="24"/>
  <c r="AJ267" i="24"/>
  <c r="AK267" i="24"/>
  <c r="O267" i="24"/>
  <c r="AC267" i="24"/>
  <c r="AA271" i="1"/>
  <c r="Z271" i="1" s="1"/>
  <c r="Y271" i="1" s="1"/>
  <c r="I271" i="1"/>
  <c r="G271" i="1"/>
  <c r="BW271" i="6" s="1"/>
  <c r="K272" i="17"/>
  <c r="A273" i="17"/>
  <c r="L272" i="17"/>
  <c r="A64" i="7"/>
  <c r="AB272" i="17"/>
  <c r="X272" i="17"/>
  <c r="AJ272" i="17"/>
  <c r="O272" i="17"/>
  <c r="C64" i="7" s="1"/>
  <c r="AK272" i="17"/>
  <c r="AC272" i="17"/>
  <c r="X270" i="20"/>
  <c r="A271" i="20"/>
  <c r="L270" i="20"/>
  <c r="AB270" i="20"/>
  <c r="K270" i="20"/>
  <c r="AJ270" i="20"/>
  <c r="AK270" i="20"/>
  <c r="O270" i="20"/>
  <c r="AC270" i="20"/>
  <c r="X266" i="25"/>
  <c r="K266" i="25"/>
  <c r="AB266" i="25"/>
  <c r="A267" i="25"/>
  <c r="L266" i="25"/>
  <c r="AJ266" i="25"/>
  <c r="O266" i="25"/>
  <c r="AK266" i="25"/>
  <c r="AC266" i="25"/>
  <c r="X271" i="18"/>
  <c r="L271" i="18"/>
  <c r="AJ271" i="18"/>
  <c r="AB271" i="18"/>
  <c r="K271" i="18"/>
  <c r="A272" i="18"/>
  <c r="O271" i="18"/>
  <c r="AK271" i="18"/>
  <c r="AC271" i="18"/>
  <c r="S273" i="1"/>
  <c r="R273" i="1" s="1"/>
  <c r="P273" i="1" s="1"/>
  <c r="V273" i="1" s="1"/>
  <c r="D273" i="1"/>
  <c r="E273" i="1" s="1"/>
  <c r="X269" i="22"/>
  <c r="K269" i="22"/>
  <c r="AB269" i="22"/>
  <c r="A270" i="22"/>
  <c r="L269" i="22"/>
  <c r="AJ269" i="22"/>
  <c r="AK269" i="22"/>
  <c r="O269" i="22"/>
  <c r="AC269" i="22"/>
  <c r="L274" i="15" l="1"/>
  <c r="D274" i="15" s="1"/>
  <c r="O274" i="15"/>
  <c r="AB274" i="15"/>
  <c r="AK274" i="15"/>
  <c r="X274" i="15"/>
  <c r="AJ274" i="15"/>
  <c r="K274" i="15"/>
  <c r="A275" i="15"/>
  <c r="AC274" i="15"/>
  <c r="E273" i="15"/>
  <c r="F273" i="1"/>
  <c r="G273" i="1" s="1"/>
  <c r="BW273" i="6" s="1"/>
  <c r="L273" i="16"/>
  <c r="D273" i="16" s="1"/>
  <c r="K273" i="16"/>
  <c r="O273" i="16"/>
  <c r="A274" i="16"/>
  <c r="AB273" i="16"/>
  <c r="AJ273" i="16"/>
  <c r="AC273" i="16"/>
  <c r="X273" i="16"/>
  <c r="AK273" i="16"/>
  <c r="D272" i="16"/>
  <c r="E272" i="16" s="1"/>
  <c r="B52" i="7"/>
  <c r="AA273" i="1"/>
  <c r="Z273" i="1" s="1"/>
  <c r="Y273" i="1" s="1"/>
  <c r="AB267" i="25"/>
  <c r="A268" i="25"/>
  <c r="L267" i="25"/>
  <c r="K267" i="25"/>
  <c r="X267" i="25"/>
  <c r="AJ267" i="25"/>
  <c r="O267" i="25"/>
  <c r="AK267" i="25"/>
  <c r="AC267" i="25"/>
  <c r="K273" i="17"/>
  <c r="L273" i="17"/>
  <c r="AB273" i="17"/>
  <c r="A274" i="17"/>
  <c r="X273" i="17"/>
  <c r="O273" i="17"/>
  <c r="AJ273" i="17"/>
  <c r="AK273" i="17"/>
  <c r="AC273" i="17"/>
  <c r="G272" i="1"/>
  <c r="BW272" i="6" s="1"/>
  <c r="I272" i="1"/>
  <c r="AA272" i="1"/>
  <c r="Z272" i="1" s="1"/>
  <c r="Y272" i="1" s="1"/>
  <c r="A271" i="22"/>
  <c r="L270" i="22"/>
  <c r="X270" i="22"/>
  <c r="AB270" i="22"/>
  <c r="K270" i="22"/>
  <c r="AK270" i="22"/>
  <c r="AJ270" i="22"/>
  <c r="O270" i="22"/>
  <c r="AC270" i="22"/>
  <c r="A76" i="7"/>
  <c r="AJ272" i="18"/>
  <c r="A273" i="18"/>
  <c r="AB272" i="18"/>
  <c r="X272" i="18"/>
  <c r="K272" i="18"/>
  <c r="L272" i="18"/>
  <c r="O272" i="18"/>
  <c r="C76" i="7" s="1"/>
  <c r="AK272" i="18"/>
  <c r="AC272" i="18"/>
  <c r="K271" i="20"/>
  <c r="A272" i="20"/>
  <c r="L271" i="20"/>
  <c r="AB271" i="20"/>
  <c r="X271" i="20"/>
  <c r="AK271" i="20"/>
  <c r="AJ271" i="20"/>
  <c r="O271" i="20"/>
  <c r="AC271" i="20"/>
  <c r="B64" i="7"/>
  <c r="X268" i="24"/>
  <c r="AB268" i="24"/>
  <c r="A269" i="24"/>
  <c r="K268" i="24"/>
  <c r="L268" i="24"/>
  <c r="AJ268" i="24"/>
  <c r="AK268" i="24"/>
  <c r="O268" i="24"/>
  <c r="AC268" i="24"/>
  <c r="X269" i="23"/>
  <c r="AB269" i="23"/>
  <c r="K269" i="23"/>
  <c r="L269" i="23"/>
  <c r="A270" i="23"/>
  <c r="AJ269" i="23"/>
  <c r="AK269" i="23"/>
  <c r="O269" i="23"/>
  <c r="AC269" i="23"/>
  <c r="T274" i="1"/>
  <c r="D274" i="1"/>
  <c r="E274" i="1" s="1"/>
  <c r="AJ275" i="1"/>
  <c r="O275" i="1"/>
  <c r="AB275" i="1"/>
  <c r="L275" i="1"/>
  <c r="AC275" i="1"/>
  <c r="AK275" i="1"/>
  <c r="A276" i="1"/>
  <c r="K275" i="1"/>
  <c r="Q275" i="1"/>
  <c r="X275" i="1"/>
  <c r="U275" i="1"/>
  <c r="E274" i="15" l="1"/>
  <c r="K275" i="15"/>
  <c r="AK275" i="15"/>
  <c r="A276" i="15"/>
  <c r="AB275" i="15"/>
  <c r="AC275" i="15"/>
  <c r="L275" i="15"/>
  <c r="D275" i="15" s="1"/>
  <c r="O275" i="15"/>
  <c r="X275" i="15"/>
  <c r="AJ275" i="15"/>
  <c r="I273" i="1"/>
  <c r="K274" i="16"/>
  <c r="X274" i="16"/>
  <c r="AJ274" i="16"/>
  <c r="AC274" i="16"/>
  <c r="L274" i="16"/>
  <c r="D274" i="16" s="1"/>
  <c r="A275" i="16"/>
  <c r="AB274" i="16"/>
  <c r="AK274" i="16"/>
  <c r="O274" i="16"/>
  <c r="E273" i="16"/>
  <c r="D275" i="1"/>
  <c r="E275" i="1" s="1"/>
  <c r="X270" i="23"/>
  <c r="L270" i="23"/>
  <c r="K270" i="23"/>
  <c r="A271" i="23"/>
  <c r="AB270" i="23"/>
  <c r="AK270" i="23"/>
  <c r="AJ270" i="23"/>
  <c r="O270" i="23"/>
  <c r="AC270" i="23"/>
  <c r="X272" i="20"/>
  <c r="K272" i="20"/>
  <c r="L272" i="20"/>
  <c r="AB272" i="20"/>
  <c r="A273" i="20"/>
  <c r="AE28" i="7"/>
  <c r="AJ272" i="20"/>
  <c r="AK272" i="20"/>
  <c r="O272" i="20"/>
  <c r="AG28" i="7" s="1"/>
  <c r="AC272" i="20"/>
  <c r="X274" i="17"/>
  <c r="A275" i="17"/>
  <c r="AB274" i="17"/>
  <c r="K274" i="17"/>
  <c r="L274" i="17"/>
  <c r="AJ274" i="17"/>
  <c r="O274" i="17"/>
  <c r="AK274" i="17"/>
  <c r="AC274" i="17"/>
  <c r="T275" i="1"/>
  <c r="AB276" i="1"/>
  <c r="AK276" i="1"/>
  <c r="L276" i="1"/>
  <c r="K276" i="1"/>
  <c r="AC276" i="1"/>
  <c r="AJ276" i="1"/>
  <c r="O276" i="1"/>
  <c r="X276" i="1"/>
  <c r="Q276" i="1"/>
  <c r="A277" i="1"/>
  <c r="U276" i="1"/>
  <c r="T276" i="1" s="1"/>
  <c r="S274" i="1"/>
  <c r="R274" i="1" s="1"/>
  <c r="P274" i="1" s="1"/>
  <c r="V274" i="1" s="1"/>
  <c r="K269" i="24"/>
  <c r="L269" i="24"/>
  <c r="A270" i="24"/>
  <c r="X269" i="24"/>
  <c r="AB269" i="24"/>
  <c r="AK269" i="24"/>
  <c r="AJ269" i="24"/>
  <c r="O269" i="24"/>
  <c r="AC269" i="24"/>
  <c r="B76" i="7"/>
  <c r="A274" i="18"/>
  <c r="L273" i="18"/>
  <c r="X273" i="18"/>
  <c r="AB273" i="18"/>
  <c r="K273" i="18"/>
  <c r="AJ273" i="18"/>
  <c r="AK273" i="18"/>
  <c r="O273" i="18"/>
  <c r="AC273" i="18"/>
  <c r="A272" i="22"/>
  <c r="K271" i="22"/>
  <c r="X271" i="22"/>
  <c r="L271" i="22"/>
  <c r="AB271" i="22"/>
  <c r="AJ271" i="22"/>
  <c r="AK271" i="22"/>
  <c r="O271" i="22"/>
  <c r="AC271" i="22"/>
  <c r="K268" i="25"/>
  <c r="L268" i="25"/>
  <c r="A269" i="25"/>
  <c r="AB268" i="25"/>
  <c r="X268" i="25"/>
  <c r="AJ268" i="25"/>
  <c r="AK268" i="25"/>
  <c r="O268" i="25"/>
  <c r="AC268" i="25"/>
  <c r="E275" i="15" l="1"/>
  <c r="X276" i="15"/>
  <c r="AJ276" i="15"/>
  <c r="L276" i="15"/>
  <c r="D276" i="15" s="1"/>
  <c r="K276" i="15"/>
  <c r="O276" i="15"/>
  <c r="A277" i="15"/>
  <c r="AC276" i="15"/>
  <c r="AB276" i="15"/>
  <c r="AK276" i="15"/>
  <c r="E274" i="16"/>
  <c r="X275" i="16"/>
  <c r="K275" i="16"/>
  <c r="L275" i="16"/>
  <c r="D275" i="16" s="1"/>
  <c r="AK275" i="16"/>
  <c r="O275" i="16"/>
  <c r="A276" i="16"/>
  <c r="AB275" i="16"/>
  <c r="AJ275" i="16"/>
  <c r="AC275" i="16"/>
  <c r="AJ277" i="1"/>
  <c r="AB277" i="1"/>
  <c r="AK277" i="1"/>
  <c r="O277" i="1"/>
  <c r="Q277" i="1"/>
  <c r="A278" i="1"/>
  <c r="AC277" i="1"/>
  <c r="K277" i="1"/>
  <c r="X277" i="1"/>
  <c r="L277" i="1"/>
  <c r="U277" i="1"/>
  <c r="K272" i="22"/>
  <c r="L272" i="22"/>
  <c r="AE40" i="7"/>
  <c r="A273" i="22"/>
  <c r="X272" i="22"/>
  <c r="AB272" i="22"/>
  <c r="AJ272" i="22"/>
  <c r="AK272" i="22"/>
  <c r="O272" i="22"/>
  <c r="AG40" i="7" s="1"/>
  <c r="AC272" i="22"/>
  <c r="A275" i="18"/>
  <c r="AJ274" i="18"/>
  <c r="K274" i="18"/>
  <c r="AB274" i="18"/>
  <c r="X274" i="18"/>
  <c r="L274" i="18"/>
  <c r="O274" i="18"/>
  <c r="AK274" i="18"/>
  <c r="AC274" i="18"/>
  <c r="K270" i="24"/>
  <c r="A271" i="24"/>
  <c r="L270" i="24"/>
  <c r="X270" i="24"/>
  <c r="AB270" i="24"/>
  <c r="AK270" i="24"/>
  <c r="AJ270" i="24"/>
  <c r="O270" i="24"/>
  <c r="AC270" i="24"/>
  <c r="S276" i="1"/>
  <c r="R276" i="1" s="1"/>
  <c r="P276" i="1" s="1"/>
  <c r="V276" i="1" s="1"/>
  <c r="D276" i="1"/>
  <c r="E276" i="1" s="1"/>
  <c r="K275" i="17"/>
  <c r="AB275" i="17"/>
  <c r="X275" i="17"/>
  <c r="A276" i="17"/>
  <c r="L275" i="17"/>
  <c r="AK275" i="17"/>
  <c r="AJ275" i="17"/>
  <c r="O275" i="17"/>
  <c r="AC275" i="17"/>
  <c r="A274" i="20"/>
  <c r="AB273" i="20"/>
  <c r="K273" i="20"/>
  <c r="X273" i="20"/>
  <c r="L273" i="20"/>
  <c r="AJ273" i="20"/>
  <c r="AK273" i="20"/>
  <c r="O273" i="20"/>
  <c r="AC273" i="20"/>
  <c r="AF28" i="7"/>
  <c r="AB269" i="25"/>
  <c r="K269" i="25"/>
  <c r="A270" i="25"/>
  <c r="L269" i="25"/>
  <c r="X269" i="25"/>
  <c r="AK269" i="25"/>
  <c r="AJ269" i="25"/>
  <c r="O269" i="25"/>
  <c r="AC269" i="25"/>
  <c r="F274" i="1"/>
  <c r="S275" i="1"/>
  <c r="R275" i="1" s="1"/>
  <c r="P275" i="1" s="1"/>
  <c r="V275" i="1" s="1"/>
  <c r="F275" i="1" s="1"/>
  <c r="AB271" i="23"/>
  <c r="A272" i="23"/>
  <c r="L271" i="23"/>
  <c r="K271" i="23"/>
  <c r="X271" i="23"/>
  <c r="AK271" i="23"/>
  <c r="AJ271" i="23"/>
  <c r="O271" i="23"/>
  <c r="AC271" i="23"/>
  <c r="F276" i="1" l="1"/>
  <c r="I276" i="1" s="1"/>
  <c r="E276" i="15"/>
  <c r="AB277" i="15"/>
  <c r="AJ277" i="15"/>
  <c r="K277" i="15"/>
  <c r="A278" i="15"/>
  <c r="AC277" i="15"/>
  <c r="L277" i="15"/>
  <c r="D277" i="15" s="1"/>
  <c r="O277" i="15"/>
  <c r="X277" i="15"/>
  <c r="AK277" i="15"/>
  <c r="E275" i="16"/>
  <c r="X276" i="16"/>
  <c r="L276" i="16"/>
  <c r="D276" i="16" s="1"/>
  <c r="K276" i="16"/>
  <c r="AJ276" i="16"/>
  <c r="O276" i="16"/>
  <c r="AB276" i="16"/>
  <c r="A277" i="16"/>
  <c r="AK276" i="16"/>
  <c r="AC276" i="16"/>
  <c r="A273" i="23"/>
  <c r="AE52" i="7"/>
  <c r="L272" i="23"/>
  <c r="K272" i="23"/>
  <c r="X272" i="23"/>
  <c r="AB272" i="23"/>
  <c r="AJ272" i="23"/>
  <c r="AK272" i="23"/>
  <c r="O272" i="23"/>
  <c r="AG52" i="7" s="1"/>
  <c r="AC272" i="23"/>
  <c r="AA275" i="1"/>
  <c r="Z275" i="1" s="1"/>
  <c r="Y275" i="1" s="1"/>
  <c r="G275" i="1"/>
  <c r="BW275" i="6" s="1"/>
  <c r="I275" i="1"/>
  <c r="G274" i="1"/>
  <c r="BW274" i="6" s="1"/>
  <c r="I274" i="1"/>
  <c r="AA274" i="1"/>
  <c r="Z274" i="1" s="1"/>
  <c r="Y274" i="1" s="1"/>
  <c r="A271" i="25"/>
  <c r="K270" i="25"/>
  <c r="L270" i="25"/>
  <c r="X270" i="25"/>
  <c r="AB270" i="25"/>
  <c r="AJ270" i="25"/>
  <c r="O270" i="25"/>
  <c r="AK270" i="25"/>
  <c r="AC270" i="25"/>
  <c r="K275" i="18"/>
  <c r="X275" i="18"/>
  <c r="AB275" i="18"/>
  <c r="A276" i="18"/>
  <c r="AJ275" i="18"/>
  <c r="L275" i="18"/>
  <c r="AK275" i="18"/>
  <c r="O275" i="18"/>
  <c r="AC275" i="18"/>
  <c r="D277" i="1"/>
  <c r="E277" i="1" s="1"/>
  <c r="K278" i="1"/>
  <c r="X278" i="1"/>
  <c r="L278" i="1"/>
  <c r="AB278" i="1"/>
  <c r="A279" i="1"/>
  <c r="AC278" i="1"/>
  <c r="O278" i="1"/>
  <c r="AK278" i="1"/>
  <c r="Q278" i="1"/>
  <c r="AJ278" i="1"/>
  <c r="U278" i="1"/>
  <c r="T278" i="1" s="1"/>
  <c r="AB274" i="20"/>
  <c r="A275" i="20"/>
  <c r="X274" i="20"/>
  <c r="L274" i="20"/>
  <c r="K274" i="20"/>
  <c r="AJ274" i="20"/>
  <c r="AK274" i="20"/>
  <c r="O274" i="20"/>
  <c r="AC274" i="20"/>
  <c r="A277" i="17"/>
  <c r="L276" i="17"/>
  <c r="X276" i="17"/>
  <c r="K276" i="17"/>
  <c r="AB276" i="17"/>
  <c r="AJ276" i="17"/>
  <c r="O276" i="17"/>
  <c r="AK276" i="17"/>
  <c r="AC276" i="17"/>
  <c r="X271" i="24"/>
  <c r="AB271" i="24"/>
  <c r="L271" i="24"/>
  <c r="A272" i="24"/>
  <c r="K271" i="24"/>
  <c r="AJ271" i="24"/>
  <c r="AK271" i="24"/>
  <c r="O271" i="24"/>
  <c r="AC271" i="24"/>
  <c r="AB273" i="22"/>
  <c r="L273" i="22"/>
  <c r="A274" i="22"/>
  <c r="X273" i="22"/>
  <c r="K273" i="22"/>
  <c r="AK273" i="22"/>
  <c r="AJ273" i="22"/>
  <c r="O273" i="22"/>
  <c r="AC273" i="22"/>
  <c r="AF40" i="7"/>
  <c r="T277" i="1"/>
  <c r="G276" i="1" l="1"/>
  <c r="BW276" i="6" s="1"/>
  <c r="AA276" i="1"/>
  <c r="Z276" i="1" s="1"/>
  <c r="Y276" i="1" s="1"/>
  <c r="E277" i="15"/>
  <c r="X278" i="15"/>
  <c r="A279" i="15"/>
  <c r="AC278" i="15"/>
  <c r="K278" i="15"/>
  <c r="O278" i="15"/>
  <c r="AB278" i="15"/>
  <c r="AK278" i="15"/>
  <c r="L278" i="15"/>
  <c r="D278" i="15" s="1"/>
  <c r="AJ278" i="15"/>
  <c r="X277" i="16"/>
  <c r="L277" i="16"/>
  <c r="D277" i="16" s="1"/>
  <c r="AB277" i="16"/>
  <c r="AK277" i="16"/>
  <c r="O277" i="16"/>
  <c r="K277" i="16"/>
  <c r="A278" i="16"/>
  <c r="AJ277" i="16"/>
  <c r="AC277" i="16"/>
  <c r="E276" i="16"/>
  <c r="K272" i="24"/>
  <c r="A273" i="24"/>
  <c r="L272" i="24"/>
  <c r="X272" i="24"/>
  <c r="AE64" i="7"/>
  <c r="AB272" i="24"/>
  <c r="AJ272" i="24"/>
  <c r="AK272" i="24"/>
  <c r="O272" i="24"/>
  <c r="AG64" i="7" s="1"/>
  <c r="AC272" i="24"/>
  <c r="K277" i="17"/>
  <c r="X277" i="17"/>
  <c r="L277" i="17"/>
  <c r="AB277" i="17"/>
  <c r="A278" i="17"/>
  <c r="AJ277" i="17"/>
  <c r="O277" i="17"/>
  <c r="AK277" i="17"/>
  <c r="AC277" i="17"/>
  <c r="K275" i="20"/>
  <c r="A276" i="20"/>
  <c r="AB275" i="20"/>
  <c r="X275" i="20"/>
  <c r="L275" i="20"/>
  <c r="AJ275" i="20"/>
  <c r="AK275" i="20"/>
  <c r="O275" i="20"/>
  <c r="AC275" i="20"/>
  <c r="S277" i="1"/>
  <c r="R277" i="1" s="1"/>
  <c r="P277" i="1" s="1"/>
  <c r="X274" i="22"/>
  <c r="AB274" i="22"/>
  <c r="L274" i="22"/>
  <c r="K274" i="22"/>
  <c r="A275" i="22"/>
  <c r="AJ274" i="22"/>
  <c r="AK274" i="22"/>
  <c r="O274" i="22"/>
  <c r="AC274" i="22"/>
  <c r="S278" i="1"/>
  <c r="R278" i="1" s="1"/>
  <c r="P278" i="1" s="1"/>
  <c r="V278" i="1" s="1"/>
  <c r="O279" i="1"/>
  <c r="AJ279" i="1"/>
  <c r="L279" i="1"/>
  <c r="X279" i="1"/>
  <c r="AC279" i="1"/>
  <c r="A280" i="1"/>
  <c r="AK279" i="1"/>
  <c r="Q279" i="1"/>
  <c r="K279" i="1"/>
  <c r="AB279" i="1"/>
  <c r="U279" i="1"/>
  <c r="T279" i="1" s="1"/>
  <c r="D278" i="1"/>
  <c r="E278" i="1" s="1"/>
  <c r="X276" i="18"/>
  <c r="AJ276" i="18"/>
  <c r="L276" i="18"/>
  <c r="A277" i="18"/>
  <c r="AB276" i="18"/>
  <c r="K276" i="18"/>
  <c r="O276" i="18"/>
  <c r="AK276" i="18"/>
  <c r="AC276" i="18"/>
  <c r="X271" i="25"/>
  <c r="A272" i="25"/>
  <c r="AB271" i="25"/>
  <c r="K271" i="25"/>
  <c r="L271" i="25"/>
  <c r="AJ271" i="25"/>
  <c r="AK271" i="25"/>
  <c r="O271" i="25"/>
  <c r="AC271" i="25"/>
  <c r="AF52" i="7"/>
  <c r="AB273" i="23"/>
  <c r="X273" i="23"/>
  <c r="L273" i="23"/>
  <c r="A274" i="23"/>
  <c r="K273" i="23"/>
  <c r="AJ273" i="23"/>
  <c r="AK273" i="23"/>
  <c r="O273" i="23"/>
  <c r="AC273" i="23"/>
  <c r="E278" i="15" l="1"/>
  <c r="A280" i="15"/>
  <c r="AK279" i="15"/>
  <c r="K279" i="15"/>
  <c r="AJ279" i="15"/>
  <c r="X279" i="15"/>
  <c r="AB279" i="15"/>
  <c r="O279" i="15"/>
  <c r="L279" i="15"/>
  <c r="D279" i="15" s="1"/>
  <c r="AC279" i="15"/>
  <c r="E277" i="16"/>
  <c r="V277" i="1"/>
  <c r="F277" i="1" s="1"/>
  <c r="X278" i="16"/>
  <c r="AB278" i="16"/>
  <c r="A279" i="16"/>
  <c r="AK278" i="16"/>
  <c r="O278" i="16"/>
  <c r="K278" i="16"/>
  <c r="L278" i="16"/>
  <c r="D278" i="16" s="1"/>
  <c r="E278" i="16" s="1"/>
  <c r="AJ278" i="16"/>
  <c r="AC278" i="16"/>
  <c r="F278" i="1"/>
  <c r="AB272" i="25"/>
  <c r="L272" i="25"/>
  <c r="AE76" i="7"/>
  <c r="A273" i="25"/>
  <c r="X272" i="25"/>
  <c r="K272" i="25"/>
  <c r="AK272" i="25"/>
  <c r="AJ272" i="25"/>
  <c r="O272" i="25"/>
  <c r="AG76" i="7" s="1"/>
  <c r="AC272" i="25"/>
  <c r="AB277" i="18"/>
  <c r="K277" i="18"/>
  <c r="X277" i="18"/>
  <c r="L277" i="18"/>
  <c r="A278" i="18"/>
  <c r="AJ277" i="18"/>
  <c r="O277" i="18"/>
  <c r="AK277" i="18"/>
  <c r="AC277" i="18"/>
  <c r="AC280" i="1"/>
  <c r="AJ280" i="1"/>
  <c r="K280" i="1"/>
  <c r="AB280" i="1"/>
  <c r="Q280" i="1"/>
  <c r="L280" i="1"/>
  <c r="A281" i="1"/>
  <c r="AK280" i="1"/>
  <c r="X280" i="1"/>
  <c r="O280" i="1"/>
  <c r="U280" i="1"/>
  <c r="T280" i="1" s="1"/>
  <c r="X278" i="17"/>
  <c r="L278" i="17"/>
  <c r="AB278" i="17"/>
  <c r="K278" i="17"/>
  <c r="A279" i="17"/>
  <c r="AJ278" i="17"/>
  <c r="O278" i="17"/>
  <c r="AK278" i="17"/>
  <c r="AC278" i="17"/>
  <c r="AB273" i="24"/>
  <c r="X273" i="24"/>
  <c r="K273" i="24"/>
  <c r="L273" i="24"/>
  <c r="A274" i="24"/>
  <c r="AJ273" i="24"/>
  <c r="AK273" i="24"/>
  <c r="O273" i="24"/>
  <c r="AC273" i="24"/>
  <c r="A275" i="23"/>
  <c r="L274" i="23"/>
  <c r="X274" i="23"/>
  <c r="AB274" i="23"/>
  <c r="K274" i="23"/>
  <c r="AJ274" i="23"/>
  <c r="AK274" i="23"/>
  <c r="O274" i="23"/>
  <c r="AC274" i="23"/>
  <c r="S279" i="1"/>
  <c r="R279" i="1" s="1"/>
  <c r="P279" i="1" s="1"/>
  <c r="V279" i="1" s="1"/>
  <c r="D279" i="1"/>
  <c r="E279" i="1" s="1"/>
  <c r="K275" i="22"/>
  <c r="X275" i="22"/>
  <c r="L275" i="22"/>
  <c r="A276" i="22"/>
  <c r="AB275" i="22"/>
  <c r="AJ275" i="22"/>
  <c r="AK275" i="22"/>
  <c r="O275" i="22"/>
  <c r="AC275" i="22"/>
  <c r="AB276" i="20"/>
  <c r="X276" i="20"/>
  <c r="A277" i="20"/>
  <c r="K276" i="20"/>
  <c r="L276" i="20"/>
  <c r="AJ276" i="20"/>
  <c r="AK276" i="20"/>
  <c r="O276" i="20"/>
  <c r="AC276" i="20"/>
  <c r="AF64" i="7"/>
  <c r="E279" i="15" l="1"/>
  <c r="L280" i="15"/>
  <c r="D280" i="15" s="1"/>
  <c r="AK280" i="15"/>
  <c r="AB280" i="15"/>
  <c r="AJ280" i="15"/>
  <c r="X280" i="15"/>
  <c r="A281" i="15"/>
  <c r="O280" i="15"/>
  <c r="E280" i="15" s="1"/>
  <c r="K280" i="15"/>
  <c r="AC280" i="15"/>
  <c r="I277" i="1"/>
  <c r="AA277" i="1"/>
  <c r="Z277" i="1" s="1"/>
  <c r="Y277" i="1" s="1"/>
  <c r="G277" i="1"/>
  <c r="BW277" i="6" s="1"/>
  <c r="F279" i="1"/>
  <c r="G279" i="1" s="1"/>
  <c r="BW279" i="6" s="1"/>
  <c r="AB279" i="16"/>
  <c r="X279" i="16"/>
  <c r="L279" i="16"/>
  <c r="D279" i="16" s="1"/>
  <c r="AK279" i="16"/>
  <c r="O279" i="16"/>
  <c r="A280" i="16"/>
  <c r="K279" i="16"/>
  <c r="AJ279" i="16"/>
  <c r="AC279" i="16"/>
  <c r="AB277" i="20"/>
  <c r="X277" i="20"/>
  <c r="K277" i="20"/>
  <c r="L277" i="20"/>
  <c r="A278" i="20"/>
  <c r="AK277" i="20"/>
  <c r="AJ277" i="20"/>
  <c r="O277" i="20"/>
  <c r="AC277" i="20"/>
  <c r="X276" i="22"/>
  <c r="A277" i="22"/>
  <c r="L276" i="22"/>
  <c r="AB276" i="22"/>
  <c r="K276" i="22"/>
  <c r="AJ276" i="22"/>
  <c r="AK276" i="22"/>
  <c r="O276" i="22"/>
  <c r="AC276" i="22"/>
  <c r="K274" i="24"/>
  <c r="A275" i="24"/>
  <c r="L274" i="24"/>
  <c r="X274" i="24"/>
  <c r="AB274" i="24"/>
  <c r="AJ274" i="24"/>
  <c r="AK274" i="24"/>
  <c r="O274" i="24"/>
  <c r="AC274" i="24"/>
  <c r="S280" i="1"/>
  <c r="R280" i="1" s="1"/>
  <c r="P280" i="1" s="1"/>
  <c r="V280" i="1" s="1"/>
  <c r="X281" i="1"/>
  <c r="K281" i="1"/>
  <c r="A282" i="1"/>
  <c r="AC281" i="1"/>
  <c r="AJ281" i="1"/>
  <c r="AB281" i="1"/>
  <c r="Q281" i="1"/>
  <c r="L281" i="1"/>
  <c r="O281" i="1"/>
  <c r="AK281" i="1"/>
  <c r="U281" i="1"/>
  <c r="T281" i="1" s="1"/>
  <c r="AB278" i="18"/>
  <c r="K278" i="18"/>
  <c r="L278" i="18"/>
  <c r="A279" i="18"/>
  <c r="AJ278" i="18"/>
  <c r="X278" i="18"/>
  <c r="AK278" i="18"/>
  <c r="O278" i="18"/>
  <c r="AC278" i="18"/>
  <c r="X275" i="23"/>
  <c r="A276" i="23"/>
  <c r="K275" i="23"/>
  <c r="AB275" i="23"/>
  <c r="L275" i="23"/>
  <c r="AJ275" i="23"/>
  <c r="AK275" i="23"/>
  <c r="O275" i="23"/>
  <c r="AC275" i="23"/>
  <c r="A280" i="17"/>
  <c r="AB279" i="17"/>
  <c r="L279" i="17"/>
  <c r="K279" i="17"/>
  <c r="X279" i="17"/>
  <c r="AJ279" i="17"/>
  <c r="O279" i="17"/>
  <c r="AK279" i="17"/>
  <c r="AC279" i="17"/>
  <c r="D280" i="1"/>
  <c r="E280" i="1" s="1"/>
  <c r="AB273" i="25"/>
  <c r="X273" i="25"/>
  <c r="A274" i="25"/>
  <c r="L273" i="25"/>
  <c r="K273" i="25"/>
  <c r="AJ273" i="25"/>
  <c r="O273" i="25"/>
  <c r="AK273" i="25"/>
  <c r="AC273" i="25"/>
  <c r="AF76" i="7"/>
  <c r="I278" i="1"/>
  <c r="AA278" i="1"/>
  <c r="Z278" i="1" s="1"/>
  <c r="Y278" i="1" s="1"/>
  <c r="G278" i="1"/>
  <c r="BW278" i="6" s="1"/>
  <c r="I279" i="1" l="1"/>
  <c r="AA279" i="1"/>
  <c r="Z279" i="1" s="1"/>
  <c r="Y279" i="1" s="1"/>
  <c r="K281" i="15"/>
  <c r="AJ281" i="15"/>
  <c r="A282" i="15"/>
  <c r="AK281" i="15"/>
  <c r="AB281" i="15"/>
  <c r="X281" i="15"/>
  <c r="AC281" i="15"/>
  <c r="L281" i="15"/>
  <c r="D281" i="15" s="1"/>
  <c r="O281" i="15"/>
  <c r="A281" i="16"/>
  <c r="K280" i="16"/>
  <c r="AJ280" i="16"/>
  <c r="AC280" i="16"/>
  <c r="L280" i="16"/>
  <c r="D280" i="16" s="1"/>
  <c r="X280" i="16"/>
  <c r="AB280" i="16"/>
  <c r="AK280" i="16"/>
  <c r="O280" i="16"/>
  <c r="F280" i="1"/>
  <c r="AA280" i="1" s="1"/>
  <c r="Z280" i="1" s="1"/>
  <c r="Y280" i="1" s="1"/>
  <c r="E279" i="16"/>
  <c r="A275" i="25"/>
  <c r="X274" i="25"/>
  <c r="AB274" i="25"/>
  <c r="K274" i="25"/>
  <c r="L274" i="25"/>
  <c r="AJ274" i="25"/>
  <c r="O274" i="25"/>
  <c r="AK274" i="25"/>
  <c r="AC274" i="25"/>
  <c r="AB276" i="23"/>
  <c r="A277" i="23"/>
  <c r="L276" i="23"/>
  <c r="K276" i="23"/>
  <c r="X276" i="23"/>
  <c r="AJ276" i="23"/>
  <c r="AK276" i="23"/>
  <c r="O276" i="23"/>
  <c r="AC276" i="23"/>
  <c r="A280" i="18"/>
  <c r="L279" i="18"/>
  <c r="X279" i="18"/>
  <c r="K279" i="18"/>
  <c r="AB279" i="18"/>
  <c r="AJ279" i="18"/>
  <c r="AK279" i="18"/>
  <c r="O279" i="18"/>
  <c r="AC279" i="18"/>
  <c r="S281" i="1"/>
  <c r="R281" i="1" s="1"/>
  <c r="P281" i="1" s="1"/>
  <c r="V281" i="1" s="1"/>
  <c r="K282" i="1"/>
  <c r="X282" i="1"/>
  <c r="Q282" i="1"/>
  <c r="AJ282" i="1"/>
  <c r="AB282" i="1"/>
  <c r="L282" i="1"/>
  <c r="AK282" i="1"/>
  <c r="AC282" i="1"/>
  <c r="O282" i="1"/>
  <c r="A283" i="1"/>
  <c r="U282" i="1"/>
  <c r="K280" i="17"/>
  <c r="A281" i="17"/>
  <c r="X280" i="17"/>
  <c r="L280" i="17"/>
  <c r="AB280" i="17"/>
  <c r="AK280" i="17"/>
  <c r="AJ280" i="17"/>
  <c r="O280" i="17"/>
  <c r="AC280" i="17"/>
  <c r="D281" i="1"/>
  <c r="E281" i="1" s="1"/>
  <c r="X275" i="24"/>
  <c r="L275" i="24"/>
  <c r="A276" i="24"/>
  <c r="AB275" i="24"/>
  <c r="K275" i="24"/>
  <c r="AK275" i="24"/>
  <c r="AJ275" i="24"/>
  <c r="O275" i="24"/>
  <c r="AC275" i="24"/>
  <c r="X277" i="22"/>
  <c r="AB277" i="22"/>
  <c r="K277" i="22"/>
  <c r="A278" i="22"/>
  <c r="L277" i="22"/>
  <c r="AJ277" i="22"/>
  <c r="AK277" i="22"/>
  <c r="O277" i="22"/>
  <c r="AC277" i="22"/>
  <c r="K278" i="20"/>
  <c r="X278" i="20"/>
  <c r="AB278" i="20"/>
  <c r="L278" i="20"/>
  <c r="A279" i="20"/>
  <c r="AJ278" i="20"/>
  <c r="AK278" i="20"/>
  <c r="O278" i="20"/>
  <c r="AC278" i="20"/>
  <c r="E281" i="15" l="1"/>
  <c r="X282" i="15"/>
  <c r="AB282" i="15"/>
  <c r="AJ282" i="15"/>
  <c r="A283" i="15"/>
  <c r="L282" i="15"/>
  <c r="D282" i="15" s="1"/>
  <c r="AK282" i="15"/>
  <c r="K282" i="15"/>
  <c r="O282" i="15"/>
  <c r="AC282" i="15"/>
  <c r="G280" i="1"/>
  <c r="BW280" i="6" s="1"/>
  <c r="I280" i="1"/>
  <c r="F281" i="1"/>
  <c r="AA281" i="1" s="1"/>
  <c r="Z281" i="1" s="1"/>
  <c r="Y281" i="1" s="1"/>
  <c r="E280" i="16"/>
  <c r="AB281" i="16"/>
  <c r="X281" i="16"/>
  <c r="L281" i="16"/>
  <c r="D281" i="16" s="1"/>
  <c r="AK281" i="16"/>
  <c r="O281" i="16"/>
  <c r="A282" i="16"/>
  <c r="K281" i="16"/>
  <c r="AJ281" i="16"/>
  <c r="AC281" i="16"/>
  <c r="AB279" i="20"/>
  <c r="X279" i="20"/>
  <c r="L279" i="20"/>
  <c r="A280" i="20"/>
  <c r="K279" i="20"/>
  <c r="AJ279" i="20"/>
  <c r="AK279" i="20"/>
  <c r="O279" i="20"/>
  <c r="AC279" i="20"/>
  <c r="K278" i="22"/>
  <c r="L278" i="22"/>
  <c r="X278" i="22"/>
  <c r="AB278" i="22"/>
  <c r="A279" i="22"/>
  <c r="AJ278" i="22"/>
  <c r="AK278" i="22"/>
  <c r="O278" i="22"/>
  <c r="AC278" i="22"/>
  <c r="A277" i="24"/>
  <c r="K276" i="24"/>
  <c r="AB276" i="24"/>
  <c r="X276" i="24"/>
  <c r="L276" i="24"/>
  <c r="AJ276" i="24"/>
  <c r="AK276" i="24"/>
  <c r="O276" i="24"/>
  <c r="AC276" i="24"/>
  <c r="T282" i="1"/>
  <c r="L281" i="17"/>
  <c r="X281" i="17"/>
  <c r="A282" i="17"/>
  <c r="K281" i="17"/>
  <c r="AB281" i="17"/>
  <c r="AJ281" i="17"/>
  <c r="O281" i="17"/>
  <c r="AK281" i="17"/>
  <c r="AC281" i="17"/>
  <c r="AJ283" i="1"/>
  <c r="K283" i="1"/>
  <c r="AK283" i="1"/>
  <c r="Q283" i="1"/>
  <c r="O283" i="1"/>
  <c r="AB283" i="1"/>
  <c r="AC283" i="1"/>
  <c r="A284" i="1"/>
  <c r="X283" i="1"/>
  <c r="L283" i="1"/>
  <c r="U283" i="1"/>
  <c r="T283" i="1" s="1"/>
  <c r="D282" i="1"/>
  <c r="E282" i="1" s="1"/>
  <c r="L280" i="18"/>
  <c r="AB280" i="18"/>
  <c r="AJ280" i="18"/>
  <c r="A281" i="18"/>
  <c r="K280" i="18"/>
  <c r="X280" i="18"/>
  <c r="O280" i="18"/>
  <c r="AK280" i="18"/>
  <c r="AC280" i="18"/>
  <c r="A278" i="23"/>
  <c r="K277" i="23"/>
  <c r="X277" i="23"/>
  <c r="AB277" i="23"/>
  <c r="L277" i="23"/>
  <c r="AK277" i="23"/>
  <c r="AJ277" i="23"/>
  <c r="O277" i="23"/>
  <c r="AC277" i="23"/>
  <c r="AB275" i="25"/>
  <c r="X275" i="25"/>
  <c r="K275" i="25"/>
  <c r="A276" i="25"/>
  <c r="L275" i="25"/>
  <c r="AK275" i="25"/>
  <c r="AJ275" i="25"/>
  <c r="O275" i="25"/>
  <c r="AC275" i="25"/>
  <c r="I281" i="1" l="1"/>
  <c r="E282" i="15"/>
  <c r="L283" i="15"/>
  <c r="D283" i="15" s="1"/>
  <c r="AJ283" i="15"/>
  <c r="A284" i="15"/>
  <c r="K283" i="15"/>
  <c r="AC283" i="15"/>
  <c r="X283" i="15"/>
  <c r="O283" i="15"/>
  <c r="E283" i="15" s="1"/>
  <c r="AB283" i="15"/>
  <c r="AK283" i="15"/>
  <c r="G281" i="1"/>
  <c r="BW281" i="6" s="1"/>
  <c r="E281" i="16"/>
  <c r="A283" i="16"/>
  <c r="AB282" i="16"/>
  <c r="AJ282" i="16"/>
  <c r="AC282" i="16"/>
  <c r="X282" i="16"/>
  <c r="K282" i="16"/>
  <c r="L282" i="16"/>
  <c r="D282" i="16" s="1"/>
  <c r="AK282" i="16"/>
  <c r="O282" i="16"/>
  <c r="K276" i="25"/>
  <c r="L276" i="25"/>
  <c r="X276" i="25"/>
  <c r="A277" i="25"/>
  <c r="AB276" i="25"/>
  <c r="AJ276" i="25"/>
  <c r="AK276" i="25"/>
  <c r="O276" i="25"/>
  <c r="AC276" i="25"/>
  <c r="D283" i="1"/>
  <c r="K284" i="1"/>
  <c r="AJ284" i="1"/>
  <c r="A285" i="1"/>
  <c r="Q284" i="1"/>
  <c r="AK284" i="1"/>
  <c r="L284" i="1"/>
  <c r="AB284" i="1"/>
  <c r="AC284" i="1"/>
  <c r="X284" i="1"/>
  <c r="O284" i="1"/>
  <c r="U284" i="1"/>
  <c r="T284" i="1" s="1"/>
  <c r="A278" i="24"/>
  <c r="AB277" i="24"/>
  <c r="L277" i="24"/>
  <c r="X277" i="24"/>
  <c r="K277" i="24"/>
  <c r="AJ277" i="24"/>
  <c r="AK277" i="24"/>
  <c r="O277" i="24"/>
  <c r="AC277" i="24"/>
  <c r="X278" i="23"/>
  <c r="AB278" i="23"/>
  <c r="K278" i="23"/>
  <c r="L278" i="23"/>
  <c r="A279" i="23"/>
  <c r="AJ278" i="23"/>
  <c r="AK278" i="23"/>
  <c r="O278" i="23"/>
  <c r="AC278" i="23"/>
  <c r="K281" i="18"/>
  <c r="X281" i="18"/>
  <c r="AB281" i="18"/>
  <c r="A282" i="18"/>
  <c r="AJ281" i="18"/>
  <c r="L281" i="18"/>
  <c r="O281" i="18"/>
  <c r="AK281" i="18"/>
  <c r="AC281" i="18"/>
  <c r="S283" i="1"/>
  <c r="R283" i="1" s="1"/>
  <c r="P283" i="1" s="1"/>
  <c r="V283" i="1" s="1"/>
  <c r="E283" i="1"/>
  <c r="L282" i="17"/>
  <c r="K282" i="17"/>
  <c r="A283" i="17"/>
  <c r="AB282" i="17"/>
  <c r="X282" i="17"/>
  <c r="AJ282" i="17"/>
  <c r="O282" i="17"/>
  <c r="AK282" i="17"/>
  <c r="AC282" i="17"/>
  <c r="S282" i="1"/>
  <c r="R282" i="1" s="1"/>
  <c r="P282" i="1" s="1"/>
  <c r="K279" i="22"/>
  <c r="AB279" i="22"/>
  <c r="A280" i="22"/>
  <c r="X279" i="22"/>
  <c r="L279" i="22"/>
  <c r="AJ279" i="22"/>
  <c r="AK279" i="22"/>
  <c r="O279" i="22"/>
  <c r="AC279" i="22"/>
  <c r="AB280" i="20"/>
  <c r="K280" i="20"/>
  <c r="A281" i="20"/>
  <c r="X280" i="20"/>
  <c r="L280" i="20"/>
  <c r="AJ280" i="20"/>
  <c r="AK280" i="20"/>
  <c r="O280" i="20"/>
  <c r="AC280" i="20"/>
  <c r="F283" i="1" l="1"/>
  <c r="AA283" i="1" s="1"/>
  <c r="Z283" i="1" s="1"/>
  <c r="Y283" i="1" s="1"/>
  <c r="K284" i="15"/>
  <c r="O284" i="15"/>
  <c r="X284" i="15"/>
  <c r="AK284" i="15"/>
  <c r="AB284" i="15"/>
  <c r="AJ284" i="15"/>
  <c r="L284" i="15"/>
  <c r="D284" i="15" s="1"/>
  <c r="A285" i="15"/>
  <c r="AC284" i="15"/>
  <c r="E282" i="16"/>
  <c r="X283" i="16"/>
  <c r="L283" i="16"/>
  <c r="D283" i="16" s="1"/>
  <c r="A284" i="16"/>
  <c r="AK283" i="16"/>
  <c r="O283" i="16"/>
  <c r="K283" i="16"/>
  <c r="AB283" i="16"/>
  <c r="AJ283" i="16"/>
  <c r="AC283" i="16"/>
  <c r="V282" i="1"/>
  <c r="F282" i="1" s="1"/>
  <c r="X279" i="23"/>
  <c r="A280" i="23"/>
  <c r="AB279" i="23"/>
  <c r="K279" i="23"/>
  <c r="L279" i="23"/>
  <c r="AJ279" i="23"/>
  <c r="AK279" i="23"/>
  <c r="O279" i="23"/>
  <c r="AC279" i="23"/>
  <c r="S284" i="1"/>
  <c r="R284" i="1" s="1"/>
  <c r="P284" i="1" s="1"/>
  <c r="V284" i="1" s="1"/>
  <c r="L285" i="1"/>
  <c r="X285" i="1"/>
  <c r="O285" i="1"/>
  <c r="AB285" i="1"/>
  <c r="AC285" i="1"/>
  <c r="K285" i="1"/>
  <c r="A286" i="1"/>
  <c r="AK285" i="1"/>
  <c r="Q285" i="1"/>
  <c r="AJ285" i="1"/>
  <c r="U285" i="1"/>
  <c r="T285" i="1" s="1"/>
  <c r="S285" i="1" s="1"/>
  <c r="R285" i="1" s="1"/>
  <c r="P285" i="1" s="1"/>
  <c r="A278" i="25"/>
  <c r="X277" i="25"/>
  <c r="AB277" i="25"/>
  <c r="K277" i="25"/>
  <c r="L277" i="25"/>
  <c r="AJ277" i="25"/>
  <c r="AK277" i="25"/>
  <c r="O277" i="25"/>
  <c r="AC277" i="25"/>
  <c r="A281" i="22"/>
  <c r="K280" i="22"/>
  <c r="X280" i="22"/>
  <c r="AB280" i="22"/>
  <c r="L280" i="22"/>
  <c r="AJ280" i="22"/>
  <c r="AK280" i="22"/>
  <c r="O280" i="22"/>
  <c r="AC280" i="22"/>
  <c r="AB282" i="18"/>
  <c r="AJ282" i="18"/>
  <c r="K282" i="18"/>
  <c r="L282" i="18"/>
  <c r="X282" i="18"/>
  <c r="A283" i="18"/>
  <c r="O282" i="18"/>
  <c r="AK282" i="18"/>
  <c r="AC282" i="18"/>
  <c r="X281" i="20"/>
  <c r="K281" i="20"/>
  <c r="A282" i="20"/>
  <c r="AB281" i="20"/>
  <c r="L281" i="20"/>
  <c r="AK281" i="20"/>
  <c r="AJ281" i="20"/>
  <c r="O281" i="20"/>
  <c r="AC281" i="20"/>
  <c r="AB283" i="17"/>
  <c r="L283" i="17"/>
  <c r="A284" i="17"/>
  <c r="K283" i="17"/>
  <c r="X283" i="17"/>
  <c r="AJ283" i="17"/>
  <c r="O283" i="17"/>
  <c r="AK283" i="17"/>
  <c r="AC283" i="17"/>
  <c r="K278" i="24"/>
  <c r="A279" i="24"/>
  <c r="L278" i="24"/>
  <c r="AB278" i="24"/>
  <c r="X278" i="24"/>
  <c r="AK278" i="24"/>
  <c r="AJ278" i="24"/>
  <c r="O278" i="24"/>
  <c r="AC278" i="24"/>
  <c r="D284" i="1"/>
  <c r="E284" i="1" s="1"/>
  <c r="I283" i="1" l="1"/>
  <c r="G283" i="1"/>
  <c r="BW283" i="6" s="1"/>
  <c r="K285" i="15"/>
  <c r="O285" i="15"/>
  <c r="L285" i="15"/>
  <c r="D285" i="15" s="1"/>
  <c r="AK285" i="15"/>
  <c r="A286" i="15"/>
  <c r="AJ285" i="15"/>
  <c r="X285" i="15"/>
  <c r="AB285" i="15"/>
  <c r="AC285" i="15"/>
  <c r="E284" i="15"/>
  <c r="F284" i="1"/>
  <c r="AA284" i="1" s="1"/>
  <c r="Z284" i="1" s="1"/>
  <c r="Y284" i="1" s="1"/>
  <c r="A285" i="16"/>
  <c r="AB284" i="16"/>
  <c r="X284" i="16"/>
  <c r="AK284" i="16"/>
  <c r="O284" i="16"/>
  <c r="L284" i="16"/>
  <c r="D284" i="16" s="1"/>
  <c r="K284" i="16"/>
  <c r="AJ284" i="16"/>
  <c r="AC284" i="16"/>
  <c r="E283" i="16"/>
  <c r="A280" i="24"/>
  <c r="AB279" i="24"/>
  <c r="X279" i="24"/>
  <c r="K279" i="24"/>
  <c r="L279" i="24"/>
  <c r="AJ279" i="24"/>
  <c r="AK279" i="24"/>
  <c r="O279" i="24"/>
  <c r="AC279" i="24"/>
  <c r="A282" i="22"/>
  <c r="X281" i="22"/>
  <c r="AB281" i="22"/>
  <c r="K281" i="22"/>
  <c r="L281" i="22"/>
  <c r="AJ281" i="22"/>
  <c r="AK281" i="22"/>
  <c r="O281" i="22"/>
  <c r="AC281" i="22"/>
  <c r="G282" i="1"/>
  <c r="BW282" i="6" s="1"/>
  <c r="I282" i="1"/>
  <c r="AA282" i="1"/>
  <c r="Z282" i="1" s="1"/>
  <c r="Y282" i="1" s="1"/>
  <c r="K284" i="17"/>
  <c r="A285" i="17"/>
  <c r="L284" i="17"/>
  <c r="AB284" i="17"/>
  <c r="X284" i="17"/>
  <c r="AJ284" i="17"/>
  <c r="O284" i="17"/>
  <c r="AK284" i="17"/>
  <c r="AC284" i="17"/>
  <c r="X282" i="20"/>
  <c r="L282" i="20"/>
  <c r="K282" i="20"/>
  <c r="AB282" i="20"/>
  <c r="A283" i="20"/>
  <c r="AK282" i="20"/>
  <c r="AJ282" i="20"/>
  <c r="O282" i="20"/>
  <c r="AC282" i="20"/>
  <c r="X283" i="18"/>
  <c r="A284" i="18"/>
  <c r="AJ283" i="18"/>
  <c r="AB283" i="18"/>
  <c r="L283" i="18"/>
  <c r="K283" i="18"/>
  <c r="O283" i="18"/>
  <c r="AK283" i="18"/>
  <c r="AC283" i="18"/>
  <c r="K278" i="25"/>
  <c r="L278" i="25"/>
  <c r="AB278" i="25"/>
  <c r="A279" i="25"/>
  <c r="X278" i="25"/>
  <c r="AJ278" i="25"/>
  <c r="AK278" i="25"/>
  <c r="O278" i="25"/>
  <c r="AC278" i="25"/>
  <c r="AC286" i="1"/>
  <c r="AJ286" i="1"/>
  <c r="L286" i="1"/>
  <c r="AB286" i="1"/>
  <c r="K286" i="1"/>
  <c r="X286" i="1"/>
  <c r="A287" i="1"/>
  <c r="AK286" i="1"/>
  <c r="Q286" i="1"/>
  <c r="O286" i="1"/>
  <c r="U286" i="1"/>
  <c r="T286" i="1" s="1"/>
  <c r="D285" i="1"/>
  <c r="E285" i="1" s="1"/>
  <c r="V285" i="1"/>
  <c r="A281" i="23"/>
  <c r="X280" i="23"/>
  <c r="L280" i="23"/>
  <c r="K280" i="23"/>
  <c r="AB280" i="23"/>
  <c r="AJ280" i="23"/>
  <c r="AK280" i="23"/>
  <c r="O280" i="23"/>
  <c r="AC280" i="23"/>
  <c r="I284" i="1" l="1"/>
  <c r="G284" i="1"/>
  <c r="BW284" i="6" s="1"/>
  <c r="E285" i="15"/>
  <c r="AB286" i="15"/>
  <c r="O286" i="15"/>
  <c r="L286" i="15"/>
  <c r="D286" i="15" s="1"/>
  <c r="AK286" i="15"/>
  <c r="K286" i="15"/>
  <c r="AJ286" i="15"/>
  <c r="X286" i="15"/>
  <c r="A287" i="15"/>
  <c r="AC286" i="15"/>
  <c r="E284" i="16"/>
  <c r="F285" i="1"/>
  <c r="AA285" i="1" s="1"/>
  <c r="Z285" i="1" s="1"/>
  <c r="Y285" i="1" s="1"/>
  <c r="K285" i="16"/>
  <c r="A286" i="16"/>
  <c r="AK285" i="16"/>
  <c r="AC285" i="16"/>
  <c r="AB285" i="16"/>
  <c r="X285" i="16"/>
  <c r="L285" i="16"/>
  <c r="D285" i="16" s="1"/>
  <c r="AJ285" i="16"/>
  <c r="O285" i="16"/>
  <c r="S286" i="1"/>
  <c r="R286" i="1" s="1"/>
  <c r="P286" i="1" s="1"/>
  <c r="V286" i="1" s="1"/>
  <c r="X287" i="1"/>
  <c r="O287" i="1"/>
  <c r="AK287" i="1"/>
  <c r="L287" i="1"/>
  <c r="Q287" i="1"/>
  <c r="AB287" i="1"/>
  <c r="K287" i="1"/>
  <c r="AJ287" i="1"/>
  <c r="AC287" i="1"/>
  <c r="A288" i="1"/>
  <c r="U287" i="1"/>
  <c r="T287" i="1" s="1"/>
  <c r="D286" i="1"/>
  <c r="A280" i="25"/>
  <c r="L279" i="25"/>
  <c r="K279" i="25"/>
  <c r="AB279" i="25"/>
  <c r="X279" i="25"/>
  <c r="AJ279" i="25"/>
  <c r="AK279" i="25"/>
  <c r="O279" i="25"/>
  <c r="AC279" i="25"/>
  <c r="A285" i="18"/>
  <c r="AB284" i="18"/>
  <c r="AJ284" i="18"/>
  <c r="X284" i="18"/>
  <c r="L284" i="18"/>
  <c r="K284" i="18"/>
  <c r="O284" i="18"/>
  <c r="AK284" i="18"/>
  <c r="AC284" i="18"/>
  <c r="AB283" i="20"/>
  <c r="A284" i="20"/>
  <c r="K283" i="20"/>
  <c r="X283" i="20"/>
  <c r="L283" i="20"/>
  <c r="AJ283" i="20"/>
  <c r="AK283" i="20"/>
  <c r="O283" i="20"/>
  <c r="AC283" i="20"/>
  <c r="X282" i="22"/>
  <c r="A283" i="22"/>
  <c r="AB282" i="22"/>
  <c r="L282" i="22"/>
  <c r="K282" i="22"/>
  <c r="AJ282" i="22"/>
  <c r="AK282" i="22"/>
  <c r="O282" i="22"/>
  <c r="AC282" i="22"/>
  <c r="A282" i="23"/>
  <c r="K281" i="23"/>
  <c r="X281" i="23"/>
  <c r="AB281" i="23"/>
  <c r="L281" i="23"/>
  <c r="AK281" i="23"/>
  <c r="AJ281" i="23"/>
  <c r="O281" i="23"/>
  <c r="AC281" i="23"/>
  <c r="E286" i="1"/>
  <c r="K285" i="17"/>
  <c r="A286" i="17"/>
  <c r="L285" i="17"/>
  <c r="AB285" i="17"/>
  <c r="X285" i="17"/>
  <c r="AK285" i="17"/>
  <c r="AJ285" i="17"/>
  <c r="O285" i="17"/>
  <c r="AC285" i="17"/>
  <c r="AB280" i="24"/>
  <c r="X280" i="24"/>
  <c r="L280" i="24"/>
  <c r="A281" i="24"/>
  <c r="K280" i="24"/>
  <c r="AK280" i="24"/>
  <c r="AJ280" i="24"/>
  <c r="O280" i="24"/>
  <c r="AC280" i="24"/>
  <c r="I285" i="1" l="1"/>
  <c r="E286" i="15"/>
  <c r="G285" i="1"/>
  <c r="BW285" i="6" s="1"/>
  <c r="X287" i="15"/>
  <c r="AK287" i="15"/>
  <c r="K287" i="15"/>
  <c r="AJ287" i="15"/>
  <c r="AB287" i="15"/>
  <c r="L287" i="15"/>
  <c r="D287" i="15" s="1"/>
  <c r="O287" i="15"/>
  <c r="A288" i="15"/>
  <c r="AC287" i="15"/>
  <c r="A287" i="16"/>
  <c r="L286" i="16"/>
  <c r="D286" i="16" s="1"/>
  <c r="AB286" i="16"/>
  <c r="AK286" i="16"/>
  <c r="O286" i="16"/>
  <c r="K286" i="16"/>
  <c r="X286" i="16"/>
  <c r="AJ286" i="16"/>
  <c r="AC286" i="16"/>
  <c r="E285" i="16"/>
  <c r="A282" i="24"/>
  <c r="X281" i="24"/>
  <c r="K281" i="24"/>
  <c r="L281" i="24"/>
  <c r="AB281" i="24"/>
  <c r="AJ281" i="24"/>
  <c r="AK281" i="24"/>
  <c r="O281" i="24"/>
  <c r="AC281" i="24"/>
  <c r="X286" i="17"/>
  <c r="K286" i="17"/>
  <c r="AB286" i="17"/>
  <c r="L286" i="17"/>
  <c r="A287" i="17"/>
  <c r="AJ286" i="17"/>
  <c r="O286" i="17"/>
  <c r="AK286" i="17"/>
  <c r="AC286" i="17"/>
  <c r="F286" i="1"/>
  <c r="A284" i="22"/>
  <c r="X283" i="22"/>
  <c r="AB283" i="22"/>
  <c r="L283" i="22"/>
  <c r="K283" i="22"/>
  <c r="AJ283" i="22"/>
  <c r="AK283" i="22"/>
  <c r="O283" i="22"/>
  <c r="AC283" i="22"/>
  <c r="K284" i="20"/>
  <c r="A285" i="20"/>
  <c r="L284" i="20"/>
  <c r="X284" i="20"/>
  <c r="AB284" i="20"/>
  <c r="AJ284" i="20"/>
  <c r="AK284" i="20"/>
  <c r="O284" i="20"/>
  <c r="AC284" i="20"/>
  <c r="A286" i="18"/>
  <c r="AB285" i="18"/>
  <c r="AJ285" i="18"/>
  <c r="L285" i="18"/>
  <c r="X285" i="18"/>
  <c r="K285" i="18"/>
  <c r="AK285" i="18"/>
  <c r="O285" i="18"/>
  <c r="AC285" i="18"/>
  <c r="S287" i="1"/>
  <c r="R287" i="1" s="1"/>
  <c r="P287" i="1" s="1"/>
  <c r="V287" i="1" s="1"/>
  <c r="X282" i="23"/>
  <c r="AB282" i="23"/>
  <c r="L282" i="23"/>
  <c r="A283" i="23"/>
  <c r="K282" i="23"/>
  <c r="AJ282" i="23"/>
  <c r="AK282" i="23"/>
  <c r="O282" i="23"/>
  <c r="AC282" i="23"/>
  <c r="A281" i="25"/>
  <c r="X280" i="25"/>
  <c r="AB280" i="25"/>
  <c r="K280" i="25"/>
  <c r="L280" i="25"/>
  <c r="AJ280" i="25"/>
  <c r="AK280" i="25"/>
  <c r="O280" i="25"/>
  <c r="AC280" i="25"/>
  <c r="AK288" i="1"/>
  <c r="AB288" i="1"/>
  <c r="AC288" i="1"/>
  <c r="L288" i="1"/>
  <c r="X288" i="1"/>
  <c r="AJ288" i="1"/>
  <c r="Q288" i="1"/>
  <c r="O288" i="1"/>
  <c r="A289" i="1"/>
  <c r="K288" i="1"/>
  <c r="U288" i="1"/>
  <c r="D287" i="1"/>
  <c r="E287" i="1" s="1"/>
  <c r="K288" i="15" l="1"/>
  <c r="AJ288" i="15"/>
  <c r="A289" i="15"/>
  <c r="L288" i="15"/>
  <c r="D288" i="15" s="1"/>
  <c r="AC288" i="15"/>
  <c r="X288" i="15"/>
  <c r="O288" i="15"/>
  <c r="AB288" i="15"/>
  <c r="AK288" i="15"/>
  <c r="E287" i="15"/>
  <c r="E286" i="16"/>
  <c r="F287" i="1"/>
  <c r="G287" i="1" s="1"/>
  <c r="BW287" i="6" s="1"/>
  <c r="J61" i="19"/>
  <c r="X287" i="16"/>
  <c r="L287" i="16"/>
  <c r="D287" i="16" s="1"/>
  <c r="K287" i="16"/>
  <c r="AK287" i="16"/>
  <c r="O287" i="16"/>
  <c r="A288" i="16"/>
  <c r="AB287" i="16"/>
  <c r="AJ287" i="16"/>
  <c r="AC287" i="16"/>
  <c r="D288" i="1"/>
  <c r="E288" i="1" s="1"/>
  <c r="AB281" i="25"/>
  <c r="K281" i="25"/>
  <c r="A282" i="25"/>
  <c r="L281" i="25"/>
  <c r="X281" i="25"/>
  <c r="AJ281" i="25"/>
  <c r="O281" i="25"/>
  <c r="AK281" i="25"/>
  <c r="AC281" i="25"/>
  <c r="L286" i="18"/>
  <c r="A287" i="18"/>
  <c r="AJ286" i="18"/>
  <c r="AB286" i="18"/>
  <c r="X286" i="18"/>
  <c r="K286" i="18"/>
  <c r="O286" i="18"/>
  <c r="AK286" i="18"/>
  <c r="AC286" i="18"/>
  <c r="K285" i="20"/>
  <c r="X285" i="20"/>
  <c r="L285" i="20"/>
  <c r="AB285" i="20"/>
  <c r="A286" i="20"/>
  <c r="AJ285" i="20"/>
  <c r="AK285" i="20"/>
  <c r="O285" i="20"/>
  <c r="AC285" i="20"/>
  <c r="K287" i="17"/>
  <c r="AB287" i="17"/>
  <c r="L287" i="17"/>
  <c r="X287" i="17"/>
  <c r="A288" i="17"/>
  <c r="AJ287" i="17"/>
  <c r="O287" i="17"/>
  <c r="AK287" i="17"/>
  <c r="AC287" i="17"/>
  <c r="T288" i="1"/>
  <c r="K289" i="1"/>
  <c r="AB289" i="1"/>
  <c r="AK289" i="1"/>
  <c r="O289" i="1"/>
  <c r="AJ289" i="1"/>
  <c r="X289" i="1"/>
  <c r="AC289" i="1"/>
  <c r="Q289" i="1"/>
  <c r="A290" i="1"/>
  <c r="L289" i="1"/>
  <c r="U289" i="1"/>
  <c r="T289" i="1" s="1"/>
  <c r="K283" i="23"/>
  <c r="X283" i="23"/>
  <c r="L283" i="23"/>
  <c r="A284" i="23"/>
  <c r="AB283" i="23"/>
  <c r="AJ283" i="23"/>
  <c r="AK283" i="23"/>
  <c r="O283" i="23"/>
  <c r="AC283" i="23"/>
  <c r="X284" i="22"/>
  <c r="AB284" i="22"/>
  <c r="A285" i="22"/>
  <c r="K284" i="22"/>
  <c r="L284" i="22"/>
  <c r="AJ284" i="22"/>
  <c r="AK284" i="22"/>
  <c r="O284" i="22"/>
  <c r="AC284" i="22"/>
  <c r="AA286" i="1"/>
  <c r="Z286" i="1" s="1"/>
  <c r="Y286" i="1" s="1"/>
  <c r="I286" i="1"/>
  <c r="G286" i="1"/>
  <c r="BW286" i="6" s="1"/>
  <c r="A283" i="24"/>
  <c r="AB282" i="24"/>
  <c r="K282" i="24"/>
  <c r="X282" i="24"/>
  <c r="L282" i="24"/>
  <c r="AJ282" i="24"/>
  <c r="AK282" i="24"/>
  <c r="O282" i="24"/>
  <c r="AC282" i="24"/>
  <c r="AA287" i="1" l="1"/>
  <c r="Z287" i="1" s="1"/>
  <c r="Y287" i="1" s="1"/>
  <c r="I287" i="1"/>
  <c r="L289" i="15"/>
  <c r="D289" i="15" s="1"/>
  <c r="AK289" i="15"/>
  <c r="A290" i="15"/>
  <c r="AJ289" i="15"/>
  <c r="AB289" i="15"/>
  <c r="X289" i="15"/>
  <c r="O289" i="15"/>
  <c r="K289" i="15"/>
  <c r="AC289" i="15"/>
  <c r="E288" i="15"/>
  <c r="E287" i="16"/>
  <c r="AB288" i="16"/>
  <c r="L288" i="16"/>
  <c r="D288" i="16" s="1"/>
  <c r="K288" i="16"/>
  <c r="AK288" i="16"/>
  <c r="O288" i="16"/>
  <c r="A289" i="16"/>
  <c r="X288" i="16"/>
  <c r="AJ288" i="16"/>
  <c r="AC288" i="16"/>
  <c r="A284" i="24"/>
  <c r="X283" i="24"/>
  <c r="L283" i="24"/>
  <c r="AB283" i="24"/>
  <c r="K283" i="24"/>
  <c r="AJ283" i="24"/>
  <c r="AK283" i="24"/>
  <c r="O283" i="24"/>
  <c r="AC283" i="24"/>
  <c r="AB285" i="22"/>
  <c r="A286" i="22"/>
  <c r="L285" i="22"/>
  <c r="K285" i="22"/>
  <c r="X285" i="22"/>
  <c r="AJ285" i="22"/>
  <c r="AK285" i="22"/>
  <c r="O285" i="22"/>
  <c r="AC285" i="22"/>
  <c r="K284" i="23"/>
  <c r="X284" i="23"/>
  <c r="AB284" i="23"/>
  <c r="A285" i="23"/>
  <c r="L284" i="23"/>
  <c r="AK284" i="23"/>
  <c r="AJ284" i="23"/>
  <c r="O284" i="23"/>
  <c r="AC284" i="23"/>
  <c r="D289" i="1"/>
  <c r="E289" i="1" s="1"/>
  <c r="S288" i="1"/>
  <c r="R288" i="1" s="1"/>
  <c r="P288" i="1" s="1"/>
  <c r="AB286" i="20"/>
  <c r="L286" i="20"/>
  <c r="K286" i="20"/>
  <c r="A287" i="20"/>
  <c r="X286" i="20"/>
  <c r="AK286" i="20"/>
  <c r="AJ286" i="20"/>
  <c r="O286" i="20"/>
  <c r="AC286" i="20"/>
  <c r="A288" i="18"/>
  <c r="AB287" i="18"/>
  <c r="L287" i="18"/>
  <c r="K287" i="18"/>
  <c r="X287" i="18"/>
  <c r="AJ287" i="18"/>
  <c r="AK287" i="18"/>
  <c r="O287" i="18"/>
  <c r="AC287" i="18"/>
  <c r="S289" i="1"/>
  <c r="R289" i="1" s="1"/>
  <c r="P289" i="1" s="1"/>
  <c r="V289" i="1" s="1"/>
  <c r="A291" i="1"/>
  <c r="AJ290" i="1"/>
  <c r="AC290" i="1"/>
  <c r="X290" i="1"/>
  <c r="L290" i="1"/>
  <c r="AK290" i="1"/>
  <c r="O290" i="1"/>
  <c r="K290" i="1"/>
  <c r="AB290" i="1"/>
  <c r="Q290" i="1"/>
  <c r="U290" i="1"/>
  <c r="T290" i="1" s="1"/>
  <c r="AB288" i="17"/>
  <c r="X288" i="17"/>
  <c r="L288" i="17"/>
  <c r="A289" i="17"/>
  <c r="K288" i="17"/>
  <c r="AJ288" i="17"/>
  <c r="O288" i="17"/>
  <c r="AK288" i="17"/>
  <c r="AC288" i="17"/>
  <c r="A283" i="25"/>
  <c r="X282" i="25"/>
  <c r="K282" i="25"/>
  <c r="AB282" i="25"/>
  <c r="L282" i="25"/>
  <c r="AJ282" i="25"/>
  <c r="O282" i="25"/>
  <c r="AK282" i="25"/>
  <c r="AC282" i="25"/>
  <c r="L290" i="15" l="1"/>
  <c r="D290" i="15" s="1"/>
  <c r="AK290" i="15"/>
  <c r="X290" i="15"/>
  <c r="AB290" i="15"/>
  <c r="AC290" i="15"/>
  <c r="K290" i="15"/>
  <c r="O290" i="15"/>
  <c r="A291" i="15"/>
  <c r="AJ290" i="15"/>
  <c r="E289" i="15"/>
  <c r="E288" i="16"/>
  <c r="AB289" i="16"/>
  <c r="L289" i="16"/>
  <c r="D289" i="16" s="1"/>
  <c r="A290" i="16"/>
  <c r="AK289" i="16"/>
  <c r="O289" i="16"/>
  <c r="K289" i="16"/>
  <c r="X289" i="16"/>
  <c r="AJ289" i="16"/>
  <c r="AC289" i="16"/>
  <c r="V288" i="1"/>
  <c r="F288" i="1" s="1"/>
  <c r="A284" i="25"/>
  <c r="L283" i="25"/>
  <c r="AB283" i="25"/>
  <c r="X283" i="25"/>
  <c r="K283" i="25"/>
  <c r="AJ283" i="25"/>
  <c r="O283" i="25"/>
  <c r="AK283" i="25"/>
  <c r="AC283" i="25"/>
  <c r="K289" i="17"/>
  <c r="L289" i="17"/>
  <c r="AB289" i="17"/>
  <c r="X289" i="17"/>
  <c r="A290" i="17"/>
  <c r="AK289" i="17"/>
  <c r="AJ289" i="17"/>
  <c r="O289" i="17"/>
  <c r="AC289" i="17"/>
  <c r="S290" i="1"/>
  <c r="R290" i="1" s="1"/>
  <c r="P290" i="1" s="1"/>
  <c r="V290" i="1" s="1"/>
  <c r="D290" i="1"/>
  <c r="E290" i="1" s="1"/>
  <c r="A292" i="1"/>
  <c r="K291" i="1"/>
  <c r="AK291" i="1"/>
  <c r="AC291" i="1"/>
  <c r="L291" i="1"/>
  <c r="AB291" i="1"/>
  <c r="Q291" i="1"/>
  <c r="O291" i="1"/>
  <c r="AJ291" i="1"/>
  <c r="X291" i="1"/>
  <c r="U291" i="1"/>
  <c r="T291" i="1" s="1"/>
  <c r="A289" i="18"/>
  <c r="AB288" i="18"/>
  <c r="AJ288" i="18"/>
  <c r="X288" i="18"/>
  <c r="L288" i="18"/>
  <c r="K288" i="18"/>
  <c r="O288" i="18"/>
  <c r="AK288" i="18"/>
  <c r="AC288" i="18"/>
  <c r="A288" i="20"/>
  <c r="K287" i="20"/>
  <c r="X287" i="20"/>
  <c r="L287" i="20"/>
  <c r="AB287" i="20"/>
  <c r="AJ287" i="20"/>
  <c r="AK287" i="20"/>
  <c r="O287" i="20"/>
  <c r="AC287" i="20"/>
  <c r="K286" i="22"/>
  <c r="A287" i="22"/>
  <c r="AB286" i="22"/>
  <c r="X286" i="22"/>
  <c r="L286" i="22"/>
  <c r="AJ286" i="22"/>
  <c r="AK286" i="22"/>
  <c r="O286" i="22"/>
  <c r="AC286" i="22"/>
  <c r="F289" i="1"/>
  <c r="A286" i="23"/>
  <c r="AB285" i="23"/>
  <c r="X285" i="23"/>
  <c r="L285" i="23"/>
  <c r="K285" i="23"/>
  <c r="AJ285" i="23"/>
  <c r="AK285" i="23"/>
  <c r="O285" i="23"/>
  <c r="AC285" i="23"/>
  <c r="AB284" i="24"/>
  <c r="L284" i="24"/>
  <c r="A285" i="24"/>
  <c r="K284" i="24"/>
  <c r="X284" i="24"/>
  <c r="AJ284" i="24"/>
  <c r="AK284" i="24"/>
  <c r="O284" i="24"/>
  <c r="AC284" i="24"/>
  <c r="E290" i="15" l="1"/>
  <c r="AB291" i="15"/>
  <c r="AJ291" i="15"/>
  <c r="L291" i="15"/>
  <c r="D291" i="15" s="1"/>
  <c r="X291" i="15"/>
  <c r="AC291" i="15"/>
  <c r="A292" i="15"/>
  <c r="O291" i="15"/>
  <c r="E291" i="15" s="1"/>
  <c r="K291" i="15"/>
  <c r="AK291" i="15"/>
  <c r="E289" i="16"/>
  <c r="K290" i="16"/>
  <c r="L290" i="16"/>
  <c r="D290" i="16" s="1"/>
  <c r="AJ290" i="16"/>
  <c r="AC290" i="16"/>
  <c r="X290" i="16"/>
  <c r="A291" i="16"/>
  <c r="AB290" i="16"/>
  <c r="AK290" i="16"/>
  <c r="O290" i="16"/>
  <c r="X285" i="24"/>
  <c r="K285" i="24"/>
  <c r="AB285" i="24"/>
  <c r="A286" i="24"/>
  <c r="L285" i="24"/>
  <c r="AJ285" i="24"/>
  <c r="AK285" i="24"/>
  <c r="O285" i="24"/>
  <c r="AC285" i="24"/>
  <c r="A287" i="23"/>
  <c r="AB286" i="23"/>
  <c r="K286" i="23"/>
  <c r="L286" i="23"/>
  <c r="X286" i="23"/>
  <c r="AJ286" i="23"/>
  <c r="AK286" i="23"/>
  <c r="O286" i="23"/>
  <c r="AC286" i="23"/>
  <c r="AB287" i="22"/>
  <c r="K287" i="22"/>
  <c r="L287" i="22"/>
  <c r="A288" i="22"/>
  <c r="X287" i="22"/>
  <c r="AK287" i="22"/>
  <c r="AJ287" i="22"/>
  <c r="O287" i="22"/>
  <c r="AC287" i="22"/>
  <c r="K288" i="20"/>
  <c r="X288" i="20"/>
  <c r="L288" i="20"/>
  <c r="AB288" i="20"/>
  <c r="A289" i="20"/>
  <c r="AJ288" i="20"/>
  <c r="AK288" i="20"/>
  <c r="O288" i="20"/>
  <c r="AC288" i="20"/>
  <c r="S291" i="1"/>
  <c r="R291" i="1" s="1"/>
  <c r="P291" i="1" s="1"/>
  <c r="V291" i="1" s="1"/>
  <c r="D291" i="1"/>
  <c r="K292" i="1"/>
  <c r="O292" i="1"/>
  <c r="L292" i="1"/>
  <c r="AB292" i="1"/>
  <c r="AC292" i="1"/>
  <c r="AJ292" i="1"/>
  <c r="Q292" i="1"/>
  <c r="A293" i="1"/>
  <c r="X292" i="1"/>
  <c r="AK292" i="1"/>
  <c r="U292" i="1"/>
  <c r="K290" i="17"/>
  <c r="L290" i="17"/>
  <c r="AB290" i="17"/>
  <c r="A291" i="17"/>
  <c r="X290" i="17"/>
  <c r="AJ290" i="17"/>
  <c r="O290" i="17"/>
  <c r="AK290" i="17"/>
  <c r="AC290" i="17"/>
  <c r="A285" i="25"/>
  <c r="K284" i="25"/>
  <c r="AB284" i="25"/>
  <c r="X284" i="25"/>
  <c r="L284" i="25"/>
  <c r="AK284" i="25"/>
  <c r="AJ284" i="25"/>
  <c r="O284" i="25"/>
  <c r="AC284" i="25"/>
  <c r="G289" i="1"/>
  <c r="BW289" i="6" s="1"/>
  <c r="AA289" i="1"/>
  <c r="Z289" i="1" s="1"/>
  <c r="Y289" i="1" s="1"/>
  <c r="I289" i="1"/>
  <c r="X289" i="18"/>
  <c r="AJ289" i="18"/>
  <c r="L289" i="18"/>
  <c r="AB289" i="18"/>
  <c r="K289" i="18"/>
  <c r="A290" i="18"/>
  <c r="O289" i="18"/>
  <c r="AK289" i="18"/>
  <c r="AC289" i="18"/>
  <c r="E291" i="1"/>
  <c r="F290" i="1"/>
  <c r="I288" i="1"/>
  <c r="G288" i="1"/>
  <c r="BW288" i="6" s="1"/>
  <c r="AA288" i="1"/>
  <c r="Z288" i="1" s="1"/>
  <c r="Y288" i="1" s="1"/>
  <c r="A293" i="15" l="1"/>
  <c r="AJ292" i="15"/>
  <c r="K292" i="15"/>
  <c r="AK292" i="15"/>
  <c r="X292" i="15"/>
  <c r="L292" i="15"/>
  <c r="D292" i="15" s="1"/>
  <c r="AC292" i="15"/>
  <c r="AB292" i="15"/>
  <c r="O292" i="15"/>
  <c r="E290" i="16"/>
  <c r="F291" i="1"/>
  <c r="AA291" i="1" s="1"/>
  <c r="Z291" i="1" s="1"/>
  <c r="Y291" i="1" s="1"/>
  <c r="L291" i="16"/>
  <c r="D291" i="16" s="1"/>
  <c r="A292" i="16"/>
  <c r="AB291" i="16"/>
  <c r="AJ291" i="16"/>
  <c r="O291" i="16"/>
  <c r="K291" i="16"/>
  <c r="X291" i="16"/>
  <c r="AK291" i="16"/>
  <c r="AC291" i="16"/>
  <c r="K290" i="18"/>
  <c r="X290" i="18"/>
  <c r="AB290" i="18"/>
  <c r="L290" i="18"/>
  <c r="A291" i="18"/>
  <c r="AJ290" i="18"/>
  <c r="AK290" i="18"/>
  <c r="O290" i="18"/>
  <c r="AC290" i="18"/>
  <c r="I290" i="1"/>
  <c r="AA290" i="1"/>
  <c r="Z290" i="1" s="1"/>
  <c r="Y290" i="1" s="1"/>
  <c r="G290" i="1"/>
  <c r="BW290" i="6" s="1"/>
  <c r="A286" i="25"/>
  <c r="AB285" i="25"/>
  <c r="L285" i="25"/>
  <c r="K285" i="25"/>
  <c r="X285" i="25"/>
  <c r="AJ285" i="25"/>
  <c r="O285" i="25"/>
  <c r="AK285" i="25"/>
  <c r="AC285" i="25"/>
  <c r="A292" i="17"/>
  <c r="L291" i="17"/>
  <c r="X291" i="17"/>
  <c r="K291" i="17"/>
  <c r="AB291" i="17"/>
  <c r="AJ291" i="17"/>
  <c r="O291" i="17"/>
  <c r="AK291" i="17"/>
  <c r="AC291" i="17"/>
  <c r="T292" i="1"/>
  <c r="D292" i="1"/>
  <c r="E292" i="1" s="1"/>
  <c r="X287" i="23"/>
  <c r="L287" i="23"/>
  <c r="AB287" i="23"/>
  <c r="K287" i="23"/>
  <c r="A288" i="23"/>
  <c r="AJ287" i="23"/>
  <c r="AK287" i="23"/>
  <c r="O287" i="23"/>
  <c r="AC287" i="23"/>
  <c r="AB286" i="24"/>
  <c r="L286" i="24"/>
  <c r="A287" i="24"/>
  <c r="K286" i="24"/>
  <c r="X286" i="24"/>
  <c r="AJ286" i="24"/>
  <c r="AK286" i="24"/>
  <c r="O286" i="24"/>
  <c r="AC286" i="24"/>
  <c r="AK293" i="1"/>
  <c r="AC293" i="1"/>
  <c r="O293" i="1"/>
  <c r="X293" i="1"/>
  <c r="K293" i="1"/>
  <c r="L293" i="1"/>
  <c r="AJ293" i="1"/>
  <c r="A294" i="1"/>
  <c r="AB293" i="1"/>
  <c r="Q293" i="1"/>
  <c r="U293" i="1"/>
  <c r="T293" i="1" s="1"/>
  <c r="S293" i="1" s="1"/>
  <c r="R293" i="1" s="1"/>
  <c r="A290" i="20"/>
  <c r="AB289" i="20"/>
  <c r="X289" i="20"/>
  <c r="L289" i="20"/>
  <c r="K289" i="20"/>
  <c r="AK289" i="20"/>
  <c r="AJ289" i="20"/>
  <c r="O289" i="20"/>
  <c r="AC289" i="20"/>
  <c r="X288" i="22"/>
  <c r="A289" i="22"/>
  <c r="K288" i="22"/>
  <c r="AB288" i="22"/>
  <c r="L288" i="22"/>
  <c r="AK288" i="22"/>
  <c r="AJ288" i="22"/>
  <c r="O288" i="22"/>
  <c r="AC288" i="22"/>
  <c r="G291" i="1" l="1"/>
  <c r="BW291" i="6" s="1"/>
  <c r="K293" i="15"/>
  <c r="O293" i="15"/>
  <c r="AB293" i="15"/>
  <c r="AK293" i="15"/>
  <c r="L293" i="15"/>
  <c r="D293" i="15" s="1"/>
  <c r="AJ293" i="15"/>
  <c r="A294" i="15"/>
  <c r="X293" i="15"/>
  <c r="AC293" i="15"/>
  <c r="I291" i="1"/>
  <c r="E292" i="15"/>
  <c r="A293" i="16"/>
  <c r="X292" i="16"/>
  <c r="L292" i="16"/>
  <c r="D292" i="16" s="1"/>
  <c r="AK292" i="16"/>
  <c r="O292" i="16"/>
  <c r="AB292" i="16"/>
  <c r="K292" i="16"/>
  <c r="AJ292" i="16"/>
  <c r="AC292" i="16"/>
  <c r="P293" i="1"/>
  <c r="E291" i="16"/>
  <c r="X289" i="22"/>
  <c r="K289" i="22"/>
  <c r="A290" i="22"/>
  <c r="L289" i="22"/>
  <c r="AB289" i="22"/>
  <c r="AK289" i="22"/>
  <c r="AJ289" i="22"/>
  <c r="O289" i="22"/>
  <c r="AC289" i="22"/>
  <c r="X290" i="20"/>
  <c r="AB290" i="20"/>
  <c r="L290" i="20"/>
  <c r="A291" i="20"/>
  <c r="K290" i="20"/>
  <c r="AJ290" i="20"/>
  <c r="AK290" i="20"/>
  <c r="O290" i="20"/>
  <c r="AC290" i="20"/>
  <c r="K294" i="1"/>
  <c r="L294" i="1"/>
  <c r="AB294" i="1"/>
  <c r="A295" i="1"/>
  <c r="X294" i="1"/>
  <c r="AC294" i="1"/>
  <c r="AK294" i="1"/>
  <c r="O294" i="1"/>
  <c r="AJ294" i="1"/>
  <c r="Q294" i="1"/>
  <c r="U294" i="1"/>
  <c r="T294" i="1" s="1"/>
  <c r="D293" i="1"/>
  <c r="V293" i="1"/>
  <c r="A289" i="23"/>
  <c r="X288" i="23"/>
  <c r="L288" i="23"/>
  <c r="AB288" i="23"/>
  <c r="K288" i="23"/>
  <c r="AJ288" i="23"/>
  <c r="AK288" i="23"/>
  <c r="O288" i="23"/>
  <c r="AC288" i="23"/>
  <c r="K292" i="17"/>
  <c r="AB292" i="17"/>
  <c r="A293" i="17"/>
  <c r="L292" i="17"/>
  <c r="X292" i="17"/>
  <c r="AK292" i="17"/>
  <c r="AJ292" i="17"/>
  <c r="O292" i="17"/>
  <c r="AC292" i="17"/>
  <c r="E293" i="1"/>
  <c r="AB287" i="24"/>
  <c r="A288" i="24"/>
  <c r="L287" i="24"/>
  <c r="K287" i="24"/>
  <c r="X287" i="24"/>
  <c r="AJ287" i="24"/>
  <c r="AK287" i="24"/>
  <c r="O287" i="24"/>
  <c r="AC287" i="24"/>
  <c r="S292" i="1"/>
  <c r="R292" i="1" s="1"/>
  <c r="P292" i="1" s="1"/>
  <c r="V292" i="1" s="1"/>
  <c r="A287" i="25"/>
  <c r="L286" i="25"/>
  <c r="AB286" i="25"/>
  <c r="X286" i="25"/>
  <c r="K286" i="25"/>
  <c r="AJ286" i="25"/>
  <c r="O286" i="25"/>
  <c r="AK286" i="25"/>
  <c r="AC286" i="25"/>
  <c r="L291" i="18"/>
  <c r="X291" i="18"/>
  <c r="AJ291" i="18"/>
  <c r="K291" i="18"/>
  <c r="AB291" i="18"/>
  <c r="A292" i="18"/>
  <c r="O291" i="18"/>
  <c r="AK291" i="18"/>
  <c r="AC291" i="18"/>
  <c r="A295" i="15" l="1"/>
  <c r="AC294" i="15"/>
  <c r="L294" i="15"/>
  <c r="D294" i="15" s="1"/>
  <c r="AK294" i="15"/>
  <c r="X294" i="15"/>
  <c r="AJ294" i="15"/>
  <c r="AB294" i="15"/>
  <c r="K294" i="15"/>
  <c r="O294" i="15"/>
  <c r="E293" i="15"/>
  <c r="F292" i="1"/>
  <c r="G292" i="1" s="1"/>
  <c r="BW292" i="6" s="1"/>
  <c r="E292" i="16"/>
  <c r="AB293" i="16"/>
  <c r="A294" i="16"/>
  <c r="X293" i="16"/>
  <c r="AK293" i="16"/>
  <c r="O293" i="16"/>
  <c r="L293" i="16"/>
  <c r="D293" i="16" s="1"/>
  <c r="K293" i="16"/>
  <c r="AJ293" i="16"/>
  <c r="AC293" i="16"/>
  <c r="A293" i="18"/>
  <c r="AB292" i="18"/>
  <c r="AJ292" i="18"/>
  <c r="X292" i="18"/>
  <c r="L292" i="18"/>
  <c r="K292" i="18"/>
  <c r="O292" i="18"/>
  <c r="AK292" i="18"/>
  <c r="AC292" i="18"/>
  <c r="K287" i="25"/>
  <c r="A288" i="25"/>
  <c r="AB287" i="25"/>
  <c r="X287" i="25"/>
  <c r="L287" i="25"/>
  <c r="AJ287" i="25"/>
  <c r="O287" i="25"/>
  <c r="AK287" i="25"/>
  <c r="AC287" i="25"/>
  <c r="AB288" i="24"/>
  <c r="X288" i="24"/>
  <c r="L288" i="24"/>
  <c r="A289" i="24"/>
  <c r="K288" i="24"/>
  <c r="AK288" i="24"/>
  <c r="O288" i="24"/>
  <c r="AJ288" i="24"/>
  <c r="AC288" i="24"/>
  <c r="A294" i="17"/>
  <c r="AB293" i="17"/>
  <c r="X293" i="17"/>
  <c r="K293" i="17"/>
  <c r="L293" i="17"/>
  <c r="AJ293" i="17"/>
  <c r="O293" i="17"/>
  <c r="AK293" i="17"/>
  <c r="AC293" i="17"/>
  <c r="A290" i="23"/>
  <c r="X289" i="23"/>
  <c r="L289" i="23"/>
  <c r="AB289" i="23"/>
  <c r="K289" i="23"/>
  <c r="AJ289" i="23"/>
  <c r="AK289" i="23"/>
  <c r="O289" i="23"/>
  <c r="AC289" i="23"/>
  <c r="F293" i="1"/>
  <c r="S294" i="1"/>
  <c r="R294" i="1" s="1"/>
  <c r="P294" i="1" s="1"/>
  <c r="V294" i="1" s="1"/>
  <c r="X291" i="20"/>
  <c r="L291" i="20"/>
  <c r="K291" i="20"/>
  <c r="AB291" i="20"/>
  <c r="A292" i="20"/>
  <c r="AJ291" i="20"/>
  <c r="AK291" i="20"/>
  <c r="O291" i="20"/>
  <c r="AC291" i="20"/>
  <c r="A291" i="22"/>
  <c r="K290" i="22"/>
  <c r="AB290" i="22"/>
  <c r="X290" i="22"/>
  <c r="L290" i="22"/>
  <c r="AJ290" i="22"/>
  <c r="AK290" i="22"/>
  <c r="O290" i="22"/>
  <c r="AC290" i="22"/>
  <c r="X295" i="1"/>
  <c r="AC295" i="1"/>
  <c r="Q295" i="1"/>
  <c r="AJ295" i="1"/>
  <c r="AK295" i="1"/>
  <c r="L295" i="1"/>
  <c r="K295" i="1"/>
  <c r="AB295" i="1"/>
  <c r="O295" i="1"/>
  <c r="A296" i="1"/>
  <c r="U295" i="1"/>
  <c r="T295" i="1" s="1"/>
  <c r="D294" i="1"/>
  <c r="E294" i="1" s="1"/>
  <c r="AA292" i="1" l="1"/>
  <c r="Z292" i="1" s="1"/>
  <c r="Y292" i="1" s="1"/>
  <c r="E294" i="15"/>
  <c r="X295" i="15"/>
  <c r="O295" i="15"/>
  <c r="A296" i="15"/>
  <c r="AK295" i="15"/>
  <c r="K295" i="15"/>
  <c r="AJ295" i="15"/>
  <c r="AB295" i="15"/>
  <c r="L295" i="15"/>
  <c r="D295" i="15" s="1"/>
  <c r="E295" i="15" s="1"/>
  <c r="AC295" i="15"/>
  <c r="F294" i="1"/>
  <c r="G294" i="1" s="1"/>
  <c r="BW294" i="6" s="1"/>
  <c r="I292" i="1"/>
  <c r="E293" i="16"/>
  <c r="A295" i="16"/>
  <c r="K294" i="16"/>
  <c r="X294" i="16"/>
  <c r="AK294" i="16"/>
  <c r="O294" i="16"/>
  <c r="AB294" i="16"/>
  <c r="L294" i="16"/>
  <c r="D294" i="16" s="1"/>
  <c r="E294" i="16" s="1"/>
  <c r="AJ294" i="16"/>
  <c r="AC294" i="16"/>
  <c r="I294" i="1"/>
  <c r="A293" i="20"/>
  <c r="X292" i="20"/>
  <c r="AB292" i="20"/>
  <c r="L292" i="20"/>
  <c r="K292" i="20"/>
  <c r="AJ292" i="20"/>
  <c r="AK292" i="20"/>
  <c r="O292" i="20"/>
  <c r="AC292" i="20"/>
  <c r="X290" i="23"/>
  <c r="L290" i="23"/>
  <c r="A291" i="23"/>
  <c r="AB290" i="23"/>
  <c r="K290" i="23"/>
  <c r="AK290" i="23"/>
  <c r="AJ290" i="23"/>
  <c r="O290" i="23"/>
  <c r="AC290" i="23"/>
  <c r="AB294" i="17"/>
  <c r="L294" i="17"/>
  <c r="K294" i="17"/>
  <c r="X294" i="17"/>
  <c r="A295" i="17"/>
  <c r="AJ294" i="17"/>
  <c r="AK294" i="17"/>
  <c r="O294" i="17"/>
  <c r="AC294" i="17"/>
  <c r="X289" i="24"/>
  <c r="A290" i="24"/>
  <c r="L289" i="24"/>
  <c r="AB289" i="24"/>
  <c r="K289" i="24"/>
  <c r="AJ289" i="24"/>
  <c r="AK289" i="24"/>
  <c r="O289" i="24"/>
  <c r="AC289" i="24"/>
  <c r="X288" i="25"/>
  <c r="A289" i="25"/>
  <c r="L288" i="25"/>
  <c r="AB288" i="25"/>
  <c r="K288" i="25"/>
  <c r="AJ288" i="25"/>
  <c r="O288" i="25"/>
  <c r="AK288" i="25"/>
  <c r="AC288" i="25"/>
  <c r="K293" i="18"/>
  <c r="X293" i="18"/>
  <c r="AB293" i="18"/>
  <c r="L293" i="18"/>
  <c r="A294" i="18"/>
  <c r="AJ293" i="18"/>
  <c r="O293" i="18"/>
  <c r="AK293" i="18"/>
  <c r="AC293" i="18"/>
  <c r="S295" i="1"/>
  <c r="R295" i="1" s="1"/>
  <c r="P295" i="1" s="1"/>
  <c r="V295" i="1" s="1"/>
  <c r="A297" i="1"/>
  <c r="X296" i="1"/>
  <c r="AJ296" i="1"/>
  <c r="Q296" i="1"/>
  <c r="AC296" i="1"/>
  <c r="AB296" i="1"/>
  <c r="L296" i="1"/>
  <c r="AK296" i="1"/>
  <c r="K296" i="1"/>
  <c r="O296" i="1"/>
  <c r="U296" i="1"/>
  <c r="T296" i="1" s="1"/>
  <c r="D295" i="1"/>
  <c r="E295" i="1" s="1"/>
  <c r="X291" i="22"/>
  <c r="AB291" i="22"/>
  <c r="K291" i="22"/>
  <c r="A292" i="22"/>
  <c r="L291" i="22"/>
  <c r="AJ291" i="22"/>
  <c r="AK291" i="22"/>
  <c r="O291" i="22"/>
  <c r="AC291" i="22"/>
  <c r="AA293" i="1"/>
  <c r="Z293" i="1" s="1"/>
  <c r="Y293" i="1" s="1"/>
  <c r="I293" i="1"/>
  <c r="G293" i="1"/>
  <c r="BW293" i="6" s="1"/>
  <c r="AA294" i="1" l="1"/>
  <c r="Z294" i="1" s="1"/>
  <c r="Y294" i="1" s="1"/>
  <c r="A297" i="15"/>
  <c r="AK296" i="15"/>
  <c r="AC296" i="15"/>
  <c r="L296" i="15"/>
  <c r="D296" i="15" s="1"/>
  <c r="K296" i="15"/>
  <c r="AB296" i="15"/>
  <c r="O296" i="15"/>
  <c r="X296" i="15"/>
  <c r="AJ296" i="15"/>
  <c r="A296" i="16"/>
  <c r="X295" i="16"/>
  <c r="AK295" i="16"/>
  <c r="AC295" i="16"/>
  <c r="AB295" i="16"/>
  <c r="L295" i="16"/>
  <c r="D295" i="16" s="1"/>
  <c r="K295" i="16"/>
  <c r="AJ295" i="16"/>
  <c r="O295" i="16"/>
  <c r="F295" i="1"/>
  <c r="X294" i="18"/>
  <c r="AJ294" i="18"/>
  <c r="A295" i="18"/>
  <c r="AB294" i="18"/>
  <c r="K294" i="18"/>
  <c r="L294" i="18"/>
  <c r="AK294" i="18"/>
  <c r="O294" i="18"/>
  <c r="AC294" i="18"/>
  <c r="AB289" i="25"/>
  <c r="K289" i="25"/>
  <c r="A290" i="25"/>
  <c r="X289" i="25"/>
  <c r="L289" i="25"/>
  <c r="AJ289" i="25"/>
  <c r="AK289" i="25"/>
  <c r="O289" i="25"/>
  <c r="AC289" i="25"/>
  <c r="AB293" i="20"/>
  <c r="L293" i="20"/>
  <c r="X293" i="20"/>
  <c r="K293" i="20"/>
  <c r="A294" i="20"/>
  <c r="AJ293" i="20"/>
  <c r="AK293" i="20"/>
  <c r="O293" i="20"/>
  <c r="AC293" i="20"/>
  <c r="K292" i="22"/>
  <c r="X292" i="22"/>
  <c r="A293" i="22"/>
  <c r="AB292" i="22"/>
  <c r="L292" i="22"/>
  <c r="AJ292" i="22"/>
  <c r="AK292" i="22"/>
  <c r="O292" i="22"/>
  <c r="AC292" i="22"/>
  <c r="S296" i="1"/>
  <c r="R296" i="1" s="1"/>
  <c r="P296" i="1" s="1"/>
  <c r="V296" i="1" s="1"/>
  <c r="D296" i="1"/>
  <c r="E296" i="1" s="1"/>
  <c r="Q297" i="1"/>
  <c r="K297" i="1"/>
  <c r="A298" i="1"/>
  <c r="AB297" i="1"/>
  <c r="AJ297" i="1"/>
  <c r="AK297" i="1"/>
  <c r="L297" i="1"/>
  <c r="O297" i="1"/>
  <c r="AC297" i="1"/>
  <c r="X297" i="1"/>
  <c r="U297" i="1"/>
  <c r="T297" i="1" s="1"/>
  <c r="S297" i="1" s="1"/>
  <c r="R297" i="1" s="1"/>
  <c r="A291" i="24"/>
  <c r="K290" i="24"/>
  <c r="X290" i="24"/>
  <c r="L290" i="24"/>
  <c r="AB290" i="24"/>
  <c r="AJ290" i="24"/>
  <c r="AK290" i="24"/>
  <c r="O290" i="24"/>
  <c r="AC290" i="24"/>
  <c r="AB295" i="17"/>
  <c r="K295" i="17"/>
  <c r="L295" i="17"/>
  <c r="A296" i="17"/>
  <c r="X295" i="17"/>
  <c r="AK295" i="17"/>
  <c r="AJ295" i="17"/>
  <c r="O295" i="17"/>
  <c r="AC295" i="17"/>
  <c r="A292" i="23"/>
  <c r="AB291" i="23"/>
  <c r="L291" i="23"/>
  <c r="K291" i="23"/>
  <c r="X291" i="23"/>
  <c r="AJ291" i="23"/>
  <c r="AK291" i="23"/>
  <c r="O291" i="23"/>
  <c r="AC291" i="23"/>
  <c r="P297" i="1" l="1"/>
  <c r="V297" i="1" s="1"/>
  <c r="X297" i="15"/>
  <c r="AJ297" i="15"/>
  <c r="A298" i="15"/>
  <c r="K297" i="15"/>
  <c r="AC297" i="15"/>
  <c r="AB297" i="15"/>
  <c r="O297" i="15"/>
  <c r="L297" i="15"/>
  <c r="D297" i="15" s="1"/>
  <c r="AK297" i="15"/>
  <c r="E296" i="15"/>
  <c r="K296" i="16"/>
  <c r="AB296" i="16"/>
  <c r="AJ296" i="16"/>
  <c r="AC296" i="16"/>
  <c r="L296" i="16"/>
  <c r="D296" i="16" s="1"/>
  <c r="X296" i="16"/>
  <c r="A297" i="16"/>
  <c r="AK296" i="16"/>
  <c r="O296" i="16"/>
  <c r="F296" i="1"/>
  <c r="I296" i="1" s="1"/>
  <c r="E295" i="16"/>
  <c r="D297" i="1"/>
  <c r="E297" i="1" s="1"/>
  <c r="A299" i="1"/>
  <c r="AJ298" i="1"/>
  <c r="O298" i="1"/>
  <c r="X298" i="1"/>
  <c r="K298" i="1"/>
  <c r="L298" i="1"/>
  <c r="AB298" i="1"/>
  <c r="AC298" i="1"/>
  <c r="Q298" i="1"/>
  <c r="AK298" i="1"/>
  <c r="U298" i="1"/>
  <c r="T298" i="1" s="1"/>
  <c r="AB293" i="22"/>
  <c r="L293" i="22"/>
  <c r="X293" i="22"/>
  <c r="K293" i="22"/>
  <c r="A294" i="22"/>
  <c r="AJ293" i="22"/>
  <c r="AK293" i="22"/>
  <c r="O293" i="22"/>
  <c r="AC293" i="22"/>
  <c r="X290" i="25"/>
  <c r="AB290" i="25"/>
  <c r="K290" i="25"/>
  <c r="L290" i="25"/>
  <c r="A291" i="25"/>
  <c r="AK290" i="25"/>
  <c r="AJ290" i="25"/>
  <c r="O290" i="25"/>
  <c r="AC290" i="25"/>
  <c r="AB292" i="23"/>
  <c r="L292" i="23"/>
  <c r="A293" i="23"/>
  <c r="X292" i="23"/>
  <c r="K292" i="23"/>
  <c r="AJ292" i="23"/>
  <c r="AK292" i="23"/>
  <c r="O292" i="23"/>
  <c r="AC292" i="23"/>
  <c r="X296" i="17"/>
  <c r="A297" i="17"/>
  <c r="L296" i="17"/>
  <c r="K296" i="17"/>
  <c r="AB296" i="17"/>
  <c r="AJ296" i="17"/>
  <c r="O296" i="17"/>
  <c r="AK296" i="17"/>
  <c r="AC296" i="17"/>
  <c r="X291" i="24"/>
  <c r="K291" i="24"/>
  <c r="A292" i="24"/>
  <c r="AB291" i="24"/>
  <c r="L291" i="24"/>
  <c r="AK291" i="24"/>
  <c r="AJ291" i="24"/>
  <c r="O291" i="24"/>
  <c r="AC291" i="24"/>
  <c r="X294" i="20"/>
  <c r="L294" i="20"/>
  <c r="K294" i="20"/>
  <c r="AB294" i="20"/>
  <c r="A295" i="20"/>
  <c r="AJ294" i="20"/>
  <c r="AK294" i="20"/>
  <c r="O294" i="20"/>
  <c r="AC294" i="20"/>
  <c r="L295" i="18"/>
  <c r="K295" i="18"/>
  <c r="AJ295" i="18"/>
  <c r="A296" i="18"/>
  <c r="AB295" i="18"/>
  <c r="X295" i="18"/>
  <c r="O295" i="18"/>
  <c r="AK295" i="18"/>
  <c r="AC295" i="18"/>
  <c r="I295" i="1"/>
  <c r="G295" i="1"/>
  <c r="BW295" i="6" s="1"/>
  <c r="AA295" i="1"/>
  <c r="Z295" i="1" s="1"/>
  <c r="Y295" i="1" s="1"/>
  <c r="A299" i="15" l="1"/>
  <c r="X298" i="15"/>
  <c r="AC298" i="15"/>
  <c r="K298" i="15"/>
  <c r="O298" i="15"/>
  <c r="L298" i="15"/>
  <c r="D298" i="15" s="1"/>
  <c r="AJ298" i="15"/>
  <c r="AB298" i="15"/>
  <c r="AK298" i="15"/>
  <c r="E297" i="15"/>
  <c r="G296" i="1"/>
  <c r="BW296" i="6" s="1"/>
  <c r="AA296" i="1"/>
  <c r="Z296" i="1" s="1"/>
  <c r="Y296" i="1" s="1"/>
  <c r="X297" i="16"/>
  <c r="L297" i="16"/>
  <c r="D297" i="16" s="1"/>
  <c r="AB297" i="16"/>
  <c r="AK297" i="16"/>
  <c r="O297" i="16"/>
  <c r="A298" i="16"/>
  <c r="K297" i="16"/>
  <c r="AJ297" i="16"/>
  <c r="AC297" i="16"/>
  <c r="E296" i="16"/>
  <c r="F297" i="1"/>
  <c r="I297" i="1" s="1"/>
  <c r="X292" i="24"/>
  <c r="K292" i="24"/>
  <c r="AB292" i="24"/>
  <c r="A293" i="24"/>
  <c r="L292" i="24"/>
  <c r="AJ292" i="24"/>
  <c r="AK292" i="24"/>
  <c r="O292" i="24"/>
  <c r="AC292" i="24"/>
  <c r="AB297" i="17"/>
  <c r="L297" i="17"/>
  <c r="K297" i="17"/>
  <c r="A298" i="17"/>
  <c r="X297" i="17"/>
  <c r="AJ297" i="17"/>
  <c r="AK297" i="17"/>
  <c r="O297" i="17"/>
  <c r="AC297" i="17"/>
  <c r="L293" i="23"/>
  <c r="A294" i="23"/>
  <c r="K293" i="23"/>
  <c r="X293" i="23"/>
  <c r="AB293" i="23"/>
  <c r="AJ293" i="23"/>
  <c r="AK293" i="23"/>
  <c r="O293" i="23"/>
  <c r="AC293" i="23"/>
  <c r="A292" i="25"/>
  <c r="L291" i="25"/>
  <c r="AB291" i="25"/>
  <c r="K291" i="25"/>
  <c r="X291" i="25"/>
  <c r="AJ291" i="25"/>
  <c r="O291" i="25"/>
  <c r="AK291" i="25"/>
  <c r="AC291" i="25"/>
  <c r="S298" i="1"/>
  <c r="R298" i="1" s="1"/>
  <c r="P298" i="1" s="1"/>
  <c r="V298" i="1" s="1"/>
  <c r="AK299" i="1"/>
  <c r="A300" i="1"/>
  <c r="X299" i="1"/>
  <c r="AJ299" i="1"/>
  <c r="O299" i="1"/>
  <c r="Q299" i="1"/>
  <c r="K299" i="1"/>
  <c r="L299" i="1"/>
  <c r="AB299" i="1"/>
  <c r="AC299" i="1"/>
  <c r="U299" i="1"/>
  <c r="T299" i="1" s="1"/>
  <c r="X296" i="18"/>
  <c r="AJ296" i="18"/>
  <c r="A297" i="18"/>
  <c r="K296" i="18"/>
  <c r="AB296" i="18"/>
  <c r="L296" i="18"/>
  <c r="O296" i="18"/>
  <c r="AK296" i="18"/>
  <c r="AC296" i="18"/>
  <c r="AB295" i="20"/>
  <c r="K295" i="20"/>
  <c r="L295" i="20"/>
  <c r="A296" i="20"/>
  <c r="X295" i="20"/>
  <c r="AK295" i="20"/>
  <c r="AJ295" i="20"/>
  <c r="O295" i="20"/>
  <c r="AC295" i="20"/>
  <c r="A295" i="22"/>
  <c r="K294" i="22"/>
  <c r="L294" i="22"/>
  <c r="X294" i="22"/>
  <c r="AB294" i="22"/>
  <c r="AJ294" i="22"/>
  <c r="AK294" i="22"/>
  <c r="O294" i="22"/>
  <c r="AC294" i="22"/>
  <c r="D298" i="1"/>
  <c r="E298" i="1" s="1"/>
  <c r="AA297" i="1" l="1"/>
  <c r="Z297" i="1" s="1"/>
  <c r="Y297" i="1" s="1"/>
  <c r="AB299" i="15"/>
  <c r="AK299" i="15"/>
  <c r="K299" i="15"/>
  <c r="AJ299" i="15"/>
  <c r="A300" i="15"/>
  <c r="X299" i="15"/>
  <c r="AC299" i="15"/>
  <c r="L299" i="15"/>
  <c r="D299" i="15" s="1"/>
  <c r="O299" i="15"/>
  <c r="E298" i="15"/>
  <c r="G297" i="1"/>
  <c r="BW297" i="6" s="1"/>
  <c r="F298" i="1"/>
  <c r="G298" i="1" s="1"/>
  <c r="BW298" i="6" s="1"/>
  <c r="X298" i="16"/>
  <c r="AB298" i="16"/>
  <c r="K298" i="16"/>
  <c r="AJ298" i="16"/>
  <c r="O298" i="16"/>
  <c r="A299" i="16"/>
  <c r="L298" i="16"/>
  <c r="D298" i="16" s="1"/>
  <c r="AK298" i="16"/>
  <c r="AC298" i="16"/>
  <c r="E297" i="16"/>
  <c r="D299" i="1"/>
  <c r="E299" i="1" s="1"/>
  <c r="X300" i="1"/>
  <c r="A301" i="1"/>
  <c r="O300" i="1"/>
  <c r="AC300" i="1"/>
  <c r="AB300" i="1"/>
  <c r="L300" i="1"/>
  <c r="AJ300" i="1"/>
  <c r="Q300" i="1"/>
  <c r="AK300" i="1"/>
  <c r="K300" i="1"/>
  <c r="U300" i="1"/>
  <c r="T300" i="1" s="1"/>
  <c r="S300" i="1" s="1"/>
  <c r="R300" i="1" s="1"/>
  <c r="X294" i="23"/>
  <c r="K294" i="23"/>
  <c r="L294" i="23"/>
  <c r="AB294" i="23"/>
  <c r="A295" i="23"/>
  <c r="AJ294" i="23"/>
  <c r="AK294" i="23"/>
  <c r="O294" i="23"/>
  <c r="AC294" i="23"/>
  <c r="X293" i="24"/>
  <c r="L293" i="24"/>
  <c r="K293" i="24"/>
  <c r="A294" i="24"/>
  <c r="AB293" i="24"/>
  <c r="AJ293" i="24"/>
  <c r="AK293" i="24"/>
  <c r="O293" i="24"/>
  <c r="AC293" i="24"/>
  <c r="A296" i="22"/>
  <c r="AB295" i="22"/>
  <c r="L295" i="22"/>
  <c r="K295" i="22"/>
  <c r="X295" i="22"/>
  <c r="AK295" i="22"/>
  <c r="AJ295" i="22"/>
  <c r="O295" i="22"/>
  <c r="AC295" i="22"/>
  <c r="X296" i="20"/>
  <c r="K296" i="20"/>
  <c r="AB296" i="20"/>
  <c r="L296" i="20"/>
  <c r="A297" i="20"/>
  <c r="AJ296" i="20"/>
  <c r="AK296" i="20"/>
  <c r="O296" i="20"/>
  <c r="AC296" i="20"/>
  <c r="K297" i="18"/>
  <c r="AJ297" i="18"/>
  <c r="L297" i="18"/>
  <c r="X297" i="18"/>
  <c r="A298" i="18"/>
  <c r="AB297" i="18"/>
  <c r="AK297" i="18"/>
  <c r="O297" i="18"/>
  <c r="AC297" i="18"/>
  <c r="S299" i="1"/>
  <c r="R299" i="1" s="1"/>
  <c r="P299" i="1" s="1"/>
  <c r="V299" i="1" s="1"/>
  <c r="X292" i="25"/>
  <c r="A293" i="25"/>
  <c r="AB292" i="25"/>
  <c r="L292" i="25"/>
  <c r="K292" i="25"/>
  <c r="AJ292" i="25"/>
  <c r="AK292" i="25"/>
  <c r="O292" i="25"/>
  <c r="AC292" i="25"/>
  <c r="L298" i="17"/>
  <c r="A299" i="17"/>
  <c r="K298" i="17"/>
  <c r="AB298" i="17"/>
  <c r="X298" i="17"/>
  <c r="AJ298" i="17"/>
  <c r="O298" i="17"/>
  <c r="AK298" i="17"/>
  <c r="AC298" i="17"/>
  <c r="E298" i="16" l="1"/>
  <c r="E299" i="15"/>
  <c r="I298" i="1"/>
  <c r="A301" i="15"/>
  <c r="X300" i="15"/>
  <c r="AC300" i="15"/>
  <c r="AB300" i="15"/>
  <c r="O300" i="15"/>
  <c r="K300" i="15"/>
  <c r="AK300" i="15"/>
  <c r="L300" i="15"/>
  <c r="D300" i="15" s="1"/>
  <c r="AJ300" i="15"/>
  <c r="AA298" i="1"/>
  <c r="Z298" i="1" s="1"/>
  <c r="Y298" i="1" s="1"/>
  <c r="P300" i="1"/>
  <c r="V300" i="1" s="1"/>
  <c r="AB299" i="16"/>
  <c r="X299" i="16"/>
  <c r="AJ299" i="16"/>
  <c r="AC299" i="16"/>
  <c r="L299" i="16"/>
  <c r="D299" i="16" s="1"/>
  <c r="K299" i="16"/>
  <c r="A300" i="16"/>
  <c r="AK299" i="16"/>
  <c r="O299" i="16"/>
  <c r="AB298" i="18"/>
  <c r="A299" i="18"/>
  <c r="X298" i="18"/>
  <c r="L298" i="18"/>
  <c r="K298" i="18"/>
  <c r="AJ298" i="18"/>
  <c r="O298" i="18"/>
  <c r="AK298" i="18"/>
  <c r="AC298" i="18"/>
  <c r="F299" i="1"/>
  <c r="A294" i="25"/>
  <c r="AB293" i="25"/>
  <c r="X293" i="25"/>
  <c r="L293" i="25"/>
  <c r="K293" i="25"/>
  <c r="AJ293" i="25"/>
  <c r="O293" i="25"/>
  <c r="AK293" i="25"/>
  <c r="AC293" i="25"/>
  <c r="K299" i="17"/>
  <c r="X299" i="17"/>
  <c r="L299" i="17"/>
  <c r="AB299" i="17"/>
  <c r="A300" i="17"/>
  <c r="AJ299" i="17"/>
  <c r="O299" i="17"/>
  <c r="AK299" i="17"/>
  <c r="AC299" i="17"/>
  <c r="X297" i="20"/>
  <c r="A298" i="20"/>
  <c r="L297" i="20"/>
  <c r="K297" i="20"/>
  <c r="AB297" i="20"/>
  <c r="AJ297" i="20"/>
  <c r="AK297" i="20"/>
  <c r="O297" i="20"/>
  <c r="AC297" i="20"/>
  <c r="A297" i="22"/>
  <c r="L296" i="22"/>
  <c r="AB296" i="22"/>
  <c r="X296" i="22"/>
  <c r="K296" i="22"/>
  <c r="AK296" i="22"/>
  <c r="AJ296" i="22"/>
  <c r="O296" i="22"/>
  <c r="AC296" i="22"/>
  <c r="A295" i="24"/>
  <c r="X294" i="24"/>
  <c r="AB294" i="24"/>
  <c r="L294" i="24"/>
  <c r="K294" i="24"/>
  <c r="AK294" i="24"/>
  <c r="AJ294" i="24"/>
  <c r="O294" i="24"/>
  <c r="AC294" i="24"/>
  <c r="A296" i="23"/>
  <c r="K295" i="23"/>
  <c r="AB295" i="23"/>
  <c r="X295" i="23"/>
  <c r="L295" i="23"/>
  <c r="AK295" i="23"/>
  <c r="AJ295" i="23"/>
  <c r="O295" i="23"/>
  <c r="AC295" i="23"/>
  <c r="D300" i="1"/>
  <c r="E300" i="1" s="1"/>
  <c r="AJ301" i="1"/>
  <c r="K301" i="1"/>
  <c r="Q301" i="1"/>
  <c r="X301" i="1"/>
  <c r="A302" i="1"/>
  <c r="L301" i="1"/>
  <c r="O301" i="1"/>
  <c r="AB301" i="1"/>
  <c r="AK301" i="1"/>
  <c r="AC301" i="1"/>
  <c r="U301" i="1"/>
  <c r="T301" i="1" s="1"/>
  <c r="S301" i="1" s="1"/>
  <c r="R301" i="1" s="1"/>
  <c r="P301" i="1" l="1"/>
  <c r="V301" i="1" s="1"/>
  <c r="AB301" i="15"/>
  <c r="AK301" i="15"/>
  <c r="X301" i="15"/>
  <c r="K301" i="15"/>
  <c r="AC301" i="15"/>
  <c r="A302" i="15"/>
  <c r="O301" i="15"/>
  <c r="L301" i="15"/>
  <c r="D301" i="15" s="1"/>
  <c r="AJ301" i="15"/>
  <c r="E300" i="15"/>
  <c r="F300" i="1"/>
  <c r="AA300" i="1" s="1"/>
  <c r="Z300" i="1" s="1"/>
  <c r="Y300" i="1" s="1"/>
  <c r="X300" i="16"/>
  <c r="A301" i="16"/>
  <c r="AB300" i="16"/>
  <c r="AJ300" i="16"/>
  <c r="O300" i="16"/>
  <c r="K300" i="16"/>
  <c r="L300" i="16"/>
  <c r="D300" i="16" s="1"/>
  <c r="E300" i="16" s="1"/>
  <c r="AK300" i="16"/>
  <c r="AC300" i="16"/>
  <c r="E299" i="16"/>
  <c r="D301" i="1"/>
  <c r="E301" i="1" s="1"/>
  <c r="A297" i="23"/>
  <c r="K296" i="23"/>
  <c r="L296" i="23"/>
  <c r="AB296" i="23"/>
  <c r="X296" i="23"/>
  <c r="AJ296" i="23"/>
  <c r="AK296" i="23"/>
  <c r="O296" i="23"/>
  <c r="AC296" i="23"/>
  <c r="AB297" i="22"/>
  <c r="X297" i="22"/>
  <c r="L297" i="22"/>
  <c r="A298" i="22"/>
  <c r="K297" i="22"/>
  <c r="AK297" i="22"/>
  <c r="AJ297" i="22"/>
  <c r="O297" i="22"/>
  <c r="AC297" i="22"/>
  <c r="K298" i="20"/>
  <c r="L298" i="20"/>
  <c r="A299" i="20"/>
  <c r="AB298" i="20"/>
  <c r="X298" i="20"/>
  <c r="AK298" i="20"/>
  <c r="AJ298" i="20"/>
  <c r="O298" i="20"/>
  <c r="AC298" i="20"/>
  <c r="X300" i="17"/>
  <c r="A301" i="17"/>
  <c r="AB300" i="17"/>
  <c r="K300" i="17"/>
  <c r="L300" i="17"/>
  <c r="AJ300" i="17"/>
  <c r="AK300" i="17"/>
  <c r="O300" i="17"/>
  <c r="AC300" i="17"/>
  <c r="AK302" i="1"/>
  <c r="AB302" i="1"/>
  <c r="AC302" i="1"/>
  <c r="Q302" i="1"/>
  <c r="K302" i="1"/>
  <c r="X302" i="1"/>
  <c r="A303" i="1"/>
  <c r="AJ302" i="1"/>
  <c r="O302" i="1"/>
  <c r="C29" i="7" s="1"/>
  <c r="A29" i="7"/>
  <c r="L302" i="1"/>
  <c r="U302" i="1"/>
  <c r="T302" i="1" s="1"/>
  <c r="K295" i="24"/>
  <c r="X295" i="24"/>
  <c r="A296" i="24"/>
  <c r="L295" i="24"/>
  <c r="AB295" i="24"/>
  <c r="AJ295" i="24"/>
  <c r="AK295" i="24"/>
  <c r="O295" i="24"/>
  <c r="AC295" i="24"/>
  <c r="A295" i="25"/>
  <c r="X294" i="25"/>
  <c r="K294" i="25"/>
  <c r="L294" i="25"/>
  <c r="AB294" i="25"/>
  <c r="AJ294" i="25"/>
  <c r="O294" i="25"/>
  <c r="AK294" i="25"/>
  <c r="AC294" i="25"/>
  <c r="AA299" i="1"/>
  <c r="Z299" i="1" s="1"/>
  <c r="Y299" i="1" s="1"/>
  <c r="G299" i="1"/>
  <c r="BW299" i="6" s="1"/>
  <c r="I299" i="1"/>
  <c r="AB299" i="18"/>
  <c r="AJ299" i="18"/>
  <c r="L299" i="18"/>
  <c r="A300" i="18"/>
  <c r="K299" i="18"/>
  <c r="X299" i="18"/>
  <c r="AK299" i="18"/>
  <c r="O299" i="18"/>
  <c r="AC299" i="18"/>
  <c r="G300" i="1" l="1"/>
  <c r="BW300" i="6" s="1"/>
  <c r="I300" i="1"/>
  <c r="F301" i="1"/>
  <c r="I301" i="1" s="1"/>
  <c r="E301" i="15"/>
  <c r="A41" i="7"/>
  <c r="X302" i="15"/>
  <c r="O302" i="15"/>
  <c r="C41" i="7" s="1"/>
  <c r="K302" i="15"/>
  <c r="AJ302" i="15"/>
  <c r="L302" i="15"/>
  <c r="AK302" i="15"/>
  <c r="A303" i="15"/>
  <c r="AB302" i="15"/>
  <c r="AC302" i="15"/>
  <c r="AB301" i="16"/>
  <c r="K301" i="16"/>
  <c r="AK301" i="16"/>
  <c r="AC301" i="16"/>
  <c r="X301" i="16"/>
  <c r="L301" i="16"/>
  <c r="D301" i="16" s="1"/>
  <c r="A302" i="16"/>
  <c r="AJ301" i="16"/>
  <c r="O301" i="16"/>
  <c r="K300" i="18"/>
  <c r="L300" i="18"/>
  <c r="A301" i="18"/>
  <c r="AB300" i="18"/>
  <c r="X300" i="18"/>
  <c r="AJ300" i="18"/>
  <c r="O300" i="18"/>
  <c r="AK300" i="18"/>
  <c r="AC300" i="18"/>
  <c r="S302" i="1"/>
  <c r="R302" i="1" s="1"/>
  <c r="P302" i="1" s="1"/>
  <c r="AB295" i="25"/>
  <c r="L295" i="25"/>
  <c r="K295" i="25"/>
  <c r="A296" i="25"/>
  <c r="X295" i="25"/>
  <c r="AJ295" i="25"/>
  <c r="O295" i="25"/>
  <c r="AK295" i="25"/>
  <c r="AC295" i="25"/>
  <c r="AB296" i="24"/>
  <c r="X296" i="24"/>
  <c r="L296" i="24"/>
  <c r="K296" i="24"/>
  <c r="A297" i="24"/>
  <c r="AJ296" i="24"/>
  <c r="AK296" i="24"/>
  <c r="O296" i="24"/>
  <c r="AC296" i="24"/>
  <c r="D302" i="1"/>
  <c r="E302" i="1" s="1"/>
  <c r="B29" i="7"/>
  <c r="X303" i="1"/>
  <c r="Q303" i="1"/>
  <c r="A304" i="1"/>
  <c r="O303" i="1"/>
  <c r="AC303" i="1"/>
  <c r="L303" i="1"/>
  <c r="K303" i="1"/>
  <c r="AB303" i="1"/>
  <c r="AJ303" i="1"/>
  <c r="AK303" i="1"/>
  <c r="U303" i="1"/>
  <c r="K301" i="17"/>
  <c r="X301" i="17"/>
  <c r="L301" i="17"/>
  <c r="AB301" i="17"/>
  <c r="A302" i="17"/>
  <c r="AK301" i="17"/>
  <c r="AJ301" i="17"/>
  <c r="O301" i="17"/>
  <c r="AC301" i="17"/>
  <c r="A300" i="20"/>
  <c r="L299" i="20"/>
  <c r="K299" i="20"/>
  <c r="X299" i="20"/>
  <c r="AB299" i="20"/>
  <c r="AJ299" i="20"/>
  <c r="AK299" i="20"/>
  <c r="O299" i="20"/>
  <c r="AC299" i="20"/>
  <c r="A299" i="22"/>
  <c r="L298" i="22"/>
  <c r="AB298" i="22"/>
  <c r="X298" i="22"/>
  <c r="K298" i="22"/>
  <c r="AJ298" i="22"/>
  <c r="AK298" i="22"/>
  <c r="O298" i="22"/>
  <c r="AC298" i="22"/>
  <c r="AB297" i="23"/>
  <c r="X297" i="23"/>
  <c r="A298" i="23"/>
  <c r="L297" i="23"/>
  <c r="K297" i="23"/>
  <c r="AJ297" i="23"/>
  <c r="AK297" i="23"/>
  <c r="O297" i="23"/>
  <c r="AC297" i="23"/>
  <c r="G301" i="1" l="1"/>
  <c r="BW301" i="6" s="1"/>
  <c r="AA301" i="1"/>
  <c r="Z301" i="1" s="1"/>
  <c r="Y301" i="1" s="1"/>
  <c r="E301" i="16"/>
  <c r="AB303" i="15"/>
  <c r="AJ303" i="15"/>
  <c r="A304" i="15"/>
  <c r="K303" i="15"/>
  <c r="AC303" i="15"/>
  <c r="X303" i="15"/>
  <c r="O303" i="15"/>
  <c r="L303" i="15"/>
  <c r="D303" i="15" s="1"/>
  <c r="AK303" i="15"/>
  <c r="D302" i="15"/>
  <c r="E302" i="15" s="1"/>
  <c r="B41" i="7"/>
  <c r="L302" i="16"/>
  <c r="K302" i="16"/>
  <c r="X302" i="16"/>
  <c r="AJ302" i="16"/>
  <c r="O302" i="16"/>
  <c r="C53" i="7" s="1"/>
  <c r="AB302" i="16"/>
  <c r="A303" i="16"/>
  <c r="A53" i="7"/>
  <c r="AK302" i="16"/>
  <c r="AC302" i="16"/>
  <c r="D29" i="7"/>
  <c r="V302" i="1"/>
  <c r="F302" i="1" s="1"/>
  <c r="AB299" i="22"/>
  <c r="L299" i="22"/>
  <c r="K299" i="22"/>
  <c r="X299" i="22"/>
  <c r="A300" i="22"/>
  <c r="AJ299" i="22"/>
  <c r="AK299" i="22"/>
  <c r="O299" i="22"/>
  <c r="AC299" i="22"/>
  <c r="L302" i="17"/>
  <c r="AB302" i="17"/>
  <c r="K302" i="17"/>
  <c r="A65" i="7"/>
  <c r="X302" i="17"/>
  <c r="A303" i="17"/>
  <c r="AJ302" i="17"/>
  <c r="O302" i="17"/>
  <c r="C65" i="7" s="1"/>
  <c r="AK302" i="17"/>
  <c r="AC302" i="17"/>
  <c r="D303" i="1"/>
  <c r="E303" i="1" s="1"/>
  <c r="A299" i="23"/>
  <c r="AB298" i="23"/>
  <c r="L298" i="23"/>
  <c r="K298" i="23"/>
  <c r="X298" i="23"/>
  <c r="AJ298" i="23"/>
  <c r="AK298" i="23"/>
  <c r="O298" i="23"/>
  <c r="AC298" i="23"/>
  <c r="A301" i="20"/>
  <c r="X300" i="20"/>
  <c r="AB300" i="20"/>
  <c r="L300" i="20"/>
  <c r="K300" i="20"/>
  <c r="AJ300" i="20"/>
  <c r="AK300" i="20"/>
  <c r="O300" i="20"/>
  <c r="AC300" i="20"/>
  <c r="T303" i="1"/>
  <c r="K304" i="1"/>
  <c r="Q304" i="1"/>
  <c r="AJ304" i="1"/>
  <c r="AC304" i="1"/>
  <c r="A305" i="1"/>
  <c r="AB304" i="1"/>
  <c r="L304" i="1"/>
  <c r="O304" i="1"/>
  <c r="X304" i="1"/>
  <c r="AK304" i="1"/>
  <c r="U304" i="1"/>
  <c r="T304" i="1" s="1"/>
  <c r="A298" i="24"/>
  <c r="K297" i="24"/>
  <c r="AB297" i="24"/>
  <c r="L297" i="24"/>
  <c r="X297" i="24"/>
  <c r="AJ297" i="24"/>
  <c r="AK297" i="24"/>
  <c r="O297" i="24"/>
  <c r="AC297" i="24"/>
  <c r="AB296" i="25"/>
  <c r="X296" i="25"/>
  <c r="L296" i="25"/>
  <c r="K296" i="25"/>
  <c r="A297" i="25"/>
  <c r="AJ296" i="25"/>
  <c r="AK296" i="25"/>
  <c r="O296" i="25"/>
  <c r="AC296" i="25"/>
  <c r="K301" i="18"/>
  <c r="L301" i="18"/>
  <c r="X301" i="18"/>
  <c r="A302" i="18"/>
  <c r="AB301" i="18"/>
  <c r="AJ301" i="18"/>
  <c r="O301" i="18"/>
  <c r="AK301" i="18"/>
  <c r="AC301" i="18"/>
  <c r="E303" i="15" l="1"/>
  <c r="K304" i="15"/>
  <c r="AK304" i="15"/>
  <c r="X304" i="15"/>
  <c r="A305" i="15"/>
  <c r="AC304" i="15"/>
  <c r="AB304" i="15"/>
  <c r="O304" i="15"/>
  <c r="L304" i="15"/>
  <c r="D304" i="15" s="1"/>
  <c r="AJ304" i="15"/>
  <c r="X303" i="16"/>
  <c r="K303" i="16"/>
  <c r="AB303" i="16"/>
  <c r="AK303" i="16"/>
  <c r="O303" i="16"/>
  <c r="A304" i="16"/>
  <c r="L303" i="16"/>
  <c r="D303" i="16" s="1"/>
  <c r="E303" i="16" s="1"/>
  <c r="AJ303" i="16"/>
  <c r="AC303" i="16"/>
  <c r="D302" i="16"/>
  <c r="E302" i="16" s="1"/>
  <c r="B53" i="7"/>
  <c r="A303" i="18"/>
  <c r="L302" i="18"/>
  <c r="X302" i="18"/>
  <c r="K302" i="18"/>
  <c r="A77" i="7"/>
  <c r="AB302" i="18"/>
  <c r="AJ302" i="18"/>
  <c r="O302" i="18"/>
  <c r="C77" i="7" s="1"/>
  <c r="AK302" i="18"/>
  <c r="AC302" i="18"/>
  <c r="AB298" i="24"/>
  <c r="L298" i="24"/>
  <c r="A299" i="24"/>
  <c r="X298" i="24"/>
  <c r="K298" i="24"/>
  <c r="AJ298" i="24"/>
  <c r="AK298" i="24"/>
  <c r="O298" i="24"/>
  <c r="AC298" i="24"/>
  <c r="X301" i="20"/>
  <c r="A302" i="20"/>
  <c r="L301" i="20"/>
  <c r="K301" i="20"/>
  <c r="AB301" i="20"/>
  <c r="AJ301" i="20"/>
  <c r="AK301" i="20"/>
  <c r="O301" i="20"/>
  <c r="AC301" i="20"/>
  <c r="AA302" i="1"/>
  <c r="Z302" i="1" s="1"/>
  <c r="Y302" i="1" s="1"/>
  <c r="I302" i="1"/>
  <c r="G302" i="1"/>
  <c r="BW302" i="6" s="1"/>
  <c r="X303" i="17"/>
  <c r="L303" i="17"/>
  <c r="K303" i="17"/>
  <c r="A304" i="17"/>
  <c r="AB303" i="17"/>
  <c r="AK303" i="17"/>
  <c r="AJ303" i="17"/>
  <c r="O303" i="17"/>
  <c r="AC303" i="17"/>
  <c r="X300" i="22"/>
  <c r="A301" i="22"/>
  <c r="K300" i="22"/>
  <c r="AB300" i="22"/>
  <c r="L300" i="22"/>
  <c r="AJ300" i="22"/>
  <c r="AK300" i="22"/>
  <c r="O300" i="22"/>
  <c r="AC300" i="22"/>
  <c r="A298" i="25"/>
  <c r="L297" i="25"/>
  <c r="AB297" i="25"/>
  <c r="X297" i="25"/>
  <c r="K297" i="25"/>
  <c r="AJ297" i="25"/>
  <c r="AK297" i="25"/>
  <c r="O297" i="25"/>
  <c r="AC297" i="25"/>
  <c r="S304" i="1"/>
  <c r="R304" i="1" s="1"/>
  <c r="P304" i="1" s="1"/>
  <c r="V304" i="1" s="1"/>
  <c r="D304" i="1"/>
  <c r="E304" i="1" s="1"/>
  <c r="X305" i="1"/>
  <c r="A306" i="1"/>
  <c r="Q305" i="1"/>
  <c r="AC305" i="1"/>
  <c r="O305" i="1"/>
  <c r="K305" i="1"/>
  <c r="AB305" i="1"/>
  <c r="L305" i="1"/>
  <c r="AK305" i="1"/>
  <c r="AJ305" i="1"/>
  <c r="U305" i="1"/>
  <c r="T305" i="1" s="1"/>
  <c r="S305" i="1" s="1"/>
  <c r="R305" i="1" s="1"/>
  <c r="S303" i="1"/>
  <c r="R303" i="1" s="1"/>
  <c r="P303" i="1" s="1"/>
  <c r="V303" i="1" s="1"/>
  <c r="AB299" i="23"/>
  <c r="L299" i="23"/>
  <c r="K299" i="23"/>
  <c r="X299" i="23"/>
  <c r="A300" i="23"/>
  <c r="AJ299" i="23"/>
  <c r="AK299" i="23"/>
  <c r="O299" i="23"/>
  <c r="AC299" i="23"/>
  <c r="B65" i="7"/>
  <c r="P305" i="1" l="1"/>
  <c r="V305" i="1" s="1"/>
  <c r="E304" i="15"/>
  <c r="AB305" i="15"/>
  <c r="AK305" i="15"/>
  <c r="K305" i="15"/>
  <c r="AJ305" i="15"/>
  <c r="L305" i="15"/>
  <c r="D305" i="15" s="1"/>
  <c r="X305" i="15"/>
  <c r="AC305" i="15"/>
  <c r="A306" i="15"/>
  <c r="O305" i="15"/>
  <c r="E305" i="15" s="1"/>
  <c r="F304" i="1"/>
  <c r="G304" i="1" s="1"/>
  <c r="BW304" i="6" s="1"/>
  <c r="F303" i="1"/>
  <c r="AA303" i="1" s="1"/>
  <c r="Z303" i="1" s="1"/>
  <c r="Y303" i="1" s="1"/>
  <c r="L304" i="16"/>
  <c r="D304" i="16" s="1"/>
  <c r="AB304" i="16"/>
  <c r="AJ304" i="16"/>
  <c r="AC304" i="16"/>
  <c r="X304" i="16"/>
  <c r="A305" i="16"/>
  <c r="K304" i="16"/>
  <c r="AK304" i="16"/>
  <c r="O304" i="16"/>
  <c r="A305" i="17"/>
  <c r="X304" i="17"/>
  <c r="AB304" i="17"/>
  <c r="L304" i="17"/>
  <c r="K304" i="17"/>
  <c r="O304" i="17"/>
  <c r="AK304" i="17"/>
  <c r="AJ304" i="17"/>
  <c r="AC304" i="17"/>
  <c r="A303" i="20"/>
  <c r="L302" i="20"/>
  <c r="AE29" i="7"/>
  <c r="X302" i="20"/>
  <c r="AB302" i="20"/>
  <c r="K302" i="20"/>
  <c r="AK302" i="20"/>
  <c r="AJ302" i="20"/>
  <c r="O302" i="20"/>
  <c r="AG29" i="7" s="1"/>
  <c r="AC302" i="20"/>
  <c r="B77" i="7"/>
  <c r="AB300" i="23"/>
  <c r="A301" i="23"/>
  <c r="K300" i="23"/>
  <c r="X300" i="23"/>
  <c r="L300" i="23"/>
  <c r="AJ300" i="23"/>
  <c r="AK300" i="23"/>
  <c r="O300" i="23"/>
  <c r="AC300" i="23"/>
  <c r="D305" i="1"/>
  <c r="E305" i="1" s="1"/>
  <c r="X306" i="1"/>
  <c r="Q306" i="1"/>
  <c r="K306" i="1"/>
  <c r="AK306" i="1"/>
  <c r="AB306" i="1"/>
  <c r="A307" i="1"/>
  <c r="L306" i="1"/>
  <c r="O306" i="1"/>
  <c r="AC306" i="1"/>
  <c r="AJ306" i="1"/>
  <c r="U306" i="1"/>
  <c r="T306" i="1" s="1"/>
  <c r="X298" i="25"/>
  <c r="K298" i="25"/>
  <c r="AB298" i="25"/>
  <c r="A299" i="25"/>
  <c r="L298" i="25"/>
  <c r="AJ298" i="25"/>
  <c r="AK298" i="25"/>
  <c r="O298" i="25"/>
  <c r="AC298" i="25"/>
  <c r="A302" i="22"/>
  <c r="X301" i="22"/>
  <c r="K301" i="22"/>
  <c r="L301" i="22"/>
  <c r="AB301" i="22"/>
  <c r="AJ301" i="22"/>
  <c r="AK301" i="22"/>
  <c r="O301" i="22"/>
  <c r="AC301" i="22"/>
  <c r="X299" i="24"/>
  <c r="L299" i="24"/>
  <c r="AB299" i="24"/>
  <c r="K299" i="24"/>
  <c r="A300" i="24"/>
  <c r="AK299" i="24"/>
  <c r="AJ299" i="24"/>
  <c r="O299" i="24"/>
  <c r="AC299" i="24"/>
  <c r="L303" i="18"/>
  <c r="X303" i="18"/>
  <c r="A304" i="18"/>
  <c r="AB303" i="18"/>
  <c r="K303" i="18"/>
  <c r="AJ303" i="18"/>
  <c r="O303" i="18"/>
  <c r="AK303" i="18"/>
  <c r="AC303" i="18"/>
  <c r="AA304" i="1" l="1"/>
  <c r="Z304" i="1" s="1"/>
  <c r="Y304" i="1" s="1"/>
  <c r="I303" i="1"/>
  <c r="I304" i="1"/>
  <c r="A307" i="15"/>
  <c r="AK306" i="15"/>
  <c r="K306" i="15"/>
  <c r="AJ306" i="15"/>
  <c r="L306" i="15"/>
  <c r="D306" i="15" s="1"/>
  <c r="X306" i="15"/>
  <c r="O306" i="15"/>
  <c r="E306" i="15" s="1"/>
  <c r="AB306" i="15"/>
  <c r="AC306" i="15"/>
  <c r="G303" i="1"/>
  <c r="BW303" i="6" s="1"/>
  <c r="F305" i="1"/>
  <c r="AA305" i="1" s="1"/>
  <c r="Z305" i="1" s="1"/>
  <c r="Y305" i="1" s="1"/>
  <c r="E304" i="16"/>
  <c r="AB305" i="16"/>
  <c r="K305" i="16"/>
  <c r="AJ305" i="16"/>
  <c r="AC305" i="16"/>
  <c r="A306" i="16"/>
  <c r="X305" i="16"/>
  <c r="L305" i="16"/>
  <c r="D305" i="16" s="1"/>
  <c r="AK305" i="16"/>
  <c r="O305" i="16"/>
  <c r="A301" i="24"/>
  <c r="K300" i="24"/>
  <c r="L300" i="24"/>
  <c r="X300" i="24"/>
  <c r="AB300" i="24"/>
  <c r="AK300" i="24"/>
  <c r="O300" i="24"/>
  <c r="AJ300" i="24"/>
  <c r="AC300" i="24"/>
  <c r="A308" i="1"/>
  <c r="AB307" i="1"/>
  <c r="O307" i="1"/>
  <c r="K307" i="1"/>
  <c r="X307" i="1"/>
  <c r="AJ307" i="1"/>
  <c r="AK307" i="1"/>
  <c r="AC307" i="1"/>
  <c r="L307" i="1"/>
  <c r="Q307" i="1"/>
  <c r="U307" i="1"/>
  <c r="AF29" i="7"/>
  <c r="AB305" i="17"/>
  <c r="L305" i="17"/>
  <c r="A306" i="17"/>
  <c r="K305" i="17"/>
  <c r="X305" i="17"/>
  <c r="AJ305" i="17"/>
  <c r="O305" i="17"/>
  <c r="AK305" i="17"/>
  <c r="AC305" i="17"/>
  <c r="A305" i="18"/>
  <c r="AB304" i="18"/>
  <c r="AJ304" i="18"/>
  <c r="X304" i="18"/>
  <c r="L304" i="18"/>
  <c r="K304" i="18"/>
  <c r="AK304" i="18"/>
  <c r="O304" i="18"/>
  <c r="AC304" i="18"/>
  <c r="AB302" i="22"/>
  <c r="A303" i="22"/>
  <c r="L302" i="22"/>
  <c r="K302" i="22"/>
  <c r="X302" i="22"/>
  <c r="AE41" i="7"/>
  <c r="AK302" i="22"/>
  <c r="AJ302" i="22"/>
  <c r="O302" i="22"/>
  <c r="AG41" i="7" s="1"/>
  <c r="AC302" i="22"/>
  <c r="X299" i="25"/>
  <c r="AB299" i="25"/>
  <c r="A300" i="25"/>
  <c r="L299" i="25"/>
  <c r="K299" i="25"/>
  <c r="AK299" i="25"/>
  <c r="AJ299" i="25"/>
  <c r="O299" i="25"/>
  <c r="AC299" i="25"/>
  <c r="S306" i="1"/>
  <c r="R306" i="1" s="1"/>
  <c r="P306" i="1" s="1"/>
  <c r="V306" i="1" s="1"/>
  <c r="D306" i="1"/>
  <c r="E306" i="1" s="1"/>
  <c r="A302" i="23"/>
  <c r="K301" i="23"/>
  <c r="L301" i="23"/>
  <c r="X301" i="23"/>
  <c r="AB301" i="23"/>
  <c r="AJ301" i="23"/>
  <c r="AK301" i="23"/>
  <c r="O301" i="23"/>
  <c r="AC301" i="23"/>
  <c r="X303" i="20"/>
  <c r="AB303" i="20"/>
  <c r="K303" i="20"/>
  <c r="L303" i="20"/>
  <c r="A304" i="20"/>
  <c r="AJ303" i="20"/>
  <c r="AK303" i="20"/>
  <c r="O303" i="20"/>
  <c r="AC303" i="20"/>
  <c r="G305" i="1" l="1"/>
  <c r="BW305" i="6" s="1"/>
  <c r="I305" i="1"/>
  <c r="L307" i="15"/>
  <c r="D307" i="15" s="1"/>
  <c r="AJ307" i="15"/>
  <c r="AB307" i="15"/>
  <c r="A308" i="15"/>
  <c r="AC307" i="15"/>
  <c r="X307" i="15"/>
  <c r="O307" i="15"/>
  <c r="K307" i="15"/>
  <c r="AK307" i="15"/>
  <c r="E305" i="16"/>
  <c r="X306" i="16"/>
  <c r="K306" i="16"/>
  <c r="AJ306" i="16"/>
  <c r="AC306" i="16"/>
  <c r="AB306" i="16"/>
  <c r="A307" i="16"/>
  <c r="L306" i="16"/>
  <c r="D306" i="16" s="1"/>
  <c r="AK306" i="16"/>
  <c r="O306" i="16"/>
  <c r="F306" i="1"/>
  <c r="AB302" i="23"/>
  <c r="AE53" i="7"/>
  <c r="A303" i="23"/>
  <c r="L302" i="23"/>
  <c r="X302" i="23"/>
  <c r="K302" i="23"/>
  <c r="AK302" i="23"/>
  <c r="AJ302" i="23"/>
  <c r="O302" i="23"/>
  <c r="AG53" i="7" s="1"/>
  <c r="AC302" i="23"/>
  <c r="A304" i="22"/>
  <c r="AB303" i="22"/>
  <c r="L303" i="22"/>
  <c r="K303" i="22"/>
  <c r="X303" i="22"/>
  <c r="AJ303" i="22"/>
  <c r="AK303" i="22"/>
  <c r="O303" i="22"/>
  <c r="AC303" i="22"/>
  <c r="K305" i="18"/>
  <c r="X305" i="18"/>
  <c r="AB305" i="18"/>
  <c r="A306" i="18"/>
  <c r="AJ305" i="18"/>
  <c r="L305" i="18"/>
  <c r="O305" i="18"/>
  <c r="AK305" i="18"/>
  <c r="AC305" i="18"/>
  <c r="T307" i="1"/>
  <c r="D307" i="1"/>
  <c r="E307" i="1" s="1"/>
  <c r="O308" i="1"/>
  <c r="A309" i="1"/>
  <c r="K308" i="1"/>
  <c r="X308" i="1"/>
  <c r="AK308" i="1"/>
  <c r="AB308" i="1"/>
  <c r="AJ308" i="1"/>
  <c r="AC308" i="1"/>
  <c r="Q308" i="1"/>
  <c r="L308" i="1"/>
  <c r="U308" i="1"/>
  <c r="T308" i="1" s="1"/>
  <c r="K301" i="24"/>
  <c r="AB301" i="24"/>
  <c r="L301" i="24"/>
  <c r="A302" i="24"/>
  <c r="X301" i="24"/>
  <c r="AK301" i="24"/>
  <c r="AJ301" i="24"/>
  <c r="O301" i="24"/>
  <c r="AC301" i="24"/>
  <c r="X304" i="20"/>
  <c r="K304" i="20"/>
  <c r="A305" i="20"/>
  <c r="AB304" i="20"/>
  <c r="L304" i="20"/>
  <c r="AK304" i="20"/>
  <c r="AJ304" i="20"/>
  <c r="O304" i="20"/>
  <c r="AC304" i="20"/>
  <c r="A301" i="25"/>
  <c r="K300" i="25"/>
  <c r="X300" i="25"/>
  <c r="AB300" i="25"/>
  <c r="L300" i="25"/>
  <c r="AJ300" i="25"/>
  <c r="O300" i="25"/>
  <c r="AK300" i="25"/>
  <c r="AC300" i="25"/>
  <c r="AF41" i="7"/>
  <c r="A307" i="17"/>
  <c r="L306" i="17"/>
  <c r="K306" i="17"/>
  <c r="X306" i="17"/>
  <c r="AB306" i="17"/>
  <c r="AJ306" i="17"/>
  <c r="O306" i="17"/>
  <c r="AK306" i="17"/>
  <c r="AC306" i="17"/>
  <c r="E307" i="15" l="1"/>
  <c r="A309" i="15"/>
  <c r="AB308" i="15"/>
  <c r="O308" i="15"/>
  <c r="X308" i="15"/>
  <c r="AC308" i="15"/>
  <c r="K308" i="15"/>
  <c r="AJ308" i="15"/>
  <c r="L308" i="15"/>
  <c r="D308" i="15" s="1"/>
  <c r="AK308" i="15"/>
  <c r="E306" i="16"/>
  <c r="A308" i="16"/>
  <c r="X307" i="16"/>
  <c r="L307" i="16"/>
  <c r="D307" i="16" s="1"/>
  <c r="AK307" i="16"/>
  <c r="O307" i="16"/>
  <c r="K307" i="16"/>
  <c r="AB307" i="16"/>
  <c r="AJ307" i="16"/>
  <c r="AC307" i="16"/>
  <c r="K305" i="20"/>
  <c r="AB305" i="20"/>
  <c r="L305" i="20"/>
  <c r="A306" i="20"/>
  <c r="X305" i="20"/>
  <c r="AJ305" i="20"/>
  <c r="AK305" i="20"/>
  <c r="O305" i="20"/>
  <c r="AC305" i="20"/>
  <c r="K302" i="24"/>
  <c r="AB302" i="24"/>
  <c r="L302" i="24"/>
  <c r="AE65" i="7"/>
  <c r="X302" i="24"/>
  <c r="A303" i="24"/>
  <c r="AJ302" i="24"/>
  <c r="AK302" i="24"/>
  <c r="O302" i="24"/>
  <c r="AG65" i="7" s="1"/>
  <c r="AC302" i="24"/>
  <c r="S308" i="1"/>
  <c r="R308" i="1" s="1"/>
  <c r="P308" i="1" s="1"/>
  <c r="V308" i="1" s="1"/>
  <c r="AB304" i="22"/>
  <c r="A305" i="22"/>
  <c r="X304" i="22"/>
  <c r="K304" i="22"/>
  <c r="L304" i="22"/>
  <c r="AJ304" i="22"/>
  <c r="AK304" i="22"/>
  <c r="O304" i="22"/>
  <c r="AC304" i="22"/>
  <c r="AB303" i="23"/>
  <c r="L303" i="23"/>
  <c r="K303" i="23"/>
  <c r="X303" i="23"/>
  <c r="A304" i="23"/>
  <c r="AJ303" i="23"/>
  <c r="AK303" i="23"/>
  <c r="O303" i="23"/>
  <c r="AC303" i="23"/>
  <c r="K307" i="17"/>
  <c r="A308" i="17"/>
  <c r="X307" i="17"/>
  <c r="AB307" i="17"/>
  <c r="L307" i="17"/>
  <c r="AJ307" i="17"/>
  <c r="O307" i="17"/>
  <c r="AK307" i="17"/>
  <c r="AC307" i="17"/>
  <c r="AB301" i="25"/>
  <c r="A302" i="25"/>
  <c r="K301" i="25"/>
  <c r="L301" i="25"/>
  <c r="X301" i="25"/>
  <c r="AJ301" i="25"/>
  <c r="O301" i="25"/>
  <c r="AK301" i="25"/>
  <c r="AC301" i="25"/>
  <c r="D308" i="1"/>
  <c r="E308" i="1" s="1"/>
  <c r="AC309" i="1"/>
  <c r="L309" i="1"/>
  <c r="Q309" i="1"/>
  <c r="AK309" i="1"/>
  <c r="AJ309" i="1"/>
  <c r="X309" i="1"/>
  <c r="K309" i="1"/>
  <c r="O309" i="1"/>
  <c r="AB309" i="1"/>
  <c r="A310" i="1"/>
  <c r="U309" i="1"/>
  <c r="T309" i="1" s="1"/>
  <c r="S307" i="1"/>
  <c r="R307" i="1" s="1"/>
  <c r="P307" i="1" s="1"/>
  <c r="X306" i="18"/>
  <c r="AJ306" i="18"/>
  <c r="A307" i="18"/>
  <c r="K306" i="18"/>
  <c r="AB306" i="18"/>
  <c r="L306" i="18"/>
  <c r="AK306" i="18"/>
  <c r="O306" i="18"/>
  <c r="AC306" i="18"/>
  <c r="AF53" i="7"/>
  <c r="G306" i="1"/>
  <c r="BW306" i="6" s="1"/>
  <c r="AA306" i="1"/>
  <c r="Z306" i="1" s="1"/>
  <c r="Y306" i="1" s="1"/>
  <c r="I306" i="1"/>
  <c r="E308" i="15" l="1"/>
  <c r="X309" i="15"/>
  <c r="O309" i="15"/>
  <c r="K309" i="15"/>
  <c r="AK309" i="15"/>
  <c r="L309" i="15"/>
  <c r="D309" i="15" s="1"/>
  <c r="AJ309" i="15"/>
  <c r="A310" i="15"/>
  <c r="AB309" i="15"/>
  <c r="AC309" i="15"/>
  <c r="E307" i="16"/>
  <c r="A309" i="16"/>
  <c r="K308" i="16"/>
  <c r="AB308" i="16"/>
  <c r="AK308" i="16"/>
  <c r="O308" i="16"/>
  <c r="X308" i="16"/>
  <c r="L308" i="16"/>
  <c r="D308" i="16" s="1"/>
  <c r="E308" i="16" s="1"/>
  <c r="AJ308" i="16"/>
  <c r="AC308" i="16"/>
  <c r="V307" i="1"/>
  <c r="F307" i="1" s="1"/>
  <c r="X307" i="18"/>
  <c r="AJ307" i="18"/>
  <c r="L307" i="18"/>
  <c r="A308" i="18"/>
  <c r="AB307" i="18"/>
  <c r="K307" i="18"/>
  <c r="AK307" i="18"/>
  <c r="O307" i="18"/>
  <c r="AC307" i="18"/>
  <c r="O310" i="1"/>
  <c r="X310" i="1"/>
  <c r="Q310" i="1"/>
  <c r="AK310" i="1"/>
  <c r="K310" i="1"/>
  <c r="A311" i="1"/>
  <c r="AJ310" i="1"/>
  <c r="L310" i="1"/>
  <c r="AB310" i="1"/>
  <c r="AC310" i="1"/>
  <c r="U310" i="1"/>
  <c r="T310" i="1" s="1"/>
  <c r="D309" i="1"/>
  <c r="E309" i="1" s="1"/>
  <c r="A309" i="17"/>
  <c r="K308" i="17"/>
  <c r="L308" i="17"/>
  <c r="X308" i="17"/>
  <c r="AB308" i="17"/>
  <c r="AJ308" i="17"/>
  <c r="O308" i="17"/>
  <c r="AK308" i="17"/>
  <c r="AC308" i="17"/>
  <c r="K304" i="23"/>
  <c r="L304" i="23"/>
  <c r="A305" i="23"/>
  <c r="AB304" i="23"/>
  <c r="X304" i="23"/>
  <c r="AJ304" i="23"/>
  <c r="AK304" i="23"/>
  <c r="O304" i="23"/>
  <c r="AC304" i="23"/>
  <c r="AB305" i="22"/>
  <c r="A306" i="22"/>
  <c r="X305" i="22"/>
  <c r="L305" i="22"/>
  <c r="K305" i="22"/>
  <c r="AJ305" i="22"/>
  <c r="AK305" i="22"/>
  <c r="O305" i="22"/>
  <c r="AC305" i="22"/>
  <c r="AF65" i="7"/>
  <c r="AB306" i="20"/>
  <c r="K306" i="20"/>
  <c r="A307" i="20"/>
  <c r="X306" i="20"/>
  <c r="L306" i="20"/>
  <c r="AJ306" i="20"/>
  <c r="AK306" i="20"/>
  <c r="O306" i="20"/>
  <c r="AC306" i="20"/>
  <c r="S309" i="1"/>
  <c r="R309" i="1" s="1"/>
  <c r="P309" i="1" s="1"/>
  <c r="V309" i="1" s="1"/>
  <c r="F308" i="1"/>
  <c r="X302" i="25"/>
  <c r="AB302" i="25"/>
  <c r="K302" i="25"/>
  <c r="A303" i="25"/>
  <c r="AE77" i="7"/>
  <c r="L302" i="25"/>
  <c r="AK302" i="25"/>
  <c r="AJ302" i="25"/>
  <c r="O302" i="25"/>
  <c r="AG77" i="7" s="1"/>
  <c r="AC302" i="25"/>
  <c r="K303" i="24"/>
  <c r="A304" i="24"/>
  <c r="X303" i="24"/>
  <c r="AB303" i="24"/>
  <c r="L303" i="24"/>
  <c r="AJ303" i="24"/>
  <c r="AK303" i="24"/>
  <c r="O303" i="24"/>
  <c r="AC303" i="24"/>
  <c r="E309" i="15" l="1"/>
  <c r="AB310" i="15"/>
  <c r="AC310" i="15"/>
  <c r="K310" i="15"/>
  <c r="AK310" i="15"/>
  <c r="X310" i="15"/>
  <c r="AJ310" i="15"/>
  <c r="L310" i="15"/>
  <c r="D310" i="15" s="1"/>
  <c r="A311" i="15"/>
  <c r="O310" i="15"/>
  <c r="E310" i="15" s="1"/>
  <c r="X309" i="16"/>
  <c r="A310" i="16"/>
  <c r="AK309" i="16"/>
  <c r="AC309" i="16"/>
  <c r="AB309" i="16"/>
  <c r="L309" i="16"/>
  <c r="D309" i="16" s="1"/>
  <c r="K309" i="16"/>
  <c r="AJ309" i="16"/>
  <c r="O309" i="16"/>
  <c r="K304" i="24"/>
  <c r="L304" i="24"/>
  <c r="A305" i="24"/>
  <c r="X304" i="24"/>
  <c r="AB304" i="24"/>
  <c r="AJ304" i="24"/>
  <c r="AK304" i="24"/>
  <c r="O304" i="24"/>
  <c r="AC304" i="24"/>
  <c r="AB309" i="17"/>
  <c r="X309" i="17"/>
  <c r="K309" i="17"/>
  <c r="L309" i="17"/>
  <c r="A310" i="17"/>
  <c r="O309" i="17"/>
  <c r="AJ309" i="17"/>
  <c r="AK309" i="17"/>
  <c r="AC309" i="17"/>
  <c r="F309" i="1"/>
  <c r="D310" i="1"/>
  <c r="X311" i="1"/>
  <c r="AC311" i="1"/>
  <c r="AJ311" i="1"/>
  <c r="K311" i="1"/>
  <c r="Q311" i="1"/>
  <c r="O311" i="1"/>
  <c r="AK311" i="1"/>
  <c r="A312" i="1"/>
  <c r="AB311" i="1"/>
  <c r="L311" i="1"/>
  <c r="U311" i="1"/>
  <c r="T311" i="1" s="1"/>
  <c r="I307" i="1"/>
  <c r="AA307" i="1"/>
  <c r="Z307" i="1" s="1"/>
  <c r="Y307" i="1" s="1"/>
  <c r="G307" i="1"/>
  <c r="BW307" i="6" s="1"/>
  <c r="X307" i="20"/>
  <c r="K307" i="20"/>
  <c r="A308" i="20"/>
  <c r="L307" i="20"/>
  <c r="AB307" i="20"/>
  <c r="AJ307" i="20"/>
  <c r="AK307" i="20"/>
  <c r="O307" i="20"/>
  <c r="AC307" i="20"/>
  <c r="AF77" i="7"/>
  <c r="K303" i="25"/>
  <c r="AB303" i="25"/>
  <c r="X303" i="25"/>
  <c r="A304" i="25"/>
  <c r="L303" i="25"/>
  <c r="AJ303" i="25"/>
  <c r="O303" i="25"/>
  <c r="AK303" i="25"/>
  <c r="AC303" i="25"/>
  <c r="AA308" i="1"/>
  <c r="Z308" i="1" s="1"/>
  <c r="Y308" i="1" s="1"/>
  <c r="G308" i="1"/>
  <c r="BW308" i="6" s="1"/>
  <c r="I308" i="1"/>
  <c r="X306" i="22"/>
  <c r="K306" i="22"/>
  <c r="AB306" i="22"/>
  <c r="A307" i="22"/>
  <c r="L306" i="22"/>
  <c r="AJ306" i="22"/>
  <c r="AK306" i="22"/>
  <c r="O306" i="22"/>
  <c r="AC306" i="22"/>
  <c r="K305" i="23"/>
  <c r="A306" i="23"/>
  <c r="L305" i="23"/>
  <c r="X305" i="23"/>
  <c r="AB305" i="23"/>
  <c r="AJ305" i="23"/>
  <c r="AK305" i="23"/>
  <c r="O305" i="23"/>
  <c r="AC305" i="23"/>
  <c r="S310" i="1"/>
  <c r="R310" i="1" s="1"/>
  <c r="P310" i="1" s="1"/>
  <c r="V310" i="1" s="1"/>
  <c r="E310" i="1"/>
  <c r="A309" i="18"/>
  <c r="X308" i="18"/>
  <c r="AJ308" i="18"/>
  <c r="K308" i="18"/>
  <c r="L308" i="18"/>
  <c r="AB308" i="18"/>
  <c r="O308" i="18"/>
  <c r="AK308" i="18"/>
  <c r="AC308" i="18"/>
  <c r="E309" i="16" l="1"/>
  <c r="A312" i="15"/>
  <c r="AB311" i="15"/>
  <c r="AC311" i="15"/>
  <c r="X311" i="15"/>
  <c r="O311" i="15"/>
  <c r="K311" i="15"/>
  <c r="AK311" i="15"/>
  <c r="L311" i="15"/>
  <c r="D311" i="15" s="1"/>
  <c r="AJ311" i="15"/>
  <c r="F310" i="1"/>
  <c r="I310" i="1" s="1"/>
  <c r="X310" i="16"/>
  <c r="L310" i="16"/>
  <c r="D310" i="16" s="1"/>
  <c r="K310" i="16"/>
  <c r="AK310" i="16"/>
  <c r="O310" i="16"/>
  <c r="A311" i="16"/>
  <c r="AB310" i="16"/>
  <c r="AJ310" i="16"/>
  <c r="AC310" i="16"/>
  <c r="AA310" i="1"/>
  <c r="Z310" i="1" s="1"/>
  <c r="Y310" i="1" s="1"/>
  <c r="A307" i="23"/>
  <c r="L306" i="23"/>
  <c r="AB306" i="23"/>
  <c r="X306" i="23"/>
  <c r="K306" i="23"/>
  <c r="AJ306" i="23"/>
  <c r="AK306" i="23"/>
  <c r="O306" i="23"/>
  <c r="AC306" i="23"/>
  <c r="AB308" i="20"/>
  <c r="A309" i="20"/>
  <c r="X308" i="20"/>
  <c r="K308" i="20"/>
  <c r="L308" i="20"/>
  <c r="AJ308" i="20"/>
  <c r="AK308" i="20"/>
  <c r="O308" i="20"/>
  <c r="AC308" i="20"/>
  <c r="S311" i="1"/>
  <c r="R311" i="1" s="1"/>
  <c r="P311" i="1" s="1"/>
  <c r="V311" i="1" s="1"/>
  <c r="AB310" i="17"/>
  <c r="X310" i="17"/>
  <c r="L310" i="17"/>
  <c r="A311" i="17"/>
  <c r="K310" i="17"/>
  <c r="AJ310" i="17"/>
  <c r="AK310" i="17"/>
  <c r="O310" i="17"/>
  <c r="AC310" i="17"/>
  <c r="A310" i="18"/>
  <c r="AB309" i="18"/>
  <c r="K309" i="18"/>
  <c r="L309" i="18"/>
  <c r="X309" i="18"/>
  <c r="AJ309" i="18"/>
  <c r="O309" i="18"/>
  <c r="AK309" i="18"/>
  <c r="AC309" i="18"/>
  <c r="X307" i="22"/>
  <c r="L307" i="22"/>
  <c r="K307" i="22"/>
  <c r="AB307" i="22"/>
  <c r="A308" i="22"/>
  <c r="AJ307" i="22"/>
  <c r="AK307" i="22"/>
  <c r="O307" i="22"/>
  <c r="AC307" i="22"/>
  <c r="A305" i="25"/>
  <c r="X304" i="25"/>
  <c r="AB304" i="25"/>
  <c r="L304" i="25"/>
  <c r="K304" i="25"/>
  <c r="AJ304" i="25"/>
  <c r="AK304" i="25"/>
  <c r="O304" i="25"/>
  <c r="AC304" i="25"/>
  <c r="D311" i="1"/>
  <c r="E311" i="1" s="1"/>
  <c r="AB312" i="1"/>
  <c r="L312" i="1"/>
  <c r="AC312" i="1"/>
  <c r="O312" i="1"/>
  <c r="X312" i="1"/>
  <c r="AJ312" i="1"/>
  <c r="AK312" i="1"/>
  <c r="K312" i="1"/>
  <c r="A313" i="1"/>
  <c r="Q312" i="1"/>
  <c r="U312" i="1"/>
  <c r="I309" i="1"/>
  <c r="AA309" i="1"/>
  <c r="Z309" i="1" s="1"/>
  <c r="Y309" i="1" s="1"/>
  <c r="G309" i="1"/>
  <c r="BW309" i="6" s="1"/>
  <c r="K305" i="24"/>
  <c r="A306" i="24"/>
  <c r="X305" i="24"/>
  <c r="AB305" i="24"/>
  <c r="L305" i="24"/>
  <c r="AJ305" i="24"/>
  <c r="AK305" i="24"/>
  <c r="O305" i="24"/>
  <c r="AC305" i="24"/>
  <c r="L312" i="15" l="1"/>
  <c r="D312" i="15" s="1"/>
  <c r="K312" i="15"/>
  <c r="AC312" i="15"/>
  <c r="AB312" i="15"/>
  <c r="O312" i="15"/>
  <c r="E312" i="15" s="1"/>
  <c r="X312" i="15"/>
  <c r="AK312" i="15"/>
  <c r="A313" i="15"/>
  <c r="AJ312" i="15"/>
  <c r="E311" i="15"/>
  <c r="G310" i="1"/>
  <c r="BW310" i="6" s="1"/>
  <c r="E310" i="16"/>
  <c r="AB311" i="16"/>
  <c r="L311" i="16"/>
  <c r="D311" i="16" s="1"/>
  <c r="AJ311" i="16"/>
  <c r="AC311" i="16"/>
  <c r="A312" i="16"/>
  <c r="X311" i="16"/>
  <c r="K311" i="16"/>
  <c r="AK311" i="16"/>
  <c r="O311" i="16"/>
  <c r="F311" i="1"/>
  <c r="K306" i="24"/>
  <c r="X306" i="24"/>
  <c r="AB306" i="24"/>
  <c r="L306" i="24"/>
  <c r="A307" i="24"/>
  <c r="AK306" i="24"/>
  <c r="AJ306" i="24"/>
  <c r="O306" i="24"/>
  <c r="AC306" i="24"/>
  <c r="T312" i="1"/>
  <c r="AC313" i="1"/>
  <c r="O313" i="1"/>
  <c r="AJ313" i="1"/>
  <c r="X313" i="1"/>
  <c r="L313" i="1"/>
  <c r="A314" i="1"/>
  <c r="AK313" i="1"/>
  <c r="K313" i="1"/>
  <c r="Q313" i="1"/>
  <c r="AB313" i="1"/>
  <c r="U313" i="1"/>
  <c r="T313" i="1" s="1"/>
  <c r="X308" i="22"/>
  <c r="AB308" i="22"/>
  <c r="A309" i="22"/>
  <c r="L308" i="22"/>
  <c r="K308" i="22"/>
  <c r="AK308" i="22"/>
  <c r="AJ308" i="22"/>
  <c r="O308" i="22"/>
  <c r="AC308" i="22"/>
  <c r="AB309" i="20"/>
  <c r="L309" i="20"/>
  <c r="X309" i="20"/>
  <c r="K309" i="20"/>
  <c r="A310" i="20"/>
  <c r="AJ309" i="20"/>
  <c r="AK309" i="20"/>
  <c r="O309" i="20"/>
  <c r="AC309" i="20"/>
  <c r="AB307" i="23"/>
  <c r="L307" i="23"/>
  <c r="K307" i="23"/>
  <c r="A308" i="23"/>
  <c r="X307" i="23"/>
  <c r="AJ307" i="23"/>
  <c r="AK307" i="23"/>
  <c r="O307" i="23"/>
  <c r="AC307" i="23"/>
  <c r="D312" i="1"/>
  <c r="E312" i="1" s="1"/>
  <c r="A306" i="25"/>
  <c r="X305" i="25"/>
  <c r="L305" i="25"/>
  <c r="AB305" i="25"/>
  <c r="K305" i="25"/>
  <c r="AK305" i="25"/>
  <c r="AJ305" i="25"/>
  <c r="O305" i="25"/>
  <c r="AC305" i="25"/>
  <c r="L310" i="18"/>
  <c r="AB310" i="18"/>
  <c r="AJ310" i="18"/>
  <c r="A311" i="18"/>
  <c r="K310" i="18"/>
  <c r="X310" i="18"/>
  <c r="O310" i="18"/>
  <c r="AK310" i="18"/>
  <c r="AC310" i="18"/>
  <c r="A312" i="17"/>
  <c r="X311" i="17"/>
  <c r="L311" i="17"/>
  <c r="K311" i="17"/>
  <c r="AB311" i="17"/>
  <c r="AJ311" i="17"/>
  <c r="O311" i="17"/>
  <c r="AK311" i="17"/>
  <c r="AC311" i="17"/>
  <c r="L313" i="15" l="1"/>
  <c r="D313" i="15" s="1"/>
  <c r="AJ313" i="15"/>
  <c r="A314" i="15"/>
  <c r="AK313" i="15"/>
  <c r="K313" i="15"/>
  <c r="AB313" i="15"/>
  <c r="AC313" i="15"/>
  <c r="X313" i="15"/>
  <c r="O313" i="15"/>
  <c r="E311" i="16"/>
  <c r="X312" i="16"/>
  <c r="A313" i="16"/>
  <c r="AJ312" i="16"/>
  <c r="AC312" i="16"/>
  <c r="AB312" i="16"/>
  <c r="K312" i="16"/>
  <c r="L312" i="16"/>
  <c r="D312" i="16" s="1"/>
  <c r="AK312" i="16"/>
  <c r="O312" i="16"/>
  <c r="X308" i="23"/>
  <c r="AB308" i="23"/>
  <c r="K308" i="23"/>
  <c r="L308" i="23"/>
  <c r="A309" i="23"/>
  <c r="AJ308" i="23"/>
  <c r="AK308" i="23"/>
  <c r="O308" i="23"/>
  <c r="AC308" i="23"/>
  <c r="K310" i="20"/>
  <c r="AB310" i="20"/>
  <c r="X310" i="20"/>
  <c r="L310" i="20"/>
  <c r="A311" i="20"/>
  <c r="AJ310" i="20"/>
  <c r="AK310" i="20"/>
  <c r="O310" i="20"/>
  <c r="AC310" i="20"/>
  <c r="L314" i="1"/>
  <c r="AB314" i="1"/>
  <c r="AK314" i="1"/>
  <c r="Q314" i="1"/>
  <c r="O314" i="1"/>
  <c r="AC314" i="1"/>
  <c r="AJ314" i="1"/>
  <c r="A315" i="1"/>
  <c r="X314" i="1"/>
  <c r="K314" i="1"/>
  <c r="U314" i="1"/>
  <c r="S312" i="1"/>
  <c r="R312" i="1" s="1"/>
  <c r="P312" i="1" s="1"/>
  <c r="V312" i="1" s="1"/>
  <c r="F312" i="1" s="1"/>
  <c r="X307" i="24"/>
  <c r="L307" i="24"/>
  <c r="K307" i="24"/>
  <c r="AB307" i="24"/>
  <c r="A308" i="24"/>
  <c r="AJ307" i="24"/>
  <c r="AK307" i="24"/>
  <c r="O307" i="24"/>
  <c r="AC307" i="24"/>
  <c r="X312" i="17"/>
  <c r="AB312" i="17"/>
  <c r="K312" i="17"/>
  <c r="L312" i="17"/>
  <c r="A313" i="17"/>
  <c r="AJ312" i="17"/>
  <c r="O312" i="17"/>
  <c r="AK312" i="17"/>
  <c r="AC312" i="17"/>
  <c r="K311" i="18"/>
  <c r="X311" i="18"/>
  <c r="L311" i="18"/>
  <c r="AB311" i="18"/>
  <c r="AJ311" i="18"/>
  <c r="A312" i="18"/>
  <c r="AK311" i="18"/>
  <c r="O311" i="18"/>
  <c r="AC311" i="18"/>
  <c r="AB306" i="25"/>
  <c r="X306" i="25"/>
  <c r="K306" i="25"/>
  <c r="A307" i="25"/>
  <c r="L306" i="25"/>
  <c r="AJ306" i="25"/>
  <c r="O306" i="25"/>
  <c r="AK306" i="25"/>
  <c r="AC306" i="25"/>
  <c r="X309" i="22"/>
  <c r="K309" i="22"/>
  <c r="L309" i="22"/>
  <c r="A310" i="22"/>
  <c r="AB309" i="22"/>
  <c r="AJ309" i="22"/>
  <c r="AK309" i="22"/>
  <c r="O309" i="22"/>
  <c r="AC309" i="22"/>
  <c r="S313" i="1"/>
  <c r="R313" i="1" s="1"/>
  <c r="P313" i="1" s="1"/>
  <c r="V313" i="1" s="1"/>
  <c r="D313" i="1"/>
  <c r="E313" i="1" s="1"/>
  <c r="AA311" i="1"/>
  <c r="Z311" i="1" s="1"/>
  <c r="Y311" i="1" s="1"/>
  <c r="G311" i="1"/>
  <c r="BW311" i="6" s="1"/>
  <c r="I311" i="1"/>
  <c r="K314" i="15" l="1"/>
  <c r="X314" i="15"/>
  <c r="AC314" i="15"/>
  <c r="A315" i="15"/>
  <c r="O314" i="15"/>
  <c r="AB314" i="15"/>
  <c r="AK314" i="15"/>
  <c r="L314" i="15"/>
  <c r="D314" i="15" s="1"/>
  <c r="AJ314" i="15"/>
  <c r="E313" i="15"/>
  <c r="F313" i="1"/>
  <c r="AA313" i="1" s="1"/>
  <c r="Z313" i="1" s="1"/>
  <c r="Y313" i="1" s="1"/>
  <c r="AB313" i="16"/>
  <c r="K313" i="16"/>
  <c r="X313" i="16"/>
  <c r="AK313" i="16"/>
  <c r="O313" i="16"/>
  <c r="L313" i="16"/>
  <c r="D313" i="16" s="1"/>
  <c r="A314" i="16"/>
  <c r="AJ313" i="16"/>
  <c r="AC313" i="16"/>
  <c r="E312" i="16"/>
  <c r="X312" i="18"/>
  <c r="AJ312" i="18"/>
  <c r="L312" i="18"/>
  <c r="AB312" i="18"/>
  <c r="A313" i="18"/>
  <c r="K312" i="18"/>
  <c r="AK312" i="18"/>
  <c r="O312" i="18"/>
  <c r="AC312" i="18"/>
  <c r="K313" i="17"/>
  <c r="X313" i="17"/>
  <c r="A314" i="17"/>
  <c r="L313" i="17"/>
  <c r="AB313" i="17"/>
  <c r="AJ313" i="17"/>
  <c r="O313" i="17"/>
  <c r="AK313" i="17"/>
  <c r="AC313" i="17"/>
  <c r="I312" i="1"/>
  <c r="G312" i="1"/>
  <c r="BW312" i="6" s="1"/>
  <c r="AA312" i="1"/>
  <c r="Z312" i="1" s="1"/>
  <c r="Y312" i="1" s="1"/>
  <c r="T314" i="1"/>
  <c r="S314" i="1" s="1"/>
  <c r="R314" i="1" s="1"/>
  <c r="P314" i="1" s="1"/>
  <c r="V314" i="1" s="1"/>
  <c r="D314" i="1"/>
  <c r="E314" i="1" s="1"/>
  <c r="X309" i="23"/>
  <c r="AB309" i="23"/>
  <c r="K309" i="23"/>
  <c r="L309" i="23"/>
  <c r="A310" i="23"/>
  <c r="AJ309" i="23"/>
  <c r="AK309" i="23"/>
  <c r="O309" i="23"/>
  <c r="AC309" i="23"/>
  <c r="A311" i="22"/>
  <c r="K310" i="22"/>
  <c r="L310" i="22"/>
  <c r="AB310" i="22"/>
  <c r="X310" i="22"/>
  <c r="AJ310" i="22"/>
  <c r="AK310" i="22"/>
  <c r="O310" i="22"/>
  <c r="AC310" i="22"/>
  <c r="AB307" i="25"/>
  <c r="K307" i="25"/>
  <c r="L307" i="25"/>
  <c r="X307" i="25"/>
  <c r="A308" i="25"/>
  <c r="AJ307" i="25"/>
  <c r="O307" i="25"/>
  <c r="AK307" i="25"/>
  <c r="AC307" i="25"/>
  <c r="X308" i="24"/>
  <c r="L308" i="24"/>
  <c r="A309" i="24"/>
  <c r="K308" i="24"/>
  <c r="AB308" i="24"/>
  <c r="AJ308" i="24"/>
  <c r="AK308" i="24"/>
  <c r="O308" i="24"/>
  <c r="AC308" i="24"/>
  <c r="AB315" i="1"/>
  <c r="L315" i="1"/>
  <c r="A316" i="1"/>
  <c r="AC315" i="1"/>
  <c r="Q315" i="1"/>
  <c r="X315" i="1"/>
  <c r="O315" i="1"/>
  <c r="AK315" i="1"/>
  <c r="K315" i="1"/>
  <c r="AJ315" i="1"/>
  <c r="U315" i="1"/>
  <c r="X311" i="20"/>
  <c r="K311" i="20"/>
  <c r="A312" i="20"/>
  <c r="AB311" i="20"/>
  <c r="L311" i="20"/>
  <c r="AJ311" i="20"/>
  <c r="AK311" i="20"/>
  <c r="O311" i="20"/>
  <c r="AC311" i="20"/>
  <c r="I313" i="1" l="1"/>
  <c r="E314" i="15"/>
  <c r="A316" i="15"/>
  <c r="O315" i="15"/>
  <c r="X315" i="15"/>
  <c r="AJ315" i="15"/>
  <c r="K315" i="15"/>
  <c r="AK315" i="15"/>
  <c r="L315" i="15"/>
  <c r="D315" i="15" s="1"/>
  <c r="AB315" i="15"/>
  <c r="AC315" i="15"/>
  <c r="G313" i="1"/>
  <c r="BW313" i="6" s="1"/>
  <c r="E313" i="16"/>
  <c r="F314" i="1"/>
  <c r="AA314" i="1" s="1"/>
  <c r="Z314" i="1" s="1"/>
  <c r="Y314" i="1" s="1"/>
  <c r="K314" i="16"/>
  <c r="A315" i="16"/>
  <c r="AJ314" i="16"/>
  <c r="AC314" i="16"/>
  <c r="X314" i="16"/>
  <c r="L314" i="16"/>
  <c r="D314" i="16" s="1"/>
  <c r="AB314" i="16"/>
  <c r="AK314" i="16"/>
  <c r="O314" i="16"/>
  <c r="I314" i="1"/>
  <c r="A313" i="20"/>
  <c r="L312" i="20"/>
  <c r="K312" i="20"/>
  <c r="X312" i="20"/>
  <c r="AB312" i="20"/>
  <c r="AK312" i="20"/>
  <c r="AJ312" i="20"/>
  <c r="O312" i="20"/>
  <c r="AC312" i="20"/>
  <c r="D315" i="1"/>
  <c r="E315" i="1" s="1"/>
  <c r="A310" i="24"/>
  <c r="L309" i="24"/>
  <c r="AB309" i="24"/>
  <c r="X309" i="24"/>
  <c r="K309" i="24"/>
  <c r="AJ309" i="24"/>
  <c r="AK309" i="24"/>
  <c r="O309" i="24"/>
  <c r="AC309" i="24"/>
  <c r="A311" i="23"/>
  <c r="AB310" i="23"/>
  <c r="X310" i="23"/>
  <c r="L310" i="23"/>
  <c r="K310" i="23"/>
  <c r="AJ310" i="23"/>
  <c r="AK310" i="23"/>
  <c r="O310" i="23"/>
  <c r="AC310" i="23"/>
  <c r="AB314" i="17"/>
  <c r="A315" i="17"/>
  <c r="K314" i="17"/>
  <c r="L314" i="17"/>
  <c r="X314" i="17"/>
  <c r="AJ314" i="17"/>
  <c r="O314" i="17"/>
  <c r="AK314" i="17"/>
  <c r="AC314" i="17"/>
  <c r="T315" i="1"/>
  <c r="S315" i="1" s="1"/>
  <c r="R315" i="1" s="1"/>
  <c r="P315" i="1" s="1"/>
  <c r="V315" i="1" s="1"/>
  <c r="AB316" i="1"/>
  <c r="X316" i="1"/>
  <c r="AJ316" i="1"/>
  <c r="Q316" i="1"/>
  <c r="O316" i="1"/>
  <c r="AC316" i="1"/>
  <c r="K316" i="1"/>
  <c r="AK316" i="1"/>
  <c r="L316" i="1"/>
  <c r="A317" i="1"/>
  <c r="U316" i="1"/>
  <c r="T316" i="1" s="1"/>
  <c r="K308" i="25"/>
  <c r="AB308" i="25"/>
  <c r="A309" i="25"/>
  <c r="X308" i="25"/>
  <c r="L308" i="25"/>
  <c r="AJ308" i="25"/>
  <c r="AK308" i="25"/>
  <c r="O308" i="25"/>
  <c r="AC308" i="25"/>
  <c r="X311" i="22"/>
  <c r="A312" i="22"/>
  <c r="AB311" i="22"/>
  <c r="K311" i="22"/>
  <c r="L311" i="22"/>
  <c r="AK311" i="22"/>
  <c r="AJ311" i="22"/>
  <c r="O311" i="22"/>
  <c r="AC311" i="22"/>
  <c r="X313" i="18"/>
  <c r="AJ313" i="18"/>
  <c r="A314" i="18"/>
  <c r="AB313" i="18"/>
  <c r="K313" i="18"/>
  <c r="L313" i="18"/>
  <c r="O313" i="18"/>
  <c r="AK313" i="18"/>
  <c r="AC313" i="18"/>
  <c r="E315" i="15" l="1"/>
  <c r="L316" i="15"/>
  <c r="D316" i="15" s="1"/>
  <c r="X316" i="15"/>
  <c r="AC316" i="15"/>
  <c r="AB316" i="15"/>
  <c r="O316" i="15"/>
  <c r="A317" i="15"/>
  <c r="AK316" i="15"/>
  <c r="K316" i="15"/>
  <c r="AJ316" i="15"/>
  <c r="G314" i="1"/>
  <c r="BW314" i="6" s="1"/>
  <c r="F315" i="1"/>
  <c r="I315" i="1" s="1"/>
  <c r="E314" i="16"/>
  <c r="AB315" i="16"/>
  <c r="X315" i="16"/>
  <c r="AK315" i="16"/>
  <c r="AC315" i="16"/>
  <c r="K315" i="16"/>
  <c r="A316" i="16"/>
  <c r="L315" i="16"/>
  <c r="D315" i="16" s="1"/>
  <c r="AJ315" i="16"/>
  <c r="O315" i="16"/>
  <c r="D316" i="1"/>
  <c r="E316" i="1" s="1"/>
  <c r="AB313" i="20"/>
  <c r="K313" i="20"/>
  <c r="X313" i="20"/>
  <c r="L313" i="20"/>
  <c r="A314" i="20"/>
  <c r="AJ313" i="20"/>
  <c r="AK313" i="20"/>
  <c r="O313" i="20"/>
  <c r="AC313" i="20"/>
  <c r="S316" i="1"/>
  <c r="R316" i="1" s="1"/>
  <c r="P316" i="1" s="1"/>
  <c r="V316" i="1" s="1"/>
  <c r="AB314" i="18"/>
  <c r="X314" i="18"/>
  <c r="L314" i="18"/>
  <c r="A315" i="18"/>
  <c r="AJ314" i="18"/>
  <c r="K314" i="18"/>
  <c r="O314" i="18"/>
  <c r="AK314" i="18"/>
  <c r="AC314" i="18"/>
  <c r="AB312" i="22"/>
  <c r="X312" i="22"/>
  <c r="A313" i="22"/>
  <c r="K312" i="22"/>
  <c r="L312" i="22"/>
  <c r="AK312" i="22"/>
  <c r="AJ312" i="22"/>
  <c r="O312" i="22"/>
  <c r="AC312" i="22"/>
  <c r="AB309" i="25"/>
  <c r="K309" i="25"/>
  <c r="A310" i="25"/>
  <c r="X309" i="25"/>
  <c r="L309" i="25"/>
  <c r="AJ309" i="25"/>
  <c r="AK309" i="25"/>
  <c r="O309" i="25"/>
  <c r="AC309" i="25"/>
  <c r="AK317" i="1"/>
  <c r="K317" i="1"/>
  <c r="O317" i="1"/>
  <c r="Q317" i="1"/>
  <c r="A318" i="1"/>
  <c r="L317" i="1"/>
  <c r="AB317" i="1"/>
  <c r="AC317" i="1"/>
  <c r="X317" i="1"/>
  <c r="AJ317" i="1"/>
  <c r="U317" i="1"/>
  <c r="T317" i="1" s="1"/>
  <c r="AB315" i="17"/>
  <c r="A316" i="17"/>
  <c r="L315" i="17"/>
  <c r="X315" i="17"/>
  <c r="K315" i="17"/>
  <c r="AJ315" i="17"/>
  <c r="AK315" i="17"/>
  <c r="O315" i="17"/>
  <c r="AC315" i="17"/>
  <c r="A312" i="23"/>
  <c r="L311" i="23"/>
  <c r="K311" i="23"/>
  <c r="X311" i="23"/>
  <c r="AB311" i="23"/>
  <c r="AJ311" i="23"/>
  <c r="AK311" i="23"/>
  <c r="O311" i="23"/>
  <c r="AC311" i="23"/>
  <c r="AB310" i="24"/>
  <c r="L310" i="24"/>
  <c r="X310" i="24"/>
  <c r="A311" i="24"/>
  <c r="K310" i="24"/>
  <c r="AK310" i="24"/>
  <c r="AJ310" i="24"/>
  <c r="O310" i="24"/>
  <c r="AC310" i="24"/>
  <c r="E316" i="15" l="1"/>
  <c r="AA315" i="1"/>
  <c r="Z315" i="1" s="1"/>
  <c r="Y315" i="1" s="1"/>
  <c r="K317" i="15"/>
  <c r="O317" i="15"/>
  <c r="X317" i="15"/>
  <c r="AK317" i="15"/>
  <c r="L317" i="15"/>
  <c r="D317" i="15" s="1"/>
  <c r="AJ317" i="15"/>
  <c r="A318" i="15"/>
  <c r="AB317" i="15"/>
  <c r="AC317" i="15"/>
  <c r="G315" i="1"/>
  <c r="BW315" i="6" s="1"/>
  <c r="F316" i="1"/>
  <c r="AA316" i="1" s="1"/>
  <c r="Z316" i="1" s="1"/>
  <c r="Y316" i="1" s="1"/>
  <c r="AB316" i="16"/>
  <c r="X316" i="16"/>
  <c r="AJ316" i="16"/>
  <c r="AC316" i="16"/>
  <c r="L316" i="16"/>
  <c r="D316" i="16" s="1"/>
  <c r="A317" i="16"/>
  <c r="K316" i="16"/>
  <c r="AK316" i="16"/>
  <c r="O316" i="16"/>
  <c r="E315" i="16"/>
  <c r="S317" i="1"/>
  <c r="R317" i="1" s="1"/>
  <c r="P317" i="1" s="1"/>
  <c r="V317" i="1" s="1"/>
  <c r="X318" i="1"/>
  <c r="K318" i="1"/>
  <c r="AK318" i="1"/>
  <c r="Q318" i="1"/>
  <c r="AC318" i="1"/>
  <c r="O318" i="1"/>
  <c r="AB318" i="1"/>
  <c r="L318" i="1"/>
  <c r="AJ318" i="1"/>
  <c r="A319" i="1"/>
  <c r="U318" i="1"/>
  <c r="T318" i="1" s="1"/>
  <c r="K313" i="22"/>
  <c r="X313" i="22"/>
  <c r="L313" i="22"/>
  <c r="AB313" i="22"/>
  <c r="A314" i="22"/>
  <c r="AJ313" i="22"/>
  <c r="AK313" i="22"/>
  <c r="O313" i="22"/>
  <c r="AC313" i="22"/>
  <c r="A312" i="24"/>
  <c r="AB311" i="24"/>
  <c r="X311" i="24"/>
  <c r="L311" i="24"/>
  <c r="K311" i="24"/>
  <c r="AK311" i="24"/>
  <c r="AJ311" i="24"/>
  <c r="O311" i="24"/>
  <c r="AC311" i="24"/>
  <c r="AB312" i="23"/>
  <c r="X312" i="23"/>
  <c r="A313" i="23"/>
  <c r="L312" i="23"/>
  <c r="K312" i="23"/>
  <c r="AJ312" i="23"/>
  <c r="AK312" i="23"/>
  <c r="O312" i="23"/>
  <c r="AC312" i="23"/>
  <c r="A317" i="17"/>
  <c r="X316" i="17"/>
  <c r="L316" i="17"/>
  <c r="AB316" i="17"/>
  <c r="K316" i="17"/>
  <c r="O316" i="17"/>
  <c r="AJ316" i="17"/>
  <c r="AK316" i="17"/>
  <c r="AC316" i="17"/>
  <c r="D317" i="1"/>
  <c r="E317" i="1" s="1"/>
  <c r="X310" i="25"/>
  <c r="AB310" i="25"/>
  <c r="L310" i="25"/>
  <c r="K310" i="25"/>
  <c r="A311" i="25"/>
  <c r="AJ310" i="25"/>
  <c r="AK310" i="25"/>
  <c r="O310" i="25"/>
  <c r="AC310" i="25"/>
  <c r="K315" i="18"/>
  <c r="AB315" i="18"/>
  <c r="A316" i="18"/>
  <c r="L315" i="18"/>
  <c r="X315" i="18"/>
  <c r="AJ315" i="18"/>
  <c r="O315" i="18"/>
  <c r="AK315" i="18"/>
  <c r="AC315" i="18"/>
  <c r="X314" i="20"/>
  <c r="L314" i="20"/>
  <c r="K314" i="20"/>
  <c r="AB314" i="20"/>
  <c r="A315" i="20"/>
  <c r="AJ314" i="20"/>
  <c r="AK314" i="20"/>
  <c r="O314" i="20"/>
  <c r="AC314" i="20"/>
  <c r="G316" i="1" l="1"/>
  <c r="BW316" i="6" s="1"/>
  <c r="E317" i="15"/>
  <c r="X318" i="15"/>
  <c r="AK318" i="15"/>
  <c r="K318" i="15"/>
  <c r="A319" i="15"/>
  <c r="AC318" i="15"/>
  <c r="AB318" i="15"/>
  <c r="O318" i="15"/>
  <c r="L318" i="15"/>
  <c r="D318" i="15" s="1"/>
  <c r="AJ318" i="15"/>
  <c r="I316" i="1"/>
  <c r="E316" i="16"/>
  <c r="X317" i="16"/>
  <c r="AB317" i="16"/>
  <c r="A318" i="16"/>
  <c r="AK317" i="16"/>
  <c r="O317" i="16"/>
  <c r="K317" i="16"/>
  <c r="L317" i="16"/>
  <c r="D317" i="16" s="1"/>
  <c r="E317" i="16" s="1"/>
  <c r="AJ317" i="16"/>
  <c r="AC317" i="16"/>
  <c r="K316" i="18"/>
  <c r="L316" i="18"/>
  <c r="A317" i="18"/>
  <c r="X316" i="18"/>
  <c r="AB316" i="18"/>
  <c r="AJ316" i="18"/>
  <c r="AK316" i="18"/>
  <c r="O316" i="18"/>
  <c r="AC316" i="18"/>
  <c r="X312" i="24"/>
  <c r="K312" i="24"/>
  <c r="AB312" i="24"/>
  <c r="A313" i="24"/>
  <c r="L312" i="24"/>
  <c r="AJ312" i="24"/>
  <c r="AK312" i="24"/>
  <c r="O312" i="24"/>
  <c r="AC312" i="24"/>
  <c r="AB314" i="22"/>
  <c r="K314" i="22"/>
  <c r="A315" i="22"/>
  <c r="X314" i="22"/>
  <c r="L314" i="22"/>
  <c r="AK314" i="22"/>
  <c r="AJ314" i="22"/>
  <c r="O314" i="22"/>
  <c r="AC314" i="22"/>
  <c r="L319" i="1"/>
  <c r="Q319" i="1"/>
  <c r="O319" i="1"/>
  <c r="AB319" i="1"/>
  <c r="AC319" i="1"/>
  <c r="K319" i="1"/>
  <c r="AJ319" i="1"/>
  <c r="AK319" i="1"/>
  <c r="A320" i="1"/>
  <c r="X319" i="1"/>
  <c r="U319" i="1"/>
  <c r="D318" i="1"/>
  <c r="E318" i="1" s="1"/>
  <c r="AB315" i="20"/>
  <c r="L315" i="20"/>
  <c r="A316" i="20"/>
  <c r="K315" i="20"/>
  <c r="X315" i="20"/>
  <c r="AK315" i="20"/>
  <c r="AJ315" i="20"/>
  <c r="O315" i="20"/>
  <c r="AC315" i="20"/>
  <c r="A312" i="25"/>
  <c r="L311" i="25"/>
  <c r="K311" i="25"/>
  <c r="AB311" i="25"/>
  <c r="X311" i="25"/>
  <c r="AJ311" i="25"/>
  <c r="AK311" i="25"/>
  <c r="O311" i="25"/>
  <c r="AC311" i="25"/>
  <c r="F317" i="1"/>
  <c r="X317" i="17"/>
  <c r="AB317" i="17"/>
  <c r="A318" i="17"/>
  <c r="L317" i="17"/>
  <c r="K317" i="17"/>
  <c r="AJ317" i="17"/>
  <c r="O317" i="17"/>
  <c r="AK317" i="17"/>
  <c r="AC317" i="17"/>
  <c r="AB313" i="23"/>
  <c r="A314" i="23"/>
  <c r="K313" i="23"/>
  <c r="L313" i="23"/>
  <c r="X313" i="23"/>
  <c r="AJ313" i="23"/>
  <c r="AK313" i="23"/>
  <c r="O313" i="23"/>
  <c r="AC313" i="23"/>
  <c r="S318" i="1"/>
  <c r="R318" i="1" s="1"/>
  <c r="P318" i="1" s="1"/>
  <c r="V318" i="1" s="1"/>
  <c r="K61" i="19" s="1"/>
  <c r="E318" i="15" l="1"/>
  <c r="A320" i="15"/>
  <c r="AJ319" i="15"/>
  <c r="L319" i="15"/>
  <c r="D319" i="15" s="1"/>
  <c r="AB319" i="15"/>
  <c r="AC319" i="15"/>
  <c r="K319" i="15"/>
  <c r="O319" i="15"/>
  <c r="E319" i="15" s="1"/>
  <c r="X319" i="15"/>
  <c r="AK319" i="15"/>
  <c r="X318" i="16"/>
  <c r="A319" i="16"/>
  <c r="L318" i="16"/>
  <c r="D318" i="16" s="1"/>
  <c r="AJ318" i="16"/>
  <c r="O318" i="16"/>
  <c r="K318" i="16"/>
  <c r="AB318" i="16"/>
  <c r="AK318" i="16"/>
  <c r="AC318" i="16"/>
  <c r="I317" i="1"/>
  <c r="G317" i="1"/>
  <c r="BW317" i="6" s="1"/>
  <c r="AA317" i="1"/>
  <c r="Z317" i="1" s="1"/>
  <c r="Y317" i="1" s="1"/>
  <c r="AB316" i="20"/>
  <c r="X316" i="20"/>
  <c r="K316" i="20"/>
  <c r="L316" i="20"/>
  <c r="A317" i="20"/>
  <c r="AJ316" i="20"/>
  <c r="AK316" i="20"/>
  <c r="O316" i="20"/>
  <c r="AC316" i="20"/>
  <c r="T319" i="1"/>
  <c r="O320" i="1"/>
  <c r="X320" i="1"/>
  <c r="AC320" i="1"/>
  <c r="L320" i="1"/>
  <c r="AK320" i="1"/>
  <c r="AB320" i="1"/>
  <c r="A321" i="1"/>
  <c r="AJ320" i="1"/>
  <c r="K320" i="1"/>
  <c r="Q320" i="1"/>
  <c r="U320" i="1"/>
  <c r="T320" i="1" s="1"/>
  <c r="D319" i="1"/>
  <c r="E319" i="1" s="1"/>
  <c r="A315" i="23"/>
  <c r="X314" i="23"/>
  <c r="L314" i="23"/>
  <c r="K314" i="23"/>
  <c r="AB314" i="23"/>
  <c r="AJ314" i="23"/>
  <c r="AK314" i="23"/>
  <c r="O314" i="23"/>
  <c r="AC314" i="23"/>
  <c r="L318" i="17"/>
  <c r="AB318" i="17"/>
  <c r="X318" i="17"/>
  <c r="K318" i="17"/>
  <c r="A319" i="17"/>
  <c r="AJ318" i="17"/>
  <c r="O318" i="17"/>
  <c r="AK318" i="17"/>
  <c r="AC318" i="17"/>
  <c r="AB312" i="25"/>
  <c r="X312" i="25"/>
  <c r="K312" i="25"/>
  <c r="L312" i="25"/>
  <c r="A313" i="25"/>
  <c r="AJ312" i="25"/>
  <c r="O312" i="25"/>
  <c r="AK312" i="25"/>
  <c r="AC312" i="25"/>
  <c r="F318" i="1"/>
  <c r="AB315" i="22"/>
  <c r="K315" i="22"/>
  <c r="L315" i="22"/>
  <c r="X315" i="22"/>
  <c r="A316" i="22"/>
  <c r="AJ315" i="22"/>
  <c r="AK315" i="22"/>
  <c r="O315" i="22"/>
  <c r="AC315" i="22"/>
  <c r="K313" i="24"/>
  <c r="L313" i="24"/>
  <c r="X313" i="24"/>
  <c r="A314" i="24"/>
  <c r="AB313" i="24"/>
  <c r="AJ313" i="24"/>
  <c r="AK313" i="24"/>
  <c r="O313" i="24"/>
  <c r="AC313" i="24"/>
  <c r="X317" i="18"/>
  <c r="A318" i="18"/>
  <c r="K317" i="18"/>
  <c r="AB317" i="18"/>
  <c r="AJ317" i="18"/>
  <c r="L317" i="18"/>
  <c r="O317" i="18"/>
  <c r="AK317" i="18"/>
  <c r="AC317" i="18"/>
  <c r="X320" i="15" l="1"/>
  <c r="AK320" i="15"/>
  <c r="A321" i="15"/>
  <c r="AJ320" i="15"/>
  <c r="L320" i="15"/>
  <c r="D320" i="15" s="1"/>
  <c r="K320" i="15"/>
  <c r="O320" i="15"/>
  <c r="E320" i="15" s="1"/>
  <c r="AB320" i="15"/>
  <c r="AC320" i="15"/>
  <c r="E318" i="16"/>
  <c r="AB319" i="16"/>
  <c r="L319" i="16"/>
  <c r="D319" i="16" s="1"/>
  <c r="AJ319" i="16"/>
  <c r="AC319" i="16"/>
  <c r="A320" i="16"/>
  <c r="X319" i="16"/>
  <c r="K319" i="16"/>
  <c r="AK319" i="16"/>
  <c r="O319" i="16"/>
  <c r="AB314" i="24"/>
  <c r="K314" i="24"/>
  <c r="L314" i="24"/>
  <c r="A315" i="24"/>
  <c r="X314" i="24"/>
  <c r="AJ314" i="24"/>
  <c r="AK314" i="24"/>
  <c r="O314" i="24"/>
  <c r="AC314" i="24"/>
  <c r="G318" i="1"/>
  <c r="BW318" i="6" s="1"/>
  <c r="I318" i="1"/>
  <c r="AA318" i="1"/>
  <c r="Z318" i="1" s="1"/>
  <c r="Y318" i="1" s="1"/>
  <c r="K319" i="17"/>
  <c r="A320" i="17"/>
  <c r="AB319" i="17"/>
  <c r="L319" i="17"/>
  <c r="X319" i="17"/>
  <c r="AJ319" i="17"/>
  <c r="AK319" i="17"/>
  <c r="O319" i="17"/>
  <c r="AC319" i="17"/>
  <c r="AB315" i="23"/>
  <c r="A316" i="23"/>
  <c r="X315" i="23"/>
  <c r="L315" i="23"/>
  <c r="K315" i="23"/>
  <c r="AJ315" i="23"/>
  <c r="AK315" i="23"/>
  <c r="O315" i="23"/>
  <c r="AC315" i="23"/>
  <c r="D320" i="1"/>
  <c r="E320" i="1" s="1"/>
  <c r="K317" i="20"/>
  <c r="A318" i="20"/>
  <c r="L317" i="20"/>
  <c r="X317" i="20"/>
  <c r="AB317" i="20"/>
  <c r="AK317" i="20"/>
  <c r="AJ317" i="20"/>
  <c r="O317" i="20"/>
  <c r="AC317" i="20"/>
  <c r="K318" i="18"/>
  <c r="AB318" i="18"/>
  <c r="X318" i="18"/>
  <c r="A319" i="18"/>
  <c r="AJ318" i="18"/>
  <c r="L318" i="18"/>
  <c r="O318" i="18"/>
  <c r="AK318" i="18"/>
  <c r="AC318" i="18"/>
  <c r="A317" i="22"/>
  <c r="K316" i="22"/>
  <c r="AB316" i="22"/>
  <c r="X316" i="22"/>
  <c r="L316" i="22"/>
  <c r="AJ316" i="22"/>
  <c r="AK316" i="22"/>
  <c r="O316" i="22"/>
  <c r="AC316" i="22"/>
  <c r="A314" i="25"/>
  <c r="L313" i="25"/>
  <c r="K313" i="25"/>
  <c r="AB313" i="25"/>
  <c r="X313" i="25"/>
  <c r="AJ313" i="25"/>
  <c r="O313" i="25"/>
  <c r="AK313" i="25"/>
  <c r="AC313" i="25"/>
  <c r="S320" i="1"/>
  <c r="R320" i="1" s="1"/>
  <c r="P320" i="1" s="1"/>
  <c r="V320" i="1" s="1"/>
  <c r="AK321" i="1"/>
  <c r="AC321" i="1"/>
  <c r="O321" i="1"/>
  <c r="L321" i="1"/>
  <c r="AJ321" i="1"/>
  <c r="K321" i="1"/>
  <c r="AB321" i="1"/>
  <c r="A322" i="1"/>
  <c r="X321" i="1"/>
  <c r="Q321" i="1"/>
  <c r="U321" i="1"/>
  <c r="T321" i="1" s="1"/>
  <c r="S319" i="1"/>
  <c r="R319" i="1" s="1"/>
  <c r="P319" i="1" s="1"/>
  <c r="L321" i="15" l="1"/>
  <c r="D321" i="15" s="1"/>
  <c r="AC321" i="15"/>
  <c r="K321" i="15"/>
  <c r="AK321" i="15"/>
  <c r="A322" i="15"/>
  <c r="AJ321" i="15"/>
  <c r="X321" i="15"/>
  <c r="AB321" i="15"/>
  <c r="O321" i="15"/>
  <c r="K320" i="16"/>
  <c r="L320" i="16"/>
  <c r="D320" i="16" s="1"/>
  <c r="A321" i="16"/>
  <c r="AJ320" i="16"/>
  <c r="O320" i="16"/>
  <c r="X320" i="16"/>
  <c r="AB320" i="16"/>
  <c r="AK320" i="16"/>
  <c r="AC320" i="16"/>
  <c r="F320" i="1"/>
  <c r="I320" i="1" s="1"/>
  <c r="E319" i="16"/>
  <c r="V319" i="1"/>
  <c r="F319" i="1" s="1"/>
  <c r="K322" i="1"/>
  <c r="AK322" i="1"/>
  <c r="O322" i="1"/>
  <c r="AC322" i="1"/>
  <c r="AB322" i="1"/>
  <c r="L322" i="1"/>
  <c r="X322" i="1"/>
  <c r="Q322" i="1"/>
  <c r="A323" i="1"/>
  <c r="AJ322" i="1"/>
  <c r="U322" i="1"/>
  <c r="T322" i="1" s="1"/>
  <c r="S322" i="1" s="1"/>
  <c r="R322" i="1" s="1"/>
  <c r="D321" i="1"/>
  <c r="E321" i="1" s="1"/>
  <c r="AB317" i="22"/>
  <c r="L317" i="22"/>
  <c r="X317" i="22"/>
  <c r="K317" i="22"/>
  <c r="A318" i="22"/>
  <c r="AJ317" i="22"/>
  <c r="AK317" i="22"/>
  <c r="O317" i="22"/>
  <c r="AC317" i="22"/>
  <c r="K319" i="18"/>
  <c r="A320" i="18"/>
  <c r="AJ319" i="18"/>
  <c r="AB319" i="18"/>
  <c r="X319" i="18"/>
  <c r="L319" i="18"/>
  <c r="O319" i="18"/>
  <c r="AK319" i="18"/>
  <c r="AC319" i="18"/>
  <c r="X316" i="23"/>
  <c r="AB316" i="23"/>
  <c r="A317" i="23"/>
  <c r="L316" i="23"/>
  <c r="K316" i="23"/>
  <c r="AK316" i="23"/>
  <c r="AJ316" i="23"/>
  <c r="O316" i="23"/>
  <c r="AC316" i="23"/>
  <c r="S321" i="1"/>
  <c r="R321" i="1" s="1"/>
  <c r="P321" i="1" s="1"/>
  <c r="V321" i="1" s="1"/>
  <c r="A315" i="25"/>
  <c r="K314" i="25"/>
  <c r="AB314" i="25"/>
  <c r="X314" i="25"/>
  <c r="L314" i="25"/>
  <c r="AJ314" i="25"/>
  <c r="AK314" i="25"/>
  <c r="O314" i="25"/>
  <c r="AC314" i="25"/>
  <c r="X318" i="20"/>
  <c r="A319" i="20"/>
  <c r="AB318" i="20"/>
  <c r="K318" i="20"/>
  <c r="L318" i="20"/>
  <c r="AJ318" i="20"/>
  <c r="AK318" i="20"/>
  <c r="O318" i="20"/>
  <c r="AC318" i="20"/>
  <c r="X320" i="17"/>
  <c r="A321" i="17"/>
  <c r="AB320" i="17"/>
  <c r="K320" i="17"/>
  <c r="L320" i="17"/>
  <c r="AJ320" i="17"/>
  <c r="AK320" i="17"/>
  <c r="O320" i="17"/>
  <c r="AC320" i="17"/>
  <c r="K315" i="24"/>
  <c r="A316" i="24"/>
  <c r="X315" i="24"/>
  <c r="AB315" i="24"/>
  <c r="L315" i="24"/>
  <c r="AK315" i="24"/>
  <c r="O315" i="24"/>
  <c r="AJ315" i="24"/>
  <c r="AC315" i="24"/>
  <c r="X322" i="15" l="1"/>
  <c r="O322" i="15"/>
  <c r="L322" i="15"/>
  <c r="D322" i="15" s="1"/>
  <c r="AK322" i="15"/>
  <c r="AB322" i="15"/>
  <c r="AJ322" i="15"/>
  <c r="K322" i="15"/>
  <c r="A323" i="15"/>
  <c r="AC322" i="15"/>
  <c r="E321" i="15"/>
  <c r="E320" i="16"/>
  <c r="G320" i="1"/>
  <c r="BW320" i="6" s="1"/>
  <c r="AA320" i="1"/>
  <c r="Z320" i="1" s="1"/>
  <c r="Y320" i="1" s="1"/>
  <c r="P322" i="1"/>
  <c r="L321" i="16"/>
  <c r="D321" i="16" s="1"/>
  <c r="A322" i="16"/>
  <c r="K321" i="16"/>
  <c r="AK321" i="16"/>
  <c r="O321" i="16"/>
  <c r="X321" i="16"/>
  <c r="AB321" i="16"/>
  <c r="AJ321" i="16"/>
  <c r="AC321" i="16"/>
  <c r="X316" i="24"/>
  <c r="AB316" i="24"/>
  <c r="A317" i="24"/>
  <c r="K316" i="24"/>
  <c r="L316" i="24"/>
  <c r="AJ316" i="24"/>
  <c r="AK316" i="24"/>
  <c r="O316" i="24"/>
  <c r="AC316" i="24"/>
  <c r="K317" i="23"/>
  <c r="X317" i="23"/>
  <c r="L317" i="23"/>
  <c r="A318" i="23"/>
  <c r="AB317" i="23"/>
  <c r="AK317" i="23"/>
  <c r="AJ317" i="23"/>
  <c r="O317" i="23"/>
  <c r="AC317" i="23"/>
  <c r="AB320" i="18"/>
  <c r="A321" i="18"/>
  <c r="AJ320" i="18"/>
  <c r="X320" i="18"/>
  <c r="L320" i="18"/>
  <c r="K320" i="18"/>
  <c r="AK320" i="18"/>
  <c r="O320" i="18"/>
  <c r="AC320" i="18"/>
  <c r="AB318" i="22"/>
  <c r="A319" i="22"/>
  <c r="K318" i="22"/>
  <c r="L318" i="22"/>
  <c r="X318" i="22"/>
  <c r="AJ318" i="22"/>
  <c r="AK318" i="22"/>
  <c r="O318" i="22"/>
  <c r="AC318" i="22"/>
  <c r="AJ323" i="1"/>
  <c r="O323" i="1"/>
  <c r="K323" i="1"/>
  <c r="Q323" i="1"/>
  <c r="L323" i="1"/>
  <c r="X323" i="1"/>
  <c r="AB323" i="1"/>
  <c r="AK323" i="1"/>
  <c r="AC323" i="1"/>
  <c r="A324" i="1"/>
  <c r="U323" i="1"/>
  <c r="T323" i="1" s="1"/>
  <c r="S323" i="1" s="1"/>
  <c r="R323" i="1" s="1"/>
  <c r="X321" i="17"/>
  <c r="A322" i="17"/>
  <c r="L321" i="17"/>
  <c r="AB321" i="17"/>
  <c r="K321" i="17"/>
  <c r="O321" i="17"/>
  <c r="AJ321" i="17"/>
  <c r="AK321" i="17"/>
  <c r="AC321" i="17"/>
  <c r="A320" i="20"/>
  <c r="X319" i="20"/>
  <c r="K319" i="20"/>
  <c r="AB319" i="20"/>
  <c r="L319" i="20"/>
  <c r="AJ319" i="20"/>
  <c r="AK319" i="20"/>
  <c r="O319" i="20"/>
  <c r="AC319" i="20"/>
  <c r="X315" i="25"/>
  <c r="AB315" i="25"/>
  <c r="L315" i="25"/>
  <c r="A316" i="25"/>
  <c r="K315" i="25"/>
  <c r="AJ315" i="25"/>
  <c r="O315" i="25"/>
  <c r="AK315" i="25"/>
  <c r="AC315" i="25"/>
  <c r="F321" i="1"/>
  <c r="D322" i="1"/>
  <c r="E322" i="1" s="1"/>
  <c r="V322" i="1"/>
  <c r="AA319" i="1"/>
  <c r="Z319" i="1" s="1"/>
  <c r="Y319" i="1" s="1"/>
  <c r="G319" i="1"/>
  <c r="BW319" i="6" s="1"/>
  <c r="I319" i="1"/>
  <c r="E322" i="15" l="1"/>
  <c r="P323" i="1"/>
  <c r="L323" i="15"/>
  <c r="D323" i="15" s="1"/>
  <c r="X323" i="15"/>
  <c r="AC323" i="15"/>
  <c r="AB323" i="15"/>
  <c r="O323" i="15"/>
  <c r="E323" i="15" s="1"/>
  <c r="A324" i="15"/>
  <c r="AK323" i="15"/>
  <c r="K323" i="15"/>
  <c r="AJ323" i="15"/>
  <c r="K322" i="16"/>
  <c r="X322" i="16"/>
  <c r="AJ322" i="16"/>
  <c r="AC322" i="16"/>
  <c r="A323" i="16"/>
  <c r="L322" i="16"/>
  <c r="D322" i="16" s="1"/>
  <c r="AB322" i="16"/>
  <c r="AK322" i="16"/>
  <c r="O322" i="16"/>
  <c r="E321" i="16"/>
  <c r="F322" i="1"/>
  <c r="I321" i="1"/>
  <c r="G321" i="1"/>
  <c r="BW321" i="6" s="1"/>
  <c r="AA321" i="1"/>
  <c r="Z321" i="1" s="1"/>
  <c r="Y321" i="1" s="1"/>
  <c r="X316" i="25"/>
  <c r="AB316" i="25"/>
  <c r="L316" i="25"/>
  <c r="K316" i="25"/>
  <c r="A317" i="25"/>
  <c r="AJ316" i="25"/>
  <c r="AK316" i="25"/>
  <c r="O316" i="25"/>
  <c r="AC316" i="25"/>
  <c r="K320" i="20"/>
  <c r="AB320" i="20"/>
  <c r="L320" i="20"/>
  <c r="A321" i="20"/>
  <c r="X320" i="20"/>
  <c r="AJ320" i="20"/>
  <c r="AK320" i="20"/>
  <c r="O320" i="20"/>
  <c r="AC320" i="20"/>
  <c r="K324" i="1"/>
  <c r="AK324" i="1"/>
  <c r="L324" i="1"/>
  <c r="AB324" i="1"/>
  <c r="X324" i="1"/>
  <c r="O324" i="1"/>
  <c r="AJ324" i="1"/>
  <c r="Q324" i="1"/>
  <c r="AC324" i="1"/>
  <c r="A325" i="1"/>
  <c r="U324" i="1"/>
  <c r="T324" i="1" s="1"/>
  <c r="A322" i="18"/>
  <c r="K321" i="18"/>
  <c r="L321" i="18"/>
  <c r="AB321" i="18"/>
  <c r="AJ321" i="18"/>
  <c r="X321" i="18"/>
  <c r="O321" i="18"/>
  <c r="AK321" i="18"/>
  <c r="AC321" i="18"/>
  <c r="AB322" i="17"/>
  <c r="X322" i="17"/>
  <c r="K322" i="17"/>
  <c r="L322" i="17"/>
  <c r="A323" i="17"/>
  <c r="O322" i="17"/>
  <c r="AK322" i="17"/>
  <c r="AJ322" i="17"/>
  <c r="AC322" i="17"/>
  <c r="D323" i="1"/>
  <c r="E323" i="1" s="1"/>
  <c r="V323" i="1"/>
  <c r="K319" i="22"/>
  <c r="A320" i="22"/>
  <c r="AB319" i="22"/>
  <c r="L319" i="22"/>
  <c r="X319" i="22"/>
  <c r="AJ319" i="22"/>
  <c r="AK319" i="22"/>
  <c r="O319" i="22"/>
  <c r="AC319" i="22"/>
  <c r="AB318" i="23"/>
  <c r="K318" i="23"/>
  <c r="X318" i="23"/>
  <c r="L318" i="23"/>
  <c r="A319" i="23"/>
  <c r="AJ318" i="23"/>
  <c r="AK318" i="23"/>
  <c r="O318" i="23"/>
  <c r="AC318" i="23"/>
  <c r="AB317" i="24"/>
  <c r="X317" i="24"/>
  <c r="K317" i="24"/>
  <c r="L317" i="24"/>
  <c r="A318" i="24"/>
  <c r="AJ317" i="24"/>
  <c r="AK317" i="24"/>
  <c r="O317" i="24"/>
  <c r="AC317" i="24"/>
  <c r="AB324" i="15" l="1"/>
  <c r="AK324" i="15"/>
  <c r="X324" i="15"/>
  <c r="AJ324" i="15"/>
  <c r="A325" i="15"/>
  <c r="L324" i="15"/>
  <c r="D324" i="15" s="1"/>
  <c r="O324" i="15"/>
  <c r="K324" i="15"/>
  <c r="AC324" i="15"/>
  <c r="E322" i="16"/>
  <c r="AB323" i="16"/>
  <c r="L323" i="16"/>
  <c r="D323" i="16" s="1"/>
  <c r="X323" i="16"/>
  <c r="AK323" i="16"/>
  <c r="O323" i="16"/>
  <c r="K323" i="16"/>
  <c r="A324" i="16"/>
  <c r="AJ323" i="16"/>
  <c r="AC323" i="16"/>
  <c r="X318" i="24"/>
  <c r="AB318" i="24"/>
  <c r="K318" i="24"/>
  <c r="A319" i="24"/>
  <c r="L318" i="24"/>
  <c r="AK318" i="24"/>
  <c r="AJ318" i="24"/>
  <c r="O318" i="24"/>
  <c r="AC318" i="24"/>
  <c r="AB319" i="23"/>
  <c r="X319" i="23"/>
  <c r="K319" i="23"/>
  <c r="L319" i="23"/>
  <c r="A320" i="23"/>
  <c r="AJ319" i="23"/>
  <c r="AK319" i="23"/>
  <c r="O319" i="23"/>
  <c r="AC319" i="23"/>
  <c r="K320" i="22"/>
  <c r="AB320" i="22"/>
  <c r="L320" i="22"/>
  <c r="A321" i="22"/>
  <c r="X320" i="22"/>
  <c r="AJ320" i="22"/>
  <c r="AK320" i="22"/>
  <c r="O320" i="22"/>
  <c r="AC320" i="22"/>
  <c r="K322" i="18"/>
  <c r="AJ322" i="18"/>
  <c r="AB322" i="18"/>
  <c r="X322" i="18"/>
  <c r="A323" i="18"/>
  <c r="L322" i="18"/>
  <c r="AK322" i="18"/>
  <c r="O322" i="18"/>
  <c r="AC322" i="18"/>
  <c r="S324" i="1"/>
  <c r="R324" i="1" s="1"/>
  <c r="P324" i="1" s="1"/>
  <c r="V324" i="1" s="1"/>
  <c r="D324" i="1"/>
  <c r="E324" i="1" s="1"/>
  <c r="A322" i="20"/>
  <c r="K321" i="20"/>
  <c r="AB321" i="20"/>
  <c r="X321" i="20"/>
  <c r="L321" i="20"/>
  <c r="AJ321" i="20"/>
  <c r="AK321" i="20"/>
  <c r="O321" i="20"/>
  <c r="AC321" i="20"/>
  <c r="X317" i="25"/>
  <c r="L317" i="25"/>
  <c r="K317" i="25"/>
  <c r="A318" i="25"/>
  <c r="AB317" i="25"/>
  <c r="AJ317" i="25"/>
  <c r="O317" i="25"/>
  <c r="AK317" i="25"/>
  <c r="AC317" i="25"/>
  <c r="G322" i="1"/>
  <c r="BW322" i="6" s="1"/>
  <c r="I322" i="1"/>
  <c r="AA322" i="1"/>
  <c r="Z322" i="1" s="1"/>
  <c r="Y322" i="1" s="1"/>
  <c r="F323" i="1"/>
  <c r="L323" i="17"/>
  <c r="X323" i="17"/>
  <c r="A324" i="17"/>
  <c r="K323" i="17"/>
  <c r="AB323" i="17"/>
  <c r="AJ323" i="17"/>
  <c r="AK323" i="17"/>
  <c r="O323" i="17"/>
  <c r="AC323" i="17"/>
  <c r="AJ325" i="1"/>
  <c r="Q325" i="1"/>
  <c r="AK325" i="1"/>
  <c r="K325" i="1"/>
  <c r="X325" i="1"/>
  <c r="AB325" i="1"/>
  <c r="O325" i="1"/>
  <c r="L325" i="1"/>
  <c r="A326" i="1"/>
  <c r="AC325" i="1"/>
  <c r="U325" i="1"/>
  <c r="T325" i="1" s="1"/>
  <c r="E324" i="15" l="1"/>
  <c r="AB325" i="15"/>
  <c r="O325" i="15"/>
  <c r="X325" i="15"/>
  <c r="AJ325" i="15"/>
  <c r="K325" i="15"/>
  <c r="AK325" i="15"/>
  <c r="L325" i="15"/>
  <c r="D325" i="15" s="1"/>
  <c r="A326" i="15"/>
  <c r="AC325" i="15"/>
  <c r="E323" i="16"/>
  <c r="A325" i="16"/>
  <c r="L324" i="16"/>
  <c r="D324" i="16" s="1"/>
  <c r="AK324" i="16"/>
  <c r="AC324" i="16"/>
  <c r="AB324" i="16"/>
  <c r="K324" i="16"/>
  <c r="X324" i="16"/>
  <c r="AJ324" i="16"/>
  <c r="O324" i="16"/>
  <c r="D325" i="1"/>
  <c r="E325" i="1" s="1"/>
  <c r="K324" i="17"/>
  <c r="A325" i="17"/>
  <c r="L324" i="17"/>
  <c r="AB324" i="17"/>
  <c r="X324" i="17"/>
  <c r="AJ324" i="17"/>
  <c r="O324" i="17"/>
  <c r="AK324" i="17"/>
  <c r="AC324" i="17"/>
  <c r="X318" i="25"/>
  <c r="K318" i="25"/>
  <c r="AB318" i="25"/>
  <c r="L318" i="25"/>
  <c r="A319" i="25"/>
  <c r="AJ318" i="25"/>
  <c r="O318" i="25"/>
  <c r="AK318" i="25"/>
  <c r="AC318" i="25"/>
  <c r="X322" i="20"/>
  <c r="K322" i="20"/>
  <c r="AB322" i="20"/>
  <c r="A323" i="20"/>
  <c r="L322" i="20"/>
  <c r="AJ322" i="20"/>
  <c r="AK322" i="20"/>
  <c r="O322" i="20"/>
  <c r="AC322" i="20"/>
  <c r="X323" i="18"/>
  <c r="AJ323" i="18"/>
  <c r="K323" i="18"/>
  <c r="A324" i="18"/>
  <c r="AB323" i="18"/>
  <c r="L323" i="18"/>
  <c r="AK323" i="18"/>
  <c r="O323" i="18"/>
  <c r="AC323" i="18"/>
  <c r="K321" i="22"/>
  <c r="A322" i="22"/>
  <c r="L321" i="22"/>
  <c r="AB321" i="22"/>
  <c r="X321" i="22"/>
  <c r="AK321" i="22"/>
  <c r="AJ321" i="22"/>
  <c r="O321" i="22"/>
  <c r="AC321" i="22"/>
  <c r="K320" i="23"/>
  <c r="L320" i="23"/>
  <c r="A321" i="23"/>
  <c r="AB320" i="23"/>
  <c r="X320" i="23"/>
  <c r="AK320" i="23"/>
  <c r="AJ320" i="23"/>
  <c r="O320" i="23"/>
  <c r="AC320" i="23"/>
  <c r="X319" i="24"/>
  <c r="K319" i="24"/>
  <c r="A320" i="24"/>
  <c r="AB319" i="24"/>
  <c r="L319" i="24"/>
  <c r="AJ319" i="24"/>
  <c r="AK319" i="24"/>
  <c r="O319" i="24"/>
  <c r="AC319" i="24"/>
  <c r="S325" i="1"/>
  <c r="R325" i="1" s="1"/>
  <c r="P325" i="1" s="1"/>
  <c r="V325" i="1" s="1"/>
  <c r="AJ326" i="1"/>
  <c r="Q326" i="1"/>
  <c r="AK326" i="1"/>
  <c r="AB326" i="1"/>
  <c r="X326" i="1"/>
  <c r="A327" i="1"/>
  <c r="O326" i="1"/>
  <c r="AC326" i="1"/>
  <c r="L326" i="1"/>
  <c r="K326" i="1"/>
  <c r="U326" i="1"/>
  <c r="T326" i="1" s="1"/>
  <c r="S326" i="1" s="1"/>
  <c r="R326" i="1" s="1"/>
  <c r="G323" i="1"/>
  <c r="BW323" i="6" s="1"/>
  <c r="I323" i="1"/>
  <c r="AA323" i="1"/>
  <c r="Z323" i="1" s="1"/>
  <c r="Y323" i="1" s="1"/>
  <c r="F324" i="1"/>
  <c r="X326" i="15" l="1"/>
  <c r="AJ326" i="15"/>
  <c r="K326" i="15"/>
  <c r="A327" i="15"/>
  <c r="AC326" i="15"/>
  <c r="L326" i="15"/>
  <c r="D326" i="15" s="1"/>
  <c r="O326" i="15"/>
  <c r="AB326" i="15"/>
  <c r="AK326" i="15"/>
  <c r="E325" i="15"/>
  <c r="P326" i="1"/>
  <c r="V326" i="1" s="1"/>
  <c r="L325" i="16"/>
  <c r="D325" i="16" s="1"/>
  <c r="K325" i="16"/>
  <c r="X325" i="16"/>
  <c r="AK325" i="16"/>
  <c r="O325" i="16"/>
  <c r="A326" i="16"/>
  <c r="AB325" i="16"/>
  <c r="AJ325" i="16"/>
  <c r="AC325" i="16"/>
  <c r="E324" i="16"/>
  <c r="G324" i="1"/>
  <c r="BW324" i="6" s="1"/>
  <c r="I324" i="1"/>
  <c r="AA324" i="1"/>
  <c r="Z324" i="1" s="1"/>
  <c r="Y324" i="1" s="1"/>
  <c r="F325" i="1"/>
  <c r="AK327" i="1"/>
  <c r="AC327" i="1"/>
  <c r="A328" i="1"/>
  <c r="AB327" i="1"/>
  <c r="O327" i="1"/>
  <c r="X327" i="1"/>
  <c r="AJ327" i="1"/>
  <c r="L327" i="1"/>
  <c r="Q327" i="1"/>
  <c r="K327" i="1"/>
  <c r="U327" i="1"/>
  <c r="T327" i="1" s="1"/>
  <c r="A321" i="24"/>
  <c r="K320" i="24"/>
  <c r="L320" i="24"/>
  <c r="X320" i="24"/>
  <c r="AB320" i="24"/>
  <c r="AJ320" i="24"/>
  <c r="AK320" i="24"/>
  <c r="O320" i="24"/>
  <c r="AC320" i="24"/>
  <c r="D326" i="1"/>
  <c r="E326" i="1" s="1"/>
  <c r="A322" i="23"/>
  <c r="AB321" i="23"/>
  <c r="X321" i="23"/>
  <c r="K321" i="23"/>
  <c r="L321" i="23"/>
  <c r="AJ321" i="23"/>
  <c r="AK321" i="23"/>
  <c r="O321" i="23"/>
  <c r="AC321" i="23"/>
  <c r="K322" i="22"/>
  <c r="X322" i="22"/>
  <c r="AB322" i="22"/>
  <c r="A323" i="22"/>
  <c r="L322" i="22"/>
  <c r="AK322" i="22"/>
  <c r="AJ322" i="22"/>
  <c r="O322" i="22"/>
  <c r="AC322" i="22"/>
  <c r="A325" i="18"/>
  <c r="AJ324" i="18"/>
  <c r="AB324" i="18"/>
  <c r="X324" i="18"/>
  <c r="K324" i="18"/>
  <c r="L324" i="18"/>
  <c r="O324" i="18"/>
  <c r="AK324" i="18"/>
  <c r="AC324" i="18"/>
  <c r="K323" i="20"/>
  <c r="AB323" i="20"/>
  <c r="A324" i="20"/>
  <c r="X323" i="20"/>
  <c r="L323" i="20"/>
  <c r="AJ323" i="20"/>
  <c r="AK323" i="20"/>
  <c r="O323" i="20"/>
  <c r="AC323" i="20"/>
  <c r="K319" i="25"/>
  <c r="A320" i="25"/>
  <c r="X319" i="25"/>
  <c r="AB319" i="25"/>
  <c r="L319" i="25"/>
  <c r="AJ319" i="25"/>
  <c r="O319" i="25"/>
  <c r="AK319" i="25"/>
  <c r="AC319" i="25"/>
  <c r="AB325" i="17"/>
  <c r="X325" i="17"/>
  <c r="A326" i="17"/>
  <c r="L325" i="17"/>
  <c r="K325" i="17"/>
  <c r="AJ325" i="17"/>
  <c r="O325" i="17"/>
  <c r="AK325" i="17"/>
  <c r="AC325" i="17"/>
  <c r="E326" i="15" l="1"/>
  <c r="A328" i="15"/>
  <c r="AJ327" i="15"/>
  <c r="X327" i="15"/>
  <c r="AB327" i="15"/>
  <c r="AC327" i="15"/>
  <c r="K327" i="15"/>
  <c r="O327" i="15"/>
  <c r="L327" i="15"/>
  <c r="D327" i="15" s="1"/>
  <c r="AK327" i="15"/>
  <c r="F326" i="1"/>
  <c r="AA326" i="1" s="1"/>
  <c r="Z326" i="1" s="1"/>
  <c r="Y326" i="1" s="1"/>
  <c r="X326" i="16"/>
  <c r="AB326" i="16"/>
  <c r="AJ326" i="16"/>
  <c r="AC326" i="16"/>
  <c r="K326" i="16"/>
  <c r="L326" i="16"/>
  <c r="D326" i="16" s="1"/>
  <c r="A327" i="16"/>
  <c r="AK326" i="16"/>
  <c r="O326" i="16"/>
  <c r="E325" i="16"/>
  <c r="X326" i="17"/>
  <c r="A327" i="17"/>
  <c r="L326" i="17"/>
  <c r="K326" i="17"/>
  <c r="AB326" i="17"/>
  <c r="O326" i="17"/>
  <c r="AJ326" i="17"/>
  <c r="AK326" i="17"/>
  <c r="AC326" i="17"/>
  <c r="AB325" i="18"/>
  <c r="AJ325" i="18"/>
  <c r="L325" i="18"/>
  <c r="K325" i="18"/>
  <c r="X325" i="18"/>
  <c r="A326" i="18"/>
  <c r="AK325" i="18"/>
  <c r="O325" i="18"/>
  <c r="AC325" i="18"/>
  <c r="K323" i="22"/>
  <c r="A324" i="22"/>
  <c r="AB323" i="22"/>
  <c r="L323" i="22"/>
  <c r="X323" i="22"/>
  <c r="AJ323" i="22"/>
  <c r="AK323" i="22"/>
  <c r="O323" i="22"/>
  <c r="AC323" i="22"/>
  <c r="A323" i="23"/>
  <c r="AB322" i="23"/>
  <c r="X322" i="23"/>
  <c r="K322" i="23"/>
  <c r="L322" i="23"/>
  <c r="AK322" i="23"/>
  <c r="AJ322" i="23"/>
  <c r="O322" i="23"/>
  <c r="AC322" i="23"/>
  <c r="AB321" i="24"/>
  <c r="L321" i="24"/>
  <c r="X321" i="24"/>
  <c r="K321" i="24"/>
  <c r="A322" i="24"/>
  <c r="AJ321" i="24"/>
  <c r="AK321" i="24"/>
  <c r="O321" i="24"/>
  <c r="AC321" i="24"/>
  <c r="D327" i="1"/>
  <c r="E327" i="1" s="1"/>
  <c r="G325" i="1"/>
  <c r="BW325" i="6" s="1"/>
  <c r="I325" i="1"/>
  <c r="AA325" i="1"/>
  <c r="Z325" i="1" s="1"/>
  <c r="Y325" i="1" s="1"/>
  <c r="K320" i="25"/>
  <c r="AB320" i="25"/>
  <c r="L320" i="25"/>
  <c r="X320" i="25"/>
  <c r="A321" i="25"/>
  <c r="AJ320" i="25"/>
  <c r="O320" i="25"/>
  <c r="AK320" i="25"/>
  <c r="AC320" i="25"/>
  <c r="K324" i="20"/>
  <c r="A325" i="20"/>
  <c r="L324" i="20"/>
  <c r="AB324" i="20"/>
  <c r="X324" i="20"/>
  <c r="AJ324" i="20"/>
  <c r="AK324" i="20"/>
  <c r="O324" i="20"/>
  <c r="AC324" i="20"/>
  <c r="S327" i="1"/>
  <c r="R327" i="1" s="1"/>
  <c r="P327" i="1" s="1"/>
  <c r="V327" i="1" s="1"/>
  <c r="A329" i="1"/>
  <c r="AK328" i="1"/>
  <c r="K328" i="1"/>
  <c r="O328" i="1"/>
  <c r="AC328" i="1"/>
  <c r="X328" i="1"/>
  <c r="L328" i="1"/>
  <c r="Q328" i="1"/>
  <c r="AJ328" i="1"/>
  <c r="AB328" i="1"/>
  <c r="U328" i="1"/>
  <c r="T328" i="1" s="1"/>
  <c r="G326" i="1" l="1"/>
  <c r="BW326" i="6" s="1"/>
  <c r="I326" i="1"/>
  <c r="E327" i="15"/>
  <c r="L328" i="15"/>
  <c r="D328" i="15" s="1"/>
  <c r="O328" i="15"/>
  <c r="A329" i="15"/>
  <c r="AJ328" i="15"/>
  <c r="K328" i="15"/>
  <c r="AK328" i="15"/>
  <c r="AB328" i="15"/>
  <c r="X328" i="15"/>
  <c r="AC328" i="15"/>
  <c r="E326" i="16"/>
  <c r="X327" i="16"/>
  <c r="AB327" i="16"/>
  <c r="AK327" i="16"/>
  <c r="AC327" i="16"/>
  <c r="L327" i="16"/>
  <c r="D327" i="16" s="1"/>
  <c r="K327" i="16"/>
  <c r="A328" i="16"/>
  <c r="AJ327" i="16"/>
  <c r="O327" i="16"/>
  <c r="F327" i="1"/>
  <c r="K325" i="20"/>
  <c r="A326" i="20"/>
  <c r="L325" i="20"/>
  <c r="AB325" i="20"/>
  <c r="X325" i="20"/>
  <c r="AK325" i="20"/>
  <c r="AJ325" i="20"/>
  <c r="O325" i="20"/>
  <c r="AC325" i="20"/>
  <c r="K321" i="25"/>
  <c r="AB321" i="25"/>
  <c r="X321" i="25"/>
  <c r="A322" i="25"/>
  <c r="L321" i="25"/>
  <c r="AJ321" i="25"/>
  <c r="AK321" i="25"/>
  <c r="O321" i="25"/>
  <c r="AC321" i="25"/>
  <c r="A327" i="18"/>
  <c r="K326" i="18"/>
  <c r="X326" i="18"/>
  <c r="L326" i="18"/>
  <c r="AB326" i="18"/>
  <c r="AJ326" i="18"/>
  <c r="O326" i="18"/>
  <c r="AK326" i="18"/>
  <c r="AC326" i="18"/>
  <c r="S328" i="1"/>
  <c r="R328" i="1" s="1"/>
  <c r="P328" i="1" s="1"/>
  <c r="V328" i="1" s="1"/>
  <c r="D328" i="1"/>
  <c r="E328" i="1" s="1"/>
  <c r="Q329" i="1"/>
  <c r="L329" i="1"/>
  <c r="X329" i="1"/>
  <c r="A330" i="1"/>
  <c r="AB329" i="1"/>
  <c r="AK329" i="1"/>
  <c r="AJ329" i="1"/>
  <c r="K329" i="1"/>
  <c r="O329" i="1"/>
  <c r="AC329" i="1"/>
  <c r="U329" i="1"/>
  <c r="T329" i="1" s="1"/>
  <c r="S329" i="1" s="1"/>
  <c r="R329" i="1" s="1"/>
  <c r="A323" i="24"/>
  <c r="X322" i="24"/>
  <c r="AB322" i="24"/>
  <c r="L322" i="24"/>
  <c r="K322" i="24"/>
  <c r="AJ322" i="24"/>
  <c r="AK322" i="24"/>
  <c r="O322" i="24"/>
  <c r="AC322" i="24"/>
  <c r="K323" i="23"/>
  <c r="AB323" i="23"/>
  <c r="X323" i="23"/>
  <c r="L323" i="23"/>
  <c r="A324" i="23"/>
  <c r="AJ323" i="23"/>
  <c r="AK323" i="23"/>
  <c r="O323" i="23"/>
  <c r="AC323" i="23"/>
  <c r="A325" i="22"/>
  <c r="K324" i="22"/>
  <c r="AB324" i="22"/>
  <c r="X324" i="22"/>
  <c r="L324" i="22"/>
  <c r="AJ324" i="22"/>
  <c r="AK324" i="22"/>
  <c r="O324" i="22"/>
  <c r="AC324" i="22"/>
  <c r="AB327" i="17"/>
  <c r="L327" i="17"/>
  <c r="X327" i="17"/>
  <c r="A328" i="17"/>
  <c r="K327" i="17"/>
  <c r="AJ327" i="17"/>
  <c r="AK327" i="17"/>
  <c r="O327" i="17"/>
  <c r="AC327" i="17"/>
  <c r="P329" i="1" l="1"/>
  <c r="V329" i="1" s="1"/>
  <c r="E328" i="15"/>
  <c r="K329" i="15"/>
  <c r="AC329" i="15"/>
  <c r="A330" i="15"/>
  <c r="AK329" i="15"/>
  <c r="L329" i="15"/>
  <c r="D329" i="15" s="1"/>
  <c r="AJ329" i="15"/>
  <c r="AB329" i="15"/>
  <c r="X329" i="15"/>
  <c r="O329" i="15"/>
  <c r="E329" i="15" s="1"/>
  <c r="F328" i="1"/>
  <c r="AA328" i="1" s="1"/>
  <c r="Z328" i="1" s="1"/>
  <c r="Y328" i="1" s="1"/>
  <c r="AB328" i="16"/>
  <c r="K328" i="16"/>
  <c r="X328" i="16"/>
  <c r="AK328" i="16"/>
  <c r="O328" i="16"/>
  <c r="L328" i="16"/>
  <c r="D328" i="16" s="1"/>
  <c r="A329" i="16"/>
  <c r="AJ328" i="16"/>
  <c r="AC328" i="16"/>
  <c r="E327" i="16"/>
  <c r="AB325" i="22"/>
  <c r="A326" i="22"/>
  <c r="K325" i="22"/>
  <c r="L325" i="22"/>
  <c r="X325" i="22"/>
  <c r="AJ325" i="22"/>
  <c r="AK325" i="22"/>
  <c r="O325" i="22"/>
  <c r="AC325" i="22"/>
  <c r="A324" i="24"/>
  <c r="X323" i="24"/>
  <c r="L323" i="24"/>
  <c r="AB323" i="24"/>
  <c r="K323" i="24"/>
  <c r="AJ323" i="24"/>
  <c r="AK323" i="24"/>
  <c r="O323" i="24"/>
  <c r="AC323" i="24"/>
  <c r="A323" i="25"/>
  <c r="X322" i="25"/>
  <c r="L322" i="25"/>
  <c r="AB322" i="25"/>
  <c r="K322" i="25"/>
  <c r="AK322" i="25"/>
  <c r="AJ322" i="25"/>
  <c r="O322" i="25"/>
  <c r="AC322" i="25"/>
  <c r="AB328" i="17"/>
  <c r="L328" i="17"/>
  <c r="X328" i="17"/>
  <c r="K328" i="17"/>
  <c r="A329" i="17"/>
  <c r="O328" i="17"/>
  <c r="AK328" i="17"/>
  <c r="AJ328" i="17"/>
  <c r="AC328" i="17"/>
  <c r="K324" i="23"/>
  <c r="L324" i="23"/>
  <c r="AB324" i="23"/>
  <c r="A325" i="23"/>
  <c r="X324" i="23"/>
  <c r="AJ324" i="23"/>
  <c r="AK324" i="23"/>
  <c r="O324" i="23"/>
  <c r="AC324" i="23"/>
  <c r="AK330" i="1"/>
  <c r="AC330" i="1"/>
  <c r="K330" i="1"/>
  <c r="O330" i="1"/>
  <c r="L330" i="1"/>
  <c r="AJ330" i="1"/>
  <c r="X330" i="1"/>
  <c r="A331" i="1"/>
  <c r="Q330" i="1"/>
  <c r="AB330" i="1"/>
  <c r="U330" i="1"/>
  <c r="D329" i="1"/>
  <c r="E329" i="1" s="1"/>
  <c r="K327" i="18"/>
  <c r="X327" i="18"/>
  <c r="L327" i="18"/>
  <c r="A328" i="18"/>
  <c r="AJ327" i="18"/>
  <c r="AB327" i="18"/>
  <c r="O327" i="18"/>
  <c r="AK327" i="18"/>
  <c r="AC327" i="18"/>
  <c r="AB326" i="20"/>
  <c r="K326" i="20"/>
  <c r="X326" i="20"/>
  <c r="L326" i="20"/>
  <c r="A327" i="20"/>
  <c r="AK326" i="20"/>
  <c r="AJ326" i="20"/>
  <c r="O326" i="20"/>
  <c r="AC326" i="20"/>
  <c r="AA327" i="1"/>
  <c r="Z327" i="1" s="1"/>
  <c r="Y327" i="1" s="1"/>
  <c r="I327" i="1"/>
  <c r="G327" i="1"/>
  <c r="BW327" i="6" s="1"/>
  <c r="G328" i="1" l="1"/>
  <c r="BW328" i="6" s="1"/>
  <c r="I328" i="1"/>
  <c r="K330" i="15"/>
  <c r="AJ330" i="15"/>
  <c r="A331" i="15"/>
  <c r="AB330" i="15"/>
  <c r="AC330" i="15"/>
  <c r="L330" i="15"/>
  <c r="D330" i="15" s="1"/>
  <c r="O330" i="15"/>
  <c r="X330" i="15"/>
  <c r="AK330" i="15"/>
  <c r="F329" i="1"/>
  <c r="G329" i="1" s="1"/>
  <c r="BW329" i="6" s="1"/>
  <c r="AB329" i="16"/>
  <c r="K329" i="16"/>
  <c r="L329" i="16"/>
  <c r="D329" i="16" s="1"/>
  <c r="AK329" i="16"/>
  <c r="O329" i="16"/>
  <c r="X329" i="16"/>
  <c r="A330" i="16"/>
  <c r="AJ329" i="16"/>
  <c r="AC329" i="16"/>
  <c r="E328" i="16"/>
  <c r="AC331" i="1"/>
  <c r="Q331" i="1"/>
  <c r="AB331" i="1"/>
  <c r="X331" i="1"/>
  <c r="AK331" i="1"/>
  <c r="A332" i="1"/>
  <c r="L331" i="1"/>
  <c r="K331" i="1"/>
  <c r="O331" i="1"/>
  <c r="AJ331" i="1"/>
  <c r="U331" i="1"/>
  <c r="T331" i="1" s="1"/>
  <c r="L325" i="23"/>
  <c r="K325" i="23"/>
  <c r="X325" i="23"/>
  <c r="A326" i="23"/>
  <c r="AB325" i="23"/>
  <c r="AJ325" i="23"/>
  <c r="AK325" i="23"/>
  <c r="O325" i="23"/>
  <c r="AC325" i="23"/>
  <c r="A330" i="17"/>
  <c r="L329" i="17"/>
  <c r="AB329" i="17"/>
  <c r="X329" i="17"/>
  <c r="K329" i="17"/>
  <c r="AJ329" i="17"/>
  <c r="AK329" i="17"/>
  <c r="O329" i="17"/>
  <c r="AC329" i="17"/>
  <c r="X324" i="24"/>
  <c r="A325" i="24"/>
  <c r="AB324" i="24"/>
  <c r="K324" i="24"/>
  <c r="L324" i="24"/>
  <c r="AJ324" i="24"/>
  <c r="AK324" i="24"/>
  <c r="O324" i="24"/>
  <c r="AC324" i="24"/>
  <c r="AB326" i="22"/>
  <c r="A327" i="22"/>
  <c r="X326" i="22"/>
  <c r="K326" i="22"/>
  <c r="L326" i="22"/>
  <c r="AJ326" i="22"/>
  <c r="AK326" i="22"/>
  <c r="O326" i="22"/>
  <c r="AC326" i="22"/>
  <c r="A328" i="20"/>
  <c r="AB327" i="20"/>
  <c r="X327" i="20"/>
  <c r="K327" i="20"/>
  <c r="L327" i="20"/>
  <c r="AJ327" i="20"/>
  <c r="AK327" i="20"/>
  <c r="O327" i="20"/>
  <c r="AC327" i="20"/>
  <c r="AB328" i="18"/>
  <c r="K328" i="18"/>
  <c r="AJ328" i="18"/>
  <c r="X328" i="18"/>
  <c r="L328" i="18"/>
  <c r="A329" i="18"/>
  <c r="O328" i="18"/>
  <c r="AK328" i="18"/>
  <c r="AC328" i="18"/>
  <c r="T330" i="1"/>
  <c r="D330" i="1"/>
  <c r="E330" i="1" s="1"/>
  <c r="L323" i="25"/>
  <c r="K323" i="25"/>
  <c r="X323" i="25"/>
  <c r="A324" i="25"/>
  <c r="AB323" i="25"/>
  <c r="AJ323" i="25"/>
  <c r="O323" i="25"/>
  <c r="AK323" i="25"/>
  <c r="AC323" i="25"/>
  <c r="E330" i="15" l="1"/>
  <c r="AB331" i="15"/>
  <c r="AJ331" i="15"/>
  <c r="X331" i="15"/>
  <c r="K331" i="15"/>
  <c r="AC331" i="15"/>
  <c r="A332" i="15"/>
  <c r="O331" i="15"/>
  <c r="L331" i="15"/>
  <c r="D331" i="15" s="1"/>
  <c r="AK331" i="15"/>
  <c r="AA329" i="1"/>
  <c r="Z329" i="1" s="1"/>
  <c r="Y329" i="1" s="1"/>
  <c r="I329" i="1"/>
  <c r="X330" i="16"/>
  <c r="O330" i="16"/>
  <c r="AB330" i="16"/>
  <c r="K330" i="16"/>
  <c r="AK330" i="16"/>
  <c r="AC330" i="16"/>
  <c r="L330" i="16"/>
  <c r="D330" i="16" s="1"/>
  <c r="A331" i="16"/>
  <c r="AJ330" i="16"/>
  <c r="E329" i="16"/>
  <c r="AB329" i="18"/>
  <c r="AJ329" i="18"/>
  <c r="L329" i="18"/>
  <c r="X329" i="18"/>
  <c r="A330" i="18"/>
  <c r="K329" i="18"/>
  <c r="AK329" i="18"/>
  <c r="O329" i="18"/>
  <c r="AC329" i="18"/>
  <c r="AB328" i="20"/>
  <c r="L328" i="20"/>
  <c r="A329" i="20"/>
  <c r="K328" i="20"/>
  <c r="X328" i="20"/>
  <c r="AJ328" i="20"/>
  <c r="AK328" i="20"/>
  <c r="O328" i="20"/>
  <c r="AC328" i="20"/>
  <c r="X325" i="24"/>
  <c r="A326" i="24"/>
  <c r="AB325" i="24"/>
  <c r="K325" i="24"/>
  <c r="L325" i="24"/>
  <c r="AJ325" i="24"/>
  <c r="AK325" i="24"/>
  <c r="O325" i="24"/>
  <c r="AC325" i="24"/>
  <c r="K330" i="17"/>
  <c r="AB330" i="17"/>
  <c r="A331" i="17"/>
  <c r="L330" i="17"/>
  <c r="X330" i="17"/>
  <c r="AJ330" i="17"/>
  <c r="AK330" i="17"/>
  <c r="O330" i="17"/>
  <c r="AC330" i="17"/>
  <c r="A327" i="23"/>
  <c r="X326" i="23"/>
  <c r="K326" i="23"/>
  <c r="L326" i="23"/>
  <c r="AB326" i="23"/>
  <c r="AJ326" i="23"/>
  <c r="AK326" i="23"/>
  <c r="O326" i="23"/>
  <c r="AC326" i="23"/>
  <c r="S331" i="1"/>
  <c r="R331" i="1" s="1"/>
  <c r="P331" i="1" s="1"/>
  <c r="V331" i="1" s="1"/>
  <c r="D331" i="1"/>
  <c r="E331" i="1" s="1"/>
  <c r="X324" i="25"/>
  <c r="L324" i="25"/>
  <c r="A325" i="25"/>
  <c r="AB324" i="25"/>
  <c r="K324" i="25"/>
  <c r="AJ324" i="25"/>
  <c r="O324" i="25"/>
  <c r="AK324" i="25"/>
  <c r="AC324" i="25"/>
  <c r="S330" i="1"/>
  <c r="R330" i="1" s="1"/>
  <c r="P330" i="1" s="1"/>
  <c r="AB327" i="22"/>
  <c r="X327" i="22"/>
  <c r="K327" i="22"/>
  <c r="A328" i="22"/>
  <c r="L327" i="22"/>
  <c r="AJ327" i="22"/>
  <c r="AK327" i="22"/>
  <c r="O327" i="22"/>
  <c r="AC327" i="22"/>
  <c r="O332" i="1"/>
  <c r="Q332" i="1"/>
  <c r="L332" i="1"/>
  <c r="A333" i="1"/>
  <c r="K332" i="1"/>
  <c r="AC332" i="1"/>
  <c r="AB332" i="1"/>
  <c r="AJ332" i="1"/>
  <c r="X332" i="1"/>
  <c r="AK332" i="1"/>
  <c r="U332" i="1"/>
  <c r="T332" i="1" s="1"/>
  <c r="E331" i="15" l="1"/>
  <c r="L332" i="15"/>
  <c r="D332" i="15" s="1"/>
  <c r="A333" i="15"/>
  <c r="AC332" i="15"/>
  <c r="AB332" i="15"/>
  <c r="O332" i="15"/>
  <c r="E332" i="15" s="1"/>
  <c r="K332" i="15"/>
  <c r="AK332" i="15"/>
  <c r="X332" i="15"/>
  <c r="AJ332" i="15"/>
  <c r="F331" i="1"/>
  <c r="AA331" i="1" s="1"/>
  <c r="Z331" i="1" s="1"/>
  <c r="Y331" i="1" s="1"/>
  <c r="X331" i="16"/>
  <c r="L331" i="16"/>
  <c r="D331" i="16" s="1"/>
  <c r="A332" i="16"/>
  <c r="AK331" i="16"/>
  <c r="O331" i="16"/>
  <c r="K331" i="16"/>
  <c r="AB331" i="16"/>
  <c r="AJ331" i="16"/>
  <c r="AC331" i="16"/>
  <c r="E330" i="16"/>
  <c r="V330" i="1"/>
  <c r="F330" i="1" s="1"/>
  <c r="S332" i="1"/>
  <c r="R332" i="1" s="1"/>
  <c r="P332" i="1" s="1"/>
  <c r="V332" i="1" s="1"/>
  <c r="D332" i="1"/>
  <c r="E332" i="1" s="1"/>
  <c r="I331" i="1"/>
  <c r="X327" i="23"/>
  <c r="K327" i="23"/>
  <c r="AB327" i="23"/>
  <c r="L327" i="23"/>
  <c r="A328" i="23"/>
  <c r="AK327" i="23"/>
  <c r="AJ327" i="23"/>
  <c r="O327" i="23"/>
  <c r="AC327" i="23"/>
  <c r="X330" i="18"/>
  <c r="K330" i="18"/>
  <c r="A331" i="18"/>
  <c r="AB330" i="18"/>
  <c r="AJ330" i="18"/>
  <c r="L330" i="18"/>
  <c r="O330" i="18"/>
  <c r="AK330" i="18"/>
  <c r="AC330" i="18"/>
  <c r="A30" i="7"/>
  <c r="O333" i="1"/>
  <c r="C30" i="7" s="1"/>
  <c r="AJ333" i="1"/>
  <c r="AC333" i="1"/>
  <c r="L333" i="1"/>
  <c r="AB333" i="1"/>
  <c r="A334" i="1"/>
  <c r="K333" i="1"/>
  <c r="AK333" i="1"/>
  <c r="X333" i="1"/>
  <c r="Q333" i="1"/>
  <c r="U333" i="1"/>
  <c r="T333" i="1" s="1"/>
  <c r="AB328" i="22"/>
  <c r="K328" i="22"/>
  <c r="X328" i="22"/>
  <c r="A329" i="22"/>
  <c r="L328" i="22"/>
  <c r="AJ328" i="22"/>
  <c r="AK328" i="22"/>
  <c r="O328" i="22"/>
  <c r="AC328" i="22"/>
  <c r="X325" i="25"/>
  <c r="L325" i="25"/>
  <c r="AB325" i="25"/>
  <c r="A326" i="25"/>
  <c r="K325" i="25"/>
  <c r="AJ325" i="25"/>
  <c r="AK325" i="25"/>
  <c r="O325" i="25"/>
  <c r="AC325" i="25"/>
  <c r="K331" i="17"/>
  <c r="AB331" i="17"/>
  <c r="L331" i="17"/>
  <c r="A332" i="17"/>
  <c r="X331" i="17"/>
  <c r="O331" i="17"/>
  <c r="AJ331" i="17"/>
  <c r="AK331" i="17"/>
  <c r="AC331" i="17"/>
  <c r="K326" i="24"/>
  <c r="X326" i="24"/>
  <c r="A327" i="24"/>
  <c r="AB326" i="24"/>
  <c r="L326" i="24"/>
  <c r="AJ326" i="24"/>
  <c r="AK326" i="24"/>
  <c r="O326" i="24"/>
  <c r="AC326" i="24"/>
  <c r="AB329" i="20"/>
  <c r="L329" i="20"/>
  <c r="K329" i="20"/>
  <c r="X329" i="20"/>
  <c r="A330" i="20"/>
  <c r="AJ329" i="20"/>
  <c r="AK329" i="20"/>
  <c r="O329" i="20"/>
  <c r="AC329" i="20"/>
  <c r="AB333" i="15" l="1"/>
  <c r="A334" i="15"/>
  <c r="O333" i="15"/>
  <c r="C42" i="7" s="1"/>
  <c r="X333" i="15"/>
  <c r="AK333" i="15"/>
  <c r="K333" i="15"/>
  <c r="AJ333" i="15"/>
  <c r="L333" i="15"/>
  <c r="A42" i="7"/>
  <c r="AC333" i="15"/>
  <c r="G331" i="1"/>
  <c r="BW331" i="6" s="1"/>
  <c r="F332" i="1"/>
  <c r="AA332" i="1" s="1"/>
  <c r="Z332" i="1" s="1"/>
  <c r="Y332" i="1" s="1"/>
  <c r="E331" i="16"/>
  <c r="X332" i="16"/>
  <c r="AB332" i="16"/>
  <c r="AJ332" i="16"/>
  <c r="AC332" i="16"/>
  <c r="L332" i="16"/>
  <c r="D332" i="16" s="1"/>
  <c r="A333" i="16"/>
  <c r="K332" i="16"/>
  <c r="AK332" i="16"/>
  <c r="O332" i="16"/>
  <c r="AA330" i="1"/>
  <c r="Z330" i="1" s="1"/>
  <c r="Y330" i="1" s="1"/>
  <c r="G330" i="1"/>
  <c r="BW330" i="6" s="1"/>
  <c r="I330" i="1"/>
  <c r="X327" i="24"/>
  <c r="K327" i="24"/>
  <c r="L327" i="24"/>
  <c r="AB327" i="24"/>
  <c r="A328" i="24"/>
  <c r="AJ327" i="24"/>
  <c r="AK327" i="24"/>
  <c r="O327" i="24"/>
  <c r="AC327" i="24"/>
  <c r="A333" i="17"/>
  <c r="L332" i="17"/>
  <c r="AB332" i="17"/>
  <c r="K332" i="17"/>
  <c r="X332" i="17"/>
  <c r="AJ332" i="17"/>
  <c r="O332" i="17"/>
  <c r="AK332" i="17"/>
  <c r="AC332" i="17"/>
  <c r="AB329" i="22"/>
  <c r="X329" i="22"/>
  <c r="A330" i="22"/>
  <c r="K329" i="22"/>
  <c r="L329" i="22"/>
  <c r="AJ329" i="22"/>
  <c r="AK329" i="22"/>
  <c r="O329" i="22"/>
  <c r="AC329" i="22"/>
  <c r="S333" i="1"/>
  <c r="R333" i="1" s="1"/>
  <c r="P333" i="1" s="1"/>
  <c r="D30" i="7" s="1"/>
  <c r="A332" i="18"/>
  <c r="K331" i="18"/>
  <c r="L331" i="18"/>
  <c r="X331" i="18"/>
  <c r="AJ331" i="18"/>
  <c r="AB331" i="18"/>
  <c r="AK331" i="18"/>
  <c r="O331" i="18"/>
  <c r="AC331" i="18"/>
  <c r="K328" i="23"/>
  <c r="A329" i="23"/>
  <c r="L328" i="23"/>
  <c r="X328" i="23"/>
  <c r="AB328" i="23"/>
  <c r="AJ328" i="23"/>
  <c r="AK328" i="23"/>
  <c r="O328" i="23"/>
  <c r="AC328" i="23"/>
  <c r="AB330" i="20"/>
  <c r="A331" i="20"/>
  <c r="K330" i="20"/>
  <c r="L330" i="20"/>
  <c r="X330" i="20"/>
  <c r="AJ330" i="20"/>
  <c r="AK330" i="20"/>
  <c r="O330" i="20"/>
  <c r="AC330" i="20"/>
  <c r="A327" i="25"/>
  <c r="AB326" i="25"/>
  <c r="X326" i="25"/>
  <c r="L326" i="25"/>
  <c r="K326" i="25"/>
  <c r="AJ326" i="25"/>
  <c r="O326" i="25"/>
  <c r="AK326" i="25"/>
  <c r="AC326" i="25"/>
  <c r="AC334" i="1"/>
  <c r="K334" i="1"/>
  <c r="AK334" i="1"/>
  <c r="L334" i="1"/>
  <c r="Q334" i="1"/>
  <c r="A335" i="1"/>
  <c r="X334" i="1"/>
  <c r="AB334" i="1"/>
  <c r="AJ334" i="1"/>
  <c r="O334" i="1"/>
  <c r="U334" i="1"/>
  <c r="T334" i="1" s="1"/>
  <c r="D333" i="1"/>
  <c r="E333" i="1" s="1"/>
  <c r="B30" i="7"/>
  <c r="G332" i="1" l="1"/>
  <c r="BW332" i="6" s="1"/>
  <c r="D333" i="15"/>
  <c r="E333" i="15" s="1"/>
  <c r="B42" i="7"/>
  <c r="AB334" i="15"/>
  <c r="AK334" i="15"/>
  <c r="L334" i="15"/>
  <c r="D334" i="15" s="1"/>
  <c r="AJ334" i="15"/>
  <c r="X334" i="15"/>
  <c r="A335" i="15"/>
  <c r="AC334" i="15"/>
  <c r="K334" i="15"/>
  <c r="O334" i="15"/>
  <c r="I332" i="1"/>
  <c r="V333" i="1"/>
  <c r="F333" i="1" s="1"/>
  <c r="E332" i="16"/>
  <c r="AB333" i="16"/>
  <c r="X333" i="16"/>
  <c r="A54" i="7"/>
  <c r="AJ333" i="16"/>
  <c r="AC333" i="16"/>
  <c r="K333" i="16"/>
  <c r="L333" i="16"/>
  <c r="A334" i="16"/>
  <c r="AK333" i="16"/>
  <c r="O333" i="16"/>
  <c r="C54" i="7" s="1"/>
  <c r="O335" i="1"/>
  <c r="L335" i="1"/>
  <c r="X335" i="1"/>
  <c r="AK335" i="1"/>
  <c r="Q335" i="1"/>
  <c r="AB335" i="1"/>
  <c r="K335" i="1"/>
  <c r="A336" i="1"/>
  <c r="AC335" i="1"/>
  <c r="AJ335" i="1"/>
  <c r="U335" i="1"/>
  <c r="T335" i="1" s="1"/>
  <c r="S335" i="1" s="1"/>
  <c r="R335" i="1" s="1"/>
  <c r="P335" i="1" s="1"/>
  <c r="D334" i="1"/>
  <c r="E334" i="1" s="1"/>
  <c r="K329" i="23"/>
  <c r="L329" i="23"/>
  <c r="X329" i="23"/>
  <c r="A330" i="23"/>
  <c r="AB329" i="23"/>
  <c r="AJ329" i="23"/>
  <c r="AK329" i="23"/>
  <c r="O329" i="23"/>
  <c r="AC329" i="23"/>
  <c r="L332" i="18"/>
  <c r="X332" i="18"/>
  <c r="AJ332" i="18"/>
  <c r="K332" i="18"/>
  <c r="AB332" i="18"/>
  <c r="A333" i="18"/>
  <c r="O332" i="18"/>
  <c r="AK332" i="18"/>
  <c r="AC332" i="18"/>
  <c r="S334" i="1"/>
  <c r="R334" i="1" s="1"/>
  <c r="P334" i="1" s="1"/>
  <c r="V334" i="1" s="1"/>
  <c r="A328" i="25"/>
  <c r="X327" i="25"/>
  <c r="AB327" i="25"/>
  <c r="L327" i="25"/>
  <c r="K327" i="25"/>
  <c r="AJ327" i="25"/>
  <c r="AK327" i="25"/>
  <c r="O327" i="25"/>
  <c r="AC327" i="25"/>
  <c r="K331" i="20"/>
  <c r="L331" i="20"/>
  <c r="A332" i="20"/>
  <c r="X331" i="20"/>
  <c r="AB331" i="20"/>
  <c r="AK331" i="20"/>
  <c r="AJ331" i="20"/>
  <c r="O331" i="20"/>
  <c r="AC331" i="20"/>
  <c r="AB330" i="22"/>
  <c r="L330" i="22"/>
  <c r="X330" i="22"/>
  <c r="K330" i="22"/>
  <c r="A331" i="22"/>
  <c r="AK330" i="22"/>
  <c r="AJ330" i="22"/>
  <c r="O330" i="22"/>
  <c r="AC330" i="22"/>
  <c r="A334" i="17"/>
  <c r="K333" i="17"/>
  <c r="AB333" i="17"/>
  <c r="X333" i="17"/>
  <c r="A66" i="7"/>
  <c r="L333" i="17"/>
  <c r="O333" i="17"/>
  <c r="C66" i="7" s="1"/>
  <c r="AJ333" i="17"/>
  <c r="AK333" i="17"/>
  <c r="AC333" i="17"/>
  <c r="X328" i="24"/>
  <c r="K328" i="24"/>
  <c r="A329" i="24"/>
  <c r="AB328" i="24"/>
  <c r="L328" i="24"/>
  <c r="AK328" i="24"/>
  <c r="AJ328" i="24"/>
  <c r="O328" i="24"/>
  <c r="AC328" i="24"/>
  <c r="A336" i="15" l="1"/>
  <c r="K335" i="15"/>
  <c r="L335" i="15"/>
  <c r="D335" i="15" s="1"/>
  <c r="AK335" i="15"/>
  <c r="AC335" i="15"/>
  <c r="X335" i="15"/>
  <c r="AJ335" i="15"/>
  <c r="AB335" i="15"/>
  <c r="O335" i="15"/>
  <c r="E334" i="15"/>
  <c r="D333" i="16"/>
  <c r="E333" i="16" s="1"/>
  <c r="B54" i="7"/>
  <c r="X334" i="16"/>
  <c r="K334" i="16"/>
  <c r="AB334" i="16"/>
  <c r="AK334" i="16"/>
  <c r="O334" i="16"/>
  <c r="L334" i="16"/>
  <c r="D334" i="16" s="1"/>
  <c r="A335" i="16"/>
  <c r="AJ334" i="16"/>
  <c r="AC334" i="16"/>
  <c r="AB329" i="24"/>
  <c r="K329" i="24"/>
  <c r="X329" i="24"/>
  <c r="L329" i="24"/>
  <c r="A330" i="24"/>
  <c r="AJ329" i="24"/>
  <c r="AK329" i="24"/>
  <c r="O329" i="24"/>
  <c r="AC329" i="24"/>
  <c r="L334" i="17"/>
  <c r="AB334" i="17"/>
  <c r="K334" i="17"/>
  <c r="X334" i="17"/>
  <c r="A335" i="17"/>
  <c r="AJ334" i="17"/>
  <c r="O334" i="17"/>
  <c r="AK334" i="17"/>
  <c r="AC334" i="17"/>
  <c r="K332" i="20"/>
  <c r="L332" i="20"/>
  <c r="X332" i="20"/>
  <c r="AB332" i="20"/>
  <c r="A333" i="20"/>
  <c r="AK332" i="20"/>
  <c r="AJ332" i="20"/>
  <c r="O332" i="20"/>
  <c r="AC332" i="20"/>
  <c r="AB330" i="23"/>
  <c r="L330" i="23"/>
  <c r="X330" i="23"/>
  <c r="A331" i="23"/>
  <c r="K330" i="23"/>
  <c r="AJ330" i="23"/>
  <c r="AK330" i="23"/>
  <c r="O330" i="23"/>
  <c r="AC330" i="23"/>
  <c r="F334" i="1"/>
  <c r="L336" i="1"/>
  <c r="A337" i="1"/>
  <c r="AJ336" i="1"/>
  <c r="X336" i="1"/>
  <c r="AB336" i="1"/>
  <c r="O336" i="1"/>
  <c r="AC336" i="1"/>
  <c r="AK336" i="1"/>
  <c r="K336" i="1"/>
  <c r="Q336" i="1"/>
  <c r="U336" i="1"/>
  <c r="T336" i="1" s="1"/>
  <c r="S336" i="1" s="1"/>
  <c r="R336" i="1" s="1"/>
  <c r="D335" i="1"/>
  <c r="E335" i="1" s="1"/>
  <c r="V335" i="1"/>
  <c r="I333" i="1"/>
  <c r="G333" i="1"/>
  <c r="BW333" i="6" s="1"/>
  <c r="AA333" i="1"/>
  <c r="Z333" i="1" s="1"/>
  <c r="Y333" i="1" s="1"/>
  <c r="B66" i="7"/>
  <c r="K331" i="22"/>
  <c r="A332" i="22"/>
  <c r="AB331" i="22"/>
  <c r="X331" i="22"/>
  <c r="L331" i="22"/>
  <c r="AJ331" i="22"/>
  <c r="AK331" i="22"/>
  <c r="O331" i="22"/>
  <c r="AC331" i="22"/>
  <c r="X328" i="25"/>
  <c r="L328" i="25"/>
  <c r="A329" i="25"/>
  <c r="AB328" i="25"/>
  <c r="K328" i="25"/>
  <c r="AJ328" i="25"/>
  <c r="O328" i="25"/>
  <c r="AK328" i="25"/>
  <c r="AC328" i="25"/>
  <c r="X333" i="18"/>
  <c r="AB333" i="18"/>
  <c r="AJ333" i="18"/>
  <c r="A334" i="18"/>
  <c r="A78" i="7"/>
  <c r="L333" i="18"/>
  <c r="K333" i="18"/>
  <c r="AK333" i="18"/>
  <c r="O333" i="18"/>
  <c r="C78" i="7" s="1"/>
  <c r="AC333" i="18"/>
  <c r="E335" i="15" l="1"/>
  <c r="K336" i="15"/>
  <c r="O336" i="15"/>
  <c r="X336" i="15"/>
  <c r="AK336" i="15"/>
  <c r="A337" i="15"/>
  <c r="AJ336" i="15"/>
  <c r="L336" i="15"/>
  <c r="D336" i="15" s="1"/>
  <c r="AB336" i="15"/>
  <c r="AC336" i="15"/>
  <c r="A336" i="16"/>
  <c r="AB335" i="16"/>
  <c r="X335" i="16"/>
  <c r="AJ335" i="16"/>
  <c r="O335" i="16"/>
  <c r="K335" i="16"/>
  <c r="L335" i="16"/>
  <c r="D335" i="16" s="1"/>
  <c r="E335" i="16" s="1"/>
  <c r="AK335" i="16"/>
  <c r="AC335" i="16"/>
  <c r="P336" i="1"/>
  <c r="V336" i="1" s="1"/>
  <c r="E334" i="16"/>
  <c r="B78" i="7"/>
  <c r="X334" i="18"/>
  <c r="L334" i="18"/>
  <c r="A335" i="18"/>
  <c r="AB334" i="18"/>
  <c r="K334" i="18"/>
  <c r="AJ334" i="18"/>
  <c r="O334" i="18"/>
  <c r="AK334" i="18"/>
  <c r="AC334" i="18"/>
  <c r="K329" i="25"/>
  <c r="L329" i="25"/>
  <c r="A330" i="25"/>
  <c r="AB329" i="25"/>
  <c r="X329" i="25"/>
  <c r="AK329" i="25"/>
  <c r="AJ329" i="25"/>
  <c r="O329" i="25"/>
  <c r="AC329" i="25"/>
  <c r="K332" i="22"/>
  <c r="L332" i="22"/>
  <c r="AB332" i="22"/>
  <c r="X332" i="22"/>
  <c r="A333" i="22"/>
  <c r="AJ332" i="22"/>
  <c r="AK332" i="22"/>
  <c r="O332" i="22"/>
  <c r="AC332" i="22"/>
  <c r="F335" i="1"/>
  <c r="D336" i="1"/>
  <c r="E336" i="1" s="1"/>
  <c r="AB331" i="23"/>
  <c r="X331" i="23"/>
  <c r="K331" i="23"/>
  <c r="L331" i="23"/>
  <c r="A332" i="23"/>
  <c r="AJ331" i="23"/>
  <c r="AK331" i="23"/>
  <c r="O331" i="23"/>
  <c r="AC331" i="23"/>
  <c r="A336" i="17"/>
  <c r="L335" i="17"/>
  <c r="X335" i="17"/>
  <c r="AB335" i="17"/>
  <c r="K335" i="17"/>
  <c r="O335" i="17"/>
  <c r="AJ335" i="17"/>
  <c r="AK335" i="17"/>
  <c r="AC335" i="17"/>
  <c r="AK337" i="1"/>
  <c r="AJ337" i="1"/>
  <c r="Q337" i="1"/>
  <c r="K337" i="1"/>
  <c r="A338" i="1"/>
  <c r="L337" i="1"/>
  <c r="O337" i="1"/>
  <c r="AB337" i="1"/>
  <c r="X337" i="1"/>
  <c r="AC337" i="1"/>
  <c r="U337" i="1"/>
  <c r="I334" i="1"/>
  <c r="G334" i="1"/>
  <c r="BW334" i="6" s="1"/>
  <c r="AA334" i="1"/>
  <c r="Z334" i="1" s="1"/>
  <c r="Y334" i="1" s="1"/>
  <c r="AE30" i="7"/>
  <c r="AB333" i="20"/>
  <c r="L333" i="20"/>
  <c r="X333" i="20"/>
  <c r="K333" i="20"/>
  <c r="A334" i="20"/>
  <c r="AJ333" i="20"/>
  <c r="AK333" i="20"/>
  <c r="O333" i="20"/>
  <c r="AG30" i="7" s="1"/>
  <c r="AC333" i="20"/>
  <c r="X330" i="24"/>
  <c r="AB330" i="24"/>
  <c r="K330" i="24"/>
  <c r="A331" i="24"/>
  <c r="L330" i="24"/>
  <c r="AJ330" i="24"/>
  <c r="AK330" i="24"/>
  <c r="O330" i="24"/>
  <c r="AC330" i="24"/>
  <c r="E336" i="15" l="1"/>
  <c r="AB337" i="15"/>
  <c r="O337" i="15"/>
  <c r="L337" i="15"/>
  <c r="D337" i="15" s="1"/>
  <c r="AK337" i="15"/>
  <c r="K337" i="15"/>
  <c r="AJ337" i="15"/>
  <c r="X337" i="15"/>
  <c r="A338" i="15"/>
  <c r="AC337" i="15"/>
  <c r="AB336" i="16"/>
  <c r="X336" i="16"/>
  <c r="AK336" i="16"/>
  <c r="AC336" i="16"/>
  <c r="L336" i="16"/>
  <c r="D336" i="16" s="1"/>
  <c r="A337" i="16"/>
  <c r="K336" i="16"/>
  <c r="AJ336" i="16"/>
  <c r="O336" i="16"/>
  <c r="A332" i="24"/>
  <c r="AB331" i="24"/>
  <c r="K331" i="24"/>
  <c r="X331" i="24"/>
  <c r="L331" i="24"/>
  <c r="AJ331" i="24"/>
  <c r="AK331" i="24"/>
  <c r="O331" i="24"/>
  <c r="AC331" i="24"/>
  <c r="AB334" i="20"/>
  <c r="X334" i="20"/>
  <c r="K334" i="20"/>
  <c r="L334" i="20"/>
  <c r="A335" i="20"/>
  <c r="AJ334" i="20"/>
  <c r="AK334" i="20"/>
  <c r="O334" i="20"/>
  <c r="AC334" i="20"/>
  <c r="D337" i="1"/>
  <c r="E337" i="1" s="1"/>
  <c r="F336" i="1"/>
  <c r="I335" i="1"/>
  <c r="G335" i="1"/>
  <c r="BW335" i="6" s="1"/>
  <c r="AA335" i="1"/>
  <c r="Z335" i="1" s="1"/>
  <c r="Y335" i="1" s="1"/>
  <c r="X330" i="25"/>
  <c r="K330" i="25"/>
  <c r="L330" i="25"/>
  <c r="A331" i="25"/>
  <c r="AB330" i="25"/>
  <c r="AJ330" i="25"/>
  <c r="O330" i="25"/>
  <c r="AK330" i="25"/>
  <c r="AC330" i="25"/>
  <c r="A336" i="18"/>
  <c r="K335" i="18"/>
  <c r="AJ335" i="18"/>
  <c r="AB335" i="18"/>
  <c r="L335" i="18"/>
  <c r="X335" i="18"/>
  <c r="O335" i="18"/>
  <c r="AK335" i="18"/>
  <c r="AC335" i="18"/>
  <c r="AF30" i="7"/>
  <c r="T337" i="1"/>
  <c r="AC338" i="1"/>
  <c r="AJ338" i="1"/>
  <c r="AB338" i="1"/>
  <c r="Q338" i="1"/>
  <c r="O338" i="1"/>
  <c r="L338" i="1"/>
  <c r="A339" i="1"/>
  <c r="AK338" i="1"/>
  <c r="K338" i="1"/>
  <c r="X338" i="1"/>
  <c r="U338" i="1"/>
  <c r="T338" i="1" s="1"/>
  <c r="AB336" i="17"/>
  <c r="X336" i="17"/>
  <c r="K336" i="17"/>
  <c r="A337" i="17"/>
  <c r="L336" i="17"/>
  <c r="AJ336" i="17"/>
  <c r="O336" i="17"/>
  <c r="AK336" i="17"/>
  <c r="AC336" i="17"/>
  <c r="A333" i="23"/>
  <c r="K332" i="23"/>
  <c r="AB332" i="23"/>
  <c r="L332" i="23"/>
  <c r="X332" i="23"/>
  <c r="AJ332" i="23"/>
  <c r="AK332" i="23"/>
  <c r="O332" i="23"/>
  <c r="AC332" i="23"/>
  <c r="A334" i="22"/>
  <c r="X333" i="22"/>
  <c r="K333" i="22"/>
  <c r="AB333" i="22"/>
  <c r="AE42" i="7"/>
  <c r="L333" i="22"/>
  <c r="AJ333" i="22"/>
  <c r="AK333" i="22"/>
  <c r="O333" i="22"/>
  <c r="AG42" i="7" s="1"/>
  <c r="AC333" i="22"/>
  <c r="X338" i="15" l="1"/>
  <c r="O338" i="15"/>
  <c r="K338" i="15"/>
  <c r="AK338" i="15"/>
  <c r="L338" i="15"/>
  <c r="D338" i="15" s="1"/>
  <c r="AJ338" i="15"/>
  <c r="A339" i="15"/>
  <c r="AB338" i="15"/>
  <c r="AC338" i="15"/>
  <c r="E337" i="15"/>
  <c r="E336" i="16"/>
  <c r="A338" i="16"/>
  <c r="L337" i="16"/>
  <c r="D337" i="16" s="1"/>
  <c r="K337" i="16"/>
  <c r="AK337" i="16"/>
  <c r="O337" i="16"/>
  <c r="AB337" i="16"/>
  <c r="X337" i="16"/>
  <c r="AJ337" i="16"/>
  <c r="AC337" i="16"/>
  <c r="X335" i="20"/>
  <c r="K335" i="20"/>
  <c r="AB335" i="20"/>
  <c r="A336" i="20"/>
  <c r="L335" i="20"/>
  <c r="AJ335" i="20"/>
  <c r="AK335" i="20"/>
  <c r="O335" i="20"/>
  <c r="AC335" i="20"/>
  <c r="AF42" i="7"/>
  <c r="X333" i="23"/>
  <c r="AB333" i="23"/>
  <c r="K333" i="23"/>
  <c r="AE54" i="7"/>
  <c r="A334" i="23"/>
  <c r="L333" i="23"/>
  <c r="AJ333" i="23"/>
  <c r="AK333" i="23"/>
  <c r="O333" i="23"/>
  <c r="AG54" i="7" s="1"/>
  <c r="AC333" i="23"/>
  <c r="L337" i="17"/>
  <c r="K337" i="17"/>
  <c r="X337" i="17"/>
  <c r="A338" i="17"/>
  <c r="AB337" i="17"/>
  <c r="AK337" i="17"/>
  <c r="AJ337" i="17"/>
  <c r="O337" i="17"/>
  <c r="AC337" i="17"/>
  <c r="D338" i="1"/>
  <c r="E338" i="1" s="1"/>
  <c r="S337" i="1"/>
  <c r="R337" i="1" s="1"/>
  <c r="P337" i="1" s="1"/>
  <c r="V337" i="1" s="1"/>
  <c r="AA336" i="1"/>
  <c r="Z336" i="1" s="1"/>
  <c r="Y336" i="1" s="1"/>
  <c r="I336" i="1"/>
  <c r="G336" i="1"/>
  <c r="BW336" i="6" s="1"/>
  <c r="K334" i="22"/>
  <c r="L334" i="22"/>
  <c r="X334" i="22"/>
  <c r="AB334" i="22"/>
  <c r="A335" i="22"/>
  <c r="AK334" i="22"/>
  <c r="AJ334" i="22"/>
  <c r="O334" i="22"/>
  <c r="AC334" i="22"/>
  <c r="S338" i="1"/>
  <c r="R338" i="1" s="1"/>
  <c r="P338" i="1" s="1"/>
  <c r="V338" i="1" s="1"/>
  <c r="AK339" i="1"/>
  <c r="K339" i="1"/>
  <c r="AB339" i="1"/>
  <c r="A340" i="1"/>
  <c r="AC339" i="1"/>
  <c r="L339" i="1"/>
  <c r="AJ339" i="1"/>
  <c r="X339" i="1"/>
  <c r="O339" i="1"/>
  <c r="Q339" i="1"/>
  <c r="U339" i="1"/>
  <c r="T339" i="1" s="1"/>
  <c r="K336" i="18"/>
  <c r="AB336" i="18"/>
  <c r="AJ336" i="18"/>
  <c r="X336" i="18"/>
  <c r="L336" i="18"/>
  <c r="A337" i="18"/>
  <c r="AK336" i="18"/>
  <c r="O336" i="18"/>
  <c r="AC336" i="18"/>
  <c r="A332" i="25"/>
  <c r="K331" i="25"/>
  <c r="L331" i="25"/>
  <c r="X331" i="25"/>
  <c r="AB331" i="25"/>
  <c r="AJ331" i="25"/>
  <c r="O331" i="25"/>
  <c r="AK331" i="25"/>
  <c r="AC331" i="25"/>
  <c r="AB332" i="24"/>
  <c r="X332" i="24"/>
  <c r="K332" i="24"/>
  <c r="A333" i="24"/>
  <c r="L332" i="24"/>
  <c r="AJ332" i="24"/>
  <c r="AK332" i="24"/>
  <c r="O332" i="24"/>
  <c r="AC332" i="24"/>
  <c r="E338" i="15" l="1"/>
  <c r="L339" i="15"/>
  <c r="D339" i="15" s="1"/>
  <c r="AK339" i="15"/>
  <c r="K339" i="15"/>
  <c r="AJ339" i="15"/>
  <c r="AB339" i="15"/>
  <c r="X339" i="15"/>
  <c r="O339" i="15"/>
  <c r="A340" i="15"/>
  <c r="AC339" i="15"/>
  <c r="AB338" i="16"/>
  <c r="X338" i="16"/>
  <c r="AJ338" i="16"/>
  <c r="AC338" i="16"/>
  <c r="L338" i="16"/>
  <c r="D338" i="16" s="1"/>
  <c r="A339" i="16"/>
  <c r="K338" i="16"/>
  <c r="AK338" i="16"/>
  <c r="O338" i="16"/>
  <c r="F338" i="1"/>
  <c r="G338" i="1" s="1"/>
  <c r="BW338" i="6" s="1"/>
  <c r="E337" i="16"/>
  <c r="AB332" i="25"/>
  <c r="K332" i="25"/>
  <c r="A333" i="25"/>
  <c r="X332" i="25"/>
  <c r="L332" i="25"/>
  <c r="AJ332" i="25"/>
  <c r="AK332" i="25"/>
  <c r="O332" i="25"/>
  <c r="AC332" i="25"/>
  <c r="A338" i="18"/>
  <c r="K337" i="18"/>
  <c r="AB337" i="18"/>
  <c r="L337" i="18"/>
  <c r="X337" i="18"/>
  <c r="AJ337" i="18"/>
  <c r="AK337" i="18"/>
  <c r="O337" i="18"/>
  <c r="AC337" i="18"/>
  <c r="D339" i="1"/>
  <c r="E339" i="1" s="1"/>
  <c r="K340" i="1"/>
  <c r="X340" i="1"/>
  <c r="A341" i="1"/>
  <c r="Q340" i="1"/>
  <c r="AK340" i="1"/>
  <c r="AC340" i="1"/>
  <c r="L340" i="1"/>
  <c r="AB340" i="1"/>
  <c r="O340" i="1"/>
  <c r="AJ340" i="1"/>
  <c r="U340" i="1"/>
  <c r="T340" i="1" s="1"/>
  <c r="K335" i="22"/>
  <c r="L335" i="22"/>
  <c r="X335" i="22"/>
  <c r="A336" i="22"/>
  <c r="AB335" i="22"/>
  <c r="AJ335" i="22"/>
  <c r="AK335" i="22"/>
  <c r="O335" i="22"/>
  <c r="AC335" i="22"/>
  <c r="F337" i="1"/>
  <c r="AB338" i="17"/>
  <c r="A339" i="17"/>
  <c r="L338" i="17"/>
  <c r="X338" i="17"/>
  <c r="K338" i="17"/>
  <c r="AJ338" i="17"/>
  <c r="O338" i="17"/>
  <c r="AK338" i="17"/>
  <c r="AC338" i="17"/>
  <c r="AF54" i="7"/>
  <c r="K333" i="24"/>
  <c r="AE66" i="7"/>
  <c r="L333" i="24"/>
  <c r="AB333" i="24"/>
  <c r="X333" i="24"/>
  <c r="A334" i="24"/>
  <c r="AJ333" i="24"/>
  <c r="AK333" i="24"/>
  <c r="O333" i="24"/>
  <c r="AG66" i="7" s="1"/>
  <c r="AC333" i="24"/>
  <c r="S339" i="1"/>
  <c r="R339" i="1" s="1"/>
  <c r="P339" i="1" s="1"/>
  <c r="V339" i="1" s="1"/>
  <c r="A335" i="23"/>
  <c r="K334" i="23"/>
  <c r="X334" i="23"/>
  <c r="AB334" i="23"/>
  <c r="L334" i="23"/>
  <c r="AK334" i="23"/>
  <c r="AJ334" i="23"/>
  <c r="O334" i="23"/>
  <c r="AC334" i="23"/>
  <c r="AB336" i="20"/>
  <c r="X336" i="20"/>
  <c r="L336" i="20"/>
  <c r="A337" i="20"/>
  <c r="K336" i="20"/>
  <c r="AK336" i="20"/>
  <c r="AJ336" i="20"/>
  <c r="O336" i="20"/>
  <c r="AC336" i="20"/>
  <c r="L340" i="15" l="1"/>
  <c r="D340" i="15" s="1"/>
  <c r="AB340" i="15"/>
  <c r="AC340" i="15"/>
  <c r="X340" i="15"/>
  <c r="O340" i="15"/>
  <c r="K340" i="15"/>
  <c r="AK340" i="15"/>
  <c r="A341" i="15"/>
  <c r="AJ340" i="15"/>
  <c r="E339" i="15"/>
  <c r="F339" i="1"/>
  <c r="AA339" i="1" s="1"/>
  <c r="Z339" i="1" s="1"/>
  <c r="Y339" i="1" s="1"/>
  <c r="AA338" i="1"/>
  <c r="Z338" i="1" s="1"/>
  <c r="Y338" i="1" s="1"/>
  <c r="I338" i="1"/>
  <c r="E338" i="16"/>
  <c r="K339" i="16"/>
  <c r="X339" i="16"/>
  <c r="AJ339" i="16"/>
  <c r="AC339" i="16"/>
  <c r="A340" i="16"/>
  <c r="L339" i="16"/>
  <c r="D339" i="16" s="1"/>
  <c r="AB339" i="16"/>
  <c r="AK339" i="16"/>
  <c r="O339" i="16"/>
  <c r="X337" i="20"/>
  <c r="A338" i="20"/>
  <c r="AB337" i="20"/>
  <c r="L337" i="20"/>
  <c r="K337" i="20"/>
  <c r="AJ337" i="20"/>
  <c r="AK337" i="20"/>
  <c r="O337" i="20"/>
  <c r="AC337" i="20"/>
  <c r="K335" i="23"/>
  <c r="AB335" i="23"/>
  <c r="A336" i="23"/>
  <c r="L335" i="23"/>
  <c r="X335" i="23"/>
  <c r="AJ335" i="23"/>
  <c r="AK335" i="23"/>
  <c r="O335" i="23"/>
  <c r="AC335" i="23"/>
  <c r="AF66" i="7"/>
  <c r="K339" i="17"/>
  <c r="AB339" i="17"/>
  <c r="L339" i="17"/>
  <c r="A340" i="17"/>
  <c r="X339" i="17"/>
  <c r="O339" i="17"/>
  <c r="AJ339" i="17"/>
  <c r="AK339" i="17"/>
  <c r="AC339" i="17"/>
  <c r="X338" i="18"/>
  <c r="AJ338" i="18"/>
  <c r="L338" i="18"/>
  <c r="A339" i="18"/>
  <c r="AB338" i="18"/>
  <c r="K338" i="18"/>
  <c r="O338" i="18"/>
  <c r="AK338" i="18"/>
  <c r="AC338" i="18"/>
  <c r="AB334" i="24"/>
  <c r="L334" i="24"/>
  <c r="K334" i="24"/>
  <c r="X334" i="24"/>
  <c r="A335" i="24"/>
  <c r="AJ334" i="24"/>
  <c r="AK334" i="24"/>
  <c r="O334" i="24"/>
  <c r="AC334" i="24"/>
  <c r="I337" i="1"/>
  <c r="AA337" i="1"/>
  <c r="Z337" i="1" s="1"/>
  <c r="Y337" i="1" s="1"/>
  <c r="G337" i="1"/>
  <c r="BW337" i="6" s="1"/>
  <c r="X336" i="22"/>
  <c r="K336" i="22"/>
  <c r="L336" i="22"/>
  <c r="AB336" i="22"/>
  <c r="A337" i="22"/>
  <c r="AK336" i="22"/>
  <c r="AJ336" i="22"/>
  <c r="O336" i="22"/>
  <c r="AC336" i="22"/>
  <c r="S340" i="1"/>
  <c r="R340" i="1" s="1"/>
  <c r="P340" i="1" s="1"/>
  <c r="V340" i="1" s="1"/>
  <c r="D340" i="1"/>
  <c r="E340" i="1" s="1"/>
  <c r="X341" i="1"/>
  <c r="AB341" i="1"/>
  <c r="O341" i="1"/>
  <c r="A342" i="1"/>
  <c r="Q341" i="1"/>
  <c r="AK341" i="1"/>
  <c r="AC341" i="1"/>
  <c r="K341" i="1"/>
  <c r="L341" i="1"/>
  <c r="AJ341" i="1"/>
  <c r="U341" i="1"/>
  <c r="T341" i="1" s="1"/>
  <c r="AB333" i="25"/>
  <c r="AE78" i="7"/>
  <c r="X333" i="25"/>
  <c r="L333" i="25"/>
  <c r="K333" i="25"/>
  <c r="A334" i="25"/>
  <c r="AK333" i="25"/>
  <c r="AJ333" i="25"/>
  <c r="O333" i="25"/>
  <c r="AG78" i="7" s="1"/>
  <c r="AC333" i="25"/>
  <c r="I339" i="1" l="1"/>
  <c r="G339" i="1"/>
  <c r="BW339" i="6" s="1"/>
  <c r="L341" i="15"/>
  <c r="D341" i="15" s="1"/>
  <c r="O341" i="15"/>
  <c r="A342" i="15"/>
  <c r="AK341" i="15"/>
  <c r="AB341" i="15"/>
  <c r="AJ341" i="15"/>
  <c r="K341" i="15"/>
  <c r="X341" i="15"/>
  <c r="AC341" i="15"/>
  <c r="E340" i="15"/>
  <c r="E339" i="16"/>
  <c r="L340" i="16"/>
  <c r="D340" i="16" s="1"/>
  <c r="AB340" i="16"/>
  <c r="AK340" i="16"/>
  <c r="AC340" i="16"/>
  <c r="A341" i="16"/>
  <c r="K340" i="16"/>
  <c r="X340" i="16"/>
  <c r="AJ340" i="16"/>
  <c r="O340" i="16"/>
  <c r="X342" i="1"/>
  <c r="L342" i="1"/>
  <c r="A343" i="1"/>
  <c r="AK342" i="1"/>
  <c r="Q342" i="1"/>
  <c r="O342" i="1"/>
  <c r="AC342" i="1"/>
  <c r="AJ342" i="1"/>
  <c r="K342" i="1"/>
  <c r="AB342" i="1"/>
  <c r="U342" i="1"/>
  <c r="T342" i="1" s="1"/>
  <c r="F340" i="1"/>
  <c r="K335" i="24"/>
  <c r="AB335" i="24"/>
  <c r="X335" i="24"/>
  <c r="L335" i="24"/>
  <c r="A336" i="24"/>
  <c r="AJ335" i="24"/>
  <c r="AK335" i="24"/>
  <c r="O335" i="24"/>
  <c r="AC335" i="24"/>
  <c r="A341" i="17"/>
  <c r="K340" i="17"/>
  <c r="AB340" i="17"/>
  <c r="X340" i="17"/>
  <c r="L340" i="17"/>
  <c r="O340" i="17"/>
  <c r="AK340" i="17"/>
  <c r="AJ340" i="17"/>
  <c r="AC340" i="17"/>
  <c r="A335" i="25"/>
  <c r="K334" i="25"/>
  <c r="X334" i="25"/>
  <c r="L334" i="25"/>
  <c r="AB334" i="25"/>
  <c r="AJ334" i="25"/>
  <c r="O334" i="25"/>
  <c r="AK334" i="25"/>
  <c r="AC334" i="25"/>
  <c r="AF78" i="7"/>
  <c r="S341" i="1"/>
  <c r="R341" i="1" s="1"/>
  <c r="P341" i="1" s="1"/>
  <c r="V341" i="1" s="1"/>
  <c r="D341" i="1"/>
  <c r="E341" i="1" s="1"/>
  <c r="K337" i="22"/>
  <c r="A338" i="22"/>
  <c r="X337" i="22"/>
  <c r="AB337" i="22"/>
  <c r="L337" i="22"/>
  <c r="AJ337" i="22"/>
  <c r="AK337" i="22"/>
  <c r="O337" i="22"/>
  <c r="AC337" i="22"/>
  <c r="AB339" i="18"/>
  <c r="K339" i="18"/>
  <c r="X339" i="18"/>
  <c r="L339" i="18"/>
  <c r="A340" i="18"/>
  <c r="AJ339" i="18"/>
  <c r="AK339" i="18"/>
  <c r="O339" i="18"/>
  <c r="AC339" i="18"/>
  <c r="K336" i="23"/>
  <c r="X336" i="23"/>
  <c r="L336" i="23"/>
  <c r="A337" i="23"/>
  <c r="AB336" i="23"/>
  <c r="AK336" i="23"/>
  <c r="AJ336" i="23"/>
  <c r="O336" i="23"/>
  <c r="AC336" i="23"/>
  <c r="A339" i="20"/>
  <c r="L338" i="20"/>
  <c r="AB338" i="20"/>
  <c r="X338" i="20"/>
  <c r="K338" i="20"/>
  <c r="AJ338" i="20"/>
  <c r="AK338" i="20"/>
  <c r="O338" i="20"/>
  <c r="AC338" i="20"/>
  <c r="E341" i="15" l="1"/>
  <c r="F341" i="1"/>
  <c r="G341" i="1" s="1"/>
  <c r="BW341" i="6" s="1"/>
  <c r="X342" i="15"/>
  <c r="AK342" i="15"/>
  <c r="A343" i="15"/>
  <c r="AB342" i="15"/>
  <c r="AC342" i="15"/>
  <c r="K342" i="15"/>
  <c r="O342" i="15"/>
  <c r="L342" i="15"/>
  <c r="D342" i="15" s="1"/>
  <c r="AJ342" i="15"/>
  <c r="X341" i="16"/>
  <c r="K341" i="16"/>
  <c r="L341" i="16"/>
  <c r="D341" i="16" s="1"/>
  <c r="AK341" i="16"/>
  <c r="O341" i="16"/>
  <c r="A342" i="16"/>
  <c r="AB341" i="16"/>
  <c r="AJ341" i="16"/>
  <c r="AC341" i="16"/>
  <c r="E340" i="16"/>
  <c r="AB341" i="17"/>
  <c r="K341" i="17"/>
  <c r="A342" i="17"/>
  <c r="L341" i="17"/>
  <c r="X341" i="17"/>
  <c r="AJ341" i="17"/>
  <c r="O341" i="17"/>
  <c r="AK341" i="17"/>
  <c r="AC341" i="17"/>
  <c r="X336" i="24"/>
  <c r="K336" i="24"/>
  <c r="A337" i="24"/>
  <c r="AB336" i="24"/>
  <c r="L336" i="24"/>
  <c r="AK336" i="24"/>
  <c r="AJ336" i="24"/>
  <c r="O336" i="24"/>
  <c r="AC336" i="24"/>
  <c r="G340" i="1"/>
  <c r="BW340" i="6" s="1"/>
  <c r="AA340" i="1"/>
  <c r="Z340" i="1" s="1"/>
  <c r="Y340" i="1" s="1"/>
  <c r="I340" i="1"/>
  <c r="D342" i="1"/>
  <c r="E342" i="1" s="1"/>
  <c r="K339" i="20"/>
  <c r="L339" i="20"/>
  <c r="AB339" i="20"/>
  <c r="X339" i="20"/>
  <c r="A340" i="20"/>
  <c r="AK339" i="20"/>
  <c r="AJ339" i="20"/>
  <c r="O339" i="20"/>
  <c r="AC339" i="20"/>
  <c r="K337" i="23"/>
  <c r="AB337" i="23"/>
  <c r="X337" i="23"/>
  <c r="L337" i="23"/>
  <c r="A338" i="23"/>
  <c r="AJ337" i="23"/>
  <c r="AK337" i="23"/>
  <c r="O337" i="23"/>
  <c r="AC337" i="23"/>
  <c r="A341" i="18"/>
  <c r="L340" i="18"/>
  <c r="AB340" i="18"/>
  <c r="K340" i="18"/>
  <c r="X340" i="18"/>
  <c r="AJ340" i="18"/>
  <c r="O340" i="18"/>
  <c r="AK340" i="18"/>
  <c r="AC340" i="18"/>
  <c r="X338" i="22"/>
  <c r="A339" i="22"/>
  <c r="AB338" i="22"/>
  <c r="L338" i="22"/>
  <c r="K338" i="22"/>
  <c r="AJ338" i="22"/>
  <c r="AK338" i="22"/>
  <c r="O338" i="22"/>
  <c r="AC338" i="22"/>
  <c r="AA341" i="1"/>
  <c r="Z341" i="1" s="1"/>
  <c r="Y341" i="1" s="1"/>
  <c r="K335" i="25"/>
  <c r="L335" i="25"/>
  <c r="A336" i="25"/>
  <c r="X335" i="25"/>
  <c r="AB335" i="25"/>
  <c r="AJ335" i="25"/>
  <c r="AK335" i="25"/>
  <c r="O335" i="25"/>
  <c r="AC335" i="25"/>
  <c r="S342" i="1"/>
  <c r="R342" i="1" s="1"/>
  <c r="P342" i="1" s="1"/>
  <c r="V342" i="1" s="1"/>
  <c r="L343" i="1"/>
  <c r="X343" i="1"/>
  <c r="O343" i="1"/>
  <c r="AC343" i="1"/>
  <c r="K343" i="1"/>
  <c r="AB343" i="1"/>
  <c r="AJ343" i="1"/>
  <c r="AK343" i="1"/>
  <c r="A344" i="1"/>
  <c r="Q343" i="1"/>
  <c r="U343" i="1"/>
  <c r="T343" i="1" s="1"/>
  <c r="I341" i="1" l="1"/>
  <c r="K343" i="15"/>
  <c r="O343" i="15"/>
  <c r="L343" i="15"/>
  <c r="D343" i="15" s="1"/>
  <c r="AK343" i="15"/>
  <c r="AB343" i="15"/>
  <c r="AJ343" i="15"/>
  <c r="X343" i="15"/>
  <c r="A344" i="15"/>
  <c r="AC343" i="15"/>
  <c r="E342" i="15"/>
  <c r="F342" i="1"/>
  <c r="G342" i="1" s="1"/>
  <c r="BW342" i="6" s="1"/>
  <c r="K342" i="16"/>
  <c r="A343" i="16"/>
  <c r="X342" i="16"/>
  <c r="AK342" i="16"/>
  <c r="O342" i="16"/>
  <c r="L342" i="16"/>
  <c r="D342" i="16" s="1"/>
  <c r="AB342" i="16"/>
  <c r="AJ342" i="16"/>
  <c r="AC342" i="16"/>
  <c r="E341" i="16"/>
  <c r="S343" i="1"/>
  <c r="R343" i="1" s="1"/>
  <c r="P343" i="1" s="1"/>
  <c r="V343" i="1" s="1"/>
  <c r="AJ344" i="1"/>
  <c r="AB344" i="1"/>
  <c r="X344" i="1"/>
  <c r="AK344" i="1"/>
  <c r="A345" i="1"/>
  <c r="O344" i="1"/>
  <c r="AC344" i="1"/>
  <c r="K344" i="1"/>
  <c r="L344" i="1"/>
  <c r="Q344" i="1"/>
  <c r="U344" i="1"/>
  <c r="D343" i="1"/>
  <c r="E343" i="1" s="1"/>
  <c r="A340" i="22"/>
  <c r="L339" i="22"/>
  <c r="K339" i="22"/>
  <c r="X339" i="22"/>
  <c r="AB339" i="22"/>
  <c r="AK339" i="22"/>
  <c r="AJ339" i="22"/>
  <c r="O339" i="22"/>
  <c r="AC339" i="22"/>
  <c r="AB341" i="18"/>
  <c r="L341" i="18"/>
  <c r="A342" i="18"/>
  <c r="X341" i="18"/>
  <c r="K341" i="18"/>
  <c r="AJ341" i="18"/>
  <c r="AK341" i="18"/>
  <c r="O341" i="18"/>
  <c r="AC341" i="18"/>
  <c r="X340" i="20"/>
  <c r="AB340" i="20"/>
  <c r="K340" i="20"/>
  <c r="L340" i="20"/>
  <c r="A341" i="20"/>
  <c r="AJ340" i="20"/>
  <c r="AK340" i="20"/>
  <c r="O340" i="20"/>
  <c r="AC340" i="20"/>
  <c r="K342" i="17"/>
  <c r="A343" i="17"/>
  <c r="L342" i="17"/>
  <c r="X342" i="17"/>
  <c r="AB342" i="17"/>
  <c r="AJ342" i="17"/>
  <c r="AK342" i="17"/>
  <c r="O342" i="17"/>
  <c r="AC342" i="17"/>
  <c r="X336" i="25"/>
  <c r="K336" i="25"/>
  <c r="A337" i="25"/>
  <c r="AB336" i="25"/>
  <c r="L336" i="25"/>
  <c r="AJ336" i="25"/>
  <c r="AK336" i="25"/>
  <c r="O336" i="25"/>
  <c r="AC336" i="25"/>
  <c r="K338" i="23"/>
  <c r="L338" i="23"/>
  <c r="X338" i="23"/>
  <c r="A339" i="23"/>
  <c r="AB338" i="23"/>
  <c r="AK338" i="23"/>
  <c r="AJ338" i="23"/>
  <c r="O338" i="23"/>
  <c r="AC338" i="23"/>
  <c r="K337" i="24"/>
  <c r="A338" i="24"/>
  <c r="L337" i="24"/>
  <c r="X337" i="24"/>
  <c r="AB337" i="24"/>
  <c r="AJ337" i="24"/>
  <c r="AK337" i="24"/>
  <c r="O337" i="24"/>
  <c r="AC337" i="24"/>
  <c r="AA342" i="1" l="1"/>
  <c r="Z342" i="1" s="1"/>
  <c r="Y342" i="1" s="1"/>
  <c r="A345" i="15"/>
  <c r="AC344" i="15"/>
  <c r="L344" i="15"/>
  <c r="D344" i="15" s="1"/>
  <c r="AK344" i="15"/>
  <c r="AB344" i="15"/>
  <c r="AJ344" i="15"/>
  <c r="K344" i="15"/>
  <c r="X344" i="15"/>
  <c r="O344" i="15"/>
  <c r="E343" i="15"/>
  <c r="I342" i="1"/>
  <c r="E342" i="16"/>
  <c r="F343" i="1"/>
  <c r="AA343" i="1" s="1"/>
  <c r="Z343" i="1" s="1"/>
  <c r="Y343" i="1" s="1"/>
  <c r="K343" i="16"/>
  <c r="AB343" i="16"/>
  <c r="X343" i="16"/>
  <c r="AK343" i="16"/>
  <c r="O343" i="16"/>
  <c r="A344" i="16"/>
  <c r="L343" i="16"/>
  <c r="D343" i="16" s="1"/>
  <c r="E343" i="16" s="1"/>
  <c r="AJ343" i="16"/>
  <c r="AC343" i="16"/>
  <c r="X339" i="23"/>
  <c r="A340" i="23"/>
  <c r="K339" i="23"/>
  <c r="L339" i="23"/>
  <c r="AB339" i="23"/>
  <c r="AJ339" i="23"/>
  <c r="AK339" i="23"/>
  <c r="O339" i="23"/>
  <c r="AC339" i="23"/>
  <c r="A338" i="25"/>
  <c r="X337" i="25"/>
  <c r="K337" i="25"/>
  <c r="L337" i="25"/>
  <c r="AB337" i="25"/>
  <c r="AJ337" i="25"/>
  <c r="AK337" i="25"/>
  <c r="O337" i="25"/>
  <c r="AC337" i="25"/>
  <c r="K341" i="20"/>
  <c r="AB341" i="20"/>
  <c r="L341" i="20"/>
  <c r="X341" i="20"/>
  <c r="A342" i="20"/>
  <c r="AJ341" i="20"/>
  <c r="AK341" i="20"/>
  <c r="O341" i="20"/>
  <c r="AC341" i="20"/>
  <c r="T344" i="1"/>
  <c r="D344" i="1"/>
  <c r="E344" i="1" s="1"/>
  <c r="L345" i="1"/>
  <c r="O345" i="1"/>
  <c r="AB345" i="1"/>
  <c r="AC345" i="1"/>
  <c r="AJ345" i="1"/>
  <c r="K345" i="1"/>
  <c r="Q345" i="1"/>
  <c r="AK345" i="1"/>
  <c r="A346" i="1"/>
  <c r="X345" i="1"/>
  <c r="U345" i="1"/>
  <c r="T345" i="1" s="1"/>
  <c r="A339" i="24"/>
  <c r="X338" i="24"/>
  <c r="L338" i="24"/>
  <c r="K338" i="24"/>
  <c r="AB338" i="24"/>
  <c r="AK338" i="24"/>
  <c r="AJ338" i="24"/>
  <c r="O338" i="24"/>
  <c r="AC338" i="24"/>
  <c r="A344" i="17"/>
  <c r="X343" i="17"/>
  <c r="L343" i="17"/>
  <c r="AB343" i="17"/>
  <c r="K343" i="17"/>
  <c r="O343" i="17"/>
  <c r="AK343" i="17"/>
  <c r="AJ343" i="17"/>
  <c r="AC343" i="17"/>
  <c r="L342" i="18"/>
  <c r="X342" i="18"/>
  <c r="AJ342" i="18"/>
  <c r="AB342" i="18"/>
  <c r="K342" i="18"/>
  <c r="A343" i="18"/>
  <c r="O342" i="18"/>
  <c r="AK342" i="18"/>
  <c r="AC342" i="18"/>
  <c r="A341" i="22"/>
  <c r="K340" i="22"/>
  <c r="L340" i="22"/>
  <c r="AB340" i="22"/>
  <c r="X340" i="22"/>
  <c r="AK340" i="22"/>
  <c r="AJ340" i="22"/>
  <c r="O340" i="22"/>
  <c r="AC340" i="22"/>
  <c r="G343" i="1" l="1"/>
  <c r="BW343" i="6" s="1"/>
  <c r="I343" i="1"/>
  <c r="E344" i="15"/>
  <c r="X345" i="15"/>
  <c r="AK345" i="15"/>
  <c r="K345" i="15"/>
  <c r="AJ345" i="15"/>
  <c r="L345" i="15"/>
  <c r="D345" i="15" s="1"/>
  <c r="AB345" i="15"/>
  <c r="AC345" i="15"/>
  <c r="A346" i="15"/>
  <c r="O345" i="15"/>
  <c r="X344" i="16"/>
  <c r="K344" i="16"/>
  <c r="AJ344" i="16"/>
  <c r="AC344" i="16"/>
  <c r="AB344" i="16"/>
  <c r="L344" i="16"/>
  <c r="D344" i="16" s="1"/>
  <c r="A345" i="16"/>
  <c r="AK344" i="16"/>
  <c r="O344" i="16"/>
  <c r="L342" i="20"/>
  <c r="K342" i="20"/>
  <c r="A343" i="20"/>
  <c r="X342" i="20"/>
  <c r="AB342" i="20"/>
  <c r="AJ342" i="20"/>
  <c r="AK342" i="20"/>
  <c r="O342" i="20"/>
  <c r="AC342" i="20"/>
  <c r="A342" i="22"/>
  <c r="L341" i="22"/>
  <c r="AB341" i="22"/>
  <c r="K341" i="22"/>
  <c r="X341" i="22"/>
  <c r="AK341" i="22"/>
  <c r="AJ341" i="22"/>
  <c r="O341" i="22"/>
  <c r="AC341" i="22"/>
  <c r="AJ343" i="18"/>
  <c r="L343" i="18"/>
  <c r="X343" i="18"/>
  <c r="AB343" i="18"/>
  <c r="A344" i="18"/>
  <c r="K343" i="18"/>
  <c r="AK343" i="18"/>
  <c r="O343" i="18"/>
  <c r="AC343" i="18"/>
  <c r="K344" i="17"/>
  <c r="X344" i="17"/>
  <c r="AB344" i="17"/>
  <c r="L344" i="17"/>
  <c r="A345" i="17"/>
  <c r="O344" i="17"/>
  <c r="AK344" i="17"/>
  <c r="AJ344" i="17"/>
  <c r="AC344" i="17"/>
  <c r="AB339" i="24"/>
  <c r="A340" i="24"/>
  <c r="K339" i="24"/>
  <c r="L339" i="24"/>
  <c r="X339" i="24"/>
  <c r="AJ339" i="24"/>
  <c r="AK339" i="24"/>
  <c r="O339" i="24"/>
  <c r="AC339" i="24"/>
  <c r="S345" i="1"/>
  <c r="R345" i="1" s="1"/>
  <c r="P345" i="1" s="1"/>
  <c r="V345" i="1" s="1"/>
  <c r="AB346" i="1"/>
  <c r="AC346" i="1"/>
  <c r="O346" i="1"/>
  <c r="L346" i="1"/>
  <c r="A347" i="1"/>
  <c r="AJ346" i="1"/>
  <c r="Q346" i="1"/>
  <c r="AK346" i="1"/>
  <c r="K346" i="1"/>
  <c r="X346" i="1"/>
  <c r="U346" i="1"/>
  <c r="D345" i="1"/>
  <c r="E345" i="1" s="1"/>
  <c r="S344" i="1"/>
  <c r="R344" i="1" s="1"/>
  <c r="P344" i="1" s="1"/>
  <c r="V344" i="1" s="1"/>
  <c r="K338" i="25"/>
  <c r="X338" i="25"/>
  <c r="L338" i="25"/>
  <c r="A339" i="25"/>
  <c r="AB338" i="25"/>
  <c r="AJ338" i="25"/>
  <c r="O338" i="25"/>
  <c r="AK338" i="25"/>
  <c r="AC338" i="25"/>
  <c r="A341" i="23"/>
  <c r="K340" i="23"/>
  <c r="AB340" i="23"/>
  <c r="X340" i="23"/>
  <c r="L340" i="23"/>
  <c r="AJ340" i="23"/>
  <c r="AK340" i="23"/>
  <c r="O340" i="23"/>
  <c r="AC340" i="23"/>
  <c r="E345" i="15" l="1"/>
  <c r="A347" i="15"/>
  <c r="AK346" i="15"/>
  <c r="AB346" i="15"/>
  <c r="AJ346" i="15"/>
  <c r="L346" i="15"/>
  <c r="D346" i="15" s="1"/>
  <c r="K346" i="15"/>
  <c r="AC346" i="15"/>
  <c r="X346" i="15"/>
  <c r="O346" i="15"/>
  <c r="E346" i="15" s="1"/>
  <c r="E344" i="16"/>
  <c r="K345" i="16"/>
  <c r="X345" i="16"/>
  <c r="AK345" i="16"/>
  <c r="AC345" i="16"/>
  <c r="A346" i="16"/>
  <c r="L345" i="16"/>
  <c r="D345" i="16" s="1"/>
  <c r="AB345" i="16"/>
  <c r="AJ345" i="16"/>
  <c r="O345" i="16"/>
  <c r="X341" i="23"/>
  <c r="L341" i="23"/>
  <c r="AB341" i="23"/>
  <c r="K341" i="23"/>
  <c r="A342" i="23"/>
  <c r="AK341" i="23"/>
  <c r="AJ341" i="23"/>
  <c r="O341" i="23"/>
  <c r="AC341" i="23"/>
  <c r="AB339" i="25"/>
  <c r="K339" i="25"/>
  <c r="L339" i="25"/>
  <c r="X339" i="25"/>
  <c r="A340" i="25"/>
  <c r="AJ339" i="25"/>
  <c r="O339" i="25"/>
  <c r="AK339" i="25"/>
  <c r="AC339" i="25"/>
  <c r="F344" i="1"/>
  <c r="F345" i="1"/>
  <c r="D346" i="1"/>
  <c r="E346" i="1" s="1"/>
  <c r="AB344" i="18"/>
  <c r="X344" i="18"/>
  <c r="AJ344" i="18"/>
  <c r="K344" i="18"/>
  <c r="L344" i="18"/>
  <c r="A345" i="18"/>
  <c r="AK344" i="18"/>
  <c r="O344" i="18"/>
  <c r="AC344" i="18"/>
  <c r="X343" i="20"/>
  <c r="AB343" i="20"/>
  <c r="A344" i="20"/>
  <c r="L343" i="20"/>
  <c r="K343" i="20"/>
  <c r="AK343" i="20"/>
  <c r="AJ343" i="20"/>
  <c r="O343" i="20"/>
  <c r="AC343" i="20"/>
  <c r="T346" i="1"/>
  <c r="L347" i="1"/>
  <c r="Q347" i="1"/>
  <c r="AC347" i="1"/>
  <c r="AK347" i="1"/>
  <c r="AB347" i="1"/>
  <c r="X347" i="1"/>
  <c r="A348" i="1"/>
  <c r="K347" i="1"/>
  <c r="O347" i="1"/>
  <c r="AJ347" i="1"/>
  <c r="U347" i="1"/>
  <c r="T347" i="1" s="1"/>
  <c r="K340" i="24"/>
  <c r="X340" i="24"/>
  <c r="AB340" i="24"/>
  <c r="A341" i="24"/>
  <c r="L340" i="24"/>
  <c r="AJ340" i="24"/>
  <c r="AK340" i="24"/>
  <c r="O340" i="24"/>
  <c r="AC340" i="24"/>
  <c r="A346" i="17"/>
  <c r="X345" i="17"/>
  <c r="L345" i="17"/>
  <c r="K345" i="17"/>
  <c r="AB345" i="17"/>
  <c r="AJ345" i="17"/>
  <c r="O345" i="17"/>
  <c r="AK345" i="17"/>
  <c r="AC345" i="17"/>
  <c r="A343" i="22"/>
  <c r="AB342" i="22"/>
  <c r="K342" i="22"/>
  <c r="L342" i="22"/>
  <c r="X342" i="22"/>
  <c r="AJ342" i="22"/>
  <c r="AK342" i="22"/>
  <c r="O342" i="22"/>
  <c r="AC342" i="22"/>
  <c r="E345" i="16" l="1"/>
  <c r="L347" i="15"/>
  <c r="D347" i="15" s="1"/>
  <c r="O347" i="15"/>
  <c r="K347" i="15"/>
  <c r="AJ347" i="15"/>
  <c r="X347" i="15"/>
  <c r="AK347" i="15"/>
  <c r="A348" i="15"/>
  <c r="AB347" i="15"/>
  <c r="AC347" i="15"/>
  <c r="K346" i="16"/>
  <c r="A347" i="16"/>
  <c r="X346" i="16"/>
  <c r="AK346" i="16"/>
  <c r="O346" i="16"/>
  <c r="L346" i="16"/>
  <c r="D346" i="16" s="1"/>
  <c r="AB346" i="16"/>
  <c r="AJ346" i="16"/>
  <c r="AC346" i="16"/>
  <c r="A347" i="17"/>
  <c r="K346" i="17"/>
  <c r="AB346" i="17"/>
  <c r="L346" i="17"/>
  <c r="X346" i="17"/>
  <c r="AJ346" i="17"/>
  <c r="O346" i="17"/>
  <c r="AK346" i="17"/>
  <c r="AC346" i="17"/>
  <c r="X341" i="24"/>
  <c r="L341" i="24"/>
  <c r="A342" i="24"/>
  <c r="AB341" i="24"/>
  <c r="K341" i="24"/>
  <c r="AJ341" i="24"/>
  <c r="AK341" i="24"/>
  <c r="O341" i="24"/>
  <c r="AC341" i="24"/>
  <c r="I344" i="1"/>
  <c r="AA344" i="1"/>
  <c r="Z344" i="1" s="1"/>
  <c r="Y344" i="1" s="1"/>
  <c r="G344" i="1"/>
  <c r="BW344" i="6" s="1"/>
  <c r="A343" i="23"/>
  <c r="K342" i="23"/>
  <c r="X342" i="23"/>
  <c r="L342" i="23"/>
  <c r="AB342" i="23"/>
  <c r="AK342" i="23"/>
  <c r="AJ342" i="23"/>
  <c r="O342" i="23"/>
  <c r="AC342" i="23"/>
  <c r="K343" i="22"/>
  <c r="AB343" i="22"/>
  <c r="X343" i="22"/>
  <c r="A344" i="22"/>
  <c r="L343" i="22"/>
  <c r="AJ343" i="22"/>
  <c r="AK343" i="22"/>
  <c r="O343" i="22"/>
  <c r="AC343" i="22"/>
  <c r="S347" i="1"/>
  <c r="R347" i="1" s="1"/>
  <c r="P347" i="1" s="1"/>
  <c r="V347" i="1" s="1"/>
  <c r="O348" i="1"/>
  <c r="AK348" i="1"/>
  <c r="X348" i="1"/>
  <c r="AC348" i="1"/>
  <c r="L348" i="1"/>
  <c r="A349" i="1"/>
  <c r="AB348" i="1"/>
  <c r="Q348" i="1"/>
  <c r="AJ348" i="1"/>
  <c r="K348" i="1"/>
  <c r="U348" i="1"/>
  <c r="T348" i="1" s="1"/>
  <c r="S348" i="1" s="1"/>
  <c r="R348" i="1" s="1"/>
  <c r="D347" i="1"/>
  <c r="E347" i="1" s="1"/>
  <c r="S346" i="1"/>
  <c r="R346" i="1" s="1"/>
  <c r="P346" i="1" s="1"/>
  <c r="V346" i="1" s="1"/>
  <c r="F346" i="1" s="1"/>
  <c r="A345" i="20"/>
  <c r="K344" i="20"/>
  <c r="AB344" i="20"/>
  <c r="L344" i="20"/>
  <c r="X344" i="20"/>
  <c r="AJ344" i="20"/>
  <c r="AK344" i="20"/>
  <c r="O344" i="20"/>
  <c r="AC344" i="20"/>
  <c r="X345" i="18"/>
  <c r="AJ345" i="18"/>
  <c r="A346" i="18"/>
  <c r="K345" i="18"/>
  <c r="AB345" i="18"/>
  <c r="O345" i="18"/>
  <c r="L345" i="18"/>
  <c r="AK345" i="18"/>
  <c r="AC345" i="18"/>
  <c r="G345" i="1"/>
  <c r="BW345" i="6" s="1"/>
  <c r="AA345" i="1"/>
  <c r="Z345" i="1" s="1"/>
  <c r="Y345" i="1" s="1"/>
  <c r="I345" i="1"/>
  <c r="X340" i="25"/>
  <c r="A341" i="25"/>
  <c r="K340" i="25"/>
  <c r="L340" i="25"/>
  <c r="AB340" i="25"/>
  <c r="AJ340" i="25"/>
  <c r="AK340" i="25"/>
  <c r="O340" i="25"/>
  <c r="AC340" i="25"/>
  <c r="E347" i="15" l="1"/>
  <c r="AB348" i="15"/>
  <c r="X348" i="15"/>
  <c r="O348" i="15"/>
  <c r="K348" i="15"/>
  <c r="AC348" i="15"/>
  <c r="L348" i="15"/>
  <c r="D348" i="15" s="1"/>
  <c r="AK348" i="15"/>
  <c r="A349" i="15"/>
  <c r="AJ348" i="15"/>
  <c r="E346" i="16"/>
  <c r="P348" i="1"/>
  <c r="V348" i="1" s="1"/>
  <c r="AB347" i="16"/>
  <c r="A348" i="16"/>
  <c r="AK347" i="16"/>
  <c r="AC347" i="16"/>
  <c r="X347" i="16"/>
  <c r="K347" i="16"/>
  <c r="L347" i="16"/>
  <c r="D347" i="16" s="1"/>
  <c r="AJ347" i="16"/>
  <c r="O347" i="16"/>
  <c r="F347" i="1"/>
  <c r="AA347" i="1" s="1"/>
  <c r="Z347" i="1" s="1"/>
  <c r="Y347" i="1" s="1"/>
  <c r="A346" i="20"/>
  <c r="L345" i="20"/>
  <c r="K345" i="20"/>
  <c r="AB345" i="20"/>
  <c r="AJ345" i="20"/>
  <c r="AK345" i="20"/>
  <c r="X345" i="20"/>
  <c r="O345" i="20"/>
  <c r="AC345" i="20"/>
  <c r="I346" i="1"/>
  <c r="AA346" i="1"/>
  <c r="Z346" i="1" s="1"/>
  <c r="Y346" i="1" s="1"/>
  <c r="G346" i="1"/>
  <c r="BW346" i="6" s="1"/>
  <c r="D348" i="1"/>
  <c r="E348" i="1" s="1"/>
  <c r="X344" i="22"/>
  <c r="A345" i="22"/>
  <c r="AB344" i="22"/>
  <c r="K344" i="22"/>
  <c r="L344" i="22"/>
  <c r="AJ344" i="22"/>
  <c r="AK344" i="22"/>
  <c r="O344" i="22"/>
  <c r="AC344" i="22"/>
  <c r="X343" i="23"/>
  <c r="L343" i="23"/>
  <c r="A344" i="23"/>
  <c r="K343" i="23"/>
  <c r="AJ343" i="23"/>
  <c r="AK343" i="23"/>
  <c r="AB343" i="23"/>
  <c r="O343" i="23"/>
  <c r="AC343" i="23"/>
  <c r="K341" i="25"/>
  <c r="A342" i="25"/>
  <c r="L341" i="25"/>
  <c r="X341" i="25"/>
  <c r="AJ341" i="25"/>
  <c r="AK341" i="25"/>
  <c r="AB341" i="25"/>
  <c r="O341" i="25"/>
  <c r="AC341" i="25"/>
  <c r="AB346" i="18"/>
  <c r="A347" i="18"/>
  <c r="L346" i="18"/>
  <c r="X346" i="18"/>
  <c r="K346" i="18"/>
  <c r="O346" i="18"/>
  <c r="AK346" i="18"/>
  <c r="AJ346" i="18"/>
  <c r="AC346" i="18"/>
  <c r="A350" i="1"/>
  <c r="K349" i="1"/>
  <c r="AK349" i="1"/>
  <c r="L349" i="1"/>
  <c r="X349" i="1"/>
  <c r="O349" i="1"/>
  <c r="AB349" i="1"/>
  <c r="AJ349" i="1"/>
  <c r="AC349" i="1"/>
  <c r="Q349" i="1"/>
  <c r="U349" i="1"/>
  <c r="T349" i="1" s="1"/>
  <c r="AB342" i="24"/>
  <c r="X342" i="24"/>
  <c r="K342" i="24"/>
  <c r="A343" i="24"/>
  <c r="AJ342" i="24"/>
  <c r="AK342" i="24"/>
  <c r="L342" i="24"/>
  <c r="O342" i="24"/>
  <c r="AC342" i="24"/>
  <c r="K347" i="17"/>
  <c r="AB347" i="17"/>
  <c r="X347" i="17"/>
  <c r="AJ347" i="17"/>
  <c r="O347" i="17"/>
  <c r="AK347" i="17"/>
  <c r="L347" i="17"/>
  <c r="A348" i="17"/>
  <c r="AC347" i="17"/>
  <c r="I347" i="1" l="1"/>
  <c r="L349" i="15"/>
  <c r="D349" i="15" s="1"/>
  <c r="AB349" i="15"/>
  <c r="AC349" i="15"/>
  <c r="K349" i="15"/>
  <c r="O349" i="15"/>
  <c r="A350" i="15"/>
  <c r="AK349" i="15"/>
  <c r="X349" i="15"/>
  <c r="AJ349" i="15"/>
  <c r="E348" i="15"/>
  <c r="G347" i="1"/>
  <c r="BW347" i="6" s="1"/>
  <c r="E347" i="16"/>
  <c r="F348" i="1"/>
  <c r="I348" i="1" s="1"/>
  <c r="L61" i="19"/>
  <c r="K348" i="16"/>
  <c r="AJ348" i="16"/>
  <c r="A349" i="16"/>
  <c r="AC348" i="16"/>
  <c r="X348" i="16"/>
  <c r="AB348" i="16"/>
  <c r="L348" i="16"/>
  <c r="D348" i="16" s="1"/>
  <c r="AK348" i="16"/>
  <c r="O348" i="16"/>
  <c r="S349" i="1"/>
  <c r="R349" i="1" s="1"/>
  <c r="P349" i="1" s="1"/>
  <c r="V349" i="1" s="1"/>
  <c r="AK350" i="1"/>
  <c r="AC350" i="1"/>
  <c r="K350" i="1"/>
  <c r="AB350" i="1"/>
  <c r="Q350" i="1"/>
  <c r="X350" i="1"/>
  <c r="AJ350" i="1"/>
  <c r="L350" i="1"/>
  <c r="A351" i="1"/>
  <c r="O350" i="1"/>
  <c r="U350" i="1"/>
  <c r="T350" i="1" s="1"/>
  <c r="AB347" i="18"/>
  <c r="A348" i="18"/>
  <c r="AJ347" i="18"/>
  <c r="L347" i="18"/>
  <c r="AK347" i="18"/>
  <c r="K347" i="18"/>
  <c r="X347" i="18"/>
  <c r="O347" i="18"/>
  <c r="AC347" i="18"/>
  <c r="AB348" i="17"/>
  <c r="K348" i="17"/>
  <c r="X348" i="17"/>
  <c r="L348" i="17"/>
  <c r="AJ348" i="17"/>
  <c r="O348" i="17"/>
  <c r="A349" i="17"/>
  <c r="AK348" i="17"/>
  <c r="AC348" i="17"/>
  <c r="K343" i="24"/>
  <c r="L343" i="24"/>
  <c r="A344" i="24"/>
  <c r="AB343" i="24"/>
  <c r="AJ343" i="24"/>
  <c r="X343" i="24"/>
  <c r="AK343" i="24"/>
  <c r="O343" i="24"/>
  <c r="AC343" i="24"/>
  <c r="D349" i="1"/>
  <c r="E349" i="1" s="1"/>
  <c r="A343" i="25"/>
  <c r="AB342" i="25"/>
  <c r="K342" i="25"/>
  <c r="L342" i="25"/>
  <c r="AJ342" i="25"/>
  <c r="X342" i="25"/>
  <c r="O342" i="25"/>
  <c r="AK342" i="25"/>
  <c r="AC342" i="25"/>
  <c r="K344" i="23"/>
  <c r="A345" i="23"/>
  <c r="AB344" i="23"/>
  <c r="AJ344" i="23"/>
  <c r="AK344" i="23"/>
  <c r="X344" i="23"/>
  <c r="L344" i="23"/>
  <c r="O344" i="23"/>
  <c r="AC344" i="23"/>
  <c r="X345" i="22"/>
  <c r="L345" i="22"/>
  <c r="K345" i="22"/>
  <c r="A346" i="22"/>
  <c r="AB345" i="22"/>
  <c r="AJ345" i="22"/>
  <c r="AK345" i="22"/>
  <c r="O345" i="22"/>
  <c r="AC345" i="22"/>
  <c r="X346" i="20"/>
  <c r="A347" i="20"/>
  <c r="L346" i="20"/>
  <c r="AK346" i="20"/>
  <c r="AB346" i="20"/>
  <c r="K346" i="20"/>
  <c r="AJ346" i="20"/>
  <c r="O346" i="20"/>
  <c r="AC346" i="20"/>
  <c r="E349" i="15" l="1"/>
  <c r="X350" i="15"/>
  <c r="L350" i="15"/>
  <c r="D350" i="15" s="1"/>
  <c r="AB350" i="15"/>
  <c r="AK350" i="15"/>
  <c r="K350" i="15"/>
  <c r="AJ350" i="15"/>
  <c r="O350" i="15"/>
  <c r="A351" i="15"/>
  <c r="AC350" i="15"/>
  <c r="G348" i="1"/>
  <c r="BW348" i="6" s="1"/>
  <c r="AA348" i="1"/>
  <c r="Z348" i="1" s="1"/>
  <c r="Y348" i="1" s="1"/>
  <c r="E348" i="16"/>
  <c r="X349" i="16"/>
  <c r="AK349" i="16"/>
  <c r="L349" i="16"/>
  <c r="D349" i="16" s="1"/>
  <c r="AC349" i="16"/>
  <c r="A350" i="16"/>
  <c r="K349" i="16"/>
  <c r="AB349" i="16"/>
  <c r="AJ349" i="16"/>
  <c r="O349" i="16"/>
  <c r="AB346" i="22"/>
  <c r="X346" i="22"/>
  <c r="K346" i="22"/>
  <c r="L346" i="22"/>
  <c r="AJ346" i="22"/>
  <c r="A347" i="22"/>
  <c r="AK346" i="22"/>
  <c r="O346" i="22"/>
  <c r="AC346" i="22"/>
  <c r="F349" i="1"/>
  <c r="D350" i="1"/>
  <c r="E350" i="1" s="1"/>
  <c r="AB347" i="20"/>
  <c r="L347" i="20"/>
  <c r="A348" i="20"/>
  <c r="X347" i="20"/>
  <c r="AJ347" i="20"/>
  <c r="AK347" i="20"/>
  <c r="K347" i="20"/>
  <c r="O347" i="20"/>
  <c r="AC347" i="20"/>
  <c r="X345" i="23"/>
  <c r="A346" i="23"/>
  <c r="L345" i="23"/>
  <c r="AB345" i="23"/>
  <c r="K345" i="23"/>
  <c r="AJ345" i="23"/>
  <c r="AK345" i="23"/>
  <c r="O345" i="23"/>
  <c r="AC345" i="23"/>
  <c r="AB343" i="25"/>
  <c r="A344" i="25"/>
  <c r="K343" i="25"/>
  <c r="X343" i="25"/>
  <c r="AJ343" i="25"/>
  <c r="L343" i="25"/>
  <c r="O343" i="25"/>
  <c r="AK343" i="25"/>
  <c r="AC343" i="25"/>
  <c r="AB344" i="24"/>
  <c r="L344" i="24"/>
  <c r="A345" i="24"/>
  <c r="X344" i="24"/>
  <c r="K344" i="24"/>
  <c r="AJ344" i="24"/>
  <c r="AK344" i="24"/>
  <c r="O344" i="24"/>
  <c r="AC344" i="24"/>
  <c r="X349" i="17"/>
  <c r="A350" i="17"/>
  <c r="AB349" i="17"/>
  <c r="O349" i="17"/>
  <c r="K349" i="17"/>
  <c r="L349" i="17"/>
  <c r="AJ349" i="17"/>
  <c r="AK349" i="17"/>
  <c r="AC349" i="17"/>
  <c r="AB348" i="18"/>
  <c r="L348" i="18"/>
  <c r="A349" i="18"/>
  <c r="AJ348" i="18"/>
  <c r="K348" i="18"/>
  <c r="X348" i="18"/>
  <c r="O348" i="18"/>
  <c r="AK348" i="18"/>
  <c r="AC348" i="18"/>
  <c r="S350" i="1"/>
  <c r="R350" i="1" s="1"/>
  <c r="P350" i="1" s="1"/>
  <c r="V350" i="1" s="1"/>
  <c r="AK351" i="1"/>
  <c r="O351" i="1"/>
  <c r="L351" i="1"/>
  <c r="AJ351" i="1"/>
  <c r="A352" i="1"/>
  <c r="K351" i="1"/>
  <c r="X351" i="1"/>
  <c r="AB351" i="1"/>
  <c r="Q351" i="1"/>
  <c r="AC351" i="1"/>
  <c r="U351" i="1"/>
  <c r="T351" i="1" s="1"/>
  <c r="S351" i="1" s="1"/>
  <c r="R351" i="1" s="1"/>
  <c r="P351" i="1" s="1"/>
  <c r="E350" i="15" l="1"/>
  <c r="AK351" i="15"/>
  <c r="O351" i="15"/>
  <c r="X351" i="15"/>
  <c r="AJ351" i="15"/>
  <c r="A352" i="15"/>
  <c r="L351" i="15"/>
  <c r="D351" i="15" s="1"/>
  <c r="E351" i="15" s="1"/>
  <c r="AB351" i="15"/>
  <c r="K351" i="15"/>
  <c r="AC351" i="15"/>
  <c r="X350" i="16"/>
  <c r="K350" i="16"/>
  <c r="A351" i="16"/>
  <c r="AC350" i="16"/>
  <c r="AB350" i="16"/>
  <c r="L350" i="16"/>
  <c r="D350" i="16" s="1"/>
  <c r="AJ350" i="16"/>
  <c r="AK350" i="16"/>
  <c r="O350" i="16"/>
  <c r="E349" i="16"/>
  <c r="L349" i="18"/>
  <c r="X349" i="18"/>
  <c r="AJ349" i="18"/>
  <c r="A350" i="18"/>
  <c r="AB349" i="18"/>
  <c r="K349" i="18"/>
  <c r="AK349" i="18"/>
  <c r="O349" i="18"/>
  <c r="AC349" i="18"/>
  <c r="L350" i="17"/>
  <c r="K350" i="17"/>
  <c r="X350" i="17"/>
  <c r="AJ350" i="17"/>
  <c r="O350" i="17"/>
  <c r="AK350" i="17"/>
  <c r="AB350" i="17"/>
  <c r="A351" i="17"/>
  <c r="AC350" i="17"/>
  <c r="AB344" i="25"/>
  <c r="X344" i="25"/>
  <c r="L344" i="25"/>
  <c r="K344" i="25"/>
  <c r="A345" i="25"/>
  <c r="AJ344" i="25"/>
  <c r="O344" i="25"/>
  <c r="AK344" i="25"/>
  <c r="AC344" i="25"/>
  <c r="I349" i="1"/>
  <c r="G349" i="1"/>
  <c r="BW349" i="6" s="1"/>
  <c r="AA349" i="1"/>
  <c r="Z349" i="1" s="1"/>
  <c r="Y349" i="1" s="1"/>
  <c r="X347" i="22"/>
  <c r="L347" i="22"/>
  <c r="A348" i="22"/>
  <c r="AJ347" i="22"/>
  <c r="AK347" i="22"/>
  <c r="K347" i="22"/>
  <c r="AB347" i="22"/>
  <c r="O347" i="22"/>
  <c r="AC347" i="22"/>
  <c r="A353" i="1"/>
  <c r="AJ352" i="1"/>
  <c r="X352" i="1"/>
  <c r="Q352" i="1"/>
  <c r="K352" i="1"/>
  <c r="O352" i="1"/>
  <c r="L352" i="1"/>
  <c r="AK352" i="1"/>
  <c r="AC352" i="1"/>
  <c r="AB352" i="1"/>
  <c r="U352" i="1"/>
  <c r="T352" i="1" s="1"/>
  <c r="S352" i="1" s="1"/>
  <c r="R352" i="1" s="1"/>
  <c r="D351" i="1"/>
  <c r="E351" i="1" s="1"/>
  <c r="V351" i="1"/>
  <c r="A346" i="24"/>
  <c r="K345" i="24"/>
  <c r="L345" i="24"/>
  <c r="AB345" i="24"/>
  <c r="X345" i="24"/>
  <c r="AJ345" i="24"/>
  <c r="AK345" i="24"/>
  <c r="O345" i="24"/>
  <c r="AC345" i="24"/>
  <c r="X346" i="23"/>
  <c r="K346" i="23"/>
  <c r="L346" i="23"/>
  <c r="A347" i="23"/>
  <c r="AB346" i="23"/>
  <c r="AJ346" i="23"/>
  <c r="AK346" i="23"/>
  <c r="O346" i="23"/>
  <c r="AC346" i="23"/>
  <c r="AB348" i="20"/>
  <c r="A349" i="20"/>
  <c r="L348" i="20"/>
  <c r="AJ348" i="20"/>
  <c r="K348" i="20"/>
  <c r="X348" i="20"/>
  <c r="AK348" i="20"/>
  <c r="O348" i="20"/>
  <c r="AC348" i="20"/>
  <c r="F350" i="1"/>
  <c r="X352" i="15" l="1"/>
  <c r="AJ352" i="15"/>
  <c r="AC352" i="15"/>
  <c r="AB352" i="15"/>
  <c r="O352" i="15"/>
  <c r="K352" i="15"/>
  <c r="AK352" i="15"/>
  <c r="A353" i="15"/>
  <c r="L352" i="15"/>
  <c r="D352" i="15" s="1"/>
  <c r="E352" i="15" s="1"/>
  <c r="P352" i="1"/>
  <c r="V352" i="1" s="1"/>
  <c r="E350" i="16"/>
  <c r="F351" i="1"/>
  <c r="I351" i="1" s="1"/>
  <c r="AB351" i="16"/>
  <c r="X351" i="16"/>
  <c r="L351" i="16"/>
  <c r="D351" i="16" s="1"/>
  <c r="AC351" i="16"/>
  <c r="K351" i="16"/>
  <c r="A352" i="16"/>
  <c r="AK351" i="16"/>
  <c r="AJ351" i="16"/>
  <c r="O351" i="16"/>
  <c r="AB347" i="23"/>
  <c r="L347" i="23"/>
  <c r="X347" i="23"/>
  <c r="K347" i="23"/>
  <c r="A348" i="23"/>
  <c r="AJ347" i="23"/>
  <c r="AK347" i="23"/>
  <c r="O347" i="23"/>
  <c r="AC347" i="23"/>
  <c r="D352" i="1"/>
  <c r="E352" i="1" s="1"/>
  <c r="A354" i="1"/>
  <c r="AJ353" i="1"/>
  <c r="AC353" i="1"/>
  <c r="K353" i="1"/>
  <c r="Q353" i="1"/>
  <c r="AK353" i="1"/>
  <c r="L353" i="1"/>
  <c r="X353" i="1"/>
  <c r="AB353" i="1"/>
  <c r="O353" i="1"/>
  <c r="U353" i="1"/>
  <c r="T353" i="1" s="1"/>
  <c r="AB351" i="17"/>
  <c r="X351" i="17"/>
  <c r="K351" i="17"/>
  <c r="O351" i="17"/>
  <c r="AK351" i="17"/>
  <c r="L351" i="17"/>
  <c r="A352" i="17"/>
  <c r="AJ351" i="17"/>
  <c r="AC351" i="17"/>
  <c r="X350" i="18"/>
  <c r="AJ350" i="18"/>
  <c r="L350" i="18"/>
  <c r="K350" i="18"/>
  <c r="AB350" i="18"/>
  <c r="O350" i="18"/>
  <c r="A351" i="18"/>
  <c r="AK350" i="18"/>
  <c r="AC350" i="18"/>
  <c r="I350" i="1"/>
  <c r="G350" i="1"/>
  <c r="BW350" i="6" s="1"/>
  <c r="AA350" i="1"/>
  <c r="Z350" i="1" s="1"/>
  <c r="Y350" i="1" s="1"/>
  <c r="AB349" i="20"/>
  <c r="L349" i="20"/>
  <c r="X349" i="20"/>
  <c r="K349" i="20"/>
  <c r="A350" i="20"/>
  <c r="AJ349" i="20"/>
  <c r="AK349" i="20"/>
  <c r="O349" i="20"/>
  <c r="AC349" i="20"/>
  <c r="AB346" i="24"/>
  <c r="X346" i="24"/>
  <c r="A347" i="24"/>
  <c r="K346" i="24"/>
  <c r="AK346" i="24"/>
  <c r="L346" i="24"/>
  <c r="AJ346" i="24"/>
  <c r="O346" i="24"/>
  <c r="AC346" i="24"/>
  <c r="X348" i="22"/>
  <c r="L348" i="22"/>
  <c r="K348" i="22"/>
  <c r="A349" i="22"/>
  <c r="AB348" i="22"/>
  <c r="AJ348" i="22"/>
  <c r="AK348" i="22"/>
  <c r="O348" i="22"/>
  <c r="AC348" i="22"/>
  <c r="A346" i="25"/>
  <c r="K345" i="25"/>
  <c r="AB345" i="25"/>
  <c r="L345" i="25"/>
  <c r="AK345" i="25"/>
  <c r="X345" i="25"/>
  <c r="AJ345" i="25"/>
  <c r="O345" i="25"/>
  <c r="AC345" i="25"/>
  <c r="AA351" i="1" l="1"/>
  <c r="Z351" i="1" s="1"/>
  <c r="Y351" i="1" s="1"/>
  <c r="K353" i="15"/>
  <c r="O353" i="15"/>
  <c r="A354" i="15"/>
  <c r="AK353" i="15"/>
  <c r="AB353" i="15"/>
  <c r="AJ353" i="15"/>
  <c r="L353" i="15"/>
  <c r="D353" i="15" s="1"/>
  <c r="X353" i="15"/>
  <c r="AC353" i="15"/>
  <c r="G351" i="1"/>
  <c r="BW351" i="6" s="1"/>
  <c r="K352" i="16"/>
  <c r="AB352" i="16"/>
  <c r="L352" i="16"/>
  <c r="D352" i="16" s="1"/>
  <c r="AC352" i="16"/>
  <c r="A353" i="16"/>
  <c r="X352" i="16"/>
  <c r="AJ352" i="16"/>
  <c r="AK352" i="16"/>
  <c r="O352" i="16"/>
  <c r="E351" i="16"/>
  <c r="AB347" i="24"/>
  <c r="A348" i="24"/>
  <c r="X347" i="24"/>
  <c r="AJ347" i="24"/>
  <c r="K347" i="24"/>
  <c r="L347" i="24"/>
  <c r="AK347" i="24"/>
  <c r="O347" i="24"/>
  <c r="AC347" i="24"/>
  <c r="X352" i="17"/>
  <c r="AB352" i="17"/>
  <c r="A353" i="17"/>
  <c r="L352" i="17"/>
  <c r="AK352" i="17"/>
  <c r="K352" i="17"/>
  <c r="AJ352" i="17"/>
  <c r="O352" i="17"/>
  <c r="AC352" i="17"/>
  <c r="F352" i="1"/>
  <c r="K346" i="25"/>
  <c r="X346" i="25"/>
  <c r="L346" i="25"/>
  <c r="AJ346" i="25"/>
  <c r="A347" i="25"/>
  <c r="AB346" i="25"/>
  <c r="AK346" i="25"/>
  <c r="O346" i="25"/>
  <c r="AC346" i="25"/>
  <c r="K349" i="22"/>
  <c r="AB349" i="22"/>
  <c r="A350" i="22"/>
  <c r="X349" i="22"/>
  <c r="AJ349" i="22"/>
  <c r="AK349" i="22"/>
  <c r="L349" i="22"/>
  <c r="O349" i="22"/>
  <c r="AC349" i="22"/>
  <c r="A351" i="20"/>
  <c r="L350" i="20"/>
  <c r="AB350" i="20"/>
  <c r="X350" i="20"/>
  <c r="AJ350" i="20"/>
  <c r="AK350" i="20"/>
  <c r="K350" i="20"/>
  <c r="O350" i="20"/>
  <c r="AC350" i="20"/>
  <c r="K351" i="18"/>
  <c r="A352" i="18"/>
  <c r="L351" i="18"/>
  <c r="AJ351" i="18"/>
  <c r="AK351" i="18"/>
  <c r="O351" i="18"/>
  <c r="X351" i="18"/>
  <c r="AB351" i="18"/>
  <c r="AC351" i="18"/>
  <c r="S353" i="1"/>
  <c r="R353" i="1" s="1"/>
  <c r="P353" i="1" s="1"/>
  <c r="V353" i="1" s="1"/>
  <c r="D353" i="1"/>
  <c r="E353" i="1" s="1"/>
  <c r="O354" i="1"/>
  <c r="AC354" i="1"/>
  <c r="X354" i="1"/>
  <c r="K354" i="1"/>
  <c r="AJ354" i="1"/>
  <c r="A355" i="1"/>
  <c r="Q354" i="1"/>
  <c r="AB354" i="1"/>
  <c r="AK354" i="1"/>
  <c r="L354" i="1"/>
  <c r="U354" i="1"/>
  <c r="T354" i="1" s="1"/>
  <c r="S354" i="1" s="1"/>
  <c r="R354" i="1" s="1"/>
  <c r="P354" i="1" s="1"/>
  <c r="K348" i="23"/>
  <c r="L348" i="23"/>
  <c r="X348" i="23"/>
  <c r="AB348" i="23"/>
  <c r="AJ348" i="23"/>
  <c r="A349" i="23"/>
  <c r="AK348" i="23"/>
  <c r="O348" i="23"/>
  <c r="AC348" i="23"/>
  <c r="E353" i="15" l="1"/>
  <c r="A355" i="15"/>
  <c r="AB354" i="15"/>
  <c r="AC354" i="15"/>
  <c r="AJ354" i="15"/>
  <c r="O354" i="15"/>
  <c r="L354" i="15"/>
  <c r="D354" i="15" s="1"/>
  <c r="AK354" i="15"/>
  <c r="X354" i="15"/>
  <c r="K354" i="15"/>
  <c r="F353" i="1"/>
  <c r="G353" i="1" s="1"/>
  <c r="BW353" i="6" s="1"/>
  <c r="K353" i="16"/>
  <c r="X353" i="16"/>
  <c r="AB353" i="16"/>
  <c r="AK353" i="16"/>
  <c r="O353" i="16"/>
  <c r="AC353" i="16"/>
  <c r="A354" i="16"/>
  <c r="L353" i="16"/>
  <c r="D353" i="16" s="1"/>
  <c r="AJ353" i="16"/>
  <c r="E352" i="16"/>
  <c r="D354" i="1"/>
  <c r="V354" i="1"/>
  <c r="O355" i="1"/>
  <c r="X355" i="1"/>
  <c r="Q355" i="1"/>
  <c r="A356" i="1"/>
  <c r="AJ355" i="1"/>
  <c r="AB355" i="1"/>
  <c r="AK355" i="1"/>
  <c r="AC355" i="1"/>
  <c r="L355" i="1"/>
  <c r="K355" i="1"/>
  <c r="U355" i="1"/>
  <c r="T355" i="1" s="1"/>
  <c r="S355" i="1" s="1"/>
  <c r="R355" i="1" s="1"/>
  <c r="P355" i="1" s="1"/>
  <c r="I353" i="1"/>
  <c r="A351" i="22"/>
  <c r="AB350" i="22"/>
  <c r="X350" i="22"/>
  <c r="L350" i="22"/>
  <c r="AJ350" i="22"/>
  <c r="AK350" i="22"/>
  <c r="K350" i="22"/>
  <c r="O350" i="22"/>
  <c r="AC350" i="22"/>
  <c r="L353" i="17"/>
  <c r="AB353" i="17"/>
  <c r="A354" i="17"/>
  <c r="AJ353" i="17"/>
  <c r="K353" i="17"/>
  <c r="X353" i="17"/>
  <c r="O353" i="17"/>
  <c r="AK353" i="17"/>
  <c r="AC353" i="17"/>
  <c r="AB348" i="24"/>
  <c r="L348" i="24"/>
  <c r="A349" i="24"/>
  <c r="K348" i="24"/>
  <c r="AJ348" i="24"/>
  <c r="AK348" i="24"/>
  <c r="X348" i="24"/>
  <c r="O348" i="24"/>
  <c r="AC348" i="24"/>
  <c r="X349" i="23"/>
  <c r="A350" i="23"/>
  <c r="L349" i="23"/>
  <c r="K349" i="23"/>
  <c r="AB349" i="23"/>
  <c r="AJ349" i="23"/>
  <c r="AK349" i="23"/>
  <c r="O349" i="23"/>
  <c r="AC349" i="23"/>
  <c r="E354" i="1"/>
  <c r="L352" i="18"/>
  <c r="K352" i="18"/>
  <c r="AJ352" i="18"/>
  <c r="A353" i="18"/>
  <c r="X352" i="18"/>
  <c r="O352" i="18"/>
  <c r="AK352" i="18"/>
  <c r="AB352" i="18"/>
  <c r="AC352" i="18"/>
  <c r="A352" i="20"/>
  <c r="K351" i="20"/>
  <c r="X351" i="20"/>
  <c r="AK351" i="20"/>
  <c r="AB351" i="20"/>
  <c r="L351" i="20"/>
  <c r="AJ351" i="20"/>
  <c r="O351" i="20"/>
  <c r="AC351" i="20"/>
  <c r="X347" i="25"/>
  <c r="K347" i="25"/>
  <c r="AB347" i="25"/>
  <c r="L347" i="25"/>
  <c r="A348" i="25"/>
  <c r="AJ347" i="25"/>
  <c r="O347" i="25"/>
  <c r="AK347" i="25"/>
  <c r="AC347" i="25"/>
  <c r="I352" i="1"/>
  <c r="G352" i="1"/>
  <c r="BW352" i="6" s="1"/>
  <c r="AA352" i="1"/>
  <c r="Z352" i="1" s="1"/>
  <c r="Y352" i="1" s="1"/>
  <c r="AA353" i="1" l="1"/>
  <c r="Z353" i="1" s="1"/>
  <c r="Y353" i="1" s="1"/>
  <c r="E354" i="15"/>
  <c r="K355" i="15"/>
  <c r="L355" i="15"/>
  <c r="D355" i="15" s="1"/>
  <c r="A356" i="15"/>
  <c r="X355" i="15"/>
  <c r="AB355" i="15"/>
  <c r="AK355" i="15"/>
  <c r="O355" i="15"/>
  <c r="AJ355" i="15"/>
  <c r="AC355" i="15"/>
  <c r="E353" i="16"/>
  <c r="F354" i="1"/>
  <c r="AA354" i="1" s="1"/>
  <c r="Z354" i="1" s="1"/>
  <c r="Y354" i="1" s="1"/>
  <c r="AB354" i="16"/>
  <c r="K354" i="16"/>
  <c r="X354" i="16"/>
  <c r="AC354" i="16"/>
  <c r="A355" i="16"/>
  <c r="L354" i="16"/>
  <c r="D354" i="16" s="1"/>
  <c r="AK354" i="16"/>
  <c r="AJ354" i="16"/>
  <c r="O354" i="16"/>
  <c r="X352" i="20"/>
  <c r="A353" i="20"/>
  <c r="L352" i="20"/>
  <c r="K352" i="20"/>
  <c r="AJ352" i="20"/>
  <c r="AB352" i="20"/>
  <c r="AK352" i="20"/>
  <c r="O352" i="20"/>
  <c r="AC352" i="20"/>
  <c r="K353" i="18"/>
  <c r="AB353" i="18"/>
  <c r="L353" i="18"/>
  <c r="A354" i="18"/>
  <c r="X353" i="18"/>
  <c r="AJ353" i="18"/>
  <c r="O353" i="18"/>
  <c r="AK353" i="18"/>
  <c r="AC353" i="18"/>
  <c r="K349" i="24"/>
  <c r="A350" i="24"/>
  <c r="X349" i="24"/>
  <c r="AB349" i="24"/>
  <c r="AK349" i="24"/>
  <c r="L349" i="24"/>
  <c r="AJ349" i="24"/>
  <c r="O349" i="24"/>
  <c r="AC349" i="24"/>
  <c r="A352" i="22"/>
  <c r="L351" i="22"/>
  <c r="X351" i="22"/>
  <c r="AB351" i="22"/>
  <c r="K351" i="22"/>
  <c r="AJ351" i="22"/>
  <c r="AK351" i="22"/>
  <c r="O351" i="22"/>
  <c r="AC351" i="22"/>
  <c r="D355" i="1"/>
  <c r="V355" i="1"/>
  <c r="E355" i="1"/>
  <c r="AB348" i="25"/>
  <c r="A349" i="25"/>
  <c r="L348" i="25"/>
  <c r="X348" i="25"/>
  <c r="K348" i="25"/>
  <c r="AJ348" i="25"/>
  <c r="O348" i="25"/>
  <c r="AK348" i="25"/>
  <c r="AC348" i="25"/>
  <c r="K350" i="23"/>
  <c r="X350" i="23"/>
  <c r="A351" i="23"/>
  <c r="AJ350" i="23"/>
  <c r="AK350" i="23"/>
  <c r="AB350" i="23"/>
  <c r="L350" i="23"/>
  <c r="O350" i="23"/>
  <c r="AC350" i="23"/>
  <c r="L354" i="17"/>
  <c r="X354" i="17"/>
  <c r="K354" i="17"/>
  <c r="A355" i="17"/>
  <c r="AB354" i="17"/>
  <c r="O354" i="17"/>
  <c r="AJ354" i="17"/>
  <c r="AK354" i="17"/>
  <c r="AC354" i="17"/>
  <c r="O356" i="1"/>
  <c r="AB356" i="1"/>
  <c r="AC356" i="1"/>
  <c r="AJ356" i="1"/>
  <c r="X356" i="1"/>
  <c r="AK356" i="1"/>
  <c r="L356" i="1"/>
  <c r="K356" i="1"/>
  <c r="A357" i="1"/>
  <c r="Q356" i="1"/>
  <c r="U356" i="1"/>
  <c r="T356" i="1" s="1"/>
  <c r="S356" i="1" s="1"/>
  <c r="R356" i="1" s="1"/>
  <c r="L356" i="15" l="1"/>
  <c r="D356" i="15" s="1"/>
  <c r="A357" i="15"/>
  <c r="X356" i="15"/>
  <c r="AK356" i="15"/>
  <c r="AC356" i="15"/>
  <c r="AB356" i="15"/>
  <c r="O356" i="15"/>
  <c r="K356" i="15"/>
  <c r="AJ356" i="15"/>
  <c r="P356" i="1"/>
  <c r="V356" i="1" s="1"/>
  <c r="E355" i="15"/>
  <c r="G354" i="1"/>
  <c r="BW354" i="6" s="1"/>
  <c r="F355" i="1"/>
  <c r="I355" i="1" s="1"/>
  <c r="I354" i="1"/>
  <c r="A356" i="16"/>
  <c r="X355" i="16"/>
  <c r="AK355" i="16"/>
  <c r="K355" i="16"/>
  <c r="O355" i="16"/>
  <c r="L355" i="16"/>
  <c r="D355" i="16" s="1"/>
  <c r="AB355" i="16"/>
  <c r="AJ355" i="16"/>
  <c r="AC355" i="16"/>
  <c r="E354" i="16"/>
  <c r="D356" i="1"/>
  <c r="E356" i="1" s="1"/>
  <c r="K351" i="23"/>
  <c r="L351" i="23"/>
  <c r="AB351" i="23"/>
  <c r="X351" i="23"/>
  <c r="AJ351" i="23"/>
  <c r="AK351" i="23"/>
  <c r="A352" i="23"/>
  <c r="O351" i="23"/>
  <c r="AC351" i="23"/>
  <c r="K352" i="22"/>
  <c r="L352" i="22"/>
  <c r="AB352" i="22"/>
  <c r="X352" i="22"/>
  <c r="AK352" i="22"/>
  <c r="A353" i="22"/>
  <c r="AJ352" i="22"/>
  <c r="O352" i="22"/>
  <c r="AC352" i="22"/>
  <c r="X350" i="24"/>
  <c r="AB350" i="24"/>
  <c r="L350" i="24"/>
  <c r="K350" i="24"/>
  <c r="A351" i="24"/>
  <c r="AJ350" i="24"/>
  <c r="AK350" i="24"/>
  <c r="O350" i="24"/>
  <c r="AC350" i="24"/>
  <c r="X353" i="20"/>
  <c r="L353" i="20"/>
  <c r="A354" i="20"/>
  <c r="AB353" i="20"/>
  <c r="K353" i="20"/>
  <c r="AJ353" i="20"/>
  <c r="AK353" i="20"/>
  <c r="O353" i="20"/>
  <c r="AC353" i="20"/>
  <c r="AC357" i="1"/>
  <c r="AB357" i="1"/>
  <c r="X357" i="1"/>
  <c r="O357" i="1"/>
  <c r="A358" i="1"/>
  <c r="AJ357" i="1"/>
  <c r="L357" i="1"/>
  <c r="AK357" i="1"/>
  <c r="Q357" i="1"/>
  <c r="K357" i="1"/>
  <c r="U357" i="1"/>
  <c r="T357" i="1" s="1"/>
  <c r="X355" i="17"/>
  <c r="K355" i="17"/>
  <c r="AB355" i="17"/>
  <c r="AJ355" i="17"/>
  <c r="O355" i="17"/>
  <c r="AK355" i="17"/>
  <c r="L355" i="17"/>
  <c r="A356" i="17"/>
  <c r="AC355" i="17"/>
  <c r="A350" i="25"/>
  <c r="K349" i="25"/>
  <c r="X349" i="25"/>
  <c r="AJ349" i="25"/>
  <c r="AK349" i="25"/>
  <c r="AB349" i="25"/>
  <c r="L349" i="25"/>
  <c r="O349" i="25"/>
  <c r="AC349" i="25"/>
  <c r="AB354" i="18"/>
  <c r="A355" i="18"/>
  <c r="K354" i="18"/>
  <c r="X354" i="18"/>
  <c r="L354" i="18"/>
  <c r="O354" i="18"/>
  <c r="AK354" i="18"/>
  <c r="AJ354" i="18"/>
  <c r="AC354" i="18"/>
  <c r="AA355" i="1" l="1"/>
  <c r="Z355" i="1" s="1"/>
  <c r="Y355" i="1" s="1"/>
  <c r="E356" i="15"/>
  <c r="G355" i="1"/>
  <c r="BW355" i="6" s="1"/>
  <c r="AB357" i="15"/>
  <c r="AC357" i="15"/>
  <c r="L357" i="15"/>
  <c r="D357" i="15" s="1"/>
  <c r="X357" i="15"/>
  <c r="A358" i="15"/>
  <c r="AK357" i="15"/>
  <c r="K357" i="15"/>
  <c r="AJ357" i="15"/>
  <c r="O357" i="15"/>
  <c r="E355" i="16"/>
  <c r="A357" i="16"/>
  <c r="K356" i="16"/>
  <c r="AJ356" i="16"/>
  <c r="AC356" i="16"/>
  <c r="L356" i="16"/>
  <c r="D356" i="16" s="1"/>
  <c r="AB356" i="16"/>
  <c r="X356" i="16"/>
  <c r="AK356" i="16"/>
  <c r="O356" i="16"/>
  <c r="S357" i="1"/>
  <c r="R357" i="1" s="1"/>
  <c r="P357" i="1" s="1"/>
  <c r="V357" i="1" s="1"/>
  <c r="D357" i="1"/>
  <c r="A359" i="1"/>
  <c r="AB358" i="1"/>
  <c r="L358" i="1"/>
  <c r="AK358" i="1"/>
  <c r="O358" i="1"/>
  <c r="K358" i="1"/>
  <c r="X358" i="1"/>
  <c r="AJ358" i="1"/>
  <c r="Q358" i="1"/>
  <c r="AC358" i="1"/>
  <c r="U358" i="1"/>
  <c r="T358" i="1" s="1"/>
  <c r="K351" i="24"/>
  <c r="A352" i="24"/>
  <c r="AB351" i="24"/>
  <c r="X351" i="24"/>
  <c r="AJ351" i="24"/>
  <c r="L351" i="24"/>
  <c r="AK351" i="24"/>
  <c r="O351" i="24"/>
  <c r="AC351" i="24"/>
  <c r="X353" i="22"/>
  <c r="L353" i="22"/>
  <c r="K353" i="22"/>
  <c r="AJ353" i="22"/>
  <c r="A354" i="22"/>
  <c r="AB353" i="22"/>
  <c r="AK353" i="22"/>
  <c r="O353" i="22"/>
  <c r="AC353" i="22"/>
  <c r="F356" i="1"/>
  <c r="L355" i="18"/>
  <c r="AB355" i="18"/>
  <c r="AJ355" i="18"/>
  <c r="AK355" i="18"/>
  <c r="K355" i="18"/>
  <c r="A356" i="18"/>
  <c r="X355" i="18"/>
  <c r="O355" i="18"/>
  <c r="AC355" i="18"/>
  <c r="K350" i="25"/>
  <c r="L350" i="25"/>
  <c r="A351" i="25"/>
  <c r="AJ350" i="25"/>
  <c r="X350" i="25"/>
  <c r="AB350" i="25"/>
  <c r="O350" i="25"/>
  <c r="AK350" i="25"/>
  <c r="AC350" i="25"/>
  <c r="A357" i="17"/>
  <c r="K356" i="17"/>
  <c r="X356" i="17"/>
  <c r="AB356" i="17"/>
  <c r="AJ356" i="17"/>
  <c r="O356" i="17"/>
  <c r="L356" i="17"/>
  <c r="AK356" i="17"/>
  <c r="AC356" i="17"/>
  <c r="E357" i="1"/>
  <c r="A355" i="20"/>
  <c r="K354" i="20"/>
  <c r="X354" i="20"/>
  <c r="AB354" i="20"/>
  <c r="L354" i="20"/>
  <c r="AJ354" i="20"/>
  <c r="AK354" i="20"/>
  <c r="O354" i="20"/>
  <c r="AC354" i="20"/>
  <c r="K352" i="23"/>
  <c r="AB352" i="23"/>
  <c r="L352" i="23"/>
  <c r="AK352" i="23"/>
  <c r="A353" i="23"/>
  <c r="X352" i="23"/>
  <c r="AJ352" i="23"/>
  <c r="O352" i="23"/>
  <c r="AC352" i="23"/>
  <c r="X358" i="15" l="1"/>
  <c r="AJ358" i="15"/>
  <c r="K358" i="15"/>
  <c r="L358" i="15"/>
  <c r="D358" i="15" s="1"/>
  <c r="O358" i="15"/>
  <c r="AB358" i="15"/>
  <c r="AC358" i="15"/>
  <c r="A359" i="15"/>
  <c r="AK358" i="15"/>
  <c r="E357" i="15"/>
  <c r="E356" i="16"/>
  <c r="L357" i="16"/>
  <c r="D357" i="16" s="1"/>
  <c r="AJ357" i="16"/>
  <c r="K357" i="16"/>
  <c r="AC357" i="16"/>
  <c r="X357" i="16"/>
  <c r="AB357" i="16"/>
  <c r="AK357" i="16"/>
  <c r="A358" i="16"/>
  <c r="O357" i="16"/>
  <c r="A356" i="20"/>
  <c r="L355" i="20"/>
  <c r="X355" i="20"/>
  <c r="AJ355" i="20"/>
  <c r="AK355" i="20"/>
  <c r="AB355" i="20"/>
  <c r="K355" i="20"/>
  <c r="O355" i="20"/>
  <c r="AC355" i="20"/>
  <c r="X357" i="17"/>
  <c r="L357" i="17"/>
  <c r="K357" i="17"/>
  <c r="O357" i="17"/>
  <c r="AK357" i="17"/>
  <c r="A358" i="17"/>
  <c r="AB357" i="17"/>
  <c r="AJ357" i="17"/>
  <c r="AC357" i="17"/>
  <c r="X354" i="22"/>
  <c r="L354" i="22"/>
  <c r="K354" i="22"/>
  <c r="AJ354" i="22"/>
  <c r="AK354" i="22"/>
  <c r="A355" i="22"/>
  <c r="AB354" i="22"/>
  <c r="O354" i="22"/>
  <c r="AC354" i="22"/>
  <c r="K352" i="24"/>
  <c r="AB352" i="24"/>
  <c r="AJ352" i="24"/>
  <c r="AK352" i="24"/>
  <c r="X352" i="24"/>
  <c r="L352" i="24"/>
  <c r="A353" i="24"/>
  <c r="O352" i="24"/>
  <c r="AC352" i="24"/>
  <c r="S358" i="1"/>
  <c r="R358" i="1" s="1"/>
  <c r="P358" i="1" s="1"/>
  <c r="V358" i="1" s="1"/>
  <c r="D358" i="1"/>
  <c r="E358" i="1" s="1"/>
  <c r="L359" i="1"/>
  <c r="K359" i="1"/>
  <c r="AJ359" i="1"/>
  <c r="A360" i="1"/>
  <c r="AK359" i="1"/>
  <c r="U359" i="1"/>
  <c r="T359" i="1" s="1"/>
  <c r="AB359" i="1"/>
  <c r="Q359" i="1"/>
  <c r="X359" i="1"/>
  <c r="O359" i="1"/>
  <c r="AC359" i="1"/>
  <c r="K353" i="23"/>
  <c r="X353" i="23"/>
  <c r="L353" i="23"/>
  <c r="AJ353" i="23"/>
  <c r="A354" i="23"/>
  <c r="AB353" i="23"/>
  <c r="AK353" i="23"/>
  <c r="O353" i="23"/>
  <c r="AC353" i="23"/>
  <c r="F357" i="1"/>
  <c r="X351" i="25"/>
  <c r="K351" i="25"/>
  <c r="AJ351" i="25"/>
  <c r="AK351" i="25"/>
  <c r="A352" i="25"/>
  <c r="AB351" i="25"/>
  <c r="L351" i="25"/>
  <c r="O351" i="25"/>
  <c r="AC351" i="25"/>
  <c r="A357" i="18"/>
  <c r="AB356" i="18"/>
  <c r="X356" i="18"/>
  <c r="L356" i="18"/>
  <c r="K356" i="18"/>
  <c r="AJ356" i="18"/>
  <c r="O356" i="18"/>
  <c r="AK356" i="18"/>
  <c r="AC356" i="18"/>
  <c r="G356" i="1"/>
  <c r="BW356" i="6" s="1"/>
  <c r="AA356" i="1"/>
  <c r="Z356" i="1" s="1"/>
  <c r="Y356" i="1" s="1"/>
  <c r="I356" i="1"/>
  <c r="A360" i="15" l="1"/>
  <c r="K359" i="15"/>
  <c r="AC359" i="15"/>
  <c r="AK359" i="15"/>
  <c r="O359" i="15"/>
  <c r="AB359" i="15"/>
  <c r="AJ359" i="15"/>
  <c r="L359" i="15"/>
  <c r="D359" i="15" s="1"/>
  <c r="X359" i="15"/>
  <c r="E358" i="15"/>
  <c r="F358" i="1"/>
  <c r="I358" i="1" s="1"/>
  <c r="X358" i="16"/>
  <c r="AJ358" i="16"/>
  <c r="A359" i="16"/>
  <c r="AC358" i="16"/>
  <c r="AB358" i="16"/>
  <c r="L358" i="16"/>
  <c r="D358" i="16" s="1"/>
  <c r="K358" i="16"/>
  <c r="AK358" i="16"/>
  <c r="O358" i="16"/>
  <c r="E357" i="16"/>
  <c r="X357" i="18"/>
  <c r="K357" i="18"/>
  <c r="AJ357" i="18"/>
  <c r="O357" i="18"/>
  <c r="A358" i="18"/>
  <c r="L357" i="18"/>
  <c r="AB357" i="18"/>
  <c r="AK357" i="18"/>
  <c r="AC357" i="18"/>
  <c r="I357" i="1"/>
  <c r="G357" i="1"/>
  <c r="BW357" i="6" s="1"/>
  <c r="AA357" i="1"/>
  <c r="Z357" i="1" s="1"/>
  <c r="Y357" i="1" s="1"/>
  <c r="D359" i="1"/>
  <c r="E359" i="1" s="1"/>
  <c r="K352" i="25"/>
  <c r="AB352" i="25"/>
  <c r="A353" i="25"/>
  <c r="X352" i="25"/>
  <c r="L352" i="25"/>
  <c r="AJ352" i="25"/>
  <c r="AK352" i="25"/>
  <c r="O352" i="25"/>
  <c r="AC352" i="25"/>
  <c r="K354" i="23"/>
  <c r="X354" i="23"/>
  <c r="L354" i="23"/>
  <c r="A355" i="23"/>
  <c r="AB354" i="23"/>
  <c r="AJ354" i="23"/>
  <c r="AK354" i="23"/>
  <c r="O354" i="23"/>
  <c r="AC354" i="23"/>
  <c r="S359" i="1"/>
  <c r="R359" i="1" s="1"/>
  <c r="P359" i="1" s="1"/>
  <c r="V359" i="1" s="1"/>
  <c r="AJ360" i="1"/>
  <c r="Q360" i="1"/>
  <c r="AC360" i="1"/>
  <c r="A361" i="1"/>
  <c r="AB360" i="1"/>
  <c r="L360" i="1"/>
  <c r="K360" i="1"/>
  <c r="O360" i="1"/>
  <c r="AK360" i="1"/>
  <c r="X360" i="1"/>
  <c r="U360" i="1"/>
  <c r="T360" i="1" s="1"/>
  <c r="AA358" i="1"/>
  <c r="Z358" i="1" s="1"/>
  <c r="Y358" i="1" s="1"/>
  <c r="A354" i="24"/>
  <c r="AB353" i="24"/>
  <c r="X353" i="24"/>
  <c r="L353" i="24"/>
  <c r="K353" i="24"/>
  <c r="AJ353" i="24"/>
  <c r="AK353" i="24"/>
  <c r="O353" i="24"/>
  <c r="AC353" i="24"/>
  <c r="K355" i="22"/>
  <c r="AB355" i="22"/>
  <c r="AK355" i="22"/>
  <c r="X355" i="22"/>
  <c r="A356" i="22"/>
  <c r="L355" i="22"/>
  <c r="AJ355" i="22"/>
  <c r="O355" i="22"/>
  <c r="AC355" i="22"/>
  <c r="A359" i="17"/>
  <c r="X358" i="17"/>
  <c r="AJ358" i="17"/>
  <c r="O358" i="17"/>
  <c r="L358" i="17"/>
  <c r="K358" i="17"/>
  <c r="AB358" i="17"/>
  <c r="AK358" i="17"/>
  <c r="AC358" i="17"/>
  <c r="AB356" i="20"/>
  <c r="L356" i="20"/>
  <c r="A357" i="20"/>
  <c r="AJ356" i="20"/>
  <c r="K356" i="20"/>
  <c r="X356" i="20"/>
  <c r="AK356" i="20"/>
  <c r="O356" i="20"/>
  <c r="AC356" i="20"/>
  <c r="G358" i="1" l="1"/>
  <c r="BW358" i="6" s="1"/>
  <c r="AB360" i="15"/>
  <c r="K360" i="15"/>
  <c r="A361" i="15"/>
  <c r="L360" i="15"/>
  <c r="D360" i="15" s="1"/>
  <c r="AC360" i="15"/>
  <c r="X360" i="15"/>
  <c r="O360" i="15"/>
  <c r="AJ360" i="15"/>
  <c r="AK360" i="15"/>
  <c r="E359" i="15"/>
  <c r="E358" i="16"/>
  <c r="F359" i="1"/>
  <c r="I359" i="1" s="1"/>
  <c r="AB359" i="16"/>
  <c r="A360" i="16"/>
  <c r="AJ359" i="16"/>
  <c r="AC359" i="16"/>
  <c r="K359" i="16"/>
  <c r="L359" i="16"/>
  <c r="D359" i="16" s="1"/>
  <c r="X359" i="16"/>
  <c r="AK359" i="16"/>
  <c r="O359" i="16"/>
  <c r="G359" i="1"/>
  <c r="BW359" i="6" s="1"/>
  <c r="X357" i="20"/>
  <c r="A358" i="20"/>
  <c r="AK357" i="20"/>
  <c r="AB357" i="20"/>
  <c r="K357" i="20"/>
  <c r="L357" i="20"/>
  <c r="AJ357" i="20"/>
  <c r="O357" i="20"/>
  <c r="AC357" i="20"/>
  <c r="X359" i="17"/>
  <c r="AB359" i="17"/>
  <c r="AK359" i="17"/>
  <c r="L359" i="17"/>
  <c r="A360" i="17"/>
  <c r="K359" i="17"/>
  <c r="AJ359" i="17"/>
  <c r="O359" i="17"/>
  <c r="AC359" i="17"/>
  <c r="X356" i="22"/>
  <c r="A357" i="22"/>
  <c r="K356" i="22"/>
  <c r="L356" i="22"/>
  <c r="AB356" i="22"/>
  <c r="AJ356" i="22"/>
  <c r="AK356" i="22"/>
  <c r="O356" i="22"/>
  <c r="AC356" i="22"/>
  <c r="D360" i="1"/>
  <c r="E360" i="1" s="1"/>
  <c r="X361" i="1"/>
  <c r="AC361" i="1"/>
  <c r="L361" i="1"/>
  <c r="A362" i="1"/>
  <c r="AB361" i="1"/>
  <c r="K361" i="1"/>
  <c r="AK361" i="1"/>
  <c r="AJ361" i="1"/>
  <c r="O361" i="1"/>
  <c r="Q361" i="1"/>
  <c r="U361" i="1"/>
  <c r="T361" i="1" s="1"/>
  <c r="S361" i="1" s="1"/>
  <c r="R361" i="1" s="1"/>
  <c r="X355" i="23"/>
  <c r="L355" i="23"/>
  <c r="K355" i="23"/>
  <c r="AJ355" i="23"/>
  <c r="AK355" i="23"/>
  <c r="AB355" i="23"/>
  <c r="A356" i="23"/>
  <c r="O355" i="23"/>
  <c r="AC355" i="23"/>
  <c r="X353" i="25"/>
  <c r="L353" i="25"/>
  <c r="K353" i="25"/>
  <c r="AB353" i="25"/>
  <c r="A354" i="25"/>
  <c r="AJ353" i="25"/>
  <c r="AK353" i="25"/>
  <c r="O353" i="25"/>
  <c r="AC353" i="25"/>
  <c r="K354" i="24"/>
  <c r="A355" i="24"/>
  <c r="L354" i="24"/>
  <c r="AK354" i="24"/>
  <c r="AB354" i="24"/>
  <c r="X354" i="24"/>
  <c r="AJ354" i="24"/>
  <c r="O354" i="24"/>
  <c r="AC354" i="24"/>
  <c r="S360" i="1"/>
  <c r="R360" i="1" s="1"/>
  <c r="P360" i="1" s="1"/>
  <c r="V360" i="1" s="1"/>
  <c r="K358" i="18"/>
  <c r="AJ358" i="18"/>
  <c r="A359" i="18"/>
  <c r="AK358" i="18"/>
  <c r="O358" i="18"/>
  <c r="AB358" i="18"/>
  <c r="X358" i="18"/>
  <c r="L358" i="18"/>
  <c r="AC358" i="18"/>
  <c r="P361" i="1" l="1"/>
  <c r="V361" i="1" s="1"/>
  <c r="AJ361" i="15"/>
  <c r="AK361" i="15"/>
  <c r="A362" i="15"/>
  <c r="X361" i="15"/>
  <c r="AB361" i="15"/>
  <c r="K361" i="15"/>
  <c r="AC361" i="15"/>
  <c r="L361" i="15"/>
  <c r="D361" i="15" s="1"/>
  <c r="O361" i="15"/>
  <c r="E360" i="15"/>
  <c r="F360" i="1"/>
  <c r="G360" i="1" s="1"/>
  <c r="BW360" i="6" s="1"/>
  <c r="AA359" i="1"/>
  <c r="Z359" i="1" s="1"/>
  <c r="Y359" i="1" s="1"/>
  <c r="E359" i="16"/>
  <c r="X360" i="16"/>
  <c r="AK360" i="16"/>
  <c r="A361" i="16"/>
  <c r="AC360" i="16"/>
  <c r="AB360" i="16"/>
  <c r="AJ360" i="16"/>
  <c r="L360" i="16"/>
  <c r="D360" i="16" s="1"/>
  <c r="K360" i="16"/>
  <c r="O360" i="16"/>
  <c r="AA360" i="1"/>
  <c r="Z360" i="1" s="1"/>
  <c r="Y360" i="1" s="1"/>
  <c r="K355" i="24"/>
  <c r="A356" i="24"/>
  <c r="AJ355" i="24"/>
  <c r="AK355" i="24"/>
  <c r="X355" i="24"/>
  <c r="AB355" i="24"/>
  <c r="L355" i="24"/>
  <c r="O355" i="24"/>
  <c r="AC355" i="24"/>
  <c r="AB354" i="25"/>
  <c r="L354" i="25"/>
  <c r="X354" i="25"/>
  <c r="AK354" i="25"/>
  <c r="K354" i="25"/>
  <c r="A355" i="25"/>
  <c r="AJ354" i="25"/>
  <c r="O354" i="25"/>
  <c r="AC354" i="25"/>
  <c r="D361" i="1"/>
  <c r="E361" i="1" s="1"/>
  <c r="A358" i="22"/>
  <c r="X357" i="22"/>
  <c r="L357" i="22"/>
  <c r="AK357" i="22"/>
  <c r="AB357" i="22"/>
  <c r="K357" i="22"/>
  <c r="AJ357" i="22"/>
  <c r="O357" i="22"/>
  <c r="AC357" i="22"/>
  <c r="K359" i="18"/>
  <c r="AB359" i="18"/>
  <c r="X359" i="18"/>
  <c r="A360" i="18"/>
  <c r="AJ359" i="18"/>
  <c r="L359" i="18"/>
  <c r="AK359" i="18"/>
  <c r="O359" i="18"/>
  <c r="AC359" i="18"/>
  <c r="A357" i="23"/>
  <c r="L356" i="23"/>
  <c r="AB356" i="23"/>
  <c r="X356" i="23"/>
  <c r="K356" i="23"/>
  <c r="AJ356" i="23"/>
  <c r="AK356" i="23"/>
  <c r="O356" i="23"/>
  <c r="AC356" i="23"/>
  <c r="X362" i="1"/>
  <c r="AB362" i="1"/>
  <c r="AJ362" i="1"/>
  <c r="Q362" i="1"/>
  <c r="L362" i="1"/>
  <c r="AC362" i="1"/>
  <c r="K362" i="1"/>
  <c r="AK362" i="1"/>
  <c r="A363" i="1"/>
  <c r="O362" i="1"/>
  <c r="U362" i="1"/>
  <c r="A361" i="17"/>
  <c r="K360" i="17"/>
  <c r="O360" i="17"/>
  <c r="X360" i="17"/>
  <c r="AB360" i="17"/>
  <c r="L360" i="17"/>
  <c r="AJ360" i="17"/>
  <c r="AK360" i="17"/>
  <c r="AC360" i="17"/>
  <c r="X358" i="20"/>
  <c r="AB358" i="20"/>
  <c r="A359" i="20"/>
  <c r="L358" i="20"/>
  <c r="K358" i="20"/>
  <c r="AJ358" i="20"/>
  <c r="AK358" i="20"/>
  <c r="O358" i="20"/>
  <c r="AC358" i="20"/>
  <c r="E361" i="15" l="1"/>
  <c r="AK362" i="15"/>
  <c r="AJ362" i="15"/>
  <c r="AB362" i="15"/>
  <c r="A363" i="15"/>
  <c r="K362" i="15"/>
  <c r="X362" i="15"/>
  <c r="AC362" i="15"/>
  <c r="L362" i="15"/>
  <c r="D362" i="15" s="1"/>
  <c r="O362" i="15"/>
  <c r="I360" i="1"/>
  <c r="F361" i="1"/>
  <c r="G361" i="1" s="1"/>
  <c r="BW361" i="6" s="1"/>
  <c r="E360" i="16"/>
  <c r="X361" i="16"/>
  <c r="AJ361" i="16"/>
  <c r="A362" i="16"/>
  <c r="AC361" i="16"/>
  <c r="L361" i="16"/>
  <c r="D361" i="16" s="1"/>
  <c r="AB361" i="16"/>
  <c r="AK361" i="16"/>
  <c r="K361" i="16"/>
  <c r="O361" i="16"/>
  <c r="X359" i="20"/>
  <c r="L359" i="20"/>
  <c r="AB359" i="20"/>
  <c r="AJ359" i="20"/>
  <c r="A360" i="20"/>
  <c r="K359" i="20"/>
  <c r="AK359" i="20"/>
  <c r="O359" i="20"/>
  <c r="AC359" i="20"/>
  <c r="X361" i="17"/>
  <c r="A362" i="17"/>
  <c r="AJ361" i="17"/>
  <c r="AK361" i="17"/>
  <c r="L361" i="17"/>
  <c r="K361" i="17"/>
  <c r="AB361" i="17"/>
  <c r="O361" i="17"/>
  <c r="AC361" i="17"/>
  <c r="A358" i="23"/>
  <c r="AB357" i="23"/>
  <c r="AK357" i="23"/>
  <c r="K357" i="23"/>
  <c r="X357" i="23"/>
  <c r="L357" i="23"/>
  <c r="AJ357" i="23"/>
  <c r="O357" i="23"/>
  <c r="AC357" i="23"/>
  <c r="X360" i="18"/>
  <c r="L360" i="18"/>
  <c r="A361" i="18"/>
  <c r="O360" i="18"/>
  <c r="AB360" i="18"/>
  <c r="K360" i="18"/>
  <c r="AJ360" i="18"/>
  <c r="AK360" i="18"/>
  <c r="AC360" i="18"/>
  <c r="X358" i="22"/>
  <c r="K358" i="22"/>
  <c r="AJ358" i="22"/>
  <c r="AK358" i="22"/>
  <c r="AB358" i="22"/>
  <c r="A359" i="22"/>
  <c r="L358" i="22"/>
  <c r="O358" i="22"/>
  <c r="AC358" i="22"/>
  <c r="A356" i="25"/>
  <c r="AB355" i="25"/>
  <c r="K355" i="25"/>
  <c r="L355" i="25"/>
  <c r="X355" i="25"/>
  <c r="AJ355" i="25"/>
  <c r="AK355" i="25"/>
  <c r="O355" i="25"/>
  <c r="AC355" i="25"/>
  <c r="T362" i="1"/>
  <c r="A364" i="1"/>
  <c r="Q363" i="1"/>
  <c r="AK363" i="1"/>
  <c r="L363" i="1"/>
  <c r="AB363" i="1"/>
  <c r="A31" i="7"/>
  <c r="X363" i="1"/>
  <c r="K363" i="1"/>
  <c r="AJ363" i="1"/>
  <c r="AC363" i="1"/>
  <c r="O363" i="1"/>
  <c r="U363" i="1"/>
  <c r="T363" i="1" s="1"/>
  <c r="D362" i="1"/>
  <c r="E362" i="1" s="1"/>
  <c r="K356" i="24"/>
  <c r="A357" i="24"/>
  <c r="L356" i="24"/>
  <c r="AJ356" i="24"/>
  <c r="X356" i="24"/>
  <c r="AB356" i="24"/>
  <c r="AK356" i="24"/>
  <c r="O356" i="24"/>
  <c r="AC356" i="24"/>
  <c r="AA361" i="1" l="1"/>
  <c r="Z361" i="1" s="1"/>
  <c r="Y361" i="1" s="1"/>
  <c r="E362" i="15"/>
  <c r="A43" i="7"/>
  <c r="X363" i="15"/>
  <c r="O363" i="15"/>
  <c r="C43" i="7" s="1"/>
  <c r="AJ363" i="15"/>
  <c r="AK363" i="15"/>
  <c r="A364" i="15"/>
  <c r="AB363" i="15"/>
  <c r="K363" i="15"/>
  <c r="L363" i="15"/>
  <c r="AC363" i="15"/>
  <c r="I361" i="1"/>
  <c r="E361" i="16"/>
  <c r="A363" i="16"/>
  <c r="X362" i="16"/>
  <c r="AJ362" i="16"/>
  <c r="AC362" i="16"/>
  <c r="K362" i="16"/>
  <c r="L362" i="16"/>
  <c r="D362" i="16" s="1"/>
  <c r="AB362" i="16"/>
  <c r="AK362" i="16"/>
  <c r="O362" i="16"/>
  <c r="S363" i="1"/>
  <c r="R363" i="1" s="1"/>
  <c r="P363" i="1" s="1"/>
  <c r="D31" i="7" s="1"/>
  <c r="B31" i="7"/>
  <c r="D363" i="1"/>
  <c r="X359" i="22"/>
  <c r="A360" i="22"/>
  <c r="AJ359" i="22"/>
  <c r="K359" i="22"/>
  <c r="L359" i="22"/>
  <c r="AB359" i="22"/>
  <c r="AK359" i="22"/>
  <c r="O359" i="22"/>
  <c r="AC359" i="22"/>
  <c r="A362" i="18"/>
  <c r="AJ361" i="18"/>
  <c r="L361" i="18"/>
  <c r="O361" i="18"/>
  <c r="AK361" i="18"/>
  <c r="AB361" i="18"/>
  <c r="X361" i="18"/>
  <c r="K361" i="18"/>
  <c r="AC361" i="18"/>
  <c r="A359" i="23"/>
  <c r="AB358" i="23"/>
  <c r="L358" i="23"/>
  <c r="AJ358" i="23"/>
  <c r="K358" i="23"/>
  <c r="X358" i="23"/>
  <c r="AK358" i="23"/>
  <c r="O358" i="23"/>
  <c r="AC358" i="23"/>
  <c r="AB360" i="20"/>
  <c r="K360" i="20"/>
  <c r="L360" i="20"/>
  <c r="AK360" i="20"/>
  <c r="A361" i="20"/>
  <c r="X360" i="20"/>
  <c r="AJ360" i="20"/>
  <c r="O360" i="20"/>
  <c r="AC360" i="20"/>
  <c r="AB357" i="24"/>
  <c r="K357" i="24"/>
  <c r="L357" i="24"/>
  <c r="AJ357" i="24"/>
  <c r="AK357" i="24"/>
  <c r="A358" i="24"/>
  <c r="X357" i="24"/>
  <c r="O357" i="24"/>
  <c r="AC357" i="24"/>
  <c r="E363" i="1"/>
  <c r="C31" i="7"/>
  <c r="O364" i="1"/>
  <c r="AK364" i="1"/>
  <c r="AC364" i="1"/>
  <c r="X364" i="1"/>
  <c r="L364" i="1"/>
  <c r="U364" i="1"/>
  <c r="K364" i="1"/>
  <c r="A365" i="1"/>
  <c r="AJ364" i="1"/>
  <c r="Q364" i="1"/>
  <c r="AB364" i="1"/>
  <c r="S362" i="1"/>
  <c r="R362" i="1" s="1"/>
  <c r="P362" i="1" s="1"/>
  <c r="V362" i="1" s="1"/>
  <c r="F362" i="1" s="1"/>
  <c r="AB356" i="25"/>
  <c r="X356" i="25"/>
  <c r="AJ356" i="25"/>
  <c r="K356" i="25"/>
  <c r="A357" i="25"/>
  <c r="L356" i="25"/>
  <c r="O356" i="25"/>
  <c r="AK356" i="25"/>
  <c r="AC356" i="25"/>
  <c r="AB362" i="17"/>
  <c r="X362" i="17"/>
  <c r="AJ362" i="17"/>
  <c r="O362" i="17"/>
  <c r="L362" i="17"/>
  <c r="K362" i="17"/>
  <c r="A363" i="17"/>
  <c r="AK362" i="17"/>
  <c r="AC362" i="17"/>
  <c r="B43" i="7" l="1"/>
  <c r="D363" i="15"/>
  <c r="E363" i="15" s="1"/>
  <c r="X364" i="15"/>
  <c r="K364" i="15"/>
  <c r="AC364" i="15"/>
  <c r="L364" i="15"/>
  <c r="D364" i="15" s="1"/>
  <c r="O364" i="15"/>
  <c r="AK364" i="15"/>
  <c r="AJ364" i="15"/>
  <c r="A365" i="15"/>
  <c r="AB364" i="15"/>
  <c r="E362" i="16"/>
  <c r="X363" i="16"/>
  <c r="AK363" i="16"/>
  <c r="A364" i="16"/>
  <c r="AJ363" i="16"/>
  <c r="O363" i="16"/>
  <c r="C55" i="7" s="1"/>
  <c r="K363" i="16"/>
  <c r="AB363" i="16"/>
  <c r="A55" i="7"/>
  <c r="L363" i="16"/>
  <c r="AC363" i="16"/>
  <c r="X357" i="25"/>
  <c r="K357" i="25"/>
  <c r="L357" i="25"/>
  <c r="AJ357" i="25"/>
  <c r="AB357" i="25"/>
  <c r="A358" i="25"/>
  <c r="O357" i="25"/>
  <c r="AK357" i="25"/>
  <c r="AC357" i="25"/>
  <c r="K365" i="1"/>
  <c r="O365" i="1"/>
  <c r="AK365" i="1"/>
  <c r="X365" i="1"/>
  <c r="Q365" i="1"/>
  <c r="AB365" i="1"/>
  <c r="L365" i="1"/>
  <c r="AJ365" i="1"/>
  <c r="A366" i="1"/>
  <c r="AC365" i="1"/>
  <c r="U365" i="1"/>
  <c r="T365" i="1" s="1"/>
  <c r="T364" i="1"/>
  <c r="K359" i="23"/>
  <c r="L359" i="23"/>
  <c r="AB359" i="23"/>
  <c r="AJ359" i="23"/>
  <c r="AK359" i="23"/>
  <c r="X359" i="23"/>
  <c r="A360" i="23"/>
  <c r="O359" i="23"/>
  <c r="AC359" i="23"/>
  <c r="A364" i="17"/>
  <c r="K363" i="17"/>
  <c r="L363" i="17"/>
  <c r="AK363" i="17"/>
  <c r="A67" i="7"/>
  <c r="AB363" i="17"/>
  <c r="X363" i="17"/>
  <c r="AJ363" i="17"/>
  <c r="O363" i="17"/>
  <c r="C67" i="7" s="1"/>
  <c r="AC363" i="17"/>
  <c r="AA362" i="1"/>
  <c r="Z362" i="1" s="1"/>
  <c r="Y362" i="1" s="1"/>
  <c r="G362" i="1"/>
  <c r="BW362" i="6" s="1"/>
  <c r="I362" i="1"/>
  <c r="D364" i="1"/>
  <c r="E364" i="1" s="1"/>
  <c r="AB358" i="24"/>
  <c r="X358" i="24"/>
  <c r="AK358" i="24"/>
  <c r="A359" i="24"/>
  <c r="K358" i="24"/>
  <c r="L358" i="24"/>
  <c r="AJ358" i="24"/>
  <c r="O358" i="24"/>
  <c r="AC358" i="24"/>
  <c r="X361" i="20"/>
  <c r="A362" i="20"/>
  <c r="AJ361" i="20"/>
  <c r="AK361" i="20"/>
  <c r="AB361" i="20"/>
  <c r="K361" i="20"/>
  <c r="L361" i="20"/>
  <c r="O361" i="20"/>
  <c r="AC361" i="20"/>
  <c r="X362" i="18"/>
  <c r="K362" i="18"/>
  <c r="L362" i="18"/>
  <c r="AK362" i="18"/>
  <c r="AB362" i="18"/>
  <c r="AJ362" i="18"/>
  <c r="A363" i="18"/>
  <c r="O362" i="18"/>
  <c r="AC362" i="18"/>
  <c r="AB360" i="22"/>
  <c r="L360" i="22"/>
  <c r="X360" i="22"/>
  <c r="AJ360" i="22"/>
  <c r="K360" i="22"/>
  <c r="A361" i="22"/>
  <c r="AK360" i="22"/>
  <c r="O360" i="22"/>
  <c r="AC360" i="22"/>
  <c r="V363" i="1"/>
  <c r="F363" i="1" s="1"/>
  <c r="X365" i="15" l="1"/>
  <c r="L365" i="15"/>
  <c r="D365" i="15" s="1"/>
  <c r="AC365" i="15"/>
  <c r="AB365" i="15"/>
  <c r="O365" i="15"/>
  <c r="AJ365" i="15"/>
  <c r="AK365" i="15"/>
  <c r="K365" i="15"/>
  <c r="A366" i="15"/>
  <c r="E364" i="15"/>
  <c r="B55" i="7"/>
  <c r="D363" i="16"/>
  <c r="E363" i="16" s="1"/>
  <c r="A365" i="16"/>
  <c r="AJ364" i="16"/>
  <c r="L364" i="16"/>
  <c r="D364" i="16" s="1"/>
  <c r="AK364" i="16"/>
  <c r="O364" i="16"/>
  <c r="X364" i="16"/>
  <c r="AB364" i="16"/>
  <c r="K364" i="16"/>
  <c r="AC364" i="16"/>
  <c r="AA363" i="1"/>
  <c r="Z363" i="1" s="1"/>
  <c r="Y363" i="1" s="1"/>
  <c r="G363" i="1"/>
  <c r="BW363" i="6" s="1"/>
  <c r="I363" i="1"/>
  <c r="AB361" i="22"/>
  <c r="A362" i="22"/>
  <c r="L361" i="22"/>
  <c r="AJ361" i="22"/>
  <c r="K361" i="22"/>
  <c r="X361" i="22"/>
  <c r="AK361" i="22"/>
  <c r="O361" i="22"/>
  <c r="AC361" i="22"/>
  <c r="K363" i="18"/>
  <c r="AJ363" i="18"/>
  <c r="L363" i="18"/>
  <c r="A364" i="18"/>
  <c r="AK363" i="18"/>
  <c r="X363" i="18"/>
  <c r="A79" i="7"/>
  <c r="AB363" i="18"/>
  <c r="O363" i="18"/>
  <c r="C79" i="7" s="1"/>
  <c r="AC363" i="18"/>
  <c r="A363" i="20"/>
  <c r="K362" i="20"/>
  <c r="AK362" i="20"/>
  <c r="AB362" i="20"/>
  <c r="L362" i="20"/>
  <c r="X362" i="20"/>
  <c r="AJ362" i="20"/>
  <c r="O362" i="20"/>
  <c r="AC362" i="20"/>
  <c r="B67" i="7"/>
  <c r="A365" i="17"/>
  <c r="X364" i="17"/>
  <c r="L364" i="17"/>
  <c r="K364" i="17"/>
  <c r="AB364" i="17"/>
  <c r="AJ364" i="17"/>
  <c r="O364" i="17"/>
  <c r="AK364" i="17"/>
  <c r="AC364" i="17"/>
  <c r="S365" i="1"/>
  <c r="R365" i="1" s="1"/>
  <c r="P365" i="1" s="1"/>
  <c r="V365" i="1" s="1"/>
  <c r="A367" i="1"/>
  <c r="AK366" i="1"/>
  <c r="O366" i="1"/>
  <c r="X366" i="1"/>
  <c r="L366" i="1"/>
  <c r="AJ366" i="1"/>
  <c r="K366" i="1"/>
  <c r="Q366" i="1"/>
  <c r="AB366" i="1"/>
  <c r="AC366" i="1"/>
  <c r="U366" i="1"/>
  <c r="D365" i="1"/>
  <c r="E365" i="1" s="1"/>
  <c r="X358" i="25"/>
  <c r="A359" i="25"/>
  <c r="AJ358" i="25"/>
  <c r="K358" i="25"/>
  <c r="L358" i="25"/>
  <c r="AB358" i="25"/>
  <c r="O358" i="25"/>
  <c r="AK358" i="25"/>
  <c r="AC358" i="25"/>
  <c r="AB359" i="24"/>
  <c r="A360" i="24"/>
  <c r="L359" i="24"/>
  <c r="AJ359" i="24"/>
  <c r="X359" i="24"/>
  <c r="K359" i="24"/>
  <c r="AK359" i="24"/>
  <c r="O359" i="24"/>
  <c r="AC359" i="24"/>
  <c r="K360" i="23"/>
  <c r="L360" i="23"/>
  <c r="X360" i="23"/>
  <c r="AK360" i="23"/>
  <c r="AB360" i="23"/>
  <c r="A361" i="23"/>
  <c r="AJ360" i="23"/>
  <c r="O360" i="23"/>
  <c r="AC360" i="23"/>
  <c r="S364" i="1"/>
  <c r="R364" i="1" s="1"/>
  <c r="P364" i="1" s="1"/>
  <c r="AK366" i="15" l="1"/>
  <c r="AJ366" i="15"/>
  <c r="A367" i="15"/>
  <c r="AB366" i="15"/>
  <c r="K366" i="15"/>
  <c r="L366" i="15"/>
  <c r="D366" i="15" s="1"/>
  <c r="AC366" i="15"/>
  <c r="X366" i="15"/>
  <c r="O366" i="15"/>
  <c r="E365" i="15"/>
  <c r="F365" i="1"/>
  <c r="I365" i="1" s="1"/>
  <c r="E364" i="16"/>
  <c r="L365" i="16"/>
  <c r="D365" i="16" s="1"/>
  <c r="AK365" i="16"/>
  <c r="AB365" i="16"/>
  <c r="AC365" i="16"/>
  <c r="K365" i="16"/>
  <c r="A366" i="16"/>
  <c r="X365" i="16"/>
  <c r="O365" i="16"/>
  <c r="AJ365" i="16"/>
  <c r="V364" i="1"/>
  <c r="F364" i="1" s="1"/>
  <c r="AA365" i="1"/>
  <c r="Z365" i="1" s="1"/>
  <c r="Y365" i="1" s="1"/>
  <c r="K359" i="25"/>
  <c r="L359" i="25"/>
  <c r="X359" i="25"/>
  <c r="AJ359" i="25"/>
  <c r="AB359" i="25"/>
  <c r="A360" i="25"/>
  <c r="O359" i="25"/>
  <c r="AK359" i="25"/>
  <c r="AC359" i="25"/>
  <c r="T366" i="1"/>
  <c r="D366" i="1"/>
  <c r="E366" i="1" s="1"/>
  <c r="A368" i="1"/>
  <c r="AJ367" i="1"/>
  <c r="K367" i="1"/>
  <c r="AB367" i="1"/>
  <c r="X367" i="1"/>
  <c r="AC367" i="1"/>
  <c r="Q367" i="1"/>
  <c r="AK367" i="1"/>
  <c r="L367" i="1"/>
  <c r="O367" i="1"/>
  <c r="U367" i="1"/>
  <c r="T367" i="1" s="1"/>
  <c r="AB364" i="18"/>
  <c r="X364" i="18"/>
  <c r="K364" i="18"/>
  <c r="A365" i="18"/>
  <c r="AJ364" i="18"/>
  <c r="L364" i="18"/>
  <c r="O364" i="18"/>
  <c r="AK364" i="18"/>
  <c r="AC364" i="18"/>
  <c r="K361" i="23"/>
  <c r="A362" i="23"/>
  <c r="AK361" i="23"/>
  <c r="X361" i="23"/>
  <c r="L361" i="23"/>
  <c r="AB361" i="23"/>
  <c r="AJ361" i="23"/>
  <c r="O361" i="23"/>
  <c r="AC361" i="23"/>
  <c r="K360" i="24"/>
  <c r="A361" i="24"/>
  <c r="AK360" i="24"/>
  <c r="AB360" i="24"/>
  <c r="X360" i="24"/>
  <c r="L360" i="24"/>
  <c r="AJ360" i="24"/>
  <c r="O360" i="24"/>
  <c r="AC360" i="24"/>
  <c r="X365" i="17"/>
  <c r="AB365" i="17"/>
  <c r="L365" i="17"/>
  <c r="AJ365" i="17"/>
  <c r="O365" i="17"/>
  <c r="K365" i="17"/>
  <c r="A366" i="17"/>
  <c r="AK365" i="17"/>
  <c r="AC365" i="17"/>
  <c r="X363" i="20"/>
  <c r="AE31" i="7"/>
  <c r="AB363" i="20"/>
  <c r="AJ363" i="20"/>
  <c r="A364" i="20"/>
  <c r="K363" i="20"/>
  <c r="L363" i="20"/>
  <c r="AK363" i="20"/>
  <c r="O363" i="20"/>
  <c r="AG31" i="7" s="1"/>
  <c r="AC363" i="20"/>
  <c r="B79" i="7"/>
  <c r="K362" i="22"/>
  <c r="L362" i="22"/>
  <c r="A363" i="22"/>
  <c r="X362" i="22"/>
  <c r="AB362" i="22"/>
  <c r="AJ362" i="22"/>
  <c r="AK362" i="22"/>
  <c r="O362" i="22"/>
  <c r="AC362" i="22"/>
  <c r="E366" i="15" l="1"/>
  <c r="L367" i="15"/>
  <c r="D367" i="15" s="1"/>
  <c r="AJ367" i="15"/>
  <c r="A368" i="15"/>
  <c r="K367" i="15"/>
  <c r="AC367" i="15"/>
  <c r="AB367" i="15"/>
  <c r="O367" i="15"/>
  <c r="X367" i="15"/>
  <c r="AK367" i="15"/>
  <c r="G365" i="1"/>
  <c r="BW365" i="6" s="1"/>
  <c r="E365" i="16"/>
  <c r="A367" i="16"/>
  <c r="AJ366" i="16"/>
  <c r="K366" i="16"/>
  <c r="AC366" i="16"/>
  <c r="L366" i="16"/>
  <c r="D366" i="16" s="1"/>
  <c r="X366" i="16"/>
  <c r="AB366" i="16"/>
  <c r="AK366" i="16"/>
  <c r="O366" i="16"/>
  <c r="I364" i="1"/>
  <c r="G364" i="1"/>
  <c r="BW364" i="6" s="1"/>
  <c r="AA364" i="1"/>
  <c r="Z364" i="1" s="1"/>
  <c r="Y364" i="1" s="1"/>
  <c r="K363" i="22"/>
  <c r="AE43" i="7"/>
  <c r="AK363" i="22"/>
  <c r="A364" i="22"/>
  <c r="L363" i="22"/>
  <c r="AB363" i="22"/>
  <c r="X363" i="22"/>
  <c r="AJ363" i="22"/>
  <c r="O363" i="22"/>
  <c r="AG43" i="7" s="1"/>
  <c r="AC363" i="22"/>
  <c r="AF31" i="7"/>
  <c r="K364" i="20"/>
  <c r="A365" i="20"/>
  <c r="AJ364" i="20"/>
  <c r="AK364" i="20"/>
  <c r="X364" i="20"/>
  <c r="AB364" i="20"/>
  <c r="L364" i="20"/>
  <c r="O364" i="20"/>
  <c r="AC364" i="20"/>
  <c r="A362" i="24"/>
  <c r="AB361" i="24"/>
  <c r="L361" i="24"/>
  <c r="X361" i="24"/>
  <c r="K361" i="24"/>
  <c r="AJ361" i="24"/>
  <c r="AK361" i="24"/>
  <c r="O361" i="24"/>
  <c r="AC361" i="24"/>
  <c r="S367" i="1"/>
  <c r="R367" i="1" s="1"/>
  <c r="P367" i="1" s="1"/>
  <c r="V367" i="1" s="1"/>
  <c r="D367" i="1"/>
  <c r="E367" i="1" s="1"/>
  <c r="K368" i="1"/>
  <c r="Q368" i="1"/>
  <c r="X368" i="1"/>
  <c r="A369" i="1"/>
  <c r="L368" i="1"/>
  <c r="O368" i="1"/>
  <c r="AB368" i="1"/>
  <c r="AK368" i="1"/>
  <c r="AJ368" i="1"/>
  <c r="AC368" i="1"/>
  <c r="U368" i="1"/>
  <c r="T368" i="1" s="1"/>
  <c r="K366" i="17"/>
  <c r="X366" i="17"/>
  <c r="AK366" i="17"/>
  <c r="A367" i="17"/>
  <c r="AB366" i="17"/>
  <c r="L366" i="17"/>
  <c r="AJ366" i="17"/>
  <c r="O366" i="17"/>
  <c r="AC366" i="17"/>
  <c r="K362" i="23"/>
  <c r="L362" i="23"/>
  <c r="A363" i="23"/>
  <c r="AJ362" i="23"/>
  <c r="X362" i="23"/>
  <c r="AB362" i="23"/>
  <c r="AK362" i="23"/>
  <c r="O362" i="23"/>
  <c r="AC362" i="23"/>
  <c r="AB365" i="18"/>
  <c r="AJ365" i="18"/>
  <c r="A366" i="18"/>
  <c r="O365" i="18"/>
  <c r="K365" i="18"/>
  <c r="X365" i="18"/>
  <c r="L365" i="18"/>
  <c r="AK365" i="18"/>
  <c r="AC365" i="18"/>
  <c r="S366" i="1"/>
  <c r="R366" i="1" s="1"/>
  <c r="P366" i="1" s="1"/>
  <c r="V366" i="1" s="1"/>
  <c r="F366" i="1" s="1"/>
  <c r="AB360" i="25"/>
  <c r="L360" i="25"/>
  <c r="X360" i="25"/>
  <c r="AK360" i="25"/>
  <c r="A361" i="25"/>
  <c r="K360" i="25"/>
  <c r="AJ360" i="25"/>
  <c r="O360" i="25"/>
  <c r="AC360" i="25"/>
  <c r="L368" i="15" l="1"/>
  <c r="D368" i="15" s="1"/>
  <c r="AB368" i="15"/>
  <c r="AC368" i="15"/>
  <c r="AJ368" i="15"/>
  <c r="O368" i="15"/>
  <c r="E368" i="15" s="1"/>
  <c r="A369" i="15"/>
  <c r="AK368" i="15"/>
  <c r="X368" i="15"/>
  <c r="K368" i="15"/>
  <c r="E367" i="15"/>
  <c r="F367" i="1"/>
  <c r="G367" i="1" s="1"/>
  <c r="BW367" i="6" s="1"/>
  <c r="E366" i="16"/>
  <c r="K367" i="16"/>
  <c r="L367" i="16"/>
  <c r="D367" i="16" s="1"/>
  <c r="X367" i="16"/>
  <c r="AK367" i="16"/>
  <c r="O367" i="16"/>
  <c r="AB367" i="16"/>
  <c r="A368" i="16"/>
  <c r="AJ367" i="16"/>
  <c r="AC367" i="16"/>
  <c r="I366" i="1"/>
  <c r="G366" i="1"/>
  <c r="BW366" i="6" s="1"/>
  <c r="AA366" i="1"/>
  <c r="Z366" i="1" s="1"/>
  <c r="Y366" i="1" s="1"/>
  <c r="A364" i="23"/>
  <c r="X363" i="23"/>
  <c r="L363" i="23"/>
  <c r="AJ363" i="23"/>
  <c r="AB363" i="23"/>
  <c r="AE55" i="7"/>
  <c r="K363" i="23"/>
  <c r="AK363" i="23"/>
  <c r="O363" i="23"/>
  <c r="AG55" i="7" s="1"/>
  <c r="AC363" i="23"/>
  <c r="S368" i="1"/>
  <c r="R368" i="1" s="1"/>
  <c r="P368" i="1" s="1"/>
  <c r="V368" i="1" s="1"/>
  <c r="D368" i="1"/>
  <c r="E368" i="1" s="1"/>
  <c r="AF43" i="7"/>
  <c r="A362" i="25"/>
  <c r="K361" i="25"/>
  <c r="L361" i="25"/>
  <c r="AK361" i="25"/>
  <c r="X361" i="25"/>
  <c r="AB361" i="25"/>
  <c r="AJ361" i="25"/>
  <c r="O361" i="25"/>
  <c r="AC361" i="25"/>
  <c r="AB366" i="18"/>
  <c r="L366" i="18"/>
  <c r="A367" i="18"/>
  <c r="AK366" i="18"/>
  <c r="K366" i="18"/>
  <c r="X366" i="18"/>
  <c r="AJ366" i="18"/>
  <c r="O366" i="18"/>
  <c r="AC366" i="18"/>
  <c r="X367" i="17"/>
  <c r="A368" i="17"/>
  <c r="AJ367" i="17"/>
  <c r="O367" i="17"/>
  <c r="AB367" i="17"/>
  <c r="L367" i="17"/>
  <c r="K367" i="17"/>
  <c r="AK367" i="17"/>
  <c r="AC367" i="17"/>
  <c r="AC369" i="1"/>
  <c r="A370" i="1"/>
  <c r="K369" i="1"/>
  <c r="AJ369" i="1"/>
  <c r="U369" i="1"/>
  <c r="T369" i="1" s="1"/>
  <c r="X369" i="1"/>
  <c r="AK369" i="1"/>
  <c r="O369" i="1"/>
  <c r="L369" i="1"/>
  <c r="Q369" i="1"/>
  <c r="AB369" i="1"/>
  <c r="X362" i="24"/>
  <c r="AB362" i="24"/>
  <c r="AJ362" i="24"/>
  <c r="A363" i="24"/>
  <c r="L362" i="24"/>
  <c r="K362" i="24"/>
  <c r="AK362" i="24"/>
  <c r="O362" i="24"/>
  <c r="AC362" i="24"/>
  <c r="AB365" i="20"/>
  <c r="L365" i="20"/>
  <c r="A366" i="20"/>
  <c r="X365" i="20"/>
  <c r="K365" i="20"/>
  <c r="AJ365" i="20"/>
  <c r="AK365" i="20"/>
  <c r="O365" i="20"/>
  <c r="AC365" i="20"/>
  <c r="K364" i="22"/>
  <c r="AB364" i="22"/>
  <c r="A365" i="22"/>
  <c r="L364" i="22"/>
  <c r="X364" i="22"/>
  <c r="AJ364" i="22"/>
  <c r="AK364" i="22"/>
  <c r="O364" i="22"/>
  <c r="AC364" i="22"/>
  <c r="AA367" i="1" l="1"/>
  <c r="Z367" i="1" s="1"/>
  <c r="Y367" i="1" s="1"/>
  <c r="K369" i="15"/>
  <c r="A370" i="15"/>
  <c r="AC369" i="15"/>
  <c r="AB369" i="15"/>
  <c r="X369" i="15"/>
  <c r="AJ369" i="15"/>
  <c r="O369" i="15"/>
  <c r="L369" i="15"/>
  <c r="D369" i="15" s="1"/>
  <c r="AK369" i="15"/>
  <c r="I367" i="1"/>
  <c r="K368" i="16"/>
  <c r="A369" i="16"/>
  <c r="L368" i="16"/>
  <c r="D368" i="16" s="1"/>
  <c r="AC368" i="16"/>
  <c r="AB368" i="16"/>
  <c r="AK368" i="16"/>
  <c r="X368" i="16"/>
  <c r="AJ368" i="16"/>
  <c r="O368" i="16"/>
  <c r="E367" i="16"/>
  <c r="AB365" i="22"/>
  <c r="A366" i="22"/>
  <c r="AJ365" i="22"/>
  <c r="AK365" i="22"/>
  <c r="X365" i="22"/>
  <c r="K365" i="22"/>
  <c r="L365" i="22"/>
  <c r="O365" i="22"/>
  <c r="AC365" i="22"/>
  <c r="A371" i="1"/>
  <c r="X370" i="1"/>
  <c r="O370" i="1"/>
  <c r="AK370" i="1"/>
  <c r="AB370" i="1"/>
  <c r="AJ370" i="1"/>
  <c r="Q370" i="1"/>
  <c r="K370" i="1"/>
  <c r="AC370" i="1"/>
  <c r="L370" i="1"/>
  <c r="U370" i="1"/>
  <c r="T370" i="1" s="1"/>
  <c r="X367" i="18"/>
  <c r="AB367" i="18"/>
  <c r="K367" i="18"/>
  <c r="L367" i="18"/>
  <c r="A368" i="18"/>
  <c r="AJ367" i="18"/>
  <c r="AK367" i="18"/>
  <c r="O367" i="18"/>
  <c r="AC367" i="18"/>
  <c r="F368" i="1"/>
  <c r="AB366" i="20"/>
  <c r="L366" i="20"/>
  <c r="K366" i="20"/>
  <c r="AJ366" i="20"/>
  <c r="AK366" i="20"/>
  <c r="A367" i="20"/>
  <c r="X366" i="20"/>
  <c r="O366" i="20"/>
  <c r="AC366" i="20"/>
  <c r="K363" i="24"/>
  <c r="AB363" i="24"/>
  <c r="AE67" i="7"/>
  <c r="AJ363" i="24"/>
  <c r="A364" i="24"/>
  <c r="X363" i="24"/>
  <c r="L363" i="24"/>
  <c r="AK363" i="24"/>
  <c r="O363" i="24"/>
  <c r="AG67" i="7" s="1"/>
  <c r="AC363" i="24"/>
  <c r="D369" i="1"/>
  <c r="E369" i="1" s="1"/>
  <c r="S369" i="1"/>
  <c r="R369" i="1" s="1"/>
  <c r="P369" i="1" s="1"/>
  <c r="V369" i="1" s="1"/>
  <c r="X368" i="17"/>
  <c r="A369" i="17"/>
  <c r="AK368" i="17"/>
  <c r="AB368" i="17"/>
  <c r="K368" i="17"/>
  <c r="L368" i="17"/>
  <c r="AJ368" i="17"/>
  <c r="O368" i="17"/>
  <c r="AC368" i="17"/>
  <c r="K362" i="25"/>
  <c r="X362" i="25"/>
  <c r="AJ362" i="25"/>
  <c r="AB362" i="25"/>
  <c r="L362" i="25"/>
  <c r="A363" i="25"/>
  <c r="AK362" i="25"/>
  <c r="O362" i="25"/>
  <c r="AC362" i="25"/>
  <c r="AF55" i="7"/>
  <c r="A365" i="23"/>
  <c r="L364" i="23"/>
  <c r="K364" i="23"/>
  <c r="AJ364" i="23"/>
  <c r="AB364" i="23"/>
  <c r="X364" i="23"/>
  <c r="AK364" i="23"/>
  <c r="O364" i="23"/>
  <c r="AC364" i="23"/>
  <c r="E369" i="15" l="1"/>
  <c r="AK370" i="15"/>
  <c r="A371" i="15"/>
  <c r="K370" i="15"/>
  <c r="AB370" i="15"/>
  <c r="O370" i="15"/>
  <c r="AJ370" i="15"/>
  <c r="X370" i="15"/>
  <c r="AC370" i="15"/>
  <c r="L370" i="15"/>
  <c r="D370" i="15" s="1"/>
  <c r="E370" i="15" s="1"/>
  <c r="A370" i="16"/>
  <c r="AJ369" i="16"/>
  <c r="L369" i="16"/>
  <c r="D369" i="16" s="1"/>
  <c r="K369" i="16"/>
  <c r="O369" i="16"/>
  <c r="X369" i="16"/>
  <c r="AK369" i="16"/>
  <c r="AB369" i="16"/>
  <c r="AC369" i="16"/>
  <c r="E368" i="16"/>
  <c r="K365" i="23"/>
  <c r="X365" i="23"/>
  <c r="A366" i="23"/>
  <c r="AB365" i="23"/>
  <c r="L365" i="23"/>
  <c r="AJ365" i="23"/>
  <c r="AK365" i="23"/>
  <c r="O365" i="23"/>
  <c r="AC365" i="23"/>
  <c r="A364" i="25"/>
  <c r="AB363" i="25"/>
  <c r="L363" i="25"/>
  <c r="AJ363" i="25"/>
  <c r="AE79" i="7"/>
  <c r="K363" i="25"/>
  <c r="X363" i="25"/>
  <c r="AK363" i="25"/>
  <c r="O363" i="25"/>
  <c r="AG79" i="7" s="1"/>
  <c r="AC363" i="25"/>
  <c r="X368" i="18"/>
  <c r="L368" i="18"/>
  <c r="AB368" i="18"/>
  <c r="AK368" i="18"/>
  <c r="A369" i="18"/>
  <c r="K368" i="18"/>
  <c r="AJ368" i="18"/>
  <c r="O368" i="18"/>
  <c r="AC368" i="18"/>
  <c r="D370" i="1"/>
  <c r="E370" i="1" s="1"/>
  <c r="K369" i="17"/>
  <c r="A370" i="17"/>
  <c r="AJ369" i="17"/>
  <c r="O369" i="17"/>
  <c r="X369" i="17"/>
  <c r="AB369" i="17"/>
  <c r="L369" i="17"/>
  <c r="AK369" i="17"/>
  <c r="AC369" i="17"/>
  <c r="F369" i="1"/>
  <c r="AF67" i="7"/>
  <c r="X364" i="24"/>
  <c r="AB364" i="24"/>
  <c r="L364" i="24"/>
  <c r="AJ364" i="24"/>
  <c r="AK364" i="24"/>
  <c r="K364" i="24"/>
  <c r="A365" i="24"/>
  <c r="O364" i="24"/>
  <c r="AC364" i="24"/>
  <c r="X367" i="20"/>
  <c r="A368" i="20"/>
  <c r="L367" i="20"/>
  <c r="AK367" i="20"/>
  <c r="AB367" i="20"/>
  <c r="K367" i="20"/>
  <c r="AJ367" i="20"/>
  <c r="O367" i="20"/>
  <c r="AC367" i="20"/>
  <c r="G368" i="1"/>
  <c r="BW368" i="6" s="1"/>
  <c r="AA368" i="1"/>
  <c r="Z368" i="1" s="1"/>
  <c r="Y368" i="1" s="1"/>
  <c r="I368" i="1"/>
  <c r="S370" i="1"/>
  <c r="R370" i="1" s="1"/>
  <c r="P370" i="1" s="1"/>
  <c r="V370" i="1" s="1"/>
  <c r="AJ371" i="1"/>
  <c r="L371" i="1"/>
  <c r="AB371" i="1"/>
  <c r="Q371" i="1"/>
  <c r="K371" i="1"/>
  <c r="AK371" i="1"/>
  <c r="X371" i="1"/>
  <c r="AC371" i="1"/>
  <c r="O371" i="1"/>
  <c r="A372" i="1"/>
  <c r="U371" i="1"/>
  <c r="T371" i="1" s="1"/>
  <c r="AB366" i="22"/>
  <c r="K366" i="22"/>
  <c r="AJ366" i="22"/>
  <c r="X366" i="22"/>
  <c r="A367" i="22"/>
  <c r="L366" i="22"/>
  <c r="AK366" i="22"/>
  <c r="O366" i="22"/>
  <c r="AC366" i="22"/>
  <c r="K371" i="15" l="1"/>
  <c r="A372" i="15"/>
  <c r="O371" i="15"/>
  <c r="AJ371" i="15"/>
  <c r="AC371" i="15"/>
  <c r="AB371" i="15"/>
  <c r="AK371" i="15"/>
  <c r="L371" i="15"/>
  <c r="D371" i="15" s="1"/>
  <c r="X371" i="15"/>
  <c r="F370" i="1"/>
  <c r="I370" i="1" s="1"/>
  <c r="E369" i="16"/>
  <c r="K370" i="16"/>
  <c r="A371" i="16"/>
  <c r="AJ370" i="16"/>
  <c r="AC370" i="16"/>
  <c r="L370" i="16"/>
  <c r="D370" i="16" s="1"/>
  <c r="X370" i="16"/>
  <c r="AB370" i="16"/>
  <c r="AK370" i="16"/>
  <c r="O370" i="16"/>
  <c r="X367" i="22"/>
  <c r="L367" i="22"/>
  <c r="K367" i="22"/>
  <c r="AK367" i="22"/>
  <c r="A368" i="22"/>
  <c r="AB367" i="22"/>
  <c r="AJ367" i="22"/>
  <c r="O367" i="22"/>
  <c r="AC367" i="22"/>
  <c r="AB372" i="1"/>
  <c r="X372" i="1"/>
  <c r="Q372" i="1"/>
  <c r="K372" i="1"/>
  <c r="A373" i="1"/>
  <c r="AJ372" i="1"/>
  <c r="AK372" i="1"/>
  <c r="AC372" i="1"/>
  <c r="O372" i="1"/>
  <c r="L372" i="1"/>
  <c r="U372" i="1"/>
  <c r="T372" i="1" s="1"/>
  <c r="D371" i="1"/>
  <c r="I369" i="1"/>
  <c r="G369" i="1"/>
  <c r="BW369" i="6" s="1"/>
  <c r="AA369" i="1"/>
  <c r="Z369" i="1" s="1"/>
  <c r="Y369" i="1" s="1"/>
  <c r="X370" i="17"/>
  <c r="K370" i="17"/>
  <c r="AK370" i="17"/>
  <c r="AB370" i="17"/>
  <c r="L370" i="17"/>
  <c r="A371" i="17"/>
  <c r="AJ370" i="17"/>
  <c r="O370" i="17"/>
  <c r="AC370" i="17"/>
  <c r="S371" i="1"/>
  <c r="R371" i="1" s="1"/>
  <c r="P371" i="1" s="1"/>
  <c r="V371" i="1" s="1"/>
  <c r="E371" i="1"/>
  <c r="A369" i="20"/>
  <c r="K368" i="20"/>
  <c r="X368" i="20"/>
  <c r="AB368" i="20"/>
  <c r="L368" i="20"/>
  <c r="AJ368" i="20"/>
  <c r="AK368" i="20"/>
  <c r="O368" i="20"/>
  <c r="AC368" i="20"/>
  <c r="X365" i="24"/>
  <c r="K365" i="24"/>
  <c r="AK365" i="24"/>
  <c r="A366" i="24"/>
  <c r="AB365" i="24"/>
  <c r="L365" i="24"/>
  <c r="AJ365" i="24"/>
  <c r="O365" i="24"/>
  <c r="AC365" i="24"/>
  <c r="X369" i="18"/>
  <c r="AJ369" i="18"/>
  <c r="L369" i="18"/>
  <c r="O369" i="18"/>
  <c r="AB369" i="18"/>
  <c r="A370" i="18"/>
  <c r="K369" i="18"/>
  <c r="AK369" i="18"/>
  <c r="AC369" i="18"/>
  <c r="AF79" i="7"/>
  <c r="K364" i="25"/>
  <c r="L364" i="25"/>
  <c r="X364" i="25"/>
  <c r="AJ364" i="25"/>
  <c r="AB364" i="25"/>
  <c r="A365" i="25"/>
  <c r="O364" i="25"/>
  <c r="AK364" i="25"/>
  <c r="AC364" i="25"/>
  <c r="A367" i="23"/>
  <c r="AB366" i="23"/>
  <c r="L366" i="23"/>
  <c r="AK366" i="23"/>
  <c r="X366" i="23"/>
  <c r="K366" i="23"/>
  <c r="AJ366" i="23"/>
  <c r="O366" i="23"/>
  <c r="AC366" i="23"/>
  <c r="G370" i="1" l="1"/>
  <c r="BW370" i="6" s="1"/>
  <c r="E371" i="15"/>
  <c r="A373" i="15"/>
  <c r="AK372" i="15"/>
  <c r="K372" i="15"/>
  <c r="AJ372" i="15"/>
  <c r="AB372" i="15"/>
  <c r="X372" i="15"/>
  <c r="AC372" i="15"/>
  <c r="L372" i="15"/>
  <c r="D372" i="15" s="1"/>
  <c r="O372" i="15"/>
  <c r="AA370" i="1"/>
  <c r="Z370" i="1" s="1"/>
  <c r="Y370" i="1" s="1"/>
  <c r="K371" i="16"/>
  <c r="AK371" i="16"/>
  <c r="L371" i="16"/>
  <c r="D371" i="16" s="1"/>
  <c r="AC371" i="16"/>
  <c r="A372" i="16"/>
  <c r="AJ371" i="16"/>
  <c r="AB371" i="16"/>
  <c r="X371" i="16"/>
  <c r="O371" i="16"/>
  <c r="E370" i="16"/>
  <c r="K367" i="23"/>
  <c r="L367" i="23"/>
  <c r="A368" i="23"/>
  <c r="AB367" i="23"/>
  <c r="X367" i="23"/>
  <c r="AJ367" i="23"/>
  <c r="AK367" i="23"/>
  <c r="O367" i="23"/>
  <c r="AC367" i="23"/>
  <c r="AB365" i="25"/>
  <c r="X365" i="25"/>
  <c r="K365" i="25"/>
  <c r="L365" i="25"/>
  <c r="A366" i="25"/>
  <c r="AJ365" i="25"/>
  <c r="O365" i="25"/>
  <c r="AK365" i="25"/>
  <c r="AC365" i="25"/>
  <c r="AB366" i="24"/>
  <c r="X366" i="24"/>
  <c r="K366" i="24"/>
  <c r="L366" i="24"/>
  <c r="A367" i="24"/>
  <c r="AJ366" i="24"/>
  <c r="AK366" i="24"/>
  <c r="O366" i="24"/>
  <c r="AC366" i="24"/>
  <c r="K369" i="20"/>
  <c r="L369" i="20"/>
  <c r="AB369" i="20"/>
  <c r="AJ369" i="20"/>
  <c r="A370" i="20"/>
  <c r="X369" i="20"/>
  <c r="AK369" i="20"/>
  <c r="O369" i="20"/>
  <c r="AC369" i="20"/>
  <c r="D372" i="1"/>
  <c r="K368" i="22"/>
  <c r="L368" i="22"/>
  <c r="AB368" i="22"/>
  <c r="AJ368" i="22"/>
  <c r="A369" i="22"/>
  <c r="X368" i="22"/>
  <c r="AK368" i="22"/>
  <c r="O368" i="22"/>
  <c r="AC368" i="22"/>
  <c r="AB370" i="18"/>
  <c r="L370" i="18"/>
  <c r="K370" i="18"/>
  <c r="A371" i="18"/>
  <c r="AJ370" i="18"/>
  <c r="X370" i="18"/>
  <c r="O370" i="18"/>
  <c r="AK370" i="18"/>
  <c r="AC370" i="18"/>
  <c r="F371" i="1"/>
  <c r="AB371" i="17"/>
  <c r="X371" i="17"/>
  <c r="AJ371" i="17"/>
  <c r="L371" i="17"/>
  <c r="A372" i="17"/>
  <c r="K371" i="17"/>
  <c r="O371" i="17"/>
  <c r="AK371" i="17"/>
  <c r="AC371" i="17"/>
  <c r="S372" i="1"/>
  <c r="R372" i="1" s="1"/>
  <c r="P372" i="1" s="1"/>
  <c r="V372" i="1" s="1"/>
  <c r="E372" i="1"/>
  <c r="A374" i="1"/>
  <c r="X373" i="1"/>
  <c r="K373" i="1"/>
  <c r="AB373" i="1"/>
  <c r="O373" i="1"/>
  <c r="AJ373" i="1"/>
  <c r="Q373" i="1"/>
  <c r="L373" i="1"/>
  <c r="AK373" i="1"/>
  <c r="AC373" i="1"/>
  <c r="U373" i="1"/>
  <c r="E372" i="15" l="1"/>
  <c r="L373" i="15"/>
  <c r="D373" i="15" s="1"/>
  <c r="K373" i="15"/>
  <c r="AB373" i="15"/>
  <c r="A374" i="15"/>
  <c r="O373" i="15"/>
  <c r="AK373" i="15"/>
  <c r="AC373" i="15"/>
  <c r="X373" i="15"/>
  <c r="AJ373" i="15"/>
  <c r="F372" i="1"/>
  <c r="AA372" i="1" s="1"/>
  <c r="Z372" i="1" s="1"/>
  <c r="Y372" i="1" s="1"/>
  <c r="X372" i="16"/>
  <c r="L372" i="16"/>
  <c r="D372" i="16" s="1"/>
  <c r="K372" i="16"/>
  <c r="AC372" i="16"/>
  <c r="A373" i="16"/>
  <c r="AK372" i="16"/>
  <c r="AB372" i="16"/>
  <c r="AJ372" i="16"/>
  <c r="O372" i="16"/>
  <c r="E371" i="16"/>
  <c r="K374" i="1"/>
  <c r="Q374" i="1"/>
  <c r="X374" i="1"/>
  <c r="AB374" i="1"/>
  <c r="AC374" i="1"/>
  <c r="A375" i="1"/>
  <c r="AJ374" i="1"/>
  <c r="L374" i="1"/>
  <c r="O374" i="1"/>
  <c r="AK374" i="1"/>
  <c r="U374" i="1"/>
  <c r="T374" i="1" s="1"/>
  <c r="L372" i="17"/>
  <c r="A373" i="17"/>
  <c r="X372" i="17"/>
  <c r="O372" i="17"/>
  <c r="AK372" i="17"/>
  <c r="K372" i="17"/>
  <c r="AB372" i="17"/>
  <c r="AJ372" i="17"/>
  <c r="AC372" i="17"/>
  <c r="AA371" i="1"/>
  <c r="Z371" i="1" s="1"/>
  <c r="Y371" i="1" s="1"/>
  <c r="G371" i="1"/>
  <c r="BW371" i="6" s="1"/>
  <c r="I371" i="1"/>
  <c r="K371" i="18"/>
  <c r="AJ371" i="18"/>
  <c r="AB371" i="18"/>
  <c r="AK371" i="18"/>
  <c r="X371" i="18"/>
  <c r="A372" i="18"/>
  <c r="L371" i="18"/>
  <c r="O371" i="18"/>
  <c r="AC371" i="18"/>
  <c r="A370" i="22"/>
  <c r="X369" i="22"/>
  <c r="K369" i="22"/>
  <c r="AB369" i="22"/>
  <c r="L369" i="22"/>
  <c r="AJ369" i="22"/>
  <c r="AK369" i="22"/>
  <c r="O369" i="22"/>
  <c r="AC369" i="22"/>
  <c r="AB370" i="20"/>
  <c r="L370" i="20"/>
  <c r="A371" i="20"/>
  <c r="AJ370" i="20"/>
  <c r="X370" i="20"/>
  <c r="K370" i="20"/>
  <c r="AK370" i="20"/>
  <c r="O370" i="20"/>
  <c r="AC370" i="20"/>
  <c r="X366" i="25"/>
  <c r="L366" i="25"/>
  <c r="A367" i="25"/>
  <c r="K366" i="25"/>
  <c r="AB366" i="25"/>
  <c r="AJ366" i="25"/>
  <c r="O366" i="25"/>
  <c r="AK366" i="25"/>
  <c r="AC366" i="25"/>
  <c r="T373" i="1"/>
  <c r="D373" i="1"/>
  <c r="E373" i="1" s="1"/>
  <c r="X367" i="24"/>
  <c r="L367" i="24"/>
  <c r="K367" i="24"/>
  <c r="AK367" i="24"/>
  <c r="AB367" i="24"/>
  <c r="A368" i="24"/>
  <c r="AJ367" i="24"/>
  <c r="O367" i="24"/>
  <c r="AC367" i="24"/>
  <c r="A369" i="23"/>
  <c r="K368" i="23"/>
  <c r="AJ368" i="23"/>
  <c r="X368" i="23"/>
  <c r="AB368" i="23"/>
  <c r="L368" i="23"/>
  <c r="AK368" i="23"/>
  <c r="O368" i="23"/>
  <c r="AC368" i="23"/>
  <c r="G372" i="1" l="1"/>
  <c r="BW372" i="6" s="1"/>
  <c r="E373" i="15"/>
  <c r="K374" i="15"/>
  <c r="A375" i="15"/>
  <c r="X374" i="15"/>
  <c r="AK374" i="15"/>
  <c r="AC374" i="15"/>
  <c r="AJ374" i="15"/>
  <c r="O374" i="15"/>
  <c r="L374" i="15"/>
  <c r="D374" i="15" s="1"/>
  <c r="AB374" i="15"/>
  <c r="I372" i="1"/>
  <c r="E372" i="16"/>
  <c r="K373" i="16"/>
  <c r="L373" i="16"/>
  <c r="D373" i="16" s="1"/>
  <c r="A374" i="16"/>
  <c r="AC373" i="16"/>
  <c r="AB373" i="16"/>
  <c r="AJ373" i="16"/>
  <c r="X373" i="16"/>
  <c r="AK373" i="16"/>
  <c r="O373" i="16"/>
  <c r="AB369" i="23"/>
  <c r="A370" i="23"/>
  <c r="AJ369" i="23"/>
  <c r="K369" i="23"/>
  <c r="X369" i="23"/>
  <c r="L369" i="23"/>
  <c r="AK369" i="23"/>
  <c r="O369" i="23"/>
  <c r="AC369" i="23"/>
  <c r="K368" i="24"/>
  <c r="A369" i="24"/>
  <c r="AJ368" i="24"/>
  <c r="AK368" i="24"/>
  <c r="AB368" i="24"/>
  <c r="X368" i="24"/>
  <c r="L368" i="24"/>
  <c r="O368" i="24"/>
  <c r="AC368" i="24"/>
  <c r="AB367" i="25"/>
  <c r="L367" i="25"/>
  <c r="X367" i="25"/>
  <c r="AK367" i="25"/>
  <c r="A368" i="25"/>
  <c r="K367" i="25"/>
  <c r="AJ367" i="25"/>
  <c r="O367" i="25"/>
  <c r="AC367" i="25"/>
  <c r="X370" i="22"/>
  <c r="AB370" i="22"/>
  <c r="AK370" i="22"/>
  <c r="A371" i="22"/>
  <c r="L370" i="22"/>
  <c r="K370" i="22"/>
  <c r="AJ370" i="22"/>
  <c r="O370" i="22"/>
  <c r="AC370" i="22"/>
  <c r="AB372" i="18"/>
  <c r="L372" i="18"/>
  <c r="AJ372" i="18"/>
  <c r="K372" i="18"/>
  <c r="A373" i="18"/>
  <c r="X372" i="18"/>
  <c r="O372" i="18"/>
  <c r="AK372" i="18"/>
  <c r="AC372" i="18"/>
  <c r="A374" i="17"/>
  <c r="K373" i="17"/>
  <c r="L373" i="17"/>
  <c r="AJ373" i="17"/>
  <c r="O373" i="17"/>
  <c r="AK373" i="17"/>
  <c r="X373" i="17"/>
  <c r="AB373" i="17"/>
  <c r="AC373" i="17"/>
  <c r="S374" i="1"/>
  <c r="R374" i="1" s="1"/>
  <c r="P374" i="1" s="1"/>
  <c r="V374" i="1" s="1"/>
  <c r="S373" i="1"/>
  <c r="R373" i="1" s="1"/>
  <c r="P373" i="1" s="1"/>
  <c r="V373" i="1" s="1"/>
  <c r="F373" i="1" s="1"/>
  <c r="X371" i="20"/>
  <c r="A372" i="20"/>
  <c r="L371" i="20"/>
  <c r="AK371" i="20"/>
  <c r="AB371" i="20"/>
  <c r="K371" i="20"/>
  <c r="AJ371" i="20"/>
  <c r="O371" i="20"/>
  <c r="AC371" i="20"/>
  <c r="D374" i="1"/>
  <c r="E374" i="1" s="1"/>
  <c r="AJ375" i="1"/>
  <c r="Q375" i="1"/>
  <c r="AB375" i="1"/>
  <c r="A376" i="1"/>
  <c r="X375" i="1"/>
  <c r="K375" i="1"/>
  <c r="L375" i="1"/>
  <c r="O375" i="1"/>
  <c r="AK375" i="1"/>
  <c r="AC375" i="1"/>
  <c r="U375" i="1"/>
  <c r="T375" i="1" s="1"/>
  <c r="S375" i="1" s="1"/>
  <c r="R375" i="1" s="1"/>
  <c r="E374" i="15" l="1"/>
  <c r="A376" i="15"/>
  <c r="AC375" i="15"/>
  <c r="K375" i="15"/>
  <c r="AK375" i="15"/>
  <c r="AB375" i="15"/>
  <c r="AJ375" i="15"/>
  <c r="X375" i="15"/>
  <c r="L375" i="15"/>
  <c r="D375" i="15" s="1"/>
  <c r="O375" i="15"/>
  <c r="F374" i="1"/>
  <c r="G374" i="1" s="1"/>
  <c r="BW374" i="6" s="1"/>
  <c r="P375" i="1"/>
  <c r="E373" i="16"/>
  <c r="X374" i="16"/>
  <c r="AB374" i="16"/>
  <c r="AK374" i="16"/>
  <c r="L374" i="16"/>
  <c r="D374" i="16" s="1"/>
  <c r="O374" i="16"/>
  <c r="K374" i="16"/>
  <c r="AJ374" i="16"/>
  <c r="A375" i="16"/>
  <c r="AC374" i="16"/>
  <c r="AA374" i="1"/>
  <c r="Z374" i="1" s="1"/>
  <c r="Y374" i="1" s="1"/>
  <c r="AA373" i="1"/>
  <c r="Z373" i="1" s="1"/>
  <c r="Y373" i="1" s="1"/>
  <c r="G373" i="1"/>
  <c r="BW373" i="6" s="1"/>
  <c r="I373" i="1"/>
  <c r="AJ376" i="1"/>
  <c r="AC376" i="1"/>
  <c r="K376" i="1"/>
  <c r="Q376" i="1"/>
  <c r="A377" i="1"/>
  <c r="AB376" i="1"/>
  <c r="AK376" i="1"/>
  <c r="O376" i="1"/>
  <c r="X376" i="1"/>
  <c r="L376" i="1"/>
  <c r="U376" i="1"/>
  <c r="T376" i="1" s="1"/>
  <c r="X374" i="17"/>
  <c r="A375" i="17"/>
  <c r="AJ374" i="17"/>
  <c r="O374" i="17"/>
  <c r="AK374" i="17"/>
  <c r="AB374" i="17"/>
  <c r="L374" i="17"/>
  <c r="K374" i="17"/>
  <c r="AC374" i="17"/>
  <c r="A374" i="18"/>
  <c r="AJ373" i="18"/>
  <c r="L373" i="18"/>
  <c r="AK373" i="18"/>
  <c r="X373" i="18"/>
  <c r="AB373" i="18"/>
  <c r="K373" i="18"/>
  <c r="O373" i="18"/>
  <c r="AC373" i="18"/>
  <c r="A372" i="22"/>
  <c r="L371" i="22"/>
  <c r="K371" i="22"/>
  <c r="AJ371" i="22"/>
  <c r="AK371" i="22"/>
  <c r="X371" i="22"/>
  <c r="AB371" i="22"/>
  <c r="O371" i="22"/>
  <c r="AC371" i="22"/>
  <c r="K368" i="25"/>
  <c r="AB368" i="25"/>
  <c r="L368" i="25"/>
  <c r="A369" i="25"/>
  <c r="X368" i="25"/>
  <c r="AJ368" i="25"/>
  <c r="O368" i="25"/>
  <c r="AK368" i="25"/>
  <c r="AC368" i="25"/>
  <c r="K369" i="24"/>
  <c r="A370" i="24"/>
  <c r="L369" i="24"/>
  <c r="AJ369" i="24"/>
  <c r="AK369" i="24"/>
  <c r="AB369" i="24"/>
  <c r="X369" i="24"/>
  <c r="O369" i="24"/>
  <c r="AC369" i="24"/>
  <c r="D375" i="1"/>
  <c r="E375" i="1" s="1"/>
  <c r="V375" i="1"/>
  <c r="AB372" i="20"/>
  <c r="L372" i="20"/>
  <c r="X372" i="20"/>
  <c r="AJ372" i="20"/>
  <c r="K372" i="20"/>
  <c r="A373" i="20"/>
  <c r="AK372" i="20"/>
  <c r="O372" i="20"/>
  <c r="AC372" i="20"/>
  <c r="AB370" i="23"/>
  <c r="X370" i="23"/>
  <c r="AJ370" i="23"/>
  <c r="AK370" i="23"/>
  <c r="K370" i="23"/>
  <c r="L370" i="23"/>
  <c r="A371" i="23"/>
  <c r="O370" i="23"/>
  <c r="AC370" i="23"/>
  <c r="I374" i="1" l="1"/>
  <c r="E375" i="15"/>
  <c r="AB376" i="15"/>
  <c r="X376" i="15"/>
  <c r="K376" i="15"/>
  <c r="L376" i="15"/>
  <c r="D376" i="15" s="1"/>
  <c r="AC376" i="15"/>
  <c r="AK376" i="15"/>
  <c r="O376" i="15"/>
  <c r="AJ376" i="15"/>
  <c r="A377" i="15"/>
  <c r="E374" i="16"/>
  <c r="AJ375" i="16"/>
  <c r="A376" i="16"/>
  <c r="K375" i="16"/>
  <c r="AB375" i="16"/>
  <c r="AK375" i="16"/>
  <c r="O375" i="16"/>
  <c r="X375" i="16"/>
  <c r="L375" i="16"/>
  <c r="D375" i="16" s="1"/>
  <c r="E375" i="16" s="1"/>
  <c r="AC375" i="16"/>
  <c r="F375" i="1"/>
  <c r="AA375" i="1" s="1"/>
  <c r="Z375" i="1" s="1"/>
  <c r="Y375" i="1" s="1"/>
  <c r="A371" i="24"/>
  <c r="X370" i="24"/>
  <c r="AJ370" i="24"/>
  <c r="AK370" i="24"/>
  <c r="AB370" i="24"/>
  <c r="K370" i="24"/>
  <c r="L370" i="24"/>
  <c r="O370" i="24"/>
  <c r="AC370" i="24"/>
  <c r="A375" i="18"/>
  <c r="AB374" i="18"/>
  <c r="K374" i="18"/>
  <c r="O374" i="18"/>
  <c r="L374" i="18"/>
  <c r="X374" i="18"/>
  <c r="AJ374" i="18"/>
  <c r="AK374" i="18"/>
  <c r="AC374" i="18"/>
  <c r="A376" i="17"/>
  <c r="K375" i="17"/>
  <c r="L375" i="17"/>
  <c r="X375" i="17"/>
  <c r="AB375" i="17"/>
  <c r="AJ375" i="17"/>
  <c r="O375" i="17"/>
  <c r="AK375" i="17"/>
  <c r="AC375" i="17"/>
  <c r="D376" i="1"/>
  <c r="E376" i="1" s="1"/>
  <c r="K371" i="23"/>
  <c r="X371" i="23"/>
  <c r="AJ371" i="23"/>
  <c r="AK371" i="23"/>
  <c r="AB371" i="23"/>
  <c r="A372" i="23"/>
  <c r="L371" i="23"/>
  <c r="O371" i="23"/>
  <c r="AC371" i="23"/>
  <c r="A374" i="20"/>
  <c r="L373" i="20"/>
  <c r="K373" i="20"/>
  <c r="AK373" i="20"/>
  <c r="X373" i="20"/>
  <c r="AB373" i="20"/>
  <c r="AJ373" i="20"/>
  <c r="O373" i="20"/>
  <c r="AC373" i="20"/>
  <c r="K369" i="25"/>
  <c r="L369" i="25"/>
  <c r="AB369" i="25"/>
  <c r="A370" i="25"/>
  <c r="X369" i="25"/>
  <c r="AJ369" i="25"/>
  <c r="O369" i="25"/>
  <c r="AK369" i="25"/>
  <c r="AC369" i="25"/>
  <c r="A373" i="22"/>
  <c r="AB372" i="22"/>
  <c r="L372" i="22"/>
  <c r="AJ372" i="22"/>
  <c r="AK372" i="22"/>
  <c r="K372" i="22"/>
  <c r="X372" i="22"/>
  <c r="O372" i="22"/>
  <c r="AC372" i="22"/>
  <c r="S376" i="1"/>
  <c r="R376" i="1" s="1"/>
  <c r="P376" i="1" s="1"/>
  <c r="V376" i="1" s="1"/>
  <c r="AB377" i="1"/>
  <c r="AJ377" i="1"/>
  <c r="Q377" i="1"/>
  <c r="AK377" i="1"/>
  <c r="X377" i="1"/>
  <c r="U377" i="1"/>
  <c r="K377" i="1"/>
  <c r="L377" i="1"/>
  <c r="AC377" i="1"/>
  <c r="O377" i="1"/>
  <c r="A378" i="1"/>
  <c r="G375" i="1" l="1"/>
  <c r="BW375" i="6" s="1"/>
  <c r="E376" i="15"/>
  <c r="X377" i="15"/>
  <c r="L377" i="15"/>
  <c r="D377" i="15" s="1"/>
  <c r="AC377" i="15"/>
  <c r="AB377" i="15"/>
  <c r="O377" i="15"/>
  <c r="AK377" i="15"/>
  <c r="AJ377" i="15"/>
  <c r="A378" i="15"/>
  <c r="K377" i="15"/>
  <c r="I375" i="1"/>
  <c r="K376" i="16"/>
  <c r="X376" i="16"/>
  <c r="A377" i="16"/>
  <c r="AC376" i="16"/>
  <c r="AB376" i="16"/>
  <c r="AJ376" i="16"/>
  <c r="L376" i="16"/>
  <c r="D376" i="16" s="1"/>
  <c r="AK376" i="16"/>
  <c r="O376" i="16"/>
  <c r="K370" i="25"/>
  <c r="AB370" i="25"/>
  <c r="AJ370" i="25"/>
  <c r="A371" i="25"/>
  <c r="X370" i="25"/>
  <c r="L370" i="25"/>
  <c r="O370" i="25"/>
  <c r="AK370" i="25"/>
  <c r="AC370" i="25"/>
  <c r="A375" i="20"/>
  <c r="L374" i="20"/>
  <c r="X374" i="20"/>
  <c r="AJ374" i="20"/>
  <c r="AB374" i="20"/>
  <c r="K374" i="20"/>
  <c r="AK374" i="20"/>
  <c r="O374" i="20"/>
  <c r="AC374" i="20"/>
  <c r="K376" i="17"/>
  <c r="A377" i="17"/>
  <c r="L376" i="17"/>
  <c r="O376" i="17"/>
  <c r="AB376" i="17"/>
  <c r="X376" i="17"/>
  <c r="AJ376" i="17"/>
  <c r="AK376" i="17"/>
  <c r="AC376" i="17"/>
  <c r="AB371" i="24"/>
  <c r="A372" i="24"/>
  <c r="L371" i="24"/>
  <c r="AJ371" i="24"/>
  <c r="AK371" i="24"/>
  <c r="K371" i="24"/>
  <c r="X371" i="24"/>
  <c r="O371" i="24"/>
  <c r="AC371" i="24"/>
  <c r="D377" i="1"/>
  <c r="E377" i="1" s="1"/>
  <c r="T377" i="1"/>
  <c r="K373" i="22"/>
  <c r="L373" i="22"/>
  <c r="A374" i="22"/>
  <c r="X373" i="22"/>
  <c r="AB373" i="22"/>
  <c r="AJ373" i="22"/>
  <c r="AK373" i="22"/>
  <c r="O373" i="22"/>
  <c r="AC373" i="22"/>
  <c r="K378" i="1"/>
  <c r="X378" i="1"/>
  <c r="L378" i="1"/>
  <c r="AC378" i="1"/>
  <c r="AB378" i="1"/>
  <c r="AJ378" i="1"/>
  <c r="O378" i="1"/>
  <c r="Q378" i="1"/>
  <c r="AK378" i="1"/>
  <c r="A379" i="1"/>
  <c r="U378" i="1"/>
  <c r="T378" i="1" s="1"/>
  <c r="AB372" i="23"/>
  <c r="L372" i="23"/>
  <c r="K372" i="23"/>
  <c r="A373" i="23"/>
  <c r="X372" i="23"/>
  <c r="AJ372" i="23"/>
  <c r="AK372" i="23"/>
  <c r="O372" i="23"/>
  <c r="AC372" i="23"/>
  <c r="F376" i="1"/>
  <c r="K375" i="18"/>
  <c r="L375" i="18"/>
  <c r="A376" i="18"/>
  <c r="O375" i="18"/>
  <c r="AK375" i="18"/>
  <c r="X375" i="18"/>
  <c r="AB375" i="18"/>
  <c r="AJ375" i="18"/>
  <c r="AC375" i="18"/>
  <c r="E377" i="15" l="1"/>
  <c r="AJ378" i="15"/>
  <c r="AK378" i="15"/>
  <c r="X378" i="15"/>
  <c r="L378" i="15"/>
  <c r="D378" i="15" s="1"/>
  <c r="AB378" i="15"/>
  <c r="K378" i="15"/>
  <c r="AC378" i="15"/>
  <c r="A379" i="15"/>
  <c r="A380" i="15" s="1"/>
  <c r="O378" i="15"/>
  <c r="E376" i="16"/>
  <c r="K377" i="16"/>
  <c r="L377" i="16"/>
  <c r="D377" i="16" s="1"/>
  <c r="A378" i="16"/>
  <c r="AC377" i="16"/>
  <c r="AB377" i="16"/>
  <c r="AK377" i="16"/>
  <c r="X377" i="16"/>
  <c r="AJ377" i="16"/>
  <c r="O377" i="16"/>
  <c r="K376" i="18"/>
  <c r="AB376" i="18"/>
  <c r="X376" i="18"/>
  <c r="O376" i="18"/>
  <c r="AK376" i="18"/>
  <c r="L376" i="18"/>
  <c r="A377" i="18"/>
  <c r="AJ376" i="18"/>
  <c r="AC376" i="18"/>
  <c r="S378" i="1"/>
  <c r="R378" i="1" s="1"/>
  <c r="P378" i="1" s="1"/>
  <c r="V378" i="1" s="1"/>
  <c r="D378" i="1"/>
  <c r="E378" i="1" s="1"/>
  <c r="I376" i="1"/>
  <c r="G376" i="1"/>
  <c r="BW376" i="6" s="1"/>
  <c r="AA376" i="1"/>
  <c r="Z376" i="1" s="1"/>
  <c r="Y376" i="1" s="1"/>
  <c r="X373" i="23"/>
  <c r="L373" i="23"/>
  <c r="K373" i="23"/>
  <c r="AK373" i="23"/>
  <c r="AB373" i="23"/>
  <c r="A374" i="23"/>
  <c r="AJ373" i="23"/>
  <c r="O373" i="23"/>
  <c r="AC373" i="23"/>
  <c r="AK379" i="1"/>
  <c r="L379" i="1"/>
  <c r="B35" i="19" s="1"/>
  <c r="AB379" i="1"/>
  <c r="O379" i="1"/>
  <c r="C35" i="19" s="1"/>
  <c r="X379" i="1"/>
  <c r="K379" i="1"/>
  <c r="AJ379" i="1"/>
  <c r="Q379" i="1"/>
  <c r="AC379" i="1"/>
  <c r="U379" i="1"/>
  <c r="AB374" i="22"/>
  <c r="A375" i="22"/>
  <c r="L374" i="22"/>
  <c r="AK374" i="22"/>
  <c r="K374" i="22"/>
  <c r="X374" i="22"/>
  <c r="AJ374" i="22"/>
  <c r="O374" i="22"/>
  <c r="AC374" i="22"/>
  <c r="S377" i="1"/>
  <c r="R377" i="1" s="1"/>
  <c r="P377" i="1" s="1"/>
  <c r="V377" i="1" s="1"/>
  <c r="F377" i="1" s="1"/>
  <c r="X372" i="24"/>
  <c r="K372" i="24"/>
  <c r="L372" i="24"/>
  <c r="A373" i="24"/>
  <c r="AB372" i="24"/>
  <c r="AJ372" i="24"/>
  <c r="AK372" i="24"/>
  <c r="O372" i="24"/>
  <c r="AC372" i="24"/>
  <c r="A378" i="17"/>
  <c r="X377" i="17"/>
  <c r="AJ377" i="17"/>
  <c r="O377" i="17"/>
  <c r="AB377" i="17"/>
  <c r="L377" i="17"/>
  <c r="K377" i="17"/>
  <c r="AK377" i="17"/>
  <c r="AC377" i="17"/>
  <c r="A376" i="20"/>
  <c r="AB375" i="20"/>
  <c r="AK375" i="20"/>
  <c r="X375" i="20"/>
  <c r="K375" i="20"/>
  <c r="L375" i="20"/>
  <c r="AJ375" i="20"/>
  <c r="O375" i="20"/>
  <c r="AC375" i="20"/>
  <c r="AB371" i="25"/>
  <c r="A372" i="25"/>
  <c r="X371" i="25"/>
  <c r="L371" i="25"/>
  <c r="K371" i="25"/>
  <c r="AJ371" i="25"/>
  <c r="AK371" i="25"/>
  <c r="O371" i="25"/>
  <c r="AC371" i="25"/>
  <c r="AB380" i="15" l="1"/>
  <c r="L380" i="15"/>
  <c r="D380" i="15" s="1"/>
  <c r="X380" i="15"/>
  <c r="K380" i="15"/>
  <c r="AK380" i="15"/>
  <c r="AJ380" i="15"/>
  <c r="O380" i="15"/>
  <c r="AC380" i="15"/>
  <c r="E377" i="16"/>
  <c r="E378" i="15"/>
  <c r="L379" i="15"/>
  <c r="B36" i="19" s="1"/>
  <c r="O379" i="15"/>
  <c r="C36" i="19" s="1"/>
  <c r="X379" i="15"/>
  <c r="AC379" i="15"/>
  <c r="K379" i="15"/>
  <c r="AB379" i="15"/>
  <c r="AJ379" i="15"/>
  <c r="AK379" i="15"/>
  <c r="F378" i="1"/>
  <c r="AA378" i="1" s="1"/>
  <c r="K378" i="16"/>
  <c r="AJ378" i="16"/>
  <c r="L378" i="16"/>
  <c r="D378" i="16" s="1"/>
  <c r="AK378" i="16"/>
  <c r="O378" i="16"/>
  <c r="X378" i="16"/>
  <c r="AB378" i="16"/>
  <c r="A379" i="16"/>
  <c r="AC378" i="16"/>
  <c r="G378" i="1"/>
  <c r="BW378" i="6" s="1"/>
  <c r="G377" i="1"/>
  <c r="BW377" i="6" s="1"/>
  <c r="AA377" i="1"/>
  <c r="Z377" i="1" s="1"/>
  <c r="Y377" i="1" s="1"/>
  <c r="I377" i="1"/>
  <c r="X372" i="25"/>
  <c r="K372" i="25"/>
  <c r="AJ372" i="25"/>
  <c r="AK372" i="25"/>
  <c r="AB372" i="25"/>
  <c r="A373" i="25"/>
  <c r="L372" i="25"/>
  <c r="O372" i="25"/>
  <c r="AC372" i="25"/>
  <c r="X376" i="20"/>
  <c r="L376" i="20"/>
  <c r="AB376" i="20"/>
  <c r="A377" i="20"/>
  <c r="K376" i="20"/>
  <c r="AJ376" i="20"/>
  <c r="AK376" i="20"/>
  <c r="O376" i="20"/>
  <c r="AC376" i="20"/>
  <c r="A379" i="17"/>
  <c r="L378" i="17"/>
  <c r="X378" i="17"/>
  <c r="O378" i="17"/>
  <c r="AK378" i="17"/>
  <c r="AB378" i="17"/>
  <c r="K378" i="17"/>
  <c r="AJ378" i="17"/>
  <c r="AC378" i="17"/>
  <c r="K375" i="22"/>
  <c r="A376" i="22"/>
  <c r="L375" i="22"/>
  <c r="X375" i="22"/>
  <c r="AB375" i="22"/>
  <c r="AJ375" i="22"/>
  <c r="AK375" i="22"/>
  <c r="O375" i="22"/>
  <c r="AC375" i="22"/>
  <c r="BL16" i="7"/>
  <c r="BX16" i="7"/>
  <c r="T379" i="1"/>
  <c r="D16" i="7"/>
  <c r="J11" i="7" s="1"/>
  <c r="U11" i="15" s="1"/>
  <c r="U12" i="15"/>
  <c r="BR16" i="7"/>
  <c r="U383" i="1"/>
  <c r="U381" i="1"/>
  <c r="U382" i="1"/>
  <c r="Q12" i="15"/>
  <c r="BR15" i="7"/>
  <c r="D15" i="7"/>
  <c r="BL15" i="7"/>
  <c r="BX15" i="7"/>
  <c r="Q382" i="1"/>
  <c r="Q381" i="1"/>
  <c r="Q383" i="1"/>
  <c r="O382" i="1"/>
  <c r="O383" i="1"/>
  <c r="O381" i="1"/>
  <c r="D379" i="1"/>
  <c r="AJ7" i="1" s="1"/>
  <c r="L383" i="1"/>
  <c r="L381" i="1"/>
  <c r="L382" i="1"/>
  <c r="AB373" i="24"/>
  <c r="K373" i="24"/>
  <c r="X373" i="24"/>
  <c r="A374" i="24"/>
  <c r="L373" i="24"/>
  <c r="AJ373" i="24"/>
  <c r="AK373" i="24"/>
  <c r="O373" i="24"/>
  <c r="AC373" i="24"/>
  <c r="AC381" i="1"/>
  <c r="AC383" i="1"/>
  <c r="AC382" i="1"/>
  <c r="AJ6" i="1"/>
  <c r="AJ5" i="1"/>
  <c r="AK6" i="1"/>
  <c r="AK7" i="1"/>
  <c r="AK9" i="1"/>
  <c r="AM7" i="1"/>
  <c r="AM9" i="1"/>
  <c r="AM5" i="1"/>
  <c r="AK5" i="1"/>
  <c r="K374" i="23"/>
  <c r="L374" i="23"/>
  <c r="A375" i="23"/>
  <c r="AK374" i="23"/>
  <c r="AB374" i="23"/>
  <c r="X374" i="23"/>
  <c r="AJ374" i="23"/>
  <c r="O374" i="23"/>
  <c r="AC374" i="23"/>
  <c r="A378" i="18"/>
  <c r="L377" i="18"/>
  <c r="K377" i="18"/>
  <c r="O377" i="18"/>
  <c r="X377" i="18"/>
  <c r="AB377" i="18"/>
  <c r="AJ377" i="18"/>
  <c r="AK377" i="18"/>
  <c r="AC377" i="18"/>
  <c r="L35" i="19" l="1"/>
  <c r="AK6" i="15"/>
  <c r="AM11" i="1"/>
  <c r="AK11" i="1"/>
  <c r="AM5" i="15"/>
  <c r="E380" i="15"/>
  <c r="AJ9" i="15"/>
  <c r="AL9" i="15"/>
  <c r="AJ7" i="15"/>
  <c r="AJ11" i="15" s="1"/>
  <c r="AL7" i="15"/>
  <c r="AL11" i="15" s="1"/>
  <c r="AJ5" i="15"/>
  <c r="AJ6" i="15"/>
  <c r="AL5" i="15"/>
  <c r="D379" i="15"/>
  <c r="L383" i="15"/>
  <c r="L382" i="15"/>
  <c r="I378" i="1"/>
  <c r="L381" i="15"/>
  <c r="AM7" i="15"/>
  <c r="AM11" i="15" s="1"/>
  <c r="AK7" i="15"/>
  <c r="AK11" i="15" s="1"/>
  <c r="AK5" i="15"/>
  <c r="AM9" i="15"/>
  <c r="AC383" i="15"/>
  <c r="AC382" i="15"/>
  <c r="AC381" i="15"/>
  <c r="O382" i="15"/>
  <c r="O383" i="15"/>
  <c r="O381" i="15"/>
  <c r="AK9" i="15"/>
  <c r="AJ11" i="1"/>
  <c r="Z378" i="1"/>
  <c r="Y378" i="1" s="1"/>
  <c r="U10" i="15"/>
  <c r="U118" i="15" s="1"/>
  <c r="T118" i="15" s="1"/>
  <c r="S118" i="15" s="1"/>
  <c r="R118" i="15" s="1"/>
  <c r="E378" i="16"/>
  <c r="T383" i="1"/>
  <c r="T381" i="1"/>
  <c r="T382" i="1"/>
  <c r="AB379" i="16"/>
  <c r="AK379" i="16"/>
  <c r="X379" i="16"/>
  <c r="AC379" i="16"/>
  <c r="L379" i="16"/>
  <c r="K379" i="16"/>
  <c r="AJ379" i="16"/>
  <c r="O379" i="16"/>
  <c r="K375" i="23"/>
  <c r="AB375" i="23"/>
  <c r="AJ375" i="23"/>
  <c r="A376" i="23"/>
  <c r="X375" i="23"/>
  <c r="L375" i="23"/>
  <c r="AK375" i="23"/>
  <c r="O375" i="23"/>
  <c r="AC375" i="23"/>
  <c r="AJ8" i="1"/>
  <c r="D383" i="1"/>
  <c r="D9" i="1"/>
  <c r="D11" i="1" s="1"/>
  <c r="E35" i="19" s="1"/>
  <c r="D382" i="1"/>
  <c r="D381" i="1"/>
  <c r="E379" i="1"/>
  <c r="AJ9" i="1" s="1"/>
  <c r="I15" i="7"/>
  <c r="Q10" i="15"/>
  <c r="Q37" i="15" s="1"/>
  <c r="I16" i="7"/>
  <c r="S379" i="1"/>
  <c r="K376" i="22"/>
  <c r="X376" i="22"/>
  <c r="AJ376" i="22"/>
  <c r="AK376" i="22"/>
  <c r="A377" i="22"/>
  <c r="L376" i="22"/>
  <c r="AB376" i="22"/>
  <c r="O376" i="22"/>
  <c r="AC376" i="22"/>
  <c r="L379" i="17"/>
  <c r="B38" i="19" s="1"/>
  <c r="K379" i="17"/>
  <c r="AJ379" i="17"/>
  <c r="O379" i="17"/>
  <c r="AK379" i="17"/>
  <c r="AB379" i="17"/>
  <c r="X379" i="17"/>
  <c r="AC379" i="17"/>
  <c r="A378" i="20"/>
  <c r="AB377" i="20"/>
  <c r="AJ377" i="20"/>
  <c r="AK377" i="20"/>
  <c r="X377" i="20"/>
  <c r="K377" i="20"/>
  <c r="L377" i="20"/>
  <c r="O377" i="20"/>
  <c r="AC377" i="20"/>
  <c r="AB378" i="18"/>
  <c r="L378" i="18"/>
  <c r="X378" i="18"/>
  <c r="O378" i="18"/>
  <c r="A379" i="18"/>
  <c r="K378" i="18"/>
  <c r="AJ378" i="18"/>
  <c r="AK378" i="18"/>
  <c r="AC378" i="18"/>
  <c r="X374" i="24"/>
  <c r="L374" i="24"/>
  <c r="A375" i="24"/>
  <c r="AB374" i="24"/>
  <c r="K374" i="24"/>
  <c r="AJ374" i="24"/>
  <c r="AK374" i="24"/>
  <c r="O374" i="24"/>
  <c r="AC374" i="24"/>
  <c r="AI190" i="15"/>
  <c r="A374" i="25"/>
  <c r="L373" i="25"/>
  <c r="K373" i="25"/>
  <c r="AJ373" i="25"/>
  <c r="AK373" i="25"/>
  <c r="X373" i="25"/>
  <c r="AB373" i="25"/>
  <c r="O373" i="25"/>
  <c r="AC373" i="25"/>
  <c r="AI344" i="15" l="1"/>
  <c r="AH344" i="15" s="1"/>
  <c r="AI280" i="15"/>
  <c r="AH280" i="15" s="1"/>
  <c r="AI50" i="15"/>
  <c r="AH50" i="15" s="1"/>
  <c r="AG50" i="15" s="1"/>
  <c r="AF50" i="15" s="1"/>
  <c r="U343" i="15"/>
  <c r="T343" i="15" s="1"/>
  <c r="S343" i="15" s="1"/>
  <c r="R343" i="15" s="1"/>
  <c r="AI376" i="15"/>
  <c r="AI312" i="15"/>
  <c r="AI248" i="15"/>
  <c r="AH248" i="15" s="1"/>
  <c r="AI126" i="15"/>
  <c r="AH126" i="15" s="1"/>
  <c r="U215" i="15"/>
  <c r="T215" i="15" s="1"/>
  <c r="S215" i="15" s="1"/>
  <c r="R215" i="15" s="1"/>
  <c r="AI360" i="15"/>
  <c r="AH360" i="15" s="1"/>
  <c r="AG360" i="15" s="1"/>
  <c r="AF360" i="15" s="1"/>
  <c r="AI328" i="15"/>
  <c r="AH328" i="15" s="1"/>
  <c r="AI296" i="15"/>
  <c r="AH296" i="15" s="1"/>
  <c r="AI264" i="15"/>
  <c r="AH264" i="15" s="1"/>
  <c r="AG264" i="15" s="1"/>
  <c r="AF264" i="15" s="1"/>
  <c r="AI222" i="15"/>
  <c r="AH222" i="15" s="1"/>
  <c r="AI158" i="15"/>
  <c r="AH158" i="15" s="1"/>
  <c r="AI94" i="15"/>
  <c r="AH94" i="15" s="1"/>
  <c r="U279" i="15"/>
  <c r="T279" i="15" s="1"/>
  <c r="S279" i="15" s="1"/>
  <c r="R279" i="15" s="1"/>
  <c r="U15" i="15"/>
  <c r="T15" i="15" s="1"/>
  <c r="C38" i="19"/>
  <c r="C37" i="19"/>
  <c r="L36" i="19"/>
  <c r="D379" i="16"/>
  <c r="E379" i="16" s="1"/>
  <c r="B37" i="19"/>
  <c r="AI368" i="15"/>
  <c r="AH368" i="15" s="1"/>
  <c r="AG368" i="15" s="1"/>
  <c r="AF368" i="15" s="1"/>
  <c r="AI352" i="15"/>
  <c r="AH352" i="15" s="1"/>
  <c r="AI336" i="15"/>
  <c r="AH336" i="15" s="1"/>
  <c r="AG336" i="15" s="1"/>
  <c r="AF336" i="15" s="1"/>
  <c r="AI320" i="15"/>
  <c r="AH320" i="15" s="1"/>
  <c r="AI304" i="15"/>
  <c r="AH304" i="15" s="1"/>
  <c r="AI288" i="15"/>
  <c r="AH288" i="15" s="1"/>
  <c r="AG288" i="15" s="1"/>
  <c r="AF288" i="15" s="1"/>
  <c r="AI272" i="15"/>
  <c r="AH272" i="15" s="1"/>
  <c r="AI256" i="15"/>
  <c r="AH256" i="15" s="1"/>
  <c r="AI238" i="15"/>
  <c r="AH238" i="15" s="1"/>
  <c r="AI206" i="15"/>
  <c r="AH206" i="15" s="1"/>
  <c r="AG206" i="15" s="1"/>
  <c r="AF206" i="15" s="1"/>
  <c r="AI174" i="15"/>
  <c r="AH174" i="15" s="1"/>
  <c r="AI142" i="15"/>
  <c r="AH142" i="15" s="1"/>
  <c r="AG142" i="15" s="1"/>
  <c r="AF142" i="15" s="1"/>
  <c r="AI110" i="15"/>
  <c r="AI78" i="15"/>
  <c r="AH78" i="15" s="1"/>
  <c r="AG78" i="15" s="1"/>
  <c r="AF78" i="15" s="1"/>
  <c r="AI18" i="15"/>
  <c r="AH18" i="15" s="1"/>
  <c r="U375" i="15"/>
  <c r="T375" i="15" s="1"/>
  <c r="S375" i="15" s="1"/>
  <c r="R375" i="15" s="1"/>
  <c r="U311" i="15"/>
  <c r="T311" i="15" s="1"/>
  <c r="S311" i="15" s="1"/>
  <c r="R311" i="15" s="1"/>
  <c r="U247" i="15"/>
  <c r="T247" i="15" s="1"/>
  <c r="S247" i="15" s="1"/>
  <c r="R247" i="15" s="1"/>
  <c r="U182" i="15"/>
  <c r="T182" i="15" s="1"/>
  <c r="S182" i="15" s="1"/>
  <c r="R182" i="15" s="1"/>
  <c r="U54" i="15"/>
  <c r="T54" i="15" s="1"/>
  <c r="S54" i="15" s="1"/>
  <c r="R54" i="15" s="1"/>
  <c r="AI372" i="15"/>
  <c r="AI364" i="15"/>
  <c r="AH364" i="15" s="1"/>
  <c r="AI356" i="15"/>
  <c r="AH356" i="15" s="1"/>
  <c r="AG356" i="15" s="1"/>
  <c r="AF356" i="15" s="1"/>
  <c r="AI348" i="15"/>
  <c r="AH348" i="15" s="1"/>
  <c r="AI340" i="15"/>
  <c r="AH340" i="15" s="1"/>
  <c r="AG340" i="15" s="1"/>
  <c r="AF340" i="15" s="1"/>
  <c r="AI332" i="15"/>
  <c r="AH332" i="15" s="1"/>
  <c r="AI324" i="15"/>
  <c r="AH324" i="15" s="1"/>
  <c r="AG324" i="15" s="1"/>
  <c r="AF324" i="15" s="1"/>
  <c r="AI316" i="15"/>
  <c r="AH316" i="15" s="1"/>
  <c r="AG316" i="15" s="1"/>
  <c r="AF316" i="15" s="1"/>
  <c r="AI308" i="15"/>
  <c r="AH308" i="15" s="1"/>
  <c r="AI300" i="15"/>
  <c r="AH300" i="15" s="1"/>
  <c r="AI292" i="15"/>
  <c r="AH292" i="15" s="1"/>
  <c r="AI284" i="15"/>
  <c r="AH284" i="15" s="1"/>
  <c r="AI276" i="15"/>
  <c r="AH276" i="15" s="1"/>
  <c r="AI268" i="15"/>
  <c r="AH268" i="15" s="1"/>
  <c r="AI260" i="15"/>
  <c r="AH260" i="15" s="1"/>
  <c r="AI252" i="15"/>
  <c r="AH252" i="15" s="1"/>
  <c r="AI244" i="15"/>
  <c r="AH244" i="15" s="1"/>
  <c r="AG244" i="15" s="1"/>
  <c r="AF244" i="15" s="1"/>
  <c r="AI230" i="15"/>
  <c r="AH230" i="15" s="1"/>
  <c r="AG230" i="15" s="1"/>
  <c r="AF230" i="15" s="1"/>
  <c r="AI214" i="15"/>
  <c r="AH214" i="15" s="1"/>
  <c r="AI198" i="15"/>
  <c r="AH198" i="15" s="1"/>
  <c r="AI182" i="15"/>
  <c r="AH182" i="15" s="1"/>
  <c r="AG182" i="15" s="1"/>
  <c r="AF182" i="15" s="1"/>
  <c r="AI166" i="15"/>
  <c r="AH166" i="15" s="1"/>
  <c r="AG166" i="15" s="1"/>
  <c r="AF166" i="15" s="1"/>
  <c r="AI150" i="15"/>
  <c r="AH150" i="15" s="1"/>
  <c r="AG150" i="15" s="1"/>
  <c r="AF150" i="15" s="1"/>
  <c r="AI134" i="15"/>
  <c r="AH134" i="15" s="1"/>
  <c r="AG134" i="15" s="1"/>
  <c r="AF134" i="15" s="1"/>
  <c r="AI118" i="15"/>
  <c r="AH118" i="15" s="1"/>
  <c r="AI102" i="15"/>
  <c r="AH102" i="15" s="1"/>
  <c r="AG102" i="15" s="1"/>
  <c r="AF102" i="15" s="1"/>
  <c r="AI86" i="15"/>
  <c r="AH86" i="15" s="1"/>
  <c r="AI66" i="15"/>
  <c r="AH66" i="15" s="1"/>
  <c r="AI34" i="15"/>
  <c r="AH34" i="15" s="1"/>
  <c r="AG34" i="15" s="1"/>
  <c r="AF34" i="15" s="1"/>
  <c r="U359" i="15"/>
  <c r="T359" i="15" s="1"/>
  <c r="S359" i="15" s="1"/>
  <c r="R359" i="15" s="1"/>
  <c r="U327" i="15"/>
  <c r="T327" i="15" s="1"/>
  <c r="S327" i="15" s="1"/>
  <c r="R327" i="15" s="1"/>
  <c r="U295" i="15"/>
  <c r="T295" i="15" s="1"/>
  <c r="S295" i="15" s="1"/>
  <c r="R295" i="15" s="1"/>
  <c r="U263" i="15"/>
  <c r="T263" i="15" s="1"/>
  <c r="S263" i="15" s="1"/>
  <c r="R263" i="15" s="1"/>
  <c r="U231" i="15"/>
  <c r="T231" i="15" s="1"/>
  <c r="S231" i="15" s="1"/>
  <c r="R231" i="15" s="1"/>
  <c r="U199" i="15"/>
  <c r="T199" i="15" s="1"/>
  <c r="S199" i="15" s="1"/>
  <c r="R199" i="15" s="1"/>
  <c r="U150" i="15"/>
  <c r="T150" i="15" s="1"/>
  <c r="S150" i="15" s="1"/>
  <c r="R150" i="15" s="1"/>
  <c r="U86" i="15"/>
  <c r="T86" i="15" s="1"/>
  <c r="S86" i="15" s="1"/>
  <c r="R86" i="15" s="1"/>
  <c r="Q319" i="15"/>
  <c r="Q351" i="15"/>
  <c r="Q195" i="15"/>
  <c r="U30" i="15"/>
  <c r="T30" i="15" s="1"/>
  <c r="U46" i="15"/>
  <c r="T46" i="15" s="1"/>
  <c r="S46" i="15" s="1"/>
  <c r="R46" i="15" s="1"/>
  <c r="U62" i="15"/>
  <c r="T62" i="15" s="1"/>
  <c r="S62" i="15" s="1"/>
  <c r="R62" i="15" s="1"/>
  <c r="U78" i="15"/>
  <c r="T78" i="15" s="1"/>
  <c r="S78" i="15" s="1"/>
  <c r="R78" i="15" s="1"/>
  <c r="U94" i="15"/>
  <c r="T94" i="15" s="1"/>
  <c r="S94" i="15" s="1"/>
  <c r="R94" i="15" s="1"/>
  <c r="U110" i="15"/>
  <c r="T110" i="15" s="1"/>
  <c r="S110" i="15" s="1"/>
  <c r="R110" i="15" s="1"/>
  <c r="U126" i="15"/>
  <c r="T126" i="15" s="1"/>
  <c r="S126" i="15" s="1"/>
  <c r="R126" i="15" s="1"/>
  <c r="U142" i="15"/>
  <c r="T142" i="15" s="1"/>
  <c r="S142" i="15" s="1"/>
  <c r="R142" i="15" s="1"/>
  <c r="U158" i="15"/>
  <c r="T158" i="15" s="1"/>
  <c r="S158" i="15" s="1"/>
  <c r="R158" i="15" s="1"/>
  <c r="U174" i="15"/>
  <c r="T174" i="15" s="1"/>
  <c r="S174" i="15" s="1"/>
  <c r="R174" i="15" s="1"/>
  <c r="U187" i="15"/>
  <c r="T187" i="15" s="1"/>
  <c r="S187" i="15" s="1"/>
  <c r="R187" i="15" s="1"/>
  <c r="U195" i="15"/>
  <c r="T195" i="15" s="1"/>
  <c r="S195" i="15" s="1"/>
  <c r="R195" i="15" s="1"/>
  <c r="P195" i="15" s="1"/>
  <c r="V195" i="15" s="1"/>
  <c r="F195" i="15" s="1"/>
  <c r="U203" i="15"/>
  <c r="T203" i="15" s="1"/>
  <c r="S203" i="15" s="1"/>
  <c r="R203" i="15" s="1"/>
  <c r="U211" i="15"/>
  <c r="T211" i="15" s="1"/>
  <c r="S211" i="15" s="1"/>
  <c r="R211" i="15" s="1"/>
  <c r="U219" i="15"/>
  <c r="T219" i="15" s="1"/>
  <c r="S219" i="15" s="1"/>
  <c r="R219" i="15" s="1"/>
  <c r="U227" i="15"/>
  <c r="T227" i="15" s="1"/>
  <c r="S227" i="15" s="1"/>
  <c r="R227" i="15" s="1"/>
  <c r="U235" i="15"/>
  <c r="T235" i="15" s="1"/>
  <c r="S235" i="15" s="1"/>
  <c r="R235" i="15" s="1"/>
  <c r="U243" i="15"/>
  <c r="T243" i="15" s="1"/>
  <c r="S243" i="15" s="1"/>
  <c r="R243" i="15" s="1"/>
  <c r="U251" i="15"/>
  <c r="T251" i="15" s="1"/>
  <c r="S251" i="15" s="1"/>
  <c r="R251" i="15" s="1"/>
  <c r="U259" i="15"/>
  <c r="T259" i="15" s="1"/>
  <c r="S259" i="15" s="1"/>
  <c r="R259" i="15" s="1"/>
  <c r="U267" i="15"/>
  <c r="T267" i="15" s="1"/>
  <c r="S267" i="15" s="1"/>
  <c r="R267" i="15" s="1"/>
  <c r="U275" i="15"/>
  <c r="T275" i="15" s="1"/>
  <c r="S275" i="15" s="1"/>
  <c r="R275" i="15" s="1"/>
  <c r="U283" i="15"/>
  <c r="T283" i="15" s="1"/>
  <c r="S283" i="15" s="1"/>
  <c r="R283" i="15" s="1"/>
  <c r="U291" i="15"/>
  <c r="T291" i="15" s="1"/>
  <c r="S291" i="15" s="1"/>
  <c r="R291" i="15" s="1"/>
  <c r="U299" i="15"/>
  <c r="T299" i="15" s="1"/>
  <c r="S299" i="15" s="1"/>
  <c r="R299" i="15" s="1"/>
  <c r="U307" i="15"/>
  <c r="T307" i="15" s="1"/>
  <c r="S307" i="15" s="1"/>
  <c r="R307" i="15" s="1"/>
  <c r="U315" i="15"/>
  <c r="T315" i="15" s="1"/>
  <c r="S315" i="15" s="1"/>
  <c r="R315" i="15" s="1"/>
  <c r="U323" i="15"/>
  <c r="T323" i="15" s="1"/>
  <c r="S323" i="15" s="1"/>
  <c r="R323" i="15" s="1"/>
  <c r="U331" i="15"/>
  <c r="T331" i="15" s="1"/>
  <c r="S331" i="15" s="1"/>
  <c r="R331" i="15" s="1"/>
  <c r="U339" i="15"/>
  <c r="T339" i="15" s="1"/>
  <c r="S339" i="15" s="1"/>
  <c r="R339" i="15" s="1"/>
  <c r="U347" i="15"/>
  <c r="T347" i="15" s="1"/>
  <c r="S347" i="15" s="1"/>
  <c r="R347" i="15" s="1"/>
  <c r="U355" i="15"/>
  <c r="T355" i="15" s="1"/>
  <c r="S355" i="15" s="1"/>
  <c r="R355" i="15" s="1"/>
  <c r="U363" i="15"/>
  <c r="T363" i="15" s="1"/>
  <c r="S363" i="15" s="1"/>
  <c r="R363" i="15" s="1"/>
  <c r="U371" i="15"/>
  <c r="T371" i="15" s="1"/>
  <c r="S371" i="15" s="1"/>
  <c r="R371" i="15" s="1"/>
  <c r="U379" i="15"/>
  <c r="T379" i="15" s="1"/>
  <c r="S379" i="15" s="1"/>
  <c r="R379" i="15" s="1"/>
  <c r="K16" i="7"/>
  <c r="AI28" i="15"/>
  <c r="AH28" i="15" s="1"/>
  <c r="AI30" i="15"/>
  <c r="AH30" i="15" s="1"/>
  <c r="AI38" i="15"/>
  <c r="AH38" i="15" s="1"/>
  <c r="AI46" i="15"/>
  <c r="AH46" i="15" s="1"/>
  <c r="AI54" i="15"/>
  <c r="AH54" i="15" s="1"/>
  <c r="AI62" i="15"/>
  <c r="AH62" i="15" s="1"/>
  <c r="AI70" i="15"/>
  <c r="AH70" i="15" s="1"/>
  <c r="AG70" i="15" s="1"/>
  <c r="AF70" i="15" s="1"/>
  <c r="AI76" i="15"/>
  <c r="AH76" i="15" s="1"/>
  <c r="AG76" i="15" s="1"/>
  <c r="AF76" i="15" s="1"/>
  <c r="AI80" i="15"/>
  <c r="AH80" i="15" s="1"/>
  <c r="AI84" i="15"/>
  <c r="AH84" i="15" s="1"/>
  <c r="AI88" i="15"/>
  <c r="AH88" i="15" s="1"/>
  <c r="AI92" i="15"/>
  <c r="AH92" i="15" s="1"/>
  <c r="AG92" i="15" s="1"/>
  <c r="AF92" i="15" s="1"/>
  <c r="AI96" i="15"/>
  <c r="AH96" i="15" s="1"/>
  <c r="AI100" i="15"/>
  <c r="AH100" i="15" s="1"/>
  <c r="AI104" i="15"/>
  <c r="AH104" i="15" s="1"/>
  <c r="AG104" i="15" s="1"/>
  <c r="AF104" i="15" s="1"/>
  <c r="AI108" i="15"/>
  <c r="AH108" i="15" s="1"/>
  <c r="AI112" i="15"/>
  <c r="AH112" i="15" s="1"/>
  <c r="AG112" i="15" s="1"/>
  <c r="AF112" i="15" s="1"/>
  <c r="AI116" i="15"/>
  <c r="AH116" i="15" s="1"/>
  <c r="AI120" i="15"/>
  <c r="AH120" i="15" s="1"/>
  <c r="AI124" i="15"/>
  <c r="AH124" i="15" s="1"/>
  <c r="AG124" i="15" s="1"/>
  <c r="AF124" i="15" s="1"/>
  <c r="AI128" i="15"/>
  <c r="AH128" i="15" s="1"/>
  <c r="AI132" i="15"/>
  <c r="AH132" i="15" s="1"/>
  <c r="AI136" i="15"/>
  <c r="AH136" i="15" s="1"/>
  <c r="AG136" i="15" s="1"/>
  <c r="AF136" i="15" s="1"/>
  <c r="AI140" i="15"/>
  <c r="AH140" i="15" s="1"/>
  <c r="AG140" i="15" s="1"/>
  <c r="AF140" i="15" s="1"/>
  <c r="AI144" i="15"/>
  <c r="AI148" i="15"/>
  <c r="AH148" i="15" s="1"/>
  <c r="AI152" i="15"/>
  <c r="AH152" i="15" s="1"/>
  <c r="AI156" i="15"/>
  <c r="AH156" i="15" s="1"/>
  <c r="AG156" i="15" s="1"/>
  <c r="AF156" i="15" s="1"/>
  <c r="AI160" i="15"/>
  <c r="AH160" i="15" s="1"/>
  <c r="AG160" i="15" s="1"/>
  <c r="AF160" i="15" s="1"/>
  <c r="AI164" i="15"/>
  <c r="AH164" i="15" s="1"/>
  <c r="AG164" i="15" s="1"/>
  <c r="AF164" i="15" s="1"/>
  <c r="AI168" i="15"/>
  <c r="AH168" i="15" s="1"/>
  <c r="AI172" i="15"/>
  <c r="AH172" i="15" s="1"/>
  <c r="AI176" i="15"/>
  <c r="AH176" i="15" s="1"/>
  <c r="AG176" i="15" s="1"/>
  <c r="AF176" i="15" s="1"/>
  <c r="AI180" i="15"/>
  <c r="AH180" i="15" s="1"/>
  <c r="AI184" i="15"/>
  <c r="AH184" i="15" s="1"/>
  <c r="AG184" i="15" s="1"/>
  <c r="AF184" i="15" s="1"/>
  <c r="AI188" i="15"/>
  <c r="AH188" i="15" s="1"/>
  <c r="AI192" i="15"/>
  <c r="AH192" i="15" s="1"/>
  <c r="AG192" i="15" s="1"/>
  <c r="AF192" i="15" s="1"/>
  <c r="AI196" i="15"/>
  <c r="AH196" i="15" s="1"/>
  <c r="AI200" i="15"/>
  <c r="AH200" i="15" s="1"/>
  <c r="AG200" i="15" s="1"/>
  <c r="AF200" i="15" s="1"/>
  <c r="AI204" i="15"/>
  <c r="AH204" i="15" s="1"/>
  <c r="AI208" i="15"/>
  <c r="AH208" i="15" s="1"/>
  <c r="AI212" i="15"/>
  <c r="AH212" i="15" s="1"/>
  <c r="AI216" i="15"/>
  <c r="AH216" i="15" s="1"/>
  <c r="AG216" i="15" s="1"/>
  <c r="AF216" i="15" s="1"/>
  <c r="AI220" i="15"/>
  <c r="AH220" i="15" s="1"/>
  <c r="AG220" i="15" s="1"/>
  <c r="AF220" i="15" s="1"/>
  <c r="AI224" i="15"/>
  <c r="AH224" i="15" s="1"/>
  <c r="AG224" i="15" s="1"/>
  <c r="AF224" i="15" s="1"/>
  <c r="AI228" i="15"/>
  <c r="AH228" i="15" s="1"/>
  <c r="AI232" i="15"/>
  <c r="AH232" i="15" s="1"/>
  <c r="AI236" i="15"/>
  <c r="AH236" i="15" s="1"/>
  <c r="AG236" i="15" s="1"/>
  <c r="AF236" i="15" s="1"/>
  <c r="AI240" i="15"/>
  <c r="AH240" i="15" s="1"/>
  <c r="AG240" i="15" s="1"/>
  <c r="AF240" i="15" s="1"/>
  <c r="AI378" i="15"/>
  <c r="AH378" i="15" s="1"/>
  <c r="AG378" i="15" s="1"/>
  <c r="AF378" i="15" s="1"/>
  <c r="AI374" i="15"/>
  <c r="AH374" i="15" s="1"/>
  <c r="AG374" i="15" s="1"/>
  <c r="AF374" i="15" s="1"/>
  <c r="AI370" i="15"/>
  <c r="AH370" i="15" s="1"/>
  <c r="AI366" i="15"/>
  <c r="AH366" i="15" s="1"/>
  <c r="AI362" i="15"/>
  <c r="AH362" i="15" s="1"/>
  <c r="AI358" i="15"/>
  <c r="AH358" i="15" s="1"/>
  <c r="AI354" i="15"/>
  <c r="AH354" i="15" s="1"/>
  <c r="AI350" i="15"/>
  <c r="AH350" i="15" s="1"/>
  <c r="AG350" i="15" s="1"/>
  <c r="AF350" i="15" s="1"/>
  <c r="AI346" i="15"/>
  <c r="AH346" i="15" s="1"/>
  <c r="AI342" i="15"/>
  <c r="AH342" i="15" s="1"/>
  <c r="AG342" i="15" s="1"/>
  <c r="AF342" i="15" s="1"/>
  <c r="AI338" i="15"/>
  <c r="AH338" i="15" s="1"/>
  <c r="AI334" i="15"/>
  <c r="AH334" i="15" s="1"/>
  <c r="AI330" i="15"/>
  <c r="AH330" i="15" s="1"/>
  <c r="AI326" i="15"/>
  <c r="AH326" i="15" s="1"/>
  <c r="AI322" i="15"/>
  <c r="AH322" i="15" s="1"/>
  <c r="AG322" i="15" s="1"/>
  <c r="AF322" i="15" s="1"/>
  <c r="AI318" i="15"/>
  <c r="AH318" i="15" s="1"/>
  <c r="AG318" i="15" s="1"/>
  <c r="AF318" i="15" s="1"/>
  <c r="AI314" i="15"/>
  <c r="AH314" i="15" s="1"/>
  <c r="AI310" i="15"/>
  <c r="AH310" i="15" s="1"/>
  <c r="AG310" i="15" s="1"/>
  <c r="AF310" i="15" s="1"/>
  <c r="AI306" i="15"/>
  <c r="AH306" i="15" s="1"/>
  <c r="AI302" i="15"/>
  <c r="AH302" i="15" s="1"/>
  <c r="AI298" i="15"/>
  <c r="AH298" i="15" s="1"/>
  <c r="AI294" i="15"/>
  <c r="AH294" i="15" s="1"/>
  <c r="AG294" i="15" s="1"/>
  <c r="AF294" i="15" s="1"/>
  <c r="AI290" i="15"/>
  <c r="AH290" i="15" s="1"/>
  <c r="AG290" i="15" s="1"/>
  <c r="AF290" i="15" s="1"/>
  <c r="AI286" i="15"/>
  <c r="AH286" i="15" s="1"/>
  <c r="AI282" i="15"/>
  <c r="AH282" i="15" s="1"/>
  <c r="AG282" i="15" s="1"/>
  <c r="AF282" i="15" s="1"/>
  <c r="AI278" i="15"/>
  <c r="AH278" i="15" s="1"/>
  <c r="AG278" i="15" s="1"/>
  <c r="AF278" i="15" s="1"/>
  <c r="AI274" i="15"/>
  <c r="AH274" i="15" s="1"/>
  <c r="AI270" i="15"/>
  <c r="AH270" i="15" s="1"/>
  <c r="AI266" i="15"/>
  <c r="AH266" i="15" s="1"/>
  <c r="AI262" i="15"/>
  <c r="AH262" i="15" s="1"/>
  <c r="AG262" i="15" s="1"/>
  <c r="AF262" i="15" s="1"/>
  <c r="AI258" i="15"/>
  <c r="AH258" i="15" s="1"/>
  <c r="AG258" i="15" s="1"/>
  <c r="AF258" i="15" s="1"/>
  <c r="AI254" i="15"/>
  <c r="AH254" i="15" s="1"/>
  <c r="AG254" i="15" s="1"/>
  <c r="AF254" i="15" s="1"/>
  <c r="AI250" i="15"/>
  <c r="AH250" i="15" s="1"/>
  <c r="AI246" i="15"/>
  <c r="AH246" i="15" s="1"/>
  <c r="AI242" i="15"/>
  <c r="AH242" i="15" s="1"/>
  <c r="AI234" i="15"/>
  <c r="AH234" i="15" s="1"/>
  <c r="AG234" i="15" s="1"/>
  <c r="AF234" i="15" s="1"/>
  <c r="AI226" i="15"/>
  <c r="AH226" i="15" s="1"/>
  <c r="AI218" i="15"/>
  <c r="AH218" i="15" s="1"/>
  <c r="AI210" i="15"/>
  <c r="AH210" i="15" s="1"/>
  <c r="AG210" i="15" s="1"/>
  <c r="AF210" i="15" s="1"/>
  <c r="AI202" i="15"/>
  <c r="AH202" i="15" s="1"/>
  <c r="AG202" i="15" s="1"/>
  <c r="AF202" i="15" s="1"/>
  <c r="AI194" i="15"/>
  <c r="AH194" i="15" s="1"/>
  <c r="AI186" i="15"/>
  <c r="AH186" i="15" s="1"/>
  <c r="AI178" i="15"/>
  <c r="AH178" i="15" s="1"/>
  <c r="AI170" i="15"/>
  <c r="AH170" i="15" s="1"/>
  <c r="AG170" i="15" s="1"/>
  <c r="AF170" i="15" s="1"/>
  <c r="AI162" i="15"/>
  <c r="AH162" i="15" s="1"/>
  <c r="AG162" i="15" s="1"/>
  <c r="AF162" i="15" s="1"/>
  <c r="AI154" i="15"/>
  <c r="AH154" i="15" s="1"/>
  <c r="AI146" i="15"/>
  <c r="AH146" i="15" s="1"/>
  <c r="AI138" i="15"/>
  <c r="AH138" i="15" s="1"/>
  <c r="AG138" i="15" s="1"/>
  <c r="AF138" i="15" s="1"/>
  <c r="AI130" i="15"/>
  <c r="AH130" i="15" s="1"/>
  <c r="AG130" i="15" s="1"/>
  <c r="AF130" i="15" s="1"/>
  <c r="AI122" i="15"/>
  <c r="AH122" i="15" s="1"/>
  <c r="AI114" i="15"/>
  <c r="AH114" i="15" s="1"/>
  <c r="AI106" i="15"/>
  <c r="AH106" i="15" s="1"/>
  <c r="AI98" i="15"/>
  <c r="AH98" i="15" s="1"/>
  <c r="AG98" i="15" s="1"/>
  <c r="AF98" i="15" s="1"/>
  <c r="AI90" i="15"/>
  <c r="AH90" i="15" s="1"/>
  <c r="AI82" i="15"/>
  <c r="AH82" i="15" s="1"/>
  <c r="AI74" i="15"/>
  <c r="AH74" i="15" s="1"/>
  <c r="AI58" i="15"/>
  <c r="AH58" i="15" s="1"/>
  <c r="AG58" i="15" s="1"/>
  <c r="AF58" i="15" s="1"/>
  <c r="AI42" i="15"/>
  <c r="AH42" i="15" s="1"/>
  <c r="AG42" i="15" s="1"/>
  <c r="AF42" i="15" s="1"/>
  <c r="AI16" i="15"/>
  <c r="U367" i="15"/>
  <c r="T367" i="15" s="1"/>
  <c r="S367" i="15" s="1"/>
  <c r="R367" i="15" s="1"/>
  <c r="U351" i="15"/>
  <c r="T351" i="15" s="1"/>
  <c r="S351" i="15" s="1"/>
  <c r="R351" i="15" s="1"/>
  <c r="U335" i="15"/>
  <c r="T335" i="15" s="1"/>
  <c r="S335" i="15" s="1"/>
  <c r="R335" i="15" s="1"/>
  <c r="U319" i="15"/>
  <c r="T319" i="15" s="1"/>
  <c r="U303" i="15"/>
  <c r="T303" i="15" s="1"/>
  <c r="S303" i="15" s="1"/>
  <c r="R303" i="15" s="1"/>
  <c r="U287" i="15"/>
  <c r="T287" i="15" s="1"/>
  <c r="S287" i="15" s="1"/>
  <c r="R287" i="15" s="1"/>
  <c r="U271" i="15"/>
  <c r="T271" i="15" s="1"/>
  <c r="S271" i="15" s="1"/>
  <c r="R271" i="15" s="1"/>
  <c r="U255" i="15"/>
  <c r="T255" i="15" s="1"/>
  <c r="S255" i="15" s="1"/>
  <c r="R255" i="15" s="1"/>
  <c r="U239" i="15"/>
  <c r="T239" i="15" s="1"/>
  <c r="S239" i="15" s="1"/>
  <c r="R239" i="15" s="1"/>
  <c r="U223" i="15"/>
  <c r="T223" i="15" s="1"/>
  <c r="S223" i="15" s="1"/>
  <c r="R223" i="15" s="1"/>
  <c r="U207" i="15"/>
  <c r="T207" i="15" s="1"/>
  <c r="S207" i="15" s="1"/>
  <c r="R207" i="15" s="1"/>
  <c r="U191" i="15"/>
  <c r="T191" i="15" s="1"/>
  <c r="S191" i="15" s="1"/>
  <c r="R191" i="15" s="1"/>
  <c r="U166" i="15"/>
  <c r="T166" i="15" s="1"/>
  <c r="S166" i="15" s="1"/>
  <c r="R166" i="15" s="1"/>
  <c r="U134" i="15"/>
  <c r="T134" i="15" s="1"/>
  <c r="S134" i="15" s="1"/>
  <c r="R134" i="15" s="1"/>
  <c r="U102" i="15"/>
  <c r="T102" i="15" s="1"/>
  <c r="S102" i="15" s="1"/>
  <c r="R102" i="15" s="1"/>
  <c r="U70" i="15"/>
  <c r="T70" i="15" s="1"/>
  <c r="S70" i="15" s="1"/>
  <c r="R70" i="15" s="1"/>
  <c r="U38" i="15"/>
  <c r="T38" i="15" s="1"/>
  <c r="S38" i="15" s="1"/>
  <c r="R38" i="15" s="1"/>
  <c r="Q367" i="15"/>
  <c r="Q335" i="15"/>
  <c r="P335" i="15" s="1"/>
  <c r="V335" i="15" s="1"/>
  <c r="F335" i="15" s="1"/>
  <c r="Q259" i="15"/>
  <c r="Q131" i="15"/>
  <c r="AK3" i="1"/>
  <c r="Q11" i="19" s="1"/>
  <c r="Q291" i="15"/>
  <c r="Q227" i="15"/>
  <c r="Q163" i="15"/>
  <c r="Q99" i="15"/>
  <c r="Q375" i="15"/>
  <c r="Q359" i="15"/>
  <c r="Q343" i="15"/>
  <c r="P343" i="15" s="1"/>
  <c r="V343" i="15" s="1"/>
  <c r="F343" i="15" s="1"/>
  <c r="Q327" i="15"/>
  <c r="Q307" i="15"/>
  <c r="Q275" i="15"/>
  <c r="Q243" i="15"/>
  <c r="Q211" i="15"/>
  <c r="Q179" i="15"/>
  <c r="Q147" i="15"/>
  <c r="Q115" i="15"/>
  <c r="Q83" i="15"/>
  <c r="U23" i="15"/>
  <c r="T23" i="15" s="1"/>
  <c r="S23" i="15" s="1"/>
  <c r="R23" i="15" s="1"/>
  <c r="U21" i="15"/>
  <c r="T21" i="15" s="1"/>
  <c r="S21" i="15" s="1"/>
  <c r="R21" i="15" s="1"/>
  <c r="U16" i="15"/>
  <c r="T16" i="15" s="1"/>
  <c r="S16" i="15" s="1"/>
  <c r="R16" i="15" s="1"/>
  <c r="U24" i="15"/>
  <c r="T24" i="15" s="1"/>
  <c r="S24" i="15" s="1"/>
  <c r="R24" i="15" s="1"/>
  <c r="U20" i="15"/>
  <c r="T20" i="15" s="1"/>
  <c r="S20" i="15" s="1"/>
  <c r="R20" i="15" s="1"/>
  <c r="U25" i="15"/>
  <c r="T25" i="15" s="1"/>
  <c r="S25" i="15" s="1"/>
  <c r="R25" i="15" s="1"/>
  <c r="U27" i="15"/>
  <c r="T27" i="15" s="1"/>
  <c r="S27" i="15" s="1"/>
  <c r="R27" i="15" s="1"/>
  <c r="U29" i="15"/>
  <c r="T29" i="15" s="1"/>
  <c r="S29" i="15" s="1"/>
  <c r="R29" i="15" s="1"/>
  <c r="U31" i="15"/>
  <c r="T31" i="15" s="1"/>
  <c r="S31" i="15" s="1"/>
  <c r="R31" i="15" s="1"/>
  <c r="U33" i="15"/>
  <c r="T33" i="15" s="1"/>
  <c r="S33" i="15" s="1"/>
  <c r="R33" i="15" s="1"/>
  <c r="U35" i="15"/>
  <c r="T35" i="15" s="1"/>
  <c r="S35" i="15" s="1"/>
  <c r="R35" i="15" s="1"/>
  <c r="U37" i="15"/>
  <c r="T37" i="15" s="1"/>
  <c r="S37" i="15" s="1"/>
  <c r="R37" i="15" s="1"/>
  <c r="P37" i="15" s="1"/>
  <c r="V37" i="15" s="1"/>
  <c r="F37" i="15" s="1"/>
  <c r="U39" i="15"/>
  <c r="T39" i="15" s="1"/>
  <c r="S39" i="15" s="1"/>
  <c r="R39" i="15" s="1"/>
  <c r="U41" i="15"/>
  <c r="T41" i="15" s="1"/>
  <c r="S41" i="15" s="1"/>
  <c r="R41" i="15" s="1"/>
  <c r="U43" i="15"/>
  <c r="T43" i="15" s="1"/>
  <c r="S43" i="15" s="1"/>
  <c r="R43" i="15" s="1"/>
  <c r="U45" i="15"/>
  <c r="T45" i="15" s="1"/>
  <c r="S45" i="15" s="1"/>
  <c r="R45" i="15" s="1"/>
  <c r="U47" i="15"/>
  <c r="T47" i="15" s="1"/>
  <c r="S47" i="15" s="1"/>
  <c r="R47" i="15" s="1"/>
  <c r="U49" i="15"/>
  <c r="T49" i="15" s="1"/>
  <c r="S49" i="15" s="1"/>
  <c r="R49" i="15" s="1"/>
  <c r="U51" i="15"/>
  <c r="T51" i="15" s="1"/>
  <c r="S51" i="15" s="1"/>
  <c r="R51" i="15" s="1"/>
  <c r="U53" i="15"/>
  <c r="T53" i="15" s="1"/>
  <c r="S53" i="15" s="1"/>
  <c r="R53" i="15" s="1"/>
  <c r="U55" i="15"/>
  <c r="T55" i="15" s="1"/>
  <c r="U57" i="15"/>
  <c r="T57" i="15" s="1"/>
  <c r="S57" i="15" s="1"/>
  <c r="R57" i="15" s="1"/>
  <c r="U59" i="15"/>
  <c r="T59" i="15" s="1"/>
  <c r="S59" i="15" s="1"/>
  <c r="R59" i="15" s="1"/>
  <c r="U61" i="15"/>
  <c r="T61" i="15" s="1"/>
  <c r="S61" i="15" s="1"/>
  <c r="R61" i="15" s="1"/>
  <c r="U63" i="15"/>
  <c r="T63" i="15" s="1"/>
  <c r="S63" i="15" s="1"/>
  <c r="R63" i="15" s="1"/>
  <c r="U65" i="15"/>
  <c r="T65" i="15" s="1"/>
  <c r="S65" i="15" s="1"/>
  <c r="R65" i="15" s="1"/>
  <c r="U67" i="15"/>
  <c r="T67" i="15" s="1"/>
  <c r="S67" i="15" s="1"/>
  <c r="R67" i="15" s="1"/>
  <c r="U69" i="15"/>
  <c r="T69" i="15" s="1"/>
  <c r="S69" i="15" s="1"/>
  <c r="R69" i="15" s="1"/>
  <c r="U71" i="15"/>
  <c r="T71" i="15" s="1"/>
  <c r="S71" i="15" s="1"/>
  <c r="R71" i="15" s="1"/>
  <c r="U73" i="15"/>
  <c r="T73" i="15" s="1"/>
  <c r="S73" i="15" s="1"/>
  <c r="R73" i="15" s="1"/>
  <c r="U75" i="15"/>
  <c r="T75" i="15" s="1"/>
  <c r="S75" i="15" s="1"/>
  <c r="R75" i="15" s="1"/>
  <c r="U77" i="15"/>
  <c r="T77" i="15" s="1"/>
  <c r="S77" i="15" s="1"/>
  <c r="R77" i="15" s="1"/>
  <c r="U79" i="15"/>
  <c r="T79" i="15" s="1"/>
  <c r="S79" i="15" s="1"/>
  <c r="R79" i="15" s="1"/>
  <c r="U81" i="15"/>
  <c r="T81" i="15" s="1"/>
  <c r="S81" i="15" s="1"/>
  <c r="R81" i="15" s="1"/>
  <c r="U83" i="15"/>
  <c r="T83" i="15" s="1"/>
  <c r="S83" i="15" s="1"/>
  <c r="R83" i="15" s="1"/>
  <c r="U85" i="15"/>
  <c r="T85" i="15" s="1"/>
  <c r="S85" i="15" s="1"/>
  <c r="R85" i="15" s="1"/>
  <c r="U87" i="15"/>
  <c r="T87" i="15" s="1"/>
  <c r="S87" i="15" s="1"/>
  <c r="R87" i="15" s="1"/>
  <c r="U89" i="15"/>
  <c r="T89" i="15" s="1"/>
  <c r="S89" i="15" s="1"/>
  <c r="R89" i="15" s="1"/>
  <c r="U91" i="15"/>
  <c r="T91" i="15" s="1"/>
  <c r="S91" i="15" s="1"/>
  <c r="R91" i="15" s="1"/>
  <c r="U93" i="15"/>
  <c r="T93" i="15" s="1"/>
  <c r="S93" i="15" s="1"/>
  <c r="R93" i="15" s="1"/>
  <c r="U95" i="15"/>
  <c r="T95" i="15" s="1"/>
  <c r="S95" i="15" s="1"/>
  <c r="R95" i="15" s="1"/>
  <c r="U97" i="15"/>
  <c r="T97" i="15" s="1"/>
  <c r="S97" i="15" s="1"/>
  <c r="R97" i="15" s="1"/>
  <c r="U99" i="15"/>
  <c r="T99" i="15" s="1"/>
  <c r="S99" i="15" s="1"/>
  <c r="R99" i="15" s="1"/>
  <c r="U101" i="15"/>
  <c r="T101" i="15" s="1"/>
  <c r="S101" i="15" s="1"/>
  <c r="R101" i="15" s="1"/>
  <c r="U103" i="15"/>
  <c r="T103" i="15" s="1"/>
  <c r="S103" i="15" s="1"/>
  <c r="R103" i="15" s="1"/>
  <c r="U105" i="15"/>
  <c r="T105" i="15" s="1"/>
  <c r="S105" i="15" s="1"/>
  <c r="R105" i="15" s="1"/>
  <c r="U107" i="15"/>
  <c r="T107" i="15" s="1"/>
  <c r="S107" i="15" s="1"/>
  <c r="R107" i="15" s="1"/>
  <c r="U109" i="15"/>
  <c r="T109" i="15" s="1"/>
  <c r="S109" i="15" s="1"/>
  <c r="R109" i="15" s="1"/>
  <c r="U111" i="15"/>
  <c r="T111" i="15" s="1"/>
  <c r="S111" i="15" s="1"/>
  <c r="R111" i="15" s="1"/>
  <c r="U113" i="15"/>
  <c r="T113" i="15" s="1"/>
  <c r="S113" i="15" s="1"/>
  <c r="R113" i="15" s="1"/>
  <c r="U115" i="15"/>
  <c r="T115" i="15" s="1"/>
  <c r="S115" i="15" s="1"/>
  <c r="R115" i="15" s="1"/>
  <c r="P115" i="15" s="1"/>
  <c r="V115" i="15" s="1"/>
  <c r="F115" i="15" s="1"/>
  <c r="U117" i="15"/>
  <c r="T117" i="15" s="1"/>
  <c r="S117" i="15" s="1"/>
  <c r="R117" i="15" s="1"/>
  <c r="U119" i="15"/>
  <c r="T119" i="15" s="1"/>
  <c r="S119" i="15" s="1"/>
  <c r="R119" i="15" s="1"/>
  <c r="U121" i="15"/>
  <c r="T121" i="15" s="1"/>
  <c r="S121" i="15" s="1"/>
  <c r="R121" i="15" s="1"/>
  <c r="U123" i="15"/>
  <c r="T123" i="15" s="1"/>
  <c r="S123" i="15" s="1"/>
  <c r="R123" i="15" s="1"/>
  <c r="U125" i="15"/>
  <c r="T125" i="15" s="1"/>
  <c r="S125" i="15" s="1"/>
  <c r="R125" i="15" s="1"/>
  <c r="U127" i="15"/>
  <c r="T127" i="15" s="1"/>
  <c r="S127" i="15" s="1"/>
  <c r="R127" i="15" s="1"/>
  <c r="U129" i="15"/>
  <c r="T129" i="15" s="1"/>
  <c r="S129" i="15" s="1"/>
  <c r="R129" i="15" s="1"/>
  <c r="U131" i="15"/>
  <c r="T131" i="15" s="1"/>
  <c r="S131" i="15" s="1"/>
  <c r="R131" i="15" s="1"/>
  <c r="P131" i="15" s="1"/>
  <c r="V131" i="15" s="1"/>
  <c r="F131" i="15" s="1"/>
  <c r="U133" i="15"/>
  <c r="T133" i="15" s="1"/>
  <c r="S133" i="15" s="1"/>
  <c r="R133" i="15" s="1"/>
  <c r="U135" i="15"/>
  <c r="T135" i="15" s="1"/>
  <c r="S135" i="15" s="1"/>
  <c r="R135" i="15" s="1"/>
  <c r="U137" i="15"/>
  <c r="T137" i="15" s="1"/>
  <c r="S137" i="15" s="1"/>
  <c r="R137" i="15" s="1"/>
  <c r="U139" i="15"/>
  <c r="T139" i="15" s="1"/>
  <c r="S139" i="15" s="1"/>
  <c r="R139" i="15" s="1"/>
  <c r="U141" i="15"/>
  <c r="T141" i="15" s="1"/>
  <c r="S141" i="15" s="1"/>
  <c r="R141" i="15" s="1"/>
  <c r="U143" i="15"/>
  <c r="T143" i="15" s="1"/>
  <c r="S143" i="15" s="1"/>
  <c r="R143" i="15" s="1"/>
  <c r="U145" i="15"/>
  <c r="T145" i="15" s="1"/>
  <c r="S145" i="15" s="1"/>
  <c r="R145" i="15" s="1"/>
  <c r="U147" i="15"/>
  <c r="T147" i="15" s="1"/>
  <c r="S147" i="15" s="1"/>
  <c r="R147" i="15" s="1"/>
  <c r="U149" i="15"/>
  <c r="T149" i="15" s="1"/>
  <c r="S149" i="15" s="1"/>
  <c r="R149" i="15" s="1"/>
  <c r="U151" i="15"/>
  <c r="T151" i="15" s="1"/>
  <c r="S151" i="15" s="1"/>
  <c r="R151" i="15" s="1"/>
  <c r="U153" i="15"/>
  <c r="T153" i="15" s="1"/>
  <c r="S153" i="15" s="1"/>
  <c r="R153" i="15" s="1"/>
  <c r="U155" i="15"/>
  <c r="T155" i="15" s="1"/>
  <c r="S155" i="15" s="1"/>
  <c r="R155" i="15" s="1"/>
  <c r="U157" i="15"/>
  <c r="T157" i="15" s="1"/>
  <c r="S157" i="15" s="1"/>
  <c r="R157" i="15" s="1"/>
  <c r="U159" i="15"/>
  <c r="T159" i="15" s="1"/>
  <c r="S159" i="15" s="1"/>
  <c r="R159" i="15" s="1"/>
  <c r="U161" i="15"/>
  <c r="T161" i="15" s="1"/>
  <c r="S161" i="15" s="1"/>
  <c r="R161" i="15" s="1"/>
  <c r="U163" i="15"/>
  <c r="T163" i="15" s="1"/>
  <c r="S163" i="15" s="1"/>
  <c r="R163" i="15" s="1"/>
  <c r="U165" i="15"/>
  <c r="T165" i="15" s="1"/>
  <c r="S165" i="15" s="1"/>
  <c r="R165" i="15" s="1"/>
  <c r="U167" i="15"/>
  <c r="T167" i="15" s="1"/>
  <c r="S167" i="15" s="1"/>
  <c r="R167" i="15" s="1"/>
  <c r="U169" i="15"/>
  <c r="T169" i="15" s="1"/>
  <c r="S169" i="15" s="1"/>
  <c r="R169" i="15" s="1"/>
  <c r="U171" i="15"/>
  <c r="T171" i="15" s="1"/>
  <c r="S171" i="15" s="1"/>
  <c r="R171" i="15" s="1"/>
  <c r="U173" i="15"/>
  <c r="T173" i="15" s="1"/>
  <c r="S173" i="15" s="1"/>
  <c r="R173" i="15" s="1"/>
  <c r="U175" i="15"/>
  <c r="T175" i="15" s="1"/>
  <c r="S175" i="15" s="1"/>
  <c r="R175" i="15" s="1"/>
  <c r="U177" i="15"/>
  <c r="T177" i="15" s="1"/>
  <c r="S177" i="15" s="1"/>
  <c r="R177" i="15" s="1"/>
  <c r="U179" i="15"/>
  <c r="T179" i="15" s="1"/>
  <c r="S179" i="15" s="1"/>
  <c r="R179" i="15" s="1"/>
  <c r="P179" i="15" s="1"/>
  <c r="V179" i="15" s="1"/>
  <c r="F179" i="15" s="1"/>
  <c r="U181" i="15"/>
  <c r="T181" i="15" s="1"/>
  <c r="S181" i="15" s="1"/>
  <c r="R181" i="15" s="1"/>
  <c r="U183" i="15"/>
  <c r="T183" i="15" s="1"/>
  <c r="S183" i="15" s="1"/>
  <c r="R183" i="15" s="1"/>
  <c r="U17" i="15"/>
  <c r="T17" i="15" s="1"/>
  <c r="S17" i="15" s="1"/>
  <c r="R17" i="15" s="1"/>
  <c r="U18" i="15"/>
  <c r="T18" i="15" s="1"/>
  <c r="S18" i="15" s="1"/>
  <c r="R18" i="15" s="1"/>
  <c r="U19" i="15"/>
  <c r="T19" i="15" s="1"/>
  <c r="U28" i="15"/>
  <c r="T28" i="15" s="1"/>
  <c r="S28" i="15" s="1"/>
  <c r="R28" i="15" s="1"/>
  <c r="U32" i="15"/>
  <c r="T32" i="15" s="1"/>
  <c r="S32" i="15" s="1"/>
  <c r="R32" i="15" s="1"/>
  <c r="U36" i="15"/>
  <c r="T36" i="15" s="1"/>
  <c r="S36" i="15" s="1"/>
  <c r="R36" i="15" s="1"/>
  <c r="U40" i="15"/>
  <c r="T40" i="15" s="1"/>
  <c r="S40" i="15" s="1"/>
  <c r="R40" i="15" s="1"/>
  <c r="U44" i="15"/>
  <c r="T44" i="15" s="1"/>
  <c r="S44" i="15" s="1"/>
  <c r="R44" i="15" s="1"/>
  <c r="U48" i="15"/>
  <c r="T48" i="15" s="1"/>
  <c r="S48" i="15" s="1"/>
  <c r="R48" i="15" s="1"/>
  <c r="U52" i="15"/>
  <c r="T52" i="15" s="1"/>
  <c r="S52" i="15" s="1"/>
  <c r="R52" i="15" s="1"/>
  <c r="U56" i="15"/>
  <c r="T56" i="15" s="1"/>
  <c r="U60" i="15"/>
  <c r="T60" i="15" s="1"/>
  <c r="S60" i="15" s="1"/>
  <c r="R60" i="15" s="1"/>
  <c r="U64" i="15"/>
  <c r="T64" i="15" s="1"/>
  <c r="S64" i="15" s="1"/>
  <c r="R64" i="15" s="1"/>
  <c r="U68" i="15"/>
  <c r="T68" i="15" s="1"/>
  <c r="S68" i="15" s="1"/>
  <c r="R68" i="15" s="1"/>
  <c r="U72" i="15"/>
  <c r="T72" i="15" s="1"/>
  <c r="S72" i="15" s="1"/>
  <c r="R72" i="15" s="1"/>
  <c r="U76" i="15"/>
  <c r="T76" i="15" s="1"/>
  <c r="S76" i="15" s="1"/>
  <c r="R76" i="15" s="1"/>
  <c r="U80" i="15"/>
  <c r="T80" i="15" s="1"/>
  <c r="S80" i="15" s="1"/>
  <c r="R80" i="15" s="1"/>
  <c r="U84" i="15"/>
  <c r="T84" i="15" s="1"/>
  <c r="S84" i="15" s="1"/>
  <c r="R84" i="15" s="1"/>
  <c r="U88" i="15"/>
  <c r="T88" i="15" s="1"/>
  <c r="S88" i="15" s="1"/>
  <c r="R88" i="15" s="1"/>
  <c r="U92" i="15"/>
  <c r="T92" i="15" s="1"/>
  <c r="S92" i="15" s="1"/>
  <c r="R92" i="15" s="1"/>
  <c r="U96" i="15"/>
  <c r="T96" i="15" s="1"/>
  <c r="S96" i="15" s="1"/>
  <c r="R96" i="15" s="1"/>
  <c r="U100" i="15"/>
  <c r="T100" i="15" s="1"/>
  <c r="S100" i="15" s="1"/>
  <c r="R100" i="15" s="1"/>
  <c r="U104" i="15"/>
  <c r="T104" i="15" s="1"/>
  <c r="S104" i="15" s="1"/>
  <c r="R104" i="15" s="1"/>
  <c r="U108" i="15"/>
  <c r="T108" i="15" s="1"/>
  <c r="U112" i="15"/>
  <c r="T112" i="15" s="1"/>
  <c r="S112" i="15" s="1"/>
  <c r="R112" i="15" s="1"/>
  <c r="U116" i="15"/>
  <c r="T116" i="15" s="1"/>
  <c r="S116" i="15" s="1"/>
  <c r="R116" i="15" s="1"/>
  <c r="U120" i="15"/>
  <c r="T120" i="15" s="1"/>
  <c r="S120" i="15" s="1"/>
  <c r="R120" i="15" s="1"/>
  <c r="U124" i="15"/>
  <c r="T124" i="15" s="1"/>
  <c r="S124" i="15" s="1"/>
  <c r="R124" i="15" s="1"/>
  <c r="U128" i="15"/>
  <c r="T128" i="15" s="1"/>
  <c r="S128" i="15" s="1"/>
  <c r="R128" i="15" s="1"/>
  <c r="U132" i="15"/>
  <c r="T132" i="15" s="1"/>
  <c r="S132" i="15" s="1"/>
  <c r="R132" i="15" s="1"/>
  <c r="U136" i="15"/>
  <c r="T136" i="15" s="1"/>
  <c r="S136" i="15" s="1"/>
  <c r="R136" i="15" s="1"/>
  <c r="U140" i="15"/>
  <c r="T140" i="15" s="1"/>
  <c r="S140" i="15" s="1"/>
  <c r="R140" i="15" s="1"/>
  <c r="U144" i="15"/>
  <c r="T144" i="15" s="1"/>
  <c r="S144" i="15" s="1"/>
  <c r="R144" i="15" s="1"/>
  <c r="U148" i="15"/>
  <c r="T148" i="15" s="1"/>
  <c r="S148" i="15" s="1"/>
  <c r="R148" i="15" s="1"/>
  <c r="U152" i="15"/>
  <c r="T152" i="15" s="1"/>
  <c r="S152" i="15" s="1"/>
  <c r="R152" i="15" s="1"/>
  <c r="U156" i="15"/>
  <c r="T156" i="15" s="1"/>
  <c r="S156" i="15" s="1"/>
  <c r="R156" i="15" s="1"/>
  <c r="U160" i="15"/>
  <c r="T160" i="15" s="1"/>
  <c r="S160" i="15" s="1"/>
  <c r="R160" i="15" s="1"/>
  <c r="U164" i="15"/>
  <c r="T164" i="15" s="1"/>
  <c r="S164" i="15" s="1"/>
  <c r="R164" i="15" s="1"/>
  <c r="U168" i="15"/>
  <c r="T168" i="15" s="1"/>
  <c r="S168" i="15" s="1"/>
  <c r="R168" i="15" s="1"/>
  <c r="U172" i="15"/>
  <c r="T172" i="15" s="1"/>
  <c r="S172" i="15" s="1"/>
  <c r="R172" i="15" s="1"/>
  <c r="U176" i="15"/>
  <c r="T176" i="15" s="1"/>
  <c r="S176" i="15" s="1"/>
  <c r="R176" i="15" s="1"/>
  <c r="U180" i="15"/>
  <c r="T180" i="15" s="1"/>
  <c r="S180" i="15" s="1"/>
  <c r="R180" i="15" s="1"/>
  <c r="U184" i="15"/>
  <c r="T184" i="15" s="1"/>
  <c r="S184" i="15" s="1"/>
  <c r="R184" i="15" s="1"/>
  <c r="U186" i="15"/>
  <c r="T186" i="15" s="1"/>
  <c r="S186" i="15" s="1"/>
  <c r="R186" i="15" s="1"/>
  <c r="U188" i="15"/>
  <c r="T188" i="15" s="1"/>
  <c r="S188" i="15" s="1"/>
  <c r="R188" i="15" s="1"/>
  <c r="U190" i="15"/>
  <c r="T190" i="15" s="1"/>
  <c r="S190" i="15" s="1"/>
  <c r="R190" i="15" s="1"/>
  <c r="U192" i="15"/>
  <c r="T192" i="15" s="1"/>
  <c r="S192" i="15" s="1"/>
  <c r="R192" i="15" s="1"/>
  <c r="U194" i="15"/>
  <c r="T194" i="15" s="1"/>
  <c r="S194" i="15" s="1"/>
  <c r="R194" i="15" s="1"/>
  <c r="U196" i="15"/>
  <c r="T196" i="15" s="1"/>
  <c r="S196" i="15" s="1"/>
  <c r="R196" i="15" s="1"/>
  <c r="U198" i="15"/>
  <c r="T198" i="15" s="1"/>
  <c r="S198" i="15" s="1"/>
  <c r="R198" i="15" s="1"/>
  <c r="U200" i="15"/>
  <c r="T200" i="15" s="1"/>
  <c r="S200" i="15" s="1"/>
  <c r="R200" i="15" s="1"/>
  <c r="U202" i="15"/>
  <c r="T202" i="15" s="1"/>
  <c r="S202" i="15" s="1"/>
  <c r="R202" i="15" s="1"/>
  <c r="U204" i="15"/>
  <c r="T204" i="15" s="1"/>
  <c r="S204" i="15" s="1"/>
  <c r="R204" i="15" s="1"/>
  <c r="U206" i="15"/>
  <c r="T206" i="15" s="1"/>
  <c r="S206" i="15" s="1"/>
  <c r="R206" i="15" s="1"/>
  <c r="U208" i="15"/>
  <c r="T208" i="15" s="1"/>
  <c r="S208" i="15" s="1"/>
  <c r="R208" i="15" s="1"/>
  <c r="U210" i="15"/>
  <c r="T210" i="15" s="1"/>
  <c r="S210" i="15" s="1"/>
  <c r="R210" i="15" s="1"/>
  <c r="U212" i="15"/>
  <c r="T212" i="15" s="1"/>
  <c r="S212" i="15" s="1"/>
  <c r="R212" i="15" s="1"/>
  <c r="U214" i="15"/>
  <c r="T214" i="15" s="1"/>
  <c r="S214" i="15" s="1"/>
  <c r="R214" i="15" s="1"/>
  <c r="U216" i="15"/>
  <c r="T216" i="15" s="1"/>
  <c r="S216" i="15" s="1"/>
  <c r="R216" i="15" s="1"/>
  <c r="U218" i="15"/>
  <c r="T218" i="15" s="1"/>
  <c r="S218" i="15" s="1"/>
  <c r="R218" i="15" s="1"/>
  <c r="U220" i="15"/>
  <c r="T220" i="15" s="1"/>
  <c r="S220" i="15" s="1"/>
  <c r="R220" i="15" s="1"/>
  <c r="U222" i="15"/>
  <c r="T222" i="15" s="1"/>
  <c r="S222" i="15" s="1"/>
  <c r="R222" i="15" s="1"/>
  <c r="U224" i="15"/>
  <c r="T224" i="15" s="1"/>
  <c r="S224" i="15" s="1"/>
  <c r="R224" i="15" s="1"/>
  <c r="U226" i="15"/>
  <c r="T226" i="15" s="1"/>
  <c r="S226" i="15" s="1"/>
  <c r="R226" i="15" s="1"/>
  <c r="U228" i="15"/>
  <c r="T228" i="15" s="1"/>
  <c r="S228" i="15" s="1"/>
  <c r="R228" i="15" s="1"/>
  <c r="U230" i="15"/>
  <c r="T230" i="15" s="1"/>
  <c r="S230" i="15" s="1"/>
  <c r="R230" i="15" s="1"/>
  <c r="U232" i="15"/>
  <c r="T232" i="15" s="1"/>
  <c r="S232" i="15" s="1"/>
  <c r="R232" i="15" s="1"/>
  <c r="U234" i="15"/>
  <c r="T234" i="15" s="1"/>
  <c r="S234" i="15" s="1"/>
  <c r="R234" i="15" s="1"/>
  <c r="U236" i="15"/>
  <c r="T236" i="15" s="1"/>
  <c r="S236" i="15" s="1"/>
  <c r="R236" i="15" s="1"/>
  <c r="U238" i="15"/>
  <c r="T238" i="15" s="1"/>
  <c r="S238" i="15" s="1"/>
  <c r="R238" i="15" s="1"/>
  <c r="U240" i="15"/>
  <c r="T240" i="15" s="1"/>
  <c r="S240" i="15" s="1"/>
  <c r="R240" i="15" s="1"/>
  <c r="U242" i="15"/>
  <c r="T242" i="15" s="1"/>
  <c r="S242" i="15" s="1"/>
  <c r="R242" i="15" s="1"/>
  <c r="U244" i="15"/>
  <c r="T244" i="15" s="1"/>
  <c r="S244" i="15" s="1"/>
  <c r="R244" i="15" s="1"/>
  <c r="U246" i="15"/>
  <c r="T246" i="15" s="1"/>
  <c r="S246" i="15" s="1"/>
  <c r="R246" i="15" s="1"/>
  <c r="U248" i="15"/>
  <c r="T248" i="15" s="1"/>
  <c r="S248" i="15" s="1"/>
  <c r="R248" i="15" s="1"/>
  <c r="U250" i="15"/>
  <c r="T250" i="15" s="1"/>
  <c r="S250" i="15" s="1"/>
  <c r="R250" i="15" s="1"/>
  <c r="U252" i="15"/>
  <c r="T252" i="15" s="1"/>
  <c r="S252" i="15" s="1"/>
  <c r="R252" i="15" s="1"/>
  <c r="U254" i="15"/>
  <c r="T254" i="15" s="1"/>
  <c r="S254" i="15" s="1"/>
  <c r="R254" i="15" s="1"/>
  <c r="U256" i="15"/>
  <c r="T256" i="15" s="1"/>
  <c r="S256" i="15" s="1"/>
  <c r="R256" i="15" s="1"/>
  <c r="U258" i="15"/>
  <c r="T258" i="15" s="1"/>
  <c r="S258" i="15" s="1"/>
  <c r="R258" i="15" s="1"/>
  <c r="U260" i="15"/>
  <c r="T260" i="15" s="1"/>
  <c r="S260" i="15" s="1"/>
  <c r="R260" i="15" s="1"/>
  <c r="U262" i="15"/>
  <c r="T262" i="15" s="1"/>
  <c r="S262" i="15" s="1"/>
  <c r="R262" i="15" s="1"/>
  <c r="U264" i="15"/>
  <c r="T264" i="15" s="1"/>
  <c r="S264" i="15" s="1"/>
  <c r="R264" i="15" s="1"/>
  <c r="U266" i="15"/>
  <c r="T266" i="15" s="1"/>
  <c r="S266" i="15" s="1"/>
  <c r="R266" i="15" s="1"/>
  <c r="U268" i="15"/>
  <c r="T268" i="15" s="1"/>
  <c r="S268" i="15" s="1"/>
  <c r="R268" i="15" s="1"/>
  <c r="U270" i="15"/>
  <c r="T270" i="15" s="1"/>
  <c r="S270" i="15" s="1"/>
  <c r="R270" i="15" s="1"/>
  <c r="U272" i="15"/>
  <c r="T272" i="15" s="1"/>
  <c r="S272" i="15" s="1"/>
  <c r="R272" i="15" s="1"/>
  <c r="U274" i="15"/>
  <c r="T274" i="15" s="1"/>
  <c r="S274" i="15" s="1"/>
  <c r="R274" i="15" s="1"/>
  <c r="U276" i="15"/>
  <c r="T276" i="15" s="1"/>
  <c r="S276" i="15" s="1"/>
  <c r="R276" i="15" s="1"/>
  <c r="U278" i="15"/>
  <c r="T278" i="15" s="1"/>
  <c r="S278" i="15" s="1"/>
  <c r="R278" i="15" s="1"/>
  <c r="U280" i="15"/>
  <c r="T280" i="15" s="1"/>
  <c r="S280" i="15" s="1"/>
  <c r="R280" i="15" s="1"/>
  <c r="U282" i="15"/>
  <c r="T282" i="15" s="1"/>
  <c r="S282" i="15" s="1"/>
  <c r="R282" i="15" s="1"/>
  <c r="U284" i="15"/>
  <c r="T284" i="15" s="1"/>
  <c r="S284" i="15" s="1"/>
  <c r="R284" i="15" s="1"/>
  <c r="U286" i="15"/>
  <c r="T286" i="15" s="1"/>
  <c r="S286" i="15" s="1"/>
  <c r="R286" i="15" s="1"/>
  <c r="U288" i="15"/>
  <c r="T288" i="15" s="1"/>
  <c r="S288" i="15" s="1"/>
  <c r="R288" i="15" s="1"/>
  <c r="U290" i="15"/>
  <c r="T290" i="15" s="1"/>
  <c r="S290" i="15" s="1"/>
  <c r="R290" i="15" s="1"/>
  <c r="U292" i="15"/>
  <c r="T292" i="15" s="1"/>
  <c r="S292" i="15" s="1"/>
  <c r="R292" i="15" s="1"/>
  <c r="U294" i="15"/>
  <c r="T294" i="15" s="1"/>
  <c r="S294" i="15" s="1"/>
  <c r="R294" i="15" s="1"/>
  <c r="U296" i="15"/>
  <c r="T296" i="15" s="1"/>
  <c r="S296" i="15" s="1"/>
  <c r="R296" i="15" s="1"/>
  <c r="U298" i="15"/>
  <c r="T298" i="15" s="1"/>
  <c r="S298" i="15" s="1"/>
  <c r="R298" i="15" s="1"/>
  <c r="U300" i="15"/>
  <c r="T300" i="15" s="1"/>
  <c r="S300" i="15" s="1"/>
  <c r="R300" i="15" s="1"/>
  <c r="U302" i="15"/>
  <c r="T302" i="15" s="1"/>
  <c r="S302" i="15" s="1"/>
  <c r="R302" i="15" s="1"/>
  <c r="U304" i="15"/>
  <c r="T304" i="15" s="1"/>
  <c r="S304" i="15" s="1"/>
  <c r="R304" i="15" s="1"/>
  <c r="U306" i="15"/>
  <c r="T306" i="15" s="1"/>
  <c r="S306" i="15" s="1"/>
  <c r="R306" i="15" s="1"/>
  <c r="U308" i="15"/>
  <c r="T308" i="15" s="1"/>
  <c r="S308" i="15" s="1"/>
  <c r="R308" i="15" s="1"/>
  <c r="U310" i="15"/>
  <c r="T310" i="15" s="1"/>
  <c r="S310" i="15" s="1"/>
  <c r="R310" i="15" s="1"/>
  <c r="U312" i="15"/>
  <c r="T312" i="15" s="1"/>
  <c r="S312" i="15" s="1"/>
  <c r="R312" i="15" s="1"/>
  <c r="U314" i="15"/>
  <c r="T314" i="15" s="1"/>
  <c r="S314" i="15" s="1"/>
  <c r="R314" i="15" s="1"/>
  <c r="U316" i="15"/>
  <c r="T316" i="15" s="1"/>
  <c r="S316" i="15" s="1"/>
  <c r="R316" i="15" s="1"/>
  <c r="U318" i="15"/>
  <c r="T318" i="15" s="1"/>
  <c r="S318" i="15" s="1"/>
  <c r="R318" i="15" s="1"/>
  <c r="U320" i="15"/>
  <c r="T320" i="15" s="1"/>
  <c r="S320" i="15" s="1"/>
  <c r="R320" i="15" s="1"/>
  <c r="U322" i="15"/>
  <c r="T322" i="15" s="1"/>
  <c r="S322" i="15" s="1"/>
  <c r="R322" i="15" s="1"/>
  <c r="U324" i="15"/>
  <c r="T324" i="15" s="1"/>
  <c r="S324" i="15" s="1"/>
  <c r="R324" i="15" s="1"/>
  <c r="U326" i="15"/>
  <c r="T326" i="15" s="1"/>
  <c r="S326" i="15" s="1"/>
  <c r="R326" i="15" s="1"/>
  <c r="U328" i="15"/>
  <c r="T328" i="15" s="1"/>
  <c r="S328" i="15" s="1"/>
  <c r="R328" i="15" s="1"/>
  <c r="U330" i="15"/>
  <c r="T330" i="15" s="1"/>
  <c r="S330" i="15" s="1"/>
  <c r="R330" i="15" s="1"/>
  <c r="U332" i="15"/>
  <c r="T332" i="15" s="1"/>
  <c r="S332" i="15" s="1"/>
  <c r="R332" i="15" s="1"/>
  <c r="U334" i="15"/>
  <c r="T334" i="15" s="1"/>
  <c r="S334" i="15" s="1"/>
  <c r="R334" i="15" s="1"/>
  <c r="U336" i="15"/>
  <c r="T336" i="15" s="1"/>
  <c r="S336" i="15" s="1"/>
  <c r="R336" i="15" s="1"/>
  <c r="U338" i="15"/>
  <c r="T338" i="15" s="1"/>
  <c r="S338" i="15" s="1"/>
  <c r="R338" i="15" s="1"/>
  <c r="U340" i="15"/>
  <c r="T340" i="15" s="1"/>
  <c r="S340" i="15" s="1"/>
  <c r="R340" i="15" s="1"/>
  <c r="U342" i="15"/>
  <c r="T342" i="15" s="1"/>
  <c r="S342" i="15" s="1"/>
  <c r="R342" i="15" s="1"/>
  <c r="U344" i="15"/>
  <c r="T344" i="15" s="1"/>
  <c r="S344" i="15" s="1"/>
  <c r="R344" i="15" s="1"/>
  <c r="U346" i="15"/>
  <c r="T346" i="15" s="1"/>
  <c r="S346" i="15" s="1"/>
  <c r="R346" i="15" s="1"/>
  <c r="U348" i="15"/>
  <c r="T348" i="15" s="1"/>
  <c r="S348" i="15" s="1"/>
  <c r="R348" i="15" s="1"/>
  <c r="U350" i="15"/>
  <c r="T350" i="15" s="1"/>
  <c r="S350" i="15" s="1"/>
  <c r="R350" i="15" s="1"/>
  <c r="U352" i="15"/>
  <c r="T352" i="15" s="1"/>
  <c r="S352" i="15" s="1"/>
  <c r="R352" i="15" s="1"/>
  <c r="U354" i="15"/>
  <c r="T354" i="15" s="1"/>
  <c r="S354" i="15" s="1"/>
  <c r="R354" i="15" s="1"/>
  <c r="U356" i="15"/>
  <c r="T356" i="15" s="1"/>
  <c r="S356" i="15" s="1"/>
  <c r="R356" i="15" s="1"/>
  <c r="U358" i="15"/>
  <c r="T358" i="15" s="1"/>
  <c r="S358" i="15" s="1"/>
  <c r="R358" i="15" s="1"/>
  <c r="U360" i="15"/>
  <c r="T360" i="15" s="1"/>
  <c r="S360" i="15" s="1"/>
  <c r="R360" i="15" s="1"/>
  <c r="U362" i="15"/>
  <c r="T362" i="15" s="1"/>
  <c r="S362" i="15" s="1"/>
  <c r="R362" i="15" s="1"/>
  <c r="U364" i="15"/>
  <c r="T364" i="15" s="1"/>
  <c r="S364" i="15" s="1"/>
  <c r="R364" i="15" s="1"/>
  <c r="U366" i="15"/>
  <c r="T366" i="15" s="1"/>
  <c r="S366" i="15" s="1"/>
  <c r="R366" i="15" s="1"/>
  <c r="U368" i="15"/>
  <c r="T368" i="15" s="1"/>
  <c r="S368" i="15" s="1"/>
  <c r="R368" i="15" s="1"/>
  <c r="U370" i="15"/>
  <c r="T370" i="15" s="1"/>
  <c r="S370" i="15" s="1"/>
  <c r="R370" i="15" s="1"/>
  <c r="U372" i="15"/>
  <c r="T372" i="15" s="1"/>
  <c r="S372" i="15" s="1"/>
  <c r="R372" i="15" s="1"/>
  <c r="U374" i="15"/>
  <c r="T374" i="15" s="1"/>
  <c r="S374" i="15" s="1"/>
  <c r="R374" i="15" s="1"/>
  <c r="U376" i="15"/>
  <c r="T376" i="15" s="1"/>
  <c r="S376" i="15" s="1"/>
  <c r="R376" i="15" s="1"/>
  <c r="U378" i="15"/>
  <c r="T378" i="15" s="1"/>
  <c r="S378" i="15" s="1"/>
  <c r="R378" i="15" s="1"/>
  <c r="AI22" i="15"/>
  <c r="AH22" i="15" s="1"/>
  <c r="AG22" i="15" s="1"/>
  <c r="AF22" i="15" s="1"/>
  <c r="AI24" i="15"/>
  <c r="AH24" i="15" s="1"/>
  <c r="AG24" i="15" s="1"/>
  <c r="AF24" i="15" s="1"/>
  <c r="AI23" i="15"/>
  <c r="AH23" i="15" s="1"/>
  <c r="AI27" i="15"/>
  <c r="AH27" i="15" s="1"/>
  <c r="AG27" i="15" s="1"/>
  <c r="AF27" i="15" s="1"/>
  <c r="AI17" i="15"/>
  <c r="AH17" i="15" s="1"/>
  <c r="AI21" i="15"/>
  <c r="AH21" i="15" s="1"/>
  <c r="AG21" i="15" s="1"/>
  <c r="AF21" i="15" s="1"/>
  <c r="AI19" i="15"/>
  <c r="AH19" i="15" s="1"/>
  <c r="AI29" i="15"/>
  <c r="AH29" i="15" s="1"/>
  <c r="AG29" i="15" s="1"/>
  <c r="AF29" i="15" s="1"/>
  <c r="AI31" i="15"/>
  <c r="AH31" i="15" s="1"/>
  <c r="AG31" i="15" s="1"/>
  <c r="AF31" i="15" s="1"/>
  <c r="AI33" i="15"/>
  <c r="AH33" i="15" s="1"/>
  <c r="AI35" i="15"/>
  <c r="AH35" i="15" s="1"/>
  <c r="AG35" i="15" s="1"/>
  <c r="AF35" i="15" s="1"/>
  <c r="AI37" i="15"/>
  <c r="AH37" i="15" s="1"/>
  <c r="AI39" i="15"/>
  <c r="AH39" i="15" s="1"/>
  <c r="AI41" i="15"/>
  <c r="AH41" i="15" s="1"/>
  <c r="AI43" i="15"/>
  <c r="AH43" i="15" s="1"/>
  <c r="AG43" i="15" s="1"/>
  <c r="AF43" i="15" s="1"/>
  <c r="AI45" i="15"/>
  <c r="AH45" i="15" s="1"/>
  <c r="AG45" i="15" s="1"/>
  <c r="AF45" i="15" s="1"/>
  <c r="AI47" i="15"/>
  <c r="AH47" i="15" s="1"/>
  <c r="AG47" i="15" s="1"/>
  <c r="AF47" i="15" s="1"/>
  <c r="AI49" i="15"/>
  <c r="AH49" i="15" s="1"/>
  <c r="AG49" i="15" s="1"/>
  <c r="AF49" i="15" s="1"/>
  <c r="AI51" i="15"/>
  <c r="AH51" i="15" s="1"/>
  <c r="AI53" i="15"/>
  <c r="AH53" i="15" s="1"/>
  <c r="AG53" i="15" s="1"/>
  <c r="AF53" i="15" s="1"/>
  <c r="AI55" i="15"/>
  <c r="AH55" i="15" s="1"/>
  <c r="AI57" i="15"/>
  <c r="AH57" i="15" s="1"/>
  <c r="AG57" i="15" s="1"/>
  <c r="AF57" i="15" s="1"/>
  <c r="AI59" i="15"/>
  <c r="AH59" i="15" s="1"/>
  <c r="AG59" i="15" s="1"/>
  <c r="AF59" i="15" s="1"/>
  <c r="AI61" i="15"/>
  <c r="AH61" i="15" s="1"/>
  <c r="AI63" i="15"/>
  <c r="AH63" i="15" s="1"/>
  <c r="AI65" i="15"/>
  <c r="AH65" i="15" s="1"/>
  <c r="AG65" i="15" s="1"/>
  <c r="AF65" i="15" s="1"/>
  <c r="AI67" i="15"/>
  <c r="AH67" i="15" s="1"/>
  <c r="AG67" i="15" s="1"/>
  <c r="AF67" i="15" s="1"/>
  <c r="AI69" i="15"/>
  <c r="AH69" i="15" s="1"/>
  <c r="AG69" i="15" s="1"/>
  <c r="AF69" i="15" s="1"/>
  <c r="AI71" i="15"/>
  <c r="AH71" i="15" s="1"/>
  <c r="AG71" i="15" s="1"/>
  <c r="AF71" i="15" s="1"/>
  <c r="AI73" i="15"/>
  <c r="AH73" i="15" s="1"/>
  <c r="AG73" i="15" s="1"/>
  <c r="AF73" i="15" s="1"/>
  <c r="AI379" i="15"/>
  <c r="AH379" i="15" s="1"/>
  <c r="AI377" i="15"/>
  <c r="AH377" i="15" s="1"/>
  <c r="AI375" i="15"/>
  <c r="AH375" i="15" s="1"/>
  <c r="AG375" i="15" s="1"/>
  <c r="AF375" i="15" s="1"/>
  <c r="AI373" i="15"/>
  <c r="AH373" i="15" s="1"/>
  <c r="AG373" i="15" s="1"/>
  <c r="AF373" i="15" s="1"/>
  <c r="AI371" i="15"/>
  <c r="AH371" i="15" s="1"/>
  <c r="AI369" i="15"/>
  <c r="AH369" i="15" s="1"/>
  <c r="AI367" i="15"/>
  <c r="AH367" i="15" s="1"/>
  <c r="AG367" i="15" s="1"/>
  <c r="AF367" i="15" s="1"/>
  <c r="AI365" i="15"/>
  <c r="AH365" i="15" s="1"/>
  <c r="AG365" i="15" s="1"/>
  <c r="AF365" i="15" s="1"/>
  <c r="AI363" i="15"/>
  <c r="AH363" i="15" s="1"/>
  <c r="AI361" i="15"/>
  <c r="AH361" i="15" s="1"/>
  <c r="AI359" i="15"/>
  <c r="AH359" i="15" s="1"/>
  <c r="AG359" i="15" s="1"/>
  <c r="AF359" i="15" s="1"/>
  <c r="AI357" i="15"/>
  <c r="AH357" i="15" s="1"/>
  <c r="AG357" i="15" s="1"/>
  <c r="AF357" i="15" s="1"/>
  <c r="AI355" i="15"/>
  <c r="AH355" i="15" s="1"/>
  <c r="AI353" i="15"/>
  <c r="AH353" i="15" s="1"/>
  <c r="AG353" i="15" s="1"/>
  <c r="AF353" i="15" s="1"/>
  <c r="AI351" i="15"/>
  <c r="AH351" i="15" s="1"/>
  <c r="AG351" i="15" s="1"/>
  <c r="AF351" i="15" s="1"/>
  <c r="AI349" i="15"/>
  <c r="AH349" i="15" s="1"/>
  <c r="AG349" i="15" s="1"/>
  <c r="AF349" i="15" s="1"/>
  <c r="AI347" i="15"/>
  <c r="AH347" i="15" s="1"/>
  <c r="AG347" i="15" s="1"/>
  <c r="AF347" i="15" s="1"/>
  <c r="AI345" i="15"/>
  <c r="AH345" i="15" s="1"/>
  <c r="AG345" i="15" s="1"/>
  <c r="AF345" i="15" s="1"/>
  <c r="AI343" i="15"/>
  <c r="AH343" i="15" s="1"/>
  <c r="AI341" i="15"/>
  <c r="AH341" i="15" s="1"/>
  <c r="AG341" i="15" s="1"/>
  <c r="AF341" i="15" s="1"/>
  <c r="AI339" i="15"/>
  <c r="AH339" i="15" s="1"/>
  <c r="AI337" i="15"/>
  <c r="AH337" i="15" s="1"/>
  <c r="AG337" i="15" s="1"/>
  <c r="AF337" i="15" s="1"/>
  <c r="AI335" i="15"/>
  <c r="AH335" i="15" s="1"/>
  <c r="AI333" i="15"/>
  <c r="AH333" i="15" s="1"/>
  <c r="AG333" i="15" s="1"/>
  <c r="AF333" i="15" s="1"/>
  <c r="AI331" i="15"/>
  <c r="AH331" i="15" s="1"/>
  <c r="AI329" i="15"/>
  <c r="AH329" i="15" s="1"/>
  <c r="AI327" i="15"/>
  <c r="AH327" i="15" s="1"/>
  <c r="AI325" i="15"/>
  <c r="AH325" i="15" s="1"/>
  <c r="AI323" i="15"/>
  <c r="AH323" i="15" s="1"/>
  <c r="AI321" i="15"/>
  <c r="AH321" i="15" s="1"/>
  <c r="AI319" i="15"/>
  <c r="AH319" i="15" s="1"/>
  <c r="AI317" i="15"/>
  <c r="AH317" i="15" s="1"/>
  <c r="AG317" i="15" s="1"/>
  <c r="AF317" i="15" s="1"/>
  <c r="AI315" i="15"/>
  <c r="AH315" i="15" s="1"/>
  <c r="AG315" i="15" s="1"/>
  <c r="AF315" i="15" s="1"/>
  <c r="AI313" i="15"/>
  <c r="AH313" i="15" s="1"/>
  <c r="AG313" i="15" s="1"/>
  <c r="AF313" i="15" s="1"/>
  <c r="AI311" i="15"/>
  <c r="AH311" i="15" s="1"/>
  <c r="AG311" i="15" s="1"/>
  <c r="AF311" i="15" s="1"/>
  <c r="AI309" i="15"/>
  <c r="AH309" i="15" s="1"/>
  <c r="AG309" i="15" s="1"/>
  <c r="AF309" i="15" s="1"/>
  <c r="AI307" i="15"/>
  <c r="AH307" i="15" s="1"/>
  <c r="AG307" i="15" s="1"/>
  <c r="AF307" i="15" s="1"/>
  <c r="AI305" i="15"/>
  <c r="AH305" i="15" s="1"/>
  <c r="AI303" i="15"/>
  <c r="AH303" i="15" s="1"/>
  <c r="AG303" i="15" s="1"/>
  <c r="AF303" i="15" s="1"/>
  <c r="AI301" i="15"/>
  <c r="AH301" i="15" s="1"/>
  <c r="AG301" i="15" s="1"/>
  <c r="AF301" i="15" s="1"/>
  <c r="AI299" i="15"/>
  <c r="AH299" i="15" s="1"/>
  <c r="AG299" i="15" s="1"/>
  <c r="AF299" i="15" s="1"/>
  <c r="AI297" i="15"/>
  <c r="AH297" i="15" s="1"/>
  <c r="AI295" i="15"/>
  <c r="AH295" i="15" s="1"/>
  <c r="AI293" i="15"/>
  <c r="AH293" i="15" s="1"/>
  <c r="AI291" i="15"/>
  <c r="AH291" i="15" s="1"/>
  <c r="AG291" i="15" s="1"/>
  <c r="AF291" i="15" s="1"/>
  <c r="AI289" i="15"/>
  <c r="AH289" i="15" s="1"/>
  <c r="AG289" i="15" s="1"/>
  <c r="AF289" i="15" s="1"/>
  <c r="AI287" i="15"/>
  <c r="AH287" i="15" s="1"/>
  <c r="AI285" i="15"/>
  <c r="AH285" i="15" s="1"/>
  <c r="AG285" i="15" s="1"/>
  <c r="AF285" i="15" s="1"/>
  <c r="AI283" i="15"/>
  <c r="AH283" i="15" s="1"/>
  <c r="AG283" i="15" s="1"/>
  <c r="AF283" i="15" s="1"/>
  <c r="AI281" i="15"/>
  <c r="AH281" i="15" s="1"/>
  <c r="AG281" i="15" s="1"/>
  <c r="AF281" i="15" s="1"/>
  <c r="AI279" i="15"/>
  <c r="AH279" i="15" s="1"/>
  <c r="AG279" i="15" s="1"/>
  <c r="AF279" i="15" s="1"/>
  <c r="AI277" i="15"/>
  <c r="AH277" i="15" s="1"/>
  <c r="AG277" i="15" s="1"/>
  <c r="AF277" i="15" s="1"/>
  <c r="AI275" i="15"/>
  <c r="AH275" i="15" s="1"/>
  <c r="AI273" i="15"/>
  <c r="AH273" i="15" s="1"/>
  <c r="AG273" i="15" s="1"/>
  <c r="AF273" i="15" s="1"/>
  <c r="AI271" i="15"/>
  <c r="AH271" i="15" s="1"/>
  <c r="AG271" i="15" s="1"/>
  <c r="AF271" i="15" s="1"/>
  <c r="AI269" i="15"/>
  <c r="AH269" i="15" s="1"/>
  <c r="AG269" i="15" s="1"/>
  <c r="AF269" i="15" s="1"/>
  <c r="AI267" i="15"/>
  <c r="AH267" i="15" s="1"/>
  <c r="AG267" i="15" s="1"/>
  <c r="AF267" i="15" s="1"/>
  <c r="AI265" i="15"/>
  <c r="AH265" i="15" s="1"/>
  <c r="AG265" i="15" s="1"/>
  <c r="AF265" i="15" s="1"/>
  <c r="AI263" i="15"/>
  <c r="AH263" i="15" s="1"/>
  <c r="AG263" i="15" s="1"/>
  <c r="AF263" i="15" s="1"/>
  <c r="AI261" i="15"/>
  <c r="AH261" i="15" s="1"/>
  <c r="AG261" i="15" s="1"/>
  <c r="AF261" i="15" s="1"/>
  <c r="AI259" i="15"/>
  <c r="AH259" i="15" s="1"/>
  <c r="AG259" i="15" s="1"/>
  <c r="AF259" i="15" s="1"/>
  <c r="AI257" i="15"/>
  <c r="AH257" i="15" s="1"/>
  <c r="AG257" i="15" s="1"/>
  <c r="AF257" i="15" s="1"/>
  <c r="AI255" i="15"/>
  <c r="AH255" i="15" s="1"/>
  <c r="AG255" i="15" s="1"/>
  <c r="AF255" i="15" s="1"/>
  <c r="AI253" i="15"/>
  <c r="AH253" i="15" s="1"/>
  <c r="AG253" i="15" s="1"/>
  <c r="AF253" i="15" s="1"/>
  <c r="AI251" i="15"/>
  <c r="AH251" i="15" s="1"/>
  <c r="AG251" i="15" s="1"/>
  <c r="AF251" i="15" s="1"/>
  <c r="AI249" i="15"/>
  <c r="AH249" i="15" s="1"/>
  <c r="AG249" i="15" s="1"/>
  <c r="AF249" i="15" s="1"/>
  <c r="AI247" i="15"/>
  <c r="AH247" i="15" s="1"/>
  <c r="AI245" i="15"/>
  <c r="AH245" i="15" s="1"/>
  <c r="AI243" i="15"/>
  <c r="AH243" i="15" s="1"/>
  <c r="AI241" i="15"/>
  <c r="AH241" i="15" s="1"/>
  <c r="AG241" i="15" s="1"/>
  <c r="AF241" i="15" s="1"/>
  <c r="AI239" i="15"/>
  <c r="AH239" i="15" s="1"/>
  <c r="AG239" i="15" s="1"/>
  <c r="AF239" i="15" s="1"/>
  <c r="AI237" i="15"/>
  <c r="AH237" i="15" s="1"/>
  <c r="AG237" i="15" s="1"/>
  <c r="AF237" i="15" s="1"/>
  <c r="AI235" i="15"/>
  <c r="AH235" i="15" s="1"/>
  <c r="AG235" i="15" s="1"/>
  <c r="AF235" i="15" s="1"/>
  <c r="AI233" i="15"/>
  <c r="AH233" i="15" s="1"/>
  <c r="AI231" i="15"/>
  <c r="AH231" i="15" s="1"/>
  <c r="AG231" i="15" s="1"/>
  <c r="AF231" i="15" s="1"/>
  <c r="AI229" i="15"/>
  <c r="AH229" i="15" s="1"/>
  <c r="AI227" i="15"/>
  <c r="AH227" i="15" s="1"/>
  <c r="AG227" i="15" s="1"/>
  <c r="AF227" i="15" s="1"/>
  <c r="AI225" i="15"/>
  <c r="AH225" i="15" s="1"/>
  <c r="AI223" i="15"/>
  <c r="AH223" i="15" s="1"/>
  <c r="AI221" i="15"/>
  <c r="AH221" i="15" s="1"/>
  <c r="AG221" i="15" s="1"/>
  <c r="AF221" i="15" s="1"/>
  <c r="AI219" i="15"/>
  <c r="AH219" i="15" s="1"/>
  <c r="AG219" i="15" s="1"/>
  <c r="AF219" i="15" s="1"/>
  <c r="AI217" i="15"/>
  <c r="AH217" i="15" s="1"/>
  <c r="AG217" i="15" s="1"/>
  <c r="AF217" i="15" s="1"/>
  <c r="AI215" i="15"/>
  <c r="AH215" i="15" s="1"/>
  <c r="AG215" i="15" s="1"/>
  <c r="AF215" i="15" s="1"/>
  <c r="AI213" i="15"/>
  <c r="AH213" i="15" s="1"/>
  <c r="AG213" i="15" s="1"/>
  <c r="AF213" i="15" s="1"/>
  <c r="AI211" i="15"/>
  <c r="AH211" i="15" s="1"/>
  <c r="AG211" i="15" s="1"/>
  <c r="AF211" i="15" s="1"/>
  <c r="AI209" i="15"/>
  <c r="AH209" i="15" s="1"/>
  <c r="AI207" i="15"/>
  <c r="AH207" i="15" s="1"/>
  <c r="AG207" i="15" s="1"/>
  <c r="AF207" i="15" s="1"/>
  <c r="AI205" i="15"/>
  <c r="AH205" i="15" s="1"/>
  <c r="AI203" i="15"/>
  <c r="AH203" i="15" s="1"/>
  <c r="AI201" i="15"/>
  <c r="AH201" i="15" s="1"/>
  <c r="AG201" i="15" s="1"/>
  <c r="AF201" i="15" s="1"/>
  <c r="AI199" i="15"/>
  <c r="AH199" i="15" s="1"/>
  <c r="AG199" i="15" s="1"/>
  <c r="AF199" i="15" s="1"/>
  <c r="AI197" i="15"/>
  <c r="AH197" i="15" s="1"/>
  <c r="AG197" i="15" s="1"/>
  <c r="AF197" i="15" s="1"/>
  <c r="AI195" i="15"/>
  <c r="AH195" i="15" s="1"/>
  <c r="AG195" i="15" s="1"/>
  <c r="AF195" i="15" s="1"/>
  <c r="AI193" i="15"/>
  <c r="AH193" i="15" s="1"/>
  <c r="AI191" i="15"/>
  <c r="AH191" i="15" s="1"/>
  <c r="AI189" i="15"/>
  <c r="AH189" i="15" s="1"/>
  <c r="AG189" i="15" s="1"/>
  <c r="AF189" i="15" s="1"/>
  <c r="AI187" i="15"/>
  <c r="AH187" i="15" s="1"/>
  <c r="AG187" i="15" s="1"/>
  <c r="AF187" i="15" s="1"/>
  <c r="AI185" i="15"/>
  <c r="AH185" i="15" s="1"/>
  <c r="AI183" i="15"/>
  <c r="AH183" i="15" s="1"/>
  <c r="AG183" i="15" s="1"/>
  <c r="AF183" i="15" s="1"/>
  <c r="AI181" i="15"/>
  <c r="AH181" i="15" s="1"/>
  <c r="AI179" i="15"/>
  <c r="AH179" i="15" s="1"/>
  <c r="AI177" i="15"/>
  <c r="AH177" i="15" s="1"/>
  <c r="AG177" i="15" s="1"/>
  <c r="AF177" i="15" s="1"/>
  <c r="AI175" i="15"/>
  <c r="AH175" i="15" s="1"/>
  <c r="AG175" i="15" s="1"/>
  <c r="AF175" i="15" s="1"/>
  <c r="AI173" i="15"/>
  <c r="AH173" i="15" s="1"/>
  <c r="AI171" i="15"/>
  <c r="AH171" i="15" s="1"/>
  <c r="AG171" i="15" s="1"/>
  <c r="AF171" i="15" s="1"/>
  <c r="AI169" i="15"/>
  <c r="AH169" i="15" s="1"/>
  <c r="AG169" i="15" s="1"/>
  <c r="AF169" i="15" s="1"/>
  <c r="AI167" i="15"/>
  <c r="AH167" i="15" s="1"/>
  <c r="AI165" i="15"/>
  <c r="AH165" i="15" s="1"/>
  <c r="AI163" i="15"/>
  <c r="AH163" i="15" s="1"/>
  <c r="AG163" i="15" s="1"/>
  <c r="AF163" i="15" s="1"/>
  <c r="AI161" i="15"/>
  <c r="AH161" i="15" s="1"/>
  <c r="AG161" i="15" s="1"/>
  <c r="AF161" i="15" s="1"/>
  <c r="AI159" i="15"/>
  <c r="AH159" i="15" s="1"/>
  <c r="AI157" i="15"/>
  <c r="AH157" i="15" s="1"/>
  <c r="AI155" i="15"/>
  <c r="AH155" i="15" s="1"/>
  <c r="AI153" i="15"/>
  <c r="AH153" i="15" s="1"/>
  <c r="AG153" i="15" s="1"/>
  <c r="AF153" i="15" s="1"/>
  <c r="AI151" i="15"/>
  <c r="AH151" i="15" s="1"/>
  <c r="AI149" i="15"/>
  <c r="AH149" i="15" s="1"/>
  <c r="AI147" i="15"/>
  <c r="AH147" i="15" s="1"/>
  <c r="AI145" i="15"/>
  <c r="AH145" i="15" s="1"/>
  <c r="AG145" i="15" s="1"/>
  <c r="AF145" i="15" s="1"/>
  <c r="AI143" i="15"/>
  <c r="AH143" i="15" s="1"/>
  <c r="AG143" i="15" s="1"/>
  <c r="AF143" i="15" s="1"/>
  <c r="AI141" i="15"/>
  <c r="AH141" i="15" s="1"/>
  <c r="AI139" i="15"/>
  <c r="AH139" i="15" s="1"/>
  <c r="AG139" i="15" s="1"/>
  <c r="AF139" i="15" s="1"/>
  <c r="AI137" i="15"/>
  <c r="AH137" i="15" s="1"/>
  <c r="AI135" i="15"/>
  <c r="AH135" i="15" s="1"/>
  <c r="AG135" i="15" s="1"/>
  <c r="AF135" i="15" s="1"/>
  <c r="AI133" i="15"/>
  <c r="AH133" i="15" s="1"/>
  <c r="AI131" i="15"/>
  <c r="AH131" i="15" s="1"/>
  <c r="AI129" i="15"/>
  <c r="AH129" i="15" s="1"/>
  <c r="AG129" i="15" s="1"/>
  <c r="AF129" i="15" s="1"/>
  <c r="AI127" i="15"/>
  <c r="AH127" i="15" s="1"/>
  <c r="AI125" i="15"/>
  <c r="AH125" i="15" s="1"/>
  <c r="AG125" i="15" s="1"/>
  <c r="AF125" i="15" s="1"/>
  <c r="AI123" i="15"/>
  <c r="AH123" i="15" s="1"/>
  <c r="AG123" i="15" s="1"/>
  <c r="AF123" i="15" s="1"/>
  <c r="AI121" i="15"/>
  <c r="AH121" i="15" s="1"/>
  <c r="AI119" i="15"/>
  <c r="AH119" i="15" s="1"/>
  <c r="AG119" i="15" s="1"/>
  <c r="AF119" i="15" s="1"/>
  <c r="AI117" i="15"/>
  <c r="AH117" i="15" s="1"/>
  <c r="AI115" i="15"/>
  <c r="AH115" i="15" s="1"/>
  <c r="AI113" i="15"/>
  <c r="AH113" i="15" s="1"/>
  <c r="AI111" i="15"/>
  <c r="AH111" i="15" s="1"/>
  <c r="AI109" i="15"/>
  <c r="AH109" i="15" s="1"/>
  <c r="AG109" i="15" s="1"/>
  <c r="AF109" i="15" s="1"/>
  <c r="AI107" i="15"/>
  <c r="AH107" i="15" s="1"/>
  <c r="AI105" i="15"/>
  <c r="AH105" i="15" s="1"/>
  <c r="AG105" i="15" s="1"/>
  <c r="AF105" i="15" s="1"/>
  <c r="AI103" i="15"/>
  <c r="AH103" i="15" s="1"/>
  <c r="AG103" i="15" s="1"/>
  <c r="AF103" i="15" s="1"/>
  <c r="AI101" i="15"/>
  <c r="AH101" i="15" s="1"/>
  <c r="AG101" i="15" s="1"/>
  <c r="AF101" i="15" s="1"/>
  <c r="AI99" i="15"/>
  <c r="AH99" i="15" s="1"/>
  <c r="AI97" i="15"/>
  <c r="AH97" i="15" s="1"/>
  <c r="AG97" i="15" s="1"/>
  <c r="AF97" i="15" s="1"/>
  <c r="AI95" i="15"/>
  <c r="AH95" i="15" s="1"/>
  <c r="AG95" i="15" s="1"/>
  <c r="AF95" i="15" s="1"/>
  <c r="AI93" i="15"/>
  <c r="AH93" i="15" s="1"/>
  <c r="AI91" i="15"/>
  <c r="AH91" i="15" s="1"/>
  <c r="AI89" i="15"/>
  <c r="AH89" i="15" s="1"/>
  <c r="AG89" i="15" s="1"/>
  <c r="AF89" i="15" s="1"/>
  <c r="AI87" i="15"/>
  <c r="AH87" i="15" s="1"/>
  <c r="AI85" i="15"/>
  <c r="AH85" i="15" s="1"/>
  <c r="AG85" i="15" s="1"/>
  <c r="AF85" i="15" s="1"/>
  <c r="AI83" i="15"/>
  <c r="AH83" i="15" s="1"/>
  <c r="AI81" i="15"/>
  <c r="AH81" i="15" s="1"/>
  <c r="AI79" i="15"/>
  <c r="AH79" i="15" s="1"/>
  <c r="AG79" i="15" s="1"/>
  <c r="AF79" i="15" s="1"/>
  <c r="AI77" i="15"/>
  <c r="AH77" i="15" s="1"/>
  <c r="AG77" i="15" s="1"/>
  <c r="AF77" i="15" s="1"/>
  <c r="AI75" i="15"/>
  <c r="AH75" i="15" s="1"/>
  <c r="AI72" i="15"/>
  <c r="AH72" i="15" s="1"/>
  <c r="AG72" i="15" s="1"/>
  <c r="AF72" i="15" s="1"/>
  <c r="AI68" i="15"/>
  <c r="AH68" i="15" s="1"/>
  <c r="AG68" i="15" s="1"/>
  <c r="AF68" i="15" s="1"/>
  <c r="AI64" i="15"/>
  <c r="AH64" i="15" s="1"/>
  <c r="AG64" i="15" s="1"/>
  <c r="AF64" i="15" s="1"/>
  <c r="AI60" i="15"/>
  <c r="AH60" i="15" s="1"/>
  <c r="AI56" i="15"/>
  <c r="AH56" i="15" s="1"/>
  <c r="AI52" i="15"/>
  <c r="AH52" i="15" s="1"/>
  <c r="AI48" i="15"/>
  <c r="AH48" i="15" s="1"/>
  <c r="AI44" i="15"/>
  <c r="AH44" i="15" s="1"/>
  <c r="AG44" i="15" s="1"/>
  <c r="AF44" i="15" s="1"/>
  <c r="AI40" i="15"/>
  <c r="AH40" i="15" s="1"/>
  <c r="AI36" i="15"/>
  <c r="AH36" i="15" s="1"/>
  <c r="AG36" i="15" s="1"/>
  <c r="AF36" i="15" s="1"/>
  <c r="AI32" i="15"/>
  <c r="AH32" i="15" s="1"/>
  <c r="AI26" i="15"/>
  <c r="AH26" i="15" s="1"/>
  <c r="AI20" i="15"/>
  <c r="AH20" i="15" s="1"/>
  <c r="AI25" i="15"/>
  <c r="AH25" i="15" s="1"/>
  <c r="AG25" i="15" s="1"/>
  <c r="AF25" i="15" s="1"/>
  <c r="AI15" i="15"/>
  <c r="AH15" i="15" s="1"/>
  <c r="U377" i="15"/>
  <c r="T377" i="15" s="1"/>
  <c r="S377" i="15" s="1"/>
  <c r="R377" i="15" s="1"/>
  <c r="U373" i="15"/>
  <c r="T373" i="15" s="1"/>
  <c r="S373" i="15" s="1"/>
  <c r="R373" i="15" s="1"/>
  <c r="U369" i="15"/>
  <c r="T369" i="15" s="1"/>
  <c r="S369" i="15" s="1"/>
  <c r="R369" i="15" s="1"/>
  <c r="U365" i="15"/>
  <c r="T365" i="15" s="1"/>
  <c r="S365" i="15" s="1"/>
  <c r="R365" i="15" s="1"/>
  <c r="U361" i="15"/>
  <c r="T361" i="15" s="1"/>
  <c r="S361" i="15" s="1"/>
  <c r="R361" i="15" s="1"/>
  <c r="U357" i="15"/>
  <c r="T357" i="15" s="1"/>
  <c r="U353" i="15"/>
  <c r="T353" i="15" s="1"/>
  <c r="S353" i="15" s="1"/>
  <c r="R353" i="15" s="1"/>
  <c r="U349" i="15"/>
  <c r="T349" i="15" s="1"/>
  <c r="U345" i="15"/>
  <c r="T345" i="15" s="1"/>
  <c r="S345" i="15" s="1"/>
  <c r="R345" i="15" s="1"/>
  <c r="U341" i="15"/>
  <c r="T341" i="15" s="1"/>
  <c r="S341" i="15" s="1"/>
  <c r="R341" i="15" s="1"/>
  <c r="U337" i="15"/>
  <c r="T337" i="15" s="1"/>
  <c r="S337" i="15" s="1"/>
  <c r="R337" i="15" s="1"/>
  <c r="U333" i="15"/>
  <c r="T333" i="15" s="1"/>
  <c r="S333" i="15" s="1"/>
  <c r="R333" i="15" s="1"/>
  <c r="U329" i="15"/>
  <c r="T329" i="15" s="1"/>
  <c r="S329" i="15" s="1"/>
  <c r="R329" i="15" s="1"/>
  <c r="U325" i="15"/>
  <c r="T325" i="15" s="1"/>
  <c r="S325" i="15" s="1"/>
  <c r="R325" i="15" s="1"/>
  <c r="U321" i="15"/>
  <c r="T321" i="15" s="1"/>
  <c r="S321" i="15" s="1"/>
  <c r="R321" i="15" s="1"/>
  <c r="U317" i="15"/>
  <c r="T317" i="15" s="1"/>
  <c r="S317" i="15" s="1"/>
  <c r="R317" i="15" s="1"/>
  <c r="U313" i="15"/>
  <c r="T313" i="15" s="1"/>
  <c r="S313" i="15" s="1"/>
  <c r="R313" i="15" s="1"/>
  <c r="U309" i="15"/>
  <c r="T309" i="15" s="1"/>
  <c r="S309" i="15" s="1"/>
  <c r="R309" i="15" s="1"/>
  <c r="U305" i="15"/>
  <c r="T305" i="15" s="1"/>
  <c r="S305" i="15" s="1"/>
  <c r="R305" i="15" s="1"/>
  <c r="U301" i="15"/>
  <c r="T301" i="15" s="1"/>
  <c r="S301" i="15" s="1"/>
  <c r="R301" i="15" s="1"/>
  <c r="U297" i="15"/>
  <c r="T297" i="15" s="1"/>
  <c r="S297" i="15" s="1"/>
  <c r="R297" i="15" s="1"/>
  <c r="U293" i="15"/>
  <c r="T293" i="15" s="1"/>
  <c r="S293" i="15" s="1"/>
  <c r="R293" i="15" s="1"/>
  <c r="U289" i="15"/>
  <c r="T289" i="15" s="1"/>
  <c r="S289" i="15" s="1"/>
  <c r="R289" i="15" s="1"/>
  <c r="U285" i="15"/>
  <c r="T285" i="15" s="1"/>
  <c r="S285" i="15" s="1"/>
  <c r="R285" i="15" s="1"/>
  <c r="U281" i="15"/>
  <c r="T281" i="15" s="1"/>
  <c r="S281" i="15" s="1"/>
  <c r="R281" i="15" s="1"/>
  <c r="U277" i="15"/>
  <c r="T277" i="15" s="1"/>
  <c r="S277" i="15" s="1"/>
  <c r="R277" i="15" s="1"/>
  <c r="U273" i="15"/>
  <c r="T273" i="15" s="1"/>
  <c r="S273" i="15" s="1"/>
  <c r="R273" i="15" s="1"/>
  <c r="U269" i="15"/>
  <c r="T269" i="15" s="1"/>
  <c r="S269" i="15" s="1"/>
  <c r="R269" i="15" s="1"/>
  <c r="U265" i="15"/>
  <c r="T265" i="15" s="1"/>
  <c r="S265" i="15" s="1"/>
  <c r="R265" i="15" s="1"/>
  <c r="U261" i="15"/>
  <c r="T261" i="15" s="1"/>
  <c r="S261" i="15" s="1"/>
  <c r="R261" i="15" s="1"/>
  <c r="U257" i="15"/>
  <c r="T257" i="15" s="1"/>
  <c r="S257" i="15" s="1"/>
  <c r="R257" i="15" s="1"/>
  <c r="U253" i="15"/>
  <c r="T253" i="15" s="1"/>
  <c r="S253" i="15" s="1"/>
  <c r="R253" i="15" s="1"/>
  <c r="U249" i="15"/>
  <c r="T249" i="15" s="1"/>
  <c r="S249" i="15" s="1"/>
  <c r="R249" i="15" s="1"/>
  <c r="U245" i="15"/>
  <c r="T245" i="15" s="1"/>
  <c r="U241" i="15"/>
  <c r="T241" i="15" s="1"/>
  <c r="S241" i="15" s="1"/>
  <c r="R241" i="15" s="1"/>
  <c r="U237" i="15"/>
  <c r="T237" i="15" s="1"/>
  <c r="S237" i="15" s="1"/>
  <c r="R237" i="15" s="1"/>
  <c r="U233" i="15"/>
  <c r="T233" i="15" s="1"/>
  <c r="S233" i="15" s="1"/>
  <c r="R233" i="15" s="1"/>
  <c r="U229" i="15"/>
  <c r="T229" i="15" s="1"/>
  <c r="S229" i="15" s="1"/>
  <c r="R229" i="15" s="1"/>
  <c r="U225" i="15"/>
  <c r="T225" i="15" s="1"/>
  <c r="S225" i="15" s="1"/>
  <c r="R225" i="15" s="1"/>
  <c r="U221" i="15"/>
  <c r="T221" i="15" s="1"/>
  <c r="S221" i="15" s="1"/>
  <c r="R221" i="15" s="1"/>
  <c r="U217" i="15"/>
  <c r="T217" i="15" s="1"/>
  <c r="S217" i="15" s="1"/>
  <c r="R217" i="15" s="1"/>
  <c r="U213" i="15"/>
  <c r="T213" i="15" s="1"/>
  <c r="S213" i="15" s="1"/>
  <c r="R213" i="15" s="1"/>
  <c r="U209" i="15"/>
  <c r="T209" i="15" s="1"/>
  <c r="S209" i="15" s="1"/>
  <c r="R209" i="15" s="1"/>
  <c r="U205" i="15"/>
  <c r="T205" i="15" s="1"/>
  <c r="S205" i="15" s="1"/>
  <c r="R205" i="15" s="1"/>
  <c r="U201" i="15"/>
  <c r="T201" i="15" s="1"/>
  <c r="S201" i="15" s="1"/>
  <c r="R201" i="15" s="1"/>
  <c r="U197" i="15"/>
  <c r="T197" i="15" s="1"/>
  <c r="S197" i="15" s="1"/>
  <c r="R197" i="15" s="1"/>
  <c r="U193" i="15"/>
  <c r="T193" i="15" s="1"/>
  <c r="S193" i="15" s="1"/>
  <c r="R193" i="15" s="1"/>
  <c r="U189" i="15"/>
  <c r="T189" i="15" s="1"/>
  <c r="S189" i="15" s="1"/>
  <c r="R189" i="15" s="1"/>
  <c r="U185" i="15"/>
  <c r="T185" i="15" s="1"/>
  <c r="S185" i="15" s="1"/>
  <c r="R185" i="15" s="1"/>
  <c r="U178" i="15"/>
  <c r="T178" i="15" s="1"/>
  <c r="S178" i="15" s="1"/>
  <c r="R178" i="15" s="1"/>
  <c r="U170" i="15"/>
  <c r="T170" i="15" s="1"/>
  <c r="S170" i="15" s="1"/>
  <c r="R170" i="15" s="1"/>
  <c r="U162" i="15"/>
  <c r="T162" i="15" s="1"/>
  <c r="S162" i="15" s="1"/>
  <c r="R162" i="15" s="1"/>
  <c r="U154" i="15"/>
  <c r="T154" i="15" s="1"/>
  <c r="S154" i="15" s="1"/>
  <c r="R154" i="15" s="1"/>
  <c r="U146" i="15"/>
  <c r="T146" i="15" s="1"/>
  <c r="S146" i="15" s="1"/>
  <c r="R146" i="15" s="1"/>
  <c r="U138" i="15"/>
  <c r="T138" i="15" s="1"/>
  <c r="S138" i="15" s="1"/>
  <c r="R138" i="15" s="1"/>
  <c r="U130" i="15"/>
  <c r="T130" i="15" s="1"/>
  <c r="S130" i="15" s="1"/>
  <c r="R130" i="15" s="1"/>
  <c r="U122" i="15"/>
  <c r="T122" i="15" s="1"/>
  <c r="S122" i="15" s="1"/>
  <c r="R122" i="15" s="1"/>
  <c r="U114" i="15"/>
  <c r="T114" i="15" s="1"/>
  <c r="S114" i="15" s="1"/>
  <c r="R114" i="15" s="1"/>
  <c r="U106" i="15"/>
  <c r="T106" i="15" s="1"/>
  <c r="S106" i="15" s="1"/>
  <c r="R106" i="15" s="1"/>
  <c r="U98" i="15"/>
  <c r="T98" i="15" s="1"/>
  <c r="S98" i="15" s="1"/>
  <c r="R98" i="15" s="1"/>
  <c r="U90" i="15"/>
  <c r="T90" i="15" s="1"/>
  <c r="S90" i="15" s="1"/>
  <c r="R90" i="15" s="1"/>
  <c r="U82" i="15"/>
  <c r="T82" i="15" s="1"/>
  <c r="S82" i="15" s="1"/>
  <c r="R82" i="15" s="1"/>
  <c r="U74" i="15"/>
  <c r="T74" i="15" s="1"/>
  <c r="S74" i="15" s="1"/>
  <c r="R74" i="15" s="1"/>
  <c r="U66" i="15"/>
  <c r="T66" i="15" s="1"/>
  <c r="S66" i="15" s="1"/>
  <c r="R66" i="15" s="1"/>
  <c r="U58" i="15"/>
  <c r="T58" i="15" s="1"/>
  <c r="S58" i="15" s="1"/>
  <c r="R58" i="15" s="1"/>
  <c r="U50" i="15"/>
  <c r="T50" i="15" s="1"/>
  <c r="S50" i="15" s="1"/>
  <c r="R50" i="15" s="1"/>
  <c r="U42" i="15"/>
  <c r="T42" i="15" s="1"/>
  <c r="S42" i="15" s="1"/>
  <c r="R42" i="15" s="1"/>
  <c r="U34" i="15"/>
  <c r="T34" i="15" s="1"/>
  <c r="S34" i="15" s="1"/>
  <c r="R34" i="15" s="1"/>
  <c r="U26" i="15"/>
  <c r="T26" i="15" s="1"/>
  <c r="S26" i="15" s="1"/>
  <c r="R26" i="15" s="1"/>
  <c r="U22" i="15"/>
  <c r="T22" i="15" s="1"/>
  <c r="S22" i="15" s="1"/>
  <c r="R22" i="15" s="1"/>
  <c r="Q379" i="15"/>
  <c r="Q371" i="15"/>
  <c r="Q363" i="15"/>
  <c r="Q355" i="15"/>
  <c r="Q347" i="15"/>
  <c r="Q339" i="15"/>
  <c r="Q331" i="15"/>
  <c r="Q323" i="15"/>
  <c r="Q315" i="15"/>
  <c r="Q299" i="15"/>
  <c r="P299" i="15" s="1"/>
  <c r="V299" i="15" s="1"/>
  <c r="F299" i="15" s="1"/>
  <c r="Q283" i="15"/>
  <c r="Q267" i="15"/>
  <c r="P267" i="15" s="1"/>
  <c r="V267" i="15" s="1"/>
  <c r="F267" i="15" s="1"/>
  <c r="Q251" i="15"/>
  <c r="Q235" i="15"/>
  <c r="P235" i="15" s="1"/>
  <c r="V235" i="15" s="1"/>
  <c r="F235" i="15" s="1"/>
  <c r="Q219" i="15"/>
  <c r="Q203" i="15"/>
  <c r="Q187" i="15"/>
  <c r="Q171" i="15"/>
  <c r="Q155" i="15"/>
  <c r="Q139" i="15"/>
  <c r="P139" i="15" s="1"/>
  <c r="V139" i="15" s="1"/>
  <c r="F139" i="15" s="1"/>
  <c r="Q123" i="15"/>
  <c r="Q107" i="15"/>
  <c r="P107" i="15" s="1"/>
  <c r="V107" i="15" s="1"/>
  <c r="F107" i="15" s="1"/>
  <c r="Q91" i="15"/>
  <c r="Q69" i="15"/>
  <c r="Q311" i="15"/>
  <c r="Q303" i="15"/>
  <c r="P303" i="15" s="1"/>
  <c r="V303" i="15" s="1"/>
  <c r="F303" i="15" s="1"/>
  <c r="Q295" i="15"/>
  <c r="Q287" i="15"/>
  <c r="Q279" i="15"/>
  <c r="P279" i="15" s="1"/>
  <c r="V279" i="15" s="1"/>
  <c r="F279" i="15" s="1"/>
  <c r="Q271" i="15"/>
  <c r="Q263" i="15"/>
  <c r="Q255" i="15"/>
  <c r="Q247" i="15"/>
  <c r="P247" i="15" s="1"/>
  <c r="V247" i="15" s="1"/>
  <c r="F247" i="15" s="1"/>
  <c r="Q239" i="15"/>
  <c r="P239" i="15" s="1"/>
  <c r="V239" i="15" s="1"/>
  <c r="F239" i="15" s="1"/>
  <c r="Q231" i="15"/>
  <c r="Q223" i="15"/>
  <c r="Q215" i="15"/>
  <c r="P215" i="15" s="1"/>
  <c r="V215" i="15" s="1"/>
  <c r="F215" i="15" s="1"/>
  <c r="Q207" i="15"/>
  <c r="Q199" i="15"/>
  <c r="Q191" i="15"/>
  <c r="Q183" i="15"/>
  <c r="Q175" i="15"/>
  <c r="P175" i="15" s="1"/>
  <c r="V175" i="15" s="1"/>
  <c r="F175" i="15" s="1"/>
  <c r="Q167" i="15"/>
  <c r="Q159" i="15"/>
  <c r="P159" i="15" s="1"/>
  <c r="V159" i="15" s="1"/>
  <c r="F159" i="15" s="1"/>
  <c r="Q151" i="15"/>
  <c r="Q143" i="15"/>
  <c r="Q135" i="15"/>
  <c r="Q127" i="15"/>
  <c r="P127" i="15" s="1"/>
  <c r="V127" i="15" s="1"/>
  <c r="F127" i="15" s="1"/>
  <c r="Q119" i="15"/>
  <c r="Q111" i="15"/>
  <c r="P111" i="15" s="1"/>
  <c r="V111" i="15" s="1"/>
  <c r="F111" i="15" s="1"/>
  <c r="Q103" i="15"/>
  <c r="Q95" i="15"/>
  <c r="Q87" i="15"/>
  <c r="Q77" i="15"/>
  <c r="Q53" i="15"/>
  <c r="P53" i="15" s="1"/>
  <c r="V53" i="15" s="1"/>
  <c r="F53" i="15" s="1"/>
  <c r="Q377" i="15"/>
  <c r="Q373" i="15"/>
  <c r="Q369" i="15"/>
  <c r="Q365" i="15"/>
  <c r="Q361" i="15"/>
  <c r="Q357" i="15"/>
  <c r="Q353" i="15"/>
  <c r="Q349" i="15"/>
  <c r="Q345" i="15"/>
  <c r="Q341" i="15"/>
  <c r="Q337" i="15"/>
  <c r="Q333" i="15"/>
  <c r="Q329" i="15"/>
  <c r="Q325" i="15"/>
  <c r="Q321" i="15"/>
  <c r="Q317" i="15"/>
  <c r="Q313" i="15"/>
  <c r="Q309" i="15"/>
  <c r="Q305" i="15"/>
  <c r="Q301" i="15"/>
  <c r="Q297" i="15"/>
  <c r="Q293" i="15"/>
  <c r="Q289" i="15"/>
  <c r="Q285" i="15"/>
  <c r="Q281" i="15"/>
  <c r="Q277" i="15"/>
  <c r="Q273" i="15"/>
  <c r="Q269" i="15"/>
  <c r="Q265" i="15"/>
  <c r="Q261" i="15"/>
  <c r="Q257" i="15"/>
  <c r="Q253" i="15"/>
  <c r="Q249" i="15"/>
  <c r="Q245" i="15"/>
  <c r="Q241" i="15"/>
  <c r="Q237" i="15"/>
  <c r="Q233" i="15"/>
  <c r="Q229" i="15"/>
  <c r="Q225" i="15"/>
  <c r="Q221" i="15"/>
  <c r="Q217" i="15"/>
  <c r="Q213" i="15"/>
  <c r="Q209" i="15"/>
  <c r="Q205" i="15"/>
  <c r="Q201" i="15"/>
  <c r="Q197" i="15"/>
  <c r="Q193" i="15"/>
  <c r="Q189" i="15"/>
  <c r="Q185" i="15"/>
  <c r="Q181" i="15"/>
  <c r="P181" i="15" s="1"/>
  <c r="V181" i="15" s="1"/>
  <c r="F181" i="15" s="1"/>
  <c r="Q177" i="15"/>
  <c r="Q173" i="15"/>
  <c r="P173" i="15" s="1"/>
  <c r="V173" i="15" s="1"/>
  <c r="F173" i="15" s="1"/>
  <c r="Q169" i="15"/>
  <c r="Q165" i="15"/>
  <c r="Q161" i="15"/>
  <c r="Q157" i="15"/>
  <c r="P157" i="15" s="1"/>
  <c r="V157" i="15" s="1"/>
  <c r="F157" i="15" s="1"/>
  <c r="Q153" i="15"/>
  <c r="Q149" i="15"/>
  <c r="P149" i="15" s="1"/>
  <c r="Q145" i="15"/>
  <c r="Q141" i="15"/>
  <c r="P141" i="15" s="1"/>
  <c r="V141" i="15" s="1"/>
  <c r="F141" i="15" s="1"/>
  <c r="Q137" i="15"/>
  <c r="Q133" i="15"/>
  <c r="P133" i="15" s="1"/>
  <c r="V133" i="15" s="1"/>
  <c r="F133" i="15" s="1"/>
  <c r="Q129" i="15"/>
  <c r="Q125" i="15"/>
  <c r="P125" i="15" s="1"/>
  <c r="V125" i="15" s="1"/>
  <c r="F125" i="15" s="1"/>
  <c r="Q121" i="15"/>
  <c r="Q117" i="15"/>
  <c r="P117" i="15" s="1"/>
  <c r="V117" i="15" s="1"/>
  <c r="F117" i="15" s="1"/>
  <c r="Q113" i="15"/>
  <c r="Q109" i="15"/>
  <c r="P109" i="15" s="1"/>
  <c r="V109" i="15" s="1"/>
  <c r="F109" i="15" s="1"/>
  <c r="Q105" i="15"/>
  <c r="Q101" i="15"/>
  <c r="Q97" i="15"/>
  <c r="Q93" i="15"/>
  <c r="P93" i="15" s="1"/>
  <c r="V93" i="15" s="1"/>
  <c r="F93" i="15" s="1"/>
  <c r="Q89" i="15"/>
  <c r="Q85" i="15"/>
  <c r="Q81" i="15"/>
  <c r="Q73" i="15"/>
  <c r="Q65" i="15"/>
  <c r="AJ3" i="15"/>
  <c r="O12" i="19" s="1"/>
  <c r="Q29" i="15"/>
  <c r="Q380" i="15"/>
  <c r="AE380" i="15"/>
  <c r="AI380" i="15"/>
  <c r="U380" i="15"/>
  <c r="T380" i="15" s="1"/>
  <c r="Q79" i="15"/>
  <c r="Q75" i="15"/>
  <c r="Q71" i="15"/>
  <c r="Q67" i="15"/>
  <c r="Q61" i="15"/>
  <c r="P61" i="15" s="1"/>
  <c r="V61" i="15" s="1"/>
  <c r="F61" i="15" s="1"/>
  <c r="Q45" i="15"/>
  <c r="Q19" i="15"/>
  <c r="Q25" i="15"/>
  <c r="Q33" i="15"/>
  <c r="Q41" i="15"/>
  <c r="Q49" i="15"/>
  <c r="Q57" i="15"/>
  <c r="Q63" i="15"/>
  <c r="Q66" i="15"/>
  <c r="Q68" i="15"/>
  <c r="Q70" i="15"/>
  <c r="Q72" i="15"/>
  <c r="Q74" i="15"/>
  <c r="Q76" i="15"/>
  <c r="Q78" i="15"/>
  <c r="Q80" i="15"/>
  <c r="P80" i="15" s="1"/>
  <c r="V80" i="15" s="1"/>
  <c r="F80" i="15" s="1"/>
  <c r="Q82" i="15"/>
  <c r="Q84" i="15"/>
  <c r="Q86" i="15"/>
  <c r="P86" i="15" s="1"/>
  <c r="V86" i="15" s="1"/>
  <c r="F86" i="15" s="1"/>
  <c r="Q88" i="15"/>
  <c r="P88" i="15" s="1"/>
  <c r="Q90" i="15"/>
  <c r="Q92" i="15"/>
  <c r="Q94" i="15"/>
  <c r="P94" i="15" s="1"/>
  <c r="V94" i="15" s="1"/>
  <c r="F94" i="15" s="1"/>
  <c r="Q96" i="15"/>
  <c r="P96" i="15" s="1"/>
  <c r="V96" i="15" s="1"/>
  <c r="F96" i="15" s="1"/>
  <c r="Q98" i="15"/>
  <c r="Q100" i="15"/>
  <c r="Q102" i="15"/>
  <c r="P102" i="15" s="1"/>
  <c r="V102" i="15" s="1"/>
  <c r="F102" i="15" s="1"/>
  <c r="Q104" i="15"/>
  <c r="P104" i="15" s="1"/>
  <c r="V104" i="15" s="1"/>
  <c r="F104" i="15" s="1"/>
  <c r="Q106" i="15"/>
  <c r="Q108" i="15"/>
  <c r="Q110" i="15"/>
  <c r="Q112" i="15"/>
  <c r="P112" i="15" s="1"/>
  <c r="V112" i="15" s="1"/>
  <c r="F112" i="15" s="1"/>
  <c r="Q114" i="15"/>
  <c r="Q116" i="15"/>
  <c r="Q118" i="15"/>
  <c r="P118" i="15" s="1"/>
  <c r="V118" i="15" s="1"/>
  <c r="F118" i="15" s="1"/>
  <c r="Q120" i="15"/>
  <c r="P120" i="15" s="1"/>
  <c r="V120" i="15" s="1"/>
  <c r="F120" i="15" s="1"/>
  <c r="Q122" i="15"/>
  <c r="Q124" i="15"/>
  <c r="Q126" i="15"/>
  <c r="P126" i="15" s="1"/>
  <c r="V126" i="15" s="1"/>
  <c r="F126" i="15" s="1"/>
  <c r="Q128" i="15"/>
  <c r="P128" i="15" s="1"/>
  <c r="V128" i="15" s="1"/>
  <c r="F128" i="15" s="1"/>
  <c r="Q130" i="15"/>
  <c r="Q132" i="15"/>
  <c r="Q134" i="15"/>
  <c r="Q136" i="15"/>
  <c r="Q138" i="15"/>
  <c r="Q140" i="15"/>
  <c r="Q142" i="15"/>
  <c r="Q144" i="15"/>
  <c r="P144" i="15" s="1"/>
  <c r="V144" i="15" s="1"/>
  <c r="F144" i="15" s="1"/>
  <c r="Q146" i="15"/>
  <c r="Q148" i="15"/>
  <c r="Q150" i="15"/>
  <c r="Q152" i="15"/>
  <c r="P152" i="15" s="1"/>
  <c r="V152" i="15" s="1"/>
  <c r="F152" i="15" s="1"/>
  <c r="Q154" i="15"/>
  <c r="Q156" i="15"/>
  <c r="Q158" i="15"/>
  <c r="P158" i="15" s="1"/>
  <c r="V158" i="15" s="1"/>
  <c r="F158" i="15" s="1"/>
  <c r="Q160" i="15"/>
  <c r="P160" i="15" s="1"/>
  <c r="V160" i="15" s="1"/>
  <c r="F160" i="15" s="1"/>
  <c r="Q162" i="15"/>
  <c r="Q164" i="15"/>
  <c r="Q166" i="15"/>
  <c r="P166" i="15" s="1"/>
  <c r="V166" i="15" s="1"/>
  <c r="F166" i="15" s="1"/>
  <c r="Q168" i="15"/>
  <c r="P168" i="15" s="1"/>
  <c r="V168" i="15" s="1"/>
  <c r="F168" i="15" s="1"/>
  <c r="Q170" i="15"/>
  <c r="Q172" i="15"/>
  <c r="Q174" i="15"/>
  <c r="Q176" i="15"/>
  <c r="P176" i="15" s="1"/>
  <c r="V176" i="15" s="1"/>
  <c r="F176" i="15" s="1"/>
  <c r="Q178" i="15"/>
  <c r="Q180" i="15"/>
  <c r="Q182" i="15"/>
  <c r="P182" i="15" s="1"/>
  <c r="V182" i="15" s="1"/>
  <c r="F182" i="15" s="1"/>
  <c r="Q184" i="15"/>
  <c r="P184" i="15" s="1"/>
  <c r="V184" i="15" s="1"/>
  <c r="F184" i="15" s="1"/>
  <c r="Q186" i="15"/>
  <c r="Q188" i="15"/>
  <c r="P188" i="15" s="1"/>
  <c r="V188" i="15" s="1"/>
  <c r="F188" i="15" s="1"/>
  <c r="Q190" i="15"/>
  <c r="Q192" i="15"/>
  <c r="P192" i="15" s="1"/>
  <c r="V192" i="15" s="1"/>
  <c r="F192" i="15" s="1"/>
  <c r="Q194" i="15"/>
  <c r="Q196" i="15"/>
  <c r="P196" i="15" s="1"/>
  <c r="V196" i="15" s="1"/>
  <c r="F196" i="15" s="1"/>
  <c r="Q198" i="15"/>
  <c r="Q200" i="15"/>
  <c r="P200" i="15" s="1"/>
  <c r="V200" i="15" s="1"/>
  <c r="F200" i="15" s="1"/>
  <c r="Q202" i="15"/>
  <c r="Q204" i="15"/>
  <c r="P204" i="15" s="1"/>
  <c r="V204" i="15" s="1"/>
  <c r="F204" i="15" s="1"/>
  <c r="Q206" i="15"/>
  <c r="Q208" i="15"/>
  <c r="P208" i="15" s="1"/>
  <c r="V208" i="15" s="1"/>
  <c r="F208" i="15" s="1"/>
  <c r="Q210" i="15"/>
  <c r="Q212" i="15"/>
  <c r="P212" i="15" s="1"/>
  <c r="V212" i="15" s="1"/>
  <c r="F212" i="15" s="1"/>
  <c r="Q214" i="15"/>
  <c r="Q216" i="15"/>
  <c r="P216" i="15" s="1"/>
  <c r="V216" i="15" s="1"/>
  <c r="F216" i="15" s="1"/>
  <c r="Q218" i="15"/>
  <c r="Q220" i="15"/>
  <c r="P220" i="15" s="1"/>
  <c r="V220" i="15" s="1"/>
  <c r="F220" i="15" s="1"/>
  <c r="Q222" i="15"/>
  <c r="Q224" i="15"/>
  <c r="P224" i="15" s="1"/>
  <c r="V224" i="15" s="1"/>
  <c r="F224" i="15" s="1"/>
  <c r="Q226" i="15"/>
  <c r="Q228" i="15"/>
  <c r="P228" i="15" s="1"/>
  <c r="V228" i="15" s="1"/>
  <c r="F228" i="15" s="1"/>
  <c r="Q230" i="15"/>
  <c r="Q232" i="15"/>
  <c r="P232" i="15" s="1"/>
  <c r="V232" i="15" s="1"/>
  <c r="F232" i="15" s="1"/>
  <c r="Q234" i="15"/>
  <c r="Q236" i="15"/>
  <c r="P236" i="15" s="1"/>
  <c r="V236" i="15" s="1"/>
  <c r="F236" i="15" s="1"/>
  <c r="Q238" i="15"/>
  <c r="Q240" i="15"/>
  <c r="P240" i="15" s="1"/>
  <c r="V240" i="15" s="1"/>
  <c r="F240" i="15" s="1"/>
  <c r="Q242" i="15"/>
  <c r="Q244" i="15"/>
  <c r="P244" i="15" s="1"/>
  <c r="V244" i="15" s="1"/>
  <c r="F244" i="15" s="1"/>
  <c r="Q246" i="15"/>
  <c r="Q248" i="15"/>
  <c r="Q250" i="15"/>
  <c r="Q252" i="15"/>
  <c r="Q254" i="15"/>
  <c r="Q256" i="15"/>
  <c r="P256" i="15" s="1"/>
  <c r="V256" i="15" s="1"/>
  <c r="F256" i="15" s="1"/>
  <c r="Q258" i="15"/>
  <c r="Q260" i="15"/>
  <c r="P260" i="15" s="1"/>
  <c r="V260" i="15" s="1"/>
  <c r="F260" i="15" s="1"/>
  <c r="Q262" i="15"/>
  <c r="Q264" i="15"/>
  <c r="Q266" i="15"/>
  <c r="Q268" i="15"/>
  <c r="P268" i="15" s="1"/>
  <c r="V268" i="15" s="1"/>
  <c r="F268" i="15" s="1"/>
  <c r="Q270" i="15"/>
  <c r="Q272" i="15"/>
  <c r="Q274" i="15"/>
  <c r="Q276" i="15"/>
  <c r="Q278" i="15"/>
  <c r="Q280" i="15"/>
  <c r="P280" i="15" s="1"/>
  <c r="V280" i="15" s="1"/>
  <c r="F280" i="15" s="1"/>
  <c r="Q282" i="15"/>
  <c r="Q284" i="15"/>
  <c r="Q286" i="15"/>
  <c r="Q288" i="15"/>
  <c r="P288" i="15" s="1"/>
  <c r="V288" i="15" s="1"/>
  <c r="Q290" i="15"/>
  <c r="Q292" i="15"/>
  <c r="P292" i="15" s="1"/>
  <c r="V292" i="15" s="1"/>
  <c r="F292" i="15" s="1"/>
  <c r="Q294" i="15"/>
  <c r="Q296" i="15"/>
  <c r="Q298" i="15"/>
  <c r="Q300" i="15"/>
  <c r="P300" i="15" s="1"/>
  <c r="V300" i="15" s="1"/>
  <c r="F300" i="15" s="1"/>
  <c r="Q302" i="15"/>
  <c r="Q304" i="15"/>
  <c r="P304" i="15" s="1"/>
  <c r="V304" i="15" s="1"/>
  <c r="F304" i="15" s="1"/>
  <c r="Q306" i="15"/>
  <c r="Q308" i="15"/>
  <c r="P308" i="15" s="1"/>
  <c r="V308" i="15" s="1"/>
  <c r="F308" i="15" s="1"/>
  <c r="Q310" i="15"/>
  <c r="Q312" i="15"/>
  <c r="P312" i="15" s="1"/>
  <c r="V312" i="15" s="1"/>
  <c r="F312" i="15" s="1"/>
  <c r="Q314" i="15"/>
  <c r="Q316" i="15"/>
  <c r="Q318" i="15"/>
  <c r="Q320" i="15"/>
  <c r="P320" i="15" s="1"/>
  <c r="V320" i="15" s="1"/>
  <c r="F320" i="15" s="1"/>
  <c r="Q322" i="15"/>
  <c r="Q324" i="15"/>
  <c r="Q326" i="15"/>
  <c r="Q328" i="15"/>
  <c r="P328" i="15" s="1"/>
  <c r="V328" i="15" s="1"/>
  <c r="F328" i="15" s="1"/>
  <c r="Q330" i="15"/>
  <c r="Q332" i="15"/>
  <c r="P332" i="15" s="1"/>
  <c r="V332" i="15" s="1"/>
  <c r="F332" i="15" s="1"/>
  <c r="Q334" i="15"/>
  <c r="Q336" i="15"/>
  <c r="P336" i="15" s="1"/>
  <c r="V336" i="15" s="1"/>
  <c r="F336" i="15" s="1"/>
  <c r="Q338" i="15"/>
  <c r="Q340" i="15"/>
  <c r="P340" i="15" s="1"/>
  <c r="V340" i="15" s="1"/>
  <c r="F340" i="15" s="1"/>
  <c r="Q342" i="15"/>
  <c r="Q344" i="15"/>
  <c r="P344" i="15" s="1"/>
  <c r="V344" i="15" s="1"/>
  <c r="F344" i="15" s="1"/>
  <c r="Q346" i="15"/>
  <c r="Q348" i="15"/>
  <c r="P348" i="15" s="1"/>
  <c r="V348" i="15" s="1"/>
  <c r="F348" i="15" s="1"/>
  <c r="Q350" i="15"/>
  <c r="Q352" i="15"/>
  <c r="P352" i="15" s="1"/>
  <c r="V352" i="15" s="1"/>
  <c r="F352" i="15" s="1"/>
  <c r="Q354" i="15"/>
  <c r="Q356" i="15"/>
  <c r="P356" i="15" s="1"/>
  <c r="V356" i="15" s="1"/>
  <c r="F356" i="15" s="1"/>
  <c r="Q358" i="15"/>
  <c r="Q360" i="15"/>
  <c r="P360" i="15" s="1"/>
  <c r="V360" i="15" s="1"/>
  <c r="F360" i="15" s="1"/>
  <c r="Q362" i="15"/>
  <c r="Q364" i="15"/>
  <c r="P364" i="15" s="1"/>
  <c r="V364" i="15" s="1"/>
  <c r="F364" i="15" s="1"/>
  <c r="Q366" i="15"/>
  <c r="Q368" i="15"/>
  <c r="P368" i="15" s="1"/>
  <c r="V368" i="15" s="1"/>
  <c r="F368" i="15" s="1"/>
  <c r="Q370" i="15"/>
  <c r="Q372" i="15"/>
  <c r="P372" i="15" s="1"/>
  <c r="V372" i="15" s="1"/>
  <c r="F372" i="15" s="1"/>
  <c r="Q374" i="15"/>
  <c r="Q376" i="15"/>
  <c r="P376" i="15" s="1"/>
  <c r="V376" i="15" s="1"/>
  <c r="F376" i="15" s="1"/>
  <c r="Q378" i="15"/>
  <c r="P72" i="15"/>
  <c r="V72" i="15" s="1"/>
  <c r="F72" i="15" s="1"/>
  <c r="AK3" i="15"/>
  <c r="Q12" i="19" s="1"/>
  <c r="D382" i="15"/>
  <c r="D9" i="15"/>
  <c r="D11" i="15" s="1"/>
  <c r="E36" i="19" s="1"/>
  <c r="E379" i="15"/>
  <c r="D381" i="15"/>
  <c r="D383" i="15"/>
  <c r="AJ8" i="15"/>
  <c r="P49" i="15"/>
  <c r="V49" i="15" s="1"/>
  <c r="F49" i="15" s="1"/>
  <c r="Q59" i="15"/>
  <c r="Q55" i="15"/>
  <c r="Q51" i="15"/>
  <c r="Q47" i="15"/>
  <c r="Q43" i="15"/>
  <c r="P43" i="15" s="1"/>
  <c r="V43" i="15" s="1"/>
  <c r="F43" i="15" s="1"/>
  <c r="Q39" i="15"/>
  <c r="Q35" i="15"/>
  <c r="Q31" i="15"/>
  <c r="Q27" i="15"/>
  <c r="AC382" i="17"/>
  <c r="AC383" i="17"/>
  <c r="AC381" i="17"/>
  <c r="R379" i="1"/>
  <c r="S381" i="1"/>
  <c r="S382" i="1"/>
  <c r="S383" i="1"/>
  <c r="AK380" i="16"/>
  <c r="K380" i="16"/>
  <c r="AJ380" i="16"/>
  <c r="AH376" i="15"/>
  <c r="AH372" i="15"/>
  <c r="AG344" i="15"/>
  <c r="AF344" i="15" s="1"/>
  <c r="AH312" i="15"/>
  <c r="AG280" i="15"/>
  <c r="AF280" i="15" s="1"/>
  <c r="AG238" i="15"/>
  <c r="AF238" i="15" s="1"/>
  <c r="AH190" i="15"/>
  <c r="AH144" i="15"/>
  <c r="AH110" i="15"/>
  <c r="AG20" i="15"/>
  <c r="AF20" i="15" s="1"/>
  <c r="AB378" i="20"/>
  <c r="X378" i="20"/>
  <c r="AK378" i="20"/>
  <c r="K378" i="20"/>
  <c r="A379" i="20"/>
  <c r="A380" i="20" s="1"/>
  <c r="L378" i="20"/>
  <c r="AJ378" i="20"/>
  <c r="O378" i="20"/>
  <c r="AC378" i="20"/>
  <c r="AM5" i="17"/>
  <c r="AK5" i="17"/>
  <c r="AK7" i="17"/>
  <c r="AK11" i="17" s="1"/>
  <c r="AM9" i="17"/>
  <c r="AK9" i="17"/>
  <c r="AM7" i="17"/>
  <c r="AM11" i="17" s="1"/>
  <c r="AJ5" i="17"/>
  <c r="L382" i="17"/>
  <c r="L381" i="17"/>
  <c r="L383" i="17"/>
  <c r="J16" i="7"/>
  <c r="K15" i="7"/>
  <c r="AE28" i="15"/>
  <c r="AE21" i="15"/>
  <c r="AE24" i="15"/>
  <c r="AE15" i="15"/>
  <c r="AE20" i="15"/>
  <c r="AE16" i="15"/>
  <c r="AE26" i="15"/>
  <c r="AE27" i="15"/>
  <c r="AE22" i="15"/>
  <c r="AE17" i="15"/>
  <c r="AE19" i="15"/>
  <c r="AE23" i="15"/>
  <c r="AE18" i="15"/>
  <c r="AE25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AE379" i="15"/>
  <c r="AE12" i="16" s="1"/>
  <c r="Q18" i="15"/>
  <c r="Q15" i="15"/>
  <c r="Q20" i="15"/>
  <c r="Q17" i="15"/>
  <c r="A377" i="23"/>
  <c r="AB376" i="23"/>
  <c r="AJ376" i="23"/>
  <c r="X376" i="23"/>
  <c r="K376" i="23"/>
  <c r="L376" i="23"/>
  <c r="AK376" i="23"/>
  <c r="O376" i="23"/>
  <c r="AC376" i="23"/>
  <c r="X374" i="25"/>
  <c r="AB374" i="25"/>
  <c r="AJ374" i="25"/>
  <c r="AK374" i="25"/>
  <c r="A375" i="25"/>
  <c r="L374" i="25"/>
  <c r="K374" i="25"/>
  <c r="O374" i="25"/>
  <c r="AC374" i="25"/>
  <c r="AG37" i="15"/>
  <c r="AF37" i="15" s="1"/>
  <c r="AB375" i="24"/>
  <c r="K375" i="24"/>
  <c r="L375" i="24"/>
  <c r="A376" i="24"/>
  <c r="X375" i="24"/>
  <c r="AJ375" i="24"/>
  <c r="AK375" i="24"/>
  <c r="O375" i="24"/>
  <c r="AC375" i="24"/>
  <c r="AB379" i="18"/>
  <c r="AJ379" i="18"/>
  <c r="L379" i="18"/>
  <c r="B39" i="19" s="1"/>
  <c r="AK379" i="18"/>
  <c r="K379" i="18"/>
  <c r="X379" i="18"/>
  <c r="O379" i="18"/>
  <c r="AC379" i="18"/>
  <c r="O381" i="17"/>
  <c r="O383" i="17"/>
  <c r="O382" i="17"/>
  <c r="AB377" i="22"/>
  <c r="X377" i="22"/>
  <c r="L377" i="22"/>
  <c r="AK377" i="22"/>
  <c r="A378" i="22"/>
  <c r="K377" i="22"/>
  <c r="AJ377" i="22"/>
  <c r="O377" i="22"/>
  <c r="AC377" i="22"/>
  <c r="S108" i="15"/>
  <c r="R108" i="15" s="1"/>
  <c r="S56" i="15"/>
  <c r="R56" i="15" s="1"/>
  <c r="S30" i="15"/>
  <c r="R30" i="15" s="1"/>
  <c r="S19" i="15"/>
  <c r="R19" i="15" s="1"/>
  <c r="Q64" i="15"/>
  <c r="Q62" i="15"/>
  <c r="Q60" i="15"/>
  <c r="P60" i="15" s="1"/>
  <c r="Q58" i="15"/>
  <c r="Q56" i="15"/>
  <c r="Q54" i="15"/>
  <c r="Q52" i="15"/>
  <c r="P52" i="15" s="1"/>
  <c r="Q50" i="15"/>
  <c r="Q48" i="15"/>
  <c r="Q46" i="15"/>
  <c r="Q44" i="15"/>
  <c r="P44" i="15" s="1"/>
  <c r="Q42" i="15"/>
  <c r="Q40" i="15"/>
  <c r="Q38" i="15"/>
  <c r="Q36" i="15"/>
  <c r="P36" i="15" s="1"/>
  <c r="Q34" i="15"/>
  <c r="Q32" i="15"/>
  <c r="Q30" i="15"/>
  <c r="Q28" i="15"/>
  <c r="Q26" i="15"/>
  <c r="Q16" i="15"/>
  <c r="P16" i="15" s="1"/>
  <c r="Q22" i="15"/>
  <c r="Q23" i="15"/>
  <c r="P23" i="15" s="1"/>
  <c r="Q24" i="15"/>
  <c r="Q21" i="15"/>
  <c r="AK8" i="1"/>
  <c r="E383" i="1"/>
  <c r="E9" i="1"/>
  <c r="AJ10" i="1"/>
  <c r="AJ12" i="1" s="1"/>
  <c r="E382" i="1"/>
  <c r="E381" i="1"/>
  <c r="P294" i="15" l="1"/>
  <c r="V294" i="15" s="1"/>
  <c r="F294" i="15" s="1"/>
  <c r="G294" i="15" s="1"/>
  <c r="BX294" i="6" s="1"/>
  <c r="P298" i="15"/>
  <c r="V298" i="15" s="1"/>
  <c r="F298" i="15" s="1"/>
  <c r="P207" i="15"/>
  <c r="V207" i="15" s="1"/>
  <c r="F207" i="15" s="1"/>
  <c r="H207" i="15" s="1"/>
  <c r="P38" i="15"/>
  <c r="V38" i="15" s="1"/>
  <c r="F38" i="15" s="1"/>
  <c r="P62" i="15"/>
  <c r="V62" i="15" s="1"/>
  <c r="F62" i="15" s="1"/>
  <c r="U12" i="16"/>
  <c r="O16" i="7" s="1"/>
  <c r="P311" i="15"/>
  <c r="V311" i="15" s="1"/>
  <c r="F311" i="15" s="1"/>
  <c r="H311" i="15" s="1"/>
  <c r="AD255" i="15"/>
  <c r="AD351" i="15"/>
  <c r="P24" i="15"/>
  <c r="V24" i="15" s="1"/>
  <c r="F24" i="15" s="1"/>
  <c r="P26" i="15"/>
  <c r="V26" i="15" s="1"/>
  <c r="F26" i="15" s="1"/>
  <c r="P42" i="15"/>
  <c r="V42" i="15" s="1"/>
  <c r="F42" i="15" s="1"/>
  <c r="P46" i="15"/>
  <c r="V46" i="15" s="1"/>
  <c r="F46" i="15" s="1"/>
  <c r="P54" i="15"/>
  <c r="V54" i="15" s="1"/>
  <c r="F54" i="15" s="1"/>
  <c r="P58" i="15"/>
  <c r="V58" i="15" s="1"/>
  <c r="F58" i="15" s="1"/>
  <c r="P17" i="15"/>
  <c r="V17" i="15" s="1"/>
  <c r="F17" i="15" s="1"/>
  <c r="P73" i="15"/>
  <c r="V73" i="15" s="1"/>
  <c r="F73" i="15" s="1"/>
  <c r="G73" i="15" s="1"/>
  <c r="BX73" i="6" s="1"/>
  <c r="J15" i="7"/>
  <c r="C39" i="19"/>
  <c r="P19" i="15"/>
  <c r="V19" i="15" s="1"/>
  <c r="F19" i="15" s="1"/>
  <c r="G19" i="15" s="1"/>
  <c r="BX19" i="6" s="1"/>
  <c r="L38" i="19"/>
  <c r="AD143" i="15"/>
  <c r="AD175" i="15"/>
  <c r="AA175" i="15" s="1"/>
  <c r="Z175" i="15" s="1"/>
  <c r="Y175" i="15" s="1"/>
  <c r="AD207" i="15"/>
  <c r="AD239" i="15"/>
  <c r="AA239" i="15" s="1"/>
  <c r="Z239" i="15" s="1"/>
  <c r="Y239" i="15" s="1"/>
  <c r="AD271" i="15"/>
  <c r="AD303" i="15"/>
  <c r="AA303" i="15" s="1"/>
  <c r="Z303" i="15" s="1"/>
  <c r="Y303" i="15" s="1"/>
  <c r="AD367" i="15"/>
  <c r="AD183" i="15"/>
  <c r="AD199" i="15"/>
  <c r="AD215" i="15"/>
  <c r="AA215" i="15" s="1"/>
  <c r="Z215" i="15" s="1"/>
  <c r="Y215" i="15" s="1"/>
  <c r="AD231" i="15"/>
  <c r="AD263" i="15"/>
  <c r="AD279" i="15"/>
  <c r="AA279" i="15" s="1"/>
  <c r="Z279" i="15" s="1"/>
  <c r="Y279" i="15" s="1"/>
  <c r="AD311" i="15"/>
  <c r="AD359" i="15"/>
  <c r="AD375" i="15"/>
  <c r="AD79" i="15"/>
  <c r="AD95" i="15"/>
  <c r="AD103" i="15"/>
  <c r="AD119" i="15"/>
  <c r="AD123" i="15"/>
  <c r="AD135" i="15"/>
  <c r="AD139" i="15"/>
  <c r="AA139" i="15" s="1"/>
  <c r="Z139" i="15" s="1"/>
  <c r="Y139" i="15" s="1"/>
  <c r="AD163" i="15"/>
  <c r="AD171" i="15"/>
  <c r="AD187" i="15"/>
  <c r="AD195" i="15"/>
  <c r="AA195" i="15" s="1"/>
  <c r="Z195" i="15" s="1"/>
  <c r="Y195" i="15" s="1"/>
  <c r="AD211" i="15"/>
  <c r="AD219" i="15"/>
  <c r="AD227" i="15"/>
  <c r="AD235" i="15"/>
  <c r="AA235" i="15" s="1"/>
  <c r="Z235" i="15" s="1"/>
  <c r="Y235" i="15" s="1"/>
  <c r="AD251" i="15"/>
  <c r="AD259" i="15"/>
  <c r="AD267" i="15"/>
  <c r="AA267" i="15" s="1"/>
  <c r="Z267" i="15" s="1"/>
  <c r="Y267" i="15" s="1"/>
  <c r="AD283" i="15"/>
  <c r="AD291" i="15"/>
  <c r="AD299" i="15"/>
  <c r="AA299" i="15" s="1"/>
  <c r="Z299" i="15" s="1"/>
  <c r="Y299" i="15" s="1"/>
  <c r="AD307" i="15"/>
  <c r="AD315" i="15"/>
  <c r="AD347" i="15"/>
  <c r="AD71" i="15"/>
  <c r="AD67" i="15"/>
  <c r="AD59" i="15"/>
  <c r="AD47" i="15"/>
  <c r="AD43" i="15"/>
  <c r="AA43" i="15" s="1"/>
  <c r="Z43" i="15" s="1"/>
  <c r="Y43" i="15" s="1"/>
  <c r="AD35" i="15"/>
  <c r="AD31" i="15"/>
  <c r="AD22" i="15"/>
  <c r="Q12" i="16"/>
  <c r="O15" i="7" s="1"/>
  <c r="P375" i="15"/>
  <c r="V375" i="15" s="1"/>
  <c r="F375" i="15" s="1"/>
  <c r="G375" i="15" s="1"/>
  <c r="BX375" i="6" s="1"/>
  <c r="P150" i="15"/>
  <c r="V150" i="15" s="1"/>
  <c r="F150" i="15" s="1"/>
  <c r="H150" i="15" s="1"/>
  <c r="S319" i="15"/>
  <c r="R319" i="15" s="1"/>
  <c r="P319" i="15" s="1"/>
  <c r="V319" i="15" s="1"/>
  <c r="F319" i="15" s="1"/>
  <c r="AI381" i="15"/>
  <c r="AH16" i="15"/>
  <c r="AG16" i="15" s="1"/>
  <c r="AF16" i="15" s="1"/>
  <c r="AD16" i="15" s="1"/>
  <c r="P227" i="15"/>
  <c r="V227" i="15" s="1"/>
  <c r="P11" i="7"/>
  <c r="U11" i="16" s="1"/>
  <c r="P143" i="15"/>
  <c r="V143" i="15" s="1"/>
  <c r="F143" i="15" s="1"/>
  <c r="P20" i="15"/>
  <c r="V20" i="15" s="1"/>
  <c r="F20" i="15" s="1"/>
  <c r="P18" i="15"/>
  <c r="V18" i="15" s="1"/>
  <c r="F18" i="15" s="1"/>
  <c r="P295" i="15"/>
  <c r="V295" i="15" s="1"/>
  <c r="F295" i="15" s="1"/>
  <c r="H295" i="15" s="1"/>
  <c r="P296" i="15"/>
  <c r="V296" i="15" s="1"/>
  <c r="F296" i="15" s="1"/>
  <c r="G296" i="15" s="1"/>
  <c r="BX296" i="6" s="1"/>
  <c r="P284" i="15"/>
  <c r="V284" i="15" s="1"/>
  <c r="F284" i="15" s="1"/>
  <c r="G284" i="15" s="1"/>
  <c r="BX284" i="6" s="1"/>
  <c r="P211" i="15"/>
  <c r="V211" i="15" s="1"/>
  <c r="F211" i="15" s="1"/>
  <c r="P275" i="15"/>
  <c r="V275" i="15" s="1"/>
  <c r="F275" i="15" s="1"/>
  <c r="H275" i="15" s="1"/>
  <c r="P359" i="15"/>
  <c r="V359" i="15" s="1"/>
  <c r="F359" i="15" s="1"/>
  <c r="H359" i="15" s="1"/>
  <c r="P333" i="15"/>
  <c r="D42" i="7" s="1"/>
  <c r="AI12" i="16"/>
  <c r="P174" i="15"/>
  <c r="V174" i="15" s="1"/>
  <c r="F174" i="15" s="1"/>
  <c r="H174" i="15" s="1"/>
  <c r="P142" i="15"/>
  <c r="V142" i="15" s="1"/>
  <c r="F142" i="15" s="1"/>
  <c r="P110" i="15"/>
  <c r="V110" i="15" s="1"/>
  <c r="F110" i="15" s="1"/>
  <c r="G110" i="15" s="1"/>
  <c r="BX110" i="6" s="1"/>
  <c r="P78" i="15"/>
  <c r="V78" i="15" s="1"/>
  <c r="F78" i="15" s="1"/>
  <c r="H78" i="15" s="1"/>
  <c r="P70" i="15"/>
  <c r="V70" i="15" s="1"/>
  <c r="F70" i="15" s="1"/>
  <c r="G70" i="15" s="1"/>
  <c r="BX70" i="6" s="1"/>
  <c r="P81" i="15"/>
  <c r="V81" i="15" s="1"/>
  <c r="F81" i="15" s="1"/>
  <c r="P97" i="15"/>
  <c r="V97" i="15" s="1"/>
  <c r="F97" i="15" s="1"/>
  <c r="G97" i="15" s="1"/>
  <c r="BX97" i="6" s="1"/>
  <c r="P161" i="15"/>
  <c r="V161" i="15" s="1"/>
  <c r="F161" i="15" s="1"/>
  <c r="G161" i="15" s="1"/>
  <c r="BX161" i="6" s="1"/>
  <c r="P177" i="15"/>
  <c r="V177" i="15" s="1"/>
  <c r="F177" i="15" s="1"/>
  <c r="G177" i="15" s="1"/>
  <c r="BX177" i="6" s="1"/>
  <c r="P353" i="15"/>
  <c r="V353" i="15" s="1"/>
  <c r="F353" i="15" s="1"/>
  <c r="G353" i="15" s="1"/>
  <c r="BX353" i="6" s="1"/>
  <c r="P191" i="15"/>
  <c r="V191" i="15" s="1"/>
  <c r="F191" i="15" s="1"/>
  <c r="H191" i="15" s="1"/>
  <c r="P255" i="15"/>
  <c r="V255" i="15" s="1"/>
  <c r="F255" i="15" s="1"/>
  <c r="H255" i="15" s="1"/>
  <c r="P287" i="15"/>
  <c r="V287" i="15" s="1"/>
  <c r="F287" i="15" s="1"/>
  <c r="H287" i="15" s="1"/>
  <c r="P323" i="15"/>
  <c r="V323" i="15" s="1"/>
  <c r="F323" i="15" s="1"/>
  <c r="G323" i="15" s="1"/>
  <c r="BX323" i="6" s="1"/>
  <c r="P339" i="15"/>
  <c r="V339" i="15" s="1"/>
  <c r="F339" i="15" s="1"/>
  <c r="G339" i="15" s="1"/>
  <c r="BX339" i="6" s="1"/>
  <c r="P355" i="15"/>
  <c r="V355" i="15" s="1"/>
  <c r="F355" i="15" s="1"/>
  <c r="G355" i="15" s="1"/>
  <c r="BX355" i="6" s="1"/>
  <c r="P371" i="15"/>
  <c r="V371" i="15" s="1"/>
  <c r="F371" i="15" s="1"/>
  <c r="H371" i="15" s="1"/>
  <c r="P291" i="15"/>
  <c r="V291" i="15" s="1"/>
  <c r="F291" i="15" s="1"/>
  <c r="P277" i="15"/>
  <c r="V277" i="15" s="1"/>
  <c r="F277" i="15" s="1"/>
  <c r="P214" i="15"/>
  <c r="V214" i="15" s="1"/>
  <c r="F214" i="15" s="1"/>
  <c r="P100" i="15"/>
  <c r="V100" i="15" s="1"/>
  <c r="F100" i="15" s="1"/>
  <c r="H100" i="15" s="1"/>
  <c r="P379" i="15"/>
  <c r="P351" i="15"/>
  <c r="V351" i="15" s="1"/>
  <c r="F351" i="15" s="1"/>
  <c r="P171" i="15"/>
  <c r="V171" i="15" s="1"/>
  <c r="P95" i="15"/>
  <c r="V95" i="15" s="1"/>
  <c r="F95" i="15" s="1"/>
  <c r="S55" i="15"/>
  <c r="R55" i="15" s="1"/>
  <c r="P55" i="15" s="1"/>
  <c r="V55" i="15" s="1"/>
  <c r="F55" i="15" s="1"/>
  <c r="P22" i="15"/>
  <c r="V22" i="15" s="1"/>
  <c r="F22" i="15" s="1"/>
  <c r="P50" i="15"/>
  <c r="V50" i="15" s="1"/>
  <c r="F50" i="15" s="1"/>
  <c r="P193" i="15"/>
  <c r="V193" i="15" s="1"/>
  <c r="F193" i="15" s="1"/>
  <c r="H193" i="15" s="1"/>
  <c r="P27" i="15"/>
  <c r="V27" i="15" s="1"/>
  <c r="F27" i="15" s="1"/>
  <c r="P271" i="15"/>
  <c r="V271" i="15" s="1"/>
  <c r="F271" i="15" s="1"/>
  <c r="P203" i="15"/>
  <c r="V203" i="15" s="1"/>
  <c r="F203" i="15" s="1"/>
  <c r="P223" i="15"/>
  <c r="V223" i="15" s="1"/>
  <c r="F223" i="15" s="1"/>
  <c r="G223" i="15" s="1"/>
  <c r="BX223" i="6" s="1"/>
  <c r="P31" i="15"/>
  <c r="V31" i="15" s="1"/>
  <c r="F31" i="15" s="1"/>
  <c r="P47" i="15"/>
  <c r="V47" i="15" s="1"/>
  <c r="F47" i="15" s="1"/>
  <c r="G47" i="15" s="1"/>
  <c r="BX47" i="6" s="1"/>
  <c r="P180" i="15"/>
  <c r="P164" i="15"/>
  <c r="V164" i="15" s="1"/>
  <c r="F164" i="15" s="1"/>
  <c r="H164" i="15" s="1"/>
  <c r="P156" i="15"/>
  <c r="V156" i="15" s="1"/>
  <c r="F156" i="15" s="1"/>
  <c r="G156" i="15" s="1"/>
  <c r="BX156" i="6" s="1"/>
  <c r="P148" i="15"/>
  <c r="V148" i="15" s="1"/>
  <c r="F148" i="15" s="1"/>
  <c r="H148" i="15" s="1"/>
  <c r="P140" i="15"/>
  <c r="V140" i="15" s="1"/>
  <c r="F140" i="15" s="1"/>
  <c r="P132" i="15"/>
  <c r="V132" i="15" s="1"/>
  <c r="F132" i="15" s="1"/>
  <c r="H132" i="15" s="1"/>
  <c r="P124" i="15"/>
  <c r="V124" i="15" s="1"/>
  <c r="F124" i="15" s="1"/>
  <c r="P116" i="15"/>
  <c r="V116" i="15" s="1"/>
  <c r="F116" i="15" s="1"/>
  <c r="G116" i="15" s="1"/>
  <c r="BX116" i="6" s="1"/>
  <c r="P84" i="15"/>
  <c r="V84" i="15" s="1"/>
  <c r="F84" i="15" s="1"/>
  <c r="G84" i="15" s="1"/>
  <c r="BX84" i="6" s="1"/>
  <c r="P76" i="15"/>
  <c r="V76" i="15" s="1"/>
  <c r="F76" i="15" s="1"/>
  <c r="G76" i="15" s="1"/>
  <c r="BX76" i="6" s="1"/>
  <c r="P68" i="15"/>
  <c r="V68" i="15" s="1"/>
  <c r="F68" i="15" s="1"/>
  <c r="P63" i="15"/>
  <c r="V63" i="15" s="1"/>
  <c r="F63" i="15" s="1"/>
  <c r="G63" i="15" s="1"/>
  <c r="BX63" i="6" s="1"/>
  <c r="P79" i="15"/>
  <c r="V79" i="15" s="1"/>
  <c r="F79" i="15" s="1"/>
  <c r="H79" i="15" s="1"/>
  <c r="P199" i="15"/>
  <c r="V199" i="15" s="1"/>
  <c r="F199" i="15" s="1"/>
  <c r="H199" i="15" s="1"/>
  <c r="P263" i="15"/>
  <c r="V263" i="15" s="1"/>
  <c r="F263" i="15" s="1"/>
  <c r="P187" i="15"/>
  <c r="V187" i="15" s="1"/>
  <c r="F187" i="15" s="1"/>
  <c r="AA187" i="15" s="1"/>
  <c r="Z187" i="15" s="1"/>
  <c r="Y187" i="15" s="1"/>
  <c r="P219" i="15"/>
  <c r="V219" i="15" s="1"/>
  <c r="F219" i="15" s="1"/>
  <c r="G219" i="15" s="1"/>
  <c r="BX219" i="6" s="1"/>
  <c r="P251" i="15"/>
  <c r="V251" i="15" s="1"/>
  <c r="F251" i="15" s="1"/>
  <c r="G251" i="15" s="1"/>
  <c r="BX251" i="6" s="1"/>
  <c r="P283" i="15"/>
  <c r="V283" i="15" s="1"/>
  <c r="F283" i="15" s="1"/>
  <c r="P315" i="15"/>
  <c r="V315" i="15" s="1"/>
  <c r="F315" i="15" s="1"/>
  <c r="H315" i="15" s="1"/>
  <c r="P331" i="15"/>
  <c r="V331" i="15" s="1"/>
  <c r="F331" i="15" s="1"/>
  <c r="P347" i="15"/>
  <c r="V347" i="15" s="1"/>
  <c r="F347" i="15" s="1"/>
  <c r="AA347" i="15" s="1"/>
  <c r="Z347" i="15" s="1"/>
  <c r="Y347" i="15" s="1"/>
  <c r="P363" i="15"/>
  <c r="V363" i="15" s="1"/>
  <c r="F363" i="15" s="1"/>
  <c r="P327" i="15"/>
  <c r="V327" i="15" s="1"/>
  <c r="F327" i="15" s="1"/>
  <c r="H327" i="15" s="1"/>
  <c r="P367" i="15"/>
  <c r="V367" i="15" s="1"/>
  <c r="F367" i="15" s="1"/>
  <c r="P99" i="15"/>
  <c r="V99" i="15" s="1"/>
  <c r="F99" i="15" s="1"/>
  <c r="G99" i="15" s="1"/>
  <c r="BX99" i="6" s="1"/>
  <c r="P273" i="15"/>
  <c r="V273" i="15" s="1"/>
  <c r="F273" i="15" s="1"/>
  <c r="P201" i="15"/>
  <c r="V201" i="15" s="1"/>
  <c r="F201" i="15" s="1"/>
  <c r="H201" i="15" s="1"/>
  <c r="P217" i="15"/>
  <c r="V217" i="15" s="1"/>
  <c r="F217" i="15" s="1"/>
  <c r="P313" i="15"/>
  <c r="V313" i="15" s="1"/>
  <c r="F313" i="15" s="1"/>
  <c r="H313" i="15" s="1"/>
  <c r="P329" i="15"/>
  <c r="V329" i="15" s="1"/>
  <c r="F329" i="15" s="1"/>
  <c r="P361" i="15"/>
  <c r="V361" i="15" s="1"/>
  <c r="F361" i="15" s="1"/>
  <c r="H361" i="15" s="1"/>
  <c r="P377" i="15"/>
  <c r="V377" i="15" s="1"/>
  <c r="F377" i="15" s="1"/>
  <c r="P163" i="15"/>
  <c r="V163" i="15" s="1"/>
  <c r="F163" i="15" s="1"/>
  <c r="H163" i="15" s="1"/>
  <c r="P243" i="15"/>
  <c r="V243" i="15" s="1"/>
  <c r="F243" i="15" s="1"/>
  <c r="P307" i="15"/>
  <c r="V307" i="15" s="1"/>
  <c r="F307" i="15" s="1"/>
  <c r="H307" i="15" s="1"/>
  <c r="P259" i="15"/>
  <c r="V259" i="15" s="1"/>
  <c r="F259" i="15" s="1"/>
  <c r="G259" i="15" s="1"/>
  <c r="BX259" i="6" s="1"/>
  <c r="P316" i="15"/>
  <c r="V316" i="15" s="1"/>
  <c r="F316" i="15" s="1"/>
  <c r="G316" i="15" s="1"/>
  <c r="BX316" i="6" s="1"/>
  <c r="P324" i="15"/>
  <c r="V324" i="15" s="1"/>
  <c r="S245" i="15"/>
  <c r="R245" i="15" s="1"/>
  <c r="P245" i="15" s="1"/>
  <c r="V245" i="15" s="1"/>
  <c r="F245" i="15" s="1"/>
  <c r="H245" i="15" s="1"/>
  <c r="S349" i="15"/>
  <c r="R349" i="15" s="1"/>
  <c r="P349" i="15" s="1"/>
  <c r="V349" i="15" s="1"/>
  <c r="F349" i="15" s="1"/>
  <c r="S357" i="15"/>
  <c r="R357" i="15" s="1"/>
  <c r="P357" i="15" s="1"/>
  <c r="V357" i="15" s="1"/>
  <c r="F357" i="15" s="1"/>
  <c r="G357" i="15" s="1"/>
  <c r="BX357" i="6" s="1"/>
  <c r="P59" i="15"/>
  <c r="V59" i="15" s="1"/>
  <c r="F59" i="15" s="1"/>
  <c r="G59" i="15" s="1"/>
  <c r="BX59" i="6" s="1"/>
  <c r="P378" i="15"/>
  <c r="V378" i="15" s="1"/>
  <c r="F378" i="15" s="1"/>
  <c r="H378" i="15" s="1"/>
  <c r="P374" i="15"/>
  <c r="V374" i="15" s="1"/>
  <c r="F374" i="15" s="1"/>
  <c r="G374" i="15" s="1"/>
  <c r="BX374" i="6" s="1"/>
  <c r="P366" i="15"/>
  <c r="V366" i="15" s="1"/>
  <c r="F366" i="15" s="1"/>
  <c r="H366" i="15" s="1"/>
  <c r="P354" i="15"/>
  <c r="V354" i="15" s="1"/>
  <c r="F354" i="15" s="1"/>
  <c r="P350" i="15"/>
  <c r="V350" i="15" s="1"/>
  <c r="F350" i="15" s="1"/>
  <c r="H350" i="15" s="1"/>
  <c r="P346" i="15"/>
  <c r="V346" i="15" s="1"/>
  <c r="F346" i="15" s="1"/>
  <c r="G346" i="15" s="1"/>
  <c r="BX346" i="6" s="1"/>
  <c r="P342" i="15"/>
  <c r="V342" i="15" s="1"/>
  <c r="F342" i="15" s="1"/>
  <c r="G342" i="15" s="1"/>
  <c r="BX342" i="6" s="1"/>
  <c r="P338" i="15"/>
  <c r="V338" i="15" s="1"/>
  <c r="F338" i="15" s="1"/>
  <c r="P334" i="15"/>
  <c r="V334" i="15" s="1"/>
  <c r="F334" i="15" s="1"/>
  <c r="H334" i="15" s="1"/>
  <c r="P330" i="15"/>
  <c r="V330" i="15" s="1"/>
  <c r="F330" i="15" s="1"/>
  <c r="H330" i="15" s="1"/>
  <c r="P322" i="15"/>
  <c r="V322" i="15" s="1"/>
  <c r="F322" i="15" s="1"/>
  <c r="H322" i="15" s="1"/>
  <c r="P314" i="15"/>
  <c r="V314" i="15" s="1"/>
  <c r="F314" i="15" s="1"/>
  <c r="G314" i="15" s="1"/>
  <c r="BX314" i="6" s="1"/>
  <c r="P310" i="15"/>
  <c r="V310" i="15" s="1"/>
  <c r="F310" i="15" s="1"/>
  <c r="P306" i="15"/>
  <c r="V306" i="15" s="1"/>
  <c r="F306" i="15" s="1"/>
  <c r="P302" i="15"/>
  <c r="D41" i="7" s="1"/>
  <c r="P290" i="15"/>
  <c r="V290" i="15" s="1"/>
  <c r="F290" i="15" s="1"/>
  <c r="P286" i="15"/>
  <c r="V286" i="15" s="1"/>
  <c r="F286" i="15" s="1"/>
  <c r="H286" i="15" s="1"/>
  <c r="P282" i="15"/>
  <c r="V282" i="15" s="1"/>
  <c r="F282" i="15" s="1"/>
  <c r="H282" i="15" s="1"/>
  <c r="P278" i="15"/>
  <c r="V278" i="15" s="1"/>
  <c r="F278" i="15" s="1"/>
  <c r="H278" i="15" s="1"/>
  <c r="P274" i="15"/>
  <c r="V274" i="15" s="1"/>
  <c r="F274" i="15" s="1"/>
  <c r="P270" i="15"/>
  <c r="V270" i="15" s="1"/>
  <c r="F270" i="15" s="1"/>
  <c r="G270" i="15" s="1"/>
  <c r="BX270" i="6" s="1"/>
  <c r="P266" i="15"/>
  <c r="V266" i="15" s="1"/>
  <c r="F266" i="15" s="1"/>
  <c r="G266" i="15" s="1"/>
  <c r="BX266" i="6" s="1"/>
  <c r="P262" i="15"/>
  <c r="V262" i="15" s="1"/>
  <c r="F262" i="15" s="1"/>
  <c r="G262" i="15" s="1"/>
  <c r="BX262" i="6" s="1"/>
  <c r="P258" i="15"/>
  <c r="V258" i="15" s="1"/>
  <c r="F258" i="15" s="1"/>
  <c r="P250" i="15"/>
  <c r="V250" i="15" s="1"/>
  <c r="F250" i="15" s="1"/>
  <c r="P246" i="15"/>
  <c r="V246" i="15" s="1"/>
  <c r="F246" i="15" s="1"/>
  <c r="G246" i="15" s="1"/>
  <c r="BX246" i="6" s="1"/>
  <c r="P242" i="15"/>
  <c r="V242" i="15" s="1"/>
  <c r="F242" i="15" s="1"/>
  <c r="G242" i="15" s="1"/>
  <c r="BX242" i="6" s="1"/>
  <c r="P238" i="15"/>
  <c r="V238" i="15" s="1"/>
  <c r="F238" i="15" s="1"/>
  <c r="P234" i="15"/>
  <c r="V234" i="15" s="1"/>
  <c r="F234" i="15" s="1"/>
  <c r="P230" i="15"/>
  <c r="V230" i="15" s="1"/>
  <c r="F230" i="15" s="1"/>
  <c r="G230" i="15" s="1"/>
  <c r="BX230" i="6" s="1"/>
  <c r="P226" i="15"/>
  <c r="V226" i="15" s="1"/>
  <c r="F226" i="15" s="1"/>
  <c r="H226" i="15" s="1"/>
  <c r="P222" i="15"/>
  <c r="V222" i="15" s="1"/>
  <c r="F222" i="15" s="1"/>
  <c r="G222" i="15" s="1"/>
  <c r="BX222" i="6" s="1"/>
  <c r="P218" i="15"/>
  <c r="V218" i="15" s="1"/>
  <c r="F218" i="15" s="1"/>
  <c r="G218" i="15" s="1"/>
  <c r="BX218" i="6" s="1"/>
  <c r="P210" i="15"/>
  <c r="P206" i="15"/>
  <c r="V206" i="15" s="1"/>
  <c r="F206" i="15" s="1"/>
  <c r="G206" i="15" s="1"/>
  <c r="BX206" i="6" s="1"/>
  <c r="P202" i="15"/>
  <c r="V202" i="15" s="1"/>
  <c r="F202" i="15" s="1"/>
  <c r="G202" i="15" s="1"/>
  <c r="BX202" i="6" s="1"/>
  <c r="P198" i="15"/>
  <c r="V198" i="15" s="1"/>
  <c r="F198" i="15" s="1"/>
  <c r="H198" i="15" s="1"/>
  <c r="P194" i="15"/>
  <c r="V194" i="15" s="1"/>
  <c r="F194" i="15" s="1"/>
  <c r="P190" i="15"/>
  <c r="V190" i="15" s="1"/>
  <c r="F190" i="15" s="1"/>
  <c r="G190" i="15" s="1"/>
  <c r="BX190" i="6" s="1"/>
  <c r="P186" i="15"/>
  <c r="V186" i="15" s="1"/>
  <c r="F186" i="15" s="1"/>
  <c r="G186" i="15" s="1"/>
  <c r="BX186" i="6" s="1"/>
  <c r="P178" i="15"/>
  <c r="V178" i="15" s="1"/>
  <c r="F178" i="15" s="1"/>
  <c r="G178" i="15" s="1"/>
  <c r="BX178" i="6" s="1"/>
  <c r="P162" i="15"/>
  <c r="V162" i="15" s="1"/>
  <c r="F162" i="15" s="1"/>
  <c r="G162" i="15" s="1"/>
  <c r="BX162" i="6" s="1"/>
  <c r="P146" i="15"/>
  <c r="V146" i="15" s="1"/>
  <c r="F146" i="15" s="1"/>
  <c r="P130" i="15"/>
  <c r="V130" i="15" s="1"/>
  <c r="F130" i="15" s="1"/>
  <c r="P114" i="15"/>
  <c r="V114" i="15" s="1"/>
  <c r="F114" i="15" s="1"/>
  <c r="P98" i="15"/>
  <c r="V98" i="15" s="1"/>
  <c r="F98" i="15" s="1"/>
  <c r="G98" i="15" s="1"/>
  <c r="BX98" i="6" s="1"/>
  <c r="P82" i="15"/>
  <c r="V82" i="15" s="1"/>
  <c r="F82" i="15" s="1"/>
  <c r="H82" i="15" s="1"/>
  <c r="P66" i="15"/>
  <c r="V66" i="15" s="1"/>
  <c r="F66" i="15" s="1"/>
  <c r="H66" i="15" s="1"/>
  <c r="P67" i="15"/>
  <c r="V67" i="15" s="1"/>
  <c r="F67" i="15" s="1"/>
  <c r="G67" i="15" s="1"/>
  <c r="BX67" i="6" s="1"/>
  <c r="P189" i="15"/>
  <c r="V189" i="15" s="1"/>
  <c r="F189" i="15" s="1"/>
  <c r="P205" i="15"/>
  <c r="V205" i="15" s="1"/>
  <c r="F205" i="15" s="1"/>
  <c r="G205" i="15" s="1"/>
  <c r="BX205" i="6" s="1"/>
  <c r="P213" i="15"/>
  <c r="V213" i="15" s="1"/>
  <c r="F213" i="15" s="1"/>
  <c r="P221" i="15"/>
  <c r="V221" i="15" s="1"/>
  <c r="F221" i="15" s="1"/>
  <c r="G221" i="15" s="1"/>
  <c r="BX221" i="6" s="1"/>
  <c r="P229" i="15"/>
  <c r="V229" i="15" s="1"/>
  <c r="F229" i="15" s="1"/>
  <c r="P237" i="15"/>
  <c r="V237" i="15" s="1"/>
  <c r="F237" i="15" s="1"/>
  <c r="H237" i="15" s="1"/>
  <c r="P253" i="15"/>
  <c r="V253" i="15" s="1"/>
  <c r="F253" i="15" s="1"/>
  <c r="P261" i="15"/>
  <c r="V261" i="15" s="1"/>
  <c r="F261" i="15" s="1"/>
  <c r="G261" i="15" s="1"/>
  <c r="BX261" i="6" s="1"/>
  <c r="P285" i="15"/>
  <c r="V285" i="15" s="1"/>
  <c r="F285" i="15" s="1"/>
  <c r="H285" i="15" s="1"/>
  <c r="P293" i="15"/>
  <c r="V293" i="15" s="1"/>
  <c r="F293" i="15" s="1"/>
  <c r="G293" i="15" s="1"/>
  <c r="BX293" i="6" s="1"/>
  <c r="P301" i="15"/>
  <c r="V301" i="15" s="1"/>
  <c r="F301" i="15" s="1"/>
  <c r="G301" i="15" s="1"/>
  <c r="BX301" i="6" s="1"/>
  <c r="P309" i="15"/>
  <c r="V309" i="15" s="1"/>
  <c r="F309" i="15" s="1"/>
  <c r="H309" i="15" s="1"/>
  <c r="P317" i="15"/>
  <c r="V317" i="15" s="1"/>
  <c r="F317" i="15" s="1"/>
  <c r="P325" i="15"/>
  <c r="V325" i="15" s="1"/>
  <c r="F325" i="15" s="1"/>
  <c r="G325" i="15" s="1"/>
  <c r="BX325" i="6" s="1"/>
  <c r="P341" i="15"/>
  <c r="V341" i="15" s="1"/>
  <c r="F341" i="15" s="1"/>
  <c r="G341" i="15" s="1"/>
  <c r="BX341" i="6" s="1"/>
  <c r="P373" i="15"/>
  <c r="V373" i="15" s="1"/>
  <c r="F373" i="15" s="1"/>
  <c r="H373" i="15" s="1"/>
  <c r="P87" i="15"/>
  <c r="V87" i="15" s="1"/>
  <c r="F87" i="15" s="1"/>
  <c r="G87" i="15" s="1"/>
  <c r="BX87" i="6" s="1"/>
  <c r="P103" i="15"/>
  <c r="V103" i="15" s="1"/>
  <c r="F103" i="15" s="1"/>
  <c r="P119" i="15"/>
  <c r="P135" i="15"/>
  <c r="V135" i="15" s="1"/>
  <c r="F135" i="15" s="1"/>
  <c r="AA135" i="15" s="1"/>
  <c r="Z135" i="15" s="1"/>
  <c r="Y135" i="15" s="1"/>
  <c r="P151" i="15"/>
  <c r="V151" i="15" s="1"/>
  <c r="F151" i="15" s="1"/>
  <c r="P167" i="15"/>
  <c r="V167" i="15" s="1"/>
  <c r="F167" i="15" s="1"/>
  <c r="H167" i="15" s="1"/>
  <c r="P183" i="15"/>
  <c r="V183" i="15" s="1"/>
  <c r="F183" i="15" s="1"/>
  <c r="H183" i="15" s="1"/>
  <c r="P91" i="15"/>
  <c r="V91" i="15" s="1"/>
  <c r="F91" i="15" s="1"/>
  <c r="P123" i="15"/>
  <c r="V123" i="15" s="1"/>
  <c r="F123" i="15" s="1"/>
  <c r="P155" i="15"/>
  <c r="V155" i="15" s="1"/>
  <c r="F155" i="15" s="1"/>
  <c r="H155" i="15" s="1"/>
  <c r="AI383" i="15"/>
  <c r="P233" i="15"/>
  <c r="V233" i="15" s="1"/>
  <c r="F233" i="15" s="1"/>
  <c r="P297" i="15"/>
  <c r="V297" i="15" s="1"/>
  <c r="F297" i="15" s="1"/>
  <c r="P337" i="15"/>
  <c r="V337" i="15" s="1"/>
  <c r="F337" i="15" s="1"/>
  <c r="H337" i="15" s="1"/>
  <c r="P345" i="15"/>
  <c r="V345" i="15" s="1"/>
  <c r="F345" i="15" s="1"/>
  <c r="P145" i="15"/>
  <c r="V145" i="15" s="1"/>
  <c r="F145" i="15" s="1"/>
  <c r="H145" i="15" s="1"/>
  <c r="P137" i="15"/>
  <c r="V137" i="15" s="1"/>
  <c r="F137" i="15" s="1"/>
  <c r="H137" i="15" s="1"/>
  <c r="P276" i="15"/>
  <c r="V276" i="15" s="1"/>
  <c r="F276" i="15" s="1"/>
  <c r="H276" i="15" s="1"/>
  <c r="P264" i="15"/>
  <c r="V264" i="15" s="1"/>
  <c r="P252" i="15"/>
  <c r="V252" i="15" s="1"/>
  <c r="F252" i="15" s="1"/>
  <c r="H252" i="15" s="1"/>
  <c r="P136" i="15"/>
  <c r="V136" i="15" s="1"/>
  <c r="P92" i="15"/>
  <c r="V92" i="15" s="1"/>
  <c r="F92" i="15" s="1"/>
  <c r="G92" i="15" s="1"/>
  <c r="BX92" i="6" s="1"/>
  <c r="P108" i="15"/>
  <c r="V108" i="15" s="1"/>
  <c r="P172" i="15"/>
  <c r="V172" i="15" s="1"/>
  <c r="F172" i="15" s="1"/>
  <c r="H172" i="15" s="1"/>
  <c r="P248" i="15"/>
  <c r="V248" i="15" s="1"/>
  <c r="F248" i="15" s="1"/>
  <c r="H248" i="15" s="1"/>
  <c r="P272" i="15"/>
  <c r="V272" i="15" s="1"/>
  <c r="F272" i="15" s="1"/>
  <c r="AD24" i="15"/>
  <c r="AD29" i="15"/>
  <c r="AD37" i="15"/>
  <c r="AA37" i="15" s="1"/>
  <c r="Z37" i="15" s="1"/>
  <c r="Y37" i="15" s="1"/>
  <c r="AD45" i="15"/>
  <c r="AD49" i="15"/>
  <c r="AA49" i="15" s="1"/>
  <c r="Z49" i="15" s="1"/>
  <c r="Y49" i="15" s="1"/>
  <c r="AD53" i="15"/>
  <c r="AA53" i="15" s="1"/>
  <c r="Z53" i="15" s="1"/>
  <c r="Y53" i="15" s="1"/>
  <c r="AD57" i="15"/>
  <c r="AD65" i="15"/>
  <c r="AD69" i="15"/>
  <c r="AD73" i="15"/>
  <c r="AA73" i="15" s="1"/>
  <c r="Z73" i="15" s="1"/>
  <c r="Y73" i="15" s="1"/>
  <c r="AD77" i="15"/>
  <c r="AD85" i="15"/>
  <c r="AD89" i="15"/>
  <c r="AD97" i="15"/>
  <c r="AD101" i="15"/>
  <c r="AD105" i="15"/>
  <c r="AD109" i="15"/>
  <c r="AA109" i="15" s="1"/>
  <c r="Z109" i="15" s="1"/>
  <c r="Y109" i="15" s="1"/>
  <c r="P71" i="15"/>
  <c r="V71" i="15" s="1"/>
  <c r="F71" i="15" s="1"/>
  <c r="P231" i="15"/>
  <c r="V231" i="15" s="1"/>
  <c r="F231" i="15" s="1"/>
  <c r="H231" i="15" s="1"/>
  <c r="P269" i="15"/>
  <c r="V269" i="15" s="1"/>
  <c r="F269" i="15" s="1"/>
  <c r="G269" i="15" s="1"/>
  <c r="BX269" i="6" s="1"/>
  <c r="P147" i="15"/>
  <c r="V147" i="15" s="1"/>
  <c r="F147" i="15" s="1"/>
  <c r="H147" i="15" s="1"/>
  <c r="P83" i="15"/>
  <c r="V83" i="15" s="1"/>
  <c r="F83" i="15" s="1"/>
  <c r="H83" i="15" s="1"/>
  <c r="P21" i="15"/>
  <c r="V21" i="15" s="1"/>
  <c r="F21" i="15" s="1"/>
  <c r="P32" i="15"/>
  <c r="V32" i="15" s="1"/>
  <c r="F32" i="15" s="1"/>
  <c r="P40" i="15"/>
  <c r="V40" i="15" s="1"/>
  <c r="F40" i="15" s="1"/>
  <c r="P48" i="15"/>
  <c r="V48" i="15" s="1"/>
  <c r="F48" i="15" s="1"/>
  <c r="P64" i="15"/>
  <c r="V64" i="15" s="1"/>
  <c r="F64" i="15" s="1"/>
  <c r="U382" i="15"/>
  <c r="U383" i="15"/>
  <c r="AI382" i="15"/>
  <c r="P33" i="15"/>
  <c r="V33" i="15" s="1"/>
  <c r="F33" i="15" s="1"/>
  <c r="G33" i="15" s="1"/>
  <c r="BX33" i="6" s="1"/>
  <c r="P170" i="15"/>
  <c r="V170" i="15" s="1"/>
  <c r="F170" i="15" s="1"/>
  <c r="H170" i="15" s="1"/>
  <c r="P154" i="15"/>
  <c r="V154" i="15" s="1"/>
  <c r="F154" i="15" s="1"/>
  <c r="H154" i="15" s="1"/>
  <c r="P122" i="15"/>
  <c r="V122" i="15" s="1"/>
  <c r="F122" i="15" s="1"/>
  <c r="G122" i="15" s="1"/>
  <c r="BX122" i="6" s="1"/>
  <c r="P106" i="15"/>
  <c r="V106" i="15" s="1"/>
  <c r="F106" i="15" s="1"/>
  <c r="H106" i="15" s="1"/>
  <c r="P90" i="15"/>
  <c r="V90" i="15" s="1"/>
  <c r="F90" i="15" s="1"/>
  <c r="P74" i="15"/>
  <c r="V74" i="15" s="1"/>
  <c r="F74" i="15" s="1"/>
  <c r="G74" i="15" s="1"/>
  <c r="BX74" i="6" s="1"/>
  <c r="P57" i="15"/>
  <c r="V57" i="15" s="1"/>
  <c r="F57" i="15" s="1"/>
  <c r="G57" i="15" s="1"/>
  <c r="BX57" i="6" s="1"/>
  <c r="P41" i="15"/>
  <c r="V41" i="15" s="1"/>
  <c r="F41" i="15" s="1"/>
  <c r="H41" i="15" s="1"/>
  <c r="P25" i="15"/>
  <c r="V25" i="15" s="1"/>
  <c r="F25" i="15" s="1"/>
  <c r="P29" i="15"/>
  <c r="P65" i="15"/>
  <c r="V65" i="15" s="1"/>
  <c r="F65" i="15" s="1"/>
  <c r="H65" i="15" s="1"/>
  <c r="P89" i="15"/>
  <c r="V89" i="15" s="1"/>
  <c r="F89" i="15" s="1"/>
  <c r="H89" i="15" s="1"/>
  <c r="P105" i="15"/>
  <c r="V105" i="15" s="1"/>
  <c r="F105" i="15" s="1"/>
  <c r="AA105" i="15" s="1"/>
  <c r="Z105" i="15" s="1"/>
  <c r="Y105" i="15" s="1"/>
  <c r="P113" i="15"/>
  <c r="V113" i="15" s="1"/>
  <c r="F113" i="15" s="1"/>
  <c r="G113" i="15" s="1"/>
  <c r="BX113" i="6" s="1"/>
  <c r="P121" i="15"/>
  <c r="V121" i="15" s="1"/>
  <c r="F121" i="15" s="1"/>
  <c r="G121" i="15" s="1"/>
  <c r="BX121" i="6" s="1"/>
  <c r="P129" i="15"/>
  <c r="V129" i="15" s="1"/>
  <c r="F129" i="15" s="1"/>
  <c r="G129" i="15" s="1"/>
  <c r="BX129" i="6" s="1"/>
  <c r="P153" i="15"/>
  <c r="V153" i="15" s="1"/>
  <c r="F153" i="15" s="1"/>
  <c r="H153" i="15" s="1"/>
  <c r="P169" i="15"/>
  <c r="V169" i="15" s="1"/>
  <c r="F169" i="15" s="1"/>
  <c r="G169" i="15" s="1"/>
  <c r="BX169" i="6" s="1"/>
  <c r="P185" i="15"/>
  <c r="V185" i="15" s="1"/>
  <c r="F185" i="15" s="1"/>
  <c r="G185" i="15" s="1"/>
  <c r="BX185" i="6" s="1"/>
  <c r="P209" i="15"/>
  <c r="V209" i="15" s="1"/>
  <c r="F209" i="15" s="1"/>
  <c r="G209" i="15" s="1"/>
  <c r="BX209" i="6" s="1"/>
  <c r="P225" i="15"/>
  <c r="V225" i="15" s="1"/>
  <c r="F225" i="15" s="1"/>
  <c r="H225" i="15" s="1"/>
  <c r="P241" i="15"/>
  <c r="P249" i="15"/>
  <c r="V249" i="15" s="1"/>
  <c r="F249" i="15" s="1"/>
  <c r="G249" i="15" s="1"/>
  <c r="BX249" i="6" s="1"/>
  <c r="P257" i="15"/>
  <c r="V257" i="15" s="1"/>
  <c r="F257" i="15" s="1"/>
  <c r="H257" i="15" s="1"/>
  <c r="P265" i="15"/>
  <c r="V265" i="15" s="1"/>
  <c r="F265" i="15" s="1"/>
  <c r="G265" i="15" s="1"/>
  <c r="BX265" i="6" s="1"/>
  <c r="P281" i="15"/>
  <c r="V281" i="15" s="1"/>
  <c r="F281" i="15" s="1"/>
  <c r="H281" i="15" s="1"/>
  <c r="P289" i="15"/>
  <c r="V289" i="15" s="1"/>
  <c r="F289" i="15" s="1"/>
  <c r="G289" i="15" s="1"/>
  <c r="BX289" i="6" s="1"/>
  <c r="P305" i="15"/>
  <c r="V305" i="15" s="1"/>
  <c r="F305" i="15" s="1"/>
  <c r="H305" i="15" s="1"/>
  <c r="P321" i="15"/>
  <c r="V321" i="15" s="1"/>
  <c r="F321" i="15" s="1"/>
  <c r="G321" i="15" s="1"/>
  <c r="BX321" i="6" s="1"/>
  <c r="P369" i="15"/>
  <c r="V369" i="15" s="1"/>
  <c r="F369" i="15" s="1"/>
  <c r="H369" i="15" s="1"/>
  <c r="P77" i="15"/>
  <c r="V77" i="15" s="1"/>
  <c r="F77" i="15" s="1"/>
  <c r="H77" i="15" s="1"/>
  <c r="P69" i="15"/>
  <c r="V69" i="15" s="1"/>
  <c r="F69" i="15" s="1"/>
  <c r="G69" i="15" s="1"/>
  <c r="BX69" i="6" s="1"/>
  <c r="U381" i="15"/>
  <c r="D43" i="7"/>
  <c r="D36" i="7"/>
  <c r="V149" i="15"/>
  <c r="F149" i="15" s="1"/>
  <c r="H149" i="15" s="1"/>
  <c r="P134" i="15"/>
  <c r="V134" i="15" s="1"/>
  <c r="F134" i="15" s="1"/>
  <c r="H134" i="15" s="1"/>
  <c r="P138" i="15"/>
  <c r="V138" i="15" s="1"/>
  <c r="F138" i="15" s="1"/>
  <c r="P254" i="15"/>
  <c r="V254" i="15" s="1"/>
  <c r="F254" i="15" s="1"/>
  <c r="G254" i="15" s="1"/>
  <c r="BX254" i="6" s="1"/>
  <c r="P45" i="15"/>
  <c r="V45" i="15" s="1"/>
  <c r="F45" i="15" s="1"/>
  <c r="P75" i="15"/>
  <c r="V75" i="15" s="1"/>
  <c r="F75" i="15" s="1"/>
  <c r="P85" i="15"/>
  <c r="V85" i="15" s="1"/>
  <c r="F85" i="15" s="1"/>
  <c r="P101" i="15"/>
  <c r="V101" i="15" s="1"/>
  <c r="F101" i="15" s="1"/>
  <c r="P165" i="15"/>
  <c r="V165" i="15" s="1"/>
  <c r="F165" i="15" s="1"/>
  <c r="G165" i="15" s="1"/>
  <c r="BX165" i="6" s="1"/>
  <c r="P197" i="15"/>
  <c r="V197" i="15" s="1"/>
  <c r="P365" i="15"/>
  <c r="V365" i="15" s="1"/>
  <c r="F365" i="15" s="1"/>
  <c r="G365" i="15" s="1"/>
  <c r="BX365" i="6" s="1"/>
  <c r="AD125" i="15"/>
  <c r="AA125" i="15" s="1"/>
  <c r="Z125" i="15" s="1"/>
  <c r="Y125" i="15" s="1"/>
  <c r="AD129" i="15"/>
  <c r="AD145" i="15"/>
  <c r="AD153" i="15"/>
  <c r="AD161" i="15"/>
  <c r="AD169" i="15"/>
  <c r="AD177" i="15"/>
  <c r="AA177" i="15" s="1"/>
  <c r="Z177" i="15" s="1"/>
  <c r="Y177" i="15" s="1"/>
  <c r="AD189" i="15"/>
  <c r="AD197" i="15"/>
  <c r="AD201" i="15"/>
  <c r="AD213" i="15"/>
  <c r="AD217" i="15"/>
  <c r="AD221" i="15"/>
  <c r="AD237" i="15"/>
  <c r="AD241" i="15"/>
  <c r="AD249" i="15"/>
  <c r="AD253" i="15"/>
  <c r="AD257" i="15"/>
  <c r="AD261" i="15"/>
  <c r="AD265" i="15"/>
  <c r="AD269" i="15"/>
  <c r="AD273" i="15"/>
  <c r="AD277" i="15"/>
  <c r="AA277" i="15" s="1"/>
  <c r="Z277" i="15" s="1"/>
  <c r="Y277" i="15" s="1"/>
  <c r="AD281" i="15"/>
  <c r="AD285" i="15"/>
  <c r="AD289" i="15"/>
  <c r="AD301" i="15"/>
  <c r="AD309" i="15"/>
  <c r="AD313" i="15"/>
  <c r="AD317" i="15"/>
  <c r="AD333" i="15"/>
  <c r="AD337" i="15"/>
  <c r="AD341" i="15"/>
  <c r="AD345" i="15"/>
  <c r="AB380" i="20"/>
  <c r="L380" i="20"/>
  <c r="X380" i="20"/>
  <c r="K380" i="20"/>
  <c r="AJ380" i="20"/>
  <c r="AK380" i="20"/>
  <c r="AC380" i="20"/>
  <c r="O380" i="20"/>
  <c r="AH380" i="15"/>
  <c r="AG380" i="15" s="1"/>
  <c r="AF380" i="15" s="1"/>
  <c r="AD380" i="15" s="1"/>
  <c r="S380" i="15"/>
  <c r="R380" i="15" s="1"/>
  <c r="P380" i="15" s="1"/>
  <c r="D34" i="7"/>
  <c r="V88" i="15"/>
  <c r="F88" i="15" s="1"/>
  <c r="G88" i="15" s="1"/>
  <c r="BX88" i="6" s="1"/>
  <c r="AD349" i="15"/>
  <c r="AD353" i="15"/>
  <c r="AD357" i="15"/>
  <c r="AD365" i="15"/>
  <c r="AD373" i="15"/>
  <c r="P56" i="15"/>
  <c r="V56" i="15" s="1"/>
  <c r="F56" i="15" s="1"/>
  <c r="P318" i="15"/>
  <c r="V318" i="15" s="1"/>
  <c r="F318" i="15" s="1"/>
  <c r="H318" i="15" s="1"/>
  <c r="P326" i="15"/>
  <c r="V326" i="15" s="1"/>
  <c r="F326" i="15" s="1"/>
  <c r="G326" i="15" s="1"/>
  <c r="BX326" i="6" s="1"/>
  <c r="P358" i="15"/>
  <c r="V358" i="15" s="1"/>
  <c r="P362" i="15"/>
  <c r="V362" i="15" s="1"/>
  <c r="F362" i="15" s="1"/>
  <c r="P370" i="15"/>
  <c r="V370" i="15" s="1"/>
  <c r="F370" i="15" s="1"/>
  <c r="G370" i="15" s="1"/>
  <c r="BX370" i="6" s="1"/>
  <c r="P39" i="15"/>
  <c r="V39" i="15" s="1"/>
  <c r="F39" i="15" s="1"/>
  <c r="H39" i="15" s="1"/>
  <c r="AJ10" i="15"/>
  <c r="AJ12" i="15" s="1"/>
  <c r="AJ13" i="15" s="1"/>
  <c r="E382" i="15"/>
  <c r="E381" i="15"/>
  <c r="E9" i="15"/>
  <c r="E11" i="15" s="1"/>
  <c r="E383" i="15"/>
  <c r="AK8" i="15"/>
  <c r="AD27" i="15"/>
  <c r="AD21" i="15"/>
  <c r="P35" i="15"/>
  <c r="V35" i="15" s="1"/>
  <c r="F35" i="15" s="1"/>
  <c r="AA35" i="15" s="1"/>
  <c r="Z35" i="15" s="1"/>
  <c r="Y35" i="15" s="1"/>
  <c r="P51" i="15"/>
  <c r="V51" i="15" s="1"/>
  <c r="P28" i="15"/>
  <c r="V28" i="15" s="1"/>
  <c r="F28" i="15" s="1"/>
  <c r="P34" i="15"/>
  <c r="V34" i="15" s="1"/>
  <c r="F34" i="15" s="1"/>
  <c r="G34" i="15" s="1"/>
  <c r="BX34" i="6" s="1"/>
  <c r="AC381" i="18"/>
  <c r="AC382" i="18"/>
  <c r="AC383" i="18"/>
  <c r="P30" i="15"/>
  <c r="V30" i="15" s="1"/>
  <c r="F30" i="15" s="1"/>
  <c r="AD25" i="15"/>
  <c r="AD20" i="15"/>
  <c r="AD36" i="15"/>
  <c r="AD44" i="15"/>
  <c r="AD64" i="15"/>
  <c r="AD68" i="15"/>
  <c r="AD72" i="15"/>
  <c r="AA72" i="15" s="1"/>
  <c r="Z72" i="15" s="1"/>
  <c r="Y72" i="15" s="1"/>
  <c r="AD76" i="15"/>
  <c r="AD92" i="15"/>
  <c r="AD104" i="15"/>
  <c r="AA104" i="15" s="1"/>
  <c r="Z104" i="15" s="1"/>
  <c r="Y104" i="15" s="1"/>
  <c r="AD112" i="15"/>
  <c r="AA112" i="15" s="1"/>
  <c r="Z112" i="15" s="1"/>
  <c r="Y112" i="15" s="1"/>
  <c r="AD124" i="15"/>
  <c r="AD136" i="15"/>
  <c r="AD140" i="15"/>
  <c r="AD156" i="15"/>
  <c r="AD160" i="15"/>
  <c r="AA160" i="15" s="1"/>
  <c r="Z160" i="15" s="1"/>
  <c r="Y160" i="15" s="1"/>
  <c r="AD164" i="15"/>
  <c r="AA164" i="15" s="1"/>
  <c r="Z164" i="15" s="1"/>
  <c r="Y164" i="15" s="1"/>
  <c r="AD176" i="15"/>
  <c r="AA176" i="15" s="1"/>
  <c r="Z176" i="15" s="1"/>
  <c r="Y176" i="15" s="1"/>
  <c r="AD184" i="15"/>
  <c r="AA184" i="15" s="1"/>
  <c r="Z184" i="15" s="1"/>
  <c r="Y184" i="15" s="1"/>
  <c r="AD192" i="15"/>
  <c r="AA192" i="15" s="1"/>
  <c r="Z192" i="15" s="1"/>
  <c r="Y192" i="15" s="1"/>
  <c r="AD200" i="15"/>
  <c r="AA200" i="15" s="1"/>
  <c r="Z200" i="15" s="1"/>
  <c r="Y200" i="15" s="1"/>
  <c r="AD216" i="15"/>
  <c r="AA216" i="15" s="1"/>
  <c r="Z216" i="15" s="1"/>
  <c r="Y216" i="15" s="1"/>
  <c r="AD220" i="15"/>
  <c r="AA220" i="15" s="1"/>
  <c r="Z220" i="15" s="1"/>
  <c r="Y220" i="15" s="1"/>
  <c r="AD224" i="15"/>
  <c r="AA224" i="15" s="1"/>
  <c r="Z224" i="15" s="1"/>
  <c r="Y224" i="15" s="1"/>
  <c r="AD236" i="15"/>
  <c r="AA236" i="15" s="1"/>
  <c r="Z236" i="15" s="1"/>
  <c r="Y236" i="15" s="1"/>
  <c r="AD240" i="15"/>
  <c r="AA240" i="15" s="1"/>
  <c r="Z240" i="15" s="1"/>
  <c r="Y240" i="15" s="1"/>
  <c r="AD244" i="15"/>
  <c r="AA244" i="15" s="1"/>
  <c r="Z244" i="15" s="1"/>
  <c r="Y244" i="15" s="1"/>
  <c r="AD264" i="15"/>
  <c r="AD280" i="15"/>
  <c r="AA280" i="15" s="1"/>
  <c r="Z280" i="15" s="1"/>
  <c r="Y280" i="15" s="1"/>
  <c r="AD288" i="15"/>
  <c r="AD316" i="15"/>
  <c r="AA316" i="15" s="1"/>
  <c r="Z316" i="15" s="1"/>
  <c r="Y316" i="15" s="1"/>
  <c r="AD324" i="15"/>
  <c r="AD336" i="15"/>
  <c r="AA336" i="15" s="1"/>
  <c r="Z336" i="15" s="1"/>
  <c r="Y336" i="15" s="1"/>
  <c r="AD340" i="15"/>
  <c r="AA340" i="15" s="1"/>
  <c r="Z340" i="15" s="1"/>
  <c r="Y340" i="15" s="1"/>
  <c r="AD344" i="15"/>
  <c r="AA344" i="15" s="1"/>
  <c r="Z344" i="15" s="1"/>
  <c r="Y344" i="15" s="1"/>
  <c r="AD356" i="15"/>
  <c r="AA356" i="15" s="1"/>
  <c r="Z356" i="15" s="1"/>
  <c r="Y356" i="15" s="1"/>
  <c r="AD360" i="15"/>
  <c r="AA360" i="15" s="1"/>
  <c r="Z360" i="15" s="1"/>
  <c r="Y360" i="15" s="1"/>
  <c r="AD368" i="15"/>
  <c r="AA368" i="15" s="1"/>
  <c r="Z368" i="15" s="1"/>
  <c r="Y368" i="15" s="1"/>
  <c r="AJ7" i="16"/>
  <c r="AJ6" i="16"/>
  <c r="AJ9" i="16"/>
  <c r="AJ5" i="16"/>
  <c r="AK5" i="16"/>
  <c r="AK9" i="16"/>
  <c r="AK6" i="16"/>
  <c r="AK7" i="16"/>
  <c r="AK11" i="16" s="1"/>
  <c r="AM9" i="16"/>
  <c r="L382" i="16"/>
  <c r="L381" i="16"/>
  <c r="L383" i="16"/>
  <c r="R383" i="1"/>
  <c r="R382" i="1"/>
  <c r="R381" i="1"/>
  <c r="P379" i="1"/>
  <c r="D35" i="19" s="1"/>
  <c r="O381" i="18"/>
  <c r="O382" i="18"/>
  <c r="O383" i="18"/>
  <c r="AD34" i="15"/>
  <c r="AD42" i="15"/>
  <c r="AD50" i="15"/>
  <c r="AD58" i="15"/>
  <c r="AD70" i="15"/>
  <c r="AD78" i="15"/>
  <c r="AD98" i="15"/>
  <c r="AD102" i="15"/>
  <c r="AA102" i="15" s="1"/>
  <c r="Z102" i="15" s="1"/>
  <c r="Y102" i="15" s="1"/>
  <c r="AD130" i="15"/>
  <c r="AD134" i="15"/>
  <c r="AD138" i="15"/>
  <c r="AD142" i="15"/>
  <c r="AD150" i="15"/>
  <c r="AA150" i="15" s="1"/>
  <c r="Z150" i="15" s="1"/>
  <c r="Y150" i="15" s="1"/>
  <c r="AD162" i="15"/>
  <c r="AD166" i="15"/>
  <c r="AA166" i="15" s="1"/>
  <c r="Z166" i="15" s="1"/>
  <c r="Y166" i="15" s="1"/>
  <c r="AD170" i="15"/>
  <c r="AD182" i="15"/>
  <c r="AA182" i="15" s="1"/>
  <c r="Z182" i="15" s="1"/>
  <c r="Y182" i="15" s="1"/>
  <c r="AD202" i="15"/>
  <c r="AD206" i="15"/>
  <c r="AD210" i="15"/>
  <c r="AD230" i="15"/>
  <c r="AD234" i="15"/>
  <c r="AD238" i="15"/>
  <c r="AD254" i="15"/>
  <c r="AD258" i="15"/>
  <c r="AD262" i="15"/>
  <c r="AD278" i="15"/>
  <c r="AD282" i="15"/>
  <c r="AD290" i="15"/>
  <c r="AD294" i="15"/>
  <c r="AA294" i="15" s="1"/>
  <c r="Z294" i="15" s="1"/>
  <c r="Y294" i="15" s="1"/>
  <c r="AD310" i="15"/>
  <c r="AD318" i="15"/>
  <c r="AD322" i="15"/>
  <c r="AD342" i="15"/>
  <c r="AD350" i="15"/>
  <c r="AD374" i="15"/>
  <c r="AD378" i="15"/>
  <c r="AC382" i="16"/>
  <c r="AC381" i="16"/>
  <c r="AC383" i="16"/>
  <c r="O383" i="16"/>
  <c r="O382" i="16"/>
  <c r="O381" i="16"/>
  <c r="G144" i="15"/>
  <c r="BX144" i="6" s="1"/>
  <c r="H144" i="15"/>
  <c r="H152" i="15"/>
  <c r="G152" i="15"/>
  <c r="BX152" i="6" s="1"/>
  <c r="G160" i="15"/>
  <c r="BX160" i="6" s="1"/>
  <c r="H160" i="15"/>
  <c r="G168" i="15"/>
  <c r="BX168" i="6" s="1"/>
  <c r="H168" i="15"/>
  <c r="H294" i="15"/>
  <c r="G127" i="15"/>
  <c r="BX127" i="6" s="1"/>
  <c r="H127" i="15"/>
  <c r="G267" i="15"/>
  <c r="BX267" i="6" s="1"/>
  <c r="H267" i="15"/>
  <c r="G299" i="15"/>
  <c r="BX299" i="6" s="1"/>
  <c r="H299" i="15"/>
  <c r="V23" i="15"/>
  <c r="F23" i="15" s="1"/>
  <c r="V16" i="15"/>
  <c r="F16" i="15" s="1"/>
  <c r="D33" i="7"/>
  <c r="V60" i="15"/>
  <c r="F60" i="15" s="1"/>
  <c r="G94" i="15"/>
  <c r="BX94" i="6" s="1"/>
  <c r="H94" i="15"/>
  <c r="G102" i="15"/>
  <c r="BX102" i="6" s="1"/>
  <c r="H102" i="15"/>
  <c r="G118" i="15"/>
  <c r="BX118" i="6" s="1"/>
  <c r="H118" i="15"/>
  <c r="G126" i="15"/>
  <c r="BX126" i="6" s="1"/>
  <c r="H126" i="15"/>
  <c r="G158" i="15"/>
  <c r="BX158" i="6" s="1"/>
  <c r="H158" i="15"/>
  <c r="G166" i="15"/>
  <c r="BX166" i="6" s="1"/>
  <c r="H166" i="15"/>
  <c r="G212" i="15"/>
  <c r="BX212" i="6" s="1"/>
  <c r="H212" i="15"/>
  <c r="H216" i="15"/>
  <c r="G216" i="15"/>
  <c r="BX216" i="6" s="1"/>
  <c r="H220" i="15"/>
  <c r="G220" i="15"/>
  <c r="BX220" i="6" s="1"/>
  <c r="G224" i="15"/>
  <c r="BX224" i="6" s="1"/>
  <c r="H224" i="15"/>
  <c r="G228" i="15"/>
  <c r="BX228" i="6" s="1"/>
  <c r="H228" i="15"/>
  <c r="G232" i="15"/>
  <c r="BX232" i="6" s="1"/>
  <c r="H232" i="15"/>
  <c r="G236" i="15"/>
  <c r="BX236" i="6" s="1"/>
  <c r="H236" i="15"/>
  <c r="H240" i="15"/>
  <c r="G240" i="15"/>
  <c r="BX240" i="6" s="1"/>
  <c r="H244" i="15"/>
  <c r="G244" i="15"/>
  <c r="BX244" i="6" s="1"/>
  <c r="G256" i="15"/>
  <c r="BX256" i="6" s="1"/>
  <c r="H256" i="15"/>
  <c r="H260" i="15"/>
  <c r="G260" i="15"/>
  <c r="BX260" i="6" s="1"/>
  <c r="G268" i="15"/>
  <c r="BX268" i="6" s="1"/>
  <c r="H268" i="15"/>
  <c r="H280" i="15"/>
  <c r="G280" i="15"/>
  <c r="BX280" i="6" s="1"/>
  <c r="H292" i="15"/>
  <c r="G292" i="15"/>
  <c r="BX292" i="6" s="1"/>
  <c r="G300" i="15"/>
  <c r="BX300" i="6" s="1"/>
  <c r="H300" i="15"/>
  <c r="G125" i="15"/>
  <c r="BX125" i="6" s="1"/>
  <c r="H125" i="15"/>
  <c r="G133" i="15"/>
  <c r="BX133" i="6" s="1"/>
  <c r="H133" i="15"/>
  <c r="G141" i="15"/>
  <c r="BX141" i="6" s="1"/>
  <c r="H141" i="15"/>
  <c r="H96" i="15"/>
  <c r="G96" i="15"/>
  <c r="BX96" i="6" s="1"/>
  <c r="G104" i="15"/>
  <c r="BX104" i="6" s="1"/>
  <c r="H104" i="15"/>
  <c r="H112" i="15"/>
  <c r="G112" i="15"/>
  <c r="BX112" i="6" s="1"/>
  <c r="H120" i="15"/>
  <c r="G120" i="15"/>
  <c r="BX120" i="6" s="1"/>
  <c r="G128" i="15"/>
  <c r="BX128" i="6" s="1"/>
  <c r="H128" i="15"/>
  <c r="H176" i="15"/>
  <c r="G176" i="15"/>
  <c r="BX176" i="6" s="1"/>
  <c r="H131" i="15"/>
  <c r="G131" i="15"/>
  <c r="BX131" i="6" s="1"/>
  <c r="G139" i="15"/>
  <c r="BX139" i="6" s="1"/>
  <c r="H139" i="15"/>
  <c r="G247" i="15"/>
  <c r="BX247" i="6" s="1"/>
  <c r="H247" i="15"/>
  <c r="G279" i="15"/>
  <c r="BX279" i="6" s="1"/>
  <c r="H279" i="15"/>
  <c r="G303" i="15"/>
  <c r="BX303" i="6" s="1"/>
  <c r="H303" i="15"/>
  <c r="G335" i="15"/>
  <c r="BX335" i="6" s="1"/>
  <c r="H335" i="15"/>
  <c r="G343" i="15"/>
  <c r="BX343" i="6" s="1"/>
  <c r="H343" i="15"/>
  <c r="V44" i="15"/>
  <c r="F44" i="15" s="1"/>
  <c r="G86" i="15"/>
  <c r="BX86" i="6" s="1"/>
  <c r="H86" i="15"/>
  <c r="G182" i="15"/>
  <c r="BX182" i="6" s="1"/>
  <c r="H182" i="15"/>
  <c r="H304" i="15"/>
  <c r="G304" i="15"/>
  <c r="BX304" i="6" s="1"/>
  <c r="H308" i="15"/>
  <c r="G308" i="15"/>
  <c r="BX308" i="6" s="1"/>
  <c r="H312" i="15"/>
  <c r="G312" i="15"/>
  <c r="BX312" i="6" s="1"/>
  <c r="G320" i="15"/>
  <c r="BX320" i="6" s="1"/>
  <c r="H320" i="15"/>
  <c r="G328" i="15"/>
  <c r="BX328" i="6" s="1"/>
  <c r="H328" i="15"/>
  <c r="G332" i="15"/>
  <c r="BX332" i="6" s="1"/>
  <c r="H332" i="15"/>
  <c r="H336" i="15"/>
  <c r="G336" i="15"/>
  <c r="BX336" i="6" s="1"/>
  <c r="G340" i="15"/>
  <c r="BX340" i="6" s="1"/>
  <c r="H340" i="15"/>
  <c r="G344" i="15"/>
  <c r="BX344" i="6" s="1"/>
  <c r="H344" i="15"/>
  <c r="G348" i="15"/>
  <c r="BX348" i="6" s="1"/>
  <c r="H348" i="15"/>
  <c r="G352" i="15"/>
  <c r="BX352" i="6" s="1"/>
  <c r="H352" i="15"/>
  <c r="G356" i="15"/>
  <c r="BX356" i="6" s="1"/>
  <c r="H356" i="15"/>
  <c r="G360" i="15"/>
  <c r="BX360" i="6" s="1"/>
  <c r="H360" i="15"/>
  <c r="G364" i="15"/>
  <c r="BX364" i="6" s="1"/>
  <c r="H364" i="15"/>
  <c r="G368" i="15"/>
  <c r="BX368" i="6" s="1"/>
  <c r="H368" i="15"/>
  <c r="G372" i="15"/>
  <c r="BX372" i="6" s="1"/>
  <c r="H372" i="15"/>
  <c r="H376" i="15"/>
  <c r="G376" i="15"/>
  <c r="BX376" i="6" s="1"/>
  <c r="K378" i="22"/>
  <c r="X378" i="22"/>
  <c r="A379" i="22"/>
  <c r="AB378" i="22"/>
  <c r="L378" i="22"/>
  <c r="AJ378" i="22"/>
  <c r="AK378" i="22"/>
  <c r="O378" i="22"/>
  <c r="AC378" i="22"/>
  <c r="L383" i="18"/>
  <c r="L381" i="18"/>
  <c r="L382" i="18"/>
  <c r="AB376" i="24"/>
  <c r="A377" i="24"/>
  <c r="AJ376" i="24"/>
  <c r="AK376" i="24"/>
  <c r="K376" i="24"/>
  <c r="L376" i="24"/>
  <c r="X376" i="24"/>
  <c r="O376" i="24"/>
  <c r="AC376" i="24"/>
  <c r="AB375" i="25"/>
  <c r="L375" i="25"/>
  <c r="X375" i="25"/>
  <c r="A376" i="25"/>
  <c r="K375" i="25"/>
  <c r="AJ375" i="25"/>
  <c r="O375" i="25"/>
  <c r="AK375" i="25"/>
  <c r="AC375" i="25"/>
  <c r="Q381" i="15"/>
  <c r="Q382" i="15"/>
  <c r="Q383" i="15"/>
  <c r="G37" i="15"/>
  <c r="BX37" i="6" s="1"/>
  <c r="H37" i="15"/>
  <c r="G43" i="15"/>
  <c r="BX43" i="6" s="1"/>
  <c r="H43" i="15"/>
  <c r="H49" i="15"/>
  <c r="G49" i="15"/>
  <c r="BX49" i="6" s="1"/>
  <c r="H53" i="15"/>
  <c r="G53" i="15"/>
  <c r="BX53" i="6" s="1"/>
  <c r="G61" i="15"/>
  <c r="BX61" i="6" s="1"/>
  <c r="H61" i="15"/>
  <c r="H93" i="15"/>
  <c r="G93" i="15"/>
  <c r="BX93" i="6" s="1"/>
  <c r="G107" i="15"/>
  <c r="BX107" i="6" s="1"/>
  <c r="H107" i="15"/>
  <c r="G109" i="15"/>
  <c r="BX109" i="6" s="1"/>
  <c r="H109" i="15"/>
  <c r="H111" i="15"/>
  <c r="G111" i="15"/>
  <c r="BX111" i="6" s="1"/>
  <c r="H115" i="15"/>
  <c r="G115" i="15"/>
  <c r="BX115" i="6" s="1"/>
  <c r="G117" i="15"/>
  <c r="BX117" i="6" s="1"/>
  <c r="H117" i="15"/>
  <c r="G157" i="15"/>
  <c r="BX157" i="6" s="1"/>
  <c r="H157" i="15"/>
  <c r="G159" i="15"/>
  <c r="BX159" i="6" s="1"/>
  <c r="H159" i="15"/>
  <c r="H173" i="15"/>
  <c r="G173" i="15"/>
  <c r="BX173" i="6" s="1"/>
  <c r="G175" i="15"/>
  <c r="BX175" i="6" s="1"/>
  <c r="H175" i="15"/>
  <c r="G179" i="15"/>
  <c r="BX179" i="6" s="1"/>
  <c r="H179" i="15"/>
  <c r="G181" i="15"/>
  <c r="BX181" i="6" s="1"/>
  <c r="H181" i="15"/>
  <c r="G195" i="15"/>
  <c r="BX195" i="6" s="1"/>
  <c r="H195" i="15"/>
  <c r="G207" i="15"/>
  <c r="BX207" i="6" s="1"/>
  <c r="H215" i="15"/>
  <c r="G215" i="15"/>
  <c r="BX215" i="6" s="1"/>
  <c r="G235" i="15"/>
  <c r="BX235" i="6" s="1"/>
  <c r="H235" i="15"/>
  <c r="H239" i="15"/>
  <c r="G239" i="15"/>
  <c r="BX239" i="6" s="1"/>
  <c r="AK3" i="17"/>
  <c r="Q14" i="19" s="1"/>
  <c r="AG15" i="15"/>
  <c r="AG379" i="15"/>
  <c r="AF379" i="15" s="1"/>
  <c r="AD379" i="15" s="1"/>
  <c r="E11" i="1"/>
  <c r="F35" i="19" s="1"/>
  <c r="T382" i="15"/>
  <c r="T381" i="15"/>
  <c r="T383" i="15"/>
  <c r="S15" i="15"/>
  <c r="V36" i="15"/>
  <c r="F36" i="15" s="1"/>
  <c r="V52" i="15"/>
  <c r="F52" i="15" s="1"/>
  <c r="H72" i="15"/>
  <c r="G72" i="15"/>
  <c r="BX72" i="6" s="1"/>
  <c r="H80" i="15"/>
  <c r="G80" i="15"/>
  <c r="BX80" i="6" s="1"/>
  <c r="G184" i="15"/>
  <c r="BX184" i="6" s="1"/>
  <c r="H184" i="15"/>
  <c r="G188" i="15"/>
  <c r="BX188" i="6" s="1"/>
  <c r="H188" i="15"/>
  <c r="G192" i="15"/>
  <c r="BX192" i="6" s="1"/>
  <c r="H192" i="15"/>
  <c r="G196" i="15"/>
  <c r="BX196" i="6" s="1"/>
  <c r="H196" i="15"/>
  <c r="G200" i="15"/>
  <c r="BX200" i="6" s="1"/>
  <c r="H200" i="15"/>
  <c r="G204" i="15"/>
  <c r="BX204" i="6" s="1"/>
  <c r="H204" i="15"/>
  <c r="H208" i="15"/>
  <c r="G208" i="15"/>
  <c r="BX208" i="6" s="1"/>
  <c r="AJ13" i="1"/>
  <c r="F288" i="15"/>
  <c r="AG23" i="15"/>
  <c r="AF23" i="15" s="1"/>
  <c r="AD23" i="15" s="1"/>
  <c r="AG17" i="15"/>
  <c r="AG19" i="15"/>
  <c r="AF19" i="15" s="1"/>
  <c r="AD19" i="15" s="1"/>
  <c r="AG33" i="15"/>
  <c r="AF33" i="15" s="1"/>
  <c r="AD33" i="15" s="1"/>
  <c r="AG39" i="15"/>
  <c r="AF39" i="15" s="1"/>
  <c r="AD39" i="15" s="1"/>
  <c r="AG41" i="15"/>
  <c r="AF41" i="15" s="1"/>
  <c r="AD41" i="15" s="1"/>
  <c r="AG51" i="15"/>
  <c r="AF51" i="15" s="1"/>
  <c r="AD51" i="15" s="1"/>
  <c r="AG55" i="15"/>
  <c r="AF55" i="15" s="1"/>
  <c r="AD55" i="15" s="1"/>
  <c r="AG61" i="15"/>
  <c r="AF61" i="15" s="1"/>
  <c r="AD61" i="15" s="1"/>
  <c r="AA61" i="15" s="1"/>
  <c r="Z61" i="15" s="1"/>
  <c r="Y61" i="15" s="1"/>
  <c r="AG63" i="15"/>
  <c r="AF63" i="15" s="1"/>
  <c r="AD63" i="15" s="1"/>
  <c r="AG75" i="15"/>
  <c r="AF75" i="15" s="1"/>
  <c r="AD75" i="15" s="1"/>
  <c r="AG81" i="15"/>
  <c r="AF81" i="15" s="1"/>
  <c r="AD81" i="15" s="1"/>
  <c r="AG83" i="15"/>
  <c r="AF83" i="15" s="1"/>
  <c r="AD83" i="15" s="1"/>
  <c r="AG87" i="15"/>
  <c r="AF87" i="15" s="1"/>
  <c r="AD87" i="15" s="1"/>
  <c r="AG91" i="15"/>
  <c r="AF91" i="15" s="1"/>
  <c r="AD91" i="15" s="1"/>
  <c r="AG93" i="15"/>
  <c r="AF93" i="15" s="1"/>
  <c r="AD93" i="15" s="1"/>
  <c r="AA93" i="15" s="1"/>
  <c r="Z93" i="15" s="1"/>
  <c r="Y93" i="15" s="1"/>
  <c r="AG99" i="15"/>
  <c r="AF99" i="15" s="1"/>
  <c r="AD99" i="15" s="1"/>
  <c r="AG107" i="15"/>
  <c r="AF107" i="15" s="1"/>
  <c r="AD107" i="15" s="1"/>
  <c r="AA107" i="15" s="1"/>
  <c r="Z107" i="15" s="1"/>
  <c r="Y107" i="15" s="1"/>
  <c r="AG111" i="15"/>
  <c r="AF111" i="15" s="1"/>
  <c r="AD111" i="15" s="1"/>
  <c r="AA111" i="15" s="1"/>
  <c r="Z111" i="15" s="1"/>
  <c r="Y111" i="15" s="1"/>
  <c r="AG113" i="15"/>
  <c r="AF113" i="15" s="1"/>
  <c r="AD113" i="15" s="1"/>
  <c r="AG115" i="15"/>
  <c r="AF115" i="15" s="1"/>
  <c r="AD115" i="15" s="1"/>
  <c r="AA115" i="15" s="1"/>
  <c r="Z115" i="15" s="1"/>
  <c r="Y115" i="15" s="1"/>
  <c r="AG117" i="15"/>
  <c r="AF117" i="15" s="1"/>
  <c r="AD117" i="15" s="1"/>
  <c r="AA117" i="15" s="1"/>
  <c r="Z117" i="15" s="1"/>
  <c r="Y117" i="15" s="1"/>
  <c r="AG121" i="15"/>
  <c r="AF121" i="15" s="1"/>
  <c r="AD121" i="15" s="1"/>
  <c r="AG127" i="15"/>
  <c r="AF127" i="15" s="1"/>
  <c r="AD127" i="15" s="1"/>
  <c r="AA127" i="15" s="1"/>
  <c r="Z127" i="15" s="1"/>
  <c r="Y127" i="15" s="1"/>
  <c r="AG131" i="15"/>
  <c r="AF131" i="15" s="1"/>
  <c r="AD131" i="15" s="1"/>
  <c r="AA131" i="15" s="1"/>
  <c r="Z131" i="15" s="1"/>
  <c r="Y131" i="15" s="1"/>
  <c r="AG133" i="15"/>
  <c r="AF133" i="15" s="1"/>
  <c r="AD133" i="15" s="1"/>
  <c r="AA133" i="15" s="1"/>
  <c r="Z133" i="15" s="1"/>
  <c r="Y133" i="15" s="1"/>
  <c r="AG137" i="15"/>
  <c r="AF137" i="15" s="1"/>
  <c r="AD137" i="15" s="1"/>
  <c r="AG141" i="15"/>
  <c r="AF141" i="15" s="1"/>
  <c r="AD141" i="15" s="1"/>
  <c r="AA141" i="15" s="1"/>
  <c r="Z141" i="15" s="1"/>
  <c r="Y141" i="15" s="1"/>
  <c r="AG147" i="15"/>
  <c r="AF147" i="15" s="1"/>
  <c r="AD147" i="15" s="1"/>
  <c r="AG149" i="15"/>
  <c r="AF149" i="15" s="1"/>
  <c r="AD149" i="15" s="1"/>
  <c r="AG151" i="15"/>
  <c r="AF151" i="15" s="1"/>
  <c r="AD151" i="15" s="1"/>
  <c r="AG155" i="15"/>
  <c r="AF155" i="15" s="1"/>
  <c r="AD155" i="15" s="1"/>
  <c r="AG157" i="15"/>
  <c r="AF157" i="15" s="1"/>
  <c r="AD157" i="15" s="1"/>
  <c r="AA157" i="15" s="1"/>
  <c r="Z157" i="15" s="1"/>
  <c r="Y157" i="15" s="1"/>
  <c r="AG159" i="15"/>
  <c r="AF159" i="15" s="1"/>
  <c r="AD159" i="15" s="1"/>
  <c r="AA159" i="15" s="1"/>
  <c r="Z159" i="15" s="1"/>
  <c r="Y159" i="15" s="1"/>
  <c r="AG165" i="15"/>
  <c r="AF165" i="15" s="1"/>
  <c r="AD165" i="15" s="1"/>
  <c r="AG167" i="15"/>
  <c r="AF167" i="15" s="1"/>
  <c r="AD167" i="15" s="1"/>
  <c r="AG173" i="15"/>
  <c r="AF173" i="15" s="1"/>
  <c r="AD173" i="15" s="1"/>
  <c r="AA173" i="15" s="1"/>
  <c r="Z173" i="15" s="1"/>
  <c r="Y173" i="15" s="1"/>
  <c r="AG179" i="15"/>
  <c r="AF179" i="15" s="1"/>
  <c r="AD179" i="15" s="1"/>
  <c r="AA179" i="15" s="1"/>
  <c r="Z179" i="15" s="1"/>
  <c r="Y179" i="15" s="1"/>
  <c r="AG181" i="15"/>
  <c r="AF181" i="15" s="1"/>
  <c r="AD181" i="15" s="1"/>
  <c r="AA181" i="15" s="1"/>
  <c r="Z181" i="15" s="1"/>
  <c r="Y181" i="15" s="1"/>
  <c r="AG185" i="15"/>
  <c r="AF185" i="15" s="1"/>
  <c r="AD185" i="15" s="1"/>
  <c r="AG191" i="15"/>
  <c r="AF191" i="15" s="1"/>
  <c r="AD191" i="15" s="1"/>
  <c r="AG193" i="15"/>
  <c r="AF193" i="15" s="1"/>
  <c r="AD193" i="15" s="1"/>
  <c r="AG203" i="15"/>
  <c r="AF203" i="15" s="1"/>
  <c r="AD203" i="15" s="1"/>
  <c r="AG205" i="15"/>
  <c r="AF205" i="15" s="1"/>
  <c r="AD205" i="15" s="1"/>
  <c r="AG209" i="15"/>
  <c r="AF209" i="15" s="1"/>
  <c r="AD209" i="15" s="1"/>
  <c r="AG223" i="15"/>
  <c r="AF223" i="15" s="1"/>
  <c r="AD223" i="15" s="1"/>
  <c r="AG225" i="15"/>
  <c r="AF225" i="15" s="1"/>
  <c r="AD225" i="15" s="1"/>
  <c r="AG229" i="15"/>
  <c r="AF229" i="15" s="1"/>
  <c r="AD229" i="15" s="1"/>
  <c r="AG233" i="15"/>
  <c r="AF233" i="15" s="1"/>
  <c r="AD233" i="15" s="1"/>
  <c r="AG243" i="15"/>
  <c r="AF243" i="15" s="1"/>
  <c r="AD243" i="15" s="1"/>
  <c r="AG245" i="15"/>
  <c r="AF245" i="15" s="1"/>
  <c r="AD245" i="15" s="1"/>
  <c r="AG247" i="15"/>
  <c r="AF247" i="15" s="1"/>
  <c r="AD247" i="15" s="1"/>
  <c r="AA247" i="15" s="1"/>
  <c r="Z247" i="15" s="1"/>
  <c r="Y247" i="15" s="1"/>
  <c r="AG275" i="15"/>
  <c r="AF275" i="15" s="1"/>
  <c r="AD275" i="15" s="1"/>
  <c r="AG287" i="15"/>
  <c r="AF287" i="15" s="1"/>
  <c r="AD287" i="15" s="1"/>
  <c r="AG293" i="15"/>
  <c r="AF293" i="15" s="1"/>
  <c r="AD293" i="15" s="1"/>
  <c r="AG295" i="15"/>
  <c r="AF295" i="15" s="1"/>
  <c r="AD295" i="15" s="1"/>
  <c r="AG297" i="15"/>
  <c r="AF297" i="15" s="1"/>
  <c r="AD297" i="15" s="1"/>
  <c r="AG305" i="15"/>
  <c r="AF305" i="15" s="1"/>
  <c r="AD305" i="15" s="1"/>
  <c r="AG319" i="15"/>
  <c r="AF319" i="15" s="1"/>
  <c r="AD319" i="15" s="1"/>
  <c r="AG321" i="15"/>
  <c r="AF321" i="15" s="1"/>
  <c r="AD321" i="15" s="1"/>
  <c r="AG323" i="15"/>
  <c r="AF323" i="15" s="1"/>
  <c r="AD323" i="15" s="1"/>
  <c r="AG325" i="15"/>
  <c r="AF325" i="15" s="1"/>
  <c r="AD325" i="15" s="1"/>
  <c r="AG327" i="15"/>
  <c r="AF327" i="15" s="1"/>
  <c r="AD327" i="15" s="1"/>
  <c r="AG329" i="15"/>
  <c r="AF329" i="15" s="1"/>
  <c r="AD329" i="15" s="1"/>
  <c r="AG331" i="15"/>
  <c r="AF331" i="15" s="1"/>
  <c r="AD331" i="15" s="1"/>
  <c r="AG335" i="15"/>
  <c r="AF335" i="15" s="1"/>
  <c r="AD335" i="15" s="1"/>
  <c r="AA335" i="15" s="1"/>
  <c r="Z335" i="15" s="1"/>
  <c r="Y335" i="15" s="1"/>
  <c r="AG339" i="15"/>
  <c r="AF339" i="15" s="1"/>
  <c r="AD339" i="15" s="1"/>
  <c r="AG343" i="15"/>
  <c r="AF343" i="15" s="1"/>
  <c r="AD343" i="15" s="1"/>
  <c r="AA343" i="15" s="1"/>
  <c r="Z343" i="15" s="1"/>
  <c r="Y343" i="15" s="1"/>
  <c r="AG355" i="15"/>
  <c r="AF355" i="15" s="1"/>
  <c r="AD355" i="15" s="1"/>
  <c r="AG361" i="15"/>
  <c r="AF361" i="15" s="1"/>
  <c r="AD361" i="15" s="1"/>
  <c r="AG363" i="15"/>
  <c r="AF363" i="15" s="1"/>
  <c r="AD363" i="15" s="1"/>
  <c r="AG369" i="15"/>
  <c r="AF369" i="15" s="1"/>
  <c r="AD369" i="15" s="1"/>
  <c r="AG371" i="15"/>
  <c r="AF371" i="15" s="1"/>
  <c r="AD371" i="15" s="1"/>
  <c r="AG377" i="15"/>
  <c r="AF377" i="15" s="1"/>
  <c r="AD377" i="15" s="1"/>
  <c r="X377" i="23"/>
  <c r="A378" i="23"/>
  <c r="L377" i="23"/>
  <c r="AK377" i="23"/>
  <c r="K377" i="23"/>
  <c r="AB377" i="23"/>
  <c r="AJ377" i="23"/>
  <c r="O377" i="23"/>
  <c r="AC377" i="23"/>
  <c r="AE383" i="15"/>
  <c r="AE381" i="15"/>
  <c r="AE382" i="15"/>
  <c r="X379" i="20"/>
  <c r="K379" i="20"/>
  <c r="AJ379" i="20"/>
  <c r="AK379" i="20"/>
  <c r="AB379" i="20"/>
  <c r="L379" i="20"/>
  <c r="B40" i="19" s="1"/>
  <c r="O379" i="20"/>
  <c r="AC379" i="20"/>
  <c r="AG18" i="15"/>
  <c r="AF18" i="15" s="1"/>
  <c r="AD18" i="15" s="1"/>
  <c r="AG28" i="15"/>
  <c r="AF28" i="15" s="1"/>
  <c r="AD28" i="15" s="1"/>
  <c r="AG26" i="15"/>
  <c r="AF26" i="15" s="1"/>
  <c r="AD26" i="15" s="1"/>
  <c r="AG30" i="15"/>
  <c r="AF30" i="15" s="1"/>
  <c r="AD30" i="15" s="1"/>
  <c r="AG32" i="15"/>
  <c r="AF32" i="15" s="1"/>
  <c r="AD32" i="15" s="1"/>
  <c r="AG38" i="15"/>
  <c r="AF38" i="15" s="1"/>
  <c r="AD38" i="15" s="1"/>
  <c r="AG40" i="15"/>
  <c r="AF40" i="15" s="1"/>
  <c r="AD40" i="15" s="1"/>
  <c r="AG46" i="15"/>
  <c r="AF46" i="15" s="1"/>
  <c r="AD46" i="15" s="1"/>
  <c r="AG48" i="15"/>
  <c r="AF48" i="15" s="1"/>
  <c r="AD48" i="15" s="1"/>
  <c r="AG52" i="15"/>
  <c r="AF52" i="15" s="1"/>
  <c r="AD52" i="15" s="1"/>
  <c r="AG54" i="15"/>
  <c r="AF54" i="15" s="1"/>
  <c r="AD54" i="15" s="1"/>
  <c r="AG56" i="15"/>
  <c r="AF56" i="15" s="1"/>
  <c r="AD56" i="15" s="1"/>
  <c r="AG60" i="15"/>
  <c r="AF60" i="15" s="1"/>
  <c r="AD60" i="15" s="1"/>
  <c r="AG62" i="15"/>
  <c r="AF62" i="15" s="1"/>
  <c r="AD62" i="15" s="1"/>
  <c r="AG66" i="15"/>
  <c r="AF66" i="15" s="1"/>
  <c r="AD66" i="15" s="1"/>
  <c r="AG74" i="15"/>
  <c r="AF74" i="15" s="1"/>
  <c r="AD74" i="15" s="1"/>
  <c r="AG80" i="15"/>
  <c r="AF80" i="15" s="1"/>
  <c r="AD80" i="15" s="1"/>
  <c r="AA80" i="15" s="1"/>
  <c r="Z80" i="15" s="1"/>
  <c r="Y80" i="15" s="1"/>
  <c r="AG82" i="15"/>
  <c r="AF82" i="15" s="1"/>
  <c r="AD82" i="15" s="1"/>
  <c r="AG84" i="15"/>
  <c r="AF84" i="15" s="1"/>
  <c r="AD84" i="15" s="1"/>
  <c r="AG86" i="15"/>
  <c r="AF86" i="15" s="1"/>
  <c r="AD86" i="15" s="1"/>
  <c r="AA86" i="15" s="1"/>
  <c r="Z86" i="15" s="1"/>
  <c r="Y86" i="15" s="1"/>
  <c r="AG88" i="15"/>
  <c r="AF88" i="15" s="1"/>
  <c r="AD88" i="15" s="1"/>
  <c r="AG90" i="15"/>
  <c r="AF90" i="15" s="1"/>
  <c r="AD90" i="15" s="1"/>
  <c r="AG94" i="15"/>
  <c r="AF94" i="15" s="1"/>
  <c r="AD94" i="15" s="1"/>
  <c r="AA94" i="15" s="1"/>
  <c r="Z94" i="15" s="1"/>
  <c r="Y94" i="15" s="1"/>
  <c r="AG96" i="15"/>
  <c r="AF96" i="15" s="1"/>
  <c r="AD96" i="15" s="1"/>
  <c r="AA96" i="15" s="1"/>
  <c r="Z96" i="15" s="1"/>
  <c r="Y96" i="15" s="1"/>
  <c r="AG100" i="15"/>
  <c r="AF100" i="15" s="1"/>
  <c r="AD100" i="15" s="1"/>
  <c r="AG106" i="15"/>
  <c r="AF106" i="15" s="1"/>
  <c r="AD106" i="15" s="1"/>
  <c r="AG108" i="15"/>
  <c r="AF108" i="15" s="1"/>
  <c r="AD108" i="15" s="1"/>
  <c r="AG110" i="15"/>
  <c r="AF110" i="15" s="1"/>
  <c r="AD110" i="15" s="1"/>
  <c r="AG114" i="15"/>
  <c r="AF114" i="15" s="1"/>
  <c r="AD114" i="15" s="1"/>
  <c r="AG116" i="15"/>
  <c r="AF116" i="15" s="1"/>
  <c r="AD116" i="15" s="1"/>
  <c r="AG118" i="15"/>
  <c r="AF118" i="15" s="1"/>
  <c r="AD118" i="15" s="1"/>
  <c r="AA118" i="15" s="1"/>
  <c r="Z118" i="15" s="1"/>
  <c r="Y118" i="15" s="1"/>
  <c r="AG120" i="15"/>
  <c r="AF120" i="15" s="1"/>
  <c r="AD120" i="15" s="1"/>
  <c r="AA120" i="15" s="1"/>
  <c r="Z120" i="15" s="1"/>
  <c r="Y120" i="15" s="1"/>
  <c r="AG122" i="15"/>
  <c r="AF122" i="15" s="1"/>
  <c r="AD122" i="15" s="1"/>
  <c r="AG126" i="15"/>
  <c r="AF126" i="15" s="1"/>
  <c r="AD126" i="15" s="1"/>
  <c r="AA126" i="15" s="1"/>
  <c r="Z126" i="15" s="1"/>
  <c r="Y126" i="15" s="1"/>
  <c r="AG128" i="15"/>
  <c r="AF128" i="15" s="1"/>
  <c r="AD128" i="15" s="1"/>
  <c r="AA128" i="15" s="1"/>
  <c r="Z128" i="15" s="1"/>
  <c r="Y128" i="15" s="1"/>
  <c r="AG132" i="15"/>
  <c r="AF132" i="15" s="1"/>
  <c r="AD132" i="15" s="1"/>
  <c r="AG144" i="15"/>
  <c r="AF144" i="15" s="1"/>
  <c r="AD144" i="15" s="1"/>
  <c r="AA144" i="15" s="1"/>
  <c r="Z144" i="15" s="1"/>
  <c r="Y144" i="15" s="1"/>
  <c r="AG146" i="15"/>
  <c r="AF146" i="15" s="1"/>
  <c r="AD146" i="15" s="1"/>
  <c r="AG148" i="15"/>
  <c r="AF148" i="15" s="1"/>
  <c r="AD148" i="15" s="1"/>
  <c r="AG152" i="15"/>
  <c r="AF152" i="15" s="1"/>
  <c r="AD152" i="15" s="1"/>
  <c r="AA152" i="15" s="1"/>
  <c r="Z152" i="15" s="1"/>
  <c r="Y152" i="15" s="1"/>
  <c r="AG154" i="15"/>
  <c r="AF154" i="15" s="1"/>
  <c r="AD154" i="15" s="1"/>
  <c r="AG158" i="15"/>
  <c r="AF158" i="15" s="1"/>
  <c r="AD158" i="15" s="1"/>
  <c r="AA158" i="15" s="1"/>
  <c r="Z158" i="15" s="1"/>
  <c r="Y158" i="15" s="1"/>
  <c r="AG168" i="15"/>
  <c r="AF168" i="15" s="1"/>
  <c r="AD168" i="15" s="1"/>
  <c r="AA168" i="15" s="1"/>
  <c r="Z168" i="15" s="1"/>
  <c r="Y168" i="15" s="1"/>
  <c r="AG172" i="15"/>
  <c r="AF172" i="15" s="1"/>
  <c r="AD172" i="15" s="1"/>
  <c r="AG174" i="15"/>
  <c r="AF174" i="15" s="1"/>
  <c r="AD174" i="15" s="1"/>
  <c r="AG178" i="15"/>
  <c r="AF178" i="15" s="1"/>
  <c r="AD178" i="15" s="1"/>
  <c r="AG180" i="15"/>
  <c r="AF180" i="15" s="1"/>
  <c r="AD180" i="15" s="1"/>
  <c r="AG186" i="15"/>
  <c r="AF186" i="15" s="1"/>
  <c r="AD186" i="15" s="1"/>
  <c r="AG188" i="15"/>
  <c r="AF188" i="15" s="1"/>
  <c r="AD188" i="15" s="1"/>
  <c r="AA188" i="15" s="1"/>
  <c r="Z188" i="15" s="1"/>
  <c r="Y188" i="15" s="1"/>
  <c r="AG190" i="15"/>
  <c r="AF190" i="15" s="1"/>
  <c r="AD190" i="15" s="1"/>
  <c r="AG194" i="15"/>
  <c r="AF194" i="15" s="1"/>
  <c r="AD194" i="15" s="1"/>
  <c r="AG196" i="15"/>
  <c r="AF196" i="15" s="1"/>
  <c r="AD196" i="15" s="1"/>
  <c r="AA196" i="15" s="1"/>
  <c r="Z196" i="15" s="1"/>
  <c r="Y196" i="15" s="1"/>
  <c r="AG198" i="15"/>
  <c r="AF198" i="15" s="1"/>
  <c r="AD198" i="15" s="1"/>
  <c r="AG204" i="15"/>
  <c r="AF204" i="15" s="1"/>
  <c r="AD204" i="15" s="1"/>
  <c r="AA204" i="15" s="1"/>
  <c r="Z204" i="15" s="1"/>
  <c r="Y204" i="15" s="1"/>
  <c r="AG208" i="15"/>
  <c r="AF208" i="15" s="1"/>
  <c r="AD208" i="15" s="1"/>
  <c r="AA208" i="15" s="1"/>
  <c r="Z208" i="15" s="1"/>
  <c r="Y208" i="15" s="1"/>
  <c r="AG212" i="15"/>
  <c r="AF212" i="15" s="1"/>
  <c r="AD212" i="15" s="1"/>
  <c r="AA212" i="15" s="1"/>
  <c r="Z212" i="15" s="1"/>
  <c r="Y212" i="15" s="1"/>
  <c r="AG214" i="15"/>
  <c r="AF214" i="15" s="1"/>
  <c r="AD214" i="15" s="1"/>
  <c r="AG218" i="15"/>
  <c r="AF218" i="15" s="1"/>
  <c r="AD218" i="15" s="1"/>
  <c r="AG222" i="15"/>
  <c r="AF222" i="15" s="1"/>
  <c r="AD222" i="15" s="1"/>
  <c r="AG226" i="15"/>
  <c r="AF226" i="15" s="1"/>
  <c r="AD226" i="15" s="1"/>
  <c r="AG228" i="15"/>
  <c r="AF228" i="15" s="1"/>
  <c r="AD228" i="15" s="1"/>
  <c r="AA228" i="15" s="1"/>
  <c r="Z228" i="15" s="1"/>
  <c r="Y228" i="15" s="1"/>
  <c r="AG232" i="15"/>
  <c r="AF232" i="15" s="1"/>
  <c r="AD232" i="15" s="1"/>
  <c r="AA232" i="15" s="1"/>
  <c r="Z232" i="15" s="1"/>
  <c r="Y232" i="15" s="1"/>
  <c r="AG242" i="15"/>
  <c r="AF242" i="15" s="1"/>
  <c r="AD242" i="15" s="1"/>
  <c r="AG246" i="15"/>
  <c r="AF246" i="15" s="1"/>
  <c r="AD246" i="15" s="1"/>
  <c r="AG248" i="15"/>
  <c r="AF248" i="15" s="1"/>
  <c r="AD248" i="15" s="1"/>
  <c r="AG250" i="15"/>
  <c r="AF250" i="15" s="1"/>
  <c r="AD250" i="15" s="1"/>
  <c r="AG252" i="15"/>
  <c r="AF252" i="15" s="1"/>
  <c r="AD252" i="15" s="1"/>
  <c r="AG256" i="15"/>
  <c r="AF256" i="15" s="1"/>
  <c r="AD256" i="15" s="1"/>
  <c r="AA256" i="15" s="1"/>
  <c r="Z256" i="15" s="1"/>
  <c r="Y256" i="15" s="1"/>
  <c r="AG260" i="15"/>
  <c r="AF260" i="15" s="1"/>
  <c r="AD260" i="15" s="1"/>
  <c r="AA260" i="15" s="1"/>
  <c r="Z260" i="15" s="1"/>
  <c r="Y260" i="15" s="1"/>
  <c r="AG266" i="15"/>
  <c r="AF266" i="15" s="1"/>
  <c r="AD266" i="15" s="1"/>
  <c r="AG268" i="15"/>
  <c r="AF268" i="15" s="1"/>
  <c r="AD268" i="15" s="1"/>
  <c r="AA268" i="15" s="1"/>
  <c r="Z268" i="15" s="1"/>
  <c r="Y268" i="15" s="1"/>
  <c r="AG270" i="15"/>
  <c r="AF270" i="15" s="1"/>
  <c r="AD270" i="15" s="1"/>
  <c r="AG272" i="15"/>
  <c r="AF272" i="15" s="1"/>
  <c r="AD272" i="15" s="1"/>
  <c r="AG274" i="15"/>
  <c r="AF274" i="15" s="1"/>
  <c r="AD274" i="15" s="1"/>
  <c r="AG276" i="15"/>
  <c r="AF276" i="15" s="1"/>
  <c r="AD276" i="15" s="1"/>
  <c r="AG284" i="15"/>
  <c r="AF284" i="15" s="1"/>
  <c r="AD284" i="15" s="1"/>
  <c r="AG286" i="15"/>
  <c r="AF286" i="15" s="1"/>
  <c r="AD286" i="15" s="1"/>
  <c r="AG292" i="15"/>
  <c r="AF292" i="15" s="1"/>
  <c r="AD292" i="15" s="1"/>
  <c r="AA292" i="15" s="1"/>
  <c r="Z292" i="15" s="1"/>
  <c r="Y292" i="15" s="1"/>
  <c r="AG296" i="15"/>
  <c r="AF296" i="15" s="1"/>
  <c r="AD296" i="15" s="1"/>
  <c r="AG298" i="15"/>
  <c r="AF298" i="15" s="1"/>
  <c r="AD298" i="15" s="1"/>
  <c r="AG300" i="15"/>
  <c r="AF300" i="15" s="1"/>
  <c r="AD300" i="15" s="1"/>
  <c r="AA300" i="15" s="1"/>
  <c r="Z300" i="15" s="1"/>
  <c r="Y300" i="15" s="1"/>
  <c r="AG302" i="15"/>
  <c r="AF302" i="15" s="1"/>
  <c r="AD302" i="15" s="1"/>
  <c r="AG304" i="15"/>
  <c r="AF304" i="15" s="1"/>
  <c r="AD304" i="15" s="1"/>
  <c r="AA304" i="15" s="1"/>
  <c r="Z304" i="15" s="1"/>
  <c r="Y304" i="15" s="1"/>
  <c r="AG306" i="15"/>
  <c r="AF306" i="15" s="1"/>
  <c r="AD306" i="15" s="1"/>
  <c r="AG308" i="15"/>
  <c r="AF308" i="15" s="1"/>
  <c r="AD308" i="15" s="1"/>
  <c r="AA308" i="15" s="1"/>
  <c r="Z308" i="15" s="1"/>
  <c r="Y308" i="15" s="1"/>
  <c r="AG312" i="15"/>
  <c r="AF312" i="15" s="1"/>
  <c r="AD312" i="15" s="1"/>
  <c r="AA312" i="15" s="1"/>
  <c r="Z312" i="15" s="1"/>
  <c r="Y312" i="15" s="1"/>
  <c r="AG314" i="15"/>
  <c r="AF314" i="15" s="1"/>
  <c r="AD314" i="15" s="1"/>
  <c r="AG320" i="15"/>
  <c r="AF320" i="15" s="1"/>
  <c r="AD320" i="15" s="1"/>
  <c r="AA320" i="15" s="1"/>
  <c r="Z320" i="15" s="1"/>
  <c r="Y320" i="15" s="1"/>
  <c r="AG326" i="15"/>
  <c r="AF326" i="15" s="1"/>
  <c r="AD326" i="15" s="1"/>
  <c r="AG328" i="15"/>
  <c r="AF328" i="15" s="1"/>
  <c r="AD328" i="15" s="1"/>
  <c r="AA328" i="15" s="1"/>
  <c r="Z328" i="15" s="1"/>
  <c r="Y328" i="15" s="1"/>
  <c r="AG330" i="15"/>
  <c r="AF330" i="15" s="1"/>
  <c r="AD330" i="15" s="1"/>
  <c r="AG332" i="15"/>
  <c r="AF332" i="15" s="1"/>
  <c r="AD332" i="15" s="1"/>
  <c r="AA332" i="15" s="1"/>
  <c r="Z332" i="15" s="1"/>
  <c r="Y332" i="15" s="1"/>
  <c r="AG334" i="15"/>
  <c r="AF334" i="15" s="1"/>
  <c r="AD334" i="15" s="1"/>
  <c r="AG338" i="15"/>
  <c r="AF338" i="15" s="1"/>
  <c r="AD338" i="15" s="1"/>
  <c r="AG346" i="15"/>
  <c r="AF346" i="15" s="1"/>
  <c r="AD346" i="15" s="1"/>
  <c r="AG348" i="15"/>
  <c r="AF348" i="15" s="1"/>
  <c r="AD348" i="15" s="1"/>
  <c r="AA348" i="15" s="1"/>
  <c r="Z348" i="15" s="1"/>
  <c r="Y348" i="15" s="1"/>
  <c r="AG352" i="15"/>
  <c r="AF352" i="15" s="1"/>
  <c r="AD352" i="15" s="1"/>
  <c r="AA352" i="15" s="1"/>
  <c r="Z352" i="15" s="1"/>
  <c r="Y352" i="15" s="1"/>
  <c r="AG354" i="15"/>
  <c r="AF354" i="15" s="1"/>
  <c r="AD354" i="15" s="1"/>
  <c r="AG358" i="15"/>
  <c r="AF358" i="15" s="1"/>
  <c r="AD358" i="15" s="1"/>
  <c r="AG362" i="15"/>
  <c r="AF362" i="15" s="1"/>
  <c r="AD362" i="15" s="1"/>
  <c r="AG364" i="15"/>
  <c r="AF364" i="15" s="1"/>
  <c r="AD364" i="15" s="1"/>
  <c r="AA364" i="15" s="1"/>
  <c r="Z364" i="15" s="1"/>
  <c r="Y364" i="15" s="1"/>
  <c r="AG366" i="15"/>
  <c r="AF366" i="15" s="1"/>
  <c r="AD366" i="15" s="1"/>
  <c r="AG370" i="15"/>
  <c r="AF370" i="15" s="1"/>
  <c r="AD370" i="15" s="1"/>
  <c r="AG372" i="15"/>
  <c r="AF372" i="15" s="1"/>
  <c r="AD372" i="15" s="1"/>
  <c r="AA372" i="15" s="1"/>
  <c r="Z372" i="15" s="1"/>
  <c r="Y372" i="15" s="1"/>
  <c r="AG376" i="15"/>
  <c r="AF376" i="15" s="1"/>
  <c r="AD376" i="15" s="1"/>
  <c r="AA376" i="15" s="1"/>
  <c r="Z376" i="15" s="1"/>
  <c r="Y376" i="15" s="1"/>
  <c r="Q10" i="16" l="1"/>
  <c r="Q308" i="16" s="1"/>
  <c r="U10" i="16"/>
  <c r="AI231" i="16" s="1"/>
  <c r="AH231" i="16" s="1"/>
  <c r="AG231" i="16" s="1"/>
  <c r="AF231" i="16" s="1"/>
  <c r="AA207" i="15"/>
  <c r="Z207" i="15" s="1"/>
  <c r="Y207" i="15" s="1"/>
  <c r="G311" i="15"/>
  <c r="BX311" i="6" s="1"/>
  <c r="AA311" i="15"/>
  <c r="Z311" i="15" s="1"/>
  <c r="Y311" i="15" s="1"/>
  <c r="AI375" i="16"/>
  <c r="AH375" i="16" s="1"/>
  <c r="AG375" i="16" s="1"/>
  <c r="AF375" i="16" s="1"/>
  <c r="H73" i="15"/>
  <c r="I73" i="15" s="1"/>
  <c r="H323" i="15"/>
  <c r="I323" i="15" s="1"/>
  <c r="H222" i="15"/>
  <c r="J222" i="15" s="1"/>
  <c r="U338" i="16"/>
  <c r="T338" i="16" s="1"/>
  <c r="S338" i="16" s="1"/>
  <c r="R338" i="16" s="1"/>
  <c r="AI357" i="16"/>
  <c r="AH357" i="16" s="1"/>
  <c r="AG357" i="16" s="1"/>
  <c r="AF357" i="16" s="1"/>
  <c r="AH382" i="15"/>
  <c r="U112" i="16"/>
  <c r="T112" i="16" s="1"/>
  <c r="S112" i="16" s="1"/>
  <c r="R112" i="16" s="1"/>
  <c r="U317" i="16"/>
  <c r="T317" i="16" s="1"/>
  <c r="S317" i="16" s="1"/>
  <c r="R317" i="16" s="1"/>
  <c r="AI22" i="16"/>
  <c r="AH22" i="16" s="1"/>
  <c r="AG22" i="16" s="1"/>
  <c r="AF22" i="16" s="1"/>
  <c r="W2" i="7"/>
  <c r="H19" i="15"/>
  <c r="I19" i="15" s="1"/>
  <c r="C40" i="19"/>
  <c r="L39" i="19"/>
  <c r="AA296" i="15"/>
  <c r="Z296" i="15" s="1"/>
  <c r="Y296" i="15" s="1"/>
  <c r="AA84" i="15"/>
  <c r="Z84" i="15" s="1"/>
  <c r="Y84" i="15" s="1"/>
  <c r="AA377" i="15"/>
  <c r="Z377" i="15" s="1"/>
  <c r="Y377" i="15" s="1"/>
  <c r="AA329" i="15"/>
  <c r="Z329" i="15" s="1"/>
  <c r="Y329" i="15" s="1"/>
  <c r="AA243" i="15"/>
  <c r="Z243" i="15" s="1"/>
  <c r="Y243" i="15" s="1"/>
  <c r="AA229" i="15"/>
  <c r="Z229" i="15" s="1"/>
  <c r="Y229" i="15" s="1"/>
  <c r="AA87" i="15"/>
  <c r="Z87" i="15" s="1"/>
  <c r="Y87" i="15" s="1"/>
  <c r="AA81" i="15"/>
  <c r="Z81" i="15" s="1"/>
  <c r="Y81" i="15" s="1"/>
  <c r="H84" i="15"/>
  <c r="I84" i="15" s="1"/>
  <c r="H296" i="15"/>
  <c r="I296" i="15" s="1"/>
  <c r="V333" i="15"/>
  <c r="F333" i="15" s="1"/>
  <c r="G333" i="15" s="1"/>
  <c r="BX333" i="6" s="1"/>
  <c r="G150" i="15"/>
  <c r="BX150" i="6" s="1"/>
  <c r="H70" i="15"/>
  <c r="J70" i="15" s="1"/>
  <c r="G100" i="15"/>
  <c r="BX100" i="6" s="1"/>
  <c r="AA291" i="15"/>
  <c r="Z291" i="15" s="1"/>
  <c r="Y291" i="15" s="1"/>
  <c r="G193" i="15"/>
  <c r="BX193" i="6" s="1"/>
  <c r="H97" i="15"/>
  <c r="J97" i="15" s="1"/>
  <c r="AA85" i="15"/>
  <c r="Z85" i="15" s="1"/>
  <c r="Y85" i="15" s="1"/>
  <c r="AA45" i="15"/>
  <c r="Z45" i="15" s="1"/>
  <c r="Y45" i="15" s="1"/>
  <c r="AA211" i="15"/>
  <c r="Z211" i="15" s="1"/>
  <c r="Y211" i="15" s="1"/>
  <c r="AA19" i="15"/>
  <c r="Z19" i="15" s="1"/>
  <c r="Y19" i="15" s="1"/>
  <c r="G183" i="15"/>
  <c r="BX183" i="6" s="1"/>
  <c r="H161" i="15"/>
  <c r="J161" i="15" s="1"/>
  <c r="H162" i="15"/>
  <c r="I162" i="15" s="1"/>
  <c r="H355" i="15"/>
  <c r="I355" i="15" s="1"/>
  <c r="AA174" i="15"/>
  <c r="Z174" i="15" s="1"/>
  <c r="Y174" i="15" s="1"/>
  <c r="AA100" i="15"/>
  <c r="Z100" i="15" s="1"/>
  <c r="Y100" i="15" s="1"/>
  <c r="AA295" i="15"/>
  <c r="Z295" i="15" s="1"/>
  <c r="Y295" i="15" s="1"/>
  <c r="AA287" i="15"/>
  <c r="Z287" i="15" s="1"/>
  <c r="Y287" i="15" s="1"/>
  <c r="AA193" i="15"/>
  <c r="Z193" i="15" s="1"/>
  <c r="Y193" i="15" s="1"/>
  <c r="H375" i="15"/>
  <c r="J375" i="15" s="1"/>
  <c r="G174" i="15"/>
  <c r="BX174" i="6" s="1"/>
  <c r="AA284" i="15"/>
  <c r="Z284" i="15" s="1"/>
  <c r="Y284" i="15" s="1"/>
  <c r="AA110" i="15"/>
  <c r="Z110" i="15" s="1"/>
  <c r="Y110" i="15" s="1"/>
  <c r="AA371" i="15"/>
  <c r="Z371" i="15" s="1"/>
  <c r="Y371" i="15" s="1"/>
  <c r="AA339" i="15"/>
  <c r="Z339" i="15" s="1"/>
  <c r="Y339" i="15" s="1"/>
  <c r="AA275" i="15"/>
  <c r="Z275" i="15" s="1"/>
  <c r="Y275" i="15" s="1"/>
  <c r="AA191" i="15"/>
  <c r="Z191" i="15" s="1"/>
  <c r="Y191" i="15" s="1"/>
  <c r="AA375" i="15"/>
  <c r="Z375" i="15" s="1"/>
  <c r="Y375" i="15" s="1"/>
  <c r="G287" i="15"/>
  <c r="BX287" i="6" s="1"/>
  <c r="H110" i="15"/>
  <c r="I110" i="15" s="1"/>
  <c r="H339" i="15"/>
  <c r="J339" i="15" s="1"/>
  <c r="G275" i="15"/>
  <c r="BX275" i="6" s="1"/>
  <c r="AA70" i="15"/>
  <c r="Z70" i="15" s="1"/>
  <c r="Y70" i="15" s="1"/>
  <c r="AA309" i="15"/>
  <c r="Z309" i="15" s="1"/>
  <c r="Y309" i="15" s="1"/>
  <c r="AA237" i="15"/>
  <c r="Z237" i="15" s="1"/>
  <c r="Y237" i="15" s="1"/>
  <c r="AA201" i="15"/>
  <c r="Z201" i="15" s="1"/>
  <c r="Y201" i="15" s="1"/>
  <c r="AA271" i="15"/>
  <c r="Z271" i="15" s="1"/>
  <c r="Y271" i="15" s="1"/>
  <c r="L37" i="19"/>
  <c r="C12" i="19"/>
  <c r="F36" i="19"/>
  <c r="V379" i="15"/>
  <c r="F379" i="15" s="1"/>
  <c r="G379" i="15" s="1"/>
  <c r="BX379" i="6" s="1"/>
  <c r="D36" i="19"/>
  <c r="AI356" i="16"/>
  <c r="AH356" i="16" s="1"/>
  <c r="AG356" i="16" s="1"/>
  <c r="AF356" i="16" s="1"/>
  <c r="AI292" i="16"/>
  <c r="AH292" i="16" s="1"/>
  <c r="AG292" i="16" s="1"/>
  <c r="AF292" i="16" s="1"/>
  <c r="AI228" i="16"/>
  <c r="AH228" i="16" s="1"/>
  <c r="AG228" i="16" s="1"/>
  <c r="AF228" i="16" s="1"/>
  <c r="AI136" i="16"/>
  <c r="AH136" i="16" s="1"/>
  <c r="AG136" i="16" s="1"/>
  <c r="AF136" i="16" s="1"/>
  <c r="G78" i="15"/>
  <c r="BX78" i="6" s="1"/>
  <c r="G66" i="15"/>
  <c r="BX66" i="6" s="1"/>
  <c r="H156" i="15"/>
  <c r="J156" i="15" s="1"/>
  <c r="H353" i="15"/>
  <c r="I353" i="15" s="1"/>
  <c r="AA71" i="15"/>
  <c r="Z71" i="15" s="1"/>
  <c r="Y71" i="15" s="1"/>
  <c r="V29" i="15"/>
  <c r="F29" i="15" s="1"/>
  <c r="G29" i="15" s="1"/>
  <c r="BX29" i="6" s="1"/>
  <c r="D32" i="7"/>
  <c r="G151" i="15"/>
  <c r="BX151" i="6" s="1"/>
  <c r="H151" i="15"/>
  <c r="J151" i="15" s="1"/>
  <c r="G274" i="15"/>
  <c r="BX274" i="6" s="1"/>
  <c r="H274" i="15"/>
  <c r="I274" i="15" s="1"/>
  <c r="G306" i="15"/>
  <c r="BX306" i="6" s="1"/>
  <c r="H306" i="15"/>
  <c r="I306" i="15" s="1"/>
  <c r="H338" i="15"/>
  <c r="J338" i="15" s="1"/>
  <c r="G338" i="15"/>
  <c r="BX338" i="6" s="1"/>
  <c r="H377" i="15"/>
  <c r="I377" i="15" s="1"/>
  <c r="G377" i="15"/>
  <c r="BX377" i="6" s="1"/>
  <c r="G329" i="15"/>
  <c r="BX329" i="6" s="1"/>
  <c r="H329" i="15"/>
  <c r="J329" i="15" s="1"/>
  <c r="G273" i="15"/>
  <c r="BX273" i="6" s="1"/>
  <c r="H273" i="15"/>
  <c r="I273" i="15" s="1"/>
  <c r="G367" i="15"/>
  <c r="BX367" i="6" s="1"/>
  <c r="AA367" i="15"/>
  <c r="Z367" i="15" s="1"/>
  <c r="Y367" i="15" s="1"/>
  <c r="AA283" i="15"/>
  <c r="Z283" i="15" s="1"/>
  <c r="Y283" i="15" s="1"/>
  <c r="G283" i="15"/>
  <c r="BX283" i="6" s="1"/>
  <c r="AA263" i="15"/>
  <c r="Z263" i="15" s="1"/>
  <c r="Y263" i="15" s="1"/>
  <c r="G263" i="15"/>
  <c r="BX263" i="6" s="1"/>
  <c r="H68" i="15"/>
  <c r="J68" i="15" s="1"/>
  <c r="G68" i="15"/>
  <c r="BX68" i="6" s="1"/>
  <c r="H203" i="15"/>
  <c r="I203" i="15" s="1"/>
  <c r="G203" i="15"/>
  <c r="BX203" i="6" s="1"/>
  <c r="G27" i="15"/>
  <c r="BX27" i="6" s="1"/>
  <c r="H27" i="15"/>
  <c r="J27" i="15" s="1"/>
  <c r="G214" i="15"/>
  <c r="BX214" i="6" s="1"/>
  <c r="H214" i="15"/>
  <c r="I214" i="15" s="1"/>
  <c r="G291" i="15"/>
  <c r="BX291" i="6" s="1"/>
  <c r="H291" i="15"/>
  <c r="I291" i="15" s="1"/>
  <c r="AA255" i="15"/>
  <c r="Z255" i="15" s="1"/>
  <c r="Y255" i="15" s="1"/>
  <c r="G255" i="15"/>
  <c r="BX255" i="6" s="1"/>
  <c r="H81" i="15"/>
  <c r="J81" i="15" s="1"/>
  <c r="G81" i="15"/>
  <c r="BX81" i="6" s="1"/>
  <c r="H142" i="15"/>
  <c r="I142" i="15" s="1"/>
  <c r="G142" i="15"/>
  <c r="BX142" i="6" s="1"/>
  <c r="AI55" i="16"/>
  <c r="AH55" i="16" s="1"/>
  <c r="AG55" i="16" s="1"/>
  <c r="AF55" i="16" s="1"/>
  <c r="AI72" i="16"/>
  <c r="AH72" i="16" s="1"/>
  <c r="AG72" i="16" s="1"/>
  <c r="AF72" i="16" s="1"/>
  <c r="AI111" i="16"/>
  <c r="AH111" i="16" s="1"/>
  <c r="AG111" i="16" s="1"/>
  <c r="AF111" i="16" s="1"/>
  <c r="AI143" i="16"/>
  <c r="AH143" i="16" s="1"/>
  <c r="AG143" i="16" s="1"/>
  <c r="AF143" i="16" s="1"/>
  <c r="AI175" i="16"/>
  <c r="AH175" i="16" s="1"/>
  <c r="AG175" i="16" s="1"/>
  <c r="AF175" i="16" s="1"/>
  <c r="G359" i="15"/>
  <c r="BX359" i="6" s="1"/>
  <c r="AA359" i="15"/>
  <c r="Z359" i="15" s="1"/>
  <c r="Y359" i="15" s="1"/>
  <c r="G211" i="15"/>
  <c r="BX211" i="6" s="1"/>
  <c r="H211" i="15"/>
  <c r="I211" i="15" s="1"/>
  <c r="AA143" i="15"/>
  <c r="Z143" i="15" s="1"/>
  <c r="Y143" i="15" s="1"/>
  <c r="H143" i="15"/>
  <c r="J143" i="15" s="1"/>
  <c r="G143" i="15"/>
  <c r="BX143" i="6" s="1"/>
  <c r="AA142" i="15"/>
  <c r="Z142" i="15" s="1"/>
  <c r="Y142" i="15" s="1"/>
  <c r="AA78" i="15"/>
  <c r="Z78" i="15" s="1"/>
  <c r="Y78" i="15" s="1"/>
  <c r="G319" i="15"/>
  <c r="BX319" i="6" s="1"/>
  <c r="H319" i="15"/>
  <c r="J319" i="15" s="1"/>
  <c r="AA355" i="15"/>
  <c r="Z355" i="15" s="1"/>
  <c r="Y355" i="15" s="1"/>
  <c r="AA323" i="15"/>
  <c r="Z323" i="15" s="1"/>
  <c r="Y323" i="15" s="1"/>
  <c r="AA319" i="15"/>
  <c r="Z319" i="15" s="1"/>
  <c r="Y319" i="15" s="1"/>
  <c r="AA290" i="15"/>
  <c r="Z290" i="15" s="1"/>
  <c r="Y290" i="15" s="1"/>
  <c r="AA258" i="15"/>
  <c r="Z258" i="15" s="1"/>
  <c r="Y258" i="15" s="1"/>
  <c r="AA238" i="15"/>
  <c r="Z238" i="15" s="1"/>
  <c r="Y238" i="15" s="1"/>
  <c r="AA230" i="15"/>
  <c r="Z230" i="15" s="1"/>
  <c r="Y230" i="15" s="1"/>
  <c r="AA130" i="15"/>
  <c r="Z130" i="15" s="1"/>
  <c r="Y130" i="15" s="1"/>
  <c r="AA98" i="15"/>
  <c r="Z98" i="15" s="1"/>
  <c r="Y98" i="15" s="1"/>
  <c r="AA140" i="15"/>
  <c r="Z140" i="15" s="1"/>
  <c r="Y140" i="15" s="1"/>
  <c r="AA124" i="15"/>
  <c r="Z124" i="15" s="1"/>
  <c r="Y124" i="15" s="1"/>
  <c r="AA68" i="15"/>
  <c r="Z68" i="15" s="1"/>
  <c r="Y68" i="15" s="1"/>
  <c r="AA353" i="15"/>
  <c r="Z353" i="15" s="1"/>
  <c r="Y353" i="15" s="1"/>
  <c r="AA341" i="15"/>
  <c r="Z341" i="15" s="1"/>
  <c r="Y341" i="15" s="1"/>
  <c r="AA301" i="15"/>
  <c r="Z301" i="15" s="1"/>
  <c r="Y301" i="15" s="1"/>
  <c r="AA285" i="15"/>
  <c r="Z285" i="15" s="1"/>
  <c r="Y285" i="15" s="1"/>
  <c r="AA253" i="15"/>
  <c r="Z253" i="15" s="1"/>
  <c r="Y253" i="15" s="1"/>
  <c r="AA213" i="15"/>
  <c r="Z213" i="15" s="1"/>
  <c r="Y213" i="15" s="1"/>
  <c r="AA289" i="15"/>
  <c r="Z289" i="15" s="1"/>
  <c r="Y289" i="15" s="1"/>
  <c r="AA265" i="15"/>
  <c r="Z265" i="15" s="1"/>
  <c r="Y265" i="15" s="1"/>
  <c r="AA249" i="15"/>
  <c r="Z249" i="15" s="1"/>
  <c r="Y249" i="15" s="1"/>
  <c r="G95" i="15"/>
  <c r="BX95" i="6" s="1"/>
  <c r="AA95" i="15"/>
  <c r="Z95" i="15" s="1"/>
  <c r="Y95" i="15" s="1"/>
  <c r="G351" i="15"/>
  <c r="BX351" i="6" s="1"/>
  <c r="AA351" i="15"/>
  <c r="Z351" i="15" s="1"/>
  <c r="Y351" i="15" s="1"/>
  <c r="G277" i="15"/>
  <c r="BX277" i="6" s="1"/>
  <c r="H277" i="15"/>
  <c r="J277" i="15" s="1"/>
  <c r="U46" i="16"/>
  <c r="T46" i="16" s="1"/>
  <c r="S46" i="16" s="1"/>
  <c r="R46" i="16" s="1"/>
  <c r="U101" i="16"/>
  <c r="T101" i="16" s="1"/>
  <c r="S101" i="16" s="1"/>
  <c r="R101" i="16" s="1"/>
  <c r="U133" i="16"/>
  <c r="T133" i="16" s="1"/>
  <c r="S133" i="16" s="1"/>
  <c r="R133" i="16" s="1"/>
  <c r="U165" i="16"/>
  <c r="T165" i="16" s="1"/>
  <c r="S165" i="16" s="1"/>
  <c r="R165" i="16" s="1"/>
  <c r="U197" i="16"/>
  <c r="T197" i="16" s="1"/>
  <c r="S197" i="16" s="1"/>
  <c r="R197" i="16" s="1"/>
  <c r="U229" i="16"/>
  <c r="T229" i="16" s="1"/>
  <c r="S229" i="16" s="1"/>
  <c r="R229" i="16" s="1"/>
  <c r="U261" i="16"/>
  <c r="T261" i="16" s="1"/>
  <c r="S261" i="16" s="1"/>
  <c r="R261" i="16" s="1"/>
  <c r="U281" i="16"/>
  <c r="T281" i="16" s="1"/>
  <c r="S281" i="16" s="1"/>
  <c r="R281" i="16" s="1"/>
  <c r="U297" i="16"/>
  <c r="T297" i="16" s="1"/>
  <c r="S297" i="16" s="1"/>
  <c r="R297" i="16" s="1"/>
  <c r="U274" i="16"/>
  <c r="T274" i="16" s="1"/>
  <c r="S274" i="16" s="1"/>
  <c r="R274" i="16" s="1"/>
  <c r="U242" i="16"/>
  <c r="T242" i="16" s="1"/>
  <c r="S242" i="16" s="1"/>
  <c r="R242" i="16" s="1"/>
  <c r="U210" i="16"/>
  <c r="T210" i="16" s="1"/>
  <c r="S210" i="16" s="1"/>
  <c r="R210" i="16" s="1"/>
  <c r="U178" i="16"/>
  <c r="T178" i="16" s="1"/>
  <c r="S178" i="16" s="1"/>
  <c r="R178" i="16" s="1"/>
  <c r="U146" i="16"/>
  <c r="T146" i="16" s="1"/>
  <c r="S146" i="16" s="1"/>
  <c r="R146" i="16" s="1"/>
  <c r="U114" i="16"/>
  <c r="T114" i="16" s="1"/>
  <c r="S114" i="16" s="1"/>
  <c r="R114" i="16" s="1"/>
  <c r="U72" i="16"/>
  <c r="T72" i="16" s="1"/>
  <c r="S72" i="16" s="1"/>
  <c r="R72" i="16" s="1"/>
  <c r="G371" i="15"/>
  <c r="BX371" i="6" s="1"/>
  <c r="G191" i="15"/>
  <c r="BX191" i="6" s="1"/>
  <c r="H177" i="15"/>
  <c r="I177" i="15" s="1"/>
  <c r="G295" i="15"/>
  <c r="BX295" i="6" s="1"/>
  <c r="H284" i="15"/>
  <c r="J284" i="15" s="1"/>
  <c r="H345" i="15"/>
  <c r="J345" i="15" s="1"/>
  <c r="G345" i="15"/>
  <c r="BX345" i="6" s="1"/>
  <c r="H123" i="15"/>
  <c r="J123" i="15" s="1"/>
  <c r="AA123" i="15"/>
  <c r="Z123" i="15" s="1"/>
  <c r="Y123" i="15" s="1"/>
  <c r="D35" i="7"/>
  <c r="V119" i="15"/>
  <c r="F119" i="15" s="1"/>
  <c r="AA119" i="15" s="1"/>
  <c r="Z119" i="15" s="1"/>
  <c r="Y119" i="15" s="1"/>
  <c r="G317" i="15"/>
  <c r="BX317" i="6" s="1"/>
  <c r="H317" i="15"/>
  <c r="I317" i="15" s="1"/>
  <c r="G253" i="15"/>
  <c r="BX253" i="6" s="1"/>
  <c r="H253" i="15"/>
  <c r="I253" i="15" s="1"/>
  <c r="H229" i="15"/>
  <c r="I229" i="15" s="1"/>
  <c r="G229" i="15"/>
  <c r="BX229" i="6" s="1"/>
  <c r="G213" i="15"/>
  <c r="BX213" i="6" s="1"/>
  <c r="H213" i="15"/>
  <c r="I213" i="15" s="1"/>
  <c r="H189" i="15"/>
  <c r="J189" i="15" s="1"/>
  <c r="G189" i="15"/>
  <c r="BX189" i="6" s="1"/>
  <c r="G130" i="15"/>
  <c r="BX130" i="6" s="1"/>
  <c r="H130" i="15"/>
  <c r="I130" i="15" s="1"/>
  <c r="H194" i="15"/>
  <c r="J194" i="15" s="1"/>
  <c r="G194" i="15"/>
  <c r="BX194" i="6" s="1"/>
  <c r="D38" i="7"/>
  <c r="V210" i="15"/>
  <c r="F210" i="15" s="1"/>
  <c r="G210" i="15" s="1"/>
  <c r="BX210" i="6" s="1"/>
  <c r="H238" i="15"/>
  <c r="J238" i="15" s="1"/>
  <c r="G238" i="15"/>
  <c r="BX238" i="6" s="1"/>
  <c r="H258" i="15"/>
  <c r="J258" i="15" s="1"/>
  <c r="G258" i="15"/>
  <c r="BX258" i="6" s="1"/>
  <c r="G290" i="15"/>
  <c r="BX290" i="6" s="1"/>
  <c r="H290" i="15"/>
  <c r="I290" i="15" s="1"/>
  <c r="H354" i="15"/>
  <c r="I354" i="15" s="1"/>
  <c r="G354" i="15"/>
  <c r="BX354" i="6" s="1"/>
  <c r="AA259" i="15"/>
  <c r="Z259" i="15" s="1"/>
  <c r="Y259" i="15" s="1"/>
  <c r="H259" i="15"/>
  <c r="J259" i="15" s="1"/>
  <c r="H243" i="15"/>
  <c r="I243" i="15" s="1"/>
  <c r="G243" i="15"/>
  <c r="BX243" i="6" s="1"/>
  <c r="H217" i="15"/>
  <c r="J217" i="15" s="1"/>
  <c r="G217" i="15"/>
  <c r="BX217" i="6" s="1"/>
  <c r="H331" i="15"/>
  <c r="I331" i="15" s="1"/>
  <c r="G331" i="15"/>
  <c r="BX331" i="6" s="1"/>
  <c r="AA219" i="15"/>
  <c r="Z219" i="15" s="1"/>
  <c r="Y219" i="15" s="1"/>
  <c r="H219" i="15"/>
  <c r="J219" i="15" s="1"/>
  <c r="AA79" i="15"/>
  <c r="Z79" i="15" s="1"/>
  <c r="Y79" i="15" s="1"/>
  <c r="G79" i="15"/>
  <c r="BX79" i="6" s="1"/>
  <c r="H124" i="15"/>
  <c r="I124" i="15" s="1"/>
  <c r="G124" i="15"/>
  <c r="BX124" i="6" s="1"/>
  <c r="G140" i="15"/>
  <c r="BX140" i="6" s="1"/>
  <c r="H140" i="15"/>
  <c r="J140" i="15" s="1"/>
  <c r="V180" i="15"/>
  <c r="F180" i="15" s="1"/>
  <c r="H180" i="15" s="1"/>
  <c r="I180" i="15" s="1"/>
  <c r="D37" i="7"/>
  <c r="G31" i="15"/>
  <c r="BX31" i="6" s="1"/>
  <c r="AA31" i="15"/>
  <c r="Z31" i="15" s="1"/>
  <c r="Y31" i="15" s="1"/>
  <c r="AA97" i="15"/>
  <c r="Z97" i="15" s="1"/>
  <c r="Y97" i="15" s="1"/>
  <c r="AA373" i="15"/>
  <c r="Z373" i="15" s="1"/>
  <c r="Y373" i="15" s="1"/>
  <c r="AA161" i="15"/>
  <c r="Z161" i="15" s="1"/>
  <c r="Y161" i="15" s="1"/>
  <c r="AA354" i="15"/>
  <c r="Z354" i="15" s="1"/>
  <c r="Y354" i="15" s="1"/>
  <c r="AA338" i="15"/>
  <c r="Z338" i="15" s="1"/>
  <c r="Y338" i="15" s="1"/>
  <c r="AA306" i="15"/>
  <c r="Z306" i="15" s="1"/>
  <c r="Y306" i="15" s="1"/>
  <c r="AA274" i="15"/>
  <c r="Z274" i="15" s="1"/>
  <c r="Y274" i="15" s="1"/>
  <c r="AA266" i="15"/>
  <c r="Z266" i="15" s="1"/>
  <c r="Y266" i="15" s="1"/>
  <c r="AA246" i="15"/>
  <c r="Z246" i="15" s="1"/>
  <c r="Y246" i="15" s="1"/>
  <c r="AA186" i="15"/>
  <c r="Z186" i="15" s="1"/>
  <c r="Y186" i="15" s="1"/>
  <c r="AA331" i="15"/>
  <c r="Z331" i="15" s="1"/>
  <c r="Y331" i="15" s="1"/>
  <c r="AA203" i="15"/>
  <c r="Z203" i="15" s="1"/>
  <c r="Y203" i="15" s="1"/>
  <c r="H367" i="15"/>
  <c r="J367" i="15" s="1"/>
  <c r="AA183" i="15"/>
  <c r="Z183" i="15" s="1"/>
  <c r="Y183" i="15" s="1"/>
  <c r="H95" i="15"/>
  <c r="I95" i="15" s="1"/>
  <c r="H87" i="15"/>
  <c r="J87" i="15" s="1"/>
  <c r="AA59" i="15"/>
  <c r="Z59" i="15" s="1"/>
  <c r="Y59" i="15" s="1"/>
  <c r="H31" i="15"/>
  <c r="I31" i="15" s="1"/>
  <c r="H374" i="15"/>
  <c r="J374" i="15" s="1"/>
  <c r="H346" i="15"/>
  <c r="I346" i="15" s="1"/>
  <c r="G330" i="15"/>
  <c r="BX330" i="6" s="1"/>
  <c r="H314" i="15"/>
  <c r="J314" i="15" s="1"/>
  <c r="H202" i="15"/>
  <c r="J202" i="15" s="1"/>
  <c r="H186" i="15"/>
  <c r="J186" i="15" s="1"/>
  <c r="H351" i="15"/>
  <c r="I351" i="15" s="1"/>
  <c r="G123" i="15"/>
  <c r="BX123" i="6" s="1"/>
  <c r="G282" i="15"/>
  <c r="BX282" i="6" s="1"/>
  <c r="H266" i="15"/>
  <c r="J266" i="15" s="1"/>
  <c r="H246" i="15"/>
  <c r="J246" i="15" s="1"/>
  <c r="H341" i="15"/>
  <c r="J341" i="15" s="1"/>
  <c r="H301" i="15"/>
  <c r="J301" i="15" s="1"/>
  <c r="G285" i="15"/>
  <c r="BX285" i="6" s="1"/>
  <c r="G137" i="15"/>
  <c r="BX137" i="6" s="1"/>
  <c r="G248" i="15"/>
  <c r="BX248" i="6" s="1"/>
  <c r="G154" i="15"/>
  <c r="BX154" i="6" s="1"/>
  <c r="H98" i="15"/>
  <c r="I98" i="15" s="1"/>
  <c r="H283" i="15"/>
  <c r="I283" i="15" s="1"/>
  <c r="H263" i="15"/>
  <c r="I263" i="15" s="1"/>
  <c r="H230" i="15"/>
  <c r="J230" i="15" s="1"/>
  <c r="AA156" i="15"/>
  <c r="Z156" i="15" s="1"/>
  <c r="Y156" i="15" s="1"/>
  <c r="AA27" i="15"/>
  <c r="Z27" i="15" s="1"/>
  <c r="Y27" i="15" s="1"/>
  <c r="AA273" i="15"/>
  <c r="Z273" i="15" s="1"/>
  <c r="Y273" i="15" s="1"/>
  <c r="AA217" i="15"/>
  <c r="Z217" i="15" s="1"/>
  <c r="Y217" i="15" s="1"/>
  <c r="H321" i="15"/>
  <c r="J321" i="15" s="1"/>
  <c r="G313" i="15"/>
  <c r="BX313" i="6" s="1"/>
  <c r="AA132" i="15"/>
  <c r="Z132" i="15" s="1"/>
  <c r="Y132" i="15" s="1"/>
  <c r="AA116" i="15"/>
  <c r="Z116" i="15" s="1"/>
  <c r="Y116" i="15" s="1"/>
  <c r="G187" i="15"/>
  <c r="BX187" i="6" s="1"/>
  <c r="H63" i="15"/>
  <c r="I63" i="15" s="1"/>
  <c r="G307" i="15"/>
  <c r="BX307" i="6" s="1"/>
  <c r="AJ11" i="16"/>
  <c r="AA361" i="15"/>
  <c r="Z361" i="15" s="1"/>
  <c r="Y361" i="15" s="1"/>
  <c r="AA223" i="15"/>
  <c r="Z223" i="15" s="1"/>
  <c r="Y223" i="15" s="1"/>
  <c r="AA63" i="15"/>
  <c r="Z63" i="15" s="1"/>
  <c r="Y63" i="15" s="1"/>
  <c r="H76" i="15"/>
  <c r="I76" i="15" s="1"/>
  <c r="G327" i="15"/>
  <c r="BX327" i="6" s="1"/>
  <c r="G271" i="15"/>
  <c r="BX271" i="6" s="1"/>
  <c r="G132" i="15"/>
  <c r="BX132" i="6" s="1"/>
  <c r="H347" i="15"/>
  <c r="J347" i="15" s="1"/>
  <c r="AA214" i="15"/>
  <c r="Z214" i="15" s="1"/>
  <c r="Y214" i="15" s="1"/>
  <c r="AA148" i="15"/>
  <c r="Z148" i="15" s="1"/>
  <c r="Y148" i="15" s="1"/>
  <c r="AA327" i="15"/>
  <c r="Z327" i="15" s="1"/>
  <c r="Y327" i="15" s="1"/>
  <c r="AA99" i="15"/>
  <c r="Z99" i="15" s="1"/>
  <c r="Y99" i="15" s="1"/>
  <c r="G373" i="15"/>
  <c r="BX373" i="6" s="1"/>
  <c r="H223" i="15"/>
  <c r="I223" i="15" s="1"/>
  <c r="G201" i="15"/>
  <c r="BX201" i="6" s="1"/>
  <c r="H187" i="15"/>
  <c r="J187" i="15" s="1"/>
  <c r="H99" i="15"/>
  <c r="I99" i="15" s="1"/>
  <c r="G366" i="15"/>
  <c r="BX366" i="6" s="1"/>
  <c r="H316" i="15"/>
  <c r="I316" i="15" s="1"/>
  <c r="G82" i="15"/>
  <c r="BX82" i="6" s="1"/>
  <c r="H271" i="15"/>
  <c r="I271" i="15" s="1"/>
  <c r="G148" i="15"/>
  <c r="BX148" i="6" s="1"/>
  <c r="G361" i="15"/>
  <c r="BX361" i="6" s="1"/>
  <c r="G347" i="15"/>
  <c r="BX347" i="6" s="1"/>
  <c r="AA307" i="15"/>
  <c r="Z307" i="15" s="1"/>
  <c r="Y307" i="15" s="1"/>
  <c r="G164" i="15"/>
  <c r="BX164" i="6" s="1"/>
  <c r="H116" i="15"/>
  <c r="I116" i="15" s="1"/>
  <c r="Q378" i="16"/>
  <c r="Q362" i="16"/>
  <c r="H55" i="15"/>
  <c r="I55" i="15" s="1"/>
  <c r="G55" i="15"/>
  <c r="BX55" i="6" s="1"/>
  <c r="AA55" i="15"/>
  <c r="Z55" i="15" s="1"/>
  <c r="Y55" i="15" s="1"/>
  <c r="Q338" i="16"/>
  <c r="P338" i="16" s="1"/>
  <c r="V338" i="16" s="1"/>
  <c r="Q370" i="16"/>
  <c r="Q354" i="16"/>
  <c r="G363" i="15"/>
  <c r="BX363" i="6" s="1"/>
  <c r="H363" i="15"/>
  <c r="J363" i="15" s="1"/>
  <c r="G25" i="15"/>
  <c r="BX25" i="6" s="1"/>
  <c r="H25" i="15"/>
  <c r="J25" i="15" s="1"/>
  <c r="G90" i="15"/>
  <c r="BX90" i="6" s="1"/>
  <c r="H90" i="15"/>
  <c r="I90" i="15" s="1"/>
  <c r="H91" i="15"/>
  <c r="I91" i="15" s="1"/>
  <c r="G91" i="15"/>
  <c r="BX91" i="6" s="1"/>
  <c r="H103" i="15"/>
  <c r="I103" i="15" s="1"/>
  <c r="G103" i="15"/>
  <c r="BX103" i="6" s="1"/>
  <c r="G114" i="15"/>
  <c r="BX114" i="6" s="1"/>
  <c r="H114" i="15"/>
  <c r="I114" i="15" s="1"/>
  <c r="G146" i="15"/>
  <c r="BX146" i="6" s="1"/>
  <c r="H146" i="15"/>
  <c r="I146" i="15" s="1"/>
  <c r="G234" i="15"/>
  <c r="BX234" i="6" s="1"/>
  <c r="H234" i="15"/>
  <c r="I234" i="15" s="1"/>
  <c r="G250" i="15"/>
  <c r="BX250" i="6" s="1"/>
  <c r="H250" i="15"/>
  <c r="J250" i="15" s="1"/>
  <c r="H310" i="15"/>
  <c r="I310" i="15" s="1"/>
  <c r="G310" i="15"/>
  <c r="BX310" i="6" s="1"/>
  <c r="G163" i="15"/>
  <c r="BX163" i="6" s="1"/>
  <c r="AA163" i="15"/>
  <c r="Z163" i="15" s="1"/>
  <c r="Y163" i="15" s="1"/>
  <c r="AA315" i="15"/>
  <c r="Z315" i="15" s="1"/>
  <c r="Y315" i="15" s="1"/>
  <c r="G315" i="15"/>
  <c r="BX315" i="6" s="1"/>
  <c r="H251" i="15"/>
  <c r="I251" i="15" s="1"/>
  <c r="AA251" i="15"/>
  <c r="Z251" i="15" s="1"/>
  <c r="Y251" i="15" s="1"/>
  <c r="G199" i="15"/>
  <c r="BX199" i="6" s="1"/>
  <c r="AA199" i="15"/>
  <c r="Z199" i="15" s="1"/>
  <c r="Y199" i="15" s="1"/>
  <c r="AA47" i="15"/>
  <c r="Z47" i="15" s="1"/>
  <c r="Y47" i="15" s="1"/>
  <c r="H47" i="15"/>
  <c r="J47" i="15" s="1"/>
  <c r="U27" i="16"/>
  <c r="T27" i="16" s="1"/>
  <c r="S27" i="16" s="1"/>
  <c r="R27" i="16" s="1"/>
  <c r="U43" i="16"/>
  <c r="T43" i="16" s="1"/>
  <c r="S43" i="16" s="1"/>
  <c r="R43" i="16" s="1"/>
  <c r="U59" i="16"/>
  <c r="T59" i="16" s="1"/>
  <c r="S59" i="16" s="1"/>
  <c r="R59" i="16" s="1"/>
  <c r="U75" i="16"/>
  <c r="T75" i="16" s="1"/>
  <c r="S75" i="16" s="1"/>
  <c r="R75" i="16" s="1"/>
  <c r="U91" i="16"/>
  <c r="T91" i="16" s="1"/>
  <c r="S91" i="16" s="1"/>
  <c r="R91" i="16" s="1"/>
  <c r="Q59" i="16"/>
  <c r="Q260" i="16"/>
  <c r="Q326" i="16"/>
  <c r="Q346" i="16"/>
  <c r="Q358" i="16"/>
  <c r="Q366" i="16"/>
  <c r="Q374" i="16"/>
  <c r="AA76" i="15"/>
  <c r="Z76" i="15" s="1"/>
  <c r="Y76" i="15" s="1"/>
  <c r="AA313" i="15"/>
  <c r="Z313" i="15" s="1"/>
  <c r="Y313" i="15" s="1"/>
  <c r="Q376" i="16"/>
  <c r="Q372" i="16"/>
  <c r="Q368" i="16"/>
  <c r="Q364" i="16"/>
  <c r="Q360" i="16"/>
  <c r="Q356" i="16"/>
  <c r="Q350" i="16"/>
  <c r="Q342" i="16"/>
  <c r="Q334" i="16"/>
  <c r="Q318" i="16"/>
  <c r="Q292" i="16"/>
  <c r="Q228" i="16"/>
  <c r="Q276" i="16"/>
  <c r="Q244" i="16"/>
  <c r="Q212" i="16"/>
  <c r="H349" i="15"/>
  <c r="J349" i="15" s="1"/>
  <c r="G349" i="15"/>
  <c r="BX349" i="6" s="1"/>
  <c r="Q352" i="16"/>
  <c r="Q348" i="16"/>
  <c r="Q344" i="16"/>
  <c r="Q340" i="16"/>
  <c r="Q336" i="16"/>
  <c r="Q330" i="16"/>
  <c r="Q322" i="16"/>
  <c r="Q314" i="16"/>
  <c r="Q300" i="16"/>
  <c r="Q284" i="16"/>
  <c r="Q268" i="16"/>
  <c r="Q252" i="16"/>
  <c r="Q236" i="16"/>
  <c r="Q220" i="16"/>
  <c r="Q202" i="16"/>
  <c r="AA357" i="15"/>
  <c r="Z357" i="15" s="1"/>
  <c r="Y357" i="15" s="1"/>
  <c r="H205" i="15"/>
  <c r="I205" i="15" s="1"/>
  <c r="H67" i="15"/>
  <c r="I67" i="15" s="1"/>
  <c r="H342" i="15"/>
  <c r="J342" i="15" s="1"/>
  <c r="G198" i="15"/>
  <c r="BX198" i="6" s="1"/>
  <c r="H135" i="15"/>
  <c r="I135" i="15" s="1"/>
  <c r="H218" i="15"/>
  <c r="I218" i="15" s="1"/>
  <c r="AA337" i="15"/>
  <c r="Z337" i="15" s="1"/>
  <c r="Y337" i="15" s="1"/>
  <c r="H269" i="15"/>
  <c r="I269" i="15" s="1"/>
  <c r="G245" i="15"/>
  <c r="BX245" i="6" s="1"/>
  <c r="G170" i="15"/>
  <c r="BX170" i="6" s="1"/>
  <c r="H270" i="15"/>
  <c r="J270" i="15" s="1"/>
  <c r="AA346" i="15"/>
  <c r="Z346" i="15" s="1"/>
  <c r="Y346" i="15" s="1"/>
  <c r="AA330" i="15"/>
  <c r="Z330" i="15" s="1"/>
  <c r="Y330" i="15" s="1"/>
  <c r="AA314" i="15"/>
  <c r="Z314" i="15" s="1"/>
  <c r="Y314" i="15" s="1"/>
  <c r="AA222" i="15"/>
  <c r="Z222" i="15" s="1"/>
  <c r="Y222" i="15" s="1"/>
  <c r="AA194" i="15"/>
  <c r="Z194" i="15" s="1"/>
  <c r="Y194" i="15" s="1"/>
  <c r="AA66" i="15"/>
  <c r="Z66" i="15" s="1"/>
  <c r="Y66" i="15" s="1"/>
  <c r="AA151" i="15"/>
  <c r="Z151" i="15" s="1"/>
  <c r="Y151" i="15" s="1"/>
  <c r="AA137" i="15"/>
  <c r="Z137" i="15" s="1"/>
  <c r="Y137" i="15" s="1"/>
  <c r="H59" i="15"/>
  <c r="J59" i="15" s="1"/>
  <c r="G106" i="15"/>
  <c r="BX106" i="6" s="1"/>
  <c r="AA374" i="15"/>
  <c r="Z374" i="15" s="1"/>
  <c r="Y374" i="15" s="1"/>
  <c r="AA282" i="15"/>
  <c r="Z282" i="15" s="1"/>
  <c r="Y282" i="15" s="1"/>
  <c r="AA202" i="15"/>
  <c r="Z202" i="15" s="1"/>
  <c r="Y202" i="15" s="1"/>
  <c r="AA162" i="15"/>
  <c r="Z162" i="15" s="1"/>
  <c r="Y162" i="15" s="1"/>
  <c r="AA345" i="15"/>
  <c r="Z345" i="15" s="1"/>
  <c r="Y345" i="15" s="1"/>
  <c r="AA317" i="15"/>
  <c r="Z317" i="15" s="1"/>
  <c r="Y317" i="15" s="1"/>
  <c r="AA189" i="15"/>
  <c r="Z189" i="15" s="1"/>
  <c r="Y189" i="15" s="1"/>
  <c r="AA366" i="15"/>
  <c r="Z366" i="15" s="1"/>
  <c r="Y366" i="15" s="1"/>
  <c r="AA270" i="15"/>
  <c r="Z270" i="15" s="1"/>
  <c r="Y270" i="15" s="1"/>
  <c r="AA250" i="15"/>
  <c r="Z250" i="15" s="1"/>
  <c r="Y250" i="15" s="1"/>
  <c r="AA226" i="15"/>
  <c r="Z226" i="15" s="1"/>
  <c r="Y226" i="15" s="1"/>
  <c r="AA218" i="15"/>
  <c r="Z218" i="15" s="1"/>
  <c r="Y218" i="15" s="1"/>
  <c r="AA190" i="15"/>
  <c r="Z190" i="15" s="1"/>
  <c r="Y190" i="15" s="1"/>
  <c r="AA178" i="15"/>
  <c r="Z178" i="15" s="1"/>
  <c r="Y178" i="15" s="1"/>
  <c r="AA146" i="15"/>
  <c r="Z146" i="15" s="1"/>
  <c r="Y146" i="15" s="1"/>
  <c r="AA82" i="15"/>
  <c r="Z82" i="15" s="1"/>
  <c r="Y82" i="15" s="1"/>
  <c r="AA325" i="15"/>
  <c r="Z325" i="15" s="1"/>
  <c r="Y325" i="15" s="1"/>
  <c r="AA205" i="15"/>
  <c r="Z205" i="15" s="1"/>
  <c r="Y205" i="15" s="1"/>
  <c r="AA167" i="15"/>
  <c r="Z167" i="15" s="1"/>
  <c r="Y167" i="15" s="1"/>
  <c r="AA155" i="15"/>
  <c r="Z155" i="15" s="1"/>
  <c r="Y155" i="15" s="1"/>
  <c r="G237" i="15"/>
  <c r="BX237" i="6" s="1"/>
  <c r="H221" i="15"/>
  <c r="I221" i="15" s="1"/>
  <c r="G167" i="15"/>
  <c r="BX167" i="6" s="1"/>
  <c r="G155" i="15"/>
  <c r="BX155" i="6" s="1"/>
  <c r="AA67" i="15"/>
  <c r="Z67" i="15" s="1"/>
  <c r="Y67" i="15" s="1"/>
  <c r="G378" i="15"/>
  <c r="BX378" i="6" s="1"/>
  <c r="G350" i="15"/>
  <c r="BX350" i="6" s="1"/>
  <c r="G334" i="15"/>
  <c r="BX334" i="6" s="1"/>
  <c r="G322" i="15"/>
  <c r="BX322" i="6" s="1"/>
  <c r="H206" i="15"/>
  <c r="I206" i="15" s="1"/>
  <c r="H190" i="15"/>
  <c r="J190" i="15" s="1"/>
  <c r="G286" i="15"/>
  <c r="BX286" i="6" s="1"/>
  <c r="H242" i="15"/>
  <c r="I242" i="15" s="1"/>
  <c r="G226" i="15"/>
  <c r="BX226" i="6" s="1"/>
  <c r="H357" i="15"/>
  <c r="J357" i="15" s="1"/>
  <c r="AA349" i="15"/>
  <c r="Z349" i="15" s="1"/>
  <c r="Y349" i="15" s="1"/>
  <c r="H325" i="15"/>
  <c r="J325" i="15" s="1"/>
  <c r="G309" i="15"/>
  <c r="BX309" i="6" s="1"/>
  <c r="H293" i="15"/>
  <c r="I293" i="15" s="1"/>
  <c r="H261" i="15"/>
  <c r="I261" i="15" s="1"/>
  <c r="G145" i="15"/>
  <c r="BX145" i="6" s="1"/>
  <c r="G252" i="15"/>
  <c r="BX252" i="6" s="1"/>
  <c r="H178" i="15"/>
  <c r="I178" i="15" s="1"/>
  <c r="H122" i="15"/>
  <c r="I122" i="15" s="1"/>
  <c r="G278" i="15"/>
  <c r="BX278" i="6" s="1"/>
  <c r="H262" i="15"/>
  <c r="I262" i="15" s="1"/>
  <c r="AA342" i="15"/>
  <c r="Z342" i="15" s="1"/>
  <c r="Y342" i="15" s="1"/>
  <c r="AA262" i="15"/>
  <c r="Z262" i="15" s="1"/>
  <c r="Y262" i="15" s="1"/>
  <c r="AA234" i="15"/>
  <c r="Z234" i="15" s="1"/>
  <c r="Y234" i="15" s="1"/>
  <c r="AA92" i="15"/>
  <c r="Z92" i="15" s="1"/>
  <c r="Y92" i="15" s="1"/>
  <c r="V302" i="15"/>
  <c r="F302" i="15" s="1"/>
  <c r="G302" i="15" s="1"/>
  <c r="BX302" i="6" s="1"/>
  <c r="AA334" i="15"/>
  <c r="Z334" i="15" s="1"/>
  <c r="Y334" i="15" s="1"/>
  <c r="AA286" i="15"/>
  <c r="Z286" i="15" s="1"/>
  <c r="Y286" i="15" s="1"/>
  <c r="AA242" i="15"/>
  <c r="Z242" i="15" s="1"/>
  <c r="Y242" i="15" s="1"/>
  <c r="AA198" i="15"/>
  <c r="Z198" i="15" s="1"/>
  <c r="Y198" i="15" s="1"/>
  <c r="AA114" i="15"/>
  <c r="Z114" i="15" s="1"/>
  <c r="Y114" i="15" s="1"/>
  <c r="AA293" i="15"/>
  <c r="Z293" i="15" s="1"/>
  <c r="Y293" i="15" s="1"/>
  <c r="AA245" i="15"/>
  <c r="Z245" i="15" s="1"/>
  <c r="Y245" i="15" s="1"/>
  <c r="AA91" i="15"/>
  <c r="Z91" i="15" s="1"/>
  <c r="Y91" i="15" s="1"/>
  <c r="AA103" i="15"/>
  <c r="Z103" i="15" s="1"/>
  <c r="Y103" i="15" s="1"/>
  <c r="Q379" i="16"/>
  <c r="Q12" i="17" s="1"/>
  <c r="Q377" i="16"/>
  <c r="Q375" i="16"/>
  <c r="Q373" i="16"/>
  <c r="Q371" i="16"/>
  <c r="Q369" i="16"/>
  <c r="Q367" i="16"/>
  <c r="Q365" i="16"/>
  <c r="Q363" i="16"/>
  <c r="Q361" i="16"/>
  <c r="Q359" i="16"/>
  <c r="Q357" i="16"/>
  <c r="Q355" i="16"/>
  <c r="Q353" i="16"/>
  <c r="Q351" i="16"/>
  <c r="Q349" i="16"/>
  <c r="Q347" i="16"/>
  <c r="Q345" i="16"/>
  <c r="Q343" i="16"/>
  <c r="Q341" i="16"/>
  <c r="Q339" i="16"/>
  <c r="Q337" i="16"/>
  <c r="Q335" i="16"/>
  <c r="Q332" i="16"/>
  <c r="Q328" i="16"/>
  <c r="Q324" i="16"/>
  <c r="Q320" i="16"/>
  <c r="Q316" i="16"/>
  <c r="Q312" i="16"/>
  <c r="Q304" i="16"/>
  <c r="Q296" i="16"/>
  <c r="Q288" i="16"/>
  <c r="Q280" i="16"/>
  <c r="Q272" i="16"/>
  <c r="Q264" i="16"/>
  <c r="Q256" i="16"/>
  <c r="Q248" i="16"/>
  <c r="Q240" i="16"/>
  <c r="Q232" i="16"/>
  <c r="Q224" i="16"/>
  <c r="Q216" i="16"/>
  <c r="Q208" i="16"/>
  <c r="Q194" i="16"/>
  <c r="G135" i="15"/>
  <c r="BX135" i="6" s="1"/>
  <c r="G337" i="15"/>
  <c r="BX337" i="6" s="1"/>
  <c r="AA378" i="15"/>
  <c r="Z378" i="15" s="1"/>
  <c r="Y378" i="15" s="1"/>
  <c r="AA350" i="15"/>
  <c r="Z350" i="15" s="1"/>
  <c r="Y350" i="15" s="1"/>
  <c r="AA322" i="15"/>
  <c r="Z322" i="15" s="1"/>
  <c r="Y322" i="15" s="1"/>
  <c r="AA310" i="15"/>
  <c r="Z310" i="15" s="1"/>
  <c r="Y310" i="15" s="1"/>
  <c r="AA278" i="15"/>
  <c r="Z278" i="15" s="1"/>
  <c r="Y278" i="15" s="1"/>
  <c r="AA206" i="15"/>
  <c r="Z206" i="15" s="1"/>
  <c r="Y206" i="15" s="1"/>
  <c r="AA261" i="15"/>
  <c r="Z261" i="15" s="1"/>
  <c r="Y261" i="15" s="1"/>
  <c r="AA221" i="15"/>
  <c r="Z221" i="15" s="1"/>
  <c r="Y221" i="15" s="1"/>
  <c r="AA145" i="15"/>
  <c r="Z145" i="15" s="1"/>
  <c r="Y145" i="15" s="1"/>
  <c r="Q333" i="16"/>
  <c r="Q331" i="16"/>
  <c r="Q329" i="16"/>
  <c r="Q327" i="16"/>
  <c r="Q325" i="16"/>
  <c r="Q323" i="16"/>
  <c r="Q321" i="16"/>
  <c r="Q319" i="16"/>
  <c r="Q317" i="16"/>
  <c r="P317" i="16" s="1"/>
  <c r="V317" i="16" s="1"/>
  <c r="Q315" i="16"/>
  <c r="Q313" i="16"/>
  <c r="Q310" i="16"/>
  <c r="Q306" i="16"/>
  <c r="Q302" i="16"/>
  <c r="Q298" i="16"/>
  <c r="Q294" i="16"/>
  <c r="Q290" i="16"/>
  <c r="Q286" i="16"/>
  <c r="Q282" i="16"/>
  <c r="Q278" i="16"/>
  <c r="Q274" i="16"/>
  <c r="Q270" i="16"/>
  <c r="Q266" i="16"/>
  <c r="Q262" i="16"/>
  <c r="Q258" i="16"/>
  <c r="Q254" i="16"/>
  <c r="Q250" i="16"/>
  <c r="Q246" i="16"/>
  <c r="Q242" i="16"/>
  <c r="Q238" i="16"/>
  <c r="Q234" i="16"/>
  <c r="Q230" i="16"/>
  <c r="Q226" i="16"/>
  <c r="Q222" i="16"/>
  <c r="Q218" i="16"/>
  <c r="Q214" i="16"/>
  <c r="Q210" i="16"/>
  <c r="Q206" i="16"/>
  <c r="Q198" i="16"/>
  <c r="Q167" i="16"/>
  <c r="AA172" i="15"/>
  <c r="Z172" i="15" s="1"/>
  <c r="Y172" i="15" s="1"/>
  <c r="G225" i="15"/>
  <c r="BX225" i="6" s="1"/>
  <c r="G105" i="15"/>
  <c r="BX105" i="6" s="1"/>
  <c r="H71" i="15"/>
  <c r="J71" i="15" s="1"/>
  <c r="G172" i="15"/>
  <c r="BX172" i="6" s="1"/>
  <c r="G149" i="15"/>
  <c r="BX149" i="6" s="1"/>
  <c r="G276" i="15"/>
  <c r="BX276" i="6" s="1"/>
  <c r="G153" i="15"/>
  <c r="BX153" i="6" s="1"/>
  <c r="G83" i="15"/>
  <c r="BX83" i="6" s="1"/>
  <c r="G71" i="15"/>
  <c r="BX71" i="6" s="1"/>
  <c r="G35" i="15"/>
  <c r="BX35" i="6" s="1"/>
  <c r="H370" i="15"/>
  <c r="J370" i="15" s="1"/>
  <c r="H92" i="15"/>
  <c r="J92" i="15" s="1"/>
  <c r="H265" i="15"/>
  <c r="J265" i="15" s="1"/>
  <c r="D40" i="7"/>
  <c r="AA69" i="15"/>
  <c r="Z69" i="15" s="1"/>
  <c r="Y69" i="15" s="1"/>
  <c r="AA276" i="15"/>
  <c r="Z276" i="15" s="1"/>
  <c r="Y276" i="15" s="1"/>
  <c r="AA252" i="15"/>
  <c r="Z252" i="15" s="1"/>
  <c r="Y252" i="15" s="1"/>
  <c r="AA122" i="15"/>
  <c r="Z122" i="15" s="1"/>
  <c r="Y122" i="15" s="1"/>
  <c r="AA363" i="15"/>
  <c r="Z363" i="15" s="1"/>
  <c r="Y363" i="15" s="1"/>
  <c r="AA225" i="15"/>
  <c r="Z225" i="15" s="1"/>
  <c r="Y225" i="15" s="1"/>
  <c r="AA165" i="15"/>
  <c r="Z165" i="15" s="1"/>
  <c r="Y165" i="15" s="1"/>
  <c r="AA121" i="15"/>
  <c r="Z121" i="15" s="1"/>
  <c r="Y121" i="15" s="1"/>
  <c r="AA83" i="15"/>
  <c r="Z83" i="15" s="1"/>
  <c r="Y83" i="15" s="1"/>
  <c r="H185" i="15"/>
  <c r="J185" i="15" s="1"/>
  <c r="AA153" i="15"/>
  <c r="Z153" i="15" s="1"/>
  <c r="Y153" i="15" s="1"/>
  <c r="H105" i="15"/>
  <c r="I105" i="15" s="1"/>
  <c r="G65" i="15"/>
  <c r="BX65" i="6" s="1"/>
  <c r="G318" i="15"/>
  <c r="BX318" i="6" s="1"/>
  <c r="H289" i="15"/>
  <c r="J289" i="15" s="1"/>
  <c r="H249" i="15"/>
  <c r="J249" i="15" s="1"/>
  <c r="H121" i="15"/>
  <c r="J121" i="15" s="1"/>
  <c r="G231" i="15"/>
  <c r="BX231" i="6" s="1"/>
  <c r="H209" i="15"/>
  <c r="J209" i="15" s="1"/>
  <c r="AA89" i="15"/>
  <c r="Z89" i="15" s="1"/>
  <c r="Y89" i="15" s="1"/>
  <c r="G147" i="15"/>
  <c r="BX147" i="6" s="1"/>
  <c r="G305" i="15"/>
  <c r="BX305" i="6" s="1"/>
  <c r="H129" i="15"/>
  <c r="J129" i="15" s="1"/>
  <c r="AA248" i="15"/>
  <c r="Z248" i="15" s="1"/>
  <c r="Y248" i="15" s="1"/>
  <c r="AA154" i="15"/>
  <c r="Z154" i="15" s="1"/>
  <c r="Y154" i="15" s="1"/>
  <c r="AA209" i="15"/>
  <c r="Z209" i="15" s="1"/>
  <c r="Y209" i="15" s="1"/>
  <c r="AA147" i="15"/>
  <c r="Z147" i="15" s="1"/>
  <c r="Y147" i="15" s="1"/>
  <c r="G369" i="15"/>
  <c r="BX369" i="6" s="1"/>
  <c r="H169" i="15"/>
  <c r="J169" i="15" s="1"/>
  <c r="H113" i="15"/>
  <c r="I113" i="15" s="1"/>
  <c r="G89" i="15"/>
  <c r="BX89" i="6" s="1"/>
  <c r="H69" i="15"/>
  <c r="J69" i="15" s="1"/>
  <c r="G41" i="15"/>
  <c r="BX41" i="6" s="1"/>
  <c r="H33" i="15"/>
  <c r="I33" i="15" s="1"/>
  <c r="H74" i="15"/>
  <c r="I74" i="15" s="1"/>
  <c r="G281" i="15"/>
  <c r="BX281" i="6" s="1"/>
  <c r="G257" i="15"/>
  <c r="BX257" i="6" s="1"/>
  <c r="AA254" i="15"/>
  <c r="Z254" i="15" s="1"/>
  <c r="Y254" i="15" s="1"/>
  <c r="AA134" i="15"/>
  <c r="Z134" i="15" s="1"/>
  <c r="Y134" i="15" s="1"/>
  <c r="AA269" i="15"/>
  <c r="Z269" i="15" s="1"/>
  <c r="Y269" i="15" s="1"/>
  <c r="AA29" i="15"/>
  <c r="Z29" i="15" s="1"/>
  <c r="Y29" i="15" s="1"/>
  <c r="AA106" i="15"/>
  <c r="Z106" i="15" s="1"/>
  <c r="Y106" i="15" s="1"/>
  <c r="AA74" i="15"/>
  <c r="Z74" i="15" s="1"/>
  <c r="Y74" i="15" s="1"/>
  <c r="AA369" i="15"/>
  <c r="Z369" i="15" s="1"/>
  <c r="Y369" i="15" s="1"/>
  <c r="AA305" i="15"/>
  <c r="Z305" i="15" s="1"/>
  <c r="Y305" i="15" s="1"/>
  <c r="AA113" i="15"/>
  <c r="Z113" i="15" s="1"/>
  <c r="Y113" i="15" s="1"/>
  <c r="AA41" i="15"/>
  <c r="Z41" i="15" s="1"/>
  <c r="Y41" i="15" s="1"/>
  <c r="AA33" i="15"/>
  <c r="Z33" i="15" s="1"/>
  <c r="Y33" i="15" s="1"/>
  <c r="AA231" i="15"/>
  <c r="Z231" i="15" s="1"/>
  <c r="Y231" i="15" s="1"/>
  <c r="AA281" i="15"/>
  <c r="Z281" i="15" s="1"/>
  <c r="Y281" i="15" s="1"/>
  <c r="AA257" i="15"/>
  <c r="Z257" i="15" s="1"/>
  <c r="Y257" i="15" s="1"/>
  <c r="AA169" i="15"/>
  <c r="Z169" i="15" s="1"/>
  <c r="Y169" i="15" s="1"/>
  <c r="AA129" i="15"/>
  <c r="Z129" i="15" s="1"/>
  <c r="Y129" i="15" s="1"/>
  <c r="AA77" i="15"/>
  <c r="Z77" i="15" s="1"/>
  <c r="Y77" i="15" s="1"/>
  <c r="AA57" i="15"/>
  <c r="Z57" i="15" s="1"/>
  <c r="Y57" i="15" s="1"/>
  <c r="AA90" i="15"/>
  <c r="Z90" i="15" s="1"/>
  <c r="Y90" i="15" s="1"/>
  <c r="AA321" i="15"/>
  <c r="Z321" i="15" s="1"/>
  <c r="Y321" i="15" s="1"/>
  <c r="AA185" i="15"/>
  <c r="Z185" i="15" s="1"/>
  <c r="Y185" i="15" s="1"/>
  <c r="AA149" i="15"/>
  <c r="Z149" i="15" s="1"/>
  <c r="Y149" i="15" s="1"/>
  <c r="G77" i="15"/>
  <c r="BX77" i="6" s="1"/>
  <c r="AA65" i="15"/>
  <c r="Z65" i="15" s="1"/>
  <c r="Y65" i="15" s="1"/>
  <c r="H57" i="15"/>
  <c r="I57" i="15" s="1"/>
  <c r="G45" i="15"/>
  <c r="BX45" i="6" s="1"/>
  <c r="AA170" i="15"/>
  <c r="Z170" i="15" s="1"/>
  <c r="Y170" i="15" s="1"/>
  <c r="AA25" i="15"/>
  <c r="Z25" i="15" s="1"/>
  <c r="Y25" i="15" s="1"/>
  <c r="V241" i="15"/>
  <c r="F241" i="15" s="1"/>
  <c r="D39" i="7"/>
  <c r="AA180" i="15"/>
  <c r="Z180" i="15" s="1"/>
  <c r="Y180" i="15" s="1"/>
  <c r="AH381" i="15"/>
  <c r="AH383" i="15"/>
  <c r="G134" i="15"/>
  <c r="BX134" i="6" s="1"/>
  <c r="H254" i="15"/>
  <c r="I254" i="15" s="1"/>
  <c r="Q204" i="16"/>
  <c r="Q200" i="16"/>
  <c r="Q196" i="16"/>
  <c r="Q190" i="16"/>
  <c r="Q135" i="16"/>
  <c r="Q192" i="16"/>
  <c r="Q183" i="16"/>
  <c r="Q151" i="16"/>
  <c r="Q109" i="16"/>
  <c r="AA365" i="15"/>
  <c r="Z365" i="15" s="1"/>
  <c r="Y365" i="15" s="1"/>
  <c r="AA138" i="15"/>
  <c r="Z138" i="15" s="1"/>
  <c r="Y138" i="15" s="1"/>
  <c r="Q188" i="16"/>
  <c r="Q175" i="16"/>
  <c r="Q159" i="16"/>
  <c r="Q143" i="16"/>
  <c r="Q125" i="16"/>
  <c r="Q85" i="16"/>
  <c r="H35" i="15"/>
  <c r="I35" i="15" s="1"/>
  <c r="H365" i="15"/>
  <c r="I365" i="15" s="1"/>
  <c r="H165" i="15"/>
  <c r="J165" i="15" s="1"/>
  <c r="G85" i="15"/>
  <c r="BX85" i="6" s="1"/>
  <c r="H45" i="15"/>
  <c r="J45" i="15" s="1"/>
  <c r="AA34" i="15"/>
  <c r="Z34" i="15" s="1"/>
  <c r="Y34" i="15" s="1"/>
  <c r="G138" i="15"/>
  <c r="BX138" i="6" s="1"/>
  <c r="H85" i="15"/>
  <c r="J85" i="15" s="1"/>
  <c r="H138" i="15"/>
  <c r="I138" i="15" s="1"/>
  <c r="F62" i="19"/>
  <c r="Q186" i="16"/>
  <c r="Q179" i="16"/>
  <c r="Q171" i="16"/>
  <c r="Q163" i="16"/>
  <c r="Q155" i="16"/>
  <c r="Q147" i="16"/>
  <c r="Q139" i="16"/>
  <c r="Q131" i="16"/>
  <c r="Q117" i="16"/>
  <c r="Q101" i="16"/>
  <c r="H88" i="15"/>
  <c r="J88" i="15" s="1"/>
  <c r="G39" i="15"/>
  <c r="BX39" i="6" s="1"/>
  <c r="H326" i="15"/>
  <c r="I326" i="15" s="1"/>
  <c r="AA326" i="15"/>
  <c r="Z326" i="15" s="1"/>
  <c r="Y326" i="15" s="1"/>
  <c r="AA88" i="15"/>
  <c r="Z88" i="15" s="1"/>
  <c r="Y88" i="15" s="1"/>
  <c r="AA39" i="15"/>
  <c r="Z39" i="15" s="1"/>
  <c r="Y39" i="15" s="1"/>
  <c r="Q23" i="16"/>
  <c r="Q43" i="16"/>
  <c r="Q75" i="16"/>
  <c r="Q93" i="16"/>
  <c r="Q105" i="16"/>
  <c r="Q113" i="16"/>
  <c r="Q121" i="16"/>
  <c r="Q129" i="16"/>
  <c r="Q133" i="16"/>
  <c r="Q137" i="16"/>
  <c r="Q141" i="16"/>
  <c r="Q145" i="16"/>
  <c r="Q149" i="16"/>
  <c r="Q153" i="16"/>
  <c r="Q157" i="16"/>
  <c r="Q161" i="16"/>
  <c r="Q165" i="16"/>
  <c r="Q169" i="16"/>
  <c r="Q173" i="16"/>
  <c r="Q177" i="16"/>
  <c r="Q181" i="16"/>
  <c r="Q185" i="16"/>
  <c r="Q187" i="16"/>
  <c r="Q189" i="16"/>
  <c r="Q191" i="16"/>
  <c r="Q193" i="16"/>
  <c r="Q195" i="16"/>
  <c r="Q197" i="16"/>
  <c r="Q199" i="16"/>
  <c r="Q201" i="16"/>
  <c r="Q203" i="16"/>
  <c r="Q205" i="16"/>
  <c r="Q207" i="16"/>
  <c r="Q209" i="16"/>
  <c r="Q211" i="16"/>
  <c r="Q213" i="16"/>
  <c r="Q215" i="16"/>
  <c r="Q217" i="16"/>
  <c r="Q219" i="16"/>
  <c r="Q221" i="16"/>
  <c r="Q223" i="16"/>
  <c r="Q225" i="16"/>
  <c r="Q227" i="16"/>
  <c r="Q229" i="16"/>
  <c r="Q231" i="16"/>
  <c r="Q233" i="16"/>
  <c r="Q235" i="16"/>
  <c r="Q237" i="16"/>
  <c r="Q239" i="16"/>
  <c r="Q241" i="16"/>
  <c r="Q243" i="16"/>
  <c r="Q245" i="16"/>
  <c r="Q247" i="16"/>
  <c r="Q249" i="16"/>
  <c r="Q251" i="16"/>
  <c r="Q253" i="16"/>
  <c r="Q255" i="16"/>
  <c r="Q257" i="16"/>
  <c r="Q259" i="16"/>
  <c r="Q261" i="16"/>
  <c r="Q263" i="16"/>
  <c r="Q265" i="16"/>
  <c r="Q267" i="16"/>
  <c r="Q269" i="16"/>
  <c r="Q271" i="16"/>
  <c r="Q273" i="16"/>
  <c r="Q275" i="16"/>
  <c r="Q277" i="16"/>
  <c r="Q279" i="16"/>
  <c r="Q281" i="16"/>
  <c r="Q283" i="16"/>
  <c r="Q285" i="16"/>
  <c r="Q287" i="16"/>
  <c r="Q289" i="16"/>
  <c r="Q291" i="16"/>
  <c r="Q293" i="16"/>
  <c r="Q295" i="16"/>
  <c r="Q297" i="16"/>
  <c r="Q299" i="16"/>
  <c r="Q301" i="16"/>
  <c r="Q303" i="16"/>
  <c r="Q305" i="16"/>
  <c r="Q307" i="16"/>
  <c r="Q309" i="16"/>
  <c r="Q311" i="16"/>
  <c r="V380" i="15"/>
  <c r="F380" i="15" s="1"/>
  <c r="Q97" i="16"/>
  <c r="Q89" i="16"/>
  <c r="Q81" i="16"/>
  <c r="Q67" i="16"/>
  <c r="Q51" i="16"/>
  <c r="Q31" i="16"/>
  <c r="Q127" i="16"/>
  <c r="Q123" i="16"/>
  <c r="Q119" i="16"/>
  <c r="Q115" i="16"/>
  <c r="Q111" i="16"/>
  <c r="Q107" i="16"/>
  <c r="Q103" i="16"/>
  <c r="Q99" i="16"/>
  <c r="Q95" i="16"/>
  <c r="Q91" i="16"/>
  <c r="Q87" i="16"/>
  <c r="Q83" i="16"/>
  <c r="Q79" i="16"/>
  <c r="Q71" i="16"/>
  <c r="Q63" i="16"/>
  <c r="Q55" i="16"/>
  <c r="Q47" i="16"/>
  <c r="Q39" i="16"/>
  <c r="AA318" i="15"/>
  <c r="Z318" i="15" s="1"/>
  <c r="Y318" i="15" s="1"/>
  <c r="AA370" i="15"/>
  <c r="Z370" i="15" s="1"/>
  <c r="Y370" i="15" s="1"/>
  <c r="H34" i="15"/>
  <c r="J34" i="15" s="1"/>
  <c r="Q15" i="7"/>
  <c r="Q19" i="16"/>
  <c r="Q27" i="16"/>
  <c r="Q35" i="16"/>
  <c r="Q41" i="16"/>
  <c r="Q45" i="16"/>
  <c r="Q49" i="16"/>
  <c r="Q53" i="16"/>
  <c r="Q57" i="16"/>
  <c r="Q61" i="16"/>
  <c r="Q65" i="16"/>
  <c r="Q69" i="16"/>
  <c r="Q73" i="16"/>
  <c r="Q77" i="16"/>
  <c r="Q80" i="16"/>
  <c r="Q82" i="16"/>
  <c r="Q84" i="16"/>
  <c r="Q86" i="16"/>
  <c r="Q88" i="16"/>
  <c r="Q90" i="16"/>
  <c r="Q92" i="16"/>
  <c r="Q94" i="16"/>
  <c r="Q96" i="16"/>
  <c r="Q98" i="16"/>
  <c r="Q100" i="16"/>
  <c r="Q102" i="16"/>
  <c r="Q104" i="16"/>
  <c r="Q106" i="16"/>
  <c r="Q108" i="16"/>
  <c r="Q110" i="16"/>
  <c r="Q112" i="16"/>
  <c r="Q114" i="16"/>
  <c r="Q116" i="16"/>
  <c r="Q118" i="16"/>
  <c r="Q120" i="16"/>
  <c r="Q122" i="16"/>
  <c r="Q124" i="16"/>
  <c r="Q126" i="16"/>
  <c r="Q128" i="16"/>
  <c r="Q130" i="16"/>
  <c r="Q132" i="16"/>
  <c r="Q134" i="16"/>
  <c r="Q136" i="16"/>
  <c r="Q138" i="16"/>
  <c r="Q140" i="16"/>
  <c r="Q142" i="16"/>
  <c r="Q144" i="16"/>
  <c r="Q146" i="16"/>
  <c r="Q148" i="16"/>
  <c r="Q150" i="16"/>
  <c r="Q152" i="16"/>
  <c r="Q154" i="16"/>
  <c r="Q156" i="16"/>
  <c r="Q158" i="16"/>
  <c r="Q160" i="16"/>
  <c r="Q162" i="16"/>
  <c r="Q164" i="16"/>
  <c r="Q166" i="16"/>
  <c r="Q168" i="16"/>
  <c r="Q170" i="16"/>
  <c r="Q172" i="16"/>
  <c r="Q174" i="16"/>
  <c r="Q176" i="16"/>
  <c r="Q178" i="16"/>
  <c r="Q180" i="16"/>
  <c r="Q182" i="16"/>
  <c r="Q184" i="16"/>
  <c r="F136" i="15"/>
  <c r="AA136" i="15" s="1"/>
  <c r="Z136" i="15" s="1"/>
  <c r="Y136" i="15" s="1"/>
  <c r="AC383" i="20"/>
  <c r="AC382" i="20"/>
  <c r="AC381" i="20"/>
  <c r="C62" i="19"/>
  <c r="Q37" i="16"/>
  <c r="Q33" i="16"/>
  <c r="Q29" i="16"/>
  <c r="Q25" i="16"/>
  <c r="Q21" i="16"/>
  <c r="Q17" i="16"/>
  <c r="J62" i="19"/>
  <c r="V379" i="1"/>
  <c r="P382" i="1"/>
  <c r="P381" i="1"/>
  <c r="P383" i="1"/>
  <c r="O381" i="20"/>
  <c r="O383" i="20"/>
  <c r="O382" i="20"/>
  <c r="D62" i="19"/>
  <c r="F108" i="15"/>
  <c r="G108" i="15" s="1"/>
  <c r="BX108" i="6" s="1"/>
  <c r="D383" i="16"/>
  <c r="D9" i="16"/>
  <c r="D11" i="16" s="1"/>
  <c r="E37" i="19" s="1"/>
  <c r="D381" i="16"/>
  <c r="D382" i="16"/>
  <c r="AJ8" i="16"/>
  <c r="G233" i="15"/>
  <c r="BX233" i="6" s="1"/>
  <c r="AA233" i="15"/>
  <c r="Z233" i="15" s="1"/>
  <c r="Y233" i="15" s="1"/>
  <c r="H233" i="15"/>
  <c r="G56" i="15"/>
  <c r="BX56" i="6" s="1"/>
  <c r="H56" i="15"/>
  <c r="AA56" i="15"/>
  <c r="Z56" i="15" s="1"/>
  <c r="Y56" i="15" s="1"/>
  <c r="G40" i="15"/>
  <c r="BX40" i="6" s="1"/>
  <c r="H40" i="15"/>
  <c r="AA40" i="15"/>
  <c r="Z40" i="15" s="1"/>
  <c r="Y40" i="15" s="1"/>
  <c r="G298" i="15"/>
  <c r="BX298" i="6" s="1"/>
  <c r="AA298" i="15"/>
  <c r="Z298" i="15" s="1"/>
  <c r="Y298" i="15" s="1"/>
  <c r="H298" i="15"/>
  <c r="H22" i="15"/>
  <c r="AA22" i="15"/>
  <c r="Z22" i="15" s="1"/>
  <c r="Y22" i="15" s="1"/>
  <c r="G22" i="15"/>
  <c r="BX22" i="6" s="1"/>
  <c r="AA297" i="15"/>
  <c r="Z297" i="15" s="1"/>
  <c r="Y297" i="15" s="1"/>
  <c r="G297" i="15"/>
  <c r="BX297" i="6" s="1"/>
  <c r="H297" i="15"/>
  <c r="AA20" i="15"/>
  <c r="Z20" i="15" s="1"/>
  <c r="Y20" i="15" s="1"/>
  <c r="G20" i="15"/>
  <c r="BX20" i="6" s="1"/>
  <c r="H20" i="15"/>
  <c r="H272" i="15"/>
  <c r="G272" i="15"/>
  <c r="BX272" i="6" s="1"/>
  <c r="AA272" i="15"/>
  <c r="Z272" i="15" s="1"/>
  <c r="Y272" i="15" s="1"/>
  <c r="AA32" i="15"/>
  <c r="Z32" i="15" s="1"/>
  <c r="Y32" i="15" s="1"/>
  <c r="G32" i="15"/>
  <c r="BX32" i="6" s="1"/>
  <c r="H32" i="15"/>
  <c r="H23" i="15"/>
  <c r="AA23" i="15"/>
  <c r="Z23" i="15" s="1"/>
  <c r="Y23" i="15" s="1"/>
  <c r="G23" i="15"/>
  <c r="BX23" i="6" s="1"/>
  <c r="AA58" i="15"/>
  <c r="Z58" i="15" s="1"/>
  <c r="Y58" i="15" s="1"/>
  <c r="H58" i="15"/>
  <c r="G58" i="15"/>
  <c r="BX58" i="6" s="1"/>
  <c r="G46" i="15"/>
  <c r="BX46" i="6" s="1"/>
  <c r="AA46" i="15"/>
  <c r="Z46" i="15" s="1"/>
  <c r="Y46" i="15" s="1"/>
  <c r="H46" i="15"/>
  <c r="H26" i="15"/>
  <c r="G26" i="15"/>
  <c r="BX26" i="6" s="1"/>
  <c r="AA26" i="15"/>
  <c r="Z26" i="15" s="1"/>
  <c r="Y26" i="15" s="1"/>
  <c r="H44" i="15"/>
  <c r="G44" i="15"/>
  <c r="BX44" i="6" s="1"/>
  <c r="AA44" i="15"/>
  <c r="Z44" i="15" s="1"/>
  <c r="Y44" i="15" s="1"/>
  <c r="AA16" i="15"/>
  <c r="Z16" i="15" s="1"/>
  <c r="Y16" i="15" s="1"/>
  <c r="H16" i="15"/>
  <c r="G16" i="15"/>
  <c r="BX16" i="6" s="1"/>
  <c r="G21" i="15"/>
  <c r="BX21" i="6" s="1"/>
  <c r="H21" i="15"/>
  <c r="AA21" i="15"/>
  <c r="Z21" i="15" s="1"/>
  <c r="Y21" i="15" s="1"/>
  <c r="G28" i="15"/>
  <c r="BX28" i="6" s="1"/>
  <c r="AA28" i="15"/>
  <c r="Z28" i="15" s="1"/>
  <c r="Y28" i="15" s="1"/>
  <c r="H28" i="15"/>
  <c r="G50" i="15"/>
  <c r="BX50" i="6" s="1"/>
  <c r="H50" i="15"/>
  <c r="AA50" i="15"/>
  <c r="Z50" i="15" s="1"/>
  <c r="Y50" i="15" s="1"/>
  <c r="AA38" i="15"/>
  <c r="Z38" i="15" s="1"/>
  <c r="Y38" i="15" s="1"/>
  <c r="G38" i="15"/>
  <c r="BX38" i="6" s="1"/>
  <c r="H38" i="15"/>
  <c r="H24" i="15"/>
  <c r="AA24" i="15"/>
  <c r="Z24" i="15" s="1"/>
  <c r="Y24" i="15" s="1"/>
  <c r="G24" i="15"/>
  <c r="BX24" i="6" s="1"/>
  <c r="L381" i="20"/>
  <c r="L383" i="20"/>
  <c r="L382" i="20"/>
  <c r="AB378" i="23"/>
  <c r="A379" i="23"/>
  <c r="AJ378" i="23"/>
  <c r="AK378" i="23"/>
  <c r="K378" i="23"/>
  <c r="X378" i="23"/>
  <c r="L378" i="23"/>
  <c r="O378" i="23"/>
  <c r="AC378" i="23"/>
  <c r="AA288" i="15"/>
  <c r="Z288" i="15" s="1"/>
  <c r="Y288" i="15" s="1"/>
  <c r="G288" i="15"/>
  <c r="BX288" i="6" s="1"/>
  <c r="H288" i="15"/>
  <c r="J208" i="15"/>
  <c r="I208" i="15"/>
  <c r="I204" i="15"/>
  <c r="J204" i="15"/>
  <c r="J196" i="15"/>
  <c r="I196" i="15"/>
  <c r="I188" i="15"/>
  <c r="J188" i="15"/>
  <c r="J72" i="15"/>
  <c r="I72" i="15"/>
  <c r="G52" i="15"/>
  <c r="BX52" i="6" s="1"/>
  <c r="AA52" i="15"/>
  <c r="Z52" i="15" s="1"/>
  <c r="Y52" i="15" s="1"/>
  <c r="H52" i="15"/>
  <c r="H48" i="15"/>
  <c r="AA48" i="15"/>
  <c r="Z48" i="15" s="1"/>
  <c r="Y48" i="15" s="1"/>
  <c r="G48" i="15"/>
  <c r="BX48" i="6" s="1"/>
  <c r="AA36" i="15"/>
  <c r="Z36" i="15" s="1"/>
  <c r="Y36" i="15" s="1"/>
  <c r="G36" i="15"/>
  <c r="BX36" i="6" s="1"/>
  <c r="H36" i="15"/>
  <c r="C11" i="19"/>
  <c r="AG383" i="15"/>
  <c r="AG381" i="15"/>
  <c r="AF15" i="15"/>
  <c r="J373" i="15"/>
  <c r="I373" i="15"/>
  <c r="I239" i="15"/>
  <c r="J239" i="15"/>
  <c r="J235" i="15"/>
  <c r="I235" i="15"/>
  <c r="J225" i="15"/>
  <c r="I225" i="15"/>
  <c r="J207" i="15"/>
  <c r="I207" i="15"/>
  <c r="J195" i="15"/>
  <c r="I195" i="15"/>
  <c r="J193" i="15"/>
  <c r="I193" i="15"/>
  <c r="I183" i="15"/>
  <c r="J183" i="15"/>
  <c r="J181" i="15"/>
  <c r="I181" i="15"/>
  <c r="I173" i="15"/>
  <c r="J173" i="15"/>
  <c r="I167" i="15"/>
  <c r="J167" i="15"/>
  <c r="I159" i="15"/>
  <c r="J159" i="15"/>
  <c r="J155" i="15"/>
  <c r="I155" i="15"/>
  <c r="I153" i="15"/>
  <c r="J153" i="15"/>
  <c r="I111" i="15"/>
  <c r="J111" i="15"/>
  <c r="J109" i="15"/>
  <c r="I109" i="15"/>
  <c r="H101" i="15"/>
  <c r="G101" i="15"/>
  <c r="BX101" i="6" s="1"/>
  <c r="AA101" i="15"/>
  <c r="Z101" i="15" s="1"/>
  <c r="Y101" i="15" s="1"/>
  <c r="J93" i="15"/>
  <c r="I93" i="15"/>
  <c r="J89" i="15"/>
  <c r="I89" i="15"/>
  <c r="I83" i="15"/>
  <c r="J83" i="15"/>
  <c r="J79" i="15"/>
  <c r="I79" i="15"/>
  <c r="I77" i="15"/>
  <c r="J77" i="15"/>
  <c r="H75" i="15"/>
  <c r="AA75" i="15"/>
  <c r="Z75" i="15" s="1"/>
  <c r="Y75" i="15" s="1"/>
  <c r="G75" i="15"/>
  <c r="BX75" i="6" s="1"/>
  <c r="J65" i="15"/>
  <c r="I65" i="15"/>
  <c r="J61" i="15"/>
  <c r="I61" i="15"/>
  <c r="J53" i="15"/>
  <c r="I53" i="15"/>
  <c r="J43" i="15"/>
  <c r="I43" i="15"/>
  <c r="I39" i="15"/>
  <c r="J39" i="15"/>
  <c r="AE379" i="16"/>
  <c r="AE12" i="17" s="1"/>
  <c r="AE377" i="16"/>
  <c r="AE375" i="16"/>
  <c r="AE373" i="16"/>
  <c r="AE371" i="16"/>
  <c r="AE369" i="16"/>
  <c r="AE367" i="16"/>
  <c r="AE365" i="16"/>
  <c r="AE363" i="16"/>
  <c r="AE361" i="16"/>
  <c r="AE359" i="16"/>
  <c r="AE357" i="16"/>
  <c r="AE355" i="16"/>
  <c r="AE353" i="16"/>
  <c r="AE351" i="16"/>
  <c r="AE349" i="16"/>
  <c r="AE347" i="16"/>
  <c r="AE345" i="16"/>
  <c r="AE343" i="16"/>
  <c r="AE341" i="16"/>
  <c r="AE339" i="16"/>
  <c r="AE337" i="16"/>
  <c r="AE335" i="16"/>
  <c r="AE333" i="16"/>
  <c r="AE331" i="16"/>
  <c r="AE329" i="16"/>
  <c r="AE327" i="16"/>
  <c r="AE325" i="16"/>
  <c r="AE323" i="16"/>
  <c r="AE321" i="16"/>
  <c r="AE319" i="16"/>
  <c r="AE317" i="16"/>
  <c r="AE315" i="16"/>
  <c r="AE313" i="16"/>
  <c r="AE311" i="16"/>
  <c r="AE309" i="16"/>
  <c r="AE307" i="16"/>
  <c r="AE305" i="16"/>
  <c r="AE303" i="16"/>
  <c r="AE301" i="16"/>
  <c r="AE299" i="16"/>
  <c r="AE297" i="16"/>
  <c r="AE295" i="16"/>
  <c r="AE293" i="16"/>
  <c r="AE291" i="16"/>
  <c r="AE289" i="16"/>
  <c r="AE287" i="16"/>
  <c r="AE285" i="16"/>
  <c r="AE283" i="16"/>
  <c r="AE281" i="16"/>
  <c r="AE279" i="16"/>
  <c r="AE277" i="16"/>
  <c r="AE275" i="16"/>
  <c r="AE273" i="16"/>
  <c r="AE271" i="16"/>
  <c r="AE269" i="16"/>
  <c r="AE267" i="16"/>
  <c r="AE265" i="16"/>
  <c r="AE263" i="16"/>
  <c r="AE261" i="16"/>
  <c r="AE259" i="16"/>
  <c r="AE257" i="16"/>
  <c r="AE255" i="16"/>
  <c r="AE253" i="16"/>
  <c r="AE251" i="16"/>
  <c r="AE249" i="16"/>
  <c r="AE247" i="16"/>
  <c r="AE245" i="16"/>
  <c r="AE243" i="16"/>
  <c r="AE241" i="16"/>
  <c r="AE239" i="16"/>
  <c r="AE237" i="16"/>
  <c r="AE235" i="16"/>
  <c r="AE233" i="16"/>
  <c r="AE231" i="16"/>
  <c r="AE229" i="16"/>
  <c r="AE227" i="16"/>
  <c r="AE225" i="16"/>
  <c r="AE223" i="16"/>
  <c r="AE221" i="16"/>
  <c r="AE219" i="16"/>
  <c r="AE217" i="16"/>
  <c r="AE215" i="16"/>
  <c r="AE213" i="16"/>
  <c r="AE211" i="16"/>
  <c r="AE209" i="16"/>
  <c r="AE207" i="16"/>
  <c r="AE205" i="16"/>
  <c r="AE203" i="16"/>
  <c r="AE201" i="16"/>
  <c r="AE199" i="16"/>
  <c r="AE197" i="16"/>
  <c r="AE195" i="16"/>
  <c r="AE193" i="16"/>
  <c r="AE191" i="16"/>
  <c r="AE189" i="16"/>
  <c r="AE187" i="16"/>
  <c r="AE185" i="16"/>
  <c r="AE183" i="16"/>
  <c r="AE181" i="16"/>
  <c r="AE179" i="16"/>
  <c r="AE177" i="16"/>
  <c r="AE175" i="16"/>
  <c r="AE173" i="16"/>
  <c r="AE171" i="16"/>
  <c r="AE169" i="16"/>
  <c r="AE167" i="16"/>
  <c r="AE165" i="16"/>
  <c r="AE163" i="16"/>
  <c r="AE161" i="16"/>
  <c r="AE159" i="16"/>
  <c r="AE157" i="16"/>
  <c r="AE155" i="16"/>
  <c r="AE153" i="16"/>
  <c r="AE151" i="16"/>
  <c r="AE149" i="16"/>
  <c r="AE147" i="16"/>
  <c r="AE145" i="16"/>
  <c r="AE143" i="16"/>
  <c r="AE141" i="16"/>
  <c r="AE139" i="16"/>
  <c r="AE137" i="16"/>
  <c r="AE135" i="16"/>
  <c r="AE133" i="16"/>
  <c r="AE131" i="16"/>
  <c r="AE129" i="16"/>
  <c r="AE127" i="16"/>
  <c r="AE125" i="16"/>
  <c r="AE123" i="16"/>
  <c r="AE121" i="16"/>
  <c r="AE119" i="16"/>
  <c r="AE117" i="16"/>
  <c r="AE115" i="16"/>
  <c r="AE113" i="16"/>
  <c r="AE111" i="16"/>
  <c r="AE109" i="16"/>
  <c r="AE107" i="16"/>
  <c r="AE105" i="16"/>
  <c r="AE103" i="16"/>
  <c r="AE101" i="16"/>
  <c r="AE99" i="16"/>
  <c r="AE97" i="16"/>
  <c r="AE95" i="16"/>
  <c r="AE93" i="16"/>
  <c r="AE91" i="16"/>
  <c r="AE89" i="16"/>
  <c r="AE87" i="16"/>
  <c r="AE85" i="16"/>
  <c r="AE83" i="16"/>
  <c r="AE81" i="16"/>
  <c r="AE79" i="16"/>
  <c r="AE77" i="16"/>
  <c r="AE75" i="16"/>
  <c r="AE73" i="16"/>
  <c r="AE71" i="16"/>
  <c r="AE69" i="16"/>
  <c r="AE67" i="16"/>
  <c r="AE65" i="16"/>
  <c r="AE63" i="16"/>
  <c r="AE61" i="16"/>
  <c r="AE59" i="16"/>
  <c r="AE57" i="16"/>
  <c r="AE55" i="16"/>
  <c r="AE53" i="16"/>
  <c r="AE51" i="16"/>
  <c r="AE49" i="16"/>
  <c r="AE47" i="16"/>
  <c r="AE45" i="16"/>
  <c r="AE43" i="16"/>
  <c r="AE41" i="16"/>
  <c r="AE39" i="16"/>
  <c r="AE37" i="16"/>
  <c r="AE35" i="16"/>
  <c r="AE33" i="16"/>
  <c r="AE31" i="16"/>
  <c r="AE29" i="16"/>
  <c r="AE27" i="16"/>
  <c r="AE25" i="16"/>
  <c r="AE23" i="16"/>
  <c r="AE21" i="16"/>
  <c r="AE19" i="16"/>
  <c r="AE17" i="16"/>
  <c r="AE15" i="16"/>
  <c r="AB377" i="24"/>
  <c r="L377" i="24"/>
  <c r="A378" i="24"/>
  <c r="AJ377" i="24"/>
  <c r="X377" i="24"/>
  <c r="K377" i="24"/>
  <c r="AK377" i="24"/>
  <c r="O377" i="24"/>
  <c r="AC377" i="24"/>
  <c r="AB379" i="22"/>
  <c r="K379" i="22"/>
  <c r="AJ379" i="22"/>
  <c r="X379" i="22"/>
  <c r="L379" i="22"/>
  <c r="B41" i="19" s="1"/>
  <c r="AK379" i="22"/>
  <c r="O379" i="22"/>
  <c r="AC379" i="22"/>
  <c r="J376" i="15"/>
  <c r="I376" i="15"/>
  <c r="I372" i="15"/>
  <c r="J372" i="15"/>
  <c r="I368" i="15"/>
  <c r="J368" i="15"/>
  <c r="J366" i="15"/>
  <c r="I366" i="15"/>
  <c r="J364" i="15"/>
  <c r="I364" i="15"/>
  <c r="F358" i="15"/>
  <c r="I356" i="15"/>
  <c r="J356" i="15"/>
  <c r="I352" i="15"/>
  <c r="J352" i="15"/>
  <c r="J344" i="15"/>
  <c r="I344" i="15"/>
  <c r="I340" i="15"/>
  <c r="J340" i="15"/>
  <c r="J328" i="15"/>
  <c r="I328" i="15"/>
  <c r="F324" i="15"/>
  <c r="I322" i="15"/>
  <c r="J322" i="15"/>
  <c r="J318" i="15"/>
  <c r="I318" i="15"/>
  <c r="I312" i="15"/>
  <c r="J312" i="15"/>
  <c r="J182" i="15"/>
  <c r="I182" i="15"/>
  <c r="J86" i="15"/>
  <c r="I86" i="15"/>
  <c r="J78" i="15"/>
  <c r="I78" i="15"/>
  <c r="J335" i="15"/>
  <c r="I335" i="15"/>
  <c r="I303" i="15"/>
  <c r="J303" i="15"/>
  <c r="J295" i="15"/>
  <c r="I295" i="15"/>
  <c r="I287" i="15"/>
  <c r="J287" i="15"/>
  <c r="I279" i="15"/>
  <c r="J279" i="15"/>
  <c r="I247" i="15"/>
  <c r="J247" i="15"/>
  <c r="J139" i="15"/>
  <c r="I139" i="15"/>
  <c r="I131" i="15"/>
  <c r="J131" i="15"/>
  <c r="J282" i="15"/>
  <c r="I282" i="15"/>
  <c r="J132" i="15"/>
  <c r="I132" i="15"/>
  <c r="J128" i="15"/>
  <c r="I128" i="15"/>
  <c r="I120" i="15"/>
  <c r="J120" i="15"/>
  <c r="I96" i="15"/>
  <c r="J96" i="15"/>
  <c r="AA62" i="15"/>
  <c r="Z62" i="15" s="1"/>
  <c r="Y62" i="15" s="1"/>
  <c r="H62" i="15"/>
  <c r="G62" i="15"/>
  <c r="BX62" i="6" s="1"/>
  <c r="H54" i="15"/>
  <c r="AA54" i="15"/>
  <c r="Z54" i="15" s="1"/>
  <c r="Y54" i="15" s="1"/>
  <c r="G54" i="15"/>
  <c r="BX54" i="6" s="1"/>
  <c r="AA42" i="15"/>
  <c r="Z42" i="15" s="1"/>
  <c r="Y42" i="15" s="1"/>
  <c r="H42" i="15"/>
  <c r="G42" i="15"/>
  <c r="BX42" i="6" s="1"/>
  <c r="I313" i="15"/>
  <c r="J313" i="15"/>
  <c r="I257" i="15"/>
  <c r="J257" i="15"/>
  <c r="I149" i="15"/>
  <c r="J149" i="15"/>
  <c r="J145" i="15"/>
  <c r="I145" i="15"/>
  <c r="J133" i="15"/>
  <c r="I133" i="15"/>
  <c r="I292" i="15"/>
  <c r="J292" i="15"/>
  <c r="J280" i="15"/>
  <c r="I280" i="15"/>
  <c r="J276" i="15"/>
  <c r="I276" i="15"/>
  <c r="I256" i="15"/>
  <c r="J256" i="15"/>
  <c r="I248" i="15"/>
  <c r="J248" i="15"/>
  <c r="I244" i="15"/>
  <c r="J244" i="15"/>
  <c r="J224" i="15"/>
  <c r="I224" i="15"/>
  <c r="J220" i="15"/>
  <c r="I220" i="15"/>
  <c r="I216" i="15"/>
  <c r="J216" i="15"/>
  <c r="J154" i="15"/>
  <c r="I154" i="15"/>
  <c r="I134" i="15"/>
  <c r="J134" i="15"/>
  <c r="I307" i="15"/>
  <c r="J307" i="15"/>
  <c r="J299" i="15"/>
  <c r="I299" i="15"/>
  <c r="I275" i="15"/>
  <c r="J275" i="15"/>
  <c r="I127" i="15"/>
  <c r="J127" i="15"/>
  <c r="J278" i="15"/>
  <c r="I278" i="15"/>
  <c r="I222" i="15"/>
  <c r="J168" i="15"/>
  <c r="I168" i="15"/>
  <c r="I164" i="15"/>
  <c r="J164" i="15"/>
  <c r="I160" i="15"/>
  <c r="J160" i="15"/>
  <c r="AG382" i="15"/>
  <c r="AF17" i="15"/>
  <c r="I200" i="15"/>
  <c r="J200" i="15"/>
  <c r="I192" i="15"/>
  <c r="J192" i="15"/>
  <c r="I184" i="15"/>
  <c r="J184" i="15"/>
  <c r="J80" i="15"/>
  <c r="I80" i="15"/>
  <c r="S382" i="15"/>
  <c r="S383" i="15"/>
  <c r="S381" i="15"/>
  <c r="R15" i="15"/>
  <c r="J371" i="15"/>
  <c r="I371" i="15"/>
  <c r="J369" i="15"/>
  <c r="I369" i="15"/>
  <c r="I237" i="15"/>
  <c r="J237" i="15"/>
  <c r="I231" i="15"/>
  <c r="J231" i="15"/>
  <c r="F227" i="15"/>
  <c r="J215" i="15"/>
  <c r="I215" i="15"/>
  <c r="I201" i="15"/>
  <c r="J201" i="15"/>
  <c r="J199" i="15"/>
  <c r="I199" i="15"/>
  <c r="F197" i="15"/>
  <c r="J191" i="15"/>
  <c r="I191" i="15"/>
  <c r="J179" i="15"/>
  <c r="I179" i="15"/>
  <c r="J175" i="15"/>
  <c r="I175" i="15"/>
  <c r="F171" i="15"/>
  <c r="I163" i="15"/>
  <c r="J163" i="15"/>
  <c r="J157" i="15"/>
  <c r="I157" i="15"/>
  <c r="J117" i="15"/>
  <c r="I117" i="15"/>
  <c r="J115" i="15"/>
  <c r="I115" i="15"/>
  <c r="J107" i="15"/>
  <c r="I107" i="15"/>
  <c r="F51" i="15"/>
  <c r="J49" i="15"/>
  <c r="I49" i="15"/>
  <c r="I41" i="15"/>
  <c r="J41" i="15"/>
  <c r="J37" i="15"/>
  <c r="I37" i="15"/>
  <c r="Q78" i="16"/>
  <c r="Q76" i="16"/>
  <c r="Q74" i="16"/>
  <c r="Q72" i="16"/>
  <c r="Q70" i="16"/>
  <c r="Q68" i="16"/>
  <c r="Q66" i="16"/>
  <c r="Q64" i="16"/>
  <c r="Q62" i="16"/>
  <c r="Q60" i="16"/>
  <c r="Q58" i="16"/>
  <c r="Q56" i="16"/>
  <c r="Q54" i="16"/>
  <c r="Q52" i="16"/>
  <c r="Q50" i="16"/>
  <c r="Q48" i="16"/>
  <c r="Q46" i="16"/>
  <c r="Q44" i="16"/>
  <c r="Q42" i="16"/>
  <c r="Q40" i="16"/>
  <c r="Q38" i="16"/>
  <c r="Q36" i="16"/>
  <c r="Q34" i="16"/>
  <c r="Q32" i="16"/>
  <c r="Q30" i="16"/>
  <c r="Q28" i="16"/>
  <c r="Q26" i="16"/>
  <c r="Q24" i="16"/>
  <c r="Q22" i="16"/>
  <c r="Q20" i="16"/>
  <c r="Q18" i="16"/>
  <c r="Q16" i="16"/>
  <c r="Q15" i="16"/>
  <c r="AE378" i="16"/>
  <c r="AE376" i="16"/>
  <c r="AE374" i="16"/>
  <c r="AE372" i="16"/>
  <c r="AE370" i="16"/>
  <c r="AE368" i="16"/>
  <c r="AE366" i="16"/>
  <c r="AE364" i="16"/>
  <c r="AE362" i="16"/>
  <c r="AE360" i="16"/>
  <c r="AE358" i="16"/>
  <c r="AE356" i="16"/>
  <c r="AE354" i="16"/>
  <c r="AE352" i="16"/>
  <c r="AE350" i="16"/>
  <c r="AE348" i="16"/>
  <c r="AE346" i="16"/>
  <c r="AE344" i="16"/>
  <c r="AE342" i="16"/>
  <c r="AE340" i="16"/>
  <c r="AE338" i="16"/>
  <c r="AE336" i="16"/>
  <c r="AE334" i="16"/>
  <c r="AE332" i="16"/>
  <c r="AE330" i="16"/>
  <c r="AE328" i="16"/>
  <c r="AE326" i="16"/>
  <c r="AE324" i="16"/>
  <c r="AE322" i="16"/>
  <c r="AE320" i="16"/>
  <c r="AE318" i="16"/>
  <c r="AE316" i="16"/>
  <c r="AE314" i="16"/>
  <c r="AE312" i="16"/>
  <c r="AE310" i="16"/>
  <c r="AE308" i="16"/>
  <c r="AE306" i="16"/>
  <c r="AE304" i="16"/>
  <c r="AE302" i="16"/>
  <c r="AE300" i="16"/>
  <c r="AE298" i="16"/>
  <c r="AE296" i="16"/>
  <c r="AE294" i="16"/>
  <c r="AE292" i="16"/>
  <c r="AE290" i="16"/>
  <c r="AE288" i="16"/>
  <c r="AE286" i="16"/>
  <c r="AE284" i="16"/>
  <c r="AE282" i="16"/>
  <c r="AE280" i="16"/>
  <c r="AE278" i="16"/>
  <c r="AE276" i="16"/>
  <c r="AE274" i="16"/>
  <c r="AE272" i="16"/>
  <c r="AE270" i="16"/>
  <c r="AE268" i="16"/>
  <c r="AE266" i="16"/>
  <c r="AE264" i="16"/>
  <c r="AE262" i="16"/>
  <c r="AE260" i="16"/>
  <c r="AE258" i="16"/>
  <c r="AE256" i="16"/>
  <c r="AE254" i="16"/>
  <c r="AE252" i="16"/>
  <c r="AE250" i="16"/>
  <c r="AE248" i="16"/>
  <c r="AE246" i="16"/>
  <c r="AE244" i="16"/>
  <c r="AE242" i="16"/>
  <c r="AE240" i="16"/>
  <c r="AE238" i="16"/>
  <c r="AE236" i="16"/>
  <c r="AE234" i="16"/>
  <c r="AE232" i="16"/>
  <c r="AE230" i="16"/>
  <c r="AE228" i="16"/>
  <c r="AE226" i="16"/>
  <c r="AE224" i="16"/>
  <c r="AE222" i="16"/>
  <c r="AE220" i="16"/>
  <c r="AE218" i="16"/>
  <c r="AE216" i="16"/>
  <c r="AE214" i="16"/>
  <c r="AE212" i="16"/>
  <c r="AE210" i="16"/>
  <c r="AE208" i="16"/>
  <c r="AE206" i="16"/>
  <c r="AE204" i="16"/>
  <c r="AE202" i="16"/>
  <c r="AE200" i="16"/>
  <c r="AE198" i="16"/>
  <c r="AE196" i="16"/>
  <c r="AE194" i="16"/>
  <c r="AE192" i="16"/>
  <c r="AE190" i="16"/>
  <c r="AE188" i="16"/>
  <c r="AE186" i="16"/>
  <c r="AE184" i="16"/>
  <c r="AE182" i="16"/>
  <c r="AE180" i="16"/>
  <c r="AE178" i="16"/>
  <c r="AE176" i="16"/>
  <c r="AE174" i="16"/>
  <c r="AE172" i="16"/>
  <c r="AE170" i="16"/>
  <c r="AE168" i="16"/>
  <c r="AE166" i="16"/>
  <c r="AE164" i="16"/>
  <c r="AE162" i="16"/>
  <c r="AE160" i="16"/>
  <c r="AE158" i="16"/>
  <c r="AE156" i="16"/>
  <c r="AE154" i="16"/>
  <c r="AE152" i="16"/>
  <c r="AE150" i="16"/>
  <c r="AE148" i="16"/>
  <c r="AE146" i="16"/>
  <c r="AE144" i="16"/>
  <c r="AE142" i="16"/>
  <c r="AE140" i="16"/>
  <c r="AE138" i="16"/>
  <c r="AE136" i="16"/>
  <c r="AE134" i="16"/>
  <c r="AE132" i="16"/>
  <c r="AE130" i="16"/>
  <c r="AE128" i="16"/>
  <c r="AE126" i="16"/>
  <c r="AE124" i="16"/>
  <c r="AE122" i="16"/>
  <c r="AE120" i="16"/>
  <c r="AE118" i="16"/>
  <c r="AE116" i="16"/>
  <c r="AE114" i="16"/>
  <c r="AE112" i="16"/>
  <c r="AE110" i="16"/>
  <c r="AE108" i="16"/>
  <c r="AE106" i="16"/>
  <c r="AE104" i="16"/>
  <c r="AE102" i="16"/>
  <c r="AE100" i="16"/>
  <c r="AE98" i="16"/>
  <c r="AE96" i="16"/>
  <c r="AE94" i="16"/>
  <c r="AE92" i="16"/>
  <c r="AE90" i="16"/>
  <c r="AE88" i="16"/>
  <c r="AE86" i="16"/>
  <c r="AE84" i="16"/>
  <c r="AE82" i="16"/>
  <c r="AE80" i="16"/>
  <c r="AE78" i="16"/>
  <c r="AE76" i="16"/>
  <c r="AE74" i="16"/>
  <c r="AE72" i="16"/>
  <c r="AE70" i="16"/>
  <c r="AE68" i="16"/>
  <c r="AE66" i="16"/>
  <c r="AE64" i="16"/>
  <c r="AE62" i="16"/>
  <c r="AE60" i="16"/>
  <c r="AE58" i="16"/>
  <c r="AE56" i="16"/>
  <c r="AE54" i="16"/>
  <c r="AE52" i="16"/>
  <c r="AE50" i="16"/>
  <c r="AE48" i="16"/>
  <c r="AE46" i="16"/>
  <c r="AE44" i="16"/>
  <c r="AE42" i="16"/>
  <c r="AE40" i="16"/>
  <c r="AE38" i="16"/>
  <c r="AE36" i="16"/>
  <c r="AE34" i="16"/>
  <c r="AE32" i="16"/>
  <c r="AE30" i="16"/>
  <c r="AE28" i="16"/>
  <c r="AE26" i="16"/>
  <c r="AE24" i="16"/>
  <c r="AE22" i="16"/>
  <c r="AE20" i="16"/>
  <c r="AE18" i="16"/>
  <c r="AE16" i="16"/>
  <c r="A377" i="25"/>
  <c r="X376" i="25"/>
  <c r="L376" i="25"/>
  <c r="K376" i="25"/>
  <c r="AB376" i="25"/>
  <c r="AJ376" i="25"/>
  <c r="O376" i="25"/>
  <c r="AK376" i="25"/>
  <c r="AC376" i="25"/>
  <c r="I378" i="15"/>
  <c r="J378" i="15"/>
  <c r="AA362" i="15"/>
  <c r="Z362" i="15" s="1"/>
  <c r="Y362" i="15" s="1"/>
  <c r="H362" i="15"/>
  <c r="G362" i="15"/>
  <c r="BX362" i="6" s="1"/>
  <c r="I360" i="15"/>
  <c r="J360" i="15"/>
  <c r="J350" i="15"/>
  <c r="I350" i="15"/>
  <c r="I348" i="15"/>
  <c r="J348" i="15"/>
  <c r="J336" i="15"/>
  <c r="I336" i="15"/>
  <c r="J334" i="15"/>
  <c r="I334" i="15"/>
  <c r="I332" i="15"/>
  <c r="J332" i="15"/>
  <c r="J330" i="15"/>
  <c r="I330" i="15"/>
  <c r="J320" i="15"/>
  <c r="I320" i="15"/>
  <c r="I308" i="15"/>
  <c r="J308" i="15"/>
  <c r="I304" i="15"/>
  <c r="J304" i="15"/>
  <c r="I198" i="15"/>
  <c r="J198" i="15"/>
  <c r="J82" i="15"/>
  <c r="I82" i="15"/>
  <c r="I66" i="15"/>
  <c r="J66" i="15"/>
  <c r="G18" i="15"/>
  <c r="BX18" i="6" s="1"/>
  <c r="AA18" i="15"/>
  <c r="Z18" i="15" s="1"/>
  <c r="Y18" i="15" s="1"/>
  <c r="H18" i="15"/>
  <c r="H17" i="15"/>
  <c r="G17" i="15"/>
  <c r="BX17" i="6" s="1"/>
  <c r="I359" i="15"/>
  <c r="J359" i="15"/>
  <c r="I343" i="15"/>
  <c r="J343" i="15"/>
  <c r="J327" i="15"/>
  <c r="I327" i="15"/>
  <c r="I311" i="15"/>
  <c r="J311" i="15"/>
  <c r="J255" i="15"/>
  <c r="I255" i="15"/>
  <c r="J147" i="15"/>
  <c r="I147" i="15"/>
  <c r="J286" i="15"/>
  <c r="I286" i="15"/>
  <c r="I226" i="15"/>
  <c r="J226" i="15"/>
  <c r="I176" i="15"/>
  <c r="J176" i="15"/>
  <c r="J172" i="15"/>
  <c r="I172" i="15"/>
  <c r="J148" i="15"/>
  <c r="I148" i="15"/>
  <c r="I112" i="15"/>
  <c r="J112" i="15"/>
  <c r="J104" i="15"/>
  <c r="I104" i="15"/>
  <c r="J361" i="15"/>
  <c r="I361" i="15"/>
  <c r="J337" i="15"/>
  <c r="I337" i="15"/>
  <c r="J309" i="15"/>
  <c r="I309" i="15"/>
  <c r="J305" i="15"/>
  <c r="I305" i="15"/>
  <c r="J285" i="15"/>
  <c r="I285" i="15"/>
  <c r="J281" i="15"/>
  <c r="I281" i="15"/>
  <c r="J245" i="15"/>
  <c r="I245" i="15"/>
  <c r="J141" i="15"/>
  <c r="I141" i="15"/>
  <c r="I137" i="15"/>
  <c r="J137" i="15"/>
  <c r="J125" i="15"/>
  <c r="I125" i="15"/>
  <c r="J300" i="15"/>
  <c r="I300" i="15"/>
  <c r="I268" i="15"/>
  <c r="J268" i="15"/>
  <c r="F264" i="15"/>
  <c r="I260" i="15"/>
  <c r="J260" i="15"/>
  <c r="J252" i="15"/>
  <c r="I252" i="15"/>
  <c r="I240" i="15"/>
  <c r="J240" i="15"/>
  <c r="J236" i="15"/>
  <c r="I236" i="15"/>
  <c r="J232" i="15"/>
  <c r="I232" i="15"/>
  <c r="J228" i="15"/>
  <c r="I228" i="15"/>
  <c r="I212" i="15"/>
  <c r="J212" i="15"/>
  <c r="J174" i="15"/>
  <c r="I174" i="15"/>
  <c r="J170" i="15"/>
  <c r="I170" i="15"/>
  <c r="J166" i="15"/>
  <c r="I166" i="15"/>
  <c r="J158" i="15"/>
  <c r="I158" i="15"/>
  <c r="J150" i="15"/>
  <c r="I150" i="15"/>
  <c r="J126" i="15"/>
  <c r="I126" i="15"/>
  <c r="J118" i="15"/>
  <c r="I118" i="15"/>
  <c r="I106" i="15"/>
  <c r="J106" i="15"/>
  <c r="I102" i="15"/>
  <c r="J102" i="15"/>
  <c r="J94" i="15"/>
  <c r="I94" i="15"/>
  <c r="AA30" i="15"/>
  <c r="Z30" i="15" s="1"/>
  <c r="Y30" i="15" s="1"/>
  <c r="G30" i="15"/>
  <c r="BX30" i="6" s="1"/>
  <c r="H30" i="15"/>
  <c r="G64" i="15"/>
  <c r="BX64" i="6" s="1"/>
  <c r="AA64" i="15"/>
  <c r="Z64" i="15" s="1"/>
  <c r="Y64" i="15" s="1"/>
  <c r="H64" i="15"/>
  <c r="AA60" i="15"/>
  <c r="Z60" i="15" s="1"/>
  <c r="Y60" i="15" s="1"/>
  <c r="H60" i="15"/>
  <c r="G60" i="15"/>
  <c r="BX60" i="6" s="1"/>
  <c r="I315" i="15"/>
  <c r="J315" i="15"/>
  <c r="J267" i="15"/>
  <c r="I267" i="15"/>
  <c r="I294" i="15"/>
  <c r="J294" i="15"/>
  <c r="J152" i="15"/>
  <c r="I152" i="15"/>
  <c r="I144" i="15"/>
  <c r="J144" i="15"/>
  <c r="J100" i="15"/>
  <c r="I100" i="15"/>
  <c r="U83" i="16" l="1"/>
  <c r="T83" i="16" s="1"/>
  <c r="S83" i="16" s="1"/>
  <c r="R83" i="16" s="1"/>
  <c r="U67" i="16"/>
  <c r="T67" i="16" s="1"/>
  <c r="S67" i="16" s="1"/>
  <c r="R67" i="16" s="1"/>
  <c r="U51" i="16"/>
  <c r="T51" i="16" s="1"/>
  <c r="S51" i="16" s="1"/>
  <c r="R51" i="16" s="1"/>
  <c r="U35" i="16"/>
  <c r="T35" i="16" s="1"/>
  <c r="S35" i="16" s="1"/>
  <c r="R35" i="16" s="1"/>
  <c r="U19" i="16"/>
  <c r="T19" i="16" s="1"/>
  <c r="S19" i="16" s="1"/>
  <c r="R19" i="16" s="1"/>
  <c r="U40" i="16"/>
  <c r="T40" i="16" s="1"/>
  <c r="S40" i="16" s="1"/>
  <c r="R40" i="16" s="1"/>
  <c r="U98" i="16"/>
  <c r="T98" i="16" s="1"/>
  <c r="S98" i="16" s="1"/>
  <c r="R98" i="16" s="1"/>
  <c r="U130" i="16"/>
  <c r="T130" i="16" s="1"/>
  <c r="S130" i="16" s="1"/>
  <c r="R130" i="16" s="1"/>
  <c r="U162" i="16"/>
  <c r="T162" i="16" s="1"/>
  <c r="S162" i="16" s="1"/>
  <c r="R162" i="16" s="1"/>
  <c r="U194" i="16"/>
  <c r="T194" i="16" s="1"/>
  <c r="S194" i="16" s="1"/>
  <c r="R194" i="16" s="1"/>
  <c r="U226" i="16"/>
  <c r="T226" i="16" s="1"/>
  <c r="S226" i="16" s="1"/>
  <c r="R226" i="16" s="1"/>
  <c r="U258" i="16"/>
  <c r="T258" i="16" s="1"/>
  <c r="S258" i="16" s="1"/>
  <c r="R258" i="16" s="1"/>
  <c r="U290" i="16"/>
  <c r="T290" i="16" s="1"/>
  <c r="S290" i="16" s="1"/>
  <c r="R290" i="16" s="1"/>
  <c r="U289" i="16"/>
  <c r="T289" i="16" s="1"/>
  <c r="S289" i="16" s="1"/>
  <c r="R289" i="16" s="1"/>
  <c r="U273" i="16"/>
  <c r="T273" i="16" s="1"/>
  <c r="S273" i="16" s="1"/>
  <c r="R273" i="16" s="1"/>
  <c r="U245" i="16"/>
  <c r="T245" i="16" s="1"/>
  <c r="S245" i="16" s="1"/>
  <c r="R245" i="16" s="1"/>
  <c r="U213" i="16"/>
  <c r="T213" i="16" s="1"/>
  <c r="S213" i="16" s="1"/>
  <c r="R213" i="16" s="1"/>
  <c r="U181" i="16"/>
  <c r="T181" i="16" s="1"/>
  <c r="S181" i="16" s="1"/>
  <c r="R181" i="16" s="1"/>
  <c r="U149" i="16"/>
  <c r="T149" i="16" s="1"/>
  <c r="S149" i="16" s="1"/>
  <c r="R149" i="16" s="1"/>
  <c r="U117" i="16"/>
  <c r="T117" i="16" s="1"/>
  <c r="S117" i="16" s="1"/>
  <c r="R117" i="16" s="1"/>
  <c r="U78" i="16"/>
  <c r="T78" i="16" s="1"/>
  <c r="S78" i="16" s="1"/>
  <c r="R78" i="16" s="1"/>
  <c r="AI191" i="16"/>
  <c r="AH191" i="16" s="1"/>
  <c r="AG191" i="16" s="1"/>
  <c r="AF191" i="16" s="1"/>
  <c r="AI159" i="16"/>
  <c r="AH159" i="16" s="1"/>
  <c r="AG159" i="16" s="1"/>
  <c r="AF159" i="16" s="1"/>
  <c r="AI127" i="16"/>
  <c r="AH127" i="16" s="1"/>
  <c r="AG127" i="16" s="1"/>
  <c r="AF127" i="16" s="1"/>
  <c r="AI95" i="16"/>
  <c r="AH95" i="16" s="1"/>
  <c r="AG95" i="16" s="1"/>
  <c r="AF95" i="16" s="1"/>
  <c r="AI15" i="16"/>
  <c r="AH15" i="16" s="1"/>
  <c r="AI23" i="16"/>
  <c r="AH23" i="16" s="1"/>
  <c r="AG23" i="16" s="1"/>
  <c r="AF23" i="16" s="1"/>
  <c r="AI58" i="16"/>
  <c r="AH58" i="16" s="1"/>
  <c r="AG58" i="16" s="1"/>
  <c r="AF58" i="16" s="1"/>
  <c r="AI196" i="16"/>
  <c r="AH196" i="16" s="1"/>
  <c r="AG196" i="16" s="1"/>
  <c r="AF196" i="16" s="1"/>
  <c r="AI260" i="16"/>
  <c r="AH260" i="16" s="1"/>
  <c r="AG260" i="16" s="1"/>
  <c r="AF260" i="16" s="1"/>
  <c r="AI324" i="16"/>
  <c r="AH324" i="16" s="1"/>
  <c r="AG324" i="16" s="1"/>
  <c r="AF324" i="16" s="1"/>
  <c r="U349" i="16"/>
  <c r="T349" i="16" s="1"/>
  <c r="S349" i="16" s="1"/>
  <c r="R349" i="16" s="1"/>
  <c r="U240" i="16"/>
  <c r="T240" i="16" s="1"/>
  <c r="S240" i="16" s="1"/>
  <c r="R240" i="16" s="1"/>
  <c r="AI285" i="16"/>
  <c r="AH285" i="16" s="1"/>
  <c r="AG285" i="16" s="1"/>
  <c r="AF285" i="16" s="1"/>
  <c r="U124" i="16"/>
  <c r="T124" i="16" s="1"/>
  <c r="S124" i="16" s="1"/>
  <c r="R124" i="16" s="1"/>
  <c r="U44" i="16"/>
  <c r="T44" i="16" s="1"/>
  <c r="S44" i="16" s="1"/>
  <c r="R44" i="16" s="1"/>
  <c r="U306" i="16"/>
  <c r="T306" i="16" s="1"/>
  <c r="S306" i="16" s="1"/>
  <c r="R306" i="16" s="1"/>
  <c r="U370" i="16"/>
  <c r="T370" i="16" s="1"/>
  <c r="S370" i="16" s="1"/>
  <c r="R370" i="16" s="1"/>
  <c r="AI199" i="16"/>
  <c r="AH199" i="16" s="1"/>
  <c r="AG199" i="16" s="1"/>
  <c r="AF199" i="16" s="1"/>
  <c r="AI263" i="16"/>
  <c r="AH263" i="16" s="1"/>
  <c r="AG263" i="16" s="1"/>
  <c r="AF263" i="16" s="1"/>
  <c r="AI327" i="16"/>
  <c r="AH327" i="16" s="1"/>
  <c r="AG327" i="16" s="1"/>
  <c r="AF327" i="16" s="1"/>
  <c r="AI313" i="16"/>
  <c r="AH313" i="16" s="1"/>
  <c r="AG313" i="16" s="1"/>
  <c r="AF313" i="16" s="1"/>
  <c r="AI178" i="16"/>
  <c r="AH178" i="16" s="1"/>
  <c r="AG178" i="16" s="1"/>
  <c r="AF178" i="16" s="1"/>
  <c r="U332" i="16"/>
  <c r="T332" i="16" s="1"/>
  <c r="S332" i="16" s="1"/>
  <c r="R332" i="16" s="1"/>
  <c r="U68" i="16"/>
  <c r="T68" i="16" s="1"/>
  <c r="S68" i="16" s="1"/>
  <c r="R68" i="16" s="1"/>
  <c r="U144" i="16"/>
  <c r="T144" i="16" s="1"/>
  <c r="S144" i="16" s="1"/>
  <c r="R144" i="16" s="1"/>
  <c r="U208" i="16"/>
  <c r="T208" i="16" s="1"/>
  <c r="S208" i="16" s="1"/>
  <c r="R208" i="16" s="1"/>
  <c r="U272" i="16"/>
  <c r="T272" i="16" s="1"/>
  <c r="S272" i="16" s="1"/>
  <c r="R272" i="16" s="1"/>
  <c r="U309" i="16"/>
  <c r="T309" i="16" s="1"/>
  <c r="S309" i="16" s="1"/>
  <c r="R309" i="16" s="1"/>
  <c r="U325" i="16"/>
  <c r="T325" i="16" s="1"/>
  <c r="S325" i="16" s="1"/>
  <c r="R325" i="16" s="1"/>
  <c r="U341" i="16"/>
  <c r="T341" i="16" s="1"/>
  <c r="S341" i="16" s="1"/>
  <c r="R341" i="16" s="1"/>
  <c r="U357" i="16"/>
  <c r="T357" i="16" s="1"/>
  <c r="S357" i="16" s="1"/>
  <c r="R357" i="16" s="1"/>
  <c r="U373" i="16"/>
  <c r="T373" i="16" s="1"/>
  <c r="S373" i="16" s="1"/>
  <c r="R373" i="16" s="1"/>
  <c r="AI86" i="16"/>
  <c r="AH86" i="16" s="1"/>
  <c r="AG86" i="16" s="1"/>
  <c r="AF86" i="16" s="1"/>
  <c r="AI364" i="16"/>
  <c r="AH364" i="16" s="1"/>
  <c r="AG364" i="16" s="1"/>
  <c r="AF364" i="16" s="1"/>
  <c r="AI348" i="16"/>
  <c r="AH348" i="16" s="1"/>
  <c r="AG348" i="16" s="1"/>
  <c r="AF348" i="16" s="1"/>
  <c r="AI332" i="16"/>
  <c r="AH332" i="16" s="1"/>
  <c r="AG332" i="16" s="1"/>
  <c r="AF332" i="16" s="1"/>
  <c r="AI316" i="16"/>
  <c r="AH316" i="16" s="1"/>
  <c r="AG316" i="16" s="1"/>
  <c r="AF316" i="16" s="1"/>
  <c r="AI300" i="16"/>
  <c r="AH300" i="16" s="1"/>
  <c r="AG300" i="16" s="1"/>
  <c r="AF300" i="16" s="1"/>
  <c r="AI284" i="16"/>
  <c r="AH284" i="16" s="1"/>
  <c r="AG284" i="16" s="1"/>
  <c r="AF284" i="16" s="1"/>
  <c r="AI268" i="16"/>
  <c r="AH268" i="16" s="1"/>
  <c r="AG268" i="16" s="1"/>
  <c r="AF268" i="16" s="1"/>
  <c r="AI252" i="16"/>
  <c r="AH252" i="16" s="1"/>
  <c r="AG252" i="16" s="1"/>
  <c r="AF252" i="16" s="1"/>
  <c r="AI236" i="16"/>
  <c r="AH236" i="16" s="1"/>
  <c r="AG236" i="16" s="1"/>
  <c r="AF236" i="16" s="1"/>
  <c r="AI220" i="16"/>
  <c r="AH220" i="16" s="1"/>
  <c r="AG220" i="16" s="1"/>
  <c r="AF220" i="16" s="1"/>
  <c r="AI204" i="16"/>
  <c r="AH204" i="16" s="1"/>
  <c r="AG204" i="16" s="1"/>
  <c r="AF204" i="16" s="1"/>
  <c r="AI184" i="16"/>
  <c r="AH184" i="16" s="1"/>
  <c r="AG184" i="16" s="1"/>
  <c r="AF184" i="16" s="1"/>
  <c r="AI152" i="16"/>
  <c r="AH152" i="16" s="1"/>
  <c r="AG152" i="16" s="1"/>
  <c r="AF152" i="16" s="1"/>
  <c r="AI120" i="16"/>
  <c r="AH120" i="16" s="1"/>
  <c r="AG120" i="16" s="1"/>
  <c r="AF120" i="16" s="1"/>
  <c r="AI88" i="16"/>
  <c r="AH88" i="16" s="1"/>
  <c r="AG88" i="16" s="1"/>
  <c r="AF88" i="16" s="1"/>
  <c r="AI26" i="16"/>
  <c r="AH26" i="16" s="1"/>
  <c r="AG26" i="16" s="1"/>
  <c r="AF26" i="16" s="1"/>
  <c r="AI18" i="16"/>
  <c r="AH18" i="16" s="1"/>
  <c r="AG18" i="16" s="1"/>
  <c r="AF18" i="16" s="1"/>
  <c r="AI31" i="16"/>
  <c r="AH31" i="16" s="1"/>
  <c r="AG31" i="16" s="1"/>
  <c r="AF31" i="16" s="1"/>
  <c r="AI47" i="16"/>
  <c r="AH47" i="16" s="1"/>
  <c r="AG47" i="16" s="1"/>
  <c r="AF47" i="16" s="1"/>
  <c r="AI63" i="16"/>
  <c r="AH63" i="16" s="1"/>
  <c r="AG63" i="16" s="1"/>
  <c r="AF63" i="16" s="1"/>
  <c r="AI79" i="16"/>
  <c r="AH79" i="16" s="1"/>
  <c r="AG79" i="16" s="1"/>
  <c r="AF79" i="16" s="1"/>
  <c r="AI32" i="16"/>
  <c r="AH32" i="16" s="1"/>
  <c r="AG32" i="16" s="1"/>
  <c r="AF32" i="16" s="1"/>
  <c r="AI64" i="16"/>
  <c r="AH64" i="16" s="1"/>
  <c r="AG64" i="16" s="1"/>
  <c r="AF64" i="16" s="1"/>
  <c r="AI80" i="16"/>
  <c r="AH80" i="16" s="1"/>
  <c r="AG80" i="16" s="1"/>
  <c r="AF80" i="16" s="1"/>
  <c r="AI91" i="16"/>
  <c r="AH91" i="16" s="1"/>
  <c r="AG91" i="16" s="1"/>
  <c r="AF91" i="16" s="1"/>
  <c r="AI99" i="16"/>
  <c r="AH99" i="16" s="1"/>
  <c r="AG99" i="16" s="1"/>
  <c r="AF99" i="16" s="1"/>
  <c r="AI107" i="16"/>
  <c r="AH107" i="16" s="1"/>
  <c r="AG107" i="16" s="1"/>
  <c r="AF107" i="16" s="1"/>
  <c r="AI115" i="16"/>
  <c r="AH115" i="16" s="1"/>
  <c r="AG115" i="16" s="1"/>
  <c r="AF115" i="16" s="1"/>
  <c r="AI123" i="16"/>
  <c r="AH123" i="16" s="1"/>
  <c r="AG123" i="16" s="1"/>
  <c r="AF123" i="16" s="1"/>
  <c r="AI131" i="16"/>
  <c r="AH131" i="16" s="1"/>
  <c r="AG131" i="16" s="1"/>
  <c r="AF131" i="16" s="1"/>
  <c r="AI139" i="16"/>
  <c r="AH139" i="16" s="1"/>
  <c r="AG139" i="16" s="1"/>
  <c r="AF139" i="16" s="1"/>
  <c r="AI147" i="16"/>
  <c r="AH147" i="16" s="1"/>
  <c r="AG147" i="16" s="1"/>
  <c r="AF147" i="16" s="1"/>
  <c r="AI155" i="16"/>
  <c r="AH155" i="16" s="1"/>
  <c r="AG155" i="16" s="1"/>
  <c r="AF155" i="16" s="1"/>
  <c r="AI163" i="16"/>
  <c r="AH163" i="16" s="1"/>
  <c r="AG163" i="16" s="1"/>
  <c r="AF163" i="16" s="1"/>
  <c r="AI171" i="16"/>
  <c r="AH171" i="16" s="1"/>
  <c r="AG171" i="16" s="1"/>
  <c r="AF171" i="16" s="1"/>
  <c r="AI179" i="16"/>
  <c r="AH179" i="16" s="1"/>
  <c r="AG179" i="16" s="1"/>
  <c r="AF179" i="16" s="1"/>
  <c r="AI187" i="16"/>
  <c r="AH187" i="16" s="1"/>
  <c r="AG187" i="16" s="1"/>
  <c r="AF187" i="16" s="1"/>
  <c r="U22" i="16"/>
  <c r="T22" i="16" s="1"/>
  <c r="S22" i="16" s="1"/>
  <c r="R22" i="16" s="1"/>
  <c r="U38" i="16"/>
  <c r="T38" i="16" s="1"/>
  <c r="S38" i="16" s="1"/>
  <c r="R38" i="16" s="1"/>
  <c r="U54" i="16"/>
  <c r="T54" i="16" s="1"/>
  <c r="S54" i="16" s="1"/>
  <c r="R54" i="16" s="1"/>
  <c r="U70" i="16"/>
  <c r="T70" i="16" s="1"/>
  <c r="S70" i="16" s="1"/>
  <c r="R70" i="16" s="1"/>
  <c r="U86" i="16"/>
  <c r="T86" i="16" s="1"/>
  <c r="S86" i="16" s="1"/>
  <c r="R86" i="16" s="1"/>
  <c r="U97" i="16"/>
  <c r="T97" i="16" s="1"/>
  <c r="S97" i="16" s="1"/>
  <c r="R97" i="16" s="1"/>
  <c r="U105" i="16"/>
  <c r="T105" i="16" s="1"/>
  <c r="S105" i="16" s="1"/>
  <c r="R105" i="16" s="1"/>
  <c r="U113" i="16"/>
  <c r="T113" i="16" s="1"/>
  <c r="S113" i="16" s="1"/>
  <c r="R113" i="16" s="1"/>
  <c r="U121" i="16"/>
  <c r="T121" i="16" s="1"/>
  <c r="S121" i="16" s="1"/>
  <c r="R121" i="16" s="1"/>
  <c r="U129" i="16"/>
  <c r="T129" i="16" s="1"/>
  <c r="S129" i="16" s="1"/>
  <c r="R129" i="16" s="1"/>
  <c r="U137" i="16"/>
  <c r="T137" i="16" s="1"/>
  <c r="S137" i="16" s="1"/>
  <c r="R137" i="16" s="1"/>
  <c r="U145" i="16"/>
  <c r="T145" i="16" s="1"/>
  <c r="S145" i="16" s="1"/>
  <c r="R145" i="16" s="1"/>
  <c r="U153" i="16"/>
  <c r="T153" i="16" s="1"/>
  <c r="S153" i="16" s="1"/>
  <c r="R153" i="16" s="1"/>
  <c r="U161" i="16"/>
  <c r="T161" i="16" s="1"/>
  <c r="S161" i="16" s="1"/>
  <c r="R161" i="16" s="1"/>
  <c r="U169" i="16"/>
  <c r="T169" i="16" s="1"/>
  <c r="S169" i="16" s="1"/>
  <c r="R169" i="16" s="1"/>
  <c r="P169" i="16" s="1"/>
  <c r="V169" i="16" s="1"/>
  <c r="U177" i="16"/>
  <c r="T177" i="16" s="1"/>
  <c r="S177" i="16" s="1"/>
  <c r="R177" i="16" s="1"/>
  <c r="U185" i="16"/>
  <c r="T185" i="16" s="1"/>
  <c r="S185" i="16" s="1"/>
  <c r="R185" i="16" s="1"/>
  <c r="U193" i="16"/>
  <c r="T193" i="16" s="1"/>
  <c r="S193" i="16" s="1"/>
  <c r="R193" i="16" s="1"/>
  <c r="U201" i="16"/>
  <c r="T201" i="16" s="1"/>
  <c r="S201" i="16" s="1"/>
  <c r="R201" i="16" s="1"/>
  <c r="U209" i="16"/>
  <c r="T209" i="16" s="1"/>
  <c r="S209" i="16" s="1"/>
  <c r="R209" i="16" s="1"/>
  <c r="U217" i="16"/>
  <c r="T217" i="16" s="1"/>
  <c r="S217" i="16" s="1"/>
  <c r="R217" i="16" s="1"/>
  <c r="U225" i="16"/>
  <c r="T225" i="16" s="1"/>
  <c r="S225" i="16" s="1"/>
  <c r="R225" i="16" s="1"/>
  <c r="U233" i="16"/>
  <c r="T233" i="16" s="1"/>
  <c r="S233" i="16" s="1"/>
  <c r="R233" i="16" s="1"/>
  <c r="U241" i="16"/>
  <c r="T241" i="16" s="1"/>
  <c r="S241" i="16" s="1"/>
  <c r="R241" i="16" s="1"/>
  <c r="U249" i="16"/>
  <c r="T249" i="16" s="1"/>
  <c r="S249" i="16" s="1"/>
  <c r="R249" i="16" s="1"/>
  <c r="U257" i="16"/>
  <c r="T257" i="16" s="1"/>
  <c r="S257" i="16" s="1"/>
  <c r="R257" i="16" s="1"/>
  <c r="U265" i="16"/>
  <c r="T265" i="16" s="1"/>
  <c r="S265" i="16" s="1"/>
  <c r="R265" i="16" s="1"/>
  <c r="AD199" i="16"/>
  <c r="AD231" i="16"/>
  <c r="AD375" i="16"/>
  <c r="P117" i="16"/>
  <c r="H62" i="19"/>
  <c r="U87" i="16"/>
  <c r="T87" i="16" s="1"/>
  <c r="S87" i="16" s="1"/>
  <c r="R87" i="16" s="1"/>
  <c r="U79" i="16"/>
  <c r="T79" i="16" s="1"/>
  <c r="S79" i="16" s="1"/>
  <c r="R79" i="16" s="1"/>
  <c r="U71" i="16"/>
  <c r="T71" i="16" s="1"/>
  <c r="S71" i="16" s="1"/>
  <c r="R71" i="16" s="1"/>
  <c r="U63" i="16"/>
  <c r="T63" i="16" s="1"/>
  <c r="S63" i="16" s="1"/>
  <c r="R63" i="16" s="1"/>
  <c r="U55" i="16"/>
  <c r="T55" i="16" s="1"/>
  <c r="S55" i="16" s="1"/>
  <c r="R55" i="16" s="1"/>
  <c r="U47" i="16"/>
  <c r="T47" i="16" s="1"/>
  <c r="S47" i="16" s="1"/>
  <c r="R47" i="16" s="1"/>
  <c r="U39" i="16"/>
  <c r="T39" i="16" s="1"/>
  <c r="S39" i="16" s="1"/>
  <c r="R39" i="16" s="1"/>
  <c r="U31" i="16"/>
  <c r="T31" i="16" s="1"/>
  <c r="S31" i="16" s="1"/>
  <c r="R31" i="16" s="1"/>
  <c r="U23" i="16"/>
  <c r="T23" i="16" s="1"/>
  <c r="S23" i="16" s="1"/>
  <c r="R23" i="16" s="1"/>
  <c r="U15" i="16"/>
  <c r="U24" i="16"/>
  <c r="T24" i="16" s="1"/>
  <c r="S24" i="16" s="1"/>
  <c r="R24" i="16" s="1"/>
  <c r="U56" i="16"/>
  <c r="T56" i="16" s="1"/>
  <c r="S56" i="16" s="1"/>
  <c r="R56" i="16" s="1"/>
  <c r="U88" i="16"/>
  <c r="T88" i="16" s="1"/>
  <c r="S88" i="16" s="1"/>
  <c r="R88" i="16" s="1"/>
  <c r="U106" i="16"/>
  <c r="T106" i="16" s="1"/>
  <c r="S106" i="16" s="1"/>
  <c r="R106" i="16" s="1"/>
  <c r="U122" i="16"/>
  <c r="T122" i="16" s="1"/>
  <c r="S122" i="16" s="1"/>
  <c r="R122" i="16" s="1"/>
  <c r="U138" i="16"/>
  <c r="T138" i="16" s="1"/>
  <c r="S138" i="16" s="1"/>
  <c r="R138" i="16" s="1"/>
  <c r="U154" i="16"/>
  <c r="T154" i="16" s="1"/>
  <c r="S154" i="16" s="1"/>
  <c r="R154" i="16" s="1"/>
  <c r="U170" i="16"/>
  <c r="T170" i="16" s="1"/>
  <c r="S170" i="16" s="1"/>
  <c r="R170" i="16" s="1"/>
  <c r="U186" i="16"/>
  <c r="T186" i="16" s="1"/>
  <c r="S186" i="16" s="1"/>
  <c r="R186" i="16" s="1"/>
  <c r="U202" i="16"/>
  <c r="T202" i="16" s="1"/>
  <c r="S202" i="16" s="1"/>
  <c r="R202" i="16" s="1"/>
  <c r="U218" i="16"/>
  <c r="T218" i="16" s="1"/>
  <c r="S218" i="16" s="1"/>
  <c r="R218" i="16" s="1"/>
  <c r="U234" i="16"/>
  <c r="T234" i="16" s="1"/>
  <c r="S234" i="16" s="1"/>
  <c r="R234" i="16" s="1"/>
  <c r="U250" i="16"/>
  <c r="T250" i="16" s="1"/>
  <c r="S250" i="16" s="1"/>
  <c r="R250" i="16" s="1"/>
  <c r="U266" i="16"/>
  <c r="T266" i="16" s="1"/>
  <c r="S266" i="16" s="1"/>
  <c r="R266" i="16" s="1"/>
  <c r="U282" i="16"/>
  <c r="T282" i="16" s="1"/>
  <c r="S282" i="16" s="1"/>
  <c r="R282" i="16" s="1"/>
  <c r="U301" i="16"/>
  <c r="T301" i="16" s="1"/>
  <c r="S301" i="16" s="1"/>
  <c r="R301" i="16" s="1"/>
  <c r="U293" i="16"/>
  <c r="T293" i="16" s="1"/>
  <c r="S293" i="16" s="1"/>
  <c r="R293" i="16" s="1"/>
  <c r="U285" i="16"/>
  <c r="T285" i="16" s="1"/>
  <c r="S285" i="16" s="1"/>
  <c r="R285" i="16" s="1"/>
  <c r="U277" i="16"/>
  <c r="T277" i="16" s="1"/>
  <c r="S277" i="16" s="1"/>
  <c r="R277" i="16" s="1"/>
  <c r="U269" i="16"/>
  <c r="T269" i="16" s="1"/>
  <c r="S269" i="16" s="1"/>
  <c r="R269" i="16" s="1"/>
  <c r="U253" i="16"/>
  <c r="T253" i="16" s="1"/>
  <c r="S253" i="16" s="1"/>
  <c r="R253" i="16" s="1"/>
  <c r="U237" i="16"/>
  <c r="T237" i="16" s="1"/>
  <c r="S237" i="16" s="1"/>
  <c r="R237" i="16" s="1"/>
  <c r="U221" i="16"/>
  <c r="T221" i="16" s="1"/>
  <c r="S221" i="16" s="1"/>
  <c r="R221" i="16" s="1"/>
  <c r="U205" i="16"/>
  <c r="T205" i="16" s="1"/>
  <c r="S205" i="16" s="1"/>
  <c r="R205" i="16" s="1"/>
  <c r="U189" i="16"/>
  <c r="T189" i="16" s="1"/>
  <c r="S189" i="16" s="1"/>
  <c r="R189" i="16" s="1"/>
  <c r="U173" i="16"/>
  <c r="T173" i="16" s="1"/>
  <c r="S173" i="16" s="1"/>
  <c r="R173" i="16" s="1"/>
  <c r="U157" i="16"/>
  <c r="T157" i="16" s="1"/>
  <c r="S157" i="16" s="1"/>
  <c r="R157" i="16" s="1"/>
  <c r="U141" i="16"/>
  <c r="T141" i="16" s="1"/>
  <c r="S141" i="16" s="1"/>
  <c r="R141" i="16" s="1"/>
  <c r="U125" i="16"/>
  <c r="T125" i="16" s="1"/>
  <c r="S125" i="16" s="1"/>
  <c r="R125" i="16" s="1"/>
  <c r="U109" i="16"/>
  <c r="T109" i="16" s="1"/>
  <c r="S109" i="16" s="1"/>
  <c r="R109" i="16" s="1"/>
  <c r="U93" i="16"/>
  <c r="T93" i="16" s="1"/>
  <c r="S93" i="16" s="1"/>
  <c r="R93" i="16" s="1"/>
  <c r="U62" i="16"/>
  <c r="T62" i="16" s="1"/>
  <c r="S62" i="16" s="1"/>
  <c r="R62" i="16" s="1"/>
  <c r="U30" i="16"/>
  <c r="T30" i="16" s="1"/>
  <c r="S30" i="16" s="1"/>
  <c r="R30" i="16" s="1"/>
  <c r="AI183" i="16"/>
  <c r="AH183" i="16" s="1"/>
  <c r="AG183" i="16" s="1"/>
  <c r="AF183" i="16" s="1"/>
  <c r="AI167" i="16"/>
  <c r="AH167" i="16" s="1"/>
  <c r="AG167" i="16" s="1"/>
  <c r="AF167" i="16" s="1"/>
  <c r="AI151" i="16"/>
  <c r="AH151" i="16" s="1"/>
  <c r="AG151" i="16" s="1"/>
  <c r="AF151" i="16" s="1"/>
  <c r="AI135" i="16"/>
  <c r="AH135" i="16" s="1"/>
  <c r="AG135" i="16" s="1"/>
  <c r="AF135" i="16" s="1"/>
  <c r="AI119" i="16"/>
  <c r="AH119" i="16" s="1"/>
  <c r="AG119" i="16" s="1"/>
  <c r="AF119" i="16" s="1"/>
  <c r="AI103" i="16"/>
  <c r="AH103" i="16" s="1"/>
  <c r="AG103" i="16" s="1"/>
  <c r="AF103" i="16" s="1"/>
  <c r="AI87" i="16"/>
  <c r="AH87" i="16" s="1"/>
  <c r="AG87" i="16" s="1"/>
  <c r="AF87" i="16" s="1"/>
  <c r="AI48" i="16"/>
  <c r="AH48" i="16" s="1"/>
  <c r="AG48" i="16" s="1"/>
  <c r="AF48" i="16" s="1"/>
  <c r="AI71" i="16"/>
  <c r="AH71" i="16" s="1"/>
  <c r="AG71" i="16" s="1"/>
  <c r="AF71" i="16" s="1"/>
  <c r="AI39" i="16"/>
  <c r="AH39" i="16" s="1"/>
  <c r="AG39" i="16" s="1"/>
  <c r="AF39" i="16" s="1"/>
  <c r="AI104" i="16"/>
  <c r="AH104" i="16" s="1"/>
  <c r="AG104" i="16" s="1"/>
  <c r="AF104" i="16" s="1"/>
  <c r="AI168" i="16"/>
  <c r="AH168" i="16" s="1"/>
  <c r="AG168" i="16" s="1"/>
  <c r="AF168" i="16" s="1"/>
  <c r="AI212" i="16"/>
  <c r="AH212" i="16" s="1"/>
  <c r="AG212" i="16" s="1"/>
  <c r="AF212" i="16" s="1"/>
  <c r="AI244" i="16"/>
  <c r="AH244" i="16" s="1"/>
  <c r="AG244" i="16" s="1"/>
  <c r="AF244" i="16" s="1"/>
  <c r="AI276" i="16"/>
  <c r="AH276" i="16" s="1"/>
  <c r="AG276" i="16" s="1"/>
  <c r="AF276" i="16" s="1"/>
  <c r="AI308" i="16"/>
  <c r="AH308" i="16" s="1"/>
  <c r="AG308" i="16" s="1"/>
  <c r="AF308" i="16" s="1"/>
  <c r="AI340" i="16"/>
  <c r="AH340" i="16" s="1"/>
  <c r="AG340" i="16" s="1"/>
  <c r="AF340" i="16" s="1"/>
  <c r="AI372" i="16"/>
  <c r="AH372" i="16" s="1"/>
  <c r="AG372" i="16" s="1"/>
  <c r="AF372" i="16" s="1"/>
  <c r="AI118" i="16"/>
  <c r="AH118" i="16" s="1"/>
  <c r="AG118" i="16" s="1"/>
  <c r="AF118" i="16" s="1"/>
  <c r="U365" i="16"/>
  <c r="T365" i="16" s="1"/>
  <c r="S365" i="16" s="1"/>
  <c r="R365" i="16" s="1"/>
  <c r="U333" i="16"/>
  <c r="T333" i="16" s="1"/>
  <c r="S333" i="16" s="1"/>
  <c r="R333" i="16" s="1"/>
  <c r="U300" i="16"/>
  <c r="T300" i="16" s="1"/>
  <c r="S300" i="16" s="1"/>
  <c r="R300" i="16" s="1"/>
  <c r="U176" i="16"/>
  <c r="T176" i="16" s="1"/>
  <c r="S176" i="16" s="1"/>
  <c r="R176" i="16" s="1"/>
  <c r="U172" i="16"/>
  <c r="T172" i="16" s="1"/>
  <c r="S172" i="16" s="1"/>
  <c r="R172" i="16" s="1"/>
  <c r="AI249" i="16"/>
  <c r="AH249" i="16" s="1"/>
  <c r="AG249" i="16" s="1"/>
  <c r="AF249" i="16" s="1"/>
  <c r="AI295" i="16"/>
  <c r="AH295" i="16" s="1"/>
  <c r="AG295" i="16" s="1"/>
  <c r="AF295" i="16" s="1"/>
  <c r="AI142" i="16"/>
  <c r="AH142" i="16" s="1"/>
  <c r="AG142" i="16" s="1"/>
  <c r="AF142" i="16" s="1"/>
  <c r="U196" i="16"/>
  <c r="T196" i="16" s="1"/>
  <c r="S196" i="16" s="1"/>
  <c r="R196" i="16" s="1"/>
  <c r="AI106" i="16"/>
  <c r="AH106" i="16" s="1"/>
  <c r="AG106" i="16" s="1"/>
  <c r="AF106" i="16" s="1"/>
  <c r="U92" i="16"/>
  <c r="T92" i="16" s="1"/>
  <c r="S92" i="16" s="1"/>
  <c r="R92" i="16" s="1"/>
  <c r="AI309" i="16"/>
  <c r="AH309" i="16" s="1"/>
  <c r="AG309" i="16" s="1"/>
  <c r="AF309" i="16" s="1"/>
  <c r="AI170" i="16"/>
  <c r="AH170" i="16" s="1"/>
  <c r="AG170" i="16" s="1"/>
  <c r="AF170" i="16" s="1"/>
  <c r="U220" i="16"/>
  <c r="T220" i="16" s="1"/>
  <c r="S220" i="16" s="1"/>
  <c r="R220" i="16" s="1"/>
  <c r="AI367" i="16"/>
  <c r="AH367" i="16" s="1"/>
  <c r="AG367" i="16" s="1"/>
  <c r="AF367" i="16" s="1"/>
  <c r="AI351" i="16"/>
  <c r="AH351" i="16" s="1"/>
  <c r="AG351" i="16" s="1"/>
  <c r="AF351" i="16" s="1"/>
  <c r="AI333" i="16"/>
  <c r="AH333" i="16" s="1"/>
  <c r="AG333" i="16" s="1"/>
  <c r="AF333" i="16" s="1"/>
  <c r="AI301" i="16"/>
  <c r="AH301" i="16" s="1"/>
  <c r="AG301" i="16" s="1"/>
  <c r="AF301" i="16" s="1"/>
  <c r="AI269" i="16"/>
  <c r="AH269" i="16" s="1"/>
  <c r="AG269" i="16" s="1"/>
  <c r="AF269" i="16" s="1"/>
  <c r="AI237" i="16"/>
  <c r="AH237" i="16" s="1"/>
  <c r="AG237" i="16" s="1"/>
  <c r="AF237" i="16" s="1"/>
  <c r="AI205" i="16"/>
  <c r="AH205" i="16" s="1"/>
  <c r="AG205" i="16" s="1"/>
  <c r="AF205" i="16" s="1"/>
  <c r="AI154" i="16"/>
  <c r="AH154" i="16" s="1"/>
  <c r="AG154" i="16" s="1"/>
  <c r="AF154" i="16" s="1"/>
  <c r="U368" i="16"/>
  <c r="T368" i="16" s="1"/>
  <c r="S368" i="16" s="1"/>
  <c r="R368" i="16" s="1"/>
  <c r="U336" i="16"/>
  <c r="T336" i="16" s="1"/>
  <c r="S336" i="16" s="1"/>
  <c r="R336" i="16" s="1"/>
  <c r="U304" i="16"/>
  <c r="T304" i="16" s="1"/>
  <c r="S304" i="16" s="1"/>
  <c r="R304" i="16" s="1"/>
  <c r="U188" i="16"/>
  <c r="T188" i="16" s="1"/>
  <c r="S188" i="16" s="1"/>
  <c r="R188" i="16" s="1"/>
  <c r="U76" i="16"/>
  <c r="T76" i="16" s="1"/>
  <c r="S76" i="16" s="1"/>
  <c r="R76" i="16" s="1"/>
  <c r="U116" i="16"/>
  <c r="T116" i="16" s="1"/>
  <c r="S116" i="16" s="1"/>
  <c r="R116" i="16" s="1"/>
  <c r="U148" i="16"/>
  <c r="T148" i="16" s="1"/>
  <c r="S148" i="16" s="1"/>
  <c r="R148" i="16" s="1"/>
  <c r="U180" i="16"/>
  <c r="T180" i="16" s="1"/>
  <c r="S180" i="16" s="1"/>
  <c r="R180" i="16" s="1"/>
  <c r="U212" i="16"/>
  <c r="T212" i="16" s="1"/>
  <c r="S212" i="16" s="1"/>
  <c r="R212" i="16" s="1"/>
  <c r="U244" i="16"/>
  <c r="T244" i="16" s="1"/>
  <c r="S244" i="16" s="1"/>
  <c r="R244" i="16" s="1"/>
  <c r="U276" i="16"/>
  <c r="T276" i="16" s="1"/>
  <c r="S276" i="16" s="1"/>
  <c r="R276" i="16" s="1"/>
  <c r="U302" i="16"/>
  <c r="T302" i="16" s="1"/>
  <c r="S302" i="16" s="1"/>
  <c r="R302" i="16" s="1"/>
  <c r="U310" i="16"/>
  <c r="T310" i="16" s="1"/>
  <c r="S310" i="16" s="1"/>
  <c r="R310" i="16" s="1"/>
  <c r="U318" i="16"/>
  <c r="T318" i="16" s="1"/>
  <c r="S318" i="16" s="1"/>
  <c r="R318" i="16" s="1"/>
  <c r="U326" i="16"/>
  <c r="T326" i="16" s="1"/>
  <c r="S326" i="16" s="1"/>
  <c r="R326" i="16" s="1"/>
  <c r="U334" i="16"/>
  <c r="T334" i="16" s="1"/>
  <c r="S334" i="16" s="1"/>
  <c r="R334" i="16" s="1"/>
  <c r="U342" i="16"/>
  <c r="T342" i="16" s="1"/>
  <c r="S342" i="16" s="1"/>
  <c r="R342" i="16" s="1"/>
  <c r="U350" i="16"/>
  <c r="T350" i="16" s="1"/>
  <c r="S350" i="16" s="1"/>
  <c r="R350" i="16" s="1"/>
  <c r="U358" i="16"/>
  <c r="T358" i="16" s="1"/>
  <c r="S358" i="16" s="1"/>
  <c r="R358" i="16" s="1"/>
  <c r="U366" i="16"/>
  <c r="T366" i="16" s="1"/>
  <c r="S366" i="16" s="1"/>
  <c r="R366" i="16" s="1"/>
  <c r="U374" i="16"/>
  <c r="T374" i="16" s="1"/>
  <c r="S374" i="16" s="1"/>
  <c r="R374" i="16" s="1"/>
  <c r="AI46" i="16"/>
  <c r="AH46" i="16" s="1"/>
  <c r="AG46" i="16" s="1"/>
  <c r="AF46" i="16" s="1"/>
  <c r="AI98" i="16"/>
  <c r="AH98" i="16" s="1"/>
  <c r="AG98" i="16" s="1"/>
  <c r="AF98" i="16" s="1"/>
  <c r="AI130" i="16"/>
  <c r="AH130" i="16" s="1"/>
  <c r="AG130" i="16" s="1"/>
  <c r="AF130" i="16" s="1"/>
  <c r="AI150" i="16"/>
  <c r="AH150" i="16" s="1"/>
  <c r="AG150" i="16" s="1"/>
  <c r="AF150" i="16" s="1"/>
  <c r="AI166" i="16"/>
  <c r="AH166" i="16" s="1"/>
  <c r="AG166" i="16" s="1"/>
  <c r="AF166" i="16" s="1"/>
  <c r="AI182" i="16"/>
  <c r="AH182" i="16" s="1"/>
  <c r="AG182" i="16" s="1"/>
  <c r="AF182" i="16" s="1"/>
  <c r="AI195" i="16"/>
  <c r="AH195" i="16" s="1"/>
  <c r="AG195" i="16" s="1"/>
  <c r="AF195" i="16" s="1"/>
  <c r="AI203" i="16"/>
  <c r="AH203" i="16" s="1"/>
  <c r="AG203" i="16" s="1"/>
  <c r="AF203" i="16" s="1"/>
  <c r="AI211" i="16"/>
  <c r="AH211" i="16" s="1"/>
  <c r="AG211" i="16" s="1"/>
  <c r="AF211" i="16" s="1"/>
  <c r="AI219" i="16"/>
  <c r="AH219" i="16" s="1"/>
  <c r="AG219" i="16" s="1"/>
  <c r="AF219" i="16" s="1"/>
  <c r="AI227" i="16"/>
  <c r="AH227" i="16" s="1"/>
  <c r="AG227" i="16" s="1"/>
  <c r="AF227" i="16" s="1"/>
  <c r="AI235" i="16"/>
  <c r="AH235" i="16" s="1"/>
  <c r="AG235" i="16" s="1"/>
  <c r="AF235" i="16" s="1"/>
  <c r="AI243" i="16"/>
  <c r="AH243" i="16" s="1"/>
  <c r="AG243" i="16" s="1"/>
  <c r="AF243" i="16" s="1"/>
  <c r="AI251" i="16"/>
  <c r="AH251" i="16" s="1"/>
  <c r="AG251" i="16" s="1"/>
  <c r="AF251" i="16" s="1"/>
  <c r="AI259" i="16"/>
  <c r="AH259" i="16" s="1"/>
  <c r="AG259" i="16" s="1"/>
  <c r="AF259" i="16" s="1"/>
  <c r="AI267" i="16"/>
  <c r="AH267" i="16" s="1"/>
  <c r="AG267" i="16" s="1"/>
  <c r="AF267" i="16" s="1"/>
  <c r="AI275" i="16"/>
  <c r="AH275" i="16" s="1"/>
  <c r="AG275" i="16" s="1"/>
  <c r="AF275" i="16" s="1"/>
  <c r="AI283" i="16"/>
  <c r="AH283" i="16" s="1"/>
  <c r="AG283" i="16" s="1"/>
  <c r="AF283" i="16" s="1"/>
  <c r="AI291" i="16"/>
  <c r="AH291" i="16" s="1"/>
  <c r="AG291" i="16" s="1"/>
  <c r="AF291" i="16" s="1"/>
  <c r="AI299" i="16"/>
  <c r="AH299" i="16" s="1"/>
  <c r="AG299" i="16" s="1"/>
  <c r="AF299" i="16" s="1"/>
  <c r="AI307" i="16"/>
  <c r="AH307" i="16" s="1"/>
  <c r="AG307" i="16" s="1"/>
  <c r="AF307" i="16" s="1"/>
  <c r="AI315" i="16"/>
  <c r="AH315" i="16" s="1"/>
  <c r="AG315" i="16" s="1"/>
  <c r="AF315" i="16" s="1"/>
  <c r="AI323" i="16"/>
  <c r="AH323" i="16" s="1"/>
  <c r="AG323" i="16" s="1"/>
  <c r="AF323" i="16" s="1"/>
  <c r="AI331" i="16"/>
  <c r="AH331" i="16" s="1"/>
  <c r="AG331" i="16" s="1"/>
  <c r="AF331" i="16" s="1"/>
  <c r="AI377" i="16"/>
  <c r="AH377" i="16" s="1"/>
  <c r="AG377" i="16" s="1"/>
  <c r="AF377" i="16" s="1"/>
  <c r="AI369" i="16"/>
  <c r="AH369" i="16" s="1"/>
  <c r="AG369" i="16" s="1"/>
  <c r="AF369" i="16" s="1"/>
  <c r="AI361" i="16"/>
  <c r="AH361" i="16" s="1"/>
  <c r="AG361" i="16" s="1"/>
  <c r="AF361" i="16" s="1"/>
  <c r="AI353" i="16"/>
  <c r="AH353" i="16" s="1"/>
  <c r="AG353" i="16" s="1"/>
  <c r="AF353" i="16" s="1"/>
  <c r="AI345" i="16"/>
  <c r="AH345" i="16" s="1"/>
  <c r="AG345" i="16" s="1"/>
  <c r="AF345" i="16" s="1"/>
  <c r="AI337" i="16"/>
  <c r="AH337" i="16" s="1"/>
  <c r="AG337" i="16" s="1"/>
  <c r="AF337" i="16" s="1"/>
  <c r="AI321" i="16"/>
  <c r="AH321" i="16" s="1"/>
  <c r="AG321" i="16" s="1"/>
  <c r="AF321" i="16" s="1"/>
  <c r="AI305" i="16"/>
  <c r="AH305" i="16" s="1"/>
  <c r="AG305" i="16" s="1"/>
  <c r="AF305" i="16" s="1"/>
  <c r="AI289" i="16"/>
  <c r="AH289" i="16" s="1"/>
  <c r="AG289" i="16" s="1"/>
  <c r="AF289" i="16" s="1"/>
  <c r="AI273" i="16"/>
  <c r="AH273" i="16" s="1"/>
  <c r="AG273" i="16" s="1"/>
  <c r="AF273" i="16" s="1"/>
  <c r="AI257" i="16"/>
  <c r="AH257" i="16" s="1"/>
  <c r="AG257" i="16" s="1"/>
  <c r="AF257" i="16" s="1"/>
  <c r="AI241" i="16"/>
  <c r="AH241" i="16" s="1"/>
  <c r="AG241" i="16" s="1"/>
  <c r="AF241" i="16" s="1"/>
  <c r="AI225" i="16"/>
  <c r="AH225" i="16" s="1"/>
  <c r="AG225" i="16" s="1"/>
  <c r="AF225" i="16" s="1"/>
  <c r="AI209" i="16"/>
  <c r="AH209" i="16" s="1"/>
  <c r="AG209" i="16" s="1"/>
  <c r="AF209" i="16" s="1"/>
  <c r="AI193" i="16"/>
  <c r="AH193" i="16" s="1"/>
  <c r="AG193" i="16" s="1"/>
  <c r="AF193" i="16" s="1"/>
  <c r="AI162" i="16"/>
  <c r="AH162" i="16" s="1"/>
  <c r="AG162" i="16" s="1"/>
  <c r="AF162" i="16" s="1"/>
  <c r="AI122" i="16"/>
  <c r="AH122" i="16" s="1"/>
  <c r="AG122" i="16" s="1"/>
  <c r="AF122" i="16" s="1"/>
  <c r="AI30" i="16"/>
  <c r="AH30" i="16" s="1"/>
  <c r="AG30" i="16" s="1"/>
  <c r="AF30" i="16" s="1"/>
  <c r="U372" i="16"/>
  <c r="T372" i="16" s="1"/>
  <c r="S372" i="16" s="1"/>
  <c r="R372" i="16" s="1"/>
  <c r="U356" i="16"/>
  <c r="T356" i="16" s="1"/>
  <c r="S356" i="16" s="1"/>
  <c r="R356" i="16" s="1"/>
  <c r="U340" i="16"/>
  <c r="T340" i="16" s="1"/>
  <c r="S340" i="16" s="1"/>
  <c r="R340" i="16" s="1"/>
  <c r="U324" i="16"/>
  <c r="T324" i="16" s="1"/>
  <c r="S324" i="16" s="1"/>
  <c r="R324" i="16" s="1"/>
  <c r="U308" i="16"/>
  <c r="T308" i="16" s="1"/>
  <c r="S308" i="16" s="1"/>
  <c r="R308" i="16" s="1"/>
  <c r="P308" i="16" s="1"/>
  <c r="V308" i="16" s="1"/>
  <c r="U268" i="16"/>
  <c r="T268" i="16" s="1"/>
  <c r="S268" i="16" s="1"/>
  <c r="R268" i="16" s="1"/>
  <c r="U204" i="16"/>
  <c r="T204" i="16" s="1"/>
  <c r="S204" i="16" s="1"/>
  <c r="R204" i="16" s="1"/>
  <c r="U140" i="16"/>
  <c r="T140" i="16" s="1"/>
  <c r="S140" i="16" s="1"/>
  <c r="R140" i="16" s="1"/>
  <c r="U60" i="16"/>
  <c r="T60" i="16" s="1"/>
  <c r="S60" i="16" s="1"/>
  <c r="R60" i="16" s="1"/>
  <c r="U36" i="16"/>
  <c r="T36" i="16" s="1"/>
  <c r="S36" i="16" s="1"/>
  <c r="R36" i="16" s="1"/>
  <c r="AI355" i="16"/>
  <c r="AH355" i="16" s="1"/>
  <c r="AG355" i="16" s="1"/>
  <c r="AF355" i="16" s="1"/>
  <c r="U344" i="16"/>
  <c r="T344" i="16" s="1"/>
  <c r="S344" i="16" s="1"/>
  <c r="R344" i="16" s="1"/>
  <c r="AI359" i="16"/>
  <c r="AH359" i="16" s="1"/>
  <c r="AG359" i="16" s="1"/>
  <c r="AF359" i="16" s="1"/>
  <c r="AI317" i="16"/>
  <c r="AH317" i="16" s="1"/>
  <c r="AG317" i="16" s="1"/>
  <c r="AF317" i="16" s="1"/>
  <c r="AI253" i="16"/>
  <c r="AH253" i="16" s="1"/>
  <c r="AG253" i="16" s="1"/>
  <c r="AF253" i="16" s="1"/>
  <c r="AI186" i="16"/>
  <c r="AH186" i="16" s="1"/>
  <c r="AG186" i="16" s="1"/>
  <c r="AF186" i="16" s="1"/>
  <c r="U352" i="16"/>
  <c r="T352" i="16" s="1"/>
  <c r="S352" i="16" s="1"/>
  <c r="R352" i="16" s="1"/>
  <c r="U252" i="16"/>
  <c r="T252" i="16" s="1"/>
  <c r="S252" i="16" s="1"/>
  <c r="R252" i="16" s="1"/>
  <c r="U100" i="16"/>
  <c r="T100" i="16" s="1"/>
  <c r="S100" i="16" s="1"/>
  <c r="R100" i="16" s="1"/>
  <c r="U164" i="16"/>
  <c r="T164" i="16" s="1"/>
  <c r="S164" i="16" s="1"/>
  <c r="R164" i="16" s="1"/>
  <c r="U228" i="16"/>
  <c r="T228" i="16" s="1"/>
  <c r="S228" i="16" s="1"/>
  <c r="R228" i="16" s="1"/>
  <c r="P228" i="16" s="1"/>
  <c r="V228" i="16" s="1"/>
  <c r="U292" i="16"/>
  <c r="T292" i="16" s="1"/>
  <c r="S292" i="16" s="1"/>
  <c r="R292" i="16" s="1"/>
  <c r="U314" i="16"/>
  <c r="T314" i="16" s="1"/>
  <c r="S314" i="16" s="1"/>
  <c r="R314" i="16" s="1"/>
  <c r="U330" i="16"/>
  <c r="T330" i="16" s="1"/>
  <c r="S330" i="16" s="1"/>
  <c r="R330" i="16" s="1"/>
  <c r="U346" i="16"/>
  <c r="T346" i="16" s="1"/>
  <c r="S346" i="16" s="1"/>
  <c r="R346" i="16" s="1"/>
  <c r="U362" i="16"/>
  <c r="T362" i="16" s="1"/>
  <c r="S362" i="16" s="1"/>
  <c r="R362" i="16" s="1"/>
  <c r="U378" i="16"/>
  <c r="T378" i="16" s="1"/>
  <c r="S378" i="16" s="1"/>
  <c r="R378" i="16" s="1"/>
  <c r="AI114" i="16"/>
  <c r="AH114" i="16" s="1"/>
  <c r="AG114" i="16" s="1"/>
  <c r="AF114" i="16" s="1"/>
  <c r="AI158" i="16"/>
  <c r="AH158" i="16" s="1"/>
  <c r="AG158" i="16" s="1"/>
  <c r="AF158" i="16" s="1"/>
  <c r="AI190" i="16"/>
  <c r="AH190" i="16" s="1"/>
  <c r="AG190" i="16" s="1"/>
  <c r="AF190" i="16" s="1"/>
  <c r="AI207" i="16"/>
  <c r="AH207" i="16" s="1"/>
  <c r="AG207" i="16" s="1"/>
  <c r="AF207" i="16" s="1"/>
  <c r="AI223" i="16"/>
  <c r="AH223" i="16" s="1"/>
  <c r="AG223" i="16" s="1"/>
  <c r="AF223" i="16" s="1"/>
  <c r="AI239" i="16"/>
  <c r="AH239" i="16" s="1"/>
  <c r="AG239" i="16" s="1"/>
  <c r="AF239" i="16" s="1"/>
  <c r="AI255" i="16"/>
  <c r="AH255" i="16" s="1"/>
  <c r="AG255" i="16" s="1"/>
  <c r="AF255" i="16" s="1"/>
  <c r="AI271" i="16"/>
  <c r="AH271" i="16" s="1"/>
  <c r="AG271" i="16" s="1"/>
  <c r="AF271" i="16" s="1"/>
  <c r="AI287" i="16"/>
  <c r="AH287" i="16" s="1"/>
  <c r="AG287" i="16" s="1"/>
  <c r="AF287" i="16" s="1"/>
  <c r="AI303" i="16"/>
  <c r="AH303" i="16" s="1"/>
  <c r="AG303" i="16" s="1"/>
  <c r="AF303" i="16" s="1"/>
  <c r="AI319" i="16"/>
  <c r="AH319" i="16" s="1"/>
  <c r="AG319" i="16" s="1"/>
  <c r="AF319" i="16" s="1"/>
  <c r="AI335" i="16"/>
  <c r="AH335" i="16" s="1"/>
  <c r="AG335" i="16" s="1"/>
  <c r="AF335" i="16" s="1"/>
  <c r="AI365" i="16"/>
  <c r="AH365" i="16" s="1"/>
  <c r="AG365" i="16" s="1"/>
  <c r="AF365" i="16" s="1"/>
  <c r="AI349" i="16"/>
  <c r="AH349" i="16" s="1"/>
  <c r="AG349" i="16" s="1"/>
  <c r="AF349" i="16" s="1"/>
  <c r="AI329" i="16"/>
  <c r="AH329" i="16" s="1"/>
  <c r="AG329" i="16" s="1"/>
  <c r="AF329" i="16" s="1"/>
  <c r="AI297" i="16"/>
  <c r="AH297" i="16" s="1"/>
  <c r="AG297" i="16" s="1"/>
  <c r="AF297" i="16" s="1"/>
  <c r="AI265" i="16"/>
  <c r="AH265" i="16" s="1"/>
  <c r="AG265" i="16" s="1"/>
  <c r="AF265" i="16" s="1"/>
  <c r="AI233" i="16"/>
  <c r="AH233" i="16" s="1"/>
  <c r="AG233" i="16" s="1"/>
  <c r="AF233" i="16" s="1"/>
  <c r="AI201" i="16"/>
  <c r="AH201" i="16" s="1"/>
  <c r="AG201" i="16" s="1"/>
  <c r="AF201" i="16" s="1"/>
  <c r="AI146" i="16"/>
  <c r="AH146" i="16" s="1"/>
  <c r="AG146" i="16" s="1"/>
  <c r="AF146" i="16" s="1"/>
  <c r="U348" i="16"/>
  <c r="T348" i="16" s="1"/>
  <c r="S348" i="16" s="1"/>
  <c r="R348" i="16" s="1"/>
  <c r="U316" i="16"/>
  <c r="T316" i="16" s="1"/>
  <c r="S316" i="16" s="1"/>
  <c r="R316" i="16" s="1"/>
  <c r="P316" i="16" s="1"/>
  <c r="V316" i="16" s="1"/>
  <c r="U236" i="16"/>
  <c r="T236" i="16" s="1"/>
  <c r="S236" i="16" s="1"/>
  <c r="R236" i="16" s="1"/>
  <c r="U108" i="16"/>
  <c r="T108" i="16" s="1"/>
  <c r="S108" i="16" s="1"/>
  <c r="R108" i="16" s="1"/>
  <c r="U52" i="16"/>
  <c r="T52" i="16" s="1"/>
  <c r="S52" i="16" s="1"/>
  <c r="R52" i="16" s="1"/>
  <c r="U84" i="16"/>
  <c r="T84" i="16" s="1"/>
  <c r="S84" i="16" s="1"/>
  <c r="R84" i="16" s="1"/>
  <c r="U104" i="16"/>
  <c r="T104" i="16" s="1"/>
  <c r="S104" i="16" s="1"/>
  <c r="R104" i="16" s="1"/>
  <c r="U120" i="16"/>
  <c r="T120" i="16" s="1"/>
  <c r="S120" i="16" s="1"/>
  <c r="R120" i="16" s="1"/>
  <c r="U136" i="16"/>
  <c r="T136" i="16" s="1"/>
  <c r="S136" i="16" s="1"/>
  <c r="R136" i="16" s="1"/>
  <c r="U152" i="16"/>
  <c r="T152" i="16" s="1"/>
  <c r="S152" i="16" s="1"/>
  <c r="R152" i="16" s="1"/>
  <c r="U168" i="16"/>
  <c r="T168" i="16" s="1"/>
  <c r="S168" i="16" s="1"/>
  <c r="R168" i="16" s="1"/>
  <c r="U184" i="16"/>
  <c r="T184" i="16" s="1"/>
  <c r="S184" i="16" s="1"/>
  <c r="R184" i="16" s="1"/>
  <c r="U200" i="16"/>
  <c r="T200" i="16" s="1"/>
  <c r="S200" i="16" s="1"/>
  <c r="R200" i="16" s="1"/>
  <c r="U216" i="16"/>
  <c r="T216" i="16" s="1"/>
  <c r="S216" i="16" s="1"/>
  <c r="R216" i="16" s="1"/>
  <c r="U232" i="16"/>
  <c r="T232" i="16" s="1"/>
  <c r="S232" i="16" s="1"/>
  <c r="R232" i="16" s="1"/>
  <c r="U248" i="16"/>
  <c r="T248" i="16" s="1"/>
  <c r="S248" i="16" s="1"/>
  <c r="R248" i="16" s="1"/>
  <c r="U264" i="16"/>
  <c r="T264" i="16" s="1"/>
  <c r="S264" i="16" s="1"/>
  <c r="R264" i="16" s="1"/>
  <c r="U280" i="16"/>
  <c r="T280" i="16" s="1"/>
  <c r="S280" i="16" s="1"/>
  <c r="R280" i="16" s="1"/>
  <c r="U296" i="16"/>
  <c r="T296" i="16" s="1"/>
  <c r="S296" i="16" s="1"/>
  <c r="R296" i="16" s="1"/>
  <c r="U303" i="16"/>
  <c r="T303" i="16" s="1"/>
  <c r="S303" i="16" s="1"/>
  <c r="R303" i="16" s="1"/>
  <c r="U307" i="16"/>
  <c r="T307" i="16" s="1"/>
  <c r="S307" i="16" s="1"/>
  <c r="R307" i="16" s="1"/>
  <c r="U311" i="16"/>
  <c r="T311" i="16" s="1"/>
  <c r="S311" i="16" s="1"/>
  <c r="R311" i="16" s="1"/>
  <c r="U315" i="16"/>
  <c r="T315" i="16" s="1"/>
  <c r="S315" i="16" s="1"/>
  <c r="R315" i="16" s="1"/>
  <c r="U319" i="16"/>
  <c r="T319" i="16" s="1"/>
  <c r="S319" i="16" s="1"/>
  <c r="R319" i="16" s="1"/>
  <c r="U323" i="16"/>
  <c r="T323" i="16" s="1"/>
  <c r="U327" i="16"/>
  <c r="T327" i="16" s="1"/>
  <c r="S327" i="16" s="1"/>
  <c r="R327" i="16" s="1"/>
  <c r="U331" i="16"/>
  <c r="T331" i="16" s="1"/>
  <c r="S331" i="16" s="1"/>
  <c r="R331" i="16" s="1"/>
  <c r="U335" i="16"/>
  <c r="T335" i="16" s="1"/>
  <c r="S335" i="16" s="1"/>
  <c r="R335" i="16" s="1"/>
  <c r="U339" i="16"/>
  <c r="T339" i="16" s="1"/>
  <c r="S339" i="16" s="1"/>
  <c r="R339" i="16" s="1"/>
  <c r="U343" i="16"/>
  <c r="T343" i="16" s="1"/>
  <c r="S343" i="16" s="1"/>
  <c r="R343" i="16" s="1"/>
  <c r="U347" i="16"/>
  <c r="T347" i="16" s="1"/>
  <c r="S347" i="16" s="1"/>
  <c r="R347" i="16" s="1"/>
  <c r="U351" i="16"/>
  <c r="T351" i="16" s="1"/>
  <c r="S351" i="16" s="1"/>
  <c r="R351" i="16" s="1"/>
  <c r="U355" i="16"/>
  <c r="T355" i="16" s="1"/>
  <c r="S355" i="16" s="1"/>
  <c r="R355" i="16" s="1"/>
  <c r="U359" i="16"/>
  <c r="T359" i="16" s="1"/>
  <c r="S359" i="16" s="1"/>
  <c r="R359" i="16" s="1"/>
  <c r="U363" i="16"/>
  <c r="T363" i="16" s="1"/>
  <c r="S363" i="16" s="1"/>
  <c r="R363" i="16" s="1"/>
  <c r="U367" i="16"/>
  <c r="T367" i="16" s="1"/>
  <c r="S367" i="16" s="1"/>
  <c r="R367" i="16" s="1"/>
  <c r="U371" i="16"/>
  <c r="T371" i="16" s="1"/>
  <c r="S371" i="16" s="1"/>
  <c r="R371" i="16" s="1"/>
  <c r="U375" i="16"/>
  <c r="T375" i="16" s="1"/>
  <c r="S375" i="16" s="1"/>
  <c r="R375" i="16" s="1"/>
  <c r="U379" i="16"/>
  <c r="AI38" i="16"/>
  <c r="AH38" i="16" s="1"/>
  <c r="AG38" i="16" s="1"/>
  <c r="AF38" i="16" s="1"/>
  <c r="AI70" i="16"/>
  <c r="AH70" i="16" s="1"/>
  <c r="AG70" i="16" s="1"/>
  <c r="AF70" i="16" s="1"/>
  <c r="AI94" i="16"/>
  <c r="AH94" i="16" s="1"/>
  <c r="AG94" i="16" s="1"/>
  <c r="AF94" i="16" s="1"/>
  <c r="AI110" i="16"/>
  <c r="AH110" i="16" s="1"/>
  <c r="AG110" i="16" s="1"/>
  <c r="AF110" i="16" s="1"/>
  <c r="AI126" i="16"/>
  <c r="AH126" i="16" s="1"/>
  <c r="AG126" i="16" s="1"/>
  <c r="AF126" i="16" s="1"/>
  <c r="AI17" i="16"/>
  <c r="AH17" i="16" s="1"/>
  <c r="AG17" i="16" s="1"/>
  <c r="AF17" i="16" s="1"/>
  <c r="AI378" i="16"/>
  <c r="AH378" i="16" s="1"/>
  <c r="AG378" i="16" s="1"/>
  <c r="AF378" i="16" s="1"/>
  <c r="AI374" i="16"/>
  <c r="AH374" i="16" s="1"/>
  <c r="AG374" i="16" s="1"/>
  <c r="AF374" i="16" s="1"/>
  <c r="AI370" i="16"/>
  <c r="AH370" i="16" s="1"/>
  <c r="AG370" i="16" s="1"/>
  <c r="AF370" i="16" s="1"/>
  <c r="AI366" i="16"/>
  <c r="AH366" i="16" s="1"/>
  <c r="AG366" i="16" s="1"/>
  <c r="AF366" i="16" s="1"/>
  <c r="AI362" i="16"/>
  <c r="AH362" i="16" s="1"/>
  <c r="AG362" i="16" s="1"/>
  <c r="AF362" i="16" s="1"/>
  <c r="AI358" i="16"/>
  <c r="AH358" i="16" s="1"/>
  <c r="AG358" i="16" s="1"/>
  <c r="AF358" i="16" s="1"/>
  <c r="AI354" i="16"/>
  <c r="AH354" i="16" s="1"/>
  <c r="AG354" i="16" s="1"/>
  <c r="AF354" i="16" s="1"/>
  <c r="AI350" i="16"/>
  <c r="AH350" i="16" s="1"/>
  <c r="AG350" i="16" s="1"/>
  <c r="AF350" i="16" s="1"/>
  <c r="AI346" i="16"/>
  <c r="AH346" i="16" s="1"/>
  <c r="AG346" i="16" s="1"/>
  <c r="AF346" i="16" s="1"/>
  <c r="AI342" i="16"/>
  <c r="AH342" i="16" s="1"/>
  <c r="AG342" i="16" s="1"/>
  <c r="AF342" i="16" s="1"/>
  <c r="AI338" i="16"/>
  <c r="AH338" i="16" s="1"/>
  <c r="AG338" i="16" s="1"/>
  <c r="AF338" i="16" s="1"/>
  <c r="AI334" i="16"/>
  <c r="AH334" i="16" s="1"/>
  <c r="AG334" i="16" s="1"/>
  <c r="AF334" i="16" s="1"/>
  <c r="AI330" i="16"/>
  <c r="AH330" i="16" s="1"/>
  <c r="AG330" i="16" s="1"/>
  <c r="AF330" i="16" s="1"/>
  <c r="AI326" i="16"/>
  <c r="AH326" i="16" s="1"/>
  <c r="AG326" i="16" s="1"/>
  <c r="AF326" i="16" s="1"/>
  <c r="AI322" i="16"/>
  <c r="AH322" i="16" s="1"/>
  <c r="AG322" i="16" s="1"/>
  <c r="AF322" i="16" s="1"/>
  <c r="AI318" i="16"/>
  <c r="AH318" i="16" s="1"/>
  <c r="AG318" i="16" s="1"/>
  <c r="AF318" i="16" s="1"/>
  <c r="AI314" i="16"/>
  <c r="AH314" i="16" s="1"/>
  <c r="AG314" i="16" s="1"/>
  <c r="AF314" i="16" s="1"/>
  <c r="AI310" i="16"/>
  <c r="AH310" i="16" s="1"/>
  <c r="AG310" i="16" s="1"/>
  <c r="AF310" i="16" s="1"/>
  <c r="AI306" i="16"/>
  <c r="AH306" i="16" s="1"/>
  <c r="AG306" i="16" s="1"/>
  <c r="AF306" i="16" s="1"/>
  <c r="AI302" i="16"/>
  <c r="AH302" i="16" s="1"/>
  <c r="AG302" i="16" s="1"/>
  <c r="AF302" i="16" s="1"/>
  <c r="AI298" i="16"/>
  <c r="AH298" i="16" s="1"/>
  <c r="AG298" i="16" s="1"/>
  <c r="AF298" i="16" s="1"/>
  <c r="AI294" i="16"/>
  <c r="AH294" i="16" s="1"/>
  <c r="AG294" i="16" s="1"/>
  <c r="AF294" i="16" s="1"/>
  <c r="AI290" i="16"/>
  <c r="AH290" i="16" s="1"/>
  <c r="AG290" i="16" s="1"/>
  <c r="AF290" i="16" s="1"/>
  <c r="AI286" i="16"/>
  <c r="AH286" i="16" s="1"/>
  <c r="AG286" i="16" s="1"/>
  <c r="AF286" i="16" s="1"/>
  <c r="AI282" i="16"/>
  <c r="AH282" i="16" s="1"/>
  <c r="AG282" i="16" s="1"/>
  <c r="AF282" i="16" s="1"/>
  <c r="AI278" i="16"/>
  <c r="AH278" i="16" s="1"/>
  <c r="AG278" i="16" s="1"/>
  <c r="AF278" i="16" s="1"/>
  <c r="AI274" i="16"/>
  <c r="AH274" i="16" s="1"/>
  <c r="AG274" i="16" s="1"/>
  <c r="AF274" i="16" s="1"/>
  <c r="AI270" i="16"/>
  <c r="AH270" i="16" s="1"/>
  <c r="AG270" i="16" s="1"/>
  <c r="AF270" i="16" s="1"/>
  <c r="AI266" i="16"/>
  <c r="AH266" i="16" s="1"/>
  <c r="AG266" i="16" s="1"/>
  <c r="AF266" i="16" s="1"/>
  <c r="AI262" i="16"/>
  <c r="AH262" i="16" s="1"/>
  <c r="AG262" i="16" s="1"/>
  <c r="AF262" i="16" s="1"/>
  <c r="AI258" i="16"/>
  <c r="AH258" i="16" s="1"/>
  <c r="AG258" i="16" s="1"/>
  <c r="AF258" i="16" s="1"/>
  <c r="AI254" i="16"/>
  <c r="AH254" i="16" s="1"/>
  <c r="AG254" i="16" s="1"/>
  <c r="AF254" i="16" s="1"/>
  <c r="AI250" i="16"/>
  <c r="AH250" i="16" s="1"/>
  <c r="AG250" i="16" s="1"/>
  <c r="AF250" i="16" s="1"/>
  <c r="AI246" i="16"/>
  <c r="AH246" i="16" s="1"/>
  <c r="AG246" i="16" s="1"/>
  <c r="AF246" i="16" s="1"/>
  <c r="AI242" i="16"/>
  <c r="AH242" i="16" s="1"/>
  <c r="AG242" i="16" s="1"/>
  <c r="AF242" i="16" s="1"/>
  <c r="AI238" i="16"/>
  <c r="AH238" i="16" s="1"/>
  <c r="AG238" i="16" s="1"/>
  <c r="AF238" i="16" s="1"/>
  <c r="AI234" i="16"/>
  <c r="AH234" i="16" s="1"/>
  <c r="AG234" i="16" s="1"/>
  <c r="AF234" i="16" s="1"/>
  <c r="AI230" i="16"/>
  <c r="AH230" i="16" s="1"/>
  <c r="AG230" i="16" s="1"/>
  <c r="AF230" i="16" s="1"/>
  <c r="AI226" i="16"/>
  <c r="AH226" i="16" s="1"/>
  <c r="AG226" i="16" s="1"/>
  <c r="AF226" i="16" s="1"/>
  <c r="AI222" i="16"/>
  <c r="AH222" i="16" s="1"/>
  <c r="AG222" i="16" s="1"/>
  <c r="AF222" i="16" s="1"/>
  <c r="AI218" i="16"/>
  <c r="AH218" i="16" s="1"/>
  <c r="AG218" i="16" s="1"/>
  <c r="AF218" i="16" s="1"/>
  <c r="AI214" i="16"/>
  <c r="AH214" i="16" s="1"/>
  <c r="AG214" i="16" s="1"/>
  <c r="AF214" i="16" s="1"/>
  <c r="AI210" i="16"/>
  <c r="AH210" i="16" s="1"/>
  <c r="AG210" i="16" s="1"/>
  <c r="AF210" i="16" s="1"/>
  <c r="AI206" i="16"/>
  <c r="AH206" i="16" s="1"/>
  <c r="AG206" i="16" s="1"/>
  <c r="AF206" i="16" s="1"/>
  <c r="AI202" i="16"/>
  <c r="AH202" i="16" s="1"/>
  <c r="AG202" i="16" s="1"/>
  <c r="AF202" i="16" s="1"/>
  <c r="AI198" i="16"/>
  <c r="AH198" i="16" s="1"/>
  <c r="AG198" i="16" s="1"/>
  <c r="AF198" i="16" s="1"/>
  <c r="AI194" i="16"/>
  <c r="AH194" i="16" s="1"/>
  <c r="AG194" i="16" s="1"/>
  <c r="AF194" i="16" s="1"/>
  <c r="AI188" i="16"/>
  <c r="AH188" i="16" s="1"/>
  <c r="AG188" i="16" s="1"/>
  <c r="AF188" i="16" s="1"/>
  <c r="AI180" i="16"/>
  <c r="AH180" i="16" s="1"/>
  <c r="AG180" i="16" s="1"/>
  <c r="AF180" i="16" s="1"/>
  <c r="AI172" i="16"/>
  <c r="AH172" i="16" s="1"/>
  <c r="AG172" i="16" s="1"/>
  <c r="AF172" i="16" s="1"/>
  <c r="AI164" i="16"/>
  <c r="AH164" i="16" s="1"/>
  <c r="AG164" i="16" s="1"/>
  <c r="AF164" i="16" s="1"/>
  <c r="AI156" i="16"/>
  <c r="AH156" i="16" s="1"/>
  <c r="AG156" i="16" s="1"/>
  <c r="AF156" i="16" s="1"/>
  <c r="AI148" i="16"/>
  <c r="AH148" i="16" s="1"/>
  <c r="AG148" i="16" s="1"/>
  <c r="AF148" i="16" s="1"/>
  <c r="AI140" i="16"/>
  <c r="AH140" i="16" s="1"/>
  <c r="AG140" i="16" s="1"/>
  <c r="AF140" i="16" s="1"/>
  <c r="AI132" i="16"/>
  <c r="AH132" i="16" s="1"/>
  <c r="AG132" i="16" s="1"/>
  <c r="AF132" i="16" s="1"/>
  <c r="AI124" i="16"/>
  <c r="AH124" i="16" s="1"/>
  <c r="AG124" i="16" s="1"/>
  <c r="AF124" i="16" s="1"/>
  <c r="AI116" i="16"/>
  <c r="AH116" i="16" s="1"/>
  <c r="AG116" i="16" s="1"/>
  <c r="AF116" i="16" s="1"/>
  <c r="AI108" i="16"/>
  <c r="AH108" i="16" s="1"/>
  <c r="AG108" i="16" s="1"/>
  <c r="AF108" i="16" s="1"/>
  <c r="AI100" i="16"/>
  <c r="AH100" i="16" s="1"/>
  <c r="AG100" i="16" s="1"/>
  <c r="AF100" i="16" s="1"/>
  <c r="AI92" i="16"/>
  <c r="AH92" i="16" s="1"/>
  <c r="AG92" i="16" s="1"/>
  <c r="AF92" i="16" s="1"/>
  <c r="AI82" i="16"/>
  <c r="AH82" i="16" s="1"/>
  <c r="AG82" i="16" s="1"/>
  <c r="AF82" i="16" s="1"/>
  <c r="AI66" i="16"/>
  <c r="AH66" i="16" s="1"/>
  <c r="AG66" i="16" s="1"/>
  <c r="AF66" i="16" s="1"/>
  <c r="AI50" i="16"/>
  <c r="AH50" i="16" s="1"/>
  <c r="AG50" i="16" s="1"/>
  <c r="AF50" i="16" s="1"/>
  <c r="AI34" i="16"/>
  <c r="AH34" i="16" s="1"/>
  <c r="AG34" i="16" s="1"/>
  <c r="AF34" i="16" s="1"/>
  <c r="AI16" i="16"/>
  <c r="AH16" i="16" s="1"/>
  <c r="AG16" i="16" s="1"/>
  <c r="AF16" i="16" s="1"/>
  <c r="AI21" i="16"/>
  <c r="AH21" i="16" s="1"/>
  <c r="AG21" i="16" s="1"/>
  <c r="AF21" i="16" s="1"/>
  <c r="AI25" i="16"/>
  <c r="AH25" i="16" s="1"/>
  <c r="AG25" i="16" s="1"/>
  <c r="AF25" i="16" s="1"/>
  <c r="AI29" i="16"/>
  <c r="AH29" i="16" s="1"/>
  <c r="AG29" i="16" s="1"/>
  <c r="AF29" i="16" s="1"/>
  <c r="AI33" i="16"/>
  <c r="AH33" i="16" s="1"/>
  <c r="AG33" i="16" s="1"/>
  <c r="AF33" i="16" s="1"/>
  <c r="AI37" i="16"/>
  <c r="AH37" i="16" s="1"/>
  <c r="AG37" i="16" s="1"/>
  <c r="AF37" i="16" s="1"/>
  <c r="AI41" i="16"/>
  <c r="AH41" i="16" s="1"/>
  <c r="AG41" i="16" s="1"/>
  <c r="AF41" i="16" s="1"/>
  <c r="AI45" i="16"/>
  <c r="AH45" i="16" s="1"/>
  <c r="AG45" i="16" s="1"/>
  <c r="AF45" i="16" s="1"/>
  <c r="AI49" i="16"/>
  <c r="AH49" i="16" s="1"/>
  <c r="AG49" i="16" s="1"/>
  <c r="AF49" i="16" s="1"/>
  <c r="AI53" i="16"/>
  <c r="AH53" i="16" s="1"/>
  <c r="AG53" i="16" s="1"/>
  <c r="AF53" i="16" s="1"/>
  <c r="AI57" i="16"/>
  <c r="AH57" i="16" s="1"/>
  <c r="AG57" i="16" s="1"/>
  <c r="AF57" i="16" s="1"/>
  <c r="AI61" i="16"/>
  <c r="AH61" i="16" s="1"/>
  <c r="AG61" i="16" s="1"/>
  <c r="AF61" i="16" s="1"/>
  <c r="AI65" i="16"/>
  <c r="AH65" i="16" s="1"/>
  <c r="AG65" i="16" s="1"/>
  <c r="AF65" i="16" s="1"/>
  <c r="AI69" i="16"/>
  <c r="AH69" i="16" s="1"/>
  <c r="AG69" i="16" s="1"/>
  <c r="AF69" i="16" s="1"/>
  <c r="AI73" i="16"/>
  <c r="AH73" i="16" s="1"/>
  <c r="AG73" i="16" s="1"/>
  <c r="AF73" i="16" s="1"/>
  <c r="AI77" i="16"/>
  <c r="AH77" i="16" s="1"/>
  <c r="AG77" i="16" s="1"/>
  <c r="AF77" i="16" s="1"/>
  <c r="AI81" i="16"/>
  <c r="AH81" i="16" s="1"/>
  <c r="AG81" i="16" s="1"/>
  <c r="AF81" i="16" s="1"/>
  <c r="AI85" i="16"/>
  <c r="AH85" i="16" s="1"/>
  <c r="AG85" i="16" s="1"/>
  <c r="AF85" i="16" s="1"/>
  <c r="AI20" i="16"/>
  <c r="AH20" i="16" s="1"/>
  <c r="AG20" i="16" s="1"/>
  <c r="AF20" i="16" s="1"/>
  <c r="AI28" i="16"/>
  <c r="AH28" i="16" s="1"/>
  <c r="AG28" i="16" s="1"/>
  <c r="AF28" i="16" s="1"/>
  <c r="AI36" i="16"/>
  <c r="AH36" i="16" s="1"/>
  <c r="AG36" i="16" s="1"/>
  <c r="AF36" i="16" s="1"/>
  <c r="AI44" i="16"/>
  <c r="AH44" i="16" s="1"/>
  <c r="AG44" i="16" s="1"/>
  <c r="AF44" i="16" s="1"/>
  <c r="AI52" i="16"/>
  <c r="AH52" i="16" s="1"/>
  <c r="AG52" i="16" s="1"/>
  <c r="AF52" i="16" s="1"/>
  <c r="AI60" i="16"/>
  <c r="AH60" i="16" s="1"/>
  <c r="AG60" i="16" s="1"/>
  <c r="AF60" i="16" s="1"/>
  <c r="AD38" i="16"/>
  <c r="AD70" i="16"/>
  <c r="AD106" i="16"/>
  <c r="AD170" i="16"/>
  <c r="AD178" i="16"/>
  <c r="AD190" i="16"/>
  <c r="P44" i="16"/>
  <c r="V44" i="16" s="1"/>
  <c r="P52" i="16"/>
  <c r="V52" i="16" s="1"/>
  <c r="AD201" i="16"/>
  <c r="AD265" i="16"/>
  <c r="AD285" i="16"/>
  <c r="AD313" i="16"/>
  <c r="AD317" i="16"/>
  <c r="AD357" i="16"/>
  <c r="AD365" i="16"/>
  <c r="P168" i="16"/>
  <c r="V168" i="16" s="1"/>
  <c r="P164" i="16"/>
  <c r="V164" i="16" s="1"/>
  <c r="P136" i="16"/>
  <c r="V136" i="16" s="1"/>
  <c r="P104" i="16"/>
  <c r="V104" i="16" s="1"/>
  <c r="P331" i="16"/>
  <c r="V331" i="16" s="1"/>
  <c r="F331" i="16" s="1"/>
  <c r="G331" i="16" s="1"/>
  <c r="BY331" i="6" s="1"/>
  <c r="P332" i="16"/>
  <c r="V332" i="16" s="1"/>
  <c r="P236" i="16"/>
  <c r="V236" i="16" s="1"/>
  <c r="U89" i="16"/>
  <c r="T89" i="16" s="1"/>
  <c r="S89" i="16" s="1"/>
  <c r="R89" i="16" s="1"/>
  <c r="U85" i="16"/>
  <c r="T85" i="16" s="1"/>
  <c r="S85" i="16" s="1"/>
  <c r="R85" i="16" s="1"/>
  <c r="U81" i="16"/>
  <c r="T81" i="16" s="1"/>
  <c r="S81" i="16" s="1"/>
  <c r="R81" i="16" s="1"/>
  <c r="U77" i="16"/>
  <c r="T77" i="16" s="1"/>
  <c r="S77" i="16" s="1"/>
  <c r="R77" i="16" s="1"/>
  <c r="U73" i="16"/>
  <c r="T73" i="16" s="1"/>
  <c r="S73" i="16" s="1"/>
  <c r="R73" i="16" s="1"/>
  <c r="U69" i="16"/>
  <c r="T69" i="16" s="1"/>
  <c r="S69" i="16" s="1"/>
  <c r="R69" i="16" s="1"/>
  <c r="U65" i="16"/>
  <c r="T65" i="16" s="1"/>
  <c r="S65" i="16" s="1"/>
  <c r="R65" i="16" s="1"/>
  <c r="U61" i="16"/>
  <c r="T61" i="16" s="1"/>
  <c r="S61" i="16" s="1"/>
  <c r="R61" i="16" s="1"/>
  <c r="U57" i="16"/>
  <c r="T57" i="16" s="1"/>
  <c r="S57" i="16" s="1"/>
  <c r="R57" i="16" s="1"/>
  <c r="U53" i="16"/>
  <c r="T53" i="16" s="1"/>
  <c r="S53" i="16" s="1"/>
  <c r="R53" i="16" s="1"/>
  <c r="U49" i="16"/>
  <c r="T49" i="16" s="1"/>
  <c r="S49" i="16" s="1"/>
  <c r="R49" i="16" s="1"/>
  <c r="U45" i="16"/>
  <c r="T45" i="16" s="1"/>
  <c r="S45" i="16" s="1"/>
  <c r="R45" i="16" s="1"/>
  <c r="U41" i="16"/>
  <c r="T41" i="16" s="1"/>
  <c r="S41" i="16" s="1"/>
  <c r="R41" i="16" s="1"/>
  <c r="U37" i="16"/>
  <c r="T37" i="16" s="1"/>
  <c r="S37" i="16" s="1"/>
  <c r="R37" i="16" s="1"/>
  <c r="U33" i="16"/>
  <c r="T33" i="16" s="1"/>
  <c r="S33" i="16" s="1"/>
  <c r="R33" i="16" s="1"/>
  <c r="U29" i="16"/>
  <c r="T29" i="16" s="1"/>
  <c r="S29" i="16" s="1"/>
  <c r="R29" i="16" s="1"/>
  <c r="U25" i="16"/>
  <c r="T25" i="16" s="1"/>
  <c r="S25" i="16" s="1"/>
  <c r="R25" i="16" s="1"/>
  <c r="U21" i="16"/>
  <c r="T21" i="16" s="1"/>
  <c r="S21" i="16" s="1"/>
  <c r="R21" i="16" s="1"/>
  <c r="U18" i="16"/>
  <c r="T18" i="16" s="1"/>
  <c r="S18" i="16" s="1"/>
  <c r="R18" i="16" s="1"/>
  <c r="Q16" i="7"/>
  <c r="P370" i="16"/>
  <c r="V370" i="16" s="1"/>
  <c r="U17" i="16"/>
  <c r="T17" i="16" s="1"/>
  <c r="S17" i="16" s="1"/>
  <c r="R17" i="16" s="1"/>
  <c r="U32" i="16"/>
  <c r="T32" i="16" s="1"/>
  <c r="S32" i="16" s="1"/>
  <c r="R32" i="16" s="1"/>
  <c r="U48" i="16"/>
  <c r="T48" i="16" s="1"/>
  <c r="S48" i="16" s="1"/>
  <c r="R48" i="16" s="1"/>
  <c r="U64" i="16"/>
  <c r="T64" i="16" s="1"/>
  <c r="S64" i="16" s="1"/>
  <c r="R64" i="16" s="1"/>
  <c r="U80" i="16"/>
  <c r="T80" i="16" s="1"/>
  <c r="S80" i="16" s="1"/>
  <c r="R80" i="16" s="1"/>
  <c r="U94" i="16"/>
  <c r="T94" i="16" s="1"/>
  <c r="S94" i="16" s="1"/>
  <c r="R94" i="16" s="1"/>
  <c r="U102" i="16"/>
  <c r="T102" i="16" s="1"/>
  <c r="S102" i="16" s="1"/>
  <c r="R102" i="16" s="1"/>
  <c r="U110" i="16"/>
  <c r="T110" i="16" s="1"/>
  <c r="S110" i="16" s="1"/>
  <c r="R110" i="16" s="1"/>
  <c r="U118" i="16"/>
  <c r="T118" i="16" s="1"/>
  <c r="S118" i="16" s="1"/>
  <c r="R118" i="16" s="1"/>
  <c r="U126" i="16"/>
  <c r="T126" i="16" s="1"/>
  <c r="S126" i="16" s="1"/>
  <c r="R126" i="16" s="1"/>
  <c r="U134" i="16"/>
  <c r="T134" i="16" s="1"/>
  <c r="S134" i="16" s="1"/>
  <c r="R134" i="16" s="1"/>
  <c r="U142" i="16"/>
  <c r="T142" i="16" s="1"/>
  <c r="S142" i="16" s="1"/>
  <c r="R142" i="16" s="1"/>
  <c r="U150" i="16"/>
  <c r="T150" i="16" s="1"/>
  <c r="S150" i="16" s="1"/>
  <c r="R150" i="16" s="1"/>
  <c r="U158" i="16"/>
  <c r="T158" i="16" s="1"/>
  <c r="S158" i="16" s="1"/>
  <c r="R158" i="16" s="1"/>
  <c r="U166" i="16"/>
  <c r="T166" i="16" s="1"/>
  <c r="S166" i="16" s="1"/>
  <c r="R166" i="16" s="1"/>
  <c r="U174" i="16"/>
  <c r="T174" i="16" s="1"/>
  <c r="S174" i="16" s="1"/>
  <c r="R174" i="16" s="1"/>
  <c r="U182" i="16"/>
  <c r="T182" i="16" s="1"/>
  <c r="S182" i="16" s="1"/>
  <c r="R182" i="16" s="1"/>
  <c r="U190" i="16"/>
  <c r="T190" i="16" s="1"/>
  <c r="S190" i="16" s="1"/>
  <c r="R190" i="16" s="1"/>
  <c r="U198" i="16"/>
  <c r="T198" i="16" s="1"/>
  <c r="S198" i="16" s="1"/>
  <c r="R198" i="16" s="1"/>
  <c r="U206" i="16"/>
  <c r="T206" i="16" s="1"/>
  <c r="S206" i="16" s="1"/>
  <c r="R206" i="16" s="1"/>
  <c r="U214" i="16"/>
  <c r="T214" i="16" s="1"/>
  <c r="S214" i="16" s="1"/>
  <c r="R214" i="16" s="1"/>
  <c r="U222" i="16"/>
  <c r="T222" i="16" s="1"/>
  <c r="S222" i="16" s="1"/>
  <c r="R222" i="16" s="1"/>
  <c r="U230" i="16"/>
  <c r="T230" i="16" s="1"/>
  <c r="S230" i="16" s="1"/>
  <c r="R230" i="16" s="1"/>
  <c r="U238" i="16"/>
  <c r="T238" i="16" s="1"/>
  <c r="S238" i="16" s="1"/>
  <c r="R238" i="16" s="1"/>
  <c r="P238" i="16" s="1"/>
  <c r="V238" i="16" s="1"/>
  <c r="U246" i="16"/>
  <c r="T246" i="16" s="1"/>
  <c r="S246" i="16" s="1"/>
  <c r="R246" i="16" s="1"/>
  <c r="U254" i="16"/>
  <c r="T254" i="16" s="1"/>
  <c r="S254" i="16" s="1"/>
  <c r="R254" i="16" s="1"/>
  <c r="U262" i="16"/>
  <c r="T262" i="16" s="1"/>
  <c r="S262" i="16" s="1"/>
  <c r="R262" i="16" s="1"/>
  <c r="U270" i="16"/>
  <c r="T270" i="16" s="1"/>
  <c r="S270" i="16" s="1"/>
  <c r="R270" i="16" s="1"/>
  <c r="U278" i="16"/>
  <c r="T278" i="16" s="1"/>
  <c r="S278" i="16" s="1"/>
  <c r="R278" i="16" s="1"/>
  <c r="P278" i="16" s="1"/>
  <c r="V278" i="16" s="1"/>
  <c r="U286" i="16"/>
  <c r="T286" i="16" s="1"/>
  <c r="S286" i="16" s="1"/>
  <c r="R286" i="16" s="1"/>
  <c r="U294" i="16"/>
  <c r="T294" i="16" s="1"/>
  <c r="S294" i="16" s="1"/>
  <c r="R294" i="16" s="1"/>
  <c r="P294" i="16" s="1"/>
  <c r="V294" i="16" s="1"/>
  <c r="U299" i="16"/>
  <c r="T299" i="16" s="1"/>
  <c r="S299" i="16" s="1"/>
  <c r="R299" i="16" s="1"/>
  <c r="U295" i="16"/>
  <c r="T295" i="16" s="1"/>
  <c r="S295" i="16" s="1"/>
  <c r="R295" i="16" s="1"/>
  <c r="U291" i="16"/>
  <c r="T291" i="16" s="1"/>
  <c r="S291" i="16" s="1"/>
  <c r="R291" i="16" s="1"/>
  <c r="U287" i="16"/>
  <c r="T287" i="16" s="1"/>
  <c r="S287" i="16" s="1"/>
  <c r="R287" i="16" s="1"/>
  <c r="U283" i="16"/>
  <c r="T283" i="16" s="1"/>
  <c r="S283" i="16" s="1"/>
  <c r="R283" i="16" s="1"/>
  <c r="U279" i="16"/>
  <c r="T279" i="16" s="1"/>
  <c r="S279" i="16" s="1"/>
  <c r="R279" i="16" s="1"/>
  <c r="U275" i="16"/>
  <c r="T275" i="16" s="1"/>
  <c r="S275" i="16" s="1"/>
  <c r="R275" i="16" s="1"/>
  <c r="U271" i="16"/>
  <c r="T271" i="16" s="1"/>
  <c r="S271" i="16" s="1"/>
  <c r="R271" i="16" s="1"/>
  <c r="U267" i="16"/>
  <c r="T267" i="16" s="1"/>
  <c r="S267" i="16" s="1"/>
  <c r="R267" i="16" s="1"/>
  <c r="U263" i="16"/>
  <c r="T263" i="16" s="1"/>
  <c r="S263" i="16" s="1"/>
  <c r="R263" i="16" s="1"/>
  <c r="U259" i="16"/>
  <c r="T259" i="16" s="1"/>
  <c r="S259" i="16" s="1"/>
  <c r="R259" i="16" s="1"/>
  <c r="U255" i="16"/>
  <c r="T255" i="16" s="1"/>
  <c r="S255" i="16" s="1"/>
  <c r="R255" i="16" s="1"/>
  <c r="U251" i="16"/>
  <c r="T251" i="16" s="1"/>
  <c r="S251" i="16" s="1"/>
  <c r="R251" i="16" s="1"/>
  <c r="U247" i="16"/>
  <c r="T247" i="16" s="1"/>
  <c r="S247" i="16" s="1"/>
  <c r="R247" i="16" s="1"/>
  <c r="U243" i="16"/>
  <c r="T243" i="16" s="1"/>
  <c r="S243" i="16" s="1"/>
  <c r="R243" i="16" s="1"/>
  <c r="U239" i="16"/>
  <c r="T239" i="16" s="1"/>
  <c r="S239" i="16" s="1"/>
  <c r="R239" i="16" s="1"/>
  <c r="U235" i="16"/>
  <c r="T235" i="16" s="1"/>
  <c r="S235" i="16" s="1"/>
  <c r="R235" i="16" s="1"/>
  <c r="U231" i="16"/>
  <c r="T231" i="16" s="1"/>
  <c r="S231" i="16" s="1"/>
  <c r="R231" i="16" s="1"/>
  <c r="U227" i="16"/>
  <c r="T227" i="16" s="1"/>
  <c r="S227" i="16" s="1"/>
  <c r="R227" i="16" s="1"/>
  <c r="U223" i="16"/>
  <c r="T223" i="16" s="1"/>
  <c r="S223" i="16" s="1"/>
  <c r="R223" i="16" s="1"/>
  <c r="U219" i="16"/>
  <c r="T219" i="16" s="1"/>
  <c r="S219" i="16" s="1"/>
  <c r="R219" i="16" s="1"/>
  <c r="U215" i="16"/>
  <c r="T215" i="16" s="1"/>
  <c r="S215" i="16" s="1"/>
  <c r="R215" i="16" s="1"/>
  <c r="U211" i="16"/>
  <c r="T211" i="16" s="1"/>
  <c r="S211" i="16" s="1"/>
  <c r="R211" i="16" s="1"/>
  <c r="U207" i="16"/>
  <c r="T207" i="16" s="1"/>
  <c r="S207" i="16" s="1"/>
  <c r="R207" i="16" s="1"/>
  <c r="U203" i="16"/>
  <c r="T203" i="16" s="1"/>
  <c r="S203" i="16" s="1"/>
  <c r="R203" i="16" s="1"/>
  <c r="U199" i="16"/>
  <c r="T199" i="16" s="1"/>
  <c r="S199" i="16" s="1"/>
  <c r="R199" i="16" s="1"/>
  <c r="U195" i="16"/>
  <c r="T195" i="16" s="1"/>
  <c r="S195" i="16" s="1"/>
  <c r="R195" i="16" s="1"/>
  <c r="U191" i="16"/>
  <c r="T191" i="16" s="1"/>
  <c r="S191" i="16" s="1"/>
  <c r="R191" i="16" s="1"/>
  <c r="U187" i="16"/>
  <c r="T187" i="16" s="1"/>
  <c r="S187" i="16" s="1"/>
  <c r="R187" i="16" s="1"/>
  <c r="U183" i="16"/>
  <c r="T183" i="16" s="1"/>
  <c r="S183" i="16" s="1"/>
  <c r="R183" i="16" s="1"/>
  <c r="U179" i="16"/>
  <c r="T179" i="16" s="1"/>
  <c r="S179" i="16" s="1"/>
  <c r="R179" i="16" s="1"/>
  <c r="U175" i="16"/>
  <c r="T175" i="16" s="1"/>
  <c r="S175" i="16" s="1"/>
  <c r="R175" i="16" s="1"/>
  <c r="U171" i="16"/>
  <c r="T171" i="16" s="1"/>
  <c r="S171" i="16" s="1"/>
  <c r="R171" i="16" s="1"/>
  <c r="U167" i="16"/>
  <c r="T167" i="16" s="1"/>
  <c r="S167" i="16" s="1"/>
  <c r="R167" i="16" s="1"/>
  <c r="U163" i="16"/>
  <c r="T163" i="16" s="1"/>
  <c r="S163" i="16" s="1"/>
  <c r="R163" i="16" s="1"/>
  <c r="U159" i="16"/>
  <c r="T159" i="16" s="1"/>
  <c r="S159" i="16" s="1"/>
  <c r="R159" i="16" s="1"/>
  <c r="U155" i="16"/>
  <c r="T155" i="16" s="1"/>
  <c r="S155" i="16" s="1"/>
  <c r="R155" i="16" s="1"/>
  <c r="U151" i="16"/>
  <c r="T151" i="16" s="1"/>
  <c r="S151" i="16" s="1"/>
  <c r="R151" i="16" s="1"/>
  <c r="U147" i="16"/>
  <c r="T147" i="16" s="1"/>
  <c r="S147" i="16" s="1"/>
  <c r="R147" i="16" s="1"/>
  <c r="U143" i="16"/>
  <c r="T143" i="16" s="1"/>
  <c r="S143" i="16" s="1"/>
  <c r="R143" i="16" s="1"/>
  <c r="U139" i="16"/>
  <c r="T139" i="16" s="1"/>
  <c r="S139" i="16" s="1"/>
  <c r="R139" i="16" s="1"/>
  <c r="U135" i="16"/>
  <c r="T135" i="16" s="1"/>
  <c r="S135" i="16" s="1"/>
  <c r="R135" i="16" s="1"/>
  <c r="U131" i="16"/>
  <c r="T131" i="16" s="1"/>
  <c r="S131" i="16" s="1"/>
  <c r="R131" i="16" s="1"/>
  <c r="U127" i="16"/>
  <c r="T127" i="16" s="1"/>
  <c r="S127" i="16" s="1"/>
  <c r="R127" i="16" s="1"/>
  <c r="U123" i="16"/>
  <c r="T123" i="16" s="1"/>
  <c r="S123" i="16" s="1"/>
  <c r="R123" i="16" s="1"/>
  <c r="U119" i="16"/>
  <c r="T119" i="16" s="1"/>
  <c r="S119" i="16" s="1"/>
  <c r="R119" i="16" s="1"/>
  <c r="U115" i="16"/>
  <c r="T115" i="16" s="1"/>
  <c r="S115" i="16" s="1"/>
  <c r="R115" i="16" s="1"/>
  <c r="U111" i="16"/>
  <c r="T111" i="16" s="1"/>
  <c r="S111" i="16" s="1"/>
  <c r="R111" i="16" s="1"/>
  <c r="U107" i="16"/>
  <c r="T107" i="16" s="1"/>
  <c r="S107" i="16" s="1"/>
  <c r="R107" i="16" s="1"/>
  <c r="U103" i="16"/>
  <c r="T103" i="16" s="1"/>
  <c r="S103" i="16" s="1"/>
  <c r="R103" i="16" s="1"/>
  <c r="U99" i="16"/>
  <c r="T99" i="16" s="1"/>
  <c r="S99" i="16" s="1"/>
  <c r="R99" i="16" s="1"/>
  <c r="U95" i="16"/>
  <c r="T95" i="16" s="1"/>
  <c r="S95" i="16" s="1"/>
  <c r="R95" i="16" s="1"/>
  <c r="U90" i="16"/>
  <c r="T90" i="16" s="1"/>
  <c r="S90" i="16" s="1"/>
  <c r="R90" i="16" s="1"/>
  <c r="U82" i="16"/>
  <c r="T82" i="16" s="1"/>
  <c r="S82" i="16" s="1"/>
  <c r="R82" i="16" s="1"/>
  <c r="U74" i="16"/>
  <c r="T74" i="16" s="1"/>
  <c r="S74" i="16" s="1"/>
  <c r="R74" i="16" s="1"/>
  <c r="U66" i="16"/>
  <c r="T66" i="16" s="1"/>
  <c r="S66" i="16" s="1"/>
  <c r="R66" i="16" s="1"/>
  <c r="U58" i="16"/>
  <c r="T58" i="16" s="1"/>
  <c r="S58" i="16" s="1"/>
  <c r="R58" i="16" s="1"/>
  <c r="U50" i="16"/>
  <c r="T50" i="16" s="1"/>
  <c r="S50" i="16" s="1"/>
  <c r="R50" i="16" s="1"/>
  <c r="U42" i="16"/>
  <c r="T42" i="16" s="1"/>
  <c r="S42" i="16" s="1"/>
  <c r="R42" i="16" s="1"/>
  <c r="U34" i="16"/>
  <c r="T34" i="16" s="1"/>
  <c r="S34" i="16" s="1"/>
  <c r="R34" i="16" s="1"/>
  <c r="U26" i="16"/>
  <c r="T26" i="16" s="1"/>
  <c r="S26" i="16" s="1"/>
  <c r="R26" i="16" s="1"/>
  <c r="U16" i="16"/>
  <c r="T16" i="16" s="1"/>
  <c r="S16" i="16" s="1"/>
  <c r="R16" i="16" s="1"/>
  <c r="AI189" i="16"/>
  <c r="AH189" i="16" s="1"/>
  <c r="AG189" i="16" s="1"/>
  <c r="AF189" i="16" s="1"/>
  <c r="AI185" i="16"/>
  <c r="AH185" i="16" s="1"/>
  <c r="AG185" i="16" s="1"/>
  <c r="AF185" i="16" s="1"/>
  <c r="AI181" i="16"/>
  <c r="AH181" i="16" s="1"/>
  <c r="AG181" i="16" s="1"/>
  <c r="AF181" i="16" s="1"/>
  <c r="AI177" i="16"/>
  <c r="AH177" i="16" s="1"/>
  <c r="AG177" i="16" s="1"/>
  <c r="AF177" i="16" s="1"/>
  <c r="AI173" i="16"/>
  <c r="AH173" i="16" s="1"/>
  <c r="AG173" i="16" s="1"/>
  <c r="AF173" i="16" s="1"/>
  <c r="AI169" i="16"/>
  <c r="AH169" i="16" s="1"/>
  <c r="AG169" i="16" s="1"/>
  <c r="AF169" i="16" s="1"/>
  <c r="AI165" i="16"/>
  <c r="AH165" i="16" s="1"/>
  <c r="AG165" i="16" s="1"/>
  <c r="AF165" i="16" s="1"/>
  <c r="AI161" i="16"/>
  <c r="AH161" i="16" s="1"/>
  <c r="AG161" i="16" s="1"/>
  <c r="AF161" i="16" s="1"/>
  <c r="AI157" i="16"/>
  <c r="AH157" i="16" s="1"/>
  <c r="AG157" i="16" s="1"/>
  <c r="AF157" i="16" s="1"/>
  <c r="AI153" i="16"/>
  <c r="AH153" i="16" s="1"/>
  <c r="AG153" i="16" s="1"/>
  <c r="AF153" i="16" s="1"/>
  <c r="AI149" i="16"/>
  <c r="AH149" i="16" s="1"/>
  <c r="AG149" i="16" s="1"/>
  <c r="AF149" i="16" s="1"/>
  <c r="AI145" i="16"/>
  <c r="AH145" i="16" s="1"/>
  <c r="AG145" i="16" s="1"/>
  <c r="AF145" i="16" s="1"/>
  <c r="AI141" i="16"/>
  <c r="AH141" i="16" s="1"/>
  <c r="AG141" i="16" s="1"/>
  <c r="AF141" i="16" s="1"/>
  <c r="AI137" i="16"/>
  <c r="AH137" i="16" s="1"/>
  <c r="AG137" i="16" s="1"/>
  <c r="AF137" i="16" s="1"/>
  <c r="AI133" i="16"/>
  <c r="AH133" i="16" s="1"/>
  <c r="AG133" i="16" s="1"/>
  <c r="AF133" i="16" s="1"/>
  <c r="AI129" i="16"/>
  <c r="AH129" i="16" s="1"/>
  <c r="AG129" i="16" s="1"/>
  <c r="AF129" i="16" s="1"/>
  <c r="AI125" i="16"/>
  <c r="AH125" i="16" s="1"/>
  <c r="AG125" i="16" s="1"/>
  <c r="AF125" i="16" s="1"/>
  <c r="AI121" i="16"/>
  <c r="AH121" i="16" s="1"/>
  <c r="AG121" i="16" s="1"/>
  <c r="AF121" i="16" s="1"/>
  <c r="AI117" i="16"/>
  <c r="AH117" i="16" s="1"/>
  <c r="AG117" i="16" s="1"/>
  <c r="AF117" i="16" s="1"/>
  <c r="AI113" i="16"/>
  <c r="AH113" i="16" s="1"/>
  <c r="AG113" i="16" s="1"/>
  <c r="AF113" i="16" s="1"/>
  <c r="AI109" i="16"/>
  <c r="AH109" i="16" s="1"/>
  <c r="AG109" i="16" s="1"/>
  <c r="AF109" i="16" s="1"/>
  <c r="AI105" i="16"/>
  <c r="AH105" i="16" s="1"/>
  <c r="AG105" i="16" s="1"/>
  <c r="AF105" i="16" s="1"/>
  <c r="AI101" i="16"/>
  <c r="AH101" i="16" s="1"/>
  <c r="AG101" i="16" s="1"/>
  <c r="AF101" i="16" s="1"/>
  <c r="AI97" i="16"/>
  <c r="AH97" i="16" s="1"/>
  <c r="AG97" i="16" s="1"/>
  <c r="AF97" i="16" s="1"/>
  <c r="AI93" i="16"/>
  <c r="AH93" i="16" s="1"/>
  <c r="AG93" i="16" s="1"/>
  <c r="AF93" i="16" s="1"/>
  <c r="AI89" i="16"/>
  <c r="AH89" i="16" s="1"/>
  <c r="AG89" i="16" s="1"/>
  <c r="AF89" i="16" s="1"/>
  <c r="AI84" i="16"/>
  <c r="AH84" i="16" s="1"/>
  <c r="AG84" i="16" s="1"/>
  <c r="AF84" i="16" s="1"/>
  <c r="AI76" i="16"/>
  <c r="AH76" i="16" s="1"/>
  <c r="AG76" i="16" s="1"/>
  <c r="AF76" i="16" s="1"/>
  <c r="AI68" i="16"/>
  <c r="AH68" i="16" s="1"/>
  <c r="AG68" i="16" s="1"/>
  <c r="AF68" i="16" s="1"/>
  <c r="AI56" i="16"/>
  <c r="AH56" i="16" s="1"/>
  <c r="AG56" i="16" s="1"/>
  <c r="AF56" i="16" s="1"/>
  <c r="AI40" i="16"/>
  <c r="AH40" i="16" s="1"/>
  <c r="AG40" i="16" s="1"/>
  <c r="AF40" i="16" s="1"/>
  <c r="AI24" i="16"/>
  <c r="AH24" i="16" s="1"/>
  <c r="AG24" i="16" s="1"/>
  <c r="AF24" i="16" s="1"/>
  <c r="AI83" i="16"/>
  <c r="AH83" i="16" s="1"/>
  <c r="AG83" i="16" s="1"/>
  <c r="AF83" i="16" s="1"/>
  <c r="AI75" i="16"/>
  <c r="AH75" i="16" s="1"/>
  <c r="AG75" i="16" s="1"/>
  <c r="AF75" i="16" s="1"/>
  <c r="AI67" i="16"/>
  <c r="AH67" i="16" s="1"/>
  <c r="AG67" i="16" s="1"/>
  <c r="AF67" i="16" s="1"/>
  <c r="AI59" i="16"/>
  <c r="AH59" i="16" s="1"/>
  <c r="AG59" i="16" s="1"/>
  <c r="AF59" i="16" s="1"/>
  <c r="AI51" i="16"/>
  <c r="AH51" i="16" s="1"/>
  <c r="AG51" i="16" s="1"/>
  <c r="AF51" i="16" s="1"/>
  <c r="AI43" i="16"/>
  <c r="AH43" i="16" s="1"/>
  <c r="AG43" i="16" s="1"/>
  <c r="AF43" i="16" s="1"/>
  <c r="AI35" i="16"/>
  <c r="AH35" i="16" s="1"/>
  <c r="AG35" i="16" s="1"/>
  <c r="AF35" i="16" s="1"/>
  <c r="AI27" i="16"/>
  <c r="AH27" i="16" s="1"/>
  <c r="AG27" i="16" s="1"/>
  <c r="AF27" i="16" s="1"/>
  <c r="AI19" i="16"/>
  <c r="AH19" i="16" s="1"/>
  <c r="AG19" i="16" s="1"/>
  <c r="AF19" i="16" s="1"/>
  <c r="AI42" i="16"/>
  <c r="AH42" i="16" s="1"/>
  <c r="AG42" i="16" s="1"/>
  <c r="AF42" i="16" s="1"/>
  <c r="AI74" i="16"/>
  <c r="AH74" i="16" s="1"/>
  <c r="AG74" i="16" s="1"/>
  <c r="AF74" i="16" s="1"/>
  <c r="AI96" i="16"/>
  <c r="AH96" i="16" s="1"/>
  <c r="AG96" i="16" s="1"/>
  <c r="AF96" i="16" s="1"/>
  <c r="AI112" i="16"/>
  <c r="AH112" i="16" s="1"/>
  <c r="AG112" i="16" s="1"/>
  <c r="AF112" i="16" s="1"/>
  <c r="AI128" i="16"/>
  <c r="AH128" i="16" s="1"/>
  <c r="AG128" i="16" s="1"/>
  <c r="AF128" i="16" s="1"/>
  <c r="AI144" i="16"/>
  <c r="AH144" i="16" s="1"/>
  <c r="AG144" i="16" s="1"/>
  <c r="AF144" i="16" s="1"/>
  <c r="AI160" i="16"/>
  <c r="AH160" i="16" s="1"/>
  <c r="AG160" i="16" s="1"/>
  <c r="AF160" i="16" s="1"/>
  <c r="AI176" i="16"/>
  <c r="AH176" i="16" s="1"/>
  <c r="AG176" i="16" s="1"/>
  <c r="AF176" i="16" s="1"/>
  <c r="AI192" i="16"/>
  <c r="AH192" i="16" s="1"/>
  <c r="AG192" i="16" s="1"/>
  <c r="AF192" i="16" s="1"/>
  <c r="AI200" i="16"/>
  <c r="AH200" i="16" s="1"/>
  <c r="AG200" i="16" s="1"/>
  <c r="AF200" i="16" s="1"/>
  <c r="AI208" i="16"/>
  <c r="AH208" i="16" s="1"/>
  <c r="AG208" i="16" s="1"/>
  <c r="AF208" i="16" s="1"/>
  <c r="AI216" i="16"/>
  <c r="AH216" i="16" s="1"/>
  <c r="AG216" i="16" s="1"/>
  <c r="AF216" i="16" s="1"/>
  <c r="AI224" i="16"/>
  <c r="AH224" i="16" s="1"/>
  <c r="AG224" i="16" s="1"/>
  <c r="AF224" i="16" s="1"/>
  <c r="AI232" i="16"/>
  <c r="AH232" i="16" s="1"/>
  <c r="AG232" i="16" s="1"/>
  <c r="AF232" i="16" s="1"/>
  <c r="AI240" i="16"/>
  <c r="AH240" i="16" s="1"/>
  <c r="AG240" i="16" s="1"/>
  <c r="AF240" i="16" s="1"/>
  <c r="AI248" i="16"/>
  <c r="AH248" i="16" s="1"/>
  <c r="AG248" i="16" s="1"/>
  <c r="AF248" i="16" s="1"/>
  <c r="AI256" i="16"/>
  <c r="AH256" i="16" s="1"/>
  <c r="AG256" i="16" s="1"/>
  <c r="AF256" i="16" s="1"/>
  <c r="AI264" i="16"/>
  <c r="AH264" i="16" s="1"/>
  <c r="AG264" i="16" s="1"/>
  <c r="AF264" i="16" s="1"/>
  <c r="AI272" i="16"/>
  <c r="AH272" i="16" s="1"/>
  <c r="AG272" i="16" s="1"/>
  <c r="AF272" i="16" s="1"/>
  <c r="AI280" i="16"/>
  <c r="AH280" i="16" s="1"/>
  <c r="AG280" i="16" s="1"/>
  <c r="AF280" i="16" s="1"/>
  <c r="AI288" i="16"/>
  <c r="AH288" i="16" s="1"/>
  <c r="AG288" i="16" s="1"/>
  <c r="AF288" i="16" s="1"/>
  <c r="AI296" i="16"/>
  <c r="AH296" i="16" s="1"/>
  <c r="AG296" i="16" s="1"/>
  <c r="AF296" i="16" s="1"/>
  <c r="AI304" i="16"/>
  <c r="AH304" i="16" s="1"/>
  <c r="AG304" i="16" s="1"/>
  <c r="AF304" i="16" s="1"/>
  <c r="AI312" i="16"/>
  <c r="AH312" i="16" s="1"/>
  <c r="AG312" i="16" s="1"/>
  <c r="AF312" i="16" s="1"/>
  <c r="AI320" i="16"/>
  <c r="AH320" i="16" s="1"/>
  <c r="AG320" i="16" s="1"/>
  <c r="AF320" i="16" s="1"/>
  <c r="AI328" i="16"/>
  <c r="AH328" i="16" s="1"/>
  <c r="AG328" i="16" s="1"/>
  <c r="AF328" i="16" s="1"/>
  <c r="AI336" i="16"/>
  <c r="AH336" i="16" s="1"/>
  <c r="AG336" i="16" s="1"/>
  <c r="AF336" i="16" s="1"/>
  <c r="AI344" i="16"/>
  <c r="AH344" i="16" s="1"/>
  <c r="AG344" i="16" s="1"/>
  <c r="AF344" i="16" s="1"/>
  <c r="AI352" i="16"/>
  <c r="AH352" i="16" s="1"/>
  <c r="AG352" i="16" s="1"/>
  <c r="AF352" i="16" s="1"/>
  <c r="AI360" i="16"/>
  <c r="AH360" i="16" s="1"/>
  <c r="AG360" i="16" s="1"/>
  <c r="AF360" i="16" s="1"/>
  <c r="AI368" i="16"/>
  <c r="AH368" i="16" s="1"/>
  <c r="AG368" i="16" s="1"/>
  <c r="AF368" i="16" s="1"/>
  <c r="AI376" i="16"/>
  <c r="AH376" i="16" s="1"/>
  <c r="AG376" i="16" s="1"/>
  <c r="AF376" i="16" s="1"/>
  <c r="AI134" i="16"/>
  <c r="AH134" i="16" s="1"/>
  <c r="AG134" i="16" s="1"/>
  <c r="AF134" i="16" s="1"/>
  <c r="AI102" i="16"/>
  <c r="AH102" i="16" s="1"/>
  <c r="AG102" i="16" s="1"/>
  <c r="AF102" i="16" s="1"/>
  <c r="AI54" i="16"/>
  <c r="AH54" i="16" s="1"/>
  <c r="AG54" i="16" s="1"/>
  <c r="AF54" i="16" s="1"/>
  <c r="U377" i="16"/>
  <c r="T377" i="16" s="1"/>
  <c r="S377" i="16" s="1"/>
  <c r="R377" i="16" s="1"/>
  <c r="U369" i="16"/>
  <c r="T369" i="16" s="1"/>
  <c r="S369" i="16" s="1"/>
  <c r="R369" i="16" s="1"/>
  <c r="U361" i="16"/>
  <c r="T361" i="16" s="1"/>
  <c r="S361" i="16" s="1"/>
  <c r="R361" i="16" s="1"/>
  <c r="U353" i="16"/>
  <c r="T353" i="16" s="1"/>
  <c r="S353" i="16" s="1"/>
  <c r="R353" i="16" s="1"/>
  <c r="U345" i="16"/>
  <c r="T345" i="16" s="1"/>
  <c r="S345" i="16" s="1"/>
  <c r="R345" i="16" s="1"/>
  <c r="U337" i="16"/>
  <c r="T337" i="16" s="1"/>
  <c r="S337" i="16" s="1"/>
  <c r="R337" i="16" s="1"/>
  <c r="U329" i="16"/>
  <c r="T329" i="16" s="1"/>
  <c r="U321" i="16"/>
  <c r="T321" i="16" s="1"/>
  <c r="S321" i="16" s="1"/>
  <c r="R321" i="16" s="1"/>
  <c r="U313" i="16"/>
  <c r="T313" i="16" s="1"/>
  <c r="S313" i="16" s="1"/>
  <c r="R313" i="16" s="1"/>
  <c r="U305" i="16"/>
  <c r="T305" i="16" s="1"/>
  <c r="S305" i="16" s="1"/>
  <c r="R305" i="16" s="1"/>
  <c r="U288" i="16"/>
  <c r="T288" i="16" s="1"/>
  <c r="S288" i="16" s="1"/>
  <c r="R288" i="16" s="1"/>
  <c r="U256" i="16"/>
  <c r="T256" i="16" s="1"/>
  <c r="S256" i="16" s="1"/>
  <c r="R256" i="16" s="1"/>
  <c r="U224" i="16"/>
  <c r="T224" i="16" s="1"/>
  <c r="S224" i="16" s="1"/>
  <c r="R224" i="16" s="1"/>
  <c r="U192" i="16"/>
  <c r="T192" i="16" s="1"/>
  <c r="S192" i="16" s="1"/>
  <c r="R192" i="16" s="1"/>
  <c r="U160" i="16"/>
  <c r="T160" i="16" s="1"/>
  <c r="S160" i="16" s="1"/>
  <c r="R160" i="16" s="1"/>
  <c r="U128" i="16"/>
  <c r="T128" i="16" s="1"/>
  <c r="S128" i="16" s="1"/>
  <c r="R128" i="16" s="1"/>
  <c r="U96" i="16"/>
  <c r="T96" i="16" s="1"/>
  <c r="S96" i="16" s="1"/>
  <c r="R96" i="16" s="1"/>
  <c r="U20" i="16"/>
  <c r="T20" i="16" s="1"/>
  <c r="S20" i="16" s="1"/>
  <c r="R20" i="16" s="1"/>
  <c r="U298" i="16"/>
  <c r="T298" i="16" s="1"/>
  <c r="S298" i="16" s="1"/>
  <c r="R298" i="16" s="1"/>
  <c r="U364" i="16"/>
  <c r="T364" i="16" s="1"/>
  <c r="S364" i="16" s="1"/>
  <c r="R364" i="16" s="1"/>
  <c r="P364" i="16" s="1"/>
  <c r="V364" i="16" s="1"/>
  <c r="AI90" i="16"/>
  <c r="AH90" i="16" s="1"/>
  <c r="AG90" i="16" s="1"/>
  <c r="AF90" i="16" s="1"/>
  <c r="AI217" i="16"/>
  <c r="AH217" i="16" s="1"/>
  <c r="AG217" i="16" s="1"/>
  <c r="AF217" i="16" s="1"/>
  <c r="AI281" i="16"/>
  <c r="AH281" i="16" s="1"/>
  <c r="AG281" i="16" s="1"/>
  <c r="AF281" i="16" s="1"/>
  <c r="AI341" i="16"/>
  <c r="AH341" i="16" s="1"/>
  <c r="AG341" i="16" s="1"/>
  <c r="AF341" i="16" s="1"/>
  <c r="AI373" i="16"/>
  <c r="AH373" i="16" s="1"/>
  <c r="AG373" i="16" s="1"/>
  <c r="AF373" i="16" s="1"/>
  <c r="AI311" i="16"/>
  <c r="AH311" i="16" s="1"/>
  <c r="AG311" i="16" s="1"/>
  <c r="AF311" i="16" s="1"/>
  <c r="AI279" i="16"/>
  <c r="AH279" i="16" s="1"/>
  <c r="AG279" i="16" s="1"/>
  <c r="AF279" i="16" s="1"/>
  <c r="AI247" i="16"/>
  <c r="AH247" i="16" s="1"/>
  <c r="AG247" i="16" s="1"/>
  <c r="AF247" i="16" s="1"/>
  <c r="AI215" i="16"/>
  <c r="AH215" i="16" s="1"/>
  <c r="AG215" i="16" s="1"/>
  <c r="AF215" i="16" s="1"/>
  <c r="AI174" i="16"/>
  <c r="AH174" i="16" s="1"/>
  <c r="AG174" i="16" s="1"/>
  <c r="AF174" i="16" s="1"/>
  <c r="AI78" i="16"/>
  <c r="AH78" i="16" s="1"/>
  <c r="AG78" i="16" s="1"/>
  <c r="AF78" i="16" s="1"/>
  <c r="U354" i="16"/>
  <c r="T354" i="16" s="1"/>
  <c r="S354" i="16" s="1"/>
  <c r="R354" i="16" s="1"/>
  <c r="U322" i="16"/>
  <c r="T322" i="16" s="1"/>
  <c r="S322" i="16" s="1"/>
  <c r="R322" i="16" s="1"/>
  <c r="P322" i="16" s="1"/>
  <c r="U260" i="16"/>
  <c r="T260" i="16" s="1"/>
  <c r="S260" i="16" s="1"/>
  <c r="R260" i="16" s="1"/>
  <c r="U132" i="16"/>
  <c r="T132" i="16" s="1"/>
  <c r="S132" i="16" s="1"/>
  <c r="R132" i="16" s="1"/>
  <c r="U320" i="16"/>
  <c r="T320" i="16" s="1"/>
  <c r="S320" i="16" s="1"/>
  <c r="R320" i="16" s="1"/>
  <c r="AI221" i="16"/>
  <c r="AH221" i="16" s="1"/>
  <c r="AG221" i="16" s="1"/>
  <c r="AF221" i="16" s="1"/>
  <c r="AI343" i="16"/>
  <c r="AH343" i="16" s="1"/>
  <c r="AG343" i="16" s="1"/>
  <c r="AF343" i="16" s="1"/>
  <c r="AI245" i="16"/>
  <c r="AH245" i="16" s="1"/>
  <c r="AG245" i="16" s="1"/>
  <c r="AF245" i="16" s="1"/>
  <c r="P344" i="16"/>
  <c r="V344" i="16" s="1"/>
  <c r="U28" i="16"/>
  <c r="T28" i="16" s="1"/>
  <c r="S28" i="16" s="1"/>
  <c r="R28" i="16" s="1"/>
  <c r="U156" i="16"/>
  <c r="T156" i="16" s="1"/>
  <c r="S156" i="16" s="1"/>
  <c r="R156" i="16" s="1"/>
  <c r="U284" i="16"/>
  <c r="T284" i="16" s="1"/>
  <c r="S284" i="16" s="1"/>
  <c r="R284" i="16" s="1"/>
  <c r="U328" i="16"/>
  <c r="T328" i="16" s="1"/>
  <c r="S328" i="16" s="1"/>
  <c r="R328" i="16" s="1"/>
  <c r="U360" i="16"/>
  <c r="T360" i="16" s="1"/>
  <c r="S360" i="16" s="1"/>
  <c r="R360" i="16" s="1"/>
  <c r="AI138" i="16"/>
  <c r="AH138" i="16" s="1"/>
  <c r="AG138" i="16" s="1"/>
  <c r="AF138" i="16" s="1"/>
  <c r="AI197" i="16"/>
  <c r="AH197" i="16" s="1"/>
  <c r="AG197" i="16" s="1"/>
  <c r="AF197" i="16" s="1"/>
  <c r="AI229" i="16"/>
  <c r="AH229" i="16" s="1"/>
  <c r="AG229" i="16" s="1"/>
  <c r="AF229" i="16" s="1"/>
  <c r="AI261" i="16"/>
  <c r="AH261" i="16" s="1"/>
  <c r="AG261" i="16" s="1"/>
  <c r="AF261" i="16" s="1"/>
  <c r="AI293" i="16"/>
  <c r="AH293" i="16" s="1"/>
  <c r="AG293" i="16" s="1"/>
  <c r="AF293" i="16" s="1"/>
  <c r="AI325" i="16"/>
  <c r="AH325" i="16" s="1"/>
  <c r="AG325" i="16" s="1"/>
  <c r="AF325" i="16" s="1"/>
  <c r="AI347" i="16"/>
  <c r="AH347" i="16" s="1"/>
  <c r="AG347" i="16" s="1"/>
  <c r="AF347" i="16" s="1"/>
  <c r="AI363" i="16"/>
  <c r="AH363" i="16" s="1"/>
  <c r="AG363" i="16" s="1"/>
  <c r="AF363" i="16" s="1"/>
  <c r="AI379" i="16"/>
  <c r="U312" i="16"/>
  <c r="T312" i="16" s="1"/>
  <c r="S312" i="16" s="1"/>
  <c r="R312" i="16" s="1"/>
  <c r="U376" i="16"/>
  <c r="T376" i="16" s="1"/>
  <c r="S376" i="16" s="1"/>
  <c r="R376" i="16" s="1"/>
  <c r="AI213" i="16"/>
  <c r="AH213" i="16" s="1"/>
  <c r="AG213" i="16" s="1"/>
  <c r="AF213" i="16" s="1"/>
  <c r="AI277" i="16"/>
  <c r="AH277" i="16" s="1"/>
  <c r="AG277" i="16" s="1"/>
  <c r="AF277" i="16" s="1"/>
  <c r="AI339" i="16"/>
  <c r="AH339" i="16" s="1"/>
  <c r="AG339" i="16" s="1"/>
  <c r="AF339" i="16" s="1"/>
  <c r="AI371" i="16"/>
  <c r="AH371" i="16" s="1"/>
  <c r="AG371" i="16" s="1"/>
  <c r="AF371" i="16" s="1"/>
  <c r="AI62" i="16"/>
  <c r="AH62" i="16" s="1"/>
  <c r="AG62" i="16" s="1"/>
  <c r="AF62" i="16" s="1"/>
  <c r="J323" i="15"/>
  <c r="AD22" i="16"/>
  <c r="AD42" i="16"/>
  <c r="AD58" i="16"/>
  <c r="AD86" i="16"/>
  <c r="AD98" i="16"/>
  <c r="AD150" i="16"/>
  <c r="AD162" i="16"/>
  <c r="AD182" i="16"/>
  <c r="P76" i="16"/>
  <c r="V76" i="16" s="1"/>
  <c r="AD269" i="16"/>
  <c r="P336" i="16"/>
  <c r="V336" i="16" s="1"/>
  <c r="F336" i="16" s="1"/>
  <c r="G336" i="16" s="1"/>
  <c r="BY336" i="6" s="1"/>
  <c r="J73" i="15"/>
  <c r="AD209" i="16"/>
  <c r="AD241" i="16"/>
  <c r="AD273" i="16"/>
  <c r="AD337" i="16"/>
  <c r="AD353" i="16"/>
  <c r="P148" i="16"/>
  <c r="V148" i="16" s="1"/>
  <c r="P144" i="16"/>
  <c r="V144" i="16" s="1"/>
  <c r="F144" i="16" s="1"/>
  <c r="P128" i="16"/>
  <c r="V128" i="16" s="1"/>
  <c r="P300" i="16"/>
  <c r="V300" i="16" s="1"/>
  <c r="F300" i="16" s="1"/>
  <c r="G300" i="16" s="1"/>
  <c r="BY300" i="6" s="1"/>
  <c r="P372" i="16"/>
  <c r="V372" i="16" s="1"/>
  <c r="P358" i="16"/>
  <c r="V358" i="16" s="1"/>
  <c r="J19" i="15"/>
  <c r="AD32" i="16"/>
  <c r="AD40" i="16"/>
  <c r="AD72" i="16"/>
  <c r="AD80" i="16"/>
  <c r="AD104" i="16"/>
  <c r="AD136" i="16"/>
  <c r="AD152" i="16"/>
  <c r="AD228" i="16"/>
  <c r="AD252" i="16"/>
  <c r="AD276" i="16"/>
  <c r="AD284" i="16"/>
  <c r="AD292" i="16"/>
  <c r="AD308" i="16"/>
  <c r="AD316" i="16"/>
  <c r="AD348" i="16"/>
  <c r="AD356" i="16"/>
  <c r="AD364" i="16"/>
  <c r="P22" i="16"/>
  <c r="V22" i="16" s="1"/>
  <c r="F22" i="16" s="1"/>
  <c r="P46" i="16"/>
  <c r="V46" i="16" s="1"/>
  <c r="AD219" i="16"/>
  <c r="AD235" i="16"/>
  <c r="AD283" i="16"/>
  <c r="AD299" i="16"/>
  <c r="AD315" i="16"/>
  <c r="P272" i="16"/>
  <c r="D52" i="7" s="1"/>
  <c r="P324" i="16"/>
  <c r="V324" i="16" s="1"/>
  <c r="F324" i="16" s="1"/>
  <c r="G324" i="16" s="1"/>
  <c r="BY324" i="6" s="1"/>
  <c r="P349" i="16"/>
  <c r="V349" i="16" s="1"/>
  <c r="F349" i="16" s="1"/>
  <c r="G349" i="16" s="1"/>
  <c r="BY349" i="6" s="1"/>
  <c r="P357" i="16"/>
  <c r="V357" i="16" s="1"/>
  <c r="F357" i="16" s="1"/>
  <c r="G357" i="16" s="1"/>
  <c r="BY357" i="6" s="1"/>
  <c r="P365" i="16"/>
  <c r="V365" i="16" s="1"/>
  <c r="F365" i="16" s="1"/>
  <c r="G365" i="16" s="1"/>
  <c r="BY365" i="6" s="1"/>
  <c r="P268" i="16"/>
  <c r="V268" i="16" s="1"/>
  <c r="F268" i="16" s="1"/>
  <c r="G268" i="16" s="1"/>
  <c r="BY268" i="6" s="1"/>
  <c r="P356" i="16"/>
  <c r="V356" i="16" s="1"/>
  <c r="F356" i="16" s="1"/>
  <c r="G356" i="16" s="1"/>
  <c r="BY356" i="6" s="1"/>
  <c r="AD28" i="16"/>
  <c r="AD92" i="16"/>
  <c r="AD108" i="16"/>
  <c r="AD124" i="16"/>
  <c r="AD172" i="16"/>
  <c r="P66" i="16"/>
  <c r="V66" i="16" s="1"/>
  <c r="P326" i="16"/>
  <c r="V326" i="16" s="1"/>
  <c r="F326" i="16" s="1"/>
  <c r="H326" i="16" s="1"/>
  <c r="P342" i="16"/>
  <c r="V342" i="16" s="1"/>
  <c r="P374" i="16"/>
  <c r="V374" i="16" s="1"/>
  <c r="AD45" i="16"/>
  <c r="AD85" i="16"/>
  <c r="AD89" i="16"/>
  <c r="AD129" i="16"/>
  <c r="AD157" i="16"/>
  <c r="AD177" i="16"/>
  <c r="AD181" i="16"/>
  <c r="P369" i="16"/>
  <c r="V369" i="16" s="1"/>
  <c r="F369" i="16" s="1"/>
  <c r="H369" i="16" s="1"/>
  <c r="P82" i="16"/>
  <c r="V82" i="16" s="1"/>
  <c r="P227" i="16"/>
  <c r="V227" i="16" s="1"/>
  <c r="F227" i="16" s="1"/>
  <c r="G227" i="16" s="1"/>
  <c r="BY227" i="6" s="1"/>
  <c r="P232" i="16"/>
  <c r="V232" i="16" s="1"/>
  <c r="P264" i="16"/>
  <c r="V264" i="16" s="1"/>
  <c r="P339" i="16"/>
  <c r="V339" i="16" s="1"/>
  <c r="P371" i="16"/>
  <c r="V371" i="16" s="1"/>
  <c r="F371" i="16" s="1"/>
  <c r="G371" i="16" s="1"/>
  <c r="BY371" i="6" s="1"/>
  <c r="P212" i="16"/>
  <c r="V212" i="16" s="1"/>
  <c r="P266" i="16"/>
  <c r="V266" i="16" s="1"/>
  <c r="P307" i="16"/>
  <c r="V307" i="16" s="1"/>
  <c r="P15" i="7"/>
  <c r="H333" i="15"/>
  <c r="I333" i="15" s="1"/>
  <c r="J273" i="15"/>
  <c r="P77" i="16"/>
  <c r="V77" i="16" s="1"/>
  <c r="J84" i="15"/>
  <c r="I219" i="15"/>
  <c r="C41" i="19"/>
  <c r="P299" i="16"/>
  <c r="V299" i="16" s="1"/>
  <c r="P271" i="16"/>
  <c r="V271" i="16" s="1"/>
  <c r="AD184" i="16"/>
  <c r="P59" i="16"/>
  <c r="V59" i="16" s="1"/>
  <c r="F59" i="16" s="1"/>
  <c r="P29" i="16"/>
  <c r="V29" i="16" s="1"/>
  <c r="P270" i="16"/>
  <c r="V270" i="16" s="1"/>
  <c r="P85" i="16"/>
  <c r="V85" i="16" s="1"/>
  <c r="P121" i="16"/>
  <c r="V121" i="16" s="1"/>
  <c r="P219" i="16"/>
  <c r="V219" i="16" s="1"/>
  <c r="J296" i="15"/>
  <c r="AA333" i="15"/>
  <c r="Z333" i="15" s="1"/>
  <c r="Y333" i="15" s="1"/>
  <c r="I70" i="15"/>
  <c r="J203" i="15"/>
  <c r="J377" i="15"/>
  <c r="J95" i="15"/>
  <c r="I189" i="15"/>
  <c r="I217" i="15"/>
  <c r="J229" i="15"/>
  <c r="I250" i="15"/>
  <c r="L62" i="19"/>
  <c r="I230" i="15"/>
  <c r="I27" i="15"/>
  <c r="J331" i="15"/>
  <c r="J283" i="15"/>
  <c r="J110" i="15"/>
  <c r="J316" i="15"/>
  <c r="J346" i="15"/>
  <c r="J243" i="15"/>
  <c r="J180" i="15"/>
  <c r="I319" i="15"/>
  <c r="J354" i="15"/>
  <c r="I374" i="15"/>
  <c r="J63" i="15"/>
  <c r="I367" i="15"/>
  <c r="J214" i="15"/>
  <c r="J162" i="15"/>
  <c r="I123" i="15"/>
  <c r="I202" i="15"/>
  <c r="I186" i="15"/>
  <c r="I259" i="15"/>
  <c r="I266" i="15"/>
  <c r="I97" i="15"/>
  <c r="J124" i="15"/>
  <c r="I238" i="15"/>
  <c r="J291" i="15"/>
  <c r="I329" i="15"/>
  <c r="I246" i="15"/>
  <c r="I258" i="15"/>
  <c r="I194" i="15"/>
  <c r="I339" i="15"/>
  <c r="I301" i="15"/>
  <c r="I345" i="15"/>
  <c r="I156" i="15"/>
  <c r="J274" i="15"/>
  <c r="J351" i="15"/>
  <c r="J306" i="15"/>
  <c r="I151" i="15"/>
  <c r="I161" i="15"/>
  <c r="J355" i="15"/>
  <c r="J263" i="15"/>
  <c r="J98" i="15"/>
  <c r="I375" i="15"/>
  <c r="J253" i="15"/>
  <c r="J269" i="15"/>
  <c r="J353" i="15"/>
  <c r="I87" i="15"/>
  <c r="J177" i="15"/>
  <c r="J213" i="15"/>
  <c r="J130" i="15"/>
  <c r="I321" i="15"/>
  <c r="J76" i="15"/>
  <c r="J223" i="15"/>
  <c r="AA379" i="15"/>
  <c r="Z379" i="15" s="1"/>
  <c r="Y379" i="15" s="1"/>
  <c r="G62" i="19"/>
  <c r="G180" i="15"/>
  <c r="BX180" i="6" s="1"/>
  <c r="P185" i="16"/>
  <c r="V185" i="16" s="1"/>
  <c r="F185" i="16" s="1"/>
  <c r="G185" i="16" s="1"/>
  <c r="BY185" i="6" s="1"/>
  <c r="P149" i="16"/>
  <c r="V149" i="16" s="1"/>
  <c r="L40" i="19"/>
  <c r="I143" i="15"/>
  <c r="J142" i="15"/>
  <c r="I284" i="15"/>
  <c r="I277" i="15"/>
  <c r="I338" i="15"/>
  <c r="AD66" i="16"/>
  <c r="AD194" i="16"/>
  <c r="AD198" i="16"/>
  <c r="AD202" i="16"/>
  <c r="AD214" i="16"/>
  <c r="AD226" i="16"/>
  <c r="AD230" i="16"/>
  <c r="AD234" i="16"/>
  <c r="AD238" i="16"/>
  <c r="AD262" i="16"/>
  <c r="AD278" i="16"/>
  <c r="AD290" i="16"/>
  <c r="AD294" i="16"/>
  <c r="AD310" i="16"/>
  <c r="AD326" i="16"/>
  <c r="AD334" i="16"/>
  <c r="AD350" i="16"/>
  <c r="AD354" i="16"/>
  <c r="AD374" i="16"/>
  <c r="I81" i="15"/>
  <c r="I68" i="15"/>
  <c r="J116" i="15"/>
  <c r="J90" i="15"/>
  <c r="J146" i="15"/>
  <c r="J317" i="15"/>
  <c r="I140" i="15"/>
  <c r="J290" i="15"/>
  <c r="J31" i="15"/>
  <c r="J211" i="15"/>
  <c r="P333" i="16"/>
  <c r="D54" i="7" s="1"/>
  <c r="P355" i="16"/>
  <c r="V355" i="16" s="1"/>
  <c r="F355" i="16" s="1"/>
  <c r="H355" i="16" s="1"/>
  <c r="P363" i="16"/>
  <c r="D55" i="7" s="1"/>
  <c r="M62" i="19"/>
  <c r="P170" i="16"/>
  <c r="V170" i="16" s="1"/>
  <c r="P154" i="16"/>
  <c r="V154" i="16" s="1"/>
  <c r="P146" i="16"/>
  <c r="V146" i="16" s="1"/>
  <c r="P130" i="16"/>
  <c r="V130" i="16" s="1"/>
  <c r="F130" i="16" s="1"/>
  <c r="G130" i="16" s="1"/>
  <c r="BY130" i="6" s="1"/>
  <c r="P122" i="16"/>
  <c r="V122" i="16" s="1"/>
  <c r="P106" i="16"/>
  <c r="V106" i="16" s="1"/>
  <c r="F106" i="16" s="1"/>
  <c r="P86" i="16"/>
  <c r="V86" i="16" s="1"/>
  <c r="P202" i="16"/>
  <c r="V202" i="16" s="1"/>
  <c r="P250" i="16"/>
  <c r="V250" i="16" s="1"/>
  <c r="F250" i="16" s="1"/>
  <c r="G250" i="16" s="1"/>
  <c r="BY250" i="6" s="1"/>
  <c r="P181" i="16"/>
  <c r="V181" i="16" s="1"/>
  <c r="F181" i="16" s="1"/>
  <c r="P165" i="16"/>
  <c r="V165" i="16" s="1"/>
  <c r="F165" i="16" s="1"/>
  <c r="G165" i="16" s="1"/>
  <c r="BY165" i="6" s="1"/>
  <c r="P157" i="16"/>
  <c r="V157" i="16" s="1"/>
  <c r="F157" i="16" s="1"/>
  <c r="G157" i="16" s="1"/>
  <c r="BY157" i="6" s="1"/>
  <c r="P133" i="16"/>
  <c r="V133" i="16" s="1"/>
  <c r="F133" i="16" s="1"/>
  <c r="G133" i="16" s="1"/>
  <c r="BY133" i="6" s="1"/>
  <c r="P105" i="16"/>
  <c r="V105" i="16" s="1"/>
  <c r="F105" i="16" s="1"/>
  <c r="G105" i="16" s="1"/>
  <c r="BY105" i="6" s="1"/>
  <c r="P23" i="16"/>
  <c r="V23" i="16" s="1"/>
  <c r="H29" i="15"/>
  <c r="J29" i="15" s="1"/>
  <c r="E62" i="19"/>
  <c r="P125" i="16"/>
  <c r="V125" i="16" s="1"/>
  <c r="H302" i="15"/>
  <c r="J302" i="15" s="1"/>
  <c r="P19" i="16"/>
  <c r="V19" i="16" s="1"/>
  <c r="P114" i="16"/>
  <c r="V114" i="16" s="1"/>
  <c r="F114" i="16" s="1"/>
  <c r="G114" i="16" s="1"/>
  <c r="BY114" i="6" s="1"/>
  <c r="P138" i="16"/>
  <c r="V138" i="16" s="1"/>
  <c r="F138" i="16" s="1"/>
  <c r="P210" i="16"/>
  <c r="V210" i="16" s="1"/>
  <c r="P226" i="16"/>
  <c r="V226" i="16" s="1"/>
  <c r="F226" i="16" s="1"/>
  <c r="H226" i="16" s="1"/>
  <c r="P242" i="16"/>
  <c r="V242" i="16" s="1"/>
  <c r="P274" i="16"/>
  <c r="V274" i="16" s="1"/>
  <c r="I25" i="15"/>
  <c r="I341" i="15"/>
  <c r="I314" i="15"/>
  <c r="P24" i="16"/>
  <c r="V24" i="16" s="1"/>
  <c r="P72" i="16"/>
  <c r="V72" i="16" s="1"/>
  <c r="J67" i="15"/>
  <c r="P188" i="16"/>
  <c r="V188" i="16" s="1"/>
  <c r="P200" i="16"/>
  <c r="V200" i="16" s="1"/>
  <c r="P296" i="16"/>
  <c r="V296" i="16" s="1"/>
  <c r="P362" i="16"/>
  <c r="V362" i="16" s="1"/>
  <c r="P368" i="16"/>
  <c r="V368" i="16" s="1"/>
  <c r="I363" i="15"/>
  <c r="J114" i="15"/>
  <c r="J178" i="15"/>
  <c r="J234" i="15"/>
  <c r="J271" i="15"/>
  <c r="AD31" i="16"/>
  <c r="AD39" i="16"/>
  <c r="AD47" i="16"/>
  <c r="AD71" i="16"/>
  <c r="AD95" i="16"/>
  <c r="AD127" i="16"/>
  <c r="AD163" i="16"/>
  <c r="AD167" i="16"/>
  <c r="AD171" i="16"/>
  <c r="AD179" i="16"/>
  <c r="AD187" i="16"/>
  <c r="AD191" i="16"/>
  <c r="I47" i="15"/>
  <c r="J99" i="15"/>
  <c r="T15" i="16"/>
  <c r="P39" i="16"/>
  <c r="V39" i="16" s="1"/>
  <c r="P55" i="16"/>
  <c r="V55" i="16" s="1"/>
  <c r="F55" i="16" s="1"/>
  <c r="H55" i="16" s="1"/>
  <c r="P301" i="16"/>
  <c r="V301" i="16" s="1"/>
  <c r="F301" i="16" s="1"/>
  <c r="P281" i="16"/>
  <c r="V281" i="16" s="1"/>
  <c r="F281" i="16" s="1"/>
  <c r="P277" i="16"/>
  <c r="V277" i="16" s="1"/>
  <c r="F277" i="16" s="1"/>
  <c r="P273" i="16"/>
  <c r="V273" i="16" s="1"/>
  <c r="F273" i="16" s="1"/>
  <c r="P265" i="16"/>
  <c r="V265" i="16" s="1"/>
  <c r="F265" i="16" s="1"/>
  <c r="P261" i="16"/>
  <c r="V261" i="16" s="1"/>
  <c r="F261" i="16" s="1"/>
  <c r="P253" i="16"/>
  <c r="V253" i="16" s="1"/>
  <c r="F253" i="16" s="1"/>
  <c r="P249" i="16"/>
  <c r="V249" i="16" s="1"/>
  <c r="F249" i="16" s="1"/>
  <c r="P245" i="16"/>
  <c r="V245" i="16" s="1"/>
  <c r="F245" i="16" s="1"/>
  <c r="P241" i="16"/>
  <c r="D51" i="7" s="1"/>
  <c r="P229" i="16"/>
  <c r="V229" i="16" s="1"/>
  <c r="F229" i="16" s="1"/>
  <c r="P225" i="16"/>
  <c r="V225" i="16" s="1"/>
  <c r="F225" i="16" s="1"/>
  <c r="P221" i="16"/>
  <c r="V221" i="16" s="1"/>
  <c r="F221" i="16" s="1"/>
  <c r="P209" i="16"/>
  <c r="V209" i="16" s="1"/>
  <c r="P201" i="16"/>
  <c r="V201" i="16" s="1"/>
  <c r="F201" i="16" s="1"/>
  <c r="P189" i="16"/>
  <c r="V189" i="16" s="1"/>
  <c r="F189" i="16" s="1"/>
  <c r="P145" i="16"/>
  <c r="V145" i="16" s="1"/>
  <c r="F145" i="16" s="1"/>
  <c r="P137" i="16"/>
  <c r="V137" i="16" s="1"/>
  <c r="P129" i="16"/>
  <c r="V129" i="16" s="1"/>
  <c r="F129" i="16" s="1"/>
  <c r="AA210" i="15"/>
  <c r="Z210" i="15" s="1"/>
  <c r="Y210" i="15" s="1"/>
  <c r="H210" i="15"/>
  <c r="J210" i="15" s="1"/>
  <c r="P109" i="16"/>
  <c r="V109" i="16" s="1"/>
  <c r="H119" i="15"/>
  <c r="I119" i="15" s="1"/>
  <c r="G119" i="15"/>
  <c r="BX119" i="6" s="1"/>
  <c r="AD103" i="16"/>
  <c r="AD111" i="16"/>
  <c r="AD131" i="16"/>
  <c r="AD135" i="16"/>
  <c r="AD143" i="16"/>
  <c r="AD159" i="16"/>
  <c r="P233" i="16"/>
  <c r="V233" i="16" s="1"/>
  <c r="P293" i="16"/>
  <c r="V293" i="16" s="1"/>
  <c r="F293" i="16" s="1"/>
  <c r="H293" i="16" s="1"/>
  <c r="J218" i="15"/>
  <c r="I71" i="15"/>
  <c r="I270" i="15"/>
  <c r="I349" i="15"/>
  <c r="J55" i="15"/>
  <c r="J310" i="15"/>
  <c r="I347" i="15"/>
  <c r="J261" i="15"/>
  <c r="J262" i="15"/>
  <c r="J251" i="15"/>
  <c r="J122" i="15"/>
  <c r="J206" i="15"/>
  <c r="I342" i="15"/>
  <c r="J103" i="15"/>
  <c r="I187" i="15"/>
  <c r="J221" i="15"/>
  <c r="J135" i="15"/>
  <c r="J91" i="15"/>
  <c r="J205" i="15"/>
  <c r="I62" i="19"/>
  <c r="P75" i="16"/>
  <c r="V75" i="16" s="1"/>
  <c r="P173" i="16"/>
  <c r="V173" i="16" s="1"/>
  <c r="P325" i="16"/>
  <c r="V325" i="16" s="1"/>
  <c r="P347" i="16"/>
  <c r="V347" i="16" s="1"/>
  <c r="P35" i="16"/>
  <c r="V35" i="16" s="1"/>
  <c r="P47" i="16"/>
  <c r="V47" i="16" s="1"/>
  <c r="P43" i="16"/>
  <c r="V43" i="16" s="1"/>
  <c r="F43" i="16" s="1"/>
  <c r="J293" i="15"/>
  <c r="I59" i="15"/>
  <c r="J242" i="15"/>
  <c r="I190" i="15"/>
  <c r="I325" i="15"/>
  <c r="I357" i="15"/>
  <c r="I69" i="15"/>
  <c r="K62" i="19"/>
  <c r="F317" i="16"/>
  <c r="G317" i="16" s="1"/>
  <c r="BY317" i="6" s="1"/>
  <c r="AA302" i="15"/>
  <c r="Z302" i="15" s="1"/>
  <c r="Y302" i="15" s="1"/>
  <c r="J74" i="15"/>
  <c r="P262" i="16"/>
  <c r="V262" i="16" s="1"/>
  <c r="P304" i="16"/>
  <c r="V304" i="16" s="1"/>
  <c r="F304" i="16" s="1"/>
  <c r="G304" i="16" s="1"/>
  <c r="BY304" i="6" s="1"/>
  <c r="P310" i="16"/>
  <c r="V310" i="16" s="1"/>
  <c r="AD267" i="16"/>
  <c r="P67" i="16"/>
  <c r="V67" i="16" s="1"/>
  <c r="P71" i="16"/>
  <c r="V71" i="16" s="1"/>
  <c r="P143" i="16"/>
  <c r="V143" i="16" s="1"/>
  <c r="P315" i="16"/>
  <c r="V315" i="16" s="1"/>
  <c r="P337" i="16"/>
  <c r="V337" i="16" s="1"/>
  <c r="AD23" i="16"/>
  <c r="AD55" i="16"/>
  <c r="AD63" i="16"/>
  <c r="AD175" i="16"/>
  <c r="AD211" i="16"/>
  <c r="AD223" i="16"/>
  <c r="AD227" i="16"/>
  <c r="I121" i="15"/>
  <c r="I265" i="15"/>
  <c r="I370" i="15"/>
  <c r="I129" i="15"/>
  <c r="I92" i="15"/>
  <c r="J105" i="15"/>
  <c r="I249" i="15"/>
  <c r="I45" i="15"/>
  <c r="I185" i="15"/>
  <c r="I289" i="15"/>
  <c r="J57" i="15"/>
  <c r="I169" i="15"/>
  <c r="J326" i="15"/>
  <c r="J33" i="15"/>
  <c r="I209" i="15"/>
  <c r="J113" i="15"/>
  <c r="J254" i="15"/>
  <c r="I165" i="15"/>
  <c r="I88" i="15"/>
  <c r="J138" i="15"/>
  <c r="P93" i="16"/>
  <c r="V93" i="16" s="1"/>
  <c r="P101" i="16"/>
  <c r="V101" i="16" s="1"/>
  <c r="P153" i="16"/>
  <c r="V153" i="16" s="1"/>
  <c r="F153" i="16" s="1"/>
  <c r="H153" i="16" s="1"/>
  <c r="AD26" i="16"/>
  <c r="AD34" i="16"/>
  <c r="AD158" i="16"/>
  <c r="AD222" i="16"/>
  <c r="AD258" i="16"/>
  <c r="AD366" i="16"/>
  <c r="AD369" i="16"/>
  <c r="J35" i="15"/>
  <c r="J365" i="15"/>
  <c r="G241" i="15"/>
  <c r="BX241" i="6" s="1"/>
  <c r="AA241" i="15"/>
  <c r="Z241" i="15" s="1"/>
  <c r="Y241" i="15" s="1"/>
  <c r="H241" i="15"/>
  <c r="I85" i="15"/>
  <c r="P178" i="16"/>
  <c r="V178" i="16" s="1"/>
  <c r="F178" i="16" s="1"/>
  <c r="AD99" i="16"/>
  <c r="AD115" i="16"/>
  <c r="AD139" i="16"/>
  <c r="AD147" i="16"/>
  <c r="AD183" i="16"/>
  <c r="AD203" i="16"/>
  <c r="AD207" i="16"/>
  <c r="AD247" i="16"/>
  <c r="AD251" i="16"/>
  <c r="AD255" i="16"/>
  <c r="AD263" i="16"/>
  <c r="AD287" i="16"/>
  <c r="AD295" i="16"/>
  <c r="AD331" i="16"/>
  <c r="I34" i="15"/>
  <c r="P53" i="16"/>
  <c r="V53" i="16" s="1"/>
  <c r="P91" i="16"/>
  <c r="V91" i="16" s="1"/>
  <c r="P197" i="16"/>
  <c r="V197" i="16" s="1"/>
  <c r="P217" i="16"/>
  <c r="V217" i="16" s="1"/>
  <c r="P237" i="16"/>
  <c r="V237" i="16" s="1"/>
  <c r="P289" i="16"/>
  <c r="V289" i="16" s="1"/>
  <c r="F289" i="16" s="1"/>
  <c r="P297" i="16"/>
  <c r="V297" i="16" s="1"/>
  <c r="F297" i="16" s="1"/>
  <c r="P309" i="16"/>
  <c r="V309" i="16" s="1"/>
  <c r="F309" i="16" s="1"/>
  <c r="V117" i="16"/>
  <c r="F117" i="16" s="1"/>
  <c r="AD29" i="16"/>
  <c r="AD37" i="16"/>
  <c r="P79" i="16"/>
  <c r="P87" i="16"/>
  <c r="V87" i="16" s="1"/>
  <c r="P97" i="16"/>
  <c r="V97" i="16" s="1"/>
  <c r="P103" i="16"/>
  <c r="V103" i="16" s="1"/>
  <c r="P119" i="16"/>
  <c r="D47" i="7" s="1"/>
  <c r="P231" i="16"/>
  <c r="V231" i="16" s="1"/>
  <c r="F231" i="16" s="1"/>
  <c r="AA231" i="16" s="1"/>
  <c r="Z231" i="16" s="1"/>
  <c r="Y231" i="16" s="1"/>
  <c r="G136" i="15"/>
  <c r="BX136" i="6" s="1"/>
  <c r="AA380" i="15"/>
  <c r="Z380" i="15" s="1"/>
  <c r="Y380" i="15" s="1"/>
  <c r="G380" i="15"/>
  <c r="BX380" i="6" s="1"/>
  <c r="H380" i="15"/>
  <c r="F364" i="16"/>
  <c r="H364" i="16" s="1"/>
  <c r="F332" i="16"/>
  <c r="G332" i="16" s="1"/>
  <c r="BY332" i="6" s="1"/>
  <c r="F278" i="16"/>
  <c r="G278" i="16" s="1"/>
  <c r="BY278" i="6" s="1"/>
  <c r="F169" i="16"/>
  <c r="F168" i="16"/>
  <c r="H168" i="16" s="1"/>
  <c r="J168" i="16" s="1"/>
  <c r="F148" i="16"/>
  <c r="F338" i="16"/>
  <c r="G338" i="16" s="1"/>
  <c r="BY338" i="6" s="1"/>
  <c r="AA108" i="15"/>
  <c r="Z108" i="15" s="1"/>
  <c r="Y108" i="15" s="1"/>
  <c r="AD142" i="16"/>
  <c r="AD186" i="16"/>
  <c r="AD246" i="16"/>
  <c r="AD342" i="16"/>
  <c r="P73" i="16"/>
  <c r="V73" i="16" s="1"/>
  <c r="H136" i="15"/>
  <c r="J136" i="15" s="1"/>
  <c r="H108" i="15"/>
  <c r="J108" i="15" s="1"/>
  <c r="AD360" i="16"/>
  <c r="AD372" i="16"/>
  <c r="P88" i="16"/>
  <c r="V88" i="16" s="1"/>
  <c r="P92" i="16"/>
  <c r="V92" i="16" s="1"/>
  <c r="P108" i="16"/>
  <c r="V108" i="16" s="1"/>
  <c r="P112" i="16"/>
  <c r="V112" i="16" s="1"/>
  <c r="P140" i="16"/>
  <c r="V140" i="16" s="1"/>
  <c r="P172" i="16"/>
  <c r="V172" i="16" s="1"/>
  <c r="P176" i="16"/>
  <c r="V176" i="16" s="1"/>
  <c r="AD173" i="16"/>
  <c r="AD185" i="16"/>
  <c r="AD249" i="16"/>
  <c r="AD329" i="16"/>
  <c r="P27" i="16"/>
  <c r="V27" i="16" s="1"/>
  <c r="P54" i="16"/>
  <c r="V54" i="16" s="1"/>
  <c r="P40" i="16"/>
  <c r="V40" i="16" s="1"/>
  <c r="P56" i="16"/>
  <c r="V56" i="16" s="1"/>
  <c r="AD61" i="16"/>
  <c r="AD93" i="16"/>
  <c r="AD205" i="16"/>
  <c r="AD237" i="16"/>
  <c r="AD305" i="16"/>
  <c r="P36" i="16"/>
  <c r="V36" i="16" s="1"/>
  <c r="P30" i="16"/>
  <c r="V30" i="16" s="1"/>
  <c r="P58" i="16"/>
  <c r="V58" i="16" s="1"/>
  <c r="P62" i="16"/>
  <c r="V62" i="16" s="1"/>
  <c r="AD53" i="16"/>
  <c r="AD165" i="16"/>
  <c r="AD17" i="16"/>
  <c r="AD164" i="16"/>
  <c r="AD260" i="16"/>
  <c r="AD18" i="16"/>
  <c r="AD21" i="16"/>
  <c r="AD33" i="16"/>
  <c r="AD69" i="16"/>
  <c r="AD77" i="16"/>
  <c r="AD153" i="16"/>
  <c r="AD221" i="16"/>
  <c r="AD30" i="16"/>
  <c r="AD44" i="16"/>
  <c r="AD48" i="16"/>
  <c r="AD74" i="16"/>
  <c r="AD94" i="16"/>
  <c r="AD114" i="16"/>
  <c r="AD120" i="16"/>
  <c r="AD156" i="16"/>
  <c r="AD188" i="16"/>
  <c r="AD212" i="16"/>
  <c r="AD220" i="16"/>
  <c r="AD224" i="16"/>
  <c r="AD254" i="16"/>
  <c r="AD286" i="16"/>
  <c r="AD304" i="16"/>
  <c r="AD318" i="16"/>
  <c r="AD333" i="16"/>
  <c r="F379" i="1"/>
  <c r="V382" i="1"/>
  <c r="V383" i="1"/>
  <c r="V381" i="1"/>
  <c r="M61" i="19"/>
  <c r="AD24" i="16"/>
  <c r="AD60" i="16"/>
  <c r="AD84" i="16"/>
  <c r="AD110" i="16"/>
  <c r="AD140" i="16"/>
  <c r="AD168" i="16"/>
  <c r="AD196" i="16"/>
  <c r="AD206" i="16"/>
  <c r="AD244" i="16"/>
  <c r="AD256" i="16"/>
  <c r="AD270" i="16"/>
  <c r="AD302" i="16"/>
  <c r="AD358" i="16"/>
  <c r="AD341" i="16"/>
  <c r="AD367" i="16"/>
  <c r="AK8" i="16"/>
  <c r="E9" i="16"/>
  <c r="AJ10" i="16"/>
  <c r="AJ12" i="16" s="1"/>
  <c r="AJ13" i="16" s="1"/>
  <c r="E381" i="16"/>
  <c r="E382" i="16"/>
  <c r="E383" i="16"/>
  <c r="J64" i="15"/>
  <c r="I64" i="15"/>
  <c r="G264" i="15"/>
  <c r="BX264" i="6" s="1"/>
  <c r="AA264" i="15"/>
  <c r="Z264" i="15" s="1"/>
  <c r="Y264" i="15" s="1"/>
  <c r="H264" i="15"/>
  <c r="Q381" i="16"/>
  <c r="Q383" i="16"/>
  <c r="Q382" i="16"/>
  <c r="G197" i="15"/>
  <c r="BX197" i="6" s="1"/>
  <c r="H197" i="15"/>
  <c r="AA197" i="15"/>
  <c r="Z197" i="15" s="1"/>
  <c r="Y197" i="15" s="1"/>
  <c r="AF381" i="15"/>
  <c r="AD17" i="15"/>
  <c r="AA17" i="15" s="1"/>
  <c r="Z17" i="15" s="1"/>
  <c r="Y17" i="15" s="1"/>
  <c r="AJ380" i="22"/>
  <c r="AK380" i="22"/>
  <c r="I48" i="15"/>
  <c r="J48" i="15"/>
  <c r="AG15" i="16"/>
  <c r="J38" i="15"/>
  <c r="I38" i="15"/>
  <c r="J50" i="15"/>
  <c r="I50" i="15"/>
  <c r="J28" i="15"/>
  <c r="I28" i="15"/>
  <c r="J21" i="15"/>
  <c r="I21" i="15"/>
  <c r="I26" i="15"/>
  <c r="J26" i="15"/>
  <c r="I32" i="15"/>
  <c r="J32" i="15"/>
  <c r="J20" i="15"/>
  <c r="I20" i="15"/>
  <c r="I22" i="15"/>
  <c r="J22" i="15"/>
  <c r="J56" i="15"/>
  <c r="I56" i="15"/>
  <c r="J233" i="15"/>
  <c r="I233" i="15"/>
  <c r="I60" i="15"/>
  <c r="J60" i="15"/>
  <c r="J17" i="15"/>
  <c r="I17" i="15"/>
  <c r="A378" i="25"/>
  <c r="L377" i="25"/>
  <c r="K377" i="25"/>
  <c r="AJ377" i="25"/>
  <c r="AB377" i="25"/>
  <c r="X377" i="25"/>
  <c r="AK377" i="25"/>
  <c r="O377" i="25"/>
  <c r="AC377" i="25"/>
  <c r="V322" i="16"/>
  <c r="R382" i="15"/>
  <c r="R381" i="15"/>
  <c r="R383" i="15"/>
  <c r="P15" i="15"/>
  <c r="G358" i="15"/>
  <c r="BX358" i="6" s="1"/>
  <c r="AA358" i="15"/>
  <c r="Z358" i="15" s="1"/>
  <c r="Y358" i="15" s="1"/>
  <c r="H358" i="15"/>
  <c r="AE382" i="16"/>
  <c r="AE383" i="16"/>
  <c r="AE381" i="16"/>
  <c r="J75" i="15"/>
  <c r="I75" i="15"/>
  <c r="AF382" i="15"/>
  <c r="AF383" i="15"/>
  <c r="AD15" i="15"/>
  <c r="J288" i="15"/>
  <c r="I288" i="15"/>
  <c r="J30" i="15"/>
  <c r="I30" i="15"/>
  <c r="J18" i="15"/>
  <c r="I18" i="15"/>
  <c r="J362" i="15"/>
  <c r="I362" i="15"/>
  <c r="G51" i="15"/>
  <c r="BX51" i="6" s="1"/>
  <c r="AA51" i="15"/>
  <c r="Z51" i="15" s="1"/>
  <c r="Y51" i="15" s="1"/>
  <c r="H51" i="15"/>
  <c r="H171" i="15"/>
  <c r="AA171" i="15"/>
  <c r="Z171" i="15" s="1"/>
  <c r="Y171" i="15" s="1"/>
  <c r="G171" i="15"/>
  <c r="BX171" i="6" s="1"/>
  <c r="AA227" i="15"/>
  <c r="Z227" i="15" s="1"/>
  <c r="Y227" i="15" s="1"/>
  <c r="G227" i="15"/>
  <c r="BX227" i="6" s="1"/>
  <c r="H227" i="15"/>
  <c r="I42" i="15"/>
  <c r="J42" i="15"/>
  <c r="I54" i="15"/>
  <c r="J54" i="15"/>
  <c r="J62" i="15"/>
  <c r="I62" i="15"/>
  <c r="AA324" i="15"/>
  <c r="Z324" i="15" s="1"/>
  <c r="Y324" i="15" s="1"/>
  <c r="G324" i="15"/>
  <c r="BX324" i="6" s="1"/>
  <c r="H324" i="15"/>
  <c r="A379" i="24"/>
  <c r="AB378" i="24"/>
  <c r="K378" i="24"/>
  <c r="L378" i="24"/>
  <c r="X378" i="24"/>
  <c r="AJ378" i="24"/>
  <c r="AK378" i="24"/>
  <c r="O378" i="24"/>
  <c r="AC378" i="24"/>
  <c r="U15" i="7"/>
  <c r="Q10" i="17"/>
  <c r="Q31" i="17" s="1"/>
  <c r="J101" i="15"/>
  <c r="I101" i="15"/>
  <c r="I36" i="15"/>
  <c r="J36" i="15"/>
  <c r="J52" i="15"/>
  <c r="I52" i="15"/>
  <c r="K379" i="23"/>
  <c r="L379" i="23"/>
  <c r="B42" i="19" s="1"/>
  <c r="AK379" i="23"/>
  <c r="AB379" i="23"/>
  <c r="X379" i="23"/>
  <c r="AJ379" i="23"/>
  <c r="O379" i="23"/>
  <c r="AC379" i="23"/>
  <c r="I24" i="15"/>
  <c r="J24" i="15"/>
  <c r="I16" i="15"/>
  <c r="J16" i="15"/>
  <c r="J44" i="15"/>
  <c r="I44" i="15"/>
  <c r="J46" i="15"/>
  <c r="I46" i="15"/>
  <c r="J58" i="15"/>
  <c r="I58" i="15"/>
  <c r="I23" i="15"/>
  <c r="J23" i="15"/>
  <c r="J272" i="15"/>
  <c r="I272" i="15"/>
  <c r="I297" i="15"/>
  <c r="J297" i="15"/>
  <c r="I298" i="15"/>
  <c r="J298" i="15"/>
  <c r="J40" i="15"/>
  <c r="I40" i="15"/>
  <c r="P290" i="16" l="1"/>
  <c r="AD306" i="16"/>
  <c r="AD274" i="16"/>
  <c r="AD298" i="16"/>
  <c r="AD146" i="16"/>
  <c r="AD88" i="16"/>
  <c r="AD73" i="16"/>
  <c r="AD49" i="16"/>
  <c r="P70" i="16"/>
  <c r="V70" i="16" s="1"/>
  <c r="P38" i="16"/>
  <c r="V38" i="16" s="1"/>
  <c r="AD349" i="16"/>
  <c r="AD309" i="16"/>
  <c r="AD125" i="16"/>
  <c r="AD324" i="16"/>
  <c r="P18" i="16"/>
  <c r="V18" i="16" s="1"/>
  <c r="AD338" i="16"/>
  <c r="AD126" i="16"/>
  <c r="F164" i="16"/>
  <c r="H164" i="16" s="1"/>
  <c r="J164" i="16" s="1"/>
  <c r="F370" i="16"/>
  <c r="G370" i="16" s="1"/>
  <c r="BY370" i="6" s="1"/>
  <c r="F238" i="16"/>
  <c r="P141" i="16"/>
  <c r="V141" i="16" s="1"/>
  <c r="F141" i="16" s="1"/>
  <c r="H141" i="16" s="1"/>
  <c r="P269" i="16"/>
  <c r="V269" i="16" s="1"/>
  <c r="F269" i="16" s="1"/>
  <c r="G269" i="16" s="1"/>
  <c r="BY269" i="6" s="1"/>
  <c r="P147" i="16"/>
  <c r="V147" i="16" s="1"/>
  <c r="F147" i="16" s="1"/>
  <c r="P83" i="16"/>
  <c r="V83" i="16" s="1"/>
  <c r="F83" i="16" s="1"/>
  <c r="G83" i="16" s="1"/>
  <c r="BY83" i="6" s="1"/>
  <c r="P33" i="16"/>
  <c r="V33" i="16" s="1"/>
  <c r="AD363" i="16"/>
  <c r="AD327" i="16"/>
  <c r="AD87" i="16"/>
  <c r="P98" i="16"/>
  <c r="V98" i="16" s="1"/>
  <c r="F98" i="16" s="1"/>
  <c r="AD50" i="16"/>
  <c r="P89" i="16"/>
  <c r="V89" i="16" s="1"/>
  <c r="P341" i="16"/>
  <c r="V341" i="16" s="1"/>
  <c r="P31" i="16"/>
  <c r="V31" i="16" s="1"/>
  <c r="AD259" i="16"/>
  <c r="P63" i="16"/>
  <c r="V63" i="16" s="1"/>
  <c r="P81" i="16"/>
  <c r="V81" i="16" s="1"/>
  <c r="P51" i="16"/>
  <c r="V51" i="16" s="1"/>
  <c r="P257" i="16"/>
  <c r="V257" i="16" s="1"/>
  <c r="P213" i="16"/>
  <c r="V213" i="16" s="1"/>
  <c r="F213" i="16" s="1"/>
  <c r="AD151" i="16"/>
  <c r="AD123" i="16"/>
  <c r="AD107" i="16"/>
  <c r="AD91" i="16"/>
  <c r="P113" i="16"/>
  <c r="V113" i="16" s="1"/>
  <c r="F113" i="16" s="1"/>
  <c r="P177" i="16"/>
  <c r="V177" i="16" s="1"/>
  <c r="F177" i="16" s="1"/>
  <c r="P193" i="16"/>
  <c r="V193" i="16" s="1"/>
  <c r="F193" i="16" s="1"/>
  <c r="P205" i="16"/>
  <c r="V205" i="16" s="1"/>
  <c r="F205" i="16" s="1"/>
  <c r="H205" i="16" s="1"/>
  <c r="P285" i="16"/>
  <c r="V285" i="16" s="1"/>
  <c r="P234" i="16"/>
  <c r="V234" i="16" s="1"/>
  <c r="F234" i="16" s="1"/>
  <c r="G234" i="16" s="1"/>
  <c r="BY234" i="6" s="1"/>
  <c r="AD155" i="16"/>
  <c r="AD119" i="16"/>
  <c r="AD79" i="16"/>
  <c r="AD67" i="16"/>
  <c r="P161" i="16"/>
  <c r="V161" i="16" s="1"/>
  <c r="P162" i="16"/>
  <c r="V162" i="16" s="1"/>
  <c r="P291" i="16"/>
  <c r="V291" i="16" s="1"/>
  <c r="AD248" i="16"/>
  <c r="AD376" i="16"/>
  <c r="P351" i="16"/>
  <c r="V351" i="16" s="1"/>
  <c r="F351" i="16" s="1"/>
  <c r="P280" i="16"/>
  <c r="V280" i="16" s="1"/>
  <c r="F280" i="16" s="1"/>
  <c r="P248" i="16"/>
  <c r="V248" i="16" s="1"/>
  <c r="P216" i="16"/>
  <c r="V216" i="16" s="1"/>
  <c r="P303" i="16"/>
  <c r="V303" i="16" s="1"/>
  <c r="F303" i="16" s="1"/>
  <c r="G303" i="16" s="1"/>
  <c r="BY303" i="6" s="1"/>
  <c r="AD340" i="16"/>
  <c r="P373" i="16"/>
  <c r="V373" i="16" s="1"/>
  <c r="F373" i="16" s="1"/>
  <c r="P240" i="16"/>
  <c r="V240" i="16" s="1"/>
  <c r="F240" i="16" s="1"/>
  <c r="G240" i="16" s="1"/>
  <c r="BY240" i="6" s="1"/>
  <c r="P78" i="16"/>
  <c r="V78" i="16" s="1"/>
  <c r="AD332" i="16"/>
  <c r="AD312" i="16"/>
  <c r="AD300" i="16"/>
  <c r="AD268" i="16"/>
  <c r="AD236" i="16"/>
  <c r="AD204" i="16"/>
  <c r="AD64" i="16"/>
  <c r="P208" i="16"/>
  <c r="V208" i="16" s="1"/>
  <c r="P68" i="16"/>
  <c r="V68" i="16" s="1"/>
  <c r="F68" i="16" s="1"/>
  <c r="G68" i="16" s="1"/>
  <c r="BY68" i="6" s="1"/>
  <c r="AD118" i="16"/>
  <c r="P194" i="16"/>
  <c r="P258" i="16"/>
  <c r="AD96" i="16"/>
  <c r="AD54" i="16"/>
  <c r="AD105" i="16"/>
  <c r="P16" i="16"/>
  <c r="AD192" i="16"/>
  <c r="AD56" i="16"/>
  <c r="F136" i="16"/>
  <c r="P50" i="16"/>
  <c r="V50" i="16" s="1"/>
  <c r="AD208" i="16"/>
  <c r="P37" i="16"/>
  <c r="F294" i="16"/>
  <c r="H294" i="16" s="1"/>
  <c r="P247" i="16"/>
  <c r="V247" i="16" s="1"/>
  <c r="F247" i="16" s="1"/>
  <c r="P207" i="16"/>
  <c r="P127" i="16"/>
  <c r="V127" i="16" s="1"/>
  <c r="F127" i="16" s="1"/>
  <c r="P111" i="16"/>
  <c r="V111" i="16" s="1"/>
  <c r="P69" i="16"/>
  <c r="P45" i="16"/>
  <c r="V45" i="16" s="1"/>
  <c r="AD27" i="16"/>
  <c r="P118" i="16"/>
  <c r="V118" i="16" s="1"/>
  <c r="P17" i="16"/>
  <c r="P230" i="16"/>
  <c r="V230" i="16" s="1"/>
  <c r="P182" i="16"/>
  <c r="V182" i="16" s="1"/>
  <c r="P151" i="16"/>
  <c r="V151" i="16" s="1"/>
  <c r="F151" i="16" s="1"/>
  <c r="AI383" i="16"/>
  <c r="P135" i="16"/>
  <c r="V135" i="16" s="1"/>
  <c r="F135" i="16" s="1"/>
  <c r="H135" i="16" s="1"/>
  <c r="P328" i="16"/>
  <c r="P263" i="16"/>
  <c r="V263" i="16" s="1"/>
  <c r="P175" i="16"/>
  <c r="V175" i="16" s="1"/>
  <c r="F175" i="16" s="1"/>
  <c r="G175" i="16" s="1"/>
  <c r="BY175" i="6" s="1"/>
  <c r="P199" i="16"/>
  <c r="V199" i="16" s="1"/>
  <c r="P215" i="16"/>
  <c r="V215" i="16" s="1"/>
  <c r="F215" i="16" s="1"/>
  <c r="P150" i="16"/>
  <c r="V150" i="16" s="1"/>
  <c r="AD161" i="16"/>
  <c r="AD145" i="16"/>
  <c r="AD113" i="16"/>
  <c r="AA113" i="16" s="1"/>
  <c r="Z113" i="16" s="1"/>
  <c r="Y113" i="16" s="1"/>
  <c r="AD128" i="16"/>
  <c r="AD76" i="16"/>
  <c r="AD272" i="16"/>
  <c r="P196" i="16"/>
  <c r="P186" i="16"/>
  <c r="P218" i="16"/>
  <c r="AD229" i="16"/>
  <c r="AD217" i="16"/>
  <c r="AD368" i="16"/>
  <c r="F344" i="16"/>
  <c r="F150" i="16"/>
  <c r="P305" i="16"/>
  <c r="V305" i="16" s="1"/>
  <c r="AD75" i="16"/>
  <c r="AD43" i="16"/>
  <c r="AA43" i="16" s="1"/>
  <c r="Z43" i="16" s="1"/>
  <c r="Y43" i="16" s="1"/>
  <c r="AD59" i="16"/>
  <c r="P321" i="16"/>
  <c r="V321" i="16" s="1"/>
  <c r="F321" i="16" s="1"/>
  <c r="H321" i="16" s="1"/>
  <c r="I321" i="16" s="1"/>
  <c r="P198" i="16"/>
  <c r="V198" i="16" s="1"/>
  <c r="P255" i="16"/>
  <c r="V255" i="16" s="1"/>
  <c r="F255" i="16" s="1"/>
  <c r="P279" i="16"/>
  <c r="V279" i="16" s="1"/>
  <c r="F279" i="16" s="1"/>
  <c r="P295" i="16"/>
  <c r="P80" i="16"/>
  <c r="V80" i="16" s="1"/>
  <c r="P287" i="16"/>
  <c r="V287" i="16" s="1"/>
  <c r="P21" i="16"/>
  <c r="V21" i="16" s="1"/>
  <c r="P183" i="16"/>
  <c r="P61" i="16"/>
  <c r="V61" i="16" s="1"/>
  <c r="P102" i="16"/>
  <c r="V102" i="16" s="1"/>
  <c r="P260" i="16"/>
  <c r="V260" i="16" s="1"/>
  <c r="P191" i="16"/>
  <c r="P223" i="16"/>
  <c r="V223" i="16" s="1"/>
  <c r="F223" i="16" s="1"/>
  <c r="G223" i="16" s="1"/>
  <c r="BY223" i="6" s="1"/>
  <c r="P239" i="16"/>
  <c r="V239" i="16" s="1"/>
  <c r="F239" i="16" s="1"/>
  <c r="P95" i="16"/>
  <c r="V95" i="16" s="1"/>
  <c r="F95" i="16" s="1"/>
  <c r="P134" i="16"/>
  <c r="V134" i="16" s="1"/>
  <c r="F134" i="16" s="1"/>
  <c r="P166" i="16"/>
  <c r="V166" i="16" s="1"/>
  <c r="AD169" i="16"/>
  <c r="AA169" i="16" s="1"/>
  <c r="Z169" i="16" s="1"/>
  <c r="Y169" i="16" s="1"/>
  <c r="AD137" i="16"/>
  <c r="AD121" i="16"/>
  <c r="AD97" i="16"/>
  <c r="P34" i="16"/>
  <c r="P353" i="16"/>
  <c r="V353" i="16" s="1"/>
  <c r="F353" i="16" s="1"/>
  <c r="G353" i="16" s="1"/>
  <c r="BY353" i="6" s="1"/>
  <c r="P256" i="16"/>
  <c r="V256" i="16" s="1"/>
  <c r="F256" i="16" s="1"/>
  <c r="P192" i="16"/>
  <c r="V192" i="16" s="1"/>
  <c r="F192" i="16" s="1"/>
  <c r="AD195" i="16"/>
  <c r="AD352" i="16"/>
  <c r="AD336" i="16"/>
  <c r="AA336" i="16" s="1"/>
  <c r="Z336" i="16" s="1"/>
  <c r="Y336" i="16" s="1"/>
  <c r="AD320" i="16"/>
  <c r="AD288" i="16"/>
  <c r="AD240" i="16"/>
  <c r="AD160" i="16"/>
  <c r="P116" i="16"/>
  <c r="AD377" i="16"/>
  <c r="AD134" i="16"/>
  <c r="P319" i="16"/>
  <c r="V319" i="16" s="1"/>
  <c r="F319" i="16" s="1"/>
  <c r="P252" i="16"/>
  <c r="P167" i="16"/>
  <c r="V167" i="16" s="1"/>
  <c r="F167" i="16" s="1"/>
  <c r="G167" i="16" s="1"/>
  <c r="BY167" i="6" s="1"/>
  <c r="P20" i="16"/>
  <c r="V20" i="16" s="1"/>
  <c r="P354" i="16"/>
  <c r="F128" i="16"/>
  <c r="G128" i="16" s="1"/>
  <c r="BY128" i="6" s="1"/>
  <c r="AD51" i="16"/>
  <c r="P90" i="16"/>
  <c r="V90" i="16" s="1"/>
  <c r="F90" i="16" s="1"/>
  <c r="H90" i="16" s="1"/>
  <c r="AA106" i="16"/>
  <c r="Z106" i="16" s="1"/>
  <c r="Y106" i="16" s="1"/>
  <c r="AI382" i="16"/>
  <c r="P49" i="16"/>
  <c r="P224" i="16"/>
  <c r="V224" i="16" s="1"/>
  <c r="P155" i="16"/>
  <c r="V155" i="16" s="1"/>
  <c r="F155" i="16" s="1"/>
  <c r="H155" i="16" s="1"/>
  <c r="P203" i="16"/>
  <c r="V203" i="16" s="1"/>
  <c r="F203" i="16" s="1"/>
  <c r="G203" i="16" s="1"/>
  <c r="BY203" i="6" s="1"/>
  <c r="P110" i="16"/>
  <c r="AD57" i="16"/>
  <c r="AD25" i="16"/>
  <c r="P74" i="16"/>
  <c r="V74" i="16" s="1"/>
  <c r="AD36" i="16"/>
  <c r="P361" i="16"/>
  <c r="V361" i="16" s="1"/>
  <c r="F361" i="16" s="1"/>
  <c r="P345" i="16"/>
  <c r="V345" i="16" s="1"/>
  <c r="F345" i="16" s="1"/>
  <c r="G345" i="16" s="1"/>
  <c r="BY345" i="6" s="1"/>
  <c r="AD216" i="16"/>
  <c r="P160" i="16"/>
  <c r="V160" i="16" s="1"/>
  <c r="AD321" i="16"/>
  <c r="AD193" i="16"/>
  <c r="AA193" i="16" s="1"/>
  <c r="Z193" i="16" s="1"/>
  <c r="Y193" i="16" s="1"/>
  <c r="P60" i="16"/>
  <c r="AD166" i="16"/>
  <c r="AD130" i="16"/>
  <c r="AD351" i="16"/>
  <c r="AA351" i="16" s="1"/>
  <c r="Z351" i="16" s="1"/>
  <c r="Y351" i="16" s="1"/>
  <c r="P214" i="16"/>
  <c r="V214" i="16" s="1"/>
  <c r="P159" i="16"/>
  <c r="P124" i="16"/>
  <c r="P276" i="16"/>
  <c r="V276" i="16" s="1"/>
  <c r="P320" i="16"/>
  <c r="P282" i="16"/>
  <c r="P306" i="16"/>
  <c r="AD311" i="16"/>
  <c r="S329" i="16"/>
  <c r="R329" i="16" s="1"/>
  <c r="P329" i="16" s="1"/>
  <c r="P254" i="16"/>
  <c r="P163" i="16"/>
  <c r="V163" i="16" s="1"/>
  <c r="F163" i="16" s="1"/>
  <c r="P115" i="16"/>
  <c r="P99" i="16"/>
  <c r="AD78" i="16"/>
  <c r="P366" i="16"/>
  <c r="P334" i="16"/>
  <c r="P340" i="16"/>
  <c r="P314" i="16"/>
  <c r="AD359" i="16"/>
  <c r="AD335" i="16"/>
  <c r="AD279" i="16"/>
  <c r="AD239" i="16"/>
  <c r="AA239" i="16" s="1"/>
  <c r="Z239" i="16" s="1"/>
  <c r="Y239" i="16" s="1"/>
  <c r="AD373" i="16"/>
  <c r="AD328" i="16"/>
  <c r="AD250" i="16"/>
  <c r="AD232" i="16"/>
  <c r="AD144" i="16"/>
  <c r="AD116" i="16"/>
  <c r="AD68" i="16"/>
  <c r="AD345" i="16"/>
  <c r="AA345" i="16" s="1"/>
  <c r="Z345" i="16" s="1"/>
  <c r="Y345" i="16" s="1"/>
  <c r="AD346" i="16"/>
  <c r="AD242" i="16"/>
  <c r="AD200" i="16"/>
  <c r="AD102" i="16"/>
  <c r="AD20" i="16"/>
  <c r="AD225" i="16"/>
  <c r="AA225" i="16" s="1"/>
  <c r="Z225" i="16" s="1"/>
  <c r="Y225" i="16" s="1"/>
  <c r="AD41" i="16"/>
  <c r="AD16" i="16"/>
  <c r="AD176" i="16"/>
  <c r="AD132" i="16"/>
  <c r="AD109" i="16"/>
  <c r="P42" i="16"/>
  <c r="V42" i="16" s="1"/>
  <c r="AD301" i="16"/>
  <c r="AD233" i="16"/>
  <c r="AD65" i="16"/>
  <c r="AD253" i="16"/>
  <c r="AA253" i="16" s="1"/>
  <c r="Z253" i="16" s="1"/>
  <c r="Y253" i="16" s="1"/>
  <c r="AD133" i="16"/>
  <c r="P152" i="16"/>
  <c r="V152" i="16" s="1"/>
  <c r="P84" i="16"/>
  <c r="V84" i="16" s="1"/>
  <c r="AD52" i="16"/>
  <c r="P57" i="16"/>
  <c r="V57" i="16" s="1"/>
  <c r="P184" i="16"/>
  <c r="V184" i="16" s="1"/>
  <c r="AD90" i="16"/>
  <c r="F236" i="16"/>
  <c r="G236" i="16" s="1"/>
  <c r="BY236" i="6" s="1"/>
  <c r="F214" i="16"/>
  <c r="F104" i="16"/>
  <c r="F316" i="16"/>
  <c r="AA316" i="16" s="1"/>
  <c r="Z316" i="16" s="1"/>
  <c r="Y316" i="16" s="1"/>
  <c r="F276" i="16"/>
  <c r="AA276" i="16" s="1"/>
  <c r="Z276" i="16" s="1"/>
  <c r="Y276" i="16" s="1"/>
  <c r="F76" i="16"/>
  <c r="H76" i="16" s="1"/>
  <c r="I76" i="16" s="1"/>
  <c r="F44" i="16"/>
  <c r="F20" i="16"/>
  <c r="G20" i="16" s="1"/>
  <c r="BY20" i="6" s="1"/>
  <c r="P275" i="16"/>
  <c r="V275" i="16" s="1"/>
  <c r="AD277" i="16"/>
  <c r="AA277" i="16" s="1"/>
  <c r="Z277" i="16" s="1"/>
  <c r="Y277" i="16" s="1"/>
  <c r="AD275" i="16"/>
  <c r="AD35" i="16"/>
  <c r="H371" i="16"/>
  <c r="J371" i="16" s="1"/>
  <c r="AD370" i="16"/>
  <c r="AD322" i="16"/>
  <c r="AD154" i="16"/>
  <c r="AD46" i="16"/>
  <c r="P123" i="16"/>
  <c r="V123" i="16" s="1"/>
  <c r="AD355" i="16"/>
  <c r="AD19" i="16"/>
  <c r="P222" i="16"/>
  <c r="V222" i="16" s="1"/>
  <c r="P359" i="16"/>
  <c r="V359" i="16" s="1"/>
  <c r="AD323" i="16"/>
  <c r="AD83" i="16"/>
  <c r="P94" i="16"/>
  <c r="V94" i="16" s="1"/>
  <c r="P313" i="16"/>
  <c r="V313" i="16" s="1"/>
  <c r="P25" i="16"/>
  <c r="V25" i="16" s="1"/>
  <c r="P376" i="16"/>
  <c r="V376" i="16" s="1"/>
  <c r="F376" i="16" s="1"/>
  <c r="G376" i="16" s="1"/>
  <c r="BY376" i="6" s="1"/>
  <c r="AD378" i="16"/>
  <c r="AD362" i="16"/>
  <c r="AD330" i="16"/>
  <c r="AD314" i="16"/>
  <c r="AD282" i="16"/>
  <c r="AD266" i="16"/>
  <c r="AD218" i="16"/>
  <c r="AD210" i="16"/>
  <c r="AD82" i="16"/>
  <c r="P243" i="16"/>
  <c r="V243" i="16" s="1"/>
  <c r="F243" i="16" s="1"/>
  <c r="G243" i="16" s="1"/>
  <c r="BY243" i="6" s="1"/>
  <c r="P139" i="16"/>
  <c r="V139" i="16" s="1"/>
  <c r="P259" i="16"/>
  <c r="V259" i="16" s="1"/>
  <c r="P267" i="16"/>
  <c r="V267" i="16" s="1"/>
  <c r="F267" i="16" s="1"/>
  <c r="P283" i="16"/>
  <c r="V283" i="16" s="1"/>
  <c r="F283" i="16" s="1"/>
  <c r="G283" i="16" s="1"/>
  <c r="BY283" i="6" s="1"/>
  <c r="P41" i="16"/>
  <c r="V41" i="16" s="1"/>
  <c r="P65" i="16"/>
  <c r="V65" i="16" s="1"/>
  <c r="AD344" i="16"/>
  <c r="P375" i="16"/>
  <c r="V375" i="16" s="1"/>
  <c r="F375" i="16" s="1"/>
  <c r="P367" i="16"/>
  <c r="V367" i="16" s="1"/>
  <c r="F367" i="16" s="1"/>
  <c r="G367" i="16" s="1"/>
  <c r="BY367" i="6" s="1"/>
  <c r="P343" i="16"/>
  <c r="V343" i="16" s="1"/>
  <c r="P335" i="16"/>
  <c r="V335" i="16" s="1"/>
  <c r="F335" i="16" s="1"/>
  <c r="P171" i="16"/>
  <c r="V171" i="16" s="1"/>
  <c r="F171" i="16" s="1"/>
  <c r="G171" i="16" s="1"/>
  <c r="BY171" i="6" s="1"/>
  <c r="P187" i="16"/>
  <c r="V187" i="16" s="1"/>
  <c r="F187" i="16" s="1"/>
  <c r="G187" i="16" s="1"/>
  <c r="BY187" i="6" s="1"/>
  <c r="P195" i="16"/>
  <c r="V195" i="16" s="1"/>
  <c r="F195" i="16" s="1"/>
  <c r="G195" i="16" s="1"/>
  <c r="BY195" i="6" s="1"/>
  <c r="P211" i="16"/>
  <c r="V211" i="16" s="1"/>
  <c r="F211" i="16" s="1"/>
  <c r="G211" i="16" s="1"/>
  <c r="BY211" i="6" s="1"/>
  <c r="P235" i="16"/>
  <c r="V235" i="16" s="1"/>
  <c r="F235" i="16" s="1"/>
  <c r="G235" i="16" s="1"/>
  <c r="BY235" i="6" s="1"/>
  <c r="P251" i="16"/>
  <c r="V251" i="16" s="1"/>
  <c r="F251" i="16" s="1"/>
  <c r="P311" i="16"/>
  <c r="V311" i="16" s="1"/>
  <c r="F311" i="16" s="1"/>
  <c r="G311" i="16" s="1"/>
  <c r="BY311" i="6" s="1"/>
  <c r="P126" i="16"/>
  <c r="V126" i="16" s="1"/>
  <c r="P142" i="16"/>
  <c r="V142" i="16" s="1"/>
  <c r="P158" i="16"/>
  <c r="V158" i="16" s="1"/>
  <c r="P174" i="16"/>
  <c r="V174" i="16" s="1"/>
  <c r="AD189" i="16"/>
  <c r="AD149" i="16"/>
  <c r="AD141" i="16"/>
  <c r="AD117" i="16"/>
  <c r="AD101" i="16"/>
  <c r="AD81" i="16"/>
  <c r="P378" i="16"/>
  <c r="V378" i="16" s="1"/>
  <c r="P318" i="16"/>
  <c r="V318" i="16" s="1"/>
  <c r="P26" i="16"/>
  <c r="V26" i="16" s="1"/>
  <c r="AD180" i="16"/>
  <c r="AD148" i="16"/>
  <c r="AA148" i="16" s="1"/>
  <c r="Z148" i="16" s="1"/>
  <c r="Y148" i="16" s="1"/>
  <c r="AD100" i="16"/>
  <c r="P244" i="16"/>
  <c r="V244" i="16" s="1"/>
  <c r="F244" i="16" s="1"/>
  <c r="AA244" i="16" s="1"/>
  <c r="Z244" i="16" s="1"/>
  <c r="Y244" i="16" s="1"/>
  <c r="P377" i="16"/>
  <c r="V377" i="16" s="1"/>
  <c r="F377" i="16" s="1"/>
  <c r="G377" i="16" s="1"/>
  <c r="BY377" i="6" s="1"/>
  <c r="P302" i="16"/>
  <c r="V302" i="16" s="1"/>
  <c r="P288" i="16"/>
  <c r="V288" i="16" s="1"/>
  <c r="F288" i="16" s="1"/>
  <c r="G288" i="16" s="1"/>
  <c r="BY288" i="6" s="1"/>
  <c r="AD307" i="16"/>
  <c r="AD291" i="16"/>
  <c r="AD243" i="16"/>
  <c r="AA243" i="16" s="1"/>
  <c r="Z243" i="16" s="1"/>
  <c r="Y243" i="16" s="1"/>
  <c r="AD296" i="16"/>
  <c r="AD280" i="16"/>
  <c r="AA280" i="16" s="1"/>
  <c r="Z280" i="16" s="1"/>
  <c r="Y280" i="16" s="1"/>
  <c r="AD264" i="16"/>
  <c r="AD112" i="16"/>
  <c r="P96" i="16"/>
  <c r="P180" i="16"/>
  <c r="AD361" i="16"/>
  <c r="AD289" i="16"/>
  <c r="AA289" i="16" s="1"/>
  <c r="Z289" i="16" s="1"/>
  <c r="Y289" i="16" s="1"/>
  <c r="AD257" i="16"/>
  <c r="AD122" i="16"/>
  <c r="P156" i="16"/>
  <c r="AD138" i="16"/>
  <c r="AA138" i="16" s="1"/>
  <c r="Z138" i="16" s="1"/>
  <c r="Y138" i="16" s="1"/>
  <c r="P352" i="16"/>
  <c r="P327" i="16"/>
  <c r="V327" i="16" s="1"/>
  <c r="F327" i="16" s="1"/>
  <c r="G327" i="16" s="1"/>
  <c r="BY327" i="6" s="1"/>
  <c r="P286" i="16"/>
  <c r="P246" i="16"/>
  <c r="P206" i="16"/>
  <c r="P190" i="16"/>
  <c r="P179" i="16"/>
  <c r="V179" i="16" s="1"/>
  <c r="F179" i="16" s="1"/>
  <c r="G179" i="16" s="1"/>
  <c r="BY179" i="6" s="1"/>
  <c r="P131" i="16"/>
  <c r="V131" i="16" s="1"/>
  <c r="F131" i="16" s="1"/>
  <c r="H131" i="16" s="1"/>
  <c r="P107" i="16"/>
  <c r="P100" i="16"/>
  <c r="P120" i="16"/>
  <c r="P132" i="16"/>
  <c r="AD297" i="16"/>
  <c r="AA297" i="16" s="1"/>
  <c r="Z297" i="16" s="1"/>
  <c r="Y297" i="16" s="1"/>
  <c r="AD281" i="16"/>
  <c r="AD245" i="16"/>
  <c r="P64" i="16"/>
  <c r="P48" i="16"/>
  <c r="V48" i="16" s="1"/>
  <c r="P32" i="16"/>
  <c r="AD174" i="16"/>
  <c r="U12" i="17"/>
  <c r="T379" i="16"/>
  <c r="S379" i="16" s="1"/>
  <c r="R379" i="16" s="1"/>
  <c r="P379" i="16" s="1"/>
  <c r="P16" i="7"/>
  <c r="V11" i="7" s="1"/>
  <c r="U11" i="17" s="1"/>
  <c r="U10" i="17" s="1"/>
  <c r="S323" i="16"/>
  <c r="R323" i="16" s="1"/>
  <c r="P323" i="16" s="1"/>
  <c r="P346" i="16"/>
  <c r="P350" i="16"/>
  <c r="P292" i="16"/>
  <c r="P348" i="16"/>
  <c r="P330" i="16"/>
  <c r="P204" i="16"/>
  <c r="AD343" i="16"/>
  <c r="AD319" i="16"/>
  <c r="AD303" i="16"/>
  <c r="AA303" i="16" s="1"/>
  <c r="Z303" i="16" s="1"/>
  <c r="Y303" i="16" s="1"/>
  <c r="AD271" i="16"/>
  <c r="AD215" i="16"/>
  <c r="P220" i="16"/>
  <c r="P298" i="16"/>
  <c r="P360" i="16"/>
  <c r="AD325" i="16"/>
  <c r="AD261" i="16"/>
  <c r="AD197" i="16"/>
  <c r="AA136" i="16"/>
  <c r="Z136" i="16" s="1"/>
  <c r="Y136" i="16" s="1"/>
  <c r="F160" i="16"/>
  <c r="AD339" i="16"/>
  <c r="V272" i="16"/>
  <c r="F272" i="16" s="1"/>
  <c r="T383" i="16"/>
  <c r="P284" i="16"/>
  <c r="U383" i="16"/>
  <c r="U382" i="16"/>
  <c r="U381" i="16"/>
  <c r="AI381" i="16"/>
  <c r="AI12" i="17"/>
  <c r="AH379" i="16"/>
  <c r="AD371" i="16"/>
  <c r="AD347" i="16"/>
  <c r="P312" i="16"/>
  <c r="AD293" i="16"/>
  <c r="AA293" i="16" s="1"/>
  <c r="Z293" i="16" s="1"/>
  <c r="Y293" i="16" s="1"/>
  <c r="AD213" i="16"/>
  <c r="AA213" i="16" s="1"/>
  <c r="Z213" i="16" s="1"/>
  <c r="Y213" i="16" s="1"/>
  <c r="P28" i="16"/>
  <c r="V28" i="16" s="1"/>
  <c r="AD62" i="16"/>
  <c r="F208" i="16"/>
  <c r="H208" i="16" s="1"/>
  <c r="J208" i="16" s="1"/>
  <c r="F142" i="16"/>
  <c r="G142" i="16" s="1"/>
  <c r="BY142" i="6" s="1"/>
  <c r="D53" i="7"/>
  <c r="F358" i="16"/>
  <c r="G358" i="16" s="1"/>
  <c r="BY358" i="6" s="1"/>
  <c r="F260" i="16"/>
  <c r="G260" i="16" s="1"/>
  <c r="BY260" i="6" s="1"/>
  <c r="I210" i="15"/>
  <c r="I302" i="15"/>
  <c r="J119" i="15"/>
  <c r="J333" i="15"/>
  <c r="F248" i="16"/>
  <c r="H248" i="16" s="1"/>
  <c r="F339" i="16"/>
  <c r="AA339" i="16" s="1"/>
  <c r="Z339" i="16" s="1"/>
  <c r="Y339" i="16" s="1"/>
  <c r="F216" i="16"/>
  <c r="G216" i="16" s="1"/>
  <c r="BY216" i="6" s="1"/>
  <c r="F166" i="16"/>
  <c r="AA371" i="16"/>
  <c r="Z371" i="16" s="1"/>
  <c r="Y371" i="16" s="1"/>
  <c r="I29" i="15"/>
  <c r="S15" i="16"/>
  <c r="F264" i="16"/>
  <c r="G264" i="16" s="1"/>
  <c r="BY264" i="6" s="1"/>
  <c r="F232" i="16"/>
  <c r="G232" i="16" s="1"/>
  <c r="BY232" i="6" s="1"/>
  <c r="F343" i="16"/>
  <c r="F307" i="16"/>
  <c r="G307" i="16" s="1"/>
  <c r="BY307" i="6" s="1"/>
  <c r="F66" i="16"/>
  <c r="G66" i="16" s="1"/>
  <c r="BY66" i="6" s="1"/>
  <c r="F82" i="16"/>
  <c r="G82" i="16" s="1"/>
  <c r="BY82" i="6" s="1"/>
  <c r="F174" i="16"/>
  <c r="AA174" i="16" s="1"/>
  <c r="Z174" i="16" s="1"/>
  <c r="Y174" i="16" s="1"/>
  <c r="F318" i="16"/>
  <c r="G318" i="16" s="1"/>
  <c r="BY318" i="6" s="1"/>
  <c r="AA117" i="16"/>
  <c r="Z117" i="16" s="1"/>
  <c r="Y117" i="16" s="1"/>
  <c r="D44" i="7"/>
  <c r="F65" i="16"/>
  <c r="H65" i="16" s="1"/>
  <c r="I65" i="16" s="1"/>
  <c r="F271" i="16"/>
  <c r="AA271" i="16" s="1"/>
  <c r="Z271" i="16" s="1"/>
  <c r="Y271" i="16" s="1"/>
  <c r="F77" i="16"/>
  <c r="G77" i="16" s="1"/>
  <c r="BY77" i="6" s="1"/>
  <c r="F270" i="16"/>
  <c r="H270" i="16" s="1"/>
  <c r="I270" i="16" s="1"/>
  <c r="F29" i="16"/>
  <c r="AA248" i="16"/>
  <c r="Z248" i="16" s="1"/>
  <c r="Y248" i="16" s="1"/>
  <c r="F259" i="16"/>
  <c r="AA259" i="16" s="1"/>
  <c r="Z259" i="16" s="1"/>
  <c r="Y259" i="16" s="1"/>
  <c r="F224" i="16"/>
  <c r="H224" i="16" s="1"/>
  <c r="J224" i="16" s="1"/>
  <c r="F85" i="16"/>
  <c r="G85" i="16" s="1"/>
  <c r="BY85" i="6" s="1"/>
  <c r="F219" i="16"/>
  <c r="G219" i="16" s="1"/>
  <c r="BY219" i="6" s="1"/>
  <c r="F287" i="16"/>
  <c r="AA287" i="16" s="1"/>
  <c r="Z287" i="16" s="1"/>
  <c r="Y287" i="16" s="1"/>
  <c r="F263" i="16"/>
  <c r="G263" i="16" s="1"/>
  <c r="BY263" i="6" s="1"/>
  <c r="F61" i="16"/>
  <c r="H61" i="16" s="1"/>
  <c r="J61" i="16" s="1"/>
  <c r="F80" i="16"/>
  <c r="G80" i="16" s="1"/>
  <c r="BY80" i="6" s="1"/>
  <c r="F291" i="16"/>
  <c r="AA291" i="16" s="1"/>
  <c r="Z291" i="16" s="1"/>
  <c r="Y291" i="16" s="1"/>
  <c r="C42" i="19"/>
  <c r="E11" i="16"/>
  <c r="C13" i="19" s="1"/>
  <c r="T382" i="16"/>
  <c r="F121" i="16"/>
  <c r="G121" i="16" s="1"/>
  <c r="BY121" i="6" s="1"/>
  <c r="F188" i="16"/>
  <c r="H188" i="16" s="1"/>
  <c r="I188" i="16" s="1"/>
  <c r="D48" i="7"/>
  <c r="V363" i="16"/>
  <c r="F363" i="16" s="1"/>
  <c r="G363" i="16" s="1"/>
  <c r="BY363" i="6" s="1"/>
  <c r="H339" i="16"/>
  <c r="I339" i="16" s="1"/>
  <c r="AA238" i="16"/>
  <c r="Z238" i="16" s="1"/>
  <c r="Y238" i="16" s="1"/>
  <c r="D50" i="7"/>
  <c r="V333" i="16"/>
  <c r="F333" i="16" s="1"/>
  <c r="H333" i="16" s="1"/>
  <c r="F23" i="16"/>
  <c r="G23" i="16" s="1"/>
  <c r="BY23" i="6" s="1"/>
  <c r="F86" i="16"/>
  <c r="H86" i="16" s="1"/>
  <c r="J86" i="16" s="1"/>
  <c r="F146" i="16"/>
  <c r="G146" i="16" s="1"/>
  <c r="BY146" i="6" s="1"/>
  <c r="F162" i="16"/>
  <c r="G162" i="16" s="1"/>
  <c r="BY162" i="6" s="1"/>
  <c r="F313" i="16"/>
  <c r="H313" i="16" s="1"/>
  <c r="J313" i="16" s="1"/>
  <c r="F72" i="16"/>
  <c r="F122" i="16"/>
  <c r="G122" i="16" s="1"/>
  <c r="BY122" i="6" s="1"/>
  <c r="AA214" i="16"/>
  <c r="Z214" i="16" s="1"/>
  <c r="Y214" i="16" s="1"/>
  <c r="AA66" i="16"/>
  <c r="Z66" i="16" s="1"/>
  <c r="Y66" i="16" s="1"/>
  <c r="V379" i="16"/>
  <c r="D37" i="19"/>
  <c r="F125" i="16"/>
  <c r="G125" i="16" s="1"/>
  <c r="BY125" i="6" s="1"/>
  <c r="F202" i="16"/>
  <c r="AA202" i="16" s="1"/>
  <c r="Z202" i="16" s="1"/>
  <c r="Y202" i="16" s="1"/>
  <c r="F154" i="16"/>
  <c r="H154" i="16" s="1"/>
  <c r="I154" i="16" s="1"/>
  <c r="F170" i="16"/>
  <c r="AA170" i="16" s="1"/>
  <c r="Z170" i="16" s="1"/>
  <c r="Y170" i="16" s="1"/>
  <c r="F242" i="16"/>
  <c r="H242" i="16" s="1"/>
  <c r="J242" i="16" s="1"/>
  <c r="F198" i="16"/>
  <c r="H198" i="16" s="1"/>
  <c r="J198" i="16" s="1"/>
  <c r="V241" i="16"/>
  <c r="F241" i="16" s="1"/>
  <c r="G241" i="16" s="1"/>
  <c r="BY241" i="6" s="1"/>
  <c r="F39" i="16"/>
  <c r="G39" i="16" s="1"/>
  <c r="BY39" i="6" s="1"/>
  <c r="F161" i="16"/>
  <c r="H161" i="16" s="1"/>
  <c r="I161" i="16" s="1"/>
  <c r="F109" i="16"/>
  <c r="H109" i="16" s="1"/>
  <c r="I109" i="16" s="1"/>
  <c r="F200" i="16"/>
  <c r="G200" i="16" s="1"/>
  <c r="BY200" i="6" s="1"/>
  <c r="F257" i="16"/>
  <c r="G257" i="16" s="1"/>
  <c r="BY257" i="6" s="1"/>
  <c r="F209" i="16"/>
  <c r="AA209" i="16" s="1"/>
  <c r="Z209" i="16" s="1"/>
  <c r="Y209" i="16" s="1"/>
  <c r="F19" i="16"/>
  <c r="AA19" i="16" s="1"/>
  <c r="Z19" i="16" s="1"/>
  <c r="Y19" i="16" s="1"/>
  <c r="F368" i="16"/>
  <c r="G368" i="16" s="1"/>
  <c r="BY368" i="6" s="1"/>
  <c r="F24" i="16"/>
  <c r="G24" i="16" s="1"/>
  <c r="BY24" i="6" s="1"/>
  <c r="AA167" i="16"/>
  <c r="Z167" i="16" s="1"/>
  <c r="Y167" i="16" s="1"/>
  <c r="AA151" i="16"/>
  <c r="Z151" i="16" s="1"/>
  <c r="Y151" i="16" s="1"/>
  <c r="AI200" i="17"/>
  <c r="AH200" i="17" s="1"/>
  <c r="AG200" i="17" s="1"/>
  <c r="AF200" i="17" s="1"/>
  <c r="T381" i="16"/>
  <c r="F137" i="16"/>
  <c r="H137" i="16" s="1"/>
  <c r="J137" i="16" s="1"/>
  <c r="F362" i="16"/>
  <c r="AA362" i="16" s="1"/>
  <c r="Z362" i="16" s="1"/>
  <c r="Y362" i="16" s="1"/>
  <c r="F285" i="16"/>
  <c r="G285" i="16" s="1"/>
  <c r="BY285" i="6" s="1"/>
  <c r="AA95" i="16"/>
  <c r="Z95" i="16" s="1"/>
  <c r="Y95" i="16" s="1"/>
  <c r="AI136" i="17"/>
  <c r="AH136" i="17" s="1"/>
  <c r="AG136" i="17" s="1"/>
  <c r="AF136" i="17" s="1"/>
  <c r="F182" i="16"/>
  <c r="G182" i="16" s="1"/>
  <c r="BY182" i="6" s="1"/>
  <c r="F359" i="16"/>
  <c r="AA359" i="16" s="1"/>
  <c r="Z359" i="16" s="1"/>
  <c r="Y359" i="16" s="1"/>
  <c r="F71" i="16"/>
  <c r="H71" i="16" s="1"/>
  <c r="I71" i="16" s="1"/>
  <c r="F325" i="16"/>
  <c r="G325" i="16" s="1"/>
  <c r="BY325" i="6" s="1"/>
  <c r="F47" i="16"/>
  <c r="G47" i="16" s="1"/>
  <c r="BY47" i="6" s="1"/>
  <c r="F347" i="16"/>
  <c r="G347" i="16" s="1"/>
  <c r="BY347" i="6" s="1"/>
  <c r="F81" i="16"/>
  <c r="G81" i="16" s="1"/>
  <c r="BY81" i="6" s="1"/>
  <c r="F51" i="16"/>
  <c r="G51" i="16" s="1"/>
  <c r="BY51" i="6" s="1"/>
  <c r="F63" i="16"/>
  <c r="H63" i="16" s="1"/>
  <c r="I63" i="16" s="1"/>
  <c r="F35" i="16"/>
  <c r="G35" i="16" s="1"/>
  <c r="BY35" i="6" s="1"/>
  <c r="F315" i="16"/>
  <c r="AA315" i="16" s="1"/>
  <c r="Z315" i="16" s="1"/>
  <c r="Y315" i="16" s="1"/>
  <c r="H59" i="16"/>
  <c r="J59" i="16" s="1"/>
  <c r="F230" i="16"/>
  <c r="AA230" i="16" s="1"/>
  <c r="Z230" i="16" s="1"/>
  <c r="Y230" i="16" s="1"/>
  <c r="G373" i="16"/>
  <c r="BY373" i="6" s="1"/>
  <c r="H373" i="16"/>
  <c r="I373" i="16" s="1"/>
  <c r="G361" i="16"/>
  <c r="BY361" i="6" s="1"/>
  <c r="H361" i="16"/>
  <c r="J361" i="16" s="1"/>
  <c r="Q336" i="17"/>
  <c r="Q256" i="17"/>
  <c r="G375" i="16"/>
  <c r="BY375" i="6" s="1"/>
  <c r="H375" i="16"/>
  <c r="J375" i="16" s="1"/>
  <c r="AA375" i="16"/>
  <c r="Z375" i="16" s="1"/>
  <c r="Y375" i="16" s="1"/>
  <c r="F337" i="16"/>
  <c r="G337" i="16" s="1"/>
  <c r="BY337" i="6" s="1"/>
  <c r="F262" i="16"/>
  <c r="AA262" i="16" s="1"/>
  <c r="Z262" i="16" s="1"/>
  <c r="Y262" i="16" s="1"/>
  <c r="AA319" i="16"/>
  <c r="Z319" i="16" s="1"/>
  <c r="Y319" i="16" s="1"/>
  <c r="H317" i="16"/>
  <c r="I317" i="16" s="1"/>
  <c r="H167" i="16"/>
  <c r="I167" i="16" s="1"/>
  <c r="H365" i="16"/>
  <c r="J365" i="16" s="1"/>
  <c r="H357" i="16"/>
  <c r="J357" i="16" s="1"/>
  <c r="AA357" i="16"/>
  <c r="Z357" i="16" s="1"/>
  <c r="Y357" i="16" s="1"/>
  <c r="AA361" i="16"/>
  <c r="Z361" i="16" s="1"/>
  <c r="Y361" i="16" s="1"/>
  <c r="AA373" i="16"/>
  <c r="Z373" i="16" s="1"/>
  <c r="Y373" i="16" s="1"/>
  <c r="AA349" i="16"/>
  <c r="Z349" i="16" s="1"/>
  <c r="Y349" i="16" s="1"/>
  <c r="F67" i="16"/>
  <c r="G67" i="16" s="1"/>
  <c r="BY67" i="6" s="1"/>
  <c r="F143" i="16"/>
  <c r="AA143" i="16" s="1"/>
  <c r="Z143" i="16" s="1"/>
  <c r="Y143" i="16" s="1"/>
  <c r="H353" i="16"/>
  <c r="I353" i="16" s="1"/>
  <c r="AA317" i="16"/>
  <c r="Z317" i="16" s="1"/>
  <c r="Y317" i="16" s="1"/>
  <c r="H377" i="16"/>
  <c r="I377" i="16" s="1"/>
  <c r="H331" i="16"/>
  <c r="I331" i="16" s="1"/>
  <c r="H349" i="16"/>
  <c r="J349" i="16" s="1"/>
  <c r="AA365" i="16"/>
  <c r="Z365" i="16" s="1"/>
  <c r="Y365" i="16" s="1"/>
  <c r="AA331" i="16"/>
  <c r="Z331" i="16" s="1"/>
  <c r="Y331" i="16" s="1"/>
  <c r="AA353" i="16"/>
  <c r="Z353" i="16" s="1"/>
  <c r="Y353" i="16" s="1"/>
  <c r="Q368" i="17"/>
  <c r="Q304" i="17"/>
  <c r="Q192" i="17"/>
  <c r="Q352" i="17"/>
  <c r="Q320" i="17"/>
  <c r="Q288" i="17"/>
  <c r="Q224" i="17"/>
  <c r="Q152" i="17"/>
  <c r="G55" i="16"/>
  <c r="BY55" i="6" s="1"/>
  <c r="G226" i="16"/>
  <c r="BY226" i="6" s="1"/>
  <c r="AA326" i="16"/>
  <c r="Z326" i="16" s="1"/>
  <c r="Y326" i="16" s="1"/>
  <c r="AA304" i="16"/>
  <c r="Z304" i="16" s="1"/>
  <c r="Y304" i="16" s="1"/>
  <c r="F33" i="16"/>
  <c r="H33" i="16" s="1"/>
  <c r="J33" i="16" s="1"/>
  <c r="H106" i="16"/>
  <c r="I106" i="16" s="1"/>
  <c r="V119" i="16"/>
  <c r="F119" i="16" s="1"/>
  <c r="H119" i="16" s="1"/>
  <c r="G213" i="16"/>
  <c r="BY213" i="6" s="1"/>
  <c r="I136" i="15"/>
  <c r="H136" i="16" s="1"/>
  <c r="I136" i="16" s="1"/>
  <c r="G151" i="16"/>
  <c r="BY151" i="6" s="1"/>
  <c r="F89" i="16"/>
  <c r="AA89" i="16" s="1"/>
  <c r="Z89" i="16" s="1"/>
  <c r="Y89" i="16" s="1"/>
  <c r="D46" i="7"/>
  <c r="F123" i="16"/>
  <c r="H123" i="16" s="1"/>
  <c r="J123" i="16" s="1"/>
  <c r="H114" i="16"/>
  <c r="I114" i="16" s="1"/>
  <c r="H278" i="16"/>
  <c r="J278" i="16" s="1"/>
  <c r="AA141" i="16"/>
  <c r="Z141" i="16" s="1"/>
  <c r="Y141" i="16" s="1"/>
  <c r="G293" i="16"/>
  <c r="BY293" i="6" s="1"/>
  <c r="AA185" i="16"/>
  <c r="Z185" i="16" s="1"/>
  <c r="Y185" i="16" s="1"/>
  <c r="AA294" i="16"/>
  <c r="Z294" i="16" s="1"/>
  <c r="Y294" i="16" s="1"/>
  <c r="G106" i="16"/>
  <c r="BY106" i="6" s="1"/>
  <c r="H68" i="16"/>
  <c r="I68" i="16" s="1"/>
  <c r="G280" i="16"/>
  <c r="BY280" i="6" s="1"/>
  <c r="Q376" i="17"/>
  <c r="Q360" i="17"/>
  <c r="Q344" i="17"/>
  <c r="Q328" i="17"/>
  <c r="Q312" i="17"/>
  <c r="Q296" i="17"/>
  <c r="Q272" i="17"/>
  <c r="Q240" i="17"/>
  <c r="Q208" i="17"/>
  <c r="Q176" i="17"/>
  <c r="Q120" i="17"/>
  <c r="AA369" i="16"/>
  <c r="Z369" i="16" s="1"/>
  <c r="Y369" i="16" s="1"/>
  <c r="AA355" i="16"/>
  <c r="Z355" i="16" s="1"/>
  <c r="Y355" i="16" s="1"/>
  <c r="H269" i="16"/>
  <c r="I269" i="16" s="1"/>
  <c r="G326" i="16"/>
  <c r="BY326" i="6" s="1"/>
  <c r="H304" i="16"/>
  <c r="I304" i="16" s="1"/>
  <c r="AA226" i="16"/>
  <c r="Z226" i="16" s="1"/>
  <c r="Y226" i="16" s="1"/>
  <c r="H151" i="16"/>
  <c r="J151" i="16" s="1"/>
  <c r="H213" i="16"/>
  <c r="I213" i="16" s="1"/>
  <c r="G168" i="16"/>
  <c r="BY168" i="6" s="1"/>
  <c r="F101" i="16"/>
  <c r="H101" i="16" s="1"/>
  <c r="I101" i="16" s="1"/>
  <c r="I241" i="15"/>
  <c r="J241" i="15"/>
  <c r="AI368" i="17"/>
  <c r="AH368" i="17" s="1"/>
  <c r="AG368" i="17" s="1"/>
  <c r="AF368" i="17" s="1"/>
  <c r="AI152" i="17"/>
  <c r="AH152" i="17" s="1"/>
  <c r="AG152" i="17" s="1"/>
  <c r="AF152" i="17" s="1"/>
  <c r="H243" i="16"/>
  <c r="I243" i="16" s="1"/>
  <c r="AA171" i="16"/>
  <c r="Z171" i="16" s="1"/>
  <c r="Y171" i="16" s="1"/>
  <c r="AA55" i="16"/>
  <c r="Z55" i="16" s="1"/>
  <c r="Y55" i="16" s="1"/>
  <c r="H351" i="16"/>
  <c r="I351" i="16" s="1"/>
  <c r="G164" i="16"/>
  <c r="BY164" i="6" s="1"/>
  <c r="AI356" i="17"/>
  <c r="AH356" i="17" s="1"/>
  <c r="AG356" i="17" s="1"/>
  <c r="AF356" i="17" s="1"/>
  <c r="AI256" i="17"/>
  <c r="AH256" i="17" s="1"/>
  <c r="AG256" i="17" s="1"/>
  <c r="AF256" i="17" s="1"/>
  <c r="AI127" i="17"/>
  <c r="AH127" i="17" s="1"/>
  <c r="AG127" i="17" s="1"/>
  <c r="AF127" i="17" s="1"/>
  <c r="AA324" i="16"/>
  <c r="Z324" i="16" s="1"/>
  <c r="Y324" i="16" s="1"/>
  <c r="Q88" i="17"/>
  <c r="AA278" i="16"/>
  <c r="Z278" i="16" s="1"/>
  <c r="Y278" i="16" s="1"/>
  <c r="G272" i="16"/>
  <c r="BY272" i="6" s="1"/>
  <c r="AA59" i="16"/>
  <c r="Z59" i="16" s="1"/>
  <c r="Y59" i="16" s="1"/>
  <c r="F91" i="16"/>
  <c r="Q56" i="17"/>
  <c r="AA178" i="16"/>
  <c r="Z178" i="16" s="1"/>
  <c r="Y178" i="16" s="1"/>
  <c r="H178" i="16"/>
  <c r="J178" i="16" s="1"/>
  <c r="G147" i="16"/>
  <c r="BY147" i="6" s="1"/>
  <c r="H147" i="16"/>
  <c r="I147" i="16" s="1"/>
  <c r="G98" i="16"/>
  <c r="BY98" i="6" s="1"/>
  <c r="AA98" i="16"/>
  <c r="Z98" i="16" s="1"/>
  <c r="Y98" i="16" s="1"/>
  <c r="H98" i="16"/>
  <c r="I98" i="16" s="1"/>
  <c r="H297" i="16"/>
  <c r="I297" i="16" s="1"/>
  <c r="H288" i="16"/>
  <c r="J288" i="16" s="1"/>
  <c r="AA269" i="16"/>
  <c r="Z269" i="16" s="1"/>
  <c r="Y269" i="16" s="1"/>
  <c r="H185" i="16"/>
  <c r="I185" i="16" s="1"/>
  <c r="G294" i="16"/>
  <c r="BY294" i="6" s="1"/>
  <c r="G136" i="16"/>
  <c r="BY136" i="6" s="1"/>
  <c r="G351" i="16"/>
  <c r="BY351" i="6" s="1"/>
  <c r="H376" i="16"/>
  <c r="I376" i="16" s="1"/>
  <c r="G95" i="16"/>
  <c r="BY95" i="6" s="1"/>
  <c r="AA364" i="16"/>
  <c r="Z364" i="16" s="1"/>
  <c r="Y364" i="16" s="1"/>
  <c r="AA68" i="16"/>
  <c r="Z68" i="16" s="1"/>
  <c r="Y68" i="16" s="1"/>
  <c r="G355" i="16"/>
  <c r="BY355" i="6" s="1"/>
  <c r="G153" i="16"/>
  <c r="BY153" i="6" s="1"/>
  <c r="F45" i="16"/>
  <c r="F237" i="16"/>
  <c r="AA237" i="16" s="1"/>
  <c r="Z237" i="16" s="1"/>
  <c r="Y237" i="16" s="1"/>
  <c r="AA344" i="16"/>
  <c r="Z344" i="16" s="1"/>
  <c r="Y344" i="16" s="1"/>
  <c r="G138" i="16"/>
  <c r="BY138" i="6" s="1"/>
  <c r="G148" i="16"/>
  <c r="BY148" i="6" s="1"/>
  <c r="H148" i="16"/>
  <c r="G160" i="16"/>
  <c r="BY160" i="6" s="1"/>
  <c r="G44" i="16"/>
  <c r="BY44" i="6" s="1"/>
  <c r="AA44" i="16"/>
  <c r="Z44" i="16" s="1"/>
  <c r="Y44" i="16" s="1"/>
  <c r="AA155" i="16"/>
  <c r="Z155" i="16" s="1"/>
  <c r="Y155" i="16" s="1"/>
  <c r="G117" i="16"/>
  <c r="BY117" i="6" s="1"/>
  <c r="H117" i="16"/>
  <c r="G163" i="16"/>
  <c r="BY163" i="6" s="1"/>
  <c r="H163" i="16"/>
  <c r="AA163" i="16"/>
  <c r="Z163" i="16" s="1"/>
  <c r="Y163" i="16" s="1"/>
  <c r="G131" i="16"/>
  <c r="BY131" i="6" s="1"/>
  <c r="H44" i="16"/>
  <c r="I44" i="16" s="1"/>
  <c r="Q372" i="17"/>
  <c r="Q364" i="17"/>
  <c r="Q356" i="17"/>
  <c r="Q348" i="17"/>
  <c r="Q340" i="17"/>
  <c r="Q332" i="17"/>
  <c r="Q324" i="17"/>
  <c r="Q316" i="17"/>
  <c r="Q308" i="17"/>
  <c r="Q300" i="17"/>
  <c r="Q292" i="17"/>
  <c r="Q280" i="17"/>
  <c r="Q264" i="17"/>
  <c r="Q248" i="17"/>
  <c r="Q232" i="17"/>
  <c r="Q216" i="17"/>
  <c r="Q200" i="17"/>
  <c r="Q184" i="17"/>
  <c r="Q168" i="17"/>
  <c r="Q136" i="17"/>
  <c r="Q104" i="17"/>
  <c r="Q72" i="17"/>
  <c r="Q40" i="17"/>
  <c r="G369" i="16"/>
  <c r="BY369" i="6" s="1"/>
  <c r="H22" i="16"/>
  <c r="J22" i="16" s="1"/>
  <c r="AA147" i="16"/>
  <c r="Z147" i="16" s="1"/>
  <c r="Y147" i="16" s="1"/>
  <c r="G297" i="16"/>
  <c r="BY297" i="6" s="1"/>
  <c r="H138" i="16"/>
  <c r="J138" i="16" s="1"/>
  <c r="H95" i="16"/>
  <c r="J95" i="16" s="1"/>
  <c r="G59" i="16"/>
  <c r="BY59" i="6" s="1"/>
  <c r="V207" i="16"/>
  <c r="F207" i="16" s="1"/>
  <c r="V79" i="16"/>
  <c r="F79" i="16" s="1"/>
  <c r="AA179" i="16"/>
  <c r="Z179" i="16" s="1"/>
  <c r="Y179" i="16" s="1"/>
  <c r="H179" i="16"/>
  <c r="AA168" i="16"/>
  <c r="Z168" i="16" s="1"/>
  <c r="Y168" i="16" s="1"/>
  <c r="AA309" i="16"/>
  <c r="Z309" i="16" s="1"/>
  <c r="Y309" i="16" s="1"/>
  <c r="G169" i="16"/>
  <c r="BY169" i="6" s="1"/>
  <c r="H231" i="16"/>
  <c r="I231" i="16" s="1"/>
  <c r="G231" i="16"/>
  <c r="BY231" i="6" s="1"/>
  <c r="I108" i="15"/>
  <c r="AA153" i="16"/>
  <c r="Z153" i="16" s="1"/>
  <c r="Y153" i="16" s="1"/>
  <c r="AA376" i="16"/>
  <c r="Z376" i="16" s="1"/>
  <c r="Y376" i="16" s="1"/>
  <c r="H169" i="16"/>
  <c r="J169" i="16" s="1"/>
  <c r="G141" i="16"/>
  <c r="BY141" i="6" s="1"/>
  <c r="H280" i="16"/>
  <c r="J280" i="16" s="1"/>
  <c r="G178" i="16"/>
  <c r="BY178" i="6" s="1"/>
  <c r="G205" i="16"/>
  <c r="BY205" i="6" s="1"/>
  <c r="G364" i="16"/>
  <c r="BY364" i="6" s="1"/>
  <c r="H130" i="16"/>
  <c r="J130" i="16" s="1"/>
  <c r="AA130" i="16"/>
  <c r="Z130" i="16" s="1"/>
  <c r="Y130" i="16" s="1"/>
  <c r="H316" i="16"/>
  <c r="I316" i="16" s="1"/>
  <c r="G316" i="16"/>
  <c r="BY316" i="6" s="1"/>
  <c r="H300" i="16"/>
  <c r="I300" i="16" s="1"/>
  <c r="AA300" i="16"/>
  <c r="Z300" i="16" s="1"/>
  <c r="Y300" i="16" s="1"/>
  <c r="G90" i="16"/>
  <c r="BY90" i="6" s="1"/>
  <c r="AA90" i="16"/>
  <c r="Z90" i="16" s="1"/>
  <c r="Y90" i="16" s="1"/>
  <c r="G22" i="16"/>
  <c r="BY22" i="6" s="1"/>
  <c r="AA22" i="16"/>
  <c r="Z22" i="16" s="1"/>
  <c r="Y22" i="16" s="1"/>
  <c r="G309" i="16"/>
  <c r="BY309" i="6" s="1"/>
  <c r="H309" i="16"/>
  <c r="J309" i="16" s="1"/>
  <c r="G135" i="16"/>
  <c r="BY135" i="6" s="1"/>
  <c r="AA135" i="16"/>
  <c r="Z135" i="16" s="1"/>
  <c r="Y135" i="16" s="1"/>
  <c r="AA250" i="16"/>
  <c r="Z250" i="16" s="1"/>
  <c r="Y250" i="16" s="1"/>
  <c r="AA144" i="16"/>
  <c r="Z144" i="16" s="1"/>
  <c r="Y144" i="16" s="1"/>
  <c r="AA192" i="16"/>
  <c r="Z192" i="16" s="1"/>
  <c r="Y192" i="16" s="1"/>
  <c r="AA164" i="16"/>
  <c r="Z164" i="16" s="1"/>
  <c r="Y164" i="16" s="1"/>
  <c r="AA165" i="16"/>
  <c r="Z165" i="16" s="1"/>
  <c r="Y165" i="16" s="1"/>
  <c r="H211" i="16"/>
  <c r="I211" i="16" s="1"/>
  <c r="AA283" i="16"/>
  <c r="Z283" i="16" s="1"/>
  <c r="Y283" i="16" s="1"/>
  <c r="I164" i="16"/>
  <c r="I168" i="16"/>
  <c r="AA236" i="16"/>
  <c r="Z236" i="16" s="1"/>
  <c r="Y236" i="16" s="1"/>
  <c r="G192" i="16"/>
  <c r="BY192" i="6" s="1"/>
  <c r="H192" i="16"/>
  <c r="I192" i="16" s="1"/>
  <c r="AA128" i="16"/>
  <c r="Z128" i="16" s="1"/>
  <c r="Y128" i="16" s="1"/>
  <c r="H128" i="16"/>
  <c r="J128" i="16" s="1"/>
  <c r="G144" i="16"/>
  <c r="BY144" i="6" s="1"/>
  <c r="H144" i="16"/>
  <c r="AA83" i="16"/>
  <c r="Z83" i="16" s="1"/>
  <c r="Y83" i="16" s="1"/>
  <c r="H83" i="16"/>
  <c r="J83" i="16" s="1"/>
  <c r="H238" i="16"/>
  <c r="J238" i="16" s="1"/>
  <c r="G238" i="16"/>
  <c r="BY238" i="6" s="1"/>
  <c r="G76" i="16"/>
  <c r="BY76" i="6" s="1"/>
  <c r="G150" i="16"/>
  <c r="BY150" i="6" s="1"/>
  <c r="AA150" i="16"/>
  <c r="Z150" i="16" s="1"/>
  <c r="Y150" i="16" s="1"/>
  <c r="G181" i="16"/>
  <c r="BY181" i="6" s="1"/>
  <c r="H181" i="16"/>
  <c r="G279" i="16"/>
  <c r="BY279" i="6" s="1"/>
  <c r="AA279" i="16"/>
  <c r="Z279" i="16" s="1"/>
  <c r="Y279" i="16" s="1"/>
  <c r="AA114" i="16"/>
  <c r="Z114" i="16" s="1"/>
  <c r="Y114" i="16" s="1"/>
  <c r="AA105" i="16"/>
  <c r="Z105" i="16" s="1"/>
  <c r="Y105" i="16" s="1"/>
  <c r="AA205" i="16"/>
  <c r="Z205" i="16" s="1"/>
  <c r="Y205" i="16" s="1"/>
  <c r="AA133" i="16"/>
  <c r="Z133" i="16" s="1"/>
  <c r="Y133" i="16" s="1"/>
  <c r="AA338" i="16"/>
  <c r="Z338" i="16" s="1"/>
  <c r="Y338" i="16" s="1"/>
  <c r="H240" i="16"/>
  <c r="H150" i="16"/>
  <c r="H195" i="16"/>
  <c r="H105" i="16"/>
  <c r="G43" i="16"/>
  <c r="BY43" i="6" s="1"/>
  <c r="H43" i="16"/>
  <c r="G129" i="16"/>
  <c r="BY129" i="6" s="1"/>
  <c r="H129" i="16"/>
  <c r="AA129" i="16"/>
  <c r="Z129" i="16" s="1"/>
  <c r="Y129" i="16" s="1"/>
  <c r="G177" i="16"/>
  <c r="BY177" i="6" s="1"/>
  <c r="H177" i="16"/>
  <c r="AA177" i="16"/>
  <c r="Z177" i="16" s="1"/>
  <c r="Y177" i="16" s="1"/>
  <c r="G193" i="16"/>
  <c r="BY193" i="6" s="1"/>
  <c r="H193" i="16"/>
  <c r="G221" i="16"/>
  <c r="BY221" i="6" s="1"/>
  <c r="H221" i="16"/>
  <c r="G229" i="16"/>
  <c r="BY229" i="6" s="1"/>
  <c r="H229" i="16"/>
  <c r="G249" i="16"/>
  <c r="BY249" i="6" s="1"/>
  <c r="H249" i="16"/>
  <c r="G261" i="16"/>
  <c r="BY261" i="6" s="1"/>
  <c r="AA261" i="16"/>
  <c r="Z261" i="16" s="1"/>
  <c r="Y261" i="16" s="1"/>
  <c r="H261" i="16"/>
  <c r="G273" i="16"/>
  <c r="BY273" i="6" s="1"/>
  <c r="H273" i="16"/>
  <c r="AA273" i="16"/>
  <c r="Z273" i="16" s="1"/>
  <c r="Y273" i="16" s="1"/>
  <c r="G281" i="16"/>
  <c r="BY281" i="6" s="1"/>
  <c r="AA281" i="16"/>
  <c r="Z281" i="16" s="1"/>
  <c r="Y281" i="16" s="1"/>
  <c r="H281" i="16"/>
  <c r="AI15" i="17"/>
  <c r="AH15" i="17" s="1"/>
  <c r="AI83" i="17"/>
  <c r="AH83" i="17" s="1"/>
  <c r="AG83" i="17" s="1"/>
  <c r="AF83" i="17" s="1"/>
  <c r="AI138" i="17"/>
  <c r="AH138" i="17" s="1"/>
  <c r="AG138" i="17" s="1"/>
  <c r="AF138" i="17" s="1"/>
  <c r="AI170" i="17"/>
  <c r="AH170" i="17" s="1"/>
  <c r="AG170" i="17" s="1"/>
  <c r="AF170" i="17" s="1"/>
  <c r="AI202" i="17"/>
  <c r="AH202" i="17" s="1"/>
  <c r="AG202" i="17" s="1"/>
  <c r="AF202" i="17" s="1"/>
  <c r="AI234" i="17"/>
  <c r="AH234" i="17" s="1"/>
  <c r="AG234" i="17" s="1"/>
  <c r="AF234" i="17" s="1"/>
  <c r="AI266" i="17"/>
  <c r="AH266" i="17" s="1"/>
  <c r="AG266" i="17" s="1"/>
  <c r="AF266" i="17" s="1"/>
  <c r="AI298" i="17"/>
  <c r="AH298" i="17" s="1"/>
  <c r="AG298" i="17" s="1"/>
  <c r="AF298" i="17" s="1"/>
  <c r="AI378" i="17"/>
  <c r="AH378" i="17" s="1"/>
  <c r="AG378" i="17" s="1"/>
  <c r="AF378" i="17" s="1"/>
  <c r="AI346" i="17"/>
  <c r="AH346" i="17" s="1"/>
  <c r="AG346" i="17" s="1"/>
  <c r="AF346" i="17" s="1"/>
  <c r="AI300" i="17"/>
  <c r="AH300" i="17" s="1"/>
  <c r="AG300" i="17" s="1"/>
  <c r="AF300" i="17" s="1"/>
  <c r="AI236" i="17"/>
  <c r="AH236" i="17" s="1"/>
  <c r="AG236" i="17" s="1"/>
  <c r="AF236" i="17" s="1"/>
  <c r="AI172" i="17"/>
  <c r="AH172" i="17" s="1"/>
  <c r="AG172" i="17" s="1"/>
  <c r="AF172" i="17" s="1"/>
  <c r="AI87" i="17"/>
  <c r="AH87" i="17" s="1"/>
  <c r="AG87" i="17" s="1"/>
  <c r="AF87" i="17" s="1"/>
  <c r="G113" i="16"/>
  <c r="BY113" i="6" s="1"/>
  <c r="H113" i="16"/>
  <c r="G145" i="16"/>
  <c r="BY145" i="6" s="1"/>
  <c r="H145" i="16"/>
  <c r="AA145" i="16"/>
  <c r="Z145" i="16" s="1"/>
  <c r="Y145" i="16" s="1"/>
  <c r="G189" i="16"/>
  <c r="BY189" i="6" s="1"/>
  <c r="AA189" i="16"/>
  <c r="Z189" i="16" s="1"/>
  <c r="Y189" i="16" s="1"/>
  <c r="H189" i="16"/>
  <c r="G201" i="16"/>
  <c r="BY201" i="6" s="1"/>
  <c r="H201" i="16"/>
  <c r="AA201" i="16"/>
  <c r="Z201" i="16" s="1"/>
  <c r="Y201" i="16" s="1"/>
  <c r="G225" i="16"/>
  <c r="BY225" i="6" s="1"/>
  <c r="H225" i="16"/>
  <c r="G245" i="16"/>
  <c r="BY245" i="6" s="1"/>
  <c r="AA245" i="16"/>
  <c r="Z245" i="16" s="1"/>
  <c r="Y245" i="16" s="1"/>
  <c r="H245" i="16"/>
  <c r="G253" i="16"/>
  <c r="BY253" i="6" s="1"/>
  <c r="H253" i="16"/>
  <c r="G265" i="16"/>
  <c r="BY265" i="6" s="1"/>
  <c r="H265" i="16"/>
  <c r="AA265" i="16"/>
  <c r="Z265" i="16" s="1"/>
  <c r="Y265" i="16" s="1"/>
  <c r="G277" i="16"/>
  <c r="BY277" i="6" s="1"/>
  <c r="H277" i="16"/>
  <c r="G301" i="16"/>
  <c r="BY301" i="6" s="1"/>
  <c r="H301" i="16"/>
  <c r="AA249" i="16"/>
  <c r="Z249" i="16" s="1"/>
  <c r="Y249" i="16" s="1"/>
  <c r="AA370" i="16"/>
  <c r="Z370" i="16" s="1"/>
  <c r="Y370" i="16" s="1"/>
  <c r="AA234" i="16"/>
  <c r="Z234" i="16" s="1"/>
  <c r="Y234" i="16" s="1"/>
  <c r="H332" i="16"/>
  <c r="H250" i="16"/>
  <c r="H235" i="16"/>
  <c r="H223" i="16"/>
  <c r="H203" i="16"/>
  <c r="H165" i="16"/>
  <c r="H133" i="16"/>
  <c r="AA235" i="16"/>
  <c r="Z235" i="16" s="1"/>
  <c r="Y235" i="16" s="1"/>
  <c r="H279" i="16"/>
  <c r="AA227" i="16"/>
  <c r="Z227" i="16" s="1"/>
  <c r="Y227" i="16" s="1"/>
  <c r="H157" i="16"/>
  <c r="AA229" i="16"/>
  <c r="Z229" i="16" s="1"/>
  <c r="Y229" i="16" s="1"/>
  <c r="AA221" i="16"/>
  <c r="Z221" i="16" s="1"/>
  <c r="Y221" i="16" s="1"/>
  <c r="AA301" i="16"/>
  <c r="Z301" i="16" s="1"/>
  <c r="Y301" i="16" s="1"/>
  <c r="AA181" i="16"/>
  <c r="Z181" i="16" s="1"/>
  <c r="Y181" i="16" s="1"/>
  <c r="AA157" i="16"/>
  <c r="Z157" i="16" s="1"/>
  <c r="Y157" i="16" s="1"/>
  <c r="AA311" i="16"/>
  <c r="Z311" i="16" s="1"/>
  <c r="Y311" i="16" s="1"/>
  <c r="AA203" i="16"/>
  <c r="Z203" i="16" s="1"/>
  <c r="Y203" i="16" s="1"/>
  <c r="AA195" i="16"/>
  <c r="Z195" i="16" s="1"/>
  <c r="Y195" i="16" s="1"/>
  <c r="H303" i="16"/>
  <c r="H283" i="16"/>
  <c r="AA223" i="16"/>
  <c r="Z223" i="16" s="1"/>
  <c r="Y223" i="16" s="1"/>
  <c r="H311" i="16"/>
  <c r="Q160" i="17"/>
  <c r="Q144" i="17"/>
  <c r="Q128" i="17"/>
  <c r="Q112" i="17"/>
  <c r="Q96" i="17"/>
  <c r="Q80" i="17"/>
  <c r="Q64" i="17"/>
  <c r="Q48" i="17"/>
  <c r="F217" i="16"/>
  <c r="G217" i="16" s="1"/>
  <c r="BY217" i="6" s="1"/>
  <c r="F149" i="16"/>
  <c r="H149" i="16" s="1"/>
  <c r="F93" i="16"/>
  <c r="G93" i="16" s="1"/>
  <c r="BY93" i="6" s="1"/>
  <c r="F73" i="16"/>
  <c r="AA73" i="16" s="1"/>
  <c r="Z73" i="16" s="1"/>
  <c r="Y73" i="16" s="1"/>
  <c r="F372" i="16"/>
  <c r="AA372" i="16" s="1"/>
  <c r="Z372" i="16" s="1"/>
  <c r="Y372" i="16" s="1"/>
  <c r="F342" i="16"/>
  <c r="H342" i="16" s="1"/>
  <c r="F322" i="16"/>
  <c r="F308" i="16"/>
  <c r="AA308" i="16" s="1"/>
  <c r="Z308" i="16" s="1"/>
  <c r="Y308" i="16" s="1"/>
  <c r="F274" i="16"/>
  <c r="G274" i="16" s="1"/>
  <c r="BY274" i="6" s="1"/>
  <c r="F97" i="16"/>
  <c r="G97" i="16" s="1"/>
  <c r="BY97" i="6" s="1"/>
  <c r="F87" i="16"/>
  <c r="G87" i="16" s="1"/>
  <c r="BY87" i="6" s="1"/>
  <c r="F31" i="16"/>
  <c r="G31" i="16" s="1"/>
  <c r="BY31" i="6" s="1"/>
  <c r="F310" i="16"/>
  <c r="AA310" i="16" s="1"/>
  <c r="Z310" i="16" s="1"/>
  <c r="Y310" i="16" s="1"/>
  <c r="F103" i="16"/>
  <c r="AA103" i="16" s="1"/>
  <c r="Z103" i="16" s="1"/>
  <c r="Y103" i="16" s="1"/>
  <c r="F74" i="16"/>
  <c r="AA74" i="16" s="1"/>
  <c r="Z74" i="16" s="1"/>
  <c r="Y74" i="16" s="1"/>
  <c r="F199" i="16"/>
  <c r="AA199" i="16" s="1"/>
  <c r="Z199" i="16" s="1"/>
  <c r="Y199" i="16" s="1"/>
  <c r="F374" i="16"/>
  <c r="AA374" i="16" s="1"/>
  <c r="Z374" i="16" s="1"/>
  <c r="Y374" i="16" s="1"/>
  <c r="F52" i="16"/>
  <c r="G52" i="16" s="1"/>
  <c r="BY52" i="6" s="1"/>
  <c r="F197" i="16"/>
  <c r="F21" i="16"/>
  <c r="G21" i="16" s="1"/>
  <c r="BY21" i="6" s="1"/>
  <c r="F296" i="16"/>
  <c r="AA296" i="16" s="1"/>
  <c r="Z296" i="16" s="1"/>
  <c r="Y296" i="16" s="1"/>
  <c r="F275" i="16"/>
  <c r="H275" i="16" s="1"/>
  <c r="F233" i="16"/>
  <c r="H233" i="16" s="1"/>
  <c r="F212" i="16"/>
  <c r="G212" i="16" s="1"/>
  <c r="BY212" i="6" s="1"/>
  <c r="F78" i="16"/>
  <c r="F62" i="16"/>
  <c r="AA62" i="16" s="1"/>
  <c r="Z62" i="16" s="1"/>
  <c r="Y62" i="16" s="1"/>
  <c r="F70" i="16"/>
  <c r="H70" i="16" s="1"/>
  <c r="F36" i="16"/>
  <c r="H36" i="16" s="1"/>
  <c r="F56" i="16"/>
  <c r="G56" i="16" s="1"/>
  <c r="BY56" i="6" s="1"/>
  <c r="F54" i="16"/>
  <c r="F27" i="16"/>
  <c r="G27" i="16" s="1"/>
  <c r="BY27" i="6" s="1"/>
  <c r="F140" i="16"/>
  <c r="H140" i="16" s="1"/>
  <c r="I140" i="16" s="1"/>
  <c r="F108" i="16"/>
  <c r="F88" i="16"/>
  <c r="AA88" i="16" s="1"/>
  <c r="Z88" i="16" s="1"/>
  <c r="Y88" i="16" s="1"/>
  <c r="F57" i="16"/>
  <c r="AA57" i="16" s="1"/>
  <c r="Z57" i="16" s="1"/>
  <c r="Y57" i="16" s="1"/>
  <c r="F18" i="16"/>
  <c r="H18" i="16" s="1"/>
  <c r="J18" i="16" s="1"/>
  <c r="G214" i="16"/>
  <c r="BY214" i="6" s="1"/>
  <c r="H214" i="16"/>
  <c r="H356" i="16"/>
  <c r="H234" i="16"/>
  <c r="AA356" i="16"/>
  <c r="Z356" i="16" s="1"/>
  <c r="Y356" i="16" s="1"/>
  <c r="AA268" i="16"/>
  <c r="Z268" i="16" s="1"/>
  <c r="Y268" i="16" s="1"/>
  <c r="H338" i="16"/>
  <c r="F341" i="16"/>
  <c r="H341" i="16" s="1"/>
  <c r="F299" i="16"/>
  <c r="G299" i="16" s="1"/>
  <c r="BY299" i="6" s="1"/>
  <c r="F173" i="16"/>
  <c r="G173" i="16" s="1"/>
  <c r="BY173" i="6" s="1"/>
  <c r="F111" i="16"/>
  <c r="AA111" i="16" s="1"/>
  <c r="Z111" i="16" s="1"/>
  <c r="Y111" i="16" s="1"/>
  <c r="F53" i="16"/>
  <c r="G53" i="16" s="1"/>
  <c r="BY53" i="6" s="1"/>
  <c r="F210" i="16"/>
  <c r="AA210" i="16" s="1"/>
  <c r="Z210" i="16" s="1"/>
  <c r="Y210" i="16" s="1"/>
  <c r="F118" i="16"/>
  <c r="H118" i="16" s="1"/>
  <c r="F48" i="16"/>
  <c r="G48" i="16" s="1"/>
  <c r="BY48" i="6" s="1"/>
  <c r="F50" i="16"/>
  <c r="H50" i="16" s="1"/>
  <c r="F58" i="16"/>
  <c r="F30" i="16"/>
  <c r="G30" i="16" s="1"/>
  <c r="BY30" i="6" s="1"/>
  <c r="F40" i="16"/>
  <c r="F38" i="16"/>
  <c r="H38" i="16" s="1"/>
  <c r="F176" i="16"/>
  <c r="H176" i="16" s="1"/>
  <c r="I176" i="16" s="1"/>
  <c r="F112" i="16"/>
  <c r="F92" i="16"/>
  <c r="F84" i="16"/>
  <c r="G84" i="16" s="1"/>
  <c r="BY84" i="6" s="1"/>
  <c r="AA332" i="16"/>
  <c r="Z332" i="16" s="1"/>
  <c r="Y332" i="16" s="1"/>
  <c r="AA240" i="16"/>
  <c r="Z240" i="16" s="1"/>
  <c r="Y240" i="16" s="1"/>
  <c r="H370" i="16"/>
  <c r="H336" i="16"/>
  <c r="H268" i="16"/>
  <c r="AI16" i="17"/>
  <c r="AI34" i="17"/>
  <c r="AH34" i="17" s="1"/>
  <c r="AG34" i="17" s="1"/>
  <c r="AF34" i="17" s="1"/>
  <c r="AI50" i="17"/>
  <c r="AH50" i="17" s="1"/>
  <c r="AG50" i="17" s="1"/>
  <c r="AF50" i="17" s="1"/>
  <c r="AI66" i="17"/>
  <c r="AH66" i="17" s="1"/>
  <c r="AG66" i="17" s="1"/>
  <c r="AF66" i="17" s="1"/>
  <c r="AI82" i="17"/>
  <c r="AH82" i="17" s="1"/>
  <c r="AG82" i="17" s="1"/>
  <c r="AF82" i="17" s="1"/>
  <c r="AI98" i="17"/>
  <c r="AH98" i="17" s="1"/>
  <c r="AG98" i="17" s="1"/>
  <c r="AF98" i="17" s="1"/>
  <c r="AI114" i="17"/>
  <c r="AH114" i="17" s="1"/>
  <c r="AG114" i="17" s="1"/>
  <c r="AF114" i="17" s="1"/>
  <c r="W15" i="7"/>
  <c r="Q17" i="17"/>
  <c r="Q21" i="17"/>
  <c r="Q25" i="17"/>
  <c r="Q29" i="17"/>
  <c r="Q33" i="17"/>
  <c r="Q35" i="17"/>
  <c r="Q37" i="17"/>
  <c r="Q39" i="17"/>
  <c r="Q41" i="17"/>
  <c r="Q43" i="17"/>
  <c r="Q45" i="17"/>
  <c r="Q47" i="17"/>
  <c r="Q49" i="17"/>
  <c r="Q51" i="17"/>
  <c r="Q53" i="17"/>
  <c r="Q55" i="17"/>
  <c r="Q57" i="17"/>
  <c r="Q59" i="17"/>
  <c r="Q61" i="17"/>
  <c r="Q63" i="17"/>
  <c r="Q65" i="17"/>
  <c r="Q67" i="17"/>
  <c r="Q69" i="17"/>
  <c r="Q71" i="17"/>
  <c r="Q73" i="17"/>
  <c r="Q75" i="17"/>
  <c r="Q77" i="17"/>
  <c r="Q79" i="17"/>
  <c r="Q81" i="17"/>
  <c r="Q83" i="17"/>
  <c r="Q85" i="17"/>
  <c r="Q87" i="17"/>
  <c r="Q89" i="17"/>
  <c r="Q91" i="17"/>
  <c r="Q93" i="17"/>
  <c r="Q95" i="17"/>
  <c r="Q97" i="17"/>
  <c r="Q99" i="17"/>
  <c r="Q101" i="17"/>
  <c r="Q103" i="17"/>
  <c r="Q105" i="17"/>
  <c r="Q107" i="17"/>
  <c r="Q109" i="17"/>
  <c r="Q111" i="17"/>
  <c r="Q113" i="17"/>
  <c r="Q115" i="17"/>
  <c r="Q117" i="17"/>
  <c r="Q119" i="17"/>
  <c r="Q121" i="17"/>
  <c r="Q123" i="17"/>
  <c r="Q125" i="17"/>
  <c r="Q127" i="17"/>
  <c r="Q129" i="17"/>
  <c r="Q131" i="17"/>
  <c r="Q133" i="17"/>
  <c r="Q135" i="17"/>
  <c r="Q137" i="17"/>
  <c r="Q139" i="17"/>
  <c r="Q141" i="17"/>
  <c r="Q143" i="17"/>
  <c r="Q145" i="17"/>
  <c r="Q147" i="17"/>
  <c r="Q149" i="17"/>
  <c r="Q151" i="17"/>
  <c r="Q153" i="17"/>
  <c r="Q155" i="17"/>
  <c r="Q157" i="17"/>
  <c r="Q159" i="17"/>
  <c r="Q161" i="17"/>
  <c r="Q163" i="17"/>
  <c r="Q165" i="17"/>
  <c r="Q167" i="17"/>
  <c r="Q169" i="17"/>
  <c r="Q171" i="17"/>
  <c r="Q173" i="17"/>
  <c r="Q175" i="17"/>
  <c r="Q177" i="17"/>
  <c r="Q179" i="17"/>
  <c r="Q181" i="17"/>
  <c r="Q183" i="17"/>
  <c r="Q185" i="17"/>
  <c r="Q187" i="17"/>
  <c r="Q189" i="17"/>
  <c r="Q191" i="17"/>
  <c r="Q193" i="17"/>
  <c r="Q195" i="17"/>
  <c r="Q197" i="17"/>
  <c r="Q199" i="17"/>
  <c r="Q201" i="17"/>
  <c r="Q203" i="17"/>
  <c r="Q205" i="17"/>
  <c r="Q207" i="17"/>
  <c r="Q209" i="17"/>
  <c r="Q211" i="17"/>
  <c r="Q213" i="17"/>
  <c r="Q215" i="17"/>
  <c r="Q217" i="17"/>
  <c r="Q219" i="17"/>
  <c r="Q221" i="17"/>
  <c r="Q223" i="17"/>
  <c r="Q225" i="17"/>
  <c r="Q227" i="17"/>
  <c r="Q229" i="17"/>
  <c r="Q231" i="17"/>
  <c r="Q233" i="17"/>
  <c r="Q235" i="17"/>
  <c r="Q237" i="17"/>
  <c r="Q239" i="17"/>
  <c r="Q241" i="17"/>
  <c r="Q243" i="17"/>
  <c r="Q245" i="17"/>
  <c r="Q247" i="17"/>
  <c r="Q249" i="17"/>
  <c r="Q251" i="17"/>
  <c r="Q253" i="17"/>
  <c r="Q255" i="17"/>
  <c r="Q257" i="17"/>
  <c r="Q259" i="17"/>
  <c r="Q261" i="17"/>
  <c r="Q263" i="17"/>
  <c r="Q265" i="17"/>
  <c r="Q267" i="17"/>
  <c r="Q269" i="17"/>
  <c r="Q271" i="17"/>
  <c r="Q273" i="17"/>
  <c r="Q275" i="17"/>
  <c r="Q277" i="17"/>
  <c r="Q279" i="17"/>
  <c r="Q281" i="17"/>
  <c r="Q283" i="17"/>
  <c r="Q285" i="17"/>
  <c r="Q287" i="17"/>
  <c r="Q15" i="17"/>
  <c r="Q27" i="17"/>
  <c r="Q34" i="17"/>
  <c r="Q38" i="17"/>
  <c r="Q42" i="17"/>
  <c r="Q46" i="17"/>
  <c r="Q50" i="17"/>
  <c r="Q54" i="17"/>
  <c r="Q58" i="17"/>
  <c r="Q62" i="17"/>
  <c r="Q66" i="17"/>
  <c r="Q70" i="17"/>
  <c r="Q74" i="17"/>
  <c r="Q78" i="17"/>
  <c r="Q82" i="17"/>
  <c r="Q86" i="17"/>
  <c r="Q90" i="17"/>
  <c r="Q94" i="17"/>
  <c r="Q98" i="17"/>
  <c r="Q102" i="17"/>
  <c r="Q106" i="17"/>
  <c r="Q110" i="17"/>
  <c r="Q114" i="17"/>
  <c r="Q118" i="17"/>
  <c r="Q122" i="17"/>
  <c r="Q126" i="17"/>
  <c r="Q130" i="17"/>
  <c r="Q134" i="17"/>
  <c r="Q138" i="17"/>
  <c r="Q142" i="17"/>
  <c r="Q146" i="17"/>
  <c r="Q150" i="17"/>
  <c r="Q154" i="17"/>
  <c r="Q158" i="17"/>
  <c r="Q162" i="17"/>
  <c r="Q166" i="17"/>
  <c r="Q170" i="17"/>
  <c r="Q174" i="17"/>
  <c r="Q178" i="17"/>
  <c r="Q182" i="17"/>
  <c r="Q186" i="17"/>
  <c r="Q190" i="17"/>
  <c r="Q194" i="17"/>
  <c r="Q198" i="17"/>
  <c r="Q202" i="17"/>
  <c r="Q206" i="17"/>
  <c r="Q210" i="17"/>
  <c r="Q214" i="17"/>
  <c r="Q218" i="17"/>
  <c r="Q222" i="17"/>
  <c r="Q226" i="17"/>
  <c r="Q230" i="17"/>
  <c r="Q234" i="17"/>
  <c r="Q238" i="17"/>
  <c r="Q242" i="17"/>
  <c r="Q246" i="17"/>
  <c r="Q250" i="17"/>
  <c r="Q254" i="17"/>
  <c r="Q258" i="17"/>
  <c r="Q262" i="17"/>
  <c r="Q266" i="17"/>
  <c r="Q270" i="17"/>
  <c r="Q274" i="17"/>
  <c r="Q278" i="17"/>
  <c r="Q282" i="17"/>
  <c r="Q286" i="17"/>
  <c r="Q289" i="17"/>
  <c r="Q291" i="17"/>
  <c r="Q293" i="17"/>
  <c r="Q295" i="17"/>
  <c r="Q297" i="17"/>
  <c r="Q299" i="17"/>
  <c r="Q301" i="17"/>
  <c r="Q303" i="17"/>
  <c r="Q305" i="17"/>
  <c r="Q307" i="17"/>
  <c r="Q309" i="17"/>
  <c r="Q311" i="17"/>
  <c r="Q313" i="17"/>
  <c r="Q315" i="17"/>
  <c r="Q317" i="17"/>
  <c r="Q319" i="17"/>
  <c r="Q321" i="17"/>
  <c r="Q323" i="17"/>
  <c r="Q325" i="17"/>
  <c r="Q327" i="17"/>
  <c r="Q329" i="17"/>
  <c r="Q331" i="17"/>
  <c r="Q333" i="17"/>
  <c r="Q335" i="17"/>
  <c r="Q337" i="17"/>
  <c r="Q339" i="17"/>
  <c r="Q341" i="17"/>
  <c r="Q343" i="17"/>
  <c r="Q345" i="17"/>
  <c r="Q347" i="17"/>
  <c r="Q349" i="17"/>
  <c r="Q351" i="17"/>
  <c r="Q353" i="17"/>
  <c r="Q355" i="17"/>
  <c r="Q357" i="17"/>
  <c r="Q359" i="17"/>
  <c r="Q361" i="17"/>
  <c r="Q363" i="17"/>
  <c r="Q365" i="17"/>
  <c r="Q367" i="17"/>
  <c r="Q369" i="17"/>
  <c r="Q371" i="17"/>
  <c r="Q373" i="17"/>
  <c r="Q375" i="17"/>
  <c r="Q377" i="17"/>
  <c r="Q379" i="17"/>
  <c r="AI365" i="17"/>
  <c r="AH365" i="17" s="1"/>
  <c r="AG365" i="17" s="1"/>
  <c r="AF365" i="17" s="1"/>
  <c r="AI349" i="17"/>
  <c r="AH349" i="17" s="1"/>
  <c r="AG349" i="17" s="1"/>
  <c r="AF349" i="17" s="1"/>
  <c r="AI333" i="17"/>
  <c r="AH333" i="17" s="1"/>
  <c r="AG333" i="17" s="1"/>
  <c r="AF333" i="17" s="1"/>
  <c r="AI317" i="17"/>
  <c r="AH317" i="17" s="1"/>
  <c r="AG317" i="17" s="1"/>
  <c r="AF317" i="17" s="1"/>
  <c r="AI301" i="17"/>
  <c r="AH301" i="17" s="1"/>
  <c r="AG301" i="17" s="1"/>
  <c r="AF301" i="17" s="1"/>
  <c r="AI285" i="17"/>
  <c r="AH285" i="17" s="1"/>
  <c r="AG285" i="17" s="1"/>
  <c r="AF285" i="17" s="1"/>
  <c r="AI269" i="17"/>
  <c r="AH269" i="17" s="1"/>
  <c r="AG269" i="17" s="1"/>
  <c r="AF269" i="17" s="1"/>
  <c r="AI253" i="17"/>
  <c r="AH253" i="17" s="1"/>
  <c r="AG253" i="17" s="1"/>
  <c r="AF253" i="17" s="1"/>
  <c r="AI237" i="17"/>
  <c r="AH237" i="17" s="1"/>
  <c r="AG237" i="17" s="1"/>
  <c r="AF237" i="17" s="1"/>
  <c r="AI221" i="17"/>
  <c r="AH221" i="17" s="1"/>
  <c r="AG221" i="17" s="1"/>
  <c r="AF221" i="17" s="1"/>
  <c r="AI205" i="17"/>
  <c r="AH205" i="17" s="1"/>
  <c r="AG205" i="17" s="1"/>
  <c r="AF205" i="17" s="1"/>
  <c r="AI189" i="17"/>
  <c r="AH189" i="17" s="1"/>
  <c r="AG189" i="17" s="1"/>
  <c r="AF189" i="17" s="1"/>
  <c r="AI173" i="17"/>
  <c r="AH173" i="17" s="1"/>
  <c r="AG173" i="17" s="1"/>
  <c r="AF173" i="17" s="1"/>
  <c r="AI157" i="17"/>
  <c r="AH157" i="17" s="1"/>
  <c r="AG157" i="17" s="1"/>
  <c r="AF157" i="17" s="1"/>
  <c r="AI141" i="17"/>
  <c r="AH141" i="17" s="1"/>
  <c r="AG141" i="17" s="1"/>
  <c r="AF141" i="17" s="1"/>
  <c r="AI121" i="17"/>
  <c r="AH121" i="17" s="1"/>
  <c r="AG121" i="17" s="1"/>
  <c r="AF121" i="17" s="1"/>
  <c r="AI89" i="17"/>
  <c r="AH89" i="17" s="1"/>
  <c r="AG89" i="17" s="1"/>
  <c r="AF89" i="17" s="1"/>
  <c r="AI57" i="17"/>
  <c r="AH57" i="17" s="1"/>
  <c r="AG57" i="17" s="1"/>
  <c r="AF57" i="17" s="1"/>
  <c r="AI25" i="17"/>
  <c r="AH25" i="17" s="1"/>
  <c r="AG25" i="17" s="1"/>
  <c r="AF25" i="17" s="1"/>
  <c r="Q378" i="17"/>
  <c r="Q374" i="17"/>
  <c r="Q370" i="17"/>
  <c r="Q366" i="17"/>
  <c r="Q362" i="17"/>
  <c r="Q358" i="17"/>
  <c r="Q354" i="17"/>
  <c r="Q350" i="17"/>
  <c r="Q346" i="17"/>
  <c r="Q342" i="17"/>
  <c r="Q338" i="17"/>
  <c r="Q334" i="17"/>
  <c r="Q330" i="17"/>
  <c r="Q326" i="17"/>
  <c r="Q322" i="17"/>
  <c r="Q318" i="17"/>
  <c r="Q314" i="17"/>
  <c r="Q310" i="17"/>
  <c r="Q306" i="17"/>
  <c r="Q302" i="17"/>
  <c r="Q298" i="17"/>
  <c r="Q294" i="17"/>
  <c r="Q290" i="17"/>
  <c r="Q284" i="17"/>
  <c r="Q276" i="17"/>
  <c r="Q268" i="17"/>
  <c r="Q260" i="17"/>
  <c r="Q252" i="17"/>
  <c r="Q244" i="17"/>
  <c r="Q236" i="17"/>
  <c r="Q228" i="17"/>
  <c r="Q220" i="17"/>
  <c r="Q212" i="17"/>
  <c r="Q204" i="17"/>
  <c r="Q196" i="17"/>
  <c r="Q188" i="17"/>
  <c r="Q180" i="17"/>
  <c r="Q172" i="17"/>
  <c r="Q164" i="17"/>
  <c r="Q156" i="17"/>
  <c r="Q148" i="17"/>
  <c r="Q140" i="17"/>
  <c r="Q132" i="17"/>
  <c r="Q124" i="17"/>
  <c r="Q116" i="17"/>
  <c r="Q108" i="17"/>
  <c r="Q100" i="17"/>
  <c r="Q92" i="17"/>
  <c r="Q84" i="17"/>
  <c r="Q76" i="17"/>
  <c r="Q68" i="17"/>
  <c r="Q60" i="17"/>
  <c r="Q52" i="17"/>
  <c r="Q44" i="17"/>
  <c r="Q36" i="17"/>
  <c r="Q23" i="17"/>
  <c r="F266" i="16"/>
  <c r="AA266" i="16" s="1"/>
  <c r="Z266" i="16" s="1"/>
  <c r="Y266" i="16" s="1"/>
  <c r="O381" i="23"/>
  <c r="O382" i="23"/>
  <c r="O383" i="23"/>
  <c r="AC383" i="22"/>
  <c r="AC381" i="22"/>
  <c r="AC382" i="22"/>
  <c r="F172" i="16"/>
  <c r="N61" i="19"/>
  <c r="F383" i="1"/>
  <c r="F382" i="1"/>
  <c r="F381" i="1"/>
  <c r="AK10" i="1"/>
  <c r="AK12" i="1" s="1"/>
  <c r="AK13" i="1" s="1"/>
  <c r="F9" i="1"/>
  <c r="AM10" i="1"/>
  <c r="AA379" i="1"/>
  <c r="AL9" i="1" s="1"/>
  <c r="G379" i="1"/>
  <c r="BW379" i="6" s="1"/>
  <c r="I379" i="1"/>
  <c r="H379" i="15" s="1"/>
  <c r="AC382" i="23"/>
  <c r="AC381" i="23"/>
  <c r="AC383" i="23"/>
  <c r="Q32" i="17"/>
  <c r="Q30" i="17"/>
  <c r="Q28" i="17"/>
  <c r="Q26" i="17"/>
  <c r="Q24" i="17"/>
  <c r="Q22" i="17"/>
  <c r="Q20" i="17"/>
  <c r="Q16" i="17"/>
  <c r="Q19" i="17"/>
  <c r="Q18" i="17"/>
  <c r="F75" i="16"/>
  <c r="G75" i="16" s="1"/>
  <c r="BY75" i="6" s="1"/>
  <c r="O382" i="22"/>
  <c r="O383" i="22"/>
  <c r="O381" i="22"/>
  <c r="L382" i="23"/>
  <c r="L381" i="23"/>
  <c r="L383" i="23"/>
  <c r="L379" i="24"/>
  <c r="B43" i="19" s="1"/>
  <c r="K379" i="24"/>
  <c r="AB379" i="24"/>
  <c r="X379" i="24"/>
  <c r="AJ379" i="24"/>
  <c r="AK379" i="24"/>
  <c r="O379" i="24"/>
  <c r="AC379" i="24"/>
  <c r="J171" i="15"/>
  <c r="I171" i="15"/>
  <c r="H171" i="16" s="1"/>
  <c r="I369" i="16"/>
  <c r="J369" i="16"/>
  <c r="I355" i="16"/>
  <c r="J355" i="16"/>
  <c r="I153" i="16"/>
  <c r="J153" i="16"/>
  <c r="I358" i="15"/>
  <c r="J358" i="15"/>
  <c r="I294" i="16"/>
  <c r="J294" i="16"/>
  <c r="J226" i="16"/>
  <c r="I226" i="16"/>
  <c r="AF15" i="16"/>
  <c r="U373" i="17"/>
  <c r="T373" i="17" s="1"/>
  <c r="U357" i="17"/>
  <c r="T357" i="17" s="1"/>
  <c r="S357" i="17" s="1"/>
  <c r="R357" i="17" s="1"/>
  <c r="U341" i="17"/>
  <c r="T341" i="17" s="1"/>
  <c r="U325" i="17"/>
  <c r="T325" i="17" s="1"/>
  <c r="U309" i="17"/>
  <c r="T309" i="17" s="1"/>
  <c r="U293" i="17"/>
  <c r="T293" i="17" s="1"/>
  <c r="U277" i="17"/>
  <c r="T277" i="17" s="1"/>
  <c r="S277" i="17" s="1"/>
  <c r="R277" i="17" s="1"/>
  <c r="U269" i="17"/>
  <c r="T269" i="17" s="1"/>
  <c r="S269" i="17" s="1"/>
  <c r="R269" i="17" s="1"/>
  <c r="U261" i="17"/>
  <c r="T261" i="17" s="1"/>
  <c r="S261" i="17" s="1"/>
  <c r="R261" i="17" s="1"/>
  <c r="U253" i="17"/>
  <c r="T253" i="17" s="1"/>
  <c r="U245" i="17"/>
  <c r="T245" i="17" s="1"/>
  <c r="S245" i="17" s="1"/>
  <c r="R245" i="17" s="1"/>
  <c r="U237" i="17"/>
  <c r="T237" i="17" s="1"/>
  <c r="U229" i="17"/>
  <c r="T229" i="17" s="1"/>
  <c r="U221" i="17"/>
  <c r="T221" i="17" s="1"/>
  <c r="S221" i="17" s="1"/>
  <c r="R221" i="17" s="1"/>
  <c r="U213" i="17"/>
  <c r="T213" i="17" s="1"/>
  <c r="S213" i="17" s="1"/>
  <c r="R213" i="17" s="1"/>
  <c r="U205" i="17"/>
  <c r="T205" i="17" s="1"/>
  <c r="S205" i="17" s="1"/>
  <c r="R205" i="17" s="1"/>
  <c r="U197" i="17"/>
  <c r="T197" i="17" s="1"/>
  <c r="S197" i="17" s="1"/>
  <c r="R197" i="17" s="1"/>
  <c r="U189" i="17"/>
  <c r="T189" i="17" s="1"/>
  <c r="S189" i="17" s="1"/>
  <c r="R189" i="17" s="1"/>
  <c r="U181" i="17"/>
  <c r="T181" i="17" s="1"/>
  <c r="U173" i="17"/>
  <c r="T173" i="17" s="1"/>
  <c r="S173" i="17" s="1"/>
  <c r="R173" i="17" s="1"/>
  <c r="U165" i="17"/>
  <c r="T165" i="17" s="1"/>
  <c r="S165" i="17" s="1"/>
  <c r="R165" i="17" s="1"/>
  <c r="U157" i="17"/>
  <c r="T157" i="17" s="1"/>
  <c r="U149" i="17"/>
  <c r="T149" i="17" s="1"/>
  <c r="S149" i="17" s="1"/>
  <c r="R149" i="17" s="1"/>
  <c r="U141" i="17"/>
  <c r="T141" i="17" s="1"/>
  <c r="U133" i="17"/>
  <c r="T133" i="17" s="1"/>
  <c r="S133" i="17" s="1"/>
  <c r="R133" i="17" s="1"/>
  <c r="U125" i="17"/>
  <c r="T125" i="17" s="1"/>
  <c r="S125" i="17" s="1"/>
  <c r="R125" i="17" s="1"/>
  <c r="U117" i="17"/>
  <c r="T117" i="17" s="1"/>
  <c r="U109" i="17"/>
  <c r="T109" i="17" s="1"/>
  <c r="S109" i="17" s="1"/>
  <c r="R109" i="17" s="1"/>
  <c r="U101" i="17"/>
  <c r="T101" i="17" s="1"/>
  <c r="S101" i="17" s="1"/>
  <c r="R101" i="17" s="1"/>
  <c r="U93" i="17"/>
  <c r="T93" i="17" s="1"/>
  <c r="U85" i="17"/>
  <c r="T85" i="17" s="1"/>
  <c r="U77" i="17"/>
  <c r="T77" i="17" s="1"/>
  <c r="S77" i="17" s="1"/>
  <c r="R77" i="17" s="1"/>
  <c r="U69" i="17"/>
  <c r="T69" i="17" s="1"/>
  <c r="U61" i="17"/>
  <c r="T61" i="17" s="1"/>
  <c r="U53" i="17"/>
  <c r="T53" i="17" s="1"/>
  <c r="S53" i="17" s="1"/>
  <c r="R53" i="17" s="1"/>
  <c r="U45" i="17"/>
  <c r="T45" i="17" s="1"/>
  <c r="U37" i="17"/>
  <c r="T37" i="17" s="1"/>
  <c r="S37" i="17" s="1"/>
  <c r="R37" i="17" s="1"/>
  <c r="U29" i="17"/>
  <c r="T29" i="17" s="1"/>
  <c r="S29" i="17" s="1"/>
  <c r="R29" i="17" s="1"/>
  <c r="U21" i="17"/>
  <c r="T21" i="17" s="1"/>
  <c r="AE378" i="17"/>
  <c r="AE376" i="17"/>
  <c r="AE374" i="17"/>
  <c r="AE372" i="17"/>
  <c r="AE370" i="17"/>
  <c r="AE368" i="17"/>
  <c r="AE366" i="17"/>
  <c r="AE364" i="17"/>
  <c r="AE362" i="17"/>
  <c r="AE360" i="17"/>
  <c r="AE358" i="17"/>
  <c r="AE356" i="17"/>
  <c r="AE354" i="17"/>
  <c r="AE352" i="17"/>
  <c r="AE350" i="17"/>
  <c r="AE348" i="17"/>
  <c r="AE346" i="17"/>
  <c r="AE344" i="17"/>
  <c r="AE342" i="17"/>
  <c r="AE340" i="17"/>
  <c r="AE338" i="17"/>
  <c r="AE336" i="17"/>
  <c r="AE334" i="17"/>
  <c r="AE332" i="17"/>
  <c r="AE330" i="17"/>
  <c r="AE328" i="17"/>
  <c r="AE326" i="17"/>
  <c r="AE324" i="17"/>
  <c r="AE322" i="17"/>
  <c r="AE320" i="17"/>
  <c r="AE318" i="17"/>
  <c r="AE316" i="17"/>
  <c r="AE314" i="17"/>
  <c r="AE312" i="17"/>
  <c r="AE310" i="17"/>
  <c r="AE308" i="17"/>
  <c r="AE306" i="17"/>
  <c r="AE304" i="17"/>
  <c r="AE302" i="17"/>
  <c r="AE300" i="17"/>
  <c r="AE298" i="17"/>
  <c r="AE296" i="17"/>
  <c r="AE294" i="17"/>
  <c r="AE292" i="17"/>
  <c r="AE290" i="17"/>
  <c r="AE288" i="17"/>
  <c r="AE286" i="17"/>
  <c r="AE284" i="17"/>
  <c r="AE282" i="17"/>
  <c r="AE280" i="17"/>
  <c r="AE278" i="17"/>
  <c r="AE276" i="17"/>
  <c r="AE274" i="17"/>
  <c r="AE272" i="17"/>
  <c r="AE270" i="17"/>
  <c r="AE268" i="17"/>
  <c r="AE266" i="17"/>
  <c r="AE264" i="17"/>
  <c r="AE262" i="17"/>
  <c r="AE260" i="17"/>
  <c r="AE258" i="17"/>
  <c r="AE256" i="17"/>
  <c r="AE254" i="17"/>
  <c r="AE252" i="17"/>
  <c r="AE250" i="17"/>
  <c r="AE248" i="17"/>
  <c r="AE246" i="17"/>
  <c r="AE244" i="17"/>
  <c r="AE242" i="17"/>
  <c r="AE240" i="17"/>
  <c r="AE238" i="17"/>
  <c r="AE236" i="17"/>
  <c r="AE234" i="17"/>
  <c r="AE232" i="17"/>
  <c r="AE230" i="17"/>
  <c r="AE228" i="17"/>
  <c r="AE226" i="17"/>
  <c r="AE224" i="17"/>
  <c r="AE222" i="17"/>
  <c r="AE220" i="17"/>
  <c r="AE218" i="17"/>
  <c r="AE216" i="17"/>
  <c r="AE214" i="17"/>
  <c r="AE212" i="17"/>
  <c r="AE210" i="17"/>
  <c r="AE208" i="17"/>
  <c r="AE206" i="17"/>
  <c r="AE204" i="17"/>
  <c r="AE202" i="17"/>
  <c r="AE200" i="17"/>
  <c r="AE198" i="17"/>
  <c r="AE196" i="17"/>
  <c r="AE194" i="17"/>
  <c r="AE192" i="17"/>
  <c r="AE190" i="17"/>
  <c r="AE188" i="17"/>
  <c r="AE186" i="17"/>
  <c r="AE184" i="17"/>
  <c r="AE182" i="17"/>
  <c r="AE180" i="17"/>
  <c r="AE178" i="17"/>
  <c r="AE176" i="17"/>
  <c r="AE174" i="17"/>
  <c r="AE172" i="17"/>
  <c r="AE170" i="17"/>
  <c r="AE168" i="17"/>
  <c r="AE166" i="17"/>
  <c r="AE164" i="17"/>
  <c r="AE162" i="17"/>
  <c r="AE160" i="17"/>
  <c r="AE158" i="17"/>
  <c r="AE156" i="17"/>
  <c r="AE154" i="17"/>
  <c r="AE152" i="17"/>
  <c r="AE150" i="17"/>
  <c r="AE148" i="17"/>
  <c r="AE146" i="17"/>
  <c r="AE144" i="17"/>
  <c r="AE142" i="17"/>
  <c r="AE140" i="17"/>
  <c r="AE138" i="17"/>
  <c r="AE136" i="17"/>
  <c r="AE134" i="17"/>
  <c r="AE132" i="17"/>
  <c r="AE130" i="17"/>
  <c r="AE128" i="17"/>
  <c r="AE126" i="17"/>
  <c r="AE124" i="17"/>
  <c r="AE122" i="17"/>
  <c r="AE120" i="17"/>
  <c r="AE118" i="17"/>
  <c r="AE116" i="17"/>
  <c r="AE114" i="17"/>
  <c r="AE112" i="17"/>
  <c r="AE110" i="17"/>
  <c r="AE108" i="17"/>
  <c r="AE106" i="17"/>
  <c r="AE104" i="17"/>
  <c r="AE102" i="17"/>
  <c r="AE100" i="17"/>
  <c r="AE98" i="17"/>
  <c r="AE96" i="17"/>
  <c r="AE94" i="17"/>
  <c r="AE92" i="17"/>
  <c r="AE90" i="17"/>
  <c r="AE88" i="17"/>
  <c r="AE86" i="17"/>
  <c r="AE84" i="17"/>
  <c r="AE82" i="17"/>
  <c r="AE80" i="17"/>
  <c r="AE78" i="17"/>
  <c r="AE76" i="17"/>
  <c r="AE74" i="17"/>
  <c r="AE72" i="17"/>
  <c r="AE70" i="17"/>
  <c r="AE68" i="17"/>
  <c r="AE66" i="17"/>
  <c r="AE64" i="17"/>
  <c r="AE62" i="17"/>
  <c r="AE60" i="17"/>
  <c r="AE58" i="17"/>
  <c r="AE56" i="17"/>
  <c r="AE54" i="17"/>
  <c r="AE52" i="17"/>
  <c r="AE50" i="17"/>
  <c r="AE48" i="17"/>
  <c r="AE46" i="17"/>
  <c r="AE44" i="17"/>
  <c r="AE42" i="17"/>
  <c r="AE40" i="17"/>
  <c r="AE38" i="17"/>
  <c r="AE36" i="17"/>
  <c r="AE34" i="17"/>
  <c r="AE32" i="17"/>
  <c r="AE30" i="17"/>
  <c r="AE28" i="17"/>
  <c r="AE26" i="17"/>
  <c r="AE24" i="17"/>
  <c r="AE22" i="17"/>
  <c r="AE20" i="17"/>
  <c r="AE19" i="17"/>
  <c r="AE17" i="17"/>
  <c r="L382" i="22"/>
  <c r="L381" i="22"/>
  <c r="L383" i="22"/>
  <c r="I197" i="15"/>
  <c r="J197" i="15"/>
  <c r="G289" i="16"/>
  <c r="BY289" i="6" s="1"/>
  <c r="H289" i="16"/>
  <c r="I141" i="16"/>
  <c r="J141" i="16"/>
  <c r="I293" i="16"/>
  <c r="J293" i="16"/>
  <c r="I205" i="16"/>
  <c r="J205" i="16"/>
  <c r="J76" i="16"/>
  <c r="I324" i="15"/>
  <c r="H324" i="16" s="1"/>
  <c r="J324" i="15"/>
  <c r="I227" i="15"/>
  <c r="H227" i="16" s="1"/>
  <c r="J227" i="15"/>
  <c r="I51" i="15"/>
  <c r="J51" i="15"/>
  <c r="AD381" i="15"/>
  <c r="AD382" i="15"/>
  <c r="AD383" i="15"/>
  <c r="J55" i="16"/>
  <c r="I55" i="16"/>
  <c r="S381" i="16"/>
  <c r="P383" i="15"/>
  <c r="P381" i="15"/>
  <c r="V15" i="15"/>
  <c r="F15" i="15" s="1"/>
  <c r="P382" i="15"/>
  <c r="I326" i="16"/>
  <c r="J326" i="16"/>
  <c r="F228" i="16"/>
  <c r="X378" i="25"/>
  <c r="L378" i="25"/>
  <c r="AB378" i="25"/>
  <c r="AJ378" i="25"/>
  <c r="K378" i="25"/>
  <c r="A379" i="25"/>
  <c r="A380" i="25" s="1"/>
  <c r="AK378" i="25"/>
  <c r="O378" i="25"/>
  <c r="AC378" i="25"/>
  <c r="U376" i="17"/>
  <c r="T376" i="17" s="1"/>
  <c r="S376" i="17" s="1"/>
  <c r="R376" i="17" s="1"/>
  <c r="U368" i="17"/>
  <c r="T368" i="17" s="1"/>
  <c r="U360" i="17"/>
  <c r="T360" i="17" s="1"/>
  <c r="S360" i="17" s="1"/>
  <c r="R360" i="17" s="1"/>
  <c r="U352" i="17"/>
  <c r="T352" i="17" s="1"/>
  <c r="U344" i="17"/>
  <c r="T344" i="17" s="1"/>
  <c r="U336" i="17"/>
  <c r="T336" i="17" s="1"/>
  <c r="S336" i="17" s="1"/>
  <c r="R336" i="17" s="1"/>
  <c r="P336" i="17" s="1"/>
  <c r="V336" i="17" s="1"/>
  <c r="U328" i="17"/>
  <c r="T328" i="17" s="1"/>
  <c r="U320" i="17"/>
  <c r="T320" i="17" s="1"/>
  <c r="U312" i="17"/>
  <c r="T312" i="17" s="1"/>
  <c r="S312" i="17" s="1"/>
  <c r="R312" i="17" s="1"/>
  <c r="U304" i="17"/>
  <c r="T304" i="17" s="1"/>
  <c r="U296" i="17"/>
  <c r="T296" i="17" s="1"/>
  <c r="S296" i="17" s="1"/>
  <c r="R296" i="17" s="1"/>
  <c r="U288" i="17"/>
  <c r="T288" i="17" s="1"/>
  <c r="U280" i="17"/>
  <c r="T280" i="17" s="1"/>
  <c r="S280" i="17" s="1"/>
  <c r="R280" i="17" s="1"/>
  <c r="P280" i="17" s="1"/>
  <c r="V280" i="17" s="1"/>
  <c r="U272" i="17"/>
  <c r="T272" i="17" s="1"/>
  <c r="S272" i="17" s="1"/>
  <c r="R272" i="17" s="1"/>
  <c r="U264" i="17"/>
  <c r="T264" i="17" s="1"/>
  <c r="U256" i="17"/>
  <c r="T256" i="17" s="1"/>
  <c r="S256" i="17" s="1"/>
  <c r="R256" i="17" s="1"/>
  <c r="U248" i="17"/>
  <c r="T248" i="17" s="1"/>
  <c r="S248" i="17" s="1"/>
  <c r="R248" i="17" s="1"/>
  <c r="P248" i="17" s="1"/>
  <c r="U240" i="17"/>
  <c r="T240" i="17" s="1"/>
  <c r="U232" i="17"/>
  <c r="T232" i="17" s="1"/>
  <c r="U224" i="17"/>
  <c r="T224" i="17" s="1"/>
  <c r="U216" i="17"/>
  <c r="T216" i="17" s="1"/>
  <c r="S216" i="17" s="1"/>
  <c r="R216" i="17" s="1"/>
  <c r="P216" i="17" s="1"/>
  <c r="V216" i="17" s="1"/>
  <c r="U208" i="17"/>
  <c r="T208" i="17" s="1"/>
  <c r="S208" i="17" s="1"/>
  <c r="R208" i="17" s="1"/>
  <c r="U200" i="17"/>
  <c r="T200" i="17" s="1"/>
  <c r="S200" i="17" s="1"/>
  <c r="R200" i="17" s="1"/>
  <c r="U192" i="17"/>
  <c r="T192" i="17" s="1"/>
  <c r="U184" i="17"/>
  <c r="T184" i="17" s="1"/>
  <c r="U176" i="17"/>
  <c r="T176" i="17" s="1"/>
  <c r="S176" i="17" s="1"/>
  <c r="R176" i="17" s="1"/>
  <c r="U168" i="17"/>
  <c r="T168" i="17" s="1"/>
  <c r="U160" i="17"/>
  <c r="T160" i="17" s="1"/>
  <c r="U152" i="17"/>
  <c r="T152" i="17" s="1"/>
  <c r="S152" i="17" s="1"/>
  <c r="R152" i="17" s="1"/>
  <c r="P152" i="17" s="1"/>
  <c r="V152" i="17" s="1"/>
  <c r="U144" i="17"/>
  <c r="T144" i="17" s="1"/>
  <c r="U136" i="17"/>
  <c r="T136" i="17" s="1"/>
  <c r="S136" i="17" s="1"/>
  <c r="R136" i="17" s="1"/>
  <c r="P136" i="17" s="1"/>
  <c r="U128" i="17"/>
  <c r="T128" i="17" s="1"/>
  <c r="S128" i="17" s="1"/>
  <c r="R128" i="17" s="1"/>
  <c r="U120" i="17"/>
  <c r="T120" i="17" s="1"/>
  <c r="U112" i="17"/>
  <c r="T112" i="17" s="1"/>
  <c r="U104" i="17"/>
  <c r="T104" i="17" s="1"/>
  <c r="U96" i="17"/>
  <c r="T96" i="17" s="1"/>
  <c r="U88" i="17"/>
  <c r="T88" i="17" s="1"/>
  <c r="S88" i="17" s="1"/>
  <c r="R88" i="17" s="1"/>
  <c r="U80" i="17"/>
  <c r="T80" i="17" s="1"/>
  <c r="U72" i="17"/>
  <c r="T72" i="17" s="1"/>
  <c r="S72" i="17" s="1"/>
  <c r="R72" i="17" s="1"/>
  <c r="P72" i="17" s="1"/>
  <c r="U64" i="17"/>
  <c r="T64" i="17" s="1"/>
  <c r="S64" i="17" s="1"/>
  <c r="R64" i="17" s="1"/>
  <c r="U56" i="17"/>
  <c r="T56" i="17" s="1"/>
  <c r="S56" i="17" s="1"/>
  <c r="R56" i="17" s="1"/>
  <c r="U48" i="17"/>
  <c r="T48" i="17" s="1"/>
  <c r="S48" i="17" s="1"/>
  <c r="R48" i="17" s="1"/>
  <c r="P48" i="17" s="1"/>
  <c r="U40" i="17"/>
  <c r="T40" i="17" s="1"/>
  <c r="U32" i="17"/>
  <c r="T32" i="17" s="1"/>
  <c r="S32" i="17" s="1"/>
  <c r="R32" i="17" s="1"/>
  <c r="U24" i="17"/>
  <c r="T24" i="17" s="1"/>
  <c r="U18" i="17"/>
  <c r="T18" i="17" s="1"/>
  <c r="AE379" i="17"/>
  <c r="AE12" i="18" s="1"/>
  <c r="AE377" i="17"/>
  <c r="AE375" i="17"/>
  <c r="AE373" i="17"/>
  <c r="AE371" i="17"/>
  <c r="AE369" i="17"/>
  <c r="AE367" i="17"/>
  <c r="AE365" i="17"/>
  <c r="AE363" i="17"/>
  <c r="AE361" i="17"/>
  <c r="AE359" i="17"/>
  <c r="AE357" i="17"/>
  <c r="AE355" i="17"/>
  <c r="AE353" i="17"/>
  <c r="AE351" i="17"/>
  <c r="AE349" i="17"/>
  <c r="AE347" i="17"/>
  <c r="AE345" i="17"/>
  <c r="AE343" i="17"/>
  <c r="AE341" i="17"/>
  <c r="AE339" i="17"/>
  <c r="AE337" i="17"/>
  <c r="AE335" i="17"/>
  <c r="AE333" i="17"/>
  <c r="AE331" i="17"/>
  <c r="AE329" i="17"/>
  <c r="AE327" i="17"/>
  <c r="AE325" i="17"/>
  <c r="AE323" i="17"/>
  <c r="AE321" i="17"/>
  <c r="AE319" i="17"/>
  <c r="AE317" i="17"/>
  <c r="AE315" i="17"/>
  <c r="AE313" i="17"/>
  <c r="AE311" i="17"/>
  <c r="AE309" i="17"/>
  <c r="AE307" i="17"/>
  <c r="AE305" i="17"/>
  <c r="AE303" i="17"/>
  <c r="AE301" i="17"/>
  <c r="AE299" i="17"/>
  <c r="AE297" i="17"/>
  <c r="AE295" i="17"/>
  <c r="AE293" i="17"/>
  <c r="AE291" i="17"/>
  <c r="AE289" i="17"/>
  <c r="AE287" i="17"/>
  <c r="AE285" i="17"/>
  <c r="AE283" i="17"/>
  <c r="AE281" i="17"/>
  <c r="AE279" i="17"/>
  <c r="AE277" i="17"/>
  <c r="AE275" i="17"/>
  <c r="AE273" i="17"/>
  <c r="AE271" i="17"/>
  <c r="AE269" i="17"/>
  <c r="AE267" i="17"/>
  <c r="AE265" i="17"/>
  <c r="AE263" i="17"/>
  <c r="AE261" i="17"/>
  <c r="AE259" i="17"/>
  <c r="AE257" i="17"/>
  <c r="AE255" i="17"/>
  <c r="AE253" i="17"/>
  <c r="AE251" i="17"/>
  <c r="AE249" i="17"/>
  <c r="AE247" i="17"/>
  <c r="AE245" i="17"/>
  <c r="AE243" i="17"/>
  <c r="AE241" i="17"/>
  <c r="AE239" i="17"/>
  <c r="AE237" i="17"/>
  <c r="AE235" i="17"/>
  <c r="AE233" i="17"/>
  <c r="AE231" i="17"/>
  <c r="AE229" i="17"/>
  <c r="AE227" i="17"/>
  <c r="AE225" i="17"/>
  <c r="AE223" i="17"/>
  <c r="AE221" i="17"/>
  <c r="AE219" i="17"/>
  <c r="AE217" i="17"/>
  <c r="AE215" i="17"/>
  <c r="AE213" i="17"/>
  <c r="AE211" i="17"/>
  <c r="AE209" i="17"/>
  <c r="AE207" i="17"/>
  <c r="AE205" i="17"/>
  <c r="AE203" i="17"/>
  <c r="AE201" i="17"/>
  <c r="AE199" i="17"/>
  <c r="AE197" i="17"/>
  <c r="AE195" i="17"/>
  <c r="AE193" i="17"/>
  <c r="AE191" i="17"/>
  <c r="AE189" i="17"/>
  <c r="AE187" i="17"/>
  <c r="AE185" i="17"/>
  <c r="AE183" i="17"/>
  <c r="AE181" i="17"/>
  <c r="AE179" i="17"/>
  <c r="AE177" i="17"/>
  <c r="AE175" i="17"/>
  <c r="AE173" i="17"/>
  <c r="AE171" i="17"/>
  <c r="AE169" i="17"/>
  <c r="AE167" i="17"/>
  <c r="AE165" i="17"/>
  <c r="AE163" i="17"/>
  <c r="AE161" i="17"/>
  <c r="AE159" i="17"/>
  <c r="AE157" i="17"/>
  <c r="AE155" i="17"/>
  <c r="AE153" i="17"/>
  <c r="AE151" i="17"/>
  <c r="AE149" i="17"/>
  <c r="AE147" i="17"/>
  <c r="AE145" i="17"/>
  <c r="AE143" i="17"/>
  <c r="AE141" i="17"/>
  <c r="AE139" i="17"/>
  <c r="AE137" i="17"/>
  <c r="AE135" i="17"/>
  <c r="AE133" i="17"/>
  <c r="AE131" i="17"/>
  <c r="AE129" i="17"/>
  <c r="AE127" i="17"/>
  <c r="AE125" i="17"/>
  <c r="AE123" i="17"/>
  <c r="AE121" i="17"/>
  <c r="AE119" i="17"/>
  <c r="AE117" i="17"/>
  <c r="AE115" i="17"/>
  <c r="AE113" i="17"/>
  <c r="AE111" i="17"/>
  <c r="AE109" i="17"/>
  <c r="AE107" i="17"/>
  <c r="AE105" i="17"/>
  <c r="AE103" i="17"/>
  <c r="AE101" i="17"/>
  <c r="AE99" i="17"/>
  <c r="AE97" i="17"/>
  <c r="AE95" i="17"/>
  <c r="AE93" i="17"/>
  <c r="AE91" i="17"/>
  <c r="AE89" i="17"/>
  <c r="AE87" i="17"/>
  <c r="AE85" i="17"/>
  <c r="AE83" i="17"/>
  <c r="AE81" i="17"/>
  <c r="AE79" i="17"/>
  <c r="AE77" i="17"/>
  <c r="AE75" i="17"/>
  <c r="AE73" i="17"/>
  <c r="AE71" i="17"/>
  <c r="AE69" i="17"/>
  <c r="AE67" i="17"/>
  <c r="AE65" i="17"/>
  <c r="AE63" i="17"/>
  <c r="AE61" i="17"/>
  <c r="AE59" i="17"/>
  <c r="AE57" i="17"/>
  <c r="AE55" i="17"/>
  <c r="AE53" i="17"/>
  <c r="AE51" i="17"/>
  <c r="AE49" i="17"/>
  <c r="AE47" i="17"/>
  <c r="AE45" i="17"/>
  <c r="AE43" i="17"/>
  <c r="AE41" i="17"/>
  <c r="AE39" i="17"/>
  <c r="AE37" i="17"/>
  <c r="AE35" i="17"/>
  <c r="AE33" i="17"/>
  <c r="AE31" i="17"/>
  <c r="AE29" i="17"/>
  <c r="AE27" i="17"/>
  <c r="AE25" i="17"/>
  <c r="AE23" i="17"/>
  <c r="AE21" i="17"/>
  <c r="AE16" i="17"/>
  <c r="AE15" i="17"/>
  <c r="AE18" i="17"/>
  <c r="I90" i="16"/>
  <c r="J90" i="16"/>
  <c r="I264" i="15"/>
  <c r="J264" i="15"/>
  <c r="J135" i="16"/>
  <c r="I135" i="16"/>
  <c r="F46" i="16"/>
  <c r="I364" i="16"/>
  <c r="J364" i="16"/>
  <c r="V194" i="16" l="1"/>
  <c r="F194" i="16" s="1"/>
  <c r="AA377" i="16"/>
  <c r="Z377" i="16" s="1"/>
  <c r="Y377" i="16" s="1"/>
  <c r="AA288" i="16"/>
  <c r="Z288" i="16" s="1"/>
  <c r="Y288" i="16" s="1"/>
  <c r="V258" i="16"/>
  <c r="F258" i="16" s="1"/>
  <c r="V290" i="16"/>
  <c r="F290" i="16" s="1"/>
  <c r="AA166" i="16"/>
  <c r="Z166" i="16" s="1"/>
  <c r="Y166" i="16" s="1"/>
  <c r="H166" i="16"/>
  <c r="I166" i="16" s="1"/>
  <c r="V284" i="16"/>
  <c r="F284" i="16" s="1"/>
  <c r="H284" i="16" s="1"/>
  <c r="AA272" i="16"/>
  <c r="Z272" i="16" s="1"/>
  <c r="Y272" i="16" s="1"/>
  <c r="H272" i="16"/>
  <c r="J272" i="16" s="1"/>
  <c r="H160" i="16"/>
  <c r="AA160" i="16"/>
  <c r="Z160" i="16" s="1"/>
  <c r="Y160" i="16" s="1"/>
  <c r="AI360" i="17"/>
  <c r="AH360" i="17" s="1"/>
  <c r="AG360" i="17" s="1"/>
  <c r="AF360" i="17" s="1"/>
  <c r="AI344" i="17"/>
  <c r="AH344" i="17" s="1"/>
  <c r="AG344" i="17" s="1"/>
  <c r="AF344" i="17" s="1"/>
  <c r="AI79" i="17"/>
  <c r="AH79" i="17" s="1"/>
  <c r="AG79" i="17" s="1"/>
  <c r="AF79" i="17" s="1"/>
  <c r="AI336" i="17"/>
  <c r="AH336" i="17" s="1"/>
  <c r="AG336" i="17" s="1"/>
  <c r="AF336" i="17" s="1"/>
  <c r="AI216" i="17"/>
  <c r="AH216" i="17" s="1"/>
  <c r="AG216" i="17" s="1"/>
  <c r="AF216" i="17" s="1"/>
  <c r="AI47" i="17"/>
  <c r="AH47" i="17" s="1"/>
  <c r="AG47" i="17" s="1"/>
  <c r="AF47" i="17" s="1"/>
  <c r="AI372" i="17"/>
  <c r="AH372" i="17" s="1"/>
  <c r="AG372" i="17" s="1"/>
  <c r="AF372" i="17" s="1"/>
  <c r="AI340" i="17"/>
  <c r="AH340" i="17" s="1"/>
  <c r="AG340" i="17" s="1"/>
  <c r="AF340" i="17" s="1"/>
  <c r="AI288" i="17"/>
  <c r="AH288" i="17" s="1"/>
  <c r="AG288" i="17" s="1"/>
  <c r="AF288" i="17" s="1"/>
  <c r="AI224" i="17"/>
  <c r="AH224" i="17" s="1"/>
  <c r="AG224" i="17" s="1"/>
  <c r="AF224" i="17" s="1"/>
  <c r="AI160" i="17"/>
  <c r="AH160" i="17" s="1"/>
  <c r="AG160" i="17" s="1"/>
  <c r="AF160" i="17" s="1"/>
  <c r="AI63" i="17"/>
  <c r="AH63" i="17" s="1"/>
  <c r="AG63" i="17" s="1"/>
  <c r="AF63" i="17" s="1"/>
  <c r="AI35" i="17"/>
  <c r="AH35" i="17" s="1"/>
  <c r="AG35" i="17" s="1"/>
  <c r="AF35" i="17" s="1"/>
  <c r="AI67" i="17"/>
  <c r="AH67" i="17" s="1"/>
  <c r="AG67" i="17" s="1"/>
  <c r="AF67" i="17" s="1"/>
  <c r="AI99" i="17"/>
  <c r="AH99" i="17" s="1"/>
  <c r="AG99" i="17" s="1"/>
  <c r="AF99" i="17" s="1"/>
  <c r="AI130" i="17"/>
  <c r="AH130" i="17" s="1"/>
  <c r="AG130" i="17" s="1"/>
  <c r="AF130" i="17" s="1"/>
  <c r="AI146" i="17"/>
  <c r="AH146" i="17" s="1"/>
  <c r="AG146" i="17" s="1"/>
  <c r="AF146" i="17" s="1"/>
  <c r="AI162" i="17"/>
  <c r="AH162" i="17" s="1"/>
  <c r="AG162" i="17" s="1"/>
  <c r="AF162" i="17" s="1"/>
  <c r="AI178" i="17"/>
  <c r="AH178" i="17" s="1"/>
  <c r="AG178" i="17" s="1"/>
  <c r="AF178" i="17" s="1"/>
  <c r="AI194" i="17"/>
  <c r="AH194" i="17" s="1"/>
  <c r="AG194" i="17" s="1"/>
  <c r="AF194" i="17" s="1"/>
  <c r="AI210" i="17"/>
  <c r="AH210" i="17" s="1"/>
  <c r="AG210" i="17" s="1"/>
  <c r="AF210" i="17" s="1"/>
  <c r="AI226" i="17"/>
  <c r="AH226" i="17" s="1"/>
  <c r="AG226" i="17" s="1"/>
  <c r="AF226" i="17" s="1"/>
  <c r="AI242" i="17"/>
  <c r="AH242" i="17" s="1"/>
  <c r="AG242" i="17" s="1"/>
  <c r="AF242" i="17" s="1"/>
  <c r="AI258" i="17"/>
  <c r="AH258" i="17" s="1"/>
  <c r="AG258" i="17" s="1"/>
  <c r="AF258" i="17" s="1"/>
  <c r="AI274" i="17"/>
  <c r="AH274" i="17" s="1"/>
  <c r="AG274" i="17" s="1"/>
  <c r="AF274" i="17" s="1"/>
  <c r="AI290" i="17"/>
  <c r="AH290" i="17" s="1"/>
  <c r="AG290" i="17" s="1"/>
  <c r="AF290" i="17" s="1"/>
  <c r="AI306" i="17"/>
  <c r="AH306" i="17" s="1"/>
  <c r="AG306" i="17" s="1"/>
  <c r="AF306" i="17" s="1"/>
  <c r="AI322" i="17"/>
  <c r="AH322" i="17" s="1"/>
  <c r="AG322" i="17" s="1"/>
  <c r="AF322" i="17" s="1"/>
  <c r="AI370" i="17"/>
  <c r="AH370" i="17" s="1"/>
  <c r="AG370" i="17" s="1"/>
  <c r="AF370" i="17" s="1"/>
  <c r="AI354" i="17"/>
  <c r="AH354" i="17" s="1"/>
  <c r="AG354" i="17" s="1"/>
  <c r="AF354" i="17" s="1"/>
  <c r="AI338" i="17"/>
  <c r="AH338" i="17" s="1"/>
  <c r="AG338" i="17" s="1"/>
  <c r="AF338" i="17" s="1"/>
  <c r="AI316" i="17"/>
  <c r="AH316" i="17" s="1"/>
  <c r="AG316" i="17" s="1"/>
  <c r="AF316" i="17" s="1"/>
  <c r="AI284" i="17"/>
  <c r="AH284" i="17" s="1"/>
  <c r="AG284" i="17" s="1"/>
  <c r="AF284" i="17" s="1"/>
  <c r="AI252" i="17"/>
  <c r="AH252" i="17" s="1"/>
  <c r="AG252" i="17" s="1"/>
  <c r="AF252" i="17" s="1"/>
  <c r="AI220" i="17"/>
  <c r="AH220" i="17" s="1"/>
  <c r="AG220" i="17" s="1"/>
  <c r="AF220" i="17" s="1"/>
  <c r="AI188" i="17"/>
  <c r="AH188" i="17" s="1"/>
  <c r="AG188" i="17" s="1"/>
  <c r="AF188" i="17" s="1"/>
  <c r="AI156" i="17"/>
  <c r="AH156" i="17" s="1"/>
  <c r="AG156" i="17" s="1"/>
  <c r="AF156" i="17" s="1"/>
  <c r="AI119" i="17"/>
  <c r="AH119" i="17" s="1"/>
  <c r="AG119" i="17" s="1"/>
  <c r="AF119" i="17" s="1"/>
  <c r="AI55" i="17"/>
  <c r="AH55" i="17" s="1"/>
  <c r="AG55" i="17" s="1"/>
  <c r="AF55" i="17" s="1"/>
  <c r="W16" i="7"/>
  <c r="AI22" i="17"/>
  <c r="AH22" i="17" s="1"/>
  <c r="AG22" i="17" s="1"/>
  <c r="AF22" i="17" s="1"/>
  <c r="AI30" i="17"/>
  <c r="AH30" i="17" s="1"/>
  <c r="AG30" i="17" s="1"/>
  <c r="AF30" i="17" s="1"/>
  <c r="AI38" i="17"/>
  <c r="AH38" i="17" s="1"/>
  <c r="AG38" i="17" s="1"/>
  <c r="AF38" i="17" s="1"/>
  <c r="AI46" i="17"/>
  <c r="AH46" i="17" s="1"/>
  <c r="AG46" i="17" s="1"/>
  <c r="AF46" i="17" s="1"/>
  <c r="AI54" i="17"/>
  <c r="AH54" i="17" s="1"/>
  <c r="AG54" i="17" s="1"/>
  <c r="AF54" i="17" s="1"/>
  <c r="AI62" i="17"/>
  <c r="AH62" i="17" s="1"/>
  <c r="AG62" i="17" s="1"/>
  <c r="AF62" i="17" s="1"/>
  <c r="AI70" i="17"/>
  <c r="AH70" i="17" s="1"/>
  <c r="AG70" i="17" s="1"/>
  <c r="AF70" i="17" s="1"/>
  <c r="AI78" i="17"/>
  <c r="AH78" i="17" s="1"/>
  <c r="AG78" i="17" s="1"/>
  <c r="AF78" i="17" s="1"/>
  <c r="AI86" i="17"/>
  <c r="AH86" i="17" s="1"/>
  <c r="AG86" i="17" s="1"/>
  <c r="AF86" i="17" s="1"/>
  <c r="AI94" i="17"/>
  <c r="AH94" i="17" s="1"/>
  <c r="AG94" i="17" s="1"/>
  <c r="AF94" i="17" s="1"/>
  <c r="AI102" i="17"/>
  <c r="AH102" i="17" s="1"/>
  <c r="AG102" i="17" s="1"/>
  <c r="AF102" i="17" s="1"/>
  <c r="AI110" i="17"/>
  <c r="AH110" i="17" s="1"/>
  <c r="AG110" i="17" s="1"/>
  <c r="AF110" i="17" s="1"/>
  <c r="AI118" i="17"/>
  <c r="AH118" i="17" s="1"/>
  <c r="AG118" i="17" s="1"/>
  <c r="AF118" i="17" s="1"/>
  <c r="AI126" i="17"/>
  <c r="AH126" i="17" s="1"/>
  <c r="AG126" i="17" s="1"/>
  <c r="AF126" i="17" s="1"/>
  <c r="AI377" i="17"/>
  <c r="AH377" i="17" s="1"/>
  <c r="AG377" i="17" s="1"/>
  <c r="AF377" i="17" s="1"/>
  <c r="AI369" i="17"/>
  <c r="AH369" i="17" s="1"/>
  <c r="AG369" i="17" s="1"/>
  <c r="AF369" i="17" s="1"/>
  <c r="AI361" i="17"/>
  <c r="AH361" i="17" s="1"/>
  <c r="AG361" i="17" s="1"/>
  <c r="AF361" i="17" s="1"/>
  <c r="AI353" i="17"/>
  <c r="AH353" i="17" s="1"/>
  <c r="AG353" i="17" s="1"/>
  <c r="AF353" i="17" s="1"/>
  <c r="AI345" i="17"/>
  <c r="AH345" i="17" s="1"/>
  <c r="AG345" i="17" s="1"/>
  <c r="AF345" i="17" s="1"/>
  <c r="AI337" i="17"/>
  <c r="AH337" i="17" s="1"/>
  <c r="AG337" i="17" s="1"/>
  <c r="AF337" i="17" s="1"/>
  <c r="AI329" i="17"/>
  <c r="AH329" i="17" s="1"/>
  <c r="AG329" i="17" s="1"/>
  <c r="AF329" i="17" s="1"/>
  <c r="AI321" i="17"/>
  <c r="AH321" i="17" s="1"/>
  <c r="AG321" i="17" s="1"/>
  <c r="AF321" i="17" s="1"/>
  <c r="AI313" i="17"/>
  <c r="AH313" i="17" s="1"/>
  <c r="AG313" i="17" s="1"/>
  <c r="AF313" i="17" s="1"/>
  <c r="AI305" i="17"/>
  <c r="AH305" i="17" s="1"/>
  <c r="AG305" i="17" s="1"/>
  <c r="AF305" i="17" s="1"/>
  <c r="AI297" i="17"/>
  <c r="AH297" i="17" s="1"/>
  <c r="AG297" i="17" s="1"/>
  <c r="AF297" i="17" s="1"/>
  <c r="AI289" i="17"/>
  <c r="AH289" i="17" s="1"/>
  <c r="AG289" i="17" s="1"/>
  <c r="AF289" i="17" s="1"/>
  <c r="AI281" i="17"/>
  <c r="AH281" i="17" s="1"/>
  <c r="AG281" i="17" s="1"/>
  <c r="AF281" i="17" s="1"/>
  <c r="AI273" i="17"/>
  <c r="AH273" i="17" s="1"/>
  <c r="AG273" i="17" s="1"/>
  <c r="AF273" i="17" s="1"/>
  <c r="AI265" i="17"/>
  <c r="AH265" i="17" s="1"/>
  <c r="AG265" i="17" s="1"/>
  <c r="AF265" i="17" s="1"/>
  <c r="AI257" i="17"/>
  <c r="AH257" i="17" s="1"/>
  <c r="AG257" i="17" s="1"/>
  <c r="AF257" i="17" s="1"/>
  <c r="AI249" i="17"/>
  <c r="AH249" i="17" s="1"/>
  <c r="AG249" i="17" s="1"/>
  <c r="AF249" i="17" s="1"/>
  <c r="AI241" i="17"/>
  <c r="AH241" i="17" s="1"/>
  <c r="AG241" i="17" s="1"/>
  <c r="AF241" i="17" s="1"/>
  <c r="AI233" i="17"/>
  <c r="AH233" i="17" s="1"/>
  <c r="AG233" i="17" s="1"/>
  <c r="AF233" i="17" s="1"/>
  <c r="AI225" i="17"/>
  <c r="AH225" i="17" s="1"/>
  <c r="AG225" i="17" s="1"/>
  <c r="AF225" i="17" s="1"/>
  <c r="AI217" i="17"/>
  <c r="AH217" i="17" s="1"/>
  <c r="AG217" i="17" s="1"/>
  <c r="AF217" i="17" s="1"/>
  <c r="AI209" i="17"/>
  <c r="AH209" i="17" s="1"/>
  <c r="AG209" i="17" s="1"/>
  <c r="AF209" i="17" s="1"/>
  <c r="AI201" i="17"/>
  <c r="AH201" i="17" s="1"/>
  <c r="AG201" i="17" s="1"/>
  <c r="AF201" i="17" s="1"/>
  <c r="AI193" i="17"/>
  <c r="AH193" i="17" s="1"/>
  <c r="AG193" i="17" s="1"/>
  <c r="AF193" i="17" s="1"/>
  <c r="AI185" i="17"/>
  <c r="AH185" i="17" s="1"/>
  <c r="AG185" i="17" s="1"/>
  <c r="AF185" i="17" s="1"/>
  <c r="AI177" i="17"/>
  <c r="AH177" i="17" s="1"/>
  <c r="AG177" i="17" s="1"/>
  <c r="AF177" i="17" s="1"/>
  <c r="AI169" i="17"/>
  <c r="AH169" i="17" s="1"/>
  <c r="AG169" i="17" s="1"/>
  <c r="AF169" i="17" s="1"/>
  <c r="AI161" i="17"/>
  <c r="AH161" i="17" s="1"/>
  <c r="AG161" i="17" s="1"/>
  <c r="AF161" i="17" s="1"/>
  <c r="AI153" i="17"/>
  <c r="AH153" i="17" s="1"/>
  <c r="AG153" i="17" s="1"/>
  <c r="AF153" i="17" s="1"/>
  <c r="AI145" i="17"/>
  <c r="AH145" i="17" s="1"/>
  <c r="AG145" i="17" s="1"/>
  <c r="AF145" i="17" s="1"/>
  <c r="AI137" i="17"/>
  <c r="AH137" i="17" s="1"/>
  <c r="AG137" i="17" s="1"/>
  <c r="AF137" i="17" s="1"/>
  <c r="AI129" i="17"/>
  <c r="AH129" i="17" s="1"/>
  <c r="AG129" i="17" s="1"/>
  <c r="AF129" i="17" s="1"/>
  <c r="AI113" i="17"/>
  <c r="AH113" i="17" s="1"/>
  <c r="AG113" i="17" s="1"/>
  <c r="AF113" i="17" s="1"/>
  <c r="AI97" i="17"/>
  <c r="AH97" i="17" s="1"/>
  <c r="AG97" i="17" s="1"/>
  <c r="AF97" i="17" s="1"/>
  <c r="AI81" i="17"/>
  <c r="AH81" i="17" s="1"/>
  <c r="AG81" i="17" s="1"/>
  <c r="AF81" i="17" s="1"/>
  <c r="AI65" i="17"/>
  <c r="AH65" i="17" s="1"/>
  <c r="AG65" i="17" s="1"/>
  <c r="AF65" i="17" s="1"/>
  <c r="AI49" i="17"/>
  <c r="AH49" i="17" s="1"/>
  <c r="AG49" i="17" s="1"/>
  <c r="AF49" i="17" s="1"/>
  <c r="AI33" i="17"/>
  <c r="AH33" i="17" s="1"/>
  <c r="AG33" i="17" s="1"/>
  <c r="AF33" i="17" s="1"/>
  <c r="AI19" i="17"/>
  <c r="AH19" i="17" s="1"/>
  <c r="U16" i="7"/>
  <c r="U377" i="17"/>
  <c r="T377" i="17" s="1"/>
  <c r="U369" i="17"/>
  <c r="T369" i="17" s="1"/>
  <c r="S369" i="17" s="1"/>
  <c r="R369" i="17" s="1"/>
  <c r="P369" i="17" s="1"/>
  <c r="V369" i="17" s="1"/>
  <c r="U361" i="17"/>
  <c r="T361" i="17" s="1"/>
  <c r="U353" i="17"/>
  <c r="T353" i="17" s="1"/>
  <c r="S353" i="17" s="1"/>
  <c r="R353" i="17" s="1"/>
  <c r="P353" i="17" s="1"/>
  <c r="V353" i="17" s="1"/>
  <c r="U345" i="17"/>
  <c r="T345" i="17" s="1"/>
  <c r="S345" i="17" s="1"/>
  <c r="R345" i="17" s="1"/>
  <c r="U337" i="17"/>
  <c r="T337" i="17" s="1"/>
  <c r="S337" i="17" s="1"/>
  <c r="R337" i="17" s="1"/>
  <c r="P337" i="17" s="1"/>
  <c r="V337" i="17" s="1"/>
  <c r="U329" i="17"/>
  <c r="T329" i="17" s="1"/>
  <c r="U321" i="17"/>
  <c r="T321" i="17" s="1"/>
  <c r="S321" i="17" s="1"/>
  <c r="R321" i="17" s="1"/>
  <c r="U313" i="17"/>
  <c r="T313" i="17" s="1"/>
  <c r="U305" i="17"/>
  <c r="T305" i="17" s="1"/>
  <c r="S305" i="17" s="1"/>
  <c r="R305" i="17" s="1"/>
  <c r="U297" i="17"/>
  <c r="T297" i="17" s="1"/>
  <c r="U289" i="17"/>
  <c r="T289" i="17" s="1"/>
  <c r="S289" i="17" s="1"/>
  <c r="R289" i="17" s="1"/>
  <c r="U281" i="17"/>
  <c r="T281" i="17" s="1"/>
  <c r="J131" i="16"/>
  <c r="I131" i="16"/>
  <c r="G251" i="16"/>
  <c r="BY251" i="6" s="1"/>
  <c r="H251" i="16"/>
  <c r="AA251" i="16"/>
  <c r="Z251" i="16" s="1"/>
  <c r="Y251" i="16" s="1"/>
  <c r="G335" i="16"/>
  <c r="BY335" i="6" s="1"/>
  <c r="AA335" i="16"/>
  <c r="Z335" i="16" s="1"/>
  <c r="Y335" i="16" s="1"/>
  <c r="G267" i="16"/>
  <c r="BY267" i="6" s="1"/>
  <c r="AA267" i="16"/>
  <c r="Z267" i="16" s="1"/>
  <c r="Y267" i="16" s="1"/>
  <c r="G104" i="16"/>
  <c r="BY104" i="6" s="1"/>
  <c r="H104" i="16"/>
  <c r="J104" i="16" s="1"/>
  <c r="V159" i="16"/>
  <c r="F159" i="16" s="1"/>
  <c r="V110" i="16"/>
  <c r="F110" i="16" s="1"/>
  <c r="V49" i="16"/>
  <c r="F49" i="16" s="1"/>
  <c r="V354" i="16"/>
  <c r="F354" i="16" s="1"/>
  <c r="G319" i="16"/>
  <c r="BY319" i="6" s="1"/>
  <c r="H319" i="16"/>
  <c r="I319" i="16" s="1"/>
  <c r="H256" i="16"/>
  <c r="J256" i="16" s="1"/>
  <c r="AA256" i="16"/>
  <c r="Z256" i="16" s="1"/>
  <c r="Y256" i="16" s="1"/>
  <c r="V34" i="16"/>
  <c r="F34" i="16" s="1"/>
  <c r="H134" i="16"/>
  <c r="AA134" i="16"/>
  <c r="Z134" i="16" s="1"/>
  <c r="Y134" i="16" s="1"/>
  <c r="G239" i="16"/>
  <c r="BY239" i="6" s="1"/>
  <c r="H239" i="16"/>
  <c r="V191" i="16"/>
  <c r="F191" i="16" s="1"/>
  <c r="V183" i="16"/>
  <c r="F183" i="16" s="1"/>
  <c r="V295" i="16"/>
  <c r="F295" i="16" s="1"/>
  <c r="G255" i="16"/>
  <c r="BY255" i="6" s="1"/>
  <c r="AA255" i="16"/>
  <c r="Z255" i="16" s="1"/>
  <c r="Y255" i="16" s="1"/>
  <c r="H255" i="16"/>
  <c r="I255" i="16" s="1"/>
  <c r="H344" i="16"/>
  <c r="G344" i="16"/>
  <c r="BY344" i="6" s="1"/>
  <c r="V218" i="16"/>
  <c r="F218" i="16" s="1"/>
  <c r="V196" i="16"/>
  <c r="F196" i="16" s="1"/>
  <c r="G215" i="16"/>
  <c r="BY215" i="6" s="1"/>
  <c r="AA215" i="16"/>
  <c r="Z215" i="16" s="1"/>
  <c r="Y215" i="16" s="1"/>
  <c r="H215" i="16"/>
  <c r="J215" i="16" s="1"/>
  <c r="V328" i="16"/>
  <c r="F328" i="16" s="1"/>
  <c r="V17" i="16"/>
  <c r="F17" i="16" s="1"/>
  <c r="V69" i="16"/>
  <c r="F69" i="16" s="1"/>
  <c r="V37" i="16"/>
  <c r="F37" i="16" s="1"/>
  <c r="V16" i="16"/>
  <c r="F16" i="16" s="1"/>
  <c r="U20" i="17"/>
  <c r="T20" i="17" s="1"/>
  <c r="U28" i="17"/>
  <c r="T28" i="17" s="1"/>
  <c r="U36" i="17"/>
  <c r="T36" i="17" s="1"/>
  <c r="S36" i="17" s="1"/>
  <c r="R36" i="17" s="1"/>
  <c r="U44" i="17"/>
  <c r="T44" i="17" s="1"/>
  <c r="S44" i="17" s="1"/>
  <c r="R44" i="17" s="1"/>
  <c r="U52" i="17"/>
  <c r="T52" i="17" s="1"/>
  <c r="S52" i="17" s="1"/>
  <c r="R52" i="17" s="1"/>
  <c r="P52" i="17" s="1"/>
  <c r="U60" i="17"/>
  <c r="T60" i="17" s="1"/>
  <c r="U68" i="17"/>
  <c r="T68" i="17" s="1"/>
  <c r="S68" i="17" s="1"/>
  <c r="R68" i="17" s="1"/>
  <c r="U76" i="17"/>
  <c r="T76" i="17" s="1"/>
  <c r="U84" i="17"/>
  <c r="T84" i="17" s="1"/>
  <c r="U92" i="17"/>
  <c r="T92" i="17" s="1"/>
  <c r="S92" i="17" s="1"/>
  <c r="R92" i="17" s="1"/>
  <c r="U100" i="17"/>
  <c r="T100" i="17" s="1"/>
  <c r="U108" i="17"/>
  <c r="T108" i="17" s="1"/>
  <c r="S108" i="17" s="1"/>
  <c r="R108" i="17" s="1"/>
  <c r="U116" i="17"/>
  <c r="T116" i="17" s="1"/>
  <c r="S116" i="17" s="1"/>
  <c r="R116" i="17" s="1"/>
  <c r="U124" i="17"/>
  <c r="T124" i="17" s="1"/>
  <c r="U132" i="17"/>
  <c r="T132" i="17" s="1"/>
  <c r="S132" i="17" s="1"/>
  <c r="R132" i="17" s="1"/>
  <c r="P132" i="17" s="1"/>
  <c r="U140" i="17"/>
  <c r="T140" i="17" s="1"/>
  <c r="U148" i="17"/>
  <c r="T148" i="17" s="1"/>
  <c r="S148" i="17" s="1"/>
  <c r="R148" i="17" s="1"/>
  <c r="P148" i="17" s="1"/>
  <c r="U156" i="17"/>
  <c r="T156" i="17" s="1"/>
  <c r="S156" i="17" s="1"/>
  <c r="R156" i="17" s="1"/>
  <c r="U164" i="17"/>
  <c r="T164" i="17" s="1"/>
  <c r="S164" i="17" s="1"/>
  <c r="R164" i="17" s="1"/>
  <c r="P164" i="17" s="1"/>
  <c r="V164" i="17" s="1"/>
  <c r="U172" i="17"/>
  <c r="T172" i="17" s="1"/>
  <c r="U180" i="17"/>
  <c r="T180" i="17" s="1"/>
  <c r="U188" i="17"/>
  <c r="T188" i="17" s="1"/>
  <c r="U196" i="17"/>
  <c r="T196" i="17" s="1"/>
  <c r="S196" i="17" s="1"/>
  <c r="R196" i="17" s="1"/>
  <c r="U204" i="17"/>
  <c r="T204" i="17" s="1"/>
  <c r="S204" i="17" s="1"/>
  <c r="R204" i="17" s="1"/>
  <c r="U212" i="17"/>
  <c r="T212" i="17" s="1"/>
  <c r="S212" i="17" s="1"/>
  <c r="R212" i="17" s="1"/>
  <c r="P212" i="17" s="1"/>
  <c r="U220" i="17"/>
  <c r="T220" i="17" s="1"/>
  <c r="S220" i="17" s="1"/>
  <c r="R220" i="17" s="1"/>
  <c r="U228" i="17"/>
  <c r="T228" i="17" s="1"/>
  <c r="S228" i="17" s="1"/>
  <c r="R228" i="17" s="1"/>
  <c r="U236" i="17"/>
  <c r="T236" i="17" s="1"/>
  <c r="S236" i="17" s="1"/>
  <c r="R236" i="17" s="1"/>
  <c r="U244" i="17"/>
  <c r="T244" i="17" s="1"/>
  <c r="S244" i="17" s="1"/>
  <c r="R244" i="17" s="1"/>
  <c r="P244" i="17" s="1"/>
  <c r="V244" i="17" s="1"/>
  <c r="U252" i="17"/>
  <c r="T252" i="17" s="1"/>
  <c r="U260" i="17"/>
  <c r="T260" i="17" s="1"/>
  <c r="S260" i="17" s="1"/>
  <c r="R260" i="17" s="1"/>
  <c r="U268" i="17"/>
  <c r="T268" i="17" s="1"/>
  <c r="S268" i="17" s="1"/>
  <c r="R268" i="17" s="1"/>
  <c r="U276" i="17"/>
  <c r="T276" i="17" s="1"/>
  <c r="S276" i="17" s="1"/>
  <c r="R276" i="17" s="1"/>
  <c r="U284" i="17"/>
  <c r="T284" i="17" s="1"/>
  <c r="S284" i="17" s="1"/>
  <c r="R284" i="17" s="1"/>
  <c r="U292" i="17"/>
  <c r="T292" i="17" s="1"/>
  <c r="S292" i="17" s="1"/>
  <c r="R292" i="17" s="1"/>
  <c r="U300" i="17"/>
  <c r="T300" i="17" s="1"/>
  <c r="S300" i="17" s="1"/>
  <c r="R300" i="17" s="1"/>
  <c r="P300" i="17" s="1"/>
  <c r="V300" i="17" s="1"/>
  <c r="U308" i="17"/>
  <c r="T308" i="17" s="1"/>
  <c r="S308" i="17" s="1"/>
  <c r="R308" i="17" s="1"/>
  <c r="U316" i="17"/>
  <c r="T316" i="17" s="1"/>
  <c r="S316" i="17" s="1"/>
  <c r="R316" i="17" s="1"/>
  <c r="P316" i="17" s="1"/>
  <c r="V316" i="17" s="1"/>
  <c r="U324" i="17"/>
  <c r="T324" i="17" s="1"/>
  <c r="U332" i="17"/>
  <c r="T332" i="17" s="1"/>
  <c r="S332" i="17" s="1"/>
  <c r="R332" i="17" s="1"/>
  <c r="P332" i="17" s="1"/>
  <c r="U340" i="17"/>
  <c r="T340" i="17" s="1"/>
  <c r="S340" i="17" s="1"/>
  <c r="R340" i="17" s="1"/>
  <c r="P340" i="17" s="1"/>
  <c r="V340" i="17" s="1"/>
  <c r="U348" i="17"/>
  <c r="T348" i="17" s="1"/>
  <c r="U356" i="17"/>
  <c r="T356" i="17" s="1"/>
  <c r="S356" i="17" s="1"/>
  <c r="R356" i="17" s="1"/>
  <c r="U364" i="17"/>
  <c r="T364" i="17" s="1"/>
  <c r="S364" i="17" s="1"/>
  <c r="R364" i="17" s="1"/>
  <c r="P364" i="17" s="1"/>
  <c r="V364" i="17" s="1"/>
  <c r="U372" i="17"/>
  <c r="T372" i="17" s="1"/>
  <c r="S372" i="17" s="1"/>
  <c r="R372" i="17" s="1"/>
  <c r="U16" i="17"/>
  <c r="T16" i="17" s="1"/>
  <c r="S16" i="17" s="1"/>
  <c r="R16" i="17" s="1"/>
  <c r="U25" i="17"/>
  <c r="T25" i="17" s="1"/>
  <c r="S25" i="17" s="1"/>
  <c r="R25" i="17" s="1"/>
  <c r="P25" i="17" s="1"/>
  <c r="U33" i="17"/>
  <c r="T33" i="17" s="1"/>
  <c r="U41" i="17"/>
  <c r="T41" i="17" s="1"/>
  <c r="S41" i="17" s="1"/>
  <c r="R41" i="17" s="1"/>
  <c r="U49" i="17"/>
  <c r="T49" i="17" s="1"/>
  <c r="U57" i="17"/>
  <c r="T57" i="17" s="1"/>
  <c r="S57" i="17" s="1"/>
  <c r="R57" i="17" s="1"/>
  <c r="U65" i="17"/>
  <c r="T65" i="17" s="1"/>
  <c r="U73" i="17"/>
  <c r="T73" i="17" s="1"/>
  <c r="U81" i="17"/>
  <c r="T81" i="17" s="1"/>
  <c r="S81" i="17" s="1"/>
  <c r="R81" i="17" s="1"/>
  <c r="U89" i="17"/>
  <c r="T89" i="17" s="1"/>
  <c r="U97" i="17"/>
  <c r="T97" i="17" s="1"/>
  <c r="S97" i="17" s="1"/>
  <c r="R97" i="17" s="1"/>
  <c r="U105" i="17"/>
  <c r="T105" i="17" s="1"/>
  <c r="U113" i="17"/>
  <c r="T113" i="17" s="1"/>
  <c r="U121" i="17"/>
  <c r="T121" i="17" s="1"/>
  <c r="S121" i="17" s="1"/>
  <c r="R121" i="17" s="1"/>
  <c r="U129" i="17"/>
  <c r="T129" i="17" s="1"/>
  <c r="U137" i="17"/>
  <c r="T137" i="17" s="1"/>
  <c r="S137" i="17" s="1"/>
  <c r="R137" i="17" s="1"/>
  <c r="U145" i="17"/>
  <c r="T145" i="17" s="1"/>
  <c r="S145" i="17" s="1"/>
  <c r="R145" i="17" s="1"/>
  <c r="U153" i="17"/>
  <c r="T153" i="17" s="1"/>
  <c r="S153" i="17" s="1"/>
  <c r="R153" i="17" s="1"/>
  <c r="U161" i="17"/>
  <c r="T161" i="17" s="1"/>
  <c r="U169" i="17"/>
  <c r="T169" i="17" s="1"/>
  <c r="S169" i="17" s="1"/>
  <c r="R169" i="17" s="1"/>
  <c r="U177" i="17"/>
  <c r="T177" i="17" s="1"/>
  <c r="S177" i="17" s="1"/>
  <c r="R177" i="17" s="1"/>
  <c r="U185" i="17"/>
  <c r="T185" i="17" s="1"/>
  <c r="S185" i="17" s="1"/>
  <c r="R185" i="17" s="1"/>
  <c r="U193" i="17"/>
  <c r="T193" i="17" s="1"/>
  <c r="U201" i="17"/>
  <c r="T201" i="17" s="1"/>
  <c r="S201" i="17" s="1"/>
  <c r="R201" i="17" s="1"/>
  <c r="U209" i="17"/>
  <c r="T209" i="17" s="1"/>
  <c r="U217" i="17"/>
  <c r="T217" i="17" s="1"/>
  <c r="U225" i="17"/>
  <c r="T225" i="17" s="1"/>
  <c r="U233" i="17"/>
  <c r="T233" i="17" s="1"/>
  <c r="S233" i="17" s="1"/>
  <c r="R233" i="17" s="1"/>
  <c r="U241" i="17"/>
  <c r="T241" i="17" s="1"/>
  <c r="U249" i="17"/>
  <c r="T249" i="17" s="1"/>
  <c r="S249" i="17" s="1"/>
  <c r="R249" i="17" s="1"/>
  <c r="P249" i="17" s="1"/>
  <c r="U257" i="17"/>
  <c r="T257" i="17" s="1"/>
  <c r="S257" i="17" s="1"/>
  <c r="R257" i="17" s="1"/>
  <c r="U265" i="17"/>
  <c r="T265" i="17" s="1"/>
  <c r="S265" i="17" s="1"/>
  <c r="R265" i="17" s="1"/>
  <c r="U273" i="17"/>
  <c r="T273" i="17" s="1"/>
  <c r="S273" i="17" s="1"/>
  <c r="R273" i="17" s="1"/>
  <c r="U285" i="17"/>
  <c r="T285" i="17" s="1"/>
  <c r="U301" i="17"/>
  <c r="T301" i="17" s="1"/>
  <c r="U317" i="17"/>
  <c r="T317" i="17" s="1"/>
  <c r="U333" i="17"/>
  <c r="T333" i="17" s="1"/>
  <c r="S333" i="17" s="1"/>
  <c r="R333" i="17" s="1"/>
  <c r="U349" i="17"/>
  <c r="T349" i="17" s="1"/>
  <c r="S349" i="17" s="1"/>
  <c r="R349" i="17" s="1"/>
  <c r="U365" i="17"/>
  <c r="T365" i="17" s="1"/>
  <c r="S365" i="17" s="1"/>
  <c r="R365" i="17" s="1"/>
  <c r="G321" i="16"/>
  <c r="BY321" i="6" s="1"/>
  <c r="AI41" i="17"/>
  <c r="AH41" i="17" s="1"/>
  <c r="AG41" i="17" s="1"/>
  <c r="AF41" i="17" s="1"/>
  <c r="AI73" i="17"/>
  <c r="AH73" i="17" s="1"/>
  <c r="AG73" i="17" s="1"/>
  <c r="AF73" i="17" s="1"/>
  <c r="AI105" i="17"/>
  <c r="AH105" i="17" s="1"/>
  <c r="AG105" i="17" s="1"/>
  <c r="AF105" i="17" s="1"/>
  <c r="AI133" i="17"/>
  <c r="AH133" i="17" s="1"/>
  <c r="AG133" i="17" s="1"/>
  <c r="AF133" i="17" s="1"/>
  <c r="AI149" i="17"/>
  <c r="AH149" i="17" s="1"/>
  <c r="AG149" i="17" s="1"/>
  <c r="AF149" i="17" s="1"/>
  <c r="AI165" i="17"/>
  <c r="AH165" i="17" s="1"/>
  <c r="AG165" i="17" s="1"/>
  <c r="AF165" i="17" s="1"/>
  <c r="AI181" i="17"/>
  <c r="AH181" i="17" s="1"/>
  <c r="AG181" i="17" s="1"/>
  <c r="AF181" i="17" s="1"/>
  <c r="AI197" i="17"/>
  <c r="AH197" i="17" s="1"/>
  <c r="AG197" i="17" s="1"/>
  <c r="AF197" i="17" s="1"/>
  <c r="AI213" i="17"/>
  <c r="AH213" i="17" s="1"/>
  <c r="AG213" i="17" s="1"/>
  <c r="AF213" i="17" s="1"/>
  <c r="AI229" i="17"/>
  <c r="AH229" i="17" s="1"/>
  <c r="AG229" i="17" s="1"/>
  <c r="AF229" i="17" s="1"/>
  <c r="AI245" i="17"/>
  <c r="AH245" i="17" s="1"/>
  <c r="AG245" i="17" s="1"/>
  <c r="AF245" i="17" s="1"/>
  <c r="AI261" i="17"/>
  <c r="AH261" i="17" s="1"/>
  <c r="AG261" i="17" s="1"/>
  <c r="AF261" i="17" s="1"/>
  <c r="AI277" i="17"/>
  <c r="AH277" i="17" s="1"/>
  <c r="AG277" i="17" s="1"/>
  <c r="AF277" i="17" s="1"/>
  <c r="AI293" i="17"/>
  <c r="AH293" i="17" s="1"/>
  <c r="AG293" i="17" s="1"/>
  <c r="AF293" i="17" s="1"/>
  <c r="AI309" i="17"/>
  <c r="AH309" i="17" s="1"/>
  <c r="AG309" i="17" s="1"/>
  <c r="AF309" i="17" s="1"/>
  <c r="AI325" i="17"/>
  <c r="AH325" i="17" s="1"/>
  <c r="AG325" i="17" s="1"/>
  <c r="AF325" i="17" s="1"/>
  <c r="AI341" i="17"/>
  <c r="AH341" i="17" s="1"/>
  <c r="AG341" i="17" s="1"/>
  <c r="AF341" i="17" s="1"/>
  <c r="AI357" i="17"/>
  <c r="AH357" i="17" s="1"/>
  <c r="AG357" i="17" s="1"/>
  <c r="AF357" i="17" s="1"/>
  <c r="AI373" i="17"/>
  <c r="AH373" i="17" s="1"/>
  <c r="AG373" i="17" s="1"/>
  <c r="AF373" i="17" s="1"/>
  <c r="AI122" i="17"/>
  <c r="AH122" i="17" s="1"/>
  <c r="AG122" i="17" s="1"/>
  <c r="AF122" i="17" s="1"/>
  <c r="AI106" i="17"/>
  <c r="AH106" i="17" s="1"/>
  <c r="AG106" i="17" s="1"/>
  <c r="AF106" i="17" s="1"/>
  <c r="AI90" i="17"/>
  <c r="AH90" i="17" s="1"/>
  <c r="AG90" i="17" s="1"/>
  <c r="AF90" i="17" s="1"/>
  <c r="AI74" i="17"/>
  <c r="AH74" i="17" s="1"/>
  <c r="AG74" i="17" s="1"/>
  <c r="AF74" i="17" s="1"/>
  <c r="AI58" i="17"/>
  <c r="AH58" i="17" s="1"/>
  <c r="AG58" i="17" s="1"/>
  <c r="AF58" i="17" s="1"/>
  <c r="AI42" i="17"/>
  <c r="AH42" i="17" s="1"/>
  <c r="AG42" i="17" s="1"/>
  <c r="AF42" i="17" s="1"/>
  <c r="AI26" i="17"/>
  <c r="AH26" i="17" s="1"/>
  <c r="AG26" i="17" s="1"/>
  <c r="AF26" i="17" s="1"/>
  <c r="H236" i="16"/>
  <c r="H244" i="16"/>
  <c r="I244" i="16" s="1"/>
  <c r="F42" i="16"/>
  <c r="AA42" i="16" s="1"/>
  <c r="Z42" i="16" s="1"/>
  <c r="Y42" i="16" s="1"/>
  <c r="F28" i="16"/>
  <c r="G28" i="16" s="1"/>
  <c r="BY28" i="6" s="1"/>
  <c r="F222" i="16"/>
  <c r="H222" i="16" s="1"/>
  <c r="F378" i="16"/>
  <c r="H378" i="16" s="1"/>
  <c r="I378" i="16" s="1"/>
  <c r="AI23" i="17"/>
  <c r="AH23" i="17" s="1"/>
  <c r="AG23" i="17" s="1"/>
  <c r="AF23" i="17" s="1"/>
  <c r="AI140" i="17"/>
  <c r="AH140" i="17" s="1"/>
  <c r="AG140" i="17" s="1"/>
  <c r="AF140" i="17" s="1"/>
  <c r="AI204" i="17"/>
  <c r="AH204" i="17" s="1"/>
  <c r="AG204" i="17" s="1"/>
  <c r="AF204" i="17" s="1"/>
  <c r="AI268" i="17"/>
  <c r="AH268" i="17" s="1"/>
  <c r="AG268" i="17" s="1"/>
  <c r="AF268" i="17" s="1"/>
  <c r="AI330" i="17"/>
  <c r="AH330" i="17" s="1"/>
  <c r="AG330" i="17" s="1"/>
  <c r="AF330" i="17" s="1"/>
  <c r="AI362" i="17"/>
  <c r="AH362" i="17" s="1"/>
  <c r="AG362" i="17" s="1"/>
  <c r="AF362" i="17" s="1"/>
  <c r="AI314" i="17"/>
  <c r="AH314" i="17" s="1"/>
  <c r="AG314" i="17" s="1"/>
  <c r="AF314" i="17" s="1"/>
  <c r="AI282" i="17"/>
  <c r="AH282" i="17" s="1"/>
  <c r="AG282" i="17" s="1"/>
  <c r="AF282" i="17" s="1"/>
  <c r="AI250" i="17"/>
  <c r="AH250" i="17" s="1"/>
  <c r="AG250" i="17" s="1"/>
  <c r="AF250" i="17" s="1"/>
  <c r="AI218" i="17"/>
  <c r="AH218" i="17" s="1"/>
  <c r="AG218" i="17" s="1"/>
  <c r="AF218" i="17" s="1"/>
  <c r="AI186" i="17"/>
  <c r="AH186" i="17" s="1"/>
  <c r="AG186" i="17" s="1"/>
  <c r="AF186" i="17" s="1"/>
  <c r="AI154" i="17"/>
  <c r="AH154" i="17" s="1"/>
  <c r="AG154" i="17" s="1"/>
  <c r="AF154" i="17" s="1"/>
  <c r="AI115" i="17"/>
  <c r="AH115" i="17" s="1"/>
  <c r="AG115" i="17" s="1"/>
  <c r="AF115" i="17" s="1"/>
  <c r="AI51" i="17"/>
  <c r="AH51" i="17" s="1"/>
  <c r="AG51" i="17" s="1"/>
  <c r="AF51" i="17" s="1"/>
  <c r="G134" i="16"/>
  <c r="BY134" i="6" s="1"/>
  <c r="G256" i="16"/>
  <c r="BY256" i="6" s="1"/>
  <c r="G155" i="16"/>
  <c r="BY155" i="6" s="1"/>
  <c r="F305" i="16"/>
  <c r="G305" i="16" s="1"/>
  <c r="BY305" i="6" s="1"/>
  <c r="AI192" i="17"/>
  <c r="AH192" i="17" s="1"/>
  <c r="AG192" i="17" s="1"/>
  <c r="AF192" i="17" s="1"/>
  <c r="AI320" i="17"/>
  <c r="AH320" i="17" s="1"/>
  <c r="AG320" i="17" s="1"/>
  <c r="AF320" i="17" s="1"/>
  <c r="AI280" i="17"/>
  <c r="AH280" i="17" s="1"/>
  <c r="AG280" i="17" s="1"/>
  <c r="AF280" i="17" s="1"/>
  <c r="I371" i="16"/>
  <c r="H345" i="16"/>
  <c r="I345" i="16" s="1"/>
  <c r="AI232" i="17"/>
  <c r="AH232" i="17" s="1"/>
  <c r="AG232" i="17" s="1"/>
  <c r="AF232" i="17" s="1"/>
  <c r="AI18" i="17"/>
  <c r="AH18" i="17" s="1"/>
  <c r="AG18" i="17" s="1"/>
  <c r="AF18" i="17" s="1"/>
  <c r="G72" i="16"/>
  <c r="BY72" i="6" s="1"/>
  <c r="AA72" i="16"/>
  <c r="Z72" i="16" s="1"/>
  <c r="Y72" i="16" s="1"/>
  <c r="F102" i="16"/>
  <c r="G102" i="16" s="1"/>
  <c r="BY102" i="6" s="1"/>
  <c r="F41" i="16"/>
  <c r="AA41" i="16" s="1"/>
  <c r="Z41" i="16" s="1"/>
  <c r="Y41" i="16" s="1"/>
  <c r="H175" i="16"/>
  <c r="F126" i="16"/>
  <c r="F26" i="16"/>
  <c r="AA175" i="16"/>
  <c r="Z175" i="16" s="1"/>
  <c r="Y175" i="16" s="1"/>
  <c r="AA54" i="16"/>
  <c r="Z54" i="16" s="1"/>
  <c r="Y54" i="16" s="1"/>
  <c r="AA78" i="16"/>
  <c r="Z78" i="16" s="1"/>
  <c r="Y78" i="16" s="1"/>
  <c r="AA197" i="16"/>
  <c r="Z197" i="16" s="1"/>
  <c r="Y197" i="16" s="1"/>
  <c r="AA343" i="16"/>
  <c r="Z343" i="16" s="1"/>
  <c r="Y343" i="16" s="1"/>
  <c r="AI31" i="17"/>
  <c r="AH31" i="17" s="1"/>
  <c r="AG31" i="17" s="1"/>
  <c r="AF31" i="17" s="1"/>
  <c r="AA321" i="16"/>
  <c r="Z321" i="16" s="1"/>
  <c r="Y321" i="16" s="1"/>
  <c r="V186" i="16"/>
  <c r="F186" i="16" s="1"/>
  <c r="V252" i="16"/>
  <c r="F252" i="16" s="1"/>
  <c r="V116" i="16"/>
  <c r="F116" i="16" s="1"/>
  <c r="V320" i="16"/>
  <c r="F320" i="16" s="1"/>
  <c r="V124" i="16"/>
  <c r="F124" i="16" s="1"/>
  <c r="D45" i="7"/>
  <c r="V60" i="16"/>
  <c r="F60" i="16" s="1"/>
  <c r="AA60" i="16" s="1"/>
  <c r="Z60" i="16" s="1"/>
  <c r="Y60" i="16" s="1"/>
  <c r="V306" i="16"/>
  <c r="F306" i="16" s="1"/>
  <c r="V282" i="16"/>
  <c r="F282" i="16" s="1"/>
  <c r="V329" i="16"/>
  <c r="F329" i="16" s="1"/>
  <c r="V220" i="16"/>
  <c r="F220" i="16" s="1"/>
  <c r="V204" i="16"/>
  <c r="F204" i="16" s="1"/>
  <c r="V348" i="16"/>
  <c r="F348" i="16" s="1"/>
  <c r="V350" i="16"/>
  <c r="F350" i="16" s="1"/>
  <c r="V323" i="16"/>
  <c r="F323" i="16" s="1"/>
  <c r="V32" i="16"/>
  <c r="F32" i="16" s="1"/>
  <c r="V64" i="16"/>
  <c r="V132" i="16"/>
  <c r="F132" i="16" s="1"/>
  <c r="V100" i="16"/>
  <c r="F100" i="16" s="1"/>
  <c r="V190" i="16"/>
  <c r="F190" i="16" s="1"/>
  <c r="V246" i="16"/>
  <c r="F246" i="16" s="1"/>
  <c r="D49" i="7"/>
  <c r="V180" i="16"/>
  <c r="V314" i="16"/>
  <c r="F314" i="16" s="1"/>
  <c r="V334" i="16"/>
  <c r="F334" i="16" s="1"/>
  <c r="V115" i="16"/>
  <c r="F115" i="16" s="1"/>
  <c r="V254" i="16"/>
  <c r="F254" i="16" s="1"/>
  <c r="AD18" i="17"/>
  <c r="AD23" i="17"/>
  <c r="AD67" i="17"/>
  <c r="AD83" i="17"/>
  <c r="AD115" i="17"/>
  <c r="U17" i="17"/>
  <c r="T17" i="17" s="1"/>
  <c r="U22" i="17"/>
  <c r="T22" i="17" s="1"/>
  <c r="S22" i="17" s="1"/>
  <c r="R22" i="17" s="1"/>
  <c r="U26" i="17"/>
  <c r="T26" i="17" s="1"/>
  <c r="S26" i="17" s="1"/>
  <c r="R26" i="17" s="1"/>
  <c r="U30" i="17"/>
  <c r="T30" i="17" s="1"/>
  <c r="S30" i="17" s="1"/>
  <c r="R30" i="17" s="1"/>
  <c r="U34" i="17"/>
  <c r="T34" i="17" s="1"/>
  <c r="S34" i="17" s="1"/>
  <c r="R34" i="17" s="1"/>
  <c r="P34" i="17" s="1"/>
  <c r="U38" i="17"/>
  <c r="T38" i="17" s="1"/>
  <c r="S38" i="17" s="1"/>
  <c r="R38" i="17" s="1"/>
  <c r="U42" i="17"/>
  <c r="T42" i="17" s="1"/>
  <c r="S42" i="17" s="1"/>
  <c r="R42" i="17" s="1"/>
  <c r="P42" i="17" s="1"/>
  <c r="V42" i="17" s="1"/>
  <c r="U46" i="17"/>
  <c r="T46" i="17" s="1"/>
  <c r="S46" i="17" s="1"/>
  <c r="R46" i="17" s="1"/>
  <c r="U50" i="17"/>
  <c r="T50" i="17" s="1"/>
  <c r="U54" i="17"/>
  <c r="T54" i="17" s="1"/>
  <c r="S54" i="17" s="1"/>
  <c r="R54" i="17" s="1"/>
  <c r="U58" i="17"/>
  <c r="T58" i="17" s="1"/>
  <c r="S58" i="17" s="1"/>
  <c r="R58" i="17" s="1"/>
  <c r="P58" i="17" s="1"/>
  <c r="U62" i="17"/>
  <c r="T62" i="17" s="1"/>
  <c r="U66" i="17"/>
  <c r="T66" i="17" s="1"/>
  <c r="S66" i="17" s="1"/>
  <c r="R66" i="17" s="1"/>
  <c r="P66" i="17" s="1"/>
  <c r="U70" i="17"/>
  <c r="T70" i="17" s="1"/>
  <c r="S70" i="17" s="1"/>
  <c r="R70" i="17" s="1"/>
  <c r="P70" i="17" s="1"/>
  <c r="U74" i="17"/>
  <c r="T74" i="17" s="1"/>
  <c r="S74" i="17" s="1"/>
  <c r="R74" i="17" s="1"/>
  <c r="P74" i="17" s="1"/>
  <c r="U78" i="17"/>
  <c r="T78" i="17" s="1"/>
  <c r="U82" i="17"/>
  <c r="T82" i="17" s="1"/>
  <c r="S82" i="17" s="1"/>
  <c r="R82" i="17" s="1"/>
  <c r="P82" i="17" s="1"/>
  <c r="V82" i="17" s="1"/>
  <c r="U86" i="17"/>
  <c r="T86" i="17" s="1"/>
  <c r="S86" i="17" s="1"/>
  <c r="R86" i="17" s="1"/>
  <c r="P86" i="17" s="1"/>
  <c r="U90" i="17"/>
  <c r="T90" i="17" s="1"/>
  <c r="U94" i="17"/>
  <c r="T94" i="17" s="1"/>
  <c r="S94" i="17" s="1"/>
  <c r="R94" i="17" s="1"/>
  <c r="U98" i="17"/>
  <c r="T98" i="17" s="1"/>
  <c r="S98" i="17" s="1"/>
  <c r="R98" i="17" s="1"/>
  <c r="P98" i="17" s="1"/>
  <c r="U102" i="17"/>
  <c r="T102" i="17" s="1"/>
  <c r="S102" i="17" s="1"/>
  <c r="R102" i="17" s="1"/>
  <c r="U106" i="17"/>
  <c r="T106" i="17" s="1"/>
  <c r="U110" i="17"/>
  <c r="T110" i="17" s="1"/>
  <c r="S110" i="17" s="1"/>
  <c r="R110" i="17" s="1"/>
  <c r="U114" i="17"/>
  <c r="T114" i="17" s="1"/>
  <c r="S114" i="17" s="1"/>
  <c r="R114" i="17" s="1"/>
  <c r="P114" i="17" s="1"/>
  <c r="V114" i="17" s="1"/>
  <c r="U118" i="17"/>
  <c r="T118" i="17" s="1"/>
  <c r="S118" i="17" s="1"/>
  <c r="R118" i="17" s="1"/>
  <c r="U122" i="17"/>
  <c r="T122" i="17" s="1"/>
  <c r="S122" i="17" s="1"/>
  <c r="R122" i="17" s="1"/>
  <c r="P122" i="17" s="1"/>
  <c r="U126" i="17"/>
  <c r="T126" i="17" s="1"/>
  <c r="S126" i="17" s="1"/>
  <c r="R126" i="17" s="1"/>
  <c r="U130" i="17"/>
  <c r="T130" i="17" s="1"/>
  <c r="S130" i="17" s="1"/>
  <c r="R130" i="17" s="1"/>
  <c r="P130" i="17" s="1"/>
  <c r="U134" i="17"/>
  <c r="T134" i="17" s="1"/>
  <c r="S134" i="17" s="1"/>
  <c r="R134" i="17" s="1"/>
  <c r="P134" i="17" s="1"/>
  <c r="V134" i="17" s="1"/>
  <c r="U138" i="17"/>
  <c r="T138" i="17" s="1"/>
  <c r="S138" i="17" s="1"/>
  <c r="R138" i="17" s="1"/>
  <c r="P138" i="17" s="1"/>
  <c r="U142" i="17"/>
  <c r="T142" i="17" s="1"/>
  <c r="S142" i="17" s="1"/>
  <c r="R142" i="17" s="1"/>
  <c r="P142" i="17" s="1"/>
  <c r="V142" i="17" s="1"/>
  <c r="U146" i="17"/>
  <c r="T146" i="17" s="1"/>
  <c r="S146" i="17" s="1"/>
  <c r="R146" i="17" s="1"/>
  <c r="P146" i="17" s="1"/>
  <c r="V146" i="17" s="1"/>
  <c r="U150" i="17"/>
  <c r="T150" i="17" s="1"/>
  <c r="U154" i="17"/>
  <c r="T154" i="17" s="1"/>
  <c r="S154" i="17" s="1"/>
  <c r="R154" i="17" s="1"/>
  <c r="P154" i="17" s="1"/>
  <c r="V154" i="17" s="1"/>
  <c r="U158" i="17"/>
  <c r="T158" i="17" s="1"/>
  <c r="S158" i="17" s="1"/>
  <c r="R158" i="17" s="1"/>
  <c r="U162" i="17"/>
  <c r="T162" i="17" s="1"/>
  <c r="U166" i="17"/>
  <c r="T166" i="17" s="1"/>
  <c r="S166" i="17" s="1"/>
  <c r="R166" i="17" s="1"/>
  <c r="U170" i="17"/>
  <c r="T170" i="17" s="1"/>
  <c r="S170" i="17" s="1"/>
  <c r="R170" i="17" s="1"/>
  <c r="P170" i="17" s="1"/>
  <c r="U174" i="17"/>
  <c r="T174" i="17" s="1"/>
  <c r="S174" i="17" s="1"/>
  <c r="R174" i="17" s="1"/>
  <c r="U178" i="17"/>
  <c r="T178" i="17" s="1"/>
  <c r="S178" i="17" s="1"/>
  <c r="R178" i="17" s="1"/>
  <c r="P178" i="17" s="1"/>
  <c r="V178" i="17" s="1"/>
  <c r="U182" i="17"/>
  <c r="T182" i="17" s="1"/>
  <c r="S182" i="17" s="1"/>
  <c r="R182" i="17" s="1"/>
  <c r="U186" i="17"/>
  <c r="T186" i="17" s="1"/>
  <c r="U190" i="17"/>
  <c r="T190" i="17" s="1"/>
  <c r="S190" i="17" s="1"/>
  <c r="R190" i="17" s="1"/>
  <c r="U194" i="17"/>
  <c r="T194" i="17" s="1"/>
  <c r="S194" i="17" s="1"/>
  <c r="R194" i="17" s="1"/>
  <c r="P194" i="17" s="1"/>
  <c r="U198" i="17"/>
  <c r="T198" i="17" s="1"/>
  <c r="S198" i="17" s="1"/>
  <c r="R198" i="17" s="1"/>
  <c r="U202" i="17"/>
  <c r="T202" i="17" s="1"/>
  <c r="S202" i="17" s="1"/>
  <c r="R202" i="17" s="1"/>
  <c r="P202" i="17" s="1"/>
  <c r="V202" i="17" s="1"/>
  <c r="U206" i="17"/>
  <c r="T206" i="17" s="1"/>
  <c r="S206" i="17" s="1"/>
  <c r="R206" i="17" s="1"/>
  <c r="U210" i="17"/>
  <c r="T210" i="17" s="1"/>
  <c r="S210" i="17" s="1"/>
  <c r="R210" i="17" s="1"/>
  <c r="P210" i="17" s="1"/>
  <c r="V210" i="17" s="1"/>
  <c r="U214" i="17"/>
  <c r="T214" i="17" s="1"/>
  <c r="U218" i="17"/>
  <c r="T218" i="17" s="1"/>
  <c r="S218" i="17" s="1"/>
  <c r="R218" i="17" s="1"/>
  <c r="P218" i="17" s="1"/>
  <c r="V218" i="17" s="1"/>
  <c r="U222" i="17"/>
  <c r="T222" i="17" s="1"/>
  <c r="S222" i="17" s="1"/>
  <c r="R222" i="17" s="1"/>
  <c r="P222" i="17" s="1"/>
  <c r="U226" i="17"/>
  <c r="T226" i="17" s="1"/>
  <c r="U230" i="17"/>
  <c r="T230" i="17" s="1"/>
  <c r="S230" i="17" s="1"/>
  <c r="R230" i="17" s="1"/>
  <c r="P230" i="17" s="1"/>
  <c r="U234" i="17"/>
  <c r="T234" i="17" s="1"/>
  <c r="S234" i="17" s="1"/>
  <c r="R234" i="17" s="1"/>
  <c r="P234" i="17" s="1"/>
  <c r="V234" i="17" s="1"/>
  <c r="U238" i="17"/>
  <c r="T238" i="17" s="1"/>
  <c r="U242" i="17"/>
  <c r="T242" i="17" s="1"/>
  <c r="S242" i="17" s="1"/>
  <c r="R242" i="17" s="1"/>
  <c r="P242" i="17" s="1"/>
  <c r="U246" i="17"/>
  <c r="T246" i="17" s="1"/>
  <c r="S246" i="17" s="1"/>
  <c r="R246" i="17" s="1"/>
  <c r="U250" i="17"/>
  <c r="T250" i="17" s="1"/>
  <c r="U254" i="17"/>
  <c r="T254" i="17" s="1"/>
  <c r="U258" i="17"/>
  <c r="T258" i="17" s="1"/>
  <c r="U262" i="17"/>
  <c r="T262" i="17" s="1"/>
  <c r="S262" i="17" s="1"/>
  <c r="R262" i="17" s="1"/>
  <c r="U266" i="17"/>
  <c r="T266" i="17" s="1"/>
  <c r="S266" i="17" s="1"/>
  <c r="R266" i="17" s="1"/>
  <c r="P266" i="17" s="1"/>
  <c r="V266" i="17" s="1"/>
  <c r="U270" i="17"/>
  <c r="T270" i="17" s="1"/>
  <c r="U274" i="17"/>
  <c r="T274" i="17" s="1"/>
  <c r="U278" i="17"/>
  <c r="T278" i="17" s="1"/>
  <c r="U282" i="17"/>
  <c r="T282" i="17" s="1"/>
  <c r="S282" i="17" s="1"/>
  <c r="R282" i="17" s="1"/>
  <c r="P282" i="17" s="1"/>
  <c r="V282" i="17" s="1"/>
  <c r="U286" i="17"/>
  <c r="T286" i="17" s="1"/>
  <c r="S286" i="17" s="1"/>
  <c r="R286" i="17" s="1"/>
  <c r="P286" i="17" s="1"/>
  <c r="V286" i="17" s="1"/>
  <c r="U290" i="17"/>
  <c r="T290" i="17" s="1"/>
  <c r="S290" i="17" s="1"/>
  <c r="R290" i="17" s="1"/>
  <c r="P290" i="17" s="1"/>
  <c r="U294" i="17"/>
  <c r="T294" i="17" s="1"/>
  <c r="U298" i="17"/>
  <c r="T298" i="17" s="1"/>
  <c r="S298" i="17" s="1"/>
  <c r="R298" i="17" s="1"/>
  <c r="P298" i="17" s="1"/>
  <c r="U302" i="17"/>
  <c r="T302" i="17" s="1"/>
  <c r="S302" i="17" s="1"/>
  <c r="R302" i="17" s="1"/>
  <c r="P302" i="17" s="1"/>
  <c r="U306" i="17"/>
  <c r="T306" i="17" s="1"/>
  <c r="S306" i="17" s="1"/>
  <c r="R306" i="17" s="1"/>
  <c r="P306" i="17" s="1"/>
  <c r="V306" i="17" s="1"/>
  <c r="U310" i="17"/>
  <c r="T310" i="17" s="1"/>
  <c r="U314" i="17"/>
  <c r="T314" i="17" s="1"/>
  <c r="S314" i="17" s="1"/>
  <c r="R314" i="17" s="1"/>
  <c r="P314" i="17" s="1"/>
  <c r="U318" i="17"/>
  <c r="T318" i="17" s="1"/>
  <c r="S318" i="17" s="1"/>
  <c r="R318" i="17" s="1"/>
  <c r="U322" i="17"/>
  <c r="T322" i="17" s="1"/>
  <c r="S322" i="17" s="1"/>
  <c r="R322" i="17" s="1"/>
  <c r="P322" i="17" s="1"/>
  <c r="U326" i="17"/>
  <c r="T326" i="17" s="1"/>
  <c r="S326" i="17" s="1"/>
  <c r="R326" i="17" s="1"/>
  <c r="U330" i="17"/>
  <c r="T330" i="17" s="1"/>
  <c r="S330" i="17" s="1"/>
  <c r="R330" i="17" s="1"/>
  <c r="P330" i="17" s="1"/>
  <c r="V330" i="17" s="1"/>
  <c r="U334" i="17"/>
  <c r="T334" i="17" s="1"/>
  <c r="S334" i="17" s="1"/>
  <c r="R334" i="17" s="1"/>
  <c r="U338" i="17"/>
  <c r="T338" i="17" s="1"/>
  <c r="S338" i="17" s="1"/>
  <c r="R338" i="17" s="1"/>
  <c r="P338" i="17" s="1"/>
  <c r="U342" i="17"/>
  <c r="T342" i="17" s="1"/>
  <c r="U346" i="17"/>
  <c r="T346" i="17" s="1"/>
  <c r="S346" i="17" s="1"/>
  <c r="R346" i="17" s="1"/>
  <c r="P346" i="17" s="1"/>
  <c r="V346" i="17" s="1"/>
  <c r="U350" i="17"/>
  <c r="T350" i="17" s="1"/>
  <c r="S350" i="17" s="1"/>
  <c r="R350" i="17" s="1"/>
  <c r="U354" i="17"/>
  <c r="T354" i="17" s="1"/>
  <c r="S354" i="17" s="1"/>
  <c r="R354" i="17" s="1"/>
  <c r="P354" i="17" s="1"/>
  <c r="V354" i="17" s="1"/>
  <c r="U358" i="17"/>
  <c r="T358" i="17" s="1"/>
  <c r="S358" i="17" s="1"/>
  <c r="R358" i="17" s="1"/>
  <c r="P358" i="17" s="1"/>
  <c r="U362" i="17"/>
  <c r="T362" i="17" s="1"/>
  <c r="U366" i="17"/>
  <c r="T366" i="17" s="1"/>
  <c r="S366" i="17" s="1"/>
  <c r="R366" i="17" s="1"/>
  <c r="U370" i="17"/>
  <c r="T370" i="17" s="1"/>
  <c r="S370" i="17" s="1"/>
  <c r="R370" i="17" s="1"/>
  <c r="P370" i="17" s="1"/>
  <c r="U374" i="17"/>
  <c r="T374" i="17" s="1"/>
  <c r="S374" i="17" s="1"/>
  <c r="R374" i="17" s="1"/>
  <c r="P374" i="17" s="1"/>
  <c r="U378" i="17"/>
  <c r="T378" i="17" s="1"/>
  <c r="S378" i="17" s="1"/>
  <c r="R378" i="17" s="1"/>
  <c r="P378" i="17" s="1"/>
  <c r="V378" i="17" s="1"/>
  <c r="S382" i="16"/>
  <c r="AD200" i="17"/>
  <c r="U19" i="17"/>
  <c r="T19" i="17" s="1"/>
  <c r="U15" i="17"/>
  <c r="U23" i="17"/>
  <c r="T23" i="17" s="1"/>
  <c r="S23" i="17" s="1"/>
  <c r="R23" i="17" s="1"/>
  <c r="P23" i="17" s="1"/>
  <c r="U27" i="17"/>
  <c r="T27" i="17" s="1"/>
  <c r="S27" i="17" s="1"/>
  <c r="R27" i="17" s="1"/>
  <c r="U31" i="17"/>
  <c r="T31" i="17" s="1"/>
  <c r="S31" i="17" s="1"/>
  <c r="R31" i="17" s="1"/>
  <c r="P31" i="17" s="1"/>
  <c r="V31" i="17" s="1"/>
  <c r="U35" i="17"/>
  <c r="T35" i="17" s="1"/>
  <c r="U39" i="17"/>
  <c r="T39" i="17" s="1"/>
  <c r="S39" i="17" s="1"/>
  <c r="R39" i="17" s="1"/>
  <c r="P39" i="17" s="1"/>
  <c r="U43" i="17"/>
  <c r="T43" i="17" s="1"/>
  <c r="S43" i="17" s="1"/>
  <c r="R43" i="17" s="1"/>
  <c r="U47" i="17"/>
  <c r="T47" i="17" s="1"/>
  <c r="S47" i="17" s="1"/>
  <c r="R47" i="17" s="1"/>
  <c r="P47" i="17" s="1"/>
  <c r="U51" i="17"/>
  <c r="T51" i="17" s="1"/>
  <c r="S51" i="17" s="1"/>
  <c r="R51" i="17" s="1"/>
  <c r="U55" i="17"/>
  <c r="T55" i="17" s="1"/>
  <c r="S55" i="17" s="1"/>
  <c r="R55" i="17" s="1"/>
  <c r="U59" i="17"/>
  <c r="T59" i="17" s="1"/>
  <c r="S59" i="17" s="1"/>
  <c r="R59" i="17" s="1"/>
  <c r="U63" i="17"/>
  <c r="T63" i="17" s="1"/>
  <c r="S63" i="17" s="1"/>
  <c r="R63" i="17" s="1"/>
  <c r="P63" i="17" s="1"/>
  <c r="U67" i="17"/>
  <c r="T67" i="17" s="1"/>
  <c r="U71" i="17"/>
  <c r="T71" i="17" s="1"/>
  <c r="S71" i="17" s="1"/>
  <c r="R71" i="17" s="1"/>
  <c r="U75" i="17"/>
  <c r="T75" i="17" s="1"/>
  <c r="S75" i="17" s="1"/>
  <c r="R75" i="17" s="1"/>
  <c r="U79" i="17"/>
  <c r="T79" i="17" s="1"/>
  <c r="S79" i="17" s="1"/>
  <c r="R79" i="17" s="1"/>
  <c r="U83" i="17"/>
  <c r="T83" i="17" s="1"/>
  <c r="U87" i="17"/>
  <c r="T87" i="17" s="1"/>
  <c r="S87" i="17" s="1"/>
  <c r="R87" i="17" s="1"/>
  <c r="U91" i="17"/>
  <c r="T91" i="17" s="1"/>
  <c r="S91" i="17" s="1"/>
  <c r="R91" i="17" s="1"/>
  <c r="U95" i="17"/>
  <c r="T95" i="17" s="1"/>
  <c r="S95" i="17" s="1"/>
  <c r="R95" i="17" s="1"/>
  <c r="U99" i="17"/>
  <c r="T99" i="17" s="1"/>
  <c r="U103" i="17"/>
  <c r="T103" i="17" s="1"/>
  <c r="S103" i="17" s="1"/>
  <c r="R103" i="17" s="1"/>
  <c r="P103" i="17" s="1"/>
  <c r="U107" i="17"/>
  <c r="T107" i="17" s="1"/>
  <c r="U111" i="17"/>
  <c r="T111" i="17" s="1"/>
  <c r="S111" i="17" s="1"/>
  <c r="R111" i="17" s="1"/>
  <c r="U115" i="17"/>
  <c r="T115" i="17" s="1"/>
  <c r="S115" i="17" s="1"/>
  <c r="R115" i="17" s="1"/>
  <c r="U119" i="17"/>
  <c r="T119" i="17" s="1"/>
  <c r="S119" i="17" s="1"/>
  <c r="R119" i="17" s="1"/>
  <c r="U123" i="17"/>
  <c r="T123" i="17" s="1"/>
  <c r="U127" i="17"/>
  <c r="T127" i="17" s="1"/>
  <c r="S127" i="17" s="1"/>
  <c r="R127" i="17" s="1"/>
  <c r="P127" i="17" s="1"/>
  <c r="U131" i="17"/>
  <c r="T131" i="17" s="1"/>
  <c r="S131" i="17" s="1"/>
  <c r="R131" i="17" s="1"/>
  <c r="U135" i="17"/>
  <c r="T135" i="17" s="1"/>
  <c r="S135" i="17" s="1"/>
  <c r="R135" i="17" s="1"/>
  <c r="U139" i="17"/>
  <c r="T139" i="17" s="1"/>
  <c r="U143" i="17"/>
  <c r="T143" i="17" s="1"/>
  <c r="S143" i="17" s="1"/>
  <c r="R143" i="17" s="1"/>
  <c r="U147" i="17"/>
  <c r="T147" i="17" s="1"/>
  <c r="S147" i="17" s="1"/>
  <c r="R147" i="17" s="1"/>
  <c r="U151" i="17"/>
  <c r="T151" i="17" s="1"/>
  <c r="S151" i="17" s="1"/>
  <c r="R151" i="17" s="1"/>
  <c r="P151" i="17" s="1"/>
  <c r="U155" i="17"/>
  <c r="T155" i="17" s="1"/>
  <c r="S155" i="17" s="1"/>
  <c r="R155" i="17" s="1"/>
  <c r="U159" i="17"/>
  <c r="T159" i="17" s="1"/>
  <c r="S159" i="17" s="1"/>
  <c r="R159" i="17" s="1"/>
  <c r="U163" i="17"/>
  <c r="T163" i="17" s="1"/>
  <c r="S163" i="17" s="1"/>
  <c r="R163" i="17" s="1"/>
  <c r="U167" i="17"/>
  <c r="T167" i="17" s="1"/>
  <c r="S167" i="17" s="1"/>
  <c r="R167" i="17" s="1"/>
  <c r="P167" i="17" s="1"/>
  <c r="V167" i="17" s="1"/>
  <c r="U171" i="17"/>
  <c r="T171" i="17" s="1"/>
  <c r="S171" i="17" s="1"/>
  <c r="R171" i="17" s="1"/>
  <c r="U175" i="17"/>
  <c r="T175" i="17" s="1"/>
  <c r="U179" i="17"/>
  <c r="T179" i="17" s="1"/>
  <c r="S179" i="17" s="1"/>
  <c r="R179" i="17" s="1"/>
  <c r="U183" i="17"/>
  <c r="T183" i="17" s="1"/>
  <c r="S183" i="17" s="1"/>
  <c r="R183" i="17" s="1"/>
  <c r="U187" i="17"/>
  <c r="T187" i="17" s="1"/>
  <c r="U191" i="17"/>
  <c r="T191" i="17" s="1"/>
  <c r="U195" i="17"/>
  <c r="T195" i="17" s="1"/>
  <c r="U199" i="17"/>
  <c r="T199" i="17" s="1"/>
  <c r="U203" i="17"/>
  <c r="T203" i="17" s="1"/>
  <c r="U207" i="17"/>
  <c r="T207" i="17" s="1"/>
  <c r="S207" i="17" s="1"/>
  <c r="R207" i="17" s="1"/>
  <c r="U211" i="17"/>
  <c r="T211" i="17" s="1"/>
  <c r="U215" i="17"/>
  <c r="T215" i="17" s="1"/>
  <c r="S215" i="17" s="1"/>
  <c r="R215" i="17" s="1"/>
  <c r="P215" i="17" s="1"/>
  <c r="V215" i="17" s="1"/>
  <c r="U219" i="17"/>
  <c r="T219" i="17" s="1"/>
  <c r="U223" i="17"/>
  <c r="T223" i="17" s="1"/>
  <c r="S223" i="17" s="1"/>
  <c r="R223" i="17" s="1"/>
  <c r="U227" i="17"/>
  <c r="T227" i="17" s="1"/>
  <c r="S227" i="17" s="1"/>
  <c r="R227" i="17" s="1"/>
  <c r="U231" i="17"/>
  <c r="T231" i="17" s="1"/>
  <c r="S231" i="17" s="1"/>
  <c r="R231" i="17" s="1"/>
  <c r="U235" i="17"/>
  <c r="T235" i="17" s="1"/>
  <c r="S235" i="17" s="1"/>
  <c r="R235" i="17" s="1"/>
  <c r="U239" i="17"/>
  <c r="T239" i="17" s="1"/>
  <c r="S239" i="17" s="1"/>
  <c r="R239" i="17" s="1"/>
  <c r="U243" i="17"/>
  <c r="T243" i="17" s="1"/>
  <c r="S243" i="17" s="1"/>
  <c r="R243" i="17" s="1"/>
  <c r="U247" i="17"/>
  <c r="T247" i="17" s="1"/>
  <c r="S247" i="17" s="1"/>
  <c r="R247" i="17" s="1"/>
  <c r="P247" i="17" s="1"/>
  <c r="U251" i="17"/>
  <c r="T251" i="17" s="1"/>
  <c r="S251" i="17" s="1"/>
  <c r="R251" i="17" s="1"/>
  <c r="U255" i="17"/>
  <c r="T255" i="17" s="1"/>
  <c r="U259" i="17"/>
  <c r="T259" i="17" s="1"/>
  <c r="U263" i="17"/>
  <c r="T263" i="17" s="1"/>
  <c r="U267" i="17"/>
  <c r="T267" i="17" s="1"/>
  <c r="S267" i="17" s="1"/>
  <c r="R267" i="17" s="1"/>
  <c r="U271" i="17"/>
  <c r="T271" i="17" s="1"/>
  <c r="S271" i="17" s="1"/>
  <c r="R271" i="17" s="1"/>
  <c r="P271" i="17" s="1"/>
  <c r="U275" i="17"/>
  <c r="T275" i="17" s="1"/>
  <c r="S275" i="17" s="1"/>
  <c r="R275" i="17" s="1"/>
  <c r="U279" i="17"/>
  <c r="T279" i="17" s="1"/>
  <c r="S279" i="17" s="1"/>
  <c r="R279" i="17" s="1"/>
  <c r="P279" i="17" s="1"/>
  <c r="V279" i="17" s="1"/>
  <c r="U283" i="17"/>
  <c r="T283" i="17" s="1"/>
  <c r="U287" i="17"/>
  <c r="T287" i="17" s="1"/>
  <c r="S287" i="17" s="1"/>
  <c r="R287" i="17" s="1"/>
  <c r="P287" i="17" s="1"/>
  <c r="U291" i="17"/>
  <c r="T291" i="17" s="1"/>
  <c r="S291" i="17" s="1"/>
  <c r="R291" i="17" s="1"/>
  <c r="U295" i="17"/>
  <c r="T295" i="17" s="1"/>
  <c r="S295" i="17" s="1"/>
  <c r="R295" i="17" s="1"/>
  <c r="U299" i="17"/>
  <c r="T299" i="17" s="1"/>
  <c r="U303" i="17"/>
  <c r="T303" i="17" s="1"/>
  <c r="S303" i="17" s="1"/>
  <c r="R303" i="17" s="1"/>
  <c r="U307" i="17"/>
  <c r="T307" i="17" s="1"/>
  <c r="S307" i="17" s="1"/>
  <c r="R307" i="17" s="1"/>
  <c r="U311" i="17"/>
  <c r="T311" i="17" s="1"/>
  <c r="S311" i="17" s="1"/>
  <c r="R311" i="17" s="1"/>
  <c r="P311" i="17" s="1"/>
  <c r="V311" i="17" s="1"/>
  <c r="U315" i="17"/>
  <c r="T315" i="17" s="1"/>
  <c r="U319" i="17"/>
  <c r="T319" i="17" s="1"/>
  <c r="S319" i="17" s="1"/>
  <c r="R319" i="17" s="1"/>
  <c r="P319" i="17" s="1"/>
  <c r="U323" i="17"/>
  <c r="T323" i="17" s="1"/>
  <c r="S323" i="17" s="1"/>
  <c r="R323" i="17" s="1"/>
  <c r="U327" i="17"/>
  <c r="T327" i="17" s="1"/>
  <c r="S327" i="17" s="1"/>
  <c r="R327" i="17" s="1"/>
  <c r="P327" i="17" s="1"/>
  <c r="U331" i="17"/>
  <c r="T331" i="17" s="1"/>
  <c r="U335" i="17"/>
  <c r="T335" i="17" s="1"/>
  <c r="S335" i="17" s="1"/>
  <c r="R335" i="17" s="1"/>
  <c r="P335" i="17" s="1"/>
  <c r="V335" i="17" s="1"/>
  <c r="U339" i="17"/>
  <c r="T339" i="17" s="1"/>
  <c r="U343" i="17"/>
  <c r="T343" i="17" s="1"/>
  <c r="S343" i="17" s="1"/>
  <c r="R343" i="17" s="1"/>
  <c r="P343" i="17" s="1"/>
  <c r="U347" i="17"/>
  <c r="T347" i="17" s="1"/>
  <c r="S347" i="17" s="1"/>
  <c r="R347" i="17" s="1"/>
  <c r="U351" i="17"/>
  <c r="T351" i="17" s="1"/>
  <c r="S351" i="17" s="1"/>
  <c r="R351" i="17" s="1"/>
  <c r="U355" i="17"/>
  <c r="T355" i="17" s="1"/>
  <c r="U359" i="17"/>
  <c r="T359" i="17" s="1"/>
  <c r="S359" i="17" s="1"/>
  <c r="R359" i="17" s="1"/>
  <c r="P359" i="17" s="1"/>
  <c r="U363" i="17"/>
  <c r="T363" i="17" s="1"/>
  <c r="S363" i="17" s="1"/>
  <c r="R363" i="17" s="1"/>
  <c r="U367" i="17"/>
  <c r="T367" i="17" s="1"/>
  <c r="S367" i="17" s="1"/>
  <c r="R367" i="17" s="1"/>
  <c r="U371" i="17"/>
  <c r="T371" i="17" s="1"/>
  <c r="U375" i="17"/>
  <c r="T375" i="17" s="1"/>
  <c r="S375" i="17" s="1"/>
  <c r="R375" i="17" s="1"/>
  <c r="P375" i="17" s="1"/>
  <c r="U379" i="17"/>
  <c r="AI21" i="17"/>
  <c r="AH21" i="17" s="1"/>
  <c r="AG21" i="17" s="1"/>
  <c r="AF21" i="17" s="1"/>
  <c r="AI29" i="17"/>
  <c r="AH29" i="17" s="1"/>
  <c r="AG29" i="17" s="1"/>
  <c r="AF29" i="17" s="1"/>
  <c r="AI37" i="17"/>
  <c r="AH37" i="17" s="1"/>
  <c r="AG37" i="17" s="1"/>
  <c r="AF37" i="17" s="1"/>
  <c r="AI45" i="17"/>
  <c r="AH45" i="17" s="1"/>
  <c r="AG45" i="17" s="1"/>
  <c r="AF45" i="17" s="1"/>
  <c r="AI53" i="17"/>
  <c r="AH53" i="17" s="1"/>
  <c r="AG53" i="17" s="1"/>
  <c r="AF53" i="17" s="1"/>
  <c r="AI61" i="17"/>
  <c r="AH61" i="17" s="1"/>
  <c r="AG61" i="17" s="1"/>
  <c r="AF61" i="17" s="1"/>
  <c r="AI69" i="17"/>
  <c r="AH69" i="17" s="1"/>
  <c r="AG69" i="17" s="1"/>
  <c r="AF69" i="17" s="1"/>
  <c r="AI77" i="17"/>
  <c r="AH77" i="17" s="1"/>
  <c r="AG77" i="17" s="1"/>
  <c r="AF77" i="17" s="1"/>
  <c r="AI85" i="17"/>
  <c r="AH85" i="17" s="1"/>
  <c r="AG85" i="17" s="1"/>
  <c r="AF85" i="17" s="1"/>
  <c r="AI93" i="17"/>
  <c r="AH93" i="17" s="1"/>
  <c r="AG93" i="17" s="1"/>
  <c r="AF93" i="17" s="1"/>
  <c r="AI101" i="17"/>
  <c r="AH101" i="17" s="1"/>
  <c r="AG101" i="17" s="1"/>
  <c r="AF101" i="17" s="1"/>
  <c r="AI109" i="17"/>
  <c r="AH109" i="17" s="1"/>
  <c r="AG109" i="17" s="1"/>
  <c r="AF109" i="17" s="1"/>
  <c r="AI117" i="17"/>
  <c r="AH117" i="17" s="1"/>
  <c r="AG117" i="17" s="1"/>
  <c r="AF117" i="17" s="1"/>
  <c r="AI125" i="17"/>
  <c r="AH125" i="17" s="1"/>
  <c r="AG125" i="17" s="1"/>
  <c r="AF125" i="17" s="1"/>
  <c r="AI131" i="17"/>
  <c r="AH131" i="17" s="1"/>
  <c r="AG131" i="17" s="1"/>
  <c r="AF131" i="17" s="1"/>
  <c r="AI135" i="17"/>
  <c r="AH135" i="17" s="1"/>
  <c r="AG135" i="17" s="1"/>
  <c r="AF135" i="17" s="1"/>
  <c r="AI139" i="17"/>
  <c r="AH139" i="17" s="1"/>
  <c r="AG139" i="17" s="1"/>
  <c r="AF139" i="17" s="1"/>
  <c r="AI143" i="17"/>
  <c r="AH143" i="17" s="1"/>
  <c r="AG143" i="17" s="1"/>
  <c r="AF143" i="17" s="1"/>
  <c r="AI147" i="17"/>
  <c r="AH147" i="17" s="1"/>
  <c r="AG147" i="17" s="1"/>
  <c r="AF147" i="17" s="1"/>
  <c r="AI151" i="17"/>
  <c r="AH151" i="17" s="1"/>
  <c r="AG151" i="17" s="1"/>
  <c r="AF151" i="17" s="1"/>
  <c r="AI155" i="17"/>
  <c r="AH155" i="17" s="1"/>
  <c r="AG155" i="17" s="1"/>
  <c r="AF155" i="17" s="1"/>
  <c r="AI159" i="17"/>
  <c r="AH159" i="17" s="1"/>
  <c r="AG159" i="17" s="1"/>
  <c r="AF159" i="17" s="1"/>
  <c r="AI163" i="17"/>
  <c r="AH163" i="17" s="1"/>
  <c r="AG163" i="17" s="1"/>
  <c r="AF163" i="17" s="1"/>
  <c r="AI167" i="17"/>
  <c r="AH167" i="17" s="1"/>
  <c r="AG167" i="17" s="1"/>
  <c r="AF167" i="17" s="1"/>
  <c r="AI171" i="17"/>
  <c r="AH171" i="17" s="1"/>
  <c r="AG171" i="17" s="1"/>
  <c r="AF171" i="17" s="1"/>
  <c r="AI175" i="17"/>
  <c r="AH175" i="17" s="1"/>
  <c r="AG175" i="17" s="1"/>
  <c r="AF175" i="17" s="1"/>
  <c r="AI179" i="17"/>
  <c r="AH179" i="17" s="1"/>
  <c r="AG179" i="17" s="1"/>
  <c r="AF179" i="17" s="1"/>
  <c r="AI183" i="17"/>
  <c r="AH183" i="17" s="1"/>
  <c r="AG183" i="17" s="1"/>
  <c r="AF183" i="17" s="1"/>
  <c r="AI187" i="17"/>
  <c r="AH187" i="17" s="1"/>
  <c r="AG187" i="17" s="1"/>
  <c r="AF187" i="17" s="1"/>
  <c r="AI191" i="17"/>
  <c r="AH191" i="17" s="1"/>
  <c r="AG191" i="17" s="1"/>
  <c r="AF191" i="17" s="1"/>
  <c r="AI195" i="17"/>
  <c r="AH195" i="17" s="1"/>
  <c r="AG195" i="17" s="1"/>
  <c r="AF195" i="17" s="1"/>
  <c r="AI199" i="17"/>
  <c r="AH199" i="17" s="1"/>
  <c r="AG199" i="17" s="1"/>
  <c r="AF199" i="17" s="1"/>
  <c r="AI203" i="17"/>
  <c r="AH203" i="17" s="1"/>
  <c r="AG203" i="17" s="1"/>
  <c r="AF203" i="17" s="1"/>
  <c r="AI207" i="17"/>
  <c r="AH207" i="17" s="1"/>
  <c r="AG207" i="17" s="1"/>
  <c r="AF207" i="17" s="1"/>
  <c r="AI211" i="17"/>
  <c r="AH211" i="17" s="1"/>
  <c r="AG211" i="17" s="1"/>
  <c r="AF211" i="17" s="1"/>
  <c r="AI215" i="17"/>
  <c r="AH215" i="17" s="1"/>
  <c r="AG215" i="17" s="1"/>
  <c r="AF215" i="17" s="1"/>
  <c r="AI219" i="17"/>
  <c r="AH219" i="17" s="1"/>
  <c r="AG219" i="17" s="1"/>
  <c r="AF219" i="17" s="1"/>
  <c r="AI223" i="17"/>
  <c r="AH223" i="17" s="1"/>
  <c r="AG223" i="17" s="1"/>
  <c r="AF223" i="17" s="1"/>
  <c r="AI227" i="17"/>
  <c r="AH227" i="17" s="1"/>
  <c r="AG227" i="17" s="1"/>
  <c r="AF227" i="17" s="1"/>
  <c r="AI231" i="17"/>
  <c r="AH231" i="17" s="1"/>
  <c r="AG231" i="17" s="1"/>
  <c r="AF231" i="17" s="1"/>
  <c r="AI235" i="17"/>
  <c r="AH235" i="17" s="1"/>
  <c r="AG235" i="17" s="1"/>
  <c r="AF235" i="17" s="1"/>
  <c r="AI239" i="17"/>
  <c r="AH239" i="17" s="1"/>
  <c r="AG239" i="17" s="1"/>
  <c r="AF239" i="17" s="1"/>
  <c r="AI243" i="17"/>
  <c r="AH243" i="17" s="1"/>
  <c r="AG243" i="17" s="1"/>
  <c r="AF243" i="17" s="1"/>
  <c r="AI247" i="17"/>
  <c r="AH247" i="17" s="1"/>
  <c r="AG247" i="17" s="1"/>
  <c r="AF247" i="17" s="1"/>
  <c r="AI251" i="17"/>
  <c r="AH251" i="17" s="1"/>
  <c r="AG251" i="17" s="1"/>
  <c r="AF251" i="17" s="1"/>
  <c r="AI255" i="17"/>
  <c r="AH255" i="17" s="1"/>
  <c r="AG255" i="17" s="1"/>
  <c r="AF255" i="17" s="1"/>
  <c r="AI259" i="17"/>
  <c r="AH259" i="17" s="1"/>
  <c r="AG259" i="17" s="1"/>
  <c r="AF259" i="17" s="1"/>
  <c r="AI263" i="17"/>
  <c r="AH263" i="17" s="1"/>
  <c r="AG263" i="17" s="1"/>
  <c r="AF263" i="17" s="1"/>
  <c r="AI267" i="17"/>
  <c r="AH267" i="17" s="1"/>
  <c r="AG267" i="17" s="1"/>
  <c r="AF267" i="17" s="1"/>
  <c r="AI271" i="17"/>
  <c r="AH271" i="17" s="1"/>
  <c r="AG271" i="17" s="1"/>
  <c r="AF271" i="17" s="1"/>
  <c r="AI275" i="17"/>
  <c r="AH275" i="17" s="1"/>
  <c r="AG275" i="17" s="1"/>
  <c r="AF275" i="17" s="1"/>
  <c r="AI279" i="17"/>
  <c r="AH279" i="17" s="1"/>
  <c r="AG279" i="17" s="1"/>
  <c r="AF279" i="17" s="1"/>
  <c r="AI283" i="17"/>
  <c r="AH283" i="17" s="1"/>
  <c r="AG283" i="17" s="1"/>
  <c r="AF283" i="17" s="1"/>
  <c r="AI287" i="17"/>
  <c r="AH287" i="17" s="1"/>
  <c r="AG287" i="17" s="1"/>
  <c r="AF287" i="17" s="1"/>
  <c r="AI291" i="17"/>
  <c r="AH291" i="17" s="1"/>
  <c r="AG291" i="17" s="1"/>
  <c r="AF291" i="17" s="1"/>
  <c r="AI295" i="17"/>
  <c r="AH295" i="17" s="1"/>
  <c r="AG295" i="17" s="1"/>
  <c r="AF295" i="17" s="1"/>
  <c r="AI299" i="17"/>
  <c r="AH299" i="17" s="1"/>
  <c r="AG299" i="17" s="1"/>
  <c r="AF299" i="17" s="1"/>
  <c r="AI303" i="17"/>
  <c r="AH303" i="17" s="1"/>
  <c r="AG303" i="17" s="1"/>
  <c r="AF303" i="17" s="1"/>
  <c r="AI307" i="17"/>
  <c r="AH307" i="17" s="1"/>
  <c r="AG307" i="17" s="1"/>
  <c r="AF307" i="17" s="1"/>
  <c r="AI311" i="17"/>
  <c r="AH311" i="17" s="1"/>
  <c r="AG311" i="17" s="1"/>
  <c r="AF311" i="17" s="1"/>
  <c r="AI315" i="17"/>
  <c r="AH315" i="17" s="1"/>
  <c r="AG315" i="17" s="1"/>
  <c r="AF315" i="17" s="1"/>
  <c r="AI319" i="17"/>
  <c r="AH319" i="17" s="1"/>
  <c r="AG319" i="17" s="1"/>
  <c r="AF319" i="17" s="1"/>
  <c r="AI323" i="17"/>
  <c r="AH323" i="17" s="1"/>
  <c r="AG323" i="17" s="1"/>
  <c r="AF323" i="17" s="1"/>
  <c r="AI327" i="17"/>
  <c r="AH327" i="17" s="1"/>
  <c r="AG327" i="17" s="1"/>
  <c r="AF327" i="17" s="1"/>
  <c r="AI331" i="17"/>
  <c r="AH331" i="17" s="1"/>
  <c r="AG331" i="17" s="1"/>
  <c r="AF331" i="17" s="1"/>
  <c r="AI335" i="17"/>
  <c r="AH335" i="17" s="1"/>
  <c r="AG335" i="17" s="1"/>
  <c r="AF335" i="17" s="1"/>
  <c r="AI339" i="17"/>
  <c r="AH339" i="17" s="1"/>
  <c r="AG339" i="17" s="1"/>
  <c r="AF339" i="17" s="1"/>
  <c r="AI343" i="17"/>
  <c r="AH343" i="17" s="1"/>
  <c r="AG343" i="17" s="1"/>
  <c r="AF343" i="17" s="1"/>
  <c r="AI347" i="17"/>
  <c r="AH347" i="17" s="1"/>
  <c r="AG347" i="17" s="1"/>
  <c r="AF347" i="17" s="1"/>
  <c r="AI351" i="17"/>
  <c r="AH351" i="17" s="1"/>
  <c r="AG351" i="17" s="1"/>
  <c r="AF351" i="17" s="1"/>
  <c r="AI355" i="17"/>
  <c r="AH355" i="17" s="1"/>
  <c r="AG355" i="17" s="1"/>
  <c r="AF355" i="17" s="1"/>
  <c r="AI359" i="17"/>
  <c r="AH359" i="17" s="1"/>
  <c r="AG359" i="17" s="1"/>
  <c r="AF359" i="17" s="1"/>
  <c r="AI363" i="17"/>
  <c r="AH363" i="17" s="1"/>
  <c r="AG363" i="17" s="1"/>
  <c r="AF363" i="17" s="1"/>
  <c r="AI367" i="17"/>
  <c r="AH367" i="17" s="1"/>
  <c r="AG367" i="17" s="1"/>
  <c r="AF367" i="17" s="1"/>
  <c r="AI371" i="17"/>
  <c r="AH371" i="17" s="1"/>
  <c r="AG371" i="17" s="1"/>
  <c r="AF371" i="17" s="1"/>
  <c r="AI375" i="17"/>
  <c r="AH375" i="17" s="1"/>
  <c r="AG375" i="17" s="1"/>
  <c r="AF375" i="17" s="1"/>
  <c r="AI379" i="17"/>
  <c r="AH379" i="17" s="1"/>
  <c r="AG379" i="17" s="1"/>
  <c r="AF379" i="17" s="1"/>
  <c r="AI128" i="17"/>
  <c r="AH128" i="17" s="1"/>
  <c r="AG128" i="17" s="1"/>
  <c r="AF128" i="17" s="1"/>
  <c r="AI124" i="17"/>
  <c r="AH124" i="17" s="1"/>
  <c r="AG124" i="17" s="1"/>
  <c r="AF124" i="17" s="1"/>
  <c r="AI120" i="17"/>
  <c r="AH120" i="17" s="1"/>
  <c r="AG120" i="17" s="1"/>
  <c r="AF120" i="17" s="1"/>
  <c r="AI116" i="17"/>
  <c r="AH116" i="17" s="1"/>
  <c r="AG116" i="17" s="1"/>
  <c r="AF116" i="17" s="1"/>
  <c r="AI112" i="17"/>
  <c r="AH112" i="17" s="1"/>
  <c r="AG112" i="17" s="1"/>
  <c r="AF112" i="17" s="1"/>
  <c r="AI108" i="17"/>
  <c r="AH108" i="17" s="1"/>
  <c r="AG108" i="17" s="1"/>
  <c r="AF108" i="17" s="1"/>
  <c r="AI104" i="17"/>
  <c r="AH104" i="17" s="1"/>
  <c r="AG104" i="17" s="1"/>
  <c r="AF104" i="17" s="1"/>
  <c r="AI100" i="17"/>
  <c r="AH100" i="17" s="1"/>
  <c r="AG100" i="17" s="1"/>
  <c r="AF100" i="17" s="1"/>
  <c r="AI96" i="17"/>
  <c r="AH96" i="17" s="1"/>
  <c r="AG96" i="17" s="1"/>
  <c r="AF96" i="17" s="1"/>
  <c r="AI92" i="17"/>
  <c r="AH92" i="17" s="1"/>
  <c r="AG92" i="17" s="1"/>
  <c r="AF92" i="17" s="1"/>
  <c r="AI88" i="17"/>
  <c r="AH88" i="17" s="1"/>
  <c r="AG88" i="17" s="1"/>
  <c r="AF88" i="17" s="1"/>
  <c r="AI84" i="17"/>
  <c r="AH84" i="17" s="1"/>
  <c r="AG84" i="17" s="1"/>
  <c r="AF84" i="17" s="1"/>
  <c r="AI80" i="17"/>
  <c r="AH80" i="17" s="1"/>
  <c r="AG80" i="17" s="1"/>
  <c r="AF80" i="17" s="1"/>
  <c r="AI76" i="17"/>
  <c r="AH76" i="17" s="1"/>
  <c r="AG76" i="17" s="1"/>
  <c r="AF76" i="17" s="1"/>
  <c r="AI72" i="17"/>
  <c r="AH72" i="17" s="1"/>
  <c r="AG72" i="17" s="1"/>
  <c r="AF72" i="17" s="1"/>
  <c r="AI68" i="17"/>
  <c r="AH68" i="17" s="1"/>
  <c r="AG68" i="17" s="1"/>
  <c r="AF68" i="17" s="1"/>
  <c r="AI64" i="17"/>
  <c r="AH64" i="17" s="1"/>
  <c r="AG64" i="17" s="1"/>
  <c r="AF64" i="17" s="1"/>
  <c r="AI60" i="17"/>
  <c r="AH60" i="17" s="1"/>
  <c r="AG60" i="17" s="1"/>
  <c r="AF60" i="17" s="1"/>
  <c r="AI56" i="17"/>
  <c r="AH56" i="17" s="1"/>
  <c r="AG56" i="17" s="1"/>
  <c r="AF56" i="17" s="1"/>
  <c r="AI52" i="17"/>
  <c r="AH52" i="17" s="1"/>
  <c r="AG52" i="17" s="1"/>
  <c r="AF52" i="17" s="1"/>
  <c r="AI48" i="17"/>
  <c r="AH48" i="17" s="1"/>
  <c r="AG48" i="17" s="1"/>
  <c r="AF48" i="17" s="1"/>
  <c r="AI44" i="17"/>
  <c r="AH44" i="17" s="1"/>
  <c r="AG44" i="17" s="1"/>
  <c r="AF44" i="17" s="1"/>
  <c r="AI40" i="17"/>
  <c r="AH40" i="17" s="1"/>
  <c r="AG40" i="17" s="1"/>
  <c r="AF40" i="17" s="1"/>
  <c r="AI36" i="17"/>
  <c r="AH36" i="17" s="1"/>
  <c r="AG36" i="17" s="1"/>
  <c r="AF36" i="17" s="1"/>
  <c r="AI32" i="17"/>
  <c r="AH32" i="17" s="1"/>
  <c r="AG32" i="17" s="1"/>
  <c r="AF32" i="17" s="1"/>
  <c r="AI28" i="17"/>
  <c r="AH28" i="17" s="1"/>
  <c r="AG28" i="17" s="1"/>
  <c r="AF28" i="17" s="1"/>
  <c r="AI24" i="17"/>
  <c r="AH24" i="17" s="1"/>
  <c r="AG24" i="17" s="1"/>
  <c r="AF24" i="17" s="1"/>
  <c r="AI20" i="17"/>
  <c r="AH20" i="17" s="1"/>
  <c r="AG20" i="17" s="1"/>
  <c r="AF20" i="17" s="1"/>
  <c r="AI17" i="17"/>
  <c r="AH17" i="17" s="1"/>
  <c r="AG17" i="17" s="1"/>
  <c r="AF17" i="17" s="1"/>
  <c r="F152" i="16"/>
  <c r="H152" i="16" s="1"/>
  <c r="G244" i="16"/>
  <c r="BY244" i="6" s="1"/>
  <c r="F139" i="16"/>
  <c r="AA139" i="16" s="1"/>
  <c r="Z139" i="16" s="1"/>
  <c r="Y139" i="16" s="1"/>
  <c r="F184" i="16"/>
  <c r="AA184" i="16" s="1"/>
  <c r="Z184" i="16" s="1"/>
  <c r="Y184" i="16" s="1"/>
  <c r="AA322" i="16"/>
  <c r="Z322" i="16" s="1"/>
  <c r="Y322" i="16" s="1"/>
  <c r="H267" i="16"/>
  <c r="J267" i="16" s="1"/>
  <c r="AA211" i="16"/>
  <c r="Z211" i="16" s="1"/>
  <c r="Y211" i="16" s="1"/>
  <c r="AA187" i="16"/>
  <c r="Z187" i="16" s="1"/>
  <c r="Y187" i="16" s="1"/>
  <c r="H187" i="16"/>
  <c r="I187" i="16" s="1"/>
  <c r="AI39" i="17"/>
  <c r="AH39" i="17" s="1"/>
  <c r="AG39" i="17" s="1"/>
  <c r="AF39" i="17" s="1"/>
  <c r="AI71" i="17"/>
  <c r="AH71" i="17" s="1"/>
  <c r="AG71" i="17" s="1"/>
  <c r="AF71" i="17" s="1"/>
  <c r="AI103" i="17"/>
  <c r="AH103" i="17" s="1"/>
  <c r="AG103" i="17" s="1"/>
  <c r="AF103" i="17" s="1"/>
  <c r="AI132" i="17"/>
  <c r="AH132" i="17" s="1"/>
  <c r="AG132" i="17" s="1"/>
  <c r="AF132" i="17" s="1"/>
  <c r="AI148" i="17"/>
  <c r="AH148" i="17" s="1"/>
  <c r="AG148" i="17" s="1"/>
  <c r="AF148" i="17" s="1"/>
  <c r="AI164" i="17"/>
  <c r="AH164" i="17" s="1"/>
  <c r="AG164" i="17" s="1"/>
  <c r="AF164" i="17" s="1"/>
  <c r="AI180" i="17"/>
  <c r="AH180" i="17" s="1"/>
  <c r="AG180" i="17" s="1"/>
  <c r="AF180" i="17" s="1"/>
  <c r="AI196" i="17"/>
  <c r="AH196" i="17" s="1"/>
  <c r="AG196" i="17" s="1"/>
  <c r="AF196" i="17" s="1"/>
  <c r="AI212" i="17"/>
  <c r="AH212" i="17" s="1"/>
  <c r="AG212" i="17" s="1"/>
  <c r="AF212" i="17" s="1"/>
  <c r="AI228" i="17"/>
  <c r="AH228" i="17" s="1"/>
  <c r="AG228" i="17" s="1"/>
  <c r="AF228" i="17" s="1"/>
  <c r="AI244" i="17"/>
  <c r="AH244" i="17" s="1"/>
  <c r="AG244" i="17" s="1"/>
  <c r="AF244" i="17" s="1"/>
  <c r="AI260" i="17"/>
  <c r="AH260" i="17" s="1"/>
  <c r="AG260" i="17" s="1"/>
  <c r="AF260" i="17" s="1"/>
  <c r="AI276" i="17"/>
  <c r="AH276" i="17" s="1"/>
  <c r="AG276" i="17" s="1"/>
  <c r="AF276" i="17" s="1"/>
  <c r="AI292" i="17"/>
  <c r="AH292" i="17" s="1"/>
  <c r="AG292" i="17" s="1"/>
  <c r="AF292" i="17" s="1"/>
  <c r="AI308" i="17"/>
  <c r="AH308" i="17" s="1"/>
  <c r="AG308" i="17" s="1"/>
  <c r="AF308" i="17" s="1"/>
  <c r="AI324" i="17"/>
  <c r="AH324" i="17" s="1"/>
  <c r="AG324" i="17" s="1"/>
  <c r="AF324" i="17" s="1"/>
  <c r="AI334" i="17"/>
  <c r="AH334" i="17" s="1"/>
  <c r="AG334" i="17" s="1"/>
  <c r="AF334" i="17" s="1"/>
  <c r="AI342" i="17"/>
  <c r="AH342" i="17" s="1"/>
  <c r="AG342" i="17" s="1"/>
  <c r="AF342" i="17" s="1"/>
  <c r="AI350" i="17"/>
  <c r="AH350" i="17" s="1"/>
  <c r="AG350" i="17" s="1"/>
  <c r="AF350" i="17" s="1"/>
  <c r="AI358" i="17"/>
  <c r="AH358" i="17" s="1"/>
  <c r="AG358" i="17" s="1"/>
  <c r="AF358" i="17" s="1"/>
  <c r="AI366" i="17"/>
  <c r="AH366" i="17" s="1"/>
  <c r="AG366" i="17" s="1"/>
  <c r="AF366" i="17" s="1"/>
  <c r="AI374" i="17"/>
  <c r="AH374" i="17" s="1"/>
  <c r="AG374" i="17" s="1"/>
  <c r="AF374" i="17" s="1"/>
  <c r="AI326" i="17"/>
  <c r="AH326" i="17" s="1"/>
  <c r="AG326" i="17" s="1"/>
  <c r="AF326" i="17" s="1"/>
  <c r="AI318" i="17"/>
  <c r="AH318" i="17" s="1"/>
  <c r="AG318" i="17" s="1"/>
  <c r="AF318" i="17" s="1"/>
  <c r="AI310" i="17"/>
  <c r="AH310" i="17" s="1"/>
  <c r="AG310" i="17" s="1"/>
  <c r="AF310" i="17" s="1"/>
  <c r="AI302" i="17"/>
  <c r="AH302" i="17" s="1"/>
  <c r="AG302" i="17" s="1"/>
  <c r="AF302" i="17" s="1"/>
  <c r="AI294" i="17"/>
  <c r="AH294" i="17" s="1"/>
  <c r="AG294" i="17" s="1"/>
  <c r="AF294" i="17" s="1"/>
  <c r="AI286" i="17"/>
  <c r="AH286" i="17" s="1"/>
  <c r="AG286" i="17" s="1"/>
  <c r="AF286" i="17" s="1"/>
  <c r="AI278" i="17"/>
  <c r="AH278" i="17" s="1"/>
  <c r="AG278" i="17" s="1"/>
  <c r="AF278" i="17" s="1"/>
  <c r="AI270" i="17"/>
  <c r="AH270" i="17" s="1"/>
  <c r="AG270" i="17" s="1"/>
  <c r="AF270" i="17" s="1"/>
  <c r="AI262" i="17"/>
  <c r="AH262" i="17" s="1"/>
  <c r="AG262" i="17" s="1"/>
  <c r="AF262" i="17" s="1"/>
  <c r="AI254" i="17"/>
  <c r="AH254" i="17" s="1"/>
  <c r="AG254" i="17" s="1"/>
  <c r="AF254" i="17" s="1"/>
  <c r="AI246" i="17"/>
  <c r="AH246" i="17" s="1"/>
  <c r="AG246" i="17" s="1"/>
  <c r="AF246" i="17" s="1"/>
  <c r="AI238" i="17"/>
  <c r="AH238" i="17" s="1"/>
  <c r="AG238" i="17" s="1"/>
  <c r="AF238" i="17" s="1"/>
  <c r="AI230" i="17"/>
  <c r="AH230" i="17" s="1"/>
  <c r="AG230" i="17" s="1"/>
  <c r="AF230" i="17" s="1"/>
  <c r="AI222" i="17"/>
  <c r="AH222" i="17" s="1"/>
  <c r="AG222" i="17" s="1"/>
  <c r="AF222" i="17" s="1"/>
  <c r="AI214" i="17"/>
  <c r="AH214" i="17" s="1"/>
  <c r="AG214" i="17" s="1"/>
  <c r="AF214" i="17" s="1"/>
  <c r="AI206" i="17"/>
  <c r="AH206" i="17" s="1"/>
  <c r="AG206" i="17" s="1"/>
  <c r="AF206" i="17" s="1"/>
  <c r="AI198" i="17"/>
  <c r="AH198" i="17" s="1"/>
  <c r="AG198" i="17" s="1"/>
  <c r="AF198" i="17" s="1"/>
  <c r="AI190" i="17"/>
  <c r="AH190" i="17" s="1"/>
  <c r="AG190" i="17" s="1"/>
  <c r="AF190" i="17" s="1"/>
  <c r="AI182" i="17"/>
  <c r="AH182" i="17" s="1"/>
  <c r="AG182" i="17" s="1"/>
  <c r="AF182" i="17" s="1"/>
  <c r="AI174" i="17"/>
  <c r="AH174" i="17" s="1"/>
  <c r="AG174" i="17" s="1"/>
  <c r="AF174" i="17" s="1"/>
  <c r="AI166" i="17"/>
  <c r="AH166" i="17" s="1"/>
  <c r="AG166" i="17" s="1"/>
  <c r="AF166" i="17" s="1"/>
  <c r="AI158" i="17"/>
  <c r="AH158" i="17" s="1"/>
  <c r="AG158" i="17" s="1"/>
  <c r="AF158" i="17" s="1"/>
  <c r="AI150" i="17"/>
  <c r="AH150" i="17" s="1"/>
  <c r="AG150" i="17" s="1"/>
  <c r="AF150" i="17" s="1"/>
  <c r="AI142" i="17"/>
  <c r="AH142" i="17" s="1"/>
  <c r="AG142" i="17" s="1"/>
  <c r="AF142" i="17" s="1"/>
  <c r="AI134" i="17"/>
  <c r="AH134" i="17" s="1"/>
  <c r="AG134" i="17" s="1"/>
  <c r="AF134" i="17" s="1"/>
  <c r="AI123" i="17"/>
  <c r="AH123" i="17" s="1"/>
  <c r="AG123" i="17" s="1"/>
  <c r="AF123" i="17" s="1"/>
  <c r="AI107" i="17"/>
  <c r="AH107" i="17" s="1"/>
  <c r="AG107" i="17" s="1"/>
  <c r="AF107" i="17" s="1"/>
  <c r="AI91" i="17"/>
  <c r="AH91" i="17" s="1"/>
  <c r="AG91" i="17" s="1"/>
  <c r="AF91" i="17" s="1"/>
  <c r="AI75" i="17"/>
  <c r="AH75" i="17" s="1"/>
  <c r="AG75" i="17" s="1"/>
  <c r="AF75" i="17" s="1"/>
  <c r="AI59" i="17"/>
  <c r="AH59" i="17" s="1"/>
  <c r="AG59" i="17" s="1"/>
  <c r="AF59" i="17" s="1"/>
  <c r="AI43" i="17"/>
  <c r="AH43" i="17" s="1"/>
  <c r="AG43" i="17" s="1"/>
  <c r="AF43" i="17" s="1"/>
  <c r="AI27" i="17"/>
  <c r="AH27" i="17" s="1"/>
  <c r="AG27" i="17" s="1"/>
  <c r="AF27" i="17" s="1"/>
  <c r="AA76" i="16"/>
  <c r="Z76" i="16" s="1"/>
  <c r="Y76" i="16" s="1"/>
  <c r="AA104" i="16"/>
  <c r="Z104" i="16" s="1"/>
  <c r="Y104" i="16" s="1"/>
  <c r="H20" i="16"/>
  <c r="J20" i="16" s="1"/>
  <c r="G276" i="16"/>
  <c r="BY276" i="6" s="1"/>
  <c r="AA131" i="16"/>
  <c r="Z131" i="16" s="1"/>
  <c r="Y131" i="16" s="1"/>
  <c r="H276" i="16"/>
  <c r="I276" i="16" s="1"/>
  <c r="AI95" i="17"/>
  <c r="AH95" i="17" s="1"/>
  <c r="AG95" i="17" s="1"/>
  <c r="AF95" i="17" s="1"/>
  <c r="AI144" i="17"/>
  <c r="AH144" i="17" s="1"/>
  <c r="AG144" i="17" s="1"/>
  <c r="AF144" i="17" s="1"/>
  <c r="AI176" i="17"/>
  <c r="AH176" i="17" s="1"/>
  <c r="AG176" i="17" s="1"/>
  <c r="AF176" i="17" s="1"/>
  <c r="AI208" i="17"/>
  <c r="AH208" i="17" s="1"/>
  <c r="AG208" i="17" s="1"/>
  <c r="AF208" i="17" s="1"/>
  <c r="AI240" i="17"/>
  <c r="AH240" i="17" s="1"/>
  <c r="AG240" i="17" s="1"/>
  <c r="AF240" i="17" s="1"/>
  <c r="AI272" i="17"/>
  <c r="AH272" i="17" s="1"/>
  <c r="AG272" i="17" s="1"/>
  <c r="AF272" i="17" s="1"/>
  <c r="AI304" i="17"/>
  <c r="AH304" i="17" s="1"/>
  <c r="AG304" i="17" s="1"/>
  <c r="AF304" i="17" s="1"/>
  <c r="AI332" i="17"/>
  <c r="AH332" i="17" s="1"/>
  <c r="AG332" i="17" s="1"/>
  <c r="AF332" i="17" s="1"/>
  <c r="AI348" i="17"/>
  <c r="AH348" i="17" s="1"/>
  <c r="AG348" i="17" s="1"/>
  <c r="AF348" i="17" s="1"/>
  <c r="AI364" i="17"/>
  <c r="AH364" i="17" s="1"/>
  <c r="AG364" i="17" s="1"/>
  <c r="AF364" i="17" s="1"/>
  <c r="AI111" i="17"/>
  <c r="AH111" i="17" s="1"/>
  <c r="AG111" i="17" s="1"/>
  <c r="AF111" i="17" s="1"/>
  <c r="AI184" i="17"/>
  <c r="AH184" i="17" s="1"/>
  <c r="AG184" i="17" s="1"/>
  <c r="AF184" i="17" s="1"/>
  <c r="AI248" i="17"/>
  <c r="AH248" i="17" s="1"/>
  <c r="AG248" i="17" s="1"/>
  <c r="AF248" i="17" s="1"/>
  <c r="AI312" i="17"/>
  <c r="AH312" i="17" s="1"/>
  <c r="AG312" i="17" s="1"/>
  <c r="AF312" i="17" s="1"/>
  <c r="AI352" i="17"/>
  <c r="AH352" i="17" s="1"/>
  <c r="AG352" i="17" s="1"/>
  <c r="AF352" i="17" s="1"/>
  <c r="H174" i="16"/>
  <c r="J174" i="16" s="1"/>
  <c r="G61" i="16"/>
  <c r="BY61" i="6" s="1"/>
  <c r="AA61" i="16"/>
  <c r="Z61" i="16" s="1"/>
  <c r="Y61" i="16" s="1"/>
  <c r="G174" i="16"/>
  <c r="BY174" i="6" s="1"/>
  <c r="AA20" i="16"/>
  <c r="Z20" i="16" s="1"/>
  <c r="Y20" i="16" s="1"/>
  <c r="H367" i="16"/>
  <c r="J367" i="16" s="1"/>
  <c r="H327" i="16"/>
  <c r="J327" i="16" s="1"/>
  <c r="AA367" i="16"/>
  <c r="Z367" i="16" s="1"/>
  <c r="Y367" i="16" s="1"/>
  <c r="AA327" i="16"/>
  <c r="Z327" i="16" s="1"/>
  <c r="Y327" i="16" s="1"/>
  <c r="H335" i="16"/>
  <c r="I335" i="16" s="1"/>
  <c r="AI168" i="17"/>
  <c r="AH168" i="17" s="1"/>
  <c r="AG168" i="17" s="1"/>
  <c r="AF168" i="17" s="1"/>
  <c r="AI296" i="17"/>
  <c r="AH296" i="17" s="1"/>
  <c r="AG296" i="17" s="1"/>
  <c r="AF296" i="17" s="1"/>
  <c r="AI376" i="17"/>
  <c r="AH376" i="17" s="1"/>
  <c r="AG376" i="17" s="1"/>
  <c r="AF376" i="17" s="1"/>
  <c r="AI264" i="17"/>
  <c r="AH264" i="17" s="1"/>
  <c r="AG264" i="17" s="1"/>
  <c r="AF264" i="17" s="1"/>
  <c r="AI328" i="17"/>
  <c r="AH328" i="17" s="1"/>
  <c r="AG328" i="17" s="1"/>
  <c r="AF328" i="17" s="1"/>
  <c r="F94" i="16"/>
  <c r="G94" i="16" s="1"/>
  <c r="BY94" i="6" s="1"/>
  <c r="F25" i="16"/>
  <c r="AA25" i="16" s="1"/>
  <c r="Z25" i="16" s="1"/>
  <c r="Y25" i="16" s="1"/>
  <c r="F158" i="16"/>
  <c r="H158" i="16" s="1"/>
  <c r="I158" i="16" s="1"/>
  <c r="S383" i="16"/>
  <c r="F302" i="16"/>
  <c r="H302" i="16" s="1"/>
  <c r="V298" i="16"/>
  <c r="F298" i="16" s="1"/>
  <c r="V330" i="16"/>
  <c r="F330" i="16" s="1"/>
  <c r="V292" i="16"/>
  <c r="F292" i="16" s="1"/>
  <c r="V346" i="16"/>
  <c r="F346" i="16" s="1"/>
  <c r="V120" i="16"/>
  <c r="F120" i="16" s="1"/>
  <c r="V107" i="16"/>
  <c r="F107" i="16" s="1"/>
  <c r="V206" i="16"/>
  <c r="F206" i="16" s="1"/>
  <c r="V286" i="16"/>
  <c r="F286" i="16" s="1"/>
  <c r="V352" i="16"/>
  <c r="F352" i="16" s="1"/>
  <c r="V156" i="16"/>
  <c r="F63" i="19" s="1"/>
  <c r="V96" i="16"/>
  <c r="F96" i="16" s="1"/>
  <c r="V340" i="16"/>
  <c r="F340" i="16" s="1"/>
  <c r="V366" i="16"/>
  <c r="F366" i="16" s="1"/>
  <c r="V99" i="16"/>
  <c r="F99" i="16" s="1"/>
  <c r="AG379" i="16"/>
  <c r="AH381" i="16"/>
  <c r="AH382" i="16"/>
  <c r="AH383" i="16"/>
  <c r="V360" i="16"/>
  <c r="F360" i="16" s="1"/>
  <c r="V312" i="16"/>
  <c r="AD41" i="17"/>
  <c r="AD49" i="17"/>
  <c r="AD73" i="17"/>
  <c r="AD81" i="17"/>
  <c r="AD89" i="17"/>
  <c r="AD113" i="17"/>
  <c r="AD133" i="17"/>
  <c r="AD137" i="17"/>
  <c r="AD141" i="17"/>
  <c r="AD149" i="17"/>
  <c r="AD157" i="17"/>
  <c r="AD161" i="17"/>
  <c r="AD169" i="17"/>
  <c r="AD173" i="17"/>
  <c r="AD185" i="17"/>
  <c r="AD189" i="17"/>
  <c r="AD193" i="17"/>
  <c r="AD201" i="17"/>
  <c r="AD205" i="17"/>
  <c r="AD209" i="17"/>
  <c r="AD213" i="17"/>
  <c r="AD217" i="17"/>
  <c r="AD221" i="17"/>
  <c r="AD225" i="17"/>
  <c r="AD233" i="17"/>
  <c r="AD245" i="17"/>
  <c r="AD249" i="17"/>
  <c r="AD253" i="17"/>
  <c r="AD261" i="17"/>
  <c r="AD265" i="17"/>
  <c r="AD269" i="17"/>
  <c r="AD277" i="17"/>
  <c r="AD297" i="17"/>
  <c r="AD301" i="17"/>
  <c r="AD305" i="17"/>
  <c r="AD309" i="17"/>
  <c r="AD313" i="17"/>
  <c r="AD317" i="17"/>
  <c r="AD321" i="17"/>
  <c r="AD329" i="17"/>
  <c r="AD333" i="17"/>
  <c r="AD337" i="17"/>
  <c r="AD345" i="17"/>
  <c r="AD349" i="17"/>
  <c r="AD369" i="17"/>
  <c r="AD373" i="17"/>
  <c r="AD377" i="17"/>
  <c r="AD162" i="17"/>
  <c r="AD178" i="17"/>
  <c r="AD186" i="17"/>
  <c r="AD226" i="17"/>
  <c r="AD234" i="17"/>
  <c r="AD258" i="17"/>
  <c r="AD266" i="17"/>
  <c r="AD274" i="17"/>
  <c r="AD290" i="17"/>
  <c r="AD298" i="17"/>
  <c r="AD306" i="17"/>
  <c r="AD346" i="17"/>
  <c r="AD354" i="17"/>
  <c r="AD370" i="17"/>
  <c r="J211" i="16"/>
  <c r="I208" i="16"/>
  <c r="AA260" i="16"/>
  <c r="Z260" i="16" s="1"/>
  <c r="Y260" i="16" s="1"/>
  <c r="H216" i="16"/>
  <c r="I216" i="16" s="1"/>
  <c r="AA264" i="16"/>
  <c r="Z264" i="16" s="1"/>
  <c r="Y264" i="16" s="1"/>
  <c r="G339" i="16"/>
  <c r="BY339" i="6" s="1"/>
  <c r="AA126" i="16"/>
  <c r="Z126" i="16" s="1"/>
  <c r="Y126" i="16" s="1"/>
  <c r="AA307" i="16"/>
  <c r="Z307" i="16" s="1"/>
  <c r="Y307" i="16" s="1"/>
  <c r="H142" i="16"/>
  <c r="I142" i="16" s="1"/>
  <c r="AA142" i="16"/>
  <c r="Z142" i="16" s="1"/>
  <c r="Y142" i="16" s="1"/>
  <c r="AA208" i="16"/>
  <c r="Z208" i="16" s="1"/>
  <c r="Y208" i="16" s="1"/>
  <c r="G208" i="16"/>
  <c r="BY208" i="6" s="1"/>
  <c r="H85" i="16"/>
  <c r="J85" i="16" s="1"/>
  <c r="H260" i="16"/>
  <c r="J260" i="16" s="1"/>
  <c r="H358" i="16"/>
  <c r="I358" i="16" s="1"/>
  <c r="AA358" i="16"/>
  <c r="Z358" i="16" s="1"/>
  <c r="Y358" i="16" s="1"/>
  <c r="AA318" i="16"/>
  <c r="Z318" i="16" s="1"/>
  <c r="Y318" i="16" s="1"/>
  <c r="H343" i="16"/>
  <c r="J343" i="16" s="1"/>
  <c r="H82" i="16"/>
  <c r="I82" i="16" s="1"/>
  <c r="H219" i="16"/>
  <c r="I219" i="16" s="1"/>
  <c r="G291" i="16"/>
  <c r="BY291" i="6" s="1"/>
  <c r="H264" i="16"/>
  <c r="I264" i="16" s="1"/>
  <c r="AA216" i="16"/>
  <c r="Z216" i="16" s="1"/>
  <c r="Y216" i="16" s="1"/>
  <c r="H307" i="16"/>
  <c r="J307" i="16" s="1"/>
  <c r="G166" i="16"/>
  <c r="BY166" i="6" s="1"/>
  <c r="AD21" i="17"/>
  <c r="AD45" i="17"/>
  <c r="AD53" i="17"/>
  <c r="AD61" i="17"/>
  <c r="AD69" i="17"/>
  <c r="AD77" i="17"/>
  <c r="AD85" i="17"/>
  <c r="AD117" i="17"/>
  <c r="P32" i="17"/>
  <c r="V32" i="17" s="1"/>
  <c r="P36" i="17"/>
  <c r="V36" i="17" s="1"/>
  <c r="P116" i="17"/>
  <c r="V116" i="17" s="1"/>
  <c r="P208" i="17"/>
  <c r="V208" i="17" s="1"/>
  <c r="P256" i="17"/>
  <c r="P272" i="17"/>
  <c r="D64" i="7" s="1"/>
  <c r="P312" i="17"/>
  <c r="P376" i="17"/>
  <c r="V376" i="17" s="1"/>
  <c r="R15" i="16"/>
  <c r="AD20" i="17"/>
  <c r="AD36" i="17"/>
  <c r="AD52" i="17"/>
  <c r="AD72" i="17"/>
  <c r="AD84" i="17"/>
  <c r="AD108" i="17"/>
  <c r="AD128" i="17"/>
  <c r="AD144" i="17"/>
  <c r="AD172" i="17"/>
  <c r="AD176" i="17"/>
  <c r="AD208" i="17"/>
  <c r="AD220" i="17"/>
  <c r="AD240" i="17"/>
  <c r="AD284" i="17"/>
  <c r="AD300" i="17"/>
  <c r="AD312" i="17"/>
  <c r="AD332" i="17"/>
  <c r="AD348" i="17"/>
  <c r="AD364" i="17"/>
  <c r="H232" i="16"/>
  <c r="J232" i="16" s="1"/>
  <c r="G248" i="16"/>
  <c r="BY248" i="6" s="1"/>
  <c r="G65" i="16"/>
  <c r="BY65" i="6" s="1"/>
  <c r="H291" i="16"/>
  <c r="J291" i="16" s="1"/>
  <c r="AA232" i="16"/>
  <c r="Z232" i="16" s="1"/>
  <c r="Y232" i="16" s="1"/>
  <c r="H66" i="16"/>
  <c r="I66" i="16" s="1"/>
  <c r="AD238" i="17"/>
  <c r="AD294" i="17"/>
  <c r="AD310" i="17"/>
  <c r="AD326" i="17"/>
  <c r="AD358" i="17"/>
  <c r="H318" i="16"/>
  <c r="J318" i="16" s="1"/>
  <c r="AA82" i="16"/>
  <c r="Z82" i="16" s="1"/>
  <c r="Y82" i="16" s="1"/>
  <c r="G343" i="16"/>
  <c r="BY343" i="6" s="1"/>
  <c r="H29" i="16"/>
  <c r="I29" i="16" s="1"/>
  <c r="Q12" i="18"/>
  <c r="J65" i="16"/>
  <c r="I224" i="16"/>
  <c r="AA65" i="16"/>
  <c r="Z65" i="16" s="1"/>
  <c r="Y65" i="16" s="1"/>
  <c r="G270" i="16"/>
  <c r="BY270" i="6" s="1"/>
  <c r="AA77" i="16"/>
  <c r="Z77" i="16" s="1"/>
  <c r="Y77" i="16" s="1"/>
  <c r="AA270" i="16"/>
  <c r="Z270" i="16" s="1"/>
  <c r="Y270" i="16" s="1"/>
  <c r="H263" i="16"/>
  <c r="J263" i="16" s="1"/>
  <c r="AA219" i="16"/>
  <c r="Z219" i="16" s="1"/>
  <c r="Y219" i="16" s="1"/>
  <c r="G313" i="16"/>
  <c r="BY313" i="6" s="1"/>
  <c r="F37" i="19"/>
  <c r="AA263" i="16"/>
  <c r="Z263" i="16" s="1"/>
  <c r="Y263" i="16" s="1"/>
  <c r="AA224" i="16"/>
  <c r="Z224" i="16" s="1"/>
  <c r="Y224" i="16" s="1"/>
  <c r="H77" i="16"/>
  <c r="J77" i="16" s="1"/>
  <c r="G224" i="16"/>
  <c r="BY224" i="6" s="1"/>
  <c r="H121" i="16"/>
  <c r="I121" i="16" s="1"/>
  <c r="AA121" i="16"/>
  <c r="Z121" i="16" s="1"/>
  <c r="Y121" i="16" s="1"/>
  <c r="H271" i="16"/>
  <c r="J271" i="16" s="1"/>
  <c r="G271" i="16"/>
  <c r="BY271" i="6" s="1"/>
  <c r="H287" i="16"/>
  <c r="I287" i="16" s="1"/>
  <c r="H41" i="16"/>
  <c r="I41" i="16" s="1"/>
  <c r="I61" i="16"/>
  <c r="H80" i="16"/>
  <c r="J80" i="16" s="1"/>
  <c r="H241" i="16"/>
  <c r="I241" i="16" s="1"/>
  <c r="G29" i="16"/>
  <c r="BY29" i="6" s="1"/>
  <c r="G41" i="16"/>
  <c r="BY41" i="6" s="1"/>
  <c r="H102" i="16"/>
  <c r="I102" i="16" s="1"/>
  <c r="G259" i="16"/>
  <c r="BY259" i="6" s="1"/>
  <c r="AA29" i="16"/>
  <c r="Z29" i="16" s="1"/>
  <c r="Y29" i="16" s="1"/>
  <c r="H259" i="16"/>
  <c r="I259" i="16" s="1"/>
  <c r="AA85" i="16"/>
  <c r="Z85" i="16" s="1"/>
  <c r="Y85" i="16" s="1"/>
  <c r="G287" i="16"/>
  <c r="BY287" i="6" s="1"/>
  <c r="AA80" i="16"/>
  <c r="Z80" i="16" s="1"/>
  <c r="Y80" i="16" s="1"/>
  <c r="C43" i="19"/>
  <c r="J188" i="16"/>
  <c r="AA188" i="16"/>
  <c r="Z188" i="16" s="1"/>
  <c r="Y188" i="16" s="1"/>
  <c r="G188" i="16"/>
  <c r="BY188" i="6" s="1"/>
  <c r="L42" i="19"/>
  <c r="J339" i="16"/>
  <c r="I242" i="16"/>
  <c r="I137" i="16"/>
  <c r="G86" i="16"/>
  <c r="BY86" i="6" s="1"/>
  <c r="I86" i="16"/>
  <c r="H170" i="16"/>
  <c r="I170" i="16" s="1"/>
  <c r="AA162" i="16"/>
  <c r="Z162" i="16" s="1"/>
  <c r="Y162" i="16" s="1"/>
  <c r="H72" i="16"/>
  <c r="J72" i="16" s="1"/>
  <c r="AA242" i="16"/>
  <c r="Z242" i="16" s="1"/>
  <c r="Y242" i="16" s="1"/>
  <c r="J161" i="16"/>
  <c r="AA86" i="16"/>
  <c r="Z86" i="16" s="1"/>
  <c r="Y86" i="16" s="1"/>
  <c r="G202" i="16"/>
  <c r="BY202" i="6" s="1"/>
  <c r="H162" i="16"/>
  <c r="I162" i="16" s="1"/>
  <c r="H347" i="16"/>
  <c r="J347" i="16" s="1"/>
  <c r="H325" i="16"/>
  <c r="I325" i="16" s="1"/>
  <c r="G230" i="16"/>
  <c r="BY230" i="6" s="1"/>
  <c r="I313" i="16"/>
  <c r="AA154" i="16"/>
  <c r="Z154" i="16" s="1"/>
  <c r="Y154" i="16" s="1"/>
  <c r="AA23" i="16"/>
  <c r="Z23" i="16" s="1"/>
  <c r="Y23" i="16" s="1"/>
  <c r="AA122" i="16"/>
  <c r="Z122" i="16" s="1"/>
  <c r="Y122" i="16" s="1"/>
  <c r="F379" i="16"/>
  <c r="G379" i="16" s="1"/>
  <c r="BY379" i="6" s="1"/>
  <c r="H146" i="16"/>
  <c r="J146" i="16" s="1"/>
  <c r="H122" i="16"/>
  <c r="I122" i="16" s="1"/>
  <c r="AA146" i="16"/>
  <c r="Z146" i="16" s="1"/>
  <c r="Y146" i="16" s="1"/>
  <c r="H23" i="16"/>
  <c r="J23" i="16" s="1"/>
  <c r="AA313" i="16"/>
  <c r="Z313" i="16" s="1"/>
  <c r="Y313" i="16" s="1"/>
  <c r="H368" i="16"/>
  <c r="I368" i="16" s="1"/>
  <c r="AA198" i="16"/>
  <c r="Z198" i="16" s="1"/>
  <c r="Y198" i="16" s="1"/>
  <c r="J154" i="16"/>
  <c r="J109" i="16"/>
  <c r="H362" i="16"/>
  <c r="J362" i="16" s="1"/>
  <c r="J167" i="16"/>
  <c r="H202" i="16"/>
  <c r="J202" i="16" s="1"/>
  <c r="G170" i="16"/>
  <c r="BY170" i="6" s="1"/>
  <c r="AA200" i="16"/>
  <c r="Z200" i="16" s="1"/>
  <c r="Y200" i="16" s="1"/>
  <c r="H200" i="16"/>
  <c r="J200" i="16" s="1"/>
  <c r="H359" i="16"/>
  <c r="I359" i="16" s="1"/>
  <c r="G242" i="16"/>
  <c r="BY242" i="6" s="1"/>
  <c r="AA125" i="16"/>
  <c r="Z125" i="16" s="1"/>
  <c r="Y125" i="16" s="1"/>
  <c r="AA257" i="16"/>
  <c r="Z257" i="16" s="1"/>
  <c r="Y257" i="16" s="1"/>
  <c r="H285" i="16"/>
  <c r="J285" i="16" s="1"/>
  <c r="H125" i="16"/>
  <c r="I125" i="16" s="1"/>
  <c r="G137" i="16"/>
  <c r="BY137" i="6" s="1"/>
  <c r="AA241" i="16"/>
  <c r="Z241" i="16" s="1"/>
  <c r="Y241" i="16" s="1"/>
  <c r="AA39" i="16"/>
  <c r="Z39" i="16" s="1"/>
  <c r="Y39" i="16" s="1"/>
  <c r="H209" i="16"/>
  <c r="J209" i="16" s="1"/>
  <c r="G362" i="16"/>
  <c r="BY362" i="6" s="1"/>
  <c r="I349" i="16"/>
  <c r="G176" i="16"/>
  <c r="BY176" i="6" s="1"/>
  <c r="H182" i="16"/>
  <c r="J182" i="16" s="1"/>
  <c r="AD39" i="17"/>
  <c r="AD47" i="17"/>
  <c r="AD71" i="17"/>
  <c r="AD79" i="17"/>
  <c r="AD91" i="17"/>
  <c r="AD103" i="17"/>
  <c r="AD123" i="17"/>
  <c r="AD136" i="17"/>
  <c r="AD152" i="17"/>
  <c r="AD192" i="17"/>
  <c r="AD216" i="17"/>
  <c r="AD256" i="17"/>
  <c r="AD280" i="17"/>
  <c r="AD292" i="17"/>
  <c r="AD308" i="17"/>
  <c r="AD320" i="17"/>
  <c r="AD328" i="17"/>
  <c r="AD336" i="17"/>
  <c r="AD344" i="17"/>
  <c r="AD356" i="17"/>
  <c r="AD368" i="17"/>
  <c r="AD372" i="17"/>
  <c r="L41" i="19"/>
  <c r="H39" i="16"/>
  <c r="I39" i="16" s="1"/>
  <c r="AA368" i="16"/>
  <c r="Z368" i="16" s="1"/>
  <c r="Y368" i="16" s="1"/>
  <c r="G154" i="16"/>
  <c r="BY154" i="6" s="1"/>
  <c r="G209" i="16"/>
  <c r="BY209" i="6" s="1"/>
  <c r="AA109" i="16"/>
  <c r="Z109" i="16" s="1"/>
  <c r="Y109" i="16" s="1"/>
  <c r="G198" i="16"/>
  <c r="BY198" i="6" s="1"/>
  <c r="H94" i="16"/>
  <c r="J94" i="16" s="1"/>
  <c r="G109" i="16"/>
  <c r="BY109" i="6" s="1"/>
  <c r="AA94" i="16"/>
  <c r="Z94" i="16" s="1"/>
  <c r="Y94" i="16" s="1"/>
  <c r="H257" i="16"/>
  <c r="I257" i="16" s="1"/>
  <c r="G19" i="16"/>
  <c r="BY19" i="6" s="1"/>
  <c r="G161" i="16"/>
  <c r="BY161" i="6" s="1"/>
  <c r="H24" i="16"/>
  <c r="I24" i="16" s="1"/>
  <c r="AA24" i="16"/>
  <c r="Z24" i="16" s="1"/>
  <c r="Y24" i="16" s="1"/>
  <c r="H19" i="16"/>
  <c r="I19" i="16" s="1"/>
  <c r="AA161" i="16"/>
  <c r="Z161" i="16" s="1"/>
  <c r="Y161" i="16" s="1"/>
  <c r="AA285" i="16"/>
  <c r="Z285" i="16" s="1"/>
  <c r="Y285" i="16" s="1"/>
  <c r="AA137" i="16"/>
  <c r="Z137" i="16" s="1"/>
  <c r="Y137" i="16" s="1"/>
  <c r="J71" i="16"/>
  <c r="G78" i="16"/>
  <c r="BY78" i="6" s="1"/>
  <c r="J377" i="16"/>
  <c r="H262" i="16"/>
  <c r="J262" i="16" s="1"/>
  <c r="H51" i="16"/>
  <c r="J51" i="16" s="1"/>
  <c r="H230" i="16"/>
  <c r="J230" i="16" s="1"/>
  <c r="AA325" i="16"/>
  <c r="Z325" i="16" s="1"/>
  <c r="Y325" i="16" s="1"/>
  <c r="G359" i="16"/>
  <c r="BY359" i="6" s="1"/>
  <c r="H35" i="16"/>
  <c r="J35" i="16" s="1"/>
  <c r="AA51" i="16"/>
  <c r="Z51" i="16" s="1"/>
  <c r="Y51" i="16" s="1"/>
  <c r="AA347" i="16"/>
  <c r="Z347" i="16" s="1"/>
  <c r="Y347" i="16" s="1"/>
  <c r="AA35" i="16"/>
  <c r="Z35" i="16" s="1"/>
  <c r="Y35" i="16" s="1"/>
  <c r="AA337" i="16"/>
  <c r="Z337" i="16" s="1"/>
  <c r="Y337" i="16" s="1"/>
  <c r="G315" i="16"/>
  <c r="BY315" i="6" s="1"/>
  <c r="H315" i="16"/>
  <c r="J315" i="16" s="1"/>
  <c r="I59" i="16"/>
  <c r="AA47" i="16"/>
  <c r="Z47" i="16" s="1"/>
  <c r="Y47" i="16" s="1"/>
  <c r="H47" i="16"/>
  <c r="J47" i="16" s="1"/>
  <c r="AA182" i="16"/>
  <c r="Z182" i="16" s="1"/>
  <c r="Y182" i="16" s="1"/>
  <c r="G63" i="16"/>
  <c r="BY63" i="6" s="1"/>
  <c r="J63" i="16"/>
  <c r="H81" i="16"/>
  <c r="I81" i="16" s="1"/>
  <c r="G71" i="16"/>
  <c r="BY71" i="6" s="1"/>
  <c r="AA71" i="16"/>
  <c r="Z71" i="16" s="1"/>
  <c r="Y71" i="16" s="1"/>
  <c r="AA63" i="16"/>
  <c r="Z63" i="16" s="1"/>
  <c r="Y63" i="16" s="1"/>
  <c r="AA81" i="16"/>
  <c r="Z81" i="16" s="1"/>
  <c r="Y81" i="16" s="1"/>
  <c r="P260" i="17"/>
  <c r="V260" i="17" s="1"/>
  <c r="P37" i="17"/>
  <c r="V37" i="17" s="1"/>
  <c r="P53" i="17"/>
  <c r="V53" i="17" s="1"/>
  <c r="P77" i="17"/>
  <c r="V77" i="17" s="1"/>
  <c r="P81" i="17"/>
  <c r="V81" i="17" s="1"/>
  <c r="P97" i="17"/>
  <c r="V97" i="17" s="1"/>
  <c r="P101" i="17"/>
  <c r="V101" i="17" s="1"/>
  <c r="P109" i="17"/>
  <c r="V109" i="17" s="1"/>
  <c r="P125" i="17"/>
  <c r="V125" i="17" s="1"/>
  <c r="P133" i="17"/>
  <c r="V133" i="17" s="1"/>
  <c r="P137" i="17"/>
  <c r="V137" i="17" s="1"/>
  <c r="P145" i="17"/>
  <c r="V145" i="17" s="1"/>
  <c r="P149" i="17"/>
  <c r="D60" i="7" s="1"/>
  <c r="P165" i="17"/>
  <c r="V165" i="17" s="1"/>
  <c r="P173" i="17"/>
  <c r="V173" i="17" s="1"/>
  <c r="P177" i="17"/>
  <c r="V177" i="17" s="1"/>
  <c r="P185" i="17"/>
  <c r="V185" i="17" s="1"/>
  <c r="P189" i="17"/>
  <c r="V189" i="17" s="1"/>
  <c r="P197" i="17"/>
  <c r="V197" i="17" s="1"/>
  <c r="P205" i="17"/>
  <c r="V205" i="17" s="1"/>
  <c r="P213" i="17"/>
  <c r="V213" i="17" s="1"/>
  <c r="P221" i="17"/>
  <c r="V221" i="17" s="1"/>
  <c r="P245" i="17"/>
  <c r="V245" i="17" s="1"/>
  <c r="P257" i="17"/>
  <c r="V257" i="17" s="1"/>
  <c r="P261" i="17"/>
  <c r="V261" i="17" s="1"/>
  <c r="P269" i="17"/>
  <c r="V269" i="17" s="1"/>
  <c r="P273" i="17"/>
  <c r="V273" i="17" s="1"/>
  <c r="P277" i="17"/>
  <c r="V277" i="17" s="1"/>
  <c r="P305" i="17"/>
  <c r="V305" i="17" s="1"/>
  <c r="P333" i="17"/>
  <c r="D66" i="7" s="1"/>
  <c r="P345" i="17"/>
  <c r="V345" i="17" s="1"/>
  <c r="P349" i="17"/>
  <c r="V349" i="17" s="1"/>
  <c r="P357" i="17"/>
  <c r="V357" i="17" s="1"/>
  <c r="P365" i="17"/>
  <c r="V365" i="17" s="1"/>
  <c r="J373" i="16"/>
  <c r="J331" i="16"/>
  <c r="H67" i="16"/>
  <c r="J67" i="16" s="1"/>
  <c r="G262" i="16"/>
  <c r="BY262" i="6" s="1"/>
  <c r="I361" i="16"/>
  <c r="AD111" i="17"/>
  <c r="I375" i="16"/>
  <c r="H337" i="16"/>
  <c r="I337" i="16" s="1"/>
  <c r="J317" i="16"/>
  <c r="I327" i="16"/>
  <c r="I365" i="16"/>
  <c r="AA67" i="16"/>
  <c r="Z67" i="16" s="1"/>
  <c r="Y67" i="16" s="1"/>
  <c r="J345" i="16"/>
  <c r="I357" i="16"/>
  <c r="H143" i="16"/>
  <c r="I143" i="16" s="1"/>
  <c r="G143" i="16"/>
  <c r="BY143" i="6" s="1"/>
  <c r="J353" i="16"/>
  <c r="J319" i="16"/>
  <c r="Q382" i="17"/>
  <c r="J304" i="16"/>
  <c r="I198" i="16"/>
  <c r="I278" i="16"/>
  <c r="G210" i="16"/>
  <c r="BY210" i="6" s="1"/>
  <c r="I33" i="16"/>
  <c r="I95" i="16"/>
  <c r="J213" i="16"/>
  <c r="J106" i="16"/>
  <c r="J98" i="16"/>
  <c r="I288" i="16"/>
  <c r="J44" i="16"/>
  <c r="AA33" i="16"/>
  <c r="Z33" i="16" s="1"/>
  <c r="Y33" i="16" s="1"/>
  <c r="I169" i="16"/>
  <c r="G111" i="16"/>
  <c r="BY111" i="6" s="1"/>
  <c r="J376" i="16"/>
  <c r="I151" i="16"/>
  <c r="J166" i="16"/>
  <c r="H322" i="16"/>
  <c r="I322" i="16" s="1"/>
  <c r="G33" i="16"/>
  <c r="BY33" i="6" s="1"/>
  <c r="J68" i="16"/>
  <c r="I123" i="16"/>
  <c r="AA363" i="16"/>
  <c r="Z363" i="16" s="1"/>
  <c r="Y363" i="16" s="1"/>
  <c r="G73" i="16"/>
  <c r="BY73" i="6" s="1"/>
  <c r="G233" i="16"/>
  <c r="BY233" i="6" s="1"/>
  <c r="G372" i="16"/>
  <c r="BY372" i="6" s="1"/>
  <c r="J316" i="16"/>
  <c r="I83" i="16"/>
  <c r="I138" i="16"/>
  <c r="I22" i="16"/>
  <c r="J176" i="16"/>
  <c r="J231" i="16"/>
  <c r="J300" i="16"/>
  <c r="H111" i="16"/>
  <c r="I111" i="16" s="1"/>
  <c r="G197" i="16"/>
  <c r="BY197" i="6" s="1"/>
  <c r="H363" i="16"/>
  <c r="I363" i="16" s="1"/>
  <c r="AA222" i="16"/>
  <c r="Z222" i="16" s="1"/>
  <c r="Y222" i="16" s="1"/>
  <c r="AA299" i="16"/>
  <c r="Z299" i="16" s="1"/>
  <c r="Y299" i="16" s="1"/>
  <c r="H31" i="16"/>
  <c r="J31" i="16" s="1"/>
  <c r="AA52" i="16"/>
  <c r="Z52" i="16" s="1"/>
  <c r="Y52" i="16" s="1"/>
  <c r="H296" i="16"/>
  <c r="I296" i="16" s="1"/>
  <c r="G149" i="16"/>
  <c r="BY149" i="6" s="1"/>
  <c r="J114" i="16"/>
  <c r="H210" i="16"/>
  <c r="J210" i="16" s="1"/>
  <c r="I178" i="16"/>
  <c r="H197" i="16"/>
  <c r="J197" i="16" s="1"/>
  <c r="G222" i="16"/>
  <c r="BY222" i="6" s="1"/>
  <c r="H274" i="16"/>
  <c r="I274" i="16" s="1"/>
  <c r="H73" i="16"/>
  <c r="I73" i="16" s="1"/>
  <c r="G199" i="16"/>
  <c r="BY199" i="6" s="1"/>
  <c r="H78" i="16"/>
  <c r="I78" i="16" s="1"/>
  <c r="G103" i="16"/>
  <c r="BY103" i="6" s="1"/>
  <c r="AA31" i="16"/>
  <c r="Z31" i="16" s="1"/>
  <c r="Y31" i="16" s="1"/>
  <c r="H52" i="16"/>
  <c r="I52" i="16" s="1"/>
  <c r="H60" i="16"/>
  <c r="I60" i="16" s="1"/>
  <c r="AA233" i="16"/>
  <c r="Z233" i="16" s="1"/>
  <c r="Y233" i="16" s="1"/>
  <c r="H97" i="16"/>
  <c r="I97" i="16" s="1"/>
  <c r="G322" i="16"/>
  <c r="BY322" i="6" s="1"/>
  <c r="AA149" i="16"/>
  <c r="Z149" i="16" s="1"/>
  <c r="Y149" i="16" s="1"/>
  <c r="AA123" i="16"/>
  <c r="Z123" i="16" s="1"/>
  <c r="Y123" i="16" s="1"/>
  <c r="H89" i="16"/>
  <c r="G89" i="16"/>
  <c r="BY89" i="6" s="1"/>
  <c r="I309" i="16"/>
  <c r="J147" i="16"/>
  <c r="J243" i="16"/>
  <c r="I128" i="16"/>
  <c r="I280" i="16"/>
  <c r="AA275" i="16"/>
  <c r="Z275" i="16" s="1"/>
  <c r="Y275" i="16" s="1"/>
  <c r="G310" i="16"/>
  <c r="BY310" i="6" s="1"/>
  <c r="H87" i="16"/>
  <c r="I87" i="16" s="1"/>
  <c r="J351" i="16"/>
  <c r="G342" i="16"/>
  <c r="BY342" i="6" s="1"/>
  <c r="J269" i="16"/>
  <c r="G378" i="16"/>
  <c r="BY378" i="6" s="1"/>
  <c r="J297" i="16"/>
  <c r="H63" i="19"/>
  <c r="G123" i="16"/>
  <c r="BY123" i="6" s="1"/>
  <c r="I20" i="16"/>
  <c r="J185" i="16"/>
  <c r="AA341" i="16"/>
  <c r="Z341" i="16" s="1"/>
  <c r="Y341" i="16" s="1"/>
  <c r="H21" i="16"/>
  <c r="J21" i="16" s="1"/>
  <c r="G374" i="16"/>
  <c r="BY374" i="6" s="1"/>
  <c r="J101" i="16"/>
  <c r="J270" i="16"/>
  <c r="G101" i="16"/>
  <c r="BY101" i="6" s="1"/>
  <c r="AA101" i="16"/>
  <c r="Z101" i="16" s="1"/>
  <c r="Y101" i="16" s="1"/>
  <c r="P44" i="17"/>
  <c r="V44" i="17" s="1"/>
  <c r="P56" i="17"/>
  <c r="V56" i="17" s="1"/>
  <c r="P64" i="17"/>
  <c r="V64" i="17" s="1"/>
  <c r="P88" i="17"/>
  <c r="D58" i="7" s="1"/>
  <c r="P92" i="17"/>
  <c r="V92" i="17" s="1"/>
  <c r="P108" i="17"/>
  <c r="V108" i="17" s="1"/>
  <c r="P128" i="17"/>
  <c r="V128" i="17" s="1"/>
  <c r="P156" i="17"/>
  <c r="V156" i="17" s="1"/>
  <c r="P176" i="17"/>
  <c r="V176" i="17" s="1"/>
  <c r="P200" i="17"/>
  <c r="V200" i="17" s="1"/>
  <c r="P204" i="17"/>
  <c r="V204" i="17" s="1"/>
  <c r="P220" i="17"/>
  <c r="V220" i="17" s="1"/>
  <c r="P236" i="17"/>
  <c r="V236" i="17" s="1"/>
  <c r="P268" i="17"/>
  <c r="V268" i="17" s="1"/>
  <c r="P284" i="17"/>
  <c r="V284" i="17" s="1"/>
  <c r="P292" i="17"/>
  <c r="V292" i="17" s="1"/>
  <c r="P296" i="17"/>
  <c r="V296" i="17" s="1"/>
  <c r="P308" i="17"/>
  <c r="V308" i="17" s="1"/>
  <c r="P360" i="17"/>
  <c r="V360" i="17" s="1"/>
  <c r="G118" i="16"/>
  <c r="BY118" i="6" s="1"/>
  <c r="AA53" i="16"/>
  <c r="Z53" i="16" s="1"/>
  <c r="Y53" i="16" s="1"/>
  <c r="AA212" i="16"/>
  <c r="Z212" i="16" s="1"/>
  <c r="Y212" i="16" s="1"/>
  <c r="G119" i="16"/>
  <c r="BY119" i="6" s="1"/>
  <c r="H28" i="16"/>
  <c r="J28" i="16" s="1"/>
  <c r="G308" i="16"/>
  <c r="BY308" i="6" s="1"/>
  <c r="G333" i="16"/>
  <c r="BY333" i="6" s="1"/>
  <c r="H173" i="16"/>
  <c r="I173" i="16" s="1"/>
  <c r="H108" i="16"/>
  <c r="J108" i="16" s="1"/>
  <c r="AD93" i="17"/>
  <c r="AD355" i="17"/>
  <c r="AA274" i="16"/>
  <c r="Z274" i="16" s="1"/>
  <c r="Y274" i="16" s="1"/>
  <c r="H199" i="16"/>
  <c r="I199" i="16" s="1"/>
  <c r="H299" i="16"/>
  <c r="J299" i="16" s="1"/>
  <c r="H103" i="16"/>
  <c r="J103" i="16" s="1"/>
  <c r="G296" i="16"/>
  <c r="BY296" i="6" s="1"/>
  <c r="AA97" i="16"/>
  <c r="Z97" i="16" s="1"/>
  <c r="Y97" i="16" s="1"/>
  <c r="H372" i="16"/>
  <c r="I372" i="16" s="1"/>
  <c r="AA84" i="16"/>
  <c r="Z84" i="16" s="1"/>
  <c r="Y84" i="16" s="1"/>
  <c r="H91" i="16"/>
  <c r="AA91" i="16"/>
  <c r="Z91" i="16" s="1"/>
  <c r="Y91" i="16" s="1"/>
  <c r="G91" i="16"/>
  <c r="BY91" i="6" s="1"/>
  <c r="AD87" i="17"/>
  <c r="AD99" i="17"/>
  <c r="AA30" i="16"/>
  <c r="Z30" i="16" s="1"/>
  <c r="Y30" i="16" s="1"/>
  <c r="H42" i="16"/>
  <c r="I42" i="16" s="1"/>
  <c r="H237" i="16"/>
  <c r="G237" i="16"/>
  <c r="BY237" i="6" s="1"/>
  <c r="G45" i="16"/>
  <c r="BY45" i="6" s="1"/>
  <c r="H45" i="16"/>
  <c r="AA45" i="16"/>
  <c r="Z45" i="16" s="1"/>
  <c r="Y45" i="16" s="1"/>
  <c r="G127" i="16"/>
  <c r="BY127" i="6" s="1"/>
  <c r="H127" i="16"/>
  <c r="AA127" i="16"/>
  <c r="Z127" i="16" s="1"/>
  <c r="Y127" i="16" s="1"/>
  <c r="G247" i="16"/>
  <c r="BY247" i="6" s="1"/>
  <c r="H247" i="16"/>
  <c r="AA247" i="16"/>
  <c r="Z247" i="16" s="1"/>
  <c r="Y247" i="16" s="1"/>
  <c r="H79" i="16"/>
  <c r="G79" i="16"/>
  <c r="BY79" i="6" s="1"/>
  <c r="AA79" i="16"/>
  <c r="Z79" i="16" s="1"/>
  <c r="Y79" i="16" s="1"/>
  <c r="G207" i="16"/>
  <c r="BY207" i="6" s="1"/>
  <c r="AA207" i="16"/>
  <c r="Z207" i="16" s="1"/>
  <c r="Y207" i="16" s="1"/>
  <c r="H207" i="16"/>
  <c r="I163" i="16"/>
  <c r="J163" i="16"/>
  <c r="I117" i="16"/>
  <c r="J117" i="16"/>
  <c r="I179" i="16"/>
  <c r="J179" i="16"/>
  <c r="I155" i="16"/>
  <c r="J155" i="16"/>
  <c r="J148" i="16"/>
  <c r="I148" i="16"/>
  <c r="I70" i="16"/>
  <c r="J70" i="16"/>
  <c r="AA48" i="16"/>
  <c r="Z48" i="16" s="1"/>
  <c r="Y48" i="16" s="1"/>
  <c r="AA118" i="16"/>
  <c r="Z118" i="16" s="1"/>
  <c r="Y118" i="16" s="1"/>
  <c r="H53" i="16"/>
  <c r="J53" i="16" s="1"/>
  <c r="H212" i="16"/>
  <c r="J212" i="16" s="1"/>
  <c r="H57" i="16"/>
  <c r="I57" i="16" s="1"/>
  <c r="G275" i="16"/>
  <c r="BY275" i="6" s="1"/>
  <c r="H310" i="16"/>
  <c r="J310" i="16" s="1"/>
  <c r="AA87" i="16"/>
  <c r="Z87" i="16" s="1"/>
  <c r="Y87" i="16" s="1"/>
  <c r="G88" i="16"/>
  <c r="BY88" i="6" s="1"/>
  <c r="AA342" i="16"/>
  <c r="Z342" i="16" s="1"/>
  <c r="Y342" i="16" s="1"/>
  <c r="H217" i="16"/>
  <c r="J217" i="16" s="1"/>
  <c r="AA333" i="16"/>
  <c r="Z333" i="16" s="1"/>
  <c r="Y333" i="16" s="1"/>
  <c r="G341" i="16"/>
  <c r="BY341" i="6" s="1"/>
  <c r="G74" i="16"/>
  <c r="BY74" i="6" s="1"/>
  <c r="AA21" i="16"/>
  <c r="Z21" i="16" s="1"/>
  <c r="Y21" i="16" s="1"/>
  <c r="AA378" i="16"/>
  <c r="Z378" i="16" s="1"/>
  <c r="Y378" i="16" s="1"/>
  <c r="AA93" i="16"/>
  <c r="Z93" i="16" s="1"/>
  <c r="Y93" i="16" s="1"/>
  <c r="H54" i="16"/>
  <c r="G54" i="16"/>
  <c r="BY54" i="6" s="1"/>
  <c r="I130" i="16"/>
  <c r="I238" i="16"/>
  <c r="AA56" i="16"/>
  <c r="Z56" i="16" s="1"/>
  <c r="Y56" i="16" s="1"/>
  <c r="G42" i="16"/>
  <c r="BY42" i="6" s="1"/>
  <c r="G62" i="16"/>
  <c r="BY62" i="6" s="1"/>
  <c r="H56" i="16"/>
  <c r="I56" i="16" s="1"/>
  <c r="H62" i="16"/>
  <c r="I38" i="16"/>
  <c r="J38" i="16"/>
  <c r="I36" i="16"/>
  <c r="J36" i="16"/>
  <c r="I104" i="16"/>
  <c r="H48" i="16"/>
  <c r="I48" i="16" s="1"/>
  <c r="G57" i="16"/>
  <c r="BY57" i="6" s="1"/>
  <c r="AA119" i="16"/>
  <c r="Z119" i="16" s="1"/>
  <c r="Y119" i="16" s="1"/>
  <c r="H88" i="16"/>
  <c r="I88" i="16" s="1"/>
  <c r="H308" i="16"/>
  <c r="J308" i="16" s="1"/>
  <c r="AA217" i="16"/>
  <c r="Z217" i="16" s="1"/>
  <c r="Y217" i="16" s="1"/>
  <c r="H139" i="16"/>
  <c r="J139" i="16" s="1"/>
  <c r="AA173" i="16"/>
  <c r="Z173" i="16" s="1"/>
  <c r="Y173" i="16" s="1"/>
  <c r="H74" i="16"/>
  <c r="J74" i="16" s="1"/>
  <c r="J136" i="16"/>
  <c r="H374" i="16"/>
  <c r="J374" i="16" s="1"/>
  <c r="H93" i="16"/>
  <c r="I93" i="16" s="1"/>
  <c r="I256" i="16"/>
  <c r="J192" i="16"/>
  <c r="J181" i="16"/>
  <c r="I181" i="16"/>
  <c r="I144" i="16"/>
  <c r="J144" i="16"/>
  <c r="I105" i="16"/>
  <c r="J105" i="16"/>
  <c r="I150" i="16"/>
  <c r="J150" i="16"/>
  <c r="I195" i="16"/>
  <c r="J195" i="16"/>
  <c r="J240" i="16"/>
  <c r="I240" i="16"/>
  <c r="I311" i="16"/>
  <c r="J311" i="16"/>
  <c r="J303" i="16"/>
  <c r="I303" i="16"/>
  <c r="J255" i="16"/>
  <c r="J251" i="16"/>
  <c r="I251" i="16"/>
  <c r="I215" i="16"/>
  <c r="I279" i="16"/>
  <c r="J279" i="16"/>
  <c r="J133" i="16"/>
  <c r="I133" i="16"/>
  <c r="J239" i="16"/>
  <c r="I239" i="16"/>
  <c r="I203" i="16"/>
  <c r="J203" i="16"/>
  <c r="J235" i="16"/>
  <c r="I235" i="16"/>
  <c r="J277" i="16"/>
  <c r="I277" i="16"/>
  <c r="J225" i="16"/>
  <c r="I225" i="16"/>
  <c r="J113" i="16"/>
  <c r="I113" i="16"/>
  <c r="J249" i="16"/>
  <c r="I249" i="16"/>
  <c r="I229" i="16"/>
  <c r="J229" i="16"/>
  <c r="J221" i="16"/>
  <c r="I221" i="16"/>
  <c r="J193" i="16"/>
  <c r="I193" i="16"/>
  <c r="I177" i="16"/>
  <c r="J177" i="16"/>
  <c r="AB380" i="25"/>
  <c r="L380" i="25"/>
  <c r="X380" i="25"/>
  <c r="K380" i="25"/>
  <c r="AK380" i="25"/>
  <c r="AJ380" i="25"/>
  <c r="AC380" i="25"/>
  <c r="O380" i="25"/>
  <c r="I267" i="16"/>
  <c r="J283" i="16"/>
  <c r="I283" i="16"/>
  <c r="J157" i="16"/>
  <c r="I157" i="16"/>
  <c r="J187" i="16"/>
  <c r="J165" i="16"/>
  <c r="I165" i="16"/>
  <c r="I223" i="16"/>
  <c r="J223" i="16"/>
  <c r="I250" i="16"/>
  <c r="J250" i="16"/>
  <c r="J332" i="16"/>
  <c r="I332" i="16"/>
  <c r="J301" i="16"/>
  <c r="I301" i="16"/>
  <c r="J265" i="16"/>
  <c r="I265" i="16"/>
  <c r="I253" i="16"/>
  <c r="J253" i="16"/>
  <c r="I245" i="16"/>
  <c r="J245" i="16"/>
  <c r="J201" i="16"/>
  <c r="I201" i="16"/>
  <c r="I189" i="16"/>
  <c r="J189" i="16"/>
  <c r="I145" i="16"/>
  <c r="J145" i="16"/>
  <c r="J281" i="16"/>
  <c r="I281" i="16"/>
  <c r="I273" i="16"/>
  <c r="J273" i="16"/>
  <c r="I261" i="16"/>
  <c r="J261" i="16"/>
  <c r="J129" i="16"/>
  <c r="I129" i="16"/>
  <c r="I43" i="16"/>
  <c r="J43" i="16"/>
  <c r="AM7" i="16"/>
  <c r="AM11" i="16" s="1"/>
  <c r="AK3" i="16" s="1"/>
  <c r="Q13" i="19" s="1"/>
  <c r="J50" i="16"/>
  <c r="I50" i="16"/>
  <c r="H84" i="16"/>
  <c r="I84" i="16" s="1"/>
  <c r="AA176" i="16"/>
  <c r="Z176" i="16" s="1"/>
  <c r="Y176" i="16" s="1"/>
  <c r="I336" i="16"/>
  <c r="J336" i="16"/>
  <c r="I236" i="16"/>
  <c r="J236" i="16"/>
  <c r="I338" i="16"/>
  <c r="J338" i="16"/>
  <c r="I234" i="16"/>
  <c r="J234" i="16"/>
  <c r="J214" i="16"/>
  <c r="I214" i="16"/>
  <c r="AA27" i="16"/>
  <c r="Z27" i="16" s="1"/>
  <c r="Y27" i="16" s="1"/>
  <c r="H27" i="16"/>
  <c r="G36" i="16"/>
  <c r="BY36" i="6" s="1"/>
  <c r="AA36" i="16"/>
  <c r="Z36" i="16" s="1"/>
  <c r="Y36" i="16" s="1"/>
  <c r="G70" i="16"/>
  <c r="BY70" i="6" s="1"/>
  <c r="AA70" i="16"/>
  <c r="Z70" i="16" s="1"/>
  <c r="Y70" i="16" s="1"/>
  <c r="H30" i="16"/>
  <c r="J268" i="16"/>
  <c r="I268" i="16"/>
  <c r="J370" i="16"/>
  <c r="I370" i="16"/>
  <c r="AA92" i="16"/>
  <c r="Z92" i="16" s="1"/>
  <c r="Y92" i="16" s="1"/>
  <c r="G92" i="16"/>
  <c r="BY92" i="6" s="1"/>
  <c r="H92" i="16"/>
  <c r="G112" i="16"/>
  <c r="BY112" i="6" s="1"/>
  <c r="AA112" i="16"/>
  <c r="Z112" i="16" s="1"/>
  <c r="Y112" i="16" s="1"/>
  <c r="H112" i="16"/>
  <c r="G152" i="16"/>
  <c r="BY152" i="6" s="1"/>
  <c r="AA152" i="16"/>
  <c r="Z152" i="16" s="1"/>
  <c r="Y152" i="16" s="1"/>
  <c r="AA38" i="16"/>
  <c r="Z38" i="16" s="1"/>
  <c r="Y38" i="16" s="1"/>
  <c r="G38" i="16"/>
  <c r="BY38" i="6" s="1"/>
  <c r="G40" i="16"/>
  <c r="BY40" i="6" s="1"/>
  <c r="AA40" i="16"/>
  <c r="Z40" i="16" s="1"/>
  <c r="Y40" i="16" s="1"/>
  <c r="G58" i="16"/>
  <c r="BY58" i="6" s="1"/>
  <c r="AA58" i="16"/>
  <c r="Z58" i="16" s="1"/>
  <c r="Y58" i="16" s="1"/>
  <c r="AA50" i="16"/>
  <c r="Z50" i="16" s="1"/>
  <c r="Y50" i="16" s="1"/>
  <c r="G50" i="16"/>
  <c r="BY50" i="6" s="1"/>
  <c r="I356" i="16"/>
  <c r="J356" i="16"/>
  <c r="J248" i="16"/>
  <c r="I248" i="16"/>
  <c r="G18" i="16"/>
  <c r="BY18" i="6" s="1"/>
  <c r="AA18" i="16"/>
  <c r="Z18" i="16" s="1"/>
  <c r="Y18" i="16" s="1"/>
  <c r="AA108" i="16"/>
  <c r="Z108" i="16" s="1"/>
  <c r="Y108" i="16" s="1"/>
  <c r="G108" i="16"/>
  <c r="BY108" i="6" s="1"/>
  <c r="G140" i="16"/>
  <c r="BY140" i="6" s="1"/>
  <c r="AA140" i="16"/>
  <c r="Z140" i="16" s="1"/>
  <c r="Y140" i="16" s="1"/>
  <c r="H40" i="16"/>
  <c r="H58" i="16"/>
  <c r="AD105" i="17"/>
  <c r="Q381" i="17"/>
  <c r="Q383" i="17"/>
  <c r="G172" i="16"/>
  <c r="BY172" i="6" s="1"/>
  <c r="H172" i="16"/>
  <c r="I172" i="16" s="1"/>
  <c r="AG19" i="17"/>
  <c r="AF19" i="17" s="1"/>
  <c r="AD19" i="17" s="1"/>
  <c r="AH16" i="17"/>
  <c r="AG16" i="17" s="1"/>
  <c r="AF16" i="17" s="1"/>
  <c r="J140" i="16"/>
  <c r="V15" i="7"/>
  <c r="AI383" i="17"/>
  <c r="H75" i="16"/>
  <c r="I75" i="16" s="1"/>
  <c r="I18" i="16"/>
  <c r="AD127" i="17"/>
  <c r="AD283" i="17"/>
  <c r="P22" i="17"/>
  <c r="V22" i="17" s="1"/>
  <c r="P38" i="17"/>
  <c r="V38" i="17" s="1"/>
  <c r="P54" i="17"/>
  <c r="V54" i="17" s="1"/>
  <c r="P102" i="17"/>
  <c r="V102" i="17" s="1"/>
  <c r="P118" i="17"/>
  <c r="V118" i="17" s="1"/>
  <c r="P158" i="17"/>
  <c r="V158" i="17" s="1"/>
  <c r="P174" i="17"/>
  <c r="V174" i="17" s="1"/>
  <c r="P190" i="17"/>
  <c r="V190" i="17" s="1"/>
  <c r="P206" i="17"/>
  <c r="V206" i="17" s="1"/>
  <c r="P262" i="17"/>
  <c r="V262" i="17" s="1"/>
  <c r="P326" i="17"/>
  <c r="V326" i="17" s="1"/>
  <c r="P350" i="17"/>
  <c r="V350" i="17" s="1"/>
  <c r="AD22" i="17"/>
  <c r="AD30" i="17"/>
  <c r="AD34" i="17"/>
  <c r="AD38" i="17"/>
  <c r="AD42" i="17"/>
  <c r="AD50" i="17"/>
  <c r="AD54" i="17"/>
  <c r="AD66" i="17"/>
  <c r="AD70" i="17"/>
  <c r="AD74" i="17"/>
  <c r="AD86" i="17"/>
  <c r="AD94" i="17"/>
  <c r="AD98" i="17"/>
  <c r="AD102" i="17"/>
  <c r="AD114" i="17"/>
  <c r="AD118" i="17"/>
  <c r="AD126" i="17"/>
  <c r="AD134" i="17"/>
  <c r="AD142" i="17"/>
  <c r="AD158" i="17"/>
  <c r="AD170" i="17"/>
  <c r="AD194" i="17"/>
  <c r="AD202" i="17"/>
  <c r="AD210" i="17"/>
  <c r="AD214" i="17"/>
  <c r="AD270" i="17"/>
  <c r="AD314" i="17"/>
  <c r="AD350" i="17"/>
  <c r="AD374" i="17"/>
  <c r="AD378" i="17"/>
  <c r="P16" i="17"/>
  <c r="V16" i="17" s="1"/>
  <c r="P29" i="17"/>
  <c r="D56" i="7" s="1"/>
  <c r="H266" i="16"/>
  <c r="I266" i="16" s="1"/>
  <c r="J321" i="16"/>
  <c r="AA172" i="16"/>
  <c r="Z172" i="16" s="1"/>
  <c r="Y172" i="16" s="1"/>
  <c r="AD122" i="17"/>
  <c r="G266" i="16"/>
  <c r="BY266" i="6" s="1"/>
  <c r="AD17" i="17"/>
  <c r="AD68" i="17"/>
  <c r="AD120" i="17"/>
  <c r="AD156" i="17"/>
  <c r="AD160" i="17"/>
  <c r="AD188" i="17"/>
  <c r="AD204" i="17"/>
  <c r="AD232" i="17"/>
  <c r="AD268" i="17"/>
  <c r="AD288" i="17"/>
  <c r="AD360" i="17"/>
  <c r="AA75" i="16"/>
  <c r="Z75" i="16" s="1"/>
  <c r="Y75" i="16" s="1"/>
  <c r="P27" i="17"/>
  <c r="V27" i="17" s="1"/>
  <c r="P43" i="17"/>
  <c r="V43" i="17" s="1"/>
  <c r="P51" i="17"/>
  <c r="V51" i="17" s="1"/>
  <c r="P59" i="17"/>
  <c r="V59" i="17" s="1"/>
  <c r="P75" i="17"/>
  <c r="V75" i="17" s="1"/>
  <c r="P91" i="17"/>
  <c r="V91" i="17" s="1"/>
  <c r="P115" i="17"/>
  <c r="V115" i="17" s="1"/>
  <c r="P131" i="17"/>
  <c r="V131" i="17" s="1"/>
  <c r="P147" i="17"/>
  <c r="V147" i="17" s="1"/>
  <c r="P155" i="17"/>
  <c r="V155" i="17" s="1"/>
  <c r="P159" i="17"/>
  <c r="V159" i="17" s="1"/>
  <c r="P163" i="17"/>
  <c r="V163" i="17" s="1"/>
  <c r="P171" i="17"/>
  <c r="V171" i="17" s="1"/>
  <c r="P179" i="17"/>
  <c r="V179" i="17" s="1"/>
  <c r="P183" i="17"/>
  <c r="V183" i="17" s="1"/>
  <c r="P227" i="17"/>
  <c r="V227" i="17" s="1"/>
  <c r="P235" i="17"/>
  <c r="V235" i="17" s="1"/>
  <c r="P243" i="17"/>
  <c r="V243" i="17" s="1"/>
  <c r="P251" i="17"/>
  <c r="V251" i="17" s="1"/>
  <c r="P267" i="17"/>
  <c r="V267" i="17" s="1"/>
  <c r="P275" i="17"/>
  <c r="V275" i="17" s="1"/>
  <c r="P291" i="17"/>
  <c r="V291" i="17" s="1"/>
  <c r="P307" i="17"/>
  <c r="V307" i="17" s="1"/>
  <c r="P323" i="17"/>
  <c r="V323" i="17" s="1"/>
  <c r="P347" i="17"/>
  <c r="V347" i="17" s="1"/>
  <c r="P363" i="17"/>
  <c r="D67" i="7" s="1"/>
  <c r="AD281" i="17"/>
  <c r="AD285" i="17"/>
  <c r="AD341" i="17"/>
  <c r="AD361" i="17"/>
  <c r="AD82" i="17"/>
  <c r="AD106" i="17"/>
  <c r="AD25" i="17"/>
  <c r="AD29" i="17"/>
  <c r="AD57" i="17"/>
  <c r="AD121" i="17"/>
  <c r="AD153" i="17"/>
  <c r="AD181" i="17"/>
  <c r="AD237" i="17"/>
  <c r="O382" i="24"/>
  <c r="O381" i="24"/>
  <c r="O383" i="24"/>
  <c r="AD64" i="17"/>
  <c r="AD96" i="17"/>
  <c r="AD180" i="17"/>
  <c r="AD236" i="17"/>
  <c r="AD264" i="17"/>
  <c r="AD324" i="17"/>
  <c r="G383" i="1"/>
  <c r="G12" i="1" s="1"/>
  <c r="G381" i="1"/>
  <c r="G382" i="1"/>
  <c r="AD35" i="17"/>
  <c r="AD55" i="17"/>
  <c r="AD59" i="17"/>
  <c r="AD131" i="17"/>
  <c r="AD143" i="17"/>
  <c r="AD293" i="17"/>
  <c r="AC383" i="24"/>
  <c r="AC382" i="24"/>
  <c r="AC381" i="24"/>
  <c r="AD58" i="17"/>
  <c r="AD78" i="17"/>
  <c r="AD138" i="17"/>
  <c r="AD146" i="17"/>
  <c r="AD174" i="17"/>
  <c r="AD242" i="17"/>
  <c r="AD250" i="17"/>
  <c r="AD278" i="17"/>
  <c r="AD330" i="17"/>
  <c r="AD338" i="17"/>
  <c r="AD295" i="17"/>
  <c r="AD365" i="17"/>
  <c r="I382" i="1"/>
  <c r="I383" i="1"/>
  <c r="I381" i="1"/>
  <c r="Z379" i="1"/>
  <c r="AL7" i="1" s="1"/>
  <c r="AA382" i="1"/>
  <c r="AA9" i="1"/>
  <c r="AM8" i="1"/>
  <c r="AA381" i="1"/>
  <c r="AA383" i="1"/>
  <c r="AL10" i="1"/>
  <c r="AB9" i="1"/>
  <c r="G11" i="19"/>
  <c r="J35" i="19" s="1"/>
  <c r="F11" i="1"/>
  <c r="S18" i="17"/>
  <c r="R18" i="17" s="1"/>
  <c r="P18" i="17" s="1"/>
  <c r="S20" i="17"/>
  <c r="R20" i="17" s="1"/>
  <c r="P20" i="17" s="1"/>
  <c r="S24" i="17"/>
  <c r="R24" i="17" s="1"/>
  <c r="P24" i="17" s="1"/>
  <c r="S28" i="17"/>
  <c r="R28" i="17" s="1"/>
  <c r="P28" i="17" s="1"/>
  <c r="S40" i="17"/>
  <c r="R40" i="17" s="1"/>
  <c r="P40" i="17" s="1"/>
  <c r="V48" i="17"/>
  <c r="S60" i="17"/>
  <c r="R60" i="17" s="1"/>
  <c r="P60" i="17" s="1"/>
  <c r="V72" i="17"/>
  <c r="S76" i="17"/>
  <c r="R76" i="17" s="1"/>
  <c r="P76" i="17" s="1"/>
  <c r="S80" i="17"/>
  <c r="R80" i="17" s="1"/>
  <c r="P80" i="17" s="1"/>
  <c r="S84" i="17"/>
  <c r="R84" i="17" s="1"/>
  <c r="P84" i="17" s="1"/>
  <c r="S96" i="17"/>
  <c r="R96" i="17" s="1"/>
  <c r="P96" i="17" s="1"/>
  <c r="S100" i="17"/>
  <c r="R100" i="17" s="1"/>
  <c r="P100" i="17" s="1"/>
  <c r="S104" i="17"/>
  <c r="R104" i="17" s="1"/>
  <c r="P104" i="17" s="1"/>
  <c r="S112" i="17"/>
  <c r="R112" i="17" s="1"/>
  <c r="P112" i="17" s="1"/>
  <c r="S120" i="17"/>
  <c r="R120" i="17" s="1"/>
  <c r="P120" i="17" s="1"/>
  <c r="S124" i="17"/>
  <c r="R124" i="17" s="1"/>
  <c r="P124" i="17" s="1"/>
  <c r="V124" i="17" s="1"/>
  <c r="V136" i="17"/>
  <c r="S140" i="17"/>
  <c r="R140" i="17" s="1"/>
  <c r="P140" i="17" s="1"/>
  <c r="V140" i="17" s="1"/>
  <c r="S144" i="17"/>
  <c r="R144" i="17" s="1"/>
  <c r="P144" i="17" s="1"/>
  <c r="S160" i="17"/>
  <c r="R160" i="17" s="1"/>
  <c r="P160" i="17" s="1"/>
  <c r="S168" i="17"/>
  <c r="R168" i="17" s="1"/>
  <c r="P168" i="17" s="1"/>
  <c r="S172" i="17"/>
  <c r="R172" i="17" s="1"/>
  <c r="P172" i="17" s="1"/>
  <c r="S180" i="17"/>
  <c r="R180" i="17" s="1"/>
  <c r="P180" i="17" s="1"/>
  <c r="S184" i="17"/>
  <c r="R184" i="17" s="1"/>
  <c r="P184" i="17" s="1"/>
  <c r="V184" i="17" s="1"/>
  <c r="S188" i="17"/>
  <c r="R188" i="17" s="1"/>
  <c r="P188" i="17" s="1"/>
  <c r="S192" i="17"/>
  <c r="R192" i="17" s="1"/>
  <c r="P192" i="17" s="1"/>
  <c r="S224" i="17"/>
  <c r="R224" i="17" s="1"/>
  <c r="P224" i="17" s="1"/>
  <c r="V224" i="17" s="1"/>
  <c r="S232" i="17"/>
  <c r="R232" i="17" s="1"/>
  <c r="P232" i="17" s="1"/>
  <c r="V232" i="17" s="1"/>
  <c r="S240" i="17"/>
  <c r="R240" i="17" s="1"/>
  <c r="P240" i="17" s="1"/>
  <c r="V240" i="17" s="1"/>
  <c r="V248" i="17"/>
  <c r="S252" i="17"/>
  <c r="R252" i="17" s="1"/>
  <c r="P252" i="17" s="1"/>
  <c r="V256" i="17"/>
  <c r="S264" i="17"/>
  <c r="R264" i="17" s="1"/>
  <c r="P264" i="17" s="1"/>
  <c r="S288" i="17"/>
  <c r="R288" i="17" s="1"/>
  <c r="P288" i="17" s="1"/>
  <c r="S304" i="17"/>
  <c r="R304" i="17" s="1"/>
  <c r="P304" i="17" s="1"/>
  <c r="V312" i="17"/>
  <c r="S320" i="17"/>
  <c r="R320" i="17" s="1"/>
  <c r="P320" i="17" s="1"/>
  <c r="V320" i="17" s="1"/>
  <c r="S324" i="17"/>
  <c r="R324" i="17" s="1"/>
  <c r="P324" i="17" s="1"/>
  <c r="S328" i="17"/>
  <c r="R328" i="17" s="1"/>
  <c r="P328" i="17" s="1"/>
  <c r="V328" i="17" s="1"/>
  <c r="V332" i="17"/>
  <c r="S344" i="17"/>
  <c r="R344" i="17" s="1"/>
  <c r="P344" i="17" s="1"/>
  <c r="V344" i="17" s="1"/>
  <c r="S348" i="17"/>
  <c r="R348" i="17" s="1"/>
  <c r="P348" i="17" s="1"/>
  <c r="S352" i="17"/>
  <c r="R352" i="17" s="1"/>
  <c r="P352" i="17" s="1"/>
  <c r="S368" i="17"/>
  <c r="R368" i="17" s="1"/>
  <c r="P368" i="17" s="1"/>
  <c r="V368" i="17" s="1"/>
  <c r="R382" i="16"/>
  <c r="R381" i="16"/>
  <c r="R383" i="16"/>
  <c r="P15" i="16"/>
  <c r="I324" i="16"/>
  <c r="J324" i="16"/>
  <c r="AH383" i="17"/>
  <c r="AG15" i="17"/>
  <c r="S19" i="17"/>
  <c r="R19" i="17" s="1"/>
  <c r="P19" i="17" s="1"/>
  <c r="T15" i="17"/>
  <c r="U381" i="17"/>
  <c r="S35" i="17"/>
  <c r="R35" i="17" s="1"/>
  <c r="P35" i="17" s="1"/>
  <c r="S67" i="17"/>
  <c r="R67" i="17" s="1"/>
  <c r="P67" i="17" s="1"/>
  <c r="S83" i="17"/>
  <c r="R83" i="17" s="1"/>
  <c r="P83" i="17" s="1"/>
  <c r="S99" i="17"/>
  <c r="R99" i="17" s="1"/>
  <c r="P99" i="17" s="1"/>
  <c r="S107" i="17"/>
  <c r="R107" i="17" s="1"/>
  <c r="P107" i="17" s="1"/>
  <c r="S123" i="17"/>
  <c r="R123" i="17" s="1"/>
  <c r="P123" i="17" s="1"/>
  <c r="S139" i="17"/>
  <c r="R139" i="17" s="1"/>
  <c r="P139" i="17" s="1"/>
  <c r="S175" i="17"/>
  <c r="R175" i="17" s="1"/>
  <c r="P175" i="17" s="1"/>
  <c r="S187" i="17"/>
  <c r="R187" i="17" s="1"/>
  <c r="P187" i="17" s="1"/>
  <c r="S191" i="17"/>
  <c r="R191" i="17" s="1"/>
  <c r="P191" i="17" s="1"/>
  <c r="V191" i="17" s="1"/>
  <c r="S195" i="17"/>
  <c r="R195" i="17" s="1"/>
  <c r="P195" i="17" s="1"/>
  <c r="V195" i="17" s="1"/>
  <c r="S199" i="17"/>
  <c r="R199" i="17" s="1"/>
  <c r="P199" i="17" s="1"/>
  <c r="S203" i="17"/>
  <c r="R203" i="17" s="1"/>
  <c r="P203" i="17" s="1"/>
  <c r="V203" i="17" s="1"/>
  <c r="S211" i="17"/>
  <c r="R211" i="17" s="1"/>
  <c r="P211" i="17" s="1"/>
  <c r="S219" i="17"/>
  <c r="R219" i="17" s="1"/>
  <c r="P219" i="17" s="1"/>
  <c r="V219" i="17" s="1"/>
  <c r="S255" i="17"/>
  <c r="R255" i="17" s="1"/>
  <c r="P255" i="17" s="1"/>
  <c r="V255" i="17" s="1"/>
  <c r="S259" i="17"/>
  <c r="R259" i="17" s="1"/>
  <c r="P259" i="17" s="1"/>
  <c r="S263" i="17"/>
  <c r="R263" i="17" s="1"/>
  <c r="P263" i="17" s="1"/>
  <c r="V263" i="17" s="1"/>
  <c r="S283" i="17"/>
  <c r="R283" i="17" s="1"/>
  <c r="P283" i="17" s="1"/>
  <c r="S299" i="17"/>
  <c r="R299" i="17" s="1"/>
  <c r="P299" i="17" s="1"/>
  <c r="S315" i="17"/>
  <c r="R315" i="17" s="1"/>
  <c r="P315" i="17" s="1"/>
  <c r="S331" i="17"/>
  <c r="R331" i="17" s="1"/>
  <c r="P331" i="17" s="1"/>
  <c r="S339" i="17"/>
  <c r="R339" i="17" s="1"/>
  <c r="P339" i="17" s="1"/>
  <c r="S355" i="17"/>
  <c r="R355" i="17" s="1"/>
  <c r="P355" i="17" s="1"/>
  <c r="S371" i="17"/>
  <c r="R371" i="17" s="1"/>
  <c r="P371" i="17" s="1"/>
  <c r="T379" i="17"/>
  <c r="U12" i="18"/>
  <c r="V16" i="7"/>
  <c r="AB11" i="7" s="1"/>
  <c r="U11" i="18" s="1"/>
  <c r="I342" i="16"/>
  <c r="J342" i="16"/>
  <c r="I171" i="16"/>
  <c r="J171" i="16"/>
  <c r="AD379" i="17"/>
  <c r="I333" i="16"/>
  <c r="J333" i="16"/>
  <c r="J341" i="16"/>
  <c r="I341" i="16"/>
  <c r="I233" i="16"/>
  <c r="J233" i="16"/>
  <c r="I149" i="16"/>
  <c r="J149" i="16"/>
  <c r="J378" i="16"/>
  <c r="G46" i="16"/>
  <c r="BY46" i="6" s="1"/>
  <c r="AA46" i="16"/>
  <c r="Z46" i="16" s="1"/>
  <c r="Y46" i="16" s="1"/>
  <c r="H46" i="16"/>
  <c r="AE382" i="17"/>
  <c r="AE381" i="17"/>
  <c r="AE383" i="17"/>
  <c r="S17" i="17"/>
  <c r="R17" i="17" s="1"/>
  <c r="P17" i="17" s="1"/>
  <c r="S50" i="17"/>
  <c r="R50" i="17" s="1"/>
  <c r="P50" i="17" s="1"/>
  <c r="S62" i="17"/>
  <c r="R62" i="17" s="1"/>
  <c r="P62" i="17" s="1"/>
  <c r="S78" i="17"/>
  <c r="R78" i="17" s="1"/>
  <c r="P78" i="17" s="1"/>
  <c r="S90" i="17"/>
  <c r="R90" i="17" s="1"/>
  <c r="P90" i="17" s="1"/>
  <c r="S106" i="17"/>
  <c r="R106" i="17" s="1"/>
  <c r="P106" i="17" s="1"/>
  <c r="V130" i="17"/>
  <c r="V138" i="17"/>
  <c r="S150" i="17"/>
  <c r="R150" i="17" s="1"/>
  <c r="P150" i="17" s="1"/>
  <c r="V150" i="17" s="1"/>
  <c r="S162" i="17"/>
  <c r="R162" i="17" s="1"/>
  <c r="P162" i="17" s="1"/>
  <c r="V162" i="17" s="1"/>
  <c r="S186" i="17"/>
  <c r="R186" i="17" s="1"/>
  <c r="P186" i="17" s="1"/>
  <c r="D62" i="7"/>
  <c r="S214" i="17"/>
  <c r="R214" i="17" s="1"/>
  <c r="P214" i="17" s="1"/>
  <c r="V214" i="17" s="1"/>
  <c r="S226" i="17"/>
  <c r="R226" i="17" s="1"/>
  <c r="P226" i="17" s="1"/>
  <c r="S238" i="17"/>
  <c r="R238" i="17" s="1"/>
  <c r="P238" i="17" s="1"/>
  <c r="S250" i="17"/>
  <c r="R250" i="17" s="1"/>
  <c r="P250" i="17" s="1"/>
  <c r="S254" i="17"/>
  <c r="R254" i="17" s="1"/>
  <c r="P254" i="17" s="1"/>
  <c r="S258" i="17"/>
  <c r="R258" i="17" s="1"/>
  <c r="P258" i="17" s="1"/>
  <c r="V258" i="17" s="1"/>
  <c r="S270" i="17"/>
  <c r="R270" i="17" s="1"/>
  <c r="P270" i="17" s="1"/>
  <c r="S274" i="17"/>
  <c r="R274" i="17" s="1"/>
  <c r="P274" i="17" s="1"/>
  <c r="S278" i="17"/>
  <c r="R278" i="17" s="1"/>
  <c r="P278" i="17" s="1"/>
  <c r="S294" i="17"/>
  <c r="R294" i="17" s="1"/>
  <c r="P294" i="17" s="1"/>
  <c r="V294" i="17" s="1"/>
  <c r="S310" i="17"/>
  <c r="R310" i="17" s="1"/>
  <c r="P310" i="17" s="1"/>
  <c r="V322" i="17"/>
  <c r="S342" i="17"/>
  <c r="R342" i="17" s="1"/>
  <c r="P342" i="17" s="1"/>
  <c r="S362" i="17"/>
  <c r="R362" i="17" s="1"/>
  <c r="P362" i="17" s="1"/>
  <c r="V362" i="17" s="1"/>
  <c r="AB379" i="25"/>
  <c r="L379" i="25"/>
  <c r="B44" i="19" s="1"/>
  <c r="B33" i="19" s="1"/>
  <c r="AJ379" i="25"/>
  <c r="K379" i="25"/>
  <c r="X379" i="25"/>
  <c r="AK379" i="25"/>
  <c r="O379" i="25"/>
  <c r="AC379" i="25"/>
  <c r="AA228" i="16"/>
  <c r="Z228" i="16" s="1"/>
  <c r="Y228" i="16" s="1"/>
  <c r="H228" i="16"/>
  <c r="G228" i="16"/>
  <c r="BY228" i="6" s="1"/>
  <c r="AA15" i="15"/>
  <c r="F382" i="15"/>
  <c r="AK10" i="15"/>
  <c r="AK12" i="15" s="1"/>
  <c r="AK13" i="15" s="1"/>
  <c r="F381" i="15"/>
  <c r="H15" i="15"/>
  <c r="G15" i="15"/>
  <c r="BX15" i="6" s="1"/>
  <c r="F383" i="15"/>
  <c r="AM10" i="15"/>
  <c r="F9" i="15"/>
  <c r="B62" i="19"/>
  <c r="V381" i="15"/>
  <c r="J227" i="16"/>
  <c r="I227" i="16"/>
  <c r="AA15" i="7"/>
  <c r="J118" i="16"/>
  <c r="I118" i="16"/>
  <c r="I275" i="16"/>
  <c r="J275" i="16"/>
  <c r="J289" i="16"/>
  <c r="I289" i="16"/>
  <c r="I119" i="16"/>
  <c r="J119" i="16"/>
  <c r="S21" i="17"/>
  <c r="R21" i="17" s="1"/>
  <c r="P21" i="17" s="1"/>
  <c r="S33" i="17"/>
  <c r="R33" i="17" s="1"/>
  <c r="P33" i="17" s="1"/>
  <c r="S45" i="17"/>
  <c r="R45" i="17" s="1"/>
  <c r="P45" i="17" s="1"/>
  <c r="S49" i="17"/>
  <c r="R49" i="17" s="1"/>
  <c r="P49" i="17" s="1"/>
  <c r="S61" i="17"/>
  <c r="R61" i="17" s="1"/>
  <c r="P61" i="17" s="1"/>
  <c r="S65" i="17"/>
  <c r="R65" i="17" s="1"/>
  <c r="P65" i="17" s="1"/>
  <c r="S69" i="17"/>
  <c r="R69" i="17" s="1"/>
  <c r="P69" i="17" s="1"/>
  <c r="S73" i="17"/>
  <c r="R73" i="17" s="1"/>
  <c r="P73" i="17" s="1"/>
  <c r="S85" i="17"/>
  <c r="R85" i="17" s="1"/>
  <c r="P85" i="17" s="1"/>
  <c r="S89" i="17"/>
  <c r="R89" i="17" s="1"/>
  <c r="P89" i="17" s="1"/>
  <c r="S93" i="17"/>
  <c r="R93" i="17" s="1"/>
  <c r="P93" i="17" s="1"/>
  <c r="S105" i="17"/>
  <c r="R105" i="17" s="1"/>
  <c r="P105" i="17" s="1"/>
  <c r="S113" i="17"/>
  <c r="R113" i="17" s="1"/>
  <c r="P113" i="17" s="1"/>
  <c r="S117" i="17"/>
  <c r="R117" i="17" s="1"/>
  <c r="P117" i="17" s="1"/>
  <c r="S129" i="17"/>
  <c r="R129" i="17" s="1"/>
  <c r="P129" i="17" s="1"/>
  <c r="S141" i="17"/>
  <c r="R141" i="17" s="1"/>
  <c r="P141" i="17" s="1"/>
  <c r="S157" i="17"/>
  <c r="R157" i="17" s="1"/>
  <c r="P157" i="17" s="1"/>
  <c r="V157" i="17" s="1"/>
  <c r="S161" i="17"/>
  <c r="R161" i="17" s="1"/>
  <c r="P161" i="17" s="1"/>
  <c r="S181" i="17"/>
  <c r="R181" i="17" s="1"/>
  <c r="P181" i="17" s="1"/>
  <c r="V181" i="17" s="1"/>
  <c r="S193" i="17"/>
  <c r="R193" i="17" s="1"/>
  <c r="P193" i="17" s="1"/>
  <c r="S209" i="17"/>
  <c r="R209" i="17" s="1"/>
  <c r="P209" i="17" s="1"/>
  <c r="V209" i="17" s="1"/>
  <c r="S217" i="17"/>
  <c r="R217" i="17" s="1"/>
  <c r="P217" i="17" s="1"/>
  <c r="V217" i="17" s="1"/>
  <c r="S225" i="17"/>
  <c r="R225" i="17" s="1"/>
  <c r="P225" i="17" s="1"/>
  <c r="V225" i="17" s="1"/>
  <c r="S229" i="17"/>
  <c r="R229" i="17" s="1"/>
  <c r="P229" i="17" s="1"/>
  <c r="S237" i="17"/>
  <c r="R237" i="17" s="1"/>
  <c r="P237" i="17" s="1"/>
  <c r="V237" i="17" s="1"/>
  <c r="S241" i="17"/>
  <c r="R241" i="17" s="1"/>
  <c r="P241" i="17" s="1"/>
  <c r="S253" i="17"/>
  <c r="R253" i="17" s="1"/>
  <c r="P253" i="17" s="1"/>
  <c r="V253" i="17" s="1"/>
  <c r="S281" i="17"/>
  <c r="R281" i="17" s="1"/>
  <c r="P281" i="17" s="1"/>
  <c r="V281" i="17" s="1"/>
  <c r="S285" i="17"/>
  <c r="R285" i="17" s="1"/>
  <c r="P285" i="17" s="1"/>
  <c r="V285" i="17" s="1"/>
  <c r="S293" i="17"/>
  <c r="R293" i="17" s="1"/>
  <c r="P293" i="17" s="1"/>
  <c r="S297" i="17"/>
  <c r="R297" i="17" s="1"/>
  <c r="P297" i="17" s="1"/>
  <c r="V297" i="17" s="1"/>
  <c r="S301" i="17"/>
  <c r="R301" i="17" s="1"/>
  <c r="P301" i="17" s="1"/>
  <c r="V301" i="17" s="1"/>
  <c r="S309" i="17"/>
  <c r="R309" i="17" s="1"/>
  <c r="P309" i="17" s="1"/>
  <c r="V309" i="17" s="1"/>
  <c r="S313" i="17"/>
  <c r="R313" i="17" s="1"/>
  <c r="P313" i="17" s="1"/>
  <c r="S317" i="17"/>
  <c r="R317" i="17" s="1"/>
  <c r="P317" i="17" s="1"/>
  <c r="S325" i="17"/>
  <c r="R325" i="17" s="1"/>
  <c r="P325" i="17" s="1"/>
  <c r="S329" i="17"/>
  <c r="R329" i="17" s="1"/>
  <c r="P329" i="17" s="1"/>
  <c r="V329" i="17" s="1"/>
  <c r="S341" i="17"/>
  <c r="R341" i="17" s="1"/>
  <c r="P341" i="17" s="1"/>
  <c r="S361" i="17"/>
  <c r="R361" i="17" s="1"/>
  <c r="P361" i="17" s="1"/>
  <c r="V361" i="17" s="1"/>
  <c r="S373" i="17"/>
  <c r="R373" i="17" s="1"/>
  <c r="P373" i="17" s="1"/>
  <c r="V373" i="17" s="1"/>
  <c r="S377" i="17"/>
  <c r="R377" i="17" s="1"/>
  <c r="P377" i="17" s="1"/>
  <c r="V377" i="17" s="1"/>
  <c r="AD15" i="16"/>
  <c r="I222" i="16"/>
  <c r="J222" i="16"/>
  <c r="L381" i="24"/>
  <c r="L382" i="24"/>
  <c r="L383" i="24"/>
  <c r="J284" i="16" l="1"/>
  <c r="I284" i="16"/>
  <c r="Q10" i="18"/>
  <c r="Q22" i="18" s="1"/>
  <c r="J244" i="16"/>
  <c r="G184" i="16"/>
  <c r="BY184" i="6" s="1"/>
  <c r="AA28" i="16"/>
  <c r="Z28" i="16" s="1"/>
  <c r="Y28" i="16" s="1"/>
  <c r="AA305" i="16"/>
  <c r="Z305" i="16" s="1"/>
  <c r="Y305" i="16" s="1"/>
  <c r="G60" i="16"/>
  <c r="BY60" i="6" s="1"/>
  <c r="I85" i="16"/>
  <c r="J66" i="16"/>
  <c r="J29" i="16"/>
  <c r="I367" i="16"/>
  <c r="AA102" i="16"/>
  <c r="Z102" i="16" s="1"/>
  <c r="Y102" i="16" s="1"/>
  <c r="G158" i="16"/>
  <c r="BY158" i="6" s="1"/>
  <c r="G290" i="16"/>
  <c r="BY290" i="6" s="1"/>
  <c r="H290" i="16"/>
  <c r="AA290" i="16"/>
  <c r="Z290" i="16" s="1"/>
  <c r="Y290" i="16" s="1"/>
  <c r="G258" i="16"/>
  <c r="BY258" i="6" s="1"/>
  <c r="AA258" i="16"/>
  <c r="Z258" i="16" s="1"/>
  <c r="Y258" i="16" s="1"/>
  <c r="H258" i="16"/>
  <c r="G194" i="16"/>
  <c r="BY194" i="6" s="1"/>
  <c r="AA194" i="16"/>
  <c r="Z194" i="16" s="1"/>
  <c r="Y194" i="16" s="1"/>
  <c r="H194" i="16"/>
  <c r="AD31" i="17"/>
  <c r="G186" i="16"/>
  <c r="BY186" i="6" s="1"/>
  <c r="H186" i="16"/>
  <c r="AA186" i="16"/>
  <c r="Z186" i="16" s="1"/>
  <c r="Y186" i="16" s="1"/>
  <c r="G37" i="16"/>
  <c r="BY37" i="6" s="1"/>
  <c r="AA37" i="16"/>
  <c r="Z37" i="16" s="1"/>
  <c r="Y37" i="16" s="1"/>
  <c r="H37" i="16"/>
  <c r="J37" i="16" s="1"/>
  <c r="G17" i="16"/>
  <c r="BY17" i="6" s="1"/>
  <c r="H17" i="16"/>
  <c r="I17" i="16" s="1"/>
  <c r="AA17" i="16"/>
  <c r="Z17" i="16" s="1"/>
  <c r="Y17" i="16" s="1"/>
  <c r="H295" i="16"/>
  <c r="G295" i="16"/>
  <c r="BY295" i="6" s="1"/>
  <c r="AA295" i="16"/>
  <c r="Z295" i="16" s="1"/>
  <c r="Y295" i="16" s="1"/>
  <c r="G191" i="16"/>
  <c r="BY191" i="6" s="1"/>
  <c r="AA191" i="16"/>
  <c r="Z191" i="16" s="1"/>
  <c r="Y191" i="16" s="1"/>
  <c r="H191" i="16"/>
  <c r="J191" i="16" s="1"/>
  <c r="H354" i="16"/>
  <c r="AA354" i="16"/>
  <c r="Z354" i="16" s="1"/>
  <c r="Y354" i="16" s="1"/>
  <c r="G354" i="16"/>
  <c r="BY354" i="6" s="1"/>
  <c r="H110" i="16"/>
  <c r="AA110" i="16"/>
  <c r="Z110" i="16" s="1"/>
  <c r="Y110" i="16" s="1"/>
  <c r="G110" i="16"/>
  <c r="BY110" i="6" s="1"/>
  <c r="I302" i="16"/>
  <c r="J302" i="16"/>
  <c r="H16" i="16"/>
  <c r="G16" i="16"/>
  <c r="BY16" i="6" s="1"/>
  <c r="AA16" i="16"/>
  <c r="Z16" i="16" s="1"/>
  <c r="Y16" i="16" s="1"/>
  <c r="G69" i="16"/>
  <c r="BY69" i="6" s="1"/>
  <c r="AA69" i="16"/>
  <c r="Z69" i="16" s="1"/>
  <c r="Y69" i="16" s="1"/>
  <c r="H69" i="16"/>
  <c r="G328" i="16"/>
  <c r="BY328" i="6" s="1"/>
  <c r="H328" i="16"/>
  <c r="I328" i="16" s="1"/>
  <c r="AA328" i="16"/>
  <c r="Z328" i="16" s="1"/>
  <c r="Y328" i="16" s="1"/>
  <c r="G183" i="16"/>
  <c r="BY183" i="6" s="1"/>
  <c r="AA183" i="16"/>
  <c r="Z183" i="16" s="1"/>
  <c r="Y183" i="16" s="1"/>
  <c r="H183" i="16"/>
  <c r="I183" i="16" s="1"/>
  <c r="AA34" i="16"/>
  <c r="Z34" i="16" s="1"/>
  <c r="Y34" i="16" s="1"/>
  <c r="G34" i="16"/>
  <c r="BY34" i="6" s="1"/>
  <c r="H34" i="16"/>
  <c r="H49" i="16"/>
  <c r="G49" i="16"/>
  <c r="BY49" i="6" s="1"/>
  <c r="AA49" i="16"/>
  <c r="Z49" i="16" s="1"/>
  <c r="Y49" i="16" s="1"/>
  <c r="G159" i="16"/>
  <c r="BY159" i="6" s="1"/>
  <c r="H159" i="16"/>
  <c r="AA159" i="16"/>
  <c r="Z159" i="16" s="1"/>
  <c r="Y159" i="16" s="1"/>
  <c r="G26" i="16"/>
  <c r="BY26" i="6" s="1"/>
  <c r="AA26" i="16"/>
  <c r="Z26" i="16" s="1"/>
  <c r="Y26" i="16" s="1"/>
  <c r="J175" i="16"/>
  <c r="I175" i="16"/>
  <c r="G196" i="16"/>
  <c r="BY196" i="6" s="1"/>
  <c r="H196" i="16"/>
  <c r="AA196" i="16"/>
  <c r="Z196" i="16" s="1"/>
  <c r="Y196" i="16" s="1"/>
  <c r="G218" i="16"/>
  <c r="BY218" i="6" s="1"/>
  <c r="H218" i="16"/>
  <c r="J134" i="16"/>
  <c r="I134" i="16"/>
  <c r="J264" i="16"/>
  <c r="J358" i="16"/>
  <c r="U383" i="17"/>
  <c r="AD322" i="17"/>
  <c r="AD222" i="17"/>
  <c r="AD90" i="17"/>
  <c r="AD62" i="17"/>
  <c r="AD119" i="17"/>
  <c r="AD27" i="17"/>
  <c r="AD291" i="17"/>
  <c r="AD296" i="17"/>
  <c r="AD252" i="17"/>
  <c r="AD224" i="17"/>
  <c r="AD116" i="17"/>
  <c r="AD76" i="17"/>
  <c r="AD60" i="17"/>
  <c r="AD323" i="17"/>
  <c r="AD37" i="17"/>
  <c r="AD357" i="17"/>
  <c r="P295" i="17"/>
  <c r="V295" i="17" s="1"/>
  <c r="P239" i="17"/>
  <c r="V239" i="17" s="1"/>
  <c r="P231" i="17"/>
  <c r="V231" i="17" s="1"/>
  <c r="P223" i="17"/>
  <c r="V223" i="17" s="1"/>
  <c r="P135" i="17"/>
  <c r="V135" i="17" s="1"/>
  <c r="P119" i="17"/>
  <c r="D59" i="7" s="1"/>
  <c r="P111" i="17"/>
  <c r="V111" i="17" s="1"/>
  <c r="P79" i="17"/>
  <c r="V79" i="17" s="1"/>
  <c r="P71" i="17"/>
  <c r="V71" i="17" s="1"/>
  <c r="P55" i="17"/>
  <c r="V55" i="17" s="1"/>
  <c r="AD260" i="17"/>
  <c r="AD228" i="17"/>
  <c r="AD196" i="17"/>
  <c r="AD132" i="17"/>
  <c r="AD100" i="17"/>
  <c r="AI381" i="17"/>
  <c r="AD46" i="17"/>
  <c r="AD286" i="17"/>
  <c r="AD154" i="17"/>
  <c r="AD110" i="17"/>
  <c r="AD26" i="17"/>
  <c r="P366" i="17"/>
  <c r="V366" i="17" s="1"/>
  <c r="P334" i="17"/>
  <c r="V334" i="17" s="1"/>
  <c r="P318" i="17"/>
  <c r="V318" i="17" s="1"/>
  <c r="P246" i="17"/>
  <c r="V246" i="17" s="1"/>
  <c r="P198" i="17"/>
  <c r="V198" i="17" s="1"/>
  <c r="P182" i="17"/>
  <c r="V182" i="17" s="1"/>
  <c r="P166" i="17"/>
  <c r="V166" i="17" s="1"/>
  <c r="P126" i="17"/>
  <c r="V126" i="17" s="1"/>
  <c r="P110" i="17"/>
  <c r="V110" i="17" s="1"/>
  <c r="P94" i="17"/>
  <c r="V94" i="17" s="1"/>
  <c r="P46" i="17"/>
  <c r="V46" i="17" s="1"/>
  <c r="P30" i="17"/>
  <c r="V30" i="17" s="1"/>
  <c r="AD339" i="17"/>
  <c r="AD267" i="17"/>
  <c r="AD165" i="17"/>
  <c r="J216" i="16"/>
  <c r="G139" i="16"/>
  <c r="BY139" i="6" s="1"/>
  <c r="H305" i="16"/>
  <c r="P372" i="17"/>
  <c r="V372" i="17" s="1"/>
  <c r="P356" i="17"/>
  <c r="V356" i="17" s="1"/>
  <c r="J82" i="16"/>
  <c r="J276" i="16"/>
  <c r="I272" i="16"/>
  <c r="I174" i="16"/>
  <c r="J219" i="16"/>
  <c r="J335" i="16"/>
  <c r="AD33" i="17"/>
  <c r="AI12" i="18"/>
  <c r="P321" i="17"/>
  <c r="V321" i="17" s="1"/>
  <c r="P289" i="17"/>
  <c r="V289" i="17" s="1"/>
  <c r="P265" i="17"/>
  <c r="V265" i="17" s="1"/>
  <c r="P233" i="17"/>
  <c r="V233" i="17" s="1"/>
  <c r="P201" i="17"/>
  <c r="V201" i="17" s="1"/>
  <c r="P169" i="17"/>
  <c r="V169" i="17" s="1"/>
  <c r="P153" i="17"/>
  <c r="V153" i="17" s="1"/>
  <c r="P121" i="17"/>
  <c r="V121" i="17" s="1"/>
  <c r="P57" i="17"/>
  <c r="V57" i="17" s="1"/>
  <c r="P41" i="17"/>
  <c r="V41" i="17" s="1"/>
  <c r="P276" i="17"/>
  <c r="V276" i="17" s="1"/>
  <c r="P228" i="17"/>
  <c r="V228" i="17" s="1"/>
  <c r="G284" i="16"/>
  <c r="BY284" i="6" s="1"/>
  <c r="AD340" i="17"/>
  <c r="AD164" i="17"/>
  <c r="AD63" i="17"/>
  <c r="AA284" i="16"/>
  <c r="Z284" i="16" s="1"/>
  <c r="Y284" i="16" s="1"/>
  <c r="L63" i="19"/>
  <c r="AA158" i="16"/>
  <c r="Z158" i="16" s="1"/>
  <c r="Y158" i="16" s="1"/>
  <c r="AD342" i="17"/>
  <c r="AD318" i="17"/>
  <c r="AD302" i="17"/>
  <c r="AD254" i="17"/>
  <c r="J158" i="16"/>
  <c r="AD316" i="17"/>
  <c r="AD272" i="17"/>
  <c r="AD184" i="17"/>
  <c r="AD140" i="17"/>
  <c r="AD124" i="17"/>
  <c r="AD92" i="17"/>
  <c r="AD44" i="17"/>
  <c r="AD28" i="17"/>
  <c r="P196" i="17"/>
  <c r="V196" i="17" s="1"/>
  <c r="P68" i="17"/>
  <c r="V68" i="17" s="1"/>
  <c r="AD101" i="17"/>
  <c r="AD362" i="17"/>
  <c r="AD282" i="17"/>
  <c r="AD218" i="17"/>
  <c r="AD130" i="17"/>
  <c r="AD353" i="17"/>
  <c r="AD325" i="17"/>
  <c r="AD289" i="17"/>
  <c r="AD273" i="17"/>
  <c r="AD257" i="17"/>
  <c r="AD241" i="17"/>
  <c r="AD229" i="17"/>
  <c r="AD197" i="17"/>
  <c r="AD177" i="17"/>
  <c r="AD145" i="17"/>
  <c r="AD129" i="17"/>
  <c r="AD97" i="17"/>
  <c r="AD65" i="17"/>
  <c r="H26" i="16"/>
  <c r="J26" i="16" s="1"/>
  <c r="AD51" i="17"/>
  <c r="C63" i="19"/>
  <c r="G126" i="16"/>
  <c r="BY126" i="6" s="1"/>
  <c r="H126" i="16"/>
  <c r="I344" i="16"/>
  <c r="J344" i="16"/>
  <c r="AA218" i="16"/>
  <c r="Z218" i="16" s="1"/>
  <c r="Y218" i="16" s="1"/>
  <c r="I160" i="16"/>
  <c r="J160" i="16"/>
  <c r="G116" i="16"/>
  <c r="BY116" i="6" s="1"/>
  <c r="H116" i="16"/>
  <c r="AA116" i="16"/>
  <c r="Z116" i="16" s="1"/>
  <c r="Y116" i="16" s="1"/>
  <c r="AA252" i="16"/>
  <c r="Z252" i="16" s="1"/>
  <c r="Y252" i="16" s="1"/>
  <c r="G252" i="16"/>
  <c r="BY252" i="6" s="1"/>
  <c r="H252" i="16"/>
  <c r="G124" i="16"/>
  <c r="BY124" i="6" s="1"/>
  <c r="AA124" i="16"/>
  <c r="Z124" i="16" s="1"/>
  <c r="Y124" i="16" s="1"/>
  <c r="H124" i="16"/>
  <c r="H320" i="16"/>
  <c r="G320" i="16"/>
  <c r="BY320" i="6" s="1"/>
  <c r="AA320" i="16"/>
  <c r="Z320" i="16" s="1"/>
  <c r="Y320" i="16" s="1"/>
  <c r="H282" i="16"/>
  <c r="G282" i="16"/>
  <c r="BY282" i="6" s="1"/>
  <c r="G306" i="16"/>
  <c r="BY306" i="6" s="1"/>
  <c r="AA306" i="16"/>
  <c r="Z306" i="16" s="1"/>
  <c r="Y306" i="16" s="1"/>
  <c r="H306" i="16"/>
  <c r="AA282" i="16"/>
  <c r="Z282" i="16" s="1"/>
  <c r="Y282" i="16" s="1"/>
  <c r="AD363" i="17"/>
  <c r="AD315" i="17"/>
  <c r="AD259" i="17"/>
  <c r="AD139" i="17"/>
  <c r="AD371" i="17"/>
  <c r="AD347" i="17"/>
  <c r="AD275" i="17"/>
  <c r="AD251" i="17"/>
  <c r="H366" i="16"/>
  <c r="AA366" i="16"/>
  <c r="Z366" i="16" s="1"/>
  <c r="Y366" i="16" s="1"/>
  <c r="G366" i="16"/>
  <c r="BY366" i="6" s="1"/>
  <c r="H96" i="16"/>
  <c r="G96" i="16"/>
  <c r="BY96" i="6" s="1"/>
  <c r="AA96" i="16"/>
  <c r="Z96" i="16" s="1"/>
  <c r="Y96" i="16" s="1"/>
  <c r="G352" i="16"/>
  <c r="BY352" i="6" s="1"/>
  <c r="H352" i="16"/>
  <c r="AA352" i="16"/>
  <c r="Z352" i="16" s="1"/>
  <c r="Y352" i="16" s="1"/>
  <c r="G206" i="16"/>
  <c r="BY206" i="6" s="1"/>
  <c r="AA206" i="16"/>
  <c r="Z206" i="16" s="1"/>
  <c r="Y206" i="16" s="1"/>
  <c r="H206" i="16"/>
  <c r="G120" i="16"/>
  <c r="BY120" i="6" s="1"/>
  <c r="H120" i="16"/>
  <c r="AA120" i="16"/>
  <c r="Z120" i="16" s="1"/>
  <c r="Y120" i="16" s="1"/>
  <c r="H292" i="16"/>
  <c r="AA292" i="16"/>
  <c r="Z292" i="16" s="1"/>
  <c r="Y292" i="16" s="1"/>
  <c r="G292" i="16"/>
  <c r="BY292" i="6" s="1"/>
  <c r="G298" i="16"/>
  <c r="BY298" i="6" s="1"/>
  <c r="AA298" i="16"/>
  <c r="Z298" i="16" s="1"/>
  <c r="Y298" i="16" s="1"/>
  <c r="H298" i="16"/>
  <c r="G254" i="16"/>
  <c r="BY254" i="6" s="1"/>
  <c r="AA254" i="16"/>
  <c r="Z254" i="16" s="1"/>
  <c r="Y254" i="16" s="1"/>
  <c r="H254" i="16"/>
  <c r="G334" i="16"/>
  <c r="BY334" i="6" s="1"/>
  <c r="H334" i="16"/>
  <c r="AA334" i="16"/>
  <c r="Z334" i="16" s="1"/>
  <c r="Y334" i="16" s="1"/>
  <c r="H246" i="16"/>
  <c r="G246" i="16"/>
  <c r="BY246" i="6" s="1"/>
  <c r="AA246" i="16"/>
  <c r="Z246" i="16" s="1"/>
  <c r="Y246" i="16" s="1"/>
  <c r="G100" i="16"/>
  <c r="BY100" i="6" s="1"/>
  <c r="AA100" i="16"/>
  <c r="Z100" i="16" s="1"/>
  <c r="Y100" i="16" s="1"/>
  <c r="H100" i="16"/>
  <c r="G323" i="16"/>
  <c r="BY323" i="6" s="1"/>
  <c r="AA323" i="16"/>
  <c r="Z323" i="16" s="1"/>
  <c r="Y323" i="16" s="1"/>
  <c r="H323" i="16"/>
  <c r="G348" i="16"/>
  <c r="BY348" i="6" s="1"/>
  <c r="AA348" i="16"/>
  <c r="Z348" i="16" s="1"/>
  <c r="Y348" i="16" s="1"/>
  <c r="H348" i="16"/>
  <c r="G220" i="16"/>
  <c r="BY220" i="6" s="1"/>
  <c r="AA220" i="16"/>
  <c r="Z220" i="16" s="1"/>
  <c r="Y220" i="16" s="1"/>
  <c r="H220" i="16"/>
  <c r="H99" i="16"/>
  <c r="AA99" i="16"/>
  <c r="Z99" i="16" s="1"/>
  <c r="Y99" i="16" s="1"/>
  <c r="G99" i="16"/>
  <c r="BY99" i="6" s="1"/>
  <c r="G340" i="16"/>
  <c r="BY340" i="6" s="1"/>
  <c r="H340" i="16"/>
  <c r="AA340" i="16"/>
  <c r="Z340" i="16" s="1"/>
  <c r="Y340" i="16" s="1"/>
  <c r="G286" i="16"/>
  <c r="BY286" i="6" s="1"/>
  <c r="AA286" i="16"/>
  <c r="Z286" i="16" s="1"/>
  <c r="Y286" i="16" s="1"/>
  <c r="H286" i="16"/>
  <c r="G107" i="16"/>
  <c r="BY107" i="6" s="1"/>
  <c r="H107" i="16"/>
  <c r="AA107" i="16"/>
  <c r="Z107" i="16" s="1"/>
  <c r="Y107" i="16" s="1"/>
  <c r="G346" i="16"/>
  <c r="BY346" i="6" s="1"/>
  <c r="AA346" i="16"/>
  <c r="Z346" i="16" s="1"/>
  <c r="Y346" i="16" s="1"/>
  <c r="H346" i="16"/>
  <c r="G330" i="16"/>
  <c r="BY330" i="6" s="1"/>
  <c r="AA330" i="16"/>
  <c r="Z330" i="16" s="1"/>
  <c r="Y330" i="16" s="1"/>
  <c r="H330" i="16"/>
  <c r="G115" i="16"/>
  <c r="BY115" i="6" s="1"/>
  <c r="AA115" i="16"/>
  <c r="Z115" i="16" s="1"/>
  <c r="Y115" i="16" s="1"/>
  <c r="H115" i="16"/>
  <c r="G314" i="16"/>
  <c r="BY314" i="6" s="1"/>
  <c r="AA314" i="16"/>
  <c r="Z314" i="16" s="1"/>
  <c r="Y314" i="16" s="1"/>
  <c r="H314" i="16"/>
  <c r="AA190" i="16"/>
  <c r="Z190" i="16" s="1"/>
  <c r="Y190" i="16" s="1"/>
  <c r="H190" i="16"/>
  <c r="G190" i="16"/>
  <c r="BY190" i="6" s="1"/>
  <c r="H132" i="16"/>
  <c r="G132" i="16"/>
  <c r="BY132" i="6" s="1"/>
  <c r="AA132" i="16"/>
  <c r="Z132" i="16" s="1"/>
  <c r="Y132" i="16" s="1"/>
  <c r="G32" i="16"/>
  <c r="BY32" i="6" s="1"/>
  <c r="H32" i="16"/>
  <c r="AA32" i="16"/>
  <c r="Z32" i="16" s="1"/>
  <c r="Y32" i="16" s="1"/>
  <c r="H350" i="16"/>
  <c r="AA350" i="16"/>
  <c r="Z350" i="16" s="1"/>
  <c r="Y350" i="16" s="1"/>
  <c r="G350" i="16"/>
  <c r="BY350" i="6" s="1"/>
  <c r="H204" i="16"/>
  <c r="AA204" i="16"/>
  <c r="Z204" i="16" s="1"/>
  <c r="Y204" i="16" s="1"/>
  <c r="G204" i="16"/>
  <c r="BY204" i="6" s="1"/>
  <c r="G329" i="16"/>
  <c r="BY329" i="6" s="1"/>
  <c r="H329" i="16"/>
  <c r="AA329" i="16"/>
  <c r="Z329" i="16" s="1"/>
  <c r="Y329" i="16" s="1"/>
  <c r="J63" i="19"/>
  <c r="AD168" i="17"/>
  <c r="AD335" i="17"/>
  <c r="AD327" i="17"/>
  <c r="AD303" i="17"/>
  <c r="AD287" i="17"/>
  <c r="AD239" i="17"/>
  <c r="AD231" i="17"/>
  <c r="AD223" i="17"/>
  <c r="AD215" i="17"/>
  <c r="AD207" i="17"/>
  <c r="AD199" i="17"/>
  <c r="AD191" i="17"/>
  <c r="AD183" i="17"/>
  <c r="AD175" i="17"/>
  <c r="AD167" i="17"/>
  <c r="AD159" i="17"/>
  <c r="AD151" i="17"/>
  <c r="AD95" i="17"/>
  <c r="AD198" i="17"/>
  <c r="AD182" i="17"/>
  <c r="AD150" i="17"/>
  <c r="U382" i="17"/>
  <c r="AD247" i="17"/>
  <c r="AD244" i="17"/>
  <c r="P367" i="17"/>
  <c r="V367" i="17" s="1"/>
  <c r="P351" i="17"/>
  <c r="V351" i="17" s="1"/>
  <c r="P303" i="17"/>
  <c r="V303" i="17" s="1"/>
  <c r="P207" i="17"/>
  <c r="V207" i="17" s="1"/>
  <c r="P143" i="17"/>
  <c r="V143" i="17" s="1"/>
  <c r="P95" i="17"/>
  <c r="V95" i="17" s="1"/>
  <c r="P87" i="17"/>
  <c r="V87" i="17" s="1"/>
  <c r="AD376" i="17"/>
  <c r="AD304" i="17"/>
  <c r="AD212" i="17"/>
  <c r="AD112" i="17"/>
  <c r="AD334" i="17"/>
  <c r="AD230" i="17"/>
  <c r="P26" i="17"/>
  <c r="V26" i="17" s="1"/>
  <c r="AD359" i="17"/>
  <c r="AD135" i="17"/>
  <c r="AI382" i="17"/>
  <c r="D63" i="19"/>
  <c r="AD125" i="17"/>
  <c r="I63" i="19"/>
  <c r="H184" i="16"/>
  <c r="J184" i="16" s="1"/>
  <c r="E63" i="19"/>
  <c r="I260" i="16"/>
  <c r="I291" i="16"/>
  <c r="AD271" i="17"/>
  <c r="G25" i="16"/>
  <c r="BY25" i="6" s="1"/>
  <c r="AD276" i="17"/>
  <c r="AD148" i="17"/>
  <c r="AD311" i="17"/>
  <c r="AD107" i="17"/>
  <c r="AD75" i="17"/>
  <c r="AD43" i="17"/>
  <c r="H25" i="16"/>
  <c r="J25" i="16" s="1"/>
  <c r="M63" i="19"/>
  <c r="AD366" i="17"/>
  <c r="AD262" i="17"/>
  <c r="AD246" i="17"/>
  <c r="AD352" i="17"/>
  <c r="AD248" i="17"/>
  <c r="AD104" i="17"/>
  <c r="AD88" i="17"/>
  <c r="AD80" i="17"/>
  <c r="AD56" i="17"/>
  <c r="AD48" i="17"/>
  <c r="AD40" i="17"/>
  <c r="AD32" i="17"/>
  <c r="AD24" i="17"/>
  <c r="AD109" i="17"/>
  <c r="K63" i="19"/>
  <c r="F156" i="16"/>
  <c r="G302" i="16"/>
  <c r="BY302" i="6" s="1"/>
  <c r="AA302" i="16"/>
  <c r="Z302" i="16" s="1"/>
  <c r="Y302" i="16" s="1"/>
  <c r="AD375" i="17"/>
  <c r="AD367" i="17"/>
  <c r="AD351" i="17"/>
  <c r="AD343" i="17"/>
  <c r="AD331" i="17"/>
  <c r="AD319" i="17"/>
  <c r="AD307" i="17"/>
  <c r="AD299" i="17"/>
  <c r="AD279" i="17"/>
  <c r="AD263" i="17"/>
  <c r="AD255" i="17"/>
  <c r="AD243" i="17"/>
  <c r="AD235" i="17"/>
  <c r="AD227" i="17"/>
  <c r="AD219" i="17"/>
  <c r="AD211" i="17"/>
  <c r="AD203" i="17"/>
  <c r="AD195" i="17"/>
  <c r="AD187" i="17"/>
  <c r="AD179" i="17"/>
  <c r="AD171" i="17"/>
  <c r="AD163" i="17"/>
  <c r="AD155" i="17"/>
  <c r="AD147" i="17"/>
  <c r="F180" i="16"/>
  <c r="G63" i="19"/>
  <c r="F64" i="16"/>
  <c r="AD206" i="17"/>
  <c r="AD190" i="17"/>
  <c r="AD166" i="17"/>
  <c r="G360" i="16"/>
  <c r="BY360" i="6" s="1"/>
  <c r="H360" i="16"/>
  <c r="AA360" i="16"/>
  <c r="Z360" i="16" s="1"/>
  <c r="Y360" i="16" s="1"/>
  <c r="F312" i="16"/>
  <c r="AF379" i="16"/>
  <c r="AG383" i="16"/>
  <c r="AG382" i="16"/>
  <c r="AG381" i="16"/>
  <c r="I307" i="16"/>
  <c r="J142" i="16"/>
  <c r="V272" i="17"/>
  <c r="I232" i="16"/>
  <c r="I343" i="16"/>
  <c r="I318" i="16"/>
  <c r="I191" i="16"/>
  <c r="I77" i="16"/>
  <c r="I263" i="16"/>
  <c r="J102" i="16"/>
  <c r="J183" i="16"/>
  <c r="J359" i="16"/>
  <c r="I23" i="16"/>
  <c r="J121" i="16"/>
  <c r="J287" i="16"/>
  <c r="J328" i="16"/>
  <c r="I271" i="16"/>
  <c r="J241" i="16"/>
  <c r="J41" i="16"/>
  <c r="I80" i="16"/>
  <c r="J170" i="16"/>
  <c r="J259" i="16"/>
  <c r="C44" i="19"/>
  <c r="C33" i="19" s="1"/>
  <c r="J39" i="16"/>
  <c r="J368" i="16"/>
  <c r="I146" i="16"/>
  <c r="I72" i="16"/>
  <c r="J24" i="16"/>
  <c r="J162" i="16"/>
  <c r="I347" i="16"/>
  <c r="J325" i="16"/>
  <c r="I51" i="16"/>
  <c r="I202" i="16"/>
  <c r="J122" i="16"/>
  <c r="I285" i="16"/>
  <c r="I94" i="16"/>
  <c r="J337" i="16"/>
  <c r="J19" i="16"/>
  <c r="I315" i="16"/>
  <c r="I362" i="16"/>
  <c r="I200" i="16"/>
  <c r="J125" i="16"/>
  <c r="L43" i="19"/>
  <c r="I209" i="16"/>
  <c r="I182" i="16"/>
  <c r="J257" i="16"/>
  <c r="D11" i="19"/>
  <c r="E11" i="19" s="1"/>
  <c r="G35" i="19"/>
  <c r="V149" i="17"/>
  <c r="I262" i="16"/>
  <c r="V333" i="17"/>
  <c r="J372" i="16"/>
  <c r="I230" i="16"/>
  <c r="J81" i="16"/>
  <c r="I47" i="16"/>
  <c r="I67" i="16"/>
  <c r="I35" i="16"/>
  <c r="J143" i="16"/>
  <c r="Q331" i="18"/>
  <c r="Q202" i="18"/>
  <c r="Q267" i="18"/>
  <c r="Q138" i="18"/>
  <c r="J322" i="16"/>
  <c r="J199" i="16"/>
  <c r="J57" i="16"/>
  <c r="J296" i="16"/>
  <c r="I31" i="16"/>
  <c r="I197" i="16"/>
  <c r="J97" i="16"/>
  <c r="J78" i="16"/>
  <c r="J73" i="16"/>
  <c r="J363" i="16"/>
  <c r="I212" i="16"/>
  <c r="I210" i="16"/>
  <c r="J60" i="16"/>
  <c r="I299" i="16"/>
  <c r="I184" i="16"/>
  <c r="J111" i="16"/>
  <c r="J87" i="16"/>
  <c r="J93" i="16"/>
  <c r="J88" i="16"/>
  <c r="J42" i="16"/>
  <c r="J173" i="16"/>
  <c r="J274" i="16"/>
  <c r="J52" i="16"/>
  <c r="V88" i="17"/>
  <c r="J89" i="16"/>
  <c r="I89" i="16"/>
  <c r="I21" i="16"/>
  <c r="I139" i="16"/>
  <c r="I28" i="16"/>
  <c r="I74" i="16"/>
  <c r="J48" i="16"/>
  <c r="J69" i="16"/>
  <c r="I69" i="16"/>
  <c r="I103" i="16"/>
  <c r="I310" i="16"/>
  <c r="I374" i="16"/>
  <c r="I217" i="16"/>
  <c r="I308" i="16"/>
  <c r="I53" i="16"/>
  <c r="J75" i="16"/>
  <c r="V29" i="17"/>
  <c r="V363" i="17"/>
  <c r="I108" i="16"/>
  <c r="Q363" i="18"/>
  <c r="Q299" i="18"/>
  <c r="Q234" i="18"/>
  <c r="Q170" i="18"/>
  <c r="Q78" i="18"/>
  <c r="I91" i="16"/>
  <c r="J91" i="16"/>
  <c r="J84" i="16"/>
  <c r="J56" i="16"/>
  <c r="Q373" i="18"/>
  <c r="Q347" i="18"/>
  <c r="Q315" i="18"/>
  <c r="Q283" i="18"/>
  <c r="Q251" i="18"/>
  <c r="Q218" i="18"/>
  <c r="Q186" i="18"/>
  <c r="Q154" i="18"/>
  <c r="Q110" i="18"/>
  <c r="Q46" i="18"/>
  <c r="J45" i="16"/>
  <c r="I45" i="16"/>
  <c r="J305" i="16"/>
  <c r="I305" i="16"/>
  <c r="I237" i="16"/>
  <c r="J237" i="16"/>
  <c r="J207" i="16"/>
  <c r="I207" i="16"/>
  <c r="I127" i="16"/>
  <c r="J127" i="16"/>
  <c r="I79" i="16"/>
  <c r="J79" i="16"/>
  <c r="J247" i="16"/>
  <c r="I247" i="16"/>
  <c r="I54" i="16"/>
  <c r="J54" i="16"/>
  <c r="J172" i="16"/>
  <c r="I62" i="16"/>
  <c r="J62" i="16"/>
  <c r="J266" i="16"/>
  <c r="Q377" i="18"/>
  <c r="Q369" i="18"/>
  <c r="Q355" i="18"/>
  <c r="Q339" i="18"/>
  <c r="Q323" i="18"/>
  <c r="Q307" i="18"/>
  <c r="Q291" i="18"/>
  <c r="Q275" i="18"/>
  <c r="Q259" i="18"/>
  <c r="Q243" i="18"/>
  <c r="Q226" i="18"/>
  <c r="Q210" i="18"/>
  <c r="Q194" i="18"/>
  <c r="Q178" i="18"/>
  <c r="Q162" i="18"/>
  <c r="Q146" i="18"/>
  <c r="Q126" i="18"/>
  <c r="Q94" i="18"/>
  <c r="Q62" i="18"/>
  <c r="Q30" i="18"/>
  <c r="AH381" i="17"/>
  <c r="AH382" i="17"/>
  <c r="AD16" i="17"/>
  <c r="Q379" i="18"/>
  <c r="Q375" i="18"/>
  <c r="Q371" i="18"/>
  <c r="Q367" i="18"/>
  <c r="Q359" i="18"/>
  <c r="Q351" i="18"/>
  <c r="Q343" i="18"/>
  <c r="Q335" i="18"/>
  <c r="Q327" i="18"/>
  <c r="Q319" i="18"/>
  <c r="Q311" i="18"/>
  <c r="Q303" i="18"/>
  <c r="Q295" i="18"/>
  <c r="Q287" i="18"/>
  <c r="Q279" i="18"/>
  <c r="Q271" i="18"/>
  <c r="Q263" i="18"/>
  <c r="Q255" i="18"/>
  <c r="Q247" i="18"/>
  <c r="Q239" i="18"/>
  <c r="Q230" i="18"/>
  <c r="Q222" i="18"/>
  <c r="Q214" i="18"/>
  <c r="Q206" i="18"/>
  <c r="Q198" i="18"/>
  <c r="Q190" i="18"/>
  <c r="Q182" i="18"/>
  <c r="Q174" i="18"/>
  <c r="Q166" i="18"/>
  <c r="Q158" i="18"/>
  <c r="Q150" i="18"/>
  <c r="Q142" i="18"/>
  <c r="Q134" i="18"/>
  <c r="Q118" i="18"/>
  <c r="Q102" i="18"/>
  <c r="Q86" i="18"/>
  <c r="Q70" i="18"/>
  <c r="Q54" i="18"/>
  <c r="Q38" i="18"/>
  <c r="AE18" i="18"/>
  <c r="Q16" i="18"/>
  <c r="Q26" i="18"/>
  <c r="Q34" i="18"/>
  <c r="Q42" i="18"/>
  <c r="Q50" i="18"/>
  <c r="Q58" i="18"/>
  <c r="Q66" i="18"/>
  <c r="Q74" i="18"/>
  <c r="Q82" i="18"/>
  <c r="Q90" i="18"/>
  <c r="Q98" i="18"/>
  <c r="Q106" i="18"/>
  <c r="Q114" i="18"/>
  <c r="Q122" i="18"/>
  <c r="Q130" i="18"/>
  <c r="Q136" i="18"/>
  <c r="Q140" i="18"/>
  <c r="Q144" i="18"/>
  <c r="Q148" i="18"/>
  <c r="Q152" i="18"/>
  <c r="Q156" i="18"/>
  <c r="Q160" i="18"/>
  <c r="Q164" i="18"/>
  <c r="Q168" i="18"/>
  <c r="Q172" i="18"/>
  <c r="Q176" i="18"/>
  <c r="Q180" i="18"/>
  <c r="Q184" i="18"/>
  <c r="Q188" i="18"/>
  <c r="Q192" i="18"/>
  <c r="Q196" i="18"/>
  <c r="Q200" i="18"/>
  <c r="Q204" i="18"/>
  <c r="Q208" i="18"/>
  <c r="Q212" i="18"/>
  <c r="Q216" i="18"/>
  <c r="Q220" i="18"/>
  <c r="Q224" i="18"/>
  <c r="Q228" i="18"/>
  <c r="Q232" i="18"/>
  <c r="Q236" i="18"/>
  <c r="Q241" i="18"/>
  <c r="Q245" i="18"/>
  <c r="Q249" i="18"/>
  <c r="Q253" i="18"/>
  <c r="Q257" i="18"/>
  <c r="Q261" i="18"/>
  <c r="Q265" i="18"/>
  <c r="Q269" i="18"/>
  <c r="Q273" i="18"/>
  <c r="Q277" i="18"/>
  <c r="Q281" i="18"/>
  <c r="Q285" i="18"/>
  <c r="Q289" i="18"/>
  <c r="Q293" i="18"/>
  <c r="Q297" i="18"/>
  <c r="Q301" i="18"/>
  <c r="Q305" i="18"/>
  <c r="Q309" i="18"/>
  <c r="Q313" i="18"/>
  <c r="Q317" i="18"/>
  <c r="Q321" i="18"/>
  <c r="Q325" i="18"/>
  <c r="Q329" i="18"/>
  <c r="Q333" i="18"/>
  <c r="Q337" i="18"/>
  <c r="Q341" i="18"/>
  <c r="Q345" i="18"/>
  <c r="Q349" i="18"/>
  <c r="Q353" i="18"/>
  <c r="Q357" i="18"/>
  <c r="Q361" i="18"/>
  <c r="Q365" i="18"/>
  <c r="J40" i="16"/>
  <c r="I40" i="16"/>
  <c r="J152" i="16"/>
  <c r="I152" i="16"/>
  <c r="I112" i="16"/>
  <c r="J112" i="16"/>
  <c r="I27" i="16"/>
  <c r="J27" i="16"/>
  <c r="Q132" i="18"/>
  <c r="Q128" i="18"/>
  <c r="Q124" i="18"/>
  <c r="Q120" i="18"/>
  <c r="Q116" i="18"/>
  <c r="Q112" i="18"/>
  <c r="Q108" i="18"/>
  <c r="Q104" i="18"/>
  <c r="Q100" i="18"/>
  <c r="Q96" i="18"/>
  <c r="Q92" i="18"/>
  <c r="Q88" i="18"/>
  <c r="Q84" i="18"/>
  <c r="Q80" i="18"/>
  <c r="Q76" i="18"/>
  <c r="Q72" i="18"/>
  <c r="Q68" i="18"/>
  <c r="Q64" i="18"/>
  <c r="Q60" i="18"/>
  <c r="Q56" i="18"/>
  <c r="Q52" i="18"/>
  <c r="Q48" i="18"/>
  <c r="Q44" i="18"/>
  <c r="Q40" i="18"/>
  <c r="Q36" i="18"/>
  <c r="Q32" i="18"/>
  <c r="Q28" i="18"/>
  <c r="Q24" i="18"/>
  <c r="Q20" i="18"/>
  <c r="Q19" i="18"/>
  <c r="J58" i="16"/>
  <c r="I58" i="16"/>
  <c r="J92" i="16"/>
  <c r="I92" i="16"/>
  <c r="I37" i="16"/>
  <c r="J30" i="16"/>
  <c r="I30" i="16"/>
  <c r="AL11" i="1"/>
  <c r="AJ3" i="1" s="1"/>
  <c r="O11" i="19" s="1"/>
  <c r="U10" i="18"/>
  <c r="U25" i="18" s="1"/>
  <c r="T25" i="18" s="1"/>
  <c r="S25" i="18" s="1"/>
  <c r="R25" i="18" s="1"/>
  <c r="V383" i="15"/>
  <c r="AC382" i="25"/>
  <c r="AC383" i="25"/>
  <c r="AC381" i="25"/>
  <c r="Y379" i="1"/>
  <c r="AL5" i="1" s="1"/>
  <c r="Z381" i="1"/>
  <c r="Z383" i="1"/>
  <c r="Z9" i="1"/>
  <c r="Z382" i="1"/>
  <c r="AL8" i="1"/>
  <c r="E7" i="7"/>
  <c r="A7" i="6"/>
  <c r="V382" i="15"/>
  <c r="O383" i="25"/>
  <c r="O381" i="25"/>
  <c r="O382" i="25"/>
  <c r="J379" i="15"/>
  <c r="I379" i="15"/>
  <c r="H379" i="16" s="1"/>
  <c r="V113" i="17"/>
  <c r="V105" i="17"/>
  <c r="V89" i="17"/>
  <c r="V73" i="17"/>
  <c r="V65" i="17"/>
  <c r="V49" i="17"/>
  <c r="V33" i="17"/>
  <c r="V186" i="17"/>
  <c r="V170" i="17"/>
  <c r="V359" i="17"/>
  <c r="V343" i="17"/>
  <c r="V327" i="17"/>
  <c r="V315" i="17"/>
  <c r="V283" i="17"/>
  <c r="V259" i="17"/>
  <c r="V247" i="17"/>
  <c r="V127" i="17"/>
  <c r="V19" i="17"/>
  <c r="V348" i="17"/>
  <c r="V80" i="17"/>
  <c r="V40" i="17"/>
  <c r="V28" i="17"/>
  <c r="V20" i="17"/>
  <c r="V141" i="17"/>
  <c r="V129" i="17"/>
  <c r="V117" i="17"/>
  <c r="V93" i="17"/>
  <c r="V85" i="17"/>
  <c r="V69" i="17"/>
  <c r="V61" i="17"/>
  <c r="V45" i="17"/>
  <c r="V194" i="17"/>
  <c r="V355" i="17"/>
  <c r="V339" i="17"/>
  <c r="V331" i="17"/>
  <c r="V319" i="17"/>
  <c r="V299" i="17"/>
  <c r="V287" i="17"/>
  <c r="V271" i="17"/>
  <c r="V123" i="17"/>
  <c r="V352" i="17"/>
  <c r="V324" i="17"/>
  <c r="V304" i="17"/>
  <c r="V288" i="17"/>
  <c r="V84" i="17"/>
  <c r="V76" i="17"/>
  <c r="D57" i="7"/>
  <c r="V60" i="17"/>
  <c r="V52" i="17"/>
  <c r="V24" i="17"/>
  <c r="V18" i="17"/>
  <c r="Q378" i="18"/>
  <c r="Q376" i="18"/>
  <c r="Q374" i="18"/>
  <c r="Q372" i="18"/>
  <c r="Q370" i="18"/>
  <c r="Q368" i="18"/>
  <c r="Q366" i="18"/>
  <c r="Q364" i="18"/>
  <c r="Q362" i="18"/>
  <c r="Q360" i="18"/>
  <c r="Q358" i="18"/>
  <c r="Q356" i="18"/>
  <c r="Q354" i="18"/>
  <c r="Q352" i="18"/>
  <c r="Q350" i="18"/>
  <c r="Q348" i="18"/>
  <c r="Q346" i="18"/>
  <c r="Q344" i="18"/>
  <c r="Q342" i="18"/>
  <c r="Q340" i="18"/>
  <c r="Q338" i="18"/>
  <c r="Q336" i="18"/>
  <c r="Q334" i="18"/>
  <c r="Q332" i="18"/>
  <c r="Q330" i="18"/>
  <c r="Q328" i="18"/>
  <c r="Q326" i="18"/>
  <c r="Q324" i="18"/>
  <c r="Q322" i="18"/>
  <c r="Q320" i="18"/>
  <c r="Q318" i="18"/>
  <c r="Q316" i="18"/>
  <c r="Q314" i="18"/>
  <c r="Q312" i="18"/>
  <c r="Q310" i="18"/>
  <c r="Q308" i="18"/>
  <c r="Q306" i="18"/>
  <c r="Q304" i="18"/>
  <c r="Q302" i="18"/>
  <c r="Q300" i="18"/>
  <c r="Q298" i="18"/>
  <c r="Q296" i="18"/>
  <c r="Q294" i="18"/>
  <c r="Q292" i="18"/>
  <c r="Q290" i="18"/>
  <c r="Q288" i="18"/>
  <c r="Q286" i="18"/>
  <c r="Q284" i="18"/>
  <c r="Q282" i="18"/>
  <c r="Q280" i="18"/>
  <c r="Q278" i="18"/>
  <c r="Q276" i="18"/>
  <c r="Q274" i="18"/>
  <c r="Q272" i="18"/>
  <c r="Q270" i="18"/>
  <c r="Q268" i="18"/>
  <c r="Q266" i="18"/>
  <c r="Q264" i="18"/>
  <c r="Q262" i="18"/>
  <c r="Q260" i="18"/>
  <c r="Q258" i="18"/>
  <c r="Q256" i="18"/>
  <c r="Q254" i="18"/>
  <c r="Q252" i="18"/>
  <c r="Q250" i="18"/>
  <c r="Q248" i="18"/>
  <c r="Q246" i="18"/>
  <c r="Q244" i="18"/>
  <c r="Q242" i="18"/>
  <c r="Q240" i="18"/>
  <c r="Q238" i="18"/>
  <c r="Q235" i="18"/>
  <c r="Q233" i="18"/>
  <c r="Q231" i="18"/>
  <c r="Q229" i="18"/>
  <c r="Q227" i="18"/>
  <c r="Q225" i="18"/>
  <c r="Q223" i="18"/>
  <c r="Q221" i="18"/>
  <c r="Q219" i="18"/>
  <c r="Q217" i="18"/>
  <c r="Q215" i="18"/>
  <c r="Q213" i="18"/>
  <c r="Q211" i="18"/>
  <c r="Q209" i="18"/>
  <c r="Q207" i="18"/>
  <c r="Q205" i="18"/>
  <c r="Q203" i="18"/>
  <c r="Q201" i="18"/>
  <c r="Q199" i="18"/>
  <c r="Q197" i="18"/>
  <c r="Q195" i="18"/>
  <c r="Q193" i="18"/>
  <c r="Q191" i="18"/>
  <c r="Q189" i="18"/>
  <c r="Q187" i="18"/>
  <c r="Q185" i="18"/>
  <c r="Q183" i="18"/>
  <c r="Q181" i="18"/>
  <c r="Q179" i="18"/>
  <c r="Q177" i="18"/>
  <c r="Q175" i="18"/>
  <c r="Q173" i="18"/>
  <c r="Q171" i="18"/>
  <c r="Q169" i="18"/>
  <c r="Q167" i="18"/>
  <c r="Q165" i="18"/>
  <c r="Q163" i="18"/>
  <c r="Q161" i="18"/>
  <c r="Q159" i="18"/>
  <c r="Q157" i="18"/>
  <c r="Q155" i="18"/>
  <c r="Q153" i="18"/>
  <c r="Q151" i="18"/>
  <c r="Q149" i="18"/>
  <c r="Q147" i="18"/>
  <c r="Q145" i="18"/>
  <c r="Q143" i="18"/>
  <c r="Q141" i="18"/>
  <c r="Q139" i="18"/>
  <c r="Q137" i="18"/>
  <c r="Q135" i="18"/>
  <c r="Q133" i="18"/>
  <c r="Q131" i="18"/>
  <c r="Q129" i="18"/>
  <c r="Q127" i="18"/>
  <c r="Q125" i="18"/>
  <c r="Q123" i="18"/>
  <c r="Q121" i="18"/>
  <c r="Q119" i="18"/>
  <c r="Q117" i="18"/>
  <c r="Q115" i="18"/>
  <c r="Q113" i="18"/>
  <c r="Q111" i="18"/>
  <c r="Q109" i="18"/>
  <c r="Q107" i="18"/>
  <c r="Q105" i="18"/>
  <c r="Q103" i="18"/>
  <c r="Q101" i="18"/>
  <c r="Q99" i="18"/>
  <c r="Q97" i="18"/>
  <c r="Q95" i="18"/>
  <c r="Q93" i="18"/>
  <c r="Q91" i="18"/>
  <c r="Q89" i="18"/>
  <c r="Q87" i="18"/>
  <c r="Q85" i="18"/>
  <c r="Q83" i="18"/>
  <c r="Q81" i="18"/>
  <c r="Q79" i="18"/>
  <c r="Q77" i="18"/>
  <c r="Q75" i="18"/>
  <c r="Q73" i="18"/>
  <c r="Q71" i="18"/>
  <c r="Q69" i="18"/>
  <c r="Q67" i="18"/>
  <c r="Q65" i="18"/>
  <c r="Q63" i="18"/>
  <c r="Q61" i="18"/>
  <c r="Q59" i="18"/>
  <c r="Q57" i="18"/>
  <c r="Q55" i="18"/>
  <c r="Q53" i="18"/>
  <c r="Q51" i="18"/>
  <c r="Q49" i="18"/>
  <c r="Q47" i="18"/>
  <c r="Q45" i="18"/>
  <c r="Q43" i="18"/>
  <c r="Q41" i="18"/>
  <c r="Q39" i="18"/>
  <c r="Q37" i="18"/>
  <c r="Q35" i="18"/>
  <c r="Q33" i="18"/>
  <c r="Q31" i="18"/>
  <c r="Q29" i="18"/>
  <c r="Q27" i="18"/>
  <c r="Q25" i="18"/>
  <c r="Q23" i="18"/>
  <c r="Q21" i="18"/>
  <c r="Q15" i="18"/>
  <c r="Q17" i="18"/>
  <c r="Q18" i="18"/>
  <c r="N62" i="19"/>
  <c r="G381" i="15"/>
  <c r="G382" i="15"/>
  <c r="G383" i="15"/>
  <c r="G12" i="15" s="1"/>
  <c r="I228" i="16"/>
  <c r="J228" i="16"/>
  <c r="AM7" i="25"/>
  <c r="AM11" i="25" s="1"/>
  <c r="AM5" i="25"/>
  <c r="AK9" i="25"/>
  <c r="AK5" i="25"/>
  <c r="AM9" i="25"/>
  <c r="AK7" i="25"/>
  <c r="AK11" i="25" s="1"/>
  <c r="L382" i="25"/>
  <c r="L383" i="25"/>
  <c r="L381" i="25"/>
  <c r="AA16" i="7"/>
  <c r="U21" i="18"/>
  <c r="T21" i="18" s="1"/>
  <c r="S21" i="18" s="1"/>
  <c r="R21" i="18" s="1"/>
  <c r="U85" i="18"/>
  <c r="T85" i="18" s="1"/>
  <c r="S85" i="18" s="1"/>
  <c r="R85" i="18" s="1"/>
  <c r="U149" i="18"/>
  <c r="T149" i="18" s="1"/>
  <c r="S149" i="18" s="1"/>
  <c r="R149" i="18" s="1"/>
  <c r="U213" i="18"/>
  <c r="T213" i="18" s="1"/>
  <c r="S213" i="18" s="1"/>
  <c r="R213" i="18" s="1"/>
  <c r="U277" i="18"/>
  <c r="T277" i="18" s="1"/>
  <c r="U341" i="18"/>
  <c r="T341" i="18" s="1"/>
  <c r="U379" i="18"/>
  <c r="T381" i="17"/>
  <c r="T382" i="17"/>
  <c r="T383" i="17"/>
  <c r="S15" i="17"/>
  <c r="AE103" i="18"/>
  <c r="AE101" i="18"/>
  <c r="AE99" i="18"/>
  <c r="AE97" i="18"/>
  <c r="AE95" i="18"/>
  <c r="AE93" i="18"/>
  <c r="AE91" i="18"/>
  <c r="AE89" i="18"/>
  <c r="AE87" i="18"/>
  <c r="AE85" i="18"/>
  <c r="AE83" i="18"/>
  <c r="AE81" i="18"/>
  <c r="AE79" i="18"/>
  <c r="AE77" i="18"/>
  <c r="AE75" i="18"/>
  <c r="AE73" i="18"/>
  <c r="AE71" i="18"/>
  <c r="AE69" i="18"/>
  <c r="AE67" i="18"/>
  <c r="AE65" i="18"/>
  <c r="AE63" i="18"/>
  <c r="AE61" i="18"/>
  <c r="AE59" i="18"/>
  <c r="AE57" i="18"/>
  <c r="AE55" i="18"/>
  <c r="AE53" i="18"/>
  <c r="AE51" i="18"/>
  <c r="AE49" i="18"/>
  <c r="AE47" i="18"/>
  <c r="AE45" i="18"/>
  <c r="AE43" i="18"/>
  <c r="AE41" i="18"/>
  <c r="AE39" i="18"/>
  <c r="AE37" i="18"/>
  <c r="AE35" i="18"/>
  <c r="AE33" i="18"/>
  <c r="AE31" i="18"/>
  <c r="AE29" i="18"/>
  <c r="AE27" i="18"/>
  <c r="AE25" i="18"/>
  <c r="AE23" i="18"/>
  <c r="AE21" i="18"/>
  <c r="AE15" i="18"/>
  <c r="AE16" i="18"/>
  <c r="V341" i="17"/>
  <c r="V325" i="17"/>
  <c r="V317" i="17"/>
  <c r="V313" i="17"/>
  <c r="V293" i="17"/>
  <c r="V249" i="17"/>
  <c r="D63" i="7"/>
  <c r="V241" i="17"/>
  <c r="V229" i="17"/>
  <c r="V193" i="17"/>
  <c r="V161" i="17"/>
  <c r="V25" i="17"/>
  <c r="V21" i="17"/>
  <c r="AB15" i="7"/>
  <c r="Q237" i="18"/>
  <c r="AC15" i="7"/>
  <c r="F11" i="15"/>
  <c r="G12" i="19"/>
  <c r="AB9" i="15"/>
  <c r="J15" i="15"/>
  <c r="I15" i="15"/>
  <c r="AA383" i="15"/>
  <c r="AL10" i="15"/>
  <c r="AM8" i="15"/>
  <c r="Z15" i="15"/>
  <c r="AA382" i="15"/>
  <c r="AA9" i="15"/>
  <c r="AA381" i="15"/>
  <c r="V374" i="17"/>
  <c r="V370" i="17"/>
  <c r="V358" i="17"/>
  <c r="V342" i="17"/>
  <c r="V338" i="17"/>
  <c r="V314" i="17"/>
  <c r="V310" i="17"/>
  <c r="D65" i="7"/>
  <c r="V302" i="17"/>
  <c r="V298" i="17"/>
  <c r="V290" i="17"/>
  <c r="V278" i="17"/>
  <c r="V274" i="17"/>
  <c r="V270" i="17"/>
  <c r="V254" i="17"/>
  <c r="V250" i="17"/>
  <c r="V242" i="17"/>
  <c r="V238" i="17"/>
  <c r="V230" i="17"/>
  <c r="V226" i="17"/>
  <c r="V222" i="17"/>
  <c r="V122" i="17"/>
  <c r="V106" i="17"/>
  <c r="V98" i="17"/>
  <c r="V90" i="17"/>
  <c r="V86" i="17"/>
  <c r="V78" i="17"/>
  <c r="V74" i="17"/>
  <c r="V70" i="17"/>
  <c r="V66" i="17"/>
  <c r="V62" i="17"/>
  <c r="V58" i="17"/>
  <c r="V50" i="17"/>
  <c r="V34" i="17"/>
  <c r="V17" i="17"/>
  <c r="J46" i="16"/>
  <c r="I46" i="16"/>
  <c r="S379" i="17"/>
  <c r="R379" i="17" s="1"/>
  <c r="P379" i="17" s="1"/>
  <c r="V375" i="17"/>
  <c r="V371" i="17"/>
  <c r="V211" i="17"/>
  <c r="V199" i="17"/>
  <c r="V187" i="17"/>
  <c r="V175" i="17"/>
  <c r="V151" i="17"/>
  <c r="V139" i="17"/>
  <c r="V107" i="17"/>
  <c r="V103" i="17"/>
  <c r="V99" i="17"/>
  <c r="V83" i="17"/>
  <c r="V67" i="17"/>
  <c r="V63" i="17"/>
  <c r="V47" i="17"/>
  <c r="V39" i="17"/>
  <c r="V35" i="17"/>
  <c r="V23" i="17"/>
  <c r="AG382" i="17"/>
  <c r="AG381" i="17"/>
  <c r="AG383" i="17"/>
  <c r="AF15" i="17"/>
  <c r="V15" i="16"/>
  <c r="P381" i="16"/>
  <c r="P382" i="16"/>
  <c r="P383" i="16"/>
  <c r="F15" i="16"/>
  <c r="V264" i="17"/>
  <c r="V252" i="17"/>
  <c r="V212" i="17"/>
  <c r="V192" i="17"/>
  <c r="V188" i="17"/>
  <c r="D61" i="7"/>
  <c r="V180" i="17"/>
  <c r="V172" i="17"/>
  <c r="V168" i="17"/>
  <c r="V160" i="17"/>
  <c r="V148" i="17"/>
  <c r="V144" i="17"/>
  <c r="V132" i="17"/>
  <c r="V120" i="17"/>
  <c r="V112" i="17"/>
  <c r="V104" i="17"/>
  <c r="V100" i="17"/>
  <c r="V96" i="17"/>
  <c r="AE102" i="18"/>
  <c r="AE100" i="18"/>
  <c r="AE98" i="18"/>
  <c r="AE96" i="18"/>
  <c r="AE94" i="18"/>
  <c r="AE92" i="18"/>
  <c r="AE90" i="18"/>
  <c r="AE88" i="18"/>
  <c r="AE86" i="18"/>
  <c r="AE84" i="18"/>
  <c r="AE82" i="18"/>
  <c r="AE80" i="18"/>
  <c r="AE78" i="18"/>
  <c r="AE76" i="18"/>
  <c r="AE74" i="18"/>
  <c r="AE72" i="18"/>
  <c r="AE70" i="18"/>
  <c r="AE68" i="18"/>
  <c r="AE66" i="18"/>
  <c r="AE64" i="18"/>
  <c r="AE62" i="18"/>
  <c r="AE60" i="18"/>
  <c r="AE58" i="18"/>
  <c r="AE56" i="18"/>
  <c r="AE54" i="18"/>
  <c r="AE52" i="18"/>
  <c r="AE50" i="18"/>
  <c r="AE48" i="18"/>
  <c r="AE46" i="18"/>
  <c r="AE44" i="18"/>
  <c r="AE42" i="18"/>
  <c r="AE40" i="18"/>
  <c r="AE38" i="18"/>
  <c r="AE36" i="18"/>
  <c r="AE34" i="18"/>
  <c r="AE32" i="18"/>
  <c r="AE30" i="18"/>
  <c r="AE28" i="18"/>
  <c r="AE26" i="18"/>
  <c r="AE24" i="18"/>
  <c r="AE22" i="18"/>
  <c r="AE20" i="18"/>
  <c r="AE19" i="18"/>
  <c r="AE17" i="18"/>
  <c r="U363" i="18" l="1"/>
  <c r="T363" i="18" s="1"/>
  <c r="U309" i="18"/>
  <c r="T309" i="18" s="1"/>
  <c r="U245" i="18"/>
  <c r="T245" i="18" s="1"/>
  <c r="U181" i="18"/>
  <c r="T181" i="18" s="1"/>
  <c r="U117" i="18"/>
  <c r="T117" i="18" s="1"/>
  <c r="S117" i="18" s="1"/>
  <c r="R117" i="18" s="1"/>
  <c r="U53" i="18"/>
  <c r="T53" i="18" s="1"/>
  <c r="J17" i="16"/>
  <c r="AE11" i="18"/>
  <c r="AI11" i="18"/>
  <c r="I258" i="16"/>
  <c r="J258" i="16"/>
  <c r="I290" i="16"/>
  <c r="J290" i="16"/>
  <c r="I194" i="16"/>
  <c r="J194" i="16"/>
  <c r="I126" i="16"/>
  <c r="J126" i="16"/>
  <c r="J196" i="16"/>
  <c r="I196" i="16"/>
  <c r="I34" i="16"/>
  <c r="J34" i="16"/>
  <c r="I16" i="16"/>
  <c r="J16" i="16"/>
  <c r="J354" i="16"/>
  <c r="I354" i="16"/>
  <c r="I295" i="16"/>
  <c r="J295" i="16"/>
  <c r="I186" i="16"/>
  <c r="J186" i="16"/>
  <c r="V119" i="17"/>
  <c r="I25" i="16"/>
  <c r="I26" i="16"/>
  <c r="J218" i="16"/>
  <c r="I218" i="16"/>
  <c r="J159" i="16"/>
  <c r="I159" i="16"/>
  <c r="J49" i="16"/>
  <c r="I49" i="16"/>
  <c r="J110" i="16"/>
  <c r="I110" i="16"/>
  <c r="I252" i="16"/>
  <c r="J252" i="16"/>
  <c r="I116" i="16"/>
  <c r="J116" i="16"/>
  <c r="J320" i="16"/>
  <c r="I320" i="16"/>
  <c r="J306" i="16"/>
  <c r="I306" i="16"/>
  <c r="J282" i="16"/>
  <c r="I282" i="16"/>
  <c r="I124" i="16"/>
  <c r="J124" i="16"/>
  <c r="H156" i="16"/>
  <c r="AA156" i="16"/>
  <c r="Z156" i="16" s="1"/>
  <c r="Y156" i="16" s="1"/>
  <c r="G156" i="16"/>
  <c r="BY156" i="6" s="1"/>
  <c r="J350" i="16"/>
  <c r="I350" i="16"/>
  <c r="J32" i="16"/>
  <c r="I32" i="16"/>
  <c r="J132" i="16"/>
  <c r="I132" i="16"/>
  <c r="J190" i="16"/>
  <c r="I190" i="16"/>
  <c r="J314" i="16"/>
  <c r="I314" i="16"/>
  <c r="I330" i="16"/>
  <c r="J330" i="16"/>
  <c r="J220" i="16"/>
  <c r="I220" i="16"/>
  <c r="I323" i="16"/>
  <c r="J323" i="16"/>
  <c r="I246" i="16"/>
  <c r="J246" i="16"/>
  <c r="I334" i="16"/>
  <c r="J334" i="16"/>
  <c r="I254" i="16"/>
  <c r="J254" i="16"/>
  <c r="J292" i="16"/>
  <c r="I292" i="16"/>
  <c r="I120" i="16"/>
  <c r="J120" i="16"/>
  <c r="I206" i="16"/>
  <c r="J206" i="16"/>
  <c r="I352" i="16"/>
  <c r="J352" i="16"/>
  <c r="J96" i="16"/>
  <c r="I96" i="16"/>
  <c r="U371" i="18"/>
  <c r="T371" i="18" s="1"/>
  <c r="S371" i="18" s="1"/>
  <c r="R371" i="18" s="1"/>
  <c r="U355" i="18"/>
  <c r="T355" i="18" s="1"/>
  <c r="S355" i="18" s="1"/>
  <c r="R355" i="18" s="1"/>
  <c r="P355" i="18" s="1"/>
  <c r="V355" i="18" s="1"/>
  <c r="U325" i="18"/>
  <c r="T325" i="18" s="1"/>
  <c r="S325" i="18" s="1"/>
  <c r="R325" i="18" s="1"/>
  <c r="U293" i="18"/>
  <c r="T293" i="18" s="1"/>
  <c r="S293" i="18" s="1"/>
  <c r="R293" i="18" s="1"/>
  <c r="P293" i="18" s="1"/>
  <c r="V293" i="18" s="1"/>
  <c r="U261" i="18"/>
  <c r="T261" i="18" s="1"/>
  <c r="U229" i="18"/>
  <c r="T229" i="18" s="1"/>
  <c r="S229" i="18" s="1"/>
  <c r="R229" i="18" s="1"/>
  <c r="P229" i="18" s="1"/>
  <c r="V229" i="18" s="1"/>
  <c r="U197" i="18"/>
  <c r="T197" i="18" s="1"/>
  <c r="S197" i="18" s="1"/>
  <c r="R197" i="18" s="1"/>
  <c r="U165" i="18"/>
  <c r="T165" i="18" s="1"/>
  <c r="S165" i="18" s="1"/>
  <c r="R165" i="18" s="1"/>
  <c r="P165" i="18" s="1"/>
  <c r="V165" i="18" s="1"/>
  <c r="U133" i="18"/>
  <c r="T133" i="18" s="1"/>
  <c r="U101" i="18"/>
  <c r="T101" i="18" s="1"/>
  <c r="S101" i="18" s="1"/>
  <c r="R101" i="18" s="1"/>
  <c r="U69" i="18"/>
  <c r="T69" i="18" s="1"/>
  <c r="S69" i="18" s="1"/>
  <c r="R69" i="18" s="1"/>
  <c r="U37" i="18"/>
  <c r="T37" i="18" s="1"/>
  <c r="S37" i="18" s="1"/>
  <c r="R37" i="18" s="1"/>
  <c r="P37" i="18" s="1"/>
  <c r="V37" i="18" s="1"/>
  <c r="G64" i="16"/>
  <c r="BY64" i="6" s="1"/>
  <c r="H64" i="16"/>
  <c r="AA64" i="16"/>
  <c r="Z64" i="16" s="1"/>
  <c r="Y64" i="16" s="1"/>
  <c r="G180" i="16"/>
  <c r="BY180" i="6" s="1"/>
  <c r="H180" i="16"/>
  <c r="AA180" i="16"/>
  <c r="Z180" i="16" s="1"/>
  <c r="Y180" i="16" s="1"/>
  <c r="I329" i="16"/>
  <c r="J329" i="16"/>
  <c r="J204" i="16"/>
  <c r="I204" i="16"/>
  <c r="J115" i="16"/>
  <c r="I115" i="16"/>
  <c r="J346" i="16"/>
  <c r="I346" i="16"/>
  <c r="J107" i="16"/>
  <c r="I107" i="16"/>
  <c r="J286" i="16"/>
  <c r="I286" i="16"/>
  <c r="J340" i="16"/>
  <c r="I340" i="16"/>
  <c r="I99" i="16"/>
  <c r="J99" i="16"/>
  <c r="I348" i="16"/>
  <c r="J348" i="16"/>
  <c r="I100" i="16"/>
  <c r="J100" i="16"/>
  <c r="I298" i="16"/>
  <c r="J298" i="16"/>
  <c r="I366" i="16"/>
  <c r="J366" i="16"/>
  <c r="H312" i="16"/>
  <c r="G312" i="16"/>
  <c r="BY312" i="6" s="1"/>
  <c r="AA312" i="16"/>
  <c r="Z312" i="16" s="1"/>
  <c r="Y312" i="16" s="1"/>
  <c r="I360" i="16"/>
  <c r="J360" i="16"/>
  <c r="AD379" i="16"/>
  <c r="AF382" i="16"/>
  <c r="AF383" i="16"/>
  <c r="AF381" i="16"/>
  <c r="J36" i="19"/>
  <c r="U375" i="18"/>
  <c r="T375" i="18" s="1"/>
  <c r="U367" i="18"/>
  <c r="T367" i="18" s="1"/>
  <c r="S367" i="18" s="1"/>
  <c r="R367" i="18" s="1"/>
  <c r="U359" i="18"/>
  <c r="T359" i="18" s="1"/>
  <c r="S359" i="18" s="1"/>
  <c r="R359" i="18" s="1"/>
  <c r="P359" i="18" s="1"/>
  <c r="V359" i="18" s="1"/>
  <c r="U349" i="18"/>
  <c r="T349" i="18" s="1"/>
  <c r="S349" i="18" s="1"/>
  <c r="R349" i="18" s="1"/>
  <c r="U333" i="18"/>
  <c r="T333" i="18" s="1"/>
  <c r="S333" i="18" s="1"/>
  <c r="R333" i="18" s="1"/>
  <c r="P333" i="18" s="1"/>
  <c r="U317" i="18"/>
  <c r="T317" i="18" s="1"/>
  <c r="S317" i="18" s="1"/>
  <c r="R317" i="18" s="1"/>
  <c r="P317" i="18" s="1"/>
  <c r="V317" i="18" s="1"/>
  <c r="U301" i="18"/>
  <c r="T301" i="18" s="1"/>
  <c r="S301" i="18" s="1"/>
  <c r="R301" i="18" s="1"/>
  <c r="U285" i="18"/>
  <c r="T285" i="18" s="1"/>
  <c r="S285" i="18" s="1"/>
  <c r="R285" i="18" s="1"/>
  <c r="U269" i="18"/>
  <c r="T269" i="18" s="1"/>
  <c r="S269" i="18" s="1"/>
  <c r="R269" i="18" s="1"/>
  <c r="P269" i="18" s="1"/>
  <c r="V269" i="18" s="1"/>
  <c r="U253" i="18"/>
  <c r="T253" i="18" s="1"/>
  <c r="S253" i="18" s="1"/>
  <c r="R253" i="18" s="1"/>
  <c r="P253" i="18" s="1"/>
  <c r="V253" i="18" s="1"/>
  <c r="U237" i="18"/>
  <c r="T237" i="18" s="1"/>
  <c r="S237" i="18" s="1"/>
  <c r="R237" i="18" s="1"/>
  <c r="P237" i="18" s="1"/>
  <c r="V237" i="18" s="1"/>
  <c r="U221" i="18"/>
  <c r="T221" i="18" s="1"/>
  <c r="S221" i="18" s="1"/>
  <c r="R221" i="18" s="1"/>
  <c r="P221" i="18" s="1"/>
  <c r="V221" i="18" s="1"/>
  <c r="U205" i="18"/>
  <c r="T205" i="18" s="1"/>
  <c r="S205" i="18" s="1"/>
  <c r="R205" i="18" s="1"/>
  <c r="P205" i="18" s="1"/>
  <c r="V205" i="18" s="1"/>
  <c r="U189" i="18"/>
  <c r="T189" i="18" s="1"/>
  <c r="S189" i="18" s="1"/>
  <c r="R189" i="18" s="1"/>
  <c r="U173" i="18"/>
  <c r="T173" i="18" s="1"/>
  <c r="S173" i="18" s="1"/>
  <c r="R173" i="18" s="1"/>
  <c r="P173" i="18" s="1"/>
  <c r="V173" i="18" s="1"/>
  <c r="U157" i="18"/>
  <c r="T157" i="18" s="1"/>
  <c r="S157" i="18" s="1"/>
  <c r="R157" i="18" s="1"/>
  <c r="P157" i="18" s="1"/>
  <c r="V157" i="18" s="1"/>
  <c r="U141" i="18"/>
  <c r="T141" i="18" s="1"/>
  <c r="S141" i="18" s="1"/>
  <c r="R141" i="18" s="1"/>
  <c r="U125" i="18"/>
  <c r="T125" i="18" s="1"/>
  <c r="S125" i="18" s="1"/>
  <c r="R125" i="18" s="1"/>
  <c r="U109" i="18"/>
  <c r="T109" i="18" s="1"/>
  <c r="U93" i="18"/>
  <c r="T93" i="18" s="1"/>
  <c r="S93" i="18" s="1"/>
  <c r="R93" i="18" s="1"/>
  <c r="P93" i="18" s="1"/>
  <c r="V93" i="18" s="1"/>
  <c r="U77" i="18"/>
  <c r="T77" i="18" s="1"/>
  <c r="S77" i="18" s="1"/>
  <c r="R77" i="18" s="1"/>
  <c r="U61" i="18"/>
  <c r="T61" i="18" s="1"/>
  <c r="S61" i="18" s="1"/>
  <c r="R61" i="18" s="1"/>
  <c r="U45" i="18"/>
  <c r="T45" i="18" s="1"/>
  <c r="U29" i="18"/>
  <c r="T29" i="18" s="1"/>
  <c r="S29" i="18" s="1"/>
  <c r="R29" i="18" s="1"/>
  <c r="P29" i="18" s="1"/>
  <c r="U377" i="18"/>
  <c r="T377" i="18" s="1"/>
  <c r="S377" i="18" s="1"/>
  <c r="R377" i="18" s="1"/>
  <c r="P377" i="18" s="1"/>
  <c r="V377" i="18" s="1"/>
  <c r="U373" i="18"/>
  <c r="T373" i="18" s="1"/>
  <c r="S373" i="18" s="1"/>
  <c r="R373" i="18" s="1"/>
  <c r="P373" i="18" s="1"/>
  <c r="V373" i="18" s="1"/>
  <c r="U369" i="18"/>
  <c r="T369" i="18" s="1"/>
  <c r="S369" i="18" s="1"/>
  <c r="R369" i="18" s="1"/>
  <c r="P369" i="18" s="1"/>
  <c r="V369" i="18" s="1"/>
  <c r="U365" i="18"/>
  <c r="T365" i="18" s="1"/>
  <c r="S365" i="18" s="1"/>
  <c r="R365" i="18" s="1"/>
  <c r="P365" i="18" s="1"/>
  <c r="V365" i="18" s="1"/>
  <c r="U361" i="18"/>
  <c r="T361" i="18" s="1"/>
  <c r="S361" i="18" s="1"/>
  <c r="R361" i="18" s="1"/>
  <c r="U357" i="18"/>
  <c r="T357" i="18" s="1"/>
  <c r="U353" i="18"/>
  <c r="T353" i="18" s="1"/>
  <c r="U345" i="18"/>
  <c r="T345" i="18" s="1"/>
  <c r="S345" i="18" s="1"/>
  <c r="R345" i="18" s="1"/>
  <c r="P345" i="18" s="1"/>
  <c r="V345" i="18" s="1"/>
  <c r="U337" i="18"/>
  <c r="T337" i="18" s="1"/>
  <c r="U329" i="18"/>
  <c r="T329" i="18" s="1"/>
  <c r="S329" i="18" s="1"/>
  <c r="R329" i="18" s="1"/>
  <c r="U321" i="18"/>
  <c r="T321" i="18" s="1"/>
  <c r="S321" i="18" s="1"/>
  <c r="R321" i="18" s="1"/>
  <c r="U313" i="18"/>
  <c r="T313" i="18" s="1"/>
  <c r="S313" i="18" s="1"/>
  <c r="R313" i="18" s="1"/>
  <c r="U305" i="18"/>
  <c r="T305" i="18" s="1"/>
  <c r="S305" i="18" s="1"/>
  <c r="R305" i="18" s="1"/>
  <c r="U297" i="18"/>
  <c r="T297" i="18" s="1"/>
  <c r="S297" i="18" s="1"/>
  <c r="R297" i="18" s="1"/>
  <c r="U289" i="18"/>
  <c r="T289" i="18" s="1"/>
  <c r="S289" i="18" s="1"/>
  <c r="R289" i="18" s="1"/>
  <c r="P289" i="18" s="1"/>
  <c r="V289" i="18" s="1"/>
  <c r="U281" i="18"/>
  <c r="T281" i="18" s="1"/>
  <c r="S281" i="18" s="1"/>
  <c r="R281" i="18" s="1"/>
  <c r="P281" i="18" s="1"/>
  <c r="V281" i="18" s="1"/>
  <c r="U273" i="18"/>
  <c r="T273" i="18" s="1"/>
  <c r="U265" i="18"/>
  <c r="T265" i="18" s="1"/>
  <c r="S265" i="18" s="1"/>
  <c r="R265" i="18" s="1"/>
  <c r="P265" i="18" s="1"/>
  <c r="V265" i="18" s="1"/>
  <c r="U257" i="18"/>
  <c r="T257" i="18" s="1"/>
  <c r="S257" i="18" s="1"/>
  <c r="R257" i="18" s="1"/>
  <c r="P257" i="18" s="1"/>
  <c r="V257" i="18" s="1"/>
  <c r="U249" i="18"/>
  <c r="T249" i="18" s="1"/>
  <c r="S249" i="18" s="1"/>
  <c r="R249" i="18" s="1"/>
  <c r="U241" i="18"/>
  <c r="T241" i="18" s="1"/>
  <c r="U233" i="18"/>
  <c r="T233" i="18" s="1"/>
  <c r="U225" i="18"/>
  <c r="T225" i="18" s="1"/>
  <c r="U217" i="18"/>
  <c r="T217" i="18" s="1"/>
  <c r="S217" i="18" s="1"/>
  <c r="R217" i="18" s="1"/>
  <c r="U209" i="18"/>
  <c r="T209" i="18" s="1"/>
  <c r="S209" i="18" s="1"/>
  <c r="R209" i="18" s="1"/>
  <c r="U201" i="18"/>
  <c r="T201" i="18" s="1"/>
  <c r="S201" i="18" s="1"/>
  <c r="R201" i="18" s="1"/>
  <c r="U193" i="18"/>
  <c r="T193" i="18" s="1"/>
  <c r="S193" i="18" s="1"/>
  <c r="R193" i="18" s="1"/>
  <c r="U185" i="18"/>
  <c r="T185" i="18" s="1"/>
  <c r="S185" i="18" s="1"/>
  <c r="R185" i="18" s="1"/>
  <c r="P185" i="18" s="1"/>
  <c r="V185" i="18" s="1"/>
  <c r="U177" i="18"/>
  <c r="T177" i="18" s="1"/>
  <c r="S177" i="18" s="1"/>
  <c r="R177" i="18" s="1"/>
  <c r="U169" i="18"/>
  <c r="T169" i="18" s="1"/>
  <c r="S169" i="18" s="1"/>
  <c r="R169" i="18" s="1"/>
  <c r="U161" i="18"/>
  <c r="T161" i="18" s="1"/>
  <c r="S161" i="18" s="1"/>
  <c r="R161" i="18" s="1"/>
  <c r="U153" i="18"/>
  <c r="T153" i="18" s="1"/>
  <c r="S153" i="18" s="1"/>
  <c r="R153" i="18" s="1"/>
  <c r="P153" i="18" s="1"/>
  <c r="V153" i="18" s="1"/>
  <c r="U145" i="18"/>
  <c r="T145" i="18" s="1"/>
  <c r="S145" i="18" s="1"/>
  <c r="R145" i="18" s="1"/>
  <c r="U137" i="18"/>
  <c r="T137" i="18" s="1"/>
  <c r="U129" i="18"/>
  <c r="T129" i="18" s="1"/>
  <c r="S129" i="18" s="1"/>
  <c r="R129" i="18" s="1"/>
  <c r="P129" i="18" s="1"/>
  <c r="V129" i="18" s="1"/>
  <c r="U121" i="18"/>
  <c r="T121" i="18" s="1"/>
  <c r="S121" i="18" s="1"/>
  <c r="R121" i="18" s="1"/>
  <c r="P121" i="18" s="1"/>
  <c r="V121" i="18" s="1"/>
  <c r="U113" i="18"/>
  <c r="T113" i="18" s="1"/>
  <c r="S113" i="18" s="1"/>
  <c r="R113" i="18" s="1"/>
  <c r="U105" i="18"/>
  <c r="T105" i="18" s="1"/>
  <c r="S105" i="18" s="1"/>
  <c r="R105" i="18" s="1"/>
  <c r="P105" i="18" s="1"/>
  <c r="V105" i="18" s="1"/>
  <c r="U97" i="18"/>
  <c r="T97" i="18" s="1"/>
  <c r="U89" i="18"/>
  <c r="T89" i="18" s="1"/>
  <c r="U81" i="18"/>
  <c r="T81" i="18" s="1"/>
  <c r="S81" i="18" s="1"/>
  <c r="R81" i="18" s="1"/>
  <c r="U73" i="18"/>
  <c r="T73" i="18" s="1"/>
  <c r="S73" i="18" s="1"/>
  <c r="R73" i="18" s="1"/>
  <c r="U65" i="18"/>
  <c r="T65" i="18" s="1"/>
  <c r="S65" i="18" s="1"/>
  <c r="R65" i="18" s="1"/>
  <c r="U57" i="18"/>
  <c r="T57" i="18" s="1"/>
  <c r="S57" i="18" s="1"/>
  <c r="R57" i="18" s="1"/>
  <c r="P57" i="18" s="1"/>
  <c r="V57" i="18" s="1"/>
  <c r="U49" i="18"/>
  <c r="T49" i="18" s="1"/>
  <c r="S49" i="18" s="1"/>
  <c r="R49" i="18" s="1"/>
  <c r="P49" i="18" s="1"/>
  <c r="V49" i="18" s="1"/>
  <c r="U41" i="18"/>
  <c r="T41" i="18" s="1"/>
  <c r="S41" i="18" s="1"/>
  <c r="R41" i="18" s="1"/>
  <c r="P41" i="18" s="1"/>
  <c r="V41" i="18" s="1"/>
  <c r="U33" i="18"/>
  <c r="T33" i="18" s="1"/>
  <c r="Q12" i="20"/>
  <c r="AG15" i="7" s="1"/>
  <c r="D38" i="19"/>
  <c r="D12" i="19"/>
  <c r="G36" i="19"/>
  <c r="P217" i="18"/>
  <c r="V217" i="18" s="1"/>
  <c r="P209" i="18"/>
  <c r="V209" i="18" s="1"/>
  <c r="P201" i="18"/>
  <c r="V201" i="18" s="1"/>
  <c r="P193" i="18"/>
  <c r="V193" i="18" s="1"/>
  <c r="P113" i="18"/>
  <c r="V113" i="18" s="1"/>
  <c r="L44" i="19"/>
  <c r="P367" i="18"/>
  <c r="V367" i="18" s="1"/>
  <c r="P213" i="18"/>
  <c r="V213" i="18" s="1"/>
  <c r="P149" i="18"/>
  <c r="D72" i="7" s="1"/>
  <c r="P117" i="18"/>
  <c r="V117" i="18" s="1"/>
  <c r="P85" i="18"/>
  <c r="V85" i="18" s="1"/>
  <c r="P305" i="18"/>
  <c r="V305" i="18" s="1"/>
  <c r="U15" i="18"/>
  <c r="T15" i="18" s="1"/>
  <c r="U16" i="18"/>
  <c r="T16" i="18" s="1"/>
  <c r="S16" i="18" s="1"/>
  <c r="R16" i="18" s="1"/>
  <c r="P16" i="18" s="1"/>
  <c r="V16" i="18" s="1"/>
  <c r="U17" i="18"/>
  <c r="T17" i="18" s="1"/>
  <c r="S17" i="18" s="1"/>
  <c r="R17" i="18" s="1"/>
  <c r="P17" i="18" s="1"/>
  <c r="V17" i="18" s="1"/>
  <c r="U20" i="18"/>
  <c r="T20" i="18" s="1"/>
  <c r="U22" i="18"/>
  <c r="T22" i="18" s="1"/>
  <c r="S22" i="18" s="1"/>
  <c r="R22" i="18" s="1"/>
  <c r="P22" i="18" s="1"/>
  <c r="V22" i="18" s="1"/>
  <c r="U24" i="18"/>
  <c r="T24" i="18" s="1"/>
  <c r="S24" i="18" s="1"/>
  <c r="R24" i="18" s="1"/>
  <c r="P24" i="18" s="1"/>
  <c r="V24" i="18" s="1"/>
  <c r="U26" i="18"/>
  <c r="T26" i="18" s="1"/>
  <c r="S26" i="18" s="1"/>
  <c r="R26" i="18" s="1"/>
  <c r="P26" i="18" s="1"/>
  <c r="V26" i="18" s="1"/>
  <c r="U28" i="18"/>
  <c r="T28" i="18" s="1"/>
  <c r="S28" i="18" s="1"/>
  <c r="R28" i="18" s="1"/>
  <c r="P28" i="18" s="1"/>
  <c r="V28" i="18" s="1"/>
  <c r="U30" i="18"/>
  <c r="T30" i="18" s="1"/>
  <c r="S30" i="18" s="1"/>
  <c r="R30" i="18" s="1"/>
  <c r="P30" i="18" s="1"/>
  <c r="V30" i="18" s="1"/>
  <c r="U32" i="18"/>
  <c r="T32" i="18" s="1"/>
  <c r="S32" i="18" s="1"/>
  <c r="R32" i="18" s="1"/>
  <c r="P32" i="18" s="1"/>
  <c r="V32" i="18" s="1"/>
  <c r="U34" i="18"/>
  <c r="T34" i="18" s="1"/>
  <c r="S34" i="18" s="1"/>
  <c r="R34" i="18" s="1"/>
  <c r="P34" i="18" s="1"/>
  <c r="V34" i="18" s="1"/>
  <c r="U36" i="18"/>
  <c r="T36" i="18" s="1"/>
  <c r="S36" i="18" s="1"/>
  <c r="R36" i="18" s="1"/>
  <c r="P36" i="18" s="1"/>
  <c r="V36" i="18" s="1"/>
  <c r="U38" i="18"/>
  <c r="T38" i="18" s="1"/>
  <c r="S38" i="18" s="1"/>
  <c r="R38" i="18" s="1"/>
  <c r="P38" i="18" s="1"/>
  <c r="V38" i="18" s="1"/>
  <c r="U40" i="18"/>
  <c r="T40" i="18" s="1"/>
  <c r="S40" i="18" s="1"/>
  <c r="R40" i="18" s="1"/>
  <c r="P40" i="18" s="1"/>
  <c r="V40" i="18" s="1"/>
  <c r="U42" i="18"/>
  <c r="T42" i="18" s="1"/>
  <c r="S42" i="18" s="1"/>
  <c r="R42" i="18" s="1"/>
  <c r="P42" i="18" s="1"/>
  <c r="V42" i="18" s="1"/>
  <c r="U44" i="18"/>
  <c r="T44" i="18" s="1"/>
  <c r="S44" i="18" s="1"/>
  <c r="R44" i="18" s="1"/>
  <c r="P44" i="18" s="1"/>
  <c r="V44" i="18" s="1"/>
  <c r="U46" i="18"/>
  <c r="T46" i="18" s="1"/>
  <c r="S46" i="18" s="1"/>
  <c r="R46" i="18" s="1"/>
  <c r="P46" i="18" s="1"/>
  <c r="V46" i="18" s="1"/>
  <c r="U48" i="18"/>
  <c r="T48" i="18" s="1"/>
  <c r="U50" i="18"/>
  <c r="T50" i="18" s="1"/>
  <c r="S50" i="18" s="1"/>
  <c r="R50" i="18" s="1"/>
  <c r="P50" i="18" s="1"/>
  <c r="V50" i="18" s="1"/>
  <c r="U52" i="18"/>
  <c r="T52" i="18" s="1"/>
  <c r="S52" i="18" s="1"/>
  <c r="R52" i="18" s="1"/>
  <c r="P52" i="18" s="1"/>
  <c r="V52" i="18" s="1"/>
  <c r="U54" i="18"/>
  <c r="T54" i="18" s="1"/>
  <c r="S54" i="18" s="1"/>
  <c r="R54" i="18" s="1"/>
  <c r="P54" i="18" s="1"/>
  <c r="V54" i="18" s="1"/>
  <c r="U56" i="18"/>
  <c r="T56" i="18" s="1"/>
  <c r="S56" i="18" s="1"/>
  <c r="R56" i="18" s="1"/>
  <c r="P56" i="18" s="1"/>
  <c r="V56" i="18" s="1"/>
  <c r="U58" i="18"/>
  <c r="T58" i="18" s="1"/>
  <c r="S58" i="18" s="1"/>
  <c r="R58" i="18" s="1"/>
  <c r="P58" i="18" s="1"/>
  <c r="V58" i="18" s="1"/>
  <c r="U60" i="18"/>
  <c r="T60" i="18" s="1"/>
  <c r="S60" i="18" s="1"/>
  <c r="R60" i="18" s="1"/>
  <c r="P60" i="18" s="1"/>
  <c r="U62" i="18"/>
  <c r="T62" i="18" s="1"/>
  <c r="S62" i="18" s="1"/>
  <c r="R62" i="18" s="1"/>
  <c r="P62" i="18" s="1"/>
  <c r="V62" i="18" s="1"/>
  <c r="U64" i="18"/>
  <c r="T64" i="18" s="1"/>
  <c r="U66" i="18"/>
  <c r="T66" i="18" s="1"/>
  <c r="S66" i="18" s="1"/>
  <c r="R66" i="18" s="1"/>
  <c r="P66" i="18" s="1"/>
  <c r="V66" i="18" s="1"/>
  <c r="U68" i="18"/>
  <c r="T68" i="18" s="1"/>
  <c r="S68" i="18" s="1"/>
  <c r="R68" i="18" s="1"/>
  <c r="P68" i="18" s="1"/>
  <c r="V68" i="18" s="1"/>
  <c r="U70" i="18"/>
  <c r="T70" i="18" s="1"/>
  <c r="S70" i="18" s="1"/>
  <c r="R70" i="18" s="1"/>
  <c r="P70" i="18" s="1"/>
  <c r="V70" i="18" s="1"/>
  <c r="U72" i="18"/>
  <c r="T72" i="18" s="1"/>
  <c r="S72" i="18" s="1"/>
  <c r="R72" i="18" s="1"/>
  <c r="P72" i="18" s="1"/>
  <c r="V72" i="18" s="1"/>
  <c r="U74" i="18"/>
  <c r="T74" i="18" s="1"/>
  <c r="S74" i="18" s="1"/>
  <c r="R74" i="18" s="1"/>
  <c r="P74" i="18" s="1"/>
  <c r="V74" i="18" s="1"/>
  <c r="U76" i="18"/>
  <c r="T76" i="18" s="1"/>
  <c r="S76" i="18" s="1"/>
  <c r="R76" i="18" s="1"/>
  <c r="P76" i="18" s="1"/>
  <c r="V76" i="18" s="1"/>
  <c r="U78" i="18"/>
  <c r="T78" i="18" s="1"/>
  <c r="S78" i="18" s="1"/>
  <c r="R78" i="18" s="1"/>
  <c r="P78" i="18" s="1"/>
  <c r="V78" i="18" s="1"/>
  <c r="U80" i="18"/>
  <c r="T80" i="18" s="1"/>
  <c r="U82" i="18"/>
  <c r="T82" i="18" s="1"/>
  <c r="S82" i="18" s="1"/>
  <c r="R82" i="18" s="1"/>
  <c r="P82" i="18" s="1"/>
  <c r="V82" i="18" s="1"/>
  <c r="U84" i="18"/>
  <c r="T84" i="18" s="1"/>
  <c r="S84" i="18" s="1"/>
  <c r="R84" i="18" s="1"/>
  <c r="P84" i="18" s="1"/>
  <c r="V84" i="18" s="1"/>
  <c r="U86" i="18"/>
  <c r="T86" i="18" s="1"/>
  <c r="S86" i="18" s="1"/>
  <c r="R86" i="18" s="1"/>
  <c r="P86" i="18" s="1"/>
  <c r="V86" i="18" s="1"/>
  <c r="U88" i="18"/>
  <c r="T88" i="18" s="1"/>
  <c r="S88" i="18" s="1"/>
  <c r="R88" i="18" s="1"/>
  <c r="P88" i="18" s="1"/>
  <c r="D70" i="7" s="1"/>
  <c r="U90" i="18"/>
  <c r="T90" i="18" s="1"/>
  <c r="S90" i="18" s="1"/>
  <c r="R90" i="18" s="1"/>
  <c r="P90" i="18" s="1"/>
  <c r="V90" i="18" s="1"/>
  <c r="U92" i="18"/>
  <c r="T92" i="18" s="1"/>
  <c r="S92" i="18" s="1"/>
  <c r="R92" i="18" s="1"/>
  <c r="P92" i="18" s="1"/>
  <c r="V92" i="18" s="1"/>
  <c r="U94" i="18"/>
  <c r="T94" i="18" s="1"/>
  <c r="S94" i="18" s="1"/>
  <c r="R94" i="18" s="1"/>
  <c r="P94" i="18" s="1"/>
  <c r="V94" i="18" s="1"/>
  <c r="U96" i="18"/>
  <c r="T96" i="18" s="1"/>
  <c r="S96" i="18" s="1"/>
  <c r="R96" i="18" s="1"/>
  <c r="P96" i="18" s="1"/>
  <c r="V96" i="18" s="1"/>
  <c r="U98" i="18"/>
  <c r="T98" i="18" s="1"/>
  <c r="S98" i="18" s="1"/>
  <c r="R98" i="18" s="1"/>
  <c r="P98" i="18" s="1"/>
  <c r="V98" i="18" s="1"/>
  <c r="U100" i="18"/>
  <c r="T100" i="18" s="1"/>
  <c r="S100" i="18" s="1"/>
  <c r="R100" i="18" s="1"/>
  <c r="P100" i="18" s="1"/>
  <c r="V100" i="18" s="1"/>
  <c r="U102" i="18"/>
  <c r="T102" i="18" s="1"/>
  <c r="S102" i="18" s="1"/>
  <c r="R102" i="18" s="1"/>
  <c r="P102" i="18" s="1"/>
  <c r="V102" i="18" s="1"/>
  <c r="U104" i="18"/>
  <c r="T104" i="18" s="1"/>
  <c r="S104" i="18" s="1"/>
  <c r="R104" i="18" s="1"/>
  <c r="P104" i="18" s="1"/>
  <c r="V104" i="18" s="1"/>
  <c r="U106" i="18"/>
  <c r="T106" i="18" s="1"/>
  <c r="S106" i="18" s="1"/>
  <c r="R106" i="18" s="1"/>
  <c r="P106" i="18" s="1"/>
  <c r="V106" i="18" s="1"/>
  <c r="U108" i="18"/>
  <c r="T108" i="18" s="1"/>
  <c r="S108" i="18" s="1"/>
  <c r="R108" i="18" s="1"/>
  <c r="P108" i="18" s="1"/>
  <c r="V108" i="18" s="1"/>
  <c r="U110" i="18"/>
  <c r="T110" i="18" s="1"/>
  <c r="S110" i="18" s="1"/>
  <c r="R110" i="18" s="1"/>
  <c r="P110" i="18" s="1"/>
  <c r="V110" i="18" s="1"/>
  <c r="U112" i="18"/>
  <c r="T112" i="18" s="1"/>
  <c r="S112" i="18" s="1"/>
  <c r="R112" i="18" s="1"/>
  <c r="P112" i="18" s="1"/>
  <c r="V112" i="18" s="1"/>
  <c r="U114" i="18"/>
  <c r="T114" i="18" s="1"/>
  <c r="S114" i="18" s="1"/>
  <c r="R114" i="18" s="1"/>
  <c r="P114" i="18" s="1"/>
  <c r="V114" i="18" s="1"/>
  <c r="U116" i="18"/>
  <c r="T116" i="18" s="1"/>
  <c r="S116" i="18" s="1"/>
  <c r="R116" i="18" s="1"/>
  <c r="P116" i="18" s="1"/>
  <c r="V116" i="18" s="1"/>
  <c r="U118" i="18"/>
  <c r="T118" i="18" s="1"/>
  <c r="S118" i="18" s="1"/>
  <c r="R118" i="18" s="1"/>
  <c r="P118" i="18" s="1"/>
  <c r="V118" i="18" s="1"/>
  <c r="U120" i="18"/>
  <c r="T120" i="18" s="1"/>
  <c r="S120" i="18" s="1"/>
  <c r="R120" i="18" s="1"/>
  <c r="P120" i="18" s="1"/>
  <c r="V120" i="18" s="1"/>
  <c r="U122" i="18"/>
  <c r="T122" i="18" s="1"/>
  <c r="S122" i="18" s="1"/>
  <c r="R122" i="18" s="1"/>
  <c r="P122" i="18" s="1"/>
  <c r="V122" i="18" s="1"/>
  <c r="U124" i="18"/>
  <c r="T124" i="18" s="1"/>
  <c r="U126" i="18"/>
  <c r="T126" i="18" s="1"/>
  <c r="S126" i="18" s="1"/>
  <c r="R126" i="18" s="1"/>
  <c r="P126" i="18" s="1"/>
  <c r="V126" i="18" s="1"/>
  <c r="U128" i="18"/>
  <c r="T128" i="18" s="1"/>
  <c r="S128" i="18" s="1"/>
  <c r="R128" i="18" s="1"/>
  <c r="P128" i="18" s="1"/>
  <c r="V128" i="18" s="1"/>
  <c r="U130" i="18"/>
  <c r="T130" i="18" s="1"/>
  <c r="S130" i="18" s="1"/>
  <c r="R130" i="18" s="1"/>
  <c r="P130" i="18" s="1"/>
  <c r="V130" i="18" s="1"/>
  <c r="U132" i="18"/>
  <c r="T132" i="18" s="1"/>
  <c r="S132" i="18" s="1"/>
  <c r="R132" i="18" s="1"/>
  <c r="P132" i="18" s="1"/>
  <c r="V132" i="18" s="1"/>
  <c r="U134" i="18"/>
  <c r="T134" i="18" s="1"/>
  <c r="S134" i="18" s="1"/>
  <c r="R134" i="18" s="1"/>
  <c r="P134" i="18" s="1"/>
  <c r="V134" i="18" s="1"/>
  <c r="U136" i="18"/>
  <c r="T136" i="18" s="1"/>
  <c r="S136" i="18" s="1"/>
  <c r="R136" i="18" s="1"/>
  <c r="P136" i="18" s="1"/>
  <c r="V136" i="18" s="1"/>
  <c r="U138" i="18"/>
  <c r="T138" i="18" s="1"/>
  <c r="S138" i="18" s="1"/>
  <c r="R138" i="18" s="1"/>
  <c r="P138" i="18" s="1"/>
  <c r="V138" i="18" s="1"/>
  <c r="U140" i="18"/>
  <c r="T140" i="18" s="1"/>
  <c r="S140" i="18" s="1"/>
  <c r="R140" i="18" s="1"/>
  <c r="P140" i="18" s="1"/>
  <c r="V140" i="18" s="1"/>
  <c r="U142" i="18"/>
  <c r="T142" i="18" s="1"/>
  <c r="S142" i="18" s="1"/>
  <c r="R142" i="18" s="1"/>
  <c r="P142" i="18" s="1"/>
  <c r="V142" i="18" s="1"/>
  <c r="U144" i="18"/>
  <c r="T144" i="18" s="1"/>
  <c r="S144" i="18" s="1"/>
  <c r="R144" i="18" s="1"/>
  <c r="P144" i="18" s="1"/>
  <c r="V144" i="18" s="1"/>
  <c r="U146" i="18"/>
  <c r="T146" i="18" s="1"/>
  <c r="S146" i="18" s="1"/>
  <c r="R146" i="18" s="1"/>
  <c r="P146" i="18" s="1"/>
  <c r="V146" i="18" s="1"/>
  <c r="U148" i="18"/>
  <c r="T148" i="18" s="1"/>
  <c r="S148" i="18" s="1"/>
  <c r="R148" i="18" s="1"/>
  <c r="P148" i="18" s="1"/>
  <c r="V148" i="18" s="1"/>
  <c r="U150" i="18"/>
  <c r="T150" i="18" s="1"/>
  <c r="S150" i="18" s="1"/>
  <c r="R150" i="18" s="1"/>
  <c r="P150" i="18" s="1"/>
  <c r="V150" i="18" s="1"/>
  <c r="U152" i="18"/>
  <c r="T152" i="18" s="1"/>
  <c r="S152" i="18" s="1"/>
  <c r="R152" i="18" s="1"/>
  <c r="P152" i="18" s="1"/>
  <c r="V152" i="18" s="1"/>
  <c r="U154" i="18"/>
  <c r="T154" i="18" s="1"/>
  <c r="S154" i="18" s="1"/>
  <c r="R154" i="18" s="1"/>
  <c r="P154" i="18" s="1"/>
  <c r="V154" i="18" s="1"/>
  <c r="U156" i="18"/>
  <c r="T156" i="18" s="1"/>
  <c r="U158" i="18"/>
  <c r="T158" i="18" s="1"/>
  <c r="S158" i="18" s="1"/>
  <c r="R158" i="18" s="1"/>
  <c r="P158" i="18" s="1"/>
  <c r="V158" i="18" s="1"/>
  <c r="U160" i="18"/>
  <c r="T160" i="18" s="1"/>
  <c r="S160" i="18" s="1"/>
  <c r="R160" i="18" s="1"/>
  <c r="P160" i="18" s="1"/>
  <c r="V160" i="18" s="1"/>
  <c r="U162" i="18"/>
  <c r="T162" i="18" s="1"/>
  <c r="S162" i="18" s="1"/>
  <c r="R162" i="18" s="1"/>
  <c r="P162" i="18" s="1"/>
  <c r="V162" i="18" s="1"/>
  <c r="U164" i="18"/>
  <c r="T164" i="18" s="1"/>
  <c r="S164" i="18" s="1"/>
  <c r="R164" i="18" s="1"/>
  <c r="P164" i="18" s="1"/>
  <c r="V164" i="18" s="1"/>
  <c r="U166" i="18"/>
  <c r="T166" i="18" s="1"/>
  <c r="S166" i="18" s="1"/>
  <c r="R166" i="18" s="1"/>
  <c r="P166" i="18" s="1"/>
  <c r="V166" i="18" s="1"/>
  <c r="U168" i="18"/>
  <c r="T168" i="18" s="1"/>
  <c r="S168" i="18" s="1"/>
  <c r="R168" i="18" s="1"/>
  <c r="P168" i="18" s="1"/>
  <c r="V168" i="18" s="1"/>
  <c r="U170" i="18"/>
  <c r="T170" i="18" s="1"/>
  <c r="S170" i="18" s="1"/>
  <c r="R170" i="18" s="1"/>
  <c r="P170" i="18" s="1"/>
  <c r="V170" i="18" s="1"/>
  <c r="U172" i="18"/>
  <c r="T172" i="18" s="1"/>
  <c r="S172" i="18" s="1"/>
  <c r="R172" i="18" s="1"/>
  <c r="P172" i="18" s="1"/>
  <c r="V172" i="18" s="1"/>
  <c r="U174" i="18"/>
  <c r="T174" i="18" s="1"/>
  <c r="S174" i="18" s="1"/>
  <c r="R174" i="18" s="1"/>
  <c r="P174" i="18" s="1"/>
  <c r="V174" i="18" s="1"/>
  <c r="U176" i="18"/>
  <c r="T176" i="18" s="1"/>
  <c r="S176" i="18" s="1"/>
  <c r="R176" i="18" s="1"/>
  <c r="P176" i="18" s="1"/>
  <c r="V176" i="18" s="1"/>
  <c r="U178" i="18"/>
  <c r="T178" i="18" s="1"/>
  <c r="S178" i="18" s="1"/>
  <c r="R178" i="18" s="1"/>
  <c r="P178" i="18" s="1"/>
  <c r="V178" i="18" s="1"/>
  <c r="U180" i="18"/>
  <c r="T180" i="18" s="1"/>
  <c r="U182" i="18"/>
  <c r="T182" i="18" s="1"/>
  <c r="S182" i="18" s="1"/>
  <c r="R182" i="18" s="1"/>
  <c r="P182" i="18" s="1"/>
  <c r="V182" i="18" s="1"/>
  <c r="U184" i="18"/>
  <c r="T184" i="18" s="1"/>
  <c r="S184" i="18" s="1"/>
  <c r="R184" i="18" s="1"/>
  <c r="P184" i="18" s="1"/>
  <c r="V184" i="18" s="1"/>
  <c r="U186" i="18"/>
  <c r="T186" i="18" s="1"/>
  <c r="S186" i="18" s="1"/>
  <c r="R186" i="18" s="1"/>
  <c r="P186" i="18" s="1"/>
  <c r="V186" i="18" s="1"/>
  <c r="U188" i="18"/>
  <c r="T188" i="18" s="1"/>
  <c r="S188" i="18" s="1"/>
  <c r="R188" i="18" s="1"/>
  <c r="P188" i="18" s="1"/>
  <c r="V188" i="18" s="1"/>
  <c r="U190" i="18"/>
  <c r="T190" i="18" s="1"/>
  <c r="S190" i="18" s="1"/>
  <c r="R190" i="18" s="1"/>
  <c r="P190" i="18" s="1"/>
  <c r="V190" i="18" s="1"/>
  <c r="U192" i="18"/>
  <c r="T192" i="18" s="1"/>
  <c r="U194" i="18"/>
  <c r="T194" i="18" s="1"/>
  <c r="S194" i="18" s="1"/>
  <c r="R194" i="18" s="1"/>
  <c r="P194" i="18" s="1"/>
  <c r="V194" i="18" s="1"/>
  <c r="U196" i="18"/>
  <c r="T196" i="18" s="1"/>
  <c r="S196" i="18" s="1"/>
  <c r="R196" i="18" s="1"/>
  <c r="P196" i="18" s="1"/>
  <c r="V196" i="18" s="1"/>
  <c r="U198" i="18"/>
  <c r="T198" i="18" s="1"/>
  <c r="S198" i="18" s="1"/>
  <c r="R198" i="18" s="1"/>
  <c r="P198" i="18" s="1"/>
  <c r="V198" i="18" s="1"/>
  <c r="U200" i="18"/>
  <c r="T200" i="18" s="1"/>
  <c r="S200" i="18" s="1"/>
  <c r="R200" i="18" s="1"/>
  <c r="P200" i="18" s="1"/>
  <c r="V200" i="18" s="1"/>
  <c r="U202" i="18"/>
  <c r="T202" i="18" s="1"/>
  <c r="S202" i="18" s="1"/>
  <c r="R202" i="18" s="1"/>
  <c r="P202" i="18" s="1"/>
  <c r="V202" i="18" s="1"/>
  <c r="U204" i="18"/>
  <c r="T204" i="18" s="1"/>
  <c r="S204" i="18" s="1"/>
  <c r="R204" i="18" s="1"/>
  <c r="P204" i="18" s="1"/>
  <c r="V204" i="18" s="1"/>
  <c r="U206" i="18"/>
  <c r="T206" i="18" s="1"/>
  <c r="S206" i="18" s="1"/>
  <c r="R206" i="18" s="1"/>
  <c r="P206" i="18" s="1"/>
  <c r="V206" i="18" s="1"/>
  <c r="U208" i="18"/>
  <c r="T208" i="18" s="1"/>
  <c r="S208" i="18" s="1"/>
  <c r="R208" i="18" s="1"/>
  <c r="P208" i="18" s="1"/>
  <c r="V208" i="18" s="1"/>
  <c r="U210" i="18"/>
  <c r="T210" i="18" s="1"/>
  <c r="S210" i="18" s="1"/>
  <c r="R210" i="18" s="1"/>
  <c r="P210" i="18" s="1"/>
  <c r="V210" i="18" s="1"/>
  <c r="U212" i="18"/>
  <c r="T212" i="18" s="1"/>
  <c r="S212" i="18" s="1"/>
  <c r="R212" i="18" s="1"/>
  <c r="P212" i="18" s="1"/>
  <c r="V212" i="18" s="1"/>
  <c r="U214" i="18"/>
  <c r="T214" i="18" s="1"/>
  <c r="S214" i="18" s="1"/>
  <c r="R214" i="18" s="1"/>
  <c r="P214" i="18" s="1"/>
  <c r="V214" i="18" s="1"/>
  <c r="U216" i="18"/>
  <c r="T216" i="18" s="1"/>
  <c r="U218" i="18"/>
  <c r="T218" i="18" s="1"/>
  <c r="S218" i="18" s="1"/>
  <c r="R218" i="18" s="1"/>
  <c r="P218" i="18" s="1"/>
  <c r="V218" i="18" s="1"/>
  <c r="U220" i="18"/>
  <c r="T220" i="18" s="1"/>
  <c r="S220" i="18" s="1"/>
  <c r="R220" i="18" s="1"/>
  <c r="P220" i="18" s="1"/>
  <c r="V220" i="18" s="1"/>
  <c r="U222" i="18"/>
  <c r="T222" i="18" s="1"/>
  <c r="S222" i="18" s="1"/>
  <c r="R222" i="18" s="1"/>
  <c r="P222" i="18" s="1"/>
  <c r="V222" i="18" s="1"/>
  <c r="U224" i="18"/>
  <c r="T224" i="18" s="1"/>
  <c r="S224" i="18" s="1"/>
  <c r="R224" i="18" s="1"/>
  <c r="P224" i="18" s="1"/>
  <c r="V224" i="18" s="1"/>
  <c r="U226" i="18"/>
  <c r="T226" i="18" s="1"/>
  <c r="S226" i="18" s="1"/>
  <c r="R226" i="18" s="1"/>
  <c r="P226" i="18" s="1"/>
  <c r="V226" i="18" s="1"/>
  <c r="U228" i="18"/>
  <c r="T228" i="18" s="1"/>
  <c r="S228" i="18" s="1"/>
  <c r="R228" i="18" s="1"/>
  <c r="P228" i="18" s="1"/>
  <c r="V228" i="18" s="1"/>
  <c r="U230" i="18"/>
  <c r="T230" i="18" s="1"/>
  <c r="S230" i="18" s="1"/>
  <c r="R230" i="18" s="1"/>
  <c r="P230" i="18" s="1"/>
  <c r="V230" i="18" s="1"/>
  <c r="U232" i="18"/>
  <c r="T232" i="18" s="1"/>
  <c r="S232" i="18" s="1"/>
  <c r="R232" i="18" s="1"/>
  <c r="P232" i="18" s="1"/>
  <c r="V232" i="18" s="1"/>
  <c r="U234" i="18"/>
  <c r="T234" i="18" s="1"/>
  <c r="S234" i="18" s="1"/>
  <c r="R234" i="18" s="1"/>
  <c r="P234" i="18" s="1"/>
  <c r="V234" i="18" s="1"/>
  <c r="U236" i="18"/>
  <c r="T236" i="18" s="1"/>
  <c r="S236" i="18" s="1"/>
  <c r="R236" i="18" s="1"/>
  <c r="P236" i="18" s="1"/>
  <c r="V236" i="18" s="1"/>
  <c r="U238" i="18"/>
  <c r="T238" i="18" s="1"/>
  <c r="S238" i="18" s="1"/>
  <c r="R238" i="18" s="1"/>
  <c r="P238" i="18" s="1"/>
  <c r="V238" i="18" s="1"/>
  <c r="U240" i="18"/>
  <c r="T240" i="18" s="1"/>
  <c r="S240" i="18" s="1"/>
  <c r="R240" i="18" s="1"/>
  <c r="P240" i="18" s="1"/>
  <c r="V240" i="18" s="1"/>
  <c r="U242" i="18"/>
  <c r="T242" i="18" s="1"/>
  <c r="S242" i="18" s="1"/>
  <c r="R242" i="18" s="1"/>
  <c r="P242" i="18" s="1"/>
  <c r="V242" i="18" s="1"/>
  <c r="U244" i="18"/>
  <c r="T244" i="18" s="1"/>
  <c r="S244" i="18" s="1"/>
  <c r="R244" i="18" s="1"/>
  <c r="P244" i="18" s="1"/>
  <c r="V244" i="18" s="1"/>
  <c r="U246" i="18"/>
  <c r="T246" i="18" s="1"/>
  <c r="S246" i="18" s="1"/>
  <c r="R246" i="18" s="1"/>
  <c r="P246" i="18" s="1"/>
  <c r="V246" i="18" s="1"/>
  <c r="U248" i="18"/>
  <c r="T248" i="18" s="1"/>
  <c r="S248" i="18" s="1"/>
  <c r="R248" i="18" s="1"/>
  <c r="P248" i="18" s="1"/>
  <c r="V248" i="18" s="1"/>
  <c r="U250" i="18"/>
  <c r="T250" i="18" s="1"/>
  <c r="S250" i="18" s="1"/>
  <c r="R250" i="18" s="1"/>
  <c r="P250" i="18" s="1"/>
  <c r="V250" i="18" s="1"/>
  <c r="U252" i="18"/>
  <c r="T252" i="18" s="1"/>
  <c r="S252" i="18" s="1"/>
  <c r="R252" i="18" s="1"/>
  <c r="P252" i="18" s="1"/>
  <c r="V252" i="18" s="1"/>
  <c r="U254" i="18"/>
  <c r="T254" i="18" s="1"/>
  <c r="S254" i="18" s="1"/>
  <c r="R254" i="18" s="1"/>
  <c r="P254" i="18" s="1"/>
  <c r="V254" i="18" s="1"/>
  <c r="U256" i="18"/>
  <c r="T256" i="18" s="1"/>
  <c r="S256" i="18" s="1"/>
  <c r="R256" i="18" s="1"/>
  <c r="P256" i="18" s="1"/>
  <c r="V256" i="18" s="1"/>
  <c r="U258" i="18"/>
  <c r="T258" i="18" s="1"/>
  <c r="S258" i="18" s="1"/>
  <c r="R258" i="18" s="1"/>
  <c r="P258" i="18" s="1"/>
  <c r="V258" i="18" s="1"/>
  <c r="U260" i="18"/>
  <c r="T260" i="18" s="1"/>
  <c r="S260" i="18" s="1"/>
  <c r="R260" i="18" s="1"/>
  <c r="P260" i="18" s="1"/>
  <c r="V260" i="18" s="1"/>
  <c r="U262" i="18"/>
  <c r="T262" i="18" s="1"/>
  <c r="S262" i="18" s="1"/>
  <c r="R262" i="18" s="1"/>
  <c r="P262" i="18" s="1"/>
  <c r="V262" i="18" s="1"/>
  <c r="U264" i="18"/>
  <c r="T264" i="18" s="1"/>
  <c r="S264" i="18" s="1"/>
  <c r="R264" i="18" s="1"/>
  <c r="P264" i="18" s="1"/>
  <c r="V264" i="18" s="1"/>
  <c r="U266" i="18"/>
  <c r="T266" i="18" s="1"/>
  <c r="S266" i="18" s="1"/>
  <c r="R266" i="18" s="1"/>
  <c r="P266" i="18" s="1"/>
  <c r="V266" i="18" s="1"/>
  <c r="U268" i="18"/>
  <c r="T268" i="18" s="1"/>
  <c r="S268" i="18" s="1"/>
  <c r="R268" i="18" s="1"/>
  <c r="P268" i="18" s="1"/>
  <c r="V268" i="18" s="1"/>
  <c r="U270" i="18"/>
  <c r="T270" i="18" s="1"/>
  <c r="S270" i="18" s="1"/>
  <c r="R270" i="18" s="1"/>
  <c r="P270" i="18" s="1"/>
  <c r="V270" i="18" s="1"/>
  <c r="U272" i="18"/>
  <c r="T272" i="18" s="1"/>
  <c r="S272" i="18" s="1"/>
  <c r="R272" i="18" s="1"/>
  <c r="P272" i="18" s="1"/>
  <c r="U274" i="18"/>
  <c r="T274" i="18" s="1"/>
  <c r="S274" i="18" s="1"/>
  <c r="R274" i="18" s="1"/>
  <c r="P274" i="18" s="1"/>
  <c r="V274" i="18" s="1"/>
  <c r="U276" i="18"/>
  <c r="T276" i="18" s="1"/>
  <c r="S276" i="18" s="1"/>
  <c r="R276" i="18" s="1"/>
  <c r="P276" i="18" s="1"/>
  <c r="V276" i="18" s="1"/>
  <c r="U278" i="18"/>
  <c r="T278" i="18" s="1"/>
  <c r="S278" i="18" s="1"/>
  <c r="R278" i="18" s="1"/>
  <c r="P278" i="18" s="1"/>
  <c r="V278" i="18" s="1"/>
  <c r="U280" i="18"/>
  <c r="T280" i="18" s="1"/>
  <c r="U282" i="18"/>
  <c r="T282" i="18" s="1"/>
  <c r="S282" i="18" s="1"/>
  <c r="R282" i="18" s="1"/>
  <c r="P282" i="18" s="1"/>
  <c r="V282" i="18" s="1"/>
  <c r="U284" i="18"/>
  <c r="T284" i="18" s="1"/>
  <c r="S284" i="18" s="1"/>
  <c r="R284" i="18" s="1"/>
  <c r="P284" i="18" s="1"/>
  <c r="V284" i="18" s="1"/>
  <c r="U286" i="18"/>
  <c r="T286" i="18" s="1"/>
  <c r="S286" i="18" s="1"/>
  <c r="R286" i="18" s="1"/>
  <c r="P286" i="18" s="1"/>
  <c r="V286" i="18" s="1"/>
  <c r="U288" i="18"/>
  <c r="T288" i="18" s="1"/>
  <c r="S288" i="18" s="1"/>
  <c r="R288" i="18" s="1"/>
  <c r="P288" i="18" s="1"/>
  <c r="V288" i="18" s="1"/>
  <c r="U290" i="18"/>
  <c r="T290" i="18" s="1"/>
  <c r="S290" i="18" s="1"/>
  <c r="R290" i="18" s="1"/>
  <c r="P290" i="18" s="1"/>
  <c r="V290" i="18" s="1"/>
  <c r="U292" i="18"/>
  <c r="T292" i="18" s="1"/>
  <c r="S292" i="18" s="1"/>
  <c r="R292" i="18" s="1"/>
  <c r="P292" i="18" s="1"/>
  <c r="V292" i="18" s="1"/>
  <c r="U294" i="18"/>
  <c r="T294" i="18" s="1"/>
  <c r="S294" i="18" s="1"/>
  <c r="R294" i="18" s="1"/>
  <c r="P294" i="18" s="1"/>
  <c r="V294" i="18" s="1"/>
  <c r="U296" i="18"/>
  <c r="T296" i="18" s="1"/>
  <c r="S296" i="18" s="1"/>
  <c r="R296" i="18" s="1"/>
  <c r="P296" i="18" s="1"/>
  <c r="V296" i="18" s="1"/>
  <c r="U298" i="18"/>
  <c r="T298" i="18" s="1"/>
  <c r="S298" i="18" s="1"/>
  <c r="R298" i="18" s="1"/>
  <c r="P298" i="18" s="1"/>
  <c r="V298" i="18" s="1"/>
  <c r="U300" i="18"/>
  <c r="T300" i="18" s="1"/>
  <c r="S300" i="18" s="1"/>
  <c r="R300" i="18" s="1"/>
  <c r="P300" i="18" s="1"/>
  <c r="V300" i="18" s="1"/>
  <c r="U302" i="18"/>
  <c r="T302" i="18" s="1"/>
  <c r="S302" i="18" s="1"/>
  <c r="R302" i="18" s="1"/>
  <c r="P302" i="18" s="1"/>
  <c r="V302" i="18" s="1"/>
  <c r="U304" i="18"/>
  <c r="T304" i="18" s="1"/>
  <c r="S304" i="18" s="1"/>
  <c r="R304" i="18" s="1"/>
  <c r="P304" i="18" s="1"/>
  <c r="V304" i="18" s="1"/>
  <c r="U306" i="18"/>
  <c r="T306" i="18" s="1"/>
  <c r="S306" i="18" s="1"/>
  <c r="R306" i="18" s="1"/>
  <c r="P306" i="18" s="1"/>
  <c r="V306" i="18" s="1"/>
  <c r="U308" i="18"/>
  <c r="T308" i="18" s="1"/>
  <c r="S308" i="18" s="1"/>
  <c r="R308" i="18" s="1"/>
  <c r="P308" i="18" s="1"/>
  <c r="V308" i="18" s="1"/>
  <c r="U310" i="18"/>
  <c r="T310" i="18" s="1"/>
  <c r="S310" i="18" s="1"/>
  <c r="R310" i="18" s="1"/>
  <c r="P310" i="18" s="1"/>
  <c r="V310" i="18" s="1"/>
  <c r="U312" i="18"/>
  <c r="T312" i="18" s="1"/>
  <c r="S312" i="18" s="1"/>
  <c r="R312" i="18" s="1"/>
  <c r="P312" i="18" s="1"/>
  <c r="V312" i="18" s="1"/>
  <c r="U314" i="18"/>
  <c r="T314" i="18" s="1"/>
  <c r="S314" i="18" s="1"/>
  <c r="R314" i="18" s="1"/>
  <c r="P314" i="18" s="1"/>
  <c r="V314" i="18" s="1"/>
  <c r="U316" i="18"/>
  <c r="T316" i="18" s="1"/>
  <c r="S316" i="18" s="1"/>
  <c r="R316" i="18" s="1"/>
  <c r="P316" i="18" s="1"/>
  <c r="V316" i="18" s="1"/>
  <c r="U318" i="18"/>
  <c r="T318" i="18" s="1"/>
  <c r="S318" i="18" s="1"/>
  <c r="R318" i="18" s="1"/>
  <c r="P318" i="18" s="1"/>
  <c r="V318" i="18" s="1"/>
  <c r="U320" i="18"/>
  <c r="T320" i="18" s="1"/>
  <c r="S320" i="18" s="1"/>
  <c r="R320" i="18" s="1"/>
  <c r="P320" i="18" s="1"/>
  <c r="V320" i="18" s="1"/>
  <c r="U322" i="18"/>
  <c r="T322" i="18" s="1"/>
  <c r="S322" i="18" s="1"/>
  <c r="R322" i="18" s="1"/>
  <c r="P322" i="18" s="1"/>
  <c r="V322" i="18" s="1"/>
  <c r="U324" i="18"/>
  <c r="T324" i="18" s="1"/>
  <c r="S324" i="18" s="1"/>
  <c r="R324" i="18" s="1"/>
  <c r="P324" i="18" s="1"/>
  <c r="V324" i="18" s="1"/>
  <c r="U326" i="18"/>
  <c r="T326" i="18" s="1"/>
  <c r="S326" i="18" s="1"/>
  <c r="R326" i="18" s="1"/>
  <c r="P326" i="18" s="1"/>
  <c r="V326" i="18" s="1"/>
  <c r="U328" i="18"/>
  <c r="T328" i="18" s="1"/>
  <c r="S328" i="18" s="1"/>
  <c r="R328" i="18" s="1"/>
  <c r="P328" i="18" s="1"/>
  <c r="V328" i="18" s="1"/>
  <c r="U330" i="18"/>
  <c r="T330" i="18" s="1"/>
  <c r="S330" i="18" s="1"/>
  <c r="R330" i="18" s="1"/>
  <c r="P330" i="18" s="1"/>
  <c r="V330" i="18" s="1"/>
  <c r="U332" i="18"/>
  <c r="T332" i="18" s="1"/>
  <c r="U334" i="18"/>
  <c r="T334" i="18" s="1"/>
  <c r="S334" i="18" s="1"/>
  <c r="R334" i="18" s="1"/>
  <c r="P334" i="18" s="1"/>
  <c r="V334" i="18" s="1"/>
  <c r="U336" i="18"/>
  <c r="T336" i="18" s="1"/>
  <c r="S336" i="18" s="1"/>
  <c r="R336" i="18" s="1"/>
  <c r="P336" i="18" s="1"/>
  <c r="V336" i="18" s="1"/>
  <c r="U338" i="18"/>
  <c r="T338" i="18" s="1"/>
  <c r="S338" i="18" s="1"/>
  <c r="R338" i="18" s="1"/>
  <c r="P338" i="18" s="1"/>
  <c r="V338" i="18" s="1"/>
  <c r="U340" i="18"/>
  <c r="T340" i="18" s="1"/>
  <c r="S340" i="18" s="1"/>
  <c r="R340" i="18" s="1"/>
  <c r="P340" i="18" s="1"/>
  <c r="V340" i="18" s="1"/>
  <c r="U342" i="18"/>
  <c r="T342" i="18" s="1"/>
  <c r="S342" i="18" s="1"/>
  <c r="R342" i="18" s="1"/>
  <c r="P342" i="18" s="1"/>
  <c r="V342" i="18" s="1"/>
  <c r="U344" i="18"/>
  <c r="T344" i="18" s="1"/>
  <c r="S344" i="18" s="1"/>
  <c r="R344" i="18" s="1"/>
  <c r="P344" i="18" s="1"/>
  <c r="V344" i="18" s="1"/>
  <c r="U346" i="18"/>
  <c r="T346" i="18" s="1"/>
  <c r="S346" i="18" s="1"/>
  <c r="R346" i="18" s="1"/>
  <c r="P346" i="18" s="1"/>
  <c r="V346" i="18" s="1"/>
  <c r="U348" i="18"/>
  <c r="T348" i="18" s="1"/>
  <c r="S348" i="18" s="1"/>
  <c r="R348" i="18" s="1"/>
  <c r="P348" i="18" s="1"/>
  <c r="V348" i="18" s="1"/>
  <c r="U350" i="18"/>
  <c r="T350" i="18" s="1"/>
  <c r="S350" i="18" s="1"/>
  <c r="R350" i="18" s="1"/>
  <c r="P350" i="18" s="1"/>
  <c r="V350" i="18" s="1"/>
  <c r="U352" i="18"/>
  <c r="T352" i="18" s="1"/>
  <c r="S352" i="18" s="1"/>
  <c r="R352" i="18" s="1"/>
  <c r="P352" i="18" s="1"/>
  <c r="V352" i="18" s="1"/>
  <c r="U378" i="18"/>
  <c r="T378" i="18" s="1"/>
  <c r="S378" i="18" s="1"/>
  <c r="R378" i="18" s="1"/>
  <c r="P378" i="18" s="1"/>
  <c r="V378" i="18" s="1"/>
  <c r="U376" i="18"/>
  <c r="T376" i="18" s="1"/>
  <c r="S376" i="18" s="1"/>
  <c r="R376" i="18" s="1"/>
  <c r="P376" i="18" s="1"/>
  <c r="V376" i="18" s="1"/>
  <c r="U374" i="18"/>
  <c r="T374" i="18" s="1"/>
  <c r="S374" i="18" s="1"/>
  <c r="R374" i="18" s="1"/>
  <c r="P374" i="18" s="1"/>
  <c r="V374" i="18" s="1"/>
  <c r="U372" i="18"/>
  <c r="T372" i="18" s="1"/>
  <c r="S372" i="18" s="1"/>
  <c r="R372" i="18" s="1"/>
  <c r="P372" i="18" s="1"/>
  <c r="V372" i="18" s="1"/>
  <c r="U370" i="18"/>
  <c r="T370" i="18" s="1"/>
  <c r="S370" i="18" s="1"/>
  <c r="R370" i="18" s="1"/>
  <c r="P370" i="18" s="1"/>
  <c r="V370" i="18" s="1"/>
  <c r="U368" i="18"/>
  <c r="T368" i="18" s="1"/>
  <c r="S368" i="18" s="1"/>
  <c r="R368" i="18" s="1"/>
  <c r="P368" i="18" s="1"/>
  <c r="V368" i="18" s="1"/>
  <c r="U366" i="18"/>
  <c r="T366" i="18" s="1"/>
  <c r="S366" i="18" s="1"/>
  <c r="R366" i="18" s="1"/>
  <c r="P366" i="18" s="1"/>
  <c r="V366" i="18" s="1"/>
  <c r="U364" i="18"/>
  <c r="T364" i="18" s="1"/>
  <c r="U362" i="18"/>
  <c r="T362" i="18" s="1"/>
  <c r="S362" i="18" s="1"/>
  <c r="R362" i="18" s="1"/>
  <c r="P362" i="18" s="1"/>
  <c r="V362" i="18" s="1"/>
  <c r="U360" i="18"/>
  <c r="T360" i="18" s="1"/>
  <c r="S360" i="18" s="1"/>
  <c r="R360" i="18" s="1"/>
  <c r="P360" i="18" s="1"/>
  <c r="V360" i="18" s="1"/>
  <c r="U358" i="18"/>
  <c r="T358" i="18" s="1"/>
  <c r="S358" i="18" s="1"/>
  <c r="R358" i="18" s="1"/>
  <c r="P358" i="18" s="1"/>
  <c r="V358" i="18" s="1"/>
  <c r="U356" i="18"/>
  <c r="T356" i="18" s="1"/>
  <c r="S356" i="18" s="1"/>
  <c r="R356" i="18" s="1"/>
  <c r="P356" i="18" s="1"/>
  <c r="V356" i="18" s="1"/>
  <c r="U354" i="18"/>
  <c r="T354" i="18" s="1"/>
  <c r="S354" i="18" s="1"/>
  <c r="R354" i="18" s="1"/>
  <c r="P354" i="18" s="1"/>
  <c r="V354" i="18" s="1"/>
  <c r="U351" i="18"/>
  <c r="T351" i="18" s="1"/>
  <c r="S351" i="18" s="1"/>
  <c r="R351" i="18" s="1"/>
  <c r="P351" i="18" s="1"/>
  <c r="V351" i="18" s="1"/>
  <c r="U347" i="18"/>
  <c r="T347" i="18" s="1"/>
  <c r="S347" i="18" s="1"/>
  <c r="R347" i="18" s="1"/>
  <c r="P347" i="18" s="1"/>
  <c r="V347" i="18" s="1"/>
  <c r="U343" i="18"/>
  <c r="T343" i="18" s="1"/>
  <c r="S343" i="18" s="1"/>
  <c r="R343" i="18" s="1"/>
  <c r="P343" i="18" s="1"/>
  <c r="V343" i="18" s="1"/>
  <c r="U339" i="18"/>
  <c r="T339" i="18" s="1"/>
  <c r="S339" i="18" s="1"/>
  <c r="R339" i="18" s="1"/>
  <c r="P339" i="18" s="1"/>
  <c r="V339" i="18" s="1"/>
  <c r="U335" i="18"/>
  <c r="T335" i="18" s="1"/>
  <c r="S335" i="18" s="1"/>
  <c r="R335" i="18" s="1"/>
  <c r="P335" i="18" s="1"/>
  <c r="V335" i="18" s="1"/>
  <c r="U331" i="18"/>
  <c r="T331" i="18" s="1"/>
  <c r="S331" i="18" s="1"/>
  <c r="R331" i="18" s="1"/>
  <c r="P331" i="18" s="1"/>
  <c r="V331" i="18" s="1"/>
  <c r="U327" i="18"/>
  <c r="T327" i="18" s="1"/>
  <c r="S327" i="18" s="1"/>
  <c r="R327" i="18" s="1"/>
  <c r="P327" i="18" s="1"/>
  <c r="V327" i="18" s="1"/>
  <c r="U323" i="18"/>
  <c r="T323" i="18" s="1"/>
  <c r="S323" i="18" s="1"/>
  <c r="R323" i="18" s="1"/>
  <c r="P323" i="18" s="1"/>
  <c r="V323" i="18" s="1"/>
  <c r="U319" i="18"/>
  <c r="T319" i="18" s="1"/>
  <c r="S319" i="18" s="1"/>
  <c r="R319" i="18" s="1"/>
  <c r="P319" i="18" s="1"/>
  <c r="V319" i="18" s="1"/>
  <c r="U315" i="18"/>
  <c r="T315" i="18" s="1"/>
  <c r="S315" i="18" s="1"/>
  <c r="R315" i="18" s="1"/>
  <c r="P315" i="18" s="1"/>
  <c r="V315" i="18" s="1"/>
  <c r="U311" i="18"/>
  <c r="T311" i="18" s="1"/>
  <c r="S311" i="18" s="1"/>
  <c r="R311" i="18" s="1"/>
  <c r="P311" i="18" s="1"/>
  <c r="V311" i="18" s="1"/>
  <c r="U307" i="18"/>
  <c r="T307" i="18" s="1"/>
  <c r="S307" i="18" s="1"/>
  <c r="R307" i="18" s="1"/>
  <c r="P307" i="18" s="1"/>
  <c r="V307" i="18" s="1"/>
  <c r="U303" i="18"/>
  <c r="T303" i="18" s="1"/>
  <c r="S303" i="18" s="1"/>
  <c r="R303" i="18" s="1"/>
  <c r="P303" i="18" s="1"/>
  <c r="V303" i="18" s="1"/>
  <c r="U299" i="18"/>
  <c r="T299" i="18" s="1"/>
  <c r="S299" i="18" s="1"/>
  <c r="R299" i="18" s="1"/>
  <c r="P299" i="18" s="1"/>
  <c r="V299" i="18" s="1"/>
  <c r="U295" i="18"/>
  <c r="T295" i="18" s="1"/>
  <c r="S295" i="18" s="1"/>
  <c r="R295" i="18" s="1"/>
  <c r="P295" i="18" s="1"/>
  <c r="V295" i="18" s="1"/>
  <c r="U291" i="18"/>
  <c r="T291" i="18" s="1"/>
  <c r="S291" i="18" s="1"/>
  <c r="R291" i="18" s="1"/>
  <c r="P291" i="18" s="1"/>
  <c r="V291" i="18" s="1"/>
  <c r="U287" i="18"/>
  <c r="T287" i="18" s="1"/>
  <c r="U283" i="18"/>
  <c r="T283" i="18" s="1"/>
  <c r="S283" i="18" s="1"/>
  <c r="R283" i="18" s="1"/>
  <c r="P283" i="18" s="1"/>
  <c r="V283" i="18" s="1"/>
  <c r="U279" i="18"/>
  <c r="T279" i="18" s="1"/>
  <c r="U275" i="18"/>
  <c r="T275" i="18" s="1"/>
  <c r="S275" i="18" s="1"/>
  <c r="R275" i="18" s="1"/>
  <c r="P275" i="18" s="1"/>
  <c r="V275" i="18" s="1"/>
  <c r="U271" i="18"/>
  <c r="T271" i="18" s="1"/>
  <c r="S271" i="18" s="1"/>
  <c r="R271" i="18" s="1"/>
  <c r="P271" i="18" s="1"/>
  <c r="V271" i="18" s="1"/>
  <c r="U267" i="18"/>
  <c r="T267" i="18" s="1"/>
  <c r="S267" i="18" s="1"/>
  <c r="R267" i="18" s="1"/>
  <c r="P267" i="18" s="1"/>
  <c r="V267" i="18" s="1"/>
  <c r="U263" i="18"/>
  <c r="T263" i="18" s="1"/>
  <c r="S263" i="18" s="1"/>
  <c r="R263" i="18" s="1"/>
  <c r="P263" i="18" s="1"/>
  <c r="V263" i="18" s="1"/>
  <c r="U259" i="18"/>
  <c r="T259" i="18" s="1"/>
  <c r="S259" i="18" s="1"/>
  <c r="R259" i="18" s="1"/>
  <c r="P259" i="18" s="1"/>
  <c r="V259" i="18" s="1"/>
  <c r="U255" i="18"/>
  <c r="T255" i="18" s="1"/>
  <c r="S255" i="18" s="1"/>
  <c r="R255" i="18" s="1"/>
  <c r="P255" i="18" s="1"/>
  <c r="V255" i="18" s="1"/>
  <c r="U251" i="18"/>
  <c r="T251" i="18" s="1"/>
  <c r="S251" i="18" s="1"/>
  <c r="R251" i="18" s="1"/>
  <c r="P251" i="18" s="1"/>
  <c r="V251" i="18" s="1"/>
  <c r="U247" i="18"/>
  <c r="T247" i="18" s="1"/>
  <c r="S247" i="18" s="1"/>
  <c r="R247" i="18" s="1"/>
  <c r="P247" i="18" s="1"/>
  <c r="V247" i="18" s="1"/>
  <c r="U243" i="18"/>
  <c r="T243" i="18" s="1"/>
  <c r="S243" i="18" s="1"/>
  <c r="R243" i="18" s="1"/>
  <c r="P243" i="18" s="1"/>
  <c r="V243" i="18" s="1"/>
  <c r="U239" i="18"/>
  <c r="T239" i="18" s="1"/>
  <c r="S239" i="18" s="1"/>
  <c r="R239" i="18" s="1"/>
  <c r="P239" i="18" s="1"/>
  <c r="V239" i="18" s="1"/>
  <c r="U235" i="18"/>
  <c r="T235" i="18" s="1"/>
  <c r="S235" i="18" s="1"/>
  <c r="R235" i="18" s="1"/>
  <c r="P235" i="18" s="1"/>
  <c r="V235" i="18" s="1"/>
  <c r="U231" i="18"/>
  <c r="T231" i="18" s="1"/>
  <c r="S231" i="18" s="1"/>
  <c r="R231" i="18" s="1"/>
  <c r="P231" i="18" s="1"/>
  <c r="V231" i="18" s="1"/>
  <c r="U227" i="18"/>
  <c r="T227" i="18" s="1"/>
  <c r="S227" i="18" s="1"/>
  <c r="R227" i="18" s="1"/>
  <c r="P227" i="18" s="1"/>
  <c r="V227" i="18" s="1"/>
  <c r="U223" i="18"/>
  <c r="T223" i="18" s="1"/>
  <c r="S223" i="18" s="1"/>
  <c r="R223" i="18" s="1"/>
  <c r="P223" i="18" s="1"/>
  <c r="V223" i="18" s="1"/>
  <c r="U219" i="18"/>
  <c r="T219" i="18" s="1"/>
  <c r="S219" i="18" s="1"/>
  <c r="R219" i="18" s="1"/>
  <c r="P219" i="18" s="1"/>
  <c r="V219" i="18" s="1"/>
  <c r="U215" i="18"/>
  <c r="T215" i="18" s="1"/>
  <c r="S215" i="18" s="1"/>
  <c r="R215" i="18" s="1"/>
  <c r="P215" i="18" s="1"/>
  <c r="V215" i="18" s="1"/>
  <c r="U211" i="18"/>
  <c r="T211" i="18" s="1"/>
  <c r="S211" i="18" s="1"/>
  <c r="R211" i="18" s="1"/>
  <c r="P211" i="18" s="1"/>
  <c r="V211" i="18" s="1"/>
  <c r="U207" i="18"/>
  <c r="T207" i="18" s="1"/>
  <c r="S207" i="18" s="1"/>
  <c r="R207" i="18" s="1"/>
  <c r="P207" i="18" s="1"/>
  <c r="V207" i="18" s="1"/>
  <c r="U203" i="18"/>
  <c r="T203" i="18" s="1"/>
  <c r="S203" i="18" s="1"/>
  <c r="R203" i="18" s="1"/>
  <c r="P203" i="18" s="1"/>
  <c r="V203" i="18" s="1"/>
  <c r="U199" i="18"/>
  <c r="T199" i="18" s="1"/>
  <c r="S199" i="18" s="1"/>
  <c r="R199" i="18" s="1"/>
  <c r="P199" i="18" s="1"/>
  <c r="V199" i="18" s="1"/>
  <c r="U195" i="18"/>
  <c r="T195" i="18" s="1"/>
  <c r="S195" i="18" s="1"/>
  <c r="R195" i="18" s="1"/>
  <c r="P195" i="18" s="1"/>
  <c r="V195" i="18" s="1"/>
  <c r="U191" i="18"/>
  <c r="T191" i="18" s="1"/>
  <c r="S191" i="18" s="1"/>
  <c r="R191" i="18" s="1"/>
  <c r="P191" i="18" s="1"/>
  <c r="V191" i="18" s="1"/>
  <c r="U187" i="18"/>
  <c r="T187" i="18" s="1"/>
  <c r="S187" i="18" s="1"/>
  <c r="R187" i="18" s="1"/>
  <c r="P187" i="18" s="1"/>
  <c r="V187" i="18" s="1"/>
  <c r="U183" i="18"/>
  <c r="T183" i="18" s="1"/>
  <c r="S183" i="18" s="1"/>
  <c r="R183" i="18" s="1"/>
  <c r="P183" i="18" s="1"/>
  <c r="V183" i="18" s="1"/>
  <c r="U179" i="18"/>
  <c r="T179" i="18" s="1"/>
  <c r="S179" i="18" s="1"/>
  <c r="R179" i="18" s="1"/>
  <c r="P179" i="18" s="1"/>
  <c r="V179" i="18" s="1"/>
  <c r="U175" i="18"/>
  <c r="T175" i="18" s="1"/>
  <c r="S175" i="18" s="1"/>
  <c r="R175" i="18" s="1"/>
  <c r="P175" i="18" s="1"/>
  <c r="V175" i="18" s="1"/>
  <c r="U171" i="18"/>
  <c r="T171" i="18" s="1"/>
  <c r="S171" i="18" s="1"/>
  <c r="R171" i="18" s="1"/>
  <c r="P171" i="18" s="1"/>
  <c r="V171" i="18" s="1"/>
  <c r="U167" i="18"/>
  <c r="T167" i="18" s="1"/>
  <c r="S167" i="18" s="1"/>
  <c r="R167" i="18" s="1"/>
  <c r="P167" i="18" s="1"/>
  <c r="V167" i="18" s="1"/>
  <c r="U163" i="18"/>
  <c r="T163" i="18" s="1"/>
  <c r="S163" i="18" s="1"/>
  <c r="R163" i="18" s="1"/>
  <c r="P163" i="18" s="1"/>
  <c r="V163" i="18" s="1"/>
  <c r="U159" i="18"/>
  <c r="T159" i="18" s="1"/>
  <c r="S159" i="18" s="1"/>
  <c r="R159" i="18" s="1"/>
  <c r="P159" i="18" s="1"/>
  <c r="V159" i="18" s="1"/>
  <c r="U155" i="18"/>
  <c r="T155" i="18" s="1"/>
  <c r="S155" i="18" s="1"/>
  <c r="R155" i="18" s="1"/>
  <c r="P155" i="18" s="1"/>
  <c r="V155" i="18" s="1"/>
  <c r="U151" i="18"/>
  <c r="T151" i="18" s="1"/>
  <c r="S151" i="18" s="1"/>
  <c r="R151" i="18" s="1"/>
  <c r="P151" i="18" s="1"/>
  <c r="V151" i="18" s="1"/>
  <c r="U147" i="18"/>
  <c r="T147" i="18" s="1"/>
  <c r="S147" i="18" s="1"/>
  <c r="R147" i="18" s="1"/>
  <c r="P147" i="18" s="1"/>
  <c r="V147" i="18" s="1"/>
  <c r="U143" i="18"/>
  <c r="T143" i="18" s="1"/>
  <c r="S143" i="18" s="1"/>
  <c r="R143" i="18" s="1"/>
  <c r="P143" i="18" s="1"/>
  <c r="V143" i="18" s="1"/>
  <c r="U139" i="18"/>
  <c r="T139" i="18" s="1"/>
  <c r="S139" i="18" s="1"/>
  <c r="R139" i="18" s="1"/>
  <c r="P139" i="18" s="1"/>
  <c r="V139" i="18" s="1"/>
  <c r="U135" i="18"/>
  <c r="T135" i="18" s="1"/>
  <c r="S135" i="18" s="1"/>
  <c r="R135" i="18" s="1"/>
  <c r="P135" i="18" s="1"/>
  <c r="V135" i="18" s="1"/>
  <c r="U131" i="18"/>
  <c r="T131" i="18" s="1"/>
  <c r="S131" i="18" s="1"/>
  <c r="R131" i="18" s="1"/>
  <c r="P131" i="18" s="1"/>
  <c r="V131" i="18" s="1"/>
  <c r="U127" i="18"/>
  <c r="T127" i="18" s="1"/>
  <c r="S127" i="18" s="1"/>
  <c r="R127" i="18" s="1"/>
  <c r="P127" i="18" s="1"/>
  <c r="V127" i="18" s="1"/>
  <c r="U123" i="18"/>
  <c r="T123" i="18" s="1"/>
  <c r="S123" i="18" s="1"/>
  <c r="R123" i="18" s="1"/>
  <c r="P123" i="18" s="1"/>
  <c r="V123" i="18" s="1"/>
  <c r="U119" i="18"/>
  <c r="T119" i="18" s="1"/>
  <c r="S119" i="18" s="1"/>
  <c r="R119" i="18" s="1"/>
  <c r="P119" i="18" s="1"/>
  <c r="D71" i="7" s="1"/>
  <c r="U115" i="18"/>
  <c r="T115" i="18" s="1"/>
  <c r="S115" i="18" s="1"/>
  <c r="R115" i="18" s="1"/>
  <c r="P115" i="18" s="1"/>
  <c r="V115" i="18" s="1"/>
  <c r="U111" i="18"/>
  <c r="T111" i="18" s="1"/>
  <c r="S111" i="18" s="1"/>
  <c r="R111" i="18" s="1"/>
  <c r="P111" i="18" s="1"/>
  <c r="V111" i="18" s="1"/>
  <c r="U107" i="18"/>
  <c r="T107" i="18" s="1"/>
  <c r="S107" i="18" s="1"/>
  <c r="R107" i="18" s="1"/>
  <c r="P107" i="18" s="1"/>
  <c r="V107" i="18" s="1"/>
  <c r="U103" i="18"/>
  <c r="T103" i="18" s="1"/>
  <c r="S103" i="18" s="1"/>
  <c r="R103" i="18" s="1"/>
  <c r="P103" i="18" s="1"/>
  <c r="V103" i="18" s="1"/>
  <c r="U99" i="18"/>
  <c r="T99" i="18" s="1"/>
  <c r="S99" i="18" s="1"/>
  <c r="R99" i="18" s="1"/>
  <c r="P99" i="18" s="1"/>
  <c r="V99" i="18" s="1"/>
  <c r="U95" i="18"/>
  <c r="T95" i="18" s="1"/>
  <c r="S95" i="18" s="1"/>
  <c r="R95" i="18" s="1"/>
  <c r="P95" i="18" s="1"/>
  <c r="V95" i="18" s="1"/>
  <c r="U91" i="18"/>
  <c r="T91" i="18" s="1"/>
  <c r="S91" i="18" s="1"/>
  <c r="R91" i="18" s="1"/>
  <c r="P91" i="18" s="1"/>
  <c r="V91" i="18" s="1"/>
  <c r="U87" i="18"/>
  <c r="T87" i="18" s="1"/>
  <c r="S87" i="18" s="1"/>
  <c r="R87" i="18" s="1"/>
  <c r="P87" i="18" s="1"/>
  <c r="V87" i="18" s="1"/>
  <c r="U83" i="18"/>
  <c r="T83" i="18" s="1"/>
  <c r="S83" i="18" s="1"/>
  <c r="R83" i="18" s="1"/>
  <c r="P83" i="18" s="1"/>
  <c r="V83" i="18" s="1"/>
  <c r="U79" i="18"/>
  <c r="T79" i="18" s="1"/>
  <c r="S79" i="18" s="1"/>
  <c r="R79" i="18" s="1"/>
  <c r="P79" i="18" s="1"/>
  <c r="V79" i="18" s="1"/>
  <c r="U75" i="18"/>
  <c r="T75" i="18" s="1"/>
  <c r="S75" i="18" s="1"/>
  <c r="R75" i="18" s="1"/>
  <c r="P75" i="18" s="1"/>
  <c r="V75" i="18" s="1"/>
  <c r="U71" i="18"/>
  <c r="T71" i="18" s="1"/>
  <c r="S71" i="18" s="1"/>
  <c r="R71" i="18" s="1"/>
  <c r="P71" i="18" s="1"/>
  <c r="V71" i="18" s="1"/>
  <c r="U67" i="18"/>
  <c r="T67" i="18" s="1"/>
  <c r="S67" i="18" s="1"/>
  <c r="R67" i="18" s="1"/>
  <c r="P67" i="18" s="1"/>
  <c r="V67" i="18" s="1"/>
  <c r="U63" i="18"/>
  <c r="T63" i="18" s="1"/>
  <c r="S63" i="18" s="1"/>
  <c r="R63" i="18" s="1"/>
  <c r="P63" i="18" s="1"/>
  <c r="V63" i="18" s="1"/>
  <c r="U59" i="18"/>
  <c r="T59" i="18" s="1"/>
  <c r="S59" i="18" s="1"/>
  <c r="R59" i="18" s="1"/>
  <c r="P59" i="18" s="1"/>
  <c r="V59" i="18" s="1"/>
  <c r="U55" i="18"/>
  <c r="T55" i="18" s="1"/>
  <c r="S55" i="18" s="1"/>
  <c r="R55" i="18" s="1"/>
  <c r="P55" i="18" s="1"/>
  <c r="V55" i="18" s="1"/>
  <c r="U51" i="18"/>
  <c r="T51" i="18" s="1"/>
  <c r="S51" i="18" s="1"/>
  <c r="R51" i="18" s="1"/>
  <c r="P51" i="18" s="1"/>
  <c r="V51" i="18" s="1"/>
  <c r="U47" i="18"/>
  <c r="T47" i="18" s="1"/>
  <c r="S47" i="18" s="1"/>
  <c r="R47" i="18" s="1"/>
  <c r="P47" i="18" s="1"/>
  <c r="V47" i="18" s="1"/>
  <c r="U43" i="18"/>
  <c r="T43" i="18" s="1"/>
  <c r="S43" i="18" s="1"/>
  <c r="R43" i="18" s="1"/>
  <c r="P43" i="18" s="1"/>
  <c r="V43" i="18" s="1"/>
  <c r="U39" i="18"/>
  <c r="T39" i="18" s="1"/>
  <c r="S39" i="18" s="1"/>
  <c r="R39" i="18" s="1"/>
  <c r="P39" i="18" s="1"/>
  <c r="V39" i="18" s="1"/>
  <c r="U35" i="18"/>
  <c r="T35" i="18" s="1"/>
  <c r="S35" i="18" s="1"/>
  <c r="R35" i="18" s="1"/>
  <c r="P35" i="18" s="1"/>
  <c r="V35" i="18" s="1"/>
  <c r="U31" i="18"/>
  <c r="T31" i="18" s="1"/>
  <c r="S31" i="18" s="1"/>
  <c r="R31" i="18" s="1"/>
  <c r="P31" i="18" s="1"/>
  <c r="V31" i="18" s="1"/>
  <c r="U27" i="18"/>
  <c r="T27" i="18" s="1"/>
  <c r="S27" i="18" s="1"/>
  <c r="R27" i="18" s="1"/>
  <c r="P27" i="18" s="1"/>
  <c r="V27" i="18" s="1"/>
  <c r="U23" i="18"/>
  <c r="T23" i="18" s="1"/>
  <c r="S23" i="18" s="1"/>
  <c r="R23" i="18" s="1"/>
  <c r="P23" i="18" s="1"/>
  <c r="V23" i="18" s="1"/>
  <c r="U19" i="18"/>
  <c r="T19" i="18" s="1"/>
  <c r="S19" i="18" s="1"/>
  <c r="R19" i="18" s="1"/>
  <c r="P19" i="18" s="1"/>
  <c r="V19" i="18" s="1"/>
  <c r="U18" i="18"/>
  <c r="T18" i="18" s="1"/>
  <c r="S18" i="18" s="1"/>
  <c r="R18" i="18" s="1"/>
  <c r="P18" i="18" s="1"/>
  <c r="V18" i="18" s="1"/>
  <c r="P65" i="18"/>
  <c r="V65" i="18" s="1"/>
  <c r="P25" i="18"/>
  <c r="V25" i="18" s="1"/>
  <c r="P21" i="18"/>
  <c r="V21" i="18" s="1"/>
  <c r="AM5" i="16"/>
  <c r="AC16" i="7"/>
  <c r="AI19" i="18"/>
  <c r="AH19" i="18" s="1"/>
  <c r="AG19" i="18" s="1"/>
  <c r="AF19" i="18" s="1"/>
  <c r="AI18" i="18"/>
  <c r="AH18" i="18" s="1"/>
  <c r="AI20" i="18"/>
  <c r="AH20" i="18" s="1"/>
  <c r="AG20" i="18" s="1"/>
  <c r="AF20" i="18" s="1"/>
  <c r="AI22" i="18"/>
  <c r="AH22" i="18" s="1"/>
  <c r="AG22" i="18" s="1"/>
  <c r="AF22" i="18" s="1"/>
  <c r="AI24" i="18"/>
  <c r="AH24" i="18" s="1"/>
  <c r="AG24" i="18" s="1"/>
  <c r="AF24" i="18" s="1"/>
  <c r="AI26" i="18"/>
  <c r="AH26" i="18" s="1"/>
  <c r="AG26" i="18" s="1"/>
  <c r="AF26" i="18" s="1"/>
  <c r="AI28" i="18"/>
  <c r="AH28" i="18" s="1"/>
  <c r="AG28" i="18" s="1"/>
  <c r="AF28" i="18" s="1"/>
  <c r="AI30" i="18"/>
  <c r="AH30" i="18" s="1"/>
  <c r="AG30" i="18" s="1"/>
  <c r="AF30" i="18" s="1"/>
  <c r="AI32" i="18"/>
  <c r="AH32" i="18" s="1"/>
  <c r="AG32" i="18" s="1"/>
  <c r="AF32" i="18" s="1"/>
  <c r="AI34" i="18"/>
  <c r="AH34" i="18" s="1"/>
  <c r="AG34" i="18" s="1"/>
  <c r="AF34" i="18" s="1"/>
  <c r="AI36" i="18"/>
  <c r="AH36" i="18" s="1"/>
  <c r="AG36" i="18" s="1"/>
  <c r="AF36" i="18" s="1"/>
  <c r="AI38" i="18"/>
  <c r="AH38" i="18" s="1"/>
  <c r="AG38" i="18" s="1"/>
  <c r="AF38" i="18" s="1"/>
  <c r="AI40" i="18"/>
  <c r="AH40" i="18" s="1"/>
  <c r="AG40" i="18" s="1"/>
  <c r="AF40" i="18" s="1"/>
  <c r="AI42" i="18"/>
  <c r="AH42" i="18" s="1"/>
  <c r="AG42" i="18" s="1"/>
  <c r="AF42" i="18" s="1"/>
  <c r="AI44" i="18"/>
  <c r="AH44" i="18" s="1"/>
  <c r="AG44" i="18" s="1"/>
  <c r="AF44" i="18" s="1"/>
  <c r="AI46" i="18"/>
  <c r="AH46" i="18" s="1"/>
  <c r="AG46" i="18" s="1"/>
  <c r="AF46" i="18" s="1"/>
  <c r="AI48" i="18"/>
  <c r="AH48" i="18" s="1"/>
  <c r="AG48" i="18" s="1"/>
  <c r="AF48" i="18" s="1"/>
  <c r="AI50" i="18"/>
  <c r="AH50" i="18" s="1"/>
  <c r="AG50" i="18" s="1"/>
  <c r="AF50" i="18" s="1"/>
  <c r="AI52" i="18"/>
  <c r="AH52" i="18" s="1"/>
  <c r="AG52" i="18" s="1"/>
  <c r="AF52" i="18" s="1"/>
  <c r="AI54" i="18"/>
  <c r="AH54" i="18" s="1"/>
  <c r="AG54" i="18" s="1"/>
  <c r="AF54" i="18" s="1"/>
  <c r="AI56" i="18"/>
  <c r="AH56" i="18" s="1"/>
  <c r="AG56" i="18" s="1"/>
  <c r="AF56" i="18" s="1"/>
  <c r="AI58" i="18"/>
  <c r="AH58" i="18" s="1"/>
  <c r="AG58" i="18" s="1"/>
  <c r="AF58" i="18" s="1"/>
  <c r="AI60" i="18"/>
  <c r="AH60" i="18" s="1"/>
  <c r="AG60" i="18" s="1"/>
  <c r="AF60" i="18" s="1"/>
  <c r="AI62" i="18"/>
  <c r="AH62" i="18" s="1"/>
  <c r="AG62" i="18" s="1"/>
  <c r="AF62" i="18" s="1"/>
  <c r="AI64" i="18"/>
  <c r="AH64" i="18" s="1"/>
  <c r="AG64" i="18" s="1"/>
  <c r="AF64" i="18" s="1"/>
  <c r="AI66" i="18"/>
  <c r="AH66" i="18" s="1"/>
  <c r="AG66" i="18" s="1"/>
  <c r="AF66" i="18" s="1"/>
  <c r="AI68" i="18"/>
  <c r="AH68" i="18" s="1"/>
  <c r="AG68" i="18" s="1"/>
  <c r="AF68" i="18" s="1"/>
  <c r="AI70" i="18"/>
  <c r="AH70" i="18" s="1"/>
  <c r="AG70" i="18" s="1"/>
  <c r="AF70" i="18" s="1"/>
  <c r="AI72" i="18"/>
  <c r="AH72" i="18" s="1"/>
  <c r="AG72" i="18" s="1"/>
  <c r="AF72" i="18" s="1"/>
  <c r="AI74" i="18"/>
  <c r="AH74" i="18" s="1"/>
  <c r="AG74" i="18" s="1"/>
  <c r="AF74" i="18" s="1"/>
  <c r="AI76" i="18"/>
  <c r="AH76" i="18" s="1"/>
  <c r="AG76" i="18" s="1"/>
  <c r="AF76" i="18" s="1"/>
  <c r="AI78" i="18"/>
  <c r="AH78" i="18" s="1"/>
  <c r="AG78" i="18" s="1"/>
  <c r="AF78" i="18" s="1"/>
  <c r="AI80" i="18"/>
  <c r="AH80" i="18" s="1"/>
  <c r="AG80" i="18" s="1"/>
  <c r="AF80" i="18" s="1"/>
  <c r="AI82" i="18"/>
  <c r="AH82" i="18" s="1"/>
  <c r="AG82" i="18" s="1"/>
  <c r="AF82" i="18" s="1"/>
  <c r="AI84" i="18"/>
  <c r="AH84" i="18" s="1"/>
  <c r="AG84" i="18" s="1"/>
  <c r="AF84" i="18" s="1"/>
  <c r="AI86" i="18"/>
  <c r="AH86" i="18" s="1"/>
  <c r="AG86" i="18" s="1"/>
  <c r="AF86" i="18" s="1"/>
  <c r="AI88" i="18"/>
  <c r="AH88" i="18" s="1"/>
  <c r="AG88" i="18" s="1"/>
  <c r="AF88" i="18" s="1"/>
  <c r="AI90" i="18"/>
  <c r="AH90" i="18" s="1"/>
  <c r="AG90" i="18" s="1"/>
  <c r="AF90" i="18" s="1"/>
  <c r="AI92" i="18"/>
  <c r="AH92" i="18" s="1"/>
  <c r="AG92" i="18" s="1"/>
  <c r="AF92" i="18" s="1"/>
  <c r="AI94" i="18"/>
  <c r="AH94" i="18" s="1"/>
  <c r="AG94" i="18" s="1"/>
  <c r="AF94" i="18" s="1"/>
  <c r="AI96" i="18"/>
  <c r="AH96" i="18" s="1"/>
  <c r="AG96" i="18" s="1"/>
  <c r="AF96" i="18" s="1"/>
  <c r="AI98" i="18"/>
  <c r="AH98" i="18" s="1"/>
  <c r="AG98" i="18" s="1"/>
  <c r="AF98" i="18" s="1"/>
  <c r="AI100" i="18"/>
  <c r="AH100" i="18" s="1"/>
  <c r="AG100" i="18" s="1"/>
  <c r="AF100" i="18" s="1"/>
  <c r="AI102" i="18"/>
  <c r="AH102" i="18" s="1"/>
  <c r="AG102" i="18" s="1"/>
  <c r="AF102" i="18" s="1"/>
  <c r="AI104" i="18"/>
  <c r="AH104" i="18" s="1"/>
  <c r="AG104" i="18" s="1"/>
  <c r="AF104" i="18" s="1"/>
  <c r="AI106" i="18"/>
  <c r="AH106" i="18" s="1"/>
  <c r="AG106" i="18" s="1"/>
  <c r="AF106" i="18" s="1"/>
  <c r="AI108" i="18"/>
  <c r="AH108" i="18" s="1"/>
  <c r="AG108" i="18" s="1"/>
  <c r="AF108" i="18" s="1"/>
  <c r="AI110" i="18"/>
  <c r="AH110" i="18" s="1"/>
  <c r="AG110" i="18" s="1"/>
  <c r="AF110" i="18" s="1"/>
  <c r="AI112" i="18"/>
  <c r="AH112" i="18" s="1"/>
  <c r="AG112" i="18" s="1"/>
  <c r="AF112" i="18" s="1"/>
  <c r="AI114" i="18"/>
  <c r="AH114" i="18" s="1"/>
  <c r="AG114" i="18" s="1"/>
  <c r="AF114" i="18" s="1"/>
  <c r="AI116" i="18"/>
  <c r="AH116" i="18" s="1"/>
  <c r="AG116" i="18" s="1"/>
  <c r="AF116" i="18" s="1"/>
  <c r="AI118" i="18"/>
  <c r="AH118" i="18" s="1"/>
  <c r="AG118" i="18" s="1"/>
  <c r="AF118" i="18" s="1"/>
  <c r="AI120" i="18"/>
  <c r="AH120" i="18" s="1"/>
  <c r="AG120" i="18" s="1"/>
  <c r="AF120" i="18" s="1"/>
  <c r="AI122" i="18"/>
  <c r="AH122" i="18" s="1"/>
  <c r="AG122" i="18" s="1"/>
  <c r="AF122" i="18" s="1"/>
  <c r="AI124" i="18"/>
  <c r="AH124" i="18" s="1"/>
  <c r="AG124" i="18" s="1"/>
  <c r="AF124" i="18" s="1"/>
  <c r="AI126" i="18"/>
  <c r="AH126" i="18" s="1"/>
  <c r="AG126" i="18" s="1"/>
  <c r="AF126" i="18" s="1"/>
  <c r="AI128" i="18"/>
  <c r="AH128" i="18" s="1"/>
  <c r="AG128" i="18" s="1"/>
  <c r="AF128" i="18" s="1"/>
  <c r="AI130" i="18"/>
  <c r="AH130" i="18" s="1"/>
  <c r="AG130" i="18" s="1"/>
  <c r="AF130" i="18" s="1"/>
  <c r="AI132" i="18"/>
  <c r="AH132" i="18" s="1"/>
  <c r="AG132" i="18" s="1"/>
  <c r="AF132" i="18" s="1"/>
  <c r="AI134" i="18"/>
  <c r="AH134" i="18" s="1"/>
  <c r="AG134" i="18" s="1"/>
  <c r="AF134" i="18" s="1"/>
  <c r="AI136" i="18"/>
  <c r="AH136" i="18" s="1"/>
  <c r="AG136" i="18" s="1"/>
  <c r="AF136" i="18" s="1"/>
  <c r="AI138" i="18"/>
  <c r="AH138" i="18" s="1"/>
  <c r="AG138" i="18" s="1"/>
  <c r="AF138" i="18" s="1"/>
  <c r="AI140" i="18"/>
  <c r="AH140" i="18" s="1"/>
  <c r="AG140" i="18" s="1"/>
  <c r="AF140" i="18" s="1"/>
  <c r="AI142" i="18"/>
  <c r="AH142" i="18" s="1"/>
  <c r="AG142" i="18" s="1"/>
  <c r="AF142" i="18" s="1"/>
  <c r="AI144" i="18"/>
  <c r="AH144" i="18" s="1"/>
  <c r="AG144" i="18" s="1"/>
  <c r="AF144" i="18" s="1"/>
  <c r="AI146" i="18"/>
  <c r="AH146" i="18" s="1"/>
  <c r="AG146" i="18" s="1"/>
  <c r="AF146" i="18" s="1"/>
  <c r="AI148" i="18"/>
  <c r="AH148" i="18" s="1"/>
  <c r="AG148" i="18" s="1"/>
  <c r="AF148" i="18" s="1"/>
  <c r="AI17" i="18"/>
  <c r="AH17" i="18" s="1"/>
  <c r="AG17" i="18" s="1"/>
  <c r="AF17" i="18" s="1"/>
  <c r="AI16" i="18"/>
  <c r="AH16" i="18" s="1"/>
  <c r="AI15" i="18"/>
  <c r="AI21" i="18"/>
  <c r="AH21" i="18" s="1"/>
  <c r="AG21" i="18" s="1"/>
  <c r="AF21" i="18" s="1"/>
  <c r="AI23" i="18"/>
  <c r="AH23" i="18" s="1"/>
  <c r="AG23" i="18" s="1"/>
  <c r="AF23" i="18" s="1"/>
  <c r="AD23" i="18" s="1"/>
  <c r="AI25" i="18"/>
  <c r="AH25" i="18" s="1"/>
  <c r="AG25" i="18" s="1"/>
  <c r="AF25" i="18" s="1"/>
  <c r="AI27" i="18"/>
  <c r="AH27" i="18" s="1"/>
  <c r="AG27" i="18" s="1"/>
  <c r="AF27" i="18" s="1"/>
  <c r="AD27" i="18" s="1"/>
  <c r="AI29" i="18"/>
  <c r="AH29" i="18" s="1"/>
  <c r="AI31" i="18"/>
  <c r="AH31" i="18" s="1"/>
  <c r="AI33" i="18"/>
  <c r="AH33" i="18" s="1"/>
  <c r="AG33" i="18" s="1"/>
  <c r="AF33" i="18" s="1"/>
  <c r="AD33" i="18" s="1"/>
  <c r="AI35" i="18"/>
  <c r="AH35" i="18" s="1"/>
  <c r="AI37" i="18"/>
  <c r="AH37" i="18" s="1"/>
  <c r="AI39" i="18"/>
  <c r="AH39" i="18" s="1"/>
  <c r="AG39" i="18" s="1"/>
  <c r="AF39" i="18" s="1"/>
  <c r="AD39" i="18" s="1"/>
  <c r="AI41" i="18"/>
  <c r="AH41" i="18" s="1"/>
  <c r="AG41" i="18" s="1"/>
  <c r="AF41" i="18" s="1"/>
  <c r="AI43" i="18"/>
  <c r="AH43" i="18" s="1"/>
  <c r="AI45" i="18"/>
  <c r="AH45" i="18" s="1"/>
  <c r="AI47" i="18"/>
  <c r="AH47" i="18" s="1"/>
  <c r="AI49" i="18"/>
  <c r="AH49" i="18" s="1"/>
  <c r="AI51" i="18"/>
  <c r="AH51" i="18" s="1"/>
  <c r="AG51" i="18" s="1"/>
  <c r="AF51" i="18" s="1"/>
  <c r="AD51" i="18" s="1"/>
  <c r="AI53" i="18"/>
  <c r="AH53" i="18" s="1"/>
  <c r="AG53" i="18" s="1"/>
  <c r="AF53" i="18" s="1"/>
  <c r="AD53" i="18" s="1"/>
  <c r="AI55" i="18"/>
  <c r="AH55" i="18" s="1"/>
  <c r="AI57" i="18"/>
  <c r="AH57" i="18" s="1"/>
  <c r="AI59" i="18"/>
  <c r="AH59" i="18" s="1"/>
  <c r="AI61" i="18"/>
  <c r="AH61" i="18" s="1"/>
  <c r="AI63" i="18"/>
  <c r="AH63" i="18" s="1"/>
  <c r="AG63" i="18" s="1"/>
  <c r="AF63" i="18" s="1"/>
  <c r="AD63" i="18" s="1"/>
  <c r="AI65" i="18"/>
  <c r="AH65" i="18" s="1"/>
  <c r="AG65" i="18" s="1"/>
  <c r="AF65" i="18" s="1"/>
  <c r="AI67" i="18"/>
  <c r="AH67" i="18" s="1"/>
  <c r="AG67" i="18" s="1"/>
  <c r="AF67" i="18" s="1"/>
  <c r="AD67" i="18" s="1"/>
  <c r="AI69" i="18"/>
  <c r="AH69" i="18" s="1"/>
  <c r="AG69" i="18" s="1"/>
  <c r="AF69" i="18" s="1"/>
  <c r="AI71" i="18"/>
  <c r="AH71" i="18" s="1"/>
  <c r="AG71" i="18" s="1"/>
  <c r="AF71" i="18" s="1"/>
  <c r="AD71" i="18" s="1"/>
  <c r="AI73" i="18"/>
  <c r="AH73" i="18" s="1"/>
  <c r="AG73" i="18" s="1"/>
  <c r="AF73" i="18" s="1"/>
  <c r="AD73" i="18" s="1"/>
  <c r="AI75" i="18"/>
  <c r="AH75" i="18" s="1"/>
  <c r="AI77" i="18"/>
  <c r="AH77" i="18" s="1"/>
  <c r="AG77" i="18" s="1"/>
  <c r="AF77" i="18" s="1"/>
  <c r="AI79" i="18"/>
  <c r="AH79" i="18" s="1"/>
  <c r="AG79" i="18" s="1"/>
  <c r="AF79" i="18" s="1"/>
  <c r="AD79" i="18" s="1"/>
  <c r="AI81" i="18"/>
  <c r="AH81" i="18" s="1"/>
  <c r="AG81" i="18" s="1"/>
  <c r="AF81" i="18" s="1"/>
  <c r="AI83" i="18"/>
  <c r="AH83" i="18" s="1"/>
  <c r="AG83" i="18" s="1"/>
  <c r="AF83" i="18" s="1"/>
  <c r="AD83" i="18" s="1"/>
  <c r="AI85" i="18"/>
  <c r="AH85" i="18" s="1"/>
  <c r="AG85" i="18" s="1"/>
  <c r="AF85" i="18" s="1"/>
  <c r="AD85" i="18" s="1"/>
  <c r="AI87" i="18"/>
  <c r="AH87" i="18" s="1"/>
  <c r="AI89" i="18"/>
  <c r="AH89" i="18" s="1"/>
  <c r="AI91" i="18"/>
  <c r="AH91" i="18" s="1"/>
  <c r="AG91" i="18" s="1"/>
  <c r="AF91" i="18" s="1"/>
  <c r="AD91" i="18" s="1"/>
  <c r="AI93" i="18"/>
  <c r="AH93" i="18" s="1"/>
  <c r="AI95" i="18"/>
  <c r="AH95" i="18" s="1"/>
  <c r="AI97" i="18"/>
  <c r="AH97" i="18" s="1"/>
  <c r="AI99" i="18"/>
  <c r="AH99" i="18" s="1"/>
  <c r="AI101" i="18"/>
  <c r="AH101" i="18" s="1"/>
  <c r="AG101" i="18" s="1"/>
  <c r="AF101" i="18" s="1"/>
  <c r="AD101" i="18" s="1"/>
  <c r="AI103" i="18"/>
  <c r="AH103" i="18" s="1"/>
  <c r="AG103" i="18" s="1"/>
  <c r="AF103" i="18" s="1"/>
  <c r="AD103" i="18" s="1"/>
  <c r="AI105" i="18"/>
  <c r="AH105" i="18" s="1"/>
  <c r="AI107" i="18"/>
  <c r="AH107" i="18" s="1"/>
  <c r="AG107" i="18" s="1"/>
  <c r="AF107" i="18" s="1"/>
  <c r="AI109" i="18"/>
  <c r="AH109" i="18" s="1"/>
  <c r="AI111" i="18"/>
  <c r="AH111" i="18" s="1"/>
  <c r="AG111" i="18" s="1"/>
  <c r="AF111" i="18" s="1"/>
  <c r="AI113" i="18"/>
  <c r="AH113" i="18" s="1"/>
  <c r="AI115" i="18"/>
  <c r="AH115" i="18" s="1"/>
  <c r="AG115" i="18" s="1"/>
  <c r="AF115" i="18" s="1"/>
  <c r="AI117" i="18"/>
  <c r="AH117" i="18" s="1"/>
  <c r="AG117" i="18" s="1"/>
  <c r="AF117" i="18" s="1"/>
  <c r="AI119" i="18"/>
  <c r="AH119" i="18" s="1"/>
  <c r="AG119" i="18" s="1"/>
  <c r="AF119" i="18" s="1"/>
  <c r="AI121" i="18"/>
  <c r="AH121" i="18" s="1"/>
  <c r="AG121" i="18" s="1"/>
  <c r="AF121" i="18" s="1"/>
  <c r="AI123" i="18"/>
  <c r="AH123" i="18" s="1"/>
  <c r="AI125" i="18"/>
  <c r="AH125" i="18" s="1"/>
  <c r="AG125" i="18" s="1"/>
  <c r="AF125" i="18" s="1"/>
  <c r="AI127" i="18"/>
  <c r="AH127" i="18" s="1"/>
  <c r="AG127" i="18" s="1"/>
  <c r="AF127" i="18" s="1"/>
  <c r="AI129" i="18"/>
  <c r="AH129" i="18" s="1"/>
  <c r="AI131" i="18"/>
  <c r="AH131" i="18" s="1"/>
  <c r="AI133" i="18"/>
  <c r="AH133" i="18" s="1"/>
  <c r="AI135" i="18"/>
  <c r="AH135" i="18" s="1"/>
  <c r="AG135" i="18" s="1"/>
  <c r="AF135" i="18" s="1"/>
  <c r="AI137" i="18"/>
  <c r="AH137" i="18" s="1"/>
  <c r="AI139" i="18"/>
  <c r="AH139" i="18" s="1"/>
  <c r="AI141" i="18"/>
  <c r="AH141" i="18" s="1"/>
  <c r="AG141" i="18" s="1"/>
  <c r="AF141" i="18" s="1"/>
  <c r="AI143" i="18"/>
  <c r="AH143" i="18" s="1"/>
  <c r="AI145" i="18"/>
  <c r="AH145" i="18" s="1"/>
  <c r="AI147" i="18"/>
  <c r="AH147" i="18" s="1"/>
  <c r="AI149" i="18"/>
  <c r="AH149" i="18" s="1"/>
  <c r="AG149" i="18" s="1"/>
  <c r="AF149" i="18" s="1"/>
  <c r="AI151" i="18"/>
  <c r="AH151" i="18" s="1"/>
  <c r="AG151" i="18" s="1"/>
  <c r="AF151" i="18" s="1"/>
  <c r="AI153" i="18"/>
  <c r="AH153" i="18" s="1"/>
  <c r="AI155" i="18"/>
  <c r="AH155" i="18" s="1"/>
  <c r="AI157" i="18"/>
  <c r="AH157" i="18" s="1"/>
  <c r="AI159" i="18"/>
  <c r="AH159" i="18" s="1"/>
  <c r="AG159" i="18" s="1"/>
  <c r="AF159" i="18" s="1"/>
  <c r="AI161" i="18"/>
  <c r="AH161" i="18" s="1"/>
  <c r="AG161" i="18" s="1"/>
  <c r="AF161" i="18" s="1"/>
  <c r="AI163" i="18"/>
  <c r="AH163" i="18" s="1"/>
  <c r="AI165" i="18"/>
  <c r="AH165" i="18" s="1"/>
  <c r="AG165" i="18" s="1"/>
  <c r="AF165" i="18" s="1"/>
  <c r="AI167" i="18"/>
  <c r="AH167" i="18" s="1"/>
  <c r="AI169" i="18"/>
  <c r="AH169" i="18" s="1"/>
  <c r="AG169" i="18" s="1"/>
  <c r="AF169" i="18" s="1"/>
  <c r="AI171" i="18"/>
  <c r="AH171" i="18" s="1"/>
  <c r="AI173" i="18"/>
  <c r="AH173" i="18" s="1"/>
  <c r="AI175" i="18"/>
  <c r="AH175" i="18" s="1"/>
  <c r="AI177" i="18"/>
  <c r="AH177" i="18" s="1"/>
  <c r="AI179" i="18"/>
  <c r="AH179" i="18" s="1"/>
  <c r="AG179" i="18" s="1"/>
  <c r="AF179" i="18" s="1"/>
  <c r="AI181" i="18"/>
  <c r="AH181" i="18" s="1"/>
  <c r="AG181" i="18" s="1"/>
  <c r="AF181" i="18" s="1"/>
  <c r="AI183" i="18"/>
  <c r="AH183" i="18" s="1"/>
  <c r="AG183" i="18" s="1"/>
  <c r="AF183" i="18" s="1"/>
  <c r="AI185" i="18"/>
  <c r="AH185" i="18" s="1"/>
  <c r="AG185" i="18" s="1"/>
  <c r="AF185" i="18" s="1"/>
  <c r="AI187" i="18"/>
  <c r="AH187" i="18" s="1"/>
  <c r="AI189" i="18"/>
  <c r="AH189" i="18" s="1"/>
  <c r="AG189" i="18" s="1"/>
  <c r="AF189" i="18" s="1"/>
  <c r="AI191" i="18"/>
  <c r="AH191" i="18" s="1"/>
  <c r="AG191" i="18" s="1"/>
  <c r="AF191" i="18" s="1"/>
  <c r="AI193" i="18"/>
  <c r="AH193" i="18" s="1"/>
  <c r="AI195" i="18"/>
  <c r="AH195" i="18" s="1"/>
  <c r="AI197" i="18"/>
  <c r="AH197" i="18" s="1"/>
  <c r="AI199" i="18"/>
  <c r="AH199" i="18" s="1"/>
  <c r="AI201" i="18"/>
  <c r="AH201" i="18" s="1"/>
  <c r="AG201" i="18" s="1"/>
  <c r="AF201" i="18" s="1"/>
  <c r="AI203" i="18"/>
  <c r="AH203" i="18" s="1"/>
  <c r="AI205" i="18"/>
  <c r="AH205" i="18" s="1"/>
  <c r="AI207" i="18"/>
  <c r="AH207" i="18" s="1"/>
  <c r="AG207" i="18" s="1"/>
  <c r="AF207" i="18" s="1"/>
  <c r="AI209" i="18"/>
  <c r="AH209" i="18" s="1"/>
  <c r="AI211" i="18"/>
  <c r="AH211" i="18" s="1"/>
  <c r="AI213" i="18"/>
  <c r="AH213" i="18" s="1"/>
  <c r="AI215" i="18"/>
  <c r="AH215" i="18" s="1"/>
  <c r="AI217" i="18"/>
  <c r="AH217" i="18" s="1"/>
  <c r="AI219" i="18"/>
  <c r="AH219" i="18" s="1"/>
  <c r="AI221" i="18"/>
  <c r="AH221" i="18" s="1"/>
  <c r="AI223" i="18"/>
  <c r="AH223" i="18" s="1"/>
  <c r="AI225" i="18"/>
  <c r="AH225" i="18" s="1"/>
  <c r="AI227" i="18"/>
  <c r="AH227" i="18" s="1"/>
  <c r="AI229" i="18"/>
  <c r="AH229" i="18" s="1"/>
  <c r="AG229" i="18" s="1"/>
  <c r="AF229" i="18" s="1"/>
  <c r="AI231" i="18"/>
  <c r="AH231" i="18" s="1"/>
  <c r="AG231" i="18" s="1"/>
  <c r="AF231" i="18" s="1"/>
  <c r="AI233" i="18"/>
  <c r="AH233" i="18" s="1"/>
  <c r="AI235" i="18"/>
  <c r="AH235" i="18" s="1"/>
  <c r="AG235" i="18" s="1"/>
  <c r="AF235" i="18" s="1"/>
  <c r="AI237" i="18"/>
  <c r="AH237" i="18" s="1"/>
  <c r="AI239" i="18"/>
  <c r="AH239" i="18" s="1"/>
  <c r="AG239" i="18" s="1"/>
  <c r="AF239" i="18" s="1"/>
  <c r="AI241" i="18"/>
  <c r="AH241" i="18" s="1"/>
  <c r="AG241" i="18" s="1"/>
  <c r="AF241" i="18" s="1"/>
  <c r="AI243" i="18"/>
  <c r="AH243" i="18" s="1"/>
  <c r="AI245" i="18"/>
  <c r="AH245" i="18" s="1"/>
  <c r="AG245" i="18" s="1"/>
  <c r="AF245" i="18" s="1"/>
  <c r="AI247" i="18"/>
  <c r="AH247" i="18" s="1"/>
  <c r="AI249" i="18"/>
  <c r="AH249" i="18" s="1"/>
  <c r="AI251" i="18"/>
  <c r="AH251" i="18" s="1"/>
  <c r="AI253" i="18"/>
  <c r="AH253" i="18" s="1"/>
  <c r="AI255" i="18"/>
  <c r="AH255" i="18" s="1"/>
  <c r="AI257" i="18"/>
  <c r="AH257" i="18" s="1"/>
  <c r="AI259" i="18"/>
  <c r="AH259" i="18" s="1"/>
  <c r="AI261" i="18"/>
  <c r="AH261" i="18" s="1"/>
  <c r="AG261" i="18" s="1"/>
  <c r="AF261" i="18" s="1"/>
  <c r="AI263" i="18"/>
  <c r="AH263" i="18" s="1"/>
  <c r="AG263" i="18" s="1"/>
  <c r="AF263" i="18" s="1"/>
  <c r="AI265" i="18"/>
  <c r="AH265" i="18" s="1"/>
  <c r="AG265" i="18" s="1"/>
  <c r="AF265" i="18" s="1"/>
  <c r="AI267" i="18"/>
  <c r="AH267" i="18" s="1"/>
  <c r="AG267" i="18" s="1"/>
  <c r="AF267" i="18" s="1"/>
  <c r="AI269" i="18"/>
  <c r="AH269" i="18" s="1"/>
  <c r="AG269" i="18" s="1"/>
  <c r="AF269" i="18" s="1"/>
  <c r="AI271" i="18"/>
  <c r="AH271" i="18" s="1"/>
  <c r="AI273" i="18"/>
  <c r="AH273" i="18" s="1"/>
  <c r="AG273" i="18" s="1"/>
  <c r="AF273" i="18" s="1"/>
  <c r="AI275" i="18"/>
  <c r="AH275" i="18" s="1"/>
  <c r="AG275" i="18" s="1"/>
  <c r="AF275" i="18" s="1"/>
  <c r="AI277" i="18"/>
  <c r="AH277" i="18" s="1"/>
  <c r="AG277" i="18" s="1"/>
  <c r="AF277" i="18" s="1"/>
  <c r="AI279" i="18"/>
  <c r="AH279" i="18" s="1"/>
  <c r="AI281" i="18"/>
  <c r="AH281" i="18" s="1"/>
  <c r="AG281" i="18" s="1"/>
  <c r="AF281" i="18" s="1"/>
  <c r="AI283" i="18"/>
  <c r="AH283" i="18" s="1"/>
  <c r="AI285" i="18"/>
  <c r="AH285" i="18" s="1"/>
  <c r="AG285" i="18" s="1"/>
  <c r="AF285" i="18" s="1"/>
  <c r="AI287" i="18"/>
  <c r="AH287" i="18" s="1"/>
  <c r="AG287" i="18" s="1"/>
  <c r="AF287" i="18" s="1"/>
  <c r="AI289" i="18"/>
  <c r="AH289" i="18" s="1"/>
  <c r="AG289" i="18" s="1"/>
  <c r="AF289" i="18" s="1"/>
  <c r="AI291" i="18"/>
  <c r="AH291" i="18" s="1"/>
  <c r="AG291" i="18" s="1"/>
  <c r="AF291" i="18" s="1"/>
  <c r="AI293" i="18"/>
  <c r="AH293" i="18" s="1"/>
  <c r="AG293" i="18" s="1"/>
  <c r="AF293" i="18" s="1"/>
  <c r="AI295" i="18"/>
  <c r="AH295" i="18" s="1"/>
  <c r="AG295" i="18" s="1"/>
  <c r="AF295" i="18" s="1"/>
  <c r="AI297" i="18"/>
  <c r="AH297" i="18" s="1"/>
  <c r="AG297" i="18" s="1"/>
  <c r="AF297" i="18" s="1"/>
  <c r="AI299" i="18"/>
  <c r="AH299" i="18" s="1"/>
  <c r="AG299" i="18" s="1"/>
  <c r="AF299" i="18" s="1"/>
  <c r="AI301" i="18"/>
  <c r="AH301" i="18" s="1"/>
  <c r="AG301" i="18" s="1"/>
  <c r="AF301" i="18" s="1"/>
  <c r="AI303" i="18"/>
  <c r="AH303" i="18" s="1"/>
  <c r="AI305" i="18"/>
  <c r="AH305" i="18" s="1"/>
  <c r="AG305" i="18" s="1"/>
  <c r="AF305" i="18" s="1"/>
  <c r="AI307" i="18"/>
  <c r="AH307" i="18" s="1"/>
  <c r="AG307" i="18" s="1"/>
  <c r="AF307" i="18" s="1"/>
  <c r="AI309" i="18"/>
  <c r="AH309" i="18" s="1"/>
  <c r="AI311" i="18"/>
  <c r="AH311" i="18" s="1"/>
  <c r="AG311" i="18" s="1"/>
  <c r="AF311" i="18" s="1"/>
  <c r="AI313" i="18"/>
  <c r="AH313" i="18" s="1"/>
  <c r="AG313" i="18" s="1"/>
  <c r="AF313" i="18" s="1"/>
  <c r="AI315" i="18"/>
  <c r="AH315" i="18" s="1"/>
  <c r="AG315" i="18" s="1"/>
  <c r="AF315" i="18" s="1"/>
  <c r="AI317" i="18"/>
  <c r="AH317" i="18" s="1"/>
  <c r="AG317" i="18" s="1"/>
  <c r="AF317" i="18" s="1"/>
  <c r="AI319" i="18"/>
  <c r="AH319" i="18" s="1"/>
  <c r="AG319" i="18" s="1"/>
  <c r="AF319" i="18" s="1"/>
  <c r="AI321" i="18"/>
  <c r="AH321" i="18" s="1"/>
  <c r="AG321" i="18" s="1"/>
  <c r="AF321" i="18" s="1"/>
  <c r="AI323" i="18"/>
  <c r="AH323" i="18" s="1"/>
  <c r="AG323" i="18" s="1"/>
  <c r="AF323" i="18" s="1"/>
  <c r="AI325" i="18"/>
  <c r="AH325" i="18" s="1"/>
  <c r="AG325" i="18" s="1"/>
  <c r="AF325" i="18" s="1"/>
  <c r="AI327" i="18"/>
  <c r="AH327" i="18" s="1"/>
  <c r="AI329" i="18"/>
  <c r="AH329" i="18" s="1"/>
  <c r="AG329" i="18" s="1"/>
  <c r="AF329" i="18" s="1"/>
  <c r="AI331" i="18"/>
  <c r="AH331" i="18" s="1"/>
  <c r="AG331" i="18" s="1"/>
  <c r="AF331" i="18" s="1"/>
  <c r="AI333" i="18"/>
  <c r="AH333" i="18" s="1"/>
  <c r="AG333" i="18" s="1"/>
  <c r="AF333" i="18" s="1"/>
  <c r="AI335" i="18"/>
  <c r="AH335" i="18" s="1"/>
  <c r="AG335" i="18" s="1"/>
  <c r="AF335" i="18" s="1"/>
  <c r="AI337" i="18"/>
  <c r="AH337" i="18" s="1"/>
  <c r="AG337" i="18" s="1"/>
  <c r="AF337" i="18" s="1"/>
  <c r="AI339" i="18"/>
  <c r="AH339" i="18" s="1"/>
  <c r="AG339" i="18" s="1"/>
  <c r="AF339" i="18" s="1"/>
  <c r="AI341" i="18"/>
  <c r="AH341" i="18" s="1"/>
  <c r="AI343" i="18"/>
  <c r="AH343" i="18" s="1"/>
  <c r="AG343" i="18" s="1"/>
  <c r="AF343" i="18" s="1"/>
  <c r="AI345" i="18"/>
  <c r="AH345" i="18" s="1"/>
  <c r="AG345" i="18" s="1"/>
  <c r="AF345" i="18" s="1"/>
  <c r="AI347" i="18"/>
  <c r="AH347" i="18" s="1"/>
  <c r="AG347" i="18" s="1"/>
  <c r="AF347" i="18" s="1"/>
  <c r="AI349" i="18"/>
  <c r="AH349" i="18" s="1"/>
  <c r="AG349" i="18" s="1"/>
  <c r="AF349" i="18" s="1"/>
  <c r="AI351" i="18"/>
  <c r="AH351" i="18" s="1"/>
  <c r="AG351" i="18" s="1"/>
  <c r="AF351" i="18" s="1"/>
  <c r="AI353" i="18"/>
  <c r="AH353" i="18" s="1"/>
  <c r="AI355" i="18"/>
  <c r="AH355" i="18" s="1"/>
  <c r="AG355" i="18" s="1"/>
  <c r="AF355" i="18" s="1"/>
  <c r="AI357" i="18"/>
  <c r="AH357" i="18" s="1"/>
  <c r="AG357" i="18" s="1"/>
  <c r="AF357" i="18" s="1"/>
  <c r="AI359" i="18"/>
  <c r="AH359" i="18" s="1"/>
  <c r="AI361" i="18"/>
  <c r="AH361" i="18" s="1"/>
  <c r="AG361" i="18" s="1"/>
  <c r="AF361" i="18" s="1"/>
  <c r="AI363" i="18"/>
  <c r="AH363" i="18" s="1"/>
  <c r="AG363" i="18" s="1"/>
  <c r="AF363" i="18" s="1"/>
  <c r="AI365" i="18"/>
  <c r="AH365" i="18" s="1"/>
  <c r="AG365" i="18" s="1"/>
  <c r="AF365" i="18" s="1"/>
  <c r="AI367" i="18"/>
  <c r="AH367" i="18" s="1"/>
  <c r="AG367" i="18" s="1"/>
  <c r="AF367" i="18" s="1"/>
  <c r="AI369" i="18"/>
  <c r="AH369" i="18" s="1"/>
  <c r="AI371" i="18"/>
  <c r="AH371" i="18" s="1"/>
  <c r="AG371" i="18" s="1"/>
  <c r="AF371" i="18" s="1"/>
  <c r="AI373" i="18"/>
  <c r="AH373" i="18" s="1"/>
  <c r="AG373" i="18" s="1"/>
  <c r="AF373" i="18" s="1"/>
  <c r="AI375" i="18"/>
  <c r="AH375" i="18" s="1"/>
  <c r="AG375" i="18" s="1"/>
  <c r="AF375" i="18" s="1"/>
  <c r="AI377" i="18"/>
  <c r="AH377" i="18" s="1"/>
  <c r="AG377" i="18" s="1"/>
  <c r="AF377" i="18" s="1"/>
  <c r="AI379" i="18"/>
  <c r="AI150" i="18"/>
  <c r="AH150" i="18" s="1"/>
  <c r="AG150" i="18" s="1"/>
  <c r="AF150" i="18" s="1"/>
  <c r="AI152" i="18"/>
  <c r="AH152" i="18" s="1"/>
  <c r="AG152" i="18" s="1"/>
  <c r="AF152" i="18" s="1"/>
  <c r="AI154" i="18"/>
  <c r="AH154" i="18" s="1"/>
  <c r="AG154" i="18" s="1"/>
  <c r="AF154" i="18" s="1"/>
  <c r="AI156" i="18"/>
  <c r="AH156" i="18" s="1"/>
  <c r="AG156" i="18" s="1"/>
  <c r="AF156" i="18" s="1"/>
  <c r="AI158" i="18"/>
  <c r="AH158" i="18" s="1"/>
  <c r="AG158" i="18" s="1"/>
  <c r="AF158" i="18" s="1"/>
  <c r="AI160" i="18"/>
  <c r="AH160" i="18" s="1"/>
  <c r="AG160" i="18" s="1"/>
  <c r="AF160" i="18" s="1"/>
  <c r="AI162" i="18"/>
  <c r="AH162" i="18" s="1"/>
  <c r="AG162" i="18" s="1"/>
  <c r="AF162" i="18" s="1"/>
  <c r="AI164" i="18"/>
  <c r="AH164" i="18" s="1"/>
  <c r="AG164" i="18" s="1"/>
  <c r="AF164" i="18" s="1"/>
  <c r="AI166" i="18"/>
  <c r="AH166" i="18" s="1"/>
  <c r="AG166" i="18" s="1"/>
  <c r="AF166" i="18" s="1"/>
  <c r="AI168" i="18"/>
  <c r="AH168" i="18" s="1"/>
  <c r="AG168" i="18" s="1"/>
  <c r="AF168" i="18" s="1"/>
  <c r="AI170" i="18"/>
  <c r="AH170" i="18" s="1"/>
  <c r="AG170" i="18" s="1"/>
  <c r="AF170" i="18" s="1"/>
  <c r="AI172" i="18"/>
  <c r="AH172" i="18" s="1"/>
  <c r="AG172" i="18" s="1"/>
  <c r="AF172" i="18" s="1"/>
  <c r="AI174" i="18"/>
  <c r="AH174" i="18" s="1"/>
  <c r="AG174" i="18" s="1"/>
  <c r="AF174" i="18" s="1"/>
  <c r="AI176" i="18"/>
  <c r="AH176" i="18" s="1"/>
  <c r="AG176" i="18" s="1"/>
  <c r="AF176" i="18" s="1"/>
  <c r="AI178" i="18"/>
  <c r="AH178" i="18" s="1"/>
  <c r="AG178" i="18" s="1"/>
  <c r="AF178" i="18" s="1"/>
  <c r="AI180" i="18"/>
  <c r="AH180" i="18" s="1"/>
  <c r="AG180" i="18" s="1"/>
  <c r="AF180" i="18" s="1"/>
  <c r="AI182" i="18"/>
  <c r="AH182" i="18" s="1"/>
  <c r="AG182" i="18" s="1"/>
  <c r="AF182" i="18" s="1"/>
  <c r="AI184" i="18"/>
  <c r="AH184" i="18" s="1"/>
  <c r="AG184" i="18" s="1"/>
  <c r="AF184" i="18" s="1"/>
  <c r="AI186" i="18"/>
  <c r="AH186" i="18" s="1"/>
  <c r="AG186" i="18" s="1"/>
  <c r="AF186" i="18" s="1"/>
  <c r="AI188" i="18"/>
  <c r="AH188" i="18" s="1"/>
  <c r="AG188" i="18" s="1"/>
  <c r="AF188" i="18" s="1"/>
  <c r="AI190" i="18"/>
  <c r="AH190" i="18" s="1"/>
  <c r="AG190" i="18" s="1"/>
  <c r="AF190" i="18" s="1"/>
  <c r="AI192" i="18"/>
  <c r="AH192" i="18" s="1"/>
  <c r="AG192" i="18" s="1"/>
  <c r="AF192" i="18" s="1"/>
  <c r="AI194" i="18"/>
  <c r="AH194" i="18" s="1"/>
  <c r="AG194" i="18" s="1"/>
  <c r="AF194" i="18" s="1"/>
  <c r="AI196" i="18"/>
  <c r="AH196" i="18" s="1"/>
  <c r="AG196" i="18" s="1"/>
  <c r="AF196" i="18" s="1"/>
  <c r="AI198" i="18"/>
  <c r="AH198" i="18" s="1"/>
  <c r="AG198" i="18" s="1"/>
  <c r="AF198" i="18" s="1"/>
  <c r="AI200" i="18"/>
  <c r="AH200" i="18" s="1"/>
  <c r="AG200" i="18" s="1"/>
  <c r="AF200" i="18" s="1"/>
  <c r="AI202" i="18"/>
  <c r="AH202" i="18" s="1"/>
  <c r="AG202" i="18" s="1"/>
  <c r="AF202" i="18" s="1"/>
  <c r="AI204" i="18"/>
  <c r="AH204" i="18" s="1"/>
  <c r="AG204" i="18" s="1"/>
  <c r="AF204" i="18" s="1"/>
  <c r="AI206" i="18"/>
  <c r="AH206" i="18" s="1"/>
  <c r="AG206" i="18" s="1"/>
  <c r="AF206" i="18" s="1"/>
  <c r="AI208" i="18"/>
  <c r="AH208" i="18" s="1"/>
  <c r="AG208" i="18" s="1"/>
  <c r="AF208" i="18" s="1"/>
  <c r="AI210" i="18"/>
  <c r="AH210" i="18" s="1"/>
  <c r="AG210" i="18" s="1"/>
  <c r="AF210" i="18" s="1"/>
  <c r="AI212" i="18"/>
  <c r="AH212" i="18" s="1"/>
  <c r="AG212" i="18" s="1"/>
  <c r="AF212" i="18" s="1"/>
  <c r="AI214" i="18"/>
  <c r="AH214" i="18" s="1"/>
  <c r="AG214" i="18" s="1"/>
  <c r="AF214" i="18" s="1"/>
  <c r="AI216" i="18"/>
  <c r="AH216" i="18" s="1"/>
  <c r="AG216" i="18" s="1"/>
  <c r="AF216" i="18" s="1"/>
  <c r="AI218" i="18"/>
  <c r="AH218" i="18" s="1"/>
  <c r="AG218" i="18" s="1"/>
  <c r="AF218" i="18" s="1"/>
  <c r="AI220" i="18"/>
  <c r="AH220" i="18" s="1"/>
  <c r="AG220" i="18" s="1"/>
  <c r="AF220" i="18" s="1"/>
  <c r="AI222" i="18"/>
  <c r="AH222" i="18" s="1"/>
  <c r="AG222" i="18" s="1"/>
  <c r="AF222" i="18" s="1"/>
  <c r="AI224" i="18"/>
  <c r="AH224" i="18" s="1"/>
  <c r="AG224" i="18" s="1"/>
  <c r="AF224" i="18" s="1"/>
  <c r="AI226" i="18"/>
  <c r="AH226" i="18" s="1"/>
  <c r="AG226" i="18" s="1"/>
  <c r="AF226" i="18" s="1"/>
  <c r="AI228" i="18"/>
  <c r="AH228" i="18" s="1"/>
  <c r="AG228" i="18" s="1"/>
  <c r="AF228" i="18" s="1"/>
  <c r="AI230" i="18"/>
  <c r="AH230" i="18" s="1"/>
  <c r="AG230" i="18" s="1"/>
  <c r="AF230" i="18" s="1"/>
  <c r="AI232" i="18"/>
  <c r="AH232" i="18" s="1"/>
  <c r="AG232" i="18" s="1"/>
  <c r="AF232" i="18" s="1"/>
  <c r="AI234" i="18"/>
  <c r="AH234" i="18" s="1"/>
  <c r="AG234" i="18" s="1"/>
  <c r="AF234" i="18" s="1"/>
  <c r="AI236" i="18"/>
  <c r="AH236" i="18" s="1"/>
  <c r="AG236" i="18" s="1"/>
  <c r="AF236" i="18" s="1"/>
  <c r="AI238" i="18"/>
  <c r="AH238" i="18" s="1"/>
  <c r="AG238" i="18" s="1"/>
  <c r="AF238" i="18" s="1"/>
  <c r="AI240" i="18"/>
  <c r="AH240" i="18" s="1"/>
  <c r="AG240" i="18" s="1"/>
  <c r="AF240" i="18" s="1"/>
  <c r="AI242" i="18"/>
  <c r="AH242" i="18" s="1"/>
  <c r="AG242" i="18" s="1"/>
  <c r="AF242" i="18" s="1"/>
  <c r="AI244" i="18"/>
  <c r="AH244" i="18" s="1"/>
  <c r="AG244" i="18" s="1"/>
  <c r="AF244" i="18" s="1"/>
  <c r="AI246" i="18"/>
  <c r="AH246" i="18" s="1"/>
  <c r="AG246" i="18" s="1"/>
  <c r="AF246" i="18" s="1"/>
  <c r="AI248" i="18"/>
  <c r="AH248" i="18" s="1"/>
  <c r="AG248" i="18" s="1"/>
  <c r="AF248" i="18" s="1"/>
  <c r="AI250" i="18"/>
  <c r="AH250" i="18" s="1"/>
  <c r="AG250" i="18" s="1"/>
  <c r="AF250" i="18" s="1"/>
  <c r="AI252" i="18"/>
  <c r="AH252" i="18" s="1"/>
  <c r="AG252" i="18" s="1"/>
  <c r="AF252" i="18" s="1"/>
  <c r="AI254" i="18"/>
  <c r="AH254" i="18" s="1"/>
  <c r="AG254" i="18" s="1"/>
  <c r="AF254" i="18" s="1"/>
  <c r="AI256" i="18"/>
  <c r="AH256" i="18" s="1"/>
  <c r="AG256" i="18" s="1"/>
  <c r="AF256" i="18" s="1"/>
  <c r="AI258" i="18"/>
  <c r="AH258" i="18" s="1"/>
  <c r="AG258" i="18" s="1"/>
  <c r="AF258" i="18" s="1"/>
  <c r="AI262" i="18"/>
  <c r="AH262" i="18" s="1"/>
  <c r="AG262" i="18" s="1"/>
  <c r="AF262" i="18" s="1"/>
  <c r="AI266" i="18"/>
  <c r="AH266" i="18" s="1"/>
  <c r="AG266" i="18" s="1"/>
  <c r="AF266" i="18" s="1"/>
  <c r="AI270" i="18"/>
  <c r="AH270" i="18" s="1"/>
  <c r="AG270" i="18" s="1"/>
  <c r="AF270" i="18" s="1"/>
  <c r="AI274" i="18"/>
  <c r="AH274" i="18" s="1"/>
  <c r="AG274" i="18" s="1"/>
  <c r="AF274" i="18" s="1"/>
  <c r="AI278" i="18"/>
  <c r="AH278" i="18" s="1"/>
  <c r="AG278" i="18" s="1"/>
  <c r="AF278" i="18" s="1"/>
  <c r="AI282" i="18"/>
  <c r="AH282" i="18" s="1"/>
  <c r="AG282" i="18" s="1"/>
  <c r="AF282" i="18" s="1"/>
  <c r="AI286" i="18"/>
  <c r="AH286" i="18" s="1"/>
  <c r="AG286" i="18" s="1"/>
  <c r="AF286" i="18" s="1"/>
  <c r="AI290" i="18"/>
  <c r="AH290" i="18" s="1"/>
  <c r="AG290" i="18" s="1"/>
  <c r="AF290" i="18" s="1"/>
  <c r="AI294" i="18"/>
  <c r="AH294" i="18" s="1"/>
  <c r="AG294" i="18" s="1"/>
  <c r="AF294" i="18" s="1"/>
  <c r="AI298" i="18"/>
  <c r="AH298" i="18" s="1"/>
  <c r="AG298" i="18" s="1"/>
  <c r="AF298" i="18" s="1"/>
  <c r="AI302" i="18"/>
  <c r="AH302" i="18" s="1"/>
  <c r="AG302" i="18" s="1"/>
  <c r="AF302" i="18" s="1"/>
  <c r="AI306" i="18"/>
  <c r="AH306" i="18" s="1"/>
  <c r="AG306" i="18" s="1"/>
  <c r="AF306" i="18" s="1"/>
  <c r="AI310" i="18"/>
  <c r="AH310" i="18" s="1"/>
  <c r="AG310" i="18" s="1"/>
  <c r="AF310" i="18" s="1"/>
  <c r="AI314" i="18"/>
  <c r="AH314" i="18" s="1"/>
  <c r="AG314" i="18" s="1"/>
  <c r="AF314" i="18" s="1"/>
  <c r="AI318" i="18"/>
  <c r="AH318" i="18" s="1"/>
  <c r="AG318" i="18" s="1"/>
  <c r="AF318" i="18" s="1"/>
  <c r="AI322" i="18"/>
  <c r="AH322" i="18" s="1"/>
  <c r="AG322" i="18" s="1"/>
  <c r="AF322" i="18" s="1"/>
  <c r="AI326" i="18"/>
  <c r="AH326" i="18" s="1"/>
  <c r="AG326" i="18" s="1"/>
  <c r="AF326" i="18" s="1"/>
  <c r="AI330" i="18"/>
  <c r="AH330" i="18" s="1"/>
  <c r="AG330" i="18" s="1"/>
  <c r="AF330" i="18" s="1"/>
  <c r="AI334" i="18"/>
  <c r="AH334" i="18" s="1"/>
  <c r="AG334" i="18" s="1"/>
  <c r="AF334" i="18" s="1"/>
  <c r="AI338" i="18"/>
  <c r="AH338" i="18" s="1"/>
  <c r="AG338" i="18" s="1"/>
  <c r="AF338" i="18" s="1"/>
  <c r="AI342" i="18"/>
  <c r="AH342" i="18" s="1"/>
  <c r="AG342" i="18" s="1"/>
  <c r="AF342" i="18" s="1"/>
  <c r="AI346" i="18"/>
  <c r="AH346" i="18" s="1"/>
  <c r="AG346" i="18" s="1"/>
  <c r="AF346" i="18" s="1"/>
  <c r="AI350" i="18"/>
  <c r="AH350" i="18" s="1"/>
  <c r="AG350" i="18" s="1"/>
  <c r="AF350" i="18" s="1"/>
  <c r="AI354" i="18"/>
  <c r="AH354" i="18" s="1"/>
  <c r="AG354" i="18" s="1"/>
  <c r="AF354" i="18" s="1"/>
  <c r="AI358" i="18"/>
  <c r="AH358" i="18" s="1"/>
  <c r="AG358" i="18" s="1"/>
  <c r="AF358" i="18" s="1"/>
  <c r="AI362" i="18"/>
  <c r="AH362" i="18" s="1"/>
  <c r="AG362" i="18" s="1"/>
  <c r="AF362" i="18" s="1"/>
  <c r="AI366" i="18"/>
  <c r="AH366" i="18" s="1"/>
  <c r="AG366" i="18" s="1"/>
  <c r="AF366" i="18" s="1"/>
  <c r="AI370" i="18"/>
  <c r="AH370" i="18" s="1"/>
  <c r="AG370" i="18" s="1"/>
  <c r="AF370" i="18" s="1"/>
  <c r="AI374" i="18"/>
  <c r="AH374" i="18" s="1"/>
  <c r="AG374" i="18" s="1"/>
  <c r="AF374" i="18" s="1"/>
  <c r="AI378" i="18"/>
  <c r="AH378" i="18" s="1"/>
  <c r="AG378" i="18" s="1"/>
  <c r="AF378" i="18" s="1"/>
  <c r="AI260" i="18"/>
  <c r="AH260" i="18" s="1"/>
  <c r="AG260" i="18" s="1"/>
  <c r="AF260" i="18" s="1"/>
  <c r="AI264" i="18"/>
  <c r="AH264" i="18" s="1"/>
  <c r="AG264" i="18" s="1"/>
  <c r="AF264" i="18" s="1"/>
  <c r="AI268" i="18"/>
  <c r="AH268" i="18" s="1"/>
  <c r="AG268" i="18" s="1"/>
  <c r="AF268" i="18" s="1"/>
  <c r="AI272" i="18"/>
  <c r="AH272" i="18" s="1"/>
  <c r="AG272" i="18" s="1"/>
  <c r="AF272" i="18" s="1"/>
  <c r="AI276" i="18"/>
  <c r="AH276" i="18" s="1"/>
  <c r="AG276" i="18" s="1"/>
  <c r="AF276" i="18" s="1"/>
  <c r="AI280" i="18"/>
  <c r="AH280" i="18" s="1"/>
  <c r="AG280" i="18" s="1"/>
  <c r="AF280" i="18" s="1"/>
  <c r="AI284" i="18"/>
  <c r="AH284" i="18" s="1"/>
  <c r="AG284" i="18" s="1"/>
  <c r="AF284" i="18" s="1"/>
  <c r="AI288" i="18"/>
  <c r="AH288" i="18" s="1"/>
  <c r="AG288" i="18" s="1"/>
  <c r="AF288" i="18" s="1"/>
  <c r="AI292" i="18"/>
  <c r="AH292" i="18" s="1"/>
  <c r="AG292" i="18" s="1"/>
  <c r="AF292" i="18" s="1"/>
  <c r="AI296" i="18"/>
  <c r="AH296" i="18" s="1"/>
  <c r="AG296" i="18" s="1"/>
  <c r="AF296" i="18" s="1"/>
  <c r="AI300" i="18"/>
  <c r="AH300" i="18" s="1"/>
  <c r="AG300" i="18" s="1"/>
  <c r="AF300" i="18" s="1"/>
  <c r="AI304" i="18"/>
  <c r="AH304" i="18" s="1"/>
  <c r="AG304" i="18" s="1"/>
  <c r="AF304" i="18" s="1"/>
  <c r="AI308" i="18"/>
  <c r="AH308" i="18" s="1"/>
  <c r="AG308" i="18" s="1"/>
  <c r="AF308" i="18" s="1"/>
  <c r="AI312" i="18"/>
  <c r="AH312" i="18" s="1"/>
  <c r="AG312" i="18" s="1"/>
  <c r="AF312" i="18" s="1"/>
  <c r="AI316" i="18"/>
  <c r="AH316" i="18" s="1"/>
  <c r="AG316" i="18" s="1"/>
  <c r="AF316" i="18" s="1"/>
  <c r="AI320" i="18"/>
  <c r="AH320" i="18" s="1"/>
  <c r="AG320" i="18" s="1"/>
  <c r="AF320" i="18" s="1"/>
  <c r="AI324" i="18"/>
  <c r="AH324" i="18" s="1"/>
  <c r="AG324" i="18" s="1"/>
  <c r="AF324" i="18" s="1"/>
  <c r="AI328" i="18"/>
  <c r="AH328" i="18" s="1"/>
  <c r="AG328" i="18" s="1"/>
  <c r="AF328" i="18" s="1"/>
  <c r="AI332" i="18"/>
  <c r="AH332" i="18" s="1"/>
  <c r="AG332" i="18" s="1"/>
  <c r="AF332" i="18" s="1"/>
  <c r="AI336" i="18"/>
  <c r="AH336" i="18" s="1"/>
  <c r="AG336" i="18" s="1"/>
  <c r="AF336" i="18" s="1"/>
  <c r="AI340" i="18"/>
  <c r="AH340" i="18" s="1"/>
  <c r="AG340" i="18" s="1"/>
  <c r="AF340" i="18" s="1"/>
  <c r="AI344" i="18"/>
  <c r="AH344" i="18" s="1"/>
  <c r="AG344" i="18" s="1"/>
  <c r="AF344" i="18" s="1"/>
  <c r="AI348" i="18"/>
  <c r="AH348" i="18" s="1"/>
  <c r="AG348" i="18" s="1"/>
  <c r="AF348" i="18" s="1"/>
  <c r="AI352" i="18"/>
  <c r="AH352" i="18" s="1"/>
  <c r="AG352" i="18" s="1"/>
  <c r="AF352" i="18" s="1"/>
  <c r="AI356" i="18"/>
  <c r="AH356" i="18" s="1"/>
  <c r="AG356" i="18" s="1"/>
  <c r="AF356" i="18" s="1"/>
  <c r="AI360" i="18"/>
  <c r="AH360" i="18" s="1"/>
  <c r="AG360" i="18" s="1"/>
  <c r="AF360" i="18" s="1"/>
  <c r="AI364" i="18"/>
  <c r="AH364" i="18" s="1"/>
  <c r="AG364" i="18" s="1"/>
  <c r="AF364" i="18" s="1"/>
  <c r="AI368" i="18"/>
  <c r="AH368" i="18" s="1"/>
  <c r="AG368" i="18" s="1"/>
  <c r="AF368" i="18" s="1"/>
  <c r="AI372" i="18"/>
  <c r="AH372" i="18" s="1"/>
  <c r="AG372" i="18" s="1"/>
  <c r="AF372" i="18" s="1"/>
  <c r="AI376" i="18"/>
  <c r="AH376" i="18" s="1"/>
  <c r="AG376" i="18" s="1"/>
  <c r="AF376" i="18" s="1"/>
  <c r="H64" i="19"/>
  <c r="G64" i="19"/>
  <c r="F64" i="19"/>
  <c r="C64" i="19"/>
  <c r="J64" i="19"/>
  <c r="I64" i="19"/>
  <c r="I379" i="16"/>
  <c r="J379" i="16"/>
  <c r="F11" i="19"/>
  <c r="Y382" i="1"/>
  <c r="AM6" i="1"/>
  <c r="AM12" i="1" s="1"/>
  <c r="Y381" i="1"/>
  <c r="X9" i="1"/>
  <c r="Y383" i="1"/>
  <c r="AL6" i="1"/>
  <c r="AL12" i="1" s="1"/>
  <c r="V379" i="17"/>
  <c r="AF382" i="17"/>
  <c r="AF381" i="17"/>
  <c r="AF383" i="17"/>
  <c r="AD15" i="17"/>
  <c r="D64" i="19"/>
  <c r="Z382" i="15"/>
  <c r="Y15" i="15"/>
  <c r="Z381" i="15"/>
  <c r="Z9" i="15"/>
  <c r="AL8" i="15"/>
  <c r="Z383" i="15"/>
  <c r="S381" i="17"/>
  <c r="S382" i="17"/>
  <c r="S383" i="17"/>
  <c r="R15" i="17"/>
  <c r="S364" i="18"/>
  <c r="R364" i="18" s="1"/>
  <c r="P364" i="18" s="1"/>
  <c r="V364" i="18" s="1"/>
  <c r="S332" i="18"/>
  <c r="R332" i="18" s="1"/>
  <c r="P332" i="18" s="1"/>
  <c r="V332" i="18" s="1"/>
  <c r="S280" i="18"/>
  <c r="R280" i="18" s="1"/>
  <c r="P280" i="18" s="1"/>
  <c r="V280" i="18" s="1"/>
  <c r="S216" i="18"/>
  <c r="R216" i="18" s="1"/>
  <c r="P216" i="18" s="1"/>
  <c r="V216" i="18" s="1"/>
  <c r="S192" i="18"/>
  <c r="R192" i="18" s="1"/>
  <c r="P192" i="18" s="1"/>
  <c r="V192" i="18" s="1"/>
  <c r="S180" i="18"/>
  <c r="R180" i="18" s="1"/>
  <c r="P180" i="18" s="1"/>
  <c r="S156" i="18"/>
  <c r="R156" i="18" s="1"/>
  <c r="P156" i="18" s="1"/>
  <c r="V156" i="18" s="1"/>
  <c r="S124" i="18"/>
  <c r="R124" i="18" s="1"/>
  <c r="P124" i="18" s="1"/>
  <c r="V124" i="18" s="1"/>
  <c r="S80" i="18"/>
  <c r="R80" i="18" s="1"/>
  <c r="P80" i="18" s="1"/>
  <c r="V80" i="18" s="1"/>
  <c r="S64" i="18"/>
  <c r="R64" i="18" s="1"/>
  <c r="P64" i="18" s="1"/>
  <c r="V64" i="18" s="1"/>
  <c r="S48" i="18"/>
  <c r="R48" i="18" s="1"/>
  <c r="P48" i="18" s="1"/>
  <c r="V48" i="18" s="1"/>
  <c r="S20" i="18"/>
  <c r="R20" i="18" s="1"/>
  <c r="P20" i="18" s="1"/>
  <c r="V20" i="18" s="1"/>
  <c r="K7" i="7"/>
  <c r="B7" i="6"/>
  <c r="Q381" i="18"/>
  <c r="Q382" i="18"/>
  <c r="Q383" i="18"/>
  <c r="AA15" i="16"/>
  <c r="F381" i="16"/>
  <c r="AK10" i="16"/>
  <c r="AK12" i="16" s="1"/>
  <c r="AK13" i="16" s="1"/>
  <c r="F383" i="16"/>
  <c r="G15" i="16"/>
  <c r="BY15" i="6" s="1"/>
  <c r="AM10" i="16"/>
  <c r="F382" i="16"/>
  <c r="F9" i="16"/>
  <c r="H15" i="16"/>
  <c r="B63" i="19"/>
  <c r="V382" i="16"/>
  <c r="V383" i="16"/>
  <c r="V381" i="16"/>
  <c r="U12" i="20"/>
  <c r="AB16" i="7"/>
  <c r="T379" i="18"/>
  <c r="S379" i="18" s="1"/>
  <c r="R379" i="18" s="1"/>
  <c r="P379" i="18" s="1"/>
  <c r="S375" i="18"/>
  <c r="R375" i="18" s="1"/>
  <c r="P375" i="18" s="1"/>
  <c r="V375" i="18" s="1"/>
  <c r="S363" i="18"/>
  <c r="R363" i="18" s="1"/>
  <c r="P363" i="18" s="1"/>
  <c r="S357" i="18"/>
  <c r="R357" i="18" s="1"/>
  <c r="P357" i="18" s="1"/>
  <c r="V357" i="18" s="1"/>
  <c r="S353" i="18"/>
  <c r="R353" i="18" s="1"/>
  <c r="P353" i="18" s="1"/>
  <c r="V353" i="18" s="1"/>
  <c r="S341" i="18"/>
  <c r="R341" i="18" s="1"/>
  <c r="P341" i="18" s="1"/>
  <c r="V341" i="18" s="1"/>
  <c r="S337" i="18"/>
  <c r="R337" i="18" s="1"/>
  <c r="P337" i="18" s="1"/>
  <c r="V337" i="18" s="1"/>
  <c r="S309" i="18"/>
  <c r="R309" i="18" s="1"/>
  <c r="P309" i="18" s="1"/>
  <c r="V309" i="18" s="1"/>
  <c r="S287" i="18"/>
  <c r="R287" i="18" s="1"/>
  <c r="P287" i="18" s="1"/>
  <c r="V287" i="18" s="1"/>
  <c r="S279" i="18"/>
  <c r="R279" i="18" s="1"/>
  <c r="P279" i="18" s="1"/>
  <c r="V279" i="18" s="1"/>
  <c r="S277" i="18"/>
  <c r="R277" i="18" s="1"/>
  <c r="P277" i="18" s="1"/>
  <c r="V277" i="18" s="1"/>
  <c r="S273" i="18"/>
  <c r="R273" i="18" s="1"/>
  <c r="P273" i="18" s="1"/>
  <c r="V273" i="18" s="1"/>
  <c r="S261" i="18"/>
  <c r="R261" i="18" s="1"/>
  <c r="P261" i="18" s="1"/>
  <c r="V261" i="18" s="1"/>
  <c r="S245" i="18"/>
  <c r="R245" i="18" s="1"/>
  <c r="P245" i="18" s="1"/>
  <c r="V245" i="18" s="1"/>
  <c r="S241" i="18"/>
  <c r="R241" i="18" s="1"/>
  <c r="P241" i="18" s="1"/>
  <c r="S233" i="18"/>
  <c r="R233" i="18" s="1"/>
  <c r="P233" i="18" s="1"/>
  <c r="V233" i="18" s="1"/>
  <c r="S225" i="18"/>
  <c r="R225" i="18" s="1"/>
  <c r="P225" i="18" s="1"/>
  <c r="V225" i="18" s="1"/>
  <c r="S181" i="18"/>
  <c r="R181" i="18" s="1"/>
  <c r="P181" i="18" s="1"/>
  <c r="V181" i="18" s="1"/>
  <c r="S137" i="18"/>
  <c r="R137" i="18" s="1"/>
  <c r="P137" i="18" s="1"/>
  <c r="V137" i="18" s="1"/>
  <c r="S133" i="18"/>
  <c r="R133" i="18" s="1"/>
  <c r="P133" i="18" s="1"/>
  <c r="V133" i="18" s="1"/>
  <c r="S109" i="18"/>
  <c r="R109" i="18" s="1"/>
  <c r="P109" i="18" s="1"/>
  <c r="V109" i="18" s="1"/>
  <c r="S97" i="18"/>
  <c r="R97" i="18" s="1"/>
  <c r="P97" i="18" s="1"/>
  <c r="V97" i="18" s="1"/>
  <c r="S89" i="18"/>
  <c r="R89" i="18" s="1"/>
  <c r="P89" i="18" s="1"/>
  <c r="V89" i="18" s="1"/>
  <c r="S53" i="18"/>
  <c r="R53" i="18" s="1"/>
  <c r="P53" i="18" s="1"/>
  <c r="V53" i="18" s="1"/>
  <c r="S45" i="18"/>
  <c r="R45" i="18" s="1"/>
  <c r="P45" i="18" s="1"/>
  <c r="V45" i="18" s="1"/>
  <c r="S33" i="18"/>
  <c r="R33" i="18" s="1"/>
  <c r="P33" i="18" s="1"/>
  <c r="V33" i="18" s="1"/>
  <c r="AK3" i="25"/>
  <c r="Q20" i="19" s="1"/>
  <c r="K64" i="19"/>
  <c r="L64" i="19"/>
  <c r="E64" i="19"/>
  <c r="Q10" i="20" l="1"/>
  <c r="AE379" i="18"/>
  <c r="AE12" i="20" s="1"/>
  <c r="AE375" i="18"/>
  <c r="AE371" i="18"/>
  <c r="AE367" i="18"/>
  <c r="AE363" i="18"/>
  <c r="AE359" i="18"/>
  <c r="AE355" i="18"/>
  <c r="AE351" i="18"/>
  <c r="AE347" i="18"/>
  <c r="AD347" i="18" s="1"/>
  <c r="AE343" i="18"/>
  <c r="AE339" i="18"/>
  <c r="AE335" i="18"/>
  <c r="AE331" i="18"/>
  <c r="AD331" i="18" s="1"/>
  <c r="AE327" i="18"/>
  <c r="AE323" i="18"/>
  <c r="AD323" i="18" s="1"/>
  <c r="AE319" i="18"/>
  <c r="AD319" i="18" s="1"/>
  <c r="AE315" i="18"/>
  <c r="AD315" i="18" s="1"/>
  <c r="AE311" i="18"/>
  <c r="AE307" i="18"/>
  <c r="AD307" i="18" s="1"/>
  <c r="AE303" i="18"/>
  <c r="AE299" i="18"/>
  <c r="AD299" i="18" s="1"/>
  <c r="AE295" i="18"/>
  <c r="AE291" i="18"/>
  <c r="AD291" i="18" s="1"/>
  <c r="AE287" i="18"/>
  <c r="AD287" i="18" s="1"/>
  <c r="AE283" i="18"/>
  <c r="AE279" i="18"/>
  <c r="AE275" i="18"/>
  <c r="AD275" i="18" s="1"/>
  <c r="AE271" i="18"/>
  <c r="AE267" i="18"/>
  <c r="AE263" i="18"/>
  <c r="AD263" i="18" s="1"/>
  <c r="AE259" i="18"/>
  <c r="AE255" i="18"/>
  <c r="AE251" i="18"/>
  <c r="AE247" i="18"/>
  <c r="AE243" i="18"/>
  <c r="AE239" i="18"/>
  <c r="AD239" i="18" s="1"/>
  <c r="AE235" i="18"/>
  <c r="AD235" i="18" s="1"/>
  <c r="AE231" i="18"/>
  <c r="AD231" i="18" s="1"/>
  <c r="AE227" i="18"/>
  <c r="AE223" i="18"/>
  <c r="AE219" i="18"/>
  <c r="AE215" i="18"/>
  <c r="AE211" i="18"/>
  <c r="AE207" i="18"/>
  <c r="AD207" i="18" s="1"/>
  <c r="AE203" i="18"/>
  <c r="AE199" i="18"/>
  <c r="AE195" i="18"/>
  <c r="AE191" i="18"/>
  <c r="AD191" i="18" s="1"/>
  <c r="AE187" i="18"/>
  <c r="AE183" i="18"/>
  <c r="AD183" i="18" s="1"/>
  <c r="AE179" i="18"/>
  <c r="AD179" i="18" s="1"/>
  <c r="AE175" i="18"/>
  <c r="AE171" i="18"/>
  <c r="AE167" i="18"/>
  <c r="AE163" i="18"/>
  <c r="AE159" i="18"/>
  <c r="AD159" i="18" s="1"/>
  <c r="AE155" i="18"/>
  <c r="AE151" i="18"/>
  <c r="AD151" i="18" s="1"/>
  <c r="AE147" i="18"/>
  <c r="AE143" i="18"/>
  <c r="AE139" i="18"/>
  <c r="AE135" i="18"/>
  <c r="AD135" i="18" s="1"/>
  <c r="AE131" i="18"/>
  <c r="AE127" i="18"/>
  <c r="AD127" i="18" s="1"/>
  <c r="AE123" i="18"/>
  <c r="AE119" i="18"/>
  <c r="AD119" i="18" s="1"/>
  <c r="AE115" i="18"/>
  <c r="AD115" i="18" s="1"/>
  <c r="AE111" i="18"/>
  <c r="AD111" i="18" s="1"/>
  <c r="AE107" i="18"/>
  <c r="AD107" i="18" s="1"/>
  <c r="AE376" i="18"/>
  <c r="AE372" i="18"/>
  <c r="AE368" i="18"/>
  <c r="AE364" i="18"/>
  <c r="AE360" i="18"/>
  <c r="AE356" i="18"/>
  <c r="AE352" i="18"/>
  <c r="AE348" i="18"/>
  <c r="AE344" i="18"/>
  <c r="AE340" i="18"/>
  <c r="AE336" i="18"/>
  <c r="AE332" i="18"/>
  <c r="AE328" i="18"/>
  <c r="AE324" i="18"/>
  <c r="AD324" i="18" s="1"/>
  <c r="AE320" i="18"/>
  <c r="AE377" i="18"/>
  <c r="AE373" i="18"/>
  <c r="AE369" i="18"/>
  <c r="AE365" i="18"/>
  <c r="AE361" i="18"/>
  <c r="AE357" i="18"/>
  <c r="AE353" i="18"/>
  <c r="AE349" i="18"/>
  <c r="AD349" i="18" s="1"/>
  <c r="AE345" i="18"/>
  <c r="AD345" i="18" s="1"/>
  <c r="AE341" i="18"/>
  <c r="AE337" i="18"/>
  <c r="AE333" i="18"/>
  <c r="AD333" i="18" s="1"/>
  <c r="AE329" i="18"/>
  <c r="AE325" i="18"/>
  <c r="AE321" i="18"/>
  <c r="AE317" i="18"/>
  <c r="AD317" i="18" s="1"/>
  <c r="AE313" i="18"/>
  <c r="AE309" i="18"/>
  <c r="AE305" i="18"/>
  <c r="AE301" i="18"/>
  <c r="AE297" i="18"/>
  <c r="AE293" i="18"/>
  <c r="AE289" i="18"/>
  <c r="AE285" i="18"/>
  <c r="AE281" i="18"/>
  <c r="AE277" i="18"/>
  <c r="AE273" i="18"/>
  <c r="AE269" i="18"/>
  <c r="AD269" i="18" s="1"/>
  <c r="AE265" i="18"/>
  <c r="AE261" i="18"/>
  <c r="AE257" i="18"/>
  <c r="AE253" i="18"/>
  <c r="AE249" i="18"/>
  <c r="AE245" i="18"/>
  <c r="AD245" i="18" s="1"/>
  <c r="AE241" i="18"/>
  <c r="AD241" i="18" s="1"/>
  <c r="AE237" i="18"/>
  <c r="AE233" i="18"/>
  <c r="AE229" i="18"/>
  <c r="AE225" i="18"/>
  <c r="AE221" i="18"/>
  <c r="AE217" i="18"/>
  <c r="AE213" i="18"/>
  <c r="AE209" i="18"/>
  <c r="AE205" i="18"/>
  <c r="AE201" i="18"/>
  <c r="AD201" i="18" s="1"/>
  <c r="AE197" i="18"/>
  <c r="AE193" i="18"/>
  <c r="AE189" i="18"/>
  <c r="AD189" i="18" s="1"/>
  <c r="AE185" i="18"/>
  <c r="AD185" i="18" s="1"/>
  <c r="AE181" i="18"/>
  <c r="AE177" i="18"/>
  <c r="AE173" i="18"/>
  <c r="AE169" i="18"/>
  <c r="AD169" i="18" s="1"/>
  <c r="AE165" i="18"/>
  <c r="AE161" i="18"/>
  <c r="AD161" i="18" s="1"/>
  <c r="AE157" i="18"/>
  <c r="AE153" i="18"/>
  <c r="AE149" i="18"/>
  <c r="AD149" i="18" s="1"/>
  <c r="AE145" i="18"/>
  <c r="AE141" i="18"/>
  <c r="AD141" i="18" s="1"/>
  <c r="AE137" i="18"/>
  <c r="AE133" i="18"/>
  <c r="AE129" i="18"/>
  <c r="AE125" i="18"/>
  <c r="AD125" i="18" s="1"/>
  <c r="AE121" i="18"/>
  <c r="AE117" i="18"/>
  <c r="AD117" i="18" s="1"/>
  <c r="AE113" i="18"/>
  <c r="AE109" i="18"/>
  <c r="AE105" i="18"/>
  <c r="AE378" i="18"/>
  <c r="AE374" i="18"/>
  <c r="AD374" i="18" s="1"/>
  <c r="AE370" i="18"/>
  <c r="AE366" i="18"/>
  <c r="AE362" i="18"/>
  <c r="AE358" i="18"/>
  <c r="AE354" i="18"/>
  <c r="AE350" i="18"/>
  <c r="AE346" i="18"/>
  <c r="AE342" i="18"/>
  <c r="AE338" i="18"/>
  <c r="AE334" i="18"/>
  <c r="AE330" i="18"/>
  <c r="AE326" i="18"/>
  <c r="AE322" i="18"/>
  <c r="AE316" i="18"/>
  <c r="AD316" i="18" s="1"/>
  <c r="AE312" i="18"/>
  <c r="AE308" i="18"/>
  <c r="AE304" i="18"/>
  <c r="AE300" i="18"/>
  <c r="AE296" i="18"/>
  <c r="AE292" i="18"/>
  <c r="AE288" i="18"/>
  <c r="AE284" i="18"/>
  <c r="AD284" i="18" s="1"/>
  <c r="AE280" i="18"/>
  <c r="AE276" i="18"/>
  <c r="AD276" i="18" s="1"/>
  <c r="AE272" i="18"/>
  <c r="AE268" i="18"/>
  <c r="AE264" i="18"/>
  <c r="AE260" i="18"/>
  <c r="AE256" i="18"/>
  <c r="AE252" i="18"/>
  <c r="AE248" i="18"/>
  <c r="AE244" i="18"/>
  <c r="AD244" i="18" s="1"/>
  <c r="AE240" i="18"/>
  <c r="AE236" i="18"/>
  <c r="AD236" i="18" s="1"/>
  <c r="AE232" i="18"/>
  <c r="AE228" i="18"/>
  <c r="AD228" i="18" s="1"/>
  <c r="AE224" i="18"/>
  <c r="AE220" i="18"/>
  <c r="AE216" i="18"/>
  <c r="AE212" i="18"/>
  <c r="AD212" i="18" s="1"/>
  <c r="AE208" i="18"/>
  <c r="AE204" i="18"/>
  <c r="AE200" i="18"/>
  <c r="AE196" i="18"/>
  <c r="AD196" i="18" s="1"/>
  <c r="AE192" i="18"/>
  <c r="AE188" i="18"/>
  <c r="AE184" i="18"/>
  <c r="AE180" i="18"/>
  <c r="AE176" i="18"/>
  <c r="AE172" i="18"/>
  <c r="AE168" i="18"/>
  <c r="AE164" i="18"/>
  <c r="AD164" i="18" s="1"/>
  <c r="AE160" i="18"/>
  <c r="AE156" i="18"/>
  <c r="AE152" i="18"/>
  <c r="AE148" i="18"/>
  <c r="AE144" i="18"/>
  <c r="AE140" i="18"/>
  <c r="AD140" i="18" s="1"/>
  <c r="AE136" i="18"/>
  <c r="AE132" i="18"/>
  <c r="AE128" i="18"/>
  <c r="AE124" i="18"/>
  <c r="AE120" i="18"/>
  <c r="AE116" i="18"/>
  <c r="AD116" i="18" s="1"/>
  <c r="AE112" i="18"/>
  <c r="AE108" i="18"/>
  <c r="AE104" i="18"/>
  <c r="AE318" i="18"/>
  <c r="AE314" i="18"/>
  <c r="AE310" i="18"/>
  <c r="AD310" i="18" s="1"/>
  <c r="AE306" i="18"/>
  <c r="AE302" i="18"/>
  <c r="AE298" i="18"/>
  <c r="AE294" i="18"/>
  <c r="AD294" i="18" s="1"/>
  <c r="AE290" i="18"/>
  <c r="AE286" i="18"/>
  <c r="AE282" i="18"/>
  <c r="AE278" i="18"/>
  <c r="AE274" i="18"/>
  <c r="AE270" i="18"/>
  <c r="AE266" i="18"/>
  <c r="AE262" i="18"/>
  <c r="AE258" i="18"/>
  <c r="AE254" i="18"/>
  <c r="AE250" i="18"/>
  <c r="AE246" i="18"/>
  <c r="AE242" i="18"/>
  <c r="AE238" i="18"/>
  <c r="AD238" i="18" s="1"/>
  <c r="AE234" i="18"/>
  <c r="AE230" i="18"/>
  <c r="AE226" i="18"/>
  <c r="AE222" i="18"/>
  <c r="AE218" i="18"/>
  <c r="AE214" i="18"/>
  <c r="AE210" i="18"/>
  <c r="AE206" i="18"/>
  <c r="AE202" i="18"/>
  <c r="AE198" i="18"/>
  <c r="AE194" i="18"/>
  <c r="AE190" i="18"/>
  <c r="AD190" i="18" s="1"/>
  <c r="AE186" i="18"/>
  <c r="AE182" i="18"/>
  <c r="AE178" i="18"/>
  <c r="AE174" i="18"/>
  <c r="AD174" i="18" s="1"/>
  <c r="AE170" i="18"/>
  <c r="AE166" i="18"/>
  <c r="AE162" i="18"/>
  <c r="AE158" i="18"/>
  <c r="AD158" i="18" s="1"/>
  <c r="AE154" i="18"/>
  <c r="AE150" i="18"/>
  <c r="AE146" i="18"/>
  <c r="AE142" i="18"/>
  <c r="AD142" i="18" s="1"/>
  <c r="AE138" i="18"/>
  <c r="AE134" i="18"/>
  <c r="AE130" i="18"/>
  <c r="AE126" i="18"/>
  <c r="AD126" i="18" s="1"/>
  <c r="AE122" i="18"/>
  <c r="AE118" i="18"/>
  <c r="AE114" i="18"/>
  <c r="AE110" i="18"/>
  <c r="AD110" i="18" s="1"/>
  <c r="AE106" i="18"/>
  <c r="P101" i="18"/>
  <c r="V101" i="18" s="1"/>
  <c r="P349" i="18"/>
  <c r="V349" i="18" s="1"/>
  <c r="P361" i="18"/>
  <c r="V361" i="18" s="1"/>
  <c r="P325" i="18"/>
  <c r="V325" i="18" s="1"/>
  <c r="P371" i="18"/>
  <c r="V371" i="18" s="1"/>
  <c r="P161" i="18"/>
  <c r="V161" i="18" s="1"/>
  <c r="J180" i="16"/>
  <c r="I180" i="16"/>
  <c r="AL9" i="16"/>
  <c r="P69" i="18"/>
  <c r="V69" i="18" s="1"/>
  <c r="P321" i="18"/>
  <c r="V321" i="18" s="1"/>
  <c r="P77" i="18"/>
  <c r="V77" i="18" s="1"/>
  <c r="P141" i="18"/>
  <c r="V141" i="18" s="1"/>
  <c r="P197" i="18"/>
  <c r="V197" i="18" s="1"/>
  <c r="H65" i="19" s="1"/>
  <c r="P301" i="18"/>
  <c r="V301" i="18" s="1"/>
  <c r="P81" i="18"/>
  <c r="V81" i="18" s="1"/>
  <c r="P145" i="18"/>
  <c r="V145" i="18" s="1"/>
  <c r="P177" i="18"/>
  <c r="V177" i="18" s="1"/>
  <c r="J64" i="16"/>
  <c r="I64" i="16"/>
  <c r="I156" i="16"/>
  <c r="J156" i="16"/>
  <c r="AD381" i="16"/>
  <c r="AD382" i="16"/>
  <c r="AA379" i="16"/>
  <c r="Z379" i="16" s="1"/>
  <c r="Y379" i="16" s="1"/>
  <c r="AD383" i="16"/>
  <c r="I312" i="16"/>
  <c r="J312" i="16"/>
  <c r="AD120" i="18"/>
  <c r="P73" i="18"/>
  <c r="V73" i="18" s="1"/>
  <c r="P189" i="18"/>
  <c r="V189" i="18" s="1"/>
  <c r="AD32" i="18"/>
  <c r="U383" i="18"/>
  <c r="AD88" i="18"/>
  <c r="AD64" i="18"/>
  <c r="P61" i="18"/>
  <c r="V61" i="18" s="1"/>
  <c r="P297" i="18"/>
  <c r="V297" i="18" s="1"/>
  <c r="P313" i="18"/>
  <c r="V313" i="18" s="1"/>
  <c r="P329" i="18"/>
  <c r="V329" i="18" s="1"/>
  <c r="P125" i="18"/>
  <c r="V125" i="18" s="1"/>
  <c r="P285" i="18"/>
  <c r="V285" i="18" s="1"/>
  <c r="P249" i="18"/>
  <c r="V249" i="18" s="1"/>
  <c r="P169" i="18"/>
  <c r="V169" i="18" s="1"/>
  <c r="E12" i="19"/>
  <c r="V149" i="18"/>
  <c r="V379" i="18"/>
  <c r="D39" i="19"/>
  <c r="AD90" i="18"/>
  <c r="Q170" i="20"/>
  <c r="AE11" i="20"/>
  <c r="AE283" i="20"/>
  <c r="AD229" i="18"/>
  <c r="D77" i="7"/>
  <c r="Q347" i="20"/>
  <c r="AE174" i="20"/>
  <c r="Q283" i="20"/>
  <c r="AH11" i="7"/>
  <c r="U11" i="20" s="1"/>
  <c r="AE303" i="20"/>
  <c r="AE134" i="20"/>
  <c r="Q379" i="20"/>
  <c r="AH15" i="7" s="1"/>
  <c r="Q315" i="20"/>
  <c r="Q226" i="20"/>
  <c r="AD102" i="18"/>
  <c r="AE341" i="20"/>
  <c r="AE277" i="20"/>
  <c r="AE210" i="20"/>
  <c r="AE92" i="20"/>
  <c r="Q363" i="20"/>
  <c r="Q331" i="20"/>
  <c r="Q299" i="20"/>
  <c r="Q258" i="20"/>
  <c r="V119" i="18"/>
  <c r="E65" i="19" s="1"/>
  <c r="V88" i="18"/>
  <c r="D74" i="7"/>
  <c r="Q116" i="20"/>
  <c r="Q154" i="20"/>
  <c r="Q186" i="20"/>
  <c r="Q218" i="20"/>
  <c r="Q234" i="20"/>
  <c r="Q250" i="20"/>
  <c r="Q266" i="20"/>
  <c r="Q279" i="20"/>
  <c r="Q287" i="20"/>
  <c r="Q295" i="20"/>
  <c r="Q303" i="20"/>
  <c r="Q311" i="20"/>
  <c r="Q319" i="20"/>
  <c r="Q327" i="20"/>
  <c r="Q335" i="20"/>
  <c r="Q343" i="20"/>
  <c r="Q351" i="20"/>
  <c r="Q359" i="20"/>
  <c r="Q367" i="20"/>
  <c r="Q375" i="20"/>
  <c r="AE35" i="20"/>
  <c r="AE67" i="20"/>
  <c r="AE94" i="20"/>
  <c r="AE121" i="20"/>
  <c r="AE153" i="20"/>
  <c r="AE185" i="20"/>
  <c r="AE378" i="20"/>
  <c r="AE346" i="20"/>
  <c r="AE314" i="20"/>
  <c r="AE282" i="20"/>
  <c r="AE250" i="20"/>
  <c r="AE218" i="20"/>
  <c r="AE156" i="20"/>
  <c r="AE96" i="20"/>
  <c r="AE39" i="20"/>
  <c r="Q371" i="20"/>
  <c r="Q355" i="20"/>
  <c r="Q339" i="20"/>
  <c r="Q323" i="20"/>
  <c r="Q307" i="20"/>
  <c r="Q291" i="20"/>
  <c r="Q274" i="20"/>
  <c r="Q242" i="20"/>
  <c r="Q202" i="20"/>
  <c r="Q138" i="20"/>
  <c r="AD261" i="18"/>
  <c r="AD76" i="18"/>
  <c r="AD282" i="18"/>
  <c r="AD365" i="18"/>
  <c r="AD41" i="18"/>
  <c r="Q46" i="20"/>
  <c r="Q102" i="20"/>
  <c r="Q124" i="20"/>
  <c r="Q134" i="20"/>
  <c r="Q142" i="20"/>
  <c r="Q150" i="20"/>
  <c r="Q158" i="20"/>
  <c r="Q166" i="20"/>
  <c r="Q174" i="20"/>
  <c r="Q182" i="20"/>
  <c r="Q190" i="20"/>
  <c r="Q198" i="20"/>
  <c r="Q206" i="20"/>
  <c r="Q214" i="20"/>
  <c r="Q222" i="20"/>
  <c r="Q230" i="20"/>
  <c r="Q238" i="20"/>
  <c r="Q246" i="20"/>
  <c r="Q254" i="20"/>
  <c r="Q262" i="20"/>
  <c r="Q270" i="20"/>
  <c r="Q277" i="20"/>
  <c r="Q281" i="20"/>
  <c r="Q285" i="20"/>
  <c r="Q289" i="20"/>
  <c r="Q293" i="20"/>
  <c r="Q297" i="20"/>
  <c r="Q301" i="20"/>
  <c r="Q305" i="20"/>
  <c r="Q309" i="20"/>
  <c r="Q313" i="20"/>
  <c r="Q317" i="20"/>
  <c r="Q321" i="20"/>
  <c r="Q325" i="20"/>
  <c r="Q329" i="20"/>
  <c r="Q333" i="20"/>
  <c r="Q337" i="20"/>
  <c r="Q341" i="20"/>
  <c r="Q345" i="20"/>
  <c r="Q349" i="20"/>
  <c r="Q353" i="20"/>
  <c r="Q357" i="20"/>
  <c r="Q361" i="20"/>
  <c r="Q365" i="20"/>
  <c r="Q369" i="20"/>
  <c r="Q373" i="20"/>
  <c r="Q377" i="20"/>
  <c r="AE25" i="20"/>
  <c r="AE41" i="20"/>
  <c r="AE57" i="20"/>
  <c r="AE73" i="20"/>
  <c r="AE89" i="20"/>
  <c r="AE97" i="20"/>
  <c r="AE105" i="20"/>
  <c r="Q210" i="20"/>
  <c r="Q194" i="20"/>
  <c r="Q178" i="20"/>
  <c r="Q162" i="20"/>
  <c r="Q146" i="20"/>
  <c r="Q130" i="20"/>
  <c r="Q78" i="20"/>
  <c r="AD178" i="18"/>
  <c r="Q17" i="20"/>
  <c r="Q22" i="20"/>
  <c r="Q38" i="20"/>
  <c r="Q54" i="20"/>
  <c r="Q70" i="20"/>
  <c r="Q86" i="20"/>
  <c r="Q98" i="20"/>
  <c r="Q106" i="20"/>
  <c r="Q114" i="20"/>
  <c r="Q118" i="20"/>
  <c r="Q122" i="20"/>
  <c r="Q126" i="20"/>
  <c r="Q129" i="20"/>
  <c r="Q131" i="20"/>
  <c r="Q133" i="20"/>
  <c r="Q135" i="20"/>
  <c r="Q137" i="20"/>
  <c r="Q139" i="20"/>
  <c r="Q141" i="20"/>
  <c r="Q143" i="20"/>
  <c r="Q145" i="20"/>
  <c r="Q147" i="20"/>
  <c r="Q149" i="20"/>
  <c r="Q151" i="20"/>
  <c r="Q153" i="20"/>
  <c r="Q155" i="20"/>
  <c r="Q157" i="20"/>
  <c r="Q159" i="20"/>
  <c r="Q161" i="20"/>
  <c r="Q163" i="20"/>
  <c r="Q165" i="20"/>
  <c r="Q167" i="20"/>
  <c r="Q169" i="20"/>
  <c r="Q171" i="20"/>
  <c r="Q173" i="20"/>
  <c r="Q175" i="20"/>
  <c r="Q177" i="20"/>
  <c r="Q179" i="20"/>
  <c r="Q181" i="20"/>
  <c r="Q183" i="20"/>
  <c r="Q185" i="20"/>
  <c r="Q187" i="20"/>
  <c r="Q189" i="20"/>
  <c r="Q191" i="20"/>
  <c r="Q193" i="20"/>
  <c r="Q195" i="20"/>
  <c r="Q197" i="20"/>
  <c r="Q199" i="20"/>
  <c r="Q201" i="20"/>
  <c r="Q203" i="20"/>
  <c r="Q205" i="20"/>
  <c r="Q207" i="20"/>
  <c r="Q209" i="20"/>
  <c r="Q211" i="20"/>
  <c r="Q213" i="20"/>
  <c r="Q215" i="20"/>
  <c r="Q217" i="20"/>
  <c r="Q219" i="20"/>
  <c r="Q221" i="20"/>
  <c r="Q223" i="20"/>
  <c r="Q225" i="20"/>
  <c r="Q227" i="20"/>
  <c r="Q229" i="20"/>
  <c r="Q231" i="20"/>
  <c r="Q233" i="20"/>
  <c r="Q235" i="20"/>
  <c r="Q237" i="20"/>
  <c r="Q239" i="20"/>
  <c r="Q241" i="20"/>
  <c r="Q243" i="20"/>
  <c r="Q245" i="20"/>
  <c r="Q247" i="20"/>
  <c r="Q249" i="20"/>
  <c r="Q251" i="20"/>
  <c r="Q253" i="20"/>
  <c r="Q255" i="20"/>
  <c r="Q257" i="20"/>
  <c r="Q259" i="20"/>
  <c r="Q261" i="20"/>
  <c r="Q263" i="20"/>
  <c r="Q265" i="20"/>
  <c r="Q267" i="20"/>
  <c r="Q269" i="20"/>
  <c r="Q271" i="20"/>
  <c r="Q273" i="20"/>
  <c r="Q275" i="20"/>
  <c r="AE86" i="20"/>
  <c r="AE78" i="20"/>
  <c r="AE70" i="20"/>
  <c r="AE62" i="20"/>
  <c r="AE54" i="20"/>
  <c r="AE46" i="20"/>
  <c r="AE38" i="20"/>
  <c r="AE30" i="20"/>
  <c r="AE22" i="20"/>
  <c r="Q378" i="20"/>
  <c r="Q376" i="20"/>
  <c r="Q374" i="20"/>
  <c r="Q372" i="20"/>
  <c r="Q370" i="20"/>
  <c r="Q368" i="20"/>
  <c r="Q366" i="20"/>
  <c r="Q364" i="20"/>
  <c r="Q362" i="20"/>
  <c r="Q360" i="20"/>
  <c r="Q358" i="20"/>
  <c r="Q356" i="20"/>
  <c r="Q354" i="20"/>
  <c r="Q352" i="20"/>
  <c r="Q350" i="20"/>
  <c r="Q348" i="20"/>
  <c r="Q346" i="20"/>
  <c r="Q344" i="20"/>
  <c r="Q342" i="20"/>
  <c r="Q340" i="20"/>
  <c r="Q338" i="20"/>
  <c r="Q336" i="20"/>
  <c r="Q334" i="20"/>
  <c r="Q332" i="20"/>
  <c r="Q330" i="20"/>
  <c r="Q328" i="20"/>
  <c r="Q326" i="20"/>
  <c r="Q324" i="20"/>
  <c r="Q322" i="20"/>
  <c r="Q320" i="20"/>
  <c r="Q318" i="20"/>
  <c r="Q316" i="20"/>
  <c r="Q314" i="20"/>
  <c r="Q312" i="20"/>
  <c r="Q310" i="20"/>
  <c r="Q308" i="20"/>
  <c r="Q306" i="20"/>
  <c r="Q304" i="20"/>
  <c r="Q302" i="20"/>
  <c r="Q300" i="20"/>
  <c r="Q298" i="20"/>
  <c r="Q296" i="20"/>
  <c r="Q294" i="20"/>
  <c r="Q292" i="20"/>
  <c r="Q290" i="20"/>
  <c r="Q288" i="20"/>
  <c r="Q286" i="20"/>
  <c r="Q284" i="20"/>
  <c r="Q282" i="20"/>
  <c r="Q280" i="20"/>
  <c r="Q278" i="20"/>
  <c r="Q276" i="20"/>
  <c r="Q272" i="20"/>
  <c r="Q268" i="20"/>
  <c r="Q264" i="20"/>
  <c r="Q260" i="20"/>
  <c r="Q256" i="20"/>
  <c r="Q252" i="20"/>
  <c r="Q248" i="20"/>
  <c r="Q244" i="20"/>
  <c r="Q240" i="20"/>
  <c r="Q236" i="20"/>
  <c r="Q232" i="20"/>
  <c r="Q228" i="20"/>
  <c r="Q224" i="20"/>
  <c r="Q220" i="20"/>
  <c r="Q216" i="20"/>
  <c r="Q212" i="20"/>
  <c r="Q208" i="20"/>
  <c r="Q204" i="20"/>
  <c r="Q200" i="20"/>
  <c r="Q196" i="20"/>
  <c r="Q192" i="20"/>
  <c r="Q188" i="20"/>
  <c r="Q184" i="20"/>
  <c r="Q180" i="20"/>
  <c r="Q176" i="20"/>
  <c r="Q172" i="20"/>
  <c r="Q168" i="20"/>
  <c r="Q164" i="20"/>
  <c r="Q160" i="20"/>
  <c r="Q156" i="20"/>
  <c r="Q152" i="20"/>
  <c r="Q148" i="20"/>
  <c r="Q144" i="20"/>
  <c r="Q140" i="20"/>
  <c r="Q136" i="20"/>
  <c r="Q132" i="20"/>
  <c r="Q128" i="20"/>
  <c r="Q120" i="20"/>
  <c r="Q110" i="20"/>
  <c r="Q94" i="20"/>
  <c r="Q62" i="20"/>
  <c r="Q30" i="20"/>
  <c r="AD322" i="18"/>
  <c r="AD248" i="18"/>
  <c r="AD160" i="18"/>
  <c r="AD54" i="18"/>
  <c r="AD364" i="18"/>
  <c r="AD192" i="18"/>
  <c r="AD118" i="18"/>
  <c r="AD82" i="18"/>
  <c r="U382" i="18"/>
  <c r="U381" i="18"/>
  <c r="AD338" i="18"/>
  <c r="AD296" i="18"/>
  <c r="AD274" i="18"/>
  <c r="AD202" i="18"/>
  <c r="AD124" i="18"/>
  <c r="AD84" i="18"/>
  <c r="AD281" i="18"/>
  <c r="AD346" i="18"/>
  <c r="AD264" i="18"/>
  <c r="AD234" i="18"/>
  <c r="AD198" i="18"/>
  <c r="AD186" i="18"/>
  <c r="AD44" i="18"/>
  <c r="AD357" i="18"/>
  <c r="AD265" i="18"/>
  <c r="AD69" i="18"/>
  <c r="AD21" i="18"/>
  <c r="U10" i="20"/>
  <c r="U33" i="20" s="1"/>
  <c r="T33" i="20" s="1"/>
  <c r="AD352" i="18"/>
  <c r="AD336" i="18"/>
  <c r="Q380" i="20"/>
  <c r="AD278" i="18"/>
  <c r="AD122" i="18"/>
  <c r="AD106" i="18"/>
  <c r="AD86" i="18"/>
  <c r="Q112" i="20"/>
  <c r="Q108" i="20"/>
  <c r="Q104" i="20"/>
  <c r="Q100" i="20"/>
  <c r="Q96" i="20"/>
  <c r="Q91" i="20"/>
  <c r="Q82" i="20"/>
  <c r="Q74" i="20"/>
  <c r="Q66" i="20"/>
  <c r="Q58" i="20"/>
  <c r="Q50" i="20"/>
  <c r="Q42" i="20"/>
  <c r="Q34" i="20"/>
  <c r="Q26" i="20"/>
  <c r="Q15" i="20"/>
  <c r="Q127" i="20"/>
  <c r="Q125" i="20"/>
  <c r="Q123" i="20"/>
  <c r="Q121" i="20"/>
  <c r="Q119" i="20"/>
  <c r="Q117" i="20"/>
  <c r="Q115" i="20"/>
  <c r="Q113" i="20"/>
  <c r="Q111" i="20"/>
  <c r="Q109" i="20"/>
  <c r="Q107" i="20"/>
  <c r="Q105" i="20"/>
  <c r="Q103" i="20"/>
  <c r="Q101" i="20"/>
  <c r="Q99" i="20"/>
  <c r="Q97" i="20"/>
  <c r="Q95" i="20"/>
  <c r="Q93" i="20"/>
  <c r="Q88" i="20"/>
  <c r="Q84" i="20"/>
  <c r="Q80" i="20"/>
  <c r="Q76" i="20"/>
  <c r="Q72" i="20"/>
  <c r="Q68" i="20"/>
  <c r="Q64" i="20"/>
  <c r="Q60" i="20"/>
  <c r="Q56" i="20"/>
  <c r="Q52" i="20"/>
  <c r="Q48" i="20"/>
  <c r="Q44" i="20"/>
  <c r="Q40" i="20"/>
  <c r="Q36" i="20"/>
  <c r="Q32" i="20"/>
  <c r="Q28" i="20"/>
  <c r="Q24" i="20"/>
  <c r="Q20" i="20"/>
  <c r="Q16" i="20"/>
  <c r="AG369" i="18"/>
  <c r="AF369" i="18" s="1"/>
  <c r="AG353" i="18"/>
  <c r="AF353" i="18" s="1"/>
  <c r="AG341" i="18"/>
  <c r="AF341" i="18" s="1"/>
  <c r="AD341" i="18" s="1"/>
  <c r="AG309" i="18"/>
  <c r="AF309" i="18" s="1"/>
  <c r="AD309" i="18" s="1"/>
  <c r="AG257" i="18"/>
  <c r="AF257" i="18" s="1"/>
  <c r="AD257" i="18" s="1"/>
  <c r="AG253" i="18"/>
  <c r="AF253" i="18" s="1"/>
  <c r="AD253" i="18" s="1"/>
  <c r="AG249" i="18"/>
  <c r="AF249" i="18" s="1"/>
  <c r="AD249" i="18" s="1"/>
  <c r="AG237" i="18"/>
  <c r="AF237" i="18" s="1"/>
  <c r="AD237" i="18" s="1"/>
  <c r="AG233" i="18"/>
  <c r="AF233" i="18" s="1"/>
  <c r="AD233" i="18" s="1"/>
  <c r="AG225" i="18"/>
  <c r="AF225" i="18" s="1"/>
  <c r="AG221" i="18"/>
  <c r="AF221" i="18" s="1"/>
  <c r="AD221" i="18" s="1"/>
  <c r="AG217" i="18"/>
  <c r="AF217" i="18" s="1"/>
  <c r="AG213" i="18"/>
  <c r="AF213" i="18" s="1"/>
  <c r="AD213" i="18" s="1"/>
  <c r="AG209" i="18"/>
  <c r="AF209" i="18" s="1"/>
  <c r="AG205" i="18"/>
  <c r="AF205" i="18" s="1"/>
  <c r="AD205" i="18" s="1"/>
  <c r="AG197" i="18"/>
  <c r="AF197" i="18" s="1"/>
  <c r="AD197" i="18" s="1"/>
  <c r="AG193" i="18"/>
  <c r="AF193" i="18" s="1"/>
  <c r="AD193" i="18" s="1"/>
  <c r="AG177" i="18"/>
  <c r="AF177" i="18" s="1"/>
  <c r="AG173" i="18"/>
  <c r="AF173" i="18" s="1"/>
  <c r="AD173" i="18" s="1"/>
  <c r="AG157" i="18"/>
  <c r="AF157" i="18" s="1"/>
  <c r="AD157" i="18" s="1"/>
  <c r="AG153" i="18"/>
  <c r="AF153" i="18" s="1"/>
  <c r="AD153" i="18" s="1"/>
  <c r="AG145" i="18"/>
  <c r="AF145" i="18" s="1"/>
  <c r="AG137" i="18"/>
  <c r="AF137" i="18" s="1"/>
  <c r="AD137" i="18" s="1"/>
  <c r="AG133" i="18"/>
  <c r="AF133" i="18" s="1"/>
  <c r="AD133" i="18" s="1"/>
  <c r="AG129" i="18"/>
  <c r="AF129" i="18" s="1"/>
  <c r="AD129" i="18" s="1"/>
  <c r="AG113" i="18"/>
  <c r="AF113" i="18" s="1"/>
  <c r="AG109" i="18"/>
  <c r="AF109" i="18" s="1"/>
  <c r="AD109" i="18" s="1"/>
  <c r="AG105" i="18"/>
  <c r="AF105" i="18" s="1"/>
  <c r="AG97" i="18"/>
  <c r="AF97" i="18" s="1"/>
  <c r="AD97" i="18" s="1"/>
  <c r="AG93" i="18"/>
  <c r="AF93" i="18" s="1"/>
  <c r="AD93" i="18" s="1"/>
  <c r="AG89" i="18"/>
  <c r="AF89" i="18" s="1"/>
  <c r="AD89" i="18" s="1"/>
  <c r="AG61" i="18"/>
  <c r="AF61" i="18" s="1"/>
  <c r="AD61" i="18" s="1"/>
  <c r="AG57" i="18"/>
  <c r="AF57" i="18" s="1"/>
  <c r="AD57" i="18" s="1"/>
  <c r="AG49" i="18"/>
  <c r="AF49" i="18" s="1"/>
  <c r="AD49" i="18" s="1"/>
  <c r="AG45" i="18"/>
  <c r="AF45" i="18" s="1"/>
  <c r="AD45" i="18" s="1"/>
  <c r="AG37" i="18"/>
  <c r="AF37" i="18" s="1"/>
  <c r="AD37" i="18" s="1"/>
  <c r="AG29" i="18"/>
  <c r="AF29" i="18" s="1"/>
  <c r="AD29" i="18" s="1"/>
  <c r="AG16" i="18"/>
  <c r="AF16" i="18" s="1"/>
  <c r="AD16" i="18" s="1"/>
  <c r="AD375" i="18"/>
  <c r="AD367" i="18"/>
  <c r="AD355" i="18"/>
  <c r="AD339" i="18"/>
  <c r="AD311" i="18"/>
  <c r="AD267" i="18"/>
  <c r="AD373" i="18"/>
  <c r="AD337" i="18"/>
  <c r="AD325" i="18"/>
  <c r="AD313" i="18"/>
  <c r="AD301" i="18"/>
  <c r="AD293" i="18"/>
  <c r="AD285" i="18"/>
  <c r="AD273" i="18"/>
  <c r="AD165" i="18"/>
  <c r="AD81" i="18"/>
  <c r="AD65" i="18"/>
  <c r="AD376" i="18"/>
  <c r="AD368" i="18"/>
  <c r="AD356" i="18"/>
  <c r="AD344" i="18"/>
  <c r="AD332" i="18"/>
  <c r="AD320" i="18"/>
  <c r="AD300" i="18"/>
  <c r="AD260" i="18"/>
  <c r="AD216" i="18"/>
  <c r="AD180" i="18"/>
  <c r="AD148" i="18"/>
  <c r="AD100" i="18"/>
  <c r="AD80" i="18"/>
  <c r="AD56" i="18"/>
  <c r="AD40" i="18"/>
  <c r="AD17" i="18"/>
  <c r="AD370" i="18"/>
  <c r="AD362" i="18"/>
  <c r="AD354" i="18"/>
  <c r="AD342" i="18"/>
  <c r="AD330" i="18"/>
  <c r="AD318" i="18"/>
  <c r="AD302" i="18"/>
  <c r="AD286" i="18"/>
  <c r="AD266" i="18"/>
  <c r="AD258" i="18"/>
  <c r="AD250" i="18"/>
  <c r="AD242" i="18"/>
  <c r="AD226" i="18"/>
  <c r="AD218" i="18"/>
  <c r="AD210" i="18"/>
  <c r="AD194" i="18"/>
  <c r="AD166" i="18"/>
  <c r="AD150" i="18"/>
  <c r="AD134" i="18"/>
  <c r="AD94" i="18"/>
  <c r="AD74" i="18"/>
  <c r="AD66" i="18"/>
  <c r="AD58" i="18"/>
  <c r="AD46" i="18"/>
  <c r="AD38" i="18"/>
  <c r="AD30" i="18"/>
  <c r="AD22" i="18"/>
  <c r="AD304" i="18"/>
  <c r="AD280" i="18"/>
  <c r="AD256" i="18"/>
  <c r="AD232" i="18"/>
  <c r="AD208" i="18"/>
  <c r="AD184" i="18"/>
  <c r="AD168" i="18"/>
  <c r="AD144" i="18"/>
  <c r="AD128" i="18"/>
  <c r="AD104" i="18"/>
  <c r="AD68" i="18"/>
  <c r="AD52" i="18"/>
  <c r="AD28" i="18"/>
  <c r="AH379" i="18"/>
  <c r="AI12" i="20"/>
  <c r="AG359" i="18"/>
  <c r="AF359" i="18" s="1"/>
  <c r="AD359" i="18" s="1"/>
  <c r="AG327" i="18"/>
  <c r="AF327" i="18" s="1"/>
  <c r="AD327" i="18" s="1"/>
  <c r="AG303" i="18"/>
  <c r="AF303" i="18" s="1"/>
  <c r="AD303" i="18" s="1"/>
  <c r="AG283" i="18"/>
  <c r="AF283" i="18" s="1"/>
  <c r="AD283" i="18" s="1"/>
  <c r="AG279" i="18"/>
  <c r="AF279" i="18" s="1"/>
  <c r="AD279" i="18" s="1"/>
  <c r="AG271" i="18"/>
  <c r="AF271" i="18" s="1"/>
  <c r="AD271" i="18" s="1"/>
  <c r="AG259" i="18"/>
  <c r="AF259" i="18" s="1"/>
  <c r="AG255" i="18"/>
  <c r="AF255" i="18" s="1"/>
  <c r="AD255" i="18" s="1"/>
  <c r="AG251" i="18"/>
  <c r="AF251" i="18" s="1"/>
  <c r="AG247" i="18"/>
  <c r="AF247" i="18" s="1"/>
  <c r="AD247" i="18" s="1"/>
  <c r="AG243" i="18"/>
  <c r="AF243" i="18" s="1"/>
  <c r="AG227" i="18"/>
  <c r="AF227" i="18" s="1"/>
  <c r="AD227" i="18" s="1"/>
  <c r="AG223" i="18"/>
  <c r="AF223" i="18" s="1"/>
  <c r="AD223" i="18" s="1"/>
  <c r="AG219" i="18"/>
  <c r="AF219" i="18" s="1"/>
  <c r="AD219" i="18" s="1"/>
  <c r="AG215" i="18"/>
  <c r="AF215" i="18" s="1"/>
  <c r="AD215" i="18" s="1"/>
  <c r="AG211" i="18"/>
  <c r="AF211" i="18" s="1"/>
  <c r="AD211" i="18" s="1"/>
  <c r="AG203" i="18"/>
  <c r="AF203" i="18" s="1"/>
  <c r="AG199" i="18"/>
  <c r="AF199" i="18" s="1"/>
  <c r="AD199" i="18" s="1"/>
  <c r="AG195" i="18"/>
  <c r="AF195" i="18" s="1"/>
  <c r="AG187" i="18"/>
  <c r="AF187" i="18" s="1"/>
  <c r="AD187" i="18" s="1"/>
  <c r="AG175" i="18"/>
  <c r="AF175" i="18" s="1"/>
  <c r="AD175" i="18" s="1"/>
  <c r="AG171" i="18"/>
  <c r="AF171" i="18" s="1"/>
  <c r="AD171" i="18" s="1"/>
  <c r="AG167" i="18"/>
  <c r="AF167" i="18" s="1"/>
  <c r="AD167" i="18" s="1"/>
  <c r="AG163" i="18"/>
  <c r="AF163" i="18" s="1"/>
  <c r="AD163" i="18" s="1"/>
  <c r="AG155" i="18"/>
  <c r="AF155" i="18" s="1"/>
  <c r="AG147" i="18"/>
  <c r="AF147" i="18" s="1"/>
  <c r="AD147" i="18" s="1"/>
  <c r="AG143" i="18"/>
  <c r="AF143" i="18" s="1"/>
  <c r="AD143" i="18" s="1"/>
  <c r="AG139" i="18"/>
  <c r="AF139" i="18" s="1"/>
  <c r="AD139" i="18" s="1"/>
  <c r="AG131" i="18"/>
  <c r="AF131" i="18" s="1"/>
  <c r="AG123" i="18"/>
  <c r="AF123" i="18" s="1"/>
  <c r="AD123" i="18" s="1"/>
  <c r="AG99" i="18"/>
  <c r="AF99" i="18" s="1"/>
  <c r="AD99" i="18" s="1"/>
  <c r="AG95" i="18"/>
  <c r="AF95" i="18" s="1"/>
  <c r="AD95" i="18" s="1"/>
  <c r="AG87" i="18"/>
  <c r="AF87" i="18" s="1"/>
  <c r="AD87" i="18" s="1"/>
  <c r="AG75" i="18"/>
  <c r="AF75" i="18" s="1"/>
  <c r="AD75" i="18" s="1"/>
  <c r="AG59" i="18"/>
  <c r="AF59" i="18" s="1"/>
  <c r="AD59" i="18" s="1"/>
  <c r="AG55" i="18"/>
  <c r="AF55" i="18" s="1"/>
  <c r="AD55" i="18" s="1"/>
  <c r="AG47" i="18"/>
  <c r="AF47" i="18" s="1"/>
  <c r="AD47" i="18" s="1"/>
  <c r="AG43" i="18"/>
  <c r="AF43" i="18" s="1"/>
  <c r="AD43" i="18" s="1"/>
  <c r="AG35" i="18"/>
  <c r="AF35" i="18" s="1"/>
  <c r="AD35" i="18" s="1"/>
  <c r="AG31" i="18"/>
  <c r="AF31" i="18" s="1"/>
  <c r="AD31" i="18" s="1"/>
  <c r="AI383" i="18"/>
  <c r="AH15" i="18"/>
  <c r="AI381" i="18"/>
  <c r="AI382" i="18"/>
  <c r="AG18" i="18"/>
  <c r="AF18" i="18" s="1"/>
  <c r="AD18" i="18" s="1"/>
  <c r="AD371" i="18"/>
  <c r="AD363" i="18"/>
  <c r="AD351" i="18"/>
  <c r="AD343" i="18"/>
  <c r="AD335" i="18"/>
  <c r="AD295" i="18"/>
  <c r="AD377" i="18"/>
  <c r="AD361" i="18"/>
  <c r="AD329" i="18"/>
  <c r="AD321" i="18"/>
  <c r="AD305" i="18"/>
  <c r="AD297" i="18"/>
  <c r="AD289" i="18"/>
  <c r="AD277" i="18"/>
  <c r="AD181" i="18"/>
  <c r="AD121" i="18"/>
  <c r="AD77" i="18"/>
  <c r="AD25" i="18"/>
  <c r="AD372" i="18"/>
  <c r="AD360" i="18"/>
  <c r="AD348" i="18"/>
  <c r="AD340" i="18"/>
  <c r="AD328" i="18"/>
  <c r="AD308" i="18"/>
  <c r="AD292" i="18"/>
  <c r="AD268" i="18"/>
  <c r="AD252" i="18"/>
  <c r="AD220" i="18"/>
  <c r="AD204" i="18"/>
  <c r="AD188" i="18"/>
  <c r="AD172" i="18"/>
  <c r="AD156" i="18"/>
  <c r="AD132" i="18"/>
  <c r="AD108" i="18"/>
  <c r="AD96" i="18"/>
  <c r="AD72" i="18"/>
  <c r="AD48" i="18"/>
  <c r="AD24" i="18"/>
  <c r="AD378" i="18"/>
  <c r="AD366" i="18"/>
  <c r="AD358" i="18"/>
  <c r="AD350" i="18"/>
  <c r="AD334" i="18"/>
  <c r="AD326" i="18"/>
  <c r="AD314" i="18"/>
  <c r="AD306" i="18"/>
  <c r="AD298" i="18"/>
  <c r="AD290" i="18"/>
  <c r="AD270" i="18"/>
  <c r="AD262" i="18"/>
  <c r="AD254" i="18"/>
  <c r="AD246" i="18"/>
  <c r="AD230" i="18"/>
  <c r="AD222" i="18"/>
  <c r="AD214" i="18"/>
  <c r="AD206" i="18"/>
  <c r="AD182" i="18"/>
  <c r="AD170" i="18"/>
  <c r="AD162" i="18"/>
  <c r="AD154" i="18"/>
  <c r="AD146" i="18"/>
  <c r="AD138" i="18"/>
  <c r="AD130" i="18"/>
  <c r="AD114" i="18"/>
  <c r="AD98" i="18"/>
  <c r="AD78" i="18"/>
  <c r="AD70" i="18"/>
  <c r="AD62" i="18"/>
  <c r="AD50" i="18"/>
  <c r="AD42" i="18"/>
  <c r="AD34" i="18"/>
  <c r="AD26" i="18"/>
  <c r="AD19" i="18"/>
  <c r="AD312" i="18"/>
  <c r="AD288" i="18"/>
  <c r="AD272" i="18"/>
  <c r="AD240" i="18"/>
  <c r="AD224" i="18"/>
  <c r="AD200" i="18"/>
  <c r="AD176" i="18"/>
  <c r="AD152" i="18"/>
  <c r="AD136" i="18"/>
  <c r="AD112" i="18"/>
  <c r="AD92" i="18"/>
  <c r="AD60" i="18"/>
  <c r="AD36" i="18"/>
  <c r="AD20" i="18"/>
  <c r="AL13" i="1"/>
  <c r="AJ4" i="1"/>
  <c r="P11" i="19" s="1"/>
  <c r="M12" i="19" s="1"/>
  <c r="J11" i="19"/>
  <c r="AA11" i="1"/>
  <c r="AA5" i="1" s="1"/>
  <c r="I11" i="19" s="1"/>
  <c r="I35" i="19" s="1"/>
  <c r="AM13" i="1"/>
  <c r="AK4" i="1"/>
  <c r="R11" i="19" s="1"/>
  <c r="N12" i="19" s="1"/>
  <c r="Y11" i="1"/>
  <c r="M64" i="19"/>
  <c r="N63" i="19"/>
  <c r="Q92" i="20"/>
  <c r="Q89" i="20"/>
  <c r="Q87" i="20"/>
  <c r="Q85" i="20"/>
  <c r="Q83" i="20"/>
  <c r="Q81" i="20"/>
  <c r="Q79" i="20"/>
  <c r="Q77" i="20"/>
  <c r="Q75" i="20"/>
  <c r="Q73" i="20"/>
  <c r="Q71" i="20"/>
  <c r="Q69" i="20"/>
  <c r="Q67" i="20"/>
  <c r="Q65" i="20"/>
  <c r="Q63" i="20"/>
  <c r="Q61" i="20"/>
  <c r="Q59" i="20"/>
  <c r="Q57" i="20"/>
  <c r="Q55" i="20"/>
  <c r="Q53" i="20"/>
  <c r="Q51" i="20"/>
  <c r="Q49" i="20"/>
  <c r="Q47" i="20"/>
  <c r="Q45" i="20"/>
  <c r="Q43" i="20"/>
  <c r="Q41" i="20"/>
  <c r="Q39" i="20"/>
  <c r="Q37" i="20"/>
  <c r="Q35" i="20"/>
  <c r="Q33" i="20"/>
  <c r="Q31" i="20"/>
  <c r="Q29" i="20"/>
  <c r="Q27" i="20"/>
  <c r="Q25" i="20"/>
  <c r="Q23" i="20"/>
  <c r="Q21" i="20"/>
  <c r="Q19" i="20"/>
  <c r="Q18" i="20"/>
  <c r="Z11" i="1"/>
  <c r="Z5" i="1" s="1"/>
  <c r="H11" i="19" s="1"/>
  <c r="H35" i="19" s="1"/>
  <c r="D73" i="7"/>
  <c r="V180" i="18"/>
  <c r="D78" i="7"/>
  <c r="V333" i="18"/>
  <c r="D79" i="7"/>
  <c r="V363" i="18"/>
  <c r="D68" i="7"/>
  <c r="V29" i="18"/>
  <c r="J15" i="16"/>
  <c r="I15" i="16"/>
  <c r="G383" i="16"/>
  <c r="G12" i="16" s="1"/>
  <c r="G382" i="16"/>
  <c r="G381" i="16"/>
  <c r="AA381" i="16"/>
  <c r="Z15" i="16"/>
  <c r="AL7" i="16" s="1"/>
  <c r="AA383" i="16"/>
  <c r="D69" i="7"/>
  <c r="V60" i="18"/>
  <c r="D76" i="7"/>
  <c r="V272" i="18"/>
  <c r="R383" i="17"/>
  <c r="R382" i="17"/>
  <c r="R381" i="17"/>
  <c r="P15" i="17"/>
  <c r="D75" i="7"/>
  <c r="V241" i="18"/>
  <c r="AG16" i="7"/>
  <c r="U283" i="20"/>
  <c r="T283" i="20" s="1"/>
  <c r="AB9" i="16"/>
  <c r="F11" i="16"/>
  <c r="G13" i="19"/>
  <c r="S15" i="18"/>
  <c r="T382" i="18"/>
  <c r="T383" i="18"/>
  <c r="T381" i="18"/>
  <c r="Q90" i="20"/>
  <c r="AI15" i="7"/>
  <c r="X9" i="15"/>
  <c r="Y11" i="15" s="1"/>
  <c r="Y382" i="15"/>
  <c r="Y381" i="15"/>
  <c r="AL6" i="15"/>
  <c r="AL12" i="15" s="1"/>
  <c r="Y383" i="15"/>
  <c r="AM6" i="15"/>
  <c r="AM12" i="15" s="1"/>
  <c r="AD381" i="17"/>
  <c r="AD382" i="17"/>
  <c r="AD383" i="17"/>
  <c r="AI66" i="20" l="1"/>
  <c r="AH66" i="20" s="1"/>
  <c r="U347" i="20"/>
  <c r="T347" i="20" s="1"/>
  <c r="U65" i="20"/>
  <c r="T65" i="20" s="1"/>
  <c r="AL10" i="16"/>
  <c r="AA9" i="16"/>
  <c r="AM8" i="16"/>
  <c r="AA382" i="16"/>
  <c r="AI23" i="20"/>
  <c r="AH23" i="20" s="1"/>
  <c r="AG23" i="20" s="1"/>
  <c r="AF23" i="20" s="1"/>
  <c r="AE158" i="20"/>
  <c r="AE259" i="20"/>
  <c r="AE100" i="20"/>
  <c r="AE335" i="20"/>
  <c r="AE271" i="20"/>
  <c r="AE198" i="20"/>
  <c r="AE79" i="20"/>
  <c r="AE357" i="20"/>
  <c r="AE325" i="20"/>
  <c r="AE293" i="20"/>
  <c r="AE261" i="20"/>
  <c r="AE229" i="20"/>
  <c r="AE178" i="20"/>
  <c r="AE108" i="20"/>
  <c r="AE63" i="20"/>
  <c r="AE27" i="20"/>
  <c r="AE43" i="20"/>
  <c r="AE59" i="20"/>
  <c r="AE75" i="20"/>
  <c r="AE90" i="20"/>
  <c r="AE98" i="20"/>
  <c r="AE106" i="20"/>
  <c r="AE129" i="20"/>
  <c r="AE145" i="20"/>
  <c r="AE161" i="20"/>
  <c r="AE177" i="20"/>
  <c r="AE193" i="20"/>
  <c r="AE209" i="20"/>
  <c r="AE370" i="20"/>
  <c r="AE354" i="20"/>
  <c r="AE338" i="20"/>
  <c r="AE322" i="20"/>
  <c r="AE306" i="20"/>
  <c r="AE290" i="20"/>
  <c r="AE274" i="20"/>
  <c r="AE258" i="20"/>
  <c r="AE242" i="20"/>
  <c r="AE226" i="20"/>
  <c r="AE204" i="20"/>
  <c r="AE172" i="20"/>
  <c r="AE140" i="20"/>
  <c r="AE104" i="20"/>
  <c r="AE87" i="20"/>
  <c r="AE55" i="20"/>
  <c r="AE23" i="20"/>
  <c r="AE21" i="20"/>
  <c r="AE29" i="20"/>
  <c r="AE37" i="20"/>
  <c r="AE45" i="20"/>
  <c r="AE53" i="20"/>
  <c r="AE61" i="20"/>
  <c r="AE69" i="20"/>
  <c r="AE77" i="20"/>
  <c r="AE85" i="20"/>
  <c r="AE91" i="20"/>
  <c r="AE95" i="20"/>
  <c r="AE99" i="20"/>
  <c r="AE103" i="20"/>
  <c r="AE109" i="20"/>
  <c r="AE117" i="20"/>
  <c r="AE88" i="20"/>
  <c r="AE84" i="20"/>
  <c r="AE80" i="20"/>
  <c r="AE76" i="20"/>
  <c r="AE72" i="20"/>
  <c r="AE68" i="20"/>
  <c r="AE64" i="20"/>
  <c r="AE60" i="20"/>
  <c r="AE56" i="20"/>
  <c r="AE52" i="20"/>
  <c r="AE48" i="20"/>
  <c r="AE44" i="20"/>
  <c r="AE40" i="20"/>
  <c r="AE36" i="20"/>
  <c r="AE32" i="20"/>
  <c r="AE28" i="20"/>
  <c r="AE24" i="20"/>
  <c r="AE20" i="20"/>
  <c r="AE19" i="20"/>
  <c r="AD23" i="20"/>
  <c r="AI34" i="20"/>
  <c r="AH34" i="20" s="1"/>
  <c r="AG34" i="20" s="1"/>
  <c r="AF34" i="20" s="1"/>
  <c r="AD131" i="18"/>
  <c r="AD155" i="18"/>
  <c r="AD195" i="18"/>
  <c r="AD203" i="18"/>
  <c r="AD243" i="18"/>
  <c r="AD251" i="18"/>
  <c r="AD259" i="18"/>
  <c r="AD105" i="18"/>
  <c r="AD113" i="18"/>
  <c r="AD145" i="18"/>
  <c r="AD177" i="18"/>
  <c r="AD209" i="18"/>
  <c r="AD217" i="18"/>
  <c r="AD225" i="18"/>
  <c r="AD353" i="18"/>
  <c r="AE16" i="20"/>
  <c r="AE26" i="20"/>
  <c r="AE34" i="20"/>
  <c r="AE42" i="20"/>
  <c r="AE50" i="20"/>
  <c r="AE58" i="20"/>
  <c r="AE66" i="20"/>
  <c r="AE74" i="20"/>
  <c r="AE82" i="20"/>
  <c r="AE113" i="20"/>
  <c r="AE101" i="20"/>
  <c r="AE93" i="20"/>
  <c r="AE81" i="20"/>
  <c r="AE65" i="20"/>
  <c r="AE49" i="20"/>
  <c r="AE33" i="20"/>
  <c r="AE17" i="20"/>
  <c r="AE71" i="20"/>
  <c r="AE124" i="20"/>
  <c r="AE188" i="20"/>
  <c r="AE234" i="20"/>
  <c r="AE266" i="20"/>
  <c r="AE298" i="20"/>
  <c r="AE330" i="20"/>
  <c r="AE362" i="20"/>
  <c r="AE201" i="20"/>
  <c r="AE169" i="20"/>
  <c r="AE137" i="20"/>
  <c r="AE102" i="20"/>
  <c r="AE83" i="20"/>
  <c r="AE51" i="20"/>
  <c r="AE18" i="20"/>
  <c r="AE31" i="20"/>
  <c r="AE146" i="20"/>
  <c r="AE245" i="20"/>
  <c r="AE309" i="20"/>
  <c r="AE373" i="20"/>
  <c r="AE15" i="20"/>
  <c r="AE239" i="20"/>
  <c r="AE367" i="20"/>
  <c r="AE323" i="20"/>
  <c r="AE47" i="20"/>
  <c r="AD369" i="18"/>
  <c r="AE363" i="20"/>
  <c r="AE383" i="18"/>
  <c r="AE382" i="18"/>
  <c r="AE381" i="18"/>
  <c r="AI15" i="20"/>
  <c r="AI50" i="20"/>
  <c r="AH50" i="20" s="1"/>
  <c r="AG50" i="20" s="1"/>
  <c r="AF50" i="20" s="1"/>
  <c r="AI98" i="20"/>
  <c r="AH98" i="20" s="1"/>
  <c r="AG98" i="20" s="1"/>
  <c r="AF98" i="20" s="1"/>
  <c r="U379" i="20"/>
  <c r="AH16" i="7" s="1"/>
  <c r="AN11" i="7" s="1"/>
  <c r="U11" i="22" s="1"/>
  <c r="U315" i="20"/>
  <c r="T315" i="20" s="1"/>
  <c r="S315" i="20" s="1"/>
  <c r="R315" i="20" s="1"/>
  <c r="U193" i="20"/>
  <c r="T193" i="20" s="1"/>
  <c r="F65" i="19"/>
  <c r="Q12" i="22"/>
  <c r="Q10" i="22" s="1"/>
  <c r="Q16" i="22" s="1"/>
  <c r="AI26" i="20"/>
  <c r="AH26" i="20" s="1"/>
  <c r="AI42" i="20"/>
  <c r="AH42" i="20" s="1"/>
  <c r="AG42" i="20" s="1"/>
  <c r="AF42" i="20" s="1"/>
  <c r="AI58" i="20"/>
  <c r="AH58" i="20" s="1"/>
  <c r="AI82" i="20"/>
  <c r="AH82" i="20" s="1"/>
  <c r="AG82" i="20" s="1"/>
  <c r="AF82" i="20" s="1"/>
  <c r="U363" i="20"/>
  <c r="T363" i="20" s="1"/>
  <c r="U331" i="20"/>
  <c r="T331" i="20" s="1"/>
  <c r="U299" i="20"/>
  <c r="T299" i="20" s="1"/>
  <c r="U256" i="20"/>
  <c r="T256" i="20" s="1"/>
  <c r="U129" i="20"/>
  <c r="T129" i="20" s="1"/>
  <c r="AI22" i="20"/>
  <c r="AH22" i="20" s="1"/>
  <c r="AG22" i="20" s="1"/>
  <c r="AF22" i="20" s="1"/>
  <c r="AD22" i="20" s="1"/>
  <c r="AI30" i="20"/>
  <c r="AH30" i="20" s="1"/>
  <c r="AG30" i="20" s="1"/>
  <c r="AF30" i="20" s="1"/>
  <c r="AI38" i="20"/>
  <c r="AH38" i="20" s="1"/>
  <c r="AG38" i="20" s="1"/>
  <c r="AF38" i="20" s="1"/>
  <c r="AD38" i="20" s="1"/>
  <c r="AI46" i="20"/>
  <c r="AH46" i="20" s="1"/>
  <c r="AG46" i="20" s="1"/>
  <c r="AF46" i="20" s="1"/>
  <c r="AI54" i="20"/>
  <c r="AH54" i="20" s="1"/>
  <c r="AG54" i="20" s="1"/>
  <c r="AF54" i="20" s="1"/>
  <c r="AI62" i="20"/>
  <c r="AH62" i="20" s="1"/>
  <c r="AG62" i="20" s="1"/>
  <c r="AF62" i="20" s="1"/>
  <c r="AI74" i="20"/>
  <c r="AH74" i="20" s="1"/>
  <c r="AG74" i="20" s="1"/>
  <c r="AF74" i="20" s="1"/>
  <c r="AI90" i="20"/>
  <c r="AH90" i="20" s="1"/>
  <c r="AG90" i="20" s="1"/>
  <c r="AF90" i="20" s="1"/>
  <c r="U371" i="20"/>
  <c r="T371" i="20" s="1"/>
  <c r="S371" i="20" s="1"/>
  <c r="R371" i="20" s="1"/>
  <c r="P371" i="20" s="1"/>
  <c r="V371" i="20" s="1"/>
  <c r="U355" i="20"/>
  <c r="T355" i="20" s="1"/>
  <c r="S355" i="20" s="1"/>
  <c r="R355" i="20" s="1"/>
  <c r="P355" i="20" s="1"/>
  <c r="V355" i="20" s="1"/>
  <c r="U339" i="20"/>
  <c r="T339" i="20" s="1"/>
  <c r="S339" i="20" s="1"/>
  <c r="R339" i="20" s="1"/>
  <c r="U323" i="20"/>
  <c r="T323" i="20" s="1"/>
  <c r="S323" i="20" s="1"/>
  <c r="R323" i="20" s="1"/>
  <c r="U307" i="20"/>
  <c r="T307" i="20" s="1"/>
  <c r="S307" i="20" s="1"/>
  <c r="R307" i="20" s="1"/>
  <c r="P307" i="20" s="1"/>
  <c r="V307" i="20" s="1"/>
  <c r="U291" i="20"/>
  <c r="T291" i="20" s="1"/>
  <c r="S291" i="20" s="1"/>
  <c r="R291" i="20" s="1"/>
  <c r="U272" i="20"/>
  <c r="T272" i="20" s="1"/>
  <c r="S272" i="20" s="1"/>
  <c r="R272" i="20" s="1"/>
  <c r="P272" i="20" s="1"/>
  <c r="U225" i="20"/>
  <c r="T225" i="20" s="1"/>
  <c r="S225" i="20" s="1"/>
  <c r="R225" i="20" s="1"/>
  <c r="U161" i="20"/>
  <c r="T161" i="20" s="1"/>
  <c r="S161" i="20" s="1"/>
  <c r="R161" i="20" s="1"/>
  <c r="U97" i="20"/>
  <c r="T97" i="20" s="1"/>
  <c r="S97" i="20" s="1"/>
  <c r="R97" i="20" s="1"/>
  <c r="P97" i="20" s="1"/>
  <c r="V97" i="20" s="1"/>
  <c r="D65" i="19"/>
  <c r="K65" i="19"/>
  <c r="J37" i="19"/>
  <c r="F12" i="19"/>
  <c r="AE235" i="20"/>
  <c r="D13" i="19"/>
  <c r="G37" i="19"/>
  <c r="AE112" i="20"/>
  <c r="AE132" i="20"/>
  <c r="AE148" i="20"/>
  <c r="AE164" i="20"/>
  <c r="AE180" i="20"/>
  <c r="AE196" i="20"/>
  <c r="AE212" i="20"/>
  <c r="AE222" i="20"/>
  <c r="AE230" i="20"/>
  <c r="AE238" i="20"/>
  <c r="AE246" i="20"/>
  <c r="AE254" i="20"/>
  <c r="AE262" i="20"/>
  <c r="AE270" i="20"/>
  <c r="AE278" i="20"/>
  <c r="AE286" i="20"/>
  <c r="AE294" i="20"/>
  <c r="AE302" i="20"/>
  <c r="AE310" i="20"/>
  <c r="AE318" i="20"/>
  <c r="AE326" i="20"/>
  <c r="AE334" i="20"/>
  <c r="AE342" i="20"/>
  <c r="AE350" i="20"/>
  <c r="AE358" i="20"/>
  <c r="AE366" i="20"/>
  <c r="AE374" i="20"/>
  <c r="AE213" i="20"/>
  <c r="AE205" i="20"/>
  <c r="AE197" i="20"/>
  <c r="AE189" i="20"/>
  <c r="AE181" i="20"/>
  <c r="AE173" i="20"/>
  <c r="AE165" i="20"/>
  <c r="AE157" i="20"/>
  <c r="AE149" i="20"/>
  <c r="AE141" i="20"/>
  <c r="AE133" i="20"/>
  <c r="AE125" i="20"/>
  <c r="AE114" i="20"/>
  <c r="AE130" i="20"/>
  <c r="AE162" i="20"/>
  <c r="AE194" i="20"/>
  <c r="AE221" i="20"/>
  <c r="AE237" i="20"/>
  <c r="AE253" i="20"/>
  <c r="AE269" i="20"/>
  <c r="AE285" i="20"/>
  <c r="AE301" i="20"/>
  <c r="AE317" i="20"/>
  <c r="AE333" i="20"/>
  <c r="AE349" i="20"/>
  <c r="AE365" i="20"/>
  <c r="AE166" i="20"/>
  <c r="AE223" i="20"/>
  <c r="AE255" i="20"/>
  <c r="AE287" i="20"/>
  <c r="AE319" i="20"/>
  <c r="AE351" i="20"/>
  <c r="U113" i="20"/>
  <c r="T113" i="20" s="1"/>
  <c r="S113" i="20" s="1"/>
  <c r="R113" i="20" s="1"/>
  <c r="P113" i="20" s="1"/>
  <c r="V113" i="20" s="1"/>
  <c r="U145" i="20"/>
  <c r="T145" i="20" s="1"/>
  <c r="S145" i="20" s="1"/>
  <c r="R145" i="20" s="1"/>
  <c r="P145" i="20" s="1"/>
  <c r="V145" i="20" s="1"/>
  <c r="U177" i="20"/>
  <c r="T177" i="20" s="1"/>
  <c r="S177" i="20" s="1"/>
  <c r="R177" i="20" s="1"/>
  <c r="P177" i="20" s="1"/>
  <c r="V177" i="20" s="1"/>
  <c r="U209" i="20"/>
  <c r="T209" i="20" s="1"/>
  <c r="U241" i="20"/>
  <c r="T241" i="20" s="1"/>
  <c r="S241" i="20" s="1"/>
  <c r="R241" i="20" s="1"/>
  <c r="P241" i="20" s="1"/>
  <c r="U264" i="20"/>
  <c r="T264" i="20" s="1"/>
  <c r="S264" i="20" s="1"/>
  <c r="R264" i="20" s="1"/>
  <c r="P264" i="20" s="1"/>
  <c r="V264" i="20" s="1"/>
  <c r="U279" i="20"/>
  <c r="T279" i="20" s="1"/>
  <c r="S279" i="20" s="1"/>
  <c r="R279" i="20" s="1"/>
  <c r="P279" i="20" s="1"/>
  <c r="V279" i="20" s="1"/>
  <c r="U287" i="20"/>
  <c r="T287" i="20" s="1"/>
  <c r="U295" i="20"/>
  <c r="T295" i="20" s="1"/>
  <c r="S295" i="20" s="1"/>
  <c r="R295" i="20" s="1"/>
  <c r="U303" i="20"/>
  <c r="T303" i="20" s="1"/>
  <c r="U311" i="20"/>
  <c r="T311" i="20" s="1"/>
  <c r="S311" i="20" s="1"/>
  <c r="R311" i="20" s="1"/>
  <c r="P311" i="20" s="1"/>
  <c r="V311" i="20" s="1"/>
  <c r="U319" i="20"/>
  <c r="T319" i="20" s="1"/>
  <c r="S319" i="20" s="1"/>
  <c r="R319" i="20" s="1"/>
  <c r="P319" i="20" s="1"/>
  <c r="V319" i="20" s="1"/>
  <c r="U327" i="20"/>
  <c r="T327" i="20" s="1"/>
  <c r="S327" i="20" s="1"/>
  <c r="R327" i="20" s="1"/>
  <c r="U335" i="20"/>
  <c r="T335" i="20" s="1"/>
  <c r="S335" i="20" s="1"/>
  <c r="R335" i="20" s="1"/>
  <c r="P335" i="20" s="1"/>
  <c r="V335" i="20" s="1"/>
  <c r="U343" i="20"/>
  <c r="T343" i="20" s="1"/>
  <c r="S343" i="20" s="1"/>
  <c r="R343" i="20" s="1"/>
  <c r="P343" i="20" s="1"/>
  <c r="V343" i="20" s="1"/>
  <c r="U351" i="20"/>
  <c r="T351" i="20" s="1"/>
  <c r="S351" i="20" s="1"/>
  <c r="R351" i="20" s="1"/>
  <c r="P351" i="20" s="1"/>
  <c r="V351" i="20" s="1"/>
  <c r="U359" i="20"/>
  <c r="T359" i="20" s="1"/>
  <c r="S359" i="20" s="1"/>
  <c r="R359" i="20" s="1"/>
  <c r="P359" i="20" s="1"/>
  <c r="V359" i="20" s="1"/>
  <c r="U367" i="20"/>
  <c r="T367" i="20" s="1"/>
  <c r="S367" i="20" s="1"/>
  <c r="R367" i="20" s="1"/>
  <c r="P367" i="20" s="1"/>
  <c r="V367" i="20" s="1"/>
  <c r="U375" i="20"/>
  <c r="T375" i="20" s="1"/>
  <c r="S375" i="20" s="1"/>
  <c r="R375" i="20" s="1"/>
  <c r="P375" i="20" s="1"/>
  <c r="V375" i="20" s="1"/>
  <c r="AE227" i="20"/>
  <c r="AE291" i="20"/>
  <c r="AE355" i="20"/>
  <c r="AE190" i="20"/>
  <c r="AE347" i="20"/>
  <c r="AI11" i="20"/>
  <c r="U15" i="20"/>
  <c r="U49" i="20"/>
  <c r="T49" i="20" s="1"/>
  <c r="S49" i="20" s="1"/>
  <c r="R49" i="20" s="1"/>
  <c r="U81" i="20"/>
  <c r="T81" i="20" s="1"/>
  <c r="S81" i="20" s="1"/>
  <c r="R81" i="20" s="1"/>
  <c r="AE126" i="20"/>
  <c r="AE267" i="20"/>
  <c r="AE299" i="20"/>
  <c r="AE379" i="20"/>
  <c r="AE12" i="22" s="1"/>
  <c r="AE315" i="20"/>
  <c r="AE251" i="20"/>
  <c r="AE219" i="20"/>
  <c r="AE371" i="20"/>
  <c r="AE339" i="20"/>
  <c r="AE307" i="20"/>
  <c r="AE275" i="20"/>
  <c r="AE243" i="20"/>
  <c r="AE206" i="20"/>
  <c r="AE142" i="20"/>
  <c r="AE375" i="20"/>
  <c r="AE359" i="20"/>
  <c r="AE343" i="20"/>
  <c r="AE327" i="20"/>
  <c r="AE311" i="20"/>
  <c r="AE295" i="20"/>
  <c r="AE279" i="20"/>
  <c r="AE263" i="20"/>
  <c r="AE247" i="20"/>
  <c r="AE231" i="20"/>
  <c r="AE214" i="20"/>
  <c r="AE182" i="20"/>
  <c r="AE150" i="20"/>
  <c r="AE116" i="20"/>
  <c r="AE377" i="20"/>
  <c r="AE369" i="20"/>
  <c r="AE361" i="20"/>
  <c r="AE353" i="20"/>
  <c r="AE345" i="20"/>
  <c r="AE337" i="20"/>
  <c r="AE329" i="20"/>
  <c r="AE321" i="20"/>
  <c r="AE313" i="20"/>
  <c r="AE305" i="20"/>
  <c r="AE297" i="20"/>
  <c r="AE289" i="20"/>
  <c r="AE281" i="20"/>
  <c r="AE273" i="20"/>
  <c r="AE265" i="20"/>
  <c r="AE257" i="20"/>
  <c r="AE249" i="20"/>
  <c r="AE241" i="20"/>
  <c r="AE233" i="20"/>
  <c r="AE225" i="20"/>
  <c r="AE217" i="20"/>
  <c r="AE202" i="20"/>
  <c r="AE186" i="20"/>
  <c r="AE170" i="20"/>
  <c r="AE154" i="20"/>
  <c r="AE138" i="20"/>
  <c r="AE122" i="20"/>
  <c r="AE110" i="20"/>
  <c r="AE118" i="20"/>
  <c r="AE123" i="20"/>
  <c r="AE127" i="20"/>
  <c r="AE131" i="20"/>
  <c r="AE135" i="20"/>
  <c r="AE139" i="20"/>
  <c r="AE143" i="20"/>
  <c r="AE147" i="20"/>
  <c r="AE151" i="20"/>
  <c r="AE155" i="20"/>
  <c r="AE159" i="20"/>
  <c r="AE163" i="20"/>
  <c r="AE167" i="20"/>
  <c r="AE171" i="20"/>
  <c r="AE175" i="20"/>
  <c r="AE179" i="20"/>
  <c r="AE183" i="20"/>
  <c r="AE187" i="20"/>
  <c r="AE191" i="20"/>
  <c r="AE195" i="20"/>
  <c r="AE199" i="20"/>
  <c r="AE203" i="20"/>
  <c r="AE207" i="20"/>
  <c r="AE211" i="20"/>
  <c r="AE215" i="20"/>
  <c r="AE376" i="20"/>
  <c r="AE372" i="20"/>
  <c r="AE368" i="20"/>
  <c r="AE364" i="20"/>
  <c r="AE360" i="20"/>
  <c r="AE356" i="20"/>
  <c r="AE352" i="20"/>
  <c r="AE348" i="20"/>
  <c r="AE344" i="20"/>
  <c r="AE340" i="20"/>
  <c r="AE336" i="20"/>
  <c r="AE332" i="20"/>
  <c r="AE328" i="20"/>
  <c r="AE324" i="20"/>
  <c r="AE320" i="20"/>
  <c r="AE316" i="20"/>
  <c r="AE312" i="20"/>
  <c r="AE308" i="20"/>
  <c r="AE304" i="20"/>
  <c r="AE300" i="20"/>
  <c r="AE296" i="20"/>
  <c r="AE292" i="20"/>
  <c r="AE288" i="20"/>
  <c r="AE284" i="20"/>
  <c r="AE280" i="20"/>
  <c r="AE276" i="20"/>
  <c r="AE272" i="20"/>
  <c r="AE268" i="20"/>
  <c r="AE264" i="20"/>
  <c r="AE260" i="20"/>
  <c r="AE256" i="20"/>
  <c r="AE252" i="20"/>
  <c r="AE248" i="20"/>
  <c r="AE244" i="20"/>
  <c r="AE240" i="20"/>
  <c r="AE236" i="20"/>
  <c r="AE232" i="20"/>
  <c r="AE228" i="20"/>
  <c r="AE224" i="20"/>
  <c r="AE220" i="20"/>
  <c r="AE216" i="20"/>
  <c r="AE208" i="20"/>
  <c r="AE200" i="20"/>
  <c r="AE192" i="20"/>
  <c r="AE184" i="20"/>
  <c r="AE176" i="20"/>
  <c r="AE168" i="20"/>
  <c r="AE160" i="20"/>
  <c r="AE152" i="20"/>
  <c r="AE144" i="20"/>
  <c r="AE136" i="20"/>
  <c r="AE128" i="20"/>
  <c r="AE120" i="20"/>
  <c r="AE107" i="20"/>
  <c r="AE111" i="20"/>
  <c r="AE115" i="20"/>
  <c r="AE119" i="20"/>
  <c r="AE380" i="20"/>
  <c r="AE331" i="20"/>
  <c r="P315" i="20"/>
  <c r="V315" i="20" s="1"/>
  <c r="P225" i="20"/>
  <c r="V225" i="20" s="1"/>
  <c r="P161" i="20"/>
  <c r="V161" i="20" s="1"/>
  <c r="AI335" i="20"/>
  <c r="AH335" i="20" s="1"/>
  <c r="AG335" i="20" s="1"/>
  <c r="AF335" i="20" s="1"/>
  <c r="AD335" i="20" s="1"/>
  <c r="AI271" i="20"/>
  <c r="AH271" i="20" s="1"/>
  <c r="AG271" i="20" s="1"/>
  <c r="AF271" i="20" s="1"/>
  <c r="AD271" i="20" s="1"/>
  <c r="AI207" i="20"/>
  <c r="AH207" i="20" s="1"/>
  <c r="AG207" i="20" s="1"/>
  <c r="AF207" i="20" s="1"/>
  <c r="AI143" i="20"/>
  <c r="AH143" i="20" s="1"/>
  <c r="AG143" i="20" s="1"/>
  <c r="AF143" i="20" s="1"/>
  <c r="AD143" i="20" s="1"/>
  <c r="AI79" i="20"/>
  <c r="AH79" i="20" s="1"/>
  <c r="AG79" i="20" s="1"/>
  <c r="AF79" i="20" s="1"/>
  <c r="AD79" i="20" s="1"/>
  <c r="AI47" i="20"/>
  <c r="AH47" i="20" s="1"/>
  <c r="AG47" i="20" s="1"/>
  <c r="AF47" i="20" s="1"/>
  <c r="AD47" i="20" s="1"/>
  <c r="AI31" i="20"/>
  <c r="AH31" i="20" s="1"/>
  <c r="AG31" i="20" s="1"/>
  <c r="AF31" i="20" s="1"/>
  <c r="AD31" i="20" s="1"/>
  <c r="AI21" i="20"/>
  <c r="AH21" i="20" s="1"/>
  <c r="AG21" i="20" s="1"/>
  <c r="AF21" i="20" s="1"/>
  <c r="AD21" i="20" s="1"/>
  <c r="AI351" i="20"/>
  <c r="AH351" i="20" s="1"/>
  <c r="AG351" i="20" s="1"/>
  <c r="AF351" i="20" s="1"/>
  <c r="AD351" i="20" s="1"/>
  <c r="AI223" i="20"/>
  <c r="AH223" i="20" s="1"/>
  <c r="AG223" i="20" s="1"/>
  <c r="AF223" i="20" s="1"/>
  <c r="AI95" i="20"/>
  <c r="AH95" i="20" s="1"/>
  <c r="AG95" i="20" s="1"/>
  <c r="AF95" i="20" s="1"/>
  <c r="AD95" i="20" s="1"/>
  <c r="AI39" i="20"/>
  <c r="AH39" i="20" s="1"/>
  <c r="AG39" i="20" s="1"/>
  <c r="AF39" i="20" s="1"/>
  <c r="AD39" i="20" s="1"/>
  <c r="AI376" i="20"/>
  <c r="AH376" i="20" s="1"/>
  <c r="AG376" i="20" s="1"/>
  <c r="AF376" i="20" s="1"/>
  <c r="AD376" i="20" s="1"/>
  <c r="AI368" i="20"/>
  <c r="AH368" i="20" s="1"/>
  <c r="AG368" i="20" s="1"/>
  <c r="AF368" i="20" s="1"/>
  <c r="AI360" i="20"/>
  <c r="AH360" i="20" s="1"/>
  <c r="AG360" i="20" s="1"/>
  <c r="AF360" i="20" s="1"/>
  <c r="AD360" i="20" s="1"/>
  <c r="AI352" i="20"/>
  <c r="AH352" i="20" s="1"/>
  <c r="AG352" i="20" s="1"/>
  <c r="AF352" i="20" s="1"/>
  <c r="AI344" i="20"/>
  <c r="AH344" i="20" s="1"/>
  <c r="AG344" i="20" s="1"/>
  <c r="AF344" i="20" s="1"/>
  <c r="AD344" i="20" s="1"/>
  <c r="AI336" i="20"/>
  <c r="AH336" i="20" s="1"/>
  <c r="AG336" i="20" s="1"/>
  <c r="AF336" i="20" s="1"/>
  <c r="AI328" i="20"/>
  <c r="AH328" i="20" s="1"/>
  <c r="AG328" i="20" s="1"/>
  <c r="AF328" i="20" s="1"/>
  <c r="AD328" i="20" s="1"/>
  <c r="AI320" i="20"/>
  <c r="AH320" i="20" s="1"/>
  <c r="AG320" i="20" s="1"/>
  <c r="AF320" i="20" s="1"/>
  <c r="AI312" i="20"/>
  <c r="AH312" i="20" s="1"/>
  <c r="AG312" i="20" s="1"/>
  <c r="AF312" i="20" s="1"/>
  <c r="AD312" i="20" s="1"/>
  <c r="AI304" i="20"/>
  <c r="AH304" i="20" s="1"/>
  <c r="AG304" i="20" s="1"/>
  <c r="AF304" i="20" s="1"/>
  <c r="AI296" i="20"/>
  <c r="AH296" i="20" s="1"/>
  <c r="AG296" i="20" s="1"/>
  <c r="AF296" i="20" s="1"/>
  <c r="AD296" i="20" s="1"/>
  <c r="AI288" i="20"/>
  <c r="AH288" i="20" s="1"/>
  <c r="AG288" i="20" s="1"/>
  <c r="AF288" i="20" s="1"/>
  <c r="AI280" i="20"/>
  <c r="AH280" i="20" s="1"/>
  <c r="AG280" i="20" s="1"/>
  <c r="AF280" i="20" s="1"/>
  <c r="AD280" i="20" s="1"/>
  <c r="AI272" i="20"/>
  <c r="AH272" i="20" s="1"/>
  <c r="AG272" i="20" s="1"/>
  <c r="AF272" i="20" s="1"/>
  <c r="AI264" i="20"/>
  <c r="AH264" i="20" s="1"/>
  <c r="AG264" i="20" s="1"/>
  <c r="AF264" i="20" s="1"/>
  <c r="AD264" i="20" s="1"/>
  <c r="AI256" i="20"/>
  <c r="AH256" i="20" s="1"/>
  <c r="AG256" i="20" s="1"/>
  <c r="AF256" i="20" s="1"/>
  <c r="AI248" i="20"/>
  <c r="AH248" i="20" s="1"/>
  <c r="AG248" i="20" s="1"/>
  <c r="AF248" i="20" s="1"/>
  <c r="AD248" i="20" s="1"/>
  <c r="AI240" i="20"/>
  <c r="AH240" i="20" s="1"/>
  <c r="AG240" i="20" s="1"/>
  <c r="AF240" i="20" s="1"/>
  <c r="AI232" i="20"/>
  <c r="AH232" i="20" s="1"/>
  <c r="AG232" i="20" s="1"/>
  <c r="AF232" i="20" s="1"/>
  <c r="AD232" i="20" s="1"/>
  <c r="AI224" i="20"/>
  <c r="AH224" i="20" s="1"/>
  <c r="AG224" i="20" s="1"/>
  <c r="AF224" i="20" s="1"/>
  <c r="AI216" i="20"/>
  <c r="AH216" i="20" s="1"/>
  <c r="AG216" i="20" s="1"/>
  <c r="AF216" i="20" s="1"/>
  <c r="AD216" i="20" s="1"/>
  <c r="AI208" i="20"/>
  <c r="AH208" i="20" s="1"/>
  <c r="AG208" i="20" s="1"/>
  <c r="AF208" i="20" s="1"/>
  <c r="AD208" i="20" s="1"/>
  <c r="AI200" i="20"/>
  <c r="AH200" i="20" s="1"/>
  <c r="AG200" i="20" s="1"/>
  <c r="AF200" i="20" s="1"/>
  <c r="AD200" i="20" s="1"/>
  <c r="AI192" i="20"/>
  <c r="AH192" i="20" s="1"/>
  <c r="AG192" i="20" s="1"/>
  <c r="AF192" i="20" s="1"/>
  <c r="AD192" i="20" s="1"/>
  <c r="AI184" i="20"/>
  <c r="AH184" i="20" s="1"/>
  <c r="AG184" i="20" s="1"/>
  <c r="AF184" i="20" s="1"/>
  <c r="AD184" i="20" s="1"/>
  <c r="AI176" i="20"/>
  <c r="AH176" i="20" s="1"/>
  <c r="AG176" i="20" s="1"/>
  <c r="AF176" i="20" s="1"/>
  <c r="AD176" i="20" s="1"/>
  <c r="AI168" i="20"/>
  <c r="AH168" i="20" s="1"/>
  <c r="AG168" i="20" s="1"/>
  <c r="AF168" i="20" s="1"/>
  <c r="AD168" i="20" s="1"/>
  <c r="AI160" i="20"/>
  <c r="AH160" i="20" s="1"/>
  <c r="AG160" i="20" s="1"/>
  <c r="AF160" i="20" s="1"/>
  <c r="AD160" i="20" s="1"/>
  <c r="AI152" i="20"/>
  <c r="AH152" i="20" s="1"/>
  <c r="AG152" i="20" s="1"/>
  <c r="AF152" i="20" s="1"/>
  <c r="AD152" i="20" s="1"/>
  <c r="AI144" i="20"/>
  <c r="AH144" i="20" s="1"/>
  <c r="AG144" i="20" s="1"/>
  <c r="AF144" i="20" s="1"/>
  <c r="AD144" i="20" s="1"/>
  <c r="AI136" i="20"/>
  <c r="AH136" i="20" s="1"/>
  <c r="AG136" i="20" s="1"/>
  <c r="AF136" i="20" s="1"/>
  <c r="AD136" i="20" s="1"/>
  <c r="AI128" i="20"/>
  <c r="AH128" i="20" s="1"/>
  <c r="AG128" i="20" s="1"/>
  <c r="AF128" i="20" s="1"/>
  <c r="AD128" i="20" s="1"/>
  <c r="AI120" i="20"/>
  <c r="AH120" i="20" s="1"/>
  <c r="AG120" i="20" s="1"/>
  <c r="AF120" i="20" s="1"/>
  <c r="AD120" i="20" s="1"/>
  <c r="AI112" i="20"/>
  <c r="AH112" i="20" s="1"/>
  <c r="AG112" i="20" s="1"/>
  <c r="AF112" i="20" s="1"/>
  <c r="AI104" i="20"/>
  <c r="AH104" i="20" s="1"/>
  <c r="AG104" i="20" s="1"/>
  <c r="AF104" i="20" s="1"/>
  <c r="AD104" i="20" s="1"/>
  <c r="AI100" i="20"/>
  <c r="AH100" i="20" s="1"/>
  <c r="AG100" i="20" s="1"/>
  <c r="AF100" i="20" s="1"/>
  <c r="AD100" i="20" s="1"/>
  <c r="AI96" i="20"/>
  <c r="AH96" i="20" s="1"/>
  <c r="AG96" i="20" s="1"/>
  <c r="AF96" i="20" s="1"/>
  <c r="AD96" i="20" s="1"/>
  <c r="AI92" i="20"/>
  <c r="AH92" i="20" s="1"/>
  <c r="AG92" i="20" s="1"/>
  <c r="AF92" i="20" s="1"/>
  <c r="AD92" i="20" s="1"/>
  <c r="AI88" i="20"/>
  <c r="AH88" i="20" s="1"/>
  <c r="AG88" i="20" s="1"/>
  <c r="AF88" i="20" s="1"/>
  <c r="AD88" i="20" s="1"/>
  <c r="AI84" i="20"/>
  <c r="AH84" i="20" s="1"/>
  <c r="AG84" i="20" s="1"/>
  <c r="AF84" i="20" s="1"/>
  <c r="AD84" i="20" s="1"/>
  <c r="AI80" i="20"/>
  <c r="AH80" i="20" s="1"/>
  <c r="AG80" i="20" s="1"/>
  <c r="AF80" i="20" s="1"/>
  <c r="AD80" i="20" s="1"/>
  <c r="AI76" i="20"/>
  <c r="AH76" i="20" s="1"/>
  <c r="AG76" i="20" s="1"/>
  <c r="AF76" i="20" s="1"/>
  <c r="AD76" i="20" s="1"/>
  <c r="AI72" i="20"/>
  <c r="AH72" i="20" s="1"/>
  <c r="AG72" i="20" s="1"/>
  <c r="AF72" i="20" s="1"/>
  <c r="AD72" i="20" s="1"/>
  <c r="AI68" i="20"/>
  <c r="AH68" i="20" s="1"/>
  <c r="AG68" i="20" s="1"/>
  <c r="AF68" i="20" s="1"/>
  <c r="AD68" i="20" s="1"/>
  <c r="U18" i="20"/>
  <c r="T18" i="20" s="1"/>
  <c r="U16" i="20"/>
  <c r="T16" i="20" s="1"/>
  <c r="S16" i="20" s="1"/>
  <c r="R16" i="20" s="1"/>
  <c r="P16" i="20" s="1"/>
  <c r="V16" i="20" s="1"/>
  <c r="U23" i="20"/>
  <c r="T23" i="20" s="1"/>
  <c r="S23" i="20" s="1"/>
  <c r="R23" i="20" s="1"/>
  <c r="P23" i="20" s="1"/>
  <c r="V23" i="20" s="1"/>
  <c r="U27" i="20"/>
  <c r="T27" i="20" s="1"/>
  <c r="S27" i="20" s="1"/>
  <c r="R27" i="20" s="1"/>
  <c r="U31" i="20"/>
  <c r="T31" i="20" s="1"/>
  <c r="S31" i="20" s="1"/>
  <c r="R31" i="20" s="1"/>
  <c r="U35" i="20"/>
  <c r="T35" i="20" s="1"/>
  <c r="U39" i="20"/>
  <c r="T39" i="20" s="1"/>
  <c r="S39" i="20" s="1"/>
  <c r="R39" i="20" s="1"/>
  <c r="P39" i="20" s="1"/>
  <c r="V39" i="20" s="1"/>
  <c r="U43" i="20"/>
  <c r="T43" i="20" s="1"/>
  <c r="S43" i="20" s="1"/>
  <c r="R43" i="20" s="1"/>
  <c r="P43" i="20" s="1"/>
  <c r="V43" i="20" s="1"/>
  <c r="U47" i="20"/>
  <c r="T47" i="20" s="1"/>
  <c r="U51" i="20"/>
  <c r="T51" i="20" s="1"/>
  <c r="S51" i="20" s="1"/>
  <c r="R51" i="20" s="1"/>
  <c r="P51" i="20" s="1"/>
  <c r="V51" i="20" s="1"/>
  <c r="U55" i="20"/>
  <c r="T55" i="20" s="1"/>
  <c r="S55" i="20" s="1"/>
  <c r="R55" i="20" s="1"/>
  <c r="P55" i="20" s="1"/>
  <c r="V55" i="20" s="1"/>
  <c r="U59" i="20"/>
  <c r="T59" i="20" s="1"/>
  <c r="S59" i="20" s="1"/>
  <c r="R59" i="20" s="1"/>
  <c r="U63" i="20"/>
  <c r="T63" i="20" s="1"/>
  <c r="S63" i="20" s="1"/>
  <c r="R63" i="20" s="1"/>
  <c r="P63" i="20" s="1"/>
  <c r="V63" i="20" s="1"/>
  <c r="U67" i="20"/>
  <c r="T67" i="20" s="1"/>
  <c r="S67" i="20" s="1"/>
  <c r="R67" i="20" s="1"/>
  <c r="P67" i="20" s="1"/>
  <c r="V67" i="20" s="1"/>
  <c r="U71" i="20"/>
  <c r="T71" i="20" s="1"/>
  <c r="U75" i="20"/>
  <c r="T75" i="20" s="1"/>
  <c r="S75" i="20" s="1"/>
  <c r="R75" i="20" s="1"/>
  <c r="U79" i="20"/>
  <c r="T79" i="20" s="1"/>
  <c r="S79" i="20" s="1"/>
  <c r="R79" i="20" s="1"/>
  <c r="P79" i="20" s="1"/>
  <c r="V79" i="20" s="1"/>
  <c r="U83" i="20"/>
  <c r="T83" i="20" s="1"/>
  <c r="S83" i="20" s="1"/>
  <c r="R83" i="20" s="1"/>
  <c r="P83" i="20" s="1"/>
  <c r="V83" i="20" s="1"/>
  <c r="U87" i="20"/>
  <c r="T87" i="20" s="1"/>
  <c r="U91" i="20"/>
  <c r="T91" i="20" s="1"/>
  <c r="S91" i="20" s="1"/>
  <c r="R91" i="20" s="1"/>
  <c r="P91" i="20" s="1"/>
  <c r="V91" i="20" s="1"/>
  <c r="U95" i="20"/>
  <c r="T95" i="20" s="1"/>
  <c r="S95" i="20" s="1"/>
  <c r="R95" i="20" s="1"/>
  <c r="P95" i="20" s="1"/>
  <c r="V95" i="20" s="1"/>
  <c r="U99" i="20"/>
  <c r="T99" i="20" s="1"/>
  <c r="U103" i="20"/>
  <c r="T103" i="20" s="1"/>
  <c r="S103" i="20" s="1"/>
  <c r="R103" i="20" s="1"/>
  <c r="P103" i="20" s="1"/>
  <c r="V103" i="20" s="1"/>
  <c r="U107" i="20"/>
  <c r="T107" i="20" s="1"/>
  <c r="S107" i="20" s="1"/>
  <c r="R107" i="20" s="1"/>
  <c r="P107" i="20" s="1"/>
  <c r="V107" i="20" s="1"/>
  <c r="U111" i="20"/>
  <c r="T111" i="20" s="1"/>
  <c r="S111" i="20" s="1"/>
  <c r="R111" i="20" s="1"/>
  <c r="P111" i="20" s="1"/>
  <c r="V111" i="20" s="1"/>
  <c r="U115" i="20"/>
  <c r="T115" i="20" s="1"/>
  <c r="S115" i="20" s="1"/>
  <c r="R115" i="20" s="1"/>
  <c r="P115" i="20" s="1"/>
  <c r="V115" i="20" s="1"/>
  <c r="U119" i="20"/>
  <c r="T119" i="20" s="1"/>
  <c r="S119" i="20" s="1"/>
  <c r="R119" i="20" s="1"/>
  <c r="P119" i="20" s="1"/>
  <c r="U123" i="20"/>
  <c r="T123" i="20" s="1"/>
  <c r="S123" i="20" s="1"/>
  <c r="R123" i="20" s="1"/>
  <c r="P123" i="20" s="1"/>
  <c r="V123" i="20" s="1"/>
  <c r="U127" i="20"/>
  <c r="T127" i="20" s="1"/>
  <c r="S127" i="20" s="1"/>
  <c r="R127" i="20" s="1"/>
  <c r="P127" i="20" s="1"/>
  <c r="V127" i="20" s="1"/>
  <c r="U131" i="20"/>
  <c r="T131" i="20" s="1"/>
  <c r="S131" i="20" s="1"/>
  <c r="R131" i="20" s="1"/>
  <c r="P131" i="20" s="1"/>
  <c r="V131" i="20" s="1"/>
  <c r="U135" i="20"/>
  <c r="T135" i="20" s="1"/>
  <c r="S135" i="20" s="1"/>
  <c r="R135" i="20" s="1"/>
  <c r="U139" i="20"/>
  <c r="T139" i="20" s="1"/>
  <c r="S139" i="20" s="1"/>
  <c r="R139" i="20" s="1"/>
  <c r="P139" i="20" s="1"/>
  <c r="V139" i="20" s="1"/>
  <c r="U143" i="20"/>
  <c r="T143" i="20" s="1"/>
  <c r="U147" i="20"/>
  <c r="T147" i="20" s="1"/>
  <c r="S147" i="20" s="1"/>
  <c r="R147" i="20" s="1"/>
  <c r="P147" i="20" s="1"/>
  <c r="V147" i="20" s="1"/>
  <c r="U151" i="20"/>
  <c r="T151" i="20" s="1"/>
  <c r="S151" i="20" s="1"/>
  <c r="R151" i="20" s="1"/>
  <c r="U155" i="20"/>
  <c r="T155" i="20" s="1"/>
  <c r="S155" i="20" s="1"/>
  <c r="R155" i="20" s="1"/>
  <c r="P155" i="20" s="1"/>
  <c r="V155" i="20" s="1"/>
  <c r="U159" i="20"/>
  <c r="T159" i="20" s="1"/>
  <c r="S159" i="20" s="1"/>
  <c r="R159" i="20" s="1"/>
  <c r="P159" i="20" s="1"/>
  <c r="V159" i="20" s="1"/>
  <c r="U163" i="20"/>
  <c r="T163" i="20" s="1"/>
  <c r="S163" i="20" s="1"/>
  <c r="R163" i="20" s="1"/>
  <c r="U167" i="20"/>
  <c r="T167" i="20" s="1"/>
  <c r="S167" i="20" s="1"/>
  <c r="R167" i="20" s="1"/>
  <c r="P167" i="20" s="1"/>
  <c r="V167" i="20" s="1"/>
  <c r="U171" i="20"/>
  <c r="T171" i="20" s="1"/>
  <c r="S171" i="20" s="1"/>
  <c r="R171" i="20" s="1"/>
  <c r="U175" i="20"/>
  <c r="T175" i="20" s="1"/>
  <c r="U179" i="20"/>
  <c r="T179" i="20" s="1"/>
  <c r="S179" i="20" s="1"/>
  <c r="R179" i="20" s="1"/>
  <c r="U183" i="20"/>
  <c r="T183" i="20" s="1"/>
  <c r="S183" i="20" s="1"/>
  <c r="R183" i="20" s="1"/>
  <c r="P183" i="20" s="1"/>
  <c r="V183" i="20" s="1"/>
  <c r="U187" i="20"/>
  <c r="T187" i="20" s="1"/>
  <c r="S187" i="20" s="1"/>
  <c r="R187" i="20" s="1"/>
  <c r="U191" i="20"/>
  <c r="T191" i="20" s="1"/>
  <c r="S191" i="20" s="1"/>
  <c r="R191" i="20" s="1"/>
  <c r="U195" i="20"/>
  <c r="T195" i="20" s="1"/>
  <c r="S195" i="20" s="1"/>
  <c r="R195" i="20" s="1"/>
  <c r="P195" i="20" s="1"/>
  <c r="V195" i="20" s="1"/>
  <c r="U199" i="20"/>
  <c r="T199" i="20" s="1"/>
  <c r="S199" i="20" s="1"/>
  <c r="R199" i="20" s="1"/>
  <c r="P199" i="20" s="1"/>
  <c r="V199" i="20" s="1"/>
  <c r="U203" i="20"/>
  <c r="T203" i="20" s="1"/>
  <c r="S203" i="20" s="1"/>
  <c r="R203" i="20" s="1"/>
  <c r="P203" i="20" s="1"/>
  <c r="V203" i="20" s="1"/>
  <c r="U207" i="20"/>
  <c r="T207" i="20" s="1"/>
  <c r="S207" i="20" s="1"/>
  <c r="R207" i="20" s="1"/>
  <c r="P207" i="20" s="1"/>
  <c r="V207" i="20" s="1"/>
  <c r="U211" i="20"/>
  <c r="T211" i="20" s="1"/>
  <c r="S211" i="20" s="1"/>
  <c r="R211" i="20" s="1"/>
  <c r="P211" i="20" s="1"/>
  <c r="V211" i="20" s="1"/>
  <c r="U215" i="20"/>
  <c r="T215" i="20" s="1"/>
  <c r="S215" i="20" s="1"/>
  <c r="R215" i="20" s="1"/>
  <c r="P215" i="20" s="1"/>
  <c r="V215" i="20" s="1"/>
  <c r="U219" i="20"/>
  <c r="T219" i="20" s="1"/>
  <c r="S219" i="20" s="1"/>
  <c r="R219" i="20" s="1"/>
  <c r="P219" i="20" s="1"/>
  <c r="V219" i="20" s="1"/>
  <c r="U223" i="20"/>
  <c r="T223" i="20" s="1"/>
  <c r="U227" i="20"/>
  <c r="T227" i="20" s="1"/>
  <c r="S227" i="20" s="1"/>
  <c r="R227" i="20" s="1"/>
  <c r="U231" i="20"/>
  <c r="T231" i="20" s="1"/>
  <c r="U235" i="20"/>
  <c r="T235" i="20" s="1"/>
  <c r="S235" i="20" s="1"/>
  <c r="R235" i="20" s="1"/>
  <c r="P235" i="20" s="1"/>
  <c r="V235" i="20" s="1"/>
  <c r="U239" i="20"/>
  <c r="T239" i="20" s="1"/>
  <c r="S239" i="20" s="1"/>
  <c r="R239" i="20" s="1"/>
  <c r="U243" i="20"/>
  <c r="T243" i="20" s="1"/>
  <c r="S243" i="20" s="1"/>
  <c r="R243" i="20" s="1"/>
  <c r="P243" i="20" s="1"/>
  <c r="V243" i="20" s="1"/>
  <c r="U247" i="20"/>
  <c r="T247" i="20" s="1"/>
  <c r="U251" i="20"/>
  <c r="T251" i="20" s="1"/>
  <c r="S251" i="20" s="1"/>
  <c r="R251" i="20" s="1"/>
  <c r="P251" i="20" s="1"/>
  <c r="V251" i="20" s="1"/>
  <c r="U255" i="20"/>
  <c r="T255" i="20" s="1"/>
  <c r="S255" i="20" s="1"/>
  <c r="R255" i="20" s="1"/>
  <c r="U257" i="20"/>
  <c r="T257" i="20" s="1"/>
  <c r="S257" i="20" s="1"/>
  <c r="R257" i="20" s="1"/>
  <c r="P257" i="20" s="1"/>
  <c r="V257" i="20" s="1"/>
  <c r="U259" i="20"/>
  <c r="T259" i="20" s="1"/>
  <c r="S259" i="20" s="1"/>
  <c r="R259" i="20" s="1"/>
  <c r="P259" i="20" s="1"/>
  <c r="V259" i="20" s="1"/>
  <c r="U261" i="20"/>
  <c r="T261" i="20" s="1"/>
  <c r="S261" i="20" s="1"/>
  <c r="R261" i="20" s="1"/>
  <c r="P261" i="20" s="1"/>
  <c r="V261" i="20" s="1"/>
  <c r="U263" i="20"/>
  <c r="T263" i="20" s="1"/>
  <c r="S263" i="20" s="1"/>
  <c r="R263" i="20" s="1"/>
  <c r="P263" i="20" s="1"/>
  <c r="V263" i="20" s="1"/>
  <c r="U265" i="20"/>
  <c r="T265" i="20" s="1"/>
  <c r="S265" i="20" s="1"/>
  <c r="R265" i="20" s="1"/>
  <c r="P265" i="20" s="1"/>
  <c r="V265" i="20" s="1"/>
  <c r="U267" i="20"/>
  <c r="T267" i="20" s="1"/>
  <c r="U269" i="20"/>
  <c r="T269" i="20" s="1"/>
  <c r="S269" i="20" s="1"/>
  <c r="R269" i="20" s="1"/>
  <c r="P269" i="20" s="1"/>
  <c r="V269" i="20" s="1"/>
  <c r="U271" i="20"/>
  <c r="T271" i="20" s="1"/>
  <c r="S271" i="20" s="1"/>
  <c r="R271" i="20" s="1"/>
  <c r="U273" i="20"/>
  <c r="T273" i="20" s="1"/>
  <c r="S273" i="20" s="1"/>
  <c r="R273" i="20" s="1"/>
  <c r="P273" i="20" s="1"/>
  <c r="V273" i="20" s="1"/>
  <c r="U275" i="20"/>
  <c r="T275" i="20" s="1"/>
  <c r="S275" i="20" s="1"/>
  <c r="R275" i="20" s="1"/>
  <c r="P275" i="20" s="1"/>
  <c r="V275" i="20" s="1"/>
  <c r="U277" i="20"/>
  <c r="T277" i="20" s="1"/>
  <c r="U21" i="20"/>
  <c r="T21" i="20" s="1"/>
  <c r="U29" i="20"/>
  <c r="T29" i="20" s="1"/>
  <c r="U37" i="20"/>
  <c r="T37" i="20" s="1"/>
  <c r="S37" i="20" s="1"/>
  <c r="R37" i="20" s="1"/>
  <c r="P37" i="20" s="1"/>
  <c r="V37" i="20" s="1"/>
  <c r="U45" i="20"/>
  <c r="T45" i="20" s="1"/>
  <c r="S45" i="20" s="1"/>
  <c r="R45" i="20" s="1"/>
  <c r="U53" i="20"/>
  <c r="T53" i="20" s="1"/>
  <c r="S53" i="20" s="1"/>
  <c r="R53" i="20" s="1"/>
  <c r="P53" i="20" s="1"/>
  <c r="V53" i="20" s="1"/>
  <c r="U61" i="20"/>
  <c r="T61" i="20" s="1"/>
  <c r="S61" i="20" s="1"/>
  <c r="R61" i="20" s="1"/>
  <c r="P61" i="20" s="1"/>
  <c r="V61" i="20" s="1"/>
  <c r="U69" i="20"/>
  <c r="T69" i="20" s="1"/>
  <c r="S69" i="20" s="1"/>
  <c r="R69" i="20" s="1"/>
  <c r="P69" i="20" s="1"/>
  <c r="V69" i="20" s="1"/>
  <c r="U77" i="20"/>
  <c r="T77" i="20" s="1"/>
  <c r="S77" i="20" s="1"/>
  <c r="R77" i="20" s="1"/>
  <c r="U85" i="20"/>
  <c r="T85" i="20" s="1"/>
  <c r="S85" i="20" s="1"/>
  <c r="R85" i="20" s="1"/>
  <c r="U93" i="20"/>
  <c r="T93" i="20" s="1"/>
  <c r="S93" i="20" s="1"/>
  <c r="R93" i="20" s="1"/>
  <c r="P93" i="20" s="1"/>
  <c r="V93" i="20" s="1"/>
  <c r="U101" i="20"/>
  <c r="T101" i="20" s="1"/>
  <c r="S101" i="20" s="1"/>
  <c r="R101" i="20" s="1"/>
  <c r="P101" i="20" s="1"/>
  <c r="V101" i="20" s="1"/>
  <c r="U109" i="20"/>
  <c r="T109" i="20" s="1"/>
  <c r="S109" i="20" s="1"/>
  <c r="R109" i="20" s="1"/>
  <c r="P109" i="20" s="1"/>
  <c r="V109" i="20" s="1"/>
  <c r="U117" i="20"/>
  <c r="T117" i="20" s="1"/>
  <c r="S117" i="20" s="1"/>
  <c r="R117" i="20" s="1"/>
  <c r="P117" i="20" s="1"/>
  <c r="V117" i="20" s="1"/>
  <c r="U125" i="20"/>
  <c r="T125" i="20" s="1"/>
  <c r="S125" i="20" s="1"/>
  <c r="R125" i="20" s="1"/>
  <c r="P125" i="20" s="1"/>
  <c r="V125" i="20" s="1"/>
  <c r="U133" i="20"/>
  <c r="T133" i="20" s="1"/>
  <c r="S133" i="20" s="1"/>
  <c r="R133" i="20" s="1"/>
  <c r="P133" i="20" s="1"/>
  <c r="V133" i="20" s="1"/>
  <c r="U141" i="20"/>
  <c r="T141" i="20" s="1"/>
  <c r="S141" i="20" s="1"/>
  <c r="R141" i="20" s="1"/>
  <c r="P141" i="20" s="1"/>
  <c r="V141" i="20" s="1"/>
  <c r="U149" i="20"/>
  <c r="T149" i="20" s="1"/>
  <c r="S149" i="20" s="1"/>
  <c r="R149" i="20" s="1"/>
  <c r="P149" i="20" s="1"/>
  <c r="U157" i="20"/>
  <c r="T157" i="20" s="1"/>
  <c r="S157" i="20" s="1"/>
  <c r="R157" i="20" s="1"/>
  <c r="P157" i="20" s="1"/>
  <c r="V157" i="20" s="1"/>
  <c r="U165" i="20"/>
  <c r="T165" i="20" s="1"/>
  <c r="S165" i="20" s="1"/>
  <c r="R165" i="20" s="1"/>
  <c r="P165" i="20" s="1"/>
  <c r="V165" i="20" s="1"/>
  <c r="U173" i="20"/>
  <c r="T173" i="20" s="1"/>
  <c r="S173" i="20" s="1"/>
  <c r="R173" i="20" s="1"/>
  <c r="P173" i="20" s="1"/>
  <c r="V173" i="20" s="1"/>
  <c r="U181" i="20"/>
  <c r="T181" i="20" s="1"/>
  <c r="S181" i="20" s="1"/>
  <c r="R181" i="20" s="1"/>
  <c r="P181" i="20" s="1"/>
  <c r="V181" i="20" s="1"/>
  <c r="U189" i="20"/>
  <c r="T189" i="20" s="1"/>
  <c r="S189" i="20" s="1"/>
  <c r="R189" i="20" s="1"/>
  <c r="P189" i="20" s="1"/>
  <c r="V189" i="20" s="1"/>
  <c r="U197" i="20"/>
  <c r="T197" i="20" s="1"/>
  <c r="S197" i="20" s="1"/>
  <c r="R197" i="20" s="1"/>
  <c r="P197" i="20" s="1"/>
  <c r="V197" i="20" s="1"/>
  <c r="U205" i="20"/>
  <c r="T205" i="20" s="1"/>
  <c r="S205" i="20" s="1"/>
  <c r="R205" i="20" s="1"/>
  <c r="P205" i="20" s="1"/>
  <c r="V205" i="20" s="1"/>
  <c r="U213" i="20"/>
  <c r="T213" i="20" s="1"/>
  <c r="S213" i="20" s="1"/>
  <c r="R213" i="20" s="1"/>
  <c r="P213" i="20" s="1"/>
  <c r="V213" i="20" s="1"/>
  <c r="U221" i="20"/>
  <c r="T221" i="20" s="1"/>
  <c r="S221" i="20" s="1"/>
  <c r="R221" i="20" s="1"/>
  <c r="P221" i="20" s="1"/>
  <c r="V221" i="20" s="1"/>
  <c r="U229" i="20"/>
  <c r="T229" i="20" s="1"/>
  <c r="S229" i="20" s="1"/>
  <c r="R229" i="20" s="1"/>
  <c r="P229" i="20" s="1"/>
  <c r="V229" i="20" s="1"/>
  <c r="U237" i="20"/>
  <c r="T237" i="20" s="1"/>
  <c r="U245" i="20"/>
  <c r="T245" i="20" s="1"/>
  <c r="S245" i="20" s="1"/>
  <c r="R245" i="20" s="1"/>
  <c r="P245" i="20" s="1"/>
  <c r="V245" i="20" s="1"/>
  <c r="U253" i="20"/>
  <c r="T253" i="20" s="1"/>
  <c r="S253" i="20" s="1"/>
  <c r="R253" i="20" s="1"/>
  <c r="P253" i="20" s="1"/>
  <c r="V253" i="20" s="1"/>
  <c r="U258" i="20"/>
  <c r="T258" i="20" s="1"/>
  <c r="S258" i="20" s="1"/>
  <c r="R258" i="20" s="1"/>
  <c r="P258" i="20" s="1"/>
  <c r="V258" i="20" s="1"/>
  <c r="U262" i="20"/>
  <c r="T262" i="20" s="1"/>
  <c r="S262" i="20" s="1"/>
  <c r="R262" i="20" s="1"/>
  <c r="P262" i="20" s="1"/>
  <c r="V262" i="20" s="1"/>
  <c r="U266" i="20"/>
  <c r="T266" i="20" s="1"/>
  <c r="S266" i="20" s="1"/>
  <c r="R266" i="20" s="1"/>
  <c r="P266" i="20" s="1"/>
  <c r="V266" i="20" s="1"/>
  <c r="U270" i="20"/>
  <c r="T270" i="20" s="1"/>
  <c r="S270" i="20" s="1"/>
  <c r="R270" i="20" s="1"/>
  <c r="P270" i="20" s="1"/>
  <c r="V270" i="20" s="1"/>
  <c r="U274" i="20"/>
  <c r="T274" i="20" s="1"/>
  <c r="S274" i="20" s="1"/>
  <c r="R274" i="20" s="1"/>
  <c r="P274" i="20" s="1"/>
  <c r="V274" i="20" s="1"/>
  <c r="U278" i="20"/>
  <c r="T278" i="20" s="1"/>
  <c r="S278" i="20" s="1"/>
  <c r="R278" i="20" s="1"/>
  <c r="P278" i="20" s="1"/>
  <c r="V278" i="20" s="1"/>
  <c r="U280" i="20"/>
  <c r="T280" i="20" s="1"/>
  <c r="S280" i="20" s="1"/>
  <c r="R280" i="20" s="1"/>
  <c r="P280" i="20" s="1"/>
  <c r="V280" i="20" s="1"/>
  <c r="U282" i="20"/>
  <c r="T282" i="20" s="1"/>
  <c r="S282" i="20" s="1"/>
  <c r="R282" i="20" s="1"/>
  <c r="P282" i="20" s="1"/>
  <c r="V282" i="20" s="1"/>
  <c r="U284" i="20"/>
  <c r="T284" i="20" s="1"/>
  <c r="S284" i="20" s="1"/>
  <c r="R284" i="20" s="1"/>
  <c r="P284" i="20" s="1"/>
  <c r="V284" i="20" s="1"/>
  <c r="U286" i="20"/>
  <c r="T286" i="20" s="1"/>
  <c r="S286" i="20" s="1"/>
  <c r="R286" i="20" s="1"/>
  <c r="P286" i="20" s="1"/>
  <c r="V286" i="20" s="1"/>
  <c r="U288" i="20"/>
  <c r="T288" i="20" s="1"/>
  <c r="S288" i="20" s="1"/>
  <c r="R288" i="20" s="1"/>
  <c r="P288" i="20" s="1"/>
  <c r="V288" i="20" s="1"/>
  <c r="U290" i="20"/>
  <c r="T290" i="20" s="1"/>
  <c r="S290" i="20" s="1"/>
  <c r="R290" i="20" s="1"/>
  <c r="P290" i="20" s="1"/>
  <c r="V290" i="20" s="1"/>
  <c r="U292" i="20"/>
  <c r="T292" i="20" s="1"/>
  <c r="S292" i="20" s="1"/>
  <c r="R292" i="20" s="1"/>
  <c r="P292" i="20" s="1"/>
  <c r="V292" i="20" s="1"/>
  <c r="U294" i="20"/>
  <c r="T294" i="20" s="1"/>
  <c r="S294" i="20" s="1"/>
  <c r="R294" i="20" s="1"/>
  <c r="P294" i="20" s="1"/>
  <c r="V294" i="20" s="1"/>
  <c r="U296" i="20"/>
  <c r="T296" i="20" s="1"/>
  <c r="S296" i="20" s="1"/>
  <c r="R296" i="20" s="1"/>
  <c r="P296" i="20" s="1"/>
  <c r="V296" i="20" s="1"/>
  <c r="U298" i="20"/>
  <c r="T298" i="20" s="1"/>
  <c r="S298" i="20" s="1"/>
  <c r="R298" i="20" s="1"/>
  <c r="P298" i="20" s="1"/>
  <c r="V298" i="20" s="1"/>
  <c r="U300" i="20"/>
  <c r="T300" i="20" s="1"/>
  <c r="S300" i="20" s="1"/>
  <c r="R300" i="20" s="1"/>
  <c r="P300" i="20" s="1"/>
  <c r="V300" i="20" s="1"/>
  <c r="U302" i="20"/>
  <c r="T302" i="20" s="1"/>
  <c r="S302" i="20" s="1"/>
  <c r="R302" i="20" s="1"/>
  <c r="P302" i="20" s="1"/>
  <c r="U304" i="20"/>
  <c r="T304" i="20" s="1"/>
  <c r="S304" i="20" s="1"/>
  <c r="R304" i="20" s="1"/>
  <c r="P304" i="20" s="1"/>
  <c r="V304" i="20" s="1"/>
  <c r="U306" i="20"/>
  <c r="T306" i="20" s="1"/>
  <c r="S306" i="20" s="1"/>
  <c r="R306" i="20" s="1"/>
  <c r="P306" i="20" s="1"/>
  <c r="V306" i="20" s="1"/>
  <c r="U308" i="20"/>
  <c r="T308" i="20" s="1"/>
  <c r="S308" i="20" s="1"/>
  <c r="R308" i="20" s="1"/>
  <c r="P308" i="20" s="1"/>
  <c r="V308" i="20" s="1"/>
  <c r="U310" i="20"/>
  <c r="T310" i="20" s="1"/>
  <c r="S310" i="20" s="1"/>
  <c r="R310" i="20" s="1"/>
  <c r="P310" i="20" s="1"/>
  <c r="V310" i="20" s="1"/>
  <c r="U312" i="20"/>
  <c r="T312" i="20" s="1"/>
  <c r="S312" i="20" s="1"/>
  <c r="R312" i="20" s="1"/>
  <c r="P312" i="20" s="1"/>
  <c r="V312" i="20" s="1"/>
  <c r="U314" i="20"/>
  <c r="T314" i="20" s="1"/>
  <c r="S314" i="20" s="1"/>
  <c r="R314" i="20" s="1"/>
  <c r="P314" i="20" s="1"/>
  <c r="V314" i="20" s="1"/>
  <c r="U316" i="20"/>
  <c r="T316" i="20" s="1"/>
  <c r="S316" i="20" s="1"/>
  <c r="R316" i="20" s="1"/>
  <c r="P316" i="20" s="1"/>
  <c r="V316" i="20" s="1"/>
  <c r="U318" i="20"/>
  <c r="T318" i="20" s="1"/>
  <c r="U320" i="20"/>
  <c r="T320" i="20" s="1"/>
  <c r="S320" i="20" s="1"/>
  <c r="R320" i="20" s="1"/>
  <c r="P320" i="20" s="1"/>
  <c r="V320" i="20" s="1"/>
  <c r="U322" i="20"/>
  <c r="T322" i="20" s="1"/>
  <c r="S322" i="20" s="1"/>
  <c r="R322" i="20" s="1"/>
  <c r="P322" i="20" s="1"/>
  <c r="V322" i="20" s="1"/>
  <c r="U324" i="20"/>
  <c r="T324" i="20" s="1"/>
  <c r="S324" i="20" s="1"/>
  <c r="R324" i="20" s="1"/>
  <c r="P324" i="20" s="1"/>
  <c r="V324" i="20" s="1"/>
  <c r="U326" i="20"/>
  <c r="T326" i="20" s="1"/>
  <c r="S326" i="20" s="1"/>
  <c r="R326" i="20" s="1"/>
  <c r="P326" i="20" s="1"/>
  <c r="V326" i="20" s="1"/>
  <c r="U328" i="20"/>
  <c r="T328" i="20" s="1"/>
  <c r="S328" i="20" s="1"/>
  <c r="R328" i="20" s="1"/>
  <c r="P328" i="20" s="1"/>
  <c r="V328" i="20" s="1"/>
  <c r="U330" i="20"/>
  <c r="T330" i="20" s="1"/>
  <c r="S330" i="20" s="1"/>
  <c r="R330" i="20" s="1"/>
  <c r="P330" i="20" s="1"/>
  <c r="V330" i="20" s="1"/>
  <c r="U332" i="20"/>
  <c r="T332" i="20" s="1"/>
  <c r="S332" i="20" s="1"/>
  <c r="R332" i="20" s="1"/>
  <c r="P332" i="20" s="1"/>
  <c r="V332" i="20" s="1"/>
  <c r="U334" i="20"/>
  <c r="T334" i="20" s="1"/>
  <c r="S334" i="20" s="1"/>
  <c r="R334" i="20" s="1"/>
  <c r="P334" i="20" s="1"/>
  <c r="V334" i="20" s="1"/>
  <c r="U336" i="20"/>
  <c r="T336" i="20" s="1"/>
  <c r="S336" i="20" s="1"/>
  <c r="R336" i="20" s="1"/>
  <c r="P336" i="20" s="1"/>
  <c r="V336" i="20" s="1"/>
  <c r="U338" i="20"/>
  <c r="T338" i="20" s="1"/>
  <c r="S338" i="20" s="1"/>
  <c r="R338" i="20" s="1"/>
  <c r="P338" i="20" s="1"/>
  <c r="V338" i="20" s="1"/>
  <c r="U340" i="20"/>
  <c r="T340" i="20" s="1"/>
  <c r="S340" i="20" s="1"/>
  <c r="R340" i="20" s="1"/>
  <c r="P340" i="20" s="1"/>
  <c r="V340" i="20" s="1"/>
  <c r="U342" i="20"/>
  <c r="T342" i="20" s="1"/>
  <c r="S342" i="20" s="1"/>
  <c r="R342" i="20" s="1"/>
  <c r="P342" i="20" s="1"/>
  <c r="V342" i="20" s="1"/>
  <c r="U344" i="20"/>
  <c r="T344" i="20" s="1"/>
  <c r="S344" i="20" s="1"/>
  <c r="R344" i="20" s="1"/>
  <c r="P344" i="20" s="1"/>
  <c r="V344" i="20" s="1"/>
  <c r="U346" i="20"/>
  <c r="T346" i="20" s="1"/>
  <c r="S346" i="20" s="1"/>
  <c r="R346" i="20" s="1"/>
  <c r="P346" i="20" s="1"/>
  <c r="V346" i="20" s="1"/>
  <c r="U348" i="20"/>
  <c r="T348" i="20" s="1"/>
  <c r="S348" i="20" s="1"/>
  <c r="R348" i="20" s="1"/>
  <c r="P348" i="20" s="1"/>
  <c r="V348" i="20" s="1"/>
  <c r="U350" i="20"/>
  <c r="T350" i="20" s="1"/>
  <c r="S350" i="20" s="1"/>
  <c r="R350" i="20" s="1"/>
  <c r="P350" i="20" s="1"/>
  <c r="V350" i="20" s="1"/>
  <c r="U352" i="20"/>
  <c r="T352" i="20" s="1"/>
  <c r="S352" i="20" s="1"/>
  <c r="R352" i="20" s="1"/>
  <c r="P352" i="20" s="1"/>
  <c r="V352" i="20" s="1"/>
  <c r="U354" i="20"/>
  <c r="T354" i="20" s="1"/>
  <c r="S354" i="20" s="1"/>
  <c r="R354" i="20" s="1"/>
  <c r="P354" i="20" s="1"/>
  <c r="V354" i="20" s="1"/>
  <c r="U356" i="20"/>
  <c r="T356" i="20" s="1"/>
  <c r="S356" i="20" s="1"/>
  <c r="R356" i="20" s="1"/>
  <c r="P356" i="20" s="1"/>
  <c r="V356" i="20" s="1"/>
  <c r="U358" i="20"/>
  <c r="T358" i="20" s="1"/>
  <c r="S358" i="20" s="1"/>
  <c r="R358" i="20" s="1"/>
  <c r="P358" i="20" s="1"/>
  <c r="V358" i="20" s="1"/>
  <c r="U360" i="20"/>
  <c r="T360" i="20" s="1"/>
  <c r="S360" i="20" s="1"/>
  <c r="R360" i="20" s="1"/>
  <c r="P360" i="20" s="1"/>
  <c r="V360" i="20" s="1"/>
  <c r="U362" i="20"/>
  <c r="T362" i="20" s="1"/>
  <c r="S362" i="20" s="1"/>
  <c r="R362" i="20" s="1"/>
  <c r="P362" i="20" s="1"/>
  <c r="V362" i="20" s="1"/>
  <c r="U364" i="20"/>
  <c r="T364" i="20" s="1"/>
  <c r="S364" i="20" s="1"/>
  <c r="R364" i="20" s="1"/>
  <c r="P364" i="20" s="1"/>
  <c r="V364" i="20" s="1"/>
  <c r="U366" i="20"/>
  <c r="T366" i="20" s="1"/>
  <c r="S366" i="20" s="1"/>
  <c r="R366" i="20" s="1"/>
  <c r="P366" i="20" s="1"/>
  <c r="V366" i="20" s="1"/>
  <c r="U368" i="20"/>
  <c r="T368" i="20" s="1"/>
  <c r="S368" i="20" s="1"/>
  <c r="R368" i="20" s="1"/>
  <c r="P368" i="20" s="1"/>
  <c r="V368" i="20" s="1"/>
  <c r="U370" i="20"/>
  <c r="T370" i="20" s="1"/>
  <c r="S370" i="20" s="1"/>
  <c r="R370" i="20" s="1"/>
  <c r="P370" i="20" s="1"/>
  <c r="V370" i="20" s="1"/>
  <c r="U372" i="20"/>
  <c r="T372" i="20" s="1"/>
  <c r="S372" i="20" s="1"/>
  <c r="R372" i="20" s="1"/>
  <c r="P372" i="20" s="1"/>
  <c r="V372" i="20" s="1"/>
  <c r="U374" i="20"/>
  <c r="T374" i="20" s="1"/>
  <c r="S374" i="20" s="1"/>
  <c r="R374" i="20" s="1"/>
  <c r="P374" i="20" s="1"/>
  <c r="V374" i="20" s="1"/>
  <c r="U376" i="20"/>
  <c r="T376" i="20" s="1"/>
  <c r="S376" i="20" s="1"/>
  <c r="R376" i="20" s="1"/>
  <c r="P376" i="20" s="1"/>
  <c r="V376" i="20" s="1"/>
  <c r="U378" i="20"/>
  <c r="T378" i="20" s="1"/>
  <c r="S378" i="20" s="1"/>
  <c r="R378" i="20" s="1"/>
  <c r="P378" i="20" s="1"/>
  <c r="V378" i="20" s="1"/>
  <c r="AI18" i="20"/>
  <c r="AH18" i="20" s="1"/>
  <c r="AG18" i="20" s="1"/>
  <c r="AF18" i="20" s="1"/>
  <c r="AD18" i="20" s="1"/>
  <c r="AI17" i="20"/>
  <c r="AH17" i="20" s="1"/>
  <c r="AG17" i="20" s="1"/>
  <c r="AF17" i="20" s="1"/>
  <c r="AD17" i="20" s="1"/>
  <c r="AI24" i="20"/>
  <c r="AH24" i="20" s="1"/>
  <c r="AG24" i="20" s="1"/>
  <c r="AF24" i="20" s="1"/>
  <c r="AD24" i="20" s="1"/>
  <c r="AI28" i="20"/>
  <c r="AH28" i="20" s="1"/>
  <c r="AG28" i="20" s="1"/>
  <c r="AF28" i="20" s="1"/>
  <c r="AD28" i="20" s="1"/>
  <c r="AI32" i="20"/>
  <c r="AH32" i="20" s="1"/>
  <c r="AG32" i="20" s="1"/>
  <c r="AF32" i="20" s="1"/>
  <c r="AD32" i="20" s="1"/>
  <c r="AI36" i="20"/>
  <c r="AH36" i="20" s="1"/>
  <c r="AG36" i="20" s="1"/>
  <c r="AF36" i="20" s="1"/>
  <c r="AD36" i="20" s="1"/>
  <c r="AI40" i="20"/>
  <c r="AH40" i="20" s="1"/>
  <c r="AG40" i="20" s="1"/>
  <c r="AF40" i="20" s="1"/>
  <c r="AD40" i="20" s="1"/>
  <c r="AI44" i="20"/>
  <c r="AH44" i="20" s="1"/>
  <c r="AG44" i="20" s="1"/>
  <c r="AF44" i="20" s="1"/>
  <c r="AD44" i="20" s="1"/>
  <c r="AI48" i="20"/>
  <c r="AH48" i="20" s="1"/>
  <c r="AG48" i="20" s="1"/>
  <c r="AF48" i="20" s="1"/>
  <c r="AD48" i="20" s="1"/>
  <c r="AI52" i="20"/>
  <c r="AH52" i="20" s="1"/>
  <c r="AG52" i="20" s="1"/>
  <c r="AF52" i="20" s="1"/>
  <c r="AD52" i="20" s="1"/>
  <c r="AI56" i="20"/>
  <c r="AH56" i="20" s="1"/>
  <c r="AG56" i="20" s="1"/>
  <c r="AF56" i="20" s="1"/>
  <c r="AD56" i="20" s="1"/>
  <c r="AI60" i="20"/>
  <c r="AH60" i="20" s="1"/>
  <c r="AG60" i="20" s="1"/>
  <c r="AF60" i="20" s="1"/>
  <c r="AD60" i="20" s="1"/>
  <c r="AI64" i="20"/>
  <c r="AH64" i="20" s="1"/>
  <c r="AG64" i="20" s="1"/>
  <c r="AF64" i="20" s="1"/>
  <c r="AD64" i="20" s="1"/>
  <c r="AI70" i="20"/>
  <c r="AH70" i="20" s="1"/>
  <c r="AG70" i="20" s="1"/>
  <c r="AF70" i="20" s="1"/>
  <c r="AD70" i="20" s="1"/>
  <c r="AI78" i="20"/>
  <c r="AH78" i="20" s="1"/>
  <c r="AI86" i="20"/>
  <c r="AH86" i="20" s="1"/>
  <c r="AG86" i="20" s="1"/>
  <c r="AF86" i="20" s="1"/>
  <c r="AI94" i="20"/>
  <c r="AH94" i="20" s="1"/>
  <c r="AG94" i="20" s="1"/>
  <c r="AF94" i="20" s="1"/>
  <c r="AD94" i="20" s="1"/>
  <c r="AI102" i="20"/>
  <c r="AH102" i="20" s="1"/>
  <c r="AG102" i="20" s="1"/>
  <c r="AF102" i="20" s="1"/>
  <c r="AD102" i="20" s="1"/>
  <c r="AI110" i="20"/>
  <c r="AH110" i="20" s="1"/>
  <c r="AG110" i="20" s="1"/>
  <c r="AF110" i="20" s="1"/>
  <c r="AD110" i="20" s="1"/>
  <c r="AI126" i="20"/>
  <c r="AH126" i="20" s="1"/>
  <c r="AG126" i="20" s="1"/>
  <c r="AF126" i="20" s="1"/>
  <c r="AD126" i="20" s="1"/>
  <c r="AI142" i="20"/>
  <c r="AH142" i="20" s="1"/>
  <c r="AG142" i="20" s="1"/>
  <c r="AF142" i="20" s="1"/>
  <c r="AD142" i="20" s="1"/>
  <c r="AI158" i="20"/>
  <c r="AH158" i="20" s="1"/>
  <c r="AG158" i="20" s="1"/>
  <c r="AF158" i="20" s="1"/>
  <c r="AD158" i="20" s="1"/>
  <c r="AI174" i="20"/>
  <c r="AH174" i="20" s="1"/>
  <c r="AG174" i="20" s="1"/>
  <c r="AF174" i="20" s="1"/>
  <c r="AD174" i="20" s="1"/>
  <c r="AI190" i="20"/>
  <c r="AH190" i="20" s="1"/>
  <c r="AG190" i="20" s="1"/>
  <c r="AF190" i="20" s="1"/>
  <c r="AD190" i="20" s="1"/>
  <c r="AI206" i="20"/>
  <c r="AH206" i="20" s="1"/>
  <c r="AG206" i="20" s="1"/>
  <c r="AF206" i="20" s="1"/>
  <c r="AI222" i="20"/>
  <c r="AH222" i="20" s="1"/>
  <c r="AG222" i="20" s="1"/>
  <c r="AF222" i="20" s="1"/>
  <c r="AD222" i="20" s="1"/>
  <c r="AI238" i="20"/>
  <c r="AH238" i="20" s="1"/>
  <c r="AG238" i="20" s="1"/>
  <c r="AF238" i="20" s="1"/>
  <c r="AI254" i="20"/>
  <c r="AH254" i="20" s="1"/>
  <c r="AG254" i="20" s="1"/>
  <c r="AF254" i="20" s="1"/>
  <c r="AI270" i="20"/>
  <c r="AH270" i="20" s="1"/>
  <c r="AI286" i="20"/>
  <c r="AH286" i="20" s="1"/>
  <c r="AG286" i="20" s="1"/>
  <c r="AF286" i="20" s="1"/>
  <c r="AI302" i="20"/>
  <c r="AH302" i="20" s="1"/>
  <c r="AG302" i="20" s="1"/>
  <c r="AF302" i="20" s="1"/>
  <c r="AI318" i="20"/>
  <c r="AH318" i="20" s="1"/>
  <c r="AG318" i="20" s="1"/>
  <c r="AF318" i="20" s="1"/>
  <c r="AD318" i="20" s="1"/>
  <c r="AI334" i="20"/>
  <c r="AH334" i="20" s="1"/>
  <c r="AI350" i="20"/>
  <c r="AH350" i="20" s="1"/>
  <c r="AI366" i="20"/>
  <c r="AH366" i="20" s="1"/>
  <c r="AG366" i="20" s="1"/>
  <c r="AF366" i="20" s="1"/>
  <c r="U377" i="20"/>
  <c r="T377" i="20" s="1"/>
  <c r="S377" i="20" s="1"/>
  <c r="R377" i="20" s="1"/>
  <c r="P377" i="20" s="1"/>
  <c r="V377" i="20" s="1"/>
  <c r="U373" i="20"/>
  <c r="T373" i="20" s="1"/>
  <c r="S373" i="20" s="1"/>
  <c r="R373" i="20" s="1"/>
  <c r="U369" i="20"/>
  <c r="T369" i="20" s="1"/>
  <c r="S369" i="20" s="1"/>
  <c r="R369" i="20" s="1"/>
  <c r="P369" i="20" s="1"/>
  <c r="V369" i="20" s="1"/>
  <c r="U365" i="20"/>
  <c r="T365" i="20" s="1"/>
  <c r="S365" i="20" s="1"/>
  <c r="R365" i="20" s="1"/>
  <c r="U361" i="20"/>
  <c r="T361" i="20" s="1"/>
  <c r="S361" i="20" s="1"/>
  <c r="R361" i="20" s="1"/>
  <c r="P361" i="20" s="1"/>
  <c r="V361" i="20" s="1"/>
  <c r="U357" i="20"/>
  <c r="T357" i="20" s="1"/>
  <c r="S357" i="20" s="1"/>
  <c r="R357" i="20" s="1"/>
  <c r="U353" i="20"/>
  <c r="T353" i="20" s="1"/>
  <c r="S353" i="20" s="1"/>
  <c r="R353" i="20" s="1"/>
  <c r="P353" i="20" s="1"/>
  <c r="V353" i="20" s="1"/>
  <c r="U349" i="20"/>
  <c r="T349" i="20" s="1"/>
  <c r="S349" i="20" s="1"/>
  <c r="R349" i="20" s="1"/>
  <c r="U345" i="20"/>
  <c r="T345" i="20" s="1"/>
  <c r="S345" i="20" s="1"/>
  <c r="R345" i="20" s="1"/>
  <c r="P345" i="20" s="1"/>
  <c r="V345" i="20" s="1"/>
  <c r="U341" i="20"/>
  <c r="T341" i="20" s="1"/>
  <c r="S341" i="20" s="1"/>
  <c r="R341" i="20" s="1"/>
  <c r="P341" i="20" s="1"/>
  <c r="V341" i="20" s="1"/>
  <c r="U337" i="20"/>
  <c r="T337" i="20" s="1"/>
  <c r="S337" i="20" s="1"/>
  <c r="R337" i="20" s="1"/>
  <c r="P337" i="20" s="1"/>
  <c r="V337" i="20" s="1"/>
  <c r="U333" i="20"/>
  <c r="T333" i="20" s="1"/>
  <c r="S333" i="20" s="1"/>
  <c r="R333" i="20" s="1"/>
  <c r="P333" i="20" s="1"/>
  <c r="U329" i="20"/>
  <c r="T329" i="20" s="1"/>
  <c r="S329" i="20" s="1"/>
  <c r="R329" i="20" s="1"/>
  <c r="P329" i="20" s="1"/>
  <c r="V329" i="20" s="1"/>
  <c r="U325" i="20"/>
  <c r="T325" i="20" s="1"/>
  <c r="S325" i="20" s="1"/>
  <c r="R325" i="20" s="1"/>
  <c r="U321" i="20"/>
  <c r="T321" i="20" s="1"/>
  <c r="S321" i="20" s="1"/>
  <c r="R321" i="20" s="1"/>
  <c r="P321" i="20" s="1"/>
  <c r="V321" i="20" s="1"/>
  <c r="U317" i="20"/>
  <c r="T317" i="20" s="1"/>
  <c r="S317" i="20" s="1"/>
  <c r="R317" i="20" s="1"/>
  <c r="P317" i="20" s="1"/>
  <c r="V317" i="20" s="1"/>
  <c r="U313" i="20"/>
  <c r="T313" i="20" s="1"/>
  <c r="S313" i="20" s="1"/>
  <c r="R313" i="20" s="1"/>
  <c r="P313" i="20" s="1"/>
  <c r="V313" i="20" s="1"/>
  <c r="U309" i="20"/>
  <c r="T309" i="20" s="1"/>
  <c r="U305" i="20"/>
  <c r="T305" i="20" s="1"/>
  <c r="S305" i="20" s="1"/>
  <c r="R305" i="20" s="1"/>
  <c r="P305" i="20" s="1"/>
  <c r="V305" i="20" s="1"/>
  <c r="U301" i="20"/>
  <c r="T301" i="20" s="1"/>
  <c r="S301" i="20" s="1"/>
  <c r="R301" i="20" s="1"/>
  <c r="P301" i="20" s="1"/>
  <c r="V301" i="20" s="1"/>
  <c r="U297" i="20"/>
  <c r="T297" i="20" s="1"/>
  <c r="S297" i="20" s="1"/>
  <c r="R297" i="20" s="1"/>
  <c r="P297" i="20" s="1"/>
  <c r="V297" i="20" s="1"/>
  <c r="U293" i="20"/>
  <c r="T293" i="20" s="1"/>
  <c r="S293" i="20" s="1"/>
  <c r="R293" i="20" s="1"/>
  <c r="P293" i="20" s="1"/>
  <c r="V293" i="20" s="1"/>
  <c r="U289" i="20"/>
  <c r="T289" i="20" s="1"/>
  <c r="S289" i="20" s="1"/>
  <c r="R289" i="20" s="1"/>
  <c r="P289" i="20" s="1"/>
  <c r="V289" i="20" s="1"/>
  <c r="U285" i="20"/>
  <c r="T285" i="20" s="1"/>
  <c r="S285" i="20" s="1"/>
  <c r="R285" i="20" s="1"/>
  <c r="P285" i="20" s="1"/>
  <c r="V285" i="20" s="1"/>
  <c r="U281" i="20"/>
  <c r="T281" i="20" s="1"/>
  <c r="S281" i="20" s="1"/>
  <c r="R281" i="20" s="1"/>
  <c r="P281" i="20" s="1"/>
  <c r="V281" i="20" s="1"/>
  <c r="U276" i="20"/>
  <c r="T276" i="20" s="1"/>
  <c r="U268" i="20"/>
  <c r="T268" i="20" s="1"/>
  <c r="S268" i="20" s="1"/>
  <c r="R268" i="20" s="1"/>
  <c r="P268" i="20" s="1"/>
  <c r="V268" i="20" s="1"/>
  <c r="U260" i="20"/>
  <c r="T260" i="20" s="1"/>
  <c r="S260" i="20" s="1"/>
  <c r="R260" i="20" s="1"/>
  <c r="P260" i="20" s="1"/>
  <c r="V260" i="20" s="1"/>
  <c r="U249" i="20"/>
  <c r="T249" i="20" s="1"/>
  <c r="S249" i="20" s="1"/>
  <c r="R249" i="20" s="1"/>
  <c r="P249" i="20" s="1"/>
  <c r="V249" i="20" s="1"/>
  <c r="U233" i="20"/>
  <c r="T233" i="20" s="1"/>
  <c r="S233" i="20" s="1"/>
  <c r="R233" i="20" s="1"/>
  <c r="P233" i="20" s="1"/>
  <c r="V233" i="20" s="1"/>
  <c r="U217" i="20"/>
  <c r="T217" i="20" s="1"/>
  <c r="S217" i="20" s="1"/>
  <c r="R217" i="20" s="1"/>
  <c r="P217" i="20" s="1"/>
  <c r="V217" i="20" s="1"/>
  <c r="U201" i="20"/>
  <c r="T201" i="20" s="1"/>
  <c r="S201" i="20" s="1"/>
  <c r="R201" i="20" s="1"/>
  <c r="P201" i="20" s="1"/>
  <c r="V201" i="20" s="1"/>
  <c r="U185" i="20"/>
  <c r="T185" i="20" s="1"/>
  <c r="S185" i="20" s="1"/>
  <c r="R185" i="20" s="1"/>
  <c r="P185" i="20" s="1"/>
  <c r="V185" i="20" s="1"/>
  <c r="U169" i="20"/>
  <c r="T169" i="20" s="1"/>
  <c r="S169" i="20" s="1"/>
  <c r="R169" i="20" s="1"/>
  <c r="P169" i="20" s="1"/>
  <c r="V169" i="20" s="1"/>
  <c r="U153" i="20"/>
  <c r="T153" i="20" s="1"/>
  <c r="S153" i="20" s="1"/>
  <c r="R153" i="20" s="1"/>
  <c r="P153" i="20" s="1"/>
  <c r="V153" i="20" s="1"/>
  <c r="U137" i="20"/>
  <c r="T137" i="20" s="1"/>
  <c r="S137" i="20" s="1"/>
  <c r="R137" i="20" s="1"/>
  <c r="P137" i="20" s="1"/>
  <c r="V137" i="20" s="1"/>
  <c r="U121" i="20"/>
  <c r="T121" i="20" s="1"/>
  <c r="S121" i="20" s="1"/>
  <c r="R121" i="20" s="1"/>
  <c r="P121" i="20" s="1"/>
  <c r="V121" i="20" s="1"/>
  <c r="U105" i="20"/>
  <c r="T105" i="20" s="1"/>
  <c r="S105" i="20" s="1"/>
  <c r="R105" i="20" s="1"/>
  <c r="P105" i="20" s="1"/>
  <c r="V105" i="20" s="1"/>
  <c r="U89" i="20"/>
  <c r="T89" i="20" s="1"/>
  <c r="U73" i="20"/>
  <c r="T73" i="20" s="1"/>
  <c r="S73" i="20" s="1"/>
  <c r="R73" i="20" s="1"/>
  <c r="P73" i="20" s="1"/>
  <c r="V73" i="20" s="1"/>
  <c r="U57" i="20"/>
  <c r="T57" i="20" s="1"/>
  <c r="U41" i="20"/>
  <c r="T41" i="20" s="1"/>
  <c r="S41" i="20" s="1"/>
  <c r="R41" i="20" s="1"/>
  <c r="U25" i="20"/>
  <c r="T25" i="20" s="1"/>
  <c r="S25" i="20" s="1"/>
  <c r="R25" i="20" s="1"/>
  <c r="P25" i="20" s="1"/>
  <c r="V25" i="20" s="1"/>
  <c r="AI63" i="20"/>
  <c r="AH63" i="20" s="1"/>
  <c r="AG63" i="20" s="1"/>
  <c r="AF63" i="20" s="1"/>
  <c r="AD63" i="20" s="1"/>
  <c r="AI191" i="20"/>
  <c r="AH191" i="20" s="1"/>
  <c r="AG191" i="20" s="1"/>
  <c r="AF191" i="20" s="1"/>
  <c r="AD191" i="20" s="1"/>
  <c r="AD30" i="20"/>
  <c r="AD34" i="20"/>
  <c r="AD62" i="20"/>
  <c r="AD98" i="20"/>
  <c r="P255" i="20"/>
  <c r="V255" i="20" s="1"/>
  <c r="P151" i="20"/>
  <c r="V151" i="20" s="1"/>
  <c r="AI380" i="20"/>
  <c r="AH380" i="20" s="1"/>
  <c r="AI373" i="20"/>
  <c r="AH373" i="20" s="1"/>
  <c r="AG373" i="20" s="1"/>
  <c r="AF373" i="20" s="1"/>
  <c r="AD373" i="20" s="1"/>
  <c r="AI365" i="20"/>
  <c r="AH365" i="20" s="1"/>
  <c r="AG365" i="20" s="1"/>
  <c r="AF365" i="20" s="1"/>
  <c r="AI357" i="20"/>
  <c r="AH357" i="20" s="1"/>
  <c r="AG357" i="20" s="1"/>
  <c r="AF357" i="20" s="1"/>
  <c r="AD357" i="20" s="1"/>
  <c r="AI349" i="20"/>
  <c r="AH349" i="20" s="1"/>
  <c r="AG349" i="20" s="1"/>
  <c r="AF349" i="20" s="1"/>
  <c r="AI341" i="20"/>
  <c r="AH341" i="20" s="1"/>
  <c r="AG341" i="20" s="1"/>
  <c r="AF341" i="20" s="1"/>
  <c r="AD341" i="20" s="1"/>
  <c r="AI333" i="20"/>
  <c r="AH333" i="20" s="1"/>
  <c r="AG333" i="20" s="1"/>
  <c r="AF333" i="20" s="1"/>
  <c r="AI325" i="20"/>
  <c r="AH325" i="20" s="1"/>
  <c r="AG325" i="20" s="1"/>
  <c r="AF325" i="20" s="1"/>
  <c r="AD325" i="20" s="1"/>
  <c r="AI317" i="20"/>
  <c r="AH317" i="20" s="1"/>
  <c r="AG317" i="20" s="1"/>
  <c r="AF317" i="20" s="1"/>
  <c r="AI309" i="20"/>
  <c r="AH309" i="20" s="1"/>
  <c r="AG309" i="20" s="1"/>
  <c r="AF309" i="20" s="1"/>
  <c r="AD309" i="20" s="1"/>
  <c r="AI301" i="20"/>
  <c r="AH301" i="20" s="1"/>
  <c r="AG301" i="20" s="1"/>
  <c r="AF301" i="20" s="1"/>
  <c r="AI293" i="20"/>
  <c r="AH293" i="20" s="1"/>
  <c r="AG293" i="20" s="1"/>
  <c r="AF293" i="20" s="1"/>
  <c r="AD293" i="20" s="1"/>
  <c r="AI285" i="20"/>
  <c r="AH285" i="20" s="1"/>
  <c r="AG285" i="20" s="1"/>
  <c r="AF285" i="20" s="1"/>
  <c r="AI277" i="20"/>
  <c r="AH277" i="20" s="1"/>
  <c r="AG277" i="20" s="1"/>
  <c r="AF277" i="20" s="1"/>
  <c r="AD277" i="20" s="1"/>
  <c r="AI269" i="20"/>
  <c r="AH269" i="20" s="1"/>
  <c r="AG269" i="20" s="1"/>
  <c r="AF269" i="20" s="1"/>
  <c r="AI261" i="20"/>
  <c r="AH261" i="20" s="1"/>
  <c r="AG261" i="20" s="1"/>
  <c r="AF261" i="20" s="1"/>
  <c r="AD261" i="20" s="1"/>
  <c r="AI253" i="20"/>
  <c r="AH253" i="20" s="1"/>
  <c r="AG253" i="20" s="1"/>
  <c r="AF253" i="20" s="1"/>
  <c r="AI245" i="20"/>
  <c r="AH245" i="20" s="1"/>
  <c r="AG245" i="20" s="1"/>
  <c r="AF245" i="20" s="1"/>
  <c r="AD245" i="20" s="1"/>
  <c r="AI237" i="20"/>
  <c r="AH237" i="20" s="1"/>
  <c r="AG237" i="20" s="1"/>
  <c r="AF237" i="20" s="1"/>
  <c r="AI229" i="20"/>
  <c r="AH229" i="20" s="1"/>
  <c r="AG229" i="20" s="1"/>
  <c r="AF229" i="20" s="1"/>
  <c r="AD229" i="20" s="1"/>
  <c r="AI221" i="20"/>
  <c r="AH221" i="20" s="1"/>
  <c r="AG221" i="20" s="1"/>
  <c r="AF221" i="20" s="1"/>
  <c r="AI213" i="20"/>
  <c r="AH213" i="20" s="1"/>
  <c r="AG213" i="20" s="1"/>
  <c r="AF213" i="20" s="1"/>
  <c r="AI205" i="20"/>
  <c r="AH205" i="20" s="1"/>
  <c r="AG205" i="20" s="1"/>
  <c r="AF205" i="20" s="1"/>
  <c r="AI197" i="20"/>
  <c r="AH197" i="20" s="1"/>
  <c r="AG197" i="20" s="1"/>
  <c r="AF197" i="20" s="1"/>
  <c r="AI189" i="20"/>
  <c r="AH189" i="20" s="1"/>
  <c r="AG189" i="20" s="1"/>
  <c r="AF189" i="20" s="1"/>
  <c r="AI181" i="20"/>
  <c r="AH181" i="20" s="1"/>
  <c r="AG181" i="20" s="1"/>
  <c r="AF181" i="20" s="1"/>
  <c r="AI173" i="20"/>
  <c r="AH173" i="20" s="1"/>
  <c r="AG173" i="20" s="1"/>
  <c r="AF173" i="20" s="1"/>
  <c r="AI165" i="20"/>
  <c r="AH165" i="20" s="1"/>
  <c r="AG165" i="20" s="1"/>
  <c r="AF165" i="20" s="1"/>
  <c r="AI157" i="20"/>
  <c r="AH157" i="20" s="1"/>
  <c r="AG157" i="20" s="1"/>
  <c r="AF157" i="20" s="1"/>
  <c r="AI149" i="20"/>
  <c r="AH149" i="20" s="1"/>
  <c r="AG149" i="20" s="1"/>
  <c r="AF149" i="20" s="1"/>
  <c r="AI141" i="20"/>
  <c r="AH141" i="20" s="1"/>
  <c r="AG141" i="20" s="1"/>
  <c r="AF141" i="20" s="1"/>
  <c r="AI133" i="20"/>
  <c r="AH133" i="20" s="1"/>
  <c r="AG133" i="20" s="1"/>
  <c r="AF133" i="20" s="1"/>
  <c r="AI125" i="20"/>
  <c r="AH125" i="20" s="1"/>
  <c r="AG125" i="20" s="1"/>
  <c r="AF125" i="20" s="1"/>
  <c r="AI117" i="20"/>
  <c r="AH117" i="20" s="1"/>
  <c r="AG117" i="20" s="1"/>
  <c r="AF117" i="20" s="1"/>
  <c r="AD117" i="20" s="1"/>
  <c r="AI109" i="20"/>
  <c r="AH109" i="20" s="1"/>
  <c r="AG109" i="20" s="1"/>
  <c r="AF109" i="20" s="1"/>
  <c r="AD109" i="20" s="1"/>
  <c r="AI101" i="20"/>
  <c r="AH101" i="20" s="1"/>
  <c r="AG101" i="20" s="1"/>
  <c r="AF101" i="20" s="1"/>
  <c r="AD101" i="20" s="1"/>
  <c r="AI97" i="20"/>
  <c r="AH97" i="20" s="1"/>
  <c r="AG97" i="20" s="1"/>
  <c r="AF97" i="20" s="1"/>
  <c r="AD97" i="20" s="1"/>
  <c r="AI93" i="20"/>
  <c r="AH93" i="20" s="1"/>
  <c r="AG93" i="20" s="1"/>
  <c r="AF93" i="20" s="1"/>
  <c r="AD93" i="20" s="1"/>
  <c r="AI89" i="20"/>
  <c r="AH89" i="20" s="1"/>
  <c r="AG89" i="20" s="1"/>
  <c r="AF89" i="20" s="1"/>
  <c r="AD89" i="20" s="1"/>
  <c r="AI85" i="20"/>
  <c r="AH85" i="20" s="1"/>
  <c r="AG85" i="20" s="1"/>
  <c r="AF85" i="20" s="1"/>
  <c r="AD85" i="20" s="1"/>
  <c r="AI81" i="20"/>
  <c r="AH81" i="20" s="1"/>
  <c r="AG81" i="20" s="1"/>
  <c r="AF81" i="20" s="1"/>
  <c r="AD81" i="20" s="1"/>
  <c r="AI77" i="20"/>
  <c r="AH77" i="20" s="1"/>
  <c r="AG77" i="20" s="1"/>
  <c r="AF77" i="20" s="1"/>
  <c r="AD77" i="20" s="1"/>
  <c r="AI73" i="20"/>
  <c r="AH73" i="20" s="1"/>
  <c r="AG73" i="20" s="1"/>
  <c r="AF73" i="20" s="1"/>
  <c r="AD73" i="20" s="1"/>
  <c r="AI69" i="20"/>
  <c r="AH69" i="20" s="1"/>
  <c r="AG69" i="20" s="1"/>
  <c r="AF69" i="20" s="1"/>
  <c r="AD69" i="20" s="1"/>
  <c r="AI65" i="20"/>
  <c r="AH65" i="20" s="1"/>
  <c r="AG65" i="20" s="1"/>
  <c r="AF65" i="20" s="1"/>
  <c r="AD65" i="20" s="1"/>
  <c r="AI61" i="20"/>
  <c r="AH61" i="20" s="1"/>
  <c r="AG61" i="20" s="1"/>
  <c r="AF61" i="20" s="1"/>
  <c r="AD61" i="20" s="1"/>
  <c r="AI57" i="20"/>
  <c r="AH57" i="20" s="1"/>
  <c r="AG57" i="20" s="1"/>
  <c r="AF57" i="20" s="1"/>
  <c r="AD57" i="20" s="1"/>
  <c r="AI53" i="20"/>
  <c r="AH53" i="20" s="1"/>
  <c r="AG53" i="20" s="1"/>
  <c r="AF53" i="20" s="1"/>
  <c r="AD53" i="20" s="1"/>
  <c r="AI49" i="20"/>
  <c r="AH49" i="20" s="1"/>
  <c r="AG49" i="20" s="1"/>
  <c r="AF49" i="20" s="1"/>
  <c r="AD49" i="20" s="1"/>
  <c r="AI379" i="20"/>
  <c r="AH379" i="20" s="1"/>
  <c r="AI363" i="20"/>
  <c r="AH363" i="20" s="1"/>
  <c r="AG363" i="20" s="1"/>
  <c r="AF363" i="20" s="1"/>
  <c r="AD363" i="20" s="1"/>
  <c r="AI347" i="20"/>
  <c r="AH347" i="20" s="1"/>
  <c r="AG347" i="20" s="1"/>
  <c r="AF347" i="20" s="1"/>
  <c r="AD347" i="20" s="1"/>
  <c r="AI331" i="20"/>
  <c r="AH331" i="20" s="1"/>
  <c r="AG331" i="20" s="1"/>
  <c r="AF331" i="20" s="1"/>
  <c r="AI315" i="20"/>
  <c r="AH315" i="20" s="1"/>
  <c r="AG315" i="20" s="1"/>
  <c r="AF315" i="20" s="1"/>
  <c r="AI299" i="20"/>
  <c r="AH299" i="20" s="1"/>
  <c r="AG299" i="20" s="1"/>
  <c r="AF299" i="20" s="1"/>
  <c r="AI283" i="20"/>
  <c r="AH283" i="20" s="1"/>
  <c r="AG283" i="20" s="1"/>
  <c r="AF283" i="20" s="1"/>
  <c r="AD283" i="20" s="1"/>
  <c r="AI267" i="20"/>
  <c r="AH267" i="20" s="1"/>
  <c r="AG267" i="20" s="1"/>
  <c r="AF267" i="20" s="1"/>
  <c r="AI251" i="20"/>
  <c r="AH251" i="20" s="1"/>
  <c r="AG251" i="20" s="1"/>
  <c r="AF251" i="20" s="1"/>
  <c r="AD251" i="20" s="1"/>
  <c r="AI235" i="20"/>
  <c r="AH235" i="20" s="1"/>
  <c r="AG235" i="20" s="1"/>
  <c r="AF235" i="20" s="1"/>
  <c r="AI219" i="20"/>
  <c r="AH219" i="20" s="1"/>
  <c r="AG219" i="20" s="1"/>
  <c r="AF219" i="20" s="1"/>
  <c r="AI203" i="20"/>
  <c r="AH203" i="20" s="1"/>
  <c r="AG203" i="20" s="1"/>
  <c r="AF203" i="20" s="1"/>
  <c r="AI187" i="20"/>
  <c r="AH187" i="20" s="1"/>
  <c r="AG187" i="20" s="1"/>
  <c r="AF187" i="20" s="1"/>
  <c r="AD187" i="20" s="1"/>
  <c r="AI171" i="20"/>
  <c r="AH171" i="20" s="1"/>
  <c r="AG171" i="20" s="1"/>
  <c r="AF171" i="20" s="1"/>
  <c r="AI155" i="20"/>
  <c r="AH155" i="20" s="1"/>
  <c r="AG155" i="20" s="1"/>
  <c r="AF155" i="20" s="1"/>
  <c r="AD155" i="20" s="1"/>
  <c r="AI139" i="20"/>
  <c r="AH139" i="20" s="1"/>
  <c r="AG139" i="20" s="1"/>
  <c r="AF139" i="20" s="1"/>
  <c r="AI123" i="20"/>
  <c r="AH123" i="20" s="1"/>
  <c r="AG123" i="20" s="1"/>
  <c r="AF123" i="20" s="1"/>
  <c r="AD123" i="20" s="1"/>
  <c r="AI107" i="20"/>
  <c r="AH107" i="20" s="1"/>
  <c r="AG107" i="20" s="1"/>
  <c r="AF107" i="20" s="1"/>
  <c r="AI99" i="20"/>
  <c r="AH99" i="20" s="1"/>
  <c r="AG99" i="20" s="1"/>
  <c r="AF99" i="20" s="1"/>
  <c r="AD99" i="20" s="1"/>
  <c r="AI91" i="20"/>
  <c r="AH91" i="20" s="1"/>
  <c r="AG91" i="20" s="1"/>
  <c r="AF91" i="20" s="1"/>
  <c r="AD91" i="20" s="1"/>
  <c r="AI83" i="20"/>
  <c r="AH83" i="20" s="1"/>
  <c r="AG83" i="20" s="1"/>
  <c r="AF83" i="20" s="1"/>
  <c r="AD83" i="20" s="1"/>
  <c r="AI75" i="20"/>
  <c r="AH75" i="20" s="1"/>
  <c r="AG75" i="20" s="1"/>
  <c r="AF75" i="20" s="1"/>
  <c r="AD75" i="20" s="1"/>
  <c r="AI67" i="20"/>
  <c r="AH67" i="20" s="1"/>
  <c r="AG67" i="20" s="1"/>
  <c r="AF67" i="20" s="1"/>
  <c r="AD67" i="20" s="1"/>
  <c r="AI59" i="20"/>
  <c r="AH59" i="20" s="1"/>
  <c r="AG59" i="20" s="1"/>
  <c r="AF59" i="20" s="1"/>
  <c r="AD59" i="20" s="1"/>
  <c r="AI51" i="20"/>
  <c r="AH51" i="20" s="1"/>
  <c r="AG51" i="20" s="1"/>
  <c r="AF51" i="20" s="1"/>
  <c r="AD51" i="20" s="1"/>
  <c r="AI45" i="20"/>
  <c r="AH45" i="20" s="1"/>
  <c r="AG45" i="20" s="1"/>
  <c r="AF45" i="20" s="1"/>
  <c r="AD45" i="20" s="1"/>
  <c r="AI41" i="20"/>
  <c r="AH41" i="20" s="1"/>
  <c r="AG41" i="20" s="1"/>
  <c r="AF41" i="20" s="1"/>
  <c r="AD41" i="20" s="1"/>
  <c r="AI37" i="20"/>
  <c r="AH37" i="20" s="1"/>
  <c r="AG37" i="20" s="1"/>
  <c r="AF37" i="20" s="1"/>
  <c r="AD37" i="20" s="1"/>
  <c r="AI33" i="20"/>
  <c r="AH33" i="20" s="1"/>
  <c r="AG33" i="20" s="1"/>
  <c r="AF33" i="20" s="1"/>
  <c r="AD33" i="20" s="1"/>
  <c r="AI29" i="20"/>
  <c r="AH29" i="20" s="1"/>
  <c r="AG29" i="20" s="1"/>
  <c r="AF29" i="20" s="1"/>
  <c r="AD29" i="20" s="1"/>
  <c r="AI25" i="20"/>
  <c r="AH25" i="20" s="1"/>
  <c r="AG25" i="20" s="1"/>
  <c r="AF25" i="20" s="1"/>
  <c r="AD25" i="20" s="1"/>
  <c r="AI19" i="20"/>
  <c r="AH19" i="20" s="1"/>
  <c r="AG19" i="20" s="1"/>
  <c r="AF19" i="20" s="1"/>
  <c r="AD19" i="20" s="1"/>
  <c r="AI20" i="20"/>
  <c r="AH20" i="20" s="1"/>
  <c r="AG20" i="20" s="1"/>
  <c r="AF20" i="20" s="1"/>
  <c r="AD20" i="20" s="1"/>
  <c r="AI16" i="7"/>
  <c r="U19" i="20"/>
  <c r="T19" i="20" s="1"/>
  <c r="S19" i="20" s="1"/>
  <c r="R19" i="20" s="1"/>
  <c r="U20" i="20"/>
  <c r="T20" i="20" s="1"/>
  <c r="S20" i="20" s="1"/>
  <c r="R20" i="20" s="1"/>
  <c r="P20" i="20" s="1"/>
  <c r="V20" i="20" s="1"/>
  <c r="U17" i="20"/>
  <c r="T17" i="20" s="1"/>
  <c r="S17" i="20" s="1"/>
  <c r="R17" i="20" s="1"/>
  <c r="P17" i="20" s="1"/>
  <c r="V17" i="20" s="1"/>
  <c r="U22" i="20"/>
  <c r="T22" i="20" s="1"/>
  <c r="S22" i="20" s="1"/>
  <c r="R22" i="20" s="1"/>
  <c r="P22" i="20" s="1"/>
  <c r="V22" i="20" s="1"/>
  <c r="U24" i="20"/>
  <c r="T24" i="20" s="1"/>
  <c r="S24" i="20" s="1"/>
  <c r="R24" i="20" s="1"/>
  <c r="U26" i="20"/>
  <c r="T26" i="20" s="1"/>
  <c r="S26" i="20" s="1"/>
  <c r="R26" i="20" s="1"/>
  <c r="P26" i="20" s="1"/>
  <c r="V26" i="20" s="1"/>
  <c r="U28" i="20"/>
  <c r="T28" i="20" s="1"/>
  <c r="S28" i="20" s="1"/>
  <c r="R28" i="20" s="1"/>
  <c r="P28" i="20" s="1"/>
  <c r="V28" i="20" s="1"/>
  <c r="U30" i="20"/>
  <c r="T30" i="20" s="1"/>
  <c r="S30" i="20" s="1"/>
  <c r="R30" i="20" s="1"/>
  <c r="P30" i="20" s="1"/>
  <c r="V30" i="20" s="1"/>
  <c r="U32" i="20"/>
  <c r="T32" i="20" s="1"/>
  <c r="S32" i="20" s="1"/>
  <c r="R32" i="20" s="1"/>
  <c r="P32" i="20" s="1"/>
  <c r="V32" i="20" s="1"/>
  <c r="U34" i="20"/>
  <c r="T34" i="20" s="1"/>
  <c r="S34" i="20" s="1"/>
  <c r="R34" i="20" s="1"/>
  <c r="P34" i="20" s="1"/>
  <c r="V34" i="20" s="1"/>
  <c r="U36" i="20"/>
  <c r="T36" i="20" s="1"/>
  <c r="S36" i="20" s="1"/>
  <c r="R36" i="20" s="1"/>
  <c r="P36" i="20" s="1"/>
  <c r="V36" i="20" s="1"/>
  <c r="U38" i="20"/>
  <c r="T38" i="20" s="1"/>
  <c r="S38" i="20" s="1"/>
  <c r="R38" i="20" s="1"/>
  <c r="P38" i="20" s="1"/>
  <c r="V38" i="20" s="1"/>
  <c r="U40" i="20"/>
  <c r="T40" i="20" s="1"/>
  <c r="S40" i="20" s="1"/>
  <c r="R40" i="20" s="1"/>
  <c r="P40" i="20" s="1"/>
  <c r="V40" i="20" s="1"/>
  <c r="U42" i="20"/>
  <c r="T42" i="20" s="1"/>
  <c r="S42" i="20" s="1"/>
  <c r="R42" i="20" s="1"/>
  <c r="P42" i="20" s="1"/>
  <c r="V42" i="20" s="1"/>
  <c r="U44" i="20"/>
  <c r="T44" i="20" s="1"/>
  <c r="S44" i="20" s="1"/>
  <c r="R44" i="20" s="1"/>
  <c r="P44" i="20" s="1"/>
  <c r="V44" i="20" s="1"/>
  <c r="U46" i="20"/>
  <c r="T46" i="20" s="1"/>
  <c r="S46" i="20" s="1"/>
  <c r="R46" i="20" s="1"/>
  <c r="P46" i="20" s="1"/>
  <c r="V46" i="20" s="1"/>
  <c r="U48" i="20"/>
  <c r="T48" i="20" s="1"/>
  <c r="S48" i="20" s="1"/>
  <c r="R48" i="20" s="1"/>
  <c r="P48" i="20" s="1"/>
  <c r="V48" i="20" s="1"/>
  <c r="U50" i="20"/>
  <c r="T50" i="20" s="1"/>
  <c r="S50" i="20" s="1"/>
  <c r="R50" i="20" s="1"/>
  <c r="P50" i="20" s="1"/>
  <c r="V50" i="20" s="1"/>
  <c r="U52" i="20"/>
  <c r="T52" i="20" s="1"/>
  <c r="S52" i="20" s="1"/>
  <c r="R52" i="20" s="1"/>
  <c r="P52" i="20" s="1"/>
  <c r="V52" i="20" s="1"/>
  <c r="U54" i="20"/>
  <c r="T54" i="20" s="1"/>
  <c r="S54" i="20" s="1"/>
  <c r="R54" i="20" s="1"/>
  <c r="P54" i="20" s="1"/>
  <c r="V54" i="20" s="1"/>
  <c r="U56" i="20"/>
  <c r="T56" i="20" s="1"/>
  <c r="S56" i="20" s="1"/>
  <c r="R56" i="20" s="1"/>
  <c r="P56" i="20" s="1"/>
  <c r="V56" i="20" s="1"/>
  <c r="U58" i="20"/>
  <c r="T58" i="20" s="1"/>
  <c r="S58" i="20" s="1"/>
  <c r="R58" i="20" s="1"/>
  <c r="P58" i="20" s="1"/>
  <c r="V58" i="20" s="1"/>
  <c r="U60" i="20"/>
  <c r="T60" i="20" s="1"/>
  <c r="S60" i="20" s="1"/>
  <c r="R60" i="20" s="1"/>
  <c r="P60" i="20" s="1"/>
  <c r="V60" i="20" s="1"/>
  <c r="U62" i="20"/>
  <c r="T62" i="20" s="1"/>
  <c r="S62" i="20" s="1"/>
  <c r="R62" i="20" s="1"/>
  <c r="P62" i="20" s="1"/>
  <c r="V62" i="20" s="1"/>
  <c r="U64" i="20"/>
  <c r="T64" i="20" s="1"/>
  <c r="S64" i="20" s="1"/>
  <c r="R64" i="20" s="1"/>
  <c r="P64" i="20" s="1"/>
  <c r="V64" i="20" s="1"/>
  <c r="U66" i="20"/>
  <c r="T66" i="20" s="1"/>
  <c r="S66" i="20" s="1"/>
  <c r="R66" i="20" s="1"/>
  <c r="P66" i="20" s="1"/>
  <c r="V66" i="20" s="1"/>
  <c r="U68" i="20"/>
  <c r="T68" i="20" s="1"/>
  <c r="S68" i="20" s="1"/>
  <c r="R68" i="20" s="1"/>
  <c r="P68" i="20" s="1"/>
  <c r="V68" i="20" s="1"/>
  <c r="U70" i="20"/>
  <c r="T70" i="20" s="1"/>
  <c r="S70" i="20" s="1"/>
  <c r="R70" i="20" s="1"/>
  <c r="P70" i="20" s="1"/>
  <c r="V70" i="20" s="1"/>
  <c r="U72" i="20"/>
  <c r="T72" i="20" s="1"/>
  <c r="S72" i="20" s="1"/>
  <c r="R72" i="20" s="1"/>
  <c r="U74" i="20"/>
  <c r="T74" i="20" s="1"/>
  <c r="S74" i="20" s="1"/>
  <c r="R74" i="20" s="1"/>
  <c r="P74" i="20" s="1"/>
  <c r="V74" i="20" s="1"/>
  <c r="U76" i="20"/>
  <c r="T76" i="20" s="1"/>
  <c r="S76" i="20" s="1"/>
  <c r="R76" i="20" s="1"/>
  <c r="P76" i="20" s="1"/>
  <c r="V76" i="20" s="1"/>
  <c r="U78" i="20"/>
  <c r="T78" i="20" s="1"/>
  <c r="S78" i="20" s="1"/>
  <c r="R78" i="20" s="1"/>
  <c r="P78" i="20" s="1"/>
  <c r="V78" i="20" s="1"/>
  <c r="U80" i="20"/>
  <c r="T80" i="20" s="1"/>
  <c r="S80" i="20" s="1"/>
  <c r="R80" i="20" s="1"/>
  <c r="P80" i="20" s="1"/>
  <c r="V80" i="20" s="1"/>
  <c r="U82" i="20"/>
  <c r="T82" i="20" s="1"/>
  <c r="S82" i="20" s="1"/>
  <c r="R82" i="20" s="1"/>
  <c r="P82" i="20" s="1"/>
  <c r="V82" i="20" s="1"/>
  <c r="U84" i="20"/>
  <c r="T84" i="20" s="1"/>
  <c r="S84" i="20" s="1"/>
  <c r="R84" i="20" s="1"/>
  <c r="P84" i="20" s="1"/>
  <c r="V84" i="20" s="1"/>
  <c r="U86" i="20"/>
  <c r="T86" i="20" s="1"/>
  <c r="S86" i="20" s="1"/>
  <c r="R86" i="20" s="1"/>
  <c r="P86" i="20" s="1"/>
  <c r="V86" i="20" s="1"/>
  <c r="U88" i="20"/>
  <c r="T88" i="20" s="1"/>
  <c r="S88" i="20" s="1"/>
  <c r="R88" i="20" s="1"/>
  <c r="U90" i="20"/>
  <c r="T90" i="20" s="1"/>
  <c r="S90" i="20" s="1"/>
  <c r="R90" i="20" s="1"/>
  <c r="U92" i="20"/>
  <c r="T92" i="20" s="1"/>
  <c r="S92" i="20" s="1"/>
  <c r="R92" i="20" s="1"/>
  <c r="P92" i="20" s="1"/>
  <c r="V92" i="20" s="1"/>
  <c r="U94" i="20"/>
  <c r="T94" i="20" s="1"/>
  <c r="S94" i="20" s="1"/>
  <c r="R94" i="20" s="1"/>
  <c r="P94" i="20" s="1"/>
  <c r="V94" i="20" s="1"/>
  <c r="U96" i="20"/>
  <c r="T96" i="20" s="1"/>
  <c r="S96" i="20" s="1"/>
  <c r="R96" i="20" s="1"/>
  <c r="P96" i="20" s="1"/>
  <c r="V96" i="20" s="1"/>
  <c r="U98" i="20"/>
  <c r="T98" i="20" s="1"/>
  <c r="S98" i="20" s="1"/>
  <c r="R98" i="20" s="1"/>
  <c r="P98" i="20" s="1"/>
  <c r="V98" i="20" s="1"/>
  <c r="U100" i="20"/>
  <c r="T100" i="20" s="1"/>
  <c r="S100" i="20" s="1"/>
  <c r="R100" i="20" s="1"/>
  <c r="U102" i="20"/>
  <c r="T102" i="20" s="1"/>
  <c r="S102" i="20" s="1"/>
  <c r="R102" i="20" s="1"/>
  <c r="P102" i="20" s="1"/>
  <c r="V102" i="20" s="1"/>
  <c r="U104" i="20"/>
  <c r="T104" i="20" s="1"/>
  <c r="S104" i="20" s="1"/>
  <c r="R104" i="20" s="1"/>
  <c r="P104" i="20" s="1"/>
  <c r="V104" i="20" s="1"/>
  <c r="U106" i="20"/>
  <c r="T106" i="20" s="1"/>
  <c r="S106" i="20" s="1"/>
  <c r="R106" i="20" s="1"/>
  <c r="P106" i="20" s="1"/>
  <c r="V106" i="20" s="1"/>
  <c r="U108" i="20"/>
  <c r="T108" i="20" s="1"/>
  <c r="S108" i="20" s="1"/>
  <c r="R108" i="20" s="1"/>
  <c r="P108" i="20" s="1"/>
  <c r="V108" i="20" s="1"/>
  <c r="U110" i="20"/>
  <c r="T110" i="20" s="1"/>
  <c r="S110" i="20" s="1"/>
  <c r="R110" i="20" s="1"/>
  <c r="P110" i="20" s="1"/>
  <c r="V110" i="20" s="1"/>
  <c r="U112" i="20"/>
  <c r="T112" i="20" s="1"/>
  <c r="S112" i="20" s="1"/>
  <c r="R112" i="20" s="1"/>
  <c r="P112" i="20" s="1"/>
  <c r="V112" i="20" s="1"/>
  <c r="U114" i="20"/>
  <c r="T114" i="20" s="1"/>
  <c r="S114" i="20" s="1"/>
  <c r="R114" i="20" s="1"/>
  <c r="P114" i="20" s="1"/>
  <c r="V114" i="20" s="1"/>
  <c r="U116" i="20"/>
  <c r="T116" i="20" s="1"/>
  <c r="S116" i="20" s="1"/>
  <c r="R116" i="20" s="1"/>
  <c r="P116" i="20" s="1"/>
  <c r="V116" i="20" s="1"/>
  <c r="U118" i="20"/>
  <c r="T118" i="20" s="1"/>
  <c r="S118" i="20" s="1"/>
  <c r="R118" i="20" s="1"/>
  <c r="P118" i="20" s="1"/>
  <c r="V118" i="20" s="1"/>
  <c r="U120" i="20"/>
  <c r="T120" i="20" s="1"/>
  <c r="S120" i="20" s="1"/>
  <c r="R120" i="20" s="1"/>
  <c r="P120" i="20" s="1"/>
  <c r="V120" i="20" s="1"/>
  <c r="U122" i="20"/>
  <c r="T122" i="20" s="1"/>
  <c r="S122" i="20" s="1"/>
  <c r="R122" i="20" s="1"/>
  <c r="P122" i="20" s="1"/>
  <c r="V122" i="20" s="1"/>
  <c r="U124" i="20"/>
  <c r="T124" i="20" s="1"/>
  <c r="S124" i="20" s="1"/>
  <c r="R124" i="20" s="1"/>
  <c r="P124" i="20" s="1"/>
  <c r="V124" i="20" s="1"/>
  <c r="U126" i="20"/>
  <c r="T126" i="20" s="1"/>
  <c r="S126" i="20" s="1"/>
  <c r="R126" i="20" s="1"/>
  <c r="P126" i="20" s="1"/>
  <c r="V126" i="20" s="1"/>
  <c r="U128" i="20"/>
  <c r="T128" i="20" s="1"/>
  <c r="S128" i="20" s="1"/>
  <c r="R128" i="20" s="1"/>
  <c r="P128" i="20" s="1"/>
  <c r="V128" i="20" s="1"/>
  <c r="U130" i="20"/>
  <c r="T130" i="20" s="1"/>
  <c r="S130" i="20" s="1"/>
  <c r="R130" i="20" s="1"/>
  <c r="P130" i="20" s="1"/>
  <c r="V130" i="20" s="1"/>
  <c r="U132" i="20"/>
  <c r="T132" i="20" s="1"/>
  <c r="S132" i="20" s="1"/>
  <c r="R132" i="20" s="1"/>
  <c r="P132" i="20" s="1"/>
  <c r="V132" i="20" s="1"/>
  <c r="U134" i="20"/>
  <c r="T134" i="20" s="1"/>
  <c r="S134" i="20" s="1"/>
  <c r="R134" i="20" s="1"/>
  <c r="P134" i="20" s="1"/>
  <c r="V134" i="20" s="1"/>
  <c r="U136" i="20"/>
  <c r="T136" i="20" s="1"/>
  <c r="S136" i="20" s="1"/>
  <c r="R136" i="20" s="1"/>
  <c r="P136" i="20" s="1"/>
  <c r="V136" i="20" s="1"/>
  <c r="U138" i="20"/>
  <c r="T138" i="20" s="1"/>
  <c r="S138" i="20" s="1"/>
  <c r="R138" i="20" s="1"/>
  <c r="P138" i="20" s="1"/>
  <c r="V138" i="20" s="1"/>
  <c r="U140" i="20"/>
  <c r="T140" i="20" s="1"/>
  <c r="S140" i="20" s="1"/>
  <c r="R140" i="20" s="1"/>
  <c r="P140" i="20" s="1"/>
  <c r="V140" i="20" s="1"/>
  <c r="U142" i="20"/>
  <c r="T142" i="20" s="1"/>
  <c r="S142" i="20" s="1"/>
  <c r="R142" i="20" s="1"/>
  <c r="P142" i="20" s="1"/>
  <c r="V142" i="20" s="1"/>
  <c r="U144" i="20"/>
  <c r="T144" i="20" s="1"/>
  <c r="S144" i="20" s="1"/>
  <c r="R144" i="20" s="1"/>
  <c r="P144" i="20" s="1"/>
  <c r="V144" i="20" s="1"/>
  <c r="U146" i="20"/>
  <c r="T146" i="20" s="1"/>
  <c r="S146" i="20" s="1"/>
  <c r="R146" i="20" s="1"/>
  <c r="P146" i="20" s="1"/>
  <c r="V146" i="20" s="1"/>
  <c r="U148" i="20"/>
  <c r="T148" i="20" s="1"/>
  <c r="S148" i="20" s="1"/>
  <c r="R148" i="20" s="1"/>
  <c r="P148" i="20" s="1"/>
  <c r="V148" i="20" s="1"/>
  <c r="U150" i="20"/>
  <c r="T150" i="20" s="1"/>
  <c r="S150" i="20" s="1"/>
  <c r="R150" i="20" s="1"/>
  <c r="P150" i="20" s="1"/>
  <c r="V150" i="20" s="1"/>
  <c r="U152" i="20"/>
  <c r="T152" i="20" s="1"/>
  <c r="S152" i="20" s="1"/>
  <c r="R152" i="20" s="1"/>
  <c r="P152" i="20" s="1"/>
  <c r="V152" i="20" s="1"/>
  <c r="U154" i="20"/>
  <c r="T154" i="20" s="1"/>
  <c r="S154" i="20" s="1"/>
  <c r="R154" i="20" s="1"/>
  <c r="P154" i="20" s="1"/>
  <c r="V154" i="20" s="1"/>
  <c r="U156" i="20"/>
  <c r="T156" i="20" s="1"/>
  <c r="S156" i="20" s="1"/>
  <c r="R156" i="20" s="1"/>
  <c r="P156" i="20" s="1"/>
  <c r="V156" i="20" s="1"/>
  <c r="U158" i="20"/>
  <c r="T158" i="20" s="1"/>
  <c r="S158" i="20" s="1"/>
  <c r="R158" i="20" s="1"/>
  <c r="P158" i="20" s="1"/>
  <c r="V158" i="20" s="1"/>
  <c r="U160" i="20"/>
  <c r="T160" i="20" s="1"/>
  <c r="S160" i="20" s="1"/>
  <c r="R160" i="20" s="1"/>
  <c r="P160" i="20" s="1"/>
  <c r="V160" i="20" s="1"/>
  <c r="U162" i="20"/>
  <c r="T162" i="20" s="1"/>
  <c r="S162" i="20" s="1"/>
  <c r="R162" i="20" s="1"/>
  <c r="P162" i="20" s="1"/>
  <c r="V162" i="20" s="1"/>
  <c r="U164" i="20"/>
  <c r="T164" i="20" s="1"/>
  <c r="S164" i="20" s="1"/>
  <c r="R164" i="20" s="1"/>
  <c r="P164" i="20" s="1"/>
  <c r="V164" i="20" s="1"/>
  <c r="U166" i="20"/>
  <c r="T166" i="20" s="1"/>
  <c r="S166" i="20" s="1"/>
  <c r="R166" i="20" s="1"/>
  <c r="P166" i="20" s="1"/>
  <c r="V166" i="20" s="1"/>
  <c r="U168" i="20"/>
  <c r="T168" i="20" s="1"/>
  <c r="S168" i="20" s="1"/>
  <c r="R168" i="20" s="1"/>
  <c r="P168" i="20" s="1"/>
  <c r="V168" i="20" s="1"/>
  <c r="U170" i="20"/>
  <c r="T170" i="20" s="1"/>
  <c r="S170" i="20" s="1"/>
  <c r="R170" i="20" s="1"/>
  <c r="P170" i="20" s="1"/>
  <c r="V170" i="20" s="1"/>
  <c r="U172" i="20"/>
  <c r="T172" i="20" s="1"/>
  <c r="S172" i="20" s="1"/>
  <c r="R172" i="20" s="1"/>
  <c r="P172" i="20" s="1"/>
  <c r="V172" i="20" s="1"/>
  <c r="U174" i="20"/>
  <c r="T174" i="20" s="1"/>
  <c r="S174" i="20" s="1"/>
  <c r="R174" i="20" s="1"/>
  <c r="P174" i="20" s="1"/>
  <c r="V174" i="20" s="1"/>
  <c r="U176" i="20"/>
  <c r="T176" i="20" s="1"/>
  <c r="S176" i="20" s="1"/>
  <c r="R176" i="20" s="1"/>
  <c r="P176" i="20" s="1"/>
  <c r="V176" i="20" s="1"/>
  <c r="U178" i="20"/>
  <c r="T178" i="20" s="1"/>
  <c r="S178" i="20" s="1"/>
  <c r="R178" i="20" s="1"/>
  <c r="P178" i="20" s="1"/>
  <c r="V178" i="20" s="1"/>
  <c r="U180" i="20"/>
  <c r="T180" i="20" s="1"/>
  <c r="S180" i="20" s="1"/>
  <c r="R180" i="20" s="1"/>
  <c r="P180" i="20" s="1"/>
  <c r="V180" i="20" s="1"/>
  <c r="U182" i="20"/>
  <c r="T182" i="20" s="1"/>
  <c r="S182" i="20" s="1"/>
  <c r="R182" i="20" s="1"/>
  <c r="P182" i="20" s="1"/>
  <c r="V182" i="20" s="1"/>
  <c r="U184" i="20"/>
  <c r="T184" i="20" s="1"/>
  <c r="S184" i="20" s="1"/>
  <c r="R184" i="20" s="1"/>
  <c r="P184" i="20" s="1"/>
  <c r="V184" i="20" s="1"/>
  <c r="U186" i="20"/>
  <c r="T186" i="20" s="1"/>
  <c r="S186" i="20" s="1"/>
  <c r="R186" i="20" s="1"/>
  <c r="P186" i="20" s="1"/>
  <c r="V186" i="20" s="1"/>
  <c r="U188" i="20"/>
  <c r="T188" i="20" s="1"/>
  <c r="S188" i="20" s="1"/>
  <c r="R188" i="20" s="1"/>
  <c r="P188" i="20" s="1"/>
  <c r="V188" i="20" s="1"/>
  <c r="U190" i="20"/>
  <c r="T190" i="20" s="1"/>
  <c r="S190" i="20" s="1"/>
  <c r="R190" i="20" s="1"/>
  <c r="P190" i="20" s="1"/>
  <c r="V190" i="20" s="1"/>
  <c r="U192" i="20"/>
  <c r="T192" i="20" s="1"/>
  <c r="S192" i="20" s="1"/>
  <c r="R192" i="20" s="1"/>
  <c r="P192" i="20" s="1"/>
  <c r="V192" i="20" s="1"/>
  <c r="U194" i="20"/>
  <c r="T194" i="20" s="1"/>
  <c r="S194" i="20" s="1"/>
  <c r="R194" i="20" s="1"/>
  <c r="P194" i="20" s="1"/>
  <c r="V194" i="20" s="1"/>
  <c r="U196" i="20"/>
  <c r="T196" i="20" s="1"/>
  <c r="S196" i="20" s="1"/>
  <c r="R196" i="20" s="1"/>
  <c r="P196" i="20" s="1"/>
  <c r="V196" i="20" s="1"/>
  <c r="U198" i="20"/>
  <c r="T198" i="20" s="1"/>
  <c r="S198" i="20" s="1"/>
  <c r="R198" i="20" s="1"/>
  <c r="P198" i="20" s="1"/>
  <c r="V198" i="20" s="1"/>
  <c r="U200" i="20"/>
  <c r="T200" i="20" s="1"/>
  <c r="S200" i="20" s="1"/>
  <c r="R200" i="20" s="1"/>
  <c r="P200" i="20" s="1"/>
  <c r="V200" i="20" s="1"/>
  <c r="U202" i="20"/>
  <c r="T202" i="20" s="1"/>
  <c r="S202" i="20" s="1"/>
  <c r="R202" i="20" s="1"/>
  <c r="P202" i="20" s="1"/>
  <c r="V202" i="20" s="1"/>
  <c r="U204" i="20"/>
  <c r="T204" i="20" s="1"/>
  <c r="S204" i="20" s="1"/>
  <c r="R204" i="20" s="1"/>
  <c r="P204" i="20" s="1"/>
  <c r="V204" i="20" s="1"/>
  <c r="U206" i="20"/>
  <c r="T206" i="20" s="1"/>
  <c r="S206" i="20" s="1"/>
  <c r="R206" i="20" s="1"/>
  <c r="P206" i="20" s="1"/>
  <c r="V206" i="20" s="1"/>
  <c r="U208" i="20"/>
  <c r="T208" i="20" s="1"/>
  <c r="S208" i="20" s="1"/>
  <c r="R208" i="20" s="1"/>
  <c r="P208" i="20" s="1"/>
  <c r="V208" i="20" s="1"/>
  <c r="U210" i="20"/>
  <c r="T210" i="20" s="1"/>
  <c r="S210" i="20" s="1"/>
  <c r="R210" i="20" s="1"/>
  <c r="P210" i="20" s="1"/>
  <c r="U212" i="20"/>
  <c r="T212" i="20" s="1"/>
  <c r="S212" i="20" s="1"/>
  <c r="R212" i="20" s="1"/>
  <c r="P212" i="20" s="1"/>
  <c r="V212" i="20" s="1"/>
  <c r="U214" i="20"/>
  <c r="T214" i="20" s="1"/>
  <c r="S214" i="20" s="1"/>
  <c r="R214" i="20" s="1"/>
  <c r="P214" i="20" s="1"/>
  <c r="V214" i="20" s="1"/>
  <c r="U216" i="20"/>
  <c r="T216" i="20" s="1"/>
  <c r="S216" i="20" s="1"/>
  <c r="R216" i="20" s="1"/>
  <c r="P216" i="20" s="1"/>
  <c r="V216" i="20" s="1"/>
  <c r="U218" i="20"/>
  <c r="T218" i="20" s="1"/>
  <c r="S218" i="20" s="1"/>
  <c r="R218" i="20" s="1"/>
  <c r="P218" i="20" s="1"/>
  <c r="V218" i="20" s="1"/>
  <c r="U220" i="20"/>
  <c r="T220" i="20" s="1"/>
  <c r="S220" i="20" s="1"/>
  <c r="R220" i="20" s="1"/>
  <c r="P220" i="20" s="1"/>
  <c r="V220" i="20" s="1"/>
  <c r="U222" i="20"/>
  <c r="T222" i="20" s="1"/>
  <c r="S222" i="20" s="1"/>
  <c r="R222" i="20" s="1"/>
  <c r="P222" i="20" s="1"/>
  <c r="V222" i="20" s="1"/>
  <c r="U224" i="20"/>
  <c r="T224" i="20" s="1"/>
  <c r="S224" i="20" s="1"/>
  <c r="R224" i="20" s="1"/>
  <c r="P224" i="20" s="1"/>
  <c r="V224" i="20" s="1"/>
  <c r="U226" i="20"/>
  <c r="T226" i="20" s="1"/>
  <c r="S226" i="20" s="1"/>
  <c r="R226" i="20" s="1"/>
  <c r="P226" i="20" s="1"/>
  <c r="V226" i="20" s="1"/>
  <c r="U228" i="20"/>
  <c r="T228" i="20" s="1"/>
  <c r="S228" i="20" s="1"/>
  <c r="R228" i="20" s="1"/>
  <c r="P228" i="20" s="1"/>
  <c r="V228" i="20" s="1"/>
  <c r="U230" i="20"/>
  <c r="T230" i="20" s="1"/>
  <c r="S230" i="20" s="1"/>
  <c r="R230" i="20" s="1"/>
  <c r="P230" i="20" s="1"/>
  <c r="V230" i="20" s="1"/>
  <c r="U232" i="20"/>
  <c r="T232" i="20" s="1"/>
  <c r="S232" i="20" s="1"/>
  <c r="R232" i="20" s="1"/>
  <c r="P232" i="20" s="1"/>
  <c r="V232" i="20" s="1"/>
  <c r="U234" i="20"/>
  <c r="T234" i="20" s="1"/>
  <c r="S234" i="20" s="1"/>
  <c r="R234" i="20" s="1"/>
  <c r="P234" i="20" s="1"/>
  <c r="V234" i="20" s="1"/>
  <c r="U236" i="20"/>
  <c r="T236" i="20" s="1"/>
  <c r="S236" i="20" s="1"/>
  <c r="R236" i="20" s="1"/>
  <c r="P236" i="20" s="1"/>
  <c r="V236" i="20" s="1"/>
  <c r="U238" i="20"/>
  <c r="T238" i="20" s="1"/>
  <c r="S238" i="20" s="1"/>
  <c r="R238" i="20" s="1"/>
  <c r="P238" i="20" s="1"/>
  <c r="V238" i="20" s="1"/>
  <c r="U240" i="20"/>
  <c r="T240" i="20" s="1"/>
  <c r="S240" i="20" s="1"/>
  <c r="R240" i="20" s="1"/>
  <c r="P240" i="20" s="1"/>
  <c r="V240" i="20" s="1"/>
  <c r="U242" i="20"/>
  <c r="T242" i="20" s="1"/>
  <c r="S242" i="20" s="1"/>
  <c r="R242" i="20" s="1"/>
  <c r="P242" i="20" s="1"/>
  <c r="V242" i="20" s="1"/>
  <c r="U244" i="20"/>
  <c r="T244" i="20" s="1"/>
  <c r="S244" i="20" s="1"/>
  <c r="R244" i="20" s="1"/>
  <c r="P244" i="20" s="1"/>
  <c r="V244" i="20" s="1"/>
  <c r="U246" i="20"/>
  <c r="T246" i="20" s="1"/>
  <c r="S246" i="20" s="1"/>
  <c r="R246" i="20" s="1"/>
  <c r="P246" i="20" s="1"/>
  <c r="V246" i="20" s="1"/>
  <c r="U248" i="20"/>
  <c r="T248" i="20" s="1"/>
  <c r="S248" i="20" s="1"/>
  <c r="R248" i="20" s="1"/>
  <c r="P248" i="20" s="1"/>
  <c r="V248" i="20" s="1"/>
  <c r="U250" i="20"/>
  <c r="T250" i="20" s="1"/>
  <c r="S250" i="20" s="1"/>
  <c r="R250" i="20" s="1"/>
  <c r="P250" i="20" s="1"/>
  <c r="V250" i="20" s="1"/>
  <c r="U252" i="20"/>
  <c r="T252" i="20" s="1"/>
  <c r="S252" i="20" s="1"/>
  <c r="R252" i="20" s="1"/>
  <c r="P252" i="20" s="1"/>
  <c r="V252" i="20" s="1"/>
  <c r="U254" i="20"/>
  <c r="T254" i="20" s="1"/>
  <c r="S254" i="20" s="1"/>
  <c r="R254" i="20" s="1"/>
  <c r="P254" i="20" s="1"/>
  <c r="V254" i="20" s="1"/>
  <c r="P81" i="20"/>
  <c r="V81" i="20" s="1"/>
  <c r="AI16" i="20"/>
  <c r="AH16" i="20" s="1"/>
  <c r="AG16" i="20" s="1"/>
  <c r="AF16" i="20" s="1"/>
  <c r="AD16" i="20" s="1"/>
  <c r="AI27" i="20"/>
  <c r="AH27" i="20" s="1"/>
  <c r="AG27" i="20" s="1"/>
  <c r="AF27" i="20" s="1"/>
  <c r="AD27" i="20" s="1"/>
  <c r="AI35" i="20"/>
  <c r="AH35" i="20" s="1"/>
  <c r="AG35" i="20" s="1"/>
  <c r="AF35" i="20" s="1"/>
  <c r="AD35" i="20" s="1"/>
  <c r="AI43" i="20"/>
  <c r="AH43" i="20" s="1"/>
  <c r="AG43" i="20" s="1"/>
  <c r="AF43" i="20" s="1"/>
  <c r="AD43" i="20" s="1"/>
  <c r="AI55" i="20"/>
  <c r="AH55" i="20" s="1"/>
  <c r="AG55" i="20" s="1"/>
  <c r="AF55" i="20" s="1"/>
  <c r="AD55" i="20" s="1"/>
  <c r="AI71" i="20"/>
  <c r="AH71" i="20" s="1"/>
  <c r="AG71" i="20" s="1"/>
  <c r="AF71" i="20" s="1"/>
  <c r="AD71" i="20" s="1"/>
  <c r="AI87" i="20"/>
  <c r="AH87" i="20" s="1"/>
  <c r="AG87" i="20" s="1"/>
  <c r="AF87" i="20" s="1"/>
  <c r="AD87" i="20" s="1"/>
  <c r="AI103" i="20"/>
  <c r="AH103" i="20" s="1"/>
  <c r="AG103" i="20" s="1"/>
  <c r="AF103" i="20" s="1"/>
  <c r="AD103" i="20" s="1"/>
  <c r="AI135" i="20"/>
  <c r="AH135" i="20" s="1"/>
  <c r="AG135" i="20" s="1"/>
  <c r="AF135" i="20" s="1"/>
  <c r="AI167" i="20"/>
  <c r="AH167" i="20" s="1"/>
  <c r="AG167" i="20" s="1"/>
  <c r="AF167" i="20" s="1"/>
  <c r="AI199" i="20"/>
  <c r="AH199" i="20" s="1"/>
  <c r="AG199" i="20" s="1"/>
  <c r="AF199" i="20" s="1"/>
  <c r="AI231" i="20"/>
  <c r="AH231" i="20" s="1"/>
  <c r="AG231" i="20" s="1"/>
  <c r="AF231" i="20" s="1"/>
  <c r="AI263" i="20"/>
  <c r="AH263" i="20" s="1"/>
  <c r="AG263" i="20" s="1"/>
  <c r="AF263" i="20" s="1"/>
  <c r="AI295" i="20"/>
  <c r="AH295" i="20" s="1"/>
  <c r="AG295" i="20" s="1"/>
  <c r="AF295" i="20" s="1"/>
  <c r="AI327" i="20"/>
  <c r="AH327" i="20" s="1"/>
  <c r="AG327" i="20" s="1"/>
  <c r="AF327" i="20" s="1"/>
  <c r="AI359" i="20"/>
  <c r="AH359" i="20" s="1"/>
  <c r="AG359" i="20" s="1"/>
  <c r="AF359" i="20" s="1"/>
  <c r="Q382" i="20"/>
  <c r="U380" i="20"/>
  <c r="T380" i="20" s="1"/>
  <c r="S380" i="20" s="1"/>
  <c r="R380" i="20" s="1"/>
  <c r="P380" i="20" s="1"/>
  <c r="V380" i="20" s="1"/>
  <c r="I65" i="19"/>
  <c r="AH381" i="18"/>
  <c r="AH383" i="18"/>
  <c r="AG15" i="18"/>
  <c r="AH382" i="18"/>
  <c r="AG379" i="18"/>
  <c r="AF379" i="18" s="1"/>
  <c r="AD379" i="18" s="1"/>
  <c r="AJ4" i="15"/>
  <c r="P12" i="19" s="1"/>
  <c r="AL13" i="15"/>
  <c r="J65" i="19"/>
  <c r="C65" i="19"/>
  <c r="L65" i="19"/>
  <c r="Q381" i="20"/>
  <c r="M65" i="19"/>
  <c r="G65" i="19"/>
  <c r="Z11" i="15"/>
  <c r="Z5" i="15" s="1"/>
  <c r="H12" i="19" s="1"/>
  <c r="J12" i="19"/>
  <c r="AA11" i="15"/>
  <c r="AA5" i="15" s="1"/>
  <c r="I12" i="19" s="1"/>
  <c r="Q383" i="20"/>
  <c r="AH15" i="20"/>
  <c r="AG26" i="20"/>
  <c r="AF26" i="20" s="1"/>
  <c r="AD26" i="20" s="1"/>
  <c r="AG58" i="20"/>
  <c r="AF58" i="20" s="1"/>
  <c r="AD58" i="20" s="1"/>
  <c r="AG66" i="20"/>
  <c r="AF66" i="20" s="1"/>
  <c r="AD66" i="20" s="1"/>
  <c r="S318" i="20"/>
  <c r="R318" i="20" s="1"/>
  <c r="P318" i="20" s="1"/>
  <c r="V318" i="20" s="1"/>
  <c r="S276" i="20"/>
  <c r="R276" i="20" s="1"/>
  <c r="P276" i="20" s="1"/>
  <c r="V276" i="20" s="1"/>
  <c r="S256" i="20"/>
  <c r="R256" i="20" s="1"/>
  <c r="P256" i="20" s="1"/>
  <c r="V256" i="20" s="1"/>
  <c r="P383" i="17"/>
  <c r="V15" i="17"/>
  <c r="P382" i="17"/>
  <c r="P381" i="17"/>
  <c r="AK4" i="15"/>
  <c r="R12" i="19" s="1"/>
  <c r="N13" i="19" s="1"/>
  <c r="AM13" i="15"/>
  <c r="S381" i="18"/>
  <c r="S382" i="18"/>
  <c r="S383" i="18"/>
  <c r="R15" i="18"/>
  <c r="T379" i="20"/>
  <c r="S379" i="20" s="1"/>
  <c r="R379" i="20" s="1"/>
  <c r="P379" i="20" s="1"/>
  <c r="U12" i="22"/>
  <c r="S363" i="20"/>
  <c r="R363" i="20" s="1"/>
  <c r="P363" i="20" s="1"/>
  <c r="S347" i="20"/>
  <c r="R347" i="20" s="1"/>
  <c r="P347" i="20" s="1"/>
  <c r="V347" i="20" s="1"/>
  <c r="S331" i="20"/>
  <c r="R331" i="20" s="1"/>
  <c r="P331" i="20" s="1"/>
  <c r="V331" i="20" s="1"/>
  <c r="S309" i="20"/>
  <c r="R309" i="20" s="1"/>
  <c r="P309" i="20" s="1"/>
  <c r="V309" i="20" s="1"/>
  <c r="S303" i="20"/>
  <c r="R303" i="20" s="1"/>
  <c r="P303" i="20" s="1"/>
  <c r="V303" i="20" s="1"/>
  <c r="S299" i="20"/>
  <c r="R299" i="20" s="1"/>
  <c r="P299" i="20" s="1"/>
  <c r="V299" i="20" s="1"/>
  <c r="S287" i="20"/>
  <c r="R287" i="20" s="1"/>
  <c r="P287" i="20" s="1"/>
  <c r="V287" i="20" s="1"/>
  <c r="S283" i="20"/>
  <c r="R283" i="20" s="1"/>
  <c r="P283" i="20" s="1"/>
  <c r="V283" i="20" s="1"/>
  <c r="S277" i="20"/>
  <c r="R277" i="20" s="1"/>
  <c r="P277" i="20" s="1"/>
  <c r="V277" i="20" s="1"/>
  <c r="S237" i="20"/>
  <c r="R237" i="20" s="1"/>
  <c r="P237" i="20" s="1"/>
  <c r="V237" i="20" s="1"/>
  <c r="S209" i="20"/>
  <c r="R209" i="20" s="1"/>
  <c r="P209" i="20" s="1"/>
  <c r="V209" i="20" s="1"/>
  <c r="S193" i="20"/>
  <c r="R193" i="20" s="1"/>
  <c r="P193" i="20" s="1"/>
  <c r="V193" i="20" s="1"/>
  <c r="S129" i="20"/>
  <c r="R129" i="20" s="1"/>
  <c r="P129" i="20" s="1"/>
  <c r="V129" i="20" s="1"/>
  <c r="S99" i="20"/>
  <c r="R99" i="20" s="1"/>
  <c r="P99" i="20" s="1"/>
  <c r="V99" i="20" s="1"/>
  <c r="S65" i="20"/>
  <c r="R65" i="20" s="1"/>
  <c r="P65" i="20" s="1"/>
  <c r="V65" i="20" s="1"/>
  <c r="S35" i="20"/>
  <c r="R35" i="20" s="1"/>
  <c r="P35" i="20" s="1"/>
  <c r="V35" i="20" s="1"/>
  <c r="S33" i="20"/>
  <c r="R33" i="20" s="1"/>
  <c r="P33" i="20" s="1"/>
  <c r="V33" i="20" s="1"/>
  <c r="S29" i="20"/>
  <c r="R29" i="20" s="1"/>
  <c r="P29" i="20" s="1"/>
  <c r="T15" i="20"/>
  <c r="Z382" i="16"/>
  <c r="Y15" i="16"/>
  <c r="AL5" i="16" s="1"/>
  <c r="AL11" i="16" s="1"/>
  <c r="AJ3" i="16" s="1"/>
  <c r="O13" i="19" s="1"/>
  <c r="AL8" i="16"/>
  <c r="Z383" i="16"/>
  <c r="Z9" i="16"/>
  <c r="Z381" i="16"/>
  <c r="C7" i="6"/>
  <c r="Q7" i="7"/>
  <c r="AD199" i="20" l="1"/>
  <c r="AD135" i="20"/>
  <c r="AM15" i="7"/>
  <c r="AE11" i="22"/>
  <c r="AD50" i="20"/>
  <c r="P59" i="20"/>
  <c r="V59" i="20" s="1"/>
  <c r="P45" i="20"/>
  <c r="V45" i="20" s="1"/>
  <c r="P179" i="20"/>
  <c r="V179" i="20" s="1"/>
  <c r="P339" i="20"/>
  <c r="V339" i="20" s="1"/>
  <c r="AD82" i="20"/>
  <c r="P77" i="20"/>
  <c r="V77" i="20" s="1"/>
  <c r="AD107" i="20"/>
  <c r="AD235" i="20"/>
  <c r="AD299" i="20"/>
  <c r="AD221" i="20"/>
  <c r="AD253" i="20"/>
  <c r="AD285" i="20"/>
  <c r="AD317" i="20"/>
  <c r="AD349" i="20"/>
  <c r="P163" i="20"/>
  <c r="V163" i="20" s="1"/>
  <c r="P227" i="20"/>
  <c r="V227" i="20" s="1"/>
  <c r="P295" i="20"/>
  <c r="V295" i="20" s="1"/>
  <c r="AD74" i="20"/>
  <c r="AD54" i="20"/>
  <c r="AD42" i="20"/>
  <c r="AD359" i="20"/>
  <c r="AD295" i="20"/>
  <c r="AD231" i="20"/>
  <c r="P41" i="20"/>
  <c r="V41" i="20" s="1"/>
  <c r="P373" i="20"/>
  <c r="V373" i="20" s="1"/>
  <c r="AD90" i="20"/>
  <c r="AD46" i="20"/>
  <c r="P291" i="20"/>
  <c r="V291" i="20" s="1"/>
  <c r="P323" i="20"/>
  <c r="V323" i="20" s="1"/>
  <c r="AE383" i="20"/>
  <c r="P27" i="20"/>
  <c r="V27" i="20" s="1"/>
  <c r="P75" i="20"/>
  <c r="V75" i="20" s="1"/>
  <c r="AD167" i="20"/>
  <c r="P49" i="20"/>
  <c r="V49" i="20" s="1"/>
  <c r="AD219" i="20"/>
  <c r="AD315" i="20"/>
  <c r="AD133" i="20"/>
  <c r="AD149" i="20"/>
  <c r="AD165" i="20"/>
  <c r="AD181" i="20"/>
  <c r="AD197" i="20"/>
  <c r="AD213" i="20"/>
  <c r="P171" i="20"/>
  <c r="V171" i="20" s="1"/>
  <c r="P187" i="20"/>
  <c r="V187" i="20" s="1"/>
  <c r="P327" i="20"/>
  <c r="V327" i="20" s="1"/>
  <c r="AD366" i="20"/>
  <c r="AD302" i="20"/>
  <c r="AD238" i="20"/>
  <c r="AD206" i="20"/>
  <c r="AD207" i="20"/>
  <c r="I36" i="19"/>
  <c r="H36" i="19"/>
  <c r="U383" i="20"/>
  <c r="AI12" i="22"/>
  <c r="E13" i="19"/>
  <c r="AE381" i="20"/>
  <c r="P31" i="20"/>
  <c r="V31" i="20" s="1"/>
  <c r="AD327" i="20"/>
  <c r="AD263" i="20"/>
  <c r="AD139" i="20"/>
  <c r="AD171" i="20"/>
  <c r="AD203" i="20"/>
  <c r="AD267" i="20"/>
  <c r="AD331" i="20"/>
  <c r="AD125" i="20"/>
  <c r="AD141" i="20"/>
  <c r="AD157" i="20"/>
  <c r="AD173" i="20"/>
  <c r="AD189" i="20"/>
  <c r="AD205" i="20"/>
  <c r="AD237" i="20"/>
  <c r="AD269" i="20"/>
  <c r="AD301" i="20"/>
  <c r="AD333" i="20"/>
  <c r="AD365" i="20"/>
  <c r="AD112" i="20"/>
  <c r="AD223" i="20"/>
  <c r="P325" i="20"/>
  <c r="V325" i="20" s="1"/>
  <c r="AD224" i="20"/>
  <c r="AD240" i="20"/>
  <c r="AD256" i="20"/>
  <c r="AD272" i="20"/>
  <c r="AD288" i="20"/>
  <c r="AD304" i="20"/>
  <c r="AD320" i="20"/>
  <c r="AD336" i="20"/>
  <c r="AD352" i="20"/>
  <c r="AD368" i="20"/>
  <c r="AH25" i="7"/>
  <c r="P24" i="20"/>
  <c r="V24" i="20" s="1"/>
  <c r="P357" i="20"/>
  <c r="V357" i="20" s="1"/>
  <c r="AE382" i="20"/>
  <c r="AI255" i="20"/>
  <c r="AH255" i="20" s="1"/>
  <c r="AG255" i="20" s="1"/>
  <c r="AF255" i="20" s="1"/>
  <c r="AD255" i="20" s="1"/>
  <c r="AI370" i="20"/>
  <c r="AH370" i="20" s="1"/>
  <c r="AI354" i="20"/>
  <c r="AH354" i="20" s="1"/>
  <c r="AI338" i="20"/>
  <c r="AH338" i="20" s="1"/>
  <c r="AI322" i="20"/>
  <c r="AH322" i="20" s="1"/>
  <c r="AI306" i="20"/>
  <c r="AH306" i="20" s="1"/>
  <c r="AI290" i="20"/>
  <c r="AH290" i="20" s="1"/>
  <c r="AI274" i="20"/>
  <c r="AH274" i="20" s="1"/>
  <c r="AG274" i="20" s="1"/>
  <c r="AF274" i="20" s="1"/>
  <c r="AD274" i="20" s="1"/>
  <c r="AI378" i="20"/>
  <c r="AH378" i="20" s="1"/>
  <c r="AI346" i="20"/>
  <c r="AH346" i="20" s="1"/>
  <c r="AI314" i="20"/>
  <c r="AH314" i="20" s="1"/>
  <c r="AI282" i="20"/>
  <c r="AH282" i="20" s="1"/>
  <c r="AI258" i="20"/>
  <c r="AH258" i="20" s="1"/>
  <c r="AG258" i="20" s="1"/>
  <c r="AF258" i="20" s="1"/>
  <c r="AD258" i="20" s="1"/>
  <c r="AI242" i="20"/>
  <c r="AH242" i="20" s="1"/>
  <c r="AI226" i="20"/>
  <c r="AH226" i="20" s="1"/>
  <c r="AI210" i="20"/>
  <c r="AH210" i="20" s="1"/>
  <c r="AI194" i="20"/>
  <c r="AH194" i="20" s="1"/>
  <c r="AI178" i="20"/>
  <c r="AH178" i="20" s="1"/>
  <c r="AI162" i="20"/>
  <c r="AH162" i="20" s="1"/>
  <c r="AI146" i="20"/>
  <c r="AH146" i="20" s="1"/>
  <c r="AG146" i="20" s="1"/>
  <c r="AF146" i="20" s="1"/>
  <c r="AD146" i="20" s="1"/>
  <c r="AI130" i="20"/>
  <c r="AH130" i="20" s="1"/>
  <c r="AI114" i="20"/>
  <c r="AH114" i="20" s="1"/>
  <c r="AI127" i="20"/>
  <c r="AH127" i="20" s="1"/>
  <c r="AI362" i="20"/>
  <c r="AH362" i="20" s="1"/>
  <c r="AI330" i="20"/>
  <c r="AH330" i="20" s="1"/>
  <c r="AG330" i="20" s="1"/>
  <c r="AF330" i="20" s="1"/>
  <c r="AD330" i="20" s="1"/>
  <c r="AI298" i="20"/>
  <c r="AH298" i="20" s="1"/>
  <c r="AI266" i="20"/>
  <c r="AH266" i="20" s="1"/>
  <c r="AI250" i="20"/>
  <c r="AH250" i="20" s="1"/>
  <c r="AG250" i="20" s="1"/>
  <c r="AF250" i="20" s="1"/>
  <c r="AD250" i="20" s="1"/>
  <c r="AI234" i="20"/>
  <c r="AH234" i="20" s="1"/>
  <c r="AI218" i="20"/>
  <c r="AH218" i="20" s="1"/>
  <c r="AG218" i="20" s="1"/>
  <c r="AF218" i="20" s="1"/>
  <c r="AD218" i="20" s="1"/>
  <c r="AI202" i="20"/>
  <c r="AH202" i="20" s="1"/>
  <c r="AI186" i="20"/>
  <c r="AH186" i="20" s="1"/>
  <c r="AI170" i="20"/>
  <c r="AH170" i="20" s="1"/>
  <c r="AG170" i="20" s="1"/>
  <c r="AF170" i="20" s="1"/>
  <c r="AD170" i="20" s="1"/>
  <c r="AI154" i="20"/>
  <c r="AH154" i="20" s="1"/>
  <c r="AI138" i="20"/>
  <c r="AH138" i="20" s="1"/>
  <c r="AI122" i="20"/>
  <c r="AH122" i="20" s="1"/>
  <c r="AI106" i="20"/>
  <c r="AH106" i="20" s="1"/>
  <c r="V379" i="20"/>
  <c r="D40" i="19"/>
  <c r="AI375" i="20"/>
  <c r="AH375" i="20" s="1"/>
  <c r="AG375" i="20" s="1"/>
  <c r="AF375" i="20" s="1"/>
  <c r="AD375" i="20" s="1"/>
  <c r="AI343" i="20"/>
  <c r="AH343" i="20" s="1"/>
  <c r="AG343" i="20" s="1"/>
  <c r="AF343" i="20" s="1"/>
  <c r="AD343" i="20" s="1"/>
  <c r="AI311" i="20"/>
  <c r="AH311" i="20" s="1"/>
  <c r="AG311" i="20" s="1"/>
  <c r="AF311" i="20" s="1"/>
  <c r="AD311" i="20" s="1"/>
  <c r="AI279" i="20"/>
  <c r="AH279" i="20" s="1"/>
  <c r="AG279" i="20" s="1"/>
  <c r="AF279" i="20" s="1"/>
  <c r="AD279" i="20" s="1"/>
  <c r="AI247" i="20"/>
  <c r="AH247" i="20" s="1"/>
  <c r="AG247" i="20" s="1"/>
  <c r="AF247" i="20" s="1"/>
  <c r="AD247" i="20" s="1"/>
  <c r="AI215" i="20"/>
  <c r="AH215" i="20" s="1"/>
  <c r="AG215" i="20" s="1"/>
  <c r="AF215" i="20" s="1"/>
  <c r="AD215" i="20" s="1"/>
  <c r="AI183" i="20"/>
  <c r="AH183" i="20" s="1"/>
  <c r="AG183" i="20" s="1"/>
  <c r="AF183" i="20" s="1"/>
  <c r="AD183" i="20" s="1"/>
  <c r="AI151" i="20"/>
  <c r="AH151" i="20" s="1"/>
  <c r="AG151" i="20" s="1"/>
  <c r="AF151" i="20" s="1"/>
  <c r="AD151" i="20" s="1"/>
  <c r="AI119" i="20"/>
  <c r="AH119" i="20" s="1"/>
  <c r="AG119" i="20" s="1"/>
  <c r="AF119" i="20" s="1"/>
  <c r="AD119" i="20" s="1"/>
  <c r="P85" i="20"/>
  <c r="V85" i="20" s="1"/>
  <c r="AI115" i="20"/>
  <c r="AH115" i="20" s="1"/>
  <c r="AG115" i="20" s="1"/>
  <c r="AF115" i="20" s="1"/>
  <c r="AD115" i="20" s="1"/>
  <c r="AI131" i="20"/>
  <c r="AH131" i="20" s="1"/>
  <c r="AG131" i="20" s="1"/>
  <c r="AF131" i="20" s="1"/>
  <c r="AD131" i="20" s="1"/>
  <c r="AI147" i="20"/>
  <c r="AH147" i="20" s="1"/>
  <c r="AG147" i="20" s="1"/>
  <c r="AF147" i="20" s="1"/>
  <c r="AD147" i="20" s="1"/>
  <c r="AI163" i="20"/>
  <c r="AH163" i="20" s="1"/>
  <c r="AG163" i="20" s="1"/>
  <c r="AF163" i="20" s="1"/>
  <c r="AD163" i="20" s="1"/>
  <c r="AI179" i="20"/>
  <c r="AH179" i="20" s="1"/>
  <c r="AG179" i="20" s="1"/>
  <c r="AF179" i="20" s="1"/>
  <c r="AD179" i="20" s="1"/>
  <c r="AI195" i="20"/>
  <c r="AH195" i="20" s="1"/>
  <c r="AG195" i="20" s="1"/>
  <c r="AF195" i="20" s="1"/>
  <c r="AD195" i="20" s="1"/>
  <c r="AI211" i="20"/>
  <c r="AH211" i="20" s="1"/>
  <c r="AG211" i="20" s="1"/>
  <c r="AF211" i="20" s="1"/>
  <c r="AD211" i="20" s="1"/>
  <c r="AI227" i="20"/>
  <c r="AH227" i="20" s="1"/>
  <c r="AG227" i="20" s="1"/>
  <c r="AF227" i="20" s="1"/>
  <c r="AD227" i="20" s="1"/>
  <c r="AI243" i="20"/>
  <c r="AH243" i="20" s="1"/>
  <c r="AG243" i="20" s="1"/>
  <c r="AF243" i="20" s="1"/>
  <c r="AD243" i="20" s="1"/>
  <c r="AI259" i="20"/>
  <c r="AH259" i="20" s="1"/>
  <c r="AG259" i="20" s="1"/>
  <c r="AF259" i="20" s="1"/>
  <c r="AD259" i="20" s="1"/>
  <c r="AI275" i="20"/>
  <c r="AH275" i="20" s="1"/>
  <c r="AG275" i="20" s="1"/>
  <c r="AF275" i="20" s="1"/>
  <c r="AD275" i="20" s="1"/>
  <c r="AI291" i="20"/>
  <c r="AH291" i="20" s="1"/>
  <c r="AG291" i="20" s="1"/>
  <c r="AF291" i="20" s="1"/>
  <c r="AD291" i="20" s="1"/>
  <c r="AI307" i="20"/>
  <c r="AH307" i="20" s="1"/>
  <c r="AG307" i="20" s="1"/>
  <c r="AF307" i="20" s="1"/>
  <c r="AD307" i="20" s="1"/>
  <c r="AI323" i="20"/>
  <c r="AH323" i="20" s="1"/>
  <c r="AG323" i="20" s="1"/>
  <c r="AF323" i="20" s="1"/>
  <c r="AD323" i="20" s="1"/>
  <c r="AI339" i="20"/>
  <c r="AH339" i="20" s="1"/>
  <c r="AG339" i="20" s="1"/>
  <c r="AF339" i="20" s="1"/>
  <c r="AD339" i="20" s="1"/>
  <c r="AI355" i="20"/>
  <c r="AH355" i="20" s="1"/>
  <c r="AG355" i="20" s="1"/>
  <c r="AF355" i="20" s="1"/>
  <c r="AD355" i="20" s="1"/>
  <c r="AI371" i="20"/>
  <c r="AH371" i="20" s="1"/>
  <c r="AG371" i="20" s="1"/>
  <c r="AF371" i="20" s="1"/>
  <c r="AD371" i="20" s="1"/>
  <c r="AI105" i="20"/>
  <c r="AH105" i="20" s="1"/>
  <c r="AG105" i="20" s="1"/>
  <c r="AF105" i="20" s="1"/>
  <c r="AD105" i="20" s="1"/>
  <c r="AI113" i="20"/>
  <c r="AH113" i="20" s="1"/>
  <c r="AG113" i="20" s="1"/>
  <c r="AF113" i="20" s="1"/>
  <c r="AD113" i="20" s="1"/>
  <c r="AI121" i="20"/>
  <c r="AH121" i="20" s="1"/>
  <c r="AG121" i="20" s="1"/>
  <c r="AF121" i="20" s="1"/>
  <c r="AD121" i="20" s="1"/>
  <c r="AI129" i="20"/>
  <c r="AH129" i="20" s="1"/>
  <c r="AG129" i="20" s="1"/>
  <c r="AF129" i="20" s="1"/>
  <c r="AD129" i="20" s="1"/>
  <c r="AI137" i="20"/>
  <c r="AH137" i="20" s="1"/>
  <c r="AG137" i="20" s="1"/>
  <c r="AF137" i="20" s="1"/>
  <c r="AD137" i="20" s="1"/>
  <c r="AI145" i="20"/>
  <c r="AH145" i="20" s="1"/>
  <c r="AG145" i="20" s="1"/>
  <c r="AF145" i="20" s="1"/>
  <c r="AD145" i="20" s="1"/>
  <c r="AI153" i="20"/>
  <c r="AH153" i="20" s="1"/>
  <c r="AG153" i="20" s="1"/>
  <c r="AF153" i="20" s="1"/>
  <c r="AD153" i="20" s="1"/>
  <c r="AI161" i="20"/>
  <c r="AH161" i="20" s="1"/>
  <c r="AG161" i="20" s="1"/>
  <c r="AF161" i="20" s="1"/>
  <c r="AD161" i="20" s="1"/>
  <c r="AI169" i="20"/>
  <c r="AH169" i="20" s="1"/>
  <c r="AG169" i="20" s="1"/>
  <c r="AF169" i="20" s="1"/>
  <c r="AD169" i="20" s="1"/>
  <c r="AI177" i="20"/>
  <c r="AH177" i="20" s="1"/>
  <c r="AG177" i="20" s="1"/>
  <c r="AF177" i="20" s="1"/>
  <c r="AD177" i="20" s="1"/>
  <c r="AI185" i="20"/>
  <c r="AH185" i="20" s="1"/>
  <c r="AG185" i="20" s="1"/>
  <c r="AF185" i="20" s="1"/>
  <c r="AD185" i="20" s="1"/>
  <c r="AI193" i="20"/>
  <c r="AH193" i="20" s="1"/>
  <c r="AG193" i="20" s="1"/>
  <c r="AF193" i="20" s="1"/>
  <c r="AD193" i="20" s="1"/>
  <c r="AI201" i="20"/>
  <c r="AH201" i="20" s="1"/>
  <c r="AG201" i="20" s="1"/>
  <c r="AF201" i="20" s="1"/>
  <c r="AD201" i="20" s="1"/>
  <c r="AI209" i="20"/>
  <c r="AH209" i="20" s="1"/>
  <c r="AG209" i="20" s="1"/>
  <c r="AF209" i="20" s="1"/>
  <c r="AD209" i="20" s="1"/>
  <c r="AI217" i="20"/>
  <c r="AH217" i="20" s="1"/>
  <c r="AG217" i="20" s="1"/>
  <c r="AF217" i="20" s="1"/>
  <c r="AD217" i="20" s="1"/>
  <c r="AI225" i="20"/>
  <c r="AH225" i="20" s="1"/>
  <c r="AG225" i="20" s="1"/>
  <c r="AF225" i="20" s="1"/>
  <c r="AD225" i="20" s="1"/>
  <c r="AI233" i="20"/>
  <c r="AH233" i="20" s="1"/>
  <c r="AG233" i="20" s="1"/>
  <c r="AF233" i="20" s="1"/>
  <c r="AD233" i="20" s="1"/>
  <c r="AI241" i="20"/>
  <c r="AH241" i="20" s="1"/>
  <c r="AG241" i="20" s="1"/>
  <c r="AF241" i="20" s="1"/>
  <c r="AD241" i="20" s="1"/>
  <c r="AI249" i="20"/>
  <c r="AH249" i="20" s="1"/>
  <c r="AG249" i="20" s="1"/>
  <c r="AF249" i="20" s="1"/>
  <c r="AD249" i="20" s="1"/>
  <c r="AI257" i="20"/>
  <c r="AH257" i="20" s="1"/>
  <c r="AG257" i="20" s="1"/>
  <c r="AF257" i="20" s="1"/>
  <c r="AD257" i="20" s="1"/>
  <c r="AI265" i="20"/>
  <c r="AH265" i="20" s="1"/>
  <c r="AG265" i="20" s="1"/>
  <c r="AF265" i="20" s="1"/>
  <c r="AD265" i="20" s="1"/>
  <c r="AI273" i="20"/>
  <c r="AH273" i="20" s="1"/>
  <c r="AG273" i="20" s="1"/>
  <c r="AF273" i="20" s="1"/>
  <c r="AD273" i="20" s="1"/>
  <c r="AI281" i="20"/>
  <c r="AH281" i="20" s="1"/>
  <c r="AG281" i="20" s="1"/>
  <c r="AF281" i="20" s="1"/>
  <c r="AD281" i="20" s="1"/>
  <c r="AI289" i="20"/>
  <c r="AH289" i="20" s="1"/>
  <c r="AG289" i="20" s="1"/>
  <c r="AF289" i="20" s="1"/>
  <c r="AD289" i="20" s="1"/>
  <c r="AI297" i="20"/>
  <c r="AH297" i="20" s="1"/>
  <c r="AG297" i="20" s="1"/>
  <c r="AF297" i="20" s="1"/>
  <c r="AD297" i="20" s="1"/>
  <c r="AI305" i="20"/>
  <c r="AH305" i="20" s="1"/>
  <c r="AG305" i="20" s="1"/>
  <c r="AF305" i="20" s="1"/>
  <c r="AD305" i="20" s="1"/>
  <c r="AI313" i="20"/>
  <c r="AH313" i="20" s="1"/>
  <c r="AG313" i="20" s="1"/>
  <c r="AF313" i="20" s="1"/>
  <c r="AD313" i="20" s="1"/>
  <c r="AI321" i="20"/>
  <c r="AH321" i="20" s="1"/>
  <c r="AG321" i="20" s="1"/>
  <c r="AF321" i="20" s="1"/>
  <c r="AD321" i="20" s="1"/>
  <c r="AI329" i="20"/>
  <c r="AH329" i="20" s="1"/>
  <c r="AG329" i="20" s="1"/>
  <c r="AF329" i="20" s="1"/>
  <c r="AD329" i="20" s="1"/>
  <c r="AI337" i="20"/>
  <c r="AH337" i="20" s="1"/>
  <c r="AG337" i="20" s="1"/>
  <c r="AF337" i="20" s="1"/>
  <c r="AD337" i="20" s="1"/>
  <c r="AI345" i="20"/>
  <c r="AH345" i="20" s="1"/>
  <c r="AG345" i="20" s="1"/>
  <c r="AF345" i="20" s="1"/>
  <c r="AD345" i="20" s="1"/>
  <c r="AI353" i="20"/>
  <c r="AH353" i="20" s="1"/>
  <c r="AG353" i="20" s="1"/>
  <c r="AF353" i="20" s="1"/>
  <c r="AD353" i="20" s="1"/>
  <c r="AI361" i="20"/>
  <c r="AH361" i="20" s="1"/>
  <c r="AG361" i="20" s="1"/>
  <c r="AF361" i="20" s="1"/>
  <c r="AD361" i="20" s="1"/>
  <c r="AI369" i="20"/>
  <c r="AH369" i="20" s="1"/>
  <c r="AG369" i="20" s="1"/>
  <c r="AF369" i="20" s="1"/>
  <c r="AD369" i="20" s="1"/>
  <c r="AI377" i="20"/>
  <c r="AH377" i="20" s="1"/>
  <c r="AG377" i="20" s="1"/>
  <c r="AF377" i="20" s="1"/>
  <c r="AD377" i="20" s="1"/>
  <c r="P135" i="20"/>
  <c r="V135" i="20" s="1"/>
  <c r="P191" i="20"/>
  <c r="V191" i="20" s="1"/>
  <c r="P239" i="20"/>
  <c r="V239" i="20" s="1"/>
  <c r="P271" i="20"/>
  <c r="V271" i="20" s="1"/>
  <c r="AI319" i="20"/>
  <c r="AH319" i="20" s="1"/>
  <c r="AG319" i="20" s="1"/>
  <c r="AF319" i="20" s="1"/>
  <c r="AD319" i="20" s="1"/>
  <c r="AI374" i="20"/>
  <c r="AH374" i="20" s="1"/>
  <c r="AI358" i="20"/>
  <c r="AH358" i="20" s="1"/>
  <c r="AG358" i="20" s="1"/>
  <c r="AF358" i="20" s="1"/>
  <c r="AI342" i="20"/>
  <c r="AH342" i="20" s="1"/>
  <c r="AI326" i="20"/>
  <c r="AH326" i="20" s="1"/>
  <c r="AG326" i="20" s="1"/>
  <c r="AF326" i="20" s="1"/>
  <c r="AD326" i="20" s="1"/>
  <c r="AI310" i="20"/>
  <c r="AH310" i="20" s="1"/>
  <c r="AI294" i="20"/>
  <c r="AH294" i="20" s="1"/>
  <c r="AG294" i="20" s="1"/>
  <c r="AF294" i="20" s="1"/>
  <c r="AI278" i="20"/>
  <c r="AH278" i="20" s="1"/>
  <c r="AI262" i="20"/>
  <c r="AH262" i="20" s="1"/>
  <c r="AI246" i="20"/>
  <c r="AH246" i="20" s="1"/>
  <c r="AG246" i="20" s="1"/>
  <c r="AF246" i="20" s="1"/>
  <c r="AI230" i="20"/>
  <c r="AH230" i="20" s="1"/>
  <c r="AI214" i="20"/>
  <c r="AH214" i="20" s="1"/>
  <c r="AG214" i="20" s="1"/>
  <c r="AF214" i="20" s="1"/>
  <c r="AD214" i="20" s="1"/>
  <c r="AI198" i="20"/>
  <c r="AH198" i="20" s="1"/>
  <c r="AG198" i="20" s="1"/>
  <c r="AF198" i="20" s="1"/>
  <c r="AD198" i="20" s="1"/>
  <c r="AI182" i="20"/>
  <c r="AH182" i="20" s="1"/>
  <c r="AG182" i="20" s="1"/>
  <c r="AF182" i="20" s="1"/>
  <c r="AD182" i="20" s="1"/>
  <c r="AI166" i="20"/>
  <c r="AH166" i="20" s="1"/>
  <c r="AG166" i="20" s="1"/>
  <c r="AF166" i="20" s="1"/>
  <c r="AD166" i="20" s="1"/>
  <c r="AI150" i="20"/>
  <c r="AH150" i="20" s="1"/>
  <c r="AG150" i="20" s="1"/>
  <c r="AF150" i="20" s="1"/>
  <c r="AD150" i="20" s="1"/>
  <c r="AI134" i="20"/>
  <c r="AH134" i="20" s="1"/>
  <c r="AG134" i="20" s="1"/>
  <c r="AF134" i="20" s="1"/>
  <c r="AD134" i="20" s="1"/>
  <c r="AI118" i="20"/>
  <c r="AH118" i="20" s="1"/>
  <c r="AG118" i="20" s="1"/>
  <c r="AF118" i="20" s="1"/>
  <c r="AD118" i="20" s="1"/>
  <c r="AI108" i="20"/>
  <c r="AH108" i="20" s="1"/>
  <c r="AG108" i="20" s="1"/>
  <c r="AF108" i="20" s="1"/>
  <c r="AD108" i="20" s="1"/>
  <c r="AI116" i="20"/>
  <c r="AH116" i="20" s="1"/>
  <c r="AG116" i="20" s="1"/>
  <c r="AF116" i="20" s="1"/>
  <c r="AD116" i="20" s="1"/>
  <c r="AI124" i="20"/>
  <c r="AH124" i="20" s="1"/>
  <c r="AG124" i="20" s="1"/>
  <c r="AF124" i="20" s="1"/>
  <c r="AD124" i="20" s="1"/>
  <c r="AI132" i="20"/>
  <c r="AH132" i="20" s="1"/>
  <c r="AG132" i="20" s="1"/>
  <c r="AF132" i="20" s="1"/>
  <c r="AD132" i="20" s="1"/>
  <c r="AI140" i="20"/>
  <c r="AH140" i="20" s="1"/>
  <c r="AG140" i="20" s="1"/>
  <c r="AF140" i="20" s="1"/>
  <c r="AD140" i="20" s="1"/>
  <c r="AI148" i="20"/>
  <c r="AH148" i="20" s="1"/>
  <c r="AG148" i="20" s="1"/>
  <c r="AF148" i="20" s="1"/>
  <c r="AD148" i="20" s="1"/>
  <c r="AI156" i="20"/>
  <c r="AH156" i="20" s="1"/>
  <c r="AG156" i="20" s="1"/>
  <c r="AF156" i="20" s="1"/>
  <c r="AD156" i="20" s="1"/>
  <c r="AI164" i="20"/>
  <c r="AH164" i="20" s="1"/>
  <c r="AG164" i="20" s="1"/>
  <c r="AF164" i="20" s="1"/>
  <c r="AD164" i="20" s="1"/>
  <c r="AI172" i="20"/>
  <c r="AH172" i="20" s="1"/>
  <c r="AG172" i="20" s="1"/>
  <c r="AF172" i="20" s="1"/>
  <c r="AD172" i="20" s="1"/>
  <c r="AI180" i="20"/>
  <c r="AH180" i="20" s="1"/>
  <c r="AG180" i="20" s="1"/>
  <c r="AF180" i="20" s="1"/>
  <c r="AD180" i="20" s="1"/>
  <c r="AI188" i="20"/>
  <c r="AH188" i="20" s="1"/>
  <c r="AG188" i="20" s="1"/>
  <c r="AF188" i="20" s="1"/>
  <c r="AD188" i="20" s="1"/>
  <c r="AI196" i="20"/>
  <c r="AH196" i="20" s="1"/>
  <c r="AG196" i="20" s="1"/>
  <c r="AF196" i="20" s="1"/>
  <c r="AD196" i="20" s="1"/>
  <c r="AI204" i="20"/>
  <c r="AH204" i="20" s="1"/>
  <c r="AG204" i="20" s="1"/>
  <c r="AF204" i="20" s="1"/>
  <c r="AD204" i="20" s="1"/>
  <c r="AI212" i="20"/>
  <c r="AH212" i="20" s="1"/>
  <c r="AG212" i="20" s="1"/>
  <c r="AF212" i="20" s="1"/>
  <c r="AD212" i="20" s="1"/>
  <c r="AI220" i="20"/>
  <c r="AH220" i="20" s="1"/>
  <c r="AG220" i="20" s="1"/>
  <c r="AF220" i="20" s="1"/>
  <c r="AD220" i="20" s="1"/>
  <c r="AI228" i="20"/>
  <c r="AH228" i="20" s="1"/>
  <c r="AG228" i="20" s="1"/>
  <c r="AF228" i="20" s="1"/>
  <c r="AD228" i="20" s="1"/>
  <c r="AI236" i="20"/>
  <c r="AH236" i="20" s="1"/>
  <c r="AG236" i="20" s="1"/>
  <c r="AF236" i="20" s="1"/>
  <c r="AD236" i="20" s="1"/>
  <c r="AI244" i="20"/>
  <c r="AH244" i="20" s="1"/>
  <c r="AG244" i="20" s="1"/>
  <c r="AF244" i="20" s="1"/>
  <c r="AD244" i="20" s="1"/>
  <c r="AI252" i="20"/>
  <c r="AH252" i="20" s="1"/>
  <c r="AG252" i="20" s="1"/>
  <c r="AF252" i="20" s="1"/>
  <c r="AD252" i="20" s="1"/>
  <c r="AI260" i="20"/>
  <c r="AH260" i="20" s="1"/>
  <c r="AG260" i="20" s="1"/>
  <c r="AF260" i="20" s="1"/>
  <c r="AD260" i="20" s="1"/>
  <c r="AI268" i="20"/>
  <c r="AH268" i="20" s="1"/>
  <c r="AG268" i="20" s="1"/>
  <c r="AF268" i="20" s="1"/>
  <c r="AD268" i="20" s="1"/>
  <c r="AI276" i="20"/>
  <c r="AH276" i="20" s="1"/>
  <c r="AG276" i="20" s="1"/>
  <c r="AF276" i="20" s="1"/>
  <c r="AD276" i="20" s="1"/>
  <c r="AI284" i="20"/>
  <c r="AH284" i="20" s="1"/>
  <c r="AG284" i="20" s="1"/>
  <c r="AF284" i="20" s="1"/>
  <c r="AD284" i="20" s="1"/>
  <c r="AI292" i="20"/>
  <c r="AH292" i="20" s="1"/>
  <c r="AG292" i="20" s="1"/>
  <c r="AF292" i="20" s="1"/>
  <c r="AD292" i="20" s="1"/>
  <c r="AI300" i="20"/>
  <c r="AH300" i="20" s="1"/>
  <c r="AG300" i="20" s="1"/>
  <c r="AF300" i="20" s="1"/>
  <c r="AD300" i="20" s="1"/>
  <c r="AI308" i="20"/>
  <c r="AH308" i="20" s="1"/>
  <c r="AG308" i="20" s="1"/>
  <c r="AF308" i="20" s="1"/>
  <c r="AD308" i="20" s="1"/>
  <c r="AI316" i="20"/>
  <c r="AH316" i="20" s="1"/>
  <c r="AG316" i="20" s="1"/>
  <c r="AF316" i="20" s="1"/>
  <c r="AD316" i="20" s="1"/>
  <c r="AI324" i="20"/>
  <c r="AH324" i="20" s="1"/>
  <c r="AG324" i="20" s="1"/>
  <c r="AF324" i="20" s="1"/>
  <c r="AD324" i="20" s="1"/>
  <c r="AI332" i="20"/>
  <c r="AH332" i="20" s="1"/>
  <c r="AG332" i="20" s="1"/>
  <c r="AF332" i="20" s="1"/>
  <c r="AD332" i="20" s="1"/>
  <c r="AI340" i="20"/>
  <c r="AH340" i="20" s="1"/>
  <c r="AG340" i="20" s="1"/>
  <c r="AF340" i="20" s="1"/>
  <c r="AD340" i="20" s="1"/>
  <c r="AI348" i="20"/>
  <c r="AH348" i="20" s="1"/>
  <c r="AG348" i="20" s="1"/>
  <c r="AF348" i="20" s="1"/>
  <c r="AD348" i="20" s="1"/>
  <c r="AI356" i="20"/>
  <c r="AH356" i="20" s="1"/>
  <c r="AG356" i="20" s="1"/>
  <c r="AF356" i="20" s="1"/>
  <c r="AD356" i="20" s="1"/>
  <c r="AI364" i="20"/>
  <c r="AH364" i="20" s="1"/>
  <c r="AG364" i="20" s="1"/>
  <c r="AF364" i="20" s="1"/>
  <c r="AD364" i="20" s="1"/>
  <c r="AI372" i="20"/>
  <c r="AH372" i="20" s="1"/>
  <c r="AG372" i="20" s="1"/>
  <c r="AF372" i="20" s="1"/>
  <c r="AD372" i="20" s="1"/>
  <c r="AI159" i="20"/>
  <c r="AH159" i="20" s="1"/>
  <c r="AG159" i="20" s="1"/>
  <c r="AF159" i="20" s="1"/>
  <c r="AD159" i="20" s="1"/>
  <c r="AI287" i="20"/>
  <c r="AH287" i="20" s="1"/>
  <c r="AG287" i="20" s="1"/>
  <c r="AF287" i="20" s="1"/>
  <c r="AD287" i="20" s="1"/>
  <c r="AI111" i="20"/>
  <c r="AH111" i="20" s="1"/>
  <c r="AG111" i="20" s="1"/>
  <c r="AF111" i="20" s="1"/>
  <c r="AD111" i="20" s="1"/>
  <c r="AI175" i="20"/>
  <c r="AH175" i="20" s="1"/>
  <c r="AG175" i="20" s="1"/>
  <c r="AF175" i="20" s="1"/>
  <c r="AD175" i="20" s="1"/>
  <c r="AI239" i="20"/>
  <c r="AH239" i="20" s="1"/>
  <c r="AG239" i="20" s="1"/>
  <c r="AF239" i="20" s="1"/>
  <c r="AD239" i="20" s="1"/>
  <c r="AI303" i="20"/>
  <c r="AH303" i="20" s="1"/>
  <c r="AG303" i="20" s="1"/>
  <c r="AF303" i="20" s="1"/>
  <c r="AD303" i="20" s="1"/>
  <c r="AI367" i="20"/>
  <c r="AH367" i="20" s="1"/>
  <c r="AG367" i="20" s="1"/>
  <c r="AF367" i="20" s="1"/>
  <c r="AD367" i="20" s="1"/>
  <c r="P349" i="20"/>
  <c r="V349" i="20" s="1"/>
  <c r="P365" i="20"/>
  <c r="V365" i="20" s="1"/>
  <c r="AD86" i="20"/>
  <c r="AD286" i="20"/>
  <c r="P88" i="20"/>
  <c r="AH22" i="7" s="1"/>
  <c r="AD254" i="20"/>
  <c r="AG380" i="20"/>
  <c r="AF380" i="20" s="1"/>
  <c r="AD380" i="20" s="1"/>
  <c r="P90" i="20"/>
  <c r="V90" i="20" s="1"/>
  <c r="S57" i="20"/>
  <c r="R57" i="20" s="1"/>
  <c r="P57" i="20" s="1"/>
  <c r="V57" i="20" s="1"/>
  <c r="S89" i="20"/>
  <c r="R89" i="20" s="1"/>
  <c r="P89" i="20" s="1"/>
  <c r="V89" i="20" s="1"/>
  <c r="AG350" i="20"/>
  <c r="AF350" i="20" s="1"/>
  <c r="AD350" i="20" s="1"/>
  <c r="AG334" i="20"/>
  <c r="AF334" i="20" s="1"/>
  <c r="AD334" i="20" s="1"/>
  <c r="AG270" i="20"/>
  <c r="AF270" i="20" s="1"/>
  <c r="AD270" i="20" s="1"/>
  <c r="AG78" i="20"/>
  <c r="AF78" i="20" s="1"/>
  <c r="AD78" i="20" s="1"/>
  <c r="S21" i="20"/>
  <c r="R21" i="20" s="1"/>
  <c r="P21" i="20" s="1"/>
  <c r="V21" i="20" s="1"/>
  <c r="S267" i="20"/>
  <c r="R267" i="20" s="1"/>
  <c r="P267" i="20" s="1"/>
  <c r="V267" i="20" s="1"/>
  <c r="S247" i="20"/>
  <c r="R247" i="20" s="1"/>
  <c r="P247" i="20" s="1"/>
  <c r="V247" i="20" s="1"/>
  <c r="S231" i="20"/>
  <c r="R231" i="20" s="1"/>
  <c r="P231" i="20" s="1"/>
  <c r="V231" i="20" s="1"/>
  <c r="S223" i="20"/>
  <c r="R223" i="20" s="1"/>
  <c r="P223" i="20" s="1"/>
  <c r="V223" i="20" s="1"/>
  <c r="S175" i="20"/>
  <c r="R175" i="20" s="1"/>
  <c r="P175" i="20" s="1"/>
  <c r="V175" i="20" s="1"/>
  <c r="S143" i="20"/>
  <c r="R143" i="20" s="1"/>
  <c r="P143" i="20" s="1"/>
  <c r="V143" i="20" s="1"/>
  <c r="S87" i="20"/>
  <c r="R87" i="20" s="1"/>
  <c r="P87" i="20" s="1"/>
  <c r="V87" i="20" s="1"/>
  <c r="S71" i="20"/>
  <c r="R71" i="20" s="1"/>
  <c r="P71" i="20" s="1"/>
  <c r="V71" i="20" s="1"/>
  <c r="S47" i="20"/>
  <c r="R47" i="20" s="1"/>
  <c r="P47" i="20" s="1"/>
  <c r="V47" i="20" s="1"/>
  <c r="S18" i="20"/>
  <c r="R18" i="20" s="1"/>
  <c r="P18" i="20" s="1"/>
  <c r="V18" i="20" s="1"/>
  <c r="U382" i="20"/>
  <c r="P19" i="20"/>
  <c r="V19" i="20" s="1"/>
  <c r="P72" i="20"/>
  <c r="V72" i="20" s="1"/>
  <c r="P100" i="20"/>
  <c r="V100" i="20" s="1"/>
  <c r="M13" i="19"/>
  <c r="AH21" i="7"/>
  <c r="Q352" i="22"/>
  <c r="Q288" i="22"/>
  <c r="Q320" i="22"/>
  <c r="Q232" i="22"/>
  <c r="Q368" i="22"/>
  <c r="Q336" i="22"/>
  <c r="Q304" i="22"/>
  <c r="Q264" i="22"/>
  <c r="Q200" i="22"/>
  <c r="Q376" i="22"/>
  <c r="Q360" i="22"/>
  <c r="Q344" i="22"/>
  <c r="Q328" i="22"/>
  <c r="Q312" i="22"/>
  <c r="Q296" i="22"/>
  <c r="Q280" i="22"/>
  <c r="Q248" i="22"/>
  <c r="Q216" i="22"/>
  <c r="Q150" i="22"/>
  <c r="Q372" i="22"/>
  <c r="Q364" i="22"/>
  <c r="Q356" i="22"/>
  <c r="Q348" i="22"/>
  <c r="Q340" i="22"/>
  <c r="Q332" i="22"/>
  <c r="Q324" i="22"/>
  <c r="Q316" i="22"/>
  <c r="Q308" i="22"/>
  <c r="Q300" i="22"/>
  <c r="Q292" i="22"/>
  <c r="Q284" i="22"/>
  <c r="Q272" i="22"/>
  <c r="Q256" i="22"/>
  <c r="Q240" i="22"/>
  <c r="Q224" i="22"/>
  <c r="Q208" i="22"/>
  <c r="Q182" i="22"/>
  <c r="Q110" i="22"/>
  <c r="Q276" i="22"/>
  <c r="Q268" i="22"/>
  <c r="Q260" i="22"/>
  <c r="Q252" i="22"/>
  <c r="Q244" i="22"/>
  <c r="Q236" i="22"/>
  <c r="Q228" i="22"/>
  <c r="Q220" i="22"/>
  <c r="Q212" i="22"/>
  <c r="Q204" i="22"/>
  <c r="Q196" i="22"/>
  <c r="Q166" i="22"/>
  <c r="Q134" i="22"/>
  <c r="Q78" i="22"/>
  <c r="Q378" i="22"/>
  <c r="Q374" i="22"/>
  <c r="Q370" i="22"/>
  <c r="Q366" i="22"/>
  <c r="Q362" i="22"/>
  <c r="Q358" i="22"/>
  <c r="Q354" i="22"/>
  <c r="Q350" i="22"/>
  <c r="Q346" i="22"/>
  <c r="Q342" i="22"/>
  <c r="Q338" i="22"/>
  <c r="Q334" i="22"/>
  <c r="Q330" i="22"/>
  <c r="Q326" i="22"/>
  <c r="Q322" i="22"/>
  <c r="Q318" i="22"/>
  <c r="Q314" i="22"/>
  <c r="Q310" i="22"/>
  <c r="Q306" i="22"/>
  <c r="Q302" i="22"/>
  <c r="Q298" i="22"/>
  <c r="Q294" i="22"/>
  <c r="Q290" i="22"/>
  <c r="Q286" i="22"/>
  <c r="Q282" i="22"/>
  <c r="Q278" i="22"/>
  <c r="Q274" i="22"/>
  <c r="Q270" i="22"/>
  <c r="Q266" i="22"/>
  <c r="Q262" i="22"/>
  <c r="Q258" i="22"/>
  <c r="Q254" i="22"/>
  <c r="Q250" i="22"/>
  <c r="Q246" i="22"/>
  <c r="Q242" i="22"/>
  <c r="Q238" i="22"/>
  <c r="Q234" i="22"/>
  <c r="Q230" i="22"/>
  <c r="Q226" i="22"/>
  <c r="Q222" i="22"/>
  <c r="Q218" i="22"/>
  <c r="Q214" i="22"/>
  <c r="Q210" i="22"/>
  <c r="Q206" i="22"/>
  <c r="Q202" i="22"/>
  <c r="Q198" i="22"/>
  <c r="Q190" i="22"/>
  <c r="Q174" i="22"/>
  <c r="Q158" i="22"/>
  <c r="Q142" i="22"/>
  <c r="Q126" i="22"/>
  <c r="Q94" i="22"/>
  <c r="Q46" i="22"/>
  <c r="U381" i="20"/>
  <c r="Q118" i="22"/>
  <c r="Q102" i="22"/>
  <c r="Q86" i="22"/>
  <c r="Q62" i="22"/>
  <c r="Q30" i="22"/>
  <c r="Q194" i="22"/>
  <c r="Q186" i="22"/>
  <c r="Q178" i="22"/>
  <c r="Q170" i="22"/>
  <c r="Q162" i="22"/>
  <c r="Q154" i="22"/>
  <c r="Q146" i="22"/>
  <c r="Q138" i="22"/>
  <c r="Q130" i="22"/>
  <c r="Q122" i="22"/>
  <c r="Q114" i="22"/>
  <c r="Q106" i="22"/>
  <c r="Q98" i="22"/>
  <c r="Q90" i="22"/>
  <c r="Q82" i="22"/>
  <c r="Q70" i="22"/>
  <c r="Q54" i="22"/>
  <c r="Q38" i="22"/>
  <c r="Q22" i="22"/>
  <c r="Q379" i="22"/>
  <c r="Q377" i="22"/>
  <c r="Q375" i="22"/>
  <c r="Q373" i="22"/>
  <c r="Q371" i="22"/>
  <c r="Q369" i="22"/>
  <c r="Q367" i="22"/>
  <c r="Q365" i="22"/>
  <c r="Q363" i="22"/>
  <c r="Q361" i="22"/>
  <c r="Q359" i="22"/>
  <c r="Q357" i="22"/>
  <c r="Q355" i="22"/>
  <c r="Q353" i="22"/>
  <c r="Q351" i="22"/>
  <c r="Q349" i="22"/>
  <c r="Q347" i="22"/>
  <c r="Q345" i="22"/>
  <c r="Q343" i="22"/>
  <c r="Q341" i="22"/>
  <c r="Q339" i="22"/>
  <c r="Q337" i="22"/>
  <c r="Q335" i="22"/>
  <c r="Q333" i="22"/>
  <c r="Q331" i="22"/>
  <c r="Q329" i="22"/>
  <c r="Q327" i="22"/>
  <c r="Q325" i="22"/>
  <c r="Q323" i="22"/>
  <c r="Q321" i="22"/>
  <c r="Q319" i="22"/>
  <c r="Q317" i="22"/>
  <c r="Q315" i="22"/>
  <c r="Q313" i="22"/>
  <c r="Q311" i="22"/>
  <c r="Q309" i="22"/>
  <c r="Q307" i="22"/>
  <c r="Q305" i="22"/>
  <c r="Q303" i="22"/>
  <c r="Q301" i="22"/>
  <c r="Q299" i="22"/>
  <c r="Q297" i="22"/>
  <c r="Q295" i="22"/>
  <c r="Q293" i="22"/>
  <c r="Q291" i="22"/>
  <c r="Q289" i="22"/>
  <c r="Q287" i="22"/>
  <c r="Q285" i="22"/>
  <c r="Q283" i="22"/>
  <c r="Q281" i="22"/>
  <c r="Q279" i="22"/>
  <c r="Q277" i="22"/>
  <c r="Q275" i="22"/>
  <c r="Q273" i="22"/>
  <c r="Q271" i="22"/>
  <c r="Q269" i="22"/>
  <c r="Q267" i="22"/>
  <c r="Q265" i="22"/>
  <c r="Q263" i="22"/>
  <c r="Q261" i="22"/>
  <c r="Q259" i="22"/>
  <c r="Q257" i="22"/>
  <c r="Q255" i="22"/>
  <c r="Q253" i="22"/>
  <c r="Q251" i="22"/>
  <c r="Q249" i="22"/>
  <c r="Q247" i="22"/>
  <c r="Q245" i="22"/>
  <c r="Q243" i="22"/>
  <c r="Q241" i="22"/>
  <c r="Q239" i="22"/>
  <c r="Q237" i="22"/>
  <c r="Q235" i="22"/>
  <c r="Q233" i="22"/>
  <c r="Q231" i="22"/>
  <c r="Q229" i="22"/>
  <c r="Q227" i="22"/>
  <c r="Q225" i="22"/>
  <c r="Q223" i="22"/>
  <c r="Q221" i="22"/>
  <c r="Q219" i="22"/>
  <c r="Q217" i="22"/>
  <c r="Q215" i="22"/>
  <c r="Q213" i="22"/>
  <c r="Q211" i="22"/>
  <c r="Q209" i="22"/>
  <c r="Q207" i="22"/>
  <c r="Q205" i="22"/>
  <c r="Q203" i="22"/>
  <c r="Q201" i="22"/>
  <c r="Q199" i="22"/>
  <c r="Q197" i="22"/>
  <c r="Q195" i="22"/>
  <c r="Q192" i="22"/>
  <c r="Q188" i="22"/>
  <c r="Q184" i="22"/>
  <c r="Q180" i="22"/>
  <c r="Q176" i="22"/>
  <c r="Q172" i="22"/>
  <c r="Q168" i="22"/>
  <c r="Q164" i="22"/>
  <c r="Q160" i="22"/>
  <c r="Q156" i="22"/>
  <c r="Q152" i="22"/>
  <c r="Q148" i="22"/>
  <c r="Q144" i="22"/>
  <c r="Q140" i="22"/>
  <c r="Q136" i="22"/>
  <c r="Q132" i="22"/>
  <c r="Q128" i="22"/>
  <c r="Q124" i="22"/>
  <c r="Q120" i="22"/>
  <c r="Q116" i="22"/>
  <c r="Q112" i="22"/>
  <c r="Q108" i="22"/>
  <c r="Q104" i="22"/>
  <c r="Q100" i="22"/>
  <c r="Q96" i="22"/>
  <c r="Q92" i="22"/>
  <c r="Q88" i="22"/>
  <c r="Q84" i="22"/>
  <c r="Q80" i="22"/>
  <c r="Q74" i="22"/>
  <c r="Q66" i="22"/>
  <c r="Q58" i="22"/>
  <c r="Q50" i="22"/>
  <c r="Q42" i="22"/>
  <c r="Q34" i="22"/>
  <c r="Q26" i="22"/>
  <c r="Q15" i="22"/>
  <c r="AG381" i="18"/>
  <c r="AF15" i="18"/>
  <c r="AG383" i="18"/>
  <c r="AG382" i="18"/>
  <c r="Q76" i="22"/>
  <c r="Q72" i="22"/>
  <c r="Q68" i="22"/>
  <c r="Q64" i="22"/>
  <c r="Q60" i="22"/>
  <c r="Q56" i="22"/>
  <c r="Q52" i="22"/>
  <c r="Q48" i="22"/>
  <c r="Q44" i="22"/>
  <c r="Q40" i="22"/>
  <c r="Q36" i="22"/>
  <c r="Q32" i="22"/>
  <c r="Q28" i="22"/>
  <c r="Q24" i="22"/>
  <c r="Q20" i="22"/>
  <c r="F13" i="19"/>
  <c r="AH23" i="7"/>
  <c r="V119" i="20"/>
  <c r="AH26" i="7"/>
  <c r="V210" i="20"/>
  <c r="AH29" i="7"/>
  <c r="V302" i="20"/>
  <c r="AH20" i="7"/>
  <c r="V29" i="20"/>
  <c r="AH27" i="7"/>
  <c r="V241" i="20"/>
  <c r="AH30" i="7"/>
  <c r="V333" i="20"/>
  <c r="AH31" i="7"/>
  <c r="V363" i="20"/>
  <c r="AH28" i="7"/>
  <c r="V272" i="20"/>
  <c r="AH24" i="7"/>
  <c r="V149" i="20"/>
  <c r="AM16" i="7"/>
  <c r="B64" i="19"/>
  <c r="V382" i="17"/>
  <c r="V383" i="17"/>
  <c r="V381" i="17"/>
  <c r="AG15" i="20"/>
  <c r="AO15" i="7"/>
  <c r="AE17" i="22"/>
  <c r="AE19" i="22"/>
  <c r="AE18" i="22"/>
  <c r="AE21" i="22"/>
  <c r="AE23" i="22"/>
  <c r="AE25" i="22"/>
  <c r="AE27" i="22"/>
  <c r="AE29" i="22"/>
  <c r="AE31" i="22"/>
  <c r="AE33" i="22"/>
  <c r="AE35" i="22"/>
  <c r="AE37" i="22"/>
  <c r="AE39" i="22"/>
  <c r="AE41" i="22"/>
  <c r="AE43" i="22"/>
  <c r="AE45" i="22"/>
  <c r="AE47" i="22"/>
  <c r="AE49" i="22"/>
  <c r="AE51" i="22"/>
  <c r="AE53" i="22"/>
  <c r="AE55" i="22"/>
  <c r="AE57" i="22"/>
  <c r="AE59" i="22"/>
  <c r="AE61" i="22"/>
  <c r="AE63" i="22"/>
  <c r="AE65" i="22"/>
  <c r="AE67" i="22"/>
  <c r="AE69" i="22"/>
  <c r="AE71" i="22"/>
  <c r="AE73" i="22"/>
  <c r="AE75" i="22"/>
  <c r="AE77" i="22"/>
  <c r="AE79" i="22"/>
  <c r="AE81" i="22"/>
  <c r="AE83" i="22"/>
  <c r="AE85" i="22"/>
  <c r="AE87" i="22"/>
  <c r="AE89" i="22"/>
  <c r="AE91" i="22"/>
  <c r="AE93" i="22"/>
  <c r="AE95" i="22"/>
  <c r="AE97" i="22"/>
  <c r="AE99" i="22"/>
  <c r="AE101" i="22"/>
  <c r="AE103" i="22"/>
  <c r="AE105" i="22"/>
  <c r="AE107" i="22"/>
  <c r="AE109" i="22"/>
  <c r="AE111" i="22"/>
  <c r="AE113" i="22"/>
  <c r="AE115" i="22"/>
  <c r="AE117" i="22"/>
  <c r="AE119" i="22"/>
  <c r="AE121" i="22"/>
  <c r="AE123" i="22"/>
  <c r="AE125" i="22"/>
  <c r="AE127" i="22"/>
  <c r="AE129" i="22"/>
  <c r="AE131" i="22"/>
  <c r="AE133" i="22"/>
  <c r="AE135" i="22"/>
  <c r="AE137" i="22"/>
  <c r="AE139" i="22"/>
  <c r="AE141" i="22"/>
  <c r="AE143" i="22"/>
  <c r="AE145" i="22"/>
  <c r="AE147" i="22"/>
  <c r="AE149" i="22"/>
  <c r="AE151" i="22"/>
  <c r="AE153" i="22"/>
  <c r="AE155" i="22"/>
  <c r="AE157" i="22"/>
  <c r="AE159" i="22"/>
  <c r="AE161" i="22"/>
  <c r="AE163" i="22"/>
  <c r="AE165" i="22"/>
  <c r="AE167" i="22"/>
  <c r="AE169" i="22"/>
  <c r="AE171" i="22"/>
  <c r="AE173" i="22"/>
  <c r="AE175" i="22"/>
  <c r="AE177" i="22"/>
  <c r="AE179" i="22"/>
  <c r="AE181" i="22"/>
  <c r="AE183" i="22"/>
  <c r="AE185" i="22"/>
  <c r="AE187" i="22"/>
  <c r="AE189" i="22"/>
  <c r="AE191" i="22"/>
  <c r="AE193" i="22"/>
  <c r="AE195" i="22"/>
  <c r="AE197" i="22"/>
  <c r="AE199" i="22"/>
  <c r="AE201" i="22"/>
  <c r="AE203" i="22"/>
  <c r="AE205" i="22"/>
  <c r="AE207" i="22"/>
  <c r="AE209" i="22"/>
  <c r="AE211" i="22"/>
  <c r="AE213" i="22"/>
  <c r="AE215" i="22"/>
  <c r="AE217" i="22"/>
  <c r="AE219" i="22"/>
  <c r="AE221" i="22"/>
  <c r="AE223" i="22"/>
  <c r="AE225" i="22"/>
  <c r="AE227" i="22"/>
  <c r="AE229" i="22"/>
  <c r="AE231" i="22"/>
  <c r="AE233" i="22"/>
  <c r="AE235" i="22"/>
  <c r="AE237" i="22"/>
  <c r="AE239" i="22"/>
  <c r="AE241" i="22"/>
  <c r="AE243" i="22"/>
  <c r="AE245" i="22"/>
  <c r="AE247" i="22"/>
  <c r="AE249" i="22"/>
  <c r="AE251" i="22"/>
  <c r="AE253" i="22"/>
  <c r="AE255" i="22"/>
  <c r="AE257" i="22"/>
  <c r="AE259" i="22"/>
  <c r="AE261" i="22"/>
  <c r="AE263" i="22"/>
  <c r="AE265" i="22"/>
  <c r="AE267" i="22"/>
  <c r="AE269" i="22"/>
  <c r="AE271" i="22"/>
  <c r="AE273" i="22"/>
  <c r="AE275" i="22"/>
  <c r="AE277" i="22"/>
  <c r="AE279" i="22"/>
  <c r="AE281" i="22"/>
  <c r="AE283" i="22"/>
  <c r="AE285" i="22"/>
  <c r="AE287" i="22"/>
  <c r="AE289" i="22"/>
  <c r="AE291" i="22"/>
  <c r="AE293" i="22"/>
  <c r="AE295" i="22"/>
  <c r="AE297" i="22"/>
  <c r="AE299" i="22"/>
  <c r="AE301" i="22"/>
  <c r="AE303" i="22"/>
  <c r="AE305" i="22"/>
  <c r="AE307" i="22"/>
  <c r="AE309" i="22"/>
  <c r="AE311" i="22"/>
  <c r="AE313" i="22"/>
  <c r="AE315" i="22"/>
  <c r="AE317" i="22"/>
  <c r="AE319" i="22"/>
  <c r="AE321" i="22"/>
  <c r="AE323" i="22"/>
  <c r="AE325" i="22"/>
  <c r="AE327" i="22"/>
  <c r="AE329" i="22"/>
  <c r="AE331" i="22"/>
  <c r="AE333" i="22"/>
  <c r="AE335" i="22"/>
  <c r="AE337" i="22"/>
  <c r="AE339" i="22"/>
  <c r="AE341" i="22"/>
  <c r="AE343" i="22"/>
  <c r="AE345" i="22"/>
  <c r="AE347" i="22"/>
  <c r="AE349" i="22"/>
  <c r="AE351" i="22"/>
  <c r="AE353" i="22"/>
  <c r="AE355" i="22"/>
  <c r="AE357" i="22"/>
  <c r="AE359" i="22"/>
  <c r="AE361" i="22"/>
  <c r="AE363" i="22"/>
  <c r="AE365" i="22"/>
  <c r="AE367" i="22"/>
  <c r="AE369" i="22"/>
  <c r="AE371" i="22"/>
  <c r="AE373" i="22"/>
  <c r="AE375" i="22"/>
  <c r="AE377" i="22"/>
  <c r="AE379" i="22"/>
  <c r="AE12" i="23" s="1"/>
  <c r="AE15" i="22"/>
  <c r="AE16" i="22"/>
  <c r="AE20" i="22"/>
  <c r="AE22" i="22"/>
  <c r="AE24" i="22"/>
  <c r="AE26" i="22"/>
  <c r="AE28" i="22"/>
  <c r="AE30" i="22"/>
  <c r="AE32" i="22"/>
  <c r="AE34" i="22"/>
  <c r="AE36" i="22"/>
  <c r="AE38" i="22"/>
  <c r="AE40" i="22"/>
  <c r="AE42" i="22"/>
  <c r="AE44" i="22"/>
  <c r="AE46" i="22"/>
  <c r="AE48" i="22"/>
  <c r="AE50" i="22"/>
  <c r="AE52" i="22"/>
  <c r="AE54" i="22"/>
  <c r="AE56" i="22"/>
  <c r="AE58" i="22"/>
  <c r="AE60" i="22"/>
  <c r="AE62" i="22"/>
  <c r="AE64" i="22"/>
  <c r="AE66" i="22"/>
  <c r="AE68" i="22"/>
  <c r="AE70" i="22"/>
  <c r="AE72" i="22"/>
  <c r="AE74" i="22"/>
  <c r="AE76" i="22"/>
  <c r="AE78" i="22"/>
  <c r="AE80" i="22"/>
  <c r="AE82" i="22"/>
  <c r="AE84" i="22"/>
  <c r="AE86" i="22"/>
  <c r="AE88" i="22"/>
  <c r="AE90" i="22"/>
  <c r="AE92" i="22"/>
  <c r="AE94" i="22"/>
  <c r="AE96" i="22"/>
  <c r="AE98" i="22"/>
  <c r="AE100" i="22"/>
  <c r="AE102" i="22"/>
  <c r="AE104" i="22"/>
  <c r="AE106" i="22"/>
  <c r="AE108" i="22"/>
  <c r="AE110" i="22"/>
  <c r="AE112" i="22"/>
  <c r="AE114" i="22"/>
  <c r="AE116" i="22"/>
  <c r="AE118" i="22"/>
  <c r="AE120" i="22"/>
  <c r="AE122" i="22"/>
  <c r="AE124" i="22"/>
  <c r="AE126" i="22"/>
  <c r="AE128" i="22"/>
  <c r="AE130" i="22"/>
  <c r="AE132" i="22"/>
  <c r="AE134" i="22"/>
  <c r="AE136" i="22"/>
  <c r="AE138" i="22"/>
  <c r="AE140" i="22"/>
  <c r="AE142" i="22"/>
  <c r="AE144" i="22"/>
  <c r="AE146" i="22"/>
  <c r="AE148" i="22"/>
  <c r="AE150" i="22"/>
  <c r="AE152" i="22"/>
  <c r="AE154" i="22"/>
  <c r="AE156" i="22"/>
  <c r="AE158" i="22"/>
  <c r="AE160" i="22"/>
  <c r="AE162" i="22"/>
  <c r="AE164" i="22"/>
  <c r="AE166" i="22"/>
  <c r="AE168" i="22"/>
  <c r="AE170" i="22"/>
  <c r="AE172" i="22"/>
  <c r="AE174" i="22"/>
  <c r="AE176" i="22"/>
  <c r="AE178" i="22"/>
  <c r="AE180" i="22"/>
  <c r="AE182" i="22"/>
  <c r="AE184" i="22"/>
  <c r="AE186" i="22"/>
  <c r="AE188" i="22"/>
  <c r="AE190" i="22"/>
  <c r="AE192" i="22"/>
  <c r="AE194" i="22"/>
  <c r="AE196" i="22"/>
  <c r="AE198" i="22"/>
  <c r="AE200" i="22"/>
  <c r="AE202" i="22"/>
  <c r="AE204" i="22"/>
  <c r="AE206" i="22"/>
  <c r="AE208" i="22"/>
  <c r="AE210" i="22"/>
  <c r="AE212" i="22"/>
  <c r="AE214" i="22"/>
  <c r="AE216" i="22"/>
  <c r="AE218" i="22"/>
  <c r="AE220" i="22"/>
  <c r="AE222" i="22"/>
  <c r="AE224" i="22"/>
  <c r="AE226" i="22"/>
  <c r="AE228" i="22"/>
  <c r="AE230" i="22"/>
  <c r="AE232" i="22"/>
  <c r="AE234" i="22"/>
  <c r="AE236" i="22"/>
  <c r="AE238" i="22"/>
  <c r="AE240" i="22"/>
  <c r="AE242" i="22"/>
  <c r="AE244" i="22"/>
  <c r="AE246" i="22"/>
  <c r="AE248" i="22"/>
  <c r="AE250" i="22"/>
  <c r="AE252" i="22"/>
  <c r="AE254" i="22"/>
  <c r="AE256" i="22"/>
  <c r="AE258" i="22"/>
  <c r="AE260" i="22"/>
  <c r="AE262" i="22"/>
  <c r="AE264" i="22"/>
  <c r="AE266" i="22"/>
  <c r="AE268" i="22"/>
  <c r="AE270" i="22"/>
  <c r="AE272" i="22"/>
  <c r="AE274" i="22"/>
  <c r="AE276" i="22"/>
  <c r="AE278" i="22"/>
  <c r="AE280" i="22"/>
  <c r="AE282" i="22"/>
  <c r="AE284" i="22"/>
  <c r="AE286" i="22"/>
  <c r="AE288" i="22"/>
  <c r="AE290" i="22"/>
  <c r="AE292" i="22"/>
  <c r="AE294" i="22"/>
  <c r="AE296" i="22"/>
  <c r="AE298" i="22"/>
  <c r="AE300" i="22"/>
  <c r="AE302" i="22"/>
  <c r="AE304" i="22"/>
  <c r="AE306" i="22"/>
  <c r="AE308" i="22"/>
  <c r="AE310" i="22"/>
  <c r="AE312" i="22"/>
  <c r="AE314" i="22"/>
  <c r="AE316" i="22"/>
  <c r="AE318" i="22"/>
  <c r="AE320" i="22"/>
  <c r="AE322" i="22"/>
  <c r="AE324" i="22"/>
  <c r="AE326" i="22"/>
  <c r="AE328" i="22"/>
  <c r="AE330" i="22"/>
  <c r="AE332" i="22"/>
  <c r="AE334" i="22"/>
  <c r="AE336" i="22"/>
  <c r="AE338" i="22"/>
  <c r="AE340" i="22"/>
  <c r="AE342" i="22"/>
  <c r="AE344" i="22"/>
  <c r="AE346" i="22"/>
  <c r="AE348" i="22"/>
  <c r="AE350" i="22"/>
  <c r="AE352" i="22"/>
  <c r="AE354" i="22"/>
  <c r="AE356" i="22"/>
  <c r="AE358" i="22"/>
  <c r="AE360" i="22"/>
  <c r="AE362" i="22"/>
  <c r="AE364" i="22"/>
  <c r="AE366" i="22"/>
  <c r="AE368" i="22"/>
  <c r="AE370" i="22"/>
  <c r="AE372" i="22"/>
  <c r="AE374" i="22"/>
  <c r="AE376" i="22"/>
  <c r="AE378" i="22"/>
  <c r="Y381" i="16"/>
  <c r="AL6" i="16"/>
  <c r="AL12" i="16" s="1"/>
  <c r="X9" i="16"/>
  <c r="Z11" i="16" s="1"/>
  <c r="Z5" i="16" s="1"/>
  <c r="H13" i="19" s="1"/>
  <c r="H37" i="19" s="1"/>
  <c r="Y383" i="16"/>
  <c r="AM6" i="16"/>
  <c r="AM12" i="16" s="1"/>
  <c r="Y382" i="16"/>
  <c r="S15" i="20"/>
  <c r="T381" i="20"/>
  <c r="T383" i="20"/>
  <c r="T382" i="20"/>
  <c r="U10" i="22"/>
  <c r="AI11" i="22" s="1"/>
  <c r="R381" i="18"/>
  <c r="R382" i="18"/>
  <c r="R383" i="18"/>
  <c r="P15" i="18"/>
  <c r="AG379" i="20"/>
  <c r="AF379" i="20" s="1"/>
  <c r="AD379" i="20" s="1"/>
  <c r="Q193" i="22"/>
  <c r="Q191" i="22"/>
  <c r="Q189" i="22"/>
  <c r="Q187" i="22"/>
  <c r="Q185" i="22"/>
  <c r="Q183" i="22"/>
  <c r="Q181" i="22"/>
  <c r="Q179" i="22"/>
  <c r="Q177" i="22"/>
  <c r="Q175" i="22"/>
  <c r="Q173" i="22"/>
  <c r="Q171" i="22"/>
  <c r="Q169" i="22"/>
  <c r="Q167" i="22"/>
  <c r="Q165" i="22"/>
  <c r="Q163" i="22"/>
  <c r="Q161" i="22"/>
  <c r="Q159" i="22"/>
  <c r="Q157" i="22"/>
  <c r="Q155" i="22"/>
  <c r="Q153" i="22"/>
  <c r="Q151" i="22"/>
  <c r="Q149" i="22"/>
  <c r="Q147" i="22"/>
  <c r="Q145" i="22"/>
  <c r="Q143" i="22"/>
  <c r="Q141" i="22"/>
  <c r="Q139" i="22"/>
  <c r="Q137" i="22"/>
  <c r="Q135" i="22"/>
  <c r="Q133" i="22"/>
  <c r="Q131" i="22"/>
  <c r="Q129" i="22"/>
  <c r="Q127" i="22"/>
  <c r="Q125" i="22"/>
  <c r="Q123" i="22"/>
  <c r="Q121" i="22"/>
  <c r="Q119" i="22"/>
  <c r="Q117" i="22"/>
  <c r="Q115" i="22"/>
  <c r="Q113" i="22"/>
  <c r="Q111" i="22"/>
  <c r="Q109" i="22"/>
  <c r="Q107" i="22"/>
  <c r="Q105" i="22"/>
  <c r="Q103" i="22"/>
  <c r="Q101" i="22"/>
  <c r="Q99" i="22"/>
  <c r="Q97" i="22"/>
  <c r="Q95" i="22"/>
  <c r="Q93" i="22"/>
  <c r="Q91" i="22"/>
  <c r="Q89" i="22"/>
  <c r="Q87" i="22"/>
  <c r="Q85" i="22"/>
  <c r="Q83" i="22"/>
  <c r="Q81" i="22"/>
  <c r="Q79" i="22"/>
  <c r="Q77" i="22"/>
  <c r="Q75" i="22"/>
  <c r="Q73" i="22"/>
  <c r="Q71" i="22"/>
  <c r="Q69" i="22"/>
  <c r="Q67" i="22"/>
  <c r="Q65" i="22"/>
  <c r="Q63" i="22"/>
  <c r="Q61" i="22"/>
  <c r="Q59" i="22"/>
  <c r="Q57" i="22"/>
  <c r="Q55" i="22"/>
  <c r="Q53" i="22"/>
  <c r="Q51" i="22"/>
  <c r="Q49" i="22"/>
  <c r="Q47" i="22"/>
  <c r="Q45" i="22"/>
  <c r="Q43" i="22"/>
  <c r="Q41" i="22"/>
  <c r="Q39" i="22"/>
  <c r="Q37" i="22"/>
  <c r="Q35" i="22"/>
  <c r="Q33" i="22"/>
  <c r="Q31" i="22"/>
  <c r="Q29" i="22"/>
  <c r="Q27" i="22"/>
  <c r="Q25" i="22"/>
  <c r="Q23" i="22"/>
  <c r="Q21" i="22"/>
  <c r="Q19" i="22"/>
  <c r="Q17" i="22"/>
  <c r="Q18" i="22"/>
  <c r="AD294" i="20" l="1"/>
  <c r="AH383" i="20"/>
  <c r="AI382" i="20"/>
  <c r="AH382" i="20"/>
  <c r="AI381" i="20"/>
  <c r="AD246" i="20"/>
  <c r="AO16" i="7"/>
  <c r="AN15" i="7"/>
  <c r="G66" i="19"/>
  <c r="AH381" i="20"/>
  <c r="AI383" i="20"/>
  <c r="AD358" i="20"/>
  <c r="V88" i="20"/>
  <c r="D66" i="19" s="1"/>
  <c r="AG278" i="20"/>
  <c r="AF278" i="20" s="1"/>
  <c r="AD278" i="20" s="1"/>
  <c r="AG310" i="20"/>
  <c r="AF310" i="20" s="1"/>
  <c r="AD310" i="20" s="1"/>
  <c r="AG342" i="20"/>
  <c r="AF342" i="20" s="1"/>
  <c r="AD342" i="20" s="1"/>
  <c r="AG374" i="20"/>
  <c r="AF374" i="20" s="1"/>
  <c r="AD374" i="20" s="1"/>
  <c r="AG122" i="20"/>
  <c r="AF122" i="20" s="1"/>
  <c r="AD122" i="20" s="1"/>
  <c r="AG154" i="20"/>
  <c r="AF154" i="20" s="1"/>
  <c r="AD154" i="20" s="1"/>
  <c r="AG186" i="20"/>
  <c r="AF186" i="20" s="1"/>
  <c r="AD186" i="20" s="1"/>
  <c r="AG298" i="20"/>
  <c r="AF298" i="20" s="1"/>
  <c r="AD298" i="20" s="1"/>
  <c r="AG362" i="20"/>
  <c r="AF362" i="20" s="1"/>
  <c r="AD362" i="20" s="1"/>
  <c r="AG114" i="20"/>
  <c r="AF114" i="20" s="1"/>
  <c r="AD114" i="20" s="1"/>
  <c r="AG178" i="20"/>
  <c r="AF178" i="20" s="1"/>
  <c r="AD178" i="20" s="1"/>
  <c r="AG210" i="20"/>
  <c r="AF210" i="20" s="1"/>
  <c r="AD210" i="20" s="1"/>
  <c r="AG242" i="20"/>
  <c r="AF242" i="20" s="1"/>
  <c r="AD242" i="20" s="1"/>
  <c r="AG282" i="20"/>
  <c r="AF282" i="20" s="1"/>
  <c r="AD282" i="20" s="1"/>
  <c r="AG346" i="20"/>
  <c r="AF346" i="20" s="1"/>
  <c r="AD346" i="20" s="1"/>
  <c r="AG306" i="20"/>
  <c r="AF306" i="20" s="1"/>
  <c r="AD306" i="20" s="1"/>
  <c r="AG338" i="20"/>
  <c r="AF338" i="20" s="1"/>
  <c r="AD338" i="20" s="1"/>
  <c r="AG370" i="20"/>
  <c r="AF370" i="20" s="1"/>
  <c r="AD370" i="20" s="1"/>
  <c r="AG230" i="20"/>
  <c r="AF230" i="20" s="1"/>
  <c r="AD230" i="20" s="1"/>
  <c r="AG262" i="20"/>
  <c r="AF262" i="20" s="1"/>
  <c r="AD262" i="20" s="1"/>
  <c r="AG106" i="20"/>
  <c r="AF106" i="20" s="1"/>
  <c r="AD106" i="20" s="1"/>
  <c r="AG138" i="20"/>
  <c r="AF138" i="20" s="1"/>
  <c r="AD138" i="20" s="1"/>
  <c r="AG202" i="20"/>
  <c r="AF202" i="20" s="1"/>
  <c r="AD202" i="20" s="1"/>
  <c r="AG234" i="20"/>
  <c r="AF234" i="20" s="1"/>
  <c r="AD234" i="20" s="1"/>
  <c r="AG266" i="20"/>
  <c r="AF266" i="20" s="1"/>
  <c r="AD266" i="20" s="1"/>
  <c r="AG127" i="20"/>
  <c r="AF127" i="20" s="1"/>
  <c r="AD127" i="20" s="1"/>
  <c r="AG130" i="20"/>
  <c r="AF130" i="20" s="1"/>
  <c r="AD130" i="20" s="1"/>
  <c r="AG162" i="20"/>
  <c r="AF162" i="20" s="1"/>
  <c r="AD162" i="20" s="1"/>
  <c r="AG194" i="20"/>
  <c r="AF194" i="20" s="1"/>
  <c r="AD194" i="20" s="1"/>
  <c r="AG226" i="20"/>
  <c r="AF226" i="20" s="1"/>
  <c r="AD226" i="20" s="1"/>
  <c r="AG314" i="20"/>
  <c r="AF314" i="20" s="1"/>
  <c r="AD314" i="20" s="1"/>
  <c r="AG378" i="20"/>
  <c r="AF378" i="20" s="1"/>
  <c r="AD378" i="20" s="1"/>
  <c r="AG290" i="20"/>
  <c r="AF290" i="20" s="1"/>
  <c r="AD290" i="20" s="1"/>
  <c r="AG322" i="20"/>
  <c r="AF322" i="20" s="1"/>
  <c r="AD322" i="20" s="1"/>
  <c r="AG354" i="20"/>
  <c r="AF354" i="20" s="1"/>
  <c r="AD354" i="20" s="1"/>
  <c r="C66" i="19"/>
  <c r="Q12" i="23"/>
  <c r="AF382" i="18"/>
  <c r="AF381" i="18"/>
  <c r="AF383" i="18"/>
  <c r="AD15" i="18"/>
  <c r="Q381" i="22"/>
  <c r="H66" i="19"/>
  <c r="L66" i="19"/>
  <c r="K66" i="19"/>
  <c r="J66" i="19"/>
  <c r="E66" i="19"/>
  <c r="I66" i="19"/>
  <c r="N64" i="19"/>
  <c r="F66" i="19"/>
  <c r="M66" i="19"/>
  <c r="AK4" i="16"/>
  <c r="R13" i="19" s="1"/>
  <c r="N14" i="19" s="1"/>
  <c r="AM13" i="16"/>
  <c r="J13" i="19"/>
  <c r="AA11" i="16"/>
  <c r="AA5" i="16" s="1"/>
  <c r="I13" i="19" s="1"/>
  <c r="AE381" i="22"/>
  <c r="AE382" i="22"/>
  <c r="AE383" i="22"/>
  <c r="Q382" i="22"/>
  <c r="AF15" i="20"/>
  <c r="AI378" i="22"/>
  <c r="AH378" i="22" s="1"/>
  <c r="AI376" i="22"/>
  <c r="AH376" i="22" s="1"/>
  <c r="AG376" i="22" s="1"/>
  <c r="AF376" i="22" s="1"/>
  <c r="AD376" i="22" s="1"/>
  <c r="AI374" i="22"/>
  <c r="AH374" i="22" s="1"/>
  <c r="AI372" i="22"/>
  <c r="AH372" i="22" s="1"/>
  <c r="AI370" i="22"/>
  <c r="AH370" i="22" s="1"/>
  <c r="AI368" i="22"/>
  <c r="AH368" i="22" s="1"/>
  <c r="AI366" i="22"/>
  <c r="AH366" i="22" s="1"/>
  <c r="AG366" i="22" s="1"/>
  <c r="AF366" i="22" s="1"/>
  <c r="AD366" i="22" s="1"/>
  <c r="AI364" i="22"/>
  <c r="AH364" i="22" s="1"/>
  <c r="AI362" i="22"/>
  <c r="AH362" i="22" s="1"/>
  <c r="AG362" i="22" s="1"/>
  <c r="AF362" i="22" s="1"/>
  <c r="AD362" i="22" s="1"/>
  <c r="AI360" i="22"/>
  <c r="AH360" i="22" s="1"/>
  <c r="AI358" i="22"/>
  <c r="AH358" i="22" s="1"/>
  <c r="AI356" i="22"/>
  <c r="AH356" i="22" s="1"/>
  <c r="AG356" i="22" s="1"/>
  <c r="AF356" i="22" s="1"/>
  <c r="AD356" i="22" s="1"/>
  <c r="AI354" i="22"/>
  <c r="AH354" i="22" s="1"/>
  <c r="AI352" i="22"/>
  <c r="AH352" i="22" s="1"/>
  <c r="AI350" i="22"/>
  <c r="AH350" i="22" s="1"/>
  <c r="AI348" i="22"/>
  <c r="AH348" i="22" s="1"/>
  <c r="AG348" i="22" s="1"/>
  <c r="AF348" i="22" s="1"/>
  <c r="AD348" i="22" s="1"/>
  <c r="AI346" i="22"/>
  <c r="AH346" i="22" s="1"/>
  <c r="AG346" i="22" s="1"/>
  <c r="AF346" i="22" s="1"/>
  <c r="AD346" i="22" s="1"/>
  <c r="AI344" i="22"/>
  <c r="AH344" i="22" s="1"/>
  <c r="AG344" i="22" s="1"/>
  <c r="AF344" i="22" s="1"/>
  <c r="AD344" i="22" s="1"/>
  <c r="AI342" i="22"/>
  <c r="AH342" i="22" s="1"/>
  <c r="AG342" i="22" s="1"/>
  <c r="AF342" i="22" s="1"/>
  <c r="AD342" i="22" s="1"/>
  <c r="AI340" i="22"/>
  <c r="AH340" i="22" s="1"/>
  <c r="AI338" i="22"/>
  <c r="AH338" i="22" s="1"/>
  <c r="AG338" i="22" s="1"/>
  <c r="AF338" i="22" s="1"/>
  <c r="AD338" i="22" s="1"/>
  <c r="AI336" i="22"/>
  <c r="AH336" i="22" s="1"/>
  <c r="AI334" i="22"/>
  <c r="AH334" i="22" s="1"/>
  <c r="AI332" i="22"/>
  <c r="AH332" i="22" s="1"/>
  <c r="AI330" i="22"/>
  <c r="AH330" i="22" s="1"/>
  <c r="AI328" i="22"/>
  <c r="AH328" i="22" s="1"/>
  <c r="AG328" i="22" s="1"/>
  <c r="AF328" i="22" s="1"/>
  <c r="AD328" i="22" s="1"/>
  <c r="AI326" i="22"/>
  <c r="AH326" i="22" s="1"/>
  <c r="AI324" i="22"/>
  <c r="AH324" i="22" s="1"/>
  <c r="AI322" i="22"/>
  <c r="AH322" i="22" s="1"/>
  <c r="AG322" i="22" s="1"/>
  <c r="AF322" i="22" s="1"/>
  <c r="AD322" i="22" s="1"/>
  <c r="AI320" i="22"/>
  <c r="AH320" i="22" s="1"/>
  <c r="AG320" i="22" s="1"/>
  <c r="AF320" i="22" s="1"/>
  <c r="AD320" i="22" s="1"/>
  <c r="AI318" i="22"/>
  <c r="AH318" i="22" s="1"/>
  <c r="AI316" i="22"/>
  <c r="AH316" i="22" s="1"/>
  <c r="AG316" i="22" s="1"/>
  <c r="AF316" i="22" s="1"/>
  <c r="AD316" i="22" s="1"/>
  <c r="AI314" i="22"/>
  <c r="AH314" i="22" s="1"/>
  <c r="AG314" i="22" s="1"/>
  <c r="AF314" i="22" s="1"/>
  <c r="AD314" i="22" s="1"/>
  <c r="AI312" i="22"/>
  <c r="AH312" i="22" s="1"/>
  <c r="AG312" i="22" s="1"/>
  <c r="AF312" i="22" s="1"/>
  <c r="AD312" i="22" s="1"/>
  <c r="AI310" i="22"/>
  <c r="AH310" i="22" s="1"/>
  <c r="AI308" i="22"/>
  <c r="AH308" i="22" s="1"/>
  <c r="AG308" i="22" s="1"/>
  <c r="AF308" i="22" s="1"/>
  <c r="AD308" i="22" s="1"/>
  <c r="AI306" i="22"/>
  <c r="AH306" i="22" s="1"/>
  <c r="AI304" i="22"/>
  <c r="AH304" i="22" s="1"/>
  <c r="AI302" i="22"/>
  <c r="AH302" i="22" s="1"/>
  <c r="AI300" i="22"/>
  <c r="AH300" i="22" s="1"/>
  <c r="AI298" i="22"/>
  <c r="AH298" i="22" s="1"/>
  <c r="AI296" i="22"/>
  <c r="AH296" i="22" s="1"/>
  <c r="AI294" i="22"/>
  <c r="AH294" i="22" s="1"/>
  <c r="AI292" i="22"/>
  <c r="AH292" i="22" s="1"/>
  <c r="AG292" i="22" s="1"/>
  <c r="AF292" i="22" s="1"/>
  <c r="AD292" i="22" s="1"/>
  <c r="AI290" i="22"/>
  <c r="AH290" i="22" s="1"/>
  <c r="AG290" i="22" s="1"/>
  <c r="AF290" i="22" s="1"/>
  <c r="AD290" i="22" s="1"/>
  <c r="AI288" i="22"/>
  <c r="AH288" i="22" s="1"/>
  <c r="AG288" i="22" s="1"/>
  <c r="AF288" i="22" s="1"/>
  <c r="AD288" i="22" s="1"/>
  <c r="AI286" i="22"/>
  <c r="AH286" i="22" s="1"/>
  <c r="AG286" i="22" s="1"/>
  <c r="AF286" i="22" s="1"/>
  <c r="AD286" i="22" s="1"/>
  <c r="AI284" i="22"/>
  <c r="AH284" i="22" s="1"/>
  <c r="AG284" i="22" s="1"/>
  <c r="AF284" i="22" s="1"/>
  <c r="AD284" i="22" s="1"/>
  <c r="AI282" i="22"/>
  <c r="AH282" i="22" s="1"/>
  <c r="AG282" i="22" s="1"/>
  <c r="AF282" i="22" s="1"/>
  <c r="AD282" i="22" s="1"/>
  <c r="AI280" i="22"/>
  <c r="AH280" i="22" s="1"/>
  <c r="AG280" i="22" s="1"/>
  <c r="AF280" i="22" s="1"/>
  <c r="AD280" i="22" s="1"/>
  <c r="AI278" i="22"/>
  <c r="AH278" i="22" s="1"/>
  <c r="AG278" i="22" s="1"/>
  <c r="AF278" i="22" s="1"/>
  <c r="AD278" i="22" s="1"/>
  <c r="AI276" i="22"/>
  <c r="AH276" i="22" s="1"/>
  <c r="AG276" i="22" s="1"/>
  <c r="AF276" i="22" s="1"/>
  <c r="AD276" i="22" s="1"/>
  <c r="AI274" i="22"/>
  <c r="AH274" i="22" s="1"/>
  <c r="AG274" i="22" s="1"/>
  <c r="AF274" i="22" s="1"/>
  <c r="AD274" i="22" s="1"/>
  <c r="AI272" i="22"/>
  <c r="AH272" i="22" s="1"/>
  <c r="AI270" i="22"/>
  <c r="AH270" i="22" s="1"/>
  <c r="AI268" i="22"/>
  <c r="AH268" i="22" s="1"/>
  <c r="AG268" i="22" s="1"/>
  <c r="AF268" i="22" s="1"/>
  <c r="AD268" i="22" s="1"/>
  <c r="AI266" i="22"/>
  <c r="AH266" i="22" s="1"/>
  <c r="AG266" i="22" s="1"/>
  <c r="AF266" i="22" s="1"/>
  <c r="AD266" i="22" s="1"/>
  <c r="AI264" i="22"/>
  <c r="AH264" i="22" s="1"/>
  <c r="AG264" i="22" s="1"/>
  <c r="AF264" i="22" s="1"/>
  <c r="AD264" i="22" s="1"/>
  <c r="AI262" i="22"/>
  <c r="AH262" i="22" s="1"/>
  <c r="AG262" i="22" s="1"/>
  <c r="AF262" i="22" s="1"/>
  <c r="AD262" i="22" s="1"/>
  <c r="AI260" i="22"/>
  <c r="AH260" i="22" s="1"/>
  <c r="AI258" i="22"/>
  <c r="AH258" i="22" s="1"/>
  <c r="AG258" i="22" s="1"/>
  <c r="AF258" i="22" s="1"/>
  <c r="AD258" i="22" s="1"/>
  <c r="AI256" i="22"/>
  <c r="AH256" i="22" s="1"/>
  <c r="AG256" i="22" s="1"/>
  <c r="AF256" i="22" s="1"/>
  <c r="AD256" i="22" s="1"/>
  <c r="AI254" i="22"/>
  <c r="AH254" i="22" s="1"/>
  <c r="AG254" i="22" s="1"/>
  <c r="AF254" i="22" s="1"/>
  <c r="AD254" i="22" s="1"/>
  <c r="AI252" i="22"/>
  <c r="AH252" i="22" s="1"/>
  <c r="AG252" i="22" s="1"/>
  <c r="AF252" i="22" s="1"/>
  <c r="AD252" i="22" s="1"/>
  <c r="AI250" i="22"/>
  <c r="AH250" i="22" s="1"/>
  <c r="AG250" i="22" s="1"/>
  <c r="AF250" i="22" s="1"/>
  <c r="AD250" i="22" s="1"/>
  <c r="AI248" i="22"/>
  <c r="AH248" i="22" s="1"/>
  <c r="AI246" i="22"/>
  <c r="AH246" i="22" s="1"/>
  <c r="AI244" i="22"/>
  <c r="AH244" i="22" s="1"/>
  <c r="AG244" i="22" s="1"/>
  <c r="AF244" i="22" s="1"/>
  <c r="AD244" i="22" s="1"/>
  <c r="AI242" i="22"/>
  <c r="AH242" i="22" s="1"/>
  <c r="AI240" i="22"/>
  <c r="AH240" i="22" s="1"/>
  <c r="AI238" i="22"/>
  <c r="AH238" i="22" s="1"/>
  <c r="AI236" i="22"/>
  <c r="AH236" i="22" s="1"/>
  <c r="AG236" i="22" s="1"/>
  <c r="AF236" i="22" s="1"/>
  <c r="AD236" i="22" s="1"/>
  <c r="AI234" i="22"/>
  <c r="AH234" i="22" s="1"/>
  <c r="AG234" i="22" s="1"/>
  <c r="AF234" i="22" s="1"/>
  <c r="AD234" i="22" s="1"/>
  <c r="AI232" i="22"/>
  <c r="AH232" i="22" s="1"/>
  <c r="AG232" i="22" s="1"/>
  <c r="AF232" i="22" s="1"/>
  <c r="AD232" i="22" s="1"/>
  <c r="AI230" i="22"/>
  <c r="AH230" i="22" s="1"/>
  <c r="AI228" i="22"/>
  <c r="AH228" i="22" s="1"/>
  <c r="AG228" i="22" s="1"/>
  <c r="AF228" i="22" s="1"/>
  <c r="AD228" i="22" s="1"/>
  <c r="AI226" i="22"/>
  <c r="AH226" i="22" s="1"/>
  <c r="AI224" i="22"/>
  <c r="AH224" i="22" s="1"/>
  <c r="AG224" i="22" s="1"/>
  <c r="AF224" i="22" s="1"/>
  <c r="AD224" i="22" s="1"/>
  <c r="AI222" i="22"/>
  <c r="AH222" i="22" s="1"/>
  <c r="AG222" i="22" s="1"/>
  <c r="AF222" i="22" s="1"/>
  <c r="AD222" i="22" s="1"/>
  <c r="AI220" i="22"/>
  <c r="AH220" i="22" s="1"/>
  <c r="AI218" i="22"/>
  <c r="AH218" i="22" s="1"/>
  <c r="AI216" i="22"/>
  <c r="AH216" i="22" s="1"/>
  <c r="AG216" i="22" s="1"/>
  <c r="AF216" i="22" s="1"/>
  <c r="AD216" i="22" s="1"/>
  <c r="AI214" i="22"/>
  <c r="AH214" i="22" s="1"/>
  <c r="AI212" i="22"/>
  <c r="AH212" i="22" s="1"/>
  <c r="AI210" i="22"/>
  <c r="AH210" i="22" s="1"/>
  <c r="AG210" i="22" s="1"/>
  <c r="AF210" i="22" s="1"/>
  <c r="AD210" i="22" s="1"/>
  <c r="AI208" i="22"/>
  <c r="AH208" i="22" s="1"/>
  <c r="AG208" i="22" s="1"/>
  <c r="AF208" i="22" s="1"/>
  <c r="AD208" i="22" s="1"/>
  <c r="AI206" i="22"/>
  <c r="AH206" i="22" s="1"/>
  <c r="AI204" i="22"/>
  <c r="AH204" i="22" s="1"/>
  <c r="AI202" i="22"/>
  <c r="AH202" i="22" s="1"/>
  <c r="AG202" i="22" s="1"/>
  <c r="AF202" i="22" s="1"/>
  <c r="AD202" i="22" s="1"/>
  <c r="AI200" i="22"/>
  <c r="AH200" i="22" s="1"/>
  <c r="AG200" i="22" s="1"/>
  <c r="AF200" i="22" s="1"/>
  <c r="AD200" i="22" s="1"/>
  <c r="AI198" i="22"/>
  <c r="AH198" i="22" s="1"/>
  <c r="AG198" i="22" s="1"/>
  <c r="AF198" i="22" s="1"/>
  <c r="AD198" i="22" s="1"/>
  <c r="AI196" i="22"/>
  <c r="AH196" i="22" s="1"/>
  <c r="AG196" i="22" s="1"/>
  <c r="AF196" i="22" s="1"/>
  <c r="AD196" i="22" s="1"/>
  <c r="AI194" i="22"/>
  <c r="AH194" i="22" s="1"/>
  <c r="AI192" i="22"/>
  <c r="AH192" i="22" s="1"/>
  <c r="AI190" i="22"/>
  <c r="AH190" i="22" s="1"/>
  <c r="AI188" i="22"/>
  <c r="AH188" i="22" s="1"/>
  <c r="AG188" i="22" s="1"/>
  <c r="AF188" i="22" s="1"/>
  <c r="AD188" i="22" s="1"/>
  <c r="AI186" i="22"/>
  <c r="AH186" i="22" s="1"/>
  <c r="AG186" i="22" s="1"/>
  <c r="AF186" i="22" s="1"/>
  <c r="AD186" i="22" s="1"/>
  <c r="AI184" i="22"/>
  <c r="AH184" i="22" s="1"/>
  <c r="AI182" i="22"/>
  <c r="AH182" i="22" s="1"/>
  <c r="AI180" i="22"/>
  <c r="AH180" i="22" s="1"/>
  <c r="AI178" i="22"/>
  <c r="AH178" i="22" s="1"/>
  <c r="AG178" i="22" s="1"/>
  <c r="AF178" i="22" s="1"/>
  <c r="AD178" i="22" s="1"/>
  <c r="AI176" i="22"/>
  <c r="AH176" i="22" s="1"/>
  <c r="AG176" i="22" s="1"/>
  <c r="AF176" i="22" s="1"/>
  <c r="AD176" i="22" s="1"/>
  <c r="AI174" i="22"/>
  <c r="AH174" i="22" s="1"/>
  <c r="AG174" i="22" s="1"/>
  <c r="AF174" i="22" s="1"/>
  <c r="AD174" i="22" s="1"/>
  <c r="AI172" i="22"/>
  <c r="AH172" i="22" s="1"/>
  <c r="AI170" i="22"/>
  <c r="AH170" i="22" s="1"/>
  <c r="AI168" i="22"/>
  <c r="AH168" i="22" s="1"/>
  <c r="AI166" i="22"/>
  <c r="AH166" i="22" s="1"/>
  <c r="AG166" i="22" s="1"/>
  <c r="AF166" i="22" s="1"/>
  <c r="AD166" i="22" s="1"/>
  <c r="AI164" i="22"/>
  <c r="AH164" i="22" s="1"/>
  <c r="AI162" i="22"/>
  <c r="AH162" i="22" s="1"/>
  <c r="AI160" i="22"/>
  <c r="AH160" i="22" s="1"/>
  <c r="AI158" i="22"/>
  <c r="AH158" i="22" s="1"/>
  <c r="AG158" i="22" s="1"/>
  <c r="AF158" i="22" s="1"/>
  <c r="AD158" i="22" s="1"/>
  <c r="AI156" i="22"/>
  <c r="AH156" i="22" s="1"/>
  <c r="AG156" i="22" s="1"/>
  <c r="AF156" i="22" s="1"/>
  <c r="AD156" i="22" s="1"/>
  <c r="AI154" i="22"/>
  <c r="AH154" i="22" s="1"/>
  <c r="AG154" i="22" s="1"/>
  <c r="AF154" i="22" s="1"/>
  <c r="AD154" i="22" s="1"/>
  <c r="AI152" i="22"/>
  <c r="AH152" i="22" s="1"/>
  <c r="AI150" i="22"/>
  <c r="AH150" i="22" s="1"/>
  <c r="AG150" i="22" s="1"/>
  <c r="AF150" i="22" s="1"/>
  <c r="AD150" i="22" s="1"/>
  <c r="AI148" i="22"/>
  <c r="AH148" i="22" s="1"/>
  <c r="AI146" i="22"/>
  <c r="AH146" i="22" s="1"/>
  <c r="AI144" i="22"/>
  <c r="AH144" i="22" s="1"/>
  <c r="AG144" i="22" s="1"/>
  <c r="AF144" i="22" s="1"/>
  <c r="AD144" i="22" s="1"/>
  <c r="AI142" i="22"/>
  <c r="AH142" i="22" s="1"/>
  <c r="AG142" i="22" s="1"/>
  <c r="AF142" i="22" s="1"/>
  <c r="AD142" i="22" s="1"/>
  <c r="AI140" i="22"/>
  <c r="AH140" i="22" s="1"/>
  <c r="AG140" i="22" s="1"/>
  <c r="AF140" i="22" s="1"/>
  <c r="AD140" i="22" s="1"/>
  <c r="AI138" i="22"/>
  <c r="AH138" i="22" s="1"/>
  <c r="AG138" i="22" s="1"/>
  <c r="AF138" i="22" s="1"/>
  <c r="AD138" i="22" s="1"/>
  <c r="AI136" i="22"/>
  <c r="AH136" i="22" s="1"/>
  <c r="AI134" i="22"/>
  <c r="AH134" i="22" s="1"/>
  <c r="AG134" i="22" s="1"/>
  <c r="AF134" i="22" s="1"/>
  <c r="AD134" i="22" s="1"/>
  <c r="AI132" i="22"/>
  <c r="AH132" i="22" s="1"/>
  <c r="AG132" i="22" s="1"/>
  <c r="AF132" i="22" s="1"/>
  <c r="AD132" i="22" s="1"/>
  <c r="AI130" i="22"/>
  <c r="AH130" i="22" s="1"/>
  <c r="AG130" i="22" s="1"/>
  <c r="AF130" i="22" s="1"/>
  <c r="AD130" i="22" s="1"/>
  <c r="AI128" i="22"/>
  <c r="AH128" i="22" s="1"/>
  <c r="AI126" i="22"/>
  <c r="AH126" i="22" s="1"/>
  <c r="AI124" i="22"/>
  <c r="AH124" i="22" s="1"/>
  <c r="AG124" i="22" s="1"/>
  <c r="AF124" i="22" s="1"/>
  <c r="AD124" i="22" s="1"/>
  <c r="AI122" i="22"/>
  <c r="AH122" i="22" s="1"/>
  <c r="AG122" i="22" s="1"/>
  <c r="AF122" i="22" s="1"/>
  <c r="AD122" i="22" s="1"/>
  <c r="AI120" i="22"/>
  <c r="AH120" i="22" s="1"/>
  <c r="AG120" i="22" s="1"/>
  <c r="AF120" i="22" s="1"/>
  <c r="AD120" i="22" s="1"/>
  <c r="AI118" i="22"/>
  <c r="AH118" i="22" s="1"/>
  <c r="AG118" i="22" s="1"/>
  <c r="AF118" i="22" s="1"/>
  <c r="AD118" i="22" s="1"/>
  <c r="AI116" i="22"/>
  <c r="AH116" i="22" s="1"/>
  <c r="AG116" i="22" s="1"/>
  <c r="AF116" i="22" s="1"/>
  <c r="AD116" i="22" s="1"/>
  <c r="AI114" i="22"/>
  <c r="AH114" i="22" s="1"/>
  <c r="AI112" i="22"/>
  <c r="AH112" i="22" s="1"/>
  <c r="AI110" i="22"/>
  <c r="AH110" i="22" s="1"/>
  <c r="AI108" i="22"/>
  <c r="AH108" i="22" s="1"/>
  <c r="AG108" i="22" s="1"/>
  <c r="AF108" i="22" s="1"/>
  <c r="AD108" i="22" s="1"/>
  <c r="AI106" i="22"/>
  <c r="AH106" i="22" s="1"/>
  <c r="AG106" i="22" s="1"/>
  <c r="AF106" i="22" s="1"/>
  <c r="AD106" i="22" s="1"/>
  <c r="AI104" i="22"/>
  <c r="AH104" i="22" s="1"/>
  <c r="AG104" i="22" s="1"/>
  <c r="AF104" i="22" s="1"/>
  <c r="AD104" i="22" s="1"/>
  <c r="AI102" i="22"/>
  <c r="AH102" i="22" s="1"/>
  <c r="AI100" i="22"/>
  <c r="AH100" i="22" s="1"/>
  <c r="AI98" i="22"/>
  <c r="AH98" i="22" s="1"/>
  <c r="AI96" i="22"/>
  <c r="AH96" i="22" s="1"/>
  <c r="AG96" i="22" s="1"/>
  <c r="AF96" i="22" s="1"/>
  <c r="AD96" i="22" s="1"/>
  <c r="AI94" i="22"/>
  <c r="AH94" i="22" s="1"/>
  <c r="AG94" i="22" s="1"/>
  <c r="AF94" i="22" s="1"/>
  <c r="AD94" i="22" s="1"/>
  <c r="AI92" i="22"/>
  <c r="AH92" i="22" s="1"/>
  <c r="AI90" i="22"/>
  <c r="AH90" i="22" s="1"/>
  <c r="AI88" i="22"/>
  <c r="AH88" i="22" s="1"/>
  <c r="AI86" i="22"/>
  <c r="AH86" i="22" s="1"/>
  <c r="AI84" i="22"/>
  <c r="AH84" i="22" s="1"/>
  <c r="AI82" i="22"/>
  <c r="AH82" i="22" s="1"/>
  <c r="AG82" i="22" s="1"/>
  <c r="AF82" i="22" s="1"/>
  <c r="AD82" i="22" s="1"/>
  <c r="AI80" i="22"/>
  <c r="AH80" i="22" s="1"/>
  <c r="AI78" i="22"/>
  <c r="AH78" i="22" s="1"/>
  <c r="AI76" i="22"/>
  <c r="AH76" i="22" s="1"/>
  <c r="AI74" i="22"/>
  <c r="AH74" i="22" s="1"/>
  <c r="AG74" i="22" s="1"/>
  <c r="AF74" i="22" s="1"/>
  <c r="AD74" i="22" s="1"/>
  <c r="AI72" i="22"/>
  <c r="AH72" i="22" s="1"/>
  <c r="AI70" i="22"/>
  <c r="AH70" i="22" s="1"/>
  <c r="AG70" i="22" s="1"/>
  <c r="AF70" i="22" s="1"/>
  <c r="AD70" i="22" s="1"/>
  <c r="AI68" i="22"/>
  <c r="AH68" i="22" s="1"/>
  <c r="AI66" i="22"/>
  <c r="AH66" i="22" s="1"/>
  <c r="AI64" i="22"/>
  <c r="AH64" i="22" s="1"/>
  <c r="AG64" i="22" s="1"/>
  <c r="AF64" i="22" s="1"/>
  <c r="AD64" i="22" s="1"/>
  <c r="AI62" i="22"/>
  <c r="AH62" i="22" s="1"/>
  <c r="AG62" i="22" s="1"/>
  <c r="AF62" i="22" s="1"/>
  <c r="AD62" i="22" s="1"/>
  <c r="AI60" i="22"/>
  <c r="AH60" i="22" s="1"/>
  <c r="AG60" i="22" s="1"/>
  <c r="AF60" i="22" s="1"/>
  <c r="AD60" i="22" s="1"/>
  <c r="AI58" i="22"/>
  <c r="AH58" i="22" s="1"/>
  <c r="AI56" i="22"/>
  <c r="AH56" i="22" s="1"/>
  <c r="AG56" i="22" s="1"/>
  <c r="AF56" i="22" s="1"/>
  <c r="AD56" i="22" s="1"/>
  <c r="AI54" i="22"/>
  <c r="AH54" i="22" s="1"/>
  <c r="AG54" i="22" s="1"/>
  <c r="AF54" i="22" s="1"/>
  <c r="AD54" i="22" s="1"/>
  <c r="AI52" i="22"/>
  <c r="AH52" i="22" s="1"/>
  <c r="AG52" i="22" s="1"/>
  <c r="AF52" i="22" s="1"/>
  <c r="AD52" i="22" s="1"/>
  <c r="AI50" i="22"/>
  <c r="AH50" i="22" s="1"/>
  <c r="AI48" i="22"/>
  <c r="AH48" i="22" s="1"/>
  <c r="AG48" i="22" s="1"/>
  <c r="AF48" i="22" s="1"/>
  <c r="AD48" i="22" s="1"/>
  <c r="AI46" i="22"/>
  <c r="AH46" i="22" s="1"/>
  <c r="AG46" i="22" s="1"/>
  <c r="AF46" i="22" s="1"/>
  <c r="AD46" i="22" s="1"/>
  <c r="AI44" i="22"/>
  <c r="AH44" i="22" s="1"/>
  <c r="AI42" i="22"/>
  <c r="AH42" i="22" s="1"/>
  <c r="AG42" i="22" s="1"/>
  <c r="AF42" i="22" s="1"/>
  <c r="AD42" i="22" s="1"/>
  <c r="AI40" i="22"/>
  <c r="AH40" i="22" s="1"/>
  <c r="AI38" i="22"/>
  <c r="AH38" i="22" s="1"/>
  <c r="AI36" i="22"/>
  <c r="AH36" i="22" s="1"/>
  <c r="AG36" i="22" s="1"/>
  <c r="AF36" i="22" s="1"/>
  <c r="AD36" i="22" s="1"/>
  <c r="AI34" i="22"/>
  <c r="AH34" i="22" s="1"/>
  <c r="AI32" i="22"/>
  <c r="AH32" i="22" s="1"/>
  <c r="AG32" i="22" s="1"/>
  <c r="AF32" i="22" s="1"/>
  <c r="AD32" i="22" s="1"/>
  <c r="AI30" i="22"/>
  <c r="AH30" i="22" s="1"/>
  <c r="AG30" i="22" s="1"/>
  <c r="AF30" i="22" s="1"/>
  <c r="AD30" i="22" s="1"/>
  <c r="AI28" i="22"/>
  <c r="AH28" i="22" s="1"/>
  <c r="AG28" i="22" s="1"/>
  <c r="AF28" i="22" s="1"/>
  <c r="AD28" i="22" s="1"/>
  <c r="AI26" i="22"/>
  <c r="AH26" i="22" s="1"/>
  <c r="AG26" i="22" s="1"/>
  <c r="AF26" i="22" s="1"/>
  <c r="AD26" i="22" s="1"/>
  <c r="AI24" i="22"/>
  <c r="AH24" i="22" s="1"/>
  <c r="AI22" i="22"/>
  <c r="AH22" i="22" s="1"/>
  <c r="AI16" i="22"/>
  <c r="AH16" i="22" s="1"/>
  <c r="AI19" i="22"/>
  <c r="AH19" i="22" s="1"/>
  <c r="AI20" i="22"/>
  <c r="AH20" i="22" s="1"/>
  <c r="U378" i="22"/>
  <c r="T378" i="22" s="1"/>
  <c r="U376" i="22"/>
  <c r="T376" i="22" s="1"/>
  <c r="S376" i="22" s="1"/>
  <c r="R376" i="22" s="1"/>
  <c r="P376" i="22" s="1"/>
  <c r="V376" i="22" s="1"/>
  <c r="U374" i="22"/>
  <c r="T374" i="22" s="1"/>
  <c r="U372" i="22"/>
  <c r="T372" i="22" s="1"/>
  <c r="S372" i="22" s="1"/>
  <c r="R372" i="22" s="1"/>
  <c r="P372" i="22" s="1"/>
  <c r="V372" i="22" s="1"/>
  <c r="U370" i="22"/>
  <c r="T370" i="22" s="1"/>
  <c r="S370" i="22" s="1"/>
  <c r="R370" i="22" s="1"/>
  <c r="P370" i="22" s="1"/>
  <c r="V370" i="22" s="1"/>
  <c r="U368" i="22"/>
  <c r="T368" i="22" s="1"/>
  <c r="U366" i="22"/>
  <c r="T366" i="22" s="1"/>
  <c r="S366" i="22" s="1"/>
  <c r="R366" i="22" s="1"/>
  <c r="P366" i="22" s="1"/>
  <c r="V366" i="22" s="1"/>
  <c r="U364" i="22"/>
  <c r="T364" i="22" s="1"/>
  <c r="U362" i="22"/>
  <c r="T362" i="22" s="1"/>
  <c r="S362" i="22" s="1"/>
  <c r="R362" i="22" s="1"/>
  <c r="P362" i="22" s="1"/>
  <c r="V362" i="22" s="1"/>
  <c r="U360" i="22"/>
  <c r="T360" i="22" s="1"/>
  <c r="S360" i="22" s="1"/>
  <c r="R360" i="22" s="1"/>
  <c r="P360" i="22" s="1"/>
  <c r="V360" i="22" s="1"/>
  <c r="U358" i="22"/>
  <c r="T358" i="22" s="1"/>
  <c r="S358" i="22" s="1"/>
  <c r="R358" i="22" s="1"/>
  <c r="P358" i="22" s="1"/>
  <c r="V358" i="22" s="1"/>
  <c r="U356" i="22"/>
  <c r="T356" i="22" s="1"/>
  <c r="U354" i="22"/>
  <c r="T354" i="22" s="1"/>
  <c r="S354" i="22" s="1"/>
  <c r="R354" i="22" s="1"/>
  <c r="P354" i="22" s="1"/>
  <c r="V354" i="22" s="1"/>
  <c r="U352" i="22"/>
  <c r="T352" i="22" s="1"/>
  <c r="S352" i="22" s="1"/>
  <c r="R352" i="22" s="1"/>
  <c r="P352" i="22" s="1"/>
  <c r="V352" i="22" s="1"/>
  <c r="U350" i="22"/>
  <c r="T350" i="22" s="1"/>
  <c r="U348" i="22"/>
  <c r="T348" i="22" s="1"/>
  <c r="S348" i="22" s="1"/>
  <c r="R348" i="22" s="1"/>
  <c r="P348" i="22" s="1"/>
  <c r="V348" i="22" s="1"/>
  <c r="U346" i="22"/>
  <c r="T346" i="22" s="1"/>
  <c r="U344" i="22"/>
  <c r="T344" i="22" s="1"/>
  <c r="S344" i="22" s="1"/>
  <c r="R344" i="22" s="1"/>
  <c r="P344" i="22" s="1"/>
  <c r="V344" i="22" s="1"/>
  <c r="U342" i="22"/>
  <c r="T342" i="22" s="1"/>
  <c r="U340" i="22"/>
  <c r="T340" i="22" s="1"/>
  <c r="S340" i="22" s="1"/>
  <c r="R340" i="22" s="1"/>
  <c r="P340" i="22" s="1"/>
  <c r="V340" i="22" s="1"/>
  <c r="U338" i="22"/>
  <c r="T338" i="22" s="1"/>
  <c r="S338" i="22" s="1"/>
  <c r="R338" i="22" s="1"/>
  <c r="P338" i="22" s="1"/>
  <c r="V338" i="22" s="1"/>
  <c r="U336" i="22"/>
  <c r="T336" i="22" s="1"/>
  <c r="U334" i="22"/>
  <c r="T334" i="22" s="1"/>
  <c r="U332" i="22"/>
  <c r="T332" i="22" s="1"/>
  <c r="S332" i="22" s="1"/>
  <c r="R332" i="22" s="1"/>
  <c r="P332" i="22" s="1"/>
  <c r="V332" i="22" s="1"/>
  <c r="U330" i="22"/>
  <c r="T330" i="22" s="1"/>
  <c r="U328" i="22"/>
  <c r="T328" i="22" s="1"/>
  <c r="S328" i="22" s="1"/>
  <c r="R328" i="22" s="1"/>
  <c r="P328" i="22" s="1"/>
  <c r="V328" i="22" s="1"/>
  <c r="U326" i="22"/>
  <c r="T326" i="22" s="1"/>
  <c r="U324" i="22"/>
  <c r="T324" i="22" s="1"/>
  <c r="S324" i="22" s="1"/>
  <c r="R324" i="22" s="1"/>
  <c r="P324" i="22" s="1"/>
  <c r="V324" i="22" s="1"/>
  <c r="U322" i="22"/>
  <c r="T322" i="22" s="1"/>
  <c r="S322" i="22" s="1"/>
  <c r="R322" i="22" s="1"/>
  <c r="P322" i="22" s="1"/>
  <c r="V322" i="22" s="1"/>
  <c r="U320" i="22"/>
  <c r="T320" i="22" s="1"/>
  <c r="U318" i="22"/>
  <c r="T318" i="22" s="1"/>
  <c r="S318" i="22" s="1"/>
  <c r="R318" i="22" s="1"/>
  <c r="P318" i="22" s="1"/>
  <c r="V318" i="22" s="1"/>
  <c r="U316" i="22"/>
  <c r="T316" i="22" s="1"/>
  <c r="S316" i="22" s="1"/>
  <c r="R316" i="22" s="1"/>
  <c r="P316" i="22" s="1"/>
  <c r="V316" i="22" s="1"/>
  <c r="U314" i="22"/>
  <c r="T314" i="22" s="1"/>
  <c r="U312" i="22"/>
  <c r="T312" i="22" s="1"/>
  <c r="U310" i="22"/>
  <c r="T310" i="22" s="1"/>
  <c r="S310" i="22" s="1"/>
  <c r="R310" i="22" s="1"/>
  <c r="P310" i="22" s="1"/>
  <c r="V310" i="22" s="1"/>
  <c r="U308" i="22"/>
  <c r="T308" i="22" s="1"/>
  <c r="U306" i="22"/>
  <c r="T306" i="22" s="1"/>
  <c r="S306" i="22" s="1"/>
  <c r="R306" i="22" s="1"/>
  <c r="P306" i="22" s="1"/>
  <c r="V306" i="22" s="1"/>
  <c r="U304" i="22"/>
  <c r="T304" i="22" s="1"/>
  <c r="U302" i="22"/>
  <c r="T302" i="22" s="1"/>
  <c r="S302" i="22" s="1"/>
  <c r="R302" i="22" s="1"/>
  <c r="P302" i="22" s="1"/>
  <c r="U300" i="22"/>
  <c r="T300" i="22" s="1"/>
  <c r="U298" i="22"/>
  <c r="T298" i="22" s="1"/>
  <c r="S298" i="22" s="1"/>
  <c r="R298" i="22" s="1"/>
  <c r="P298" i="22" s="1"/>
  <c r="V298" i="22" s="1"/>
  <c r="U296" i="22"/>
  <c r="T296" i="22" s="1"/>
  <c r="S296" i="22" s="1"/>
  <c r="R296" i="22" s="1"/>
  <c r="P296" i="22" s="1"/>
  <c r="V296" i="22" s="1"/>
  <c r="U294" i="22"/>
  <c r="T294" i="22" s="1"/>
  <c r="S294" i="22" s="1"/>
  <c r="R294" i="22" s="1"/>
  <c r="P294" i="22" s="1"/>
  <c r="V294" i="22" s="1"/>
  <c r="U292" i="22"/>
  <c r="T292" i="22" s="1"/>
  <c r="S292" i="22" s="1"/>
  <c r="R292" i="22" s="1"/>
  <c r="P292" i="22" s="1"/>
  <c r="V292" i="22" s="1"/>
  <c r="U290" i="22"/>
  <c r="T290" i="22" s="1"/>
  <c r="S290" i="22" s="1"/>
  <c r="R290" i="22" s="1"/>
  <c r="P290" i="22" s="1"/>
  <c r="V290" i="22" s="1"/>
  <c r="U288" i="22"/>
  <c r="T288" i="22" s="1"/>
  <c r="S288" i="22" s="1"/>
  <c r="R288" i="22" s="1"/>
  <c r="P288" i="22" s="1"/>
  <c r="V288" i="22" s="1"/>
  <c r="U286" i="22"/>
  <c r="T286" i="22" s="1"/>
  <c r="U284" i="22"/>
  <c r="T284" i="22" s="1"/>
  <c r="S284" i="22" s="1"/>
  <c r="R284" i="22" s="1"/>
  <c r="P284" i="22" s="1"/>
  <c r="V284" i="22" s="1"/>
  <c r="U282" i="22"/>
  <c r="T282" i="22" s="1"/>
  <c r="S282" i="22" s="1"/>
  <c r="R282" i="22" s="1"/>
  <c r="P282" i="22" s="1"/>
  <c r="V282" i="22" s="1"/>
  <c r="U280" i="22"/>
  <c r="T280" i="22" s="1"/>
  <c r="S280" i="22" s="1"/>
  <c r="R280" i="22" s="1"/>
  <c r="P280" i="22" s="1"/>
  <c r="V280" i="22" s="1"/>
  <c r="U278" i="22"/>
  <c r="T278" i="22" s="1"/>
  <c r="S278" i="22" s="1"/>
  <c r="R278" i="22" s="1"/>
  <c r="P278" i="22" s="1"/>
  <c r="V278" i="22" s="1"/>
  <c r="U276" i="22"/>
  <c r="T276" i="22" s="1"/>
  <c r="U274" i="22"/>
  <c r="T274" i="22" s="1"/>
  <c r="U272" i="22"/>
  <c r="T272" i="22" s="1"/>
  <c r="S272" i="22" s="1"/>
  <c r="R272" i="22" s="1"/>
  <c r="P272" i="22" s="1"/>
  <c r="U270" i="22"/>
  <c r="T270" i="22" s="1"/>
  <c r="S270" i="22" s="1"/>
  <c r="R270" i="22" s="1"/>
  <c r="P270" i="22" s="1"/>
  <c r="V270" i="22" s="1"/>
  <c r="U268" i="22"/>
  <c r="T268" i="22" s="1"/>
  <c r="U266" i="22"/>
  <c r="T266" i="22" s="1"/>
  <c r="U264" i="22"/>
  <c r="T264" i="22" s="1"/>
  <c r="U262" i="22"/>
  <c r="T262" i="22" s="1"/>
  <c r="S262" i="22" s="1"/>
  <c r="R262" i="22" s="1"/>
  <c r="P262" i="22" s="1"/>
  <c r="V262" i="22" s="1"/>
  <c r="U260" i="22"/>
  <c r="T260" i="22" s="1"/>
  <c r="S260" i="22" s="1"/>
  <c r="R260" i="22" s="1"/>
  <c r="P260" i="22" s="1"/>
  <c r="V260" i="22" s="1"/>
  <c r="U258" i="22"/>
  <c r="T258" i="22" s="1"/>
  <c r="U256" i="22"/>
  <c r="T256" i="22" s="1"/>
  <c r="S256" i="22" s="1"/>
  <c r="R256" i="22" s="1"/>
  <c r="P256" i="22" s="1"/>
  <c r="V256" i="22" s="1"/>
  <c r="U254" i="22"/>
  <c r="T254" i="22" s="1"/>
  <c r="S254" i="22" s="1"/>
  <c r="R254" i="22" s="1"/>
  <c r="P254" i="22" s="1"/>
  <c r="V254" i="22" s="1"/>
  <c r="U252" i="22"/>
  <c r="T252" i="22" s="1"/>
  <c r="S252" i="22" s="1"/>
  <c r="R252" i="22" s="1"/>
  <c r="P252" i="22" s="1"/>
  <c r="V252" i="22" s="1"/>
  <c r="U250" i="22"/>
  <c r="T250" i="22" s="1"/>
  <c r="S250" i="22" s="1"/>
  <c r="R250" i="22" s="1"/>
  <c r="P250" i="22" s="1"/>
  <c r="V250" i="22" s="1"/>
  <c r="U248" i="22"/>
  <c r="T248" i="22" s="1"/>
  <c r="S248" i="22" s="1"/>
  <c r="R248" i="22" s="1"/>
  <c r="P248" i="22" s="1"/>
  <c r="V248" i="22" s="1"/>
  <c r="U246" i="22"/>
  <c r="T246" i="22" s="1"/>
  <c r="U244" i="22"/>
  <c r="T244" i="22" s="1"/>
  <c r="U242" i="22"/>
  <c r="T242" i="22" s="1"/>
  <c r="U240" i="22"/>
  <c r="T240" i="22" s="1"/>
  <c r="S240" i="22" s="1"/>
  <c r="R240" i="22" s="1"/>
  <c r="P240" i="22" s="1"/>
  <c r="V240" i="22" s="1"/>
  <c r="U238" i="22"/>
  <c r="T238" i="22" s="1"/>
  <c r="U236" i="22"/>
  <c r="T236" i="22" s="1"/>
  <c r="U234" i="22"/>
  <c r="T234" i="22" s="1"/>
  <c r="U232" i="22"/>
  <c r="T232" i="22" s="1"/>
  <c r="S232" i="22" s="1"/>
  <c r="R232" i="22" s="1"/>
  <c r="P232" i="22" s="1"/>
  <c r="V232" i="22" s="1"/>
  <c r="U230" i="22"/>
  <c r="T230" i="22" s="1"/>
  <c r="U228" i="22"/>
  <c r="T228" i="22" s="1"/>
  <c r="U226" i="22"/>
  <c r="T226" i="22" s="1"/>
  <c r="U224" i="22"/>
  <c r="T224" i="22" s="1"/>
  <c r="U222" i="22"/>
  <c r="T222" i="22" s="1"/>
  <c r="S222" i="22" s="1"/>
  <c r="R222" i="22" s="1"/>
  <c r="P222" i="22" s="1"/>
  <c r="V222" i="22" s="1"/>
  <c r="U220" i="22"/>
  <c r="T220" i="22" s="1"/>
  <c r="S220" i="22" s="1"/>
  <c r="R220" i="22" s="1"/>
  <c r="P220" i="22" s="1"/>
  <c r="V220" i="22" s="1"/>
  <c r="U218" i="22"/>
  <c r="T218" i="22" s="1"/>
  <c r="U216" i="22"/>
  <c r="T216" i="22" s="1"/>
  <c r="S216" i="22" s="1"/>
  <c r="R216" i="22" s="1"/>
  <c r="P216" i="22" s="1"/>
  <c r="V216" i="22" s="1"/>
  <c r="U214" i="22"/>
  <c r="T214" i="22" s="1"/>
  <c r="S214" i="22" s="1"/>
  <c r="R214" i="22" s="1"/>
  <c r="P214" i="22" s="1"/>
  <c r="V214" i="22" s="1"/>
  <c r="U212" i="22"/>
  <c r="T212" i="22" s="1"/>
  <c r="S212" i="22" s="1"/>
  <c r="R212" i="22" s="1"/>
  <c r="P212" i="22" s="1"/>
  <c r="V212" i="22" s="1"/>
  <c r="U210" i="22"/>
  <c r="T210" i="22" s="1"/>
  <c r="U208" i="22"/>
  <c r="T208" i="22" s="1"/>
  <c r="U206" i="22"/>
  <c r="T206" i="22" s="1"/>
  <c r="S206" i="22" s="1"/>
  <c r="R206" i="22" s="1"/>
  <c r="P206" i="22" s="1"/>
  <c r="V206" i="22" s="1"/>
  <c r="U204" i="22"/>
  <c r="T204" i="22" s="1"/>
  <c r="S204" i="22" s="1"/>
  <c r="R204" i="22" s="1"/>
  <c r="P204" i="22" s="1"/>
  <c r="V204" i="22" s="1"/>
  <c r="U202" i="22"/>
  <c r="T202" i="22" s="1"/>
  <c r="U200" i="22"/>
  <c r="T200" i="22" s="1"/>
  <c r="S200" i="22" s="1"/>
  <c r="R200" i="22" s="1"/>
  <c r="P200" i="22" s="1"/>
  <c r="V200" i="22" s="1"/>
  <c r="U198" i="22"/>
  <c r="T198" i="22" s="1"/>
  <c r="U196" i="22"/>
  <c r="T196" i="22" s="1"/>
  <c r="U194" i="22"/>
  <c r="T194" i="22" s="1"/>
  <c r="U192" i="22"/>
  <c r="T192" i="22" s="1"/>
  <c r="S192" i="22" s="1"/>
  <c r="R192" i="22" s="1"/>
  <c r="P192" i="22" s="1"/>
  <c r="V192" i="22" s="1"/>
  <c r="U190" i="22"/>
  <c r="T190" i="22" s="1"/>
  <c r="U188" i="22"/>
  <c r="T188" i="22" s="1"/>
  <c r="S188" i="22" s="1"/>
  <c r="R188" i="22" s="1"/>
  <c r="P188" i="22" s="1"/>
  <c r="V188" i="22" s="1"/>
  <c r="U186" i="22"/>
  <c r="T186" i="22" s="1"/>
  <c r="S186" i="22" s="1"/>
  <c r="R186" i="22" s="1"/>
  <c r="P186" i="22" s="1"/>
  <c r="V186" i="22" s="1"/>
  <c r="U184" i="22"/>
  <c r="T184" i="22" s="1"/>
  <c r="U182" i="22"/>
  <c r="T182" i="22" s="1"/>
  <c r="U180" i="22"/>
  <c r="T180" i="22" s="1"/>
  <c r="S180" i="22" s="1"/>
  <c r="R180" i="22" s="1"/>
  <c r="P180" i="22" s="1"/>
  <c r="U178" i="22"/>
  <c r="T178" i="22" s="1"/>
  <c r="U176" i="22"/>
  <c r="T176" i="22" s="1"/>
  <c r="S176" i="22" s="1"/>
  <c r="R176" i="22" s="1"/>
  <c r="P176" i="22" s="1"/>
  <c r="V176" i="22" s="1"/>
  <c r="U174" i="22"/>
  <c r="T174" i="22" s="1"/>
  <c r="S174" i="22" s="1"/>
  <c r="R174" i="22" s="1"/>
  <c r="P174" i="22" s="1"/>
  <c r="V174" i="22" s="1"/>
  <c r="U172" i="22"/>
  <c r="T172" i="22" s="1"/>
  <c r="U170" i="22"/>
  <c r="T170" i="22" s="1"/>
  <c r="S170" i="22" s="1"/>
  <c r="R170" i="22" s="1"/>
  <c r="P170" i="22" s="1"/>
  <c r="V170" i="22" s="1"/>
  <c r="U168" i="22"/>
  <c r="T168" i="22" s="1"/>
  <c r="S168" i="22" s="1"/>
  <c r="R168" i="22" s="1"/>
  <c r="P168" i="22" s="1"/>
  <c r="V168" i="22" s="1"/>
  <c r="U166" i="22"/>
  <c r="T166" i="22" s="1"/>
  <c r="U164" i="22"/>
  <c r="T164" i="22" s="1"/>
  <c r="U162" i="22"/>
  <c r="T162" i="22" s="1"/>
  <c r="S162" i="22" s="1"/>
  <c r="R162" i="22" s="1"/>
  <c r="P162" i="22" s="1"/>
  <c r="V162" i="22" s="1"/>
  <c r="U160" i="22"/>
  <c r="T160" i="22" s="1"/>
  <c r="U158" i="22"/>
  <c r="T158" i="22" s="1"/>
  <c r="U156" i="22"/>
  <c r="T156" i="22" s="1"/>
  <c r="U154" i="22"/>
  <c r="T154" i="22" s="1"/>
  <c r="U152" i="22"/>
  <c r="T152" i="22" s="1"/>
  <c r="S152" i="22" s="1"/>
  <c r="R152" i="22" s="1"/>
  <c r="P152" i="22" s="1"/>
  <c r="V152" i="22" s="1"/>
  <c r="U150" i="22"/>
  <c r="T150" i="22" s="1"/>
  <c r="U148" i="22"/>
  <c r="T148" i="22" s="1"/>
  <c r="S148" i="22" s="1"/>
  <c r="R148" i="22" s="1"/>
  <c r="P148" i="22" s="1"/>
  <c r="V148" i="22" s="1"/>
  <c r="U146" i="22"/>
  <c r="T146" i="22" s="1"/>
  <c r="U144" i="22"/>
  <c r="T144" i="22" s="1"/>
  <c r="S144" i="22" s="1"/>
  <c r="R144" i="22" s="1"/>
  <c r="P144" i="22" s="1"/>
  <c r="V144" i="22" s="1"/>
  <c r="U142" i="22"/>
  <c r="T142" i="22" s="1"/>
  <c r="U140" i="22"/>
  <c r="T140" i="22" s="1"/>
  <c r="S140" i="22" s="1"/>
  <c r="R140" i="22" s="1"/>
  <c r="P140" i="22" s="1"/>
  <c r="V140" i="22" s="1"/>
  <c r="U138" i="22"/>
  <c r="T138" i="22" s="1"/>
  <c r="S138" i="22" s="1"/>
  <c r="R138" i="22" s="1"/>
  <c r="P138" i="22" s="1"/>
  <c r="V138" i="22" s="1"/>
  <c r="U136" i="22"/>
  <c r="T136" i="22" s="1"/>
  <c r="U134" i="22"/>
  <c r="T134" i="22" s="1"/>
  <c r="S134" i="22" s="1"/>
  <c r="R134" i="22" s="1"/>
  <c r="P134" i="22" s="1"/>
  <c r="V134" i="22" s="1"/>
  <c r="U132" i="22"/>
  <c r="T132" i="22" s="1"/>
  <c r="U130" i="22"/>
  <c r="T130" i="22" s="1"/>
  <c r="U128" i="22"/>
  <c r="T128" i="22" s="1"/>
  <c r="U126" i="22"/>
  <c r="T126" i="22" s="1"/>
  <c r="S126" i="22" s="1"/>
  <c r="R126" i="22" s="1"/>
  <c r="P126" i="22" s="1"/>
  <c r="V126" i="22" s="1"/>
  <c r="U124" i="22"/>
  <c r="T124" i="22" s="1"/>
  <c r="U122" i="22"/>
  <c r="T122" i="22" s="1"/>
  <c r="S122" i="22" s="1"/>
  <c r="R122" i="22" s="1"/>
  <c r="P122" i="22" s="1"/>
  <c r="V122" i="22" s="1"/>
  <c r="U120" i="22"/>
  <c r="T120" i="22" s="1"/>
  <c r="S120" i="22" s="1"/>
  <c r="R120" i="22" s="1"/>
  <c r="P120" i="22" s="1"/>
  <c r="V120" i="22" s="1"/>
  <c r="U118" i="22"/>
  <c r="T118" i="22" s="1"/>
  <c r="U116" i="22"/>
  <c r="T116" i="22" s="1"/>
  <c r="U114" i="22"/>
  <c r="T114" i="22" s="1"/>
  <c r="U112" i="22"/>
  <c r="T112" i="22" s="1"/>
  <c r="S112" i="22" s="1"/>
  <c r="R112" i="22" s="1"/>
  <c r="P112" i="22" s="1"/>
  <c r="V112" i="22" s="1"/>
  <c r="U110" i="22"/>
  <c r="T110" i="22" s="1"/>
  <c r="U108" i="22"/>
  <c r="T108" i="22" s="1"/>
  <c r="S108" i="22" s="1"/>
  <c r="R108" i="22" s="1"/>
  <c r="P108" i="22" s="1"/>
  <c r="V108" i="22" s="1"/>
  <c r="U106" i="22"/>
  <c r="T106" i="22" s="1"/>
  <c r="S106" i="22" s="1"/>
  <c r="R106" i="22" s="1"/>
  <c r="P106" i="22" s="1"/>
  <c r="V106" i="22" s="1"/>
  <c r="U104" i="22"/>
  <c r="T104" i="22" s="1"/>
  <c r="U102" i="22"/>
  <c r="T102" i="22" s="1"/>
  <c r="U100" i="22"/>
  <c r="T100" i="22" s="1"/>
  <c r="S100" i="22" s="1"/>
  <c r="R100" i="22" s="1"/>
  <c r="P100" i="22" s="1"/>
  <c r="V100" i="22" s="1"/>
  <c r="U98" i="22"/>
  <c r="T98" i="22" s="1"/>
  <c r="U96" i="22"/>
  <c r="T96" i="22" s="1"/>
  <c r="U94" i="22"/>
  <c r="T94" i="22" s="1"/>
  <c r="S94" i="22" s="1"/>
  <c r="R94" i="22" s="1"/>
  <c r="P94" i="22" s="1"/>
  <c r="V94" i="22" s="1"/>
  <c r="U92" i="22"/>
  <c r="T92" i="22" s="1"/>
  <c r="U90" i="22"/>
  <c r="T90" i="22" s="1"/>
  <c r="U88" i="22"/>
  <c r="T88" i="22" s="1"/>
  <c r="S88" i="22" s="1"/>
  <c r="R88" i="22" s="1"/>
  <c r="P88" i="22" s="1"/>
  <c r="U86" i="22"/>
  <c r="T86" i="22" s="1"/>
  <c r="U84" i="22"/>
  <c r="T84" i="22" s="1"/>
  <c r="U82" i="22"/>
  <c r="T82" i="22" s="1"/>
  <c r="S82" i="22" s="1"/>
  <c r="R82" i="22" s="1"/>
  <c r="P82" i="22" s="1"/>
  <c r="V82" i="22" s="1"/>
  <c r="U80" i="22"/>
  <c r="T80" i="22" s="1"/>
  <c r="U78" i="22"/>
  <c r="T78" i="22" s="1"/>
  <c r="U76" i="22"/>
  <c r="T76" i="22" s="1"/>
  <c r="U74" i="22"/>
  <c r="T74" i="22" s="1"/>
  <c r="S74" i="22" s="1"/>
  <c r="R74" i="22" s="1"/>
  <c r="P74" i="22" s="1"/>
  <c r="V74" i="22" s="1"/>
  <c r="U72" i="22"/>
  <c r="T72" i="22" s="1"/>
  <c r="S72" i="22" s="1"/>
  <c r="R72" i="22" s="1"/>
  <c r="P72" i="22" s="1"/>
  <c r="V72" i="22" s="1"/>
  <c r="U70" i="22"/>
  <c r="T70" i="22" s="1"/>
  <c r="S70" i="22" s="1"/>
  <c r="R70" i="22" s="1"/>
  <c r="P70" i="22" s="1"/>
  <c r="V70" i="22" s="1"/>
  <c r="U68" i="22"/>
  <c r="T68" i="22" s="1"/>
  <c r="U66" i="22"/>
  <c r="T66" i="22" s="1"/>
  <c r="S66" i="22" s="1"/>
  <c r="R66" i="22" s="1"/>
  <c r="P66" i="22" s="1"/>
  <c r="V66" i="22" s="1"/>
  <c r="U64" i="22"/>
  <c r="T64" i="22" s="1"/>
  <c r="U62" i="22"/>
  <c r="T62" i="22" s="1"/>
  <c r="S62" i="22" s="1"/>
  <c r="R62" i="22" s="1"/>
  <c r="P62" i="22" s="1"/>
  <c r="V62" i="22" s="1"/>
  <c r="U60" i="22"/>
  <c r="T60" i="22" s="1"/>
  <c r="S60" i="22" s="1"/>
  <c r="R60" i="22" s="1"/>
  <c r="P60" i="22" s="1"/>
  <c r="U58" i="22"/>
  <c r="T58" i="22" s="1"/>
  <c r="S58" i="22" s="1"/>
  <c r="R58" i="22" s="1"/>
  <c r="P58" i="22" s="1"/>
  <c r="V58" i="22" s="1"/>
  <c r="U56" i="22"/>
  <c r="T56" i="22" s="1"/>
  <c r="S56" i="22" s="1"/>
  <c r="R56" i="22" s="1"/>
  <c r="P56" i="22" s="1"/>
  <c r="V56" i="22" s="1"/>
  <c r="U54" i="22"/>
  <c r="T54" i="22" s="1"/>
  <c r="S54" i="22" s="1"/>
  <c r="R54" i="22" s="1"/>
  <c r="P54" i="22" s="1"/>
  <c r="V54" i="22" s="1"/>
  <c r="U52" i="22"/>
  <c r="T52" i="22" s="1"/>
  <c r="U50" i="22"/>
  <c r="T50" i="22" s="1"/>
  <c r="U48" i="22"/>
  <c r="T48" i="22" s="1"/>
  <c r="S48" i="22" s="1"/>
  <c r="R48" i="22" s="1"/>
  <c r="P48" i="22" s="1"/>
  <c r="V48" i="22" s="1"/>
  <c r="U46" i="22"/>
  <c r="T46" i="22" s="1"/>
  <c r="S46" i="22" s="1"/>
  <c r="R46" i="22" s="1"/>
  <c r="P46" i="22" s="1"/>
  <c r="V46" i="22" s="1"/>
  <c r="U44" i="22"/>
  <c r="T44" i="22" s="1"/>
  <c r="S44" i="22" s="1"/>
  <c r="R44" i="22" s="1"/>
  <c r="P44" i="22" s="1"/>
  <c r="V44" i="22" s="1"/>
  <c r="U42" i="22"/>
  <c r="T42" i="22" s="1"/>
  <c r="S42" i="22" s="1"/>
  <c r="R42" i="22" s="1"/>
  <c r="P42" i="22" s="1"/>
  <c r="V42" i="22" s="1"/>
  <c r="U40" i="22"/>
  <c r="T40" i="22" s="1"/>
  <c r="S40" i="22" s="1"/>
  <c r="R40" i="22" s="1"/>
  <c r="P40" i="22" s="1"/>
  <c r="V40" i="22" s="1"/>
  <c r="U38" i="22"/>
  <c r="T38" i="22" s="1"/>
  <c r="S38" i="22" s="1"/>
  <c r="R38" i="22" s="1"/>
  <c r="P38" i="22" s="1"/>
  <c r="V38" i="22" s="1"/>
  <c r="U36" i="22"/>
  <c r="T36" i="22" s="1"/>
  <c r="U34" i="22"/>
  <c r="T34" i="22" s="1"/>
  <c r="S34" i="22" s="1"/>
  <c r="R34" i="22" s="1"/>
  <c r="P34" i="22" s="1"/>
  <c r="V34" i="22" s="1"/>
  <c r="U32" i="22"/>
  <c r="T32" i="22" s="1"/>
  <c r="S32" i="22" s="1"/>
  <c r="R32" i="22" s="1"/>
  <c r="P32" i="22" s="1"/>
  <c r="V32" i="22" s="1"/>
  <c r="U30" i="22"/>
  <c r="T30" i="22" s="1"/>
  <c r="U28" i="22"/>
  <c r="T28" i="22" s="1"/>
  <c r="U26" i="22"/>
  <c r="T26" i="22" s="1"/>
  <c r="S26" i="22" s="1"/>
  <c r="R26" i="22" s="1"/>
  <c r="P26" i="22" s="1"/>
  <c r="V26" i="22" s="1"/>
  <c r="U24" i="22"/>
  <c r="T24" i="22" s="1"/>
  <c r="S24" i="22" s="1"/>
  <c r="R24" i="22" s="1"/>
  <c r="P24" i="22" s="1"/>
  <c r="V24" i="22" s="1"/>
  <c r="U21" i="22"/>
  <c r="T21" i="22" s="1"/>
  <c r="U15" i="22"/>
  <c r="U17" i="22"/>
  <c r="T17" i="22" s="1"/>
  <c r="S17" i="22" s="1"/>
  <c r="R17" i="22" s="1"/>
  <c r="P17" i="22" s="1"/>
  <c r="V17" i="22" s="1"/>
  <c r="U18" i="22"/>
  <c r="T18" i="22" s="1"/>
  <c r="S18" i="22" s="1"/>
  <c r="R18" i="22" s="1"/>
  <c r="P18" i="22" s="1"/>
  <c r="V18" i="22" s="1"/>
  <c r="Y11" i="16"/>
  <c r="P382" i="18"/>
  <c r="P383" i="18"/>
  <c r="V15" i="18"/>
  <c r="V380" i="18" s="1"/>
  <c r="P381" i="18"/>
  <c r="S383" i="20"/>
  <c r="S382" i="20"/>
  <c r="S381" i="20"/>
  <c r="R15" i="20"/>
  <c r="AJ4" i="16"/>
  <c r="P13" i="19" s="1"/>
  <c r="AL13" i="16"/>
  <c r="Q383" i="22"/>
  <c r="AI379" i="22"/>
  <c r="AI377" i="22"/>
  <c r="AH377" i="22" s="1"/>
  <c r="AG377" i="22" s="1"/>
  <c r="AF377" i="22" s="1"/>
  <c r="AD377" i="22" s="1"/>
  <c r="AI375" i="22"/>
  <c r="AH375" i="22" s="1"/>
  <c r="AG375" i="22" s="1"/>
  <c r="AF375" i="22" s="1"/>
  <c r="AD375" i="22" s="1"/>
  <c r="AI373" i="22"/>
  <c r="AH373" i="22" s="1"/>
  <c r="AI371" i="22"/>
  <c r="AH371" i="22" s="1"/>
  <c r="AI369" i="22"/>
  <c r="AH369" i="22" s="1"/>
  <c r="AI367" i="22"/>
  <c r="AH367" i="22" s="1"/>
  <c r="AI365" i="22"/>
  <c r="AH365" i="22" s="1"/>
  <c r="AI363" i="22"/>
  <c r="AH363" i="22" s="1"/>
  <c r="AI361" i="22"/>
  <c r="AH361" i="22" s="1"/>
  <c r="AI359" i="22"/>
  <c r="AH359" i="22" s="1"/>
  <c r="AG359" i="22" s="1"/>
  <c r="AF359" i="22" s="1"/>
  <c r="AD359" i="22" s="1"/>
  <c r="AI357" i="22"/>
  <c r="AH357" i="22" s="1"/>
  <c r="AI355" i="22"/>
  <c r="AH355" i="22" s="1"/>
  <c r="AI353" i="22"/>
  <c r="AH353" i="22" s="1"/>
  <c r="AG353" i="22" s="1"/>
  <c r="AF353" i="22" s="1"/>
  <c r="AD353" i="22" s="1"/>
  <c r="AI351" i="22"/>
  <c r="AH351" i="22" s="1"/>
  <c r="AG351" i="22" s="1"/>
  <c r="AF351" i="22" s="1"/>
  <c r="AD351" i="22" s="1"/>
  <c r="AI349" i="22"/>
  <c r="AH349" i="22" s="1"/>
  <c r="AG349" i="22" s="1"/>
  <c r="AF349" i="22" s="1"/>
  <c r="AD349" i="22" s="1"/>
  <c r="AI347" i="22"/>
  <c r="AH347" i="22" s="1"/>
  <c r="AI345" i="22"/>
  <c r="AH345" i="22" s="1"/>
  <c r="AI343" i="22"/>
  <c r="AH343" i="22" s="1"/>
  <c r="AI341" i="22"/>
  <c r="AH341" i="22" s="1"/>
  <c r="AG341" i="22" s="1"/>
  <c r="AF341" i="22" s="1"/>
  <c r="AD341" i="22" s="1"/>
  <c r="AI339" i="22"/>
  <c r="AH339" i="22" s="1"/>
  <c r="AG339" i="22" s="1"/>
  <c r="AF339" i="22" s="1"/>
  <c r="AD339" i="22" s="1"/>
  <c r="AI337" i="22"/>
  <c r="AH337" i="22" s="1"/>
  <c r="AI335" i="22"/>
  <c r="AH335" i="22" s="1"/>
  <c r="AG335" i="22" s="1"/>
  <c r="AF335" i="22" s="1"/>
  <c r="AD335" i="22" s="1"/>
  <c r="AI333" i="22"/>
  <c r="AH333" i="22" s="1"/>
  <c r="AG333" i="22" s="1"/>
  <c r="AF333" i="22" s="1"/>
  <c r="AD333" i="22" s="1"/>
  <c r="AI331" i="22"/>
  <c r="AH331" i="22" s="1"/>
  <c r="AG331" i="22" s="1"/>
  <c r="AF331" i="22" s="1"/>
  <c r="AD331" i="22" s="1"/>
  <c r="AI329" i="22"/>
  <c r="AH329" i="22" s="1"/>
  <c r="AI327" i="22"/>
  <c r="AH327" i="22" s="1"/>
  <c r="AG327" i="22" s="1"/>
  <c r="AF327" i="22" s="1"/>
  <c r="AD327" i="22" s="1"/>
  <c r="AI325" i="22"/>
  <c r="AH325" i="22" s="1"/>
  <c r="AG325" i="22" s="1"/>
  <c r="AF325" i="22" s="1"/>
  <c r="AD325" i="22" s="1"/>
  <c r="AI323" i="22"/>
  <c r="AH323" i="22" s="1"/>
  <c r="AG323" i="22" s="1"/>
  <c r="AF323" i="22" s="1"/>
  <c r="AD323" i="22" s="1"/>
  <c r="AI321" i="22"/>
  <c r="AH321" i="22" s="1"/>
  <c r="AG321" i="22" s="1"/>
  <c r="AF321" i="22" s="1"/>
  <c r="AD321" i="22" s="1"/>
  <c r="AI319" i="22"/>
  <c r="AH319" i="22" s="1"/>
  <c r="AG319" i="22" s="1"/>
  <c r="AF319" i="22" s="1"/>
  <c r="AD319" i="22" s="1"/>
  <c r="AI317" i="22"/>
  <c r="AH317" i="22" s="1"/>
  <c r="AG317" i="22" s="1"/>
  <c r="AF317" i="22" s="1"/>
  <c r="AD317" i="22" s="1"/>
  <c r="AI315" i="22"/>
  <c r="AH315" i="22" s="1"/>
  <c r="AI313" i="22"/>
  <c r="AH313" i="22" s="1"/>
  <c r="AG313" i="22" s="1"/>
  <c r="AF313" i="22" s="1"/>
  <c r="AD313" i="22" s="1"/>
  <c r="AI311" i="22"/>
  <c r="AH311" i="22" s="1"/>
  <c r="AG311" i="22" s="1"/>
  <c r="AF311" i="22" s="1"/>
  <c r="AD311" i="22" s="1"/>
  <c r="AI309" i="22"/>
  <c r="AH309" i="22" s="1"/>
  <c r="AI307" i="22"/>
  <c r="AH307" i="22" s="1"/>
  <c r="AG307" i="22" s="1"/>
  <c r="AF307" i="22" s="1"/>
  <c r="AD307" i="22" s="1"/>
  <c r="AI305" i="22"/>
  <c r="AH305" i="22" s="1"/>
  <c r="AG305" i="22" s="1"/>
  <c r="AF305" i="22" s="1"/>
  <c r="AD305" i="22" s="1"/>
  <c r="AI303" i="22"/>
  <c r="AH303" i="22" s="1"/>
  <c r="AI301" i="22"/>
  <c r="AH301" i="22" s="1"/>
  <c r="AG301" i="22" s="1"/>
  <c r="AF301" i="22" s="1"/>
  <c r="AD301" i="22" s="1"/>
  <c r="AI299" i="22"/>
  <c r="AH299" i="22" s="1"/>
  <c r="AG299" i="22" s="1"/>
  <c r="AF299" i="22" s="1"/>
  <c r="AD299" i="22" s="1"/>
  <c r="AI297" i="22"/>
  <c r="AH297" i="22" s="1"/>
  <c r="AG297" i="22" s="1"/>
  <c r="AF297" i="22" s="1"/>
  <c r="AD297" i="22" s="1"/>
  <c r="AI295" i="22"/>
  <c r="AH295" i="22" s="1"/>
  <c r="AI293" i="22"/>
  <c r="AH293" i="22" s="1"/>
  <c r="AI291" i="22"/>
  <c r="AH291" i="22" s="1"/>
  <c r="AI289" i="22"/>
  <c r="AH289" i="22" s="1"/>
  <c r="AG289" i="22" s="1"/>
  <c r="AF289" i="22" s="1"/>
  <c r="AD289" i="22" s="1"/>
  <c r="AI287" i="22"/>
  <c r="AH287" i="22" s="1"/>
  <c r="AG287" i="22" s="1"/>
  <c r="AF287" i="22" s="1"/>
  <c r="AD287" i="22" s="1"/>
  <c r="AI285" i="22"/>
  <c r="AH285" i="22" s="1"/>
  <c r="AI283" i="22"/>
  <c r="AH283" i="22" s="1"/>
  <c r="AG283" i="22" s="1"/>
  <c r="AF283" i="22" s="1"/>
  <c r="AD283" i="22" s="1"/>
  <c r="AI281" i="22"/>
  <c r="AH281" i="22" s="1"/>
  <c r="AG281" i="22" s="1"/>
  <c r="AF281" i="22" s="1"/>
  <c r="AD281" i="22" s="1"/>
  <c r="AI279" i="22"/>
  <c r="AH279" i="22" s="1"/>
  <c r="AI277" i="22"/>
  <c r="AH277" i="22" s="1"/>
  <c r="AG277" i="22" s="1"/>
  <c r="AF277" i="22" s="1"/>
  <c r="AD277" i="22" s="1"/>
  <c r="AI275" i="22"/>
  <c r="AH275" i="22" s="1"/>
  <c r="AI273" i="22"/>
  <c r="AH273" i="22" s="1"/>
  <c r="AI271" i="22"/>
  <c r="AH271" i="22" s="1"/>
  <c r="AG271" i="22" s="1"/>
  <c r="AF271" i="22" s="1"/>
  <c r="AD271" i="22" s="1"/>
  <c r="AI269" i="22"/>
  <c r="AH269" i="22" s="1"/>
  <c r="AI267" i="22"/>
  <c r="AH267" i="22" s="1"/>
  <c r="AG267" i="22" s="1"/>
  <c r="AF267" i="22" s="1"/>
  <c r="AD267" i="22" s="1"/>
  <c r="AI265" i="22"/>
  <c r="AH265" i="22" s="1"/>
  <c r="AI263" i="22"/>
  <c r="AH263" i="22" s="1"/>
  <c r="AI261" i="22"/>
  <c r="AH261" i="22" s="1"/>
  <c r="AG261" i="22" s="1"/>
  <c r="AF261" i="22" s="1"/>
  <c r="AD261" i="22" s="1"/>
  <c r="AI259" i="22"/>
  <c r="AH259" i="22" s="1"/>
  <c r="AG259" i="22" s="1"/>
  <c r="AF259" i="22" s="1"/>
  <c r="AD259" i="22" s="1"/>
  <c r="AI257" i="22"/>
  <c r="AH257" i="22" s="1"/>
  <c r="AG257" i="22" s="1"/>
  <c r="AF257" i="22" s="1"/>
  <c r="AD257" i="22" s="1"/>
  <c r="AI255" i="22"/>
  <c r="AH255" i="22" s="1"/>
  <c r="AI253" i="22"/>
  <c r="AH253" i="22" s="1"/>
  <c r="AG253" i="22" s="1"/>
  <c r="AF253" i="22" s="1"/>
  <c r="AD253" i="22" s="1"/>
  <c r="AI251" i="22"/>
  <c r="AH251" i="22" s="1"/>
  <c r="AG251" i="22" s="1"/>
  <c r="AF251" i="22" s="1"/>
  <c r="AD251" i="22" s="1"/>
  <c r="AI249" i="22"/>
  <c r="AH249" i="22" s="1"/>
  <c r="AI247" i="22"/>
  <c r="AH247" i="22" s="1"/>
  <c r="AI245" i="22"/>
  <c r="AH245" i="22" s="1"/>
  <c r="AG245" i="22" s="1"/>
  <c r="AF245" i="22" s="1"/>
  <c r="AD245" i="22" s="1"/>
  <c r="AI243" i="22"/>
  <c r="AH243" i="22" s="1"/>
  <c r="AG243" i="22" s="1"/>
  <c r="AF243" i="22" s="1"/>
  <c r="AD243" i="22" s="1"/>
  <c r="AI241" i="22"/>
  <c r="AH241" i="22" s="1"/>
  <c r="AI239" i="22"/>
  <c r="AH239" i="22" s="1"/>
  <c r="AG239" i="22" s="1"/>
  <c r="AF239" i="22" s="1"/>
  <c r="AD239" i="22" s="1"/>
  <c r="AI237" i="22"/>
  <c r="AH237" i="22" s="1"/>
  <c r="AG237" i="22" s="1"/>
  <c r="AF237" i="22" s="1"/>
  <c r="AD237" i="22" s="1"/>
  <c r="AI235" i="22"/>
  <c r="AH235" i="22" s="1"/>
  <c r="AG235" i="22" s="1"/>
  <c r="AF235" i="22" s="1"/>
  <c r="AD235" i="22" s="1"/>
  <c r="AI233" i="22"/>
  <c r="AH233" i="22" s="1"/>
  <c r="AI231" i="22"/>
  <c r="AH231" i="22" s="1"/>
  <c r="AI229" i="22"/>
  <c r="AH229" i="22" s="1"/>
  <c r="AI227" i="22"/>
  <c r="AH227" i="22" s="1"/>
  <c r="AG227" i="22" s="1"/>
  <c r="AF227" i="22" s="1"/>
  <c r="AD227" i="22" s="1"/>
  <c r="AI225" i="22"/>
  <c r="AH225" i="22" s="1"/>
  <c r="AG225" i="22" s="1"/>
  <c r="AF225" i="22" s="1"/>
  <c r="AD225" i="22" s="1"/>
  <c r="AI223" i="22"/>
  <c r="AH223" i="22" s="1"/>
  <c r="AG223" i="22" s="1"/>
  <c r="AF223" i="22" s="1"/>
  <c r="AD223" i="22" s="1"/>
  <c r="AI221" i="22"/>
  <c r="AH221" i="22" s="1"/>
  <c r="AI219" i="22"/>
  <c r="AH219" i="22" s="1"/>
  <c r="AI217" i="22"/>
  <c r="AH217" i="22" s="1"/>
  <c r="AI215" i="22"/>
  <c r="AH215" i="22" s="1"/>
  <c r="AG215" i="22" s="1"/>
  <c r="AF215" i="22" s="1"/>
  <c r="AD215" i="22" s="1"/>
  <c r="AI213" i="22"/>
  <c r="AH213" i="22" s="1"/>
  <c r="AI211" i="22"/>
  <c r="AH211" i="22" s="1"/>
  <c r="AG211" i="22" s="1"/>
  <c r="AF211" i="22" s="1"/>
  <c r="AD211" i="22" s="1"/>
  <c r="AI209" i="22"/>
  <c r="AH209" i="22" s="1"/>
  <c r="AI207" i="22"/>
  <c r="AH207" i="22" s="1"/>
  <c r="AI205" i="22"/>
  <c r="AH205" i="22" s="1"/>
  <c r="AI203" i="22"/>
  <c r="AH203" i="22" s="1"/>
  <c r="AG203" i="22" s="1"/>
  <c r="AF203" i="22" s="1"/>
  <c r="AD203" i="22" s="1"/>
  <c r="AI201" i="22"/>
  <c r="AH201" i="22" s="1"/>
  <c r="AI199" i="22"/>
  <c r="AH199" i="22" s="1"/>
  <c r="AG199" i="22" s="1"/>
  <c r="AF199" i="22" s="1"/>
  <c r="AD199" i="22" s="1"/>
  <c r="AI197" i="22"/>
  <c r="AH197" i="22" s="1"/>
  <c r="AG197" i="22" s="1"/>
  <c r="AF197" i="22" s="1"/>
  <c r="AD197" i="22" s="1"/>
  <c r="AI195" i="22"/>
  <c r="AH195" i="22" s="1"/>
  <c r="AI193" i="22"/>
  <c r="AH193" i="22" s="1"/>
  <c r="AG193" i="22" s="1"/>
  <c r="AF193" i="22" s="1"/>
  <c r="AD193" i="22" s="1"/>
  <c r="AI191" i="22"/>
  <c r="AH191" i="22" s="1"/>
  <c r="AI189" i="22"/>
  <c r="AH189" i="22" s="1"/>
  <c r="AI187" i="22"/>
  <c r="AH187" i="22" s="1"/>
  <c r="AG187" i="22" s="1"/>
  <c r="AF187" i="22" s="1"/>
  <c r="AD187" i="22" s="1"/>
  <c r="AI185" i="22"/>
  <c r="AH185" i="22" s="1"/>
  <c r="AI183" i="22"/>
  <c r="AH183" i="22" s="1"/>
  <c r="AI181" i="22"/>
  <c r="AH181" i="22" s="1"/>
  <c r="AG181" i="22" s="1"/>
  <c r="AF181" i="22" s="1"/>
  <c r="AD181" i="22" s="1"/>
  <c r="AI179" i="22"/>
  <c r="AH179" i="22" s="1"/>
  <c r="AG179" i="22" s="1"/>
  <c r="AF179" i="22" s="1"/>
  <c r="AD179" i="22" s="1"/>
  <c r="AI177" i="22"/>
  <c r="AH177" i="22" s="1"/>
  <c r="AI175" i="22"/>
  <c r="AH175" i="22" s="1"/>
  <c r="AG175" i="22" s="1"/>
  <c r="AF175" i="22" s="1"/>
  <c r="AD175" i="22" s="1"/>
  <c r="AI173" i="22"/>
  <c r="AH173" i="22" s="1"/>
  <c r="AI171" i="22"/>
  <c r="AH171" i="22" s="1"/>
  <c r="AI169" i="22"/>
  <c r="AH169" i="22" s="1"/>
  <c r="AG169" i="22" s="1"/>
  <c r="AF169" i="22" s="1"/>
  <c r="AD169" i="22" s="1"/>
  <c r="AI167" i="22"/>
  <c r="AH167" i="22" s="1"/>
  <c r="AG167" i="22" s="1"/>
  <c r="AF167" i="22" s="1"/>
  <c r="AD167" i="22" s="1"/>
  <c r="AI165" i="22"/>
  <c r="AH165" i="22" s="1"/>
  <c r="AG165" i="22" s="1"/>
  <c r="AF165" i="22" s="1"/>
  <c r="AD165" i="22" s="1"/>
  <c r="AI163" i="22"/>
  <c r="AH163" i="22" s="1"/>
  <c r="AI161" i="22"/>
  <c r="AH161" i="22" s="1"/>
  <c r="AI159" i="22"/>
  <c r="AH159" i="22" s="1"/>
  <c r="AG159" i="22" s="1"/>
  <c r="AF159" i="22" s="1"/>
  <c r="AD159" i="22" s="1"/>
  <c r="AI157" i="22"/>
  <c r="AH157" i="22" s="1"/>
  <c r="AG157" i="22" s="1"/>
  <c r="AF157" i="22" s="1"/>
  <c r="AD157" i="22" s="1"/>
  <c r="AI155" i="22"/>
  <c r="AH155" i="22" s="1"/>
  <c r="AG155" i="22" s="1"/>
  <c r="AF155" i="22" s="1"/>
  <c r="AD155" i="22" s="1"/>
  <c r="AI153" i="22"/>
  <c r="AH153" i="22" s="1"/>
  <c r="AI151" i="22"/>
  <c r="AH151" i="22" s="1"/>
  <c r="AG151" i="22" s="1"/>
  <c r="AF151" i="22" s="1"/>
  <c r="AD151" i="22" s="1"/>
  <c r="AI149" i="22"/>
  <c r="AH149" i="22" s="1"/>
  <c r="AG149" i="22" s="1"/>
  <c r="AF149" i="22" s="1"/>
  <c r="AD149" i="22" s="1"/>
  <c r="AI147" i="22"/>
  <c r="AH147" i="22" s="1"/>
  <c r="AG147" i="22" s="1"/>
  <c r="AF147" i="22" s="1"/>
  <c r="AD147" i="22" s="1"/>
  <c r="AI145" i="22"/>
  <c r="AH145" i="22" s="1"/>
  <c r="AI143" i="22"/>
  <c r="AH143" i="22" s="1"/>
  <c r="AG143" i="22" s="1"/>
  <c r="AF143" i="22" s="1"/>
  <c r="AD143" i="22" s="1"/>
  <c r="AI141" i="22"/>
  <c r="AH141" i="22" s="1"/>
  <c r="AG141" i="22" s="1"/>
  <c r="AF141" i="22" s="1"/>
  <c r="AD141" i="22" s="1"/>
  <c r="AI139" i="22"/>
  <c r="AH139" i="22" s="1"/>
  <c r="AI137" i="22"/>
  <c r="AH137" i="22" s="1"/>
  <c r="AG137" i="22" s="1"/>
  <c r="AF137" i="22" s="1"/>
  <c r="AD137" i="22" s="1"/>
  <c r="AI135" i="22"/>
  <c r="AH135" i="22" s="1"/>
  <c r="AG135" i="22" s="1"/>
  <c r="AF135" i="22" s="1"/>
  <c r="AD135" i="22" s="1"/>
  <c r="AI133" i="22"/>
  <c r="AH133" i="22" s="1"/>
  <c r="AI131" i="22"/>
  <c r="AH131" i="22" s="1"/>
  <c r="AI129" i="22"/>
  <c r="AH129" i="22" s="1"/>
  <c r="AG129" i="22" s="1"/>
  <c r="AF129" i="22" s="1"/>
  <c r="AD129" i="22" s="1"/>
  <c r="AI127" i="22"/>
  <c r="AH127" i="22" s="1"/>
  <c r="AI125" i="22"/>
  <c r="AH125" i="22" s="1"/>
  <c r="AI123" i="22"/>
  <c r="AH123" i="22" s="1"/>
  <c r="AG123" i="22" s="1"/>
  <c r="AF123" i="22" s="1"/>
  <c r="AD123" i="22" s="1"/>
  <c r="AI121" i="22"/>
  <c r="AH121" i="22" s="1"/>
  <c r="AG121" i="22" s="1"/>
  <c r="AF121" i="22" s="1"/>
  <c r="AD121" i="22" s="1"/>
  <c r="AI119" i="22"/>
  <c r="AH119" i="22" s="1"/>
  <c r="AG119" i="22" s="1"/>
  <c r="AF119" i="22" s="1"/>
  <c r="AD119" i="22" s="1"/>
  <c r="AI117" i="22"/>
  <c r="AH117" i="22" s="1"/>
  <c r="AI115" i="22"/>
  <c r="AH115" i="22" s="1"/>
  <c r="AG115" i="22" s="1"/>
  <c r="AF115" i="22" s="1"/>
  <c r="AD115" i="22" s="1"/>
  <c r="AI113" i="22"/>
  <c r="AH113" i="22" s="1"/>
  <c r="AG113" i="22" s="1"/>
  <c r="AF113" i="22" s="1"/>
  <c r="AD113" i="22" s="1"/>
  <c r="AI111" i="22"/>
  <c r="AH111" i="22" s="1"/>
  <c r="AI109" i="22"/>
  <c r="AH109" i="22" s="1"/>
  <c r="AI107" i="22"/>
  <c r="AH107" i="22" s="1"/>
  <c r="AI105" i="22"/>
  <c r="AH105" i="22" s="1"/>
  <c r="AI103" i="22"/>
  <c r="AH103" i="22" s="1"/>
  <c r="AG103" i="22" s="1"/>
  <c r="AF103" i="22" s="1"/>
  <c r="AD103" i="22" s="1"/>
  <c r="AI101" i="22"/>
  <c r="AH101" i="22" s="1"/>
  <c r="AI99" i="22"/>
  <c r="AH99" i="22" s="1"/>
  <c r="AI97" i="22"/>
  <c r="AH97" i="22" s="1"/>
  <c r="AI95" i="22"/>
  <c r="AH95" i="22" s="1"/>
  <c r="AI93" i="22"/>
  <c r="AH93" i="22" s="1"/>
  <c r="AG93" i="22" s="1"/>
  <c r="AF93" i="22" s="1"/>
  <c r="AD93" i="22" s="1"/>
  <c r="AI91" i="22"/>
  <c r="AH91" i="22" s="1"/>
  <c r="AG91" i="22" s="1"/>
  <c r="AF91" i="22" s="1"/>
  <c r="AD91" i="22" s="1"/>
  <c r="AI89" i="22"/>
  <c r="AH89" i="22" s="1"/>
  <c r="AG89" i="22" s="1"/>
  <c r="AF89" i="22" s="1"/>
  <c r="AD89" i="22" s="1"/>
  <c r="AI87" i="22"/>
  <c r="AH87" i="22" s="1"/>
  <c r="AI85" i="22"/>
  <c r="AH85" i="22" s="1"/>
  <c r="AI83" i="22"/>
  <c r="AH83" i="22" s="1"/>
  <c r="AG83" i="22" s="1"/>
  <c r="AF83" i="22" s="1"/>
  <c r="AD83" i="22" s="1"/>
  <c r="AI81" i="22"/>
  <c r="AH81" i="22" s="1"/>
  <c r="AI79" i="22"/>
  <c r="AH79" i="22" s="1"/>
  <c r="AG79" i="22" s="1"/>
  <c r="AF79" i="22" s="1"/>
  <c r="AD79" i="22" s="1"/>
  <c r="AI77" i="22"/>
  <c r="AH77" i="22" s="1"/>
  <c r="AG77" i="22" s="1"/>
  <c r="AF77" i="22" s="1"/>
  <c r="AD77" i="22" s="1"/>
  <c r="AI75" i="22"/>
  <c r="AH75" i="22" s="1"/>
  <c r="AI73" i="22"/>
  <c r="AH73" i="22" s="1"/>
  <c r="AI71" i="22"/>
  <c r="AH71" i="22" s="1"/>
  <c r="AI69" i="22"/>
  <c r="AH69" i="22" s="1"/>
  <c r="AI67" i="22"/>
  <c r="AH67" i="22" s="1"/>
  <c r="AG67" i="22" s="1"/>
  <c r="AF67" i="22" s="1"/>
  <c r="AD67" i="22" s="1"/>
  <c r="AI65" i="22"/>
  <c r="AH65" i="22" s="1"/>
  <c r="AG65" i="22" s="1"/>
  <c r="AF65" i="22" s="1"/>
  <c r="AD65" i="22" s="1"/>
  <c r="AI63" i="22"/>
  <c r="AH63" i="22" s="1"/>
  <c r="AG63" i="22" s="1"/>
  <c r="AF63" i="22" s="1"/>
  <c r="AD63" i="22" s="1"/>
  <c r="AI61" i="22"/>
  <c r="AH61" i="22" s="1"/>
  <c r="AI59" i="22"/>
  <c r="AH59" i="22" s="1"/>
  <c r="AI57" i="22"/>
  <c r="AH57" i="22" s="1"/>
  <c r="AG57" i="22" s="1"/>
  <c r="AF57" i="22" s="1"/>
  <c r="AD57" i="22" s="1"/>
  <c r="AI55" i="22"/>
  <c r="AH55" i="22" s="1"/>
  <c r="AG55" i="22" s="1"/>
  <c r="AF55" i="22" s="1"/>
  <c r="AD55" i="22" s="1"/>
  <c r="AI53" i="22"/>
  <c r="AH53" i="22" s="1"/>
  <c r="AI51" i="22"/>
  <c r="AH51" i="22" s="1"/>
  <c r="AI49" i="22"/>
  <c r="AH49" i="22" s="1"/>
  <c r="AG49" i="22" s="1"/>
  <c r="AF49" i="22" s="1"/>
  <c r="AD49" i="22" s="1"/>
  <c r="AI47" i="22"/>
  <c r="AH47" i="22" s="1"/>
  <c r="AG47" i="22" s="1"/>
  <c r="AF47" i="22" s="1"/>
  <c r="AD47" i="22" s="1"/>
  <c r="AI45" i="22"/>
  <c r="AH45" i="22" s="1"/>
  <c r="AG45" i="22" s="1"/>
  <c r="AF45" i="22" s="1"/>
  <c r="AD45" i="22" s="1"/>
  <c r="AI43" i="22"/>
  <c r="AH43" i="22" s="1"/>
  <c r="AI41" i="22"/>
  <c r="AH41" i="22" s="1"/>
  <c r="AG41" i="22" s="1"/>
  <c r="AF41" i="22" s="1"/>
  <c r="AD41" i="22" s="1"/>
  <c r="AI39" i="22"/>
  <c r="AH39" i="22" s="1"/>
  <c r="AG39" i="22" s="1"/>
  <c r="AF39" i="22" s="1"/>
  <c r="AD39" i="22" s="1"/>
  <c r="AI37" i="22"/>
  <c r="AH37" i="22" s="1"/>
  <c r="AI35" i="22"/>
  <c r="AH35" i="22" s="1"/>
  <c r="AI33" i="22"/>
  <c r="AH33" i="22" s="1"/>
  <c r="AG33" i="22" s="1"/>
  <c r="AF33" i="22" s="1"/>
  <c r="AD33" i="22" s="1"/>
  <c r="AI31" i="22"/>
  <c r="AH31" i="22" s="1"/>
  <c r="AI29" i="22"/>
  <c r="AH29" i="22" s="1"/>
  <c r="AG29" i="22" s="1"/>
  <c r="AF29" i="22" s="1"/>
  <c r="AD29" i="22" s="1"/>
  <c r="AI27" i="22"/>
  <c r="AH27" i="22" s="1"/>
  <c r="AI25" i="22"/>
  <c r="AH25" i="22" s="1"/>
  <c r="AG25" i="22" s="1"/>
  <c r="AF25" i="22" s="1"/>
  <c r="AD25" i="22" s="1"/>
  <c r="AI23" i="22"/>
  <c r="AH23" i="22" s="1"/>
  <c r="AI18" i="22"/>
  <c r="AH18" i="22" s="1"/>
  <c r="AG18" i="22" s="1"/>
  <c r="AF18" i="22" s="1"/>
  <c r="AD18" i="22" s="1"/>
  <c r="AI15" i="22"/>
  <c r="AI21" i="22"/>
  <c r="AH21" i="22" s="1"/>
  <c r="AI17" i="22"/>
  <c r="AH17" i="22" s="1"/>
  <c r="U379" i="22"/>
  <c r="U377" i="22"/>
  <c r="T377" i="22" s="1"/>
  <c r="S377" i="22" s="1"/>
  <c r="R377" i="22" s="1"/>
  <c r="P377" i="22" s="1"/>
  <c r="V377" i="22" s="1"/>
  <c r="U375" i="22"/>
  <c r="T375" i="22" s="1"/>
  <c r="U373" i="22"/>
  <c r="T373" i="22" s="1"/>
  <c r="S373" i="22" s="1"/>
  <c r="R373" i="22" s="1"/>
  <c r="P373" i="22" s="1"/>
  <c r="V373" i="22" s="1"/>
  <c r="U371" i="22"/>
  <c r="T371" i="22" s="1"/>
  <c r="U369" i="22"/>
  <c r="T369" i="22" s="1"/>
  <c r="S369" i="22" s="1"/>
  <c r="R369" i="22" s="1"/>
  <c r="P369" i="22" s="1"/>
  <c r="V369" i="22" s="1"/>
  <c r="U367" i="22"/>
  <c r="T367" i="22" s="1"/>
  <c r="S367" i="22" s="1"/>
  <c r="R367" i="22" s="1"/>
  <c r="P367" i="22" s="1"/>
  <c r="V367" i="22" s="1"/>
  <c r="U365" i="22"/>
  <c r="T365" i="22" s="1"/>
  <c r="U363" i="22"/>
  <c r="T363" i="22" s="1"/>
  <c r="S363" i="22" s="1"/>
  <c r="R363" i="22" s="1"/>
  <c r="P363" i="22" s="1"/>
  <c r="U361" i="22"/>
  <c r="T361" i="22" s="1"/>
  <c r="U359" i="22"/>
  <c r="T359" i="22" s="1"/>
  <c r="S359" i="22" s="1"/>
  <c r="R359" i="22" s="1"/>
  <c r="P359" i="22" s="1"/>
  <c r="V359" i="22" s="1"/>
  <c r="U357" i="22"/>
  <c r="T357" i="22" s="1"/>
  <c r="U355" i="22"/>
  <c r="T355" i="22" s="1"/>
  <c r="S355" i="22" s="1"/>
  <c r="R355" i="22" s="1"/>
  <c r="P355" i="22" s="1"/>
  <c r="V355" i="22" s="1"/>
  <c r="U353" i="22"/>
  <c r="T353" i="22" s="1"/>
  <c r="U351" i="22"/>
  <c r="T351" i="22" s="1"/>
  <c r="U349" i="22"/>
  <c r="T349" i="22" s="1"/>
  <c r="U347" i="22"/>
  <c r="T347" i="22" s="1"/>
  <c r="S347" i="22" s="1"/>
  <c r="R347" i="22" s="1"/>
  <c r="P347" i="22" s="1"/>
  <c r="V347" i="22" s="1"/>
  <c r="U345" i="22"/>
  <c r="T345" i="22" s="1"/>
  <c r="S345" i="22" s="1"/>
  <c r="R345" i="22" s="1"/>
  <c r="P345" i="22" s="1"/>
  <c r="V345" i="22" s="1"/>
  <c r="U343" i="22"/>
  <c r="T343" i="22" s="1"/>
  <c r="S343" i="22" s="1"/>
  <c r="R343" i="22" s="1"/>
  <c r="P343" i="22" s="1"/>
  <c r="V343" i="22" s="1"/>
  <c r="U341" i="22"/>
  <c r="T341" i="22" s="1"/>
  <c r="U339" i="22"/>
  <c r="T339" i="22" s="1"/>
  <c r="S339" i="22" s="1"/>
  <c r="R339" i="22" s="1"/>
  <c r="P339" i="22" s="1"/>
  <c r="V339" i="22" s="1"/>
  <c r="U337" i="22"/>
  <c r="T337" i="22" s="1"/>
  <c r="U335" i="22"/>
  <c r="T335" i="22" s="1"/>
  <c r="U333" i="22"/>
  <c r="T333" i="22" s="1"/>
  <c r="S333" i="22" s="1"/>
  <c r="R333" i="22" s="1"/>
  <c r="P333" i="22" s="1"/>
  <c r="U331" i="22"/>
  <c r="T331" i="22" s="1"/>
  <c r="U329" i="22"/>
  <c r="T329" i="22" s="1"/>
  <c r="S329" i="22" s="1"/>
  <c r="R329" i="22" s="1"/>
  <c r="P329" i="22" s="1"/>
  <c r="V329" i="22" s="1"/>
  <c r="U327" i="22"/>
  <c r="T327" i="22" s="1"/>
  <c r="S327" i="22" s="1"/>
  <c r="R327" i="22" s="1"/>
  <c r="P327" i="22" s="1"/>
  <c r="V327" i="22" s="1"/>
  <c r="U325" i="22"/>
  <c r="T325" i="22" s="1"/>
  <c r="S325" i="22" s="1"/>
  <c r="R325" i="22" s="1"/>
  <c r="P325" i="22" s="1"/>
  <c r="V325" i="22" s="1"/>
  <c r="U323" i="22"/>
  <c r="T323" i="22" s="1"/>
  <c r="U321" i="22"/>
  <c r="T321" i="22" s="1"/>
  <c r="S321" i="22" s="1"/>
  <c r="R321" i="22" s="1"/>
  <c r="P321" i="22" s="1"/>
  <c r="V321" i="22" s="1"/>
  <c r="U319" i="22"/>
  <c r="T319" i="22" s="1"/>
  <c r="S319" i="22" s="1"/>
  <c r="R319" i="22" s="1"/>
  <c r="P319" i="22" s="1"/>
  <c r="V319" i="22" s="1"/>
  <c r="U317" i="22"/>
  <c r="T317" i="22" s="1"/>
  <c r="U315" i="22"/>
  <c r="T315" i="22" s="1"/>
  <c r="U313" i="22"/>
  <c r="T313" i="22" s="1"/>
  <c r="S313" i="22" s="1"/>
  <c r="R313" i="22" s="1"/>
  <c r="P313" i="22" s="1"/>
  <c r="V313" i="22" s="1"/>
  <c r="U311" i="22"/>
  <c r="T311" i="22" s="1"/>
  <c r="S311" i="22" s="1"/>
  <c r="R311" i="22" s="1"/>
  <c r="P311" i="22" s="1"/>
  <c r="V311" i="22" s="1"/>
  <c r="U309" i="22"/>
  <c r="T309" i="22" s="1"/>
  <c r="U307" i="22"/>
  <c r="T307" i="22" s="1"/>
  <c r="S307" i="22" s="1"/>
  <c r="R307" i="22" s="1"/>
  <c r="P307" i="22" s="1"/>
  <c r="V307" i="22" s="1"/>
  <c r="U305" i="22"/>
  <c r="T305" i="22" s="1"/>
  <c r="S305" i="22" s="1"/>
  <c r="R305" i="22" s="1"/>
  <c r="P305" i="22" s="1"/>
  <c r="V305" i="22" s="1"/>
  <c r="U303" i="22"/>
  <c r="T303" i="22" s="1"/>
  <c r="U301" i="22"/>
  <c r="T301" i="22" s="1"/>
  <c r="S301" i="22" s="1"/>
  <c r="R301" i="22" s="1"/>
  <c r="P301" i="22" s="1"/>
  <c r="V301" i="22" s="1"/>
  <c r="U299" i="22"/>
  <c r="T299" i="22" s="1"/>
  <c r="S299" i="22" s="1"/>
  <c r="R299" i="22" s="1"/>
  <c r="P299" i="22" s="1"/>
  <c r="V299" i="22" s="1"/>
  <c r="U297" i="22"/>
  <c r="T297" i="22" s="1"/>
  <c r="U295" i="22"/>
  <c r="T295" i="22" s="1"/>
  <c r="U293" i="22"/>
  <c r="T293" i="22" s="1"/>
  <c r="S293" i="22" s="1"/>
  <c r="R293" i="22" s="1"/>
  <c r="P293" i="22" s="1"/>
  <c r="V293" i="22" s="1"/>
  <c r="U291" i="22"/>
  <c r="T291" i="22" s="1"/>
  <c r="S291" i="22" s="1"/>
  <c r="R291" i="22" s="1"/>
  <c r="P291" i="22" s="1"/>
  <c r="V291" i="22" s="1"/>
  <c r="U289" i="22"/>
  <c r="T289" i="22" s="1"/>
  <c r="S289" i="22" s="1"/>
  <c r="R289" i="22" s="1"/>
  <c r="P289" i="22" s="1"/>
  <c r="V289" i="22" s="1"/>
  <c r="U287" i="22"/>
  <c r="T287" i="22" s="1"/>
  <c r="U285" i="22"/>
  <c r="T285" i="22" s="1"/>
  <c r="S285" i="22" s="1"/>
  <c r="R285" i="22" s="1"/>
  <c r="P285" i="22" s="1"/>
  <c r="V285" i="22" s="1"/>
  <c r="U283" i="22"/>
  <c r="T283" i="22" s="1"/>
  <c r="S283" i="22" s="1"/>
  <c r="R283" i="22" s="1"/>
  <c r="P283" i="22" s="1"/>
  <c r="V283" i="22" s="1"/>
  <c r="U281" i="22"/>
  <c r="T281" i="22" s="1"/>
  <c r="S281" i="22" s="1"/>
  <c r="R281" i="22" s="1"/>
  <c r="P281" i="22" s="1"/>
  <c r="V281" i="22" s="1"/>
  <c r="U279" i="22"/>
  <c r="T279" i="22" s="1"/>
  <c r="S279" i="22" s="1"/>
  <c r="R279" i="22" s="1"/>
  <c r="P279" i="22" s="1"/>
  <c r="V279" i="22" s="1"/>
  <c r="U277" i="22"/>
  <c r="T277" i="22" s="1"/>
  <c r="S277" i="22" s="1"/>
  <c r="R277" i="22" s="1"/>
  <c r="P277" i="22" s="1"/>
  <c r="V277" i="22" s="1"/>
  <c r="U275" i="22"/>
  <c r="T275" i="22" s="1"/>
  <c r="S275" i="22" s="1"/>
  <c r="R275" i="22" s="1"/>
  <c r="P275" i="22" s="1"/>
  <c r="V275" i="22" s="1"/>
  <c r="U273" i="22"/>
  <c r="T273" i="22" s="1"/>
  <c r="U271" i="22"/>
  <c r="T271" i="22" s="1"/>
  <c r="U269" i="22"/>
  <c r="T269" i="22" s="1"/>
  <c r="U267" i="22"/>
  <c r="T267" i="22" s="1"/>
  <c r="S267" i="22" s="1"/>
  <c r="R267" i="22" s="1"/>
  <c r="P267" i="22" s="1"/>
  <c r="V267" i="22" s="1"/>
  <c r="U265" i="22"/>
  <c r="T265" i="22" s="1"/>
  <c r="S265" i="22" s="1"/>
  <c r="R265" i="22" s="1"/>
  <c r="P265" i="22" s="1"/>
  <c r="V265" i="22" s="1"/>
  <c r="U263" i="22"/>
  <c r="T263" i="22" s="1"/>
  <c r="S263" i="22" s="1"/>
  <c r="R263" i="22" s="1"/>
  <c r="P263" i="22" s="1"/>
  <c r="V263" i="22" s="1"/>
  <c r="U261" i="22"/>
  <c r="T261" i="22" s="1"/>
  <c r="U259" i="22"/>
  <c r="T259" i="22" s="1"/>
  <c r="S259" i="22" s="1"/>
  <c r="R259" i="22" s="1"/>
  <c r="P259" i="22" s="1"/>
  <c r="V259" i="22" s="1"/>
  <c r="U257" i="22"/>
  <c r="T257" i="22" s="1"/>
  <c r="U255" i="22"/>
  <c r="T255" i="22" s="1"/>
  <c r="S255" i="22" s="1"/>
  <c r="R255" i="22" s="1"/>
  <c r="P255" i="22" s="1"/>
  <c r="V255" i="22" s="1"/>
  <c r="U253" i="22"/>
  <c r="T253" i="22" s="1"/>
  <c r="S253" i="22" s="1"/>
  <c r="R253" i="22" s="1"/>
  <c r="P253" i="22" s="1"/>
  <c r="V253" i="22" s="1"/>
  <c r="U251" i="22"/>
  <c r="T251" i="22" s="1"/>
  <c r="U249" i="22"/>
  <c r="T249" i="22" s="1"/>
  <c r="S249" i="22" s="1"/>
  <c r="R249" i="22" s="1"/>
  <c r="P249" i="22" s="1"/>
  <c r="V249" i="22" s="1"/>
  <c r="U247" i="22"/>
  <c r="T247" i="22" s="1"/>
  <c r="S247" i="22" s="1"/>
  <c r="R247" i="22" s="1"/>
  <c r="P247" i="22" s="1"/>
  <c r="V247" i="22" s="1"/>
  <c r="U245" i="22"/>
  <c r="T245" i="22" s="1"/>
  <c r="U243" i="22"/>
  <c r="T243" i="22" s="1"/>
  <c r="S243" i="22" s="1"/>
  <c r="R243" i="22" s="1"/>
  <c r="P243" i="22" s="1"/>
  <c r="V243" i="22" s="1"/>
  <c r="U241" i="22"/>
  <c r="T241" i="22" s="1"/>
  <c r="S241" i="22" s="1"/>
  <c r="R241" i="22" s="1"/>
  <c r="P241" i="22" s="1"/>
  <c r="U239" i="22"/>
  <c r="T239" i="22" s="1"/>
  <c r="U237" i="22"/>
  <c r="T237" i="22" s="1"/>
  <c r="U235" i="22"/>
  <c r="T235" i="22" s="1"/>
  <c r="S235" i="22" s="1"/>
  <c r="R235" i="22" s="1"/>
  <c r="P235" i="22" s="1"/>
  <c r="V235" i="22" s="1"/>
  <c r="U233" i="22"/>
  <c r="T233" i="22" s="1"/>
  <c r="S233" i="22" s="1"/>
  <c r="R233" i="22" s="1"/>
  <c r="P233" i="22" s="1"/>
  <c r="V233" i="22" s="1"/>
  <c r="U231" i="22"/>
  <c r="T231" i="22" s="1"/>
  <c r="S231" i="22" s="1"/>
  <c r="R231" i="22" s="1"/>
  <c r="P231" i="22" s="1"/>
  <c r="V231" i="22" s="1"/>
  <c r="U229" i="22"/>
  <c r="T229" i="22" s="1"/>
  <c r="S229" i="22" s="1"/>
  <c r="R229" i="22" s="1"/>
  <c r="P229" i="22" s="1"/>
  <c r="V229" i="22" s="1"/>
  <c r="U227" i="22"/>
  <c r="T227" i="22" s="1"/>
  <c r="U225" i="22"/>
  <c r="T225" i="22" s="1"/>
  <c r="S225" i="22" s="1"/>
  <c r="R225" i="22" s="1"/>
  <c r="P225" i="22" s="1"/>
  <c r="V225" i="22" s="1"/>
  <c r="U223" i="22"/>
  <c r="T223" i="22" s="1"/>
  <c r="S223" i="22" s="1"/>
  <c r="R223" i="22" s="1"/>
  <c r="P223" i="22" s="1"/>
  <c r="V223" i="22" s="1"/>
  <c r="U221" i="22"/>
  <c r="T221" i="22" s="1"/>
  <c r="S221" i="22" s="1"/>
  <c r="R221" i="22" s="1"/>
  <c r="P221" i="22" s="1"/>
  <c r="V221" i="22" s="1"/>
  <c r="U219" i="22"/>
  <c r="T219" i="22" s="1"/>
  <c r="S219" i="22" s="1"/>
  <c r="R219" i="22" s="1"/>
  <c r="P219" i="22" s="1"/>
  <c r="V219" i="22" s="1"/>
  <c r="U217" i="22"/>
  <c r="T217" i="22" s="1"/>
  <c r="U215" i="22"/>
  <c r="T215" i="22" s="1"/>
  <c r="S215" i="22" s="1"/>
  <c r="R215" i="22" s="1"/>
  <c r="P215" i="22" s="1"/>
  <c r="V215" i="22" s="1"/>
  <c r="U213" i="22"/>
  <c r="T213" i="22" s="1"/>
  <c r="S213" i="22" s="1"/>
  <c r="R213" i="22" s="1"/>
  <c r="P213" i="22" s="1"/>
  <c r="V213" i="22" s="1"/>
  <c r="U211" i="22"/>
  <c r="T211" i="22" s="1"/>
  <c r="U209" i="22"/>
  <c r="T209" i="22" s="1"/>
  <c r="U207" i="22"/>
  <c r="T207" i="22" s="1"/>
  <c r="S207" i="22" s="1"/>
  <c r="R207" i="22" s="1"/>
  <c r="P207" i="22" s="1"/>
  <c r="V207" i="22" s="1"/>
  <c r="U205" i="22"/>
  <c r="T205" i="22" s="1"/>
  <c r="S205" i="22" s="1"/>
  <c r="R205" i="22" s="1"/>
  <c r="P205" i="22" s="1"/>
  <c r="V205" i="22" s="1"/>
  <c r="U203" i="22"/>
  <c r="T203" i="22" s="1"/>
  <c r="U201" i="22"/>
  <c r="T201" i="22" s="1"/>
  <c r="S201" i="22" s="1"/>
  <c r="R201" i="22" s="1"/>
  <c r="P201" i="22" s="1"/>
  <c r="V201" i="22" s="1"/>
  <c r="U199" i="22"/>
  <c r="T199" i="22" s="1"/>
  <c r="S199" i="22" s="1"/>
  <c r="R199" i="22" s="1"/>
  <c r="P199" i="22" s="1"/>
  <c r="V199" i="22" s="1"/>
  <c r="U197" i="22"/>
  <c r="T197" i="22" s="1"/>
  <c r="S197" i="22" s="1"/>
  <c r="R197" i="22" s="1"/>
  <c r="P197" i="22" s="1"/>
  <c r="V197" i="22" s="1"/>
  <c r="U195" i="22"/>
  <c r="T195" i="22" s="1"/>
  <c r="S195" i="22" s="1"/>
  <c r="R195" i="22" s="1"/>
  <c r="P195" i="22" s="1"/>
  <c r="V195" i="22" s="1"/>
  <c r="U193" i="22"/>
  <c r="T193" i="22" s="1"/>
  <c r="U191" i="22"/>
  <c r="T191" i="22" s="1"/>
  <c r="S191" i="22" s="1"/>
  <c r="R191" i="22" s="1"/>
  <c r="P191" i="22" s="1"/>
  <c r="V191" i="22" s="1"/>
  <c r="U189" i="22"/>
  <c r="T189" i="22" s="1"/>
  <c r="U187" i="22"/>
  <c r="T187" i="22" s="1"/>
  <c r="U185" i="22"/>
  <c r="T185" i="22" s="1"/>
  <c r="S185" i="22" s="1"/>
  <c r="R185" i="22" s="1"/>
  <c r="P185" i="22" s="1"/>
  <c r="V185" i="22" s="1"/>
  <c r="U183" i="22"/>
  <c r="T183" i="22" s="1"/>
  <c r="S183" i="22" s="1"/>
  <c r="R183" i="22" s="1"/>
  <c r="P183" i="22" s="1"/>
  <c r="V183" i="22" s="1"/>
  <c r="U181" i="22"/>
  <c r="T181" i="22" s="1"/>
  <c r="S181" i="22" s="1"/>
  <c r="R181" i="22" s="1"/>
  <c r="P181" i="22" s="1"/>
  <c r="V181" i="22" s="1"/>
  <c r="U179" i="22"/>
  <c r="T179" i="22" s="1"/>
  <c r="U177" i="22"/>
  <c r="T177" i="22" s="1"/>
  <c r="S177" i="22" s="1"/>
  <c r="R177" i="22" s="1"/>
  <c r="P177" i="22" s="1"/>
  <c r="V177" i="22" s="1"/>
  <c r="U175" i="22"/>
  <c r="T175" i="22" s="1"/>
  <c r="S175" i="22" s="1"/>
  <c r="R175" i="22" s="1"/>
  <c r="P175" i="22" s="1"/>
  <c r="V175" i="22" s="1"/>
  <c r="U173" i="22"/>
  <c r="T173" i="22" s="1"/>
  <c r="S173" i="22" s="1"/>
  <c r="R173" i="22" s="1"/>
  <c r="P173" i="22" s="1"/>
  <c r="V173" i="22" s="1"/>
  <c r="U171" i="22"/>
  <c r="T171" i="22" s="1"/>
  <c r="S171" i="22" s="1"/>
  <c r="R171" i="22" s="1"/>
  <c r="P171" i="22" s="1"/>
  <c r="V171" i="22" s="1"/>
  <c r="U169" i="22"/>
  <c r="T169" i="22" s="1"/>
  <c r="U167" i="22"/>
  <c r="T167" i="22" s="1"/>
  <c r="U165" i="22"/>
  <c r="T165" i="22" s="1"/>
  <c r="S165" i="22" s="1"/>
  <c r="R165" i="22" s="1"/>
  <c r="P165" i="22" s="1"/>
  <c r="V165" i="22" s="1"/>
  <c r="U163" i="22"/>
  <c r="T163" i="22" s="1"/>
  <c r="U161" i="22"/>
  <c r="T161" i="22" s="1"/>
  <c r="U159" i="22"/>
  <c r="T159" i="22" s="1"/>
  <c r="S159" i="22" s="1"/>
  <c r="R159" i="22" s="1"/>
  <c r="P159" i="22" s="1"/>
  <c r="V159" i="22" s="1"/>
  <c r="U157" i="22"/>
  <c r="T157" i="22" s="1"/>
  <c r="S157" i="22" s="1"/>
  <c r="R157" i="22" s="1"/>
  <c r="P157" i="22" s="1"/>
  <c r="V157" i="22" s="1"/>
  <c r="U155" i="22"/>
  <c r="T155" i="22" s="1"/>
  <c r="S155" i="22" s="1"/>
  <c r="R155" i="22" s="1"/>
  <c r="P155" i="22" s="1"/>
  <c r="V155" i="22" s="1"/>
  <c r="U153" i="22"/>
  <c r="T153" i="22" s="1"/>
  <c r="S153" i="22" s="1"/>
  <c r="R153" i="22" s="1"/>
  <c r="P153" i="22" s="1"/>
  <c r="V153" i="22" s="1"/>
  <c r="U151" i="22"/>
  <c r="T151" i="22" s="1"/>
  <c r="U149" i="22"/>
  <c r="T149" i="22" s="1"/>
  <c r="U147" i="22"/>
  <c r="T147" i="22" s="1"/>
  <c r="S147" i="22" s="1"/>
  <c r="R147" i="22" s="1"/>
  <c r="P147" i="22" s="1"/>
  <c r="V147" i="22" s="1"/>
  <c r="U145" i="22"/>
  <c r="T145" i="22" s="1"/>
  <c r="U143" i="22"/>
  <c r="T143" i="22" s="1"/>
  <c r="S143" i="22" s="1"/>
  <c r="R143" i="22" s="1"/>
  <c r="P143" i="22" s="1"/>
  <c r="V143" i="22" s="1"/>
  <c r="U141" i="22"/>
  <c r="T141" i="22" s="1"/>
  <c r="S141" i="22" s="1"/>
  <c r="R141" i="22" s="1"/>
  <c r="P141" i="22" s="1"/>
  <c r="V141" i="22" s="1"/>
  <c r="U139" i="22"/>
  <c r="T139" i="22" s="1"/>
  <c r="U137" i="22"/>
  <c r="T137" i="22" s="1"/>
  <c r="U135" i="22"/>
  <c r="T135" i="22" s="1"/>
  <c r="U133" i="22"/>
  <c r="T133" i="22" s="1"/>
  <c r="S133" i="22" s="1"/>
  <c r="R133" i="22" s="1"/>
  <c r="P133" i="22" s="1"/>
  <c r="V133" i="22" s="1"/>
  <c r="U131" i="22"/>
  <c r="T131" i="22" s="1"/>
  <c r="U129" i="22"/>
  <c r="T129" i="22" s="1"/>
  <c r="U127" i="22"/>
  <c r="T127" i="22" s="1"/>
  <c r="S127" i="22" s="1"/>
  <c r="R127" i="22" s="1"/>
  <c r="P127" i="22" s="1"/>
  <c r="V127" i="22" s="1"/>
  <c r="U125" i="22"/>
  <c r="T125" i="22" s="1"/>
  <c r="U123" i="22"/>
  <c r="T123" i="22" s="1"/>
  <c r="U121" i="22"/>
  <c r="T121" i="22" s="1"/>
  <c r="U119" i="22"/>
  <c r="T119" i="22" s="1"/>
  <c r="U117" i="22"/>
  <c r="T117" i="22" s="1"/>
  <c r="S117" i="22" s="1"/>
  <c r="R117" i="22" s="1"/>
  <c r="P117" i="22" s="1"/>
  <c r="V117" i="22" s="1"/>
  <c r="U115" i="22"/>
  <c r="T115" i="22" s="1"/>
  <c r="S115" i="22" s="1"/>
  <c r="R115" i="22" s="1"/>
  <c r="P115" i="22" s="1"/>
  <c r="V115" i="22" s="1"/>
  <c r="U113" i="22"/>
  <c r="T113" i="22" s="1"/>
  <c r="U111" i="22"/>
  <c r="T111" i="22" s="1"/>
  <c r="U109" i="22"/>
  <c r="T109" i="22" s="1"/>
  <c r="U107" i="22"/>
  <c r="T107" i="22" s="1"/>
  <c r="S107" i="22" s="1"/>
  <c r="R107" i="22" s="1"/>
  <c r="P107" i="22" s="1"/>
  <c r="V107" i="22" s="1"/>
  <c r="U105" i="22"/>
  <c r="T105" i="22" s="1"/>
  <c r="U103" i="22"/>
  <c r="T103" i="22" s="1"/>
  <c r="U101" i="22"/>
  <c r="T101" i="22" s="1"/>
  <c r="U99" i="22"/>
  <c r="T99" i="22" s="1"/>
  <c r="U97" i="22"/>
  <c r="T97" i="22" s="1"/>
  <c r="S97" i="22" s="1"/>
  <c r="R97" i="22" s="1"/>
  <c r="P97" i="22" s="1"/>
  <c r="V97" i="22" s="1"/>
  <c r="U95" i="22"/>
  <c r="T95" i="22" s="1"/>
  <c r="U93" i="22"/>
  <c r="T93" i="22" s="1"/>
  <c r="S93" i="22" s="1"/>
  <c r="R93" i="22" s="1"/>
  <c r="P93" i="22" s="1"/>
  <c r="V93" i="22" s="1"/>
  <c r="U91" i="22"/>
  <c r="T91" i="22" s="1"/>
  <c r="U89" i="22"/>
  <c r="T89" i="22" s="1"/>
  <c r="U87" i="22"/>
  <c r="T87" i="22" s="1"/>
  <c r="U85" i="22"/>
  <c r="T85" i="22" s="1"/>
  <c r="U83" i="22"/>
  <c r="T83" i="22" s="1"/>
  <c r="S83" i="22" s="1"/>
  <c r="R83" i="22" s="1"/>
  <c r="P83" i="22" s="1"/>
  <c r="V83" i="22" s="1"/>
  <c r="U81" i="22"/>
  <c r="T81" i="22" s="1"/>
  <c r="S81" i="22" s="1"/>
  <c r="R81" i="22" s="1"/>
  <c r="P81" i="22" s="1"/>
  <c r="V81" i="22" s="1"/>
  <c r="U79" i="22"/>
  <c r="T79" i="22" s="1"/>
  <c r="U77" i="22"/>
  <c r="T77" i="22" s="1"/>
  <c r="S77" i="22" s="1"/>
  <c r="R77" i="22" s="1"/>
  <c r="P77" i="22" s="1"/>
  <c r="V77" i="22" s="1"/>
  <c r="U75" i="22"/>
  <c r="T75" i="22" s="1"/>
  <c r="U73" i="22"/>
  <c r="T73" i="22" s="1"/>
  <c r="U71" i="22"/>
  <c r="T71" i="22" s="1"/>
  <c r="U69" i="22"/>
  <c r="T69" i="22" s="1"/>
  <c r="S69" i="22" s="1"/>
  <c r="R69" i="22" s="1"/>
  <c r="P69" i="22" s="1"/>
  <c r="V69" i="22" s="1"/>
  <c r="U67" i="22"/>
  <c r="T67" i="22" s="1"/>
  <c r="S67" i="22" s="1"/>
  <c r="R67" i="22" s="1"/>
  <c r="P67" i="22" s="1"/>
  <c r="V67" i="22" s="1"/>
  <c r="U65" i="22"/>
  <c r="T65" i="22" s="1"/>
  <c r="S65" i="22" s="1"/>
  <c r="R65" i="22" s="1"/>
  <c r="P65" i="22" s="1"/>
  <c r="V65" i="22" s="1"/>
  <c r="U63" i="22"/>
  <c r="T63" i="22" s="1"/>
  <c r="U61" i="22"/>
  <c r="T61" i="22" s="1"/>
  <c r="U59" i="22"/>
  <c r="T59" i="22" s="1"/>
  <c r="U57" i="22"/>
  <c r="T57" i="22" s="1"/>
  <c r="U55" i="22"/>
  <c r="T55" i="22" s="1"/>
  <c r="U53" i="22"/>
  <c r="T53" i="22" s="1"/>
  <c r="S53" i="22" s="1"/>
  <c r="R53" i="22" s="1"/>
  <c r="P53" i="22" s="1"/>
  <c r="V53" i="22" s="1"/>
  <c r="U51" i="22"/>
  <c r="T51" i="22" s="1"/>
  <c r="U49" i="22"/>
  <c r="T49" i="22" s="1"/>
  <c r="S49" i="22" s="1"/>
  <c r="R49" i="22" s="1"/>
  <c r="P49" i="22" s="1"/>
  <c r="V49" i="22" s="1"/>
  <c r="U47" i="22"/>
  <c r="T47" i="22" s="1"/>
  <c r="S47" i="22" s="1"/>
  <c r="R47" i="22" s="1"/>
  <c r="P47" i="22" s="1"/>
  <c r="V47" i="22" s="1"/>
  <c r="U45" i="22"/>
  <c r="T45" i="22" s="1"/>
  <c r="U43" i="22"/>
  <c r="T43" i="22" s="1"/>
  <c r="S43" i="22" s="1"/>
  <c r="R43" i="22" s="1"/>
  <c r="P43" i="22" s="1"/>
  <c r="V43" i="22" s="1"/>
  <c r="U41" i="22"/>
  <c r="T41" i="22" s="1"/>
  <c r="S41" i="22" s="1"/>
  <c r="R41" i="22" s="1"/>
  <c r="P41" i="22" s="1"/>
  <c r="V41" i="22" s="1"/>
  <c r="U39" i="22"/>
  <c r="T39" i="22" s="1"/>
  <c r="S39" i="22" s="1"/>
  <c r="R39" i="22" s="1"/>
  <c r="P39" i="22" s="1"/>
  <c r="V39" i="22" s="1"/>
  <c r="U37" i="22"/>
  <c r="T37" i="22" s="1"/>
  <c r="U35" i="22"/>
  <c r="T35" i="22" s="1"/>
  <c r="S35" i="22" s="1"/>
  <c r="R35" i="22" s="1"/>
  <c r="P35" i="22" s="1"/>
  <c r="V35" i="22" s="1"/>
  <c r="U33" i="22"/>
  <c r="T33" i="22" s="1"/>
  <c r="U31" i="22"/>
  <c r="T31" i="22" s="1"/>
  <c r="S31" i="22" s="1"/>
  <c r="R31" i="22" s="1"/>
  <c r="P31" i="22" s="1"/>
  <c r="V31" i="22" s="1"/>
  <c r="U29" i="22"/>
  <c r="T29" i="22" s="1"/>
  <c r="U27" i="22"/>
  <c r="T27" i="22" s="1"/>
  <c r="U25" i="22"/>
  <c r="T25" i="22" s="1"/>
  <c r="S25" i="22" s="1"/>
  <c r="R25" i="22" s="1"/>
  <c r="P25" i="22" s="1"/>
  <c r="V25" i="22" s="1"/>
  <c r="U16" i="22"/>
  <c r="T16" i="22" s="1"/>
  <c r="U23" i="22"/>
  <c r="T23" i="22" s="1"/>
  <c r="U19" i="22"/>
  <c r="T19" i="22" s="1"/>
  <c r="U20" i="22"/>
  <c r="T20" i="22" s="1"/>
  <c r="S20" i="22" s="1"/>
  <c r="R20" i="22" s="1"/>
  <c r="P20" i="22" s="1"/>
  <c r="V20" i="22" s="1"/>
  <c r="U22" i="22"/>
  <c r="T22" i="22" s="1"/>
  <c r="S22" i="22" s="1"/>
  <c r="R22" i="22" s="1"/>
  <c r="P22" i="22" s="1"/>
  <c r="V22" i="22" s="1"/>
  <c r="AS15" i="7" l="1"/>
  <c r="AE11" i="23"/>
  <c r="AE106" i="23" s="1"/>
  <c r="Q10" i="23"/>
  <c r="AG383" i="20"/>
  <c r="I37" i="19"/>
  <c r="AG381" i="20"/>
  <c r="AG382" i="20"/>
  <c r="AE192" i="23"/>
  <c r="AE288" i="23"/>
  <c r="AE368" i="23"/>
  <c r="AE240" i="23"/>
  <c r="AE74" i="23"/>
  <c r="AE344" i="23"/>
  <c r="AE280" i="23"/>
  <c r="AE216" i="23"/>
  <c r="AE152" i="23"/>
  <c r="AE90" i="23"/>
  <c r="AE26" i="23"/>
  <c r="AE348" i="23"/>
  <c r="AE316" i="23"/>
  <c r="AE284" i="23"/>
  <c r="AE252" i="23"/>
  <c r="AE220" i="23"/>
  <c r="AE188" i="23"/>
  <c r="AE156" i="23"/>
  <c r="AE98" i="23"/>
  <c r="AE66" i="23"/>
  <c r="AE34" i="23"/>
  <c r="Q351" i="23"/>
  <c r="Q367" i="23"/>
  <c r="Q295" i="23"/>
  <c r="Q375" i="23"/>
  <c r="Q343" i="23"/>
  <c r="Q311" i="23"/>
  <c r="Q209" i="23"/>
  <c r="Q287" i="23"/>
  <c r="Q239" i="23"/>
  <c r="Q145" i="23"/>
  <c r="Q247" i="23"/>
  <c r="Q193" i="23"/>
  <c r="AU15" i="7"/>
  <c r="Q117" i="23"/>
  <c r="Q141" i="23"/>
  <c r="Q157" i="23"/>
  <c r="Q173" i="23"/>
  <c r="Q189" i="23"/>
  <c r="Q205" i="23"/>
  <c r="Q221" i="23"/>
  <c r="Q237" i="23"/>
  <c r="Q245" i="23"/>
  <c r="Q253" i="23"/>
  <c r="Q261" i="23"/>
  <c r="Q269" i="23"/>
  <c r="Q277" i="23"/>
  <c r="Q285" i="23"/>
  <c r="Q293" i="23"/>
  <c r="Q301" i="23"/>
  <c r="Q309" i="23"/>
  <c r="Q317" i="23"/>
  <c r="Q325" i="23"/>
  <c r="Q333" i="23"/>
  <c r="Q341" i="23"/>
  <c r="Q349" i="23"/>
  <c r="Q357" i="23"/>
  <c r="Q365" i="23"/>
  <c r="Q373" i="23"/>
  <c r="AE17" i="23"/>
  <c r="AE24" i="23"/>
  <c r="AE32" i="23"/>
  <c r="AE40" i="23"/>
  <c r="AE48" i="23"/>
  <c r="AE56" i="23"/>
  <c r="AE64" i="23"/>
  <c r="AE72" i="23"/>
  <c r="AE80" i="23"/>
  <c r="AE88" i="23"/>
  <c r="AE92" i="23"/>
  <c r="AE96" i="23"/>
  <c r="AE100" i="23"/>
  <c r="AE104" i="23"/>
  <c r="AE112" i="23"/>
  <c r="AE120" i="23"/>
  <c r="AE128" i="23"/>
  <c r="AE136" i="23"/>
  <c r="AE144" i="23"/>
  <c r="AE378" i="23"/>
  <c r="AE370" i="23"/>
  <c r="AE362" i="23"/>
  <c r="AE354" i="23"/>
  <c r="AE346" i="23"/>
  <c r="AE338" i="23"/>
  <c r="AE330" i="23"/>
  <c r="AE322" i="23"/>
  <c r="AE314" i="23"/>
  <c r="AE306" i="23"/>
  <c r="AE298" i="23"/>
  <c r="AE290" i="23"/>
  <c r="AE282" i="23"/>
  <c r="AE274" i="23"/>
  <c r="AE266" i="23"/>
  <c r="AE258" i="23"/>
  <c r="AE250" i="23"/>
  <c r="AE242" i="23"/>
  <c r="AE234" i="23"/>
  <c r="AE226" i="23"/>
  <c r="AE218" i="23"/>
  <c r="AE210" i="23"/>
  <c r="AE202" i="23"/>
  <c r="AE194" i="23"/>
  <c r="AE186" i="23"/>
  <c r="AE178" i="23"/>
  <c r="AE170" i="23"/>
  <c r="AE162" i="23"/>
  <c r="AE154" i="23"/>
  <c r="AE142" i="23"/>
  <c r="AE126" i="23"/>
  <c r="AE110" i="23"/>
  <c r="AE102" i="23"/>
  <c r="AE94" i="23"/>
  <c r="AE86" i="23"/>
  <c r="AE78" i="23"/>
  <c r="AE70" i="23"/>
  <c r="AE62" i="23"/>
  <c r="AE54" i="23"/>
  <c r="AE46" i="23"/>
  <c r="AE38" i="23"/>
  <c r="AE30" i="23"/>
  <c r="AE22" i="23"/>
  <c r="Q379" i="23"/>
  <c r="AT15" i="7" s="1"/>
  <c r="Q371" i="23"/>
  <c r="Q363" i="23"/>
  <c r="Q355" i="23"/>
  <c r="Q347" i="23"/>
  <c r="Q339" i="23"/>
  <c r="Q331" i="23"/>
  <c r="Q323" i="23"/>
  <c r="Q315" i="23"/>
  <c r="Q307" i="23"/>
  <c r="Q299" i="23"/>
  <c r="Q291" i="23"/>
  <c r="Q283" i="23"/>
  <c r="Q275" i="23"/>
  <c r="Q267" i="23"/>
  <c r="Q259" i="23"/>
  <c r="Q251" i="23"/>
  <c r="Q243" i="23"/>
  <c r="Q233" i="23"/>
  <c r="Q217" i="23"/>
  <c r="Q201" i="23"/>
  <c r="Q185" i="23"/>
  <c r="Q169" i="23"/>
  <c r="Q153" i="23"/>
  <c r="Q137" i="23"/>
  <c r="Q109" i="23"/>
  <c r="Q235" i="23"/>
  <c r="Q231" i="23"/>
  <c r="Q227" i="23"/>
  <c r="Q223" i="23"/>
  <c r="Q219" i="23"/>
  <c r="Q215" i="23"/>
  <c r="Q211" i="23"/>
  <c r="Q207" i="23"/>
  <c r="Q203" i="23"/>
  <c r="Q199" i="23"/>
  <c r="Q195" i="23"/>
  <c r="Q191" i="23"/>
  <c r="Q187" i="23"/>
  <c r="Q183" i="23"/>
  <c r="Q179" i="23"/>
  <c r="Q175" i="23"/>
  <c r="Q171" i="23"/>
  <c r="Q167" i="23"/>
  <c r="Q163" i="23"/>
  <c r="Q159" i="23"/>
  <c r="Q155" i="23"/>
  <c r="Q151" i="23"/>
  <c r="Q147" i="23"/>
  <c r="Q143" i="23"/>
  <c r="Q139" i="23"/>
  <c r="Q135" i="23"/>
  <c r="Q129" i="23"/>
  <c r="Q121" i="23"/>
  <c r="Q113" i="23"/>
  <c r="Q105" i="23"/>
  <c r="Q91" i="23"/>
  <c r="Q63" i="23"/>
  <c r="Q131" i="23"/>
  <c r="Q127" i="23"/>
  <c r="Q123" i="23"/>
  <c r="Q119" i="23"/>
  <c r="Q115" i="23"/>
  <c r="Q111" i="23"/>
  <c r="Q107" i="23"/>
  <c r="Q103" i="23"/>
  <c r="Q95" i="23"/>
  <c r="Q79" i="23"/>
  <c r="Q47" i="23"/>
  <c r="AE377" i="23"/>
  <c r="AE373" i="23"/>
  <c r="AE369" i="23"/>
  <c r="AE365" i="23"/>
  <c r="AE361" i="23"/>
  <c r="AE357" i="23"/>
  <c r="AE353" i="23"/>
  <c r="AE349" i="23"/>
  <c r="AE345" i="23"/>
  <c r="AE341" i="23"/>
  <c r="AE337" i="23"/>
  <c r="AE333" i="23"/>
  <c r="AE329" i="23"/>
  <c r="AE325" i="23"/>
  <c r="AE321" i="23"/>
  <c r="AE317" i="23"/>
  <c r="AE313" i="23"/>
  <c r="AE309" i="23"/>
  <c r="AE305" i="23"/>
  <c r="AE301" i="23"/>
  <c r="AE297" i="23"/>
  <c r="AE293" i="23"/>
  <c r="AE289" i="23"/>
  <c r="AE285" i="23"/>
  <c r="AE281" i="23"/>
  <c r="AE277" i="23"/>
  <c r="AE273" i="23"/>
  <c r="AE269" i="23"/>
  <c r="AE265" i="23"/>
  <c r="AE261" i="23"/>
  <c r="AE257" i="23"/>
  <c r="AE253" i="23"/>
  <c r="AE249" i="23"/>
  <c r="AE245" i="23"/>
  <c r="AE241" i="23"/>
  <c r="AE237" i="23"/>
  <c r="AE233" i="23"/>
  <c r="AE229" i="23"/>
  <c r="AE225" i="23"/>
  <c r="AE221" i="23"/>
  <c r="AE217" i="23"/>
  <c r="AE213" i="23"/>
  <c r="AE209" i="23"/>
  <c r="AE205" i="23"/>
  <c r="AE201" i="23"/>
  <c r="AE197" i="23"/>
  <c r="AE193" i="23"/>
  <c r="AE189" i="23"/>
  <c r="AE185" i="23"/>
  <c r="AE181" i="23"/>
  <c r="AE177" i="23"/>
  <c r="AE173" i="23"/>
  <c r="AE169" i="23"/>
  <c r="AE165" i="23"/>
  <c r="AE161" i="23"/>
  <c r="AE157" i="23"/>
  <c r="AE153" i="23"/>
  <c r="AE149" i="23"/>
  <c r="AE145" i="23"/>
  <c r="AE141" i="23"/>
  <c r="AE137" i="23"/>
  <c r="AE133" i="23"/>
  <c r="AE129" i="23"/>
  <c r="AE125" i="23"/>
  <c r="AE121" i="23"/>
  <c r="AE117" i="23"/>
  <c r="AE113" i="23"/>
  <c r="AE109" i="23"/>
  <c r="AE105" i="23"/>
  <c r="AE103" i="23"/>
  <c r="AE101" i="23"/>
  <c r="AE99" i="23"/>
  <c r="AE97" i="23"/>
  <c r="AE95" i="23"/>
  <c r="AE93" i="23"/>
  <c r="AE91" i="23"/>
  <c r="AE89" i="23"/>
  <c r="AE87" i="23"/>
  <c r="AE85" i="23"/>
  <c r="AE83" i="23"/>
  <c r="AE81" i="23"/>
  <c r="AE79" i="23"/>
  <c r="AE77" i="23"/>
  <c r="AE75" i="23"/>
  <c r="AE73" i="23"/>
  <c r="AE71" i="23"/>
  <c r="AE69" i="23"/>
  <c r="AE67" i="23"/>
  <c r="AE65" i="23"/>
  <c r="AE63" i="23"/>
  <c r="AE61" i="23"/>
  <c r="AE59" i="23"/>
  <c r="AE57" i="23"/>
  <c r="AE55" i="23"/>
  <c r="AE53" i="23"/>
  <c r="AE51" i="23"/>
  <c r="AE49" i="23"/>
  <c r="AE47" i="23"/>
  <c r="AE45" i="23"/>
  <c r="AE43" i="23"/>
  <c r="AE41" i="23"/>
  <c r="AE39" i="23"/>
  <c r="AE37" i="23"/>
  <c r="AE35" i="23"/>
  <c r="AE33" i="23"/>
  <c r="AE31" i="23"/>
  <c r="AE29" i="23"/>
  <c r="AE27" i="23"/>
  <c r="AE25" i="23"/>
  <c r="AE23" i="23"/>
  <c r="AE21" i="23"/>
  <c r="AE18" i="23"/>
  <c r="AE15" i="23"/>
  <c r="AE16" i="23"/>
  <c r="Q378" i="23"/>
  <c r="Q376" i="23"/>
  <c r="Q374" i="23"/>
  <c r="Q372" i="23"/>
  <c r="Q370" i="23"/>
  <c r="Q368" i="23"/>
  <c r="Q366" i="23"/>
  <c r="Q364" i="23"/>
  <c r="Q362" i="23"/>
  <c r="Q360" i="23"/>
  <c r="Q358" i="23"/>
  <c r="Q356" i="23"/>
  <c r="Q354" i="23"/>
  <c r="Q352" i="23"/>
  <c r="Q350" i="23"/>
  <c r="Q348" i="23"/>
  <c r="Q346" i="23"/>
  <c r="Q344" i="23"/>
  <c r="Q342" i="23"/>
  <c r="Q340" i="23"/>
  <c r="Q338" i="23"/>
  <c r="Q336" i="23"/>
  <c r="Q334" i="23"/>
  <c r="Q332" i="23"/>
  <c r="Q330" i="23"/>
  <c r="Q328" i="23"/>
  <c r="Q326" i="23"/>
  <c r="Q324" i="23"/>
  <c r="Q322" i="23"/>
  <c r="Q320" i="23"/>
  <c r="Q318" i="23"/>
  <c r="Q316" i="23"/>
  <c r="Q314" i="23"/>
  <c r="Q312" i="23"/>
  <c r="Q310" i="23"/>
  <c r="Q308" i="23"/>
  <c r="Q306" i="23"/>
  <c r="Q304" i="23"/>
  <c r="Q302" i="23"/>
  <c r="Q300" i="23"/>
  <c r="Q298" i="23"/>
  <c r="Q296" i="23"/>
  <c r="Q294" i="23"/>
  <c r="Q292" i="23"/>
  <c r="Q290" i="23"/>
  <c r="Q288" i="23"/>
  <c r="Q286" i="23"/>
  <c r="Q284" i="23"/>
  <c r="Q282" i="23"/>
  <c r="Q280" i="23"/>
  <c r="Q278" i="23"/>
  <c r="Q276" i="23"/>
  <c r="Q274" i="23"/>
  <c r="Q272" i="23"/>
  <c r="Q270" i="23"/>
  <c r="Q268" i="23"/>
  <c r="Q266" i="23"/>
  <c r="Q264" i="23"/>
  <c r="Q262" i="23"/>
  <c r="Q260" i="23"/>
  <c r="Q258" i="23"/>
  <c r="Q256" i="23"/>
  <c r="Q254" i="23"/>
  <c r="Q252" i="23"/>
  <c r="Q250" i="23"/>
  <c r="Q248" i="23"/>
  <c r="Q246" i="23"/>
  <c r="Q244" i="23"/>
  <c r="Q242" i="23"/>
  <c r="Q240" i="23"/>
  <c r="Q238" i="23"/>
  <c r="Q236" i="23"/>
  <c r="Q234" i="23"/>
  <c r="Q232" i="23"/>
  <c r="Q230" i="23"/>
  <c r="Q228" i="23"/>
  <c r="Q226" i="23"/>
  <c r="Q224" i="23"/>
  <c r="Q222" i="23"/>
  <c r="Q220" i="23"/>
  <c r="Q218" i="23"/>
  <c r="Q216" i="23"/>
  <c r="Q214" i="23"/>
  <c r="Q212" i="23"/>
  <c r="Q210" i="23"/>
  <c r="Q208" i="23"/>
  <c r="Q206" i="23"/>
  <c r="Q204" i="23"/>
  <c r="Q202" i="23"/>
  <c r="Q200" i="23"/>
  <c r="Q198" i="23"/>
  <c r="Q196" i="23"/>
  <c r="Q194" i="23"/>
  <c r="Q192" i="23"/>
  <c r="Q190" i="23"/>
  <c r="Q188" i="23"/>
  <c r="Q186" i="23"/>
  <c r="Q184" i="23"/>
  <c r="Q182" i="23"/>
  <c r="Q180" i="23"/>
  <c r="Q178" i="23"/>
  <c r="Q176" i="23"/>
  <c r="Q174" i="23"/>
  <c r="Q172" i="23"/>
  <c r="Q170" i="23"/>
  <c r="Q168" i="23"/>
  <c r="Q166" i="23"/>
  <c r="Q164" i="23"/>
  <c r="Q162" i="23"/>
  <c r="Q160" i="23"/>
  <c r="Q158" i="23"/>
  <c r="Q156" i="23"/>
  <c r="Q154" i="23"/>
  <c r="Q152" i="23"/>
  <c r="Q150" i="23"/>
  <c r="Q148" i="23"/>
  <c r="Q146" i="23"/>
  <c r="Q144" i="23"/>
  <c r="Q142" i="23"/>
  <c r="Q140" i="23"/>
  <c r="Q138" i="23"/>
  <c r="Q136" i="23"/>
  <c r="Q134" i="23"/>
  <c r="Q132" i="23"/>
  <c r="Q130" i="23"/>
  <c r="Q128" i="23"/>
  <c r="Q126" i="23"/>
  <c r="Q124" i="23"/>
  <c r="Q122" i="23"/>
  <c r="Q120" i="23"/>
  <c r="Q118" i="23"/>
  <c r="Q116" i="23"/>
  <c r="Q114" i="23"/>
  <c r="Q112" i="23"/>
  <c r="Q110" i="23"/>
  <c r="Q108" i="23"/>
  <c r="Q106" i="23"/>
  <c r="Q104" i="23"/>
  <c r="Q101" i="23"/>
  <c r="Q97" i="23"/>
  <c r="Q93" i="23"/>
  <c r="Q87" i="23"/>
  <c r="Q71" i="23"/>
  <c r="Q55" i="23"/>
  <c r="Q31" i="23"/>
  <c r="Q83" i="23"/>
  <c r="Q75" i="23"/>
  <c r="Q67" i="23"/>
  <c r="Q59" i="23"/>
  <c r="Q51" i="23"/>
  <c r="Q39" i="23"/>
  <c r="Q23" i="23"/>
  <c r="Q89" i="23"/>
  <c r="Q85" i="23"/>
  <c r="Q81" i="23"/>
  <c r="Q77" i="23"/>
  <c r="Q73" i="23"/>
  <c r="Q69" i="23"/>
  <c r="Q65" i="23"/>
  <c r="Q61" i="23"/>
  <c r="Q57" i="23"/>
  <c r="Q53" i="23"/>
  <c r="Q49" i="23"/>
  <c r="Q43" i="23"/>
  <c r="Q35" i="23"/>
  <c r="Q27" i="23"/>
  <c r="Q19" i="23"/>
  <c r="Q102" i="23"/>
  <c r="Q100" i="23"/>
  <c r="Q98" i="23"/>
  <c r="Q96" i="23"/>
  <c r="Q94" i="23"/>
  <c r="Q92" i="23"/>
  <c r="Q90" i="23"/>
  <c r="Q88" i="23"/>
  <c r="Q86" i="23"/>
  <c r="Q84" i="23"/>
  <c r="Q82" i="23"/>
  <c r="Q80" i="23"/>
  <c r="Q78" i="23"/>
  <c r="Q76" i="23"/>
  <c r="Q74" i="23"/>
  <c r="Q72" i="23"/>
  <c r="Q70" i="23"/>
  <c r="Q68" i="23"/>
  <c r="Q66" i="23"/>
  <c r="Q64" i="23"/>
  <c r="Q62" i="23"/>
  <c r="Q60" i="23"/>
  <c r="Q58" i="23"/>
  <c r="Q56" i="23"/>
  <c r="Q54" i="23"/>
  <c r="Q52" i="23"/>
  <c r="Q50" i="23"/>
  <c r="Q48" i="23"/>
  <c r="Q45" i="23"/>
  <c r="Q41" i="23"/>
  <c r="Q37" i="23"/>
  <c r="Q33" i="23"/>
  <c r="Q29" i="23"/>
  <c r="Q25" i="23"/>
  <c r="Q21" i="23"/>
  <c r="Q17" i="23"/>
  <c r="AD381" i="18"/>
  <c r="AD382" i="18"/>
  <c r="AD383" i="18"/>
  <c r="S23" i="22"/>
  <c r="R23" i="22" s="1"/>
  <c r="P23" i="22" s="1"/>
  <c r="V23" i="22" s="1"/>
  <c r="S29" i="22"/>
  <c r="R29" i="22" s="1"/>
  <c r="P29" i="22" s="1"/>
  <c r="S33" i="22"/>
  <c r="R33" i="22" s="1"/>
  <c r="P33" i="22" s="1"/>
  <c r="V33" i="22" s="1"/>
  <c r="S37" i="22"/>
  <c r="R37" i="22" s="1"/>
  <c r="P37" i="22" s="1"/>
  <c r="V37" i="22" s="1"/>
  <c r="S45" i="22"/>
  <c r="R45" i="22" s="1"/>
  <c r="P45" i="22" s="1"/>
  <c r="V45" i="22" s="1"/>
  <c r="S57" i="22"/>
  <c r="R57" i="22" s="1"/>
  <c r="P57" i="22" s="1"/>
  <c r="V57" i="22" s="1"/>
  <c r="S61" i="22"/>
  <c r="R61" i="22" s="1"/>
  <c r="P61" i="22" s="1"/>
  <c r="V61" i="22" s="1"/>
  <c r="S73" i="22"/>
  <c r="R73" i="22" s="1"/>
  <c r="P73" i="22" s="1"/>
  <c r="V73" i="22" s="1"/>
  <c r="S85" i="22"/>
  <c r="R85" i="22" s="1"/>
  <c r="P85" i="22" s="1"/>
  <c r="V85" i="22" s="1"/>
  <c r="S89" i="22"/>
  <c r="R89" i="22" s="1"/>
  <c r="P89" i="22" s="1"/>
  <c r="V89" i="22" s="1"/>
  <c r="S101" i="22"/>
  <c r="R101" i="22" s="1"/>
  <c r="P101" i="22" s="1"/>
  <c r="V101" i="22" s="1"/>
  <c r="S105" i="22"/>
  <c r="R105" i="22" s="1"/>
  <c r="P105" i="22" s="1"/>
  <c r="V105" i="22" s="1"/>
  <c r="S109" i="22"/>
  <c r="R109" i="22" s="1"/>
  <c r="P109" i="22" s="1"/>
  <c r="V109" i="22" s="1"/>
  <c r="S113" i="22"/>
  <c r="R113" i="22" s="1"/>
  <c r="P113" i="22" s="1"/>
  <c r="V113" i="22" s="1"/>
  <c r="S121" i="22"/>
  <c r="R121" i="22" s="1"/>
  <c r="P121" i="22" s="1"/>
  <c r="V121" i="22" s="1"/>
  <c r="S125" i="22"/>
  <c r="R125" i="22" s="1"/>
  <c r="P125" i="22" s="1"/>
  <c r="V125" i="22" s="1"/>
  <c r="S129" i="22"/>
  <c r="R129" i="22" s="1"/>
  <c r="P129" i="22" s="1"/>
  <c r="V129" i="22" s="1"/>
  <c r="S137" i="22"/>
  <c r="R137" i="22" s="1"/>
  <c r="P137" i="22" s="1"/>
  <c r="V137" i="22" s="1"/>
  <c r="S145" i="22"/>
  <c r="R145" i="22" s="1"/>
  <c r="P145" i="22" s="1"/>
  <c r="V145" i="22" s="1"/>
  <c r="S149" i="22"/>
  <c r="R149" i="22" s="1"/>
  <c r="P149" i="22" s="1"/>
  <c r="S161" i="22"/>
  <c r="R161" i="22" s="1"/>
  <c r="P161" i="22" s="1"/>
  <c r="V161" i="22" s="1"/>
  <c r="S169" i="22"/>
  <c r="R169" i="22" s="1"/>
  <c r="P169" i="22" s="1"/>
  <c r="V169" i="22" s="1"/>
  <c r="S189" i="22"/>
  <c r="R189" i="22" s="1"/>
  <c r="P189" i="22" s="1"/>
  <c r="V189" i="22" s="1"/>
  <c r="S193" i="22"/>
  <c r="R193" i="22" s="1"/>
  <c r="P193" i="22" s="1"/>
  <c r="V193" i="22" s="1"/>
  <c r="S209" i="22"/>
  <c r="R209" i="22" s="1"/>
  <c r="P209" i="22" s="1"/>
  <c r="V209" i="22" s="1"/>
  <c r="S217" i="22"/>
  <c r="R217" i="22" s="1"/>
  <c r="P217" i="22" s="1"/>
  <c r="V217" i="22" s="1"/>
  <c r="S237" i="22"/>
  <c r="R237" i="22" s="1"/>
  <c r="P237" i="22" s="1"/>
  <c r="V237" i="22" s="1"/>
  <c r="AH39" i="7"/>
  <c r="V241" i="22"/>
  <c r="S245" i="22"/>
  <c r="R245" i="22" s="1"/>
  <c r="P245" i="22" s="1"/>
  <c r="V245" i="22" s="1"/>
  <c r="S257" i="22"/>
  <c r="R257" i="22" s="1"/>
  <c r="P257" i="22" s="1"/>
  <c r="V257" i="22" s="1"/>
  <c r="S261" i="22"/>
  <c r="R261" i="22" s="1"/>
  <c r="P261" i="22" s="1"/>
  <c r="V261" i="22" s="1"/>
  <c r="S269" i="22"/>
  <c r="R269" i="22" s="1"/>
  <c r="P269" i="22" s="1"/>
  <c r="V269" i="22" s="1"/>
  <c r="S273" i="22"/>
  <c r="R273" i="22" s="1"/>
  <c r="P273" i="22" s="1"/>
  <c r="V273" i="22" s="1"/>
  <c r="S297" i="22"/>
  <c r="R297" i="22" s="1"/>
  <c r="P297" i="22" s="1"/>
  <c r="V297" i="22" s="1"/>
  <c r="S309" i="22"/>
  <c r="R309" i="22" s="1"/>
  <c r="P309" i="22" s="1"/>
  <c r="V309" i="22" s="1"/>
  <c r="S317" i="22"/>
  <c r="R317" i="22" s="1"/>
  <c r="P317" i="22" s="1"/>
  <c r="V317" i="22" s="1"/>
  <c r="AH42" i="7"/>
  <c r="V333" i="22"/>
  <c r="S337" i="22"/>
  <c r="R337" i="22" s="1"/>
  <c r="P337" i="22" s="1"/>
  <c r="V337" i="22" s="1"/>
  <c r="S341" i="22"/>
  <c r="R341" i="22" s="1"/>
  <c r="P341" i="22" s="1"/>
  <c r="V341" i="22" s="1"/>
  <c r="S349" i="22"/>
  <c r="R349" i="22" s="1"/>
  <c r="P349" i="22" s="1"/>
  <c r="V349" i="22" s="1"/>
  <c r="S353" i="22"/>
  <c r="R353" i="22" s="1"/>
  <c r="P353" i="22" s="1"/>
  <c r="V353" i="22" s="1"/>
  <c r="S357" i="22"/>
  <c r="R357" i="22" s="1"/>
  <c r="P357" i="22" s="1"/>
  <c r="V357" i="22" s="1"/>
  <c r="S361" i="22"/>
  <c r="R361" i="22" s="1"/>
  <c r="P361" i="22" s="1"/>
  <c r="V361" i="22" s="1"/>
  <c r="S365" i="22"/>
  <c r="R365" i="22" s="1"/>
  <c r="P365" i="22" s="1"/>
  <c r="V365" i="22" s="1"/>
  <c r="AG17" i="22"/>
  <c r="AF17" i="22" s="1"/>
  <c r="AD17" i="22" s="1"/>
  <c r="AI381" i="22"/>
  <c r="AI383" i="22"/>
  <c r="AH15" i="22"/>
  <c r="AI382" i="22"/>
  <c r="AG23" i="22"/>
  <c r="AF23" i="22" s="1"/>
  <c r="AD23" i="22" s="1"/>
  <c r="AG27" i="22"/>
  <c r="AF27" i="22" s="1"/>
  <c r="AD27" i="22" s="1"/>
  <c r="AG31" i="22"/>
  <c r="AF31" i="22" s="1"/>
  <c r="AD31" i="22" s="1"/>
  <c r="AG35" i="22"/>
  <c r="AF35" i="22" s="1"/>
  <c r="AD35" i="22" s="1"/>
  <c r="AG43" i="22"/>
  <c r="AF43" i="22" s="1"/>
  <c r="AD43" i="22" s="1"/>
  <c r="AG51" i="22"/>
  <c r="AF51" i="22" s="1"/>
  <c r="AD51" i="22" s="1"/>
  <c r="AG59" i="22"/>
  <c r="AF59" i="22" s="1"/>
  <c r="AD59" i="22" s="1"/>
  <c r="AG71" i="22"/>
  <c r="AF71" i="22" s="1"/>
  <c r="AD71" i="22" s="1"/>
  <c r="AG75" i="22"/>
  <c r="AF75" i="22" s="1"/>
  <c r="AD75" i="22" s="1"/>
  <c r="AG87" i="22"/>
  <c r="AF87" i="22" s="1"/>
  <c r="AD87" i="22" s="1"/>
  <c r="AG95" i="22"/>
  <c r="AF95" i="22" s="1"/>
  <c r="AD95" i="22" s="1"/>
  <c r="AG99" i="22"/>
  <c r="AF99" i="22" s="1"/>
  <c r="AD99" i="22" s="1"/>
  <c r="AG107" i="22"/>
  <c r="AF107" i="22" s="1"/>
  <c r="AD107" i="22" s="1"/>
  <c r="AG111" i="22"/>
  <c r="AF111" i="22" s="1"/>
  <c r="AD111" i="22" s="1"/>
  <c r="AG127" i="22"/>
  <c r="AF127" i="22" s="1"/>
  <c r="AD127" i="22" s="1"/>
  <c r="AG131" i="22"/>
  <c r="AF131" i="22" s="1"/>
  <c r="AD131" i="22" s="1"/>
  <c r="AG139" i="22"/>
  <c r="AF139" i="22" s="1"/>
  <c r="AD139" i="22" s="1"/>
  <c r="AG163" i="22"/>
  <c r="AF163" i="22" s="1"/>
  <c r="AD163" i="22" s="1"/>
  <c r="AG171" i="22"/>
  <c r="AF171" i="22" s="1"/>
  <c r="AD171" i="22" s="1"/>
  <c r="AG183" i="22"/>
  <c r="AF183" i="22" s="1"/>
  <c r="AD183" i="22" s="1"/>
  <c r="AG191" i="22"/>
  <c r="AF191" i="22" s="1"/>
  <c r="AD191" i="22" s="1"/>
  <c r="AG195" i="22"/>
  <c r="AF195" i="22" s="1"/>
  <c r="AD195" i="22" s="1"/>
  <c r="AG207" i="22"/>
  <c r="AF207" i="22" s="1"/>
  <c r="AD207" i="22" s="1"/>
  <c r="AG219" i="22"/>
  <c r="AF219" i="22" s="1"/>
  <c r="AD219" i="22" s="1"/>
  <c r="AG231" i="22"/>
  <c r="AF231" i="22" s="1"/>
  <c r="AD231" i="22" s="1"/>
  <c r="AG247" i="22"/>
  <c r="AF247" i="22" s="1"/>
  <c r="AD247" i="22" s="1"/>
  <c r="AG255" i="22"/>
  <c r="AF255" i="22" s="1"/>
  <c r="AD255" i="22" s="1"/>
  <c r="AG263" i="22"/>
  <c r="AF263" i="22" s="1"/>
  <c r="AD263" i="22" s="1"/>
  <c r="AG275" i="22"/>
  <c r="AF275" i="22" s="1"/>
  <c r="AD275" i="22" s="1"/>
  <c r="AG279" i="22"/>
  <c r="AF279" i="22" s="1"/>
  <c r="AD279" i="22" s="1"/>
  <c r="AG291" i="22"/>
  <c r="AF291" i="22" s="1"/>
  <c r="AD291" i="22" s="1"/>
  <c r="AG295" i="22"/>
  <c r="AF295" i="22" s="1"/>
  <c r="AD295" i="22" s="1"/>
  <c r="AG303" i="22"/>
  <c r="AF303" i="22" s="1"/>
  <c r="AD303" i="22" s="1"/>
  <c r="AG315" i="22"/>
  <c r="AF315" i="22" s="1"/>
  <c r="AD315" i="22" s="1"/>
  <c r="AG343" i="22"/>
  <c r="AF343" i="22" s="1"/>
  <c r="AD343" i="22" s="1"/>
  <c r="AG347" i="22"/>
  <c r="AF347" i="22" s="1"/>
  <c r="AD347" i="22" s="1"/>
  <c r="AG355" i="22"/>
  <c r="AF355" i="22" s="1"/>
  <c r="AD355" i="22" s="1"/>
  <c r="AG363" i="22"/>
  <c r="AF363" i="22" s="1"/>
  <c r="AD363" i="22" s="1"/>
  <c r="AG367" i="22"/>
  <c r="AF367" i="22" s="1"/>
  <c r="AD367" i="22" s="1"/>
  <c r="AG371" i="22"/>
  <c r="AF371" i="22" s="1"/>
  <c r="AD371" i="22" s="1"/>
  <c r="AH379" i="22"/>
  <c r="AG379" i="22" s="1"/>
  <c r="AF379" i="22" s="1"/>
  <c r="AD379" i="22" s="1"/>
  <c r="AI12" i="23"/>
  <c r="V383" i="18"/>
  <c r="V381" i="18"/>
  <c r="B65" i="19"/>
  <c r="V382" i="18"/>
  <c r="Q46" i="23"/>
  <c r="Q44" i="23"/>
  <c r="Q42" i="23"/>
  <c r="Q40" i="23"/>
  <c r="Q38" i="23"/>
  <c r="Q36" i="23"/>
  <c r="Q34" i="23"/>
  <c r="Q32" i="23"/>
  <c r="Q30" i="23"/>
  <c r="Q28" i="23"/>
  <c r="Q26" i="23"/>
  <c r="Q24" i="23"/>
  <c r="Q22" i="23"/>
  <c r="Q20" i="23"/>
  <c r="Q15" i="23"/>
  <c r="Q18" i="23"/>
  <c r="S21" i="22"/>
  <c r="R21" i="22" s="1"/>
  <c r="P21" i="22" s="1"/>
  <c r="V21" i="22" s="1"/>
  <c r="S30" i="22"/>
  <c r="R30" i="22" s="1"/>
  <c r="P30" i="22" s="1"/>
  <c r="V30" i="22" s="1"/>
  <c r="S50" i="22"/>
  <c r="R50" i="22" s="1"/>
  <c r="P50" i="22" s="1"/>
  <c r="V50" i="22" s="1"/>
  <c r="S78" i="22"/>
  <c r="R78" i="22" s="1"/>
  <c r="P78" i="22" s="1"/>
  <c r="V78" i="22" s="1"/>
  <c r="S86" i="22"/>
  <c r="R86" i="22" s="1"/>
  <c r="P86" i="22" s="1"/>
  <c r="V86" i="22" s="1"/>
  <c r="S90" i="22"/>
  <c r="R90" i="22" s="1"/>
  <c r="P90" i="22" s="1"/>
  <c r="V90" i="22" s="1"/>
  <c r="S98" i="22"/>
  <c r="R98" i="22" s="1"/>
  <c r="P98" i="22" s="1"/>
  <c r="V98" i="22" s="1"/>
  <c r="S102" i="22"/>
  <c r="R102" i="22" s="1"/>
  <c r="P102" i="22" s="1"/>
  <c r="V102" i="22" s="1"/>
  <c r="S110" i="22"/>
  <c r="R110" i="22" s="1"/>
  <c r="P110" i="22" s="1"/>
  <c r="V110" i="22" s="1"/>
  <c r="S114" i="22"/>
  <c r="R114" i="22" s="1"/>
  <c r="P114" i="22" s="1"/>
  <c r="V114" i="22" s="1"/>
  <c r="S118" i="22"/>
  <c r="R118" i="22" s="1"/>
  <c r="P118" i="22" s="1"/>
  <c r="V118" i="22" s="1"/>
  <c r="S130" i="22"/>
  <c r="R130" i="22" s="1"/>
  <c r="P130" i="22" s="1"/>
  <c r="V130" i="22" s="1"/>
  <c r="S142" i="22"/>
  <c r="R142" i="22" s="1"/>
  <c r="P142" i="22" s="1"/>
  <c r="V142" i="22" s="1"/>
  <c r="S146" i="22"/>
  <c r="R146" i="22" s="1"/>
  <c r="P146" i="22" s="1"/>
  <c r="V146" i="22" s="1"/>
  <c r="S150" i="22"/>
  <c r="R150" i="22" s="1"/>
  <c r="P150" i="22" s="1"/>
  <c r="V150" i="22" s="1"/>
  <c r="S154" i="22"/>
  <c r="R154" i="22" s="1"/>
  <c r="P154" i="22" s="1"/>
  <c r="V154" i="22" s="1"/>
  <c r="S158" i="22"/>
  <c r="R158" i="22" s="1"/>
  <c r="P158" i="22" s="1"/>
  <c r="V158" i="22" s="1"/>
  <c r="S166" i="22"/>
  <c r="R166" i="22" s="1"/>
  <c r="P166" i="22" s="1"/>
  <c r="V166" i="22" s="1"/>
  <c r="S178" i="22"/>
  <c r="R178" i="22" s="1"/>
  <c r="P178" i="22" s="1"/>
  <c r="V178" i="22" s="1"/>
  <c r="S182" i="22"/>
  <c r="R182" i="22" s="1"/>
  <c r="P182" i="22" s="1"/>
  <c r="V182" i="22" s="1"/>
  <c r="S190" i="22"/>
  <c r="R190" i="22" s="1"/>
  <c r="P190" i="22" s="1"/>
  <c r="V190" i="22" s="1"/>
  <c r="S194" i="22"/>
  <c r="R194" i="22" s="1"/>
  <c r="P194" i="22" s="1"/>
  <c r="V194" i="22" s="1"/>
  <c r="S198" i="22"/>
  <c r="R198" i="22" s="1"/>
  <c r="P198" i="22" s="1"/>
  <c r="V198" i="22" s="1"/>
  <c r="S202" i="22"/>
  <c r="R202" i="22" s="1"/>
  <c r="P202" i="22" s="1"/>
  <c r="V202" i="22" s="1"/>
  <c r="S210" i="22"/>
  <c r="R210" i="22" s="1"/>
  <c r="P210" i="22" s="1"/>
  <c r="S218" i="22"/>
  <c r="R218" i="22" s="1"/>
  <c r="P218" i="22" s="1"/>
  <c r="V218" i="22" s="1"/>
  <c r="S226" i="22"/>
  <c r="R226" i="22" s="1"/>
  <c r="P226" i="22" s="1"/>
  <c r="V226" i="22" s="1"/>
  <c r="S230" i="22"/>
  <c r="R230" i="22" s="1"/>
  <c r="P230" i="22" s="1"/>
  <c r="V230" i="22" s="1"/>
  <c r="S234" i="22"/>
  <c r="R234" i="22" s="1"/>
  <c r="P234" i="22" s="1"/>
  <c r="V234" i="22" s="1"/>
  <c r="S238" i="22"/>
  <c r="R238" i="22" s="1"/>
  <c r="P238" i="22" s="1"/>
  <c r="V238" i="22" s="1"/>
  <c r="S242" i="22"/>
  <c r="R242" i="22" s="1"/>
  <c r="P242" i="22" s="1"/>
  <c r="V242" i="22" s="1"/>
  <c r="S246" i="22"/>
  <c r="R246" i="22" s="1"/>
  <c r="P246" i="22" s="1"/>
  <c r="V246" i="22" s="1"/>
  <c r="S258" i="22"/>
  <c r="R258" i="22" s="1"/>
  <c r="P258" i="22" s="1"/>
  <c r="V258" i="22" s="1"/>
  <c r="S266" i="22"/>
  <c r="R266" i="22" s="1"/>
  <c r="P266" i="22" s="1"/>
  <c r="V266" i="22" s="1"/>
  <c r="S274" i="22"/>
  <c r="R274" i="22" s="1"/>
  <c r="P274" i="22" s="1"/>
  <c r="V274" i="22" s="1"/>
  <c r="S286" i="22"/>
  <c r="R286" i="22" s="1"/>
  <c r="P286" i="22" s="1"/>
  <c r="V286" i="22" s="1"/>
  <c r="AH41" i="7"/>
  <c r="V302" i="22"/>
  <c r="S314" i="22"/>
  <c r="R314" i="22" s="1"/>
  <c r="P314" i="22" s="1"/>
  <c r="V314" i="22" s="1"/>
  <c r="S326" i="22"/>
  <c r="R326" i="22" s="1"/>
  <c r="P326" i="22" s="1"/>
  <c r="V326" i="22" s="1"/>
  <c r="S330" i="22"/>
  <c r="R330" i="22" s="1"/>
  <c r="P330" i="22" s="1"/>
  <c r="V330" i="22" s="1"/>
  <c r="S334" i="22"/>
  <c r="R334" i="22" s="1"/>
  <c r="P334" i="22" s="1"/>
  <c r="V334" i="22" s="1"/>
  <c r="S342" i="22"/>
  <c r="R342" i="22" s="1"/>
  <c r="P342" i="22" s="1"/>
  <c r="V342" i="22" s="1"/>
  <c r="S346" i="22"/>
  <c r="R346" i="22" s="1"/>
  <c r="P346" i="22" s="1"/>
  <c r="V346" i="22" s="1"/>
  <c r="S350" i="22"/>
  <c r="R350" i="22" s="1"/>
  <c r="P350" i="22" s="1"/>
  <c r="V350" i="22" s="1"/>
  <c r="S374" i="22"/>
  <c r="R374" i="22" s="1"/>
  <c r="P374" i="22" s="1"/>
  <c r="V374" i="22" s="1"/>
  <c r="S378" i="22"/>
  <c r="R378" i="22" s="1"/>
  <c r="P378" i="22" s="1"/>
  <c r="V378" i="22" s="1"/>
  <c r="AG20" i="22"/>
  <c r="AF20" i="22" s="1"/>
  <c r="AD20" i="22" s="1"/>
  <c r="AG16" i="22"/>
  <c r="AF16" i="22" s="1"/>
  <c r="AD16" i="22" s="1"/>
  <c r="AG24" i="22"/>
  <c r="AF24" i="22" s="1"/>
  <c r="AD24" i="22" s="1"/>
  <c r="AG40" i="22"/>
  <c r="AF40" i="22" s="1"/>
  <c r="AD40" i="22" s="1"/>
  <c r="AG44" i="22"/>
  <c r="AF44" i="22" s="1"/>
  <c r="AD44" i="22" s="1"/>
  <c r="AG68" i="22"/>
  <c r="AF68" i="22" s="1"/>
  <c r="AD68" i="22" s="1"/>
  <c r="AG72" i="22"/>
  <c r="AF72" i="22" s="1"/>
  <c r="AD72" i="22" s="1"/>
  <c r="AG76" i="22"/>
  <c r="AF76" i="22" s="1"/>
  <c r="AD76" i="22" s="1"/>
  <c r="AG80" i="22"/>
  <c r="AF80" i="22" s="1"/>
  <c r="AD80" i="22" s="1"/>
  <c r="AG84" i="22"/>
  <c r="AF84" i="22" s="1"/>
  <c r="AD84" i="22" s="1"/>
  <c r="AG88" i="22"/>
  <c r="AF88" i="22" s="1"/>
  <c r="AD88" i="22" s="1"/>
  <c r="AG92" i="22"/>
  <c r="AF92" i="22" s="1"/>
  <c r="AD92" i="22" s="1"/>
  <c r="AG100" i="22"/>
  <c r="AF100" i="22" s="1"/>
  <c r="AD100" i="22" s="1"/>
  <c r="AG112" i="22"/>
  <c r="AF112" i="22" s="1"/>
  <c r="AD112" i="22" s="1"/>
  <c r="AG128" i="22"/>
  <c r="AF128" i="22" s="1"/>
  <c r="AD128" i="22" s="1"/>
  <c r="AG136" i="22"/>
  <c r="AF136" i="22" s="1"/>
  <c r="AD136" i="22" s="1"/>
  <c r="AG148" i="22"/>
  <c r="AF148" i="22" s="1"/>
  <c r="AD148" i="22" s="1"/>
  <c r="AG152" i="22"/>
  <c r="AF152" i="22" s="1"/>
  <c r="AD152" i="22" s="1"/>
  <c r="AG160" i="22"/>
  <c r="AF160" i="22" s="1"/>
  <c r="AD160" i="22" s="1"/>
  <c r="AG164" i="22"/>
  <c r="AF164" i="22" s="1"/>
  <c r="AD164" i="22" s="1"/>
  <c r="AG168" i="22"/>
  <c r="AF168" i="22" s="1"/>
  <c r="AD168" i="22" s="1"/>
  <c r="AG172" i="22"/>
  <c r="AF172" i="22" s="1"/>
  <c r="AD172" i="22" s="1"/>
  <c r="AG180" i="22"/>
  <c r="AF180" i="22" s="1"/>
  <c r="AD180" i="22" s="1"/>
  <c r="AG184" i="22"/>
  <c r="AF184" i="22" s="1"/>
  <c r="AD184" i="22" s="1"/>
  <c r="AG192" i="22"/>
  <c r="AF192" i="22" s="1"/>
  <c r="AD192" i="22" s="1"/>
  <c r="AG204" i="22"/>
  <c r="AF204" i="22" s="1"/>
  <c r="AD204" i="22" s="1"/>
  <c r="AG212" i="22"/>
  <c r="AF212" i="22" s="1"/>
  <c r="AD212" i="22" s="1"/>
  <c r="AG220" i="22"/>
  <c r="AF220" i="22" s="1"/>
  <c r="AD220" i="22" s="1"/>
  <c r="AG240" i="22"/>
  <c r="AF240" i="22" s="1"/>
  <c r="AD240" i="22" s="1"/>
  <c r="AG248" i="22"/>
  <c r="AF248" i="22" s="1"/>
  <c r="AD248" i="22" s="1"/>
  <c r="AG260" i="22"/>
  <c r="AF260" i="22" s="1"/>
  <c r="AD260" i="22" s="1"/>
  <c r="AG272" i="22"/>
  <c r="AF272" i="22" s="1"/>
  <c r="AD272" i="22" s="1"/>
  <c r="AG296" i="22"/>
  <c r="AF296" i="22" s="1"/>
  <c r="AD296" i="22" s="1"/>
  <c r="AG300" i="22"/>
  <c r="AF300" i="22" s="1"/>
  <c r="AD300" i="22" s="1"/>
  <c r="AG304" i="22"/>
  <c r="AF304" i="22" s="1"/>
  <c r="AD304" i="22" s="1"/>
  <c r="AG324" i="22"/>
  <c r="AF324" i="22" s="1"/>
  <c r="AD324" i="22" s="1"/>
  <c r="AG332" i="22"/>
  <c r="AF332" i="22" s="1"/>
  <c r="AD332" i="22" s="1"/>
  <c r="AG336" i="22"/>
  <c r="AF336" i="22" s="1"/>
  <c r="AD336" i="22" s="1"/>
  <c r="AG340" i="22"/>
  <c r="AF340" i="22" s="1"/>
  <c r="AD340" i="22" s="1"/>
  <c r="AG352" i="22"/>
  <c r="AF352" i="22" s="1"/>
  <c r="AD352" i="22" s="1"/>
  <c r="AG360" i="22"/>
  <c r="AF360" i="22" s="1"/>
  <c r="AD360" i="22" s="1"/>
  <c r="AG364" i="22"/>
  <c r="AF364" i="22" s="1"/>
  <c r="AD364" i="22" s="1"/>
  <c r="AG368" i="22"/>
  <c r="AF368" i="22" s="1"/>
  <c r="AD368" i="22" s="1"/>
  <c r="AG372" i="22"/>
  <c r="AF372" i="22" s="1"/>
  <c r="AD372" i="22" s="1"/>
  <c r="S19" i="22"/>
  <c r="R19" i="22" s="1"/>
  <c r="P19" i="22" s="1"/>
  <c r="V19" i="22" s="1"/>
  <c r="S16" i="22"/>
  <c r="R16" i="22" s="1"/>
  <c r="P16" i="22" s="1"/>
  <c r="V16" i="22" s="1"/>
  <c r="S27" i="22"/>
  <c r="R27" i="22" s="1"/>
  <c r="P27" i="22" s="1"/>
  <c r="V27" i="22" s="1"/>
  <c r="S51" i="22"/>
  <c r="R51" i="22" s="1"/>
  <c r="P51" i="22" s="1"/>
  <c r="V51" i="22" s="1"/>
  <c r="S55" i="22"/>
  <c r="R55" i="22" s="1"/>
  <c r="P55" i="22" s="1"/>
  <c r="V55" i="22" s="1"/>
  <c r="S59" i="22"/>
  <c r="R59" i="22" s="1"/>
  <c r="P59" i="22" s="1"/>
  <c r="V59" i="22" s="1"/>
  <c r="S63" i="22"/>
  <c r="R63" i="22" s="1"/>
  <c r="P63" i="22" s="1"/>
  <c r="V63" i="22" s="1"/>
  <c r="S71" i="22"/>
  <c r="R71" i="22" s="1"/>
  <c r="P71" i="22" s="1"/>
  <c r="V71" i="22" s="1"/>
  <c r="S75" i="22"/>
  <c r="R75" i="22" s="1"/>
  <c r="P75" i="22" s="1"/>
  <c r="V75" i="22" s="1"/>
  <c r="S79" i="22"/>
  <c r="R79" i="22" s="1"/>
  <c r="P79" i="22" s="1"/>
  <c r="V79" i="22" s="1"/>
  <c r="S87" i="22"/>
  <c r="R87" i="22" s="1"/>
  <c r="P87" i="22" s="1"/>
  <c r="V87" i="22" s="1"/>
  <c r="S91" i="22"/>
  <c r="R91" i="22" s="1"/>
  <c r="P91" i="22" s="1"/>
  <c r="V91" i="22" s="1"/>
  <c r="S95" i="22"/>
  <c r="R95" i="22" s="1"/>
  <c r="P95" i="22" s="1"/>
  <c r="V95" i="22" s="1"/>
  <c r="S99" i="22"/>
  <c r="R99" i="22" s="1"/>
  <c r="P99" i="22" s="1"/>
  <c r="V99" i="22" s="1"/>
  <c r="S103" i="22"/>
  <c r="R103" i="22" s="1"/>
  <c r="P103" i="22" s="1"/>
  <c r="V103" i="22" s="1"/>
  <c r="S111" i="22"/>
  <c r="R111" i="22" s="1"/>
  <c r="P111" i="22" s="1"/>
  <c r="V111" i="22" s="1"/>
  <c r="S119" i="22"/>
  <c r="R119" i="22" s="1"/>
  <c r="P119" i="22" s="1"/>
  <c r="S123" i="22"/>
  <c r="R123" i="22" s="1"/>
  <c r="P123" i="22" s="1"/>
  <c r="V123" i="22" s="1"/>
  <c r="S131" i="22"/>
  <c r="R131" i="22" s="1"/>
  <c r="P131" i="22" s="1"/>
  <c r="V131" i="22" s="1"/>
  <c r="S135" i="22"/>
  <c r="R135" i="22" s="1"/>
  <c r="P135" i="22" s="1"/>
  <c r="V135" i="22" s="1"/>
  <c r="S139" i="22"/>
  <c r="R139" i="22" s="1"/>
  <c r="P139" i="22" s="1"/>
  <c r="V139" i="22" s="1"/>
  <c r="S151" i="22"/>
  <c r="R151" i="22" s="1"/>
  <c r="P151" i="22" s="1"/>
  <c r="V151" i="22" s="1"/>
  <c r="S163" i="22"/>
  <c r="R163" i="22" s="1"/>
  <c r="P163" i="22" s="1"/>
  <c r="V163" i="22" s="1"/>
  <c r="S167" i="22"/>
  <c r="R167" i="22" s="1"/>
  <c r="P167" i="22" s="1"/>
  <c r="V167" i="22" s="1"/>
  <c r="S179" i="22"/>
  <c r="R179" i="22" s="1"/>
  <c r="P179" i="22" s="1"/>
  <c r="V179" i="22" s="1"/>
  <c r="S187" i="22"/>
  <c r="R187" i="22" s="1"/>
  <c r="P187" i="22" s="1"/>
  <c r="V187" i="22" s="1"/>
  <c r="S203" i="22"/>
  <c r="R203" i="22" s="1"/>
  <c r="P203" i="22" s="1"/>
  <c r="V203" i="22" s="1"/>
  <c r="S211" i="22"/>
  <c r="R211" i="22" s="1"/>
  <c r="P211" i="22" s="1"/>
  <c r="V211" i="22" s="1"/>
  <c r="S227" i="22"/>
  <c r="R227" i="22" s="1"/>
  <c r="P227" i="22" s="1"/>
  <c r="V227" i="22" s="1"/>
  <c r="S239" i="22"/>
  <c r="R239" i="22" s="1"/>
  <c r="P239" i="22" s="1"/>
  <c r="V239" i="22" s="1"/>
  <c r="S251" i="22"/>
  <c r="R251" i="22" s="1"/>
  <c r="P251" i="22" s="1"/>
  <c r="V251" i="22" s="1"/>
  <c r="S271" i="22"/>
  <c r="R271" i="22" s="1"/>
  <c r="P271" i="22" s="1"/>
  <c r="V271" i="22" s="1"/>
  <c r="S287" i="22"/>
  <c r="R287" i="22" s="1"/>
  <c r="P287" i="22" s="1"/>
  <c r="V287" i="22" s="1"/>
  <c r="S295" i="22"/>
  <c r="R295" i="22" s="1"/>
  <c r="P295" i="22" s="1"/>
  <c r="V295" i="22" s="1"/>
  <c r="S303" i="22"/>
  <c r="R303" i="22" s="1"/>
  <c r="P303" i="22" s="1"/>
  <c r="V303" i="22" s="1"/>
  <c r="S315" i="22"/>
  <c r="R315" i="22" s="1"/>
  <c r="P315" i="22" s="1"/>
  <c r="V315" i="22" s="1"/>
  <c r="S323" i="22"/>
  <c r="R323" i="22" s="1"/>
  <c r="P323" i="22" s="1"/>
  <c r="V323" i="22" s="1"/>
  <c r="S331" i="22"/>
  <c r="R331" i="22" s="1"/>
  <c r="P331" i="22" s="1"/>
  <c r="V331" i="22" s="1"/>
  <c r="S335" i="22"/>
  <c r="R335" i="22" s="1"/>
  <c r="P335" i="22" s="1"/>
  <c r="V335" i="22" s="1"/>
  <c r="S351" i="22"/>
  <c r="R351" i="22" s="1"/>
  <c r="P351" i="22" s="1"/>
  <c r="V351" i="22" s="1"/>
  <c r="AH43" i="7"/>
  <c r="V363" i="22"/>
  <c r="S371" i="22"/>
  <c r="R371" i="22" s="1"/>
  <c r="P371" i="22" s="1"/>
  <c r="V371" i="22" s="1"/>
  <c r="S375" i="22"/>
  <c r="R375" i="22" s="1"/>
  <c r="P375" i="22" s="1"/>
  <c r="V375" i="22" s="1"/>
  <c r="U12" i="23"/>
  <c r="AN16" i="7"/>
  <c r="AT11" i="7" s="1"/>
  <c r="U11" i="23" s="1"/>
  <c r="T379" i="22"/>
  <c r="S379" i="22" s="1"/>
  <c r="R379" i="22" s="1"/>
  <c r="P379" i="22" s="1"/>
  <c r="AG21" i="22"/>
  <c r="AF21" i="22" s="1"/>
  <c r="AD21" i="22" s="1"/>
  <c r="AG37" i="22"/>
  <c r="AF37" i="22" s="1"/>
  <c r="AD37" i="22" s="1"/>
  <c r="AG53" i="22"/>
  <c r="AF53" i="22" s="1"/>
  <c r="AD53" i="22" s="1"/>
  <c r="AG61" i="22"/>
  <c r="AF61" i="22" s="1"/>
  <c r="AD61" i="22" s="1"/>
  <c r="AG69" i="22"/>
  <c r="AF69" i="22" s="1"/>
  <c r="AD69" i="22" s="1"/>
  <c r="AG73" i="22"/>
  <c r="AF73" i="22" s="1"/>
  <c r="AD73" i="22" s="1"/>
  <c r="AG81" i="22"/>
  <c r="AF81" i="22" s="1"/>
  <c r="AD81" i="22" s="1"/>
  <c r="AG85" i="22"/>
  <c r="AF85" i="22" s="1"/>
  <c r="AD85" i="22" s="1"/>
  <c r="AG97" i="22"/>
  <c r="AF97" i="22" s="1"/>
  <c r="AD97" i="22" s="1"/>
  <c r="AG101" i="22"/>
  <c r="AF101" i="22" s="1"/>
  <c r="AD101" i="22" s="1"/>
  <c r="AG105" i="22"/>
  <c r="AF105" i="22" s="1"/>
  <c r="AD105" i="22" s="1"/>
  <c r="AG109" i="22"/>
  <c r="AF109" i="22" s="1"/>
  <c r="AD109" i="22" s="1"/>
  <c r="AG117" i="22"/>
  <c r="AF117" i="22" s="1"/>
  <c r="AD117" i="22" s="1"/>
  <c r="AG125" i="22"/>
  <c r="AF125" i="22" s="1"/>
  <c r="AD125" i="22" s="1"/>
  <c r="AG133" i="22"/>
  <c r="AF133" i="22" s="1"/>
  <c r="AD133" i="22" s="1"/>
  <c r="AG145" i="22"/>
  <c r="AF145" i="22" s="1"/>
  <c r="AD145" i="22" s="1"/>
  <c r="AG153" i="22"/>
  <c r="AF153" i="22" s="1"/>
  <c r="AD153" i="22" s="1"/>
  <c r="AG161" i="22"/>
  <c r="AF161" i="22" s="1"/>
  <c r="AD161" i="22" s="1"/>
  <c r="AG173" i="22"/>
  <c r="AF173" i="22" s="1"/>
  <c r="AD173" i="22" s="1"/>
  <c r="AG177" i="22"/>
  <c r="AF177" i="22" s="1"/>
  <c r="AD177" i="22" s="1"/>
  <c r="AG185" i="22"/>
  <c r="AF185" i="22" s="1"/>
  <c r="AD185" i="22" s="1"/>
  <c r="AG189" i="22"/>
  <c r="AF189" i="22" s="1"/>
  <c r="AD189" i="22" s="1"/>
  <c r="AG201" i="22"/>
  <c r="AF201" i="22" s="1"/>
  <c r="AD201" i="22" s="1"/>
  <c r="AG205" i="22"/>
  <c r="AF205" i="22" s="1"/>
  <c r="AD205" i="22" s="1"/>
  <c r="AG209" i="22"/>
  <c r="AF209" i="22" s="1"/>
  <c r="AD209" i="22" s="1"/>
  <c r="AG213" i="22"/>
  <c r="AF213" i="22" s="1"/>
  <c r="AD213" i="22" s="1"/>
  <c r="AG217" i="22"/>
  <c r="AF217" i="22" s="1"/>
  <c r="AD217" i="22" s="1"/>
  <c r="AG221" i="22"/>
  <c r="AF221" i="22" s="1"/>
  <c r="AD221" i="22" s="1"/>
  <c r="AG229" i="22"/>
  <c r="AF229" i="22" s="1"/>
  <c r="AD229" i="22" s="1"/>
  <c r="AG233" i="22"/>
  <c r="AF233" i="22" s="1"/>
  <c r="AD233" i="22" s="1"/>
  <c r="AG241" i="22"/>
  <c r="AF241" i="22" s="1"/>
  <c r="AD241" i="22" s="1"/>
  <c r="AG249" i="22"/>
  <c r="AF249" i="22" s="1"/>
  <c r="AD249" i="22" s="1"/>
  <c r="AG265" i="22"/>
  <c r="AF265" i="22" s="1"/>
  <c r="AD265" i="22" s="1"/>
  <c r="AG269" i="22"/>
  <c r="AF269" i="22" s="1"/>
  <c r="AD269" i="22" s="1"/>
  <c r="AG273" i="22"/>
  <c r="AF273" i="22" s="1"/>
  <c r="AD273" i="22" s="1"/>
  <c r="AG285" i="22"/>
  <c r="AF285" i="22" s="1"/>
  <c r="AD285" i="22" s="1"/>
  <c r="AG293" i="22"/>
  <c r="AF293" i="22" s="1"/>
  <c r="AD293" i="22" s="1"/>
  <c r="AG309" i="22"/>
  <c r="AF309" i="22" s="1"/>
  <c r="AD309" i="22" s="1"/>
  <c r="AG329" i="22"/>
  <c r="AF329" i="22" s="1"/>
  <c r="AD329" i="22" s="1"/>
  <c r="AG337" i="22"/>
  <c r="AF337" i="22" s="1"/>
  <c r="AD337" i="22" s="1"/>
  <c r="AG345" i="22"/>
  <c r="AF345" i="22" s="1"/>
  <c r="AD345" i="22" s="1"/>
  <c r="AG357" i="22"/>
  <c r="AF357" i="22" s="1"/>
  <c r="AD357" i="22" s="1"/>
  <c r="AG361" i="22"/>
  <c r="AF361" i="22" s="1"/>
  <c r="AD361" i="22" s="1"/>
  <c r="AG365" i="22"/>
  <c r="AF365" i="22" s="1"/>
  <c r="AD365" i="22" s="1"/>
  <c r="AG369" i="22"/>
  <c r="AF369" i="22" s="1"/>
  <c r="AD369" i="22" s="1"/>
  <c r="AG373" i="22"/>
  <c r="AF373" i="22" s="1"/>
  <c r="AD373" i="22" s="1"/>
  <c r="R382" i="20"/>
  <c r="R383" i="20"/>
  <c r="R381" i="20"/>
  <c r="P15" i="20"/>
  <c r="U382" i="22"/>
  <c r="U383" i="22"/>
  <c r="T15" i="22"/>
  <c r="U381" i="22"/>
  <c r="S28" i="22"/>
  <c r="R28" i="22" s="1"/>
  <c r="P28" i="22" s="1"/>
  <c r="V28" i="22" s="1"/>
  <c r="S36" i="22"/>
  <c r="R36" i="22" s="1"/>
  <c r="P36" i="22" s="1"/>
  <c r="V36" i="22" s="1"/>
  <c r="S52" i="22"/>
  <c r="R52" i="22" s="1"/>
  <c r="P52" i="22" s="1"/>
  <c r="V52" i="22" s="1"/>
  <c r="AH33" i="7"/>
  <c r="V60" i="22"/>
  <c r="S64" i="22"/>
  <c r="R64" i="22" s="1"/>
  <c r="P64" i="22" s="1"/>
  <c r="V64" i="22" s="1"/>
  <c r="S68" i="22"/>
  <c r="R68" i="22" s="1"/>
  <c r="P68" i="22" s="1"/>
  <c r="V68" i="22" s="1"/>
  <c r="S76" i="22"/>
  <c r="R76" i="22" s="1"/>
  <c r="P76" i="22" s="1"/>
  <c r="V76" i="22" s="1"/>
  <c r="S80" i="22"/>
  <c r="R80" i="22" s="1"/>
  <c r="P80" i="22" s="1"/>
  <c r="V80" i="22" s="1"/>
  <c r="S84" i="22"/>
  <c r="R84" i="22" s="1"/>
  <c r="P84" i="22" s="1"/>
  <c r="V84" i="22" s="1"/>
  <c r="AH34" i="7"/>
  <c r="V88" i="22"/>
  <c r="S92" i="22"/>
  <c r="R92" i="22" s="1"/>
  <c r="P92" i="22" s="1"/>
  <c r="V92" i="22" s="1"/>
  <c r="S96" i="22"/>
  <c r="R96" i="22" s="1"/>
  <c r="P96" i="22" s="1"/>
  <c r="V96" i="22" s="1"/>
  <c r="S104" i="22"/>
  <c r="R104" i="22" s="1"/>
  <c r="P104" i="22" s="1"/>
  <c r="V104" i="22" s="1"/>
  <c r="S116" i="22"/>
  <c r="R116" i="22" s="1"/>
  <c r="P116" i="22" s="1"/>
  <c r="V116" i="22" s="1"/>
  <c r="S124" i="22"/>
  <c r="R124" i="22" s="1"/>
  <c r="P124" i="22" s="1"/>
  <c r="V124" i="22" s="1"/>
  <c r="S128" i="22"/>
  <c r="R128" i="22" s="1"/>
  <c r="P128" i="22" s="1"/>
  <c r="V128" i="22" s="1"/>
  <c r="S132" i="22"/>
  <c r="R132" i="22" s="1"/>
  <c r="P132" i="22" s="1"/>
  <c r="V132" i="22" s="1"/>
  <c r="S136" i="22"/>
  <c r="R136" i="22" s="1"/>
  <c r="P136" i="22" s="1"/>
  <c r="V136" i="22" s="1"/>
  <c r="S156" i="22"/>
  <c r="R156" i="22" s="1"/>
  <c r="P156" i="22" s="1"/>
  <c r="V156" i="22" s="1"/>
  <c r="S160" i="22"/>
  <c r="R160" i="22" s="1"/>
  <c r="P160" i="22" s="1"/>
  <c r="V160" i="22" s="1"/>
  <c r="S164" i="22"/>
  <c r="R164" i="22" s="1"/>
  <c r="P164" i="22" s="1"/>
  <c r="V164" i="22" s="1"/>
  <c r="S172" i="22"/>
  <c r="R172" i="22" s="1"/>
  <c r="P172" i="22" s="1"/>
  <c r="V172" i="22" s="1"/>
  <c r="AH37" i="7"/>
  <c r="V180" i="22"/>
  <c r="S184" i="22"/>
  <c r="R184" i="22" s="1"/>
  <c r="P184" i="22" s="1"/>
  <c r="V184" i="22" s="1"/>
  <c r="S196" i="22"/>
  <c r="R196" i="22" s="1"/>
  <c r="P196" i="22" s="1"/>
  <c r="V196" i="22" s="1"/>
  <c r="S208" i="22"/>
  <c r="R208" i="22" s="1"/>
  <c r="P208" i="22" s="1"/>
  <c r="V208" i="22" s="1"/>
  <c r="S224" i="22"/>
  <c r="R224" i="22" s="1"/>
  <c r="P224" i="22" s="1"/>
  <c r="V224" i="22" s="1"/>
  <c r="S228" i="22"/>
  <c r="R228" i="22" s="1"/>
  <c r="P228" i="22" s="1"/>
  <c r="V228" i="22" s="1"/>
  <c r="S236" i="22"/>
  <c r="R236" i="22" s="1"/>
  <c r="P236" i="22" s="1"/>
  <c r="V236" i="22" s="1"/>
  <c r="S244" i="22"/>
  <c r="R244" i="22" s="1"/>
  <c r="P244" i="22" s="1"/>
  <c r="V244" i="22" s="1"/>
  <c r="S264" i="22"/>
  <c r="R264" i="22" s="1"/>
  <c r="P264" i="22" s="1"/>
  <c r="V264" i="22" s="1"/>
  <c r="S268" i="22"/>
  <c r="R268" i="22" s="1"/>
  <c r="P268" i="22" s="1"/>
  <c r="V268" i="22" s="1"/>
  <c r="AH40" i="7"/>
  <c r="V272" i="22"/>
  <c r="S276" i="22"/>
  <c r="R276" i="22" s="1"/>
  <c r="P276" i="22" s="1"/>
  <c r="V276" i="22" s="1"/>
  <c r="S300" i="22"/>
  <c r="R300" i="22" s="1"/>
  <c r="P300" i="22" s="1"/>
  <c r="V300" i="22" s="1"/>
  <c r="S304" i="22"/>
  <c r="R304" i="22" s="1"/>
  <c r="P304" i="22" s="1"/>
  <c r="V304" i="22" s="1"/>
  <c r="S308" i="22"/>
  <c r="R308" i="22" s="1"/>
  <c r="P308" i="22" s="1"/>
  <c r="V308" i="22" s="1"/>
  <c r="S312" i="22"/>
  <c r="R312" i="22" s="1"/>
  <c r="P312" i="22" s="1"/>
  <c r="V312" i="22" s="1"/>
  <c r="S320" i="22"/>
  <c r="R320" i="22" s="1"/>
  <c r="P320" i="22" s="1"/>
  <c r="V320" i="22" s="1"/>
  <c r="S336" i="22"/>
  <c r="R336" i="22" s="1"/>
  <c r="P336" i="22" s="1"/>
  <c r="V336" i="22" s="1"/>
  <c r="S356" i="22"/>
  <c r="R356" i="22" s="1"/>
  <c r="P356" i="22" s="1"/>
  <c r="V356" i="22" s="1"/>
  <c r="S364" i="22"/>
  <c r="R364" i="22" s="1"/>
  <c r="P364" i="22" s="1"/>
  <c r="V364" i="22" s="1"/>
  <c r="S368" i="22"/>
  <c r="R368" i="22" s="1"/>
  <c r="P368" i="22" s="1"/>
  <c r="V368" i="22" s="1"/>
  <c r="AG19" i="22"/>
  <c r="AF19" i="22" s="1"/>
  <c r="AD19" i="22" s="1"/>
  <c r="AG22" i="22"/>
  <c r="AF22" i="22" s="1"/>
  <c r="AD22" i="22" s="1"/>
  <c r="AG34" i="22"/>
  <c r="AF34" i="22" s="1"/>
  <c r="AD34" i="22" s="1"/>
  <c r="AG38" i="22"/>
  <c r="AF38" i="22" s="1"/>
  <c r="AD38" i="22" s="1"/>
  <c r="AG50" i="22"/>
  <c r="AF50" i="22" s="1"/>
  <c r="AD50" i="22" s="1"/>
  <c r="AG58" i="22"/>
  <c r="AF58" i="22" s="1"/>
  <c r="AD58" i="22" s="1"/>
  <c r="AG66" i="22"/>
  <c r="AF66" i="22" s="1"/>
  <c r="AD66" i="22" s="1"/>
  <c r="AG78" i="22"/>
  <c r="AF78" i="22" s="1"/>
  <c r="AD78" i="22" s="1"/>
  <c r="AG86" i="22"/>
  <c r="AF86" i="22" s="1"/>
  <c r="AD86" i="22" s="1"/>
  <c r="AG90" i="22"/>
  <c r="AF90" i="22" s="1"/>
  <c r="AD90" i="22" s="1"/>
  <c r="AG98" i="22"/>
  <c r="AF98" i="22" s="1"/>
  <c r="AD98" i="22" s="1"/>
  <c r="AG102" i="22"/>
  <c r="AF102" i="22" s="1"/>
  <c r="AD102" i="22" s="1"/>
  <c r="AG110" i="22"/>
  <c r="AF110" i="22" s="1"/>
  <c r="AD110" i="22" s="1"/>
  <c r="AG114" i="22"/>
  <c r="AF114" i="22" s="1"/>
  <c r="AD114" i="22" s="1"/>
  <c r="AG126" i="22"/>
  <c r="AF126" i="22" s="1"/>
  <c r="AD126" i="22" s="1"/>
  <c r="AG146" i="22"/>
  <c r="AF146" i="22" s="1"/>
  <c r="AD146" i="22" s="1"/>
  <c r="AG162" i="22"/>
  <c r="AF162" i="22" s="1"/>
  <c r="AD162" i="22" s="1"/>
  <c r="AG170" i="22"/>
  <c r="AF170" i="22" s="1"/>
  <c r="AD170" i="22" s="1"/>
  <c r="AG182" i="22"/>
  <c r="AF182" i="22" s="1"/>
  <c r="AD182" i="22" s="1"/>
  <c r="AG190" i="22"/>
  <c r="AF190" i="22" s="1"/>
  <c r="AD190" i="22" s="1"/>
  <c r="AG194" i="22"/>
  <c r="AF194" i="22" s="1"/>
  <c r="AD194" i="22" s="1"/>
  <c r="AG206" i="22"/>
  <c r="AF206" i="22" s="1"/>
  <c r="AD206" i="22" s="1"/>
  <c r="AG214" i="22"/>
  <c r="AF214" i="22" s="1"/>
  <c r="AD214" i="22" s="1"/>
  <c r="AG218" i="22"/>
  <c r="AF218" i="22" s="1"/>
  <c r="AD218" i="22" s="1"/>
  <c r="AG226" i="22"/>
  <c r="AF226" i="22" s="1"/>
  <c r="AD226" i="22" s="1"/>
  <c r="AG230" i="22"/>
  <c r="AF230" i="22" s="1"/>
  <c r="AD230" i="22" s="1"/>
  <c r="AG238" i="22"/>
  <c r="AF238" i="22" s="1"/>
  <c r="AD238" i="22" s="1"/>
  <c r="AG242" i="22"/>
  <c r="AF242" i="22" s="1"/>
  <c r="AD242" i="22" s="1"/>
  <c r="AG246" i="22"/>
  <c r="AF246" i="22" s="1"/>
  <c r="AD246" i="22" s="1"/>
  <c r="AG270" i="22"/>
  <c r="AF270" i="22" s="1"/>
  <c r="AD270" i="22" s="1"/>
  <c r="AG294" i="22"/>
  <c r="AF294" i="22" s="1"/>
  <c r="AD294" i="22" s="1"/>
  <c r="AG298" i="22"/>
  <c r="AF298" i="22" s="1"/>
  <c r="AD298" i="22" s="1"/>
  <c r="AG302" i="22"/>
  <c r="AF302" i="22" s="1"/>
  <c r="AD302" i="22" s="1"/>
  <c r="AG306" i="22"/>
  <c r="AF306" i="22" s="1"/>
  <c r="AD306" i="22" s="1"/>
  <c r="AG310" i="22"/>
  <c r="AF310" i="22" s="1"/>
  <c r="AD310" i="22" s="1"/>
  <c r="AG318" i="22"/>
  <c r="AF318" i="22" s="1"/>
  <c r="AD318" i="22" s="1"/>
  <c r="AG326" i="22"/>
  <c r="AF326" i="22" s="1"/>
  <c r="AD326" i="22" s="1"/>
  <c r="AG330" i="22"/>
  <c r="AF330" i="22" s="1"/>
  <c r="AD330" i="22" s="1"/>
  <c r="AG334" i="22"/>
  <c r="AF334" i="22" s="1"/>
  <c r="AD334" i="22" s="1"/>
  <c r="AG350" i="22"/>
  <c r="AF350" i="22" s="1"/>
  <c r="AD350" i="22" s="1"/>
  <c r="AG354" i="22"/>
  <c r="AF354" i="22" s="1"/>
  <c r="AD354" i="22" s="1"/>
  <c r="AG358" i="22"/>
  <c r="AF358" i="22" s="1"/>
  <c r="AD358" i="22" s="1"/>
  <c r="AG370" i="22"/>
  <c r="AF370" i="22" s="1"/>
  <c r="AD370" i="22" s="1"/>
  <c r="AG374" i="22"/>
  <c r="AF374" i="22" s="1"/>
  <c r="AD374" i="22" s="1"/>
  <c r="AG378" i="22"/>
  <c r="AF378" i="22" s="1"/>
  <c r="AD378" i="22" s="1"/>
  <c r="AF381" i="20"/>
  <c r="AF383" i="20"/>
  <c r="AF382" i="20"/>
  <c r="AD15" i="20"/>
  <c r="AE107" i="23" l="1"/>
  <c r="AE111" i="23"/>
  <c r="AE115" i="23"/>
  <c r="AE119" i="23"/>
  <c r="AE123" i="23"/>
  <c r="AE127" i="23"/>
  <c r="AE131" i="23"/>
  <c r="AE135" i="23"/>
  <c r="AE139" i="23"/>
  <c r="AE143" i="23"/>
  <c r="AE147" i="23"/>
  <c r="AE151" i="23"/>
  <c r="AE155" i="23"/>
  <c r="AE159" i="23"/>
  <c r="AE163" i="23"/>
  <c r="AE167" i="23"/>
  <c r="AE171" i="23"/>
  <c r="AE175" i="23"/>
  <c r="AE179" i="23"/>
  <c r="AE183" i="23"/>
  <c r="AE187" i="23"/>
  <c r="AE191" i="23"/>
  <c r="AE195" i="23"/>
  <c r="AE199" i="23"/>
  <c r="AE203" i="23"/>
  <c r="AE207" i="23"/>
  <c r="AE211" i="23"/>
  <c r="AE215" i="23"/>
  <c r="AE219" i="23"/>
  <c r="AE223" i="23"/>
  <c r="AE227" i="23"/>
  <c r="AE231" i="23"/>
  <c r="AE235" i="23"/>
  <c r="AE239" i="23"/>
  <c r="AE243" i="23"/>
  <c r="AE247" i="23"/>
  <c r="AE251" i="23"/>
  <c r="AE255" i="23"/>
  <c r="AE259" i="23"/>
  <c r="AE263" i="23"/>
  <c r="AE267" i="23"/>
  <c r="AE271" i="23"/>
  <c r="AE275" i="23"/>
  <c r="AE279" i="23"/>
  <c r="AE283" i="23"/>
  <c r="AE287" i="23"/>
  <c r="AE291" i="23"/>
  <c r="AE295" i="23"/>
  <c r="AE299" i="23"/>
  <c r="AE303" i="23"/>
  <c r="AE307" i="23"/>
  <c r="AE311" i="23"/>
  <c r="AE315" i="23"/>
  <c r="AE319" i="23"/>
  <c r="AE323" i="23"/>
  <c r="AE327" i="23"/>
  <c r="AE331" i="23"/>
  <c r="AE335" i="23"/>
  <c r="AE339" i="23"/>
  <c r="AE343" i="23"/>
  <c r="AE347" i="23"/>
  <c r="AE351" i="23"/>
  <c r="AE355" i="23"/>
  <c r="AE359" i="23"/>
  <c r="AE363" i="23"/>
  <c r="AE367" i="23"/>
  <c r="AE371" i="23"/>
  <c r="AE375" i="23"/>
  <c r="AE379" i="23"/>
  <c r="AE12" i="24" s="1"/>
  <c r="AE118" i="23"/>
  <c r="AE134" i="23"/>
  <c r="AE150" i="23"/>
  <c r="AE158" i="23"/>
  <c r="AE166" i="23"/>
  <c r="AE174" i="23"/>
  <c r="AE182" i="23"/>
  <c r="AE190" i="23"/>
  <c r="AE198" i="23"/>
  <c r="AE206" i="23"/>
  <c r="AE214" i="23"/>
  <c r="AE222" i="23"/>
  <c r="AE230" i="23"/>
  <c r="AE238" i="23"/>
  <c r="AE246" i="23"/>
  <c r="AE254" i="23"/>
  <c r="AE262" i="23"/>
  <c r="AE270" i="23"/>
  <c r="AE278" i="23"/>
  <c r="AE286" i="23"/>
  <c r="AE294" i="23"/>
  <c r="AE302" i="23"/>
  <c r="AE310" i="23"/>
  <c r="AE318" i="23"/>
  <c r="AE326" i="23"/>
  <c r="AE334" i="23"/>
  <c r="AE342" i="23"/>
  <c r="AE350" i="23"/>
  <c r="AE358" i="23"/>
  <c r="AE366" i="23"/>
  <c r="AE374" i="23"/>
  <c r="AE148" i="23"/>
  <c r="AE140" i="23"/>
  <c r="AE132" i="23"/>
  <c r="AE124" i="23"/>
  <c r="AE116" i="23"/>
  <c r="AE108" i="23"/>
  <c r="AE130" i="23"/>
  <c r="AE172" i="23"/>
  <c r="AE204" i="23"/>
  <c r="AE236" i="23"/>
  <c r="AE268" i="23"/>
  <c r="AE300" i="23"/>
  <c r="AE332" i="23"/>
  <c r="AE364" i="23"/>
  <c r="AE184" i="23"/>
  <c r="AE248" i="23"/>
  <c r="AE312" i="23"/>
  <c r="AE376" i="23"/>
  <c r="AE176" i="23"/>
  <c r="AE304" i="23"/>
  <c r="AE160" i="23"/>
  <c r="Q12" i="24"/>
  <c r="Q125" i="23"/>
  <c r="AE320" i="23"/>
  <c r="AE256" i="23"/>
  <c r="AE352" i="23"/>
  <c r="AE224" i="23"/>
  <c r="AE42" i="23"/>
  <c r="AE336" i="23"/>
  <c r="AE272" i="23"/>
  <c r="AE208" i="23"/>
  <c r="AE138" i="23"/>
  <c r="Q16" i="23"/>
  <c r="AE360" i="23"/>
  <c r="AE328" i="23"/>
  <c r="AE296" i="23"/>
  <c r="AE264" i="23"/>
  <c r="AE232" i="23"/>
  <c r="AE200" i="23"/>
  <c r="AE168" i="23"/>
  <c r="AE122" i="23"/>
  <c r="AE58" i="23"/>
  <c r="AE372" i="23"/>
  <c r="AE356" i="23"/>
  <c r="AE340" i="23"/>
  <c r="AE324" i="23"/>
  <c r="AE308" i="23"/>
  <c r="AE292" i="23"/>
  <c r="AE276" i="23"/>
  <c r="AE260" i="23"/>
  <c r="AE244" i="23"/>
  <c r="AE228" i="23"/>
  <c r="AE212" i="23"/>
  <c r="AE196" i="23"/>
  <c r="AE180" i="23"/>
  <c r="AE164" i="23"/>
  <c r="AE146" i="23"/>
  <c r="AE114" i="23"/>
  <c r="AE82" i="23"/>
  <c r="AE50" i="23"/>
  <c r="AE19" i="23"/>
  <c r="Q319" i="23"/>
  <c r="Q335" i="23"/>
  <c r="Q255" i="23"/>
  <c r="Q359" i="23"/>
  <c r="Q327" i="23"/>
  <c r="Q279" i="23"/>
  <c r="Q303" i="23"/>
  <c r="Q271" i="23"/>
  <c r="Q177" i="23"/>
  <c r="Q263" i="23"/>
  <c r="Q225" i="23"/>
  <c r="Q161" i="23"/>
  <c r="Q99" i="23"/>
  <c r="Q133" i="23"/>
  <c r="Q149" i="23"/>
  <c r="Q165" i="23"/>
  <c r="Q181" i="23"/>
  <c r="Q197" i="23"/>
  <c r="Q213" i="23"/>
  <c r="Q229" i="23"/>
  <c r="Q241" i="23"/>
  <c r="Q249" i="23"/>
  <c r="Q257" i="23"/>
  <c r="Q265" i="23"/>
  <c r="Q273" i="23"/>
  <c r="Q281" i="23"/>
  <c r="Q289" i="23"/>
  <c r="Q297" i="23"/>
  <c r="Q305" i="23"/>
  <c r="Q313" i="23"/>
  <c r="Q321" i="23"/>
  <c r="Q329" i="23"/>
  <c r="Q337" i="23"/>
  <c r="Q345" i="23"/>
  <c r="Q353" i="23"/>
  <c r="Q361" i="23"/>
  <c r="Q369" i="23"/>
  <c r="Q377" i="23"/>
  <c r="AE20" i="23"/>
  <c r="AE28" i="23"/>
  <c r="AE36" i="23"/>
  <c r="AE44" i="23"/>
  <c r="AE52" i="23"/>
  <c r="AE60" i="23"/>
  <c r="AE68" i="23"/>
  <c r="AE76" i="23"/>
  <c r="AE84" i="23"/>
  <c r="AE381" i="23"/>
  <c r="V379" i="22"/>
  <c r="M67" i="19" s="1"/>
  <c r="D41" i="19"/>
  <c r="Q381" i="23"/>
  <c r="L67" i="19"/>
  <c r="D67" i="19"/>
  <c r="C67" i="19"/>
  <c r="N65" i="19"/>
  <c r="K67" i="19"/>
  <c r="AH38" i="7"/>
  <c r="V210" i="22"/>
  <c r="AH36" i="7"/>
  <c r="V149" i="22"/>
  <c r="AD381" i="20"/>
  <c r="AD383" i="20"/>
  <c r="AD382" i="20"/>
  <c r="T382" i="22"/>
  <c r="S15" i="22"/>
  <c r="T383" i="22"/>
  <c r="T381" i="22"/>
  <c r="Q10" i="24"/>
  <c r="Q228" i="24" s="1"/>
  <c r="AY15" i="7"/>
  <c r="Q21" i="24"/>
  <c r="U10" i="23"/>
  <c r="U154" i="23" s="1"/>
  <c r="T154" i="23" s="1"/>
  <c r="AH32" i="7"/>
  <c r="V29" i="22"/>
  <c r="V15" i="20"/>
  <c r="P382" i="20"/>
  <c r="P381" i="20"/>
  <c r="P383" i="20"/>
  <c r="AS16" i="7"/>
  <c r="U26" i="23"/>
  <c r="T26" i="23" s="1"/>
  <c r="S26" i="23" s="1"/>
  <c r="R26" i="23" s="1"/>
  <c r="P26" i="23" s="1"/>
  <c r="V26" i="23" s="1"/>
  <c r="U361" i="23"/>
  <c r="T361" i="23" s="1"/>
  <c r="I67" i="19"/>
  <c r="AH35" i="7"/>
  <c r="V119" i="22"/>
  <c r="J67" i="19"/>
  <c r="G67" i="19"/>
  <c r="Q382" i="23"/>
  <c r="AI49" i="23"/>
  <c r="AH49" i="23" s="1"/>
  <c r="AI76" i="23"/>
  <c r="AH76" i="23" s="1"/>
  <c r="AG76" i="23" s="1"/>
  <c r="AF76" i="23" s="1"/>
  <c r="AD76" i="23" s="1"/>
  <c r="AI92" i="23"/>
  <c r="AH92" i="23" s="1"/>
  <c r="AG92" i="23" s="1"/>
  <c r="AF92" i="23" s="1"/>
  <c r="AD92" i="23" s="1"/>
  <c r="AH383" i="22"/>
  <c r="AG15" i="22"/>
  <c r="AH382" i="22"/>
  <c r="AH381" i="22"/>
  <c r="AI11" i="23" l="1"/>
  <c r="AI368" i="23" s="1"/>
  <c r="AH368" i="23" s="1"/>
  <c r="AG368" i="23" s="1"/>
  <c r="AF368" i="23" s="1"/>
  <c r="AD368" i="23" s="1"/>
  <c r="AI360" i="23"/>
  <c r="AH360" i="23" s="1"/>
  <c r="AG360" i="23" s="1"/>
  <c r="AF360" i="23" s="1"/>
  <c r="AD360" i="23" s="1"/>
  <c r="AI344" i="23"/>
  <c r="AH344" i="23" s="1"/>
  <c r="AG344" i="23" s="1"/>
  <c r="AF344" i="23" s="1"/>
  <c r="AD344" i="23" s="1"/>
  <c r="AI328" i="23"/>
  <c r="AH328" i="23" s="1"/>
  <c r="AI312" i="23"/>
  <c r="AH312" i="23" s="1"/>
  <c r="AI304" i="23"/>
  <c r="AH304" i="23" s="1"/>
  <c r="AI296" i="23"/>
  <c r="AH296" i="23" s="1"/>
  <c r="AG296" i="23" s="1"/>
  <c r="AF296" i="23" s="1"/>
  <c r="AD296" i="23" s="1"/>
  <c r="AI288" i="23"/>
  <c r="AH288" i="23" s="1"/>
  <c r="AI280" i="23"/>
  <c r="AH280" i="23" s="1"/>
  <c r="AG280" i="23" s="1"/>
  <c r="AF280" i="23" s="1"/>
  <c r="AD280" i="23" s="1"/>
  <c r="AI272" i="23"/>
  <c r="AH272" i="23" s="1"/>
  <c r="AG272" i="23" s="1"/>
  <c r="AF272" i="23" s="1"/>
  <c r="AD272" i="23" s="1"/>
  <c r="AI264" i="23"/>
  <c r="AH264" i="23" s="1"/>
  <c r="AG264" i="23" s="1"/>
  <c r="AF264" i="23" s="1"/>
  <c r="AD264" i="23" s="1"/>
  <c r="AI256" i="23"/>
  <c r="AH256" i="23" s="1"/>
  <c r="AI248" i="23"/>
  <c r="AH248" i="23" s="1"/>
  <c r="AG248" i="23" s="1"/>
  <c r="AF248" i="23" s="1"/>
  <c r="AD248" i="23" s="1"/>
  <c r="AI240" i="23"/>
  <c r="AH240" i="23" s="1"/>
  <c r="AG240" i="23" s="1"/>
  <c r="AF240" i="23" s="1"/>
  <c r="AD240" i="23" s="1"/>
  <c r="AI232" i="23"/>
  <c r="AH232" i="23" s="1"/>
  <c r="AG232" i="23" s="1"/>
  <c r="AF232" i="23" s="1"/>
  <c r="AD232" i="23" s="1"/>
  <c r="AI224" i="23"/>
  <c r="AH224" i="23" s="1"/>
  <c r="AI216" i="23"/>
  <c r="AH216" i="23" s="1"/>
  <c r="AI208" i="23"/>
  <c r="AH208" i="23" s="1"/>
  <c r="AG208" i="23" s="1"/>
  <c r="AF208" i="23" s="1"/>
  <c r="AD208" i="23" s="1"/>
  <c r="AI196" i="23"/>
  <c r="AH196" i="23" s="1"/>
  <c r="AG196" i="23" s="1"/>
  <c r="AF196" i="23" s="1"/>
  <c r="AD196" i="23" s="1"/>
  <c r="AI180" i="23"/>
  <c r="AH180" i="23" s="1"/>
  <c r="AG180" i="23" s="1"/>
  <c r="AF180" i="23" s="1"/>
  <c r="AD180" i="23" s="1"/>
  <c r="AI164" i="23"/>
  <c r="AH164" i="23" s="1"/>
  <c r="AI148" i="23"/>
  <c r="AH148" i="23" s="1"/>
  <c r="AG148" i="23" s="1"/>
  <c r="AF148" i="23" s="1"/>
  <c r="AD148" i="23" s="1"/>
  <c r="AI132" i="23"/>
  <c r="AH132" i="23" s="1"/>
  <c r="AG132" i="23" s="1"/>
  <c r="AF132" i="23" s="1"/>
  <c r="AD132" i="23" s="1"/>
  <c r="AI116" i="23"/>
  <c r="AH116" i="23" s="1"/>
  <c r="AI100" i="23"/>
  <c r="AH100" i="23" s="1"/>
  <c r="AI84" i="23"/>
  <c r="AH84" i="23" s="1"/>
  <c r="AG84" i="23" s="1"/>
  <c r="AF84" i="23" s="1"/>
  <c r="AD84" i="23" s="1"/>
  <c r="AI68" i="23"/>
  <c r="AH68" i="23" s="1"/>
  <c r="AG68" i="23" s="1"/>
  <c r="AF68" i="23" s="1"/>
  <c r="AD68" i="23" s="1"/>
  <c r="AI18" i="23"/>
  <c r="AH18" i="23" s="1"/>
  <c r="AG18" i="23" s="1"/>
  <c r="AF18" i="23" s="1"/>
  <c r="AD18" i="23" s="1"/>
  <c r="U233" i="23"/>
  <c r="T233" i="23" s="1"/>
  <c r="AE382" i="23"/>
  <c r="Q383" i="23"/>
  <c r="AE383" i="23"/>
  <c r="AI378" i="23"/>
  <c r="AH378" i="23" s="1"/>
  <c r="AG378" i="23" s="1"/>
  <c r="AF378" i="23" s="1"/>
  <c r="AD378" i="23" s="1"/>
  <c r="AI374" i="23"/>
  <c r="AH374" i="23" s="1"/>
  <c r="AI370" i="23"/>
  <c r="AH370" i="23" s="1"/>
  <c r="AI366" i="23"/>
  <c r="AH366" i="23" s="1"/>
  <c r="AI362" i="23"/>
  <c r="AH362" i="23" s="1"/>
  <c r="AG362" i="23" s="1"/>
  <c r="AF362" i="23" s="1"/>
  <c r="AD362" i="23" s="1"/>
  <c r="AI358" i="23"/>
  <c r="AH358" i="23" s="1"/>
  <c r="AG358" i="23" s="1"/>
  <c r="AF358" i="23" s="1"/>
  <c r="AD358" i="23" s="1"/>
  <c r="AI354" i="23"/>
  <c r="AH354" i="23" s="1"/>
  <c r="AG354" i="23" s="1"/>
  <c r="AF354" i="23" s="1"/>
  <c r="AD354" i="23" s="1"/>
  <c r="AI350" i="23"/>
  <c r="AH350" i="23" s="1"/>
  <c r="AG350" i="23" s="1"/>
  <c r="AF350" i="23" s="1"/>
  <c r="AD350" i="23" s="1"/>
  <c r="AI346" i="23"/>
  <c r="AH346" i="23" s="1"/>
  <c r="AI342" i="23"/>
  <c r="AH342" i="23" s="1"/>
  <c r="AG342" i="23" s="1"/>
  <c r="AF342" i="23" s="1"/>
  <c r="AD342" i="23" s="1"/>
  <c r="AI338" i="23"/>
  <c r="AH338" i="23" s="1"/>
  <c r="AI334" i="23"/>
  <c r="AH334" i="23" s="1"/>
  <c r="AG334" i="23" s="1"/>
  <c r="AF334" i="23" s="1"/>
  <c r="AD334" i="23" s="1"/>
  <c r="AI330" i="23"/>
  <c r="AH330" i="23" s="1"/>
  <c r="AG330" i="23" s="1"/>
  <c r="AF330" i="23" s="1"/>
  <c r="AD330" i="23" s="1"/>
  <c r="AI326" i="23"/>
  <c r="AH326" i="23" s="1"/>
  <c r="AI322" i="23"/>
  <c r="AH322" i="23" s="1"/>
  <c r="AG322" i="23" s="1"/>
  <c r="AF322" i="23" s="1"/>
  <c r="AD322" i="23" s="1"/>
  <c r="AI318" i="23"/>
  <c r="AH318" i="23" s="1"/>
  <c r="AG318" i="23" s="1"/>
  <c r="AF318" i="23" s="1"/>
  <c r="AD318" i="23" s="1"/>
  <c r="AI314" i="23"/>
  <c r="AH314" i="23" s="1"/>
  <c r="AG314" i="23" s="1"/>
  <c r="AF314" i="23" s="1"/>
  <c r="AD314" i="23" s="1"/>
  <c r="AI310" i="23"/>
  <c r="AH310" i="23" s="1"/>
  <c r="AG310" i="23" s="1"/>
  <c r="AF310" i="23" s="1"/>
  <c r="AD310" i="23" s="1"/>
  <c r="AI306" i="23"/>
  <c r="AH306" i="23" s="1"/>
  <c r="AI302" i="23"/>
  <c r="AH302" i="23" s="1"/>
  <c r="AG302" i="23" s="1"/>
  <c r="AF302" i="23" s="1"/>
  <c r="AD302" i="23" s="1"/>
  <c r="AI298" i="23"/>
  <c r="AH298" i="23" s="1"/>
  <c r="AG298" i="23" s="1"/>
  <c r="AF298" i="23" s="1"/>
  <c r="AD298" i="23" s="1"/>
  <c r="AI294" i="23"/>
  <c r="AH294" i="23" s="1"/>
  <c r="AG294" i="23" s="1"/>
  <c r="AF294" i="23" s="1"/>
  <c r="AD294" i="23" s="1"/>
  <c r="AI290" i="23"/>
  <c r="AH290" i="23" s="1"/>
  <c r="AI286" i="23"/>
  <c r="AH286" i="23" s="1"/>
  <c r="AG286" i="23" s="1"/>
  <c r="AF286" i="23" s="1"/>
  <c r="AD286" i="23" s="1"/>
  <c r="AI282" i="23"/>
  <c r="AH282" i="23" s="1"/>
  <c r="AG282" i="23" s="1"/>
  <c r="AF282" i="23" s="1"/>
  <c r="AD282" i="23" s="1"/>
  <c r="AI278" i="23"/>
  <c r="AH278" i="23" s="1"/>
  <c r="AG278" i="23" s="1"/>
  <c r="AF278" i="23" s="1"/>
  <c r="AD278" i="23" s="1"/>
  <c r="AI274" i="23"/>
  <c r="AH274" i="23" s="1"/>
  <c r="AG274" i="23" s="1"/>
  <c r="AF274" i="23" s="1"/>
  <c r="AD274" i="23" s="1"/>
  <c r="AI270" i="23"/>
  <c r="AH270" i="23" s="1"/>
  <c r="AG270" i="23" s="1"/>
  <c r="AF270" i="23" s="1"/>
  <c r="AD270" i="23" s="1"/>
  <c r="AI266" i="23"/>
  <c r="AH266" i="23" s="1"/>
  <c r="AG266" i="23" s="1"/>
  <c r="AF266" i="23" s="1"/>
  <c r="AD266" i="23" s="1"/>
  <c r="AI262" i="23"/>
  <c r="AH262" i="23" s="1"/>
  <c r="AG262" i="23" s="1"/>
  <c r="AF262" i="23" s="1"/>
  <c r="AD262" i="23" s="1"/>
  <c r="AI258" i="23"/>
  <c r="AH258" i="23" s="1"/>
  <c r="AI254" i="23"/>
  <c r="AH254" i="23" s="1"/>
  <c r="AG254" i="23" s="1"/>
  <c r="AF254" i="23" s="1"/>
  <c r="AD254" i="23" s="1"/>
  <c r="AI250" i="23"/>
  <c r="AH250" i="23" s="1"/>
  <c r="AG250" i="23" s="1"/>
  <c r="AF250" i="23" s="1"/>
  <c r="AD250" i="23" s="1"/>
  <c r="AI246" i="23"/>
  <c r="AH246" i="23" s="1"/>
  <c r="AG246" i="23" s="1"/>
  <c r="AF246" i="23" s="1"/>
  <c r="AD246" i="23" s="1"/>
  <c r="AI242" i="23"/>
  <c r="AH242" i="23" s="1"/>
  <c r="AG242" i="23" s="1"/>
  <c r="AF242" i="23" s="1"/>
  <c r="AD242" i="23" s="1"/>
  <c r="AI238" i="23"/>
  <c r="AH238" i="23" s="1"/>
  <c r="AI234" i="23"/>
  <c r="AH234" i="23" s="1"/>
  <c r="AG234" i="23" s="1"/>
  <c r="AF234" i="23" s="1"/>
  <c r="AD234" i="23" s="1"/>
  <c r="AI230" i="23"/>
  <c r="AH230" i="23" s="1"/>
  <c r="AG230" i="23" s="1"/>
  <c r="AF230" i="23" s="1"/>
  <c r="AD230" i="23" s="1"/>
  <c r="AI226" i="23"/>
  <c r="AH226" i="23" s="1"/>
  <c r="AG226" i="23" s="1"/>
  <c r="AF226" i="23" s="1"/>
  <c r="AD226" i="23" s="1"/>
  <c r="AI222" i="23"/>
  <c r="AH222" i="23" s="1"/>
  <c r="AG222" i="23" s="1"/>
  <c r="AF222" i="23" s="1"/>
  <c r="AD222" i="23" s="1"/>
  <c r="AI218" i="23"/>
  <c r="AH218" i="23" s="1"/>
  <c r="AG218" i="23" s="1"/>
  <c r="AF218" i="23" s="1"/>
  <c r="AD218" i="23" s="1"/>
  <c r="AI214" i="23"/>
  <c r="AH214" i="23" s="1"/>
  <c r="AG214" i="23" s="1"/>
  <c r="AF214" i="23" s="1"/>
  <c r="AD214" i="23" s="1"/>
  <c r="AI210" i="23"/>
  <c r="AH210" i="23" s="1"/>
  <c r="AI206" i="23"/>
  <c r="AH206" i="23" s="1"/>
  <c r="AI200" i="23"/>
  <c r="AH200" i="23" s="1"/>
  <c r="AG200" i="23" s="1"/>
  <c r="AF200" i="23" s="1"/>
  <c r="AD200" i="23" s="1"/>
  <c r="AI192" i="23"/>
  <c r="AH192" i="23" s="1"/>
  <c r="AG192" i="23" s="1"/>
  <c r="AF192" i="23" s="1"/>
  <c r="AD192" i="23" s="1"/>
  <c r="AI184" i="23"/>
  <c r="AH184" i="23" s="1"/>
  <c r="AG184" i="23" s="1"/>
  <c r="AF184" i="23" s="1"/>
  <c r="AD184" i="23" s="1"/>
  <c r="AI176" i="23"/>
  <c r="AH176" i="23" s="1"/>
  <c r="AG176" i="23" s="1"/>
  <c r="AF176" i="23" s="1"/>
  <c r="AD176" i="23" s="1"/>
  <c r="AI168" i="23"/>
  <c r="AH168" i="23" s="1"/>
  <c r="AG168" i="23" s="1"/>
  <c r="AF168" i="23" s="1"/>
  <c r="AD168" i="23" s="1"/>
  <c r="AI160" i="23"/>
  <c r="AH160" i="23" s="1"/>
  <c r="AG160" i="23" s="1"/>
  <c r="AF160" i="23" s="1"/>
  <c r="AD160" i="23" s="1"/>
  <c r="AI152" i="23"/>
  <c r="AH152" i="23" s="1"/>
  <c r="AG152" i="23" s="1"/>
  <c r="AF152" i="23" s="1"/>
  <c r="AD152" i="23" s="1"/>
  <c r="AI144" i="23"/>
  <c r="AH144" i="23" s="1"/>
  <c r="AG144" i="23" s="1"/>
  <c r="AF144" i="23" s="1"/>
  <c r="AD144" i="23" s="1"/>
  <c r="AI136" i="23"/>
  <c r="AH136" i="23" s="1"/>
  <c r="AI128" i="23"/>
  <c r="AH128" i="23" s="1"/>
  <c r="AG128" i="23" s="1"/>
  <c r="AF128" i="23" s="1"/>
  <c r="AD128" i="23" s="1"/>
  <c r="AI120" i="23"/>
  <c r="AH120" i="23" s="1"/>
  <c r="AG120" i="23" s="1"/>
  <c r="AF120" i="23" s="1"/>
  <c r="AD120" i="23" s="1"/>
  <c r="AI112" i="23"/>
  <c r="AH112" i="23" s="1"/>
  <c r="AG112" i="23" s="1"/>
  <c r="AF112" i="23" s="1"/>
  <c r="AD112" i="23" s="1"/>
  <c r="AI104" i="23"/>
  <c r="AH104" i="23" s="1"/>
  <c r="AG104" i="23" s="1"/>
  <c r="AF104" i="23" s="1"/>
  <c r="AD104" i="23" s="1"/>
  <c r="AI96" i="23"/>
  <c r="AH96" i="23" s="1"/>
  <c r="AG96" i="23" s="1"/>
  <c r="AF96" i="23" s="1"/>
  <c r="AD96" i="23" s="1"/>
  <c r="AI88" i="23"/>
  <c r="AH88" i="23" s="1"/>
  <c r="AI80" i="23"/>
  <c r="AH80" i="23" s="1"/>
  <c r="AG80" i="23" s="1"/>
  <c r="AF80" i="23" s="1"/>
  <c r="AD80" i="23" s="1"/>
  <c r="AI72" i="23"/>
  <c r="AH72" i="23" s="1"/>
  <c r="AG72" i="23" s="1"/>
  <c r="AF72" i="23" s="1"/>
  <c r="AD72" i="23" s="1"/>
  <c r="AI63" i="23"/>
  <c r="AH63" i="23" s="1"/>
  <c r="AI33" i="23"/>
  <c r="AH33" i="23" s="1"/>
  <c r="AG33" i="23" s="1"/>
  <c r="AF33" i="23" s="1"/>
  <c r="AD33" i="23" s="1"/>
  <c r="U297" i="23"/>
  <c r="T297" i="23" s="1"/>
  <c r="S297" i="23" s="1"/>
  <c r="R297" i="23" s="1"/>
  <c r="P297" i="23" s="1"/>
  <c r="V297" i="23" s="1"/>
  <c r="U58" i="23"/>
  <c r="T58" i="23" s="1"/>
  <c r="Q372" i="24"/>
  <c r="Q340" i="24"/>
  <c r="Q308" i="24"/>
  <c r="Q356" i="24"/>
  <c r="Q324" i="24"/>
  <c r="Q291" i="24"/>
  <c r="U329" i="23"/>
  <c r="T329" i="23" s="1"/>
  <c r="S329" i="23" s="1"/>
  <c r="R329" i="23" s="1"/>
  <c r="P329" i="23" s="1"/>
  <c r="V329" i="23" s="1"/>
  <c r="U265" i="23"/>
  <c r="T265" i="23" s="1"/>
  <c r="S265" i="23" s="1"/>
  <c r="R265" i="23" s="1"/>
  <c r="P265" i="23" s="1"/>
  <c r="V265" i="23" s="1"/>
  <c r="U201" i="23"/>
  <c r="T201" i="23" s="1"/>
  <c r="U90" i="23"/>
  <c r="T90" i="23" s="1"/>
  <c r="Q376" i="24"/>
  <c r="Q364" i="24"/>
  <c r="Q348" i="24"/>
  <c r="Q332" i="24"/>
  <c r="Q316" i="24"/>
  <c r="Q300" i="24"/>
  <c r="Q275" i="24"/>
  <c r="U377" i="23"/>
  <c r="T377" i="23" s="1"/>
  <c r="S377" i="23" s="1"/>
  <c r="R377" i="23" s="1"/>
  <c r="P377" i="23" s="1"/>
  <c r="V377" i="23" s="1"/>
  <c r="U345" i="23"/>
  <c r="T345" i="23" s="1"/>
  <c r="S345" i="23" s="1"/>
  <c r="R345" i="23" s="1"/>
  <c r="P345" i="23" s="1"/>
  <c r="V345" i="23" s="1"/>
  <c r="U313" i="23"/>
  <c r="T313" i="23" s="1"/>
  <c r="S313" i="23" s="1"/>
  <c r="R313" i="23" s="1"/>
  <c r="P313" i="23" s="1"/>
  <c r="V313" i="23" s="1"/>
  <c r="U281" i="23"/>
  <c r="T281" i="23" s="1"/>
  <c r="S281" i="23" s="1"/>
  <c r="R281" i="23" s="1"/>
  <c r="P281" i="23" s="1"/>
  <c r="V281" i="23" s="1"/>
  <c r="U249" i="23"/>
  <c r="T249" i="23" s="1"/>
  <c r="S249" i="23" s="1"/>
  <c r="R249" i="23" s="1"/>
  <c r="P249" i="23" s="1"/>
  <c r="V249" i="23" s="1"/>
  <c r="U217" i="23"/>
  <c r="T217" i="23" s="1"/>
  <c r="S217" i="23" s="1"/>
  <c r="R217" i="23" s="1"/>
  <c r="P217" i="23" s="1"/>
  <c r="V217" i="23" s="1"/>
  <c r="U185" i="23"/>
  <c r="T185" i="23" s="1"/>
  <c r="U122" i="23"/>
  <c r="T122" i="23" s="1"/>
  <c r="S122" i="23" s="1"/>
  <c r="R122" i="23" s="1"/>
  <c r="P122" i="23" s="1"/>
  <c r="V122" i="23" s="1"/>
  <c r="Q368" i="24"/>
  <c r="Q360" i="24"/>
  <c r="Q352" i="24"/>
  <c r="Q344" i="24"/>
  <c r="Q336" i="24"/>
  <c r="Q328" i="24"/>
  <c r="Q320" i="24"/>
  <c r="Q312" i="24"/>
  <c r="Q304" i="24"/>
  <c r="Q296" i="24"/>
  <c r="Q283" i="24"/>
  <c r="Q267" i="24"/>
  <c r="Q259" i="24"/>
  <c r="Q251" i="24"/>
  <c r="Q243" i="24"/>
  <c r="U34" i="23"/>
  <c r="T34" i="23" s="1"/>
  <c r="S34" i="23" s="1"/>
  <c r="R34" i="23" s="1"/>
  <c r="P34" i="23" s="1"/>
  <c r="V34" i="23" s="1"/>
  <c r="U50" i="23"/>
  <c r="T50" i="23" s="1"/>
  <c r="U66" i="23"/>
  <c r="T66" i="23" s="1"/>
  <c r="S66" i="23" s="1"/>
  <c r="R66" i="23" s="1"/>
  <c r="P66" i="23" s="1"/>
  <c r="V66" i="23" s="1"/>
  <c r="U82" i="23"/>
  <c r="T82" i="23" s="1"/>
  <c r="S82" i="23" s="1"/>
  <c r="R82" i="23" s="1"/>
  <c r="P82" i="23" s="1"/>
  <c r="V82" i="23" s="1"/>
  <c r="U98" i="23"/>
  <c r="T98" i="23" s="1"/>
  <c r="S98" i="23" s="1"/>
  <c r="R98" i="23" s="1"/>
  <c r="P98" i="23" s="1"/>
  <c r="V98" i="23" s="1"/>
  <c r="U114" i="23"/>
  <c r="T114" i="23" s="1"/>
  <c r="U130" i="23"/>
  <c r="T130" i="23" s="1"/>
  <c r="S130" i="23" s="1"/>
  <c r="R130" i="23" s="1"/>
  <c r="P130" i="23" s="1"/>
  <c r="V130" i="23" s="1"/>
  <c r="U146" i="23"/>
  <c r="T146" i="23" s="1"/>
  <c r="S146" i="23" s="1"/>
  <c r="R146" i="23" s="1"/>
  <c r="P146" i="23" s="1"/>
  <c r="V146" i="23" s="1"/>
  <c r="U162" i="23"/>
  <c r="T162" i="23" s="1"/>
  <c r="U178" i="23"/>
  <c r="T178" i="23" s="1"/>
  <c r="S178" i="23" s="1"/>
  <c r="R178" i="23" s="1"/>
  <c r="P178" i="23" s="1"/>
  <c r="V178" i="23" s="1"/>
  <c r="U189" i="23"/>
  <c r="T189" i="23" s="1"/>
  <c r="U197" i="23"/>
  <c r="T197" i="23" s="1"/>
  <c r="U205" i="23"/>
  <c r="T205" i="23" s="1"/>
  <c r="S205" i="23" s="1"/>
  <c r="R205" i="23" s="1"/>
  <c r="P205" i="23" s="1"/>
  <c r="V205" i="23" s="1"/>
  <c r="U213" i="23"/>
  <c r="T213" i="23" s="1"/>
  <c r="U221" i="23"/>
  <c r="T221" i="23" s="1"/>
  <c r="U229" i="23"/>
  <c r="T229" i="23" s="1"/>
  <c r="U237" i="23"/>
  <c r="T237" i="23" s="1"/>
  <c r="S237" i="23" s="1"/>
  <c r="R237" i="23" s="1"/>
  <c r="P237" i="23" s="1"/>
  <c r="V237" i="23" s="1"/>
  <c r="U245" i="23"/>
  <c r="T245" i="23" s="1"/>
  <c r="U253" i="23"/>
  <c r="T253" i="23" s="1"/>
  <c r="S253" i="23" s="1"/>
  <c r="R253" i="23" s="1"/>
  <c r="P253" i="23" s="1"/>
  <c r="V253" i="23" s="1"/>
  <c r="U261" i="23"/>
  <c r="T261" i="23" s="1"/>
  <c r="S261" i="23" s="1"/>
  <c r="R261" i="23" s="1"/>
  <c r="P261" i="23" s="1"/>
  <c r="V261" i="23" s="1"/>
  <c r="U269" i="23"/>
  <c r="T269" i="23" s="1"/>
  <c r="S269" i="23" s="1"/>
  <c r="R269" i="23" s="1"/>
  <c r="P269" i="23" s="1"/>
  <c r="V269" i="23" s="1"/>
  <c r="U277" i="23"/>
  <c r="T277" i="23" s="1"/>
  <c r="S277" i="23" s="1"/>
  <c r="R277" i="23" s="1"/>
  <c r="P277" i="23" s="1"/>
  <c r="V277" i="23" s="1"/>
  <c r="U285" i="23"/>
  <c r="T285" i="23" s="1"/>
  <c r="S285" i="23" s="1"/>
  <c r="R285" i="23" s="1"/>
  <c r="P285" i="23" s="1"/>
  <c r="V285" i="23" s="1"/>
  <c r="U293" i="23"/>
  <c r="T293" i="23" s="1"/>
  <c r="U301" i="23"/>
  <c r="T301" i="23" s="1"/>
  <c r="S301" i="23" s="1"/>
  <c r="R301" i="23" s="1"/>
  <c r="P301" i="23" s="1"/>
  <c r="V301" i="23" s="1"/>
  <c r="U309" i="23"/>
  <c r="T309" i="23" s="1"/>
  <c r="S309" i="23" s="1"/>
  <c r="R309" i="23" s="1"/>
  <c r="P309" i="23" s="1"/>
  <c r="V309" i="23" s="1"/>
  <c r="U317" i="23"/>
  <c r="T317" i="23" s="1"/>
  <c r="U325" i="23"/>
  <c r="T325" i="23" s="1"/>
  <c r="S325" i="23" s="1"/>
  <c r="R325" i="23" s="1"/>
  <c r="P325" i="23" s="1"/>
  <c r="V325" i="23" s="1"/>
  <c r="U333" i="23"/>
  <c r="T333" i="23" s="1"/>
  <c r="S333" i="23" s="1"/>
  <c r="R333" i="23" s="1"/>
  <c r="P333" i="23" s="1"/>
  <c r="U341" i="23"/>
  <c r="T341" i="23" s="1"/>
  <c r="U349" i="23"/>
  <c r="T349" i="23" s="1"/>
  <c r="S349" i="23" s="1"/>
  <c r="R349" i="23" s="1"/>
  <c r="P349" i="23" s="1"/>
  <c r="V349" i="23" s="1"/>
  <c r="U357" i="23"/>
  <c r="T357" i="23" s="1"/>
  <c r="U365" i="23"/>
  <c r="T365" i="23" s="1"/>
  <c r="S365" i="23" s="1"/>
  <c r="R365" i="23" s="1"/>
  <c r="P365" i="23" s="1"/>
  <c r="V365" i="23" s="1"/>
  <c r="U373" i="23"/>
  <c r="T373" i="23" s="1"/>
  <c r="AI21" i="23"/>
  <c r="AH21" i="23" s="1"/>
  <c r="AG21" i="23" s="1"/>
  <c r="AF21" i="23" s="1"/>
  <c r="AD21" i="23" s="1"/>
  <c r="AI29" i="23"/>
  <c r="AH29" i="23" s="1"/>
  <c r="AG29" i="23" s="1"/>
  <c r="AF29" i="23" s="1"/>
  <c r="AD29" i="23" s="1"/>
  <c r="AI37" i="23"/>
  <c r="AH37" i="23" s="1"/>
  <c r="AG37" i="23" s="1"/>
  <c r="AF37" i="23" s="1"/>
  <c r="AD37" i="23" s="1"/>
  <c r="AI45" i="23"/>
  <c r="AH45" i="23" s="1"/>
  <c r="AG45" i="23" s="1"/>
  <c r="AF45" i="23" s="1"/>
  <c r="AD45" i="23" s="1"/>
  <c r="AI53" i="23"/>
  <c r="AH53" i="23" s="1"/>
  <c r="AG53" i="23" s="1"/>
  <c r="AF53" i="23" s="1"/>
  <c r="AD53" i="23" s="1"/>
  <c r="AI61" i="23"/>
  <c r="AH61" i="23" s="1"/>
  <c r="AG61" i="23" s="1"/>
  <c r="AF61" i="23" s="1"/>
  <c r="AD61" i="23" s="1"/>
  <c r="AI65" i="23"/>
  <c r="AH65" i="23" s="1"/>
  <c r="AG65" i="23" s="1"/>
  <c r="AF65" i="23" s="1"/>
  <c r="AD65" i="23" s="1"/>
  <c r="AI67" i="23"/>
  <c r="AH67" i="23" s="1"/>
  <c r="AG67" i="23" s="1"/>
  <c r="AF67" i="23" s="1"/>
  <c r="AD67" i="23" s="1"/>
  <c r="AI69" i="23"/>
  <c r="AH69" i="23" s="1"/>
  <c r="AG69" i="23" s="1"/>
  <c r="AF69" i="23" s="1"/>
  <c r="AD69" i="23" s="1"/>
  <c r="AI71" i="23"/>
  <c r="AH71" i="23" s="1"/>
  <c r="AG71" i="23" s="1"/>
  <c r="AF71" i="23" s="1"/>
  <c r="AD71" i="23" s="1"/>
  <c r="AI73" i="23"/>
  <c r="AH73" i="23" s="1"/>
  <c r="AG73" i="23" s="1"/>
  <c r="AF73" i="23" s="1"/>
  <c r="AD73" i="23" s="1"/>
  <c r="AI75" i="23"/>
  <c r="AH75" i="23" s="1"/>
  <c r="AG75" i="23" s="1"/>
  <c r="AF75" i="23" s="1"/>
  <c r="AD75" i="23" s="1"/>
  <c r="AI77" i="23"/>
  <c r="AH77" i="23" s="1"/>
  <c r="AG77" i="23" s="1"/>
  <c r="AF77" i="23" s="1"/>
  <c r="AD77" i="23" s="1"/>
  <c r="AI79" i="23"/>
  <c r="AH79" i="23" s="1"/>
  <c r="AG79" i="23" s="1"/>
  <c r="AF79" i="23" s="1"/>
  <c r="AD79" i="23" s="1"/>
  <c r="AI81" i="23"/>
  <c r="AH81" i="23" s="1"/>
  <c r="AG81" i="23" s="1"/>
  <c r="AF81" i="23" s="1"/>
  <c r="AD81" i="23" s="1"/>
  <c r="AI83" i="23"/>
  <c r="AH83" i="23" s="1"/>
  <c r="AG83" i="23" s="1"/>
  <c r="AF83" i="23" s="1"/>
  <c r="AD83" i="23" s="1"/>
  <c r="AI85" i="23"/>
  <c r="AH85" i="23" s="1"/>
  <c r="AG85" i="23" s="1"/>
  <c r="AF85" i="23" s="1"/>
  <c r="AD85" i="23" s="1"/>
  <c r="AI87" i="23"/>
  <c r="AH87" i="23" s="1"/>
  <c r="AG87" i="23" s="1"/>
  <c r="AF87" i="23" s="1"/>
  <c r="AD87" i="23" s="1"/>
  <c r="AI89" i="23"/>
  <c r="AH89" i="23" s="1"/>
  <c r="AG89" i="23" s="1"/>
  <c r="AF89" i="23" s="1"/>
  <c r="AD89" i="23" s="1"/>
  <c r="AI91" i="23"/>
  <c r="AH91" i="23" s="1"/>
  <c r="AG91" i="23" s="1"/>
  <c r="AF91" i="23" s="1"/>
  <c r="AD91" i="23" s="1"/>
  <c r="AI93" i="23"/>
  <c r="AH93" i="23" s="1"/>
  <c r="AG93" i="23" s="1"/>
  <c r="AF93" i="23" s="1"/>
  <c r="AD93" i="23" s="1"/>
  <c r="AI95" i="23"/>
  <c r="AH95" i="23" s="1"/>
  <c r="AG95" i="23" s="1"/>
  <c r="AF95" i="23" s="1"/>
  <c r="AD95" i="23" s="1"/>
  <c r="AI97" i="23"/>
  <c r="AH97" i="23" s="1"/>
  <c r="AG97" i="23" s="1"/>
  <c r="AF97" i="23" s="1"/>
  <c r="AD97" i="23" s="1"/>
  <c r="AI99" i="23"/>
  <c r="AH99" i="23" s="1"/>
  <c r="AG99" i="23" s="1"/>
  <c r="AF99" i="23" s="1"/>
  <c r="AD99" i="23" s="1"/>
  <c r="AI101" i="23"/>
  <c r="AH101" i="23" s="1"/>
  <c r="AG101" i="23" s="1"/>
  <c r="AF101" i="23" s="1"/>
  <c r="AD101" i="23" s="1"/>
  <c r="AI103" i="23"/>
  <c r="AH103" i="23" s="1"/>
  <c r="AI105" i="23"/>
  <c r="AH105" i="23" s="1"/>
  <c r="AG105" i="23" s="1"/>
  <c r="AF105" i="23" s="1"/>
  <c r="AD105" i="23" s="1"/>
  <c r="AI107" i="23"/>
  <c r="AH107" i="23" s="1"/>
  <c r="AG107" i="23" s="1"/>
  <c r="AF107" i="23" s="1"/>
  <c r="AD107" i="23" s="1"/>
  <c r="AI109" i="23"/>
  <c r="AH109" i="23" s="1"/>
  <c r="AG109" i="23" s="1"/>
  <c r="AF109" i="23" s="1"/>
  <c r="AD109" i="23" s="1"/>
  <c r="AI111" i="23"/>
  <c r="AH111" i="23" s="1"/>
  <c r="AG111" i="23" s="1"/>
  <c r="AF111" i="23" s="1"/>
  <c r="AD111" i="23" s="1"/>
  <c r="AI113" i="23"/>
  <c r="AH113" i="23" s="1"/>
  <c r="AG113" i="23" s="1"/>
  <c r="AF113" i="23" s="1"/>
  <c r="AD113" i="23" s="1"/>
  <c r="AI115" i="23"/>
  <c r="AH115" i="23" s="1"/>
  <c r="AG115" i="23" s="1"/>
  <c r="AF115" i="23" s="1"/>
  <c r="AD115" i="23" s="1"/>
  <c r="AI117" i="23"/>
  <c r="AH117" i="23" s="1"/>
  <c r="AG117" i="23" s="1"/>
  <c r="AF117" i="23" s="1"/>
  <c r="AD117" i="23" s="1"/>
  <c r="AI119" i="23"/>
  <c r="AH119" i="23" s="1"/>
  <c r="AG119" i="23" s="1"/>
  <c r="AF119" i="23" s="1"/>
  <c r="AD119" i="23" s="1"/>
  <c r="AI121" i="23"/>
  <c r="AH121" i="23" s="1"/>
  <c r="AG121" i="23" s="1"/>
  <c r="AF121" i="23" s="1"/>
  <c r="AD121" i="23" s="1"/>
  <c r="AI123" i="23"/>
  <c r="AH123" i="23" s="1"/>
  <c r="AG123" i="23" s="1"/>
  <c r="AF123" i="23" s="1"/>
  <c r="AD123" i="23" s="1"/>
  <c r="AI125" i="23"/>
  <c r="AH125" i="23" s="1"/>
  <c r="AG125" i="23" s="1"/>
  <c r="AF125" i="23" s="1"/>
  <c r="AD125" i="23" s="1"/>
  <c r="AI127" i="23"/>
  <c r="AH127" i="23" s="1"/>
  <c r="AG127" i="23" s="1"/>
  <c r="AF127" i="23" s="1"/>
  <c r="AD127" i="23" s="1"/>
  <c r="AI129" i="23"/>
  <c r="AH129" i="23" s="1"/>
  <c r="AG129" i="23" s="1"/>
  <c r="AF129" i="23" s="1"/>
  <c r="AD129" i="23" s="1"/>
  <c r="AI131" i="23"/>
  <c r="AH131" i="23" s="1"/>
  <c r="AG131" i="23" s="1"/>
  <c r="AF131" i="23" s="1"/>
  <c r="AD131" i="23" s="1"/>
  <c r="AI133" i="23"/>
  <c r="AH133" i="23" s="1"/>
  <c r="AG133" i="23" s="1"/>
  <c r="AF133" i="23" s="1"/>
  <c r="AD133" i="23" s="1"/>
  <c r="AI135" i="23"/>
  <c r="AH135" i="23" s="1"/>
  <c r="AG135" i="23" s="1"/>
  <c r="AF135" i="23" s="1"/>
  <c r="AD135" i="23" s="1"/>
  <c r="AI137" i="23"/>
  <c r="AH137" i="23" s="1"/>
  <c r="AG137" i="23" s="1"/>
  <c r="AF137" i="23" s="1"/>
  <c r="AD137" i="23" s="1"/>
  <c r="AI139" i="23"/>
  <c r="AH139" i="23" s="1"/>
  <c r="AG139" i="23" s="1"/>
  <c r="AF139" i="23" s="1"/>
  <c r="AD139" i="23" s="1"/>
  <c r="AI141" i="23"/>
  <c r="AH141" i="23" s="1"/>
  <c r="AG141" i="23" s="1"/>
  <c r="AF141" i="23" s="1"/>
  <c r="AD141" i="23" s="1"/>
  <c r="AI143" i="23"/>
  <c r="AH143" i="23" s="1"/>
  <c r="AG143" i="23" s="1"/>
  <c r="AF143" i="23" s="1"/>
  <c r="AD143" i="23" s="1"/>
  <c r="AI145" i="23"/>
  <c r="AH145" i="23" s="1"/>
  <c r="AI147" i="23"/>
  <c r="AH147" i="23" s="1"/>
  <c r="AG147" i="23" s="1"/>
  <c r="AF147" i="23" s="1"/>
  <c r="AD147" i="23" s="1"/>
  <c r="AI149" i="23"/>
  <c r="AH149" i="23" s="1"/>
  <c r="AG149" i="23" s="1"/>
  <c r="AF149" i="23" s="1"/>
  <c r="AD149" i="23" s="1"/>
  <c r="AI151" i="23"/>
  <c r="AH151" i="23" s="1"/>
  <c r="AG151" i="23" s="1"/>
  <c r="AF151" i="23" s="1"/>
  <c r="AD151" i="23" s="1"/>
  <c r="AI153" i="23"/>
  <c r="AH153" i="23" s="1"/>
  <c r="AG153" i="23" s="1"/>
  <c r="AF153" i="23" s="1"/>
  <c r="AD153" i="23" s="1"/>
  <c r="AI155" i="23"/>
  <c r="AH155" i="23" s="1"/>
  <c r="AG155" i="23" s="1"/>
  <c r="AF155" i="23" s="1"/>
  <c r="AD155" i="23" s="1"/>
  <c r="AI157" i="23"/>
  <c r="AH157" i="23" s="1"/>
  <c r="AG157" i="23" s="1"/>
  <c r="AF157" i="23" s="1"/>
  <c r="AD157" i="23" s="1"/>
  <c r="AI159" i="23"/>
  <c r="AH159" i="23" s="1"/>
  <c r="AG159" i="23" s="1"/>
  <c r="AF159" i="23" s="1"/>
  <c r="AD159" i="23" s="1"/>
  <c r="AI161" i="23"/>
  <c r="AH161" i="23" s="1"/>
  <c r="AI163" i="23"/>
  <c r="AH163" i="23" s="1"/>
  <c r="AG163" i="23" s="1"/>
  <c r="AF163" i="23" s="1"/>
  <c r="AD163" i="23" s="1"/>
  <c r="AI165" i="23"/>
  <c r="AH165" i="23" s="1"/>
  <c r="AG165" i="23" s="1"/>
  <c r="AF165" i="23" s="1"/>
  <c r="AD165" i="23" s="1"/>
  <c r="AI167" i="23"/>
  <c r="AH167" i="23" s="1"/>
  <c r="AG167" i="23" s="1"/>
  <c r="AF167" i="23" s="1"/>
  <c r="AD167" i="23" s="1"/>
  <c r="AI169" i="23"/>
  <c r="AH169" i="23" s="1"/>
  <c r="AG169" i="23" s="1"/>
  <c r="AF169" i="23" s="1"/>
  <c r="AD169" i="23" s="1"/>
  <c r="AI171" i="23"/>
  <c r="AH171" i="23" s="1"/>
  <c r="AG171" i="23" s="1"/>
  <c r="AF171" i="23" s="1"/>
  <c r="AD171" i="23" s="1"/>
  <c r="AI173" i="23"/>
  <c r="AH173" i="23" s="1"/>
  <c r="AG173" i="23" s="1"/>
  <c r="AF173" i="23" s="1"/>
  <c r="AD173" i="23" s="1"/>
  <c r="AI175" i="23"/>
  <c r="AH175" i="23" s="1"/>
  <c r="AG175" i="23" s="1"/>
  <c r="AF175" i="23" s="1"/>
  <c r="AD175" i="23" s="1"/>
  <c r="AI177" i="23"/>
  <c r="AH177" i="23" s="1"/>
  <c r="AG177" i="23" s="1"/>
  <c r="AF177" i="23" s="1"/>
  <c r="AD177" i="23" s="1"/>
  <c r="AI179" i="23"/>
  <c r="AH179" i="23" s="1"/>
  <c r="AG179" i="23" s="1"/>
  <c r="AF179" i="23" s="1"/>
  <c r="AD179" i="23" s="1"/>
  <c r="AI181" i="23"/>
  <c r="AH181" i="23" s="1"/>
  <c r="AG181" i="23" s="1"/>
  <c r="AF181" i="23" s="1"/>
  <c r="AD181" i="23" s="1"/>
  <c r="AI183" i="23"/>
  <c r="AH183" i="23" s="1"/>
  <c r="AG183" i="23" s="1"/>
  <c r="AF183" i="23" s="1"/>
  <c r="AD183" i="23" s="1"/>
  <c r="AI185" i="23"/>
  <c r="AH185" i="23" s="1"/>
  <c r="AG185" i="23" s="1"/>
  <c r="AF185" i="23" s="1"/>
  <c r="AD185" i="23" s="1"/>
  <c r="AI187" i="23"/>
  <c r="AH187" i="23" s="1"/>
  <c r="AG187" i="23" s="1"/>
  <c r="AF187" i="23" s="1"/>
  <c r="AD187" i="23" s="1"/>
  <c r="AI189" i="23"/>
  <c r="AH189" i="23" s="1"/>
  <c r="AG189" i="23" s="1"/>
  <c r="AF189" i="23" s="1"/>
  <c r="AD189" i="23" s="1"/>
  <c r="AI191" i="23"/>
  <c r="AH191" i="23" s="1"/>
  <c r="AG191" i="23" s="1"/>
  <c r="AF191" i="23" s="1"/>
  <c r="AD191" i="23" s="1"/>
  <c r="AI193" i="23"/>
  <c r="AH193" i="23" s="1"/>
  <c r="AG193" i="23" s="1"/>
  <c r="AF193" i="23" s="1"/>
  <c r="AD193" i="23" s="1"/>
  <c r="AI195" i="23"/>
  <c r="AH195" i="23" s="1"/>
  <c r="AG195" i="23" s="1"/>
  <c r="AF195" i="23" s="1"/>
  <c r="AD195" i="23" s="1"/>
  <c r="AI197" i="23"/>
  <c r="AH197" i="23" s="1"/>
  <c r="AG197" i="23" s="1"/>
  <c r="AF197" i="23" s="1"/>
  <c r="AD197" i="23" s="1"/>
  <c r="AI199" i="23"/>
  <c r="AH199" i="23" s="1"/>
  <c r="AG199" i="23" s="1"/>
  <c r="AF199" i="23" s="1"/>
  <c r="AD199" i="23" s="1"/>
  <c r="AI201" i="23"/>
  <c r="AH201" i="23" s="1"/>
  <c r="AG201" i="23" s="1"/>
  <c r="AF201" i="23" s="1"/>
  <c r="AD201" i="23" s="1"/>
  <c r="AI203" i="23"/>
  <c r="AH203" i="23" s="1"/>
  <c r="Q47" i="24"/>
  <c r="Q208" i="24"/>
  <c r="Q224" i="24"/>
  <c r="Q232" i="24"/>
  <c r="Q240" i="24"/>
  <c r="Q245" i="24"/>
  <c r="Q249" i="24"/>
  <c r="Q253" i="24"/>
  <c r="Q257" i="24"/>
  <c r="Q261" i="24"/>
  <c r="Q265" i="24"/>
  <c r="Q269" i="24"/>
  <c r="Q273" i="24"/>
  <c r="Q277" i="24"/>
  <c r="Q281" i="24"/>
  <c r="Q285" i="24"/>
  <c r="Q289" i="24"/>
  <c r="Q293" i="24"/>
  <c r="Q295" i="24"/>
  <c r="Q297" i="24"/>
  <c r="Q299" i="24"/>
  <c r="Q301" i="24"/>
  <c r="Q303" i="24"/>
  <c r="Q305" i="24"/>
  <c r="Q307" i="24"/>
  <c r="Q309" i="24"/>
  <c r="Q311" i="24"/>
  <c r="Q313" i="24"/>
  <c r="Q315" i="24"/>
  <c r="Q317" i="24"/>
  <c r="Q319" i="24"/>
  <c r="Q321" i="24"/>
  <c r="Q323" i="24"/>
  <c r="Q325" i="24"/>
  <c r="Q327" i="24"/>
  <c r="Q329" i="24"/>
  <c r="Q331" i="24"/>
  <c r="Q333" i="24"/>
  <c r="Q335" i="24"/>
  <c r="Q337" i="24"/>
  <c r="Q339" i="24"/>
  <c r="Q341" i="24"/>
  <c r="Q343" i="24"/>
  <c r="Q345" i="24"/>
  <c r="Q347" i="24"/>
  <c r="Q349" i="24"/>
  <c r="Q351" i="24"/>
  <c r="Q353" i="24"/>
  <c r="Q355" i="24"/>
  <c r="Q357" i="24"/>
  <c r="Q359" i="24"/>
  <c r="Q361" i="24"/>
  <c r="Q363" i="24"/>
  <c r="Q365" i="24"/>
  <c r="Q367" i="24"/>
  <c r="Q369" i="24"/>
  <c r="Q371" i="24"/>
  <c r="Q373" i="24"/>
  <c r="Q375" i="24"/>
  <c r="Q377" i="24"/>
  <c r="Q379" i="24"/>
  <c r="Q12" i="25" s="1"/>
  <c r="AI379" i="23"/>
  <c r="AI12" i="24" s="1"/>
  <c r="AI377" i="23"/>
  <c r="AH377" i="23" s="1"/>
  <c r="AG377" i="23" s="1"/>
  <c r="AF377" i="23" s="1"/>
  <c r="AD377" i="23" s="1"/>
  <c r="AI375" i="23"/>
  <c r="AH375" i="23" s="1"/>
  <c r="AG375" i="23" s="1"/>
  <c r="AF375" i="23" s="1"/>
  <c r="AD375" i="23" s="1"/>
  <c r="AI373" i="23"/>
  <c r="AH373" i="23" s="1"/>
  <c r="AG373" i="23" s="1"/>
  <c r="AF373" i="23" s="1"/>
  <c r="AD373" i="23" s="1"/>
  <c r="AI371" i="23"/>
  <c r="AH371" i="23" s="1"/>
  <c r="AG371" i="23" s="1"/>
  <c r="AF371" i="23" s="1"/>
  <c r="AD371" i="23" s="1"/>
  <c r="AI369" i="23"/>
  <c r="AH369" i="23" s="1"/>
  <c r="AI367" i="23"/>
  <c r="AH367" i="23" s="1"/>
  <c r="AG367" i="23" s="1"/>
  <c r="AF367" i="23" s="1"/>
  <c r="AD367" i="23" s="1"/>
  <c r="AI365" i="23"/>
  <c r="AH365" i="23" s="1"/>
  <c r="AG365" i="23" s="1"/>
  <c r="AF365" i="23" s="1"/>
  <c r="AD365" i="23" s="1"/>
  <c r="AI363" i="23"/>
  <c r="AH363" i="23" s="1"/>
  <c r="AG363" i="23" s="1"/>
  <c r="AF363" i="23" s="1"/>
  <c r="AD363" i="23" s="1"/>
  <c r="AI361" i="23"/>
  <c r="AH361" i="23" s="1"/>
  <c r="AG361" i="23" s="1"/>
  <c r="AF361" i="23" s="1"/>
  <c r="AD361" i="23" s="1"/>
  <c r="AI359" i="23"/>
  <c r="AH359" i="23" s="1"/>
  <c r="AG359" i="23" s="1"/>
  <c r="AF359" i="23" s="1"/>
  <c r="AD359" i="23" s="1"/>
  <c r="AI357" i="23"/>
  <c r="AH357" i="23" s="1"/>
  <c r="AG357" i="23" s="1"/>
  <c r="AF357" i="23" s="1"/>
  <c r="AD357" i="23" s="1"/>
  <c r="AI355" i="23"/>
  <c r="AH355" i="23" s="1"/>
  <c r="AG355" i="23" s="1"/>
  <c r="AF355" i="23" s="1"/>
  <c r="AD355" i="23" s="1"/>
  <c r="AI353" i="23"/>
  <c r="AH353" i="23" s="1"/>
  <c r="AG353" i="23" s="1"/>
  <c r="AF353" i="23" s="1"/>
  <c r="AD353" i="23" s="1"/>
  <c r="AI351" i="23"/>
  <c r="AH351" i="23" s="1"/>
  <c r="AG351" i="23" s="1"/>
  <c r="AF351" i="23" s="1"/>
  <c r="AD351" i="23" s="1"/>
  <c r="AI349" i="23"/>
  <c r="AH349" i="23" s="1"/>
  <c r="AG349" i="23" s="1"/>
  <c r="AF349" i="23" s="1"/>
  <c r="AD349" i="23" s="1"/>
  <c r="AI347" i="23"/>
  <c r="AH347" i="23" s="1"/>
  <c r="AI345" i="23"/>
  <c r="AH345" i="23" s="1"/>
  <c r="AG345" i="23" s="1"/>
  <c r="AF345" i="23" s="1"/>
  <c r="AD345" i="23" s="1"/>
  <c r="AI343" i="23"/>
  <c r="AH343" i="23" s="1"/>
  <c r="AG343" i="23" s="1"/>
  <c r="AF343" i="23" s="1"/>
  <c r="AD343" i="23" s="1"/>
  <c r="AI341" i="23"/>
  <c r="AH341" i="23" s="1"/>
  <c r="AG341" i="23" s="1"/>
  <c r="AF341" i="23" s="1"/>
  <c r="AD341" i="23" s="1"/>
  <c r="AI339" i="23"/>
  <c r="AH339" i="23" s="1"/>
  <c r="AG339" i="23" s="1"/>
  <c r="AF339" i="23" s="1"/>
  <c r="AD339" i="23" s="1"/>
  <c r="AI337" i="23"/>
  <c r="AH337" i="23" s="1"/>
  <c r="AG337" i="23" s="1"/>
  <c r="AF337" i="23" s="1"/>
  <c r="AD337" i="23" s="1"/>
  <c r="AI335" i="23"/>
  <c r="AH335" i="23" s="1"/>
  <c r="AG335" i="23" s="1"/>
  <c r="AF335" i="23" s="1"/>
  <c r="AD335" i="23" s="1"/>
  <c r="AI333" i="23"/>
  <c r="AH333" i="23" s="1"/>
  <c r="AG333" i="23" s="1"/>
  <c r="AF333" i="23" s="1"/>
  <c r="AD333" i="23" s="1"/>
  <c r="AI331" i="23"/>
  <c r="AH331" i="23" s="1"/>
  <c r="AG331" i="23" s="1"/>
  <c r="AF331" i="23" s="1"/>
  <c r="AD331" i="23" s="1"/>
  <c r="AI329" i="23"/>
  <c r="AH329" i="23" s="1"/>
  <c r="AG329" i="23" s="1"/>
  <c r="AF329" i="23" s="1"/>
  <c r="AD329" i="23" s="1"/>
  <c r="AI327" i="23"/>
  <c r="AH327" i="23" s="1"/>
  <c r="AG327" i="23" s="1"/>
  <c r="AF327" i="23" s="1"/>
  <c r="AD327" i="23" s="1"/>
  <c r="AI325" i="23"/>
  <c r="AH325" i="23" s="1"/>
  <c r="AG325" i="23" s="1"/>
  <c r="AF325" i="23" s="1"/>
  <c r="AD325" i="23" s="1"/>
  <c r="AI323" i="23"/>
  <c r="AH323" i="23" s="1"/>
  <c r="AG323" i="23" s="1"/>
  <c r="AF323" i="23" s="1"/>
  <c r="AD323" i="23" s="1"/>
  <c r="AI321" i="23"/>
  <c r="AH321" i="23" s="1"/>
  <c r="AG321" i="23" s="1"/>
  <c r="AF321" i="23" s="1"/>
  <c r="AD321" i="23" s="1"/>
  <c r="AI319" i="23"/>
  <c r="AH319" i="23" s="1"/>
  <c r="AG319" i="23" s="1"/>
  <c r="AF319" i="23" s="1"/>
  <c r="AD319" i="23" s="1"/>
  <c r="AI317" i="23"/>
  <c r="AH317" i="23" s="1"/>
  <c r="AG317" i="23" s="1"/>
  <c r="AF317" i="23" s="1"/>
  <c r="AD317" i="23" s="1"/>
  <c r="AI315" i="23"/>
  <c r="AH315" i="23" s="1"/>
  <c r="AG315" i="23" s="1"/>
  <c r="AF315" i="23" s="1"/>
  <c r="AD315" i="23" s="1"/>
  <c r="AI313" i="23"/>
  <c r="AH313" i="23" s="1"/>
  <c r="AG313" i="23" s="1"/>
  <c r="AF313" i="23" s="1"/>
  <c r="AD313" i="23" s="1"/>
  <c r="AI311" i="23"/>
  <c r="AH311" i="23" s="1"/>
  <c r="AG311" i="23" s="1"/>
  <c r="AF311" i="23" s="1"/>
  <c r="AD311" i="23" s="1"/>
  <c r="AI309" i="23"/>
  <c r="AH309" i="23" s="1"/>
  <c r="AG309" i="23" s="1"/>
  <c r="AF309" i="23" s="1"/>
  <c r="AD309" i="23" s="1"/>
  <c r="AI307" i="23"/>
  <c r="AH307" i="23" s="1"/>
  <c r="AG307" i="23" s="1"/>
  <c r="AF307" i="23" s="1"/>
  <c r="AD307" i="23" s="1"/>
  <c r="AI305" i="23"/>
  <c r="AH305" i="23" s="1"/>
  <c r="AG305" i="23" s="1"/>
  <c r="AF305" i="23" s="1"/>
  <c r="AD305" i="23" s="1"/>
  <c r="AI303" i="23"/>
  <c r="AH303" i="23" s="1"/>
  <c r="AG303" i="23" s="1"/>
  <c r="AF303" i="23" s="1"/>
  <c r="AD303" i="23" s="1"/>
  <c r="AI301" i="23"/>
  <c r="AH301" i="23" s="1"/>
  <c r="AG301" i="23" s="1"/>
  <c r="AF301" i="23" s="1"/>
  <c r="AD301" i="23" s="1"/>
  <c r="AI299" i="23"/>
  <c r="AH299" i="23" s="1"/>
  <c r="AG299" i="23" s="1"/>
  <c r="AF299" i="23" s="1"/>
  <c r="AD299" i="23" s="1"/>
  <c r="AI297" i="23"/>
  <c r="AH297" i="23" s="1"/>
  <c r="AG297" i="23" s="1"/>
  <c r="AF297" i="23" s="1"/>
  <c r="AD297" i="23" s="1"/>
  <c r="AI295" i="23"/>
  <c r="AH295" i="23" s="1"/>
  <c r="AG295" i="23" s="1"/>
  <c r="AF295" i="23" s="1"/>
  <c r="AD295" i="23" s="1"/>
  <c r="AI293" i="23"/>
  <c r="AH293" i="23" s="1"/>
  <c r="AI291" i="23"/>
  <c r="AH291" i="23" s="1"/>
  <c r="AG291" i="23" s="1"/>
  <c r="AF291" i="23" s="1"/>
  <c r="AD291" i="23" s="1"/>
  <c r="AI289" i="23"/>
  <c r="AH289" i="23" s="1"/>
  <c r="AG289" i="23" s="1"/>
  <c r="AF289" i="23" s="1"/>
  <c r="AD289" i="23" s="1"/>
  <c r="AI287" i="23"/>
  <c r="AH287" i="23" s="1"/>
  <c r="AG287" i="23" s="1"/>
  <c r="AF287" i="23" s="1"/>
  <c r="AD287" i="23" s="1"/>
  <c r="AI285" i="23"/>
  <c r="AH285" i="23" s="1"/>
  <c r="AG285" i="23" s="1"/>
  <c r="AF285" i="23" s="1"/>
  <c r="AD285" i="23" s="1"/>
  <c r="AI283" i="23"/>
  <c r="AH283" i="23" s="1"/>
  <c r="AG283" i="23" s="1"/>
  <c r="AF283" i="23" s="1"/>
  <c r="AD283" i="23" s="1"/>
  <c r="AI281" i="23"/>
  <c r="AH281" i="23" s="1"/>
  <c r="AG281" i="23" s="1"/>
  <c r="AF281" i="23" s="1"/>
  <c r="AD281" i="23" s="1"/>
  <c r="AI279" i="23"/>
  <c r="AH279" i="23" s="1"/>
  <c r="AG279" i="23" s="1"/>
  <c r="AF279" i="23" s="1"/>
  <c r="AD279" i="23" s="1"/>
  <c r="AI277" i="23"/>
  <c r="AH277" i="23" s="1"/>
  <c r="AG277" i="23" s="1"/>
  <c r="AF277" i="23" s="1"/>
  <c r="AD277" i="23" s="1"/>
  <c r="AI275" i="23"/>
  <c r="AH275" i="23" s="1"/>
  <c r="AG275" i="23" s="1"/>
  <c r="AF275" i="23" s="1"/>
  <c r="AD275" i="23" s="1"/>
  <c r="AI273" i="23"/>
  <c r="AH273" i="23" s="1"/>
  <c r="AG273" i="23" s="1"/>
  <c r="AF273" i="23" s="1"/>
  <c r="AD273" i="23" s="1"/>
  <c r="AI271" i="23"/>
  <c r="AH271" i="23" s="1"/>
  <c r="AG271" i="23" s="1"/>
  <c r="AF271" i="23" s="1"/>
  <c r="AD271" i="23" s="1"/>
  <c r="AI269" i="23"/>
  <c r="AH269" i="23" s="1"/>
  <c r="AG269" i="23" s="1"/>
  <c r="AF269" i="23" s="1"/>
  <c r="AD269" i="23" s="1"/>
  <c r="AI267" i="23"/>
  <c r="AH267" i="23" s="1"/>
  <c r="AG267" i="23" s="1"/>
  <c r="AF267" i="23" s="1"/>
  <c r="AD267" i="23" s="1"/>
  <c r="AI265" i="23"/>
  <c r="AH265" i="23" s="1"/>
  <c r="AG265" i="23" s="1"/>
  <c r="AF265" i="23" s="1"/>
  <c r="AD265" i="23" s="1"/>
  <c r="AI263" i="23"/>
  <c r="AH263" i="23" s="1"/>
  <c r="AG263" i="23" s="1"/>
  <c r="AF263" i="23" s="1"/>
  <c r="AD263" i="23" s="1"/>
  <c r="AI261" i="23"/>
  <c r="AH261" i="23" s="1"/>
  <c r="AG261" i="23" s="1"/>
  <c r="AF261" i="23" s="1"/>
  <c r="AD261" i="23" s="1"/>
  <c r="AI259" i="23"/>
  <c r="AH259" i="23" s="1"/>
  <c r="AG259" i="23" s="1"/>
  <c r="AF259" i="23" s="1"/>
  <c r="AD259" i="23" s="1"/>
  <c r="AI257" i="23"/>
  <c r="AH257" i="23" s="1"/>
  <c r="AG257" i="23" s="1"/>
  <c r="AF257" i="23" s="1"/>
  <c r="AD257" i="23" s="1"/>
  <c r="AI255" i="23"/>
  <c r="AH255" i="23" s="1"/>
  <c r="AG255" i="23" s="1"/>
  <c r="AF255" i="23" s="1"/>
  <c r="AD255" i="23" s="1"/>
  <c r="AI253" i="23"/>
  <c r="AH253" i="23" s="1"/>
  <c r="AG253" i="23" s="1"/>
  <c r="AF253" i="23" s="1"/>
  <c r="AD253" i="23" s="1"/>
  <c r="AI251" i="23"/>
  <c r="AH251" i="23" s="1"/>
  <c r="AG251" i="23" s="1"/>
  <c r="AF251" i="23" s="1"/>
  <c r="AD251" i="23" s="1"/>
  <c r="AI249" i="23"/>
  <c r="AH249" i="23" s="1"/>
  <c r="AG249" i="23" s="1"/>
  <c r="AF249" i="23" s="1"/>
  <c r="AD249" i="23" s="1"/>
  <c r="AI247" i="23"/>
  <c r="AH247" i="23" s="1"/>
  <c r="AG247" i="23" s="1"/>
  <c r="AF247" i="23" s="1"/>
  <c r="AD247" i="23" s="1"/>
  <c r="AI245" i="23"/>
  <c r="AH245" i="23" s="1"/>
  <c r="AG245" i="23" s="1"/>
  <c r="AF245" i="23" s="1"/>
  <c r="AD245" i="23" s="1"/>
  <c r="AI243" i="23"/>
  <c r="AH243" i="23" s="1"/>
  <c r="AG243" i="23" s="1"/>
  <c r="AF243" i="23" s="1"/>
  <c r="AD243" i="23" s="1"/>
  <c r="AI241" i="23"/>
  <c r="AH241" i="23" s="1"/>
  <c r="AG241" i="23" s="1"/>
  <c r="AF241" i="23" s="1"/>
  <c r="AD241" i="23" s="1"/>
  <c r="AI239" i="23"/>
  <c r="AH239" i="23" s="1"/>
  <c r="AG239" i="23" s="1"/>
  <c r="AF239" i="23" s="1"/>
  <c r="AD239" i="23" s="1"/>
  <c r="AI237" i="23"/>
  <c r="AH237" i="23" s="1"/>
  <c r="AI235" i="23"/>
  <c r="AH235" i="23" s="1"/>
  <c r="AG235" i="23" s="1"/>
  <c r="AF235" i="23" s="1"/>
  <c r="AD235" i="23" s="1"/>
  <c r="AI233" i="23"/>
  <c r="AH233" i="23" s="1"/>
  <c r="AG233" i="23" s="1"/>
  <c r="AF233" i="23" s="1"/>
  <c r="AD233" i="23" s="1"/>
  <c r="AI231" i="23"/>
  <c r="AH231" i="23" s="1"/>
  <c r="AG231" i="23" s="1"/>
  <c r="AF231" i="23" s="1"/>
  <c r="AD231" i="23" s="1"/>
  <c r="AI229" i="23"/>
  <c r="AH229" i="23" s="1"/>
  <c r="AG229" i="23" s="1"/>
  <c r="AF229" i="23" s="1"/>
  <c r="AD229" i="23" s="1"/>
  <c r="AI227" i="23"/>
  <c r="AH227" i="23" s="1"/>
  <c r="AG227" i="23" s="1"/>
  <c r="AF227" i="23" s="1"/>
  <c r="AD227" i="23" s="1"/>
  <c r="AI225" i="23"/>
  <c r="AH225" i="23" s="1"/>
  <c r="AG225" i="23" s="1"/>
  <c r="AF225" i="23" s="1"/>
  <c r="AD225" i="23" s="1"/>
  <c r="AI223" i="23"/>
  <c r="AH223" i="23" s="1"/>
  <c r="AG223" i="23" s="1"/>
  <c r="AF223" i="23" s="1"/>
  <c r="AD223" i="23" s="1"/>
  <c r="AI221" i="23"/>
  <c r="AH221" i="23" s="1"/>
  <c r="AG221" i="23" s="1"/>
  <c r="AF221" i="23" s="1"/>
  <c r="AD221" i="23" s="1"/>
  <c r="AI219" i="23"/>
  <c r="AH219" i="23" s="1"/>
  <c r="AG219" i="23" s="1"/>
  <c r="AF219" i="23" s="1"/>
  <c r="AD219" i="23" s="1"/>
  <c r="AI217" i="23"/>
  <c r="AH217" i="23" s="1"/>
  <c r="AG217" i="23" s="1"/>
  <c r="AF217" i="23" s="1"/>
  <c r="AD217" i="23" s="1"/>
  <c r="AI215" i="23"/>
  <c r="AH215" i="23" s="1"/>
  <c r="AG215" i="23" s="1"/>
  <c r="AF215" i="23" s="1"/>
  <c r="AD215" i="23" s="1"/>
  <c r="AI213" i="23"/>
  <c r="AH213" i="23" s="1"/>
  <c r="AG213" i="23" s="1"/>
  <c r="AF213" i="23" s="1"/>
  <c r="AD213" i="23" s="1"/>
  <c r="AI211" i="23"/>
  <c r="AH211" i="23" s="1"/>
  <c r="AG211" i="23" s="1"/>
  <c r="AF211" i="23" s="1"/>
  <c r="AD211" i="23" s="1"/>
  <c r="AI209" i="23"/>
  <c r="AH209" i="23" s="1"/>
  <c r="AG209" i="23" s="1"/>
  <c r="AF209" i="23" s="1"/>
  <c r="AD209" i="23" s="1"/>
  <c r="AI207" i="23"/>
  <c r="AH207" i="23" s="1"/>
  <c r="AG207" i="23" s="1"/>
  <c r="AF207" i="23" s="1"/>
  <c r="AD207" i="23" s="1"/>
  <c r="AI205" i="23"/>
  <c r="AH205" i="23" s="1"/>
  <c r="AG205" i="23" s="1"/>
  <c r="AF205" i="23" s="1"/>
  <c r="AD205" i="23" s="1"/>
  <c r="AI202" i="23"/>
  <c r="AH202" i="23" s="1"/>
  <c r="AG202" i="23" s="1"/>
  <c r="AF202" i="23" s="1"/>
  <c r="AD202" i="23" s="1"/>
  <c r="AI198" i="23"/>
  <c r="AH198" i="23" s="1"/>
  <c r="AG198" i="23" s="1"/>
  <c r="AF198" i="23" s="1"/>
  <c r="AD198" i="23" s="1"/>
  <c r="AI194" i="23"/>
  <c r="AH194" i="23" s="1"/>
  <c r="AG194" i="23" s="1"/>
  <c r="AF194" i="23" s="1"/>
  <c r="AD194" i="23" s="1"/>
  <c r="AI190" i="23"/>
  <c r="AH190" i="23" s="1"/>
  <c r="AG190" i="23" s="1"/>
  <c r="AF190" i="23" s="1"/>
  <c r="AD190" i="23" s="1"/>
  <c r="AI186" i="23"/>
  <c r="AH186" i="23" s="1"/>
  <c r="AG186" i="23" s="1"/>
  <c r="AF186" i="23" s="1"/>
  <c r="AD186" i="23" s="1"/>
  <c r="AI182" i="23"/>
  <c r="AH182" i="23" s="1"/>
  <c r="AG182" i="23" s="1"/>
  <c r="AF182" i="23" s="1"/>
  <c r="AD182" i="23" s="1"/>
  <c r="AI178" i="23"/>
  <c r="AH178" i="23" s="1"/>
  <c r="AG178" i="23" s="1"/>
  <c r="AF178" i="23" s="1"/>
  <c r="AD178" i="23" s="1"/>
  <c r="AI174" i="23"/>
  <c r="AH174" i="23" s="1"/>
  <c r="AG174" i="23" s="1"/>
  <c r="AF174" i="23" s="1"/>
  <c r="AD174" i="23" s="1"/>
  <c r="AI170" i="23"/>
  <c r="AH170" i="23" s="1"/>
  <c r="AG170" i="23" s="1"/>
  <c r="AF170" i="23" s="1"/>
  <c r="AD170" i="23" s="1"/>
  <c r="AI166" i="23"/>
  <c r="AH166" i="23" s="1"/>
  <c r="AG166" i="23" s="1"/>
  <c r="AF166" i="23" s="1"/>
  <c r="AD166" i="23" s="1"/>
  <c r="AI162" i="23"/>
  <c r="AH162" i="23" s="1"/>
  <c r="AG162" i="23" s="1"/>
  <c r="AF162" i="23" s="1"/>
  <c r="AD162" i="23" s="1"/>
  <c r="AI158" i="23"/>
  <c r="AH158" i="23" s="1"/>
  <c r="AG158" i="23" s="1"/>
  <c r="AF158" i="23" s="1"/>
  <c r="AD158" i="23" s="1"/>
  <c r="AI154" i="23"/>
  <c r="AH154" i="23" s="1"/>
  <c r="AG154" i="23" s="1"/>
  <c r="AF154" i="23" s="1"/>
  <c r="AD154" i="23" s="1"/>
  <c r="AI150" i="23"/>
  <c r="AH150" i="23" s="1"/>
  <c r="AG150" i="23" s="1"/>
  <c r="AF150" i="23" s="1"/>
  <c r="AD150" i="23" s="1"/>
  <c r="AI146" i="23"/>
  <c r="AH146" i="23" s="1"/>
  <c r="AG146" i="23" s="1"/>
  <c r="AF146" i="23" s="1"/>
  <c r="AD146" i="23" s="1"/>
  <c r="AI142" i="23"/>
  <c r="AH142" i="23" s="1"/>
  <c r="AG142" i="23" s="1"/>
  <c r="AF142" i="23" s="1"/>
  <c r="AD142" i="23" s="1"/>
  <c r="AI138" i="23"/>
  <c r="AH138" i="23" s="1"/>
  <c r="AG138" i="23" s="1"/>
  <c r="AF138" i="23" s="1"/>
  <c r="AD138" i="23" s="1"/>
  <c r="AI134" i="23"/>
  <c r="AH134" i="23" s="1"/>
  <c r="AG134" i="23" s="1"/>
  <c r="AF134" i="23" s="1"/>
  <c r="AD134" i="23" s="1"/>
  <c r="AI130" i="23"/>
  <c r="AH130" i="23" s="1"/>
  <c r="AG130" i="23" s="1"/>
  <c r="AF130" i="23" s="1"/>
  <c r="AD130" i="23" s="1"/>
  <c r="AI126" i="23"/>
  <c r="AH126" i="23" s="1"/>
  <c r="AG126" i="23" s="1"/>
  <c r="AF126" i="23" s="1"/>
  <c r="AD126" i="23" s="1"/>
  <c r="AI122" i="23"/>
  <c r="AH122" i="23" s="1"/>
  <c r="AG122" i="23" s="1"/>
  <c r="AF122" i="23" s="1"/>
  <c r="AD122" i="23" s="1"/>
  <c r="AI118" i="23"/>
  <c r="AH118" i="23" s="1"/>
  <c r="AG118" i="23" s="1"/>
  <c r="AF118" i="23" s="1"/>
  <c r="AD118" i="23" s="1"/>
  <c r="AI114" i="23"/>
  <c r="AH114" i="23" s="1"/>
  <c r="AG114" i="23" s="1"/>
  <c r="AF114" i="23" s="1"/>
  <c r="AD114" i="23" s="1"/>
  <c r="AI110" i="23"/>
  <c r="AH110" i="23" s="1"/>
  <c r="AG110" i="23" s="1"/>
  <c r="AF110" i="23" s="1"/>
  <c r="AD110" i="23" s="1"/>
  <c r="AI106" i="23"/>
  <c r="AH106" i="23" s="1"/>
  <c r="AG106" i="23" s="1"/>
  <c r="AF106" i="23" s="1"/>
  <c r="AD106" i="23" s="1"/>
  <c r="AI102" i="23"/>
  <c r="AH102" i="23" s="1"/>
  <c r="AG102" i="23" s="1"/>
  <c r="AF102" i="23" s="1"/>
  <c r="AD102" i="23" s="1"/>
  <c r="AI98" i="23"/>
  <c r="AH98" i="23" s="1"/>
  <c r="AG98" i="23" s="1"/>
  <c r="AF98" i="23" s="1"/>
  <c r="AD98" i="23" s="1"/>
  <c r="AI94" i="23"/>
  <c r="AH94" i="23" s="1"/>
  <c r="AG94" i="23" s="1"/>
  <c r="AF94" i="23" s="1"/>
  <c r="AD94" i="23" s="1"/>
  <c r="AI90" i="23"/>
  <c r="AH90" i="23" s="1"/>
  <c r="AG90" i="23" s="1"/>
  <c r="AF90" i="23" s="1"/>
  <c r="AD90" i="23" s="1"/>
  <c r="AI86" i="23"/>
  <c r="AH86" i="23" s="1"/>
  <c r="AG86" i="23" s="1"/>
  <c r="AF86" i="23" s="1"/>
  <c r="AD86" i="23" s="1"/>
  <c r="AI82" i="23"/>
  <c r="AH82" i="23" s="1"/>
  <c r="AG82" i="23" s="1"/>
  <c r="AF82" i="23" s="1"/>
  <c r="AD82" i="23" s="1"/>
  <c r="AI78" i="23"/>
  <c r="AH78" i="23" s="1"/>
  <c r="AG78" i="23" s="1"/>
  <c r="AF78" i="23" s="1"/>
  <c r="AD78" i="23" s="1"/>
  <c r="AI74" i="23"/>
  <c r="AH74" i="23" s="1"/>
  <c r="AG74" i="23" s="1"/>
  <c r="AF74" i="23" s="1"/>
  <c r="AD74" i="23" s="1"/>
  <c r="AI70" i="23"/>
  <c r="AH70" i="23" s="1"/>
  <c r="AG70" i="23" s="1"/>
  <c r="AF70" i="23" s="1"/>
  <c r="AD70" i="23" s="1"/>
  <c r="AI66" i="23"/>
  <c r="AH66" i="23" s="1"/>
  <c r="AG66" i="23" s="1"/>
  <c r="AF66" i="23" s="1"/>
  <c r="AD66" i="23" s="1"/>
  <c r="AI57" i="23"/>
  <c r="AH57" i="23" s="1"/>
  <c r="AG57" i="23" s="1"/>
  <c r="AF57" i="23" s="1"/>
  <c r="AD57" i="23" s="1"/>
  <c r="AI41" i="23"/>
  <c r="AH41" i="23" s="1"/>
  <c r="AG41" i="23" s="1"/>
  <c r="AF41" i="23" s="1"/>
  <c r="AD41" i="23" s="1"/>
  <c r="AI25" i="23"/>
  <c r="AH25" i="23" s="1"/>
  <c r="AG25" i="23" s="1"/>
  <c r="AF25" i="23" s="1"/>
  <c r="AD25" i="23" s="1"/>
  <c r="U369" i="23"/>
  <c r="T369" i="23" s="1"/>
  <c r="S369" i="23" s="1"/>
  <c r="R369" i="23" s="1"/>
  <c r="P369" i="23" s="1"/>
  <c r="V369" i="23" s="1"/>
  <c r="U353" i="23"/>
  <c r="T353" i="23" s="1"/>
  <c r="S353" i="23" s="1"/>
  <c r="R353" i="23" s="1"/>
  <c r="P353" i="23" s="1"/>
  <c r="V353" i="23" s="1"/>
  <c r="U337" i="23"/>
  <c r="T337" i="23" s="1"/>
  <c r="S337" i="23" s="1"/>
  <c r="R337" i="23" s="1"/>
  <c r="P337" i="23" s="1"/>
  <c r="V337" i="23" s="1"/>
  <c r="U321" i="23"/>
  <c r="T321" i="23" s="1"/>
  <c r="S321" i="23" s="1"/>
  <c r="R321" i="23" s="1"/>
  <c r="P321" i="23" s="1"/>
  <c r="V321" i="23" s="1"/>
  <c r="U305" i="23"/>
  <c r="T305" i="23" s="1"/>
  <c r="S305" i="23" s="1"/>
  <c r="R305" i="23" s="1"/>
  <c r="P305" i="23" s="1"/>
  <c r="V305" i="23" s="1"/>
  <c r="U289" i="23"/>
  <c r="T289" i="23" s="1"/>
  <c r="S289" i="23" s="1"/>
  <c r="R289" i="23" s="1"/>
  <c r="P289" i="23" s="1"/>
  <c r="V289" i="23" s="1"/>
  <c r="U273" i="23"/>
  <c r="T273" i="23" s="1"/>
  <c r="U257" i="23"/>
  <c r="T257" i="23" s="1"/>
  <c r="S257" i="23" s="1"/>
  <c r="R257" i="23" s="1"/>
  <c r="P257" i="23" s="1"/>
  <c r="V257" i="23" s="1"/>
  <c r="U241" i="23"/>
  <c r="T241" i="23" s="1"/>
  <c r="S241" i="23" s="1"/>
  <c r="R241" i="23" s="1"/>
  <c r="P241" i="23" s="1"/>
  <c r="U225" i="23"/>
  <c r="T225" i="23" s="1"/>
  <c r="S225" i="23" s="1"/>
  <c r="R225" i="23" s="1"/>
  <c r="P225" i="23" s="1"/>
  <c r="V225" i="23" s="1"/>
  <c r="U209" i="23"/>
  <c r="T209" i="23" s="1"/>
  <c r="U193" i="23"/>
  <c r="T193" i="23" s="1"/>
  <c r="U170" i="23"/>
  <c r="T170" i="23" s="1"/>
  <c r="S170" i="23" s="1"/>
  <c r="R170" i="23" s="1"/>
  <c r="P170" i="23" s="1"/>
  <c r="V170" i="23" s="1"/>
  <c r="U138" i="23"/>
  <c r="T138" i="23" s="1"/>
  <c r="S138" i="23" s="1"/>
  <c r="R138" i="23" s="1"/>
  <c r="P138" i="23" s="1"/>
  <c r="V138" i="23" s="1"/>
  <c r="U106" i="23"/>
  <c r="T106" i="23" s="1"/>
  <c r="S106" i="23" s="1"/>
  <c r="R106" i="23" s="1"/>
  <c r="P106" i="23" s="1"/>
  <c r="V106" i="23" s="1"/>
  <c r="U74" i="23"/>
  <c r="T74" i="23" s="1"/>
  <c r="S74" i="23" s="1"/>
  <c r="R74" i="23" s="1"/>
  <c r="P74" i="23" s="1"/>
  <c r="V74" i="23" s="1"/>
  <c r="U42" i="23"/>
  <c r="T42" i="23" s="1"/>
  <c r="S42" i="23" s="1"/>
  <c r="R42" i="23" s="1"/>
  <c r="P42" i="23" s="1"/>
  <c r="V42" i="23" s="1"/>
  <c r="Q378" i="24"/>
  <c r="Q374" i="24"/>
  <c r="Q370" i="24"/>
  <c r="Q366" i="24"/>
  <c r="Q362" i="24"/>
  <c r="Q358" i="24"/>
  <c r="Q354" i="24"/>
  <c r="Q350" i="24"/>
  <c r="Q346" i="24"/>
  <c r="Q342" i="24"/>
  <c r="Q338" i="24"/>
  <c r="Q334" i="24"/>
  <c r="Q330" i="24"/>
  <c r="Q326" i="24"/>
  <c r="Q322" i="24"/>
  <c r="Q318" i="24"/>
  <c r="Q314" i="24"/>
  <c r="Q310" i="24"/>
  <c r="Q306" i="24"/>
  <c r="Q302" i="24"/>
  <c r="Q298" i="24"/>
  <c r="Q294" i="24"/>
  <c r="Q287" i="24"/>
  <c r="Q279" i="24"/>
  <c r="Q271" i="24"/>
  <c r="Q263" i="24"/>
  <c r="Q255" i="24"/>
  <c r="Q247" i="24"/>
  <c r="Q236" i="24"/>
  <c r="Q220" i="24"/>
  <c r="Q216" i="24"/>
  <c r="Q192" i="24"/>
  <c r="AE11" i="24"/>
  <c r="Q200" i="24"/>
  <c r="Q184" i="24"/>
  <c r="Q168" i="24"/>
  <c r="Q176" i="24"/>
  <c r="Q160" i="24"/>
  <c r="U23" i="23"/>
  <c r="T23" i="23" s="1"/>
  <c r="S23" i="23" s="1"/>
  <c r="R23" i="23" s="1"/>
  <c r="P23" i="23" s="1"/>
  <c r="V23" i="23" s="1"/>
  <c r="U20" i="23"/>
  <c r="T20" i="23" s="1"/>
  <c r="U30" i="23"/>
  <c r="T30" i="23" s="1"/>
  <c r="S30" i="23" s="1"/>
  <c r="R30" i="23" s="1"/>
  <c r="P30" i="23" s="1"/>
  <c r="V30" i="23" s="1"/>
  <c r="U38" i="23"/>
  <c r="T38" i="23" s="1"/>
  <c r="U46" i="23"/>
  <c r="T46" i="23" s="1"/>
  <c r="S46" i="23" s="1"/>
  <c r="R46" i="23" s="1"/>
  <c r="P46" i="23" s="1"/>
  <c r="V46" i="23" s="1"/>
  <c r="U54" i="23"/>
  <c r="T54" i="23" s="1"/>
  <c r="S54" i="23" s="1"/>
  <c r="R54" i="23" s="1"/>
  <c r="P54" i="23" s="1"/>
  <c r="V54" i="23" s="1"/>
  <c r="U62" i="23"/>
  <c r="T62" i="23" s="1"/>
  <c r="S62" i="23" s="1"/>
  <c r="R62" i="23" s="1"/>
  <c r="P62" i="23" s="1"/>
  <c r="V62" i="23" s="1"/>
  <c r="U70" i="23"/>
  <c r="T70" i="23" s="1"/>
  <c r="S70" i="23" s="1"/>
  <c r="R70" i="23" s="1"/>
  <c r="P70" i="23" s="1"/>
  <c r="V70" i="23" s="1"/>
  <c r="U78" i="23"/>
  <c r="T78" i="23" s="1"/>
  <c r="S78" i="23" s="1"/>
  <c r="R78" i="23" s="1"/>
  <c r="P78" i="23" s="1"/>
  <c r="V78" i="23" s="1"/>
  <c r="U86" i="23"/>
  <c r="T86" i="23" s="1"/>
  <c r="S86" i="23" s="1"/>
  <c r="R86" i="23" s="1"/>
  <c r="P86" i="23" s="1"/>
  <c r="V86" i="23" s="1"/>
  <c r="U94" i="23"/>
  <c r="T94" i="23" s="1"/>
  <c r="S94" i="23" s="1"/>
  <c r="R94" i="23" s="1"/>
  <c r="P94" i="23" s="1"/>
  <c r="V94" i="23" s="1"/>
  <c r="U102" i="23"/>
  <c r="T102" i="23" s="1"/>
  <c r="S102" i="23" s="1"/>
  <c r="R102" i="23" s="1"/>
  <c r="P102" i="23" s="1"/>
  <c r="V102" i="23" s="1"/>
  <c r="U110" i="23"/>
  <c r="T110" i="23" s="1"/>
  <c r="S110" i="23" s="1"/>
  <c r="R110" i="23" s="1"/>
  <c r="P110" i="23" s="1"/>
  <c r="V110" i="23" s="1"/>
  <c r="U118" i="23"/>
  <c r="T118" i="23" s="1"/>
  <c r="S118" i="23" s="1"/>
  <c r="R118" i="23" s="1"/>
  <c r="P118" i="23" s="1"/>
  <c r="V118" i="23" s="1"/>
  <c r="U126" i="23"/>
  <c r="T126" i="23" s="1"/>
  <c r="S126" i="23" s="1"/>
  <c r="R126" i="23" s="1"/>
  <c r="P126" i="23" s="1"/>
  <c r="V126" i="23" s="1"/>
  <c r="U134" i="23"/>
  <c r="T134" i="23" s="1"/>
  <c r="S134" i="23" s="1"/>
  <c r="R134" i="23" s="1"/>
  <c r="P134" i="23" s="1"/>
  <c r="V134" i="23" s="1"/>
  <c r="U142" i="23"/>
  <c r="T142" i="23" s="1"/>
  <c r="S142" i="23" s="1"/>
  <c r="R142" i="23" s="1"/>
  <c r="P142" i="23" s="1"/>
  <c r="V142" i="23" s="1"/>
  <c r="U150" i="23"/>
  <c r="T150" i="23" s="1"/>
  <c r="S150" i="23" s="1"/>
  <c r="R150" i="23" s="1"/>
  <c r="P150" i="23" s="1"/>
  <c r="V150" i="23" s="1"/>
  <c r="U158" i="23"/>
  <c r="T158" i="23" s="1"/>
  <c r="S158" i="23" s="1"/>
  <c r="R158" i="23" s="1"/>
  <c r="P158" i="23" s="1"/>
  <c r="V158" i="23" s="1"/>
  <c r="U166" i="23"/>
  <c r="T166" i="23" s="1"/>
  <c r="S166" i="23" s="1"/>
  <c r="R166" i="23" s="1"/>
  <c r="P166" i="23" s="1"/>
  <c r="V166" i="23" s="1"/>
  <c r="U174" i="23"/>
  <c r="T174" i="23" s="1"/>
  <c r="S174" i="23" s="1"/>
  <c r="R174" i="23" s="1"/>
  <c r="P174" i="23" s="1"/>
  <c r="V174" i="23" s="1"/>
  <c r="U182" i="23"/>
  <c r="T182" i="23" s="1"/>
  <c r="S182" i="23" s="1"/>
  <c r="R182" i="23" s="1"/>
  <c r="P182" i="23" s="1"/>
  <c r="V182" i="23" s="1"/>
  <c r="U187" i="23"/>
  <c r="T187" i="23" s="1"/>
  <c r="S187" i="23" s="1"/>
  <c r="R187" i="23" s="1"/>
  <c r="P187" i="23" s="1"/>
  <c r="V187" i="23" s="1"/>
  <c r="U191" i="23"/>
  <c r="T191" i="23" s="1"/>
  <c r="U195" i="23"/>
  <c r="T195" i="23" s="1"/>
  <c r="S195" i="23" s="1"/>
  <c r="R195" i="23" s="1"/>
  <c r="P195" i="23" s="1"/>
  <c r="V195" i="23" s="1"/>
  <c r="U199" i="23"/>
  <c r="T199" i="23" s="1"/>
  <c r="S199" i="23" s="1"/>
  <c r="R199" i="23" s="1"/>
  <c r="P199" i="23" s="1"/>
  <c r="V199" i="23" s="1"/>
  <c r="U203" i="23"/>
  <c r="T203" i="23" s="1"/>
  <c r="S203" i="23" s="1"/>
  <c r="R203" i="23" s="1"/>
  <c r="P203" i="23" s="1"/>
  <c r="V203" i="23" s="1"/>
  <c r="U207" i="23"/>
  <c r="T207" i="23" s="1"/>
  <c r="S207" i="23" s="1"/>
  <c r="R207" i="23" s="1"/>
  <c r="P207" i="23" s="1"/>
  <c r="V207" i="23" s="1"/>
  <c r="U211" i="23"/>
  <c r="T211" i="23" s="1"/>
  <c r="S211" i="23" s="1"/>
  <c r="R211" i="23" s="1"/>
  <c r="P211" i="23" s="1"/>
  <c r="V211" i="23" s="1"/>
  <c r="U215" i="23"/>
  <c r="T215" i="23" s="1"/>
  <c r="S215" i="23" s="1"/>
  <c r="R215" i="23" s="1"/>
  <c r="P215" i="23" s="1"/>
  <c r="V215" i="23" s="1"/>
  <c r="U219" i="23"/>
  <c r="T219" i="23" s="1"/>
  <c r="S219" i="23" s="1"/>
  <c r="R219" i="23" s="1"/>
  <c r="P219" i="23" s="1"/>
  <c r="V219" i="23" s="1"/>
  <c r="U223" i="23"/>
  <c r="T223" i="23" s="1"/>
  <c r="S223" i="23" s="1"/>
  <c r="R223" i="23" s="1"/>
  <c r="P223" i="23" s="1"/>
  <c r="V223" i="23" s="1"/>
  <c r="U227" i="23"/>
  <c r="T227" i="23" s="1"/>
  <c r="S227" i="23" s="1"/>
  <c r="R227" i="23" s="1"/>
  <c r="P227" i="23" s="1"/>
  <c r="V227" i="23" s="1"/>
  <c r="U231" i="23"/>
  <c r="T231" i="23" s="1"/>
  <c r="S231" i="23" s="1"/>
  <c r="R231" i="23" s="1"/>
  <c r="P231" i="23" s="1"/>
  <c r="V231" i="23" s="1"/>
  <c r="U235" i="23"/>
  <c r="T235" i="23" s="1"/>
  <c r="S235" i="23" s="1"/>
  <c r="R235" i="23" s="1"/>
  <c r="P235" i="23" s="1"/>
  <c r="V235" i="23" s="1"/>
  <c r="U239" i="23"/>
  <c r="T239" i="23" s="1"/>
  <c r="S239" i="23" s="1"/>
  <c r="R239" i="23" s="1"/>
  <c r="P239" i="23" s="1"/>
  <c r="V239" i="23" s="1"/>
  <c r="U243" i="23"/>
  <c r="T243" i="23" s="1"/>
  <c r="S243" i="23" s="1"/>
  <c r="R243" i="23" s="1"/>
  <c r="P243" i="23" s="1"/>
  <c r="V243" i="23" s="1"/>
  <c r="U247" i="23"/>
  <c r="T247" i="23" s="1"/>
  <c r="S247" i="23" s="1"/>
  <c r="R247" i="23" s="1"/>
  <c r="P247" i="23" s="1"/>
  <c r="V247" i="23" s="1"/>
  <c r="U251" i="23"/>
  <c r="T251" i="23" s="1"/>
  <c r="S251" i="23" s="1"/>
  <c r="R251" i="23" s="1"/>
  <c r="P251" i="23" s="1"/>
  <c r="V251" i="23" s="1"/>
  <c r="U255" i="23"/>
  <c r="T255" i="23" s="1"/>
  <c r="S255" i="23" s="1"/>
  <c r="R255" i="23" s="1"/>
  <c r="P255" i="23" s="1"/>
  <c r="V255" i="23" s="1"/>
  <c r="U259" i="23"/>
  <c r="T259" i="23" s="1"/>
  <c r="S259" i="23" s="1"/>
  <c r="R259" i="23" s="1"/>
  <c r="P259" i="23" s="1"/>
  <c r="V259" i="23" s="1"/>
  <c r="U263" i="23"/>
  <c r="T263" i="23" s="1"/>
  <c r="U267" i="23"/>
  <c r="T267" i="23" s="1"/>
  <c r="S267" i="23" s="1"/>
  <c r="R267" i="23" s="1"/>
  <c r="P267" i="23" s="1"/>
  <c r="V267" i="23" s="1"/>
  <c r="U271" i="23"/>
  <c r="T271" i="23" s="1"/>
  <c r="S271" i="23" s="1"/>
  <c r="R271" i="23" s="1"/>
  <c r="P271" i="23" s="1"/>
  <c r="V271" i="23" s="1"/>
  <c r="U275" i="23"/>
  <c r="T275" i="23" s="1"/>
  <c r="S275" i="23" s="1"/>
  <c r="R275" i="23" s="1"/>
  <c r="P275" i="23" s="1"/>
  <c r="V275" i="23" s="1"/>
  <c r="U279" i="23"/>
  <c r="T279" i="23" s="1"/>
  <c r="S279" i="23" s="1"/>
  <c r="R279" i="23" s="1"/>
  <c r="P279" i="23" s="1"/>
  <c r="V279" i="23" s="1"/>
  <c r="U283" i="23"/>
  <c r="T283" i="23" s="1"/>
  <c r="S283" i="23" s="1"/>
  <c r="R283" i="23" s="1"/>
  <c r="P283" i="23" s="1"/>
  <c r="V283" i="23" s="1"/>
  <c r="U287" i="23"/>
  <c r="T287" i="23" s="1"/>
  <c r="S287" i="23" s="1"/>
  <c r="R287" i="23" s="1"/>
  <c r="P287" i="23" s="1"/>
  <c r="V287" i="23" s="1"/>
  <c r="U291" i="23"/>
  <c r="T291" i="23" s="1"/>
  <c r="S291" i="23" s="1"/>
  <c r="R291" i="23" s="1"/>
  <c r="P291" i="23" s="1"/>
  <c r="V291" i="23" s="1"/>
  <c r="U295" i="23"/>
  <c r="T295" i="23" s="1"/>
  <c r="S295" i="23" s="1"/>
  <c r="R295" i="23" s="1"/>
  <c r="P295" i="23" s="1"/>
  <c r="V295" i="23" s="1"/>
  <c r="U299" i="23"/>
  <c r="T299" i="23" s="1"/>
  <c r="S299" i="23" s="1"/>
  <c r="R299" i="23" s="1"/>
  <c r="P299" i="23" s="1"/>
  <c r="V299" i="23" s="1"/>
  <c r="U303" i="23"/>
  <c r="T303" i="23" s="1"/>
  <c r="S303" i="23" s="1"/>
  <c r="R303" i="23" s="1"/>
  <c r="P303" i="23" s="1"/>
  <c r="V303" i="23" s="1"/>
  <c r="U307" i="23"/>
  <c r="T307" i="23" s="1"/>
  <c r="S307" i="23" s="1"/>
  <c r="R307" i="23" s="1"/>
  <c r="P307" i="23" s="1"/>
  <c r="V307" i="23" s="1"/>
  <c r="U311" i="23"/>
  <c r="T311" i="23" s="1"/>
  <c r="S311" i="23" s="1"/>
  <c r="R311" i="23" s="1"/>
  <c r="P311" i="23" s="1"/>
  <c r="V311" i="23" s="1"/>
  <c r="U315" i="23"/>
  <c r="T315" i="23" s="1"/>
  <c r="S315" i="23" s="1"/>
  <c r="R315" i="23" s="1"/>
  <c r="P315" i="23" s="1"/>
  <c r="V315" i="23" s="1"/>
  <c r="U319" i="23"/>
  <c r="T319" i="23" s="1"/>
  <c r="S319" i="23" s="1"/>
  <c r="R319" i="23" s="1"/>
  <c r="P319" i="23" s="1"/>
  <c r="V319" i="23" s="1"/>
  <c r="U323" i="23"/>
  <c r="T323" i="23" s="1"/>
  <c r="S323" i="23" s="1"/>
  <c r="R323" i="23" s="1"/>
  <c r="P323" i="23" s="1"/>
  <c r="V323" i="23" s="1"/>
  <c r="U327" i="23"/>
  <c r="T327" i="23" s="1"/>
  <c r="S327" i="23" s="1"/>
  <c r="R327" i="23" s="1"/>
  <c r="P327" i="23" s="1"/>
  <c r="V327" i="23" s="1"/>
  <c r="U331" i="23"/>
  <c r="T331" i="23" s="1"/>
  <c r="S331" i="23" s="1"/>
  <c r="R331" i="23" s="1"/>
  <c r="P331" i="23" s="1"/>
  <c r="V331" i="23" s="1"/>
  <c r="U335" i="23"/>
  <c r="T335" i="23" s="1"/>
  <c r="S335" i="23" s="1"/>
  <c r="R335" i="23" s="1"/>
  <c r="P335" i="23" s="1"/>
  <c r="V335" i="23" s="1"/>
  <c r="U339" i="23"/>
  <c r="T339" i="23" s="1"/>
  <c r="S339" i="23" s="1"/>
  <c r="R339" i="23" s="1"/>
  <c r="P339" i="23" s="1"/>
  <c r="V339" i="23" s="1"/>
  <c r="U343" i="23"/>
  <c r="T343" i="23" s="1"/>
  <c r="S343" i="23" s="1"/>
  <c r="R343" i="23" s="1"/>
  <c r="P343" i="23" s="1"/>
  <c r="V343" i="23" s="1"/>
  <c r="U347" i="23"/>
  <c r="T347" i="23" s="1"/>
  <c r="S347" i="23" s="1"/>
  <c r="R347" i="23" s="1"/>
  <c r="P347" i="23" s="1"/>
  <c r="V347" i="23" s="1"/>
  <c r="U351" i="23"/>
  <c r="T351" i="23" s="1"/>
  <c r="S351" i="23" s="1"/>
  <c r="R351" i="23" s="1"/>
  <c r="P351" i="23" s="1"/>
  <c r="V351" i="23" s="1"/>
  <c r="U355" i="23"/>
  <c r="T355" i="23" s="1"/>
  <c r="S355" i="23" s="1"/>
  <c r="R355" i="23" s="1"/>
  <c r="P355" i="23" s="1"/>
  <c r="V355" i="23" s="1"/>
  <c r="U359" i="23"/>
  <c r="T359" i="23" s="1"/>
  <c r="S359" i="23" s="1"/>
  <c r="R359" i="23" s="1"/>
  <c r="P359" i="23" s="1"/>
  <c r="V359" i="23" s="1"/>
  <c r="U363" i="23"/>
  <c r="T363" i="23" s="1"/>
  <c r="S363" i="23" s="1"/>
  <c r="R363" i="23" s="1"/>
  <c r="P363" i="23" s="1"/>
  <c r="U367" i="23"/>
  <c r="T367" i="23" s="1"/>
  <c r="S367" i="23" s="1"/>
  <c r="R367" i="23" s="1"/>
  <c r="P367" i="23" s="1"/>
  <c r="V367" i="23" s="1"/>
  <c r="U371" i="23"/>
  <c r="T371" i="23" s="1"/>
  <c r="S371" i="23" s="1"/>
  <c r="R371" i="23" s="1"/>
  <c r="P371" i="23" s="1"/>
  <c r="V371" i="23" s="1"/>
  <c r="U375" i="23"/>
  <c r="T375" i="23" s="1"/>
  <c r="S375" i="23" s="1"/>
  <c r="R375" i="23" s="1"/>
  <c r="P375" i="23" s="1"/>
  <c r="V375" i="23" s="1"/>
  <c r="U379" i="23"/>
  <c r="T379" i="23" s="1"/>
  <c r="AI20" i="23"/>
  <c r="AH20" i="23" s="1"/>
  <c r="AG20" i="23" s="1"/>
  <c r="AF20" i="23" s="1"/>
  <c r="AD20" i="23" s="1"/>
  <c r="AI17" i="23"/>
  <c r="AH17" i="23" s="1"/>
  <c r="AG17" i="23" s="1"/>
  <c r="AF17" i="23" s="1"/>
  <c r="AD17" i="23" s="1"/>
  <c r="AI19" i="23"/>
  <c r="AH19" i="23" s="1"/>
  <c r="AG19" i="23" s="1"/>
  <c r="AF19" i="23" s="1"/>
  <c r="AD19" i="23" s="1"/>
  <c r="AI27" i="23"/>
  <c r="AH27" i="23" s="1"/>
  <c r="AG27" i="23" s="1"/>
  <c r="AF27" i="23" s="1"/>
  <c r="AD27" i="23" s="1"/>
  <c r="AI31" i="23"/>
  <c r="AH31" i="23" s="1"/>
  <c r="AG31" i="23" s="1"/>
  <c r="AF31" i="23" s="1"/>
  <c r="AD31" i="23" s="1"/>
  <c r="AI35" i="23"/>
  <c r="AH35" i="23" s="1"/>
  <c r="AG35" i="23" s="1"/>
  <c r="AF35" i="23" s="1"/>
  <c r="AD35" i="23" s="1"/>
  <c r="AI39" i="23"/>
  <c r="AH39" i="23" s="1"/>
  <c r="AG39" i="23" s="1"/>
  <c r="AF39" i="23" s="1"/>
  <c r="AD39" i="23" s="1"/>
  <c r="AI43" i="23"/>
  <c r="AH43" i="23" s="1"/>
  <c r="AG43" i="23" s="1"/>
  <c r="AF43" i="23" s="1"/>
  <c r="AD43" i="23" s="1"/>
  <c r="AI47" i="23"/>
  <c r="AH47" i="23" s="1"/>
  <c r="AG47" i="23" s="1"/>
  <c r="AF47" i="23" s="1"/>
  <c r="AD47" i="23" s="1"/>
  <c r="AI51" i="23"/>
  <c r="AH51" i="23" s="1"/>
  <c r="AG51" i="23" s="1"/>
  <c r="AF51" i="23" s="1"/>
  <c r="AD51" i="23" s="1"/>
  <c r="AI55" i="23"/>
  <c r="AH55" i="23" s="1"/>
  <c r="AG55" i="23" s="1"/>
  <c r="AF55" i="23" s="1"/>
  <c r="AD55" i="23" s="1"/>
  <c r="AI59" i="23"/>
  <c r="AH59" i="23" s="1"/>
  <c r="AG59" i="23" s="1"/>
  <c r="AF59" i="23" s="1"/>
  <c r="AD59" i="23" s="1"/>
  <c r="AI62" i="23"/>
  <c r="AH62" i="23" s="1"/>
  <c r="AG62" i="23" s="1"/>
  <c r="AF62" i="23" s="1"/>
  <c r="AD62" i="23" s="1"/>
  <c r="AI64" i="23"/>
  <c r="AH64" i="23" s="1"/>
  <c r="AG64" i="23" s="1"/>
  <c r="AF64" i="23" s="1"/>
  <c r="AD64" i="23" s="1"/>
  <c r="Q152" i="24"/>
  <c r="Q136" i="24"/>
  <c r="Q144" i="24"/>
  <c r="Q128" i="24"/>
  <c r="Q120" i="24"/>
  <c r="Q104" i="24"/>
  <c r="Q112" i="24"/>
  <c r="Q88" i="24"/>
  <c r="Q96" i="24"/>
  <c r="Q72" i="24"/>
  <c r="Q80" i="24"/>
  <c r="Q64" i="24"/>
  <c r="Q292" i="24"/>
  <c r="Q290" i="24"/>
  <c r="Q288" i="24"/>
  <c r="Q286" i="24"/>
  <c r="Q284" i="24"/>
  <c r="Q282" i="24"/>
  <c r="Q280" i="24"/>
  <c r="Q278" i="24"/>
  <c r="Q276" i="24"/>
  <c r="Q274" i="24"/>
  <c r="Q272" i="24"/>
  <c r="Q270" i="24"/>
  <c r="Q268" i="24"/>
  <c r="Q266" i="24"/>
  <c r="Q264" i="24"/>
  <c r="Q262" i="24"/>
  <c r="Q260" i="24"/>
  <c r="Q258" i="24"/>
  <c r="Q256" i="24"/>
  <c r="Q254" i="24"/>
  <c r="Q252" i="24"/>
  <c r="Q250" i="24"/>
  <c r="Q248" i="24"/>
  <c r="Q246" i="24"/>
  <c r="Q244" i="24"/>
  <c r="Q242" i="24"/>
  <c r="Q238" i="24"/>
  <c r="Q234" i="24"/>
  <c r="Q230" i="24"/>
  <c r="Q226" i="24"/>
  <c r="Q222" i="24"/>
  <c r="Q218" i="24"/>
  <c r="Q212" i="24"/>
  <c r="Q204" i="24"/>
  <c r="Q196" i="24"/>
  <c r="Q188" i="24"/>
  <c r="Q180" i="24"/>
  <c r="Q172" i="24"/>
  <c r="Q164" i="24"/>
  <c r="Q156" i="24"/>
  <c r="Q148" i="24"/>
  <c r="Q140" i="24"/>
  <c r="Q132" i="24"/>
  <c r="Q124" i="24"/>
  <c r="Q116" i="24"/>
  <c r="Q108" i="24"/>
  <c r="Q100" i="24"/>
  <c r="Q92" i="24"/>
  <c r="Q84" i="24"/>
  <c r="Q76" i="24"/>
  <c r="Q68" i="24"/>
  <c r="Q60" i="24"/>
  <c r="Q56" i="24"/>
  <c r="Q52" i="24"/>
  <c r="Q241" i="24"/>
  <c r="Q239" i="24"/>
  <c r="Q237" i="24"/>
  <c r="Q235" i="24"/>
  <c r="Q233" i="24"/>
  <c r="Q231" i="24"/>
  <c r="Q229" i="24"/>
  <c r="Q227" i="24"/>
  <c r="Q225" i="24"/>
  <c r="Q223" i="24"/>
  <c r="Q221" i="24"/>
  <c r="Q219" i="24"/>
  <c r="Q217" i="24"/>
  <c r="Q214" i="24"/>
  <c r="Q210" i="24"/>
  <c r="Q206" i="24"/>
  <c r="Q202" i="24"/>
  <c r="Q198" i="24"/>
  <c r="Q194" i="24"/>
  <c r="Q190" i="24"/>
  <c r="Q186" i="24"/>
  <c r="Q182" i="24"/>
  <c r="Q178" i="24"/>
  <c r="Q174" i="24"/>
  <c r="Q170" i="24"/>
  <c r="Q166" i="24"/>
  <c r="Q162" i="24"/>
  <c r="Q158" i="24"/>
  <c r="Q154" i="24"/>
  <c r="Q150" i="24"/>
  <c r="Q146" i="24"/>
  <c r="Q142" i="24"/>
  <c r="Q138" i="24"/>
  <c r="Q134" i="24"/>
  <c r="Q130" i="24"/>
  <c r="Q126" i="24"/>
  <c r="Q122" i="24"/>
  <c r="Q118" i="24"/>
  <c r="Q114" i="24"/>
  <c r="Q110" i="24"/>
  <c r="Q106" i="24"/>
  <c r="Q102" i="24"/>
  <c r="Q98" i="24"/>
  <c r="Q94" i="24"/>
  <c r="Q90" i="24"/>
  <c r="Q86" i="24"/>
  <c r="Q82" i="24"/>
  <c r="Q78" i="24"/>
  <c r="Q74" i="24"/>
  <c r="Q70" i="24"/>
  <c r="Q66" i="24"/>
  <c r="Q62" i="24"/>
  <c r="Q58" i="24"/>
  <c r="Q54" i="24"/>
  <c r="Q50" i="24"/>
  <c r="AU16" i="7"/>
  <c r="U15" i="23"/>
  <c r="T15" i="23" s="1"/>
  <c r="U22" i="23"/>
  <c r="T22" i="23" s="1"/>
  <c r="S22" i="23" s="1"/>
  <c r="R22" i="23" s="1"/>
  <c r="P22" i="23" s="1"/>
  <c r="V22" i="23" s="1"/>
  <c r="U17" i="23"/>
  <c r="T17" i="23" s="1"/>
  <c r="S17" i="23" s="1"/>
  <c r="R17" i="23" s="1"/>
  <c r="P17" i="23" s="1"/>
  <c r="V17" i="23" s="1"/>
  <c r="U16" i="23"/>
  <c r="T16" i="23" s="1"/>
  <c r="S16" i="23" s="1"/>
  <c r="R16" i="23" s="1"/>
  <c r="P16" i="23" s="1"/>
  <c r="V16" i="23" s="1"/>
  <c r="U21" i="23"/>
  <c r="T21" i="23" s="1"/>
  <c r="S21" i="23" s="1"/>
  <c r="R21" i="23" s="1"/>
  <c r="P21" i="23" s="1"/>
  <c r="V21" i="23" s="1"/>
  <c r="U25" i="23"/>
  <c r="T25" i="23" s="1"/>
  <c r="S25" i="23" s="1"/>
  <c r="R25" i="23" s="1"/>
  <c r="P25" i="23" s="1"/>
  <c r="V25" i="23" s="1"/>
  <c r="U27" i="23"/>
  <c r="T27" i="23" s="1"/>
  <c r="S27" i="23" s="1"/>
  <c r="R27" i="23" s="1"/>
  <c r="P27" i="23" s="1"/>
  <c r="V27" i="23" s="1"/>
  <c r="U29" i="23"/>
  <c r="T29" i="23" s="1"/>
  <c r="S29" i="23" s="1"/>
  <c r="R29" i="23" s="1"/>
  <c r="P29" i="23" s="1"/>
  <c r="U31" i="23"/>
  <c r="T31" i="23" s="1"/>
  <c r="S31" i="23" s="1"/>
  <c r="R31" i="23" s="1"/>
  <c r="P31" i="23" s="1"/>
  <c r="V31" i="23" s="1"/>
  <c r="U33" i="23"/>
  <c r="T33" i="23" s="1"/>
  <c r="S33" i="23" s="1"/>
  <c r="R33" i="23" s="1"/>
  <c r="P33" i="23" s="1"/>
  <c r="V33" i="23" s="1"/>
  <c r="U35" i="23"/>
  <c r="T35" i="23" s="1"/>
  <c r="U37" i="23"/>
  <c r="T37" i="23" s="1"/>
  <c r="S37" i="23" s="1"/>
  <c r="R37" i="23" s="1"/>
  <c r="P37" i="23" s="1"/>
  <c r="V37" i="23" s="1"/>
  <c r="U39" i="23"/>
  <c r="T39" i="23" s="1"/>
  <c r="S39" i="23" s="1"/>
  <c r="R39" i="23" s="1"/>
  <c r="P39" i="23" s="1"/>
  <c r="V39" i="23" s="1"/>
  <c r="U41" i="23"/>
  <c r="T41" i="23" s="1"/>
  <c r="S41" i="23" s="1"/>
  <c r="R41" i="23" s="1"/>
  <c r="P41" i="23" s="1"/>
  <c r="V41" i="23" s="1"/>
  <c r="U43" i="23"/>
  <c r="T43" i="23" s="1"/>
  <c r="S43" i="23" s="1"/>
  <c r="R43" i="23" s="1"/>
  <c r="P43" i="23" s="1"/>
  <c r="V43" i="23" s="1"/>
  <c r="U45" i="23"/>
  <c r="T45" i="23" s="1"/>
  <c r="S45" i="23" s="1"/>
  <c r="R45" i="23" s="1"/>
  <c r="P45" i="23" s="1"/>
  <c r="V45" i="23" s="1"/>
  <c r="U47" i="23"/>
  <c r="T47" i="23" s="1"/>
  <c r="S47" i="23" s="1"/>
  <c r="R47" i="23" s="1"/>
  <c r="P47" i="23" s="1"/>
  <c r="V47" i="23" s="1"/>
  <c r="U49" i="23"/>
  <c r="T49" i="23" s="1"/>
  <c r="S49" i="23" s="1"/>
  <c r="R49" i="23" s="1"/>
  <c r="P49" i="23" s="1"/>
  <c r="V49" i="23" s="1"/>
  <c r="U51" i="23"/>
  <c r="T51" i="23" s="1"/>
  <c r="S51" i="23" s="1"/>
  <c r="R51" i="23" s="1"/>
  <c r="P51" i="23" s="1"/>
  <c r="V51" i="23" s="1"/>
  <c r="U53" i="23"/>
  <c r="T53" i="23" s="1"/>
  <c r="S53" i="23" s="1"/>
  <c r="R53" i="23" s="1"/>
  <c r="P53" i="23" s="1"/>
  <c r="V53" i="23" s="1"/>
  <c r="U55" i="23"/>
  <c r="T55" i="23" s="1"/>
  <c r="S55" i="23" s="1"/>
  <c r="R55" i="23" s="1"/>
  <c r="P55" i="23" s="1"/>
  <c r="V55" i="23" s="1"/>
  <c r="U57" i="23"/>
  <c r="T57" i="23" s="1"/>
  <c r="S57" i="23" s="1"/>
  <c r="R57" i="23" s="1"/>
  <c r="P57" i="23" s="1"/>
  <c r="V57" i="23" s="1"/>
  <c r="U59" i="23"/>
  <c r="T59" i="23" s="1"/>
  <c r="S59" i="23" s="1"/>
  <c r="R59" i="23" s="1"/>
  <c r="P59" i="23" s="1"/>
  <c r="V59" i="23" s="1"/>
  <c r="U61" i="23"/>
  <c r="T61" i="23" s="1"/>
  <c r="S61" i="23" s="1"/>
  <c r="R61" i="23" s="1"/>
  <c r="P61" i="23" s="1"/>
  <c r="V61" i="23" s="1"/>
  <c r="U63" i="23"/>
  <c r="T63" i="23" s="1"/>
  <c r="S63" i="23" s="1"/>
  <c r="R63" i="23" s="1"/>
  <c r="P63" i="23" s="1"/>
  <c r="V63" i="23" s="1"/>
  <c r="U65" i="23"/>
  <c r="T65" i="23" s="1"/>
  <c r="S65" i="23" s="1"/>
  <c r="R65" i="23" s="1"/>
  <c r="P65" i="23" s="1"/>
  <c r="V65" i="23" s="1"/>
  <c r="U67" i="23"/>
  <c r="T67" i="23" s="1"/>
  <c r="S67" i="23" s="1"/>
  <c r="R67" i="23" s="1"/>
  <c r="P67" i="23" s="1"/>
  <c r="V67" i="23" s="1"/>
  <c r="U69" i="23"/>
  <c r="T69" i="23" s="1"/>
  <c r="S69" i="23" s="1"/>
  <c r="R69" i="23" s="1"/>
  <c r="P69" i="23" s="1"/>
  <c r="V69" i="23" s="1"/>
  <c r="U71" i="23"/>
  <c r="T71" i="23" s="1"/>
  <c r="S71" i="23" s="1"/>
  <c r="R71" i="23" s="1"/>
  <c r="P71" i="23" s="1"/>
  <c r="V71" i="23" s="1"/>
  <c r="U73" i="23"/>
  <c r="T73" i="23" s="1"/>
  <c r="S73" i="23" s="1"/>
  <c r="R73" i="23" s="1"/>
  <c r="P73" i="23" s="1"/>
  <c r="V73" i="23" s="1"/>
  <c r="U75" i="23"/>
  <c r="T75" i="23" s="1"/>
  <c r="S75" i="23" s="1"/>
  <c r="R75" i="23" s="1"/>
  <c r="P75" i="23" s="1"/>
  <c r="V75" i="23" s="1"/>
  <c r="U77" i="23"/>
  <c r="T77" i="23" s="1"/>
  <c r="S77" i="23" s="1"/>
  <c r="R77" i="23" s="1"/>
  <c r="P77" i="23" s="1"/>
  <c r="V77" i="23" s="1"/>
  <c r="U79" i="23"/>
  <c r="T79" i="23" s="1"/>
  <c r="U81" i="23"/>
  <c r="T81" i="23" s="1"/>
  <c r="S81" i="23" s="1"/>
  <c r="R81" i="23" s="1"/>
  <c r="P81" i="23" s="1"/>
  <c r="V81" i="23" s="1"/>
  <c r="U83" i="23"/>
  <c r="T83" i="23" s="1"/>
  <c r="S83" i="23" s="1"/>
  <c r="R83" i="23" s="1"/>
  <c r="P83" i="23" s="1"/>
  <c r="V83" i="23" s="1"/>
  <c r="U85" i="23"/>
  <c r="T85" i="23" s="1"/>
  <c r="S85" i="23" s="1"/>
  <c r="R85" i="23" s="1"/>
  <c r="P85" i="23" s="1"/>
  <c r="V85" i="23" s="1"/>
  <c r="U87" i="23"/>
  <c r="T87" i="23" s="1"/>
  <c r="S87" i="23" s="1"/>
  <c r="R87" i="23" s="1"/>
  <c r="P87" i="23" s="1"/>
  <c r="V87" i="23" s="1"/>
  <c r="U89" i="23"/>
  <c r="T89" i="23" s="1"/>
  <c r="S89" i="23" s="1"/>
  <c r="R89" i="23" s="1"/>
  <c r="P89" i="23" s="1"/>
  <c r="V89" i="23" s="1"/>
  <c r="U91" i="23"/>
  <c r="T91" i="23" s="1"/>
  <c r="S91" i="23" s="1"/>
  <c r="R91" i="23" s="1"/>
  <c r="P91" i="23" s="1"/>
  <c r="V91" i="23" s="1"/>
  <c r="U93" i="23"/>
  <c r="T93" i="23" s="1"/>
  <c r="S93" i="23" s="1"/>
  <c r="R93" i="23" s="1"/>
  <c r="P93" i="23" s="1"/>
  <c r="V93" i="23" s="1"/>
  <c r="U95" i="23"/>
  <c r="T95" i="23" s="1"/>
  <c r="S95" i="23" s="1"/>
  <c r="R95" i="23" s="1"/>
  <c r="P95" i="23" s="1"/>
  <c r="V95" i="23" s="1"/>
  <c r="U97" i="23"/>
  <c r="T97" i="23" s="1"/>
  <c r="S97" i="23" s="1"/>
  <c r="R97" i="23" s="1"/>
  <c r="P97" i="23" s="1"/>
  <c r="V97" i="23" s="1"/>
  <c r="U99" i="23"/>
  <c r="T99" i="23" s="1"/>
  <c r="S99" i="23" s="1"/>
  <c r="R99" i="23" s="1"/>
  <c r="P99" i="23" s="1"/>
  <c r="V99" i="23" s="1"/>
  <c r="U101" i="23"/>
  <c r="T101" i="23" s="1"/>
  <c r="S101" i="23" s="1"/>
  <c r="R101" i="23" s="1"/>
  <c r="P101" i="23" s="1"/>
  <c r="V101" i="23" s="1"/>
  <c r="U103" i="23"/>
  <c r="T103" i="23" s="1"/>
  <c r="S103" i="23" s="1"/>
  <c r="R103" i="23" s="1"/>
  <c r="P103" i="23" s="1"/>
  <c r="V103" i="23" s="1"/>
  <c r="U105" i="23"/>
  <c r="T105" i="23" s="1"/>
  <c r="S105" i="23" s="1"/>
  <c r="R105" i="23" s="1"/>
  <c r="P105" i="23" s="1"/>
  <c r="V105" i="23" s="1"/>
  <c r="U107" i="23"/>
  <c r="T107" i="23" s="1"/>
  <c r="S107" i="23" s="1"/>
  <c r="R107" i="23" s="1"/>
  <c r="P107" i="23" s="1"/>
  <c r="V107" i="23" s="1"/>
  <c r="U109" i="23"/>
  <c r="T109" i="23" s="1"/>
  <c r="S109" i="23" s="1"/>
  <c r="R109" i="23" s="1"/>
  <c r="P109" i="23" s="1"/>
  <c r="V109" i="23" s="1"/>
  <c r="U111" i="23"/>
  <c r="T111" i="23" s="1"/>
  <c r="U113" i="23"/>
  <c r="T113" i="23" s="1"/>
  <c r="S113" i="23" s="1"/>
  <c r="R113" i="23" s="1"/>
  <c r="P113" i="23" s="1"/>
  <c r="V113" i="23" s="1"/>
  <c r="U115" i="23"/>
  <c r="T115" i="23" s="1"/>
  <c r="S115" i="23" s="1"/>
  <c r="R115" i="23" s="1"/>
  <c r="P115" i="23" s="1"/>
  <c r="V115" i="23" s="1"/>
  <c r="U117" i="23"/>
  <c r="T117" i="23" s="1"/>
  <c r="S117" i="23" s="1"/>
  <c r="R117" i="23" s="1"/>
  <c r="P117" i="23" s="1"/>
  <c r="V117" i="23" s="1"/>
  <c r="U119" i="23"/>
  <c r="T119" i="23" s="1"/>
  <c r="S119" i="23" s="1"/>
  <c r="R119" i="23" s="1"/>
  <c r="P119" i="23" s="1"/>
  <c r="U121" i="23"/>
  <c r="T121" i="23" s="1"/>
  <c r="S121" i="23" s="1"/>
  <c r="R121" i="23" s="1"/>
  <c r="P121" i="23" s="1"/>
  <c r="V121" i="23" s="1"/>
  <c r="U123" i="23"/>
  <c r="T123" i="23" s="1"/>
  <c r="S123" i="23" s="1"/>
  <c r="R123" i="23" s="1"/>
  <c r="P123" i="23" s="1"/>
  <c r="V123" i="23" s="1"/>
  <c r="U125" i="23"/>
  <c r="T125" i="23" s="1"/>
  <c r="S125" i="23" s="1"/>
  <c r="R125" i="23" s="1"/>
  <c r="P125" i="23" s="1"/>
  <c r="V125" i="23" s="1"/>
  <c r="U127" i="23"/>
  <c r="T127" i="23" s="1"/>
  <c r="S127" i="23" s="1"/>
  <c r="R127" i="23" s="1"/>
  <c r="P127" i="23" s="1"/>
  <c r="V127" i="23" s="1"/>
  <c r="U129" i="23"/>
  <c r="T129" i="23" s="1"/>
  <c r="S129" i="23" s="1"/>
  <c r="R129" i="23" s="1"/>
  <c r="P129" i="23" s="1"/>
  <c r="V129" i="23" s="1"/>
  <c r="U131" i="23"/>
  <c r="T131" i="23" s="1"/>
  <c r="S131" i="23" s="1"/>
  <c r="R131" i="23" s="1"/>
  <c r="P131" i="23" s="1"/>
  <c r="V131" i="23" s="1"/>
  <c r="U133" i="23"/>
  <c r="T133" i="23" s="1"/>
  <c r="S133" i="23" s="1"/>
  <c r="R133" i="23" s="1"/>
  <c r="P133" i="23" s="1"/>
  <c r="V133" i="23" s="1"/>
  <c r="U135" i="23"/>
  <c r="T135" i="23" s="1"/>
  <c r="S135" i="23" s="1"/>
  <c r="R135" i="23" s="1"/>
  <c r="P135" i="23" s="1"/>
  <c r="V135" i="23" s="1"/>
  <c r="U137" i="23"/>
  <c r="T137" i="23" s="1"/>
  <c r="S137" i="23" s="1"/>
  <c r="R137" i="23" s="1"/>
  <c r="P137" i="23" s="1"/>
  <c r="V137" i="23" s="1"/>
  <c r="U139" i="23"/>
  <c r="T139" i="23" s="1"/>
  <c r="S139" i="23" s="1"/>
  <c r="R139" i="23" s="1"/>
  <c r="P139" i="23" s="1"/>
  <c r="V139" i="23" s="1"/>
  <c r="U141" i="23"/>
  <c r="T141" i="23" s="1"/>
  <c r="S141" i="23" s="1"/>
  <c r="R141" i="23" s="1"/>
  <c r="P141" i="23" s="1"/>
  <c r="V141" i="23" s="1"/>
  <c r="U143" i="23"/>
  <c r="T143" i="23" s="1"/>
  <c r="S143" i="23" s="1"/>
  <c r="R143" i="23" s="1"/>
  <c r="P143" i="23" s="1"/>
  <c r="V143" i="23" s="1"/>
  <c r="U145" i="23"/>
  <c r="T145" i="23" s="1"/>
  <c r="S145" i="23" s="1"/>
  <c r="R145" i="23" s="1"/>
  <c r="P145" i="23" s="1"/>
  <c r="V145" i="23" s="1"/>
  <c r="U147" i="23"/>
  <c r="T147" i="23" s="1"/>
  <c r="U149" i="23"/>
  <c r="T149" i="23" s="1"/>
  <c r="S149" i="23" s="1"/>
  <c r="R149" i="23" s="1"/>
  <c r="P149" i="23" s="1"/>
  <c r="U151" i="23"/>
  <c r="T151" i="23" s="1"/>
  <c r="S151" i="23" s="1"/>
  <c r="R151" i="23" s="1"/>
  <c r="P151" i="23" s="1"/>
  <c r="V151" i="23" s="1"/>
  <c r="U153" i="23"/>
  <c r="T153" i="23" s="1"/>
  <c r="S153" i="23" s="1"/>
  <c r="R153" i="23" s="1"/>
  <c r="P153" i="23" s="1"/>
  <c r="V153" i="23" s="1"/>
  <c r="U155" i="23"/>
  <c r="T155" i="23" s="1"/>
  <c r="S155" i="23" s="1"/>
  <c r="R155" i="23" s="1"/>
  <c r="P155" i="23" s="1"/>
  <c r="V155" i="23" s="1"/>
  <c r="U157" i="23"/>
  <c r="T157" i="23" s="1"/>
  <c r="S157" i="23" s="1"/>
  <c r="R157" i="23" s="1"/>
  <c r="P157" i="23" s="1"/>
  <c r="V157" i="23" s="1"/>
  <c r="U159" i="23"/>
  <c r="T159" i="23" s="1"/>
  <c r="S159" i="23" s="1"/>
  <c r="R159" i="23" s="1"/>
  <c r="P159" i="23" s="1"/>
  <c r="V159" i="23" s="1"/>
  <c r="U161" i="23"/>
  <c r="T161" i="23" s="1"/>
  <c r="S161" i="23" s="1"/>
  <c r="R161" i="23" s="1"/>
  <c r="P161" i="23" s="1"/>
  <c r="V161" i="23" s="1"/>
  <c r="U163" i="23"/>
  <c r="T163" i="23" s="1"/>
  <c r="S163" i="23" s="1"/>
  <c r="R163" i="23" s="1"/>
  <c r="P163" i="23" s="1"/>
  <c r="V163" i="23" s="1"/>
  <c r="U165" i="23"/>
  <c r="T165" i="23" s="1"/>
  <c r="S165" i="23" s="1"/>
  <c r="R165" i="23" s="1"/>
  <c r="P165" i="23" s="1"/>
  <c r="V165" i="23" s="1"/>
  <c r="U167" i="23"/>
  <c r="T167" i="23" s="1"/>
  <c r="S167" i="23" s="1"/>
  <c r="R167" i="23" s="1"/>
  <c r="P167" i="23" s="1"/>
  <c r="V167" i="23" s="1"/>
  <c r="U169" i="23"/>
  <c r="T169" i="23" s="1"/>
  <c r="S169" i="23" s="1"/>
  <c r="R169" i="23" s="1"/>
  <c r="P169" i="23" s="1"/>
  <c r="V169" i="23" s="1"/>
  <c r="U171" i="23"/>
  <c r="T171" i="23" s="1"/>
  <c r="S171" i="23" s="1"/>
  <c r="R171" i="23" s="1"/>
  <c r="P171" i="23" s="1"/>
  <c r="V171" i="23" s="1"/>
  <c r="U173" i="23"/>
  <c r="T173" i="23" s="1"/>
  <c r="S173" i="23" s="1"/>
  <c r="R173" i="23" s="1"/>
  <c r="P173" i="23" s="1"/>
  <c r="V173" i="23" s="1"/>
  <c r="U175" i="23"/>
  <c r="T175" i="23" s="1"/>
  <c r="S175" i="23" s="1"/>
  <c r="R175" i="23" s="1"/>
  <c r="P175" i="23" s="1"/>
  <c r="V175" i="23" s="1"/>
  <c r="U177" i="23"/>
  <c r="T177" i="23" s="1"/>
  <c r="S177" i="23" s="1"/>
  <c r="R177" i="23" s="1"/>
  <c r="P177" i="23" s="1"/>
  <c r="V177" i="23" s="1"/>
  <c r="U179" i="23"/>
  <c r="T179" i="23" s="1"/>
  <c r="S179" i="23" s="1"/>
  <c r="R179" i="23" s="1"/>
  <c r="P179" i="23" s="1"/>
  <c r="V179" i="23" s="1"/>
  <c r="U181" i="23"/>
  <c r="T181" i="23" s="1"/>
  <c r="S181" i="23" s="1"/>
  <c r="R181" i="23" s="1"/>
  <c r="P181" i="23" s="1"/>
  <c r="V181" i="23" s="1"/>
  <c r="U183" i="23"/>
  <c r="T183" i="23" s="1"/>
  <c r="S183" i="23" s="1"/>
  <c r="R183" i="23" s="1"/>
  <c r="P183" i="23" s="1"/>
  <c r="V183" i="23" s="1"/>
  <c r="AI60" i="23"/>
  <c r="AH60" i="23" s="1"/>
  <c r="AG60" i="23" s="1"/>
  <c r="AF60" i="23" s="1"/>
  <c r="AD60" i="23" s="1"/>
  <c r="AI58" i="23"/>
  <c r="AH58" i="23" s="1"/>
  <c r="AG58" i="23" s="1"/>
  <c r="AF58" i="23" s="1"/>
  <c r="AD58" i="23" s="1"/>
  <c r="AI56" i="23"/>
  <c r="AH56" i="23" s="1"/>
  <c r="AG56" i="23" s="1"/>
  <c r="AF56" i="23" s="1"/>
  <c r="AD56" i="23" s="1"/>
  <c r="AI54" i="23"/>
  <c r="AH54" i="23" s="1"/>
  <c r="AG54" i="23" s="1"/>
  <c r="AF54" i="23" s="1"/>
  <c r="AD54" i="23" s="1"/>
  <c r="AI52" i="23"/>
  <c r="AH52" i="23" s="1"/>
  <c r="AG52" i="23" s="1"/>
  <c r="AF52" i="23" s="1"/>
  <c r="AD52" i="23" s="1"/>
  <c r="AI50" i="23"/>
  <c r="AH50" i="23" s="1"/>
  <c r="AG50" i="23" s="1"/>
  <c r="AF50" i="23" s="1"/>
  <c r="AD50" i="23" s="1"/>
  <c r="AI48" i="23"/>
  <c r="AH48" i="23" s="1"/>
  <c r="AG48" i="23" s="1"/>
  <c r="AF48" i="23" s="1"/>
  <c r="AD48" i="23" s="1"/>
  <c r="AI46" i="23"/>
  <c r="AH46" i="23" s="1"/>
  <c r="AG46" i="23" s="1"/>
  <c r="AF46" i="23" s="1"/>
  <c r="AD46" i="23" s="1"/>
  <c r="AI44" i="23"/>
  <c r="AH44" i="23" s="1"/>
  <c r="AG44" i="23" s="1"/>
  <c r="AF44" i="23" s="1"/>
  <c r="AD44" i="23" s="1"/>
  <c r="AI42" i="23"/>
  <c r="AH42" i="23" s="1"/>
  <c r="AG42" i="23" s="1"/>
  <c r="AF42" i="23" s="1"/>
  <c r="AD42" i="23" s="1"/>
  <c r="AI40" i="23"/>
  <c r="AH40" i="23" s="1"/>
  <c r="AG40" i="23" s="1"/>
  <c r="AF40" i="23" s="1"/>
  <c r="AD40" i="23" s="1"/>
  <c r="AI38" i="23"/>
  <c r="AH38" i="23" s="1"/>
  <c r="AG38" i="23" s="1"/>
  <c r="AF38" i="23" s="1"/>
  <c r="AD38" i="23" s="1"/>
  <c r="AI36" i="23"/>
  <c r="AH36" i="23" s="1"/>
  <c r="AG36" i="23" s="1"/>
  <c r="AF36" i="23" s="1"/>
  <c r="AD36" i="23" s="1"/>
  <c r="AI34" i="23"/>
  <c r="AH34" i="23" s="1"/>
  <c r="AG34" i="23" s="1"/>
  <c r="AF34" i="23" s="1"/>
  <c r="AD34" i="23" s="1"/>
  <c r="AI32" i="23"/>
  <c r="AH32" i="23" s="1"/>
  <c r="AG32" i="23" s="1"/>
  <c r="AF32" i="23" s="1"/>
  <c r="AD32" i="23" s="1"/>
  <c r="AI30" i="23"/>
  <c r="AH30" i="23" s="1"/>
  <c r="AG30" i="23" s="1"/>
  <c r="AF30" i="23" s="1"/>
  <c r="AD30" i="23" s="1"/>
  <c r="AI28" i="23"/>
  <c r="AH28" i="23" s="1"/>
  <c r="AG28" i="23" s="1"/>
  <c r="AF28" i="23" s="1"/>
  <c r="AD28" i="23" s="1"/>
  <c r="AI26" i="23"/>
  <c r="AH26" i="23" s="1"/>
  <c r="AG26" i="23" s="1"/>
  <c r="AF26" i="23" s="1"/>
  <c r="AD26" i="23" s="1"/>
  <c r="AI24" i="23"/>
  <c r="AH24" i="23" s="1"/>
  <c r="AG24" i="23" s="1"/>
  <c r="AF24" i="23" s="1"/>
  <c r="AD24" i="23" s="1"/>
  <c r="AI15" i="23"/>
  <c r="AH15" i="23" s="1"/>
  <c r="AI16" i="23"/>
  <c r="AH16" i="23" s="1"/>
  <c r="AG16" i="23" s="1"/>
  <c r="AF16" i="23" s="1"/>
  <c r="AD16" i="23" s="1"/>
  <c r="AI23" i="23"/>
  <c r="AH23" i="23" s="1"/>
  <c r="AG23" i="23" s="1"/>
  <c r="AF23" i="23" s="1"/>
  <c r="AD23" i="23" s="1"/>
  <c r="AI22" i="23"/>
  <c r="AH22" i="23" s="1"/>
  <c r="AG22" i="23" s="1"/>
  <c r="AF22" i="23" s="1"/>
  <c r="AD22" i="23" s="1"/>
  <c r="U378" i="23"/>
  <c r="T378" i="23" s="1"/>
  <c r="S378" i="23" s="1"/>
  <c r="R378" i="23" s="1"/>
  <c r="P378" i="23" s="1"/>
  <c r="V378" i="23" s="1"/>
  <c r="U376" i="23"/>
  <c r="T376" i="23" s="1"/>
  <c r="S376" i="23" s="1"/>
  <c r="R376" i="23" s="1"/>
  <c r="P376" i="23" s="1"/>
  <c r="V376" i="23" s="1"/>
  <c r="U374" i="23"/>
  <c r="T374" i="23" s="1"/>
  <c r="S374" i="23" s="1"/>
  <c r="R374" i="23" s="1"/>
  <c r="P374" i="23" s="1"/>
  <c r="V374" i="23" s="1"/>
  <c r="U372" i="23"/>
  <c r="T372" i="23" s="1"/>
  <c r="S372" i="23" s="1"/>
  <c r="R372" i="23" s="1"/>
  <c r="P372" i="23" s="1"/>
  <c r="V372" i="23" s="1"/>
  <c r="U370" i="23"/>
  <c r="T370" i="23" s="1"/>
  <c r="S370" i="23" s="1"/>
  <c r="R370" i="23" s="1"/>
  <c r="P370" i="23" s="1"/>
  <c r="V370" i="23" s="1"/>
  <c r="U368" i="23"/>
  <c r="T368" i="23" s="1"/>
  <c r="S368" i="23" s="1"/>
  <c r="R368" i="23" s="1"/>
  <c r="P368" i="23" s="1"/>
  <c r="V368" i="23" s="1"/>
  <c r="U366" i="23"/>
  <c r="T366" i="23" s="1"/>
  <c r="S366" i="23" s="1"/>
  <c r="R366" i="23" s="1"/>
  <c r="P366" i="23" s="1"/>
  <c r="V366" i="23" s="1"/>
  <c r="U364" i="23"/>
  <c r="T364" i="23" s="1"/>
  <c r="S364" i="23" s="1"/>
  <c r="R364" i="23" s="1"/>
  <c r="P364" i="23" s="1"/>
  <c r="V364" i="23" s="1"/>
  <c r="U362" i="23"/>
  <c r="T362" i="23" s="1"/>
  <c r="S362" i="23" s="1"/>
  <c r="R362" i="23" s="1"/>
  <c r="P362" i="23" s="1"/>
  <c r="V362" i="23" s="1"/>
  <c r="U360" i="23"/>
  <c r="T360" i="23" s="1"/>
  <c r="S360" i="23" s="1"/>
  <c r="R360" i="23" s="1"/>
  <c r="P360" i="23" s="1"/>
  <c r="V360" i="23" s="1"/>
  <c r="U358" i="23"/>
  <c r="T358" i="23" s="1"/>
  <c r="S358" i="23" s="1"/>
  <c r="R358" i="23" s="1"/>
  <c r="P358" i="23" s="1"/>
  <c r="V358" i="23" s="1"/>
  <c r="U356" i="23"/>
  <c r="T356" i="23" s="1"/>
  <c r="S356" i="23" s="1"/>
  <c r="R356" i="23" s="1"/>
  <c r="P356" i="23" s="1"/>
  <c r="V356" i="23" s="1"/>
  <c r="U354" i="23"/>
  <c r="T354" i="23" s="1"/>
  <c r="S354" i="23" s="1"/>
  <c r="R354" i="23" s="1"/>
  <c r="P354" i="23" s="1"/>
  <c r="V354" i="23" s="1"/>
  <c r="U352" i="23"/>
  <c r="T352" i="23" s="1"/>
  <c r="S352" i="23" s="1"/>
  <c r="R352" i="23" s="1"/>
  <c r="P352" i="23" s="1"/>
  <c r="V352" i="23" s="1"/>
  <c r="U350" i="23"/>
  <c r="T350" i="23" s="1"/>
  <c r="U348" i="23"/>
  <c r="T348" i="23" s="1"/>
  <c r="S348" i="23" s="1"/>
  <c r="R348" i="23" s="1"/>
  <c r="P348" i="23" s="1"/>
  <c r="V348" i="23" s="1"/>
  <c r="U346" i="23"/>
  <c r="T346" i="23" s="1"/>
  <c r="S346" i="23" s="1"/>
  <c r="R346" i="23" s="1"/>
  <c r="P346" i="23" s="1"/>
  <c r="V346" i="23" s="1"/>
  <c r="U344" i="23"/>
  <c r="T344" i="23" s="1"/>
  <c r="S344" i="23" s="1"/>
  <c r="R344" i="23" s="1"/>
  <c r="P344" i="23" s="1"/>
  <c r="V344" i="23" s="1"/>
  <c r="U342" i="23"/>
  <c r="T342" i="23" s="1"/>
  <c r="S342" i="23" s="1"/>
  <c r="R342" i="23" s="1"/>
  <c r="P342" i="23" s="1"/>
  <c r="V342" i="23" s="1"/>
  <c r="U340" i="23"/>
  <c r="T340" i="23" s="1"/>
  <c r="S340" i="23" s="1"/>
  <c r="R340" i="23" s="1"/>
  <c r="P340" i="23" s="1"/>
  <c r="V340" i="23" s="1"/>
  <c r="U338" i="23"/>
  <c r="T338" i="23" s="1"/>
  <c r="S338" i="23" s="1"/>
  <c r="R338" i="23" s="1"/>
  <c r="P338" i="23" s="1"/>
  <c r="V338" i="23" s="1"/>
  <c r="U336" i="23"/>
  <c r="T336" i="23" s="1"/>
  <c r="S336" i="23" s="1"/>
  <c r="R336" i="23" s="1"/>
  <c r="P336" i="23" s="1"/>
  <c r="V336" i="23" s="1"/>
  <c r="U334" i="23"/>
  <c r="T334" i="23" s="1"/>
  <c r="S334" i="23" s="1"/>
  <c r="R334" i="23" s="1"/>
  <c r="P334" i="23" s="1"/>
  <c r="V334" i="23" s="1"/>
  <c r="U332" i="23"/>
  <c r="T332" i="23" s="1"/>
  <c r="S332" i="23" s="1"/>
  <c r="R332" i="23" s="1"/>
  <c r="P332" i="23" s="1"/>
  <c r="V332" i="23" s="1"/>
  <c r="U330" i="23"/>
  <c r="T330" i="23" s="1"/>
  <c r="S330" i="23" s="1"/>
  <c r="R330" i="23" s="1"/>
  <c r="P330" i="23" s="1"/>
  <c r="V330" i="23" s="1"/>
  <c r="U328" i="23"/>
  <c r="T328" i="23" s="1"/>
  <c r="S328" i="23" s="1"/>
  <c r="R328" i="23" s="1"/>
  <c r="P328" i="23" s="1"/>
  <c r="V328" i="23" s="1"/>
  <c r="U326" i="23"/>
  <c r="T326" i="23" s="1"/>
  <c r="S326" i="23" s="1"/>
  <c r="R326" i="23" s="1"/>
  <c r="P326" i="23" s="1"/>
  <c r="V326" i="23" s="1"/>
  <c r="U324" i="23"/>
  <c r="T324" i="23" s="1"/>
  <c r="S324" i="23" s="1"/>
  <c r="R324" i="23" s="1"/>
  <c r="P324" i="23" s="1"/>
  <c r="V324" i="23" s="1"/>
  <c r="U322" i="23"/>
  <c r="T322" i="23" s="1"/>
  <c r="S322" i="23" s="1"/>
  <c r="R322" i="23" s="1"/>
  <c r="P322" i="23" s="1"/>
  <c r="V322" i="23" s="1"/>
  <c r="U320" i="23"/>
  <c r="T320" i="23" s="1"/>
  <c r="S320" i="23" s="1"/>
  <c r="R320" i="23" s="1"/>
  <c r="P320" i="23" s="1"/>
  <c r="V320" i="23" s="1"/>
  <c r="U318" i="23"/>
  <c r="T318" i="23" s="1"/>
  <c r="S318" i="23" s="1"/>
  <c r="R318" i="23" s="1"/>
  <c r="P318" i="23" s="1"/>
  <c r="V318" i="23" s="1"/>
  <c r="U316" i="23"/>
  <c r="T316" i="23" s="1"/>
  <c r="S316" i="23" s="1"/>
  <c r="R316" i="23" s="1"/>
  <c r="P316" i="23" s="1"/>
  <c r="V316" i="23" s="1"/>
  <c r="U314" i="23"/>
  <c r="T314" i="23" s="1"/>
  <c r="S314" i="23" s="1"/>
  <c r="R314" i="23" s="1"/>
  <c r="P314" i="23" s="1"/>
  <c r="V314" i="23" s="1"/>
  <c r="U312" i="23"/>
  <c r="T312" i="23" s="1"/>
  <c r="S312" i="23" s="1"/>
  <c r="R312" i="23" s="1"/>
  <c r="P312" i="23" s="1"/>
  <c r="V312" i="23" s="1"/>
  <c r="U310" i="23"/>
  <c r="T310" i="23" s="1"/>
  <c r="S310" i="23" s="1"/>
  <c r="R310" i="23" s="1"/>
  <c r="P310" i="23" s="1"/>
  <c r="V310" i="23" s="1"/>
  <c r="U308" i="23"/>
  <c r="T308" i="23" s="1"/>
  <c r="S308" i="23" s="1"/>
  <c r="R308" i="23" s="1"/>
  <c r="P308" i="23" s="1"/>
  <c r="V308" i="23" s="1"/>
  <c r="U306" i="23"/>
  <c r="T306" i="23" s="1"/>
  <c r="S306" i="23" s="1"/>
  <c r="R306" i="23" s="1"/>
  <c r="P306" i="23" s="1"/>
  <c r="V306" i="23" s="1"/>
  <c r="U304" i="23"/>
  <c r="T304" i="23" s="1"/>
  <c r="S304" i="23" s="1"/>
  <c r="R304" i="23" s="1"/>
  <c r="P304" i="23" s="1"/>
  <c r="V304" i="23" s="1"/>
  <c r="U302" i="23"/>
  <c r="T302" i="23" s="1"/>
  <c r="S302" i="23" s="1"/>
  <c r="R302" i="23" s="1"/>
  <c r="P302" i="23" s="1"/>
  <c r="AH53" i="7" s="1"/>
  <c r="U300" i="23"/>
  <c r="T300" i="23" s="1"/>
  <c r="S300" i="23" s="1"/>
  <c r="R300" i="23" s="1"/>
  <c r="P300" i="23" s="1"/>
  <c r="V300" i="23" s="1"/>
  <c r="U298" i="23"/>
  <c r="T298" i="23" s="1"/>
  <c r="U296" i="23"/>
  <c r="T296" i="23" s="1"/>
  <c r="S296" i="23" s="1"/>
  <c r="R296" i="23" s="1"/>
  <c r="P296" i="23" s="1"/>
  <c r="V296" i="23" s="1"/>
  <c r="U294" i="23"/>
  <c r="T294" i="23" s="1"/>
  <c r="S294" i="23" s="1"/>
  <c r="R294" i="23" s="1"/>
  <c r="P294" i="23" s="1"/>
  <c r="V294" i="23" s="1"/>
  <c r="U292" i="23"/>
  <c r="T292" i="23" s="1"/>
  <c r="S292" i="23" s="1"/>
  <c r="R292" i="23" s="1"/>
  <c r="P292" i="23" s="1"/>
  <c r="V292" i="23" s="1"/>
  <c r="U290" i="23"/>
  <c r="T290" i="23" s="1"/>
  <c r="S290" i="23" s="1"/>
  <c r="R290" i="23" s="1"/>
  <c r="P290" i="23" s="1"/>
  <c r="V290" i="23" s="1"/>
  <c r="U288" i="23"/>
  <c r="T288" i="23" s="1"/>
  <c r="S288" i="23" s="1"/>
  <c r="R288" i="23" s="1"/>
  <c r="P288" i="23" s="1"/>
  <c r="V288" i="23" s="1"/>
  <c r="U286" i="23"/>
  <c r="T286" i="23" s="1"/>
  <c r="S286" i="23" s="1"/>
  <c r="R286" i="23" s="1"/>
  <c r="P286" i="23" s="1"/>
  <c r="V286" i="23" s="1"/>
  <c r="U284" i="23"/>
  <c r="T284" i="23" s="1"/>
  <c r="S284" i="23" s="1"/>
  <c r="R284" i="23" s="1"/>
  <c r="P284" i="23" s="1"/>
  <c r="V284" i="23" s="1"/>
  <c r="U282" i="23"/>
  <c r="T282" i="23" s="1"/>
  <c r="S282" i="23" s="1"/>
  <c r="R282" i="23" s="1"/>
  <c r="P282" i="23" s="1"/>
  <c r="V282" i="23" s="1"/>
  <c r="U280" i="23"/>
  <c r="T280" i="23" s="1"/>
  <c r="S280" i="23" s="1"/>
  <c r="R280" i="23" s="1"/>
  <c r="P280" i="23" s="1"/>
  <c r="V280" i="23" s="1"/>
  <c r="U278" i="23"/>
  <c r="T278" i="23" s="1"/>
  <c r="S278" i="23" s="1"/>
  <c r="R278" i="23" s="1"/>
  <c r="P278" i="23" s="1"/>
  <c r="V278" i="23" s="1"/>
  <c r="U276" i="23"/>
  <c r="T276" i="23" s="1"/>
  <c r="S276" i="23" s="1"/>
  <c r="R276" i="23" s="1"/>
  <c r="P276" i="23" s="1"/>
  <c r="V276" i="23" s="1"/>
  <c r="U274" i="23"/>
  <c r="T274" i="23" s="1"/>
  <c r="S274" i="23" s="1"/>
  <c r="R274" i="23" s="1"/>
  <c r="P274" i="23" s="1"/>
  <c r="V274" i="23" s="1"/>
  <c r="U272" i="23"/>
  <c r="T272" i="23" s="1"/>
  <c r="S272" i="23" s="1"/>
  <c r="R272" i="23" s="1"/>
  <c r="P272" i="23" s="1"/>
  <c r="U270" i="23"/>
  <c r="T270" i="23" s="1"/>
  <c r="S270" i="23" s="1"/>
  <c r="R270" i="23" s="1"/>
  <c r="P270" i="23" s="1"/>
  <c r="V270" i="23" s="1"/>
  <c r="U268" i="23"/>
  <c r="T268" i="23" s="1"/>
  <c r="S268" i="23" s="1"/>
  <c r="R268" i="23" s="1"/>
  <c r="P268" i="23" s="1"/>
  <c r="V268" i="23" s="1"/>
  <c r="U266" i="23"/>
  <c r="T266" i="23" s="1"/>
  <c r="S266" i="23" s="1"/>
  <c r="R266" i="23" s="1"/>
  <c r="P266" i="23" s="1"/>
  <c r="V266" i="23" s="1"/>
  <c r="U264" i="23"/>
  <c r="T264" i="23" s="1"/>
  <c r="S264" i="23" s="1"/>
  <c r="R264" i="23" s="1"/>
  <c r="P264" i="23" s="1"/>
  <c r="V264" i="23" s="1"/>
  <c r="U262" i="23"/>
  <c r="T262" i="23" s="1"/>
  <c r="S262" i="23" s="1"/>
  <c r="R262" i="23" s="1"/>
  <c r="P262" i="23" s="1"/>
  <c r="V262" i="23" s="1"/>
  <c r="U260" i="23"/>
  <c r="T260" i="23" s="1"/>
  <c r="S260" i="23" s="1"/>
  <c r="R260" i="23" s="1"/>
  <c r="P260" i="23" s="1"/>
  <c r="V260" i="23" s="1"/>
  <c r="U258" i="23"/>
  <c r="T258" i="23" s="1"/>
  <c r="S258" i="23" s="1"/>
  <c r="R258" i="23" s="1"/>
  <c r="P258" i="23" s="1"/>
  <c r="V258" i="23" s="1"/>
  <c r="U256" i="23"/>
  <c r="T256" i="23" s="1"/>
  <c r="S256" i="23" s="1"/>
  <c r="R256" i="23" s="1"/>
  <c r="P256" i="23" s="1"/>
  <c r="V256" i="23" s="1"/>
  <c r="U254" i="23"/>
  <c r="T254" i="23" s="1"/>
  <c r="S254" i="23" s="1"/>
  <c r="R254" i="23" s="1"/>
  <c r="P254" i="23" s="1"/>
  <c r="V254" i="23" s="1"/>
  <c r="U252" i="23"/>
  <c r="T252" i="23" s="1"/>
  <c r="S252" i="23" s="1"/>
  <c r="R252" i="23" s="1"/>
  <c r="P252" i="23" s="1"/>
  <c r="V252" i="23" s="1"/>
  <c r="U250" i="23"/>
  <c r="T250" i="23" s="1"/>
  <c r="S250" i="23" s="1"/>
  <c r="R250" i="23" s="1"/>
  <c r="P250" i="23" s="1"/>
  <c r="V250" i="23" s="1"/>
  <c r="U248" i="23"/>
  <c r="T248" i="23" s="1"/>
  <c r="S248" i="23" s="1"/>
  <c r="R248" i="23" s="1"/>
  <c r="P248" i="23" s="1"/>
  <c r="V248" i="23" s="1"/>
  <c r="U246" i="23"/>
  <c r="T246" i="23" s="1"/>
  <c r="S246" i="23" s="1"/>
  <c r="R246" i="23" s="1"/>
  <c r="P246" i="23" s="1"/>
  <c r="V246" i="23" s="1"/>
  <c r="U244" i="23"/>
  <c r="T244" i="23" s="1"/>
  <c r="S244" i="23" s="1"/>
  <c r="R244" i="23" s="1"/>
  <c r="P244" i="23" s="1"/>
  <c r="V244" i="23" s="1"/>
  <c r="U242" i="23"/>
  <c r="T242" i="23" s="1"/>
  <c r="S242" i="23" s="1"/>
  <c r="R242" i="23" s="1"/>
  <c r="P242" i="23" s="1"/>
  <c r="V242" i="23" s="1"/>
  <c r="U240" i="23"/>
  <c r="T240" i="23" s="1"/>
  <c r="S240" i="23" s="1"/>
  <c r="R240" i="23" s="1"/>
  <c r="P240" i="23" s="1"/>
  <c r="V240" i="23" s="1"/>
  <c r="U238" i="23"/>
  <c r="T238" i="23" s="1"/>
  <c r="S238" i="23" s="1"/>
  <c r="R238" i="23" s="1"/>
  <c r="P238" i="23" s="1"/>
  <c r="V238" i="23" s="1"/>
  <c r="U236" i="23"/>
  <c r="T236" i="23" s="1"/>
  <c r="S236" i="23" s="1"/>
  <c r="R236" i="23" s="1"/>
  <c r="P236" i="23" s="1"/>
  <c r="V236" i="23" s="1"/>
  <c r="U234" i="23"/>
  <c r="T234" i="23" s="1"/>
  <c r="U232" i="23"/>
  <c r="T232" i="23" s="1"/>
  <c r="S232" i="23" s="1"/>
  <c r="R232" i="23" s="1"/>
  <c r="P232" i="23" s="1"/>
  <c r="V232" i="23" s="1"/>
  <c r="U230" i="23"/>
  <c r="T230" i="23" s="1"/>
  <c r="S230" i="23" s="1"/>
  <c r="R230" i="23" s="1"/>
  <c r="P230" i="23" s="1"/>
  <c r="V230" i="23" s="1"/>
  <c r="U228" i="23"/>
  <c r="T228" i="23" s="1"/>
  <c r="S228" i="23" s="1"/>
  <c r="R228" i="23" s="1"/>
  <c r="P228" i="23" s="1"/>
  <c r="V228" i="23" s="1"/>
  <c r="U226" i="23"/>
  <c r="T226" i="23" s="1"/>
  <c r="S226" i="23" s="1"/>
  <c r="R226" i="23" s="1"/>
  <c r="P226" i="23" s="1"/>
  <c r="V226" i="23" s="1"/>
  <c r="U224" i="23"/>
  <c r="T224" i="23" s="1"/>
  <c r="S224" i="23" s="1"/>
  <c r="R224" i="23" s="1"/>
  <c r="P224" i="23" s="1"/>
  <c r="V224" i="23" s="1"/>
  <c r="U222" i="23"/>
  <c r="T222" i="23" s="1"/>
  <c r="S222" i="23" s="1"/>
  <c r="R222" i="23" s="1"/>
  <c r="P222" i="23" s="1"/>
  <c r="V222" i="23" s="1"/>
  <c r="U220" i="23"/>
  <c r="T220" i="23" s="1"/>
  <c r="S220" i="23" s="1"/>
  <c r="R220" i="23" s="1"/>
  <c r="P220" i="23" s="1"/>
  <c r="V220" i="23" s="1"/>
  <c r="U218" i="23"/>
  <c r="T218" i="23" s="1"/>
  <c r="S218" i="23" s="1"/>
  <c r="R218" i="23" s="1"/>
  <c r="P218" i="23" s="1"/>
  <c r="V218" i="23" s="1"/>
  <c r="U216" i="23"/>
  <c r="T216" i="23" s="1"/>
  <c r="S216" i="23" s="1"/>
  <c r="R216" i="23" s="1"/>
  <c r="P216" i="23" s="1"/>
  <c r="V216" i="23" s="1"/>
  <c r="U214" i="23"/>
  <c r="T214" i="23" s="1"/>
  <c r="S214" i="23" s="1"/>
  <c r="R214" i="23" s="1"/>
  <c r="P214" i="23" s="1"/>
  <c r="V214" i="23" s="1"/>
  <c r="U212" i="23"/>
  <c r="T212" i="23" s="1"/>
  <c r="S212" i="23" s="1"/>
  <c r="R212" i="23" s="1"/>
  <c r="P212" i="23" s="1"/>
  <c r="V212" i="23" s="1"/>
  <c r="U210" i="23"/>
  <c r="T210" i="23" s="1"/>
  <c r="S210" i="23" s="1"/>
  <c r="R210" i="23" s="1"/>
  <c r="P210" i="23" s="1"/>
  <c r="U208" i="23"/>
  <c r="T208" i="23" s="1"/>
  <c r="S208" i="23" s="1"/>
  <c r="R208" i="23" s="1"/>
  <c r="P208" i="23" s="1"/>
  <c r="V208" i="23" s="1"/>
  <c r="U206" i="23"/>
  <c r="T206" i="23" s="1"/>
  <c r="S206" i="23" s="1"/>
  <c r="R206" i="23" s="1"/>
  <c r="P206" i="23" s="1"/>
  <c r="V206" i="23" s="1"/>
  <c r="U204" i="23"/>
  <c r="T204" i="23" s="1"/>
  <c r="S204" i="23" s="1"/>
  <c r="R204" i="23" s="1"/>
  <c r="P204" i="23" s="1"/>
  <c r="V204" i="23" s="1"/>
  <c r="U202" i="23"/>
  <c r="T202" i="23" s="1"/>
  <c r="S202" i="23" s="1"/>
  <c r="R202" i="23" s="1"/>
  <c r="P202" i="23" s="1"/>
  <c r="V202" i="23" s="1"/>
  <c r="U200" i="23"/>
  <c r="T200" i="23" s="1"/>
  <c r="S200" i="23" s="1"/>
  <c r="R200" i="23" s="1"/>
  <c r="P200" i="23" s="1"/>
  <c r="V200" i="23" s="1"/>
  <c r="U198" i="23"/>
  <c r="T198" i="23" s="1"/>
  <c r="S198" i="23" s="1"/>
  <c r="R198" i="23" s="1"/>
  <c r="P198" i="23" s="1"/>
  <c r="V198" i="23" s="1"/>
  <c r="U196" i="23"/>
  <c r="T196" i="23" s="1"/>
  <c r="S196" i="23" s="1"/>
  <c r="R196" i="23" s="1"/>
  <c r="P196" i="23" s="1"/>
  <c r="V196" i="23" s="1"/>
  <c r="U194" i="23"/>
  <c r="T194" i="23" s="1"/>
  <c r="S194" i="23" s="1"/>
  <c r="R194" i="23" s="1"/>
  <c r="P194" i="23" s="1"/>
  <c r="V194" i="23" s="1"/>
  <c r="U192" i="23"/>
  <c r="T192" i="23" s="1"/>
  <c r="S192" i="23" s="1"/>
  <c r="R192" i="23" s="1"/>
  <c r="P192" i="23" s="1"/>
  <c r="V192" i="23" s="1"/>
  <c r="U190" i="23"/>
  <c r="T190" i="23" s="1"/>
  <c r="S190" i="23" s="1"/>
  <c r="R190" i="23" s="1"/>
  <c r="P190" i="23" s="1"/>
  <c r="V190" i="23" s="1"/>
  <c r="U188" i="23"/>
  <c r="T188" i="23" s="1"/>
  <c r="S188" i="23" s="1"/>
  <c r="R188" i="23" s="1"/>
  <c r="P188" i="23" s="1"/>
  <c r="V188" i="23" s="1"/>
  <c r="U186" i="23"/>
  <c r="T186" i="23" s="1"/>
  <c r="S186" i="23" s="1"/>
  <c r="R186" i="23" s="1"/>
  <c r="P186" i="23" s="1"/>
  <c r="V186" i="23" s="1"/>
  <c r="U184" i="23"/>
  <c r="T184" i="23" s="1"/>
  <c r="S184" i="23" s="1"/>
  <c r="R184" i="23" s="1"/>
  <c r="P184" i="23" s="1"/>
  <c r="V184" i="23" s="1"/>
  <c r="U180" i="23"/>
  <c r="T180" i="23" s="1"/>
  <c r="S180" i="23" s="1"/>
  <c r="R180" i="23" s="1"/>
  <c r="P180" i="23" s="1"/>
  <c r="U176" i="23"/>
  <c r="T176" i="23" s="1"/>
  <c r="S176" i="23" s="1"/>
  <c r="R176" i="23" s="1"/>
  <c r="P176" i="23" s="1"/>
  <c r="V176" i="23" s="1"/>
  <c r="U172" i="23"/>
  <c r="T172" i="23" s="1"/>
  <c r="S172" i="23" s="1"/>
  <c r="R172" i="23" s="1"/>
  <c r="P172" i="23" s="1"/>
  <c r="V172" i="23" s="1"/>
  <c r="U168" i="23"/>
  <c r="T168" i="23" s="1"/>
  <c r="S168" i="23" s="1"/>
  <c r="R168" i="23" s="1"/>
  <c r="P168" i="23" s="1"/>
  <c r="V168" i="23" s="1"/>
  <c r="U164" i="23"/>
  <c r="T164" i="23" s="1"/>
  <c r="S164" i="23" s="1"/>
  <c r="R164" i="23" s="1"/>
  <c r="P164" i="23" s="1"/>
  <c r="V164" i="23" s="1"/>
  <c r="U160" i="23"/>
  <c r="T160" i="23" s="1"/>
  <c r="S160" i="23" s="1"/>
  <c r="R160" i="23" s="1"/>
  <c r="P160" i="23" s="1"/>
  <c r="V160" i="23" s="1"/>
  <c r="U156" i="23"/>
  <c r="T156" i="23" s="1"/>
  <c r="S156" i="23" s="1"/>
  <c r="R156" i="23" s="1"/>
  <c r="P156" i="23" s="1"/>
  <c r="V156" i="23" s="1"/>
  <c r="U152" i="23"/>
  <c r="T152" i="23" s="1"/>
  <c r="S152" i="23" s="1"/>
  <c r="R152" i="23" s="1"/>
  <c r="P152" i="23" s="1"/>
  <c r="V152" i="23" s="1"/>
  <c r="U148" i="23"/>
  <c r="T148" i="23" s="1"/>
  <c r="U144" i="23"/>
  <c r="T144" i="23" s="1"/>
  <c r="S144" i="23" s="1"/>
  <c r="R144" i="23" s="1"/>
  <c r="P144" i="23" s="1"/>
  <c r="V144" i="23" s="1"/>
  <c r="U140" i="23"/>
  <c r="T140" i="23" s="1"/>
  <c r="S140" i="23" s="1"/>
  <c r="R140" i="23" s="1"/>
  <c r="P140" i="23" s="1"/>
  <c r="V140" i="23" s="1"/>
  <c r="U136" i="23"/>
  <c r="T136" i="23" s="1"/>
  <c r="S136" i="23" s="1"/>
  <c r="R136" i="23" s="1"/>
  <c r="P136" i="23" s="1"/>
  <c r="V136" i="23" s="1"/>
  <c r="U132" i="23"/>
  <c r="T132" i="23" s="1"/>
  <c r="S132" i="23" s="1"/>
  <c r="R132" i="23" s="1"/>
  <c r="P132" i="23" s="1"/>
  <c r="V132" i="23" s="1"/>
  <c r="U128" i="23"/>
  <c r="T128" i="23" s="1"/>
  <c r="S128" i="23" s="1"/>
  <c r="R128" i="23" s="1"/>
  <c r="P128" i="23" s="1"/>
  <c r="V128" i="23" s="1"/>
  <c r="U124" i="23"/>
  <c r="T124" i="23" s="1"/>
  <c r="S124" i="23" s="1"/>
  <c r="R124" i="23" s="1"/>
  <c r="P124" i="23" s="1"/>
  <c r="V124" i="23" s="1"/>
  <c r="U120" i="23"/>
  <c r="T120" i="23" s="1"/>
  <c r="S120" i="23" s="1"/>
  <c r="R120" i="23" s="1"/>
  <c r="P120" i="23" s="1"/>
  <c r="V120" i="23" s="1"/>
  <c r="U116" i="23"/>
  <c r="T116" i="23" s="1"/>
  <c r="S116" i="23" s="1"/>
  <c r="R116" i="23" s="1"/>
  <c r="P116" i="23" s="1"/>
  <c r="V116" i="23" s="1"/>
  <c r="U112" i="23"/>
  <c r="T112" i="23" s="1"/>
  <c r="S112" i="23" s="1"/>
  <c r="R112" i="23" s="1"/>
  <c r="P112" i="23" s="1"/>
  <c r="V112" i="23" s="1"/>
  <c r="U108" i="23"/>
  <c r="T108" i="23" s="1"/>
  <c r="S108" i="23" s="1"/>
  <c r="R108" i="23" s="1"/>
  <c r="P108" i="23" s="1"/>
  <c r="V108" i="23" s="1"/>
  <c r="U104" i="23"/>
  <c r="T104" i="23" s="1"/>
  <c r="S104" i="23" s="1"/>
  <c r="R104" i="23" s="1"/>
  <c r="P104" i="23" s="1"/>
  <c r="V104" i="23" s="1"/>
  <c r="U100" i="23"/>
  <c r="T100" i="23" s="1"/>
  <c r="S100" i="23" s="1"/>
  <c r="R100" i="23" s="1"/>
  <c r="P100" i="23" s="1"/>
  <c r="V100" i="23" s="1"/>
  <c r="U96" i="23"/>
  <c r="T96" i="23" s="1"/>
  <c r="S96" i="23" s="1"/>
  <c r="R96" i="23" s="1"/>
  <c r="P96" i="23" s="1"/>
  <c r="V96" i="23" s="1"/>
  <c r="U92" i="23"/>
  <c r="T92" i="23" s="1"/>
  <c r="S92" i="23" s="1"/>
  <c r="R92" i="23" s="1"/>
  <c r="P92" i="23" s="1"/>
  <c r="V92" i="23" s="1"/>
  <c r="U88" i="23"/>
  <c r="T88" i="23" s="1"/>
  <c r="S88" i="23" s="1"/>
  <c r="R88" i="23" s="1"/>
  <c r="P88" i="23" s="1"/>
  <c r="AH46" i="7" s="1"/>
  <c r="U84" i="23"/>
  <c r="T84" i="23" s="1"/>
  <c r="S84" i="23" s="1"/>
  <c r="R84" i="23" s="1"/>
  <c r="P84" i="23" s="1"/>
  <c r="V84" i="23" s="1"/>
  <c r="U80" i="23"/>
  <c r="T80" i="23" s="1"/>
  <c r="S80" i="23" s="1"/>
  <c r="R80" i="23" s="1"/>
  <c r="P80" i="23" s="1"/>
  <c r="V80" i="23" s="1"/>
  <c r="U76" i="23"/>
  <c r="T76" i="23" s="1"/>
  <c r="S76" i="23" s="1"/>
  <c r="R76" i="23" s="1"/>
  <c r="P76" i="23" s="1"/>
  <c r="V76" i="23" s="1"/>
  <c r="U72" i="23"/>
  <c r="T72" i="23" s="1"/>
  <c r="S72" i="23" s="1"/>
  <c r="R72" i="23" s="1"/>
  <c r="P72" i="23" s="1"/>
  <c r="V72" i="23" s="1"/>
  <c r="U68" i="23"/>
  <c r="T68" i="23" s="1"/>
  <c r="S68" i="23" s="1"/>
  <c r="R68" i="23" s="1"/>
  <c r="P68" i="23" s="1"/>
  <c r="V68" i="23" s="1"/>
  <c r="U64" i="23"/>
  <c r="T64" i="23" s="1"/>
  <c r="S64" i="23" s="1"/>
  <c r="R64" i="23" s="1"/>
  <c r="P64" i="23" s="1"/>
  <c r="V64" i="23" s="1"/>
  <c r="U60" i="23"/>
  <c r="T60" i="23" s="1"/>
  <c r="S60" i="23" s="1"/>
  <c r="R60" i="23" s="1"/>
  <c r="P60" i="23" s="1"/>
  <c r="U56" i="23"/>
  <c r="T56" i="23" s="1"/>
  <c r="S56" i="23" s="1"/>
  <c r="R56" i="23" s="1"/>
  <c r="P56" i="23" s="1"/>
  <c r="V56" i="23" s="1"/>
  <c r="U52" i="23"/>
  <c r="T52" i="23" s="1"/>
  <c r="S52" i="23" s="1"/>
  <c r="R52" i="23" s="1"/>
  <c r="P52" i="23" s="1"/>
  <c r="V52" i="23" s="1"/>
  <c r="U48" i="23"/>
  <c r="T48" i="23" s="1"/>
  <c r="S48" i="23" s="1"/>
  <c r="R48" i="23" s="1"/>
  <c r="P48" i="23" s="1"/>
  <c r="V48" i="23" s="1"/>
  <c r="U44" i="23"/>
  <c r="T44" i="23" s="1"/>
  <c r="S44" i="23" s="1"/>
  <c r="R44" i="23" s="1"/>
  <c r="P44" i="23" s="1"/>
  <c r="V44" i="23" s="1"/>
  <c r="U40" i="23"/>
  <c r="T40" i="23" s="1"/>
  <c r="S40" i="23" s="1"/>
  <c r="R40" i="23" s="1"/>
  <c r="P40" i="23" s="1"/>
  <c r="V40" i="23" s="1"/>
  <c r="U36" i="23"/>
  <c r="T36" i="23" s="1"/>
  <c r="S36" i="23" s="1"/>
  <c r="R36" i="23" s="1"/>
  <c r="P36" i="23" s="1"/>
  <c r="V36" i="23" s="1"/>
  <c r="U32" i="23"/>
  <c r="T32" i="23" s="1"/>
  <c r="S32" i="23" s="1"/>
  <c r="R32" i="23" s="1"/>
  <c r="P32" i="23" s="1"/>
  <c r="V32" i="23" s="1"/>
  <c r="U28" i="23"/>
  <c r="T28" i="23" s="1"/>
  <c r="S28" i="23" s="1"/>
  <c r="R28" i="23" s="1"/>
  <c r="P28" i="23" s="1"/>
  <c r="V28" i="23" s="1"/>
  <c r="U24" i="23"/>
  <c r="T24" i="23" s="1"/>
  <c r="S24" i="23" s="1"/>
  <c r="R24" i="23" s="1"/>
  <c r="P24" i="23" s="1"/>
  <c r="V24" i="23" s="1"/>
  <c r="U19" i="23"/>
  <c r="T19" i="23" s="1"/>
  <c r="S19" i="23" s="1"/>
  <c r="R19" i="23" s="1"/>
  <c r="P19" i="23" s="1"/>
  <c r="V19" i="23" s="1"/>
  <c r="U18" i="23"/>
  <c r="T18" i="23" s="1"/>
  <c r="S18" i="23" s="1"/>
  <c r="R18" i="23" s="1"/>
  <c r="P18" i="23" s="1"/>
  <c r="V18" i="23" s="1"/>
  <c r="Q19" i="24"/>
  <c r="Q44" i="24"/>
  <c r="Q49" i="24"/>
  <c r="Q51" i="24"/>
  <c r="Q53" i="24"/>
  <c r="Q55" i="24"/>
  <c r="Q57" i="24"/>
  <c r="Q59" i="24"/>
  <c r="Q61" i="24"/>
  <c r="Q63" i="24"/>
  <c r="Q65" i="24"/>
  <c r="Q67" i="24"/>
  <c r="Q69" i="24"/>
  <c r="Q71" i="24"/>
  <c r="Q73" i="24"/>
  <c r="Q75" i="24"/>
  <c r="Q77" i="24"/>
  <c r="Q79" i="24"/>
  <c r="Q81" i="24"/>
  <c r="Q83" i="24"/>
  <c r="Q85" i="24"/>
  <c r="Q87" i="24"/>
  <c r="Q89" i="24"/>
  <c r="Q91" i="24"/>
  <c r="Q93" i="24"/>
  <c r="Q95" i="24"/>
  <c r="Q97" i="24"/>
  <c r="Q99" i="24"/>
  <c r="Q101" i="24"/>
  <c r="Q103" i="24"/>
  <c r="Q105" i="24"/>
  <c r="Q107" i="24"/>
  <c r="Q109" i="24"/>
  <c r="Q111" i="24"/>
  <c r="Q113" i="24"/>
  <c r="Q115" i="24"/>
  <c r="Q117" i="24"/>
  <c r="Q119" i="24"/>
  <c r="Q121" i="24"/>
  <c r="Q123" i="24"/>
  <c r="Q125" i="24"/>
  <c r="Q127" i="24"/>
  <c r="Q129" i="24"/>
  <c r="Q131" i="24"/>
  <c r="Q133" i="24"/>
  <c r="Q135" i="24"/>
  <c r="Q137" i="24"/>
  <c r="Q139" i="24"/>
  <c r="Q141" i="24"/>
  <c r="Q143" i="24"/>
  <c r="Q145" i="24"/>
  <c r="Q147" i="24"/>
  <c r="Q149" i="24"/>
  <c r="Q151" i="24"/>
  <c r="Q153" i="24"/>
  <c r="Q155" i="24"/>
  <c r="Q157" i="24"/>
  <c r="Q159" i="24"/>
  <c r="Q161" i="24"/>
  <c r="Q163" i="24"/>
  <c r="Q165" i="24"/>
  <c r="Q167" i="24"/>
  <c r="Q169" i="24"/>
  <c r="Q171" i="24"/>
  <c r="Q173" i="24"/>
  <c r="Q175" i="24"/>
  <c r="Q177" i="24"/>
  <c r="Q179" i="24"/>
  <c r="Q181" i="24"/>
  <c r="Q183" i="24"/>
  <c r="Q185" i="24"/>
  <c r="Q187" i="24"/>
  <c r="Q189" i="24"/>
  <c r="Q191" i="24"/>
  <c r="Q193" i="24"/>
  <c r="Q195" i="24"/>
  <c r="Q197" i="24"/>
  <c r="Q199" i="24"/>
  <c r="Q201" i="24"/>
  <c r="Q203" i="24"/>
  <c r="Q205" i="24"/>
  <c r="Q207" i="24"/>
  <c r="Q209" i="24"/>
  <c r="Q211" i="24"/>
  <c r="Q213" i="24"/>
  <c r="Q215" i="24"/>
  <c r="Q48" i="24"/>
  <c r="Q46" i="24"/>
  <c r="Q40" i="24"/>
  <c r="Q36" i="24"/>
  <c r="Q45" i="24"/>
  <c r="Q42" i="24"/>
  <c r="Q38" i="24"/>
  <c r="Q32" i="24"/>
  <c r="Q34" i="24"/>
  <c r="Q30" i="24"/>
  <c r="H67" i="19"/>
  <c r="Q43" i="24"/>
  <c r="Q41" i="24"/>
  <c r="Q39" i="24"/>
  <c r="Q37" i="24"/>
  <c r="Q35" i="24"/>
  <c r="Q33" i="24"/>
  <c r="Q31" i="24"/>
  <c r="Q26" i="24"/>
  <c r="Q28" i="24"/>
  <c r="Q24" i="24"/>
  <c r="Q29" i="24"/>
  <c r="Q27" i="24"/>
  <c r="Q25" i="24"/>
  <c r="Q23" i="24"/>
  <c r="Q17" i="24"/>
  <c r="Q18" i="24"/>
  <c r="E67" i="19"/>
  <c r="F67" i="19"/>
  <c r="Q22" i="24"/>
  <c r="Q20" i="24"/>
  <c r="Q15" i="24"/>
  <c r="Q16" i="24"/>
  <c r="AG369" i="23"/>
  <c r="AF369" i="23" s="1"/>
  <c r="AD369" i="23" s="1"/>
  <c r="AG374" i="23"/>
  <c r="AF374" i="23" s="1"/>
  <c r="AD374" i="23" s="1"/>
  <c r="AG370" i="23"/>
  <c r="AF370" i="23" s="1"/>
  <c r="AD370" i="23" s="1"/>
  <c r="AG366" i="23"/>
  <c r="AF366" i="23" s="1"/>
  <c r="AD366" i="23" s="1"/>
  <c r="AG346" i="23"/>
  <c r="AF346" i="23" s="1"/>
  <c r="AD346" i="23" s="1"/>
  <c r="AG338" i="23"/>
  <c r="AF338" i="23" s="1"/>
  <c r="AD338" i="23" s="1"/>
  <c r="AG328" i="23"/>
  <c r="AF328" i="23" s="1"/>
  <c r="AD328" i="23" s="1"/>
  <c r="AG326" i="23"/>
  <c r="AF326" i="23" s="1"/>
  <c r="AD326" i="23" s="1"/>
  <c r="AG312" i="23"/>
  <c r="AF312" i="23" s="1"/>
  <c r="AD312" i="23" s="1"/>
  <c r="AG306" i="23"/>
  <c r="AF306" i="23" s="1"/>
  <c r="AD306" i="23" s="1"/>
  <c r="AG304" i="23"/>
  <c r="AF304" i="23" s="1"/>
  <c r="AD304" i="23" s="1"/>
  <c r="AG290" i="23"/>
  <c r="AF290" i="23" s="1"/>
  <c r="AD290" i="23" s="1"/>
  <c r="AG288" i="23"/>
  <c r="AF288" i="23" s="1"/>
  <c r="AD288" i="23" s="1"/>
  <c r="AG258" i="23"/>
  <c r="AF258" i="23" s="1"/>
  <c r="AD258" i="23" s="1"/>
  <c r="AG256" i="23"/>
  <c r="AF256" i="23" s="1"/>
  <c r="AD256" i="23" s="1"/>
  <c r="AG238" i="23"/>
  <c r="AF238" i="23" s="1"/>
  <c r="AD238" i="23" s="1"/>
  <c r="AG224" i="23"/>
  <c r="AF224" i="23" s="1"/>
  <c r="AD224" i="23" s="1"/>
  <c r="AG216" i="23"/>
  <c r="AF216" i="23" s="1"/>
  <c r="AD216" i="23" s="1"/>
  <c r="AG210" i="23"/>
  <c r="AF210" i="23" s="1"/>
  <c r="AD210" i="23" s="1"/>
  <c r="AG206" i="23"/>
  <c r="AF206" i="23" s="1"/>
  <c r="AD206" i="23" s="1"/>
  <c r="AG164" i="23"/>
  <c r="AF164" i="23" s="1"/>
  <c r="AD164" i="23" s="1"/>
  <c r="AG136" i="23"/>
  <c r="AF136" i="23" s="1"/>
  <c r="AD136" i="23" s="1"/>
  <c r="AG116" i="23"/>
  <c r="AF116" i="23" s="1"/>
  <c r="AD116" i="23" s="1"/>
  <c r="AG100" i="23"/>
  <c r="AF100" i="23" s="1"/>
  <c r="AD100" i="23" s="1"/>
  <c r="AG88" i="23"/>
  <c r="AF88" i="23" s="1"/>
  <c r="AD88" i="23" s="1"/>
  <c r="S373" i="23"/>
  <c r="R373" i="23" s="1"/>
  <c r="P373" i="23" s="1"/>
  <c r="V373" i="23" s="1"/>
  <c r="S361" i="23"/>
  <c r="R361" i="23" s="1"/>
  <c r="P361" i="23" s="1"/>
  <c r="V361" i="23" s="1"/>
  <c r="S357" i="23"/>
  <c r="R357" i="23" s="1"/>
  <c r="P357" i="23" s="1"/>
  <c r="V357" i="23" s="1"/>
  <c r="S341" i="23"/>
  <c r="R341" i="23" s="1"/>
  <c r="P341" i="23" s="1"/>
  <c r="V341" i="23" s="1"/>
  <c r="S317" i="23"/>
  <c r="R317" i="23" s="1"/>
  <c r="P317" i="23" s="1"/>
  <c r="V317" i="23" s="1"/>
  <c r="S293" i="23"/>
  <c r="R293" i="23" s="1"/>
  <c r="P293" i="23" s="1"/>
  <c r="V293" i="23" s="1"/>
  <c r="S273" i="23"/>
  <c r="R273" i="23" s="1"/>
  <c r="P273" i="23" s="1"/>
  <c r="V273" i="23" s="1"/>
  <c r="S263" i="23"/>
  <c r="R263" i="23" s="1"/>
  <c r="P263" i="23" s="1"/>
  <c r="V263" i="23" s="1"/>
  <c r="S245" i="23"/>
  <c r="R245" i="23" s="1"/>
  <c r="P245" i="23" s="1"/>
  <c r="V245" i="23" s="1"/>
  <c r="S233" i="23"/>
  <c r="R233" i="23" s="1"/>
  <c r="P233" i="23" s="1"/>
  <c r="V233" i="23" s="1"/>
  <c r="S229" i="23"/>
  <c r="R229" i="23" s="1"/>
  <c r="P229" i="23" s="1"/>
  <c r="V229" i="23" s="1"/>
  <c r="S221" i="23"/>
  <c r="R221" i="23" s="1"/>
  <c r="P221" i="23" s="1"/>
  <c r="V221" i="23" s="1"/>
  <c r="S213" i="23"/>
  <c r="R213" i="23" s="1"/>
  <c r="P213" i="23" s="1"/>
  <c r="V213" i="23" s="1"/>
  <c r="S209" i="23"/>
  <c r="R209" i="23" s="1"/>
  <c r="P209" i="23" s="1"/>
  <c r="V209" i="23" s="1"/>
  <c r="S201" i="23"/>
  <c r="R201" i="23" s="1"/>
  <c r="P201" i="23" s="1"/>
  <c r="V201" i="23" s="1"/>
  <c r="S197" i="23"/>
  <c r="R197" i="23" s="1"/>
  <c r="P197" i="23" s="1"/>
  <c r="V197" i="23" s="1"/>
  <c r="S193" i="23"/>
  <c r="R193" i="23" s="1"/>
  <c r="P193" i="23" s="1"/>
  <c r="V193" i="23" s="1"/>
  <c r="S191" i="23"/>
  <c r="R191" i="23" s="1"/>
  <c r="P191" i="23" s="1"/>
  <c r="V191" i="23" s="1"/>
  <c r="S189" i="23"/>
  <c r="R189" i="23" s="1"/>
  <c r="P189" i="23" s="1"/>
  <c r="V189" i="23" s="1"/>
  <c r="S185" i="23"/>
  <c r="R185" i="23" s="1"/>
  <c r="P185" i="23" s="1"/>
  <c r="V185" i="23" s="1"/>
  <c r="S147" i="23"/>
  <c r="R147" i="23" s="1"/>
  <c r="P147" i="23" s="1"/>
  <c r="V147" i="23" s="1"/>
  <c r="S111" i="23"/>
  <c r="R111" i="23" s="1"/>
  <c r="P111" i="23" s="1"/>
  <c r="V111" i="23" s="1"/>
  <c r="S79" i="23"/>
  <c r="R79" i="23" s="1"/>
  <c r="P79" i="23" s="1"/>
  <c r="V79" i="23" s="1"/>
  <c r="S35" i="23"/>
  <c r="R35" i="23" s="1"/>
  <c r="P35" i="23" s="1"/>
  <c r="V35" i="23" s="1"/>
  <c r="AZ15" i="7"/>
  <c r="BA15" i="7"/>
  <c r="AE21" i="24"/>
  <c r="AE16" i="24"/>
  <c r="AE23" i="24"/>
  <c r="AE27" i="24"/>
  <c r="AE31" i="24"/>
  <c r="AE35" i="24"/>
  <c r="AE39" i="24"/>
  <c r="AE43" i="24"/>
  <c r="AE47" i="24"/>
  <c r="AE51" i="24"/>
  <c r="AE55" i="24"/>
  <c r="AE59" i="24"/>
  <c r="AE65" i="24"/>
  <c r="AE67" i="24"/>
  <c r="AE71" i="24"/>
  <c r="AE75" i="24"/>
  <c r="AE79" i="24"/>
  <c r="AE83" i="24"/>
  <c r="AE87" i="24"/>
  <c r="AE91" i="24"/>
  <c r="AE95" i="24"/>
  <c r="AE99" i="24"/>
  <c r="AE103" i="24"/>
  <c r="AE107" i="24"/>
  <c r="AE111" i="24"/>
  <c r="AE115" i="24"/>
  <c r="AE119" i="24"/>
  <c r="AE123" i="24"/>
  <c r="AE127" i="24"/>
  <c r="AE131" i="24"/>
  <c r="AE135" i="24"/>
  <c r="AE139" i="24"/>
  <c r="AE143" i="24"/>
  <c r="AE147" i="24"/>
  <c r="AE151" i="24"/>
  <c r="AE155" i="24"/>
  <c r="AE159" i="24"/>
  <c r="AE165" i="24"/>
  <c r="AE169" i="24"/>
  <c r="AE173" i="24"/>
  <c r="AE177" i="24"/>
  <c r="AE181" i="24"/>
  <c r="AE185" i="24"/>
  <c r="AE189" i="24"/>
  <c r="AE193" i="24"/>
  <c r="AE197" i="24"/>
  <c r="AE201" i="24"/>
  <c r="AE205" i="24"/>
  <c r="AE209" i="24"/>
  <c r="AE213" i="24"/>
  <c r="AE217" i="24"/>
  <c r="AE221" i="24"/>
  <c r="AE225" i="24"/>
  <c r="AE229" i="24"/>
  <c r="AE233" i="24"/>
  <c r="AE237" i="24"/>
  <c r="AE241" i="24"/>
  <c r="AE245" i="24"/>
  <c r="AE249" i="24"/>
  <c r="AE253" i="24"/>
  <c r="AE257" i="24"/>
  <c r="AE261" i="24"/>
  <c r="AE265" i="24"/>
  <c r="AE269" i="24"/>
  <c r="AE273" i="24"/>
  <c r="AE277" i="24"/>
  <c r="AE281" i="24"/>
  <c r="AE285" i="24"/>
  <c r="AE289" i="24"/>
  <c r="AE293" i="24"/>
  <c r="AE297" i="24"/>
  <c r="AE301" i="24"/>
  <c r="AE305" i="24"/>
  <c r="AE309" i="24"/>
  <c r="AE313" i="24"/>
  <c r="AE317" i="24"/>
  <c r="AE321" i="24"/>
  <c r="AE325" i="24"/>
  <c r="AE329" i="24"/>
  <c r="AE333" i="24"/>
  <c r="AE337" i="24"/>
  <c r="AE341" i="24"/>
  <c r="AE345" i="24"/>
  <c r="AE349" i="24"/>
  <c r="AE353" i="24"/>
  <c r="AE357" i="24"/>
  <c r="AE361" i="24"/>
  <c r="AE363" i="24"/>
  <c r="AE369" i="24"/>
  <c r="AE371" i="24"/>
  <c r="AE375" i="24"/>
  <c r="AE379" i="24"/>
  <c r="AE12" i="25" s="1"/>
  <c r="AE17" i="24"/>
  <c r="AE19" i="24"/>
  <c r="AE18" i="24"/>
  <c r="AE22" i="24"/>
  <c r="AE24" i="24"/>
  <c r="AE26" i="24"/>
  <c r="AE28" i="24"/>
  <c r="AE30" i="24"/>
  <c r="AE32" i="24"/>
  <c r="AE34" i="24"/>
  <c r="AE36" i="24"/>
  <c r="AE38" i="24"/>
  <c r="AE40" i="24"/>
  <c r="AE42" i="24"/>
  <c r="AE44" i="24"/>
  <c r="AE46" i="24"/>
  <c r="AE48" i="24"/>
  <c r="AE50" i="24"/>
  <c r="AE52" i="24"/>
  <c r="AE54" i="24"/>
  <c r="AE56" i="24"/>
  <c r="AE58" i="24"/>
  <c r="AE60" i="24"/>
  <c r="AE62" i="24"/>
  <c r="AE64" i="24"/>
  <c r="AE66" i="24"/>
  <c r="AE68" i="24"/>
  <c r="AE70" i="24"/>
  <c r="AE72" i="24"/>
  <c r="AE74" i="24"/>
  <c r="AE76" i="24"/>
  <c r="AE78" i="24"/>
  <c r="AE80" i="24"/>
  <c r="AE82" i="24"/>
  <c r="AE84" i="24"/>
  <c r="AE86" i="24"/>
  <c r="AE88" i="24"/>
  <c r="AE90" i="24"/>
  <c r="AE92" i="24"/>
  <c r="AE94" i="24"/>
  <c r="AE96" i="24"/>
  <c r="AE98" i="24"/>
  <c r="AE100" i="24"/>
  <c r="AE102" i="24"/>
  <c r="AE104" i="24"/>
  <c r="AE106" i="24"/>
  <c r="AE108" i="24"/>
  <c r="AE110" i="24"/>
  <c r="AE112" i="24"/>
  <c r="AE114" i="24"/>
  <c r="AE116" i="24"/>
  <c r="AE118" i="24"/>
  <c r="AE120" i="24"/>
  <c r="AE122" i="24"/>
  <c r="AE124" i="24"/>
  <c r="AE126" i="24"/>
  <c r="AE128" i="24"/>
  <c r="AE130" i="24"/>
  <c r="AE132" i="24"/>
  <c r="AE134" i="24"/>
  <c r="AE136" i="24"/>
  <c r="AE138" i="24"/>
  <c r="AE140" i="24"/>
  <c r="AE142" i="24"/>
  <c r="AE144" i="24"/>
  <c r="AE146" i="24"/>
  <c r="AE148" i="24"/>
  <c r="AE150" i="24"/>
  <c r="AE152" i="24"/>
  <c r="AE154" i="24"/>
  <c r="AE156" i="24"/>
  <c r="AE158" i="24"/>
  <c r="AE160" i="24"/>
  <c r="AE162" i="24"/>
  <c r="AE164" i="24"/>
  <c r="AE166" i="24"/>
  <c r="AE168" i="24"/>
  <c r="AE170" i="24"/>
  <c r="AE172" i="24"/>
  <c r="AE174" i="24"/>
  <c r="AE176" i="24"/>
  <c r="AE178" i="24"/>
  <c r="AE180" i="24"/>
  <c r="AE182" i="24"/>
  <c r="AE184" i="24"/>
  <c r="AE186" i="24"/>
  <c r="AE188" i="24"/>
  <c r="AE190" i="24"/>
  <c r="AE192" i="24"/>
  <c r="AE194" i="24"/>
  <c r="AE196" i="24"/>
  <c r="AE198" i="24"/>
  <c r="AE200" i="24"/>
  <c r="AE202" i="24"/>
  <c r="AE204" i="24"/>
  <c r="AE206" i="24"/>
  <c r="AE208" i="24"/>
  <c r="AE210" i="24"/>
  <c r="AE212" i="24"/>
  <c r="AE214" i="24"/>
  <c r="AE216" i="24"/>
  <c r="AE218" i="24"/>
  <c r="AE220" i="24"/>
  <c r="AE222" i="24"/>
  <c r="AE224" i="24"/>
  <c r="AE226" i="24"/>
  <c r="AE228" i="24"/>
  <c r="AE230" i="24"/>
  <c r="AE232" i="24"/>
  <c r="AE234" i="24"/>
  <c r="AE236" i="24"/>
  <c r="AE238" i="24"/>
  <c r="AE240" i="24"/>
  <c r="AE242" i="24"/>
  <c r="AE244" i="24"/>
  <c r="AE246" i="24"/>
  <c r="AE248" i="24"/>
  <c r="AE250" i="24"/>
  <c r="AE252" i="24"/>
  <c r="AE254" i="24"/>
  <c r="AE256" i="24"/>
  <c r="AE258" i="24"/>
  <c r="AE260" i="24"/>
  <c r="AE262" i="24"/>
  <c r="AE264" i="24"/>
  <c r="AE266" i="24"/>
  <c r="AE268" i="24"/>
  <c r="AE270" i="24"/>
  <c r="AE272" i="24"/>
  <c r="AE274" i="24"/>
  <c r="AE276" i="24"/>
  <c r="AE278" i="24"/>
  <c r="AE280" i="24"/>
  <c r="AE282" i="24"/>
  <c r="AE284" i="24"/>
  <c r="AE286" i="24"/>
  <c r="AE288" i="24"/>
  <c r="AE290" i="24"/>
  <c r="AE292" i="24"/>
  <c r="AE294" i="24"/>
  <c r="AE296" i="24"/>
  <c r="AE298" i="24"/>
  <c r="AE300" i="24"/>
  <c r="AE302" i="24"/>
  <c r="AE304" i="24"/>
  <c r="AE306" i="24"/>
  <c r="AE308" i="24"/>
  <c r="AE310" i="24"/>
  <c r="AE312" i="24"/>
  <c r="AE314" i="24"/>
  <c r="AE316" i="24"/>
  <c r="AE318" i="24"/>
  <c r="AE320" i="24"/>
  <c r="AE322" i="24"/>
  <c r="AE324" i="24"/>
  <c r="AE326" i="24"/>
  <c r="AE328" i="24"/>
  <c r="AE330" i="24"/>
  <c r="AE332" i="24"/>
  <c r="AE334" i="24"/>
  <c r="AE336" i="24"/>
  <c r="AE338" i="24"/>
  <c r="AE340" i="24"/>
  <c r="AE342" i="24"/>
  <c r="AE344" i="24"/>
  <c r="AE346" i="24"/>
  <c r="AE348" i="24"/>
  <c r="AE350" i="24"/>
  <c r="AE352" i="24"/>
  <c r="AE354" i="24"/>
  <c r="AE356" i="24"/>
  <c r="AE358" i="24"/>
  <c r="AE360" i="24"/>
  <c r="AE362" i="24"/>
  <c r="AE364" i="24"/>
  <c r="AE366" i="24"/>
  <c r="AE368" i="24"/>
  <c r="AE370" i="24"/>
  <c r="AE372" i="24"/>
  <c r="AE374" i="24"/>
  <c r="AE376" i="24"/>
  <c r="AE378" i="24"/>
  <c r="AE20" i="24"/>
  <c r="AE15" i="24"/>
  <c r="AE25" i="24"/>
  <c r="AE29" i="24"/>
  <c r="AE33" i="24"/>
  <c r="AE37" i="24"/>
  <c r="AE41" i="24"/>
  <c r="AE45" i="24"/>
  <c r="AE49" i="24"/>
  <c r="AE53" i="24"/>
  <c r="AE57" i="24"/>
  <c r="AE61" i="24"/>
  <c r="AE63" i="24"/>
  <c r="AE69" i="24"/>
  <c r="AE73" i="24"/>
  <c r="AE77" i="24"/>
  <c r="AE81" i="24"/>
  <c r="AE85" i="24"/>
  <c r="AE89" i="24"/>
  <c r="AE93" i="24"/>
  <c r="AE97" i="24"/>
  <c r="AE101" i="24"/>
  <c r="AE105" i="24"/>
  <c r="AE109" i="24"/>
  <c r="AE113" i="24"/>
  <c r="AE117" i="24"/>
  <c r="AE121" i="24"/>
  <c r="AE125" i="24"/>
  <c r="AE129" i="24"/>
  <c r="AE133" i="24"/>
  <c r="AE137" i="24"/>
  <c r="AE141" i="24"/>
  <c r="AE145" i="24"/>
  <c r="AE149" i="24"/>
  <c r="AE153" i="24"/>
  <c r="AE157" i="24"/>
  <c r="AE161" i="24"/>
  <c r="AE163" i="24"/>
  <c r="AE167" i="24"/>
  <c r="AE171" i="24"/>
  <c r="AE175" i="24"/>
  <c r="AE179" i="24"/>
  <c r="AE183" i="24"/>
  <c r="AE187" i="24"/>
  <c r="AE191" i="24"/>
  <c r="AE195" i="24"/>
  <c r="AE199" i="24"/>
  <c r="AE203" i="24"/>
  <c r="AE207" i="24"/>
  <c r="AE211" i="24"/>
  <c r="AE215" i="24"/>
  <c r="AE219" i="24"/>
  <c r="AE223" i="24"/>
  <c r="AE227" i="24"/>
  <c r="AE231" i="24"/>
  <c r="AE235" i="24"/>
  <c r="AE239" i="24"/>
  <c r="AE243" i="24"/>
  <c r="AE247" i="24"/>
  <c r="AE251" i="24"/>
  <c r="AE255" i="24"/>
  <c r="AE259" i="24"/>
  <c r="AE263" i="24"/>
  <c r="AE267" i="24"/>
  <c r="AE271" i="24"/>
  <c r="AE275" i="24"/>
  <c r="AE279" i="24"/>
  <c r="AE283" i="24"/>
  <c r="AE287" i="24"/>
  <c r="AE291" i="24"/>
  <c r="AE295" i="24"/>
  <c r="AE299" i="24"/>
  <c r="AE303" i="24"/>
  <c r="AE307" i="24"/>
  <c r="AE311" i="24"/>
  <c r="AE315" i="24"/>
  <c r="AE319" i="24"/>
  <c r="AE323" i="24"/>
  <c r="AE327" i="24"/>
  <c r="AE331" i="24"/>
  <c r="AE335" i="24"/>
  <c r="AE339" i="24"/>
  <c r="AE343" i="24"/>
  <c r="AE347" i="24"/>
  <c r="AE351" i="24"/>
  <c r="AE355" i="24"/>
  <c r="AE359" i="24"/>
  <c r="AE365" i="24"/>
  <c r="AE367" i="24"/>
  <c r="AE373" i="24"/>
  <c r="AE377" i="24"/>
  <c r="S381" i="22"/>
  <c r="S383" i="22"/>
  <c r="S382" i="22"/>
  <c r="R15" i="22"/>
  <c r="AG382" i="22"/>
  <c r="AG383" i="22"/>
  <c r="AG381" i="22"/>
  <c r="AF15" i="22"/>
  <c r="AG347" i="23"/>
  <c r="AF347" i="23" s="1"/>
  <c r="AD347" i="23" s="1"/>
  <c r="AG293" i="23"/>
  <c r="AF293" i="23" s="1"/>
  <c r="AD293" i="23" s="1"/>
  <c r="AG237" i="23"/>
  <c r="AF237" i="23" s="1"/>
  <c r="AD237" i="23" s="1"/>
  <c r="AG203" i="23"/>
  <c r="AF203" i="23" s="1"/>
  <c r="AD203" i="23" s="1"/>
  <c r="AG161" i="23"/>
  <c r="AF161" i="23" s="1"/>
  <c r="AD161" i="23" s="1"/>
  <c r="AG145" i="23"/>
  <c r="AF145" i="23" s="1"/>
  <c r="AD145" i="23" s="1"/>
  <c r="AG103" i="23"/>
  <c r="AF103" i="23" s="1"/>
  <c r="AD103" i="23" s="1"/>
  <c r="AG63" i="23"/>
  <c r="AF63" i="23" s="1"/>
  <c r="AD63" i="23" s="1"/>
  <c r="AG49" i="23"/>
  <c r="AF49" i="23" s="1"/>
  <c r="AD49" i="23" s="1"/>
  <c r="S350" i="23"/>
  <c r="R350" i="23" s="1"/>
  <c r="P350" i="23" s="1"/>
  <c r="V350" i="23" s="1"/>
  <c r="S298" i="23"/>
  <c r="R298" i="23" s="1"/>
  <c r="P298" i="23" s="1"/>
  <c r="V298" i="23" s="1"/>
  <c r="S234" i="23"/>
  <c r="R234" i="23" s="1"/>
  <c r="P234" i="23" s="1"/>
  <c r="V234" i="23" s="1"/>
  <c r="S162" i="23"/>
  <c r="R162" i="23" s="1"/>
  <c r="P162" i="23" s="1"/>
  <c r="V162" i="23" s="1"/>
  <c r="S154" i="23"/>
  <c r="R154" i="23" s="1"/>
  <c r="P154" i="23" s="1"/>
  <c r="V154" i="23" s="1"/>
  <c r="S148" i="23"/>
  <c r="R148" i="23" s="1"/>
  <c r="P148" i="23" s="1"/>
  <c r="V148" i="23" s="1"/>
  <c r="S114" i="23"/>
  <c r="R114" i="23" s="1"/>
  <c r="P114" i="23" s="1"/>
  <c r="V114" i="23" s="1"/>
  <c r="S90" i="23"/>
  <c r="R90" i="23" s="1"/>
  <c r="P90" i="23" s="1"/>
  <c r="V90" i="23" s="1"/>
  <c r="S58" i="23"/>
  <c r="R58" i="23" s="1"/>
  <c r="P58" i="23" s="1"/>
  <c r="V58" i="23" s="1"/>
  <c r="S50" i="23"/>
  <c r="R50" i="23" s="1"/>
  <c r="P50" i="23" s="1"/>
  <c r="V50" i="23" s="1"/>
  <c r="S38" i="23"/>
  <c r="R38" i="23" s="1"/>
  <c r="P38" i="23" s="1"/>
  <c r="V38" i="23" s="1"/>
  <c r="S20" i="23"/>
  <c r="R20" i="23" s="1"/>
  <c r="P20" i="23" s="1"/>
  <c r="V20" i="23" s="1"/>
  <c r="B66" i="19"/>
  <c r="V381" i="20"/>
  <c r="AI320" i="23" l="1"/>
  <c r="AH320" i="23" s="1"/>
  <c r="AG320" i="23" s="1"/>
  <c r="AF320" i="23" s="1"/>
  <c r="AD320" i="23" s="1"/>
  <c r="AI336" i="23"/>
  <c r="AH336" i="23" s="1"/>
  <c r="AG336" i="23" s="1"/>
  <c r="AF336" i="23" s="1"/>
  <c r="AD336" i="23" s="1"/>
  <c r="AI352" i="23"/>
  <c r="AH352" i="23" s="1"/>
  <c r="AG352" i="23" s="1"/>
  <c r="AF352" i="23" s="1"/>
  <c r="AD352" i="23" s="1"/>
  <c r="AI124" i="23"/>
  <c r="AH124" i="23" s="1"/>
  <c r="AG124" i="23" s="1"/>
  <c r="AF124" i="23" s="1"/>
  <c r="AD124" i="23" s="1"/>
  <c r="AI156" i="23"/>
  <c r="AH156" i="23" s="1"/>
  <c r="AG156" i="23" s="1"/>
  <c r="AF156" i="23" s="1"/>
  <c r="AD156" i="23" s="1"/>
  <c r="AI188" i="23"/>
  <c r="AH188" i="23" s="1"/>
  <c r="AG188" i="23" s="1"/>
  <c r="AF188" i="23" s="1"/>
  <c r="AD188" i="23" s="1"/>
  <c r="AI212" i="23"/>
  <c r="AH212" i="23" s="1"/>
  <c r="AG212" i="23" s="1"/>
  <c r="AF212" i="23" s="1"/>
  <c r="AD212" i="23" s="1"/>
  <c r="AI228" i="23"/>
  <c r="AH228" i="23" s="1"/>
  <c r="AG228" i="23" s="1"/>
  <c r="AF228" i="23" s="1"/>
  <c r="AD228" i="23" s="1"/>
  <c r="AI244" i="23"/>
  <c r="AH244" i="23" s="1"/>
  <c r="AG244" i="23" s="1"/>
  <c r="AF244" i="23" s="1"/>
  <c r="AD244" i="23" s="1"/>
  <c r="AI260" i="23"/>
  <c r="AH260" i="23" s="1"/>
  <c r="AG260" i="23" s="1"/>
  <c r="AF260" i="23" s="1"/>
  <c r="AD260" i="23" s="1"/>
  <c r="AI276" i="23"/>
  <c r="AH276" i="23" s="1"/>
  <c r="AG276" i="23" s="1"/>
  <c r="AF276" i="23" s="1"/>
  <c r="AD276" i="23" s="1"/>
  <c r="AI292" i="23"/>
  <c r="AH292" i="23" s="1"/>
  <c r="AG292" i="23" s="1"/>
  <c r="AF292" i="23" s="1"/>
  <c r="AD292" i="23" s="1"/>
  <c r="AI308" i="23"/>
  <c r="AH308" i="23" s="1"/>
  <c r="AG308" i="23" s="1"/>
  <c r="AF308" i="23" s="1"/>
  <c r="AD308" i="23" s="1"/>
  <c r="AI324" i="23"/>
  <c r="AH324" i="23" s="1"/>
  <c r="AG324" i="23" s="1"/>
  <c r="AF324" i="23" s="1"/>
  <c r="AD324" i="23" s="1"/>
  <c r="AI340" i="23"/>
  <c r="AH340" i="23" s="1"/>
  <c r="AG340" i="23" s="1"/>
  <c r="AF340" i="23" s="1"/>
  <c r="AD340" i="23" s="1"/>
  <c r="AI356" i="23"/>
  <c r="AH356" i="23" s="1"/>
  <c r="AG356" i="23" s="1"/>
  <c r="AF356" i="23" s="1"/>
  <c r="AD356" i="23" s="1"/>
  <c r="AI372" i="23"/>
  <c r="AH372" i="23" s="1"/>
  <c r="AG372" i="23" s="1"/>
  <c r="AF372" i="23" s="1"/>
  <c r="AD372" i="23" s="1"/>
  <c r="AI108" i="23"/>
  <c r="AH108" i="23" s="1"/>
  <c r="AG108" i="23" s="1"/>
  <c r="AF108" i="23" s="1"/>
  <c r="AD108" i="23" s="1"/>
  <c r="AI140" i="23"/>
  <c r="AH140" i="23" s="1"/>
  <c r="AG140" i="23" s="1"/>
  <c r="AF140" i="23" s="1"/>
  <c r="AD140" i="23" s="1"/>
  <c r="AI172" i="23"/>
  <c r="AH172" i="23" s="1"/>
  <c r="AG172" i="23" s="1"/>
  <c r="AF172" i="23" s="1"/>
  <c r="AD172" i="23" s="1"/>
  <c r="AI204" i="23"/>
  <c r="AH204" i="23" s="1"/>
  <c r="AG204" i="23" s="1"/>
  <c r="AF204" i="23" s="1"/>
  <c r="AD204" i="23" s="1"/>
  <c r="AI220" i="23"/>
  <c r="AH220" i="23" s="1"/>
  <c r="AG220" i="23" s="1"/>
  <c r="AF220" i="23" s="1"/>
  <c r="AD220" i="23" s="1"/>
  <c r="AI236" i="23"/>
  <c r="AH236" i="23" s="1"/>
  <c r="AG236" i="23" s="1"/>
  <c r="AF236" i="23" s="1"/>
  <c r="AD236" i="23" s="1"/>
  <c r="AI252" i="23"/>
  <c r="AH252" i="23" s="1"/>
  <c r="AG252" i="23" s="1"/>
  <c r="AF252" i="23" s="1"/>
  <c r="AD252" i="23" s="1"/>
  <c r="AI268" i="23"/>
  <c r="AH268" i="23" s="1"/>
  <c r="AG268" i="23" s="1"/>
  <c r="AF268" i="23" s="1"/>
  <c r="AD268" i="23" s="1"/>
  <c r="AI284" i="23"/>
  <c r="AH284" i="23" s="1"/>
  <c r="AG284" i="23" s="1"/>
  <c r="AF284" i="23" s="1"/>
  <c r="AD284" i="23" s="1"/>
  <c r="AI300" i="23"/>
  <c r="AH300" i="23" s="1"/>
  <c r="AG300" i="23" s="1"/>
  <c r="AF300" i="23" s="1"/>
  <c r="AD300" i="23" s="1"/>
  <c r="AI316" i="23"/>
  <c r="AH316" i="23" s="1"/>
  <c r="AG316" i="23" s="1"/>
  <c r="AF316" i="23" s="1"/>
  <c r="AD316" i="23" s="1"/>
  <c r="AI332" i="23"/>
  <c r="AH332" i="23" s="1"/>
  <c r="AG332" i="23" s="1"/>
  <c r="AF332" i="23" s="1"/>
  <c r="AD332" i="23" s="1"/>
  <c r="AI348" i="23"/>
  <c r="AH348" i="23" s="1"/>
  <c r="AG348" i="23" s="1"/>
  <c r="AF348" i="23" s="1"/>
  <c r="AD348" i="23" s="1"/>
  <c r="AI364" i="23"/>
  <c r="AH364" i="23" s="1"/>
  <c r="AG364" i="23" s="1"/>
  <c r="AF364" i="23" s="1"/>
  <c r="AD364" i="23" s="1"/>
  <c r="AI376" i="23"/>
  <c r="AH376" i="23" s="1"/>
  <c r="AG376" i="23" s="1"/>
  <c r="AF376" i="23" s="1"/>
  <c r="AD376" i="23" s="1"/>
  <c r="U12" i="24"/>
  <c r="Q382" i="24"/>
  <c r="AH379" i="23"/>
  <c r="AG379" i="23" s="1"/>
  <c r="AF379" i="23" s="1"/>
  <c r="AD379" i="23" s="1"/>
  <c r="Q381" i="24"/>
  <c r="Q383" i="24"/>
  <c r="AT16" i="7"/>
  <c r="AZ11" i="7" s="1"/>
  <c r="U11" i="24" s="1"/>
  <c r="U10" i="24" s="1"/>
  <c r="AI81" i="24" s="1"/>
  <c r="AH81" i="24" s="1"/>
  <c r="U381" i="23"/>
  <c r="AI381" i="23"/>
  <c r="V88" i="23"/>
  <c r="D68" i="19" s="1"/>
  <c r="AI382" i="23"/>
  <c r="V302" i="23"/>
  <c r="K68" i="19" s="1"/>
  <c r="U382" i="23"/>
  <c r="U383" i="23"/>
  <c r="V383" i="20"/>
  <c r="N66" i="19"/>
  <c r="V382" i="20"/>
  <c r="AH49" i="7"/>
  <c r="V180" i="23"/>
  <c r="AH54" i="7"/>
  <c r="V333" i="23"/>
  <c r="L68" i="19" s="1"/>
  <c r="AH45" i="7"/>
  <c r="V60" i="23"/>
  <c r="C68" i="19" s="1"/>
  <c r="AH50" i="7"/>
  <c r="V210" i="23"/>
  <c r="AE381" i="24"/>
  <c r="AE382" i="24"/>
  <c r="AE383" i="24"/>
  <c r="T381" i="23"/>
  <c r="T383" i="23"/>
  <c r="S15" i="23"/>
  <c r="T382" i="23"/>
  <c r="AY16" i="7"/>
  <c r="U364" i="24"/>
  <c r="T364" i="24" s="1"/>
  <c r="S364" i="24" s="1"/>
  <c r="R364" i="24" s="1"/>
  <c r="P364" i="24" s="1"/>
  <c r="V364" i="24" s="1"/>
  <c r="AG15" i="23"/>
  <c r="AH52" i="7"/>
  <c r="V272" i="23"/>
  <c r="AF381" i="22"/>
  <c r="AF382" i="22"/>
  <c r="AF383" i="22"/>
  <c r="AD15" i="22"/>
  <c r="R381" i="22"/>
  <c r="R382" i="22"/>
  <c r="R383" i="22"/>
  <c r="P15" i="22"/>
  <c r="BE15" i="7"/>
  <c r="Q10" i="25"/>
  <c r="BG15" i="7" s="1"/>
  <c r="AH44" i="7"/>
  <c r="V29" i="23"/>
  <c r="AH47" i="7"/>
  <c r="V119" i="23"/>
  <c r="AH48" i="7"/>
  <c r="V149" i="23"/>
  <c r="AH51" i="7"/>
  <c r="V241" i="23"/>
  <c r="AH55" i="7"/>
  <c r="V363" i="23"/>
  <c r="S379" i="23"/>
  <c r="R379" i="23" s="1"/>
  <c r="P379" i="23" s="1"/>
  <c r="AI19" i="24" l="1"/>
  <c r="AH19" i="24" s="1"/>
  <c r="U236" i="24"/>
  <c r="T236" i="24" s="1"/>
  <c r="AI383" i="23"/>
  <c r="U300" i="24"/>
  <c r="T300" i="24" s="1"/>
  <c r="U138" i="24"/>
  <c r="T138" i="24" s="1"/>
  <c r="S138" i="24" s="1"/>
  <c r="R138" i="24" s="1"/>
  <c r="P138" i="24" s="1"/>
  <c r="V138" i="24" s="1"/>
  <c r="U332" i="24"/>
  <c r="T332" i="24" s="1"/>
  <c r="S332" i="24" s="1"/>
  <c r="R332" i="24" s="1"/>
  <c r="P332" i="24" s="1"/>
  <c r="V332" i="24" s="1"/>
  <c r="U268" i="24"/>
  <c r="T268" i="24" s="1"/>
  <c r="S268" i="24" s="1"/>
  <c r="R268" i="24" s="1"/>
  <c r="P268" i="24" s="1"/>
  <c r="V268" i="24" s="1"/>
  <c r="U202" i="24"/>
  <c r="T202" i="24" s="1"/>
  <c r="S202" i="24" s="1"/>
  <c r="R202" i="24" s="1"/>
  <c r="P202" i="24" s="1"/>
  <c r="V202" i="24" s="1"/>
  <c r="U74" i="24"/>
  <c r="T74" i="24" s="1"/>
  <c r="S74" i="24" s="1"/>
  <c r="R74" i="24" s="1"/>
  <c r="P74" i="24" s="1"/>
  <c r="V74" i="24" s="1"/>
  <c r="U348" i="24"/>
  <c r="T348" i="24" s="1"/>
  <c r="U316" i="24"/>
  <c r="T316" i="24" s="1"/>
  <c r="S316" i="24" s="1"/>
  <c r="R316" i="24" s="1"/>
  <c r="P316" i="24" s="1"/>
  <c r="V316" i="24" s="1"/>
  <c r="U284" i="24"/>
  <c r="T284" i="24" s="1"/>
  <c r="S284" i="24" s="1"/>
  <c r="R284" i="24" s="1"/>
  <c r="P284" i="24" s="1"/>
  <c r="V284" i="24" s="1"/>
  <c r="U252" i="24"/>
  <c r="T252" i="24" s="1"/>
  <c r="S252" i="24" s="1"/>
  <c r="R252" i="24" s="1"/>
  <c r="P252" i="24" s="1"/>
  <c r="V252" i="24" s="1"/>
  <c r="U220" i="24"/>
  <c r="T220" i="24" s="1"/>
  <c r="S220" i="24" s="1"/>
  <c r="R220" i="24" s="1"/>
  <c r="P220" i="24" s="1"/>
  <c r="V220" i="24" s="1"/>
  <c r="U170" i="24"/>
  <c r="T170" i="24" s="1"/>
  <c r="S170" i="24" s="1"/>
  <c r="R170" i="24" s="1"/>
  <c r="P170" i="24" s="1"/>
  <c r="V170" i="24" s="1"/>
  <c r="U106" i="24"/>
  <c r="T106" i="24" s="1"/>
  <c r="S106" i="24" s="1"/>
  <c r="R106" i="24" s="1"/>
  <c r="P106" i="24" s="1"/>
  <c r="V106" i="24" s="1"/>
  <c r="U42" i="24"/>
  <c r="T42" i="24" s="1"/>
  <c r="S42" i="24" s="1"/>
  <c r="R42" i="24" s="1"/>
  <c r="P42" i="24" s="1"/>
  <c r="V42" i="24" s="1"/>
  <c r="U372" i="24"/>
  <c r="T372" i="24" s="1"/>
  <c r="S372" i="24" s="1"/>
  <c r="R372" i="24" s="1"/>
  <c r="P372" i="24" s="1"/>
  <c r="V372" i="24" s="1"/>
  <c r="U356" i="24"/>
  <c r="T356" i="24" s="1"/>
  <c r="S356" i="24" s="1"/>
  <c r="R356" i="24" s="1"/>
  <c r="P356" i="24" s="1"/>
  <c r="V356" i="24" s="1"/>
  <c r="U340" i="24"/>
  <c r="T340" i="24" s="1"/>
  <c r="S340" i="24" s="1"/>
  <c r="R340" i="24" s="1"/>
  <c r="P340" i="24" s="1"/>
  <c r="V340" i="24" s="1"/>
  <c r="U324" i="24"/>
  <c r="T324" i="24" s="1"/>
  <c r="S324" i="24" s="1"/>
  <c r="R324" i="24" s="1"/>
  <c r="P324" i="24" s="1"/>
  <c r="V324" i="24" s="1"/>
  <c r="U308" i="24"/>
  <c r="T308" i="24" s="1"/>
  <c r="S308" i="24" s="1"/>
  <c r="R308" i="24" s="1"/>
  <c r="P308" i="24" s="1"/>
  <c r="V308" i="24" s="1"/>
  <c r="U292" i="24"/>
  <c r="T292" i="24" s="1"/>
  <c r="S292" i="24" s="1"/>
  <c r="R292" i="24" s="1"/>
  <c r="P292" i="24" s="1"/>
  <c r="V292" i="24" s="1"/>
  <c r="U276" i="24"/>
  <c r="T276" i="24" s="1"/>
  <c r="S276" i="24" s="1"/>
  <c r="R276" i="24" s="1"/>
  <c r="P276" i="24" s="1"/>
  <c r="V276" i="24" s="1"/>
  <c r="U260" i="24"/>
  <c r="T260" i="24" s="1"/>
  <c r="S260" i="24" s="1"/>
  <c r="R260" i="24" s="1"/>
  <c r="P260" i="24" s="1"/>
  <c r="V260" i="24" s="1"/>
  <c r="U244" i="24"/>
  <c r="T244" i="24" s="1"/>
  <c r="S244" i="24" s="1"/>
  <c r="R244" i="24" s="1"/>
  <c r="P244" i="24" s="1"/>
  <c r="V244" i="24" s="1"/>
  <c r="U228" i="24"/>
  <c r="T228" i="24" s="1"/>
  <c r="S228" i="24" s="1"/>
  <c r="R228" i="24" s="1"/>
  <c r="P228" i="24" s="1"/>
  <c r="V228" i="24" s="1"/>
  <c r="U212" i="24"/>
  <c r="T212" i="24" s="1"/>
  <c r="S212" i="24" s="1"/>
  <c r="R212" i="24" s="1"/>
  <c r="P212" i="24" s="1"/>
  <c r="V212" i="24" s="1"/>
  <c r="U186" i="24"/>
  <c r="T186" i="24" s="1"/>
  <c r="S186" i="24" s="1"/>
  <c r="R186" i="24" s="1"/>
  <c r="P186" i="24" s="1"/>
  <c r="V186" i="24" s="1"/>
  <c r="U154" i="24"/>
  <c r="T154" i="24" s="1"/>
  <c r="S154" i="24" s="1"/>
  <c r="R154" i="24" s="1"/>
  <c r="P154" i="24" s="1"/>
  <c r="V154" i="24" s="1"/>
  <c r="U122" i="24"/>
  <c r="T122" i="24" s="1"/>
  <c r="S122" i="24" s="1"/>
  <c r="R122" i="24" s="1"/>
  <c r="P122" i="24" s="1"/>
  <c r="V122" i="24" s="1"/>
  <c r="U90" i="24"/>
  <c r="T90" i="24" s="1"/>
  <c r="S90" i="24" s="1"/>
  <c r="R90" i="24" s="1"/>
  <c r="P90" i="24" s="1"/>
  <c r="V90" i="24" s="1"/>
  <c r="U58" i="24"/>
  <c r="T58" i="24" s="1"/>
  <c r="S58" i="24" s="1"/>
  <c r="R58" i="24" s="1"/>
  <c r="P58" i="24" s="1"/>
  <c r="V58" i="24" s="1"/>
  <c r="U26" i="24"/>
  <c r="T26" i="24" s="1"/>
  <c r="S26" i="24" s="1"/>
  <c r="R26" i="24" s="1"/>
  <c r="P26" i="24" s="1"/>
  <c r="V26" i="24" s="1"/>
  <c r="AH383" i="23"/>
  <c r="AH381" i="23"/>
  <c r="U376" i="24"/>
  <c r="T376" i="24" s="1"/>
  <c r="U368" i="24"/>
  <c r="T368" i="24" s="1"/>
  <c r="S368" i="24" s="1"/>
  <c r="R368" i="24" s="1"/>
  <c r="P368" i="24" s="1"/>
  <c r="V368" i="24" s="1"/>
  <c r="U360" i="24"/>
  <c r="T360" i="24" s="1"/>
  <c r="S360" i="24" s="1"/>
  <c r="R360" i="24" s="1"/>
  <c r="P360" i="24" s="1"/>
  <c r="V360" i="24" s="1"/>
  <c r="U352" i="24"/>
  <c r="T352" i="24" s="1"/>
  <c r="S352" i="24" s="1"/>
  <c r="R352" i="24" s="1"/>
  <c r="P352" i="24" s="1"/>
  <c r="V352" i="24" s="1"/>
  <c r="U344" i="24"/>
  <c r="T344" i="24" s="1"/>
  <c r="S344" i="24" s="1"/>
  <c r="R344" i="24" s="1"/>
  <c r="P344" i="24" s="1"/>
  <c r="V344" i="24" s="1"/>
  <c r="U336" i="24"/>
  <c r="T336" i="24" s="1"/>
  <c r="S336" i="24" s="1"/>
  <c r="R336" i="24" s="1"/>
  <c r="P336" i="24" s="1"/>
  <c r="V336" i="24" s="1"/>
  <c r="U328" i="24"/>
  <c r="T328" i="24" s="1"/>
  <c r="S328" i="24" s="1"/>
  <c r="R328" i="24" s="1"/>
  <c r="P328" i="24" s="1"/>
  <c r="V328" i="24" s="1"/>
  <c r="U320" i="24"/>
  <c r="T320" i="24" s="1"/>
  <c r="S320" i="24" s="1"/>
  <c r="R320" i="24" s="1"/>
  <c r="P320" i="24" s="1"/>
  <c r="V320" i="24" s="1"/>
  <c r="U312" i="24"/>
  <c r="T312" i="24" s="1"/>
  <c r="S312" i="24" s="1"/>
  <c r="R312" i="24" s="1"/>
  <c r="P312" i="24" s="1"/>
  <c r="V312" i="24" s="1"/>
  <c r="U304" i="24"/>
  <c r="T304" i="24" s="1"/>
  <c r="S304" i="24" s="1"/>
  <c r="R304" i="24" s="1"/>
  <c r="P304" i="24" s="1"/>
  <c r="V304" i="24" s="1"/>
  <c r="U296" i="24"/>
  <c r="T296" i="24" s="1"/>
  <c r="S296" i="24" s="1"/>
  <c r="R296" i="24" s="1"/>
  <c r="P296" i="24" s="1"/>
  <c r="V296" i="24" s="1"/>
  <c r="U288" i="24"/>
  <c r="T288" i="24" s="1"/>
  <c r="S288" i="24" s="1"/>
  <c r="R288" i="24" s="1"/>
  <c r="P288" i="24" s="1"/>
  <c r="V288" i="24" s="1"/>
  <c r="U280" i="24"/>
  <c r="T280" i="24" s="1"/>
  <c r="S280" i="24" s="1"/>
  <c r="R280" i="24" s="1"/>
  <c r="P280" i="24" s="1"/>
  <c r="V280" i="24" s="1"/>
  <c r="U272" i="24"/>
  <c r="T272" i="24" s="1"/>
  <c r="S272" i="24" s="1"/>
  <c r="R272" i="24" s="1"/>
  <c r="P272" i="24" s="1"/>
  <c r="AH64" i="7" s="1"/>
  <c r="U264" i="24"/>
  <c r="T264" i="24" s="1"/>
  <c r="U256" i="24"/>
  <c r="T256" i="24" s="1"/>
  <c r="S256" i="24" s="1"/>
  <c r="R256" i="24" s="1"/>
  <c r="P256" i="24" s="1"/>
  <c r="V256" i="24" s="1"/>
  <c r="U248" i="24"/>
  <c r="T248" i="24" s="1"/>
  <c r="S248" i="24" s="1"/>
  <c r="R248" i="24" s="1"/>
  <c r="P248" i="24" s="1"/>
  <c r="V248" i="24" s="1"/>
  <c r="U240" i="24"/>
  <c r="T240" i="24" s="1"/>
  <c r="S240" i="24" s="1"/>
  <c r="R240" i="24" s="1"/>
  <c r="P240" i="24" s="1"/>
  <c r="V240" i="24" s="1"/>
  <c r="U232" i="24"/>
  <c r="T232" i="24" s="1"/>
  <c r="S232" i="24" s="1"/>
  <c r="R232" i="24" s="1"/>
  <c r="P232" i="24" s="1"/>
  <c r="V232" i="24" s="1"/>
  <c r="U224" i="24"/>
  <c r="T224" i="24" s="1"/>
  <c r="S224" i="24" s="1"/>
  <c r="R224" i="24" s="1"/>
  <c r="P224" i="24" s="1"/>
  <c r="V224" i="24" s="1"/>
  <c r="U216" i="24"/>
  <c r="T216" i="24" s="1"/>
  <c r="S216" i="24" s="1"/>
  <c r="R216" i="24" s="1"/>
  <c r="P216" i="24" s="1"/>
  <c r="V216" i="24" s="1"/>
  <c r="U208" i="24"/>
  <c r="T208" i="24" s="1"/>
  <c r="S208" i="24" s="1"/>
  <c r="R208" i="24" s="1"/>
  <c r="P208" i="24" s="1"/>
  <c r="V208" i="24" s="1"/>
  <c r="U194" i="24"/>
  <c r="T194" i="24" s="1"/>
  <c r="S194" i="24" s="1"/>
  <c r="R194" i="24" s="1"/>
  <c r="P194" i="24" s="1"/>
  <c r="V194" i="24" s="1"/>
  <c r="U178" i="24"/>
  <c r="T178" i="24" s="1"/>
  <c r="S178" i="24" s="1"/>
  <c r="R178" i="24" s="1"/>
  <c r="P178" i="24" s="1"/>
  <c r="V178" i="24" s="1"/>
  <c r="U162" i="24"/>
  <c r="T162" i="24" s="1"/>
  <c r="S162" i="24" s="1"/>
  <c r="R162" i="24" s="1"/>
  <c r="P162" i="24" s="1"/>
  <c r="V162" i="24" s="1"/>
  <c r="U146" i="24"/>
  <c r="T146" i="24" s="1"/>
  <c r="S146" i="24" s="1"/>
  <c r="R146" i="24" s="1"/>
  <c r="P146" i="24" s="1"/>
  <c r="V146" i="24" s="1"/>
  <c r="U130" i="24"/>
  <c r="T130" i="24" s="1"/>
  <c r="S130" i="24" s="1"/>
  <c r="R130" i="24" s="1"/>
  <c r="P130" i="24" s="1"/>
  <c r="V130" i="24" s="1"/>
  <c r="U114" i="24"/>
  <c r="T114" i="24" s="1"/>
  <c r="S114" i="24" s="1"/>
  <c r="R114" i="24" s="1"/>
  <c r="P114" i="24" s="1"/>
  <c r="V114" i="24" s="1"/>
  <c r="U98" i="24"/>
  <c r="T98" i="24" s="1"/>
  <c r="S98" i="24" s="1"/>
  <c r="R98" i="24" s="1"/>
  <c r="P98" i="24" s="1"/>
  <c r="V98" i="24" s="1"/>
  <c r="U82" i="24"/>
  <c r="T82" i="24" s="1"/>
  <c r="S82" i="24" s="1"/>
  <c r="R82" i="24" s="1"/>
  <c r="P82" i="24" s="1"/>
  <c r="V82" i="24" s="1"/>
  <c r="U66" i="24"/>
  <c r="T66" i="24" s="1"/>
  <c r="S66" i="24" s="1"/>
  <c r="R66" i="24" s="1"/>
  <c r="P66" i="24" s="1"/>
  <c r="V66" i="24" s="1"/>
  <c r="U50" i="24"/>
  <c r="T50" i="24" s="1"/>
  <c r="S50" i="24" s="1"/>
  <c r="R50" i="24" s="1"/>
  <c r="P50" i="24" s="1"/>
  <c r="V50" i="24" s="1"/>
  <c r="U34" i="24"/>
  <c r="T34" i="24" s="1"/>
  <c r="S34" i="24" s="1"/>
  <c r="R34" i="24" s="1"/>
  <c r="P34" i="24" s="1"/>
  <c r="V34" i="24" s="1"/>
  <c r="U23" i="24"/>
  <c r="T23" i="24" s="1"/>
  <c r="S23" i="24" s="1"/>
  <c r="R23" i="24" s="1"/>
  <c r="P23" i="24" s="1"/>
  <c r="V23" i="24" s="1"/>
  <c r="U22" i="24"/>
  <c r="T22" i="24" s="1"/>
  <c r="S22" i="24" s="1"/>
  <c r="R22" i="24" s="1"/>
  <c r="P22" i="24" s="1"/>
  <c r="V22" i="24" s="1"/>
  <c r="AH382" i="23"/>
  <c r="AI21" i="24"/>
  <c r="AH21" i="24" s="1"/>
  <c r="AG21" i="24" s="1"/>
  <c r="AF21" i="24" s="1"/>
  <c r="AD21" i="24" s="1"/>
  <c r="U378" i="24"/>
  <c r="T378" i="24" s="1"/>
  <c r="U374" i="24"/>
  <c r="T374" i="24" s="1"/>
  <c r="S374" i="24" s="1"/>
  <c r="R374" i="24" s="1"/>
  <c r="P374" i="24" s="1"/>
  <c r="V374" i="24" s="1"/>
  <c r="U370" i="24"/>
  <c r="T370" i="24" s="1"/>
  <c r="S370" i="24" s="1"/>
  <c r="R370" i="24" s="1"/>
  <c r="P370" i="24" s="1"/>
  <c r="V370" i="24" s="1"/>
  <c r="U366" i="24"/>
  <c r="T366" i="24" s="1"/>
  <c r="S366" i="24" s="1"/>
  <c r="R366" i="24" s="1"/>
  <c r="P366" i="24" s="1"/>
  <c r="V366" i="24" s="1"/>
  <c r="U362" i="24"/>
  <c r="T362" i="24" s="1"/>
  <c r="S362" i="24" s="1"/>
  <c r="R362" i="24" s="1"/>
  <c r="P362" i="24" s="1"/>
  <c r="V362" i="24" s="1"/>
  <c r="U358" i="24"/>
  <c r="T358" i="24" s="1"/>
  <c r="S358" i="24" s="1"/>
  <c r="R358" i="24" s="1"/>
  <c r="P358" i="24" s="1"/>
  <c r="V358" i="24" s="1"/>
  <c r="U354" i="24"/>
  <c r="T354" i="24" s="1"/>
  <c r="S354" i="24" s="1"/>
  <c r="R354" i="24" s="1"/>
  <c r="P354" i="24" s="1"/>
  <c r="V354" i="24" s="1"/>
  <c r="U350" i="24"/>
  <c r="T350" i="24" s="1"/>
  <c r="S350" i="24" s="1"/>
  <c r="R350" i="24" s="1"/>
  <c r="P350" i="24" s="1"/>
  <c r="V350" i="24" s="1"/>
  <c r="U346" i="24"/>
  <c r="T346" i="24" s="1"/>
  <c r="S346" i="24" s="1"/>
  <c r="R346" i="24" s="1"/>
  <c r="P346" i="24" s="1"/>
  <c r="V346" i="24" s="1"/>
  <c r="U342" i="24"/>
  <c r="T342" i="24" s="1"/>
  <c r="S342" i="24" s="1"/>
  <c r="R342" i="24" s="1"/>
  <c r="P342" i="24" s="1"/>
  <c r="V342" i="24" s="1"/>
  <c r="U338" i="24"/>
  <c r="T338" i="24" s="1"/>
  <c r="S338" i="24" s="1"/>
  <c r="R338" i="24" s="1"/>
  <c r="P338" i="24" s="1"/>
  <c r="V338" i="24" s="1"/>
  <c r="U334" i="24"/>
  <c r="T334" i="24" s="1"/>
  <c r="S334" i="24" s="1"/>
  <c r="R334" i="24" s="1"/>
  <c r="P334" i="24" s="1"/>
  <c r="V334" i="24" s="1"/>
  <c r="U330" i="24"/>
  <c r="T330" i="24" s="1"/>
  <c r="S330" i="24" s="1"/>
  <c r="R330" i="24" s="1"/>
  <c r="P330" i="24" s="1"/>
  <c r="V330" i="24" s="1"/>
  <c r="U326" i="24"/>
  <c r="T326" i="24" s="1"/>
  <c r="S326" i="24" s="1"/>
  <c r="R326" i="24" s="1"/>
  <c r="P326" i="24" s="1"/>
  <c r="V326" i="24" s="1"/>
  <c r="U322" i="24"/>
  <c r="T322" i="24" s="1"/>
  <c r="S322" i="24" s="1"/>
  <c r="R322" i="24" s="1"/>
  <c r="P322" i="24" s="1"/>
  <c r="V322" i="24" s="1"/>
  <c r="U318" i="24"/>
  <c r="T318" i="24" s="1"/>
  <c r="S318" i="24" s="1"/>
  <c r="R318" i="24" s="1"/>
  <c r="P318" i="24" s="1"/>
  <c r="V318" i="24" s="1"/>
  <c r="U314" i="24"/>
  <c r="T314" i="24" s="1"/>
  <c r="S314" i="24" s="1"/>
  <c r="R314" i="24" s="1"/>
  <c r="P314" i="24" s="1"/>
  <c r="V314" i="24" s="1"/>
  <c r="U310" i="24"/>
  <c r="T310" i="24" s="1"/>
  <c r="S310" i="24" s="1"/>
  <c r="R310" i="24" s="1"/>
  <c r="P310" i="24" s="1"/>
  <c r="V310" i="24" s="1"/>
  <c r="U306" i="24"/>
  <c r="T306" i="24" s="1"/>
  <c r="S306" i="24" s="1"/>
  <c r="R306" i="24" s="1"/>
  <c r="P306" i="24" s="1"/>
  <c r="V306" i="24" s="1"/>
  <c r="U302" i="24"/>
  <c r="T302" i="24" s="1"/>
  <c r="S302" i="24" s="1"/>
  <c r="R302" i="24" s="1"/>
  <c r="P302" i="24" s="1"/>
  <c r="U298" i="24"/>
  <c r="T298" i="24" s="1"/>
  <c r="S298" i="24" s="1"/>
  <c r="R298" i="24" s="1"/>
  <c r="P298" i="24" s="1"/>
  <c r="V298" i="24" s="1"/>
  <c r="U294" i="24"/>
  <c r="T294" i="24" s="1"/>
  <c r="S294" i="24" s="1"/>
  <c r="R294" i="24" s="1"/>
  <c r="P294" i="24" s="1"/>
  <c r="V294" i="24" s="1"/>
  <c r="U290" i="24"/>
  <c r="T290" i="24" s="1"/>
  <c r="S290" i="24" s="1"/>
  <c r="R290" i="24" s="1"/>
  <c r="P290" i="24" s="1"/>
  <c r="V290" i="24" s="1"/>
  <c r="U286" i="24"/>
  <c r="T286" i="24" s="1"/>
  <c r="S286" i="24" s="1"/>
  <c r="R286" i="24" s="1"/>
  <c r="P286" i="24" s="1"/>
  <c r="V286" i="24" s="1"/>
  <c r="U282" i="24"/>
  <c r="T282" i="24" s="1"/>
  <c r="S282" i="24" s="1"/>
  <c r="R282" i="24" s="1"/>
  <c r="P282" i="24" s="1"/>
  <c r="V282" i="24" s="1"/>
  <c r="U278" i="24"/>
  <c r="T278" i="24" s="1"/>
  <c r="S278" i="24" s="1"/>
  <c r="R278" i="24" s="1"/>
  <c r="P278" i="24" s="1"/>
  <c r="V278" i="24" s="1"/>
  <c r="U274" i="24"/>
  <c r="T274" i="24" s="1"/>
  <c r="S274" i="24" s="1"/>
  <c r="R274" i="24" s="1"/>
  <c r="P274" i="24" s="1"/>
  <c r="V274" i="24" s="1"/>
  <c r="U270" i="24"/>
  <c r="T270" i="24" s="1"/>
  <c r="S270" i="24" s="1"/>
  <c r="R270" i="24" s="1"/>
  <c r="P270" i="24" s="1"/>
  <c r="V270" i="24" s="1"/>
  <c r="U266" i="24"/>
  <c r="T266" i="24" s="1"/>
  <c r="S266" i="24" s="1"/>
  <c r="R266" i="24" s="1"/>
  <c r="P266" i="24" s="1"/>
  <c r="V266" i="24" s="1"/>
  <c r="U262" i="24"/>
  <c r="T262" i="24" s="1"/>
  <c r="S262" i="24" s="1"/>
  <c r="R262" i="24" s="1"/>
  <c r="P262" i="24" s="1"/>
  <c r="V262" i="24" s="1"/>
  <c r="U258" i="24"/>
  <c r="T258" i="24" s="1"/>
  <c r="S258" i="24" s="1"/>
  <c r="R258" i="24" s="1"/>
  <c r="P258" i="24" s="1"/>
  <c r="V258" i="24" s="1"/>
  <c r="U254" i="24"/>
  <c r="T254" i="24" s="1"/>
  <c r="S254" i="24" s="1"/>
  <c r="R254" i="24" s="1"/>
  <c r="P254" i="24" s="1"/>
  <c r="V254" i="24" s="1"/>
  <c r="U250" i="24"/>
  <c r="T250" i="24" s="1"/>
  <c r="S250" i="24" s="1"/>
  <c r="R250" i="24" s="1"/>
  <c r="P250" i="24" s="1"/>
  <c r="V250" i="24" s="1"/>
  <c r="U246" i="24"/>
  <c r="T246" i="24" s="1"/>
  <c r="S246" i="24" s="1"/>
  <c r="R246" i="24" s="1"/>
  <c r="P246" i="24" s="1"/>
  <c r="V246" i="24" s="1"/>
  <c r="U242" i="24"/>
  <c r="T242" i="24" s="1"/>
  <c r="S242" i="24" s="1"/>
  <c r="R242" i="24" s="1"/>
  <c r="P242" i="24" s="1"/>
  <c r="V242" i="24" s="1"/>
  <c r="U238" i="24"/>
  <c r="T238" i="24" s="1"/>
  <c r="S238" i="24" s="1"/>
  <c r="R238" i="24" s="1"/>
  <c r="P238" i="24" s="1"/>
  <c r="V238" i="24" s="1"/>
  <c r="U234" i="24"/>
  <c r="T234" i="24" s="1"/>
  <c r="S234" i="24" s="1"/>
  <c r="R234" i="24" s="1"/>
  <c r="P234" i="24" s="1"/>
  <c r="V234" i="24" s="1"/>
  <c r="U230" i="24"/>
  <c r="T230" i="24" s="1"/>
  <c r="S230" i="24" s="1"/>
  <c r="R230" i="24" s="1"/>
  <c r="P230" i="24" s="1"/>
  <c r="V230" i="24" s="1"/>
  <c r="U226" i="24"/>
  <c r="T226" i="24" s="1"/>
  <c r="S226" i="24" s="1"/>
  <c r="R226" i="24" s="1"/>
  <c r="P226" i="24" s="1"/>
  <c r="V226" i="24" s="1"/>
  <c r="U222" i="24"/>
  <c r="T222" i="24" s="1"/>
  <c r="S222" i="24" s="1"/>
  <c r="R222" i="24" s="1"/>
  <c r="P222" i="24" s="1"/>
  <c r="V222" i="24" s="1"/>
  <c r="U218" i="24"/>
  <c r="T218" i="24" s="1"/>
  <c r="S218" i="24" s="1"/>
  <c r="R218" i="24" s="1"/>
  <c r="P218" i="24" s="1"/>
  <c r="V218" i="24" s="1"/>
  <c r="U214" i="24"/>
  <c r="T214" i="24" s="1"/>
  <c r="U210" i="24"/>
  <c r="T210" i="24" s="1"/>
  <c r="S210" i="24" s="1"/>
  <c r="R210" i="24" s="1"/>
  <c r="P210" i="24" s="1"/>
  <c r="U206" i="24"/>
  <c r="T206" i="24" s="1"/>
  <c r="S206" i="24" s="1"/>
  <c r="R206" i="24" s="1"/>
  <c r="P206" i="24" s="1"/>
  <c r="V206" i="24" s="1"/>
  <c r="U198" i="24"/>
  <c r="T198" i="24" s="1"/>
  <c r="S198" i="24" s="1"/>
  <c r="R198" i="24" s="1"/>
  <c r="P198" i="24" s="1"/>
  <c r="V198" i="24" s="1"/>
  <c r="U190" i="24"/>
  <c r="T190" i="24" s="1"/>
  <c r="S190" i="24" s="1"/>
  <c r="R190" i="24" s="1"/>
  <c r="P190" i="24" s="1"/>
  <c r="V190" i="24" s="1"/>
  <c r="U182" i="24"/>
  <c r="T182" i="24" s="1"/>
  <c r="S182" i="24" s="1"/>
  <c r="R182" i="24" s="1"/>
  <c r="P182" i="24" s="1"/>
  <c r="V182" i="24" s="1"/>
  <c r="U174" i="24"/>
  <c r="T174" i="24" s="1"/>
  <c r="S174" i="24" s="1"/>
  <c r="R174" i="24" s="1"/>
  <c r="P174" i="24" s="1"/>
  <c r="V174" i="24" s="1"/>
  <c r="U166" i="24"/>
  <c r="T166" i="24" s="1"/>
  <c r="S166" i="24" s="1"/>
  <c r="R166" i="24" s="1"/>
  <c r="P166" i="24" s="1"/>
  <c r="V166" i="24" s="1"/>
  <c r="U158" i="24"/>
  <c r="T158" i="24" s="1"/>
  <c r="S158" i="24" s="1"/>
  <c r="R158" i="24" s="1"/>
  <c r="P158" i="24" s="1"/>
  <c r="V158" i="24" s="1"/>
  <c r="U150" i="24"/>
  <c r="T150" i="24" s="1"/>
  <c r="S150" i="24" s="1"/>
  <c r="R150" i="24" s="1"/>
  <c r="P150" i="24" s="1"/>
  <c r="V150" i="24" s="1"/>
  <c r="U142" i="24"/>
  <c r="T142" i="24" s="1"/>
  <c r="S142" i="24" s="1"/>
  <c r="R142" i="24" s="1"/>
  <c r="P142" i="24" s="1"/>
  <c r="V142" i="24" s="1"/>
  <c r="U134" i="24"/>
  <c r="T134" i="24" s="1"/>
  <c r="S134" i="24" s="1"/>
  <c r="R134" i="24" s="1"/>
  <c r="P134" i="24" s="1"/>
  <c r="V134" i="24" s="1"/>
  <c r="U126" i="24"/>
  <c r="T126" i="24" s="1"/>
  <c r="S126" i="24" s="1"/>
  <c r="R126" i="24" s="1"/>
  <c r="P126" i="24" s="1"/>
  <c r="V126" i="24" s="1"/>
  <c r="U118" i="24"/>
  <c r="T118" i="24" s="1"/>
  <c r="S118" i="24" s="1"/>
  <c r="R118" i="24" s="1"/>
  <c r="P118" i="24" s="1"/>
  <c r="V118" i="24" s="1"/>
  <c r="U110" i="24"/>
  <c r="T110" i="24" s="1"/>
  <c r="S110" i="24" s="1"/>
  <c r="R110" i="24" s="1"/>
  <c r="P110" i="24" s="1"/>
  <c r="V110" i="24" s="1"/>
  <c r="U102" i="24"/>
  <c r="T102" i="24" s="1"/>
  <c r="S102" i="24" s="1"/>
  <c r="R102" i="24" s="1"/>
  <c r="P102" i="24" s="1"/>
  <c r="V102" i="24" s="1"/>
  <c r="U94" i="24"/>
  <c r="T94" i="24" s="1"/>
  <c r="S94" i="24" s="1"/>
  <c r="R94" i="24" s="1"/>
  <c r="P94" i="24" s="1"/>
  <c r="V94" i="24" s="1"/>
  <c r="U86" i="24"/>
  <c r="T86" i="24" s="1"/>
  <c r="S86" i="24" s="1"/>
  <c r="R86" i="24" s="1"/>
  <c r="P86" i="24" s="1"/>
  <c r="V86" i="24" s="1"/>
  <c r="U78" i="24"/>
  <c r="T78" i="24" s="1"/>
  <c r="U70" i="24"/>
  <c r="T70" i="24" s="1"/>
  <c r="S70" i="24" s="1"/>
  <c r="R70" i="24" s="1"/>
  <c r="P70" i="24" s="1"/>
  <c r="V70" i="24" s="1"/>
  <c r="U62" i="24"/>
  <c r="T62" i="24" s="1"/>
  <c r="S62" i="24" s="1"/>
  <c r="R62" i="24" s="1"/>
  <c r="P62" i="24" s="1"/>
  <c r="V62" i="24" s="1"/>
  <c r="U54" i="24"/>
  <c r="T54" i="24" s="1"/>
  <c r="S54" i="24" s="1"/>
  <c r="R54" i="24" s="1"/>
  <c r="P54" i="24" s="1"/>
  <c r="V54" i="24" s="1"/>
  <c r="U46" i="24"/>
  <c r="T46" i="24" s="1"/>
  <c r="S46" i="24" s="1"/>
  <c r="R46" i="24" s="1"/>
  <c r="P46" i="24" s="1"/>
  <c r="V46" i="24" s="1"/>
  <c r="U38" i="24"/>
  <c r="T38" i="24" s="1"/>
  <c r="S38" i="24" s="1"/>
  <c r="R38" i="24" s="1"/>
  <c r="P38" i="24" s="1"/>
  <c r="V38" i="24" s="1"/>
  <c r="U30" i="24"/>
  <c r="T30" i="24" s="1"/>
  <c r="U17" i="24"/>
  <c r="T17" i="24" s="1"/>
  <c r="S17" i="24" s="1"/>
  <c r="R17" i="24" s="1"/>
  <c r="P17" i="24" s="1"/>
  <c r="V17" i="24" s="1"/>
  <c r="AI49" i="24"/>
  <c r="AH49" i="24" s="1"/>
  <c r="AG49" i="24" s="1"/>
  <c r="AF49" i="24" s="1"/>
  <c r="AD49" i="24" s="1"/>
  <c r="U204" i="24"/>
  <c r="T204" i="24" s="1"/>
  <c r="S204" i="24" s="1"/>
  <c r="R204" i="24" s="1"/>
  <c r="P204" i="24" s="1"/>
  <c r="V204" i="24" s="1"/>
  <c r="U200" i="24"/>
  <c r="T200" i="24" s="1"/>
  <c r="S200" i="24" s="1"/>
  <c r="R200" i="24" s="1"/>
  <c r="P200" i="24" s="1"/>
  <c r="V200" i="24" s="1"/>
  <c r="U196" i="24"/>
  <c r="T196" i="24" s="1"/>
  <c r="S196" i="24" s="1"/>
  <c r="R196" i="24" s="1"/>
  <c r="P196" i="24" s="1"/>
  <c r="V196" i="24" s="1"/>
  <c r="U192" i="24"/>
  <c r="T192" i="24" s="1"/>
  <c r="S192" i="24" s="1"/>
  <c r="R192" i="24" s="1"/>
  <c r="P192" i="24" s="1"/>
  <c r="V192" i="24" s="1"/>
  <c r="U188" i="24"/>
  <c r="T188" i="24" s="1"/>
  <c r="S188" i="24" s="1"/>
  <c r="R188" i="24" s="1"/>
  <c r="P188" i="24" s="1"/>
  <c r="V188" i="24" s="1"/>
  <c r="U184" i="24"/>
  <c r="T184" i="24" s="1"/>
  <c r="S184" i="24" s="1"/>
  <c r="R184" i="24" s="1"/>
  <c r="P184" i="24" s="1"/>
  <c r="V184" i="24" s="1"/>
  <c r="U180" i="24"/>
  <c r="T180" i="24" s="1"/>
  <c r="S180" i="24" s="1"/>
  <c r="R180" i="24" s="1"/>
  <c r="P180" i="24" s="1"/>
  <c r="V180" i="24" s="1"/>
  <c r="U176" i="24"/>
  <c r="T176" i="24" s="1"/>
  <c r="S176" i="24" s="1"/>
  <c r="R176" i="24" s="1"/>
  <c r="P176" i="24" s="1"/>
  <c r="V176" i="24" s="1"/>
  <c r="U172" i="24"/>
  <c r="T172" i="24" s="1"/>
  <c r="S172" i="24" s="1"/>
  <c r="R172" i="24" s="1"/>
  <c r="P172" i="24" s="1"/>
  <c r="V172" i="24" s="1"/>
  <c r="U168" i="24"/>
  <c r="T168" i="24" s="1"/>
  <c r="S168" i="24" s="1"/>
  <c r="R168" i="24" s="1"/>
  <c r="P168" i="24" s="1"/>
  <c r="V168" i="24" s="1"/>
  <c r="U164" i="24"/>
  <c r="T164" i="24" s="1"/>
  <c r="S164" i="24" s="1"/>
  <c r="R164" i="24" s="1"/>
  <c r="P164" i="24" s="1"/>
  <c r="V164" i="24" s="1"/>
  <c r="U160" i="24"/>
  <c r="T160" i="24" s="1"/>
  <c r="S160" i="24" s="1"/>
  <c r="R160" i="24" s="1"/>
  <c r="P160" i="24" s="1"/>
  <c r="V160" i="24" s="1"/>
  <c r="U156" i="24"/>
  <c r="T156" i="24" s="1"/>
  <c r="S156" i="24" s="1"/>
  <c r="R156" i="24" s="1"/>
  <c r="P156" i="24" s="1"/>
  <c r="V156" i="24" s="1"/>
  <c r="U152" i="24"/>
  <c r="T152" i="24" s="1"/>
  <c r="U148" i="24"/>
  <c r="T148" i="24" s="1"/>
  <c r="S148" i="24" s="1"/>
  <c r="R148" i="24" s="1"/>
  <c r="P148" i="24" s="1"/>
  <c r="V148" i="24" s="1"/>
  <c r="U144" i="24"/>
  <c r="T144" i="24" s="1"/>
  <c r="S144" i="24" s="1"/>
  <c r="R144" i="24" s="1"/>
  <c r="P144" i="24" s="1"/>
  <c r="V144" i="24" s="1"/>
  <c r="U140" i="24"/>
  <c r="T140" i="24" s="1"/>
  <c r="S140" i="24" s="1"/>
  <c r="R140" i="24" s="1"/>
  <c r="P140" i="24" s="1"/>
  <c r="V140" i="24" s="1"/>
  <c r="U136" i="24"/>
  <c r="T136" i="24" s="1"/>
  <c r="S136" i="24" s="1"/>
  <c r="R136" i="24" s="1"/>
  <c r="P136" i="24" s="1"/>
  <c r="V136" i="24" s="1"/>
  <c r="U132" i="24"/>
  <c r="T132" i="24" s="1"/>
  <c r="S132" i="24" s="1"/>
  <c r="R132" i="24" s="1"/>
  <c r="P132" i="24" s="1"/>
  <c r="V132" i="24" s="1"/>
  <c r="U128" i="24"/>
  <c r="T128" i="24" s="1"/>
  <c r="S128" i="24" s="1"/>
  <c r="R128" i="24" s="1"/>
  <c r="P128" i="24" s="1"/>
  <c r="V128" i="24" s="1"/>
  <c r="U124" i="24"/>
  <c r="T124" i="24" s="1"/>
  <c r="S124" i="24" s="1"/>
  <c r="R124" i="24" s="1"/>
  <c r="P124" i="24" s="1"/>
  <c r="V124" i="24" s="1"/>
  <c r="U120" i="24"/>
  <c r="T120" i="24" s="1"/>
  <c r="S120" i="24" s="1"/>
  <c r="R120" i="24" s="1"/>
  <c r="P120" i="24" s="1"/>
  <c r="V120" i="24" s="1"/>
  <c r="U116" i="24"/>
  <c r="T116" i="24" s="1"/>
  <c r="S116" i="24" s="1"/>
  <c r="R116" i="24" s="1"/>
  <c r="P116" i="24" s="1"/>
  <c r="V116" i="24" s="1"/>
  <c r="U112" i="24"/>
  <c r="T112" i="24" s="1"/>
  <c r="S112" i="24" s="1"/>
  <c r="R112" i="24" s="1"/>
  <c r="P112" i="24" s="1"/>
  <c r="V112" i="24" s="1"/>
  <c r="U108" i="24"/>
  <c r="T108" i="24" s="1"/>
  <c r="S108" i="24" s="1"/>
  <c r="R108" i="24" s="1"/>
  <c r="P108" i="24" s="1"/>
  <c r="V108" i="24" s="1"/>
  <c r="U104" i="24"/>
  <c r="T104" i="24" s="1"/>
  <c r="S104" i="24" s="1"/>
  <c r="R104" i="24" s="1"/>
  <c r="P104" i="24" s="1"/>
  <c r="V104" i="24" s="1"/>
  <c r="U100" i="24"/>
  <c r="T100" i="24" s="1"/>
  <c r="S100" i="24" s="1"/>
  <c r="R100" i="24" s="1"/>
  <c r="P100" i="24" s="1"/>
  <c r="V100" i="24" s="1"/>
  <c r="U96" i="24"/>
  <c r="T96" i="24" s="1"/>
  <c r="S96" i="24" s="1"/>
  <c r="R96" i="24" s="1"/>
  <c r="P96" i="24" s="1"/>
  <c r="V96" i="24" s="1"/>
  <c r="U92" i="24"/>
  <c r="T92" i="24" s="1"/>
  <c r="S92" i="24" s="1"/>
  <c r="R92" i="24" s="1"/>
  <c r="P92" i="24" s="1"/>
  <c r="V92" i="24" s="1"/>
  <c r="U88" i="24"/>
  <c r="T88" i="24" s="1"/>
  <c r="S88" i="24" s="1"/>
  <c r="R88" i="24" s="1"/>
  <c r="P88" i="24" s="1"/>
  <c r="U84" i="24"/>
  <c r="T84" i="24" s="1"/>
  <c r="S84" i="24" s="1"/>
  <c r="R84" i="24" s="1"/>
  <c r="P84" i="24" s="1"/>
  <c r="V84" i="24" s="1"/>
  <c r="U80" i="24"/>
  <c r="T80" i="24" s="1"/>
  <c r="S80" i="24" s="1"/>
  <c r="R80" i="24" s="1"/>
  <c r="P80" i="24" s="1"/>
  <c r="V80" i="24" s="1"/>
  <c r="U76" i="24"/>
  <c r="T76" i="24" s="1"/>
  <c r="S76" i="24" s="1"/>
  <c r="R76" i="24" s="1"/>
  <c r="P76" i="24" s="1"/>
  <c r="V76" i="24" s="1"/>
  <c r="U72" i="24"/>
  <c r="T72" i="24" s="1"/>
  <c r="S72" i="24" s="1"/>
  <c r="R72" i="24" s="1"/>
  <c r="P72" i="24" s="1"/>
  <c r="V72" i="24" s="1"/>
  <c r="U68" i="24"/>
  <c r="T68" i="24" s="1"/>
  <c r="S68" i="24" s="1"/>
  <c r="R68" i="24" s="1"/>
  <c r="P68" i="24" s="1"/>
  <c r="V68" i="24" s="1"/>
  <c r="U64" i="24"/>
  <c r="T64" i="24" s="1"/>
  <c r="U60" i="24"/>
  <c r="T60" i="24" s="1"/>
  <c r="S60" i="24" s="1"/>
  <c r="R60" i="24" s="1"/>
  <c r="P60" i="24" s="1"/>
  <c r="V60" i="24" s="1"/>
  <c r="U56" i="24"/>
  <c r="T56" i="24" s="1"/>
  <c r="S56" i="24" s="1"/>
  <c r="R56" i="24" s="1"/>
  <c r="P56" i="24" s="1"/>
  <c r="V56" i="24" s="1"/>
  <c r="U52" i="24"/>
  <c r="T52" i="24" s="1"/>
  <c r="S52" i="24" s="1"/>
  <c r="R52" i="24" s="1"/>
  <c r="P52" i="24" s="1"/>
  <c r="V52" i="24" s="1"/>
  <c r="U48" i="24"/>
  <c r="T48" i="24" s="1"/>
  <c r="S48" i="24" s="1"/>
  <c r="R48" i="24" s="1"/>
  <c r="P48" i="24" s="1"/>
  <c r="V48" i="24" s="1"/>
  <c r="U44" i="24"/>
  <c r="T44" i="24" s="1"/>
  <c r="S44" i="24" s="1"/>
  <c r="R44" i="24" s="1"/>
  <c r="P44" i="24" s="1"/>
  <c r="V44" i="24" s="1"/>
  <c r="U40" i="24"/>
  <c r="T40" i="24" s="1"/>
  <c r="S40" i="24" s="1"/>
  <c r="R40" i="24" s="1"/>
  <c r="P40" i="24" s="1"/>
  <c r="V40" i="24" s="1"/>
  <c r="U36" i="24"/>
  <c r="T36" i="24" s="1"/>
  <c r="S36" i="24" s="1"/>
  <c r="R36" i="24" s="1"/>
  <c r="P36" i="24" s="1"/>
  <c r="V36" i="24" s="1"/>
  <c r="U32" i="24"/>
  <c r="T32" i="24" s="1"/>
  <c r="S32" i="24" s="1"/>
  <c r="R32" i="24" s="1"/>
  <c r="P32" i="24" s="1"/>
  <c r="V32" i="24" s="1"/>
  <c r="U28" i="24"/>
  <c r="T28" i="24" s="1"/>
  <c r="S28" i="24" s="1"/>
  <c r="R28" i="24" s="1"/>
  <c r="P28" i="24" s="1"/>
  <c r="V28" i="24" s="1"/>
  <c r="U25" i="24"/>
  <c r="T25" i="24" s="1"/>
  <c r="S25" i="24" s="1"/>
  <c r="R25" i="24" s="1"/>
  <c r="P25" i="24" s="1"/>
  <c r="V25" i="24" s="1"/>
  <c r="U15" i="24"/>
  <c r="T15" i="24" s="1"/>
  <c r="U20" i="24"/>
  <c r="T20" i="24" s="1"/>
  <c r="S20" i="24" s="1"/>
  <c r="R20" i="24" s="1"/>
  <c r="P20" i="24" s="1"/>
  <c r="V20" i="24" s="1"/>
  <c r="AI97" i="24"/>
  <c r="AH97" i="24" s="1"/>
  <c r="AG97" i="24" s="1"/>
  <c r="AF97" i="24" s="1"/>
  <c r="AD97" i="24" s="1"/>
  <c r="AI65" i="24"/>
  <c r="AH65" i="24" s="1"/>
  <c r="AG65" i="24" s="1"/>
  <c r="AF65" i="24" s="1"/>
  <c r="AD65" i="24" s="1"/>
  <c r="AI33" i="24"/>
  <c r="AH33" i="24" s="1"/>
  <c r="AG33" i="24" s="1"/>
  <c r="AF33" i="24" s="1"/>
  <c r="AD33" i="24" s="1"/>
  <c r="V379" i="23"/>
  <c r="M68" i="19" s="1"/>
  <c r="D42" i="19"/>
  <c r="AI89" i="24"/>
  <c r="AH89" i="24" s="1"/>
  <c r="AG89" i="24" s="1"/>
  <c r="AF89" i="24" s="1"/>
  <c r="AD89" i="24" s="1"/>
  <c r="AI73" i="24"/>
  <c r="AH73" i="24" s="1"/>
  <c r="AG73" i="24" s="1"/>
  <c r="AF73" i="24" s="1"/>
  <c r="AD73" i="24" s="1"/>
  <c r="AI57" i="24"/>
  <c r="AH57" i="24" s="1"/>
  <c r="AG57" i="24" s="1"/>
  <c r="AF57" i="24" s="1"/>
  <c r="AD57" i="24" s="1"/>
  <c r="AI41" i="24"/>
  <c r="AH41" i="24" s="1"/>
  <c r="AG41" i="24" s="1"/>
  <c r="AF41" i="24" s="1"/>
  <c r="AD41" i="24" s="1"/>
  <c r="AI25" i="24"/>
  <c r="AH25" i="24" s="1"/>
  <c r="AG25" i="24" s="1"/>
  <c r="AF25" i="24" s="1"/>
  <c r="AD25" i="24" s="1"/>
  <c r="AI11" i="24"/>
  <c r="AI261" i="24" s="1"/>
  <c r="AH261" i="24" s="1"/>
  <c r="AG261" i="24" s="1"/>
  <c r="AF261" i="24" s="1"/>
  <c r="AD261" i="24" s="1"/>
  <c r="AI253" i="24"/>
  <c r="AH253" i="24" s="1"/>
  <c r="AG253" i="24" s="1"/>
  <c r="AF253" i="24" s="1"/>
  <c r="AD253" i="24" s="1"/>
  <c r="AI237" i="24"/>
  <c r="AH237" i="24" s="1"/>
  <c r="AG237" i="24" s="1"/>
  <c r="AF237" i="24" s="1"/>
  <c r="AD237" i="24" s="1"/>
  <c r="AI229" i="24"/>
  <c r="AH229" i="24" s="1"/>
  <c r="AG229" i="24" s="1"/>
  <c r="AF229" i="24" s="1"/>
  <c r="AD229" i="24" s="1"/>
  <c r="AI221" i="24"/>
  <c r="AH221" i="24" s="1"/>
  <c r="AG221" i="24" s="1"/>
  <c r="AF221" i="24" s="1"/>
  <c r="AD221" i="24" s="1"/>
  <c r="AI213" i="24"/>
  <c r="AH213" i="24" s="1"/>
  <c r="AI205" i="24"/>
  <c r="AH205" i="24" s="1"/>
  <c r="AG205" i="24" s="1"/>
  <c r="AF205" i="24" s="1"/>
  <c r="AD205" i="24" s="1"/>
  <c r="AI197" i="24"/>
  <c r="AH197" i="24" s="1"/>
  <c r="AG197" i="24" s="1"/>
  <c r="AF197" i="24" s="1"/>
  <c r="AD197" i="24" s="1"/>
  <c r="AI189" i="24"/>
  <c r="AH189" i="24" s="1"/>
  <c r="AG189" i="24" s="1"/>
  <c r="AF189" i="24" s="1"/>
  <c r="AD189" i="24" s="1"/>
  <c r="AI181" i="24"/>
  <c r="AH181" i="24" s="1"/>
  <c r="AG181" i="24" s="1"/>
  <c r="AF181" i="24" s="1"/>
  <c r="AD181" i="24" s="1"/>
  <c r="AI173" i="24"/>
  <c r="AH173" i="24" s="1"/>
  <c r="AG173" i="24" s="1"/>
  <c r="AF173" i="24" s="1"/>
  <c r="AD173" i="24" s="1"/>
  <c r="AI165" i="24"/>
  <c r="AH165" i="24" s="1"/>
  <c r="AG165" i="24" s="1"/>
  <c r="AF165" i="24" s="1"/>
  <c r="AD165" i="24" s="1"/>
  <c r="AI157" i="24"/>
  <c r="AH157" i="24" s="1"/>
  <c r="AG157" i="24" s="1"/>
  <c r="AF157" i="24" s="1"/>
  <c r="AD157" i="24" s="1"/>
  <c r="AI149" i="24"/>
  <c r="AH149" i="24" s="1"/>
  <c r="AG149" i="24" s="1"/>
  <c r="AF149" i="24" s="1"/>
  <c r="AD149" i="24" s="1"/>
  <c r="AI141" i="24"/>
  <c r="AH141" i="24" s="1"/>
  <c r="AG141" i="24" s="1"/>
  <c r="AF141" i="24" s="1"/>
  <c r="AD141" i="24" s="1"/>
  <c r="AI133" i="24"/>
  <c r="AH133" i="24" s="1"/>
  <c r="AG133" i="24" s="1"/>
  <c r="AF133" i="24" s="1"/>
  <c r="AD133" i="24" s="1"/>
  <c r="AI125" i="24"/>
  <c r="AH125" i="24" s="1"/>
  <c r="AG125" i="24" s="1"/>
  <c r="AF125" i="24" s="1"/>
  <c r="AD125" i="24" s="1"/>
  <c r="AI117" i="24"/>
  <c r="AH117" i="24" s="1"/>
  <c r="AG117" i="24" s="1"/>
  <c r="AF117" i="24" s="1"/>
  <c r="AD117" i="24" s="1"/>
  <c r="AI109" i="24"/>
  <c r="AH109" i="24" s="1"/>
  <c r="AG109" i="24" s="1"/>
  <c r="AF109" i="24" s="1"/>
  <c r="AD109" i="24" s="1"/>
  <c r="AI101" i="24"/>
  <c r="AH101" i="24" s="1"/>
  <c r="AG101" i="24" s="1"/>
  <c r="AF101" i="24" s="1"/>
  <c r="AD101" i="24" s="1"/>
  <c r="AI93" i="24"/>
  <c r="AH93" i="24" s="1"/>
  <c r="AG93" i="24" s="1"/>
  <c r="AF93" i="24" s="1"/>
  <c r="AD93" i="24" s="1"/>
  <c r="AI85" i="24"/>
  <c r="AH85" i="24" s="1"/>
  <c r="AG85" i="24" s="1"/>
  <c r="AF85" i="24" s="1"/>
  <c r="AD85" i="24" s="1"/>
  <c r="AI77" i="24"/>
  <c r="AH77" i="24" s="1"/>
  <c r="AG77" i="24" s="1"/>
  <c r="AF77" i="24" s="1"/>
  <c r="AD77" i="24" s="1"/>
  <c r="AI69" i="24"/>
  <c r="AH69" i="24" s="1"/>
  <c r="AG69" i="24" s="1"/>
  <c r="AF69" i="24" s="1"/>
  <c r="AD69" i="24" s="1"/>
  <c r="AI61" i="24"/>
  <c r="AH61" i="24" s="1"/>
  <c r="AG61" i="24" s="1"/>
  <c r="AF61" i="24" s="1"/>
  <c r="AD61" i="24" s="1"/>
  <c r="AI53" i="24"/>
  <c r="AH53" i="24" s="1"/>
  <c r="AG53" i="24" s="1"/>
  <c r="AF53" i="24" s="1"/>
  <c r="AD53" i="24" s="1"/>
  <c r="AI45" i="24"/>
  <c r="AH45" i="24" s="1"/>
  <c r="AG45" i="24" s="1"/>
  <c r="AF45" i="24" s="1"/>
  <c r="AD45" i="24" s="1"/>
  <c r="AI37" i="24"/>
  <c r="AH37" i="24" s="1"/>
  <c r="AG37" i="24" s="1"/>
  <c r="AF37" i="24" s="1"/>
  <c r="AD37" i="24" s="1"/>
  <c r="AI29" i="24"/>
  <c r="AH29" i="24" s="1"/>
  <c r="AG29" i="24" s="1"/>
  <c r="AF29" i="24" s="1"/>
  <c r="AD29" i="24" s="1"/>
  <c r="BA16" i="7"/>
  <c r="AI23" i="24"/>
  <c r="AH23" i="24" s="1"/>
  <c r="AG23" i="24" s="1"/>
  <c r="AF23" i="24" s="1"/>
  <c r="AD23" i="24" s="1"/>
  <c r="AI22" i="24"/>
  <c r="AH22" i="24" s="1"/>
  <c r="AG22" i="24" s="1"/>
  <c r="AF22" i="24" s="1"/>
  <c r="AD22" i="24" s="1"/>
  <c r="AI16" i="24"/>
  <c r="AH16" i="24" s="1"/>
  <c r="AG16" i="24" s="1"/>
  <c r="AF16" i="24" s="1"/>
  <c r="AD16" i="24" s="1"/>
  <c r="AI20" i="24"/>
  <c r="AH20" i="24" s="1"/>
  <c r="AG20" i="24" s="1"/>
  <c r="AF20" i="24" s="1"/>
  <c r="AD20" i="24" s="1"/>
  <c r="AI24" i="24"/>
  <c r="AH24" i="24" s="1"/>
  <c r="AG24" i="24" s="1"/>
  <c r="AF24" i="24" s="1"/>
  <c r="AD24" i="24" s="1"/>
  <c r="AI26" i="24"/>
  <c r="AH26" i="24" s="1"/>
  <c r="AG26" i="24" s="1"/>
  <c r="AF26" i="24" s="1"/>
  <c r="AD26" i="24" s="1"/>
  <c r="AI28" i="24"/>
  <c r="AH28" i="24" s="1"/>
  <c r="AG28" i="24" s="1"/>
  <c r="AF28" i="24" s="1"/>
  <c r="AD28" i="24" s="1"/>
  <c r="AI30" i="24"/>
  <c r="AH30" i="24" s="1"/>
  <c r="AG30" i="24" s="1"/>
  <c r="AF30" i="24" s="1"/>
  <c r="AD30" i="24" s="1"/>
  <c r="AI32" i="24"/>
  <c r="AH32" i="24" s="1"/>
  <c r="AG32" i="24" s="1"/>
  <c r="AF32" i="24" s="1"/>
  <c r="AD32" i="24" s="1"/>
  <c r="AI34" i="24"/>
  <c r="AH34" i="24" s="1"/>
  <c r="AG34" i="24" s="1"/>
  <c r="AF34" i="24" s="1"/>
  <c r="AD34" i="24" s="1"/>
  <c r="AI36" i="24"/>
  <c r="AH36" i="24" s="1"/>
  <c r="AG36" i="24" s="1"/>
  <c r="AF36" i="24" s="1"/>
  <c r="AD36" i="24" s="1"/>
  <c r="AI38" i="24"/>
  <c r="AH38" i="24" s="1"/>
  <c r="AG38" i="24" s="1"/>
  <c r="AF38" i="24" s="1"/>
  <c r="AD38" i="24" s="1"/>
  <c r="AI40" i="24"/>
  <c r="AH40" i="24" s="1"/>
  <c r="AG40" i="24" s="1"/>
  <c r="AF40" i="24" s="1"/>
  <c r="AD40" i="24" s="1"/>
  <c r="AI42" i="24"/>
  <c r="AH42" i="24" s="1"/>
  <c r="AG42" i="24" s="1"/>
  <c r="AF42" i="24" s="1"/>
  <c r="AD42" i="24" s="1"/>
  <c r="AI44" i="24"/>
  <c r="AH44" i="24" s="1"/>
  <c r="AG44" i="24" s="1"/>
  <c r="AF44" i="24" s="1"/>
  <c r="AD44" i="24" s="1"/>
  <c r="AI46" i="24"/>
  <c r="AH46" i="24" s="1"/>
  <c r="AG46" i="24" s="1"/>
  <c r="AF46" i="24" s="1"/>
  <c r="AD46" i="24" s="1"/>
  <c r="AI48" i="24"/>
  <c r="AH48" i="24" s="1"/>
  <c r="AG48" i="24" s="1"/>
  <c r="AF48" i="24" s="1"/>
  <c r="AD48" i="24" s="1"/>
  <c r="AI50" i="24"/>
  <c r="AH50" i="24" s="1"/>
  <c r="AG50" i="24" s="1"/>
  <c r="AF50" i="24" s="1"/>
  <c r="AD50" i="24" s="1"/>
  <c r="AI52" i="24"/>
  <c r="AH52" i="24" s="1"/>
  <c r="AG52" i="24" s="1"/>
  <c r="AF52" i="24" s="1"/>
  <c r="AD52" i="24" s="1"/>
  <c r="AI54" i="24"/>
  <c r="AH54" i="24" s="1"/>
  <c r="AG54" i="24" s="1"/>
  <c r="AF54" i="24" s="1"/>
  <c r="AD54" i="24" s="1"/>
  <c r="AI56" i="24"/>
  <c r="AH56" i="24" s="1"/>
  <c r="AG56" i="24" s="1"/>
  <c r="AF56" i="24" s="1"/>
  <c r="AD56" i="24" s="1"/>
  <c r="AI58" i="24"/>
  <c r="AH58" i="24" s="1"/>
  <c r="AG58" i="24" s="1"/>
  <c r="AF58" i="24" s="1"/>
  <c r="AD58" i="24" s="1"/>
  <c r="AI60" i="24"/>
  <c r="AH60" i="24" s="1"/>
  <c r="AG60" i="24" s="1"/>
  <c r="AF60" i="24" s="1"/>
  <c r="AD60" i="24" s="1"/>
  <c r="AI62" i="24"/>
  <c r="AH62" i="24" s="1"/>
  <c r="AG62" i="24" s="1"/>
  <c r="AF62" i="24" s="1"/>
  <c r="AD62" i="24" s="1"/>
  <c r="AI64" i="24"/>
  <c r="AH64" i="24" s="1"/>
  <c r="AG64" i="24" s="1"/>
  <c r="AF64" i="24" s="1"/>
  <c r="AD64" i="24" s="1"/>
  <c r="AI66" i="24"/>
  <c r="AH66" i="24" s="1"/>
  <c r="AG66" i="24" s="1"/>
  <c r="AF66" i="24" s="1"/>
  <c r="AD66" i="24" s="1"/>
  <c r="AI68" i="24"/>
  <c r="AH68" i="24" s="1"/>
  <c r="AG68" i="24" s="1"/>
  <c r="AF68" i="24" s="1"/>
  <c r="AD68" i="24" s="1"/>
  <c r="AI70" i="24"/>
  <c r="AH70" i="24" s="1"/>
  <c r="AG70" i="24" s="1"/>
  <c r="AF70" i="24" s="1"/>
  <c r="AD70" i="24" s="1"/>
  <c r="AI72" i="24"/>
  <c r="AH72" i="24" s="1"/>
  <c r="AG72" i="24" s="1"/>
  <c r="AF72" i="24" s="1"/>
  <c r="AD72" i="24" s="1"/>
  <c r="AI74" i="24"/>
  <c r="AH74" i="24" s="1"/>
  <c r="AG74" i="24" s="1"/>
  <c r="AF74" i="24" s="1"/>
  <c r="AD74" i="24" s="1"/>
  <c r="AI76" i="24"/>
  <c r="AH76" i="24" s="1"/>
  <c r="AG76" i="24" s="1"/>
  <c r="AF76" i="24" s="1"/>
  <c r="AD76" i="24" s="1"/>
  <c r="AI78" i="24"/>
  <c r="AH78" i="24" s="1"/>
  <c r="AG78" i="24" s="1"/>
  <c r="AF78" i="24" s="1"/>
  <c r="AD78" i="24" s="1"/>
  <c r="AI80" i="24"/>
  <c r="AH80" i="24" s="1"/>
  <c r="AG80" i="24" s="1"/>
  <c r="AF80" i="24" s="1"/>
  <c r="AD80" i="24" s="1"/>
  <c r="AI82" i="24"/>
  <c r="AH82" i="24" s="1"/>
  <c r="AG82" i="24" s="1"/>
  <c r="AF82" i="24" s="1"/>
  <c r="AD82" i="24" s="1"/>
  <c r="AI84" i="24"/>
  <c r="AH84" i="24" s="1"/>
  <c r="AG84" i="24" s="1"/>
  <c r="AF84" i="24" s="1"/>
  <c r="AD84" i="24" s="1"/>
  <c r="AI86" i="24"/>
  <c r="AH86" i="24" s="1"/>
  <c r="AG86" i="24" s="1"/>
  <c r="AF86" i="24" s="1"/>
  <c r="AD86" i="24" s="1"/>
  <c r="AI88" i="24"/>
  <c r="AH88" i="24" s="1"/>
  <c r="AG88" i="24" s="1"/>
  <c r="AF88" i="24" s="1"/>
  <c r="AD88" i="24" s="1"/>
  <c r="AI90" i="24"/>
  <c r="AH90" i="24" s="1"/>
  <c r="AG90" i="24" s="1"/>
  <c r="AF90" i="24" s="1"/>
  <c r="AD90" i="24" s="1"/>
  <c r="AI92" i="24"/>
  <c r="AH92" i="24" s="1"/>
  <c r="AG92" i="24" s="1"/>
  <c r="AF92" i="24" s="1"/>
  <c r="AD92" i="24" s="1"/>
  <c r="AI94" i="24"/>
  <c r="AH94" i="24" s="1"/>
  <c r="AG94" i="24" s="1"/>
  <c r="AF94" i="24" s="1"/>
  <c r="AD94" i="24" s="1"/>
  <c r="AI96" i="24"/>
  <c r="AH96" i="24" s="1"/>
  <c r="AG96" i="24" s="1"/>
  <c r="AF96" i="24" s="1"/>
  <c r="AD96" i="24" s="1"/>
  <c r="AI98" i="24"/>
  <c r="AH98" i="24" s="1"/>
  <c r="AG98" i="24" s="1"/>
  <c r="AF98" i="24" s="1"/>
  <c r="AD98" i="24" s="1"/>
  <c r="AI100" i="24"/>
  <c r="AH100" i="24" s="1"/>
  <c r="AG100" i="24" s="1"/>
  <c r="AF100" i="24" s="1"/>
  <c r="AD100" i="24" s="1"/>
  <c r="AI102" i="24"/>
  <c r="AH102" i="24" s="1"/>
  <c r="AG102" i="24" s="1"/>
  <c r="AF102" i="24" s="1"/>
  <c r="AD102" i="24" s="1"/>
  <c r="AI104" i="24"/>
  <c r="AH104" i="24" s="1"/>
  <c r="AG104" i="24" s="1"/>
  <c r="AF104" i="24" s="1"/>
  <c r="AD104" i="24" s="1"/>
  <c r="AI106" i="24"/>
  <c r="AH106" i="24" s="1"/>
  <c r="AG106" i="24" s="1"/>
  <c r="AF106" i="24" s="1"/>
  <c r="AD106" i="24" s="1"/>
  <c r="AI108" i="24"/>
  <c r="AH108" i="24" s="1"/>
  <c r="AG108" i="24" s="1"/>
  <c r="AF108" i="24" s="1"/>
  <c r="AD108" i="24" s="1"/>
  <c r="AI110" i="24"/>
  <c r="AH110" i="24" s="1"/>
  <c r="AG110" i="24" s="1"/>
  <c r="AF110" i="24" s="1"/>
  <c r="AD110" i="24" s="1"/>
  <c r="AI112" i="24"/>
  <c r="AH112" i="24" s="1"/>
  <c r="AG112" i="24" s="1"/>
  <c r="AF112" i="24" s="1"/>
  <c r="AD112" i="24" s="1"/>
  <c r="AI114" i="24"/>
  <c r="AH114" i="24" s="1"/>
  <c r="AG114" i="24" s="1"/>
  <c r="AF114" i="24" s="1"/>
  <c r="AD114" i="24" s="1"/>
  <c r="AI116" i="24"/>
  <c r="AH116" i="24" s="1"/>
  <c r="AG116" i="24" s="1"/>
  <c r="AF116" i="24" s="1"/>
  <c r="AD116" i="24" s="1"/>
  <c r="AI118" i="24"/>
  <c r="AH118" i="24" s="1"/>
  <c r="AG118" i="24" s="1"/>
  <c r="AF118" i="24" s="1"/>
  <c r="AD118" i="24" s="1"/>
  <c r="AI120" i="24"/>
  <c r="AH120" i="24" s="1"/>
  <c r="AG120" i="24" s="1"/>
  <c r="AF120" i="24" s="1"/>
  <c r="AD120" i="24" s="1"/>
  <c r="AI122" i="24"/>
  <c r="AH122" i="24" s="1"/>
  <c r="AG122" i="24" s="1"/>
  <c r="AF122" i="24" s="1"/>
  <c r="AD122" i="24" s="1"/>
  <c r="AI124" i="24"/>
  <c r="AH124" i="24" s="1"/>
  <c r="AG124" i="24" s="1"/>
  <c r="AF124" i="24" s="1"/>
  <c r="AD124" i="24" s="1"/>
  <c r="AI126" i="24"/>
  <c r="AH126" i="24" s="1"/>
  <c r="AI128" i="24"/>
  <c r="AH128" i="24" s="1"/>
  <c r="AG128" i="24" s="1"/>
  <c r="AF128" i="24" s="1"/>
  <c r="AD128" i="24" s="1"/>
  <c r="AI130" i="24"/>
  <c r="AH130" i="24" s="1"/>
  <c r="AI132" i="24"/>
  <c r="AH132" i="24" s="1"/>
  <c r="AG132" i="24" s="1"/>
  <c r="AF132" i="24" s="1"/>
  <c r="AD132" i="24" s="1"/>
  <c r="AI134" i="24"/>
  <c r="AH134" i="24" s="1"/>
  <c r="AG134" i="24" s="1"/>
  <c r="AF134" i="24" s="1"/>
  <c r="AD134" i="24" s="1"/>
  <c r="AI136" i="24"/>
  <c r="AH136" i="24" s="1"/>
  <c r="AG136" i="24" s="1"/>
  <c r="AF136" i="24" s="1"/>
  <c r="AD136" i="24" s="1"/>
  <c r="AI138" i="24"/>
  <c r="AH138" i="24" s="1"/>
  <c r="AG138" i="24" s="1"/>
  <c r="AF138" i="24" s="1"/>
  <c r="AD138" i="24" s="1"/>
  <c r="AI140" i="24"/>
  <c r="AH140" i="24" s="1"/>
  <c r="AG140" i="24" s="1"/>
  <c r="AF140" i="24" s="1"/>
  <c r="AD140" i="24" s="1"/>
  <c r="AI142" i="24"/>
  <c r="AH142" i="24" s="1"/>
  <c r="AG142" i="24" s="1"/>
  <c r="AF142" i="24" s="1"/>
  <c r="AD142" i="24" s="1"/>
  <c r="AI144" i="24"/>
  <c r="AH144" i="24" s="1"/>
  <c r="AG144" i="24" s="1"/>
  <c r="AF144" i="24" s="1"/>
  <c r="AD144" i="24" s="1"/>
  <c r="AI146" i="24"/>
  <c r="AH146" i="24" s="1"/>
  <c r="AG146" i="24" s="1"/>
  <c r="AF146" i="24" s="1"/>
  <c r="AD146" i="24" s="1"/>
  <c r="AI148" i="24"/>
  <c r="AH148" i="24" s="1"/>
  <c r="AG148" i="24" s="1"/>
  <c r="AF148" i="24" s="1"/>
  <c r="AD148" i="24" s="1"/>
  <c r="AI150" i="24"/>
  <c r="AH150" i="24" s="1"/>
  <c r="AG150" i="24" s="1"/>
  <c r="AF150" i="24" s="1"/>
  <c r="AD150" i="24" s="1"/>
  <c r="AI152" i="24"/>
  <c r="AH152" i="24" s="1"/>
  <c r="AG152" i="24" s="1"/>
  <c r="AF152" i="24" s="1"/>
  <c r="AD152" i="24" s="1"/>
  <c r="AI154" i="24"/>
  <c r="AH154" i="24" s="1"/>
  <c r="AG154" i="24" s="1"/>
  <c r="AF154" i="24" s="1"/>
  <c r="AD154" i="24" s="1"/>
  <c r="AI156" i="24"/>
  <c r="AH156" i="24" s="1"/>
  <c r="AG156" i="24" s="1"/>
  <c r="AF156" i="24" s="1"/>
  <c r="AD156" i="24" s="1"/>
  <c r="AI158" i="24"/>
  <c r="AH158" i="24" s="1"/>
  <c r="AG158" i="24" s="1"/>
  <c r="AF158" i="24" s="1"/>
  <c r="AD158" i="24" s="1"/>
  <c r="AI160" i="24"/>
  <c r="AH160" i="24" s="1"/>
  <c r="AG160" i="24" s="1"/>
  <c r="AF160" i="24" s="1"/>
  <c r="AD160" i="24" s="1"/>
  <c r="AI162" i="24"/>
  <c r="AH162" i="24" s="1"/>
  <c r="AG162" i="24" s="1"/>
  <c r="AF162" i="24" s="1"/>
  <c r="AD162" i="24" s="1"/>
  <c r="AI164" i="24"/>
  <c r="AH164" i="24" s="1"/>
  <c r="AG164" i="24" s="1"/>
  <c r="AF164" i="24" s="1"/>
  <c r="AD164" i="24" s="1"/>
  <c r="AI166" i="24"/>
  <c r="AH166" i="24" s="1"/>
  <c r="AG166" i="24" s="1"/>
  <c r="AF166" i="24" s="1"/>
  <c r="AD166" i="24" s="1"/>
  <c r="AI168" i="24"/>
  <c r="AH168" i="24" s="1"/>
  <c r="AG168" i="24" s="1"/>
  <c r="AF168" i="24" s="1"/>
  <c r="AD168" i="24" s="1"/>
  <c r="AI170" i="24"/>
  <c r="AH170" i="24" s="1"/>
  <c r="AI172" i="24"/>
  <c r="AH172" i="24" s="1"/>
  <c r="AG172" i="24" s="1"/>
  <c r="AF172" i="24" s="1"/>
  <c r="AD172" i="24" s="1"/>
  <c r="AI174" i="24"/>
  <c r="AH174" i="24" s="1"/>
  <c r="AG174" i="24" s="1"/>
  <c r="AF174" i="24" s="1"/>
  <c r="AD174" i="24" s="1"/>
  <c r="AI176" i="24"/>
  <c r="AH176" i="24" s="1"/>
  <c r="AG176" i="24" s="1"/>
  <c r="AF176" i="24" s="1"/>
  <c r="AD176" i="24" s="1"/>
  <c r="AI178" i="24"/>
  <c r="AH178" i="24" s="1"/>
  <c r="AG178" i="24" s="1"/>
  <c r="AF178" i="24" s="1"/>
  <c r="AD178" i="24" s="1"/>
  <c r="AI180" i="24"/>
  <c r="AH180" i="24" s="1"/>
  <c r="AG180" i="24" s="1"/>
  <c r="AF180" i="24" s="1"/>
  <c r="AD180" i="24" s="1"/>
  <c r="AI182" i="24"/>
  <c r="AH182" i="24" s="1"/>
  <c r="AG182" i="24" s="1"/>
  <c r="AF182" i="24" s="1"/>
  <c r="AD182" i="24" s="1"/>
  <c r="AI184" i="24"/>
  <c r="AH184" i="24" s="1"/>
  <c r="AG184" i="24" s="1"/>
  <c r="AF184" i="24" s="1"/>
  <c r="AD184" i="24" s="1"/>
  <c r="AI186" i="24"/>
  <c r="AH186" i="24" s="1"/>
  <c r="AG186" i="24" s="1"/>
  <c r="AF186" i="24" s="1"/>
  <c r="AD186" i="24" s="1"/>
  <c r="AI188" i="24"/>
  <c r="AH188" i="24" s="1"/>
  <c r="AG188" i="24" s="1"/>
  <c r="AF188" i="24" s="1"/>
  <c r="AD188" i="24" s="1"/>
  <c r="AI190" i="24"/>
  <c r="AH190" i="24" s="1"/>
  <c r="AG190" i="24" s="1"/>
  <c r="AF190" i="24" s="1"/>
  <c r="AD190" i="24" s="1"/>
  <c r="AI192" i="24"/>
  <c r="AH192" i="24" s="1"/>
  <c r="AG192" i="24" s="1"/>
  <c r="AF192" i="24" s="1"/>
  <c r="AD192" i="24" s="1"/>
  <c r="AI194" i="24"/>
  <c r="AH194" i="24" s="1"/>
  <c r="AG194" i="24" s="1"/>
  <c r="AF194" i="24" s="1"/>
  <c r="AD194" i="24" s="1"/>
  <c r="AI196" i="24"/>
  <c r="AH196" i="24" s="1"/>
  <c r="AG196" i="24" s="1"/>
  <c r="AF196" i="24" s="1"/>
  <c r="AD196" i="24" s="1"/>
  <c r="AI198" i="24"/>
  <c r="AH198" i="24" s="1"/>
  <c r="AG198" i="24" s="1"/>
  <c r="AF198" i="24" s="1"/>
  <c r="AD198" i="24" s="1"/>
  <c r="AI200" i="24"/>
  <c r="AH200" i="24" s="1"/>
  <c r="AI202" i="24"/>
  <c r="AH202" i="24" s="1"/>
  <c r="AG202" i="24" s="1"/>
  <c r="AF202" i="24" s="1"/>
  <c r="AD202" i="24" s="1"/>
  <c r="AI204" i="24"/>
  <c r="AH204" i="24" s="1"/>
  <c r="AG204" i="24" s="1"/>
  <c r="AF204" i="24" s="1"/>
  <c r="AD204" i="24" s="1"/>
  <c r="AI206" i="24"/>
  <c r="AH206" i="24" s="1"/>
  <c r="AG206" i="24" s="1"/>
  <c r="AF206" i="24" s="1"/>
  <c r="AD206" i="24" s="1"/>
  <c r="AI208" i="24"/>
  <c r="AH208" i="24" s="1"/>
  <c r="AG208" i="24" s="1"/>
  <c r="AF208" i="24" s="1"/>
  <c r="AD208" i="24" s="1"/>
  <c r="AI210" i="24"/>
  <c r="AH210" i="24" s="1"/>
  <c r="AG210" i="24" s="1"/>
  <c r="AF210" i="24" s="1"/>
  <c r="AD210" i="24" s="1"/>
  <c r="AI212" i="24"/>
  <c r="AH212" i="24" s="1"/>
  <c r="AG212" i="24" s="1"/>
  <c r="AF212" i="24" s="1"/>
  <c r="AD212" i="24" s="1"/>
  <c r="AI214" i="24"/>
  <c r="AH214" i="24" s="1"/>
  <c r="AG214" i="24" s="1"/>
  <c r="AF214" i="24" s="1"/>
  <c r="AD214" i="24" s="1"/>
  <c r="AI216" i="24"/>
  <c r="AH216" i="24" s="1"/>
  <c r="AG216" i="24" s="1"/>
  <c r="AF216" i="24" s="1"/>
  <c r="AD216" i="24" s="1"/>
  <c r="AI218" i="24"/>
  <c r="AH218" i="24" s="1"/>
  <c r="AG218" i="24" s="1"/>
  <c r="AF218" i="24" s="1"/>
  <c r="AD218" i="24" s="1"/>
  <c r="AI220" i="24"/>
  <c r="AH220" i="24" s="1"/>
  <c r="AG220" i="24" s="1"/>
  <c r="AF220" i="24" s="1"/>
  <c r="AD220" i="24" s="1"/>
  <c r="AI222" i="24"/>
  <c r="AH222" i="24" s="1"/>
  <c r="AG222" i="24" s="1"/>
  <c r="AF222" i="24" s="1"/>
  <c r="AD222" i="24" s="1"/>
  <c r="AI224" i="24"/>
  <c r="AH224" i="24" s="1"/>
  <c r="AG224" i="24" s="1"/>
  <c r="AF224" i="24" s="1"/>
  <c r="AD224" i="24" s="1"/>
  <c r="AI226" i="24"/>
  <c r="AH226" i="24" s="1"/>
  <c r="AG226" i="24" s="1"/>
  <c r="AF226" i="24" s="1"/>
  <c r="AD226" i="24" s="1"/>
  <c r="AI228" i="24"/>
  <c r="AH228" i="24" s="1"/>
  <c r="AG228" i="24" s="1"/>
  <c r="AF228" i="24" s="1"/>
  <c r="AD228" i="24" s="1"/>
  <c r="AI230" i="24"/>
  <c r="AH230" i="24" s="1"/>
  <c r="AG230" i="24" s="1"/>
  <c r="AF230" i="24" s="1"/>
  <c r="AD230" i="24" s="1"/>
  <c r="AI232" i="24"/>
  <c r="AH232" i="24" s="1"/>
  <c r="AG232" i="24" s="1"/>
  <c r="AF232" i="24" s="1"/>
  <c r="AD232" i="24" s="1"/>
  <c r="AI234" i="24"/>
  <c r="AH234" i="24" s="1"/>
  <c r="AG234" i="24" s="1"/>
  <c r="AF234" i="24" s="1"/>
  <c r="AD234" i="24" s="1"/>
  <c r="AI236" i="24"/>
  <c r="AH236" i="24" s="1"/>
  <c r="AG236" i="24" s="1"/>
  <c r="AF236" i="24" s="1"/>
  <c r="AD236" i="24" s="1"/>
  <c r="AI238" i="24"/>
  <c r="AH238" i="24" s="1"/>
  <c r="AG238" i="24" s="1"/>
  <c r="AF238" i="24" s="1"/>
  <c r="AD238" i="24" s="1"/>
  <c r="AI240" i="24"/>
  <c r="AH240" i="24" s="1"/>
  <c r="AG240" i="24" s="1"/>
  <c r="AF240" i="24" s="1"/>
  <c r="AD240" i="24" s="1"/>
  <c r="AI242" i="24"/>
  <c r="AH242" i="24" s="1"/>
  <c r="AG242" i="24" s="1"/>
  <c r="AF242" i="24" s="1"/>
  <c r="AD242" i="24" s="1"/>
  <c r="AI244" i="24"/>
  <c r="AH244" i="24" s="1"/>
  <c r="AG244" i="24" s="1"/>
  <c r="AF244" i="24" s="1"/>
  <c r="AD244" i="24" s="1"/>
  <c r="AI246" i="24"/>
  <c r="AH246" i="24" s="1"/>
  <c r="AG246" i="24" s="1"/>
  <c r="AF246" i="24" s="1"/>
  <c r="AD246" i="24" s="1"/>
  <c r="AI248" i="24"/>
  <c r="AH248" i="24" s="1"/>
  <c r="AG248" i="24" s="1"/>
  <c r="AF248" i="24" s="1"/>
  <c r="AD248" i="24" s="1"/>
  <c r="AI250" i="24"/>
  <c r="AH250" i="24" s="1"/>
  <c r="AG250" i="24" s="1"/>
  <c r="AF250" i="24" s="1"/>
  <c r="AD250" i="24" s="1"/>
  <c r="AI252" i="24"/>
  <c r="AH252" i="24" s="1"/>
  <c r="AG252" i="24" s="1"/>
  <c r="AF252" i="24" s="1"/>
  <c r="AD252" i="24" s="1"/>
  <c r="AI254" i="24"/>
  <c r="AH254" i="24" s="1"/>
  <c r="AG254" i="24" s="1"/>
  <c r="AF254" i="24" s="1"/>
  <c r="AD254" i="24" s="1"/>
  <c r="AI256" i="24"/>
  <c r="AH256" i="24" s="1"/>
  <c r="AG256" i="24" s="1"/>
  <c r="AF256" i="24" s="1"/>
  <c r="AD256" i="24" s="1"/>
  <c r="AI258" i="24"/>
  <c r="AH258" i="24" s="1"/>
  <c r="AI260" i="24"/>
  <c r="AH260" i="24" s="1"/>
  <c r="AG260" i="24" s="1"/>
  <c r="AF260" i="24" s="1"/>
  <c r="AD260" i="24" s="1"/>
  <c r="AI262" i="24"/>
  <c r="AH262" i="24" s="1"/>
  <c r="AG262" i="24" s="1"/>
  <c r="AF262" i="24" s="1"/>
  <c r="AD262" i="24" s="1"/>
  <c r="AI264" i="24"/>
  <c r="AH264" i="24" s="1"/>
  <c r="AG264" i="24" s="1"/>
  <c r="AF264" i="24" s="1"/>
  <c r="AD264" i="24" s="1"/>
  <c r="AI266" i="24"/>
  <c r="AH266" i="24" s="1"/>
  <c r="AG266" i="24" s="1"/>
  <c r="AF266" i="24" s="1"/>
  <c r="AD266" i="24" s="1"/>
  <c r="AI268" i="24"/>
  <c r="AH268" i="24" s="1"/>
  <c r="AG268" i="24" s="1"/>
  <c r="AF268" i="24" s="1"/>
  <c r="AD268" i="24" s="1"/>
  <c r="AI270" i="24"/>
  <c r="AH270" i="24" s="1"/>
  <c r="AG270" i="24" s="1"/>
  <c r="AF270" i="24" s="1"/>
  <c r="AD270" i="24" s="1"/>
  <c r="AI272" i="24"/>
  <c r="AH272" i="24" s="1"/>
  <c r="AG272" i="24" s="1"/>
  <c r="AF272" i="24" s="1"/>
  <c r="AD272" i="24" s="1"/>
  <c r="AI274" i="24"/>
  <c r="AH274" i="24" s="1"/>
  <c r="AG274" i="24" s="1"/>
  <c r="AF274" i="24" s="1"/>
  <c r="AD274" i="24" s="1"/>
  <c r="AI276" i="24"/>
  <c r="AH276" i="24" s="1"/>
  <c r="AG276" i="24" s="1"/>
  <c r="AF276" i="24" s="1"/>
  <c r="AD276" i="24" s="1"/>
  <c r="AI278" i="24"/>
  <c r="AH278" i="24" s="1"/>
  <c r="AG278" i="24" s="1"/>
  <c r="AF278" i="24" s="1"/>
  <c r="AD278" i="24" s="1"/>
  <c r="AI280" i="24"/>
  <c r="AH280" i="24" s="1"/>
  <c r="AG280" i="24" s="1"/>
  <c r="AF280" i="24" s="1"/>
  <c r="AD280" i="24" s="1"/>
  <c r="AI282" i="24"/>
  <c r="AH282" i="24" s="1"/>
  <c r="AG282" i="24" s="1"/>
  <c r="AF282" i="24" s="1"/>
  <c r="AD282" i="24" s="1"/>
  <c r="AI284" i="24"/>
  <c r="AH284" i="24" s="1"/>
  <c r="AG284" i="24" s="1"/>
  <c r="AF284" i="24" s="1"/>
  <c r="AD284" i="24" s="1"/>
  <c r="AI286" i="24"/>
  <c r="AH286" i="24" s="1"/>
  <c r="AG286" i="24" s="1"/>
  <c r="AF286" i="24" s="1"/>
  <c r="AD286" i="24" s="1"/>
  <c r="AI288" i="24"/>
  <c r="AH288" i="24" s="1"/>
  <c r="AG288" i="24" s="1"/>
  <c r="AF288" i="24" s="1"/>
  <c r="AD288" i="24" s="1"/>
  <c r="AI290" i="24"/>
  <c r="AH290" i="24" s="1"/>
  <c r="AG290" i="24" s="1"/>
  <c r="AF290" i="24" s="1"/>
  <c r="AD290" i="24" s="1"/>
  <c r="AI292" i="24"/>
  <c r="AH292" i="24" s="1"/>
  <c r="AG292" i="24" s="1"/>
  <c r="AF292" i="24" s="1"/>
  <c r="AD292" i="24" s="1"/>
  <c r="AI294" i="24"/>
  <c r="AH294" i="24" s="1"/>
  <c r="AG294" i="24" s="1"/>
  <c r="AF294" i="24" s="1"/>
  <c r="AD294" i="24" s="1"/>
  <c r="AI296" i="24"/>
  <c r="AH296" i="24" s="1"/>
  <c r="AG296" i="24" s="1"/>
  <c r="AF296" i="24" s="1"/>
  <c r="AD296" i="24" s="1"/>
  <c r="AI298" i="24"/>
  <c r="AH298" i="24" s="1"/>
  <c r="AG298" i="24" s="1"/>
  <c r="AF298" i="24" s="1"/>
  <c r="AD298" i="24" s="1"/>
  <c r="AI300" i="24"/>
  <c r="AH300" i="24" s="1"/>
  <c r="AG300" i="24" s="1"/>
  <c r="AF300" i="24" s="1"/>
  <c r="AD300" i="24" s="1"/>
  <c r="AI302" i="24"/>
  <c r="AH302" i="24" s="1"/>
  <c r="AG302" i="24" s="1"/>
  <c r="AF302" i="24" s="1"/>
  <c r="AD302" i="24" s="1"/>
  <c r="AI304" i="24"/>
  <c r="AH304" i="24" s="1"/>
  <c r="AG304" i="24" s="1"/>
  <c r="AF304" i="24" s="1"/>
  <c r="AD304" i="24" s="1"/>
  <c r="AI306" i="24"/>
  <c r="AH306" i="24" s="1"/>
  <c r="AG306" i="24" s="1"/>
  <c r="AF306" i="24" s="1"/>
  <c r="AD306" i="24" s="1"/>
  <c r="AI308" i="24"/>
  <c r="AH308" i="24" s="1"/>
  <c r="AG308" i="24" s="1"/>
  <c r="AF308" i="24" s="1"/>
  <c r="AD308" i="24" s="1"/>
  <c r="AI310" i="24"/>
  <c r="AH310" i="24" s="1"/>
  <c r="AG310" i="24" s="1"/>
  <c r="AF310" i="24" s="1"/>
  <c r="AD310" i="24" s="1"/>
  <c r="AI312" i="24"/>
  <c r="AH312" i="24" s="1"/>
  <c r="AG312" i="24" s="1"/>
  <c r="AF312" i="24" s="1"/>
  <c r="AD312" i="24" s="1"/>
  <c r="AI314" i="24"/>
  <c r="AH314" i="24" s="1"/>
  <c r="AG314" i="24" s="1"/>
  <c r="AF314" i="24" s="1"/>
  <c r="AD314" i="24" s="1"/>
  <c r="AI316" i="24"/>
  <c r="AH316" i="24" s="1"/>
  <c r="AG316" i="24" s="1"/>
  <c r="AF316" i="24" s="1"/>
  <c r="AD316" i="24" s="1"/>
  <c r="AI318" i="24"/>
  <c r="AH318" i="24" s="1"/>
  <c r="AG318" i="24" s="1"/>
  <c r="AF318" i="24" s="1"/>
  <c r="AD318" i="24" s="1"/>
  <c r="AI320" i="24"/>
  <c r="AH320" i="24" s="1"/>
  <c r="AG320" i="24" s="1"/>
  <c r="AF320" i="24" s="1"/>
  <c r="AD320" i="24" s="1"/>
  <c r="AI322" i="24"/>
  <c r="AH322" i="24" s="1"/>
  <c r="AG322" i="24" s="1"/>
  <c r="AF322" i="24" s="1"/>
  <c r="AD322" i="24" s="1"/>
  <c r="AI324" i="24"/>
  <c r="AH324" i="24" s="1"/>
  <c r="AG324" i="24" s="1"/>
  <c r="AF324" i="24" s="1"/>
  <c r="AD324" i="24" s="1"/>
  <c r="AI326" i="24"/>
  <c r="AH326" i="24" s="1"/>
  <c r="AG326" i="24" s="1"/>
  <c r="AF326" i="24" s="1"/>
  <c r="AD326" i="24" s="1"/>
  <c r="AI328" i="24"/>
  <c r="AH328" i="24" s="1"/>
  <c r="AG328" i="24" s="1"/>
  <c r="AF328" i="24" s="1"/>
  <c r="AD328" i="24" s="1"/>
  <c r="AI330" i="24"/>
  <c r="AH330" i="24" s="1"/>
  <c r="AG330" i="24" s="1"/>
  <c r="AF330" i="24" s="1"/>
  <c r="AD330" i="24" s="1"/>
  <c r="AI332" i="24"/>
  <c r="AH332" i="24" s="1"/>
  <c r="AG332" i="24" s="1"/>
  <c r="AF332" i="24" s="1"/>
  <c r="AD332" i="24" s="1"/>
  <c r="AI334" i="24"/>
  <c r="AH334" i="24" s="1"/>
  <c r="AI336" i="24"/>
  <c r="AH336" i="24" s="1"/>
  <c r="AG336" i="24" s="1"/>
  <c r="AF336" i="24" s="1"/>
  <c r="AD336" i="24" s="1"/>
  <c r="AI338" i="24"/>
  <c r="AH338" i="24" s="1"/>
  <c r="AG338" i="24" s="1"/>
  <c r="AF338" i="24" s="1"/>
  <c r="AD338" i="24" s="1"/>
  <c r="AI340" i="24"/>
  <c r="AH340" i="24" s="1"/>
  <c r="AG340" i="24" s="1"/>
  <c r="AF340" i="24" s="1"/>
  <c r="AD340" i="24" s="1"/>
  <c r="AI342" i="24"/>
  <c r="AH342" i="24" s="1"/>
  <c r="AG342" i="24" s="1"/>
  <c r="AF342" i="24" s="1"/>
  <c r="AD342" i="24" s="1"/>
  <c r="AI344" i="24"/>
  <c r="AH344" i="24" s="1"/>
  <c r="AG344" i="24" s="1"/>
  <c r="AF344" i="24" s="1"/>
  <c r="AD344" i="24" s="1"/>
  <c r="AI346" i="24"/>
  <c r="AH346" i="24" s="1"/>
  <c r="AG346" i="24" s="1"/>
  <c r="AF346" i="24" s="1"/>
  <c r="AD346" i="24" s="1"/>
  <c r="AI348" i="24"/>
  <c r="AH348" i="24" s="1"/>
  <c r="AG348" i="24" s="1"/>
  <c r="AF348" i="24" s="1"/>
  <c r="AD348" i="24" s="1"/>
  <c r="AI350" i="24"/>
  <c r="AH350" i="24" s="1"/>
  <c r="AG350" i="24" s="1"/>
  <c r="AF350" i="24" s="1"/>
  <c r="AD350" i="24" s="1"/>
  <c r="AI352" i="24"/>
  <c r="AH352" i="24" s="1"/>
  <c r="AG352" i="24" s="1"/>
  <c r="AF352" i="24" s="1"/>
  <c r="AD352" i="24" s="1"/>
  <c r="U379" i="24"/>
  <c r="AZ16" i="7" s="1"/>
  <c r="BF11" i="7" s="1"/>
  <c r="U11" i="25" s="1"/>
  <c r="U377" i="24"/>
  <c r="T377" i="24" s="1"/>
  <c r="S377" i="24" s="1"/>
  <c r="R377" i="24" s="1"/>
  <c r="P377" i="24" s="1"/>
  <c r="V377" i="24" s="1"/>
  <c r="U375" i="24"/>
  <c r="T375" i="24" s="1"/>
  <c r="S375" i="24" s="1"/>
  <c r="R375" i="24" s="1"/>
  <c r="P375" i="24" s="1"/>
  <c r="V375" i="24" s="1"/>
  <c r="U373" i="24"/>
  <c r="T373" i="24" s="1"/>
  <c r="S373" i="24" s="1"/>
  <c r="R373" i="24" s="1"/>
  <c r="P373" i="24" s="1"/>
  <c r="V373" i="24" s="1"/>
  <c r="U371" i="24"/>
  <c r="T371" i="24" s="1"/>
  <c r="S371" i="24" s="1"/>
  <c r="R371" i="24" s="1"/>
  <c r="P371" i="24" s="1"/>
  <c r="V371" i="24" s="1"/>
  <c r="U369" i="24"/>
  <c r="T369" i="24" s="1"/>
  <c r="S369" i="24" s="1"/>
  <c r="R369" i="24" s="1"/>
  <c r="P369" i="24" s="1"/>
  <c r="V369" i="24" s="1"/>
  <c r="U367" i="24"/>
  <c r="T367" i="24" s="1"/>
  <c r="S367" i="24" s="1"/>
  <c r="R367" i="24" s="1"/>
  <c r="P367" i="24" s="1"/>
  <c r="V367" i="24" s="1"/>
  <c r="U365" i="24"/>
  <c r="T365" i="24" s="1"/>
  <c r="S365" i="24" s="1"/>
  <c r="R365" i="24" s="1"/>
  <c r="P365" i="24" s="1"/>
  <c r="V365" i="24" s="1"/>
  <c r="U363" i="24"/>
  <c r="T363" i="24" s="1"/>
  <c r="S363" i="24" s="1"/>
  <c r="R363" i="24" s="1"/>
  <c r="P363" i="24" s="1"/>
  <c r="U361" i="24"/>
  <c r="T361" i="24" s="1"/>
  <c r="S361" i="24" s="1"/>
  <c r="R361" i="24" s="1"/>
  <c r="P361" i="24" s="1"/>
  <c r="V361" i="24" s="1"/>
  <c r="U359" i="24"/>
  <c r="T359" i="24" s="1"/>
  <c r="S359" i="24" s="1"/>
  <c r="R359" i="24" s="1"/>
  <c r="P359" i="24" s="1"/>
  <c r="V359" i="24" s="1"/>
  <c r="U357" i="24"/>
  <c r="T357" i="24" s="1"/>
  <c r="S357" i="24" s="1"/>
  <c r="R357" i="24" s="1"/>
  <c r="P357" i="24" s="1"/>
  <c r="V357" i="24" s="1"/>
  <c r="U355" i="24"/>
  <c r="T355" i="24" s="1"/>
  <c r="S355" i="24" s="1"/>
  <c r="R355" i="24" s="1"/>
  <c r="P355" i="24" s="1"/>
  <c r="V355" i="24" s="1"/>
  <c r="U353" i="24"/>
  <c r="T353" i="24" s="1"/>
  <c r="S353" i="24" s="1"/>
  <c r="R353" i="24" s="1"/>
  <c r="P353" i="24" s="1"/>
  <c r="V353" i="24" s="1"/>
  <c r="U351" i="24"/>
  <c r="T351" i="24" s="1"/>
  <c r="S351" i="24" s="1"/>
  <c r="R351" i="24" s="1"/>
  <c r="P351" i="24" s="1"/>
  <c r="V351" i="24" s="1"/>
  <c r="U349" i="24"/>
  <c r="T349" i="24" s="1"/>
  <c r="S349" i="24" s="1"/>
  <c r="R349" i="24" s="1"/>
  <c r="P349" i="24" s="1"/>
  <c r="V349" i="24" s="1"/>
  <c r="U347" i="24"/>
  <c r="T347" i="24" s="1"/>
  <c r="S347" i="24" s="1"/>
  <c r="R347" i="24" s="1"/>
  <c r="P347" i="24" s="1"/>
  <c r="V347" i="24" s="1"/>
  <c r="U345" i="24"/>
  <c r="T345" i="24" s="1"/>
  <c r="S345" i="24" s="1"/>
  <c r="R345" i="24" s="1"/>
  <c r="P345" i="24" s="1"/>
  <c r="V345" i="24" s="1"/>
  <c r="U343" i="24"/>
  <c r="T343" i="24" s="1"/>
  <c r="S343" i="24" s="1"/>
  <c r="R343" i="24" s="1"/>
  <c r="P343" i="24" s="1"/>
  <c r="V343" i="24" s="1"/>
  <c r="U341" i="24"/>
  <c r="T341" i="24" s="1"/>
  <c r="S341" i="24" s="1"/>
  <c r="R341" i="24" s="1"/>
  <c r="P341" i="24" s="1"/>
  <c r="V341" i="24" s="1"/>
  <c r="U339" i="24"/>
  <c r="T339" i="24" s="1"/>
  <c r="S339" i="24" s="1"/>
  <c r="R339" i="24" s="1"/>
  <c r="P339" i="24" s="1"/>
  <c r="V339" i="24" s="1"/>
  <c r="U337" i="24"/>
  <c r="T337" i="24" s="1"/>
  <c r="S337" i="24" s="1"/>
  <c r="R337" i="24" s="1"/>
  <c r="P337" i="24" s="1"/>
  <c r="V337" i="24" s="1"/>
  <c r="U335" i="24"/>
  <c r="T335" i="24" s="1"/>
  <c r="S335" i="24" s="1"/>
  <c r="R335" i="24" s="1"/>
  <c r="P335" i="24" s="1"/>
  <c r="V335" i="24" s="1"/>
  <c r="U333" i="24"/>
  <c r="T333" i="24" s="1"/>
  <c r="S333" i="24" s="1"/>
  <c r="R333" i="24" s="1"/>
  <c r="P333" i="24" s="1"/>
  <c r="V333" i="24" s="1"/>
  <c r="U331" i="24"/>
  <c r="T331" i="24" s="1"/>
  <c r="S331" i="24" s="1"/>
  <c r="R331" i="24" s="1"/>
  <c r="P331" i="24" s="1"/>
  <c r="V331" i="24" s="1"/>
  <c r="U329" i="24"/>
  <c r="T329" i="24" s="1"/>
  <c r="S329" i="24" s="1"/>
  <c r="R329" i="24" s="1"/>
  <c r="P329" i="24" s="1"/>
  <c r="V329" i="24" s="1"/>
  <c r="U327" i="24"/>
  <c r="T327" i="24" s="1"/>
  <c r="S327" i="24" s="1"/>
  <c r="R327" i="24" s="1"/>
  <c r="P327" i="24" s="1"/>
  <c r="V327" i="24" s="1"/>
  <c r="U325" i="24"/>
  <c r="T325" i="24" s="1"/>
  <c r="S325" i="24" s="1"/>
  <c r="R325" i="24" s="1"/>
  <c r="P325" i="24" s="1"/>
  <c r="V325" i="24" s="1"/>
  <c r="U323" i="24"/>
  <c r="T323" i="24" s="1"/>
  <c r="S323" i="24" s="1"/>
  <c r="R323" i="24" s="1"/>
  <c r="P323" i="24" s="1"/>
  <c r="V323" i="24" s="1"/>
  <c r="U321" i="24"/>
  <c r="T321" i="24" s="1"/>
  <c r="S321" i="24" s="1"/>
  <c r="R321" i="24" s="1"/>
  <c r="P321" i="24" s="1"/>
  <c r="V321" i="24" s="1"/>
  <c r="U319" i="24"/>
  <c r="T319" i="24" s="1"/>
  <c r="U317" i="24"/>
  <c r="T317" i="24" s="1"/>
  <c r="S317" i="24" s="1"/>
  <c r="R317" i="24" s="1"/>
  <c r="P317" i="24" s="1"/>
  <c r="V317" i="24" s="1"/>
  <c r="U315" i="24"/>
  <c r="T315" i="24" s="1"/>
  <c r="S315" i="24" s="1"/>
  <c r="R315" i="24" s="1"/>
  <c r="P315" i="24" s="1"/>
  <c r="V315" i="24" s="1"/>
  <c r="U313" i="24"/>
  <c r="T313" i="24" s="1"/>
  <c r="S313" i="24" s="1"/>
  <c r="R313" i="24" s="1"/>
  <c r="P313" i="24" s="1"/>
  <c r="V313" i="24" s="1"/>
  <c r="U311" i="24"/>
  <c r="T311" i="24" s="1"/>
  <c r="S311" i="24" s="1"/>
  <c r="R311" i="24" s="1"/>
  <c r="P311" i="24" s="1"/>
  <c r="V311" i="24" s="1"/>
  <c r="U309" i="24"/>
  <c r="T309" i="24" s="1"/>
  <c r="S309" i="24" s="1"/>
  <c r="R309" i="24" s="1"/>
  <c r="P309" i="24" s="1"/>
  <c r="V309" i="24" s="1"/>
  <c r="U307" i="24"/>
  <c r="T307" i="24" s="1"/>
  <c r="S307" i="24" s="1"/>
  <c r="R307" i="24" s="1"/>
  <c r="P307" i="24" s="1"/>
  <c r="V307" i="24" s="1"/>
  <c r="U305" i="24"/>
  <c r="T305" i="24" s="1"/>
  <c r="S305" i="24" s="1"/>
  <c r="R305" i="24" s="1"/>
  <c r="P305" i="24" s="1"/>
  <c r="V305" i="24" s="1"/>
  <c r="U303" i="24"/>
  <c r="T303" i="24" s="1"/>
  <c r="S303" i="24" s="1"/>
  <c r="R303" i="24" s="1"/>
  <c r="P303" i="24" s="1"/>
  <c r="V303" i="24" s="1"/>
  <c r="U301" i="24"/>
  <c r="T301" i="24" s="1"/>
  <c r="S301" i="24" s="1"/>
  <c r="R301" i="24" s="1"/>
  <c r="P301" i="24" s="1"/>
  <c r="V301" i="24" s="1"/>
  <c r="U299" i="24"/>
  <c r="T299" i="24" s="1"/>
  <c r="S299" i="24" s="1"/>
  <c r="R299" i="24" s="1"/>
  <c r="P299" i="24" s="1"/>
  <c r="V299" i="24" s="1"/>
  <c r="U297" i="24"/>
  <c r="T297" i="24" s="1"/>
  <c r="S297" i="24" s="1"/>
  <c r="R297" i="24" s="1"/>
  <c r="P297" i="24" s="1"/>
  <c r="V297" i="24" s="1"/>
  <c r="U295" i="24"/>
  <c r="T295" i="24" s="1"/>
  <c r="S295" i="24" s="1"/>
  <c r="R295" i="24" s="1"/>
  <c r="P295" i="24" s="1"/>
  <c r="V295" i="24" s="1"/>
  <c r="U293" i="24"/>
  <c r="T293" i="24" s="1"/>
  <c r="S293" i="24" s="1"/>
  <c r="R293" i="24" s="1"/>
  <c r="P293" i="24" s="1"/>
  <c r="V293" i="24" s="1"/>
  <c r="U291" i="24"/>
  <c r="T291" i="24" s="1"/>
  <c r="S291" i="24" s="1"/>
  <c r="R291" i="24" s="1"/>
  <c r="P291" i="24" s="1"/>
  <c r="V291" i="24" s="1"/>
  <c r="U289" i="24"/>
  <c r="T289" i="24" s="1"/>
  <c r="S289" i="24" s="1"/>
  <c r="R289" i="24" s="1"/>
  <c r="P289" i="24" s="1"/>
  <c r="V289" i="24" s="1"/>
  <c r="U287" i="24"/>
  <c r="T287" i="24" s="1"/>
  <c r="S287" i="24" s="1"/>
  <c r="R287" i="24" s="1"/>
  <c r="P287" i="24" s="1"/>
  <c r="V287" i="24" s="1"/>
  <c r="U285" i="24"/>
  <c r="T285" i="24" s="1"/>
  <c r="S285" i="24" s="1"/>
  <c r="R285" i="24" s="1"/>
  <c r="P285" i="24" s="1"/>
  <c r="V285" i="24" s="1"/>
  <c r="U283" i="24"/>
  <c r="T283" i="24" s="1"/>
  <c r="S283" i="24" s="1"/>
  <c r="R283" i="24" s="1"/>
  <c r="P283" i="24" s="1"/>
  <c r="V283" i="24" s="1"/>
  <c r="U281" i="24"/>
  <c r="T281" i="24" s="1"/>
  <c r="S281" i="24" s="1"/>
  <c r="R281" i="24" s="1"/>
  <c r="P281" i="24" s="1"/>
  <c r="V281" i="24" s="1"/>
  <c r="U279" i="24"/>
  <c r="T279" i="24" s="1"/>
  <c r="S279" i="24" s="1"/>
  <c r="R279" i="24" s="1"/>
  <c r="P279" i="24" s="1"/>
  <c r="V279" i="24" s="1"/>
  <c r="U277" i="24"/>
  <c r="T277" i="24" s="1"/>
  <c r="S277" i="24" s="1"/>
  <c r="R277" i="24" s="1"/>
  <c r="P277" i="24" s="1"/>
  <c r="V277" i="24" s="1"/>
  <c r="U275" i="24"/>
  <c r="T275" i="24" s="1"/>
  <c r="S275" i="24" s="1"/>
  <c r="R275" i="24" s="1"/>
  <c r="P275" i="24" s="1"/>
  <c r="V275" i="24" s="1"/>
  <c r="U273" i="24"/>
  <c r="T273" i="24" s="1"/>
  <c r="S273" i="24" s="1"/>
  <c r="R273" i="24" s="1"/>
  <c r="P273" i="24" s="1"/>
  <c r="V273" i="24" s="1"/>
  <c r="U271" i="24"/>
  <c r="T271" i="24" s="1"/>
  <c r="S271" i="24" s="1"/>
  <c r="R271" i="24" s="1"/>
  <c r="P271" i="24" s="1"/>
  <c r="V271" i="24" s="1"/>
  <c r="U269" i="24"/>
  <c r="T269" i="24" s="1"/>
  <c r="S269" i="24" s="1"/>
  <c r="R269" i="24" s="1"/>
  <c r="P269" i="24" s="1"/>
  <c r="V269" i="24" s="1"/>
  <c r="U267" i="24"/>
  <c r="T267" i="24" s="1"/>
  <c r="S267" i="24" s="1"/>
  <c r="R267" i="24" s="1"/>
  <c r="P267" i="24" s="1"/>
  <c r="V267" i="24" s="1"/>
  <c r="U265" i="24"/>
  <c r="T265" i="24" s="1"/>
  <c r="S265" i="24" s="1"/>
  <c r="R265" i="24" s="1"/>
  <c r="P265" i="24" s="1"/>
  <c r="V265" i="24" s="1"/>
  <c r="U263" i="24"/>
  <c r="T263" i="24" s="1"/>
  <c r="S263" i="24" s="1"/>
  <c r="R263" i="24" s="1"/>
  <c r="P263" i="24" s="1"/>
  <c r="V263" i="24" s="1"/>
  <c r="U261" i="24"/>
  <c r="T261" i="24" s="1"/>
  <c r="S261" i="24" s="1"/>
  <c r="R261" i="24" s="1"/>
  <c r="P261" i="24" s="1"/>
  <c r="V261" i="24" s="1"/>
  <c r="U259" i="24"/>
  <c r="T259" i="24" s="1"/>
  <c r="S259" i="24" s="1"/>
  <c r="R259" i="24" s="1"/>
  <c r="P259" i="24" s="1"/>
  <c r="V259" i="24" s="1"/>
  <c r="U257" i="24"/>
  <c r="T257" i="24" s="1"/>
  <c r="S257" i="24" s="1"/>
  <c r="R257" i="24" s="1"/>
  <c r="P257" i="24" s="1"/>
  <c r="V257" i="24" s="1"/>
  <c r="U255" i="24"/>
  <c r="T255" i="24" s="1"/>
  <c r="S255" i="24" s="1"/>
  <c r="R255" i="24" s="1"/>
  <c r="P255" i="24" s="1"/>
  <c r="V255" i="24" s="1"/>
  <c r="U253" i="24"/>
  <c r="T253" i="24" s="1"/>
  <c r="S253" i="24" s="1"/>
  <c r="R253" i="24" s="1"/>
  <c r="P253" i="24" s="1"/>
  <c r="V253" i="24" s="1"/>
  <c r="U251" i="24"/>
  <c r="T251" i="24" s="1"/>
  <c r="S251" i="24" s="1"/>
  <c r="R251" i="24" s="1"/>
  <c r="P251" i="24" s="1"/>
  <c r="V251" i="24" s="1"/>
  <c r="U249" i="24"/>
  <c r="T249" i="24" s="1"/>
  <c r="S249" i="24" s="1"/>
  <c r="R249" i="24" s="1"/>
  <c r="P249" i="24" s="1"/>
  <c r="V249" i="24" s="1"/>
  <c r="U247" i="24"/>
  <c r="T247" i="24" s="1"/>
  <c r="S247" i="24" s="1"/>
  <c r="R247" i="24" s="1"/>
  <c r="P247" i="24" s="1"/>
  <c r="V247" i="24" s="1"/>
  <c r="U245" i="24"/>
  <c r="T245" i="24" s="1"/>
  <c r="S245" i="24" s="1"/>
  <c r="R245" i="24" s="1"/>
  <c r="P245" i="24" s="1"/>
  <c r="V245" i="24" s="1"/>
  <c r="U243" i="24"/>
  <c r="T243" i="24" s="1"/>
  <c r="S243" i="24" s="1"/>
  <c r="R243" i="24" s="1"/>
  <c r="P243" i="24" s="1"/>
  <c r="V243" i="24" s="1"/>
  <c r="U241" i="24"/>
  <c r="T241" i="24" s="1"/>
  <c r="S241" i="24" s="1"/>
  <c r="R241" i="24" s="1"/>
  <c r="P241" i="24" s="1"/>
  <c r="V241" i="24" s="1"/>
  <c r="U239" i="24"/>
  <c r="T239" i="24" s="1"/>
  <c r="S239" i="24" s="1"/>
  <c r="R239" i="24" s="1"/>
  <c r="P239" i="24" s="1"/>
  <c r="V239" i="24" s="1"/>
  <c r="U237" i="24"/>
  <c r="T237" i="24" s="1"/>
  <c r="S237" i="24" s="1"/>
  <c r="R237" i="24" s="1"/>
  <c r="P237" i="24" s="1"/>
  <c r="V237" i="24" s="1"/>
  <c r="U235" i="24"/>
  <c r="T235" i="24" s="1"/>
  <c r="U233" i="24"/>
  <c r="T233" i="24" s="1"/>
  <c r="S233" i="24" s="1"/>
  <c r="R233" i="24" s="1"/>
  <c r="P233" i="24" s="1"/>
  <c r="V233" i="24" s="1"/>
  <c r="U231" i="24"/>
  <c r="T231" i="24" s="1"/>
  <c r="S231" i="24" s="1"/>
  <c r="R231" i="24" s="1"/>
  <c r="P231" i="24" s="1"/>
  <c r="V231" i="24" s="1"/>
  <c r="U229" i="24"/>
  <c r="T229" i="24" s="1"/>
  <c r="S229" i="24" s="1"/>
  <c r="R229" i="24" s="1"/>
  <c r="P229" i="24" s="1"/>
  <c r="V229" i="24" s="1"/>
  <c r="U227" i="24"/>
  <c r="T227" i="24" s="1"/>
  <c r="S227" i="24" s="1"/>
  <c r="R227" i="24" s="1"/>
  <c r="P227" i="24" s="1"/>
  <c r="V227" i="24" s="1"/>
  <c r="U225" i="24"/>
  <c r="T225" i="24" s="1"/>
  <c r="S225" i="24" s="1"/>
  <c r="R225" i="24" s="1"/>
  <c r="P225" i="24" s="1"/>
  <c r="V225" i="24" s="1"/>
  <c r="U223" i="24"/>
  <c r="T223" i="24" s="1"/>
  <c r="S223" i="24" s="1"/>
  <c r="R223" i="24" s="1"/>
  <c r="P223" i="24" s="1"/>
  <c r="V223" i="24" s="1"/>
  <c r="U221" i="24"/>
  <c r="T221" i="24" s="1"/>
  <c r="S221" i="24" s="1"/>
  <c r="R221" i="24" s="1"/>
  <c r="P221" i="24" s="1"/>
  <c r="V221" i="24" s="1"/>
  <c r="U219" i="24"/>
  <c r="T219" i="24" s="1"/>
  <c r="S219" i="24" s="1"/>
  <c r="R219" i="24" s="1"/>
  <c r="P219" i="24" s="1"/>
  <c r="V219" i="24" s="1"/>
  <c r="U217" i="24"/>
  <c r="T217" i="24" s="1"/>
  <c r="S217" i="24" s="1"/>
  <c r="R217" i="24" s="1"/>
  <c r="P217" i="24" s="1"/>
  <c r="V217" i="24" s="1"/>
  <c r="U215" i="24"/>
  <c r="T215" i="24" s="1"/>
  <c r="S215" i="24" s="1"/>
  <c r="R215" i="24" s="1"/>
  <c r="P215" i="24" s="1"/>
  <c r="V215" i="24" s="1"/>
  <c r="U213" i="24"/>
  <c r="T213" i="24" s="1"/>
  <c r="S213" i="24" s="1"/>
  <c r="R213" i="24" s="1"/>
  <c r="P213" i="24" s="1"/>
  <c r="V213" i="24" s="1"/>
  <c r="U211" i="24"/>
  <c r="T211" i="24" s="1"/>
  <c r="S211" i="24" s="1"/>
  <c r="R211" i="24" s="1"/>
  <c r="P211" i="24" s="1"/>
  <c r="V211" i="24" s="1"/>
  <c r="U209" i="24"/>
  <c r="T209" i="24" s="1"/>
  <c r="S209" i="24" s="1"/>
  <c r="R209" i="24" s="1"/>
  <c r="P209" i="24" s="1"/>
  <c r="V209" i="24" s="1"/>
  <c r="U207" i="24"/>
  <c r="T207" i="24" s="1"/>
  <c r="S207" i="24" s="1"/>
  <c r="R207" i="24" s="1"/>
  <c r="P207" i="24" s="1"/>
  <c r="V207" i="24" s="1"/>
  <c r="U205" i="24"/>
  <c r="T205" i="24" s="1"/>
  <c r="U203" i="24"/>
  <c r="T203" i="24" s="1"/>
  <c r="S203" i="24" s="1"/>
  <c r="R203" i="24" s="1"/>
  <c r="P203" i="24" s="1"/>
  <c r="V203" i="24" s="1"/>
  <c r="U201" i="24"/>
  <c r="T201" i="24" s="1"/>
  <c r="S201" i="24" s="1"/>
  <c r="R201" i="24" s="1"/>
  <c r="P201" i="24" s="1"/>
  <c r="V201" i="24" s="1"/>
  <c r="U199" i="24"/>
  <c r="T199" i="24" s="1"/>
  <c r="S199" i="24" s="1"/>
  <c r="R199" i="24" s="1"/>
  <c r="P199" i="24" s="1"/>
  <c r="V199" i="24" s="1"/>
  <c r="U197" i="24"/>
  <c r="T197" i="24" s="1"/>
  <c r="S197" i="24" s="1"/>
  <c r="R197" i="24" s="1"/>
  <c r="P197" i="24" s="1"/>
  <c r="V197" i="24" s="1"/>
  <c r="U195" i="24"/>
  <c r="T195" i="24" s="1"/>
  <c r="S195" i="24" s="1"/>
  <c r="R195" i="24" s="1"/>
  <c r="P195" i="24" s="1"/>
  <c r="V195" i="24" s="1"/>
  <c r="U193" i="24"/>
  <c r="T193" i="24" s="1"/>
  <c r="S193" i="24" s="1"/>
  <c r="R193" i="24" s="1"/>
  <c r="P193" i="24" s="1"/>
  <c r="V193" i="24" s="1"/>
  <c r="U191" i="24"/>
  <c r="T191" i="24" s="1"/>
  <c r="S191" i="24" s="1"/>
  <c r="R191" i="24" s="1"/>
  <c r="P191" i="24" s="1"/>
  <c r="V191" i="24" s="1"/>
  <c r="U189" i="24"/>
  <c r="T189" i="24" s="1"/>
  <c r="S189" i="24" s="1"/>
  <c r="R189" i="24" s="1"/>
  <c r="P189" i="24" s="1"/>
  <c r="V189" i="24" s="1"/>
  <c r="U187" i="24"/>
  <c r="T187" i="24" s="1"/>
  <c r="S187" i="24" s="1"/>
  <c r="R187" i="24" s="1"/>
  <c r="P187" i="24" s="1"/>
  <c r="V187" i="24" s="1"/>
  <c r="U185" i="24"/>
  <c r="T185" i="24" s="1"/>
  <c r="S185" i="24" s="1"/>
  <c r="R185" i="24" s="1"/>
  <c r="P185" i="24" s="1"/>
  <c r="V185" i="24" s="1"/>
  <c r="U183" i="24"/>
  <c r="T183" i="24" s="1"/>
  <c r="S183" i="24" s="1"/>
  <c r="R183" i="24" s="1"/>
  <c r="P183" i="24" s="1"/>
  <c r="V183" i="24" s="1"/>
  <c r="U181" i="24"/>
  <c r="T181" i="24" s="1"/>
  <c r="S181" i="24" s="1"/>
  <c r="R181" i="24" s="1"/>
  <c r="P181" i="24" s="1"/>
  <c r="V181" i="24" s="1"/>
  <c r="U179" i="24"/>
  <c r="T179" i="24" s="1"/>
  <c r="S179" i="24" s="1"/>
  <c r="R179" i="24" s="1"/>
  <c r="P179" i="24" s="1"/>
  <c r="V179" i="24" s="1"/>
  <c r="U177" i="24"/>
  <c r="T177" i="24" s="1"/>
  <c r="S177" i="24" s="1"/>
  <c r="R177" i="24" s="1"/>
  <c r="P177" i="24" s="1"/>
  <c r="V177" i="24" s="1"/>
  <c r="U175" i="24"/>
  <c r="T175" i="24" s="1"/>
  <c r="S175" i="24" s="1"/>
  <c r="R175" i="24" s="1"/>
  <c r="P175" i="24" s="1"/>
  <c r="V175" i="24" s="1"/>
  <c r="U173" i="24"/>
  <c r="T173" i="24" s="1"/>
  <c r="S173" i="24" s="1"/>
  <c r="R173" i="24" s="1"/>
  <c r="P173" i="24" s="1"/>
  <c r="V173" i="24" s="1"/>
  <c r="U171" i="24"/>
  <c r="T171" i="24" s="1"/>
  <c r="S171" i="24" s="1"/>
  <c r="R171" i="24" s="1"/>
  <c r="P171" i="24" s="1"/>
  <c r="V171" i="24" s="1"/>
  <c r="U169" i="24"/>
  <c r="T169" i="24" s="1"/>
  <c r="S169" i="24" s="1"/>
  <c r="R169" i="24" s="1"/>
  <c r="P169" i="24" s="1"/>
  <c r="V169" i="24" s="1"/>
  <c r="U167" i="24"/>
  <c r="T167" i="24" s="1"/>
  <c r="S167" i="24" s="1"/>
  <c r="R167" i="24" s="1"/>
  <c r="P167" i="24" s="1"/>
  <c r="V167" i="24" s="1"/>
  <c r="U165" i="24"/>
  <c r="T165" i="24" s="1"/>
  <c r="S165" i="24" s="1"/>
  <c r="R165" i="24" s="1"/>
  <c r="P165" i="24" s="1"/>
  <c r="V165" i="24" s="1"/>
  <c r="U163" i="24"/>
  <c r="T163" i="24" s="1"/>
  <c r="U161" i="24"/>
  <c r="T161" i="24" s="1"/>
  <c r="S161" i="24" s="1"/>
  <c r="R161" i="24" s="1"/>
  <c r="P161" i="24" s="1"/>
  <c r="V161" i="24" s="1"/>
  <c r="U159" i="24"/>
  <c r="T159" i="24" s="1"/>
  <c r="S159" i="24" s="1"/>
  <c r="R159" i="24" s="1"/>
  <c r="P159" i="24" s="1"/>
  <c r="V159" i="24" s="1"/>
  <c r="U157" i="24"/>
  <c r="T157" i="24" s="1"/>
  <c r="S157" i="24" s="1"/>
  <c r="R157" i="24" s="1"/>
  <c r="P157" i="24" s="1"/>
  <c r="V157" i="24" s="1"/>
  <c r="U155" i="24"/>
  <c r="T155" i="24" s="1"/>
  <c r="S155" i="24" s="1"/>
  <c r="R155" i="24" s="1"/>
  <c r="P155" i="24" s="1"/>
  <c r="V155" i="24" s="1"/>
  <c r="U153" i="24"/>
  <c r="T153" i="24" s="1"/>
  <c r="S153" i="24" s="1"/>
  <c r="R153" i="24" s="1"/>
  <c r="P153" i="24" s="1"/>
  <c r="V153" i="24" s="1"/>
  <c r="U151" i="24"/>
  <c r="T151" i="24" s="1"/>
  <c r="S151" i="24" s="1"/>
  <c r="R151" i="24" s="1"/>
  <c r="P151" i="24" s="1"/>
  <c r="V151" i="24" s="1"/>
  <c r="U149" i="24"/>
  <c r="T149" i="24" s="1"/>
  <c r="S149" i="24" s="1"/>
  <c r="R149" i="24" s="1"/>
  <c r="P149" i="24" s="1"/>
  <c r="V149" i="24" s="1"/>
  <c r="U147" i="24"/>
  <c r="T147" i="24" s="1"/>
  <c r="S147" i="24" s="1"/>
  <c r="R147" i="24" s="1"/>
  <c r="P147" i="24" s="1"/>
  <c r="V147" i="24" s="1"/>
  <c r="U145" i="24"/>
  <c r="T145" i="24" s="1"/>
  <c r="U143" i="24"/>
  <c r="T143" i="24" s="1"/>
  <c r="S143" i="24" s="1"/>
  <c r="R143" i="24" s="1"/>
  <c r="P143" i="24" s="1"/>
  <c r="V143" i="24" s="1"/>
  <c r="U141" i="24"/>
  <c r="T141" i="24" s="1"/>
  <c r="S141" i="24" s="1"/>
  <c r="R141" i="24" s="1"/>
  <c r="P141" i="24" s="1"/>
  <c r="V141" i="24" s="1"/>
  <c r="U139" i="24"/>
  <c r="T139" i="24" s="1"/>
  <c r="S139" i="24" s="1"/>
  <c r="R139" i="24" s="1"/>
  <c r="P139" i="24" s="1"/>
  <c r="V139" i="24" s="1"/>
  <c r="U137" i="24"/>
  <c r="T137" i="24" s="1"/>
  <c r="S137" i="24" s="1"/>
  <c r="R137" i="24" s="1"/>
  <c r="P137" i="24" s="1"/>
  <c r="V137" i="24" s="1"/>
  <c r="U135" i="24"/>
  <c r="T135" i="24" s="1"/>
  <c r="S135" i="24" s="1"/>
  <c r="R135" i="24" s="1"/>
  <c r="P135" i="24" s="1"/>
  <c r="V135" i="24" s="1"/>
  <c r="U133" i="24"/>
  <c r="T133" i="24" s="1"/>
  <c r="S133" i="24" s="1"/>
  <c r="R133" i="24" s="1"/>
  <c r="P133" i="24" s="1"/>
  <c r="V133" i="24" s="1"/>
  <c r="U131" i="24"/>
  <c r="T131" i="24" s="1"/>
  <c r="S131" i="24" s="1"/>
  <c r="R131" i="24" s="1"/>
  <c r="P131" i="24" s="1"/>
  <c r="V131" i="24" s="1"/>
  <c r="U129" i="24"/>
  <c r="T129" i="24" s="1"/>
  <c r="S129" i="24" s="1"/>
  <c r="R129" i="24" s="1"/>
  <c r="P129" i="24" s="1"/>
  <c r="V129" i="24" s="1"/>
  <c r="U127" i="24"/>
  <c r="T127" i="24" s="1"/>
  <c r="S127" i="24" s="1"/>
  <c r="R127" i="24" s="1"/>
  <c r="P127" i="24" s="1"/>
  <c r="V127" i="24" s="1"/>
  <c r="U125" i="24"/>
  <c r="T125" i="24" s="1"/>
  <c r="S125" i="24" s="1"/>
  <c r="R125" i="24" s="1"/>
  <c r="P125" i="24" s="1"/>
  <c r="V125" i="24" s="1"/>
  <c r="U123" i="24"/>
  <c r="T123" i="24" s="1"/>
  <c r="U121" i="24"/>
  <c r="T121" i="24" s="1"/>
  <c r="S121" i="24" s="1"/>
  <c r="R121" i="24" s="1"/>
  <c r="P121" i="24" s="1"/>
  <c r="V121" i="24" s="1"/>
  <c r="U119" i="24"/>
  <c r="T119" i="24" s="1"/>
  <c r="S119" i="24" s="1"/>
  <c r="R119" i="24" s="1"/>
  <c r="P119" i="24" s="1"/>
  <c r="V119" i="24" s="1"/>
  <c r="U117" i="24"/>
  <c r="T117" i="24" s="1"/>
  <c r="S117" i="24" s="1"/>
  <c r="R117" i="24" s="1"/>
  <c r="P117" i="24" s="1"/>
  <c r="V117" i="24" s="1"/>
  <c r="U115" i="24"/>
  <c r="T115" i="24" s="1"/>
  <c r="S115" i="24" s="1"/>
  <c r="R115" i="24" s="1"/>
  <c r="P115" i="24" s="1"/>
  <c r="V115" i="24" s="1"/>
  <c r="U113" i="24"/>
  <c r="T113" i="24" s="1"/>
  <c r="S113" i="24" s="1"/>
  <c r="R113" i="24" s="1"/>
  <c r="P113" i="24" s="1"/>
  <c r="V113" i="24" s="1"/>
  <c r="U111" i="24"/>
  <c r="T111" i="24" s="1"/>
  <c r="S111" i="24" s="1"/>
  <c r="R111" i="24" s="1"/>
  <c r="P111" i="24" s="1"/>
  <c r="V111" i="24" s="1"/>
  <c r="U109" i="24"/>
  <c r="T109" i="24" s="1"/>
  <c r="S109" i="24" s="1"/>
  <c r="R109" i="24" s="1"/>
  <c r="P109" i="24" s="1"/>
  <c r="V109" i="24" s="1"/>
  <c r="U107" i="24"/>
  <c r="T107" i="24" s="1"/>
  <c r="S107" i="24" s="1"/>
  <c r="R107" i="24" s="1"/>
  <c r="P107" i="24" s="1"/>
  <c r="V107" i="24" s="1"/>
  <c r="U105" i="24"/>
  <c r="T105" i="24" s="1"/>
  <c r="S105" i="24" s="1"/>
  <c r="R105" i="24" s="1"/>
  <c r="P105" i="24" s="1"/>
  <c r="V105" i="24" s="1"/>
  <c r="U103" i="24"/>
  <c r="T103" i="24" s="1"/>
  <c r="S103" i="24" s="1"/>
  <c r="R103" i="24" s="1"/>
  <c r="P103" i="24" s="1"/>
  <c r="V103" i="24" s="1"/>
  <c r="U101" i="24"/>
  <c r="T101" i="24" s="1"/>
  <c r="S101" i="24" s="1"/>
  <c r="R101" i="24" s="1"/>
  <c r="P101" i="24" s="1"/>
  <c r="V101" i="24" s="1"/>
  <c r="U99" i="24"/>
  <c r="T99" i="24" s="1"/>
  <c r="S99" i="24" s="1"/>
  <c r="R99" i="24" s="1"/>
  <c r="P99" i="24" s="1"/>
  <c r="V99" i="24" s="1"/>
  <c r="U97" i="24"/>
  <c r="T97" i="24" s="1"/>
  <c r="S97" i="24" s="1"/>
  <c r="R97" i="24" s="1"/>
  <c r="P97" i="24" s="1"/>
  <c r="V97" i="24" s="1"/>
  <c r="U95" i="24"/>
  <c r="T95" i="24" s="1"/>
  <c r="S95" i="24" s="1"/>
  <c r="R95" i="24" s="1"/>
  <c r="P95" i="24" s="1"/>
  <c r="V95" i="24" s="1"/>
  <c r="U93" i="24"/>
  <c r="T93" i="24" s="1"/>
  <c r="S93" i="24" s="1"/>
  <c r="R93" i="24" s="1"/>
  <c r="P93" i="24" s="1"/>
  <c r="V93" i="24" s="1"/>
  <c r="U91" i="24"/>
  <c r="T91" i="24" s="1"/>
  <c r="S91" i="24" s="1"/>
  <c r="R91" i="24" s="1"/>
  <c r="P91" i="24" s="1"/>
  <c r="V91" i="24" s="1"/>
  <c r="U89" i="24"/>
  <c r="T89" i="24" s="1"/>
  <c r="S89" i="24" s="1"/>
  <c r="R89" i="24" s="1"/>
  <c r="P89" i="24" s="1"/>
  <c r="V89" i="24" s="1"/>
  <c r="U87" i="24"/>
  <c r="T87" i="24" s="1"/>
  <c r="S87" i="24" s="1"/>
  <c r="R87" i="24" s="1"/>
  <c r="P87" i="24" s="1"/>
  <c r="V87" i="24" s="1"/>
  <c r="U85" i="24"/>
  <c r="T85" i="24" s="1"/>
  <c r="S85" i="24" s="1"/>
  <c r="R85" i="24" s="1"/>
  <c r="P85" i="24" s="1"/>
  <c r="V85" i="24" s="1"/>
  <c r="U83" i="24"/>
  <c r="T83" i="24" s="1"/>
  <c r="S83" i="24" s="1"/>
  <c r="R83" i="24" s="1"/>
  <c r="P83" i="24" s="1"/>
  <c r="V83" i="24" s="1"/>
  <c r="U81" i="24"/>
  <c r="T81" i="24" s="1"/>
  <c r="S81" i="24" s="1"/>
  <c r="R81" i="24" s="1"/>
  <c r="P81" i="24" s="1"/>
  <c r="V81" i="24" s="1"/>
  <c r="U79" i="24"/>
  <c r="T79" i="24" s="1"/>
  <c r="S79" i="24" s="1"/>
  <c r="R79" i="24" s="1"/>
  <c r="P79" i="24" s="1"/>
  <c r="V79" i="24" s="1"/>
  <c r="U77" i="24"/>
  <c r="T77" i="24" s="1"/>
  <c r="S77" i="24" s="1"/>
  <c r="R77" i="24" s="1"/>
  <c r="P77" i="24" s="1"/>
  <c r="V77" i="24" s="1"/>
  <c r="U75" i="24"/>
  <c r="T75" i="24" s="1"/>
  <c r="S75" i="24" s="1"/>
  <c r="R75" i="24" s="1"/>
  <c r="P75" i="24" s="1"/>
  <c r="V75" i="24" s="1"/>
  <c r="U73" i="24"/>
  <c r="T73" i="24" s="1"/>
  <c r="S73" i="24" s="1"/>
  <c r="R73" i="24" s="1"/>
  <c r="P73" i="24" s="1"/>
  <c r="V73" i="24" s="1"/>
  <c r="U71" i="24"/>
  <c r="T71" i="24" s="1"/>
  <c r="S71" i="24" s="1"/>
  <c r="R71" i="24" s="1"/>
  <c r="P71" i="24" s="1"/>
  <c r="V71" i="24" s="1"/>
  <c r="U69" i="24"/>
  <c r="T69" i="24" s="1"/>
  <c r="S69" i="24" s="1"/>
  <c r="R69" i="24" s="1"/>
  <c r="P69" i="24" s="1"/>
  <c r="V69" i="24" s="1"/>
  <c r="U67" i="24"/>
  <c r="T67" i="24" s="1"/>
  <c r="S67" i="24" s="1"/>
  <c r="R67" i="24" s="1"/>
  <c r="P67" i="24" s="1"/>
  <c r="V67" i="24" s="1"/>
  <c r="U65" i="24"/>
  <c r="T65" i="24" s="1"/>
  <c r="S65" i="24" s="1"/>
  <c r="R65" i="24" s="1"/>
  <c r="P65" i="24" s="1"/>
  <c r="V65" i="24" s="1"/>
  <c r="U63" i="24"/>
  <c r="T63" i="24" s="1"/>
  <c r="S63" i="24" s="1"/>
  <c r="R63" i="24" s="1"/>
  <c r="P63" i="24" s="1"/>
  <c r="V63" i="24" s="1"/>
  <c r="U61" i="24"/>
  <c r="T61" i="24" s="1"/>
  <c r="S61" i="24" s="1"/>
  <c r="R61" i="24" s="1"/>
  <c r="P61" i="24" s="1"/>
  <c r="V61" i="24" s="1"/>
  <c r="U59" i="24"/>
  <c r="T59" i="24" s="1"/>
  <c r="S59" i="24" s="1"/>
  <c r="R59" i="24" s="1"/>
  <c r="P59" i="24" s="1"/>
  <c r="V59" i="24" s="1"/>
  <c r="U57" i="24"/>
  <c r="T57" i="24" s="1"/>
  <c r="S57" i="24" s="1"/>
  <c r="R57" i="24" s="1"/>
  <c r="P57" i="24" s="1"/>
  <c r="V57" i="24" s="1"/>
  <c r="U55" i="24"/>
  <c r="T55" i="24" s="1"/>
  <c r="S55" i="24" s="1"/>
  <c r="R55" i="24" s="1"/>
  <c r="P55" i="24" s="1"/>
  <c r="V55" i="24" s="1"/>
  <c r="U53" i="24"/>
  <c r="T53" i="24" s="1"/>
  <c r="S53" i="24" s="1"/>
  <c r="R53" i="24" s="1"/>
  <c r="P53" i="24" s="1"/>
  <c r="V53" i="24" s="1"/>
  <c r="U51" i="24"/>
  <c r="T51" i="24" s="1"/>
  <c r="S51" i="24" s="1"/>
  <c r="R51" i="24" s="1"/>
  <c r="P51" i="24" s="1"/>
  <c r="V51" i="24" s="1"/>
  <c r="U49" i="24"/>
  <c r="T49" i="24" s="1"/>
  <c r="S49" i="24" s="1"/>
  <c r="R49" i="24" s="1"/>
  <c r="P49" i="24" s="1"/>
  <c r="V49" i="24" s="1"/>
  <c r="U47" i="24"/>
  <c r="T47" i="24" s="1"/>
  <c r="S47" i="24" s="1"/>
  <c r="R47" i="24" s="1"/>
  <c r="P47" i="24" s="1"/>
  <c r="V47" i="24" s="1"/>
  <c r="U45" i="24"/>
  <c r="T45" i="24" s="1"/>
  <c r="S45" i="24" s="1"/>
  <c r="R45" i="24" s="1"/>
  <c r="P45" i="24" s="1"/>
  <c r="V45" i="24" s="1"/>
  <c r="U43" i="24"/>
  <c r="T43" i="24" s="1"/>
  <c r="S43" i="24" s="1"/>
  <c r="R43" i="24" s="1"/>
  <c r="P43" i="24" s="1"/>
  <c r="V43" i="24" s="1"/>
  <c r="U41" i="24"/>
  <c r="T41" i="24" s="1"/>
  <c r="S41" i="24" s="1"/>
  <c r="R41" i="24" s="1"/>
  <c r="P41" i="24" s="1"/>
  <c r="V41" i="24" s="1"/>
  <c r="U39" i="24"/>
  <c r="T39" i="24" s="1"/>
  <c r="S39" i="24" s="1"/>
  <c r="R39" i="24" s="1"/>
  <c r="P39" i="24" s="1"/>
  <c r="V39" i="24" s="1"/>
  <c r="U37" i="24"/>
  <c r="T37" i="24" s="1"/>
  <c r="S37" i="24" s="1"/>
  <c r="R37" i="24" s="1"/>
  <c r="P37" i="24" s="1"/>
  <c r="V37" i="24" s="1"/>
  <c r="U35" i="24"/>
  <c r="T35" i="24" s="1"/>
  <c r="S35" i="24" s="1"/>
  <c r="R35" i="24" s="1"/>
  <c r="P35" i="24" s="1"/>
  <c r="V35" i="24" s="1"/>
  <c r="U33" i="24"/>
  <c r="T33" i="24" s="1"/>
  <c r="S33" i="24" s="1"/>
  <c r="R33" i="24" s="1"/>
  <c r="P33" i="24" s="1"/>
  <c r="V33" i="24" s="1"/>
  <c r="U31" i="24"/>
  <c r="T31" i="24" s="1"/>
  <c r="S31" i="24" s="1"/>
  <c r="R31" i="24" s="1"/>
  <c r="P31" i="24" s="1"/>
  <c r="V31" i="24" s="1"/>
  <c r="U29" i="24"/>
  <c r="T29" i="24" s="1"/>
  <c r="S29" i="24" s="1"/>
  <c r="R29" i="24" s="1"/>
  <c r="P29" i="24" s="1"/>
  <c r="V29" i="24" s="1"/>
  <c r="U27" i="24"/>
  <c r="T27" i="24" s="1"/>
  <c r="S27" i="24" s="1"/>
  <c r="R27" i="24" s="1"/>
  <c r="P27" i="24" s="1"/>
  <c r="V27" i="24" s="1"/>
  <c r="U21" i="24"/>
  <c r="T21" i="24" s="1"/>
  <c r="S21" i="24" s="1"/>
  <c r="R21" i="24" s="1"/>
  <c r="P21" i="24" s="1"/>
  <c r="V21" i="24" s="1"/>
  <c r="U18" i="24"/>
  <c r="T18" i="24" s="1"/>
  <c r="S18" i="24" s="1"/>
  <c r="R18" i="24" s="1"/>
  <c r="P18" i="24" s="1"/>
  <c r="V18" i="24" s="1"/>
  <c r="U19" i="24"/>
  <c r="T19" i="24" s="1"/>
  <c r="S19" i="24" s="1"/>
  <c r="R19" i="24" s="1"/>
  <c r="P19" i="24" s="1"/>
  <c r="V19" i="24" s="1"/>
  <c r="U16" i="24"/>
  <c r="T16" i="24" s="1"/>
  <c r="S16" i="24" s="1"/>
  <c r="R16" i="24" s="1"/>
  <c r="P16" i="24" s="1"/>
  <c r="V16" i="24" s="1"/>
  <c r="U24" i="24"/>
  <c r="T24" i="24" s="1"/>
  <c r="S24" i="24" s="1"/>
  <c r="R24" i="24" s="1"/>
  <c r="P24" i="24" s="1"/>
  <c r="V24" i="24" s="1"/>
  <c r="AI378" i="24"/>
  <c r="AH378" i="24" s="1"/>
  <c r="AG378" i="24" s="1"/>
  <c r="AF378" i="24" s="1"/>
  <c r="AD378" i="24" s="1"/>
  <c r="AI376" i="24"/>
  <c r="AH376" i="24" s="1"/>
  <c r="AG376" i="24" s="1"/>
  <c r="AF376" i="24" s="1"/>
  <c r="AD376" i="24" s="1"/>
  <c r="AI374" i="24"/>
  <c r="AH374" i="24" s="1"/>
  <c r="AG374" i="24" s="1"/>
  <c r="AF374" i="24" s="1"/>
  <c r="AD374" i="24" s="1"/>
  <c r="AI372" i="24"/>
  <c r="AH372" i="24" s="1"/>
  <c r="AG372" i="24" s="1"/>
  <c r="AF372" i="24" s="1"/>
  <c r="AD372" i="24" s="1"/>
  <c r="AI370" i="24"/>
  <c r="AH370" i="24" s="1"/>
  <c r="AG370" i="24" s="1"/>
  <c r="AF370" i="24" s="1"/>
  <c r="AD370" i="24" s="1"/>
  <c r="AI368" i="24"/>
  <c r="AH368" i="24" s="1"/>
  <c r="AG368" i="24" s="1"/>
  <c r="AF368" i="24" s="1"/>
  <c r="AD368" i="24" s="1"/>
  <c r="AI366" i="24"/>
  <c r="AH366" i="24" s="1"/>
  <c r="AG366" i="24" s="1"/>
  <c r="AF366" i="24" s="1"/>
  <c r="AD366" i="24" s="1"/>
  <c r="AI364" i="24"/>
  <c r="AH364" i="24" s="1"/>
  <c r="AG364" i="24" s="1"/>
  <c r="AF364" i="24" s="1"/>
  <c r="AD364" i="24" s="1"/>
  <c r="AI362" i="24"/>
  <c r="AH362" i="24" s="1"/>
  <c r="AG362" i="24" s="1"/>
  <c r="AF362" i="24" s="1"/>
  <c r="AD362" i="24" s="1"/>
  <c r="AI360" i="24"/>
  <c r="AH360" i="24" s="1"/>
  <c r="AG360" i="24" s="1"/>
  <c r="AF360" i="24" s="1"/>
  <c r="AD360" i="24" s="1"/>
  <c r="AI358" i="24"/>
  <c r="AH358" i="24" s="1"/>
  <c r="AG358" i="24" s="1"/>
  <c r="AF358" i="24" s="1"/>
  <c r="AD358" i="24" s="1"/>
  <c r="AI356" i="24"/>
  <c r="AH356" i="24" s="1"/>
  <c r="AG356" i="24" s="1"/>
  <c r="AF356" i="24" s="1"/>
  <c r="AD356" i="24" s="1"/>
  <c r="AI354" i="24"/>
  <c r="AH354" i="24" s="1"/>
  <c r="AG354" i="24" s="1"/>
  <c r="AF354" i="24" s="1"/>
  <c r="AD354" i="24" s="1"/>
  <c r="AI351" i="24"/>
  <c r="AH351" i="24" s="1"/>
  <c r="AG351" i="24" s="1"/>
  <c r="AF351" i="24" s="1"/>
  <c r="AD351" i="24" s="1"/>
  <c r="AI347" i="24"/>
  <c r="AH347" i="24" s="1"/>
  <c r="AG347" i="24" s="1"/>
  <c r="AF347" i="24" s="1"/>
  <c r="AD347" i="24" s="1"/>
  <c r="AI343" i="24"/>
  <c r="AH343" i="24" s="1"/>
  <c r="AG343" i="24" s="1"/>
  <c r="AF343" i="24" s="1"/>
  <c r="AD343" i="24" s="1"/>
  <c r="AI339" i="24"/>
  <c r="AH339" i="24" s="1"/>
  <c r="AG339" i="24" s="1"/>
  <c r="AF339" i="24" s="1"/>
  <c r="AD339" i="24" s="1"/>
  <c r="AI335" i="24"/>
  <c r="AH335" i="24" s="1"/>
  <c r="AG335" i="24" s="1"/>
  <c r="AF335" i="24" s="1"/>
  <c r="AD335" i="24" s="1"/>
  <c r="AI331" i="24"/>
  <c r="AH331" i="24" s="1"/>
  <c r="AG331" i="24" s="1"/>
  <c r="AF331" i="24" s="1"/>
  <c r="AD331" i="24" s="1"/>
  <c r="AI327" i="24"/>
  <c r="AH327" i="24" s="1"/>
  <c r="AG327" i="24" s="1"/>
  <c r="AF327" i="24" s="1"/>
  <c r="AD327" i="24" s="1"/>
  <c r="AI323" i="24"/>
  <c r="AH323" i="24" s="1"/>
  <c r="AG323" i="24" s="1"/>
  <c r="AF323" i="24" s="1"/>
  <c r="AD323" i="24" s="1"/>
  <c r="AI319" i="24"/>
  <c r="AH319" i="24" s="1"/>
  <c r="AG319" i="24" s="1"/>
  <c r="AF319" i="24" s="1"/>
  <c r="AD319" i="24" s="1"/>
  <c r="AI315" i="24"/>
  <c r="AH315" i="24" s="1"/>
  <c r="AI311" i="24"/>
  <c r="AH311" i="24" s="1"/>
  <c r="AG311" i="24" s="1"/>
  <c r="AF311" i="24" s="1"/>
  <c r="AD311" i="24" s="1"/>
  <c r="AI307" i="24"/>
  <c r="AH307" i="24" s="1"/>
  <c r="AG307" i="24" s="1"/>
  <c r="AF307" i="24" s="1"/>
  <c r="AD307" i="24" s="1"/>
  <c r="AI303" i="24"/>
  <c r="AH303" i="24" s="1"/>
  <c r="AG303" i="24" s="1"/>
  <c r="AF303" i="24" s="1"/>
  <c r="AD303" i="24" s="1"/>
  <c r="AI299" i="24"/>
  <c r="AH299" i="24" s="1"/>
  <c r="AG299" i="24" s="1"/>
  <c r="AF299" i="24" s="1"/>
  <c r="AD299" i="24" s="1"/>
  <c r="AI295" i="24"/>
  <c r="AH295" i="24" s="1"/>
  <c r="AG295" i="24" s="1"/>
  <c r="AF295" i="24" s="1"/>
  <c r="AD295" i="24" s="1"/>
  <c r="AI291" i="24"/>
  <c r="AH291" i="24" s="1"/>
  <c r="AG291" i="24" s="1"/>
  <c r="AF291" i="24" s="1"/>
  <c r="AD291" i="24" s="1"/>
  <c r="AI287" i="24"/>
  <c r="AH287" i="24" s="1"/>
  <c r="AG287" i="24" s="1"/>
  <c r="AF287" i="24" s="1"/>
  <c r="AD287" i="24" s="1"/>
  <c r="AI283" i="24"/>
  <c r="AH283" i="24" s="1"/>
  <c r="AG283" i="24" s="1"/>
  <c r="AF283" i="24" s="1"/>
  <c r="AD283" i="24" s="1"/>
  <c r="AI279" i="24"/>
  <c r="AH279" i="24" s="1"/>
  <c r="AG279" i="24" s="1"/>
  <c r="AF279" i="24" s="1"/>
  <c r="AD279" i="24" s="1"/>
  <c r="AI275" i="24"/>
  <c r="AH275" i="24" s="1"/>
  <c r="AG275" i="24" s="1"/>
  <c r="AF275" i="24" s="1"/>
  <c r="AD275" i="24" s="1"/>
  <c r="AI271" i="24"/>
  <c r="AH271" i="24" s="1"/>
  <c r="AG271" i="24" s="1"/>
  <c r="AF271" i="24" s="1"/>
  <c r="AD271" i="24" s="1"/>
  <c r="AI267" i="24"/>
  <c r="AH267" i="24" s="1"/>
  <c r="AG267" i="24" s="1"/>
  <c r="AF267" i="24" s="1"/>
  <c r="AD267" i="24" s="1"/>
  <c r="AI263" i="24"/>
  <c r="AH263" i="24" s="1"/>
  <c r="AG263" i="24" s="1"/>
  <c r="AF263" i="24" s="1"/>
  <c r="AD263" i="24" s="1"/>
  <c r="AI259" i="24"/>
  <c r="AH259" i="24" s="1"/>
  <c r="AG259" i="24" s="1"/>
  <c r="AF259" i="24" s="1"/>
  <c r="AD259" i="24" s="1"/>
  <c r="AI255" i="24"/>
  <c r="AH255" i="24" s="1"/>
  <c r="AG255" i="24" s="1"/>
  <c r="AF255" i="24" s="1"/>
  <c r="AD255" i="24" s="1"/>
  <c r="AI251" i="24"/>
  <c r="AH251" i="24" s="1"/>
  <c r="AG251" i="24" s="1"/>
  <c r="AF251" i="24" s="1"/>
  <c r="AD251" i="24" s="1"/>
  <c r="AI247" i="24"/>
  <c r="AH247" i="24" s="1"/>
  <c r="AG247" i="24" s="1"/>
  <c r="AF247" i="24" s="1"/>
  <c r="AD247" i="24" s="1"/>
  <c r="AI243" i="24"/>
  <c r="AH243" i="24" s="1"/>
  <c r="AG243" i="24" s="1"/>
  <c r="AF243" i="24" s="1"/>
  <c r="AD243" i="24" s="1"/>
  <c r="AI239" i="24"/>
  <c r="AH239" i="24" s="1"/>
  <c r="AG239" i="24" s="1"/>
  <c r="AF239" i="24" s="1"/>
  <c r="AD239" i="24" s="1"/>
  <c r="AI235" i="24"/>
  <c r="AH235" i="24" s="1"/>
  <c r="AG235" i="24" s="1"/>
  <c r="AF235" i="24" s="1"/>
  <c r="AD235" i="24" s="1"/>
  <c r="AI231" i="24"/>
  <c r="AH231" i="24" s="1"/>
  <c r="AG231" i="24" s="1"/>
  <c r="AF231" i="24" s="1"/>
  <c r="AD231" i="24" s="1"/>
  <c r="AI227" i="24"/>
  <c r="AH227" i="24" s="1"/>
  <c r="AG227" i="24" s="1"/>
  <c r="AF227" i="24" s="1"/>
  <c r="AD227" i="24" s="1"/>
  <c r="AI223" i="24"/>
  <c r="AH223" i="24" s="1"/>
  <c r="AG223" i="24" s="1"/>
  <c r="AF223" i="24" s="1"/>
  <c r="AD223" i="24" s="1"/>
  <c r="AI219" i="24"/>
  <c r="AH219" i="24" s="1"/>
  <c r="AG219" i="24" s="1"/>
  <c r="AF219" i="24" s="1"/>
  <c r="AD219" i="24" s="1"/>
  <c r="AI215" i="24"/>
  <c r="AH215" i="24" s="1"/>
  <c r="AG215" i="24" s="1"/>
  <c r="AF215" i="24" s="1"/>
  <c r="AD215" i="24" s="1"/>
  <c r="AI211" i="24"/>
  <c r="AH211" i="24" s="1"/>
  <c r="AG211" i="24" s="1"/>
  <c r="AF211" i="24" s="1"/>
  <c r="AD211" i="24" s="1"/>
  <c r="AI207" i="24"/>
  <c r="AH207" i="24" s="1"/>
  <c r="AG207" i="24" s="1"/>
  <c r="AF207" i="24" s="1"/>
  <c r="AD207" i="24" s="1"/>
  <c r="AI203" i="24"/>
  <c r="AH203" i="24" s="1"/>
  <c r="AG203" i="24" s="1"/>
  <c r="AF203" i="24" s="1"/>
  <c r="AD203" i="24" s="1"/>
  <c r="AI199" i="24"/>
  <c r="AH199" i="24" s="1"/>
  <c r="AG199" i="24" s="1"/>
  <c r="AF199" i="24" s="1"/>
  <c r="AD199" i="24" s="1"/>
  <c r="AI195" i="24"/>
  <c r="AH195" i="24" s="1"/>
  <c r="AG195" i="24" s="1"/>
  <c r="AF195" i="24" s="1"/>
  <c r="AD195" i="24" s="1"/>
  <c r="AI191" i="24"/>
  <c r="AH191" i="24" s="1"/>
  <c r="AG191" i="24" s="1"/>
  <c r="AF191" i="24" s="1"/>
  <c r="AD191" i="24" s="1"/>
  <c r="AI187" i="24"/>
  <c r="AH187" i="24" s="1"/>
  <c r="AG187" i="24" s="1"/>
  <c r="AF187" i="24" s="1"/>
  <c r="AD187" i="24" s="1"/>
  <c r="AI183" i="24"/>
  <c r="AH183" i="24" s="1"/>
  <c r="AG183" i="24" s="1"/>
  <c r="AF183" i="24" s="1"/>
  <c r="AD183" i="24" s="1"/>
  <c r="AI179" i="24"/>
  <c r="AH179" i="24" s="1"/>
  <c r="AG179" i="24" s="1"/>
  <c r="AF179" i="24" s="1"/>
  <c r="AD179" i="24" s="1"/>
  <c r="AI175" i="24"/>
  <c r="AH175" i="24" s="1"/>
  <c r="AG175" i="24" s="1"/>
  <c r="AF175" i="24" s="1"/>
  <c r="AD175" i="24" s="1"/>
  <c r="AI171" i="24"/>
  <c r="AH171" i="24" s="1"/>
  <c r="AG171" i="24" s="1"/>
  <c r="AF171" i="24" s="1"/>
  <c r="AD171" i="24" s="1"/>
  <c r="AI167" i="24"/>
  <c r="AH167" i="24" s="1"/>
  <c r="AG167" i="24" s="1"/>
  <c r="AF167" i="24" s="1"/>
  <c r="AD167" i="24" s="1"/>
  <c r="AI163" i="24"/>
  <c r="AH163" i="24" s="1"/>
  <c r="AG163" i="24" s="1"/>
  <c r="AF163" i="24" s="1"/>
  <c r="AD163" i="24" s="1"/>
  <c r="AI159" i="24"/>
  <c r="AH159" i="24" s="1"/>
  <c r="AG159" i="24" s="1"/>
  <c r="AF159" i="24" s="1"/>
  <c r="AD159" i="24" s="1"/>
  <c r="AI155" i="24"/>
  <c r="AH155" i="24" s="1"/>
  <c r="AG155" i="24" s="1"/>
  <c r="AF155" i="24" s="1"/>
  <c r="AD155" i="24" s="1"/>
  <c r="AI151" i="24"/>
  <c r="AH151" i="24" s="1"/>
  <c r="AG151" i="24" s="1"/>
  <c r="AF151" i="24" s="1"/>
  <c r="AD151" i="24" s="1"/>
  <c r="AI147" i="24"/>
  <c r="AH147" i="24" s="1"/>
  <c r="AG147" i="24" s="1"/>
  <c r="AF147" i="24" s="1"/>
  <c r="AD147" i="24" s="1"/>
  <c r="AI143" i="24"/>
  <c r="AH143" i="24" s="1"/>
  <c r="AG143" i="24" s="1"/>
  <c r="AF143" i="24" s="1"/>
  <c r="AD143" i="24" s="1"/>
  <c r="AI139" i="24"/>
  <c r="AH139" i="24" s="1"/>
  <c r="AG139" i="24" s="1"/>
  <c r="AF139" i="24" s="1"/>
  <c r="AD139" i="24" s="1"/>
  <c r="AI135" i="24"/>
  <c r="AH135" i="24" s="1"/>
  <c r="AG135" i="24" s="1"/>
  <c r="AF135" i="24" s="1"/>
  <c r="AD135" i="24" s="1"/>
  <c r="AI131" i="24"/>
  <c r="AH131" i="24" s="1"/>
  <c r="AI127" i="24"/>
  <c r="AH127" i="24" s="1"/>
  <c r="AG127" i="24" s="1"/>
  <c r="AF127" i="24" s="1"/>
  <c r="AD127" i="24" s="1"/>
  <c r="AI123" i="24"/>
  <c r="AH123" i="24" s="1"/>
  <c r="AG123" i="24" s="1"/>
  <c r="AF123" i="24" s="1"/>
  <c r="AD123" i="24" s="1"/>
  <c r="AI119" i="24"/>
  <c r="AH119" i="24" s="1"/>
  <c r="AG119" i="24" s="1"/>
  <c r="AF119" i="24" s="1"/>
  <c r="AD119" i="24" s="1"/>
  <c r="AI115" i="24"/>
  <c r="AH115" i="24" s="1"/>
  <c r="AG115" i="24" s="1"/>
  <c r="AF115" i="24" s="1"/>
  <c r="AD115" i="24" s="1"/>
  <c r="AI111" i="24"/>
  <c r="AH111" i="24" s="1"/>
  <c r="AG111" i="24" s="1"/>
  <c r="AF111" i="24" s="1"/>
  <c r="AD111" i="24" s="1"/>
  <c r="AI107" i="24"/>
  <c r="AH107" i="24" s="1"/>
  <c r="AG107" i="24" s="1"/>
  <c r="AF107" i="24" s="1"/>
  <c r="AD107" i="24" s="1"/>
  <c r="AI103" i="24"/>
  <c r="AH103" i="24" s="1"/>
  <c r="AG103" i="24" s="1"/>
  <c r="AF103" i="24" s="1"/>
  <c r="AD103" i="24" s="1"/>
  <c r="AI99" i="24"/>
  <c r="AH99" i="24" s="1"/>
  <c r="AG99" i="24" s="1"/>
  <c r="AF99" i="24" s="1"/>
  <c r="AD99" i="24" s="1"/>
  <c r="AI95" i="24"/>
  <c r="AH95" i="24" s="1"/>
  <c r="AG95" i="24" s="1"/>
  <c r="AF95" i="24" s="1"/>
  <c r="AD95" i="24" s="1"/>
  <c r="AI91" i="24"/>
  <c r="AH91" i="24" s="1"/>
  <c r="AG91" i="24" s="1"/>
  <c r="AF91" i="24" s="1"/>
  <c r="AD91" i="24" s="1"/>
  <c r="AI87" i="24"/>
  <c r="AH87" i="24" s="1"/>
  <c r="AG87" i="24" s="1"/>
  <c r="AF87" i="24" s="1"/>
  <c r="AD87" i="24" s="1"/>
  <c r="AI83" i="24"/>
  <c r="AH83" i="24" s="1"/>
  <c r="AG83" i="24" s="1"/>
  <c r="AF83" i="24" s="1"/>
  <c r="AD83" i="24" s="1"/>
  <c r="AI79" i="24"/>
  <c r="AH79" i="24" s="1"/>
  <c r="AG79" i="24" s="1"/>
  <c r="AF79" i="24" s="1"/>
  <c r="AD79" i="24" s="1"/>
  <c r="AI75" i="24"/>
  <c r="AH75" i="24" s="1"/>
  <c r="AG75" i="24" s="1"/>
  <c r="AF75" i="24" s="1"/>
  <c r="AD75" i="24" s="1"/>
  <c r="AI71" i="24"/>
  <c r="AH71" i="24" s="1"/>
  <c r="AG71" i="24" s="1"/>
  <c r="AF71" i="24" s="1"/>
  <c r="AD71" i="24" s="1"/>
  <c r="AI67" i="24"/>
  <c r="AH67" i="24" s="1"/>
  <c r="AG67" i="24" s="1"/>
  <c r="AF67" i="24" s="1"/>
  <c r="AD67" i="24" s="1"/>
  <c r="AI63" i="24"/>
  <c r="AH63" i="24" s="1"/>
  <c r="AG63" i="24" s="1"/>
  <c r="AF63" i="24" s="1"/>
  <c r="AD63" i="24" s="1"/>
  <c r="AI59" i="24"/>
  <c r="AH59" i="24" s="1"/>
  <c r="AG59" i="24" s="1"/>
  <c r="AF59" i="24" s="1"/>
  <c r="AD59" i="24" s="1"/>
  <c r="AI55" i="24"/>
  <c r="AH55" i="24" s="1"/>
  <c r="AG55" i="24" s="1"/>
  <c r="AF55" i="24" s="1"/>
  <c r="AD55" i="24" s="1"/>
  <c r="AI51" i="24"/>
  <c r="AH51" i="24" s="1"/>
  <c r="AG51" i="24" s="1"/>
  <c r="AF51" i="24" s="1"/>
  <c r="AD51" i="24" s="1"/>
  <c r="AI47" i="24"/>
  <c r="AH47" i="24" s="1"/>
  <c r="AG47" i="24" s="1"/>
  <c r="AF47" i="24" s="1"/>
  <c r="AD47" i="24" s="1"/>
  <c r="AI43" i="24"/>
  <c r="AH43" i="24" s="1"/>
  <c r="AG43" i="24" s="1"/>
  <c r="AF43" i="24" s="1"/>
  <c r="AD43" i="24" s="1"/>
  <c r="AI39" i="24"/>
  <c r="AH39" i="24" s="1"/>
  <c r="AG39" i="24" s="1"/>
  <c r="AF39" i="24" s="1"/>
  <c r="AD39" i="24" s="1"/>
  <c r="AI35" i="24"/>
  <c r="AH35" i="24" s="1"/>
  <c r="AG35" i="24" s="1"/>
  <c r="AF35" i="24" s="1"/>
  <c r="AD35" i="24" s="1"/>
  <c r="AI31" i="24"/>
  <c r="AH31" i="24" s="1"/>
  <c r="AG31" i="24" s="1"/>
  <c r="AF31" i="24" s="1"/>
  <c r="AD31" i="24" s="1"/>
  <c r="AI27" i="24"/>
  <c r="AH27" i="24" s="1"/>
  <c r="AG27" i="24" s="1"/>
  <c r="AF27" i="24" s="1"/>
  <c r="AD27" i="24" s="1"/>
  <c r="AI17" i="24"/>
  <c r="AH17" i="24" s="1"/>
  <c r="AG17" i="24" s="1"/>
  <c r="AF17" i="24" s="1"/>
  <c r="AD17" i="24" s="1"/>
  <c r="AI18" i="24"/>
  <c r="AH18" i="24" s="1"/>
  <c r="AG18" i="24" s="1"/>
  <c r="AF18" i="24" s="1"/>
  <c r="AD18" i="24" s="1"/>
  <c r="AI15" i="24"/>
  <c r="AH15" i="24" s="1"/>
  <c r="Q295" i="25"/>
  <c r="Q359" i="25"/>
  <c r="Q231" i="25"/>
  <c r="Q327" i="25"/>
  <c r="Q263" i="25"/>
  <c r="Q191" i="25"/>
  <c r="Q375" i="25"/>
  <c r="Q343" i="25"/>
  <c r="Q311" i="25"/>
  <c r="Q279" i="25"/>
  <c r="Q247" i="25"/>
  <c r="Q215" i="25"/>
  <c r="Q137" i="25"/>
  <c r="Q367" i="25"/>
  <c r="Q351" i="25"/>
  <c r="Q335" i="25"/>
  <c r="Q319" i="25"/>
  <c r="Q303" i="25"/>
  <c r="Q287" i="25"/>
  <c r="Q271" i="25"/>
  <c r="Q255" i="25"/>
  <c r="Q239" i="25"/>
  <c r="Q223" i="25"/>
  <c r="Q207" i="25"/>
  <c r="Q169" i="25"/>
  <c r="Q105" i="25"/>
  <c r="Q379" i="25"/>
  <c r="BF15" i="7" s="1"/>
  <c r="Q371" i="25"/>
  <c r="Q363" i="25"/>
  <c r="Q355" i="25"/>
  <c r="Q347" i="25"/>
  <c r="Q339" i="25"/>
  <c r="Q331" i="25"/>
  <c r="Q323" i="25"/>
  <c r="Q315" i="25"/>
  <c r="Q307" i="25"/>
  <c r="Q299" i="25"/>
  <c r="Q291" i="25"/>
  <c r="Q283" i="25"/>
  <c r="Q275" i="25"/>
  <c r="Q267" i="25"/>
  <c r="Q259" i="25"/>
  <c r="Q251" i="25"/>
  <c r="Q243" i="25"/>
  <c r="Q235" i="25"/>
  <c r="Q227" i="25"/>
  <c r="Q219" i="25"/>
  <c r="Q211" i="25"/>
  <c r="Q199" i="25"/>
  <c r="Q183" i="25"/>
  <c r="Q153" i="25"/>
  <c r="Q121" i="25"/>
  <c r="Q81" i="25"/>
  <c r="Q203" i="25"/>
  <c r="Q195" i="25"/>
  <c r="Q187" i="25"/>
  <c r="Q177" i="25"/>
  <c r="Q161" i="25"/>
  <c r="Q145" i="25"/>
  <c r="Q129" i="25"/>
  <c r="Q113" i="25"/>
  <c r="Q97" i="25"/>
  <c r="Q65" i="25"/>
  <c r="Q377" i="25"/>
  <c r="Q373" i="25"/>
  <c r="Q369" i="25"/>
  <c r="Q365" i="25"/>
  <c r="Q361" i="25"/>
  <c r="Q357" i="25"/>
  <c r="Q353" i="25"/>
  <c r="Q349" i="25"/>
  <c r="Q345" i="25"/>
  <c r="Q341" i="25"/>
  <c r="Q337" i="25"/>
  <c r="Q333" i="25"/>
  <c r="Q329" i="25"/>
  <c r="Q325" i="25"/>
  <c r="Q321" i="25"/>
  <c r="Q317" i="25"/>
  <c r="Q313" i="25"/>
  <c r="Q309" i="25"/>
  <c r="Q305" i="25"/>
  <c r="Q301" i="25"/>
  <c r="Q297" i="25"/>
  <c r="Q293" i="25"/>
  <c r="Q289" i="25"/>
  <c r="Q285" i="25"/>
  <c r="Q281" i="25"/>
  <c r="Q277" i="25"/>
  <c r="Q273" i="25"/>
  <c r="Q269" i="25"/>
  <c r="Q265" i="25"/>
  <c r="Q261" i="25"/>
  <c r="Q257" i="25"/>
  <c r="Q253" i="25"/>
  <c r="Q249" i="25"/>
  <c r="Q245" i="25"/>
  <c r="Q241" i="25"/>
  <c r="Q237" i="25"/>
  <c r="Q233" i="25"/>
  <c r="Q229" i="25"/>
  <c r="Q225" i="25"/>
  <c r="Q221" i="25"/>
  <c r="Q217" i="25"/>
  <c r="Q213" i="25"/>
  <c r="Q209" i="25"/>
  <c r="Q205" i="25"/>
  <c r="Q201" i="25"/>
  <c r="Q197" i="25"/>
  <c r="Q193" i="25"/>
  <c r="Q189" i="25"/>
  <c r="Q185" i="25"/>
  <c r="Q181" i="25"/>
  <c r="Q173" i="25"/>
  <c r="Q165" i="25"/>
  <c r="Q157" i="25"/>
  <c r="Q149" i="25"/>
  <c r="Q141" i="25"/>
  <c r="Q133" i="25"/>
  <c r="Q125" i="25"/>
  <c r="Q117" i="25"/>
  <c r="Q109" i="25"/>
  <c r="Q101" i="25"/>
  <c r="Q89" i="25"/>
  <c r="Q73" i="25"/>
  <c r="Q57" i="25"/>
  <c r="Q41" i="25"/>
  <c r="Q25" i="25"/>
  <c r="Q49" i="25"/>
  <c r="Q33" i="25"/>
  <c r="Q179" i="25"/>
  <c r="Q175" i="25"/>
  <c r="Q171" i="25"/>
  <c r="Q167" i="25"/>
  <c r="Q163" i="25"/>
  <c r="Q159" i="25"/>
  <c r="Q155" i="25"/>
  <c r="Q151" i="25"/>
  <c r="Q147" i="25"/>
  <c r="Q143" i="25"/>
  <c r="Q139" i="25"/>
  <c r="Q135" i="25"/>
  <c r="Q131" i="25"/>
  <c r="Q127" i="25"/>
  <c r="Q123" i="25"/>
  <c r="Q119" i="25"/>
  <c r="Q115" i="25"/>
  <c r="Q111" i="25"/>
  <c r="Q107" i="25"/>
  <c r="Q103" i="25"/>
  <c r="Q99" i="25"/>
  <c r="Q93" i="25"/>
  <c r="Q85" i="25"/>
  <c r="Q77" i="25"/>
  <c r="Q69" i="25"/>
  <c r="Q61" i="25"/>
  <c r="Q53" i="25"/>
  <c r="Q45" i="25"/>
  <c r="Q37" i="25"/>
  <c r="Q29" i="25"/>
  <c r="Q16" i="25"/>
  <c r="Q95" i="25"/>
  <c r="Q91" i="25"/>
  <c r="Q87" i="25"/>
  <c r="Q83" i="25"/>
  <c r="Q79" i="25"/>
  <c r="Q75" i="25"/>
  <c r="Q71" i="25"/>
  <c r="Q67" i="25"/>
  <c r="Q63" i="25"/>
  <c r="Q59" i="25"/>
  <c r="Q55" i="25"/>
  <c r="Q51" i="25"/>
  <c r="Q47" i="25"/>
  <c r="Q43" i="25"/>
  <c r="Q39" i="25"/>
  <c r="Q35" i="25"/>
  <c r="Q31" i="25"/>
  <c r="Q27" i="25"/>
  <c r="Q23" i="25"/>
  <c r="Q18" i="25"/>
  <c r="Q378" i="25"/>
  <c r="Q376" i="25"/>
  <c r="Q374" i="25"/>
  <c r="Q372" i="25"/>
  <c r="Q370" i="25"/>
  <c r="Q368" i="25"/>
  <c r="Q366" i="25"/>
  <c r="Q364" i="25"/>
  <c r="Q362" i="25"/>
  <c r="Q360" i="25"/>
  <c r="Q358" i="25"/>
  <c r="Q356" i="25"/>
  <c r="Q354" i="25"/>
  <c r="Q352" i="25"/>
  <c r="Q350" i="25"/>
  <c r="Q348" i="25"/>
  <c r="Q346" i="25"/>
  <c r="Q344" i="25"/>
  <c r="Q342" i="25"/>
  <c r="Q340" i="25"/>
  <c r="Q338" i="25"/>
  <c r="Q336" i="25"/>
  <c r="Q334" i="25"/>
  <c r="Q332" i="25"/>
  <c r="Q330" i="25"/>
  <c r="Q328" i="25"/>
  <c r="Q326" i="25"/>
  <c r="Q324" i="25"/>
  <c r="Q322" i="25"/>
  <c r="Q320" i="25"/>
  <c r="Q318" i="25"/>
  <c r="Q316" i="25"/>
  <c r="Q314" i="25"/>
  <c r="Q312" i="25"/>
  <c r="Q310" i="25"/>
  <c r="Q308" i="25"/>
  <c r="Q306" i="25"/>
  <c r="Q304" i="25"/>
  <c r="Q302" i="25"/>
  <c r="Q300" i="25"/>
  <c r="Q298" i="25"/>
  <c r="Q296" i="25"/>
  <c r="Q294" i="25"/>
  <c r="Q292" i="25"/>
  <c r="Q290" i="25"/>
  <c r="Q288" i="25"/>
  <c r="Q286" i="25"/>
  <c r="Q284" i="25"/>
  <c r="Q282" i="25"/>
  <c r="Q280" i="25"/>
  <c r="Q278" i="25"/>
  <c r="Q276" i="25"/>
  <c r="Q274" i="25"/>
  <c r="Q272" i="25"/>
  <c r="Q270" i="25"/>
  <c r="Q268" i="25"/>
  <c r="Q266" i="25"/>
  <c r="Q264" i="25"/>
  <c r="Q262" i="25"/>
  <c r="Q260" i="25"/>
  <c r="Q258" i="25"/>
  <c r="Q256" i="25"/>
  <c r="Q254" i="25"/>
  <c r="Q252" i="25"/>
  <c r="Q250" i="25"/>
  <c r="Q248" i="25"/>
  <c r="Q246" i="25"/>
  <c r="Q244" i="25"/>
  <c r="Q242" i="25"/>
  <c r="Q240" i="25"/>
  <c r="Q238" i="25"/>
  <c r="Q236" i="25"/>
  <c r="Q234" i="25"/>
  <c r="Q232" i="25"/>
  <c r="Q230" i="25"/>
  <c r="Q228" i="25"/>
  <c r="Q226" i="25"/>
  <c r="Q224" i="25"/>
  <c r="Q222" i="25"/>
  <c r="Q220" i="25"/>
  <c r="Q218" i="25"/>
  <c r="Q216" i="25"/>
  <c r="Q214" i="25"/>
  <c r="Q212" i="25"/>
  <c r="Q210" i="25"/>
  <c r="Q208" i="25"/>
  <c r="Q206" i="25"/>
  <c r="Q204" i="25"/>
  <c r="Q202" i="25"/>
  <c r="Q200" i="25"/>
  <c r="Q198" i="25"/>
  <c r="Q196" i="25"/>
  <c r="Q194" i="25"/>
  <c r="Q192" i="25"/>
  <c r="Q190" i="25"/>
  <c r="Q188" i="25"/>
  <c r="Q186" i="25"/>
  <c r="Q184" i="25"/>
  <c r="Q182" i="25"/>
  <c r="Q180" i="25"/>
  <c r="Q178" i="25"/>
  <c r="Q176" i="25"/>
  <c r="Q174" i="25"/>
  <c r="Q172" i="25"/>
  <c r="Q170" i="25"/>
  <c r="Q168" i="25"/>
  <c r="Q166" i="25"/>
  <c r="Q164" i="25"/>
  <c r="Q162" i="25"/>
  <c r="Q160" i="25"/>
  <c r="Q158" i="25"/>
  <c r="Q156" i="25"/>
  <c r="Q154" i="25"/>
  <c r="Q152" i="25"/>
  <c r="Q150" i="25"/>
  <c r="Q148" i="25"/>
  <c r="Q146" i="25"/>
  <c r="Q144" i="25"/>
  <c r="Q142" i="25"/>
  <c r="Q140" i="25"/>
  <c r="Q138" i="25"/>
  <c r="Q136" i="25"/>
  <c r="Q134" i="25"/>
  <c r="Q132" i="25"/>
  <c r="Q130" i="25"/>
  <c r="Q128" i="25"/>
  <c r="Q126" i="25"/>
  <c r="Q124" i="25"/>
  <c r="Q122" i="25"/>
  <c r="Q120" i="25"/>
  <c r="Q118" i="25"/>
  <c r="Q116" i="25"/>
  <c r="Q114" i="25"/>
  <c r="Q112" i="25"/>
  <c r="Q110" i="25"/>
  <c r="Q108" i="25"/>
  <c r="Q106" i="25"/>
  <c r="Q104" i="25"/>
  <c r="Q102" i="25"/>
  <c r="Q100" i="25"/>
  <c r="Q98" i="25"/>
  <c r="Q96" i="25"/>
  <c r="Q94" i="25"/>
  <c r="Q92" i="25"/>
  <c r="Q90" i="25"/>
  <c r="Q88" i="25"/>
  <c r="Q86" i="25"/>
  <c r="Q84" i="25"/>
  <c r="Q82" i="25"/>
  <c r="Q80" i="25"/>
  <c r="Q78" i="25"/>
  <c r="Q76" i="25"/>
  <c r="Q74" i="25"/>
  <c r="Q72" i="25"/>
  <c r="Q70" i="25"/>
  <c r="Q68" i="25"/>
  <c r="Q66" i="25"/>
  <c r="Q64" i="25"/>
  <c r="Q62" i="25"/>
  <c r="Q60" i="25"/>
  <c r="Q58" i="25"/>
  <c r="Q56" i="25"/>
  <c r="Q54" i="25"/>
  <c r="Q52" i="25"/>
  <c r="Q50" i="25"/>
  <c r="Q48" i="25"/>
  <c r="Q46" i="25"/>
  <c r="Q44" i="25"/>
  <c r="Q42" i="25"/>
  <c r="Q40" i="25"/>
  <c r="Q38" i="25"/>
  <c r="Q36" i="25"/>
  <c r="Q34" i="25"/>
  <c r="Q32" i="25"/>
  <c r="Q30" i="25"/>
  <c r="Q28" i="25"/>
  <c r="Q26" i="25"/>
  <c r="Q24" i="25"/>
  <c r="Q22" i="25"/>
  <c r="Q15" i="25"/>
  <c r="Q21" i="25"/>
  <c r="Q380" i="25"/>
  <c r="AE380" i="25"/>
  <c r="Q20" i="25"/>
  <c r="Q19" i="25"/>
  <c r="Q17" i="25"/>
  <c r="G68" i="19"/>
  <c r="E68" i="19"/>
  <c r="I68" i="19"/>
  <c r="J68" i="19"/>
  <c r="H68" i="19"/>
  <c r="F68" i="19"/>
  <c r="AG382" i="23"/>
  <c r="AG383" i="23"/>
  <c r="AG381" i="23"/>
  <c r="AF15" i="23"/>
  <c r="S378" i="24"/>
  <c r="R378" i="24" s="1"/>
  <c r="P378" i="24" s="1"/>
  <c r="V378" i="24" s="1"/>
  <c r="S376" i="24"/>
  <c r="R376" i="24" s="1"/>
  <c r="P376" i="24" s="1"/>
  <c r="V376" i="24" s="1"/>
  <c r="S348" i="24"/>
  <c r="R348" i="24" s="1"/>
  <c r="P348" i="24" s="1"/>
  <c r="V348" i="24" s="1"/>
  <c r="S300" i="24"/>
  <c r="R300" i="24" s="1"/>
  <c r="P300" i="24" s="1"/>
  <c r="V300" i="24" s="1"/>
  <c r="S264" i="24"/>
  <c r="R264" i="24" s="1"/>
  <c r="P264" i="24" s="1"/>
  <c r="V264" i="24" s="1"/>
  <c r="S236" i="24"/>
  <c r="R236" i="24" s="1"/>
  <c r="P236" i="24" s="1"/>
  <c r="V236" i="24" s="1"/>
  <c r="S214" i="24"/>
  <c r="R214" i="24" s="1"/>
  <c r="P214" i="24" s="1"/>
  <c r="V214" i="24" s="1"/>
  <c r="S152" i="24"/>
  <c r="R152" i="24" s="1"/>
  <c r="P152" i="24" s="1"/>
  <c r="V152" i="24" s="1"/>
  <c r="S78" i="24"/>
  <c r="R78" i="24" s="1"/>
  <c r="P78" i="24" s="1"/>
  <c r="V78" i="24" s="1"/>
  <c r="S64" i="24"/>
  <c r="R64" i="24" s="1"/>
  <c r="P64" i="24" s="1"/>
  <c r="V64" i="24" s="1"/>
  <c r="S30" i="24"/>
  <c r="R30" i="24" s="1"/>
  <c r="P30" i="24" s="1"/>
  <c r="V30" i="24" s="1"/>
  <c r="AE379" i="25"/>
  <c r="AE377" i="25"/>
  <c r="AE375" i="25"/>
  <c r="AE373" i="25"/>
  <c r="AE371" i="25"/>
  <c r="AE369" i="25"/>
  <c r="AE367" i="25"/>
  <c r="AE365" i="25"/>
  <c r="AE363" i="25"/>
  <c r="AE361" i="25"/>
  <c r="AE359" i="25"/>
  <c r="AE357" i="25"/>
  <c r="AE355" i="25"/>
  <c r="AE353" i="25"/>
  <c r="AE351" i="25"/>
  <c r="AE349" i="25"/>
  <c r="AE347" i="25"/>
  <c r="AE345" i="25"/>
  <c r="AE343" i="25"/>
  <c r="AE341" i="25"/>
  <c r="AE339" i="25"/>
  <c r="AE337" i="25"/>
  <c r="AE335" i="25"/>
  <c r="AE333" i="25"/>
  <c r="AE331" i="25"/>
  <c r="AE329" i="25"/>
  <c r="AE327" i="25"/>
  <c r="AE325" i="25"/>
  <c r="AE323" i="25"/>
  <c r="AE321" i="25"/>
  <c r="AE319" i="25"/>
  <c r="AE317" i="25"/>
  <c r="AE315" i="25"/>
  <c r="AE313" i="25"/>
  <c r="AE311" i="25"/>
  <c r="AE309" i="25"/>
  <c r="AE307" i="25"/>
  <c r="AE305" i="25"/>
  <c r="AE303" i="25"/>
  <c r="AE301" i="25"/>
  <c r="AE299" i="25"/>
  <c r="AE297" i="25"/>
  <c r="AE295" i="25"/>
  <c r="AE293" i="25"/>
  <c r="AE291" i="25"/>
  <c r="AE289" i="25"/>
  <c r="AE287" i="25"/>
  <c r="AE285" i="25"/>
  <c r="AE283" i="25"/>
  <c r="AE281" i="25"/>
  <c r="AE279" i="25"/>
  <c r="AE277" i="25"/>
  <c r="AE275" i="25"/>
  <c r="AE273" i="25"/>
  <c r="AE271" i="25"/>
  <c r="AE269" i="25"/>
  <c r="AE267" i="25"/>
  <c r="AE265" i="25"/>
  <c r="AE263" i="25"/>
  <c r="AE261" i="25"/>
  <c r="AE259" i="25"/>
  <c r="AE257" i="25"/>
  <c r="AE255" i="25"/>
  <c r="AE253" i="25"/>
  <c r="AE251" i="25"/>
  <c r="AE249" i="25"/>
  <c r="AE247" i="25"/>
  <c r="AE245" i="25"/>
  <c r="AE243" i="25"/>
  <c r="AE241" i="25"/>
  <c r="AE239" i="25"/>
  <c r="AE237" i="25"/>
  <c r="AE235" i="25"/>
  <c r="AE233" i="25"/>
  <c r="AE231" i="25"/>
  <c r="AE229" i="25"/>
  <c r="AE227" i="25"/>
  <c r="AE225" i="25"/>
  <c r="AE223" i="25"/>
  <c r="AE221" i="25"/>
  <c r="AE219" i="25"/>
  <c r="AE217" i="25"/>
  <c r="AE215" i="25"/>
  <c r="AE213" i="25"/>
  <c r="AE211" i="25"/>
  <c r="AE209" i="25"/>
  <c r="AE207" i="25"/>
  <c r="AE205" i="25"/>
  <c r="AE203" i="25"/>
  <c r="AE201" i="25"/>
  <c r="AE199" i="25"/>
  <c r="AE197" i="25"/>
  <c r="AE195" i="25"/>
  <c r="AE193" i="25"/>
  <c r="AE191" i="25"/>
  <c r="AE189" i="25"/>
  <c r="AE187" i="25"/>
  <c r="AE185" i="25"/>
  <c r="AE183" i="25"/>
  <c r="AE181" i="25"/>
  <c r="AE179" i="25"/>
  <c r="AE177" i="25"/>
  <c r="AE175" i="25"/>
  <c r="AE173" i="25"/>
  <c r="AE171" i="25"/>
  <c r="AE169" i="25"/>
  <c r="AE167" i="25"/>
  <c r="AE165" i="25"/>
  <c r="AE163" i="25"/>
  <c r="AE161" i="25"/>
  <c r="AE159" i="25"/>
  <c r="AE157" i="25"/>
  <c r="AE155" i="25"/>
  <c r="AE153" i="25"/>
  <c r="AE151" i="25"/>
  <c r="AE149" i="25"/>
  <c r="AE147" i="25"/>
  <c r="AE145" i="25"/>
  <c r="AE143" i="25"/>
  <c r="AE141" i="25"/>
  <c r="AE139" i="25"/>
  <c r="AE137" i="25"/>
  <c r="AE135" i="25"/>
  <c r="AE133" i="25"/>
  <c r="AE131" i="25"/>
  <c r="AE129" i="25"/>
  <c r="AE127" i="25"/>
  <c r="AE125" i="25"/>
  <c r="AE123" i="25"/>
  <c r="AE121" i="25"/>
  <c r="AE119" i="25"/>
  <c r="AE117" i="25"/>
  <c r="AE115" i="25"/>
  <c r="AE113" i="25"/>
  <c r="AE111" i="25"/>
  <c r="AE109" i="25"/>
  <c r="AE107" i="25"/>
  <c r="AE105" i="25"/>
  <c r="AE103" i="25"/>
  <c r="AE101" i="25"/>
  <c r="AE99" i="25"/>
  <c r="AE97" i="25"/>
  <c r="AE95" i="25"/>
  <c r="AE93" i="25"/>
  <c r="AE91" i="25"/>
  <c r="AE89" i="25"/>
  <c r="AE87" i="25"/>
  <c r="AE85" i="25"/>
  <c r="AE83" i="25"/>
  <c r="AE81" i="25"/>
  <c r="AE79" i="25"/>
  <c r="AE77" i="25"/>
  <c r="AE75" i="25"/>
  <c r="AE73" i="25"/>
  <c r="AE71" i="25"/>
  <c r="AE69" i="25"/>
  <c r="AE67" i="25"/>
  <c r="AE65" i="25"/>
  <c r="AE63" i="25"/>
  <c r="AE61" i="25"/>
  <c r="AE59" i="25"/>
  <c r="AE57" i="25"/>
  <c r="AE55" i="25"/>
  <c r="AE53" i="25"/>
  <c r="AE51" i="25"/>
  <c r="AE49" i="25"/>
  <c r="AE47" i="25"/>
  <c r="AE45" i="25"/>
  <c r="AE43" i="25"/>
  <c r="AE41" i="25"/>
  <c r="AE39" i="25"/>
  <c r="AE37" i="25"/>
  <c r="AE35" i="25"/>
  <c r="AE33" i="25"/>
  <c r="AE31" i="25"/>
  <c r="AE29" i="25"/>
  <c r="AE27" i="25"/>
  <c r="AE25" i="25"/>
  <c r="AE23" i="25"/>
  <c r="AE21" i="25"/>
  <c r="AE20" i="25"/>
  <c r="AE16" i="25"/>
  <c r="AE17" i="25"/>
  <c r="AG315" i="24"/>
  <c r="AF315" i="24" s="1"/>
  <c r="AD315" i="24" s="1"/>
  <c r="AG213" i="24"/>
  <c r="AF213" i="24" s="1"/>
  <c r="AD213" i="24" s="1"/>
  <c r="AG131" i="24"/>
  <c r="AF131" i="24" s="1"/>
  <c r="AD131" i="24" s="1"/>
  <c r="AG81" i="24"/>
  <c r="AF81" i="24" s="1"/>
  <c r="AD81" i="24" s="1"/>
  <c r="AG19" i="24"/>
  <c r="AF19" i="24" s="1"/>
  <c r="AD19" i="24" s="1"/>
  <c r="P383" i="22"/>
  <c r="P381" i="22"/>
  <c r="V15" i="22"/>
  <c r="P382" i="22"/>
  <c r="AD382" i="22"/>
  <c r="AD383" i="22"/>
  <c r="AD381" i="22"/>
  <c r="U12" i="25"/>
  <c r="S319" i="24"/>
  <c r="R319" i="24" s="1"/>
  <c r="P319" i="24" s="1"/>
  <c r="V319" i="24" s="1"/>
  <c r="S235" i="24"/>
  <c r="R235" i="24" s="1"/>
  <c r="P235" i="24" s="1"/>
  <c r="V235" i="24" s="1"/>
  <c r="S205" i="24"/>
  <c r="R205" i="24" s="1"/>
  <c r="P205" i="24" s="1"/>
  <c r="V205" i="24" s="1"/>
  <c r="S163" i="24"/>
  <c r="R163" i="24" s="1"/>
  <c r="P163" i="24" s="1"/>
  <c r="V163" i="24" s="1"/>
  <c r="S145" i="24"/>
  <c r="R145" i="24" s="1"/>
  <c r="P145" i="24" s="1"/>
  <c r="V145" i="24" s="1"/>
  <c r="S123" i="24"/>
  <c r="R123" i="24" s="1"/>
  <c r="P123" i="24" s="1"/>
  <c r="V123" i="24" s="1"/>
  <c r="S382" i="23"/>
  <c r="S383" i="23"/>
  <c r="S381" i="23"/>
  <c r="R15" i="23"/>
  <c r="AE378" i="25"/>
  <c r="AE376" i="25"/>
  <c r="AE374" i="25"/>
  <c r="AE372" i="25"/>
  <c r="AE370" i="25"/>
  <c r="AE368" i="25"/>
  <c r="AE366" i="25"/>
  <c r="AE364" i="25"/>
  <c r="AE362" i="25"/>
  <c r="AE360" i="25"/>
  <c r="AE358" i="25"/>
  <c r="AE356" i="25"/>
  <c r="AE354" i="25"/>
  <c r="AE352" i="25"/>
  <c r="AE350" i="25"/>
  <c r="AE348" i="25"/>
  <c r="AE346" i="25"/>
  <c r="AE344" i="25"/>
  <c r="AE342" i="25"/>
  <c r="AE340" i="25"/>
  <c r="AE338" i="25"/>
  <c r="AE336" i="25"/>
  <c r="AE334" i="25"/>
  <c r="AE332" i="25"/>
  <c r="AE330" i="25"/>
  <c r="AE328" i="25"/>
  <c r="AE326" i="25"/>
  <c r="AE324" i="25"/>
  <c r="AE322" i="25"/>
  <c r="AE320" i="25"/>
  <c r="AE318" i="25"/>
  <c r="AE316" i="25"/>
  <c r="AE314" i="25"/>
  <c r="AE312" i="25"/>
  <c r="AE310" i="25"/>
  <c r="AE308" i="25"/>
  <c r="AE306" i="25"/>
  <c r="AE304" i="25"/>
  <c r="AE302" i="25"/>
  <c r="AE300" i="25"/>
  <c r="AE298" i="25"/>
  <c r="AE296" i="25"/>
  <c r="AE294" i="25"/>
  <c r="AE292" i="25"/>
  <c r="AE290" i="25"/>
  <c r="AE288" i="25"/>
  <c r="AE286" i="25"/>
  <c r="AE284" i="25"/>
  <c r="AE282" i="25"/>
  <c r="AE280" i="25"/>
  <c r="AE278" i="25"/>
  <c r="AE276" i="25"/>
  <c r="AE274" i="25"/>
  <c r="AE272" i="25"/>
  <c r="AE270" i="25"/>
  <c r="AE268" i="25"/>
  <c r="AE266" i="25"/>
  <c r="AE264" i="25"/>
  <c r="AE262" i="25"/>
  <c r="AE260" i="25"/>
  <c r="AE258" i="25"/>
  <c r="AE256" i="25"/>
  <c r="AE254" i="25"/>
  <c r="AE252" i="25"/>
  <c r="AE250" i="25"/>
  <c r="AE248" i="25"/>
  <c r="AE246" i="25"/>
  <c r="AE244" i="25"/>
  <c r="AE242" i="25"/>
  <c r="AE240" i="25"/>
  <c r="AE238" i="25"/>
  <c r="AE236" i="25"/>
  <c r="AE234" i="25"/>
  <c r="AE232" i="25"/>
  <c r="AE230" i="25"/>
  <c r="AE228" i="25"/>
  <c r="AE226" i="25"/>
  <c r="AE224" i="25"/>
  <c r="AE222" i="25"/>
  <c r="AE220" i="25"/>
  <c r="AE218" i="25"/>
  <c r="AE216" i="25"/>
  <c r="AE214" i="25"/>
  <c r="AE212" i="25"/>
  <c r="AE210" i="25"/>
  <c r="AE208" i="25"/>
  <c r="AE206" i="25"/>
  <c r="AE204" i="25"/>
  <c r="AE202" i="25"/>
  <c r="AE200" i="25"/>
  <c r="AE198" i="25"/>
  <c r="AE196" i="25"/>
  <c r="AE194" i="25"/>
  <c r="AE192" i="25"/>
  <c r="AE190" i="25"/>
  <c r="AE188" i="25"/>
  <c r="AE186" i="25"/>
  <c r="AE184" i="25"/>
  <c r="AE182" i="25"/>
  <c r="AE180" i="25"/>
  <c r="AE178" i="25"/>
  <c r="AE176" i="25"/>
  <c r="AE174" i="25"/>
  <c r="AE172" i="25"/>
  <c r="AE170" i="25"/>
  <c r="AE168" i="25"/>
  <c r="AE166" i="25"/>
  <c r="AE164" i="25"/>
  <c r="AE162" i="25"/>
  <c r="AE160" i="25"/>
  <c r="AE158" i="25"/>
  <c r="AE156" i="25"/>
  <c r="AE154" i="25"/>
  <c r="AE152" i="25"/>
  <c r="AE150" i="25"/>
  <c r="AE148" i="25"/>
  <c r="AE146" i="25"/>
  <c r="AE144" i="25"/>
  <c r="AE142" i="25"/>
  <c r="AE140" i="25"/>
  <c r="AE138" i="25"/>
  <c r="AE136" i="25"/>
  <c r="AE134" i="25"/>
  <c r="AE132" i="25"/>
  <c r="AE130" i="25"/>
  <c r="AE128" i="25"/>
  <c r="AE126" i="25"/>
  <c r="AE124" i="25"/>
  <c r="AE122" i="25"/>
  <c r="AE120" i="25"/>
  <c r="AE118" i="25"/>
  <c r="AE116" i="25"/>
  <c r="AE114" i="25"/>
  <c r="AE112" i="25"/>
  <c r="AE110" i="25"/>
  <c r="AE108" i="25"/>
  <c r="AE106" i="25"/>
  <c r="AE104" i="25"/>
  <c r="AE102" i="25"/>
  <c r="AE100" i="25"/>
  <c r="AE98" i="25"/>
  <c r="AE96" i="25"/>
  <c r="AE94" i="25"/>
  <c r="AE92" i="25"/>
  <c r="AE90" i="25"/>
  <c r="AE88" i="25"/>
  <c r="AE86" i="25"/>
  <c r="AE84" i="25"/>
  <c r="AE82" i="25"/>
  <c r="AE80" i="25"/>
  <c r="AE78" i="25"/>
  <c r="AE76" i="25"/>
  <c r="AE74" i="25"/>
  <c r="AE72" i="25"/>
  <c r="AE70" i="25"/>
  <c r="AE68" i="25"/>
  <c r="AE66" i="25"/>
  <c r="AE64" i="25"/>
  <c r="AE62" i="25"/>
  <c r="AE60" i="25"/>
  <c r="AE58" i="25"/>
  <c r="AE56" i="25"/>
  <c r="AE54" i="25"/>
  <c r="AE52" i="25"/>
  <c r="AE50" i="25"/>
  <c r="AE48" i="25"/>
  <c r="AE46" i="25"/>
  <c r="AE44" i="25"/>
  <c r="AE42" i="25"/>
  <c r="AE40" i="25"/>
  <c r="AE38" i="25"/>
  <c r="AE36" i="25"/>
  <c r="AE34" i="25"/>
  <c r="AE32" i="25"/>
  <c r="AE30" i="25"/>
  <c r="AE28" i="25"/>
  <c r="AE26" i="25"/>
  <c r="AE24" i="25"/>
  <c r="AE22" i="25"/>
  <c r="AE19" i="25"/>
  <c r="AE18" i="25"/>
  <c r="AE15" i="25"/>
  <c r="AG334" i="24"/>
  <c r="AF334" i="24" s="1"/>
  <c r="AD334" i="24" s="1"/>
  <c r="AG258" i="24"/>
  <c r="AF258" i="24" s="1"/>
  <c r="AD258" i="24" s="1"/>
  <c r="AG200" i="24"/>
  <c r="AF200" i="24" s="1"/>
  <c r="AD200" i="24" s="1"/>
  <c r="AG170" i="24"/>
  <c r="AF170" i="24" s="1"/>
  <c r="AD170" i="24" s="1"/>
  <c r="AG130" i="24"/>
  <c r="AF130" i="24" s="1"/>
  <c r="AD130" i="24" s="1"/>
  <c r="AG126" i="24"/>
  <c r="AF126" i="24" s="1"/>
  <c r="AD126" i="24" s="1"/>
  <c r="T379" i="24" l="1"/>
  <c r="S379" i="24" s="1"/>
  <c r="R379" i="24" s="1"/>
  <c r="P379" i="24" s="1"/>
  <c r="D43" i="19" s="1"/>
  <c r="AH57" i="7"/>
  <c r="AH61" i="7"/>
  <c r="V272" i="24"/>
  <c r="J69" i="19" s="1"/>
  <c r="AH60" i="7"/>
  <c r="AH59" i="7"/>
  <c r="AH63" i="7"/>
  <c r="AH66" i="7"/>
  <c r="V379" i="24"/>
  <c r="AH56" i="7"/>
  <c r="U381" i="24"/>
  <c r="AI245" i="24"/>
  <c r="AH245" i="24" s="1"/>
  <c r="AG245" i="24" s="1"/>
  <c r="AF245" i="24" s="1"/>
  <c r="AD245" i="24" s="1"/>
  <c r="AI105" i="24"/>
  <c r="AH105" i="24" s="1"/>
  <c r="AG105" i="24" s="1"/>
  <c r="AF105" i="24" s="1"/>
  <c r="AD105" i="24" s="1"/>
  <c r="AI121" i="24"/>
  <c r="AH121" i="24" s="1"/>
  <c r="AG121" i="24" s="1"/>
  <c r="AF121" i="24" s="1"/>
  <c r="AD121" i="24" s="1"/>
  <c r="AI137" i="24"/>
  <c r="AH137" i="24" s="1"/>
  <c r="AG137" i="24" s="1"/>
  <c r="AF137" i="24" s="1"/>
  <c r="AD137" i="24" s="1"/>
  <c r="AI153" i="24"/>
  <c r="AH153" i="24" s="1"/>
  <c r="AG153" i="24" s="1"/>
  <c r="AF153" i="24" s="1"/>
  <c r="AD153" i="24" s="1"/>
  <c r="AI169" i="24"/>
  <c r="AH169" i="24" s="1"/>
  <c r="AG169" i="24" s="1"/>
  <c r="AF169" i="24" s="1"/>
  <c r="AD169" i="24" s="1"/>
  <c r="AI185" i="24"/>
  <c r="AH185" i="24" s="1"/>
  <c r="AG185" i="24" s="1"/>
  <c r="AF185" i="24" s="1"/>
  <c r="AD185" i="24" s="1"/>
  <c r="AI201" i="24"/>
  <c r="AH201" i="24" s="1"/>
  <c r="AG201" i="24" s="1"/>
  <c r="AF201" i="24" s="1"/>
  <c r="AD201" i="24" s="1"/>
  <c r="AI217" i="24"/>
  <c r="AH217" i="24" s="1"/>
  <c r="AG217" i="24" s="1"/>
  <c r="AF217" i="24" s="1"/>
  <c r="AD217" i="24" s="1"/>
  <c r="AI233" i="24"/>
  <c r="AH233" i="24" s="1"/>
  <c r="AG233" i="24" s="1"/>
  <c r="AF233" i="24" s="1"/>
  <c r="AD233" i="24" s="1"/>
  <c r="AI249" i="24"/>
  <c r="AH249" i="24" s="1"/>
  <c r="AG249" i="24" s="1"/>
  <c r="AF249" i="24" s="1"/>
  <c r="AD249" i="24" s="1"/>
  <c r="AI265" i="24"/>
  <c r="AH265" i="24" s="1"/>
  <c r="AG265" i="24" s="1"/>
  <c r="AF265" i="24" s="1"/>
  <c r="AD265" i="24" s="1"/>
  <c r="AI273" i="24"/>
  <c r="AH273" i="24" s="1"/>
  <c r="AG273" i="24" s="1"/>
  <c r="AF273" i="24" s="1"/>
  <c r="AD273" i="24" s="1"/>
  <c r="AI281" i="24"/>
  <c r="AH281" i="24" s="1"/>
  <c r="AG281" i="24" s="1"/>
  <c r="AF281" i="24" s="1"/>
  <c r="AD281" i="24" s="1"/>
  <c r="AI289" i="24"/>
  <c r="AH289" i="24" s="1"/>
  <c r="AG289" i="24" s="1"/>
  <c r="AF289" i="24" s="1"/>
  <c r="AD289" i="24" s="1"/>
  <c r="AI297" i="24"/>
  <c r="AH297" i="24" s="1"/>
  <c r="AG297" i="24" s="1"/>
  <c r="AF297" i="24" s="1"/>
  <c r="AD297" i="24" s="1"/>
  <c r="AI305" i="24"/>
  <c r="AH305" i="24" s="1"/>
  <c r="AG305" i="24" s="1"/>
  <c r="AF305" i="24" s="1"/>
  <c r="AD305" i="24" s="1"/>
  <c r="AI313" i="24"/>
  <c r="AH313" i="24" s="1"/>
  <c r="AG313" i="24" s="1"/>
  <c r="AF313" i="24" s="1"/>
  <c r="AD313" i="24" s="1"/>
  <c r="AI321" i="24"/>
  <c r="AH321" i="24" s="1"/>
  <c r="AG321" i="24" s="1"/>
  <c r="AF321" i="24" s="1"/>
  <c r="AD321" i="24" s="1"/>
  <c r="AI329" i="24"/>
  <c r="AH329" i="24" s="1"/>
  <c r="AG329" i="24" s="1"/>
  <c r="AF329" i="24" s="1"/>
  <c r="AD329" i="24" s="1"/>
  <c r="AI337" i="24"/>
  <c r="AH337" i="24" s="1"/>
  <c r="AG337" i="24" s="1"/>
  <c r="AF337" i="24" s="1"/>
  <c r="AD337" i="24" s="1"/>
  <c r="AI345" i="24"/>
  <c r="AH345" i="24" s="1"/>
  <c r="AG345" i="24" s="1"/>
  <c r="AF345" i="24" s="1"/>
  <c r="AD345" i="24" s="1"/>
  <c r="AI353" i="24"/>
  <c r="AH353" i="24" s="1"/>
  <c r="AG353" i="24" s="1"/>
  <c r="AF353" i="24" s="1"/>
  <c r="AD353" i="24" s="1"/>
  <c r="AI357" i="24"/>
  <c r="AH357" i="24" s="1"/>
  <c r="AG357" i="24" s="1"/>
  <c r="AF357" i="24" s="1"/>
  <c r="AD357" i="24" s="1"/>
  <c r="AI361" i="24"/>
  <c r="AH361" i="24" s="1"/>
  <c r="AG361" i="24" s="1"/>
  <c r="AF361" i="24" s="1"/>
  <c r="AD361" i="24" s="1"/>
  <c r="AI365" i="24"/>
  <c r="AH365" i="24" s="1"/>
  <c r="AG365" i="24" s="1"/>
  <c r="AF365" i="24" s="1"/>
  <c r="AD365" i="24" s="1"/>
  <c r="AI369" i="24"/>
  <c r="AH369" i="24" s="1"/>
  <c r="AG369" i="24" s="1"/>
  <c r="AF369" i="24" s="1"/>
  <c r="AD369" i="24" s="1"/>
  <c r="AI373" i="24"/>
  <c r="AH373" i="24" s="1"/>
  <c r="AG373" i="24" s="1"/>
  <c r="AF373" i="24" s="1"/>
  <c r="AD373" i="24" s="1"/>
  <c r="AI377" i="24"/>
  <c r="AH377" i="24" s="1"/>
  <c r="AG377" i="24" s="1"/>
  <c r="AF377" i="24" s="1"/>
  <c r="AD377" i="24" s="1"/>
  <c r="AI113" i="24"/>
  <c r="AH113" i="24" s="1"/>
  <c r="AG113" i="24" s="1"/>
  <c r="AF113" i="24" s="1"/>
  <c r="AD113" i="24" s="1"/>
  <c r="AI129" i="24"/>
  <c r="AH129" i="24" s="1"/>
  <c r="AG129" i="24" s="1"/>
  <c r="AF129" i="24" s="1"/>
  <c r="AD129" i="24" s="1"/>
  <c r="AI145" i="24"/>
  <c r="AH145" i="24" s="1"/>
  <c r="AG145" i="24" s="1"/>
  <c r="AF145" i="24" s="1"/>
  <c r="AD145" i="24" s="1"/>
  <c r="AI161" i="24"/>
  <c r="AH161" i="24" s="1"/>
  <c r="AG161" i="24" s="1"/>
  <c r="AF161" i="24" s="1"/>
  <c r="AD161" i="24" s="1"/>
  <c r="AI177" i="24"/>
  <c r="AH177" i="24" s="1"/>
  <c r="AG177" i="24" s="1"/>
  <c r="AF177" i="24" s="1"/>
  <c r="AD177" i="24" s="1"/>
  <c r="AI193" i="24"/>
  <c r="AH193" i="24" s="1"/>
  <c r="AG193" i="24" s="1"/>
  <c r="AF193" i="24" s="1"/>
  <c r="AD193" i="24" s="1"/>
  <c r="AI209" i="24"/>
  <c r="AH209" i="24" s="1"/>
  <c r="AG209" i="24" s="1"/>
  <c r="AF209" i="24" s="1"/>
  <c r="AD209" i="24" s="1"/>
  <c r="AI225" i="24"/>
  <c r="AH225" i="24" s="1"/>
  <c r="AG225" i="24" s="1"/>
  <c r="AF225" i="24" s="1"/>
  <c r="AD225" i="24" s="1"/>
  <c r="AI241" i="24"/>
  <c r="AH241" i="24" s="1"/>
  <c r="AG241" i="24" s="1"/>
  <c r="AF241" i="24" s="1"/>
  <c r="AD241" i="24" s="1"/>
  <c r="AI257" i="24"/>
  <c r="AH257" i="24" s="1"/>
  <c r="AG257" i="24" s="1"/>
  <c r="AF257" i="24" s="1"/>
  <c r="AD257" i="24" s="1"/>
  <c r="AI269" i="24"/>
  <c r="AH269" i="24" s="1"/>
  <c r="AG269" i="24" s="1"/>
  <c r="AF269" i="24" s="1"/>
  <c r="AD269" i="24" s="1"/>
  <c r="AI277" i="24"/>
  <c r="AH277" i="24" s="1"/>
  <c r="AG277" i="24" s="1"/>
  <c r="AF277" i="24" s="1"/>
  <c r="AD277" i="24" s="1"/>
  <c r="AI285" i="24"/>
  <c r="AH285" i="24" s="1"/>
  <c r="AG285" i="24" s="1"/>
  <c r="AF285" i="24" s="1"/>
  <c r="AD285" i="24" s="1"/>
  <c r="AI293" i="24"/>
  <c r="AH293" i="24" s="1"/>
  <c r="AG293" i="24" s="1"/>
  <c r="AF293" i="24" s="1"/>
  <c r="AD293" i="24" s="1"/>
  <c r="AI301" i="24"/>
  <c r="AH301" i="24" s="1"/>
  <c r="AG301" i="24" s="1"/>
  <c r="AF301" i="24" s="1"/>
  <c r="AD301" i="24" s="1"/>
  <c r="AI309" i="24"/>
  <c r="AH309" i="24" s="1"/>
  <c r="AG309" i="24" s="1"/>
  <c r="AF309" i="24" s="1"/>
  <c r="AD309" i="24" s="1"/>
  <c r="AI317" i="24"/>
  <c r="AH317" i="24" s="1"/>
  <c r="AG317" i="24" s="1"/>
  <c r="AF317" i="24" s="1"/>
  <c r="AD317" i="24" s="1"/>
  <c r="AI325" i="24"/>
  <c r="AH325" i="24" s="1"/>
  <c r="AG325" i="24" s="1"/>
  <c r="AF325" i="24" s="1"/>
  <c r="AD325" i="24" s="1"/>
  <c r="AI333" i="24"/>
  <c r="AH333" i="24" s="1"/>
  <c r="AG333" i="24" s="1"/>
  <c r="AF333" i="24" s="1"/>
  <c r="AD333" i="24" s="1"/>
  <c r="AI341" i="24"/>
  <c r="AH341" i="24" s="1"/>
  <c r="AG341" i="24" s="1"/>
  <c r="AF341" i="24" s="1"/>
  <c r="AD341" i="24" s="1"/>
  <c r="AI349" i="24"/>
  <c r="AH349" i="24" s="1"/>
  <c r="AG349" i="24" s="1"/>
  <c r="AF349" i="24" s="1"/>
  <c r="AD349" i="24" s="1"/>
  <c r="AI355" i="24"/>
  <c r="AH355" i="24" s="1"/>
  <c r="AG355" i="24" s="1"/>
  <c r="AF355" i="24" s="1"/>
  <c r="AD355" i="24" s="1"/>
  <c r="AI359" i="24"/>
  <c r="AH359" i="24" s="1"/>
  <c r="AG359" i="24" s="1"/>
  <c r="AF359" i="24" s="1"/>
  <c r="AD359" i="24" s="1"/>
  <c r="AI363" i="24"/>
  <c r="AH363" i="24" s="1"/>
  <c r="AG363" i="24" s="1"/>
  <c r="AF363" i="24" s="1"/>
  <c r="AD363" i="24" s="1"/>
  <c r="AI367" i="24"/>
  <c r="AH367" i="24" s="1"/>
  <c r="AG367" i="24" s="1"/>
  <c r="AF367" i="24" s="1"/>
  <c r="AD367" i="24" s="1"/>
  <c r="AI371" i="24"/>
  <c r="AH371" i="24" s="1"/>
  <c r="AG371" i="24" s="1"/>
  <c r="AF371" i="24" s="1"/>
  <c r="AD371" i="24" s="1"/>
  <c r="AI375" i="24"/>
  <c r="AH375" i="24" s="1"/>
  <c r="AG375" i="24" s="1"/>
  <c r="AF375" i="24" s="1"/>
  <c r="AD375" i="24" s="1"/>
  <c r="AI379" i="24"/>
  <c r="U383" i="24"/>
  <c r="U382" i="24"/>
  <c r="Q382" i="25"/>
  <c r="Q383" i="25"/>
  <c r="Q381" i="25"/>
  <c r="E69" i="19"/>
  <c r="I69" i="19"/>
  <c r="C69" i="19"/>
  <c r="F69" i="19"/>
  <c r="G69" i="19"/>
  <c r="L69" i="19"/>
  <c r="AH62" i="7"/>
  <c r="V210" i="24"/>
  <c r="AE381" i="25"/>
  <c r="AE382" i="25"/>
  <c r="AE383" i="25"/>
  <c r="R383" i="23"/>
  <c r="R381" i="23"/>
  <c r="R382" i="23"/>
  <c r="P15" i="23"/>
  <c r="U10" i="25"/>
  <c r="U68" i="25" s="1"/>
  <c r="T68" i="25" s="1"/>
  <c r="S68" i="25" s="1"/>
  <c r="R68" i="25" s="1"/>
  <c r="P68" i="25" s="1"/>
  <c r="V68" i="25" s="1"/>
  <c r="V383" i="22"/>
  <c r="V381" i="22"/>
  <c r="V382" i="22"/>
  <c r="B67" i="19"/>
  <c r="AH67" i="7"/>
  <c r="V363" i="24"/>
  <c r="BE16" i="7"/>
  <c r="U36" i="25"/>
  <c r="T36" i="25" s="1"/>
  <c r="S36" i="25" s="1"/>
  <c r="R36" i="25" s="1"/>
  <c r="P36" i="25" s="1"/>
  <c r="V36" i="25" s="1"/>
  <c r="U300" i="25"/>
  <c r="T300" i="25" s="1"/>
  <c r="S300" i="25" s="1"/>
  <c r="R300" i="25" s="1"/>
  <c r="P300" i="25" s="1"/>
  <c r="V300" i="25" s="1"/>
  <c r="AG15" i="24"/>
  <c r="T381" i="24"/>
  <c r="S15" i="24"/>
  <c r="T382" i="24"/>
  <c r="T383" i="24"/>
  <c r="AH58" i="7"/>
  <c r="V88" i="24"/>
  <c r="AH65" i="7"/>
  <c r="V302" i="24"/>
  <c r="AF381" i="23"/>
  <c r="AF382" i="23"/>
  <c r="AF383" i="23"/>
  <c r="AD15" i="23"/>
  <c r="U358" i="25" l="1"/>
  <c r="T358" i="25" s="1"/>
  <c r="S358" i="25" s="1"/>
  <c r="R358" i="25" s="1"/>
  <c r="P358" i="25" s="1"/>
  <c r="V358" i="25" s="1"/>
  <c r="U236" i="25"/>
  <c r="T236" i="25" s="1"/>
  <c r="S236" i="25" s="1"/>
  <c r="R236" i="25" s="1"/>
  <c r="P236" i="25" s="1"/>
  <c r="V236" i="25" s="1"/>
  <c r="U374" i="25"/>
  <c r="T374" i="25" s="1"/>
  <c r="S374" i="25" s="1"/>
  <c r="R374" i="25" s="1"/>
  <c r="P374" i="25" s="1"/>
  <c r="V374" i="25" s="1"/>
  <c r="U332" i="25"/>
  <c r="T332" i="25" s="1"/>
  <c r="S332" i="25" s="1"/>
  <c r="R332" i="25" s="1"/>
  <c r="P332" i="25" s="1"/>
  <c r="V332" i="25" s="1"/>
  <c r="U268" i="25"/>
  <c r="T268" i="25" s="1"/>
  <c r="S268" i="25" s="1"/>
  <c r="R268" i="25" s="1"/>
  <c r="P268" i="25" s="1"/>
  <c r="V268" i="25" s="1"/>
  <c r="U188" i="25"/>
  <c r="T188" i="25" s="1"/>
  <c r="S188" i="25" s="1"/>
  <c r="R188" i="25" s="1"/>
  <c r="P188" i="25" s="1"/>
  <c r="V188" i="25" s="1"/>
  <c r="U366" i="25"/>
  <c r="T366" i="25" s="1"/>
  <c r="S366" i="25" s="1"/>
  <c r="R366" i="25" s="1"/>
  <c r="P366" i="25" s="1"/>
  <c r="V366" i="25" s="1"/>
  <c r="U348" i="25"/>
  <c r="T348" i="25" s="1"/>
  <c r="S348" i="25" s="1"/>
  <c r="R348" i="25" s="1"/>
  <c r="P348" i="25" s="1"/>
  <c r="V348" i="25" s="1"/>
  <c r="U316" i="25"/>
  <c r="T316" i="25" s="1"/>
  <c r="U284" i="25"/>
  <c r="T284" i="25" s="1"/>
  <c r="S284" i="25" s="1"/>
  <c r="R284" i="25" s="1"/>
  <c r="P284" i="25" s="1"/>
  <c r="V284" i="25" s="1"/>
  <c r="U252" i="25"/>
  <c r="T252" i="25" s="1"/>
  <c r="S252" i="25" s="1"/>
  <c r="R252" i="25" s="1"/>
  <c r="P252" i="25" s="1"/>
  <c r="V252" i="25" s="1"/>
  <c r="U220" i="25"/>
  <c r="T220" i="25" s="1"/>
  <c r="S220" i="25" s="1"/>
  <c r="R220" i="25" s="1"/>
  <c r="P220" i="25" s="1"/>
  <c r="V220" i="25" s="1"/>
  <c r="U132" i="25"/>
  <c r="T132" i="25" s="1"/>
  <c r="S132" i="25" s="1"/>
  <c r="R132" i="25" s="1"/>
  <c r="P132" i="25" s="1"/>
  <c r="V132" i="25" s="1"/>
  <c r="AI383" i="24"/>
  <c r="AI381" i="24"/>
  <c r="AI382" i="24"/>
  <c r="U378" i="25"/>
  <c r="T378" i="25" s="1"/>
  <c r="S378" i="25" s="1"/>
  <c r="R378" i="25" s="1"/>
  <c r="P378" i="25" s="1"/>
  <c r="V378" i="25" s="1"/>
  <c r="U370" i="25"/>
  <c r="T370" i="25" s="1"/>
  <c r="S370" i="25" s="1"/>
  <c r="R370" i="25" s="1"/>
  <c r="P370" i="25" s="1"/>
  <c r="V370" i="25" s="1"/>
  <c r="U362" i="25"/>
  <c r="T362" i="25" s="1"/>
  <c r="S362" i="25" s="1"/>
  <c r="R362" i="25" s="1"/>
  <c r="P362" i="25" s="1"/>
  <c r="V362" i="25" s="1"/>
  <c r="U354" i="25"/>
  <c r="T354" i="25" s="1"/>
  <c r="U340" i="25"/>
  <c r="T340" i="25" s="1"/>
  <c r="S340" i="25" s="1"/>
  <c r="R340" i="25" s="1"/>
  <c r="P340" i="25" s="1"/>
  <c r="V340" i="25" s="1"/>
  <c r="U324" i="25"/>
  <c r="T324" i="25" s="1"/>
  <c r="S324" i="25" s="1"/>
  <c r="R324" i="25" s="1"/>
  <c r="P324" i="25" s="1"/>
  <c r="V324" i="25" s="1"/>
  <c r="U308" i="25"/>
  <c r="T308" i="25" s="1"/>
  <c r="S308" i="25" s="1"/>
  <c r="R308" i="25" s="1"/>
  <c r="P308" i="25" s="1"/>
  <c r="V308" i="25" s="1"/>
  <c r="U292" i="25"/>
  <c r="T292" i="25" s="1"/>
  <c r="S292" i="25" s="1"/>
  <c r="R292" i="25" s="1"/>
  <c r="P292" i="25" s="1"/>
  <c r="V292" i="25" s="1"/>
  <c r="U276" i="25"/>
  <c r="T276" i="25" s="1"/>
  <c r="S276" i="25" s="1"/>
  <c r="R276" i="25" s="1"/>
  <c r="P276" i="25" s="1"/>
  <c r="V276" i="25" s="1"/>
  <c r="U260" i="25"/>
  <c r="T260" i="25" s="1"/>
  <c r="S260" i="25" s="1"/>
  <c r="R260" i="25" s="1"/>
  <c r="P260" i="25" s="1"/>
  <c r="V260" i="25" s="1"/>
  <c r="U244" i="25"/>
  <c r="T244" i="25" s="1"/>
  <c r="S244" i="25" s="1"/>
  <c r="R244" i="25" s="1"/>
  <c r="P244" i="25" s="1"/>
  <c r="V244" i="25" s="1"/>
  <c r="U228" i="25"/>
  <c r="T228" i="25" s="1"/>
  <c r="S228" i="25" s="1"/>
  <c r="R228" i="25" s="1"/>
  <c r="P228" i="25" s="1"/>
  <c r="V228" i="25" s="1"/>
  <c r="U204" i="25"/>
  <c r="T204" i="25" s="1"/>
  <c r="S204" i="25" s="1"/>
  <c r="R204" i="25" s="1"/>
  <c r="P204" i="25" s="1"/>
  <c r="V204" i="25" s="1"/>
  <c r="U164" i="25"/>
  <c r="T164" i="25" s="1"/>
  <c r="S164" i="25" s="1"/>
  <c r="R164" i="25" s="1"/>
  <c r="P164" i="25" s="1"/>
  <c r="V164" i="25" s="1"/>
  <c r="U100" i="25"/>
  <c r="T100" i="25" s="1"/>
  <c r="S100" i="25" s="1"/>
  <c r="R100" i="25" s="1"/>
  <c r="P100" i="25" s="1"/>
  <c r="V100" i="25" s="1"/>
  <c r="AH379" i="24"/>
  <c r="AI12" i="25"/>
  <c r="AI348" i="25" s="1"/>
  <c r="AH348" i="25" s="1"/>
  <c r="AG348" i="25" s="1"/>
  <c r="AF348" i="25" s="1"/>
  <c r="AD348" i="25" s="1"/>
  <c r="U376" i="25"/>
  <c r="T376" i="25" s="1"/>
  <c r="S376" i="25" s="1"/>
  <c r="R376" i="25" s="1"/>
  <c r="P376" i="25" s="1"/>
  <c r="V376" i="25" s="1"/>
  <c r="U372" i="25"/>
  <c r="T372" i="25" s="1"/>
  <c r="S372" i="25" s="1"/>
  <c r="R372" i="25" s="1"/>
  <c r="P372" i="25" s="1"/>
  <c r="V372" i="25" s="1"/>
  <c r="U368" i="25"/>
  <c r="T368" i="25" s="1"/>
  <c r="S368" i="25" s="1"/>
  <c r="R368" i="25" s="1"/>
  <c r="P368" i="25" s="1"/>
  <c r="V368" i="25" s="1"/>
  <c r="U364" i="25"/>
  <c r="T364" i="25" s="1"/>
  <c r="S364" i="25" s="1"/>
  <c r="R364" i="25" s="1"/>
  <c r="P364" i="25" s="1"/>
  <c r="V364" i="25" s="1"/>
  <c r="U360" i="25"/>
  <c r="T360" i="25" s="1"/>
  <c r="S360" i="25" s="1"/>
  <c r="R360" i="25" s="1"/>
  <c r="P360" i="25" s="1"/>
  <c r="V360" i="25" s="1"/>
  <c r="U356" i="25"/>
  <c r="T356" i="25" s="1"/>
  <c r="S356" i="25" s="1"/>
  <c r="R356" i="25" s="1"/>
  <c r="P356" i="25" s="1"/>
  <c r="V356" i="25" s="1"/>
  <c r="U352" i="25"/>
  <c r="T352" i="25" s="1"/>
  <c r="S352" i="25" s="1"/>
  <c r="R352" i="25" s="1"/>
  <c r="P352" i="25" s="1"/>
  <c r="V352" i="25" s="1"/>
  <c r="U344" i="25"/>
  <c r="T344" i="25" s="1"/>
  <c r="S344" i="25" s="1"/>
  <c r="R344" i="25" s="1"/>
  <c r="P344" i="25" s="1"/>
  <c r="V344" i="25" s="1"/>
  <c r="U336" i="25"/>
  <c r="T336" i="25" s="1"/>
  <c r="S336" i="25" s="1"/>
  <c r="R336" i="25" s="1"/>
  <c r="P336" i="25" s="1"/>
  <c r="V336" i="25" s="1"/>
  <c r="U328" i="25"/>
  <c r="T328" i="25" s="1"/>
  <c r="S328" i="25" s="1"/>
  <c r="R328" i="25" s="1"/>
  <c r="P328" i="25" s="1"/>
  <c r="V328" i="25" s="1"/>
  <c r="U320" i="25"/>
  <c r="T320" i="25" s="1"/>
  <c r="S320" i="25" s="1"/>
  <c r="R320" i="25" s="1"/>
  <c r="P320" i="25" s="1"/>
  <c r="V320" i="25" s="1"/>
  <c r="U312" i="25"/>
  <c r="T312" i="25" s="1"/>
  <c r="S312" i="25" s="1"/>
  <c r="R312" i="25" s="1"/>
  <c r="P312" i="25" s="1"/>
  <c r="V312" i="25" s="1"/>
  <c r="U304" i="25"/>
  <c r="T304" i="25" s="1"/>
  <c r="S304" i="25" s="1"/>
  <c r="R304" i="25" s="1"/>
  <c r="P304" i="25" s="1"/>
  <c r="V304" i="25" s="1"/>
  <c r="U296" i="25"/>
  <c r="T296" i="25" s="1"/>
  <c r="S296" i="25" s="1"/>
  <c r="R296" i="25" s="1"/>
  <c r="P296" i="25" s="1"/>
  <c r="V296" i="25" s="1"/>
  <c r="U288" i="25"/>
  <c r="T288" i="25" s="1"/>
  <c r="S288" i="25" s="1"/>
  <c r="R288" i="25" s="1"/>
  <c r="P288" i="25" s="1"/>
  <c r="V288" i="25" s="1"/>
  <c r="U280" i="25"/>
  <c r="T280" i="25" s="1"/>
  <c r="S280" i="25" s="1"/>
  <c r="R280" i="25" s="1"/>
  <c r="P280" i="25" s="1"/>
  <c r="V280" i="25" s="1"/>
  <c r="U272" i="25"/>
  <c r="T272" i="25" s="1"/>
  <c r="S272" i="25" s="1"/>
  <c r="R272" i="25" s="1"/>
  <c r="P272" i="25" s="1"/>
  <c r="AH76" i="7" s="1"/>
  <c r="U264" i="25"/>
  <c r="T264" i="25" s="1"/>
  <c r="S264" i="25" s="1"/>
  <c r="R264" i="25" s="1"/>
  <c r="P264" i="25" s="1"/>
  <c r="V264" i="25" s="1"/>
  <c r="U256" i="25"/>
  <c r="T256" i="25" s="1"/>
  <c r="S256" i="25" s="1"/>
  <c r="R256" i="25" s="1"/>
  <c r="P256" i="25" s="1"/>
  <c r="V256" i="25" s="1"/>
  <c r="U248" i="25"/>
  <c r="T248" i="25" s="1"/>
  <c r="S248" i="25" s="1"/>
  <c r="R248" i="25" s="1"/>
  <c r="P248" i="25" s="1"/>
  <c r="V248" i="25" s="1"/>
  <c r="U240" i="25"/>
  <c r="T240" i="25" s="1"/>
  <c r="S240" i="25" s="1"/>
  <c r="R240" i="25" s="1"/>
  <c r="P240" i="25" s="1"/>
  <c r="V240" i="25" s="1"/>
  <c r="U232" i="25"/>
  <c r="T232" i="25" s="1"/>
  <c r="S232" i="25" s="1"/>
  <c r="R232" i="25" s="1"/>
  <c r="P232" i="25" s="1"/>
  <c r="V232" i="25" s="1"/>
  <c r="U224" i="25"/>
  <c r="T224" i="25" s="1"/>
  <c r="S224" i="25" s="1"/>
  <c r="R224" i="25" s="1"/>
  <c r="P224" i="25" s="1"/>
  <c r="V224" i="25" s="1"/>
  <c r="U212" i="25"/>
  <c r="T212" i="25" s="1"/>
  <c r="S212" i="25" s="1"/>
  <c r="R212" i="25" s="1"/>
  <c r="P212" i="25" s="1"/>
  <c r="V212" i="25" s="1"/>
  <c r="U196" i="25"/>
  <c r="T196" i="25" s="1"/>
  <c r="S196" i="25" s="1"/>
  <c r="R196" i="25" s="1"/>
  <c r="P196" i="25" s="1"/>
  <c r="V196" i="25" s="1"/>
  <c r="U180" i="25"/>
  <c r="T180" i="25" s="1"/>
  <c r="S180" i="25" s="1"/>
  <c r="R180" i="25" s="1"/>
  <c r="P180" i="25" s="1"/>
  <c r="AH73" i="7" s="1"/>
  <c r="U148" i="25"/>
  <c r="T148" i="25" s="1"/>
  <c r="S148" i="25" s="1"/>
  <c r="R148" i="25" s="1"/>
  <c r="P148" i="25" s="1"/>
  <c r="V148" i="25" s="1"/>
  <c r="U116" i="25"/>
  <c r="T116" i="25" s="1"/>
  <c r="S116" i="25" s="1"/>
  <c r="R116" i="25" s="1"/>
  <c r="P116" i="25" s="1"/>
  <c r="V116" i="25" s="1"/>
  <c r="U84" i="25"/>
  <c r="T84" i="25" s="1"/>
  <c r="S84" i="25" s="1"/>
  <c r="R84" i="25" s="1"/>
  <c r="P84" i="25" s="1"/>
  <c r="V84" i="25" s="1"/>
  <c r="U52" i="25"/>
  <c r="T52" i="25" s="1"/>
  <c r="S52" i="25" s="1"/>
  <c r="R52" i="25" s="1"/>
  <c r="P52" i="25" s="1"/>
  <c r="V52" i="25" s="1"/>
  <c r="U18" i="25"/>
  <c r="T18" i="25" s="1"/>
  <c r="S18" i="25" s="1"/>
  <c r="R18" i="25" s="1"/>
  <c r="P18" i="25" s="1"/>
  <c r="V18" i="25" s="1"/>
  <c r="U15" i="25"/>
  <c r="AI296" i="25"/>
  <c r="AH296" i="25" s="1"/>
  <c r="AG296" i="25" s="1"/>
  <c r="AF296" i="25" s="1"/>
  <c r="AD296" i="25" s="1"/>
  <c r="U24" i="25"/>
  <c r="T24" i="25" s="1"/>
  <c r="S24" i="25" s="1"/>
  <c r="R24" i="25" s="1"/>
  <c r="P24" i="25" s="1"/>
  <c r="V24" i="25" s="1"/>
  <c r="U32" i="25"/>
  <c r="T32" i="25" s="1"/>
  <c r="S32" i="25" s="1"/>
  <c r="R32" i="25" s="1"/>
  <c r="P32" i="25" s="1"/>
  <c r="V32" i="25" s="1"/>
  <c r="U40" i="25"/>
  <c r="T40" i="25" s="1"/>
  <c r="S40" i="25" s="1"/>
  <c r="R40" i="25" s="1"/>
  <c r="P40" i="25" s="1"/>
  <c r="V40" i="25" s="1"/>
  <c r="U48" i="25"/>
  <c r="T48" i="25" s="1"/>
  <c r="S48" i="25" s="1"/>
  <c r="R48" i="25" s="1"/>
  <c r="P48" i="25" s="1"/>
  <c r="V48" i="25" s="1"/>
  <c r="U56" i="25"/>
  <c r="T56" i="25" s="1"/>
  <c r="S56" i="25" s="1"/>
  <c r="R56" i="25" s="1"/>
  <c r="P56" i="25" s="1"/>
  <c r="V56" i="25" s="1"/>
  <c r="U64" i="25"/>
  <c r="T64" i="25" s="1"/>
  <c r="S64" i="25" s="1"/>
  <c r="R64" i="25" s="1"/>
  <c r="P64" i="25" s="1"/>
  <c r="V64" i="25" s="1"/>
  <c r="U72" i="25"/>
  <c r="T72" i="25" s="1"/>
  <c r="S72" i="25" s="1"/>
  <c r="R72" i="25" s="1"/>
  <c r="P72" i="25" s="1"/>
  <c r="V72" i="25" s="1"/>
  <c r="U80" i="25"/>
  <c r="T80" i="25" s="1"/>
  <c r="S80" i="25" s="1"/>
  <c r="R80" i="25" s="1"/>
  <c r="P80" i="25" s="1"/>
  <c r="V80" i="25" s="1"/>
  <c r="U88" i="25"/>
  <c r="T88" i="25" s="1"/>
  <c r="S88" i="25" s="1"/>
  <c r="R88" i="25" s="1"/>
  <c r="P88" i="25" s="1"/>
  <c r="V88" i="25" s="1"/>
  <c r="U96" i="25"/>
  <c r="T96" i="25" s="1"/>
  <c r="S96" i="25" s="1"/>
  <c r="R96" i="25" s="1"/>
  <c r="P96" i="25" s="1"/>
  <c r="V96" i="25" s="1"/>
  <c r="U104" i="25"/>
  <c r="T104" i="25" s="1"/>
  <c r="S104" i="25" s="1"/>
  <c r="R104" i="25" s="1"/>
  <c r="P104" i="25" s="1"/>
  <c r="V104" i="25" s="1"/>
  <c r="U112" i="25"/>
  <c r="T112" i="25" s="1"/>
  <c r="S112" i="25" s="1"/>
  <c r="R112" i="25" s="1"/>
  <c r="P112" i="25" s="1"/>
  <c r="V112" i="25" s="1"/>
  <c r="U120" i="25"/>
  <c r="T120" i="25" s="1"/>
  <c r="S120" i="25" s="1"/>
  <c r="R120" i="25" s="1"/>
  <c r="P120" i="25" s="1"/>
  <c r="V120" i="25" s="1"/>
  <c r="U128" i="25"/>
  <c r="T128" i="25" s="1"/>
  <c r="S128" i="25" s="1"/>
  <c r="R128" i="25" s="1"/>
  <c r="P128" i="25" s="1"/>
  <c r="V128" i="25" s="1"/>
  <c r="U136" i="25"/>
  <c r="T136" i="25" s="1"/>
  <c r="S136" i="25" s="1"/>
  <c r="R136" i="25" s="1"/>
  <c r="P136" i="25" s="1"/>
  <c r="V136" i="25" s="1"/>
  <c r="U144" i="25"/>
  <c r="T144" i="25" s="1"/>
  <c r="S144" i="25" s="1"/>
  <c r="R144" i="25" s="1"/>
  <c r="P144" i="25" s="1"/>
  <c r="V144" i="25" s="1"/>
  <c r="U152" i="25"/>
  <c r="T152" i="25" s="1"/>
  <c r="S152" i="25" s="1"/>
  <c r="R152" i="25" s="1"/>
  <c r="P152" i="25" s="1"/>
  <c r="V152" i="25" s="1"/>
  <c r="U160" i="25"/>
  <c r="T160" i="25" s="1"/>
  <c r="S160" i="25" s="1"/>
  <c r="R160" i="25" s="1"/>
  <c r="P160" i="25" s="1"/>
  <c r="V160" i="25" s="1"/>
  <c r="U168" i="25"/>
  <c r="T168" i="25" s="1"/>
  <c r="S168" i="25" s="1"/>
  <c r="R168" i="25" s="1"/>
  <c r="P168" i="25" s="1"/>
  <c r="V168" i="25" s="1"/>
  <c r="U176" i="25"/>
  <c r="T176" i="25" s="1"/>
  <c r="S176" i="25" s="1"/>
  <c r="R176" i="25" s="1"/>
  <c r="P176" i="25" s="1"/>
  <c r="V176" i="25" s="1"/>
  <c r="U182" i="25"/>
  <c r="T182" i="25" s="1"/>
  <c r="S182" i="25" s="1"/>
  <c r="R182" i="25" s="1"/>
  <c r="P182" i="25" s="1"/>
  <c r="V182" i="25" s="1"/>
  <c r="U186" i="25"/>
  <c r="T186" i="25" s="1"/>
  <c r="S186" i="25" s="1"/>
  <c r="R186" i="25" s="1"/>
  <c r="P186" i="25" s="1"/>
  <c r="V186" i="25" s="1"/>
  <c r="U190" i="25"/>
  <c r="T190" i="25" s="1"/>
  <c r="S190" i="25" s="1"/>
  <c r="R190" i="25" s="1"/>
  <c r="P190" i="25" s="1"/>
  <c r="V190" i="25" s="1"/>
  <c r="U194" i="25"/>
  <c r="T194" i="25" s="1"/>
  <c r="S194" i="25" s="1"/>
  <c r="R194" i="25" s="1"/>
  <c r="P194" i="25" s="1"/>
  <c r="V194" i="25" s="1"/>
  <c r="U198" i="25"/>
  <c r="T198" i="25" s="1"/>
  <c r="S198" i="25" s="1"/>
  <c r="R198" i="25" s="1"/>
  <c r="P198" i="25" s="1"/>
  <c r="V198" i="25" s="1"/>
  <c r="U202" i="25"/>
  <c r="T202" i="25" s="1"/>
  <c r="S202" i="25" s="1"/>
  <c r="R202" i="25" s="1"/>
  <c r="P202" i="25" s="1"/>
  <c r="V202" i="25" s="1"/>
  <c r="U206" i="25"/>
  <c r="T206" i="25" s="1"/>
  <c r="S206" i="25" s="1"/>
  <c r="R206" i="25" s="1"/>
  <c r="P206" i="25" s="1"/>
  <c r="V206" i="25" s="1"/>
  <c r="U210" i="25"/>
  <c r="T210" i="25" s="1"/>
  <c r="S210" i="25" s="1"/>
  <c r="R210" i="25" s="1"/>
  <c r="P210" i="25" s="1"/>
  <c r="V210" i="25" s="1"/>
  <c r="U214" i="25"/>
  <c r="T214" i="25" s="1"/>
  <c r="S214" i="25" s="1"/>
  <c r="R214" i="25" s="1"/>
  <c r="P214" i="25" s="1"/>
  <c r="V214" i="25" s="1"/>
  <c r="U218" i="25"/>
  <c r="T218" i="25" s="1"/>
  <c r="S218" i="25" s="1"/>
  <c r="R218" i="25" s="1"/>
  <c r="P218" i="25" s="1"/>
  <c r="V218" i="25" s="1"/>
  <c r="U222" i="25"/>
  <c r="T222" i="25" s="1"/>
  <c r="S222" i="25" s="1"/>
  <c r="R222" i="25" s="1"/>
  <c r="P222" i="25" s="1"/>
  <c r="V222" i="25" s="1"/>
  <c r="U226" i="25"/>
  <c r="T226" i="25" s="1"/>
  <c r="S226" i="25" s="1"/>
  <c r="R226" i="25" s="1"/>
  <c r="P226" i="25" s="1"/>
  <c r="V226" i="25" s="1"/>
  <c r="U230" i="25"/>
  <c r="T230" i="25" s="1"/>
  <c r="S230" i="25" s="1"/>
  <c r="R230" i="25" s="1"/>
  <c r="P230" i="25" s="1"/>
  <c r="V230" i="25" s="1"/>
  <c r="U234" i="25"/>
  <c r="T234" i="25" s="1"/>
  <c r="S234" i="25" s="1"/>
  <c r="R234" i="25" s="1"/>
  <c r="P234" i="25" s="1"/>
  <c r="V234" i="25" s="1"/>
  <c r="U238" i="25"/>
  <c r="T238" i="25" s="1"/>
  <c r="S238" i="25" s="1"/>
  <c r="R238" i="25" s="1"/>
  <c r="P238" i="25" s="1"/>
  <c r="V238" i="25" s="1"/>
  <c r="U242" i="25"/>
  <c r="T242" i="25" s="1"/>
  <c r="S242" i="25" s="1"/>
  <c r="R242" i="25" s="1"/>
  <c r="P242" i="25" s="1"/>
  <c r="V242" i="25" s="1"/>
  <c r="U246" i="25"/>
  <c r="T246" i="25" s="1"/>
  <c r="S246" i="25" s="1"/>
  <c r="R246" i="25" s="1"/>
  <c r="P246" i="25" s="1"/>
  <c r="V246" i="25" s="1"/>
  <c r="U250" i="25"/>
  <c r="T250" i="25" s="1"/>
  <c r="S250" i="25" s="1"/>
  <c r="R250" i="25" s="1"/>
  <c r="P250" i="25" s="1"/>
  <c r="V250" i="25" s="1"/>
  <c r="U254" i="25"/>
  <c r="T254" i="25" s="1"/>
  <c r="S254" i="25" s="1"/>
  <c r="R254" i="25" s="1"/>
  <c r="P254" i="25" s="1"/>
  <c r="V254" i="25" s="1"/>
  <c r="U258" i="25"/>
  <c r="T258" i="25" s="1"/>
  <c r="S258" i="25" s="1"/>
  <c r="R258" i="25" s="1"/>
  <c r="P258" i="25" s="1"/>
  <c r="V258" i="25" s="1"/>
  <c r="U262" i="25"/>
  <c r="T262" i="25" s="1"/>
  <c r="S262" i="25" s="1"/>
  <c r="R262" i="25" s="1"/>
  <c r="P262" i="25" s="1"/>
  <c r="V262" i="25" s="1"/>
  <c r="U266" i="25"/>
  <c r="T266" i="25" s="1"/>
  <c r="S266" i="25" s="1"/>
  <c r="R266" i="25" s="1"/>
  <c r="P266" i="25" s="1"/>
  <c r="V266" i="25" s="1"/>
  <c r="U270" i="25"/>
  <c r="T270" i="25" s="1"/>
  <c r="S270" i="25" s="1"/>
  <c r="R270" i="25" s="1"/>
  <c r="P270" i="25" s="1"/>
  <c r="V270" i="25" s="1"/>
  <c r="U274" i="25"/>
  <c r="T274" i="25" s="1"/>
  <c r="S274" i="25" s="1"/>
  <c r="R274" i="25" s="1"/>
  <c r="P274" i="25" s="1"/>
  <c r="V274" i="25" s="1"/>
  <c r="U278" i="25"/>
  <c r="T278" i="25" s="1"/>
  <c r="U282" i="25"/>
  <c r="T282" i="25" s="1"/>
  <c r="S282" i="25" s="1"/>
  <c r="R282" i="25" s="1"/>
  <c r="P282" i="25" s="1"/>
  <c r="V282" i="25" s="1"/>
  <c r="U286" i="25"/>
  <c r="T286" i="25" s="1"/>
  <c r="S286" i="25" s="1"/>
  <c r="R286" i="25" s="1"/>
  <c r="P286" i="25" s="1"/>
  <c r="V286" i="25" s="1"/>
  <c r="U290" i="25"/>
  <c r="T290" i="25" s="1"/>
  <c r="S290" i="25" s="1"/>
  <c r="R290" i="25" s="1"/>
  <c r="P290" i="25" s="1"/>
  <c r="V290" i="25" s="1"/>
  <c r="U294" i="25"/>
  <c r="T294" i="25" s="1"/>
  <c r="S294" i="25" s="1"/>
  <c r="R294" i="25" s="1"/>
  <c r="P294" i="25" s="1"/>
  <c r="V294" i="25" s="1"/>
  <c r="U298" i="25"/>
  <c r="T298" i="25" s="1"/>
  <c r="S298" i="25" s="1"/>
  <c r="R298" i="25" s="1"/>
  <c r="P298" i="25" s="1"/>
  <c r="V298" i="25" s="1"/>
  <c r="U302" i="25"/>
  <c r="T302" i="25" s="1"/>
  <c r="S302" i="25" s="1"/>
  <c r="R302" i="25" s="1"/>
  <c r="P302" i="25" s="1"/>
  <c r="V302" i="25" s="1"/>
  <c r="U306" i="25"/>
  <c r="T306" i="25" s="1"/>
  <c r="S306" i="25" s="1"/>
  <c r="R306" i="25" s="1"/>
  <c r="P306" i="25" s="1"/>
  <c r="V306" i="25" s="1"/>
  <c r="U310" i="25"/>
  <c r="T310" i="25" s="1"/>
  <c r="S310" i="25" s="1"/>
  <c r="R310" i="25" s="1"/>
  <c r="P310" i="25" s="1"/>
  <c r="V310" i="25" s="1"/>
  <c r="U314" i="25"/>
  <c r="T314" i="25" s="1"/>
  <c r="S314" i="25" s="1"/>
  <c r="R314" i="25" s="1"/>
  <c r="P314" i="25" s="1"/>
  <c r="V314" i="25" s="1"/>
  <c r="U318" i="25"/>
  <c r="T318" i="25" s="1"/>
  <c r="S318" i="25" s="1"/>
  <c r="R318" i="25" s="1"/>
  <c r="P318" i="25" s="1"/>
  <c r="V318" i="25" s="1"/>
  <c r="U322" i="25"/>
  <c r="T322" i="25" s="1"/>
  <c r="S322" i="25" s="1"/>
  <c r="R322" i="25" s="1"/>
  <c r="P322" i="25" s="1"/>
  <c r="V322" i="25" s="1"/>
  <c r="U326" i="25"/>
  <c r="T326" i="25" s="1"/>
  <c r="S326" i="25" s="1"/>
  <c r="R326" i="25" s="1"/>
  <c r="P326" i="25" s="1"/>
  <c r="V326" i="25" s="1"/>
  <c r="U330" i="25"/>
  <c r="T330" i="25" s="1"/>
  <c r="S330" i="25" s="1"/>
  <c r="R330" i="25" s="1"/>
  <c r="P330" i="25" s="1"/>
  <c r="V330" i="25" s="1"/>
  <c r="U334" i="25"/>
  <c r="T334" i="25" s="1"/>
  <c r="S334" i="25" s="1"/>
  <c r="R334" i="25" s="1"/>
  <c r="P334" i="25" s="1"/>
  <c r="V334" i="25" s="1"/>
  <c r="U338" i="25"/>
  <c r="T338" i="25" s="1"/>
  <c r="S338" i="25" s="1"/>
  <c r="R338" i="25" s="1"/>
  <c r="P338" i="25" s="1"/>
  <c r="V338" i="25" s="1"/>
  <c r="U342" i="25"/>
  <c r="T342" i="25" s="1"/>
  <c r="S342" i="25" s="1"/>
  <c r="R342" i="25" s="1"/>
  <c r="P342" i="25" s="1"/>
  <c r="V342" i="25" s="1"/>
  <c r="U346" i="25"/>
  <c r="T346" i="25" s="1"/>
  <c r="S346" i="25" s="1"/>
  <c r="R346" i="25" s="1"/>
  <c r="P346" i="25" s="1"/>
  <c r="V346" i="25" s="1"/>
  <c r="U350" i="25"/>
  <c r="T350" i="25" s="1"/>
  <c r="S350" i="25" s="1"/>
  <c r="R350" i="25" s="1"/>
  <c r="P350" i="25" s="1"/>
  <c r="V350" i="25" s="1"/>
  <c r="U216" i="25"/>
  <c r="T216" i="25" s="1"/>
  <c r="S216" i="25" s="1"/>
  <c r="R216" i="25" s="1"/>
  <c r="P216" i="25" s="1"/>
  <c r="V216" i="25" s="1"/>
  <c r="U208" i="25"/>
  <c r="T208" i="25" s="1"/>
  <c r="S208" i="25" s="1"/>
  <c r="R208" i="25" s="1"/>
  <c r="P208" i="25" s="1"/>
  <c r="V208" i="25" s="1"/>
  <c r="U200" i="25"/>
  <c r="T200" i="25" s="1"/>
  <c r="S200" i="25" s="1"/>
  <c r="R200" i="25" s="1"/>
  <c r="P200" i="25" s="1"/>
  <c r="V200" i="25" s="1"/>
  <c r="U192" i="25"/>
  <c r="T192" i="25" s="1"/>
  <c r="S192" i="25" s="1"/>
  <c r="R192" i="25" s="1"/>
  <c r="P192" i="25" s="1"/>
  <c r="V192" i="25" s="1"/>
  <c r="U184" i="25"/>
  <c r="T184" i="25" s="1"/>
  <c r="S184" i="25" s="1"/>
  <c r="R184" i="25" s="1"/>
  <c r="P184" i="25" s="1"/>
  <c r="V184" i="25" s="1"/>
  <c r="U172" i="25"/>
  <c r="T172" i="25" s="1"/>
  <c r="S172" i="25" s="1"/>
  <c r="R172" i="25" s="1"/>
  <c r="P172" i="25" s="1"/>
  <c r="V172" i="25" s="1"/>
  <c r="U156" i="25"/>
  <c r="T156" i="25" s="1"/>
  <c r="S156" i="25" s="1"/>
  <c r="R156" i="25" s="1"/>
  <c r="P156" i="25" s="1"/>
  <c r="V156" i="25" s="1"/>
  <c r="U140" i="25"/>
  <c r="T140" i="25" s="1"/>
  <c r="S140" i="25" s="1"/>
  <c r="R140" i="25" s="1"/>
  <c r="P140" i="25" s="1"/>
  <c r="V140" i="25" s="1"/>
  <c r="U124" i="25"/>
  <c r="T124" i="25" s="1"/>
  <c r="S124" i="25" s="1"/>
  <c r="R124" i="25" s="1"/>
  <c r="P124" i="25" s="1"/>
  <c r="V124" i="25" s="1"/>
  <c r="U108" i="25"/>
  <c r="T108" i="25" s="1"/>
  <c r="S108" i="25" s="1"/>
  <c r="R108" i="25" s="1"/>
  <c r="P108" i="25" s="1"/>
  <c r="V108" i="25" s="1"/>
  <c r="U92" i="25"/>
  <c r="T92" i="25" s="1"/>
  <c r="S92" i="25" s="1"/>
  <c r="R92" i="25" s="1"/>
  <c r="P92" i="25" s="1"/>
  <c r="V92" i="25" s="1"/>
  <c r="U76" i="25"/>
  <c r="T76" i="25" s="1"/>
  <c r="S76" i="25" s="1"/>
  <c r="R76" i="25" s="1"/>
  <c r="P76" i="25" s="1"/>
  <c r="V76" i="25" s="1"/>
  <c r="U60" i="25"/>
  <c r="T60" i="25" s="1"/>
  <c r="S60" i="25" s="1"/>
  <c r="R60" i="25" s="1"/>
  <c r="P60" i="25" s="1"/>
  <c r="U44" i="25"/>
  <c r="T44" i="25" s="1"/>
  <c r="S44" i="25" s="1"/>
  <c r="R44" i="25" s="1"/>
  <c r="P44" i="25" s="1"/>
  <c r="V44" i="25" s="1"/>
  <c r="U28" i="25"/>
  <c r="T28" i="25" s="1"/>
  <c r="S28" i="25" s="1"/>
  <c r="R28" i="25" s="1"/>
  <c r="P28" i="25" s="1"/>
  <c r="V28" i="25" s="1"/>
  <c r="AI356" i="25"/>
  <c r="AH356" i="25" s="1"/>
  <c r="AG356" i="25" s="1"/>
  <c r="AF356" i="25" s="1"/>
  <c r="AD356" i="25" s="1"/>
  <c r="AI292" i="25"/>
  <c r="AH292" i="25" s="1"/>
  <c r="AG292" i="25" s="1"/>
  <c r="AF292" i="25" s="1"/>
  <c r="AD292" i="25" s="1"/>
  <c r="AI150" i="25"/>
  <c r="AH150" i="25" s="1"/>
  <c r="AG150" i="25" s="1"/>
  <c r="AF150" i="25" s="1"/>
  <c r="AD150" i="25" s="1"/>
  <c r="AI19" i="25"/>
  <c r="AH19" i="25" s="1"/>
  <c r="AG19" i="25" s="1"/>
  <c r="AF19" i="25" s="1"/>
  <c r="AD19" i="25" s="1"/>
  <c r="AI58" i="25"/>
  <c r="AH58" i="25" s="1"/>
  <c r="AG58" i="25" s="1"/>
  <c r="AF58" i="25" s="1"/>
  <c r="AD58" i="25" s="1"/>
  <c r="AI90" i="25"/>
  <c r="AH90" i="25" s="1"/>
  <c r="AG90" i="25" s="1"/>
  <c r="AF90" i="25" s="1"/>
  <c r="AD90" i="25" s="1"/>
  <c r="AI108" i="25"/>
  <c r="AH108" i="25" s="1"/>
  <c r="AG108" i="25" s="1"/>
  <c r="AF108" i="25" s="1"/>
  <c r="AD108" i="25" s="1"/>
  <c r="AI124" i="25"/>
  <c r="AH124" i="25" s="1"/>
  <c r="AG124" i="25" s="1"/>
  <c r="AF124" i="25" s="1"/>
  <c r="AD124" i="25" s="1"/>
  <c r="AI140" i="25"/>
  <c r="AH140" i="25" s="1"/>
  <c r="AG140" i="25" s="1"/>
  <c r="AF140" i="25" s="1"/>
  <c r="AD140" i="25" s="1"/>
  <c r="AI156" i="25"/>
  <c r="AH156" i="25" s="1"/>
  <c r="AG156" i="25" s="1"/>
  <c r="AF156" i="25" s="1"/>
  <c r="AD156" i="25" s="1"/>
  <c r="AI172" i="25"/>
  <c r="AH172" i="25" s="1"/>
  <c r="AG172" i="25" s="1"/>
  <c r="AF172" i="25" s="1"/>
  <c r="AD172" i="25" s="1"/>
  <c r="AI186" i="25"/>
  <c r="AH186" i="25" s="1"/>
  <c r="AG186" i="25" s="1"/>
  <c r="AF186" i="25" s="1"/>
  <c r="AD186" i="25" s="1"/>
  <c r="AI194" i="25"/>
  <c r="AH194" i="25" s="1"/>
  <c r="AG194" i="25" s="1"/>
  <c r="AF194" i="25" s="1"/>
  <c r="AD194" i="25" s="1"/>
  <c r="AI202" i="25"/>
  <c r="AH202" i="25" s="1"/>
  <c r="AG202" i="25" s="1"/>
  <c r="AF202" i="25" s="1"/>
  <c r="AD202" i="25" s="1"/>
  <c r="AI210" i="25"/>
  <c r="AH210" i="25" s="1"/>
  <c r="AG210" i="25" s="1"/>
  <c r="AF210" i="25" s="1"/>
  <c r="AD210" i="25" s="1"/>
  <c r="AI218" i="25"/>
  <c r="AH218" i="25" s="1"/>
  <c r="AG218" i="25" s="1"/>
  <c r="AF218" i="25" s="1"/>
  <c r="AD218" i="25" s="1"/>
  <c r="AI226" i="25"/>
  <c r="AH226" i="25" s="1"/>
  <c r="AG226" i="25" s="1"/>
  <c r="AF226" i="25" s="1"/>
  <c r="AD226" i="25" s="1"/>
  <c r="AI234" i="25"/>
  <c r="AH234" i="25" s="1"/>
  <c r="AG234" i="25" s="1"/>
  <c r="AF234" i="25" s="1"/>
  <c r="AD234" i="25" s="1"/>
  <c r="AI242" i="25"/>
  <c r="AH242" i="25" s="1"/>
  <c r="AG242" i="25" s="1"/>
  <c r="AF242" i="25" s="1"/>
  <c r="AD242" i="25" s="1"/>
  <c r="AI250" i="25"/>
  <c r="AH250" i="25" s="1"/>
  <c r="AG250" i="25" s="1"/>
  <c r="AF250" i="25" s="1"/>
  <c r="AD250" i="25" s="1"/>
  <c r="AI258" i="25"/>
  <c r="AH258" i="25" s="1"/>
  <c r="AG258" i="25" s="1"/>
  <c r="AF258" i="25" s="1"/>
  <c r="AD258" i="25" s="1"/>
  <c r="AI266" i="25"/>
  <c r="AH266" i="25" s="1"/>
  <c r="AG266" i="25" s="1"/>
  <c r="AF266" i="25" s="1"/>
  <c r="AD266" i="25" s="1"/>
  <c r="AI274" i="25"/>
  <c r="AH274" i="25" s="1"/>
  <c r="AG274" i="25" s="1"/>
  <c r="AF274" i="25" s="1"/>
  <c r="AD274" i="25" s="1"/>
  <c r="AI282" i="25"/>
  <c r="AH282" i="25" s="1"/>
  <c r="AG282" i="25" s="1"/>
  <c r="AF282" i="25" s="1"/>
  <c r="AD282" i="25" s="1"/>
  <c r="AI15" i="25"/>
  <c r="AH15" i="25" s="1"/>
  <c r="AI86" i="25"/>
  <c r="AH86" i="25" s="1"/>
  <c r="AG86" i="25" s="1"/>
  <c r="AF86" i="25" s="1"/>
  <c r="AD86" i="25" s="1"/>
  <c r="AI122" i="25"/>
  <c r="AH122" i="25" s="1"/>
  <c r="AG122" i="25" s="1"/>
  <c r="AF122" i="25" s="1"/>
  <c r="AD122" i="25" s="1"/>
  <c r="AI154" i="25"/>
  <c r="AH154" i="25" s="1"/>
  <c r="AG154" i="25" s="1"/>
  <c r="AF154" i="25" s="1"/>
  <c r="AD154" i="25" s="1"/>
  <c r="AI185" i="25"/>
  <c r="AH185" i="25" s="1"/>
  <c r="AG185" i="25" s="1"/>
  <c r="AF185" i="25" s="1"/>
  <c r="AD185" i="25" s="1"/>
  <c r="AI201" i="25"/>
  <c r="AH201" i="25" s="1"/>
  <c r="AG201" i="25" s="1"/>
  <c r="AF201" i="25" s="1"/>
  <c r="AD201" i="25" s="1"/>
  <c r="AI217" i="25"/>
  <c r="AH217" i="25" s="1"/>
  <c r="AG217" i="25" s="1"/>
  <c r="AF217" i="25" s="1"/>
  <c r="AD217" i="25" s="1"/>
  <c r="AI233" i="25"/>
  <c r="AH233" i="25" s="1"/>
  <c r="AG233" i="25" s="1"/>
  <c r="AF233" i="25" s="1"/>
  <c r="AD233" i="25" s="1"/>
  <c r="AI249" i="25"/>
  <c r="AH249" i="25" s="1"/>
  <c r="AG249" i="25" s="1"/>
  <c r="AF249" i="25" s="1"/>
  <c r="AD249" i="25" s="1"/>
  <c r="AI265" i="25"/>
  <c r="AH265" i="25" s="1"/>
  <c r="AG265" i="25" s="1"/>
  <c r="AF265" i="25" s="1"/>
  <c r="AD265" i="25" s="1"/>
  <c r="AI281" i="25"/>
  <c r="AH281" i="25" s="1"/>
  <c r="AG281" i="25" s="1"/>
  <c r="AF281" i="25" s="1"/>
  <c r="AD281" i="25" s="1"/>
  <c r="AI293" i="25"/>
  <c r="AH293" i="25" s="1"/>
  <c r="AG293" i="25" s="1"/>
  <c r="AF293" i="25" s="1"/>
  <c r="AD293" i="25" s="1"/>
  <c r="AI301" i="25"/>
  <c r="AH301" i="25" s="1"/>
  <c r="AG301" i="25" s="1"/>
  <c r="AF301" i="25" s="1"/>
  <c r="AD301" i="25" s="1"/>
  <c r="AI309" i="25"/>
  <c r="AH309" i="25" s="1"/>
  <c r="AG309" i="25" s="1"/>
  <c r="AF309" i="25" s="1"/>
  <c r="AD309" i="25" s="1"/>
  <c r="AI317" i="25"/>
  <c r="AH317" i="25" s="1"/>
  <c r="AG317" i="25" s="1"/>
  <c r="AF317" i="25" s="1"/>
  <c r="AD317" i="25" s="1"/>
  <c r="AI325" i="25"/>
  <c r="AH325" i="25" s="1"/>
  <c r="AG325" i="25" s="1"/>
  <c r="AF325" i="25" s="1"/>
  <c r="AD325" i="25" s="1"/>
  <c r="AI333" i="25"/>
  <c r="AH333" i="25" s="1"/>
  <c r="AG333" i="25" s="1"/>
  <c r="AF333" i="25" s="1"/>
  <c r="AD333" i="25" s="1"/>
  <c r="AI341" i="25"/>
  <c r="AH341" i="25" s="1"/>
  <c r="AG341" i="25" s="1"/>
  <c r="AF341" i="25" s="1"/>
  <c r="AD341" i="25" s="1"/>
  <c r="AI349" i="25"/>
  <c r="AH349" i="25" s="1"/>
  <c r="AG349" i="25" s="1"/>
  <c r="AF349" i="25" s="1"/>
  <c r="AD349" i="25" s="1"/>
  <c r="AI357" i="25"/>
  <c r="AH357" i="25" s="1"/>
  <c r="AG357" i="25" s="1"/>
  <c r="AF357" i="25" s="1"/>
  <c r="AD357" i="25" s="1"/>
  <c r="AI365" i="25"/>
  <c r="AH365" i="25" s="1"/>
  <c r="AG365" i="25" s="1"/>
  <c r="AF365" i="25" s="1"/>
  <c r="AD365" i="25" s="1"/>
  <c r="AI373" i="25"/>
  <c r="AH373" i="25" s="1"/>
  <c r="AG373" i="25" s="1"/>
  <c r="AF373" i="25" s="1"/>
  <c r="AD373" i="25" s="1"/>
  <c r="U19" i="25"/>
  <c r="T19" i="25" s="1"/>
  <c r="S19" i="25" s="1"/>
  <c r="R19" i="25" s="1"/>
  <c r="P19" i="25" s="1"/>
  <c r="V19" i="25" s="1"/>
  <c r="U21" i="25"/>
  <c r="T21" i="25" s="1"/>
  <c r="S21" i="25" s="1"/>
  <c r="R21" i="25" s="1"/>
  <c r="P21" i="25" s="1"/>
  <c r="V21" i="25" s="1"/>
  <c r="U26" i="25"/>
  <c r="T26" i="25" s="1"/>
  <c r="S26" i="25" s="1"/>
  <c r="R26" i="25" s="1"/>
  <c r="P26" i="25" s="1"/>
  <c r="V26" i="25" s="1"/>
  <c r="U23" i="25"/>
  <c r="T23" i="25" s="1"/>
  <c r="S23" i="25" s="1"/>
  <c r="R23" i="25" s="1"/>
  <c r="P23" i="25" s="1"/>
  <c r="V23" i="25" s="1"/>
  <c r="U25" i="25"/>
  <c r="T25" i="25" s="1"/>
  <c r="S25" i="25" s="1"/>
  <c r="R25" i="25" s="1"/>
  <c r="P25" i="25" s="1"/>
  <c r="V25" i="25" s="1"/>
  <c r="U22" i="25"/>
  <c r="T22" i="25" s="1"/>
  <c r="S22" i="25" s="1"/>
  <c r="R22" i="25" s="1"/>
  <c r="P22" i="25" s="1"/>
  <c r="V22" i="25" s="1"/>
  <c r="U29" i="25"/>
  <c r="T29" i="25" s="1"/>
  <c r="S29" i="25" s="1"/>
  <c r="R29" i="25" s="1"/>
  <c r="P29" i="25" s="1"/>
  <c r="AH68" i="7" s="1"/>
  <c r="U31" i="25"/>
  <c r="T31" i="25" s="1"/>
  <c r="S31" i="25" s="1"/>
  <c r="R31" i="25" s="1"/>
  <c r="P31" i="25" s="1"/>
  <c r="V31" i="25" s="1"/>
  <c r="U33" i="25"/>
  <c r="T33" i="25" s="1"/>
  <c r="S33" i="25" s="1"/>
  <c r="R33" i="25" s="1"/>
  <c r="P33" i="25" s="1"/>
  <c r="V33" i="25" s="1"/>
  <c r="U35" i="25"/>
  <c r="T35" i="25" s="1"/>
  <c r="S35" i="25" s="1"/>
  <c r="R35" i="25" s="1"/>
  <c r="P35" i="25" s="1"/>
  <c r="V35" i="25" s="1"/>
  <c r="U37" i="25"/>
  <c r="T37" i="25" s="1"/>
  <c r="S37" i="25" s="1"/>
  <c r="R37" i="25" s="1"/>
  <c r="P37" i="25" s="1"/>
  <c r="V37" i="25" s="1"/>
  <c r="U39" i="25"/>
  <c r="T39" i="25" s="1"/>
  <c r="S39" i="25" s="1"/>
  <c r="R39" i="25" s="1"/>
  <c r="P39" i="25" s="1"/>
  <c r="V39" i="25" s="1"/>
  <c r="U41" i="25"/>
  <c r="T41" i="25" s="1"/>
  <c r="S41" i="25" s="1"/>
  <c r="R41" i="25" s="1"/>
  <c r="P41" i="25" s="1"/>
  <c r="V41" i="25" s="1"/>
  <c r="U43" i="25"/>
  <c r="T43" i="25" s="1"/>
  <c r="S43" i="25" s="1"/>
  <c r="R43" i="25" s="1"/>
  <c r="P43" i="25" s="1"/>
  <c r="V43" i="25" s="1"/>
  <c r="U45" i="25"/>
  <c r="T45" i="25" s="1"/>
  <c r="S45" i="25" s="1"/>
  <c r="R45" i="25" s="1"/>
  <c r="P45" i="25" s="1"/>
  <c r="V45" i="25" s="1"/>
  <c r="U47" i="25"/>
  <c r="T47" i="25" s="1"/>
  <c r="S47" i="25" s="1"/>
  <c r="R47" i="25" s="1"/>
  <c r="P47" i="25" s="1"/>
  <c r="V47" i="25" s="1"/>
  <c r="U49" i="25"/>
  <c r="T49" i="25" s="1"/>
  <c r="S49" i="25" s="1"/>
  <c r="R49" i="25" s="1"/>
  <c r="P49" i="25" s="1"/>
  <c r="V49" i="25" s="1"/>
  <c r="U51" i="25"/>
  <c r="T51" i="25" s="1"/>
  <c r="S51" i="25" s="1"/>
  <c r="R51" i="25" s="1"/>
  <c r="P51" i="25" s="1"/>
  <c r="V51" i="25" s="1"/>
  <c r="U53" i="25"/>
  <c r="T53" i="25" s="1"/>
  <c r="S53" i="25" s="1"/>
  <c r="R53" i="25" s="1"/>
  <c r="P53" i="25" s="1"/>
  <c r="V53" i="25" s="1"/>
  <c r="U55" i="25"/>
  <c r="T55" i="25" s="1"/>
  <c r="S55" i="25" s="1"/>
  <c r="R55" i="25" s="1"/>
  <c r="P55" i="25" s="1"/>
  <c r="V55" i="25" s="1"/>
  <c r="U57" i="25"/>
  <c r="T57" i="25" s="1"/>
  <c r="S57" i="25" s="1"/>
  <c r="R57" i="25" s="1"/>
  <c r="P57" i="25" s="1"/>
  <c r="V57" i="25" s="1"/>
  <c r="U59" i="25"/>
  <c r="T59" i="25" s="1"/>
  <c r="S59" i="25" s="1"/>
  <c r="R59" i="25" s="1"/>
  <c r="P59" i="25" s="1"/>
  <c r="V59" i="25" s="1"/>
  <c r="U61" i="25"/>
  <c r="T61" i="25" s="1"/>
  <c r="S61" i="25" s="1"/>
  <c r="R61" i="25" s="1"/>
  <c r="P61" i="25" s="1"/>
  <c r="V61" i="25" s="1"/>
  <c r="U63" i="25"/>
  <c r="T63" i="25" s="1"/>
  <c r="S63" i="25" s="1"/>
  <c r="R63" i="25" s="1"/>
  <c r="P63" i="25" s="1"/>
  <c r="V63" i="25" s="1"/>
  <c r="U65" i="25"/>
  <c r="T65" i="25" s="1"/>
  <c r="S65" i="25" s="1"/>
  <c r="R65" i="25" s="1"/>
  <c r="P65" i="25" s="1"/>
  <c r="V65" i="25" s="1"/>
  <c r="U67" i="25"/>
  <c r="T67" i="25" s="1"/>
  <c r="S67" i="25" s="1"/>
  <c r="R67" i="25" s="1"/>
  <c r="P67" i="25" s="1"/>
  <c r="V67" i="25" s="1"/>
  <c r="U69" i="25"/>
  <c r="T69" i="25" s="1"/>
  <c r="S69" i="25" s="1"/>
  <c r="R69" i="25" s="1"/>
  <c r="P69" i="25" s="1"/>
  <c r="V69" i="25" s="1"/>
  <c r="U71" i="25"/>
  <c r="T71" i="25" s="1"/>
  <c r="S71" i="25" s="1"/>
  <c r="R71" i="25" s="1"/>
  <c r="P71" i="25" s="1"/>
  <c r="V71" i="25" s="1"/>
  <c r="U73" i="25"/>
  <c r="T73" i="25" s="1"/>
  <c r="S73" i="25" s="1"/>
  <c r="R73" i="25" s="1"/>
  <c r="P73" i="25" s="1"/>
  <c r="V73" i="25" s="1"/>
  <c r="U75" i="25"/>
  <c r="T75" i="25" s="1"/>
  <c r="S75" i="25" s="1"/>
  <c r="R75" i="25" s="1"/>
  <c r="P75" i="25" s="1"/>
  <c r="V75" i="25" s="1"/>
  <c r="U77" i="25"/>
  <c r="T77" i="25" s="1"/>
  <c r="S77" i="25" s="1"/>
  <c r="R77" i="25" s="1"/>
  <c r="P77" i="25" s="1"/>
  <c r="V77" i="25" s="1"/>
  <c r="U79" i="25"/>
  <c r="T79" i="25" s="1"/>
  <c r="S79" i="25" s="1"/>
  <c r="R79" i="25" s="1"/>
  <c r="P79" i="25" s="1"/>
  <c r="V79" i="25" s="1"/>
  <c r="U81" i="25"/>
  <c r="T81" i="25" s="1"/>
  <c r="S81" i="25" s="1"/>
  <c r="R81" i="25" s="1"/>
  <c r="P81" i="25" s="1"/>
  <c r="V81" i="25" s="1"/>
  <c r="U83" i="25"/>
  <c r="T83" i="25" s="1"/>
  <c r="S83" i="25" s="1"/>
  <c r="R83" i="25" s="1"/>
  <c r="P83" i="25" s="1"/>
  <c r="V83" i="25" s="1"/>
  <c r="U85" i="25"/>
  <c r="T85" i="25" s="1"/>
  <c r="S85" i="25" s="1"/>
  <c r="R85" i="25" s="1"/>
  <c r="P85" i="25" s="1"/>
  <c r="V85" i="25" s="1"/>
  <c r="U87" i="25"/>
  <c r="T87" i="25" s="1"/>
  <c r="S87" i="25" s="1"/>
  <c r="R87" i="25" s="1"/>
  <c r="P87" i="25" s="1"/>
  <c r="V87" i="25" s="1"/>
  <c r="U89" i="25"/>
  <c r="T89" i="25" s="1"/>
  <c r="S89" i="25" s="1"/>
  <c r="R89" i="25" s="1"/>
  <c r="P89" i="25" s="1"/>
  <c r="V89" i="25" s="1"/>
  <c r="U91" i="25"/>
  <c r="T91" i="25" s="1"/>
  <c r="S91" i="25" s="1"/>
  <c r="R91" i="25" s="1"/>
  <c r="P91" i="25" s="1"/>
  <c r="V91" i="25" s="1"/>
  <c r="U93" i="25"/>
  <c r="T93" i="25" s="1"/>
  <c r="S93" i="25" s="1"/>
  <c r="R93" i="25" s="1"/>
  <c r="P93" i="25" s="1"/>
  <c r="V93" i="25" s="1"/>
  <c r="U95" i="25"/>
  <c r="T95" i="25" s="1"/>
  <c r="S95" i="25" s="1"/>
  <c r="R95" i="25" s="1"/>
  <c r="P95" i="25" s="1"/>
  <c r="V95" i="25" s="1"/>
  <c r="U97" i="25"/>
  <c r="T97" i="25" s="1"/>
  <c r="S97" i="25" s="1"/>
  <c r="R97" i="25" s="1"/>
  <c r="P97" i="25" s="1"/>
  <c r="V97" i="25" s="1"/>
  <c r="U99" i="25"/>
  <c r="T99" i="25" s="1"/>
  <c r="S99" i="25" s="1"/>
  <c r="R99" i="25" s="1"/>
  <c r="P99" i="25" s="1"/>
  <c r="V99" i="25" s="1"/>
  <c r="U101" i="25"/>
  <c r="T101" i="25" s="1"/>
  <c r="S101" i="25" s="1"/>
  <c r="R101" i="25" s="1"/>
  <c r="P101" i="25" s="1"/>
  <c r="V101" i="25" s="1"/>
  <c r="U103" i="25"/>
  <c r="T103" i="25" s="1"/>
  <c r="S103" i="25" s="1"/>
  <c r="R103" i="25" s="1"/>
  <c r="P103" i="25" s="1"/>
  <c r="V103" i="25" s="1"/>
  <c r="U105" i="25"/>
  <c r="T105" i="25" s="1"/>
  <c r="S105" i="25" s="1"/>
  <c r="R105" i="25" s="1"/>
  <c r="P105" i="25" s="1"/>
  <c r="V105" i="25" s="1"/>
  <c r="U107" i="25"/>
  <c r="T107" i="25" s="1"/>
  <c r="S107" i="25" s="1"/>
  <c r="R107" i="25" s="1"/>
  <c r="P107" i="25" s="1"/>
  <c r="V107" i="25" s="1"/>
  <c r="U109" i="25"/>
  <c r="T109" i="25" s="1"/>
  <c r="S109" i="25" s="1"/>
  <c r="R109" i="25" s="1"/>
  <c r="P109" i="25" s="1"/>
  <c r="V109" i="25" s="1"/>
  <c r="U111" i="25"/>
  <c r="T111" i="25" s="1"/>
  <c r="S111" i="25" s="1"/>
  <c r="R111" i="25" s="1"/>
  <c r="P111" i="25" s="1"/>
  <c r="V111" i="25" s="1"/>
  <c r="U113" i="25"/>
  <c r="T113" i="25" s="1"/>
  <c r="S113" i="25" s="1"/>
  <c r="R113" i="25" s="1"/>
  <c r="P113" i="25" s="1"/>
  <c r="V113" i="25" s="1"/>
  <c r="U115" i="25"/>
  <c r="T115" i="25" s="1"/>
  <c r="S115" i="25" s="1"/>
  <c r="R115" i="25" s="1"/>
  <c r="P115" i="25" s="1"/>
  <c r="V115" i="25" s="1"/>
  <c r="U117" i="25"/>
  <c r="T117" i="25" s="1"/>
  <c r="S117" i="25" s="1"/>
  <c r="R117" i="25" s="1"/>
  <c r="P117" i="25" s="1"/>
  <c r="V117" i="25" s="1"/>
  <c r="U119" i="25"/>
  <c r="T119" i="25" s="1"/>
  <c r="S119" i="25" s="1"/>
  <c r="R119" i="25" s="1"/>
  <c r="P119" i="25" s="1"/>
  <c r="U121" i="25"/>
  <c r="T121" i="25" s="1"/>
  <c r="S121" i="25" s="1"/>
  <c r="R121" i="25" s="1"/>
  <c r="P121" i="25" s="1"/>
  <c r="V121" i="25" s="1"/>
  <c r="U123" i="25"/>
  <c r="T123" i="25" s="1"/>
  <c r="S123" i="25" s="1"/>
  <c r="R123" i="25" s="1"/>
  <c r="P123" i="25" s="1"/>
  <c r="V123" i="25" s="1"/>
  <c r="U125" i="25"/>
  <c r="T125" i="25" s="1"/>
  <c r="S125" i="25" s="1"/>
  <c r="R125" i="25" s="1"/>
  <c r="P125" i="25" s="1"/>
  <c r="V125" i="25" s="1"/>
  <c r="U127" i="25"/>
  <c r="T127" i="25" s="1"/>
  <c r="S127" i="25" s="1"/>
  <c r="R127" i="25" s="1"/>
  <c r="P127" i="25" s="1"/>
  <c r="V127" i="25" s="1"/>
  <c r="U129" i="25"/>
  <c r="T129" i="25" s="1"/>
  <c r="S129" i="25" s="1"/>
  <c r="R129" i="25" s="1"/>
  <c r="P129" i="25" s="1"/>
  <c r="V129" i="25" s="1"/>
  <c r="U131" i="25"/>
  <c r="T131" i="25" s="1"/>
  <c r="S131" i="25" s="1"/>
  <c r="R131" i="25" s="1"/>
  <c r="P131" i="25" s="1"/>
  <c r="V131" i="25" s="1"/>
  <c r="U133" i="25"/>
  <c r="T133" i="25" s="1"/>
  <c r="S133" i="25" s="1"/>
  <c r="R133" i="25" s="1"/>
  <c r="P133" i="25" s="1"/>
  <c r="V133" i="25" s="1"/>
  <c r="U135" i="25"/>
  <c r="T135" i="25" s="1"/>
  <c r="S135" i="25" s="1"/>
  <c r="R135" i="25" s="1"/>
  <c r="P135" i="25" s="1"/>
  <c r="V135" i="25" s="1"/>
  <c r="U137" i="25"/>
  <c r="T137" i="25" s="1"/>
  <c r="S137" i="25" s="1"/>
  <c r="R137" i="25" s="1"/>
  <c r="P137" i="25" s="1"/>
  <c r="V137" i="25" s="1"/>
  <c r="U139" i="25"/>
  <c r="T139" i="25" s="1"/>
  <c r="S139" i="25" s="1"/>
  <c r="R139" i="25" s="1"/>
  <c r="P139" i="25" s="1"/>
  <c r="V139" i="25" s="1"/>
  <c r="U141" i="25"/>
  <c r="T141" i="25" s="1"/>
  <c r="S141" i="25" s="1"/>
  <c r="R141" i="25" s="1"/>
  <c r="P141" i="25" s="1"/>
  <c r="V141" i="25" s="1"/>
  <c r="U143" i="25"/>
  <c r="T143" i="25" s="1"/>
  <c r="S143" i="25" s="1"/>
  <c r="R143" i="25" s="1"/>
  <c r="P143" i="25" s="1"/>
  <c r="V143" i="25" s="1"/>
  <c r="U145" i="25"/>
  <c r="T145" i="25" s="1"/>
  <c r="S145" i="25" s="1"/>
  <c r="R145" i="25" s="1"/>
  <c r="P145" i="25" s="1"/>
  <c r="V145" i="25" s="1"/>
  <c r="U147" i="25"/>
  <c r="T147" i="25" s="1"/>
  <c r="S147" i="25" s="1"/>
  <c r="R147" i="25" s="1"/>
  <c r="P147" i="25" s="1"/>
  <c r="V147" i="25" s="1"/>
  <c r="U149" i="25"/>
  <c r="T149" i="25" s="1"/>
  <c r="S149" i="25" s="1"/>
  <c r="R149" i="25" s="1"/>
  <c r="P149" i="25" s="1"/>
  <c r="V149" i="25" s="1"/>
  <c r="U151" i="25"/>
  <c r="T151" i="25" s="1"/>
  <c r="S151" i="25" s="1"/>
  <c r="R151" i="25" s="1"/>
  <c r="P151" i="25" s="1"/>
  <c r="V151" i="25" s="1"/>
  <c r="U153" i="25"/>
  <c r="T153" i="25" s="1"/>
  <c r="S153" i="25" s="1"/>
  <c r="R153" i="25" s="1"/>
  <c r="P153" i="25" s="1"/>
  <c r="V153" i="25" s="1"/>
  <c r="U155" i="25"/>
  <c r="T155" i="25" s="1"/>
  <c r="S155" i="25" s="1"/>
  <c r="R155" i="25" s="1"/>
  <c r="P155" i="25" s="1"/>
  <c r="V155" i="25" s="1"/>
  <c r="U157" i="25"/>
  <c r="T157" i="25" s="1"/>
  <c r="S157" i="25" s="1"/>
  <c r="R157" i="25" s="1"/>
  <c r="P157" i="25" s="1"/>
  <c r="V157" i="25" s="1"/>
  <c r="U159" i="25"/>
  <c r="T159" i="25" s="1"/>
  <c r="S159" i="25" s="1"/>
  <c r="R159" i="25" s="1"/>
  <c r="P159" i="25" s="1"/>
  <c r="V159" i="25" s="1"/>
  <c r="U161" i="25"/>
  <c r="T161" i="25" s="1"/>
  <c r="S161" i="25" s="1"/>
  <c r="R161" i="25" s="1"/>
  <c r="P161" i="25" s="1"/>
  <c r="V161" i="25" s="1"/>
  <c r="U163" i="25"/>
  <c r="T163" i="25" s="1"/>
  <c r="S163" i="25" s="1"/>
  <c r="R163" i="25" s="1"/>
  <c r="P163" i="25" s="1"/>
  <c r="V163" i="25" s="1"/>
  <c r="U165" i="25"/>
  <c r="T165" i="25" s="1"/>
  <c r="S165" i="25" s="1"/>
  <c r="R165" i="25" s="1"/>
  <c r="P165" i="25" s="1"/>
  <c r="V165" i="25" s="1"/>
  <c r="U167" i="25"/>
  <c r="T167" i="25" s="1"/>
  <c r="S167" i="25" s="1"/>
  <c r="R167" i="25" s="1"/>
  <c r="P167" i="25" s="1"/>
  <c r="V167" i="25" s="1"/>
  <c r="U169" i="25"/>
  <c r="T169" i="25" s="1"/>
  <c r="S169" i="25" s="1"/>
  <c r="R169" i="25" s="1"/>
  <c r="P169" i="25" s="1"/>
  <c r="V169" i="25" s="1"/>
  <c r="U171" i="25"/>
  <c r="T171" i="25" s="1"/>
  <c r="S171" i="25" s="1"/>
  <c r="R171" i="25" s="1"/>
  <c r="P171" i="25" s="1"/>
  <c r="V171" i="25" s="1"/>
  <c r="U173" i="25"/>
  <c r="T173" i="25" s="1"/>
  <c r="S173" i="25" s="1"/>
  <c r="R173" i="25" s="1"/>
  <c r="P173" i="25" s="1"/>
  <c r="V173" i="25" s="1"/>
  <c r="U175" i="25"/>
  <c r="T175" i="25" s="1"/>
  <c r="S175" i="25" s="1"/>
  <c r="R175" i="25" s="1"/>
  <c r="P175" i="25" s="1"/>
  <c r="V175" i="25" s="1"/>
  <c r="U177" i="25"/>
  <c r="T177" i="25" s="1"/>
  <c r="S177" i="25" s="1"/>
  <c r="R177" i="25" s="1"/>
  <c r="P177" i="25" s="1"/>
  <c r="V177" i="25" s="1"/>
  <c r="U179" i="25"/>
  <c r="T179" i="25" s="1"/>
  <c r="S179" i="25" s="1"/>
  <c r="R179" i="25" s="1"/>
  <c r="P179" i="25" s="1"/>
  <c r="V179" i="25" s="1"/>
  <c r="U379" i="25"/>
  <c r="T379" i="25" s="1"/>
  <c r="U377" i="25"/>
  <c r="T377" i="25" s="1"/>
  <c r="S377" i="25" s="1"/>
  <c r="R377" i="25" s="1"/>
  <c r="P377" i="25" s="1"/>
  <c r="V377" i="25" s="1"/>
  <c r="U375" i="25"/>
  <c r="T375" i="25" s="1"/>
  <c r="S375" i="25" s="1"/>
  <c r="R375" i="25" s="1"/>
  <c r="P375" i="25" s="1"/>
  <c r="V375" i="25" s="1"/>
  <c r="U373" i="25"/>
  <c r="T373" i="25" s="1"/>
  <c r="S373" i="25" s="1"/>
  <c r="R373" i="25" s="1"/>
  <c r="P373" i="25" s="1"/>
  <c r="V373" i="25" s="1"/>
  <c r="U371" i="25"/>
  <c r="T371" i="25" s="1"/>
  <c r="S371" i="25" s="1"/>
  <c r="R371" i="25" s="1"/>
  <c r="P371" i="25" s="1"/>
  <c r="V371" i="25" s="1"/>
  <c r="U369" i="25"/>
  <c r="T369" i="25" s="1"/>
  <c r="S369" i="25" s="1"/>
  <c r="R369" i="25" s="1"/>
  <c r="P369" i="25" s="1"/>
  <c r="V369" i="25" s="1"/>
  <c r="U367" i="25"/>
  <c r="T367" i="25" s="1"/>
  <c r="S367" i="25" s="1"/>
  <c r="R367" i="25" s="1"/>
  <c r="P367" i="25" s="1"/>
  <c r="V367" i="25" s="1"/>
  <c r="U365" i="25"/>
  <c r="T365" i="25" s="1"/>
  <c r="S365" i="25" s="1"/>
  <c r="R365" i="25" s="1"/>
  <c r="P365" i="25" s="1"/>
  <c r="V365" i="25" s="1"/>
  <c r="U363" i="25"/>
  <c r="T363" i="25" s="1"/>
  <c r="S363" i="25" s="1"/>
  <c r="R363" i="25" s="1"/>
  <c r="P363" i="25" s="1"/>
  <c r="U361" i="25"/>
  <c r="T361" i="25" s="1"/>
  <c r="S361" i="25" s="1"/>
  <c r="R361" i="25" s="1"/>
  <c r="P361" i="25" s="1"/>
  <c r="V361" i="25" s="1"/>
  <c r="U359" i="25"/>
  <c r="T359" i="25" s="1"/>
  <c r="S359" i="25" s="1"/>
  <c r="R359" i="25" s="1"/>
  <c r="P359" i="25" s="1"/>
  <c r="V359" i="25" s="1"/>
  <c r="U357" i="25"/>
  <c r="T357" i="25" s="1"/>
  <c r="S357" i="25" s="1"/>
  <c r="R357" i="25" s="1"/>
  <c r="P357" i="25" s="1"/>
  <c r="V357" i="25" s="1"/>
  <c r="U355" i="25"/>
  <c r="T355" i="25" s="1"/>
  <c r="S355" i="25" s="1"/>
  <c r="R355" i="25" s="1"/>
  <c r="P355" i="25" s="1"/>
  <c r="V355" i="25" s="1"/>
  <c r="U353" i="25"/>
  <c r="T353" i="25" s="1"/>
  <c r="S353" i="25" s="1"/>
  <c r="R353" i="25" s="1"/>
  <c r="P353" i="25" s="1"/>
  <c r="V353" i="25" s="1"/>
  <c r="U351" i="25"/>
  <c r="T351" i="25" s="1"/>
  <c r="S351" i="25" s="1"/>
  <c r="R351" i="25" s="1"/>
  <c r="P351" i="25" s="1"/>
  <c r="V351" i="25" s="1"/>
  <c r="U349" i="25"/>
  <c r="T349" i="25" s="1"/>
  <c r="S349" i="25" s="1"/>
  <c r="R349" i="25" s="1"/>
  <c r="P349" i="25" s="1"/>
  <c r="V349" i="25" s="1"/>
  <c r="U347" i="25"/>
  <c r="T347" i="25" s="1"/>
  <c r="S347" i="25" s="1"/>
  <c r="R347" i="25" s="1"/>
  <c r="P347" i="25" s="1"/>
  <c r="V347" i="25" s="1"/>
  <c r="U345" i="25"/>
  <c r="T345" i="25" s="1"/>
  <c r="S345" i="25" s="1"/>
  <c r="R345" i="25" s="1"/>
  <c r="P345" i="25" s="1"/>
  <c r="V345" i="25" s="1"/>
  <c r="U343" i="25"/>
  <c r="T343" i="25" s="1"/>
  <c r="S343" i="25" s="1"/>
  <c r="R343" i="25" s="1"/>
  <c r="P343" i="25" s="1"/>
  <c r="V343" i="25" s="1"/>
  <c r="U341" i="25"/>
  <c r="T341" i="25" s="1"/>
  <c r="S341" i="25" s="1"/>
  <c r="R341" i="25" s="1"/>
  <c r="P341" i="25" s="1"/>
  <c r="V341" i="25" s="1"/>
  <c r="U339" i="25"/>
  <c r="T339" i="25" s="1"/>
  <c r="S339" i="25" s="1"/>
  <c r="R339" i="25" s="1"/>
  <c r="P339" i="25" s="1"/>
  <c r="V339" i="25" s="1"/>
  <c r="U337" i="25"/>
  <c r="T337" i="25" s="1"/>
  <c r="S337" i="25" s="1"/>
  <c r="R337" i="25" s="1"/>
  <c r="P337" i="25" s="1"/>
  <c r="V337" i="25" s="1"/>
  <c r="U335" i="25"/>
  <c r="T335" i="25" s="1"/>
  <c r="S335" i="25" s="1"/>
  <c r="R335" i="25" s="1"/>
  <c r="P335" i="25" s="1"/>
  <c r="V335" i="25" s="1"/>
  <c r="U333" i="25"/>
  <c r="T333" i="25" s="1"/>
  <c r="S333" i="25" s="1"/>
  <c r="R333" i="25" s="1"/>
  <c r="P333" i="25" s="1"/>
  <c r="V333" i="25" s="1"/>
  <c r="U331" i="25"/>
  <c r="T331" i="25" s="1"/>
  <c r="S331" i="25" s="1"/>
  <c r="R331" i="25" s="1"/>
  <c r="P331" i="25" s="1"/>
  <c r="V331" i="25" s="1"/>
  <c r="U329" i="25"/>
  <c r="T329" i="25" s="1"/>
  <c r="S329" i="25" s="1"/>
  <c r="R329" i="25" s="1"/>
  <c r="P329" i="25" s="1"/>
  <c r="V329" i="25" s="1"/>
  <c r="U327" i="25"/>
  <c r="T327" i="25" s="1"/>
  <c r="S327" i="25" s="1"/>
  <c r="R327" i="25" s="1"/>
  <c r="P327" i="25" s="1"/>
  <c r="V327" i="25" s="1"/>
  <c r="U325" i="25"/>
  <c r="T325" i="25" s="1"/>
  <c r="S325" i="25" s="1"/>
  <c r="R325" i="25" s="1"/>
  <c r="P325" i="25" s="1"/>
  <c r="V325" i="25" s="1"/>
  <c r="U323" i="25"/>
  <c r="T323" i="25" s="1"/>
  <c r="S323" i="25" s="1"/>
  <c r="R323" i="25" s="1"/>
  <c r="P323" i="25" s="1"/>
  <c r="V323" i="25" s="1"/>
  <c r="U321" i="25"/>
  <c r="T321" i="25" s="1"/>
  <c r="S321" i="25" s="1"/>
  <c r="R321" i="25" s="1"/>
  <c r="P321" i="25" s="1"/>
  <c r="V321" i="25" s="1"/>
  <c r="U319" i="25"/>
  <c r="T319" i="25" s="1"/>
  <c r="S319" i="25" s="1"/>
  <c r="R319" i="25" s="1"/>
  <c r="P319" i="25" s="1"/>
  <c r="V319" i="25" s="1"/>
  <c r="U317" i="25"/>
  <c r="T317" i="25" s="1"/>
  <c r="S317" i="25" s="1"/>
  <c r="R317" i="25" s="1"/>
  <c r="P317" i="25" s="1"/>
  <c r="V317" i="25" s="1"/>
  <c r="U315" i="25"/>
  <c r="T315" i="25" s="1"/>
  <c r="S315" i="25" s="1"/>
  <c r="R315" i="25" s="1"/>
  <c r="P315" i="25" s="1"/>
  <c r="V315" i="25" s="1"/>
  <c r="U313" i="25"/>
  <c r="T313" i="25" s="1"/>
  <c r="S313" i="25" s="1"/>
  <c r="R313" i="25" s="1"/>
  <c r="P313" i="25" s="1"/>
  <c r="V313" i="25" s="1"/>
  <c r="U311" i="25"/>
  <c r="T311" i="25" s="1"/>
  <c r="S311" i="25" s="1"/>
  <c r="R311" i="25" s="1"/>
  <c r="P311" i="25" s="1"/>
  <c r="V311" i="25" s="1"/>
  <c r="U309" i="25"/>
  <c r="T309" i="25" s="1"/>
  <c r="S309" i="25" s="1"/>
  <c r="R309" i="25" s="1"/>
  <c r="P309" i="25" s="1"/>
  <c r="V309" i="25" s="1"/>
  <c r="U307" i="25"/>
  <c r="T307" i="25" s="1"/>
  <c r="S307" i="25" s="1"/>
  <c r="R307" i="25" s="1"/>
  <c r="P307" i="25" s="1"/>
  <c r="V307" i="25" s="1"/>
  <c r="U305" i="25"/>
  <c r="T305" i="25" s="1"/>
  <c r="S305" i="25" s="1"/>
  <c r="R305" i="25" s="1"/>
  <c r="P305" i="25" s="1"/>
  <c r="V305" i="25" s="1"/>
  <c r="U303" i="25"/>
  <c r="T303" i="25" s="1"/>
  <c r="S303" i="25" s="1"/>
  <c r="R303" i="25" s="1"/>
  <c r="P303" i="25" s="1"/>
  <c r="V303" i="25" s="1"/>
  <c r="U301" i="25"/>
  <c r="T301" i="25" s="1"/>
  <c r="S301" i="25" s="1"/>
  <c r="R301" i="25" s="1"/>
  <c r="P301" i="25" s="1"/>
  <c r="V301" i="25" s="1"/>
  <c r="U299" i="25"/>
  <c r="T299" i="25" s="1"/>
  <c r="S299" i="25" s="1"/>
  <c r="R299" i="25" s="1"/>
  <c r="P299" i="25" s="1"/>
  <c r="V299" i="25" s="1"/>
  <c r="U297" i="25"/>
  <c r="T297" i="25" s="1"/>
  <c r="S297" i="25" s="1"/>
  <c r="R297" i="25" s="1"/>
  <c r="P297" i="25" s="1"/>
  <c r="V297" i="25" s="1"/>
  <c r="U295" i="25"/>
  <c r="T295" i="25" s="1"/>
  <c r="S295" i="25" s="1"/>
  <c r="R295" i="25" s="1"/>
  <c r="P295" i="25" s="1"/>
  <c r="V295" i="25" s="1"/>
  <c r="U293" i="25"/>
  <c r="T293" i="25" s="1"/>
  <c r="S293" i="25" s="1"/>
  <c r="R293" i="25" s="1"/>
  <c r="P293" i="25" s="1"/>
  <c r="V293" i="25" s="1"/>
  <c r="U291" i="25"/>
  <c r="T291" i="25" s="1"/>
  <c r="S291" i="25" s="1"/>
  <c r="R291" i="25" s="1"/>
  <c r="P291" i="25" s="1"/>
  <c r="V291" i="25" s="1"/>
  <c r="U289" i="25"/>
  <c r="T289" i="25" s="1"/>
  <c r="S289" i="25" s="1"/>
  <c r="R289" i="25" s="1"/>
  <c r="P289" i="25" s="1"/>
  <c r="V289" i="25" s="1"/>
  <c r="U287" i="25"/>
  <c r="T287" i="25" s="1"/>
  <c r="S287" i="25" s="1"/>
  <c r="R287" i="25" s="1"/>
  <c r="P287" i="25" s="1"/>
  <c r="V287" i="25" s="1"/>
  <c r="U285" i="25"/>
  <c r="T285" i="25" s="1"/>
  <c r="S285" i="25" s="1"/>
  <c r="R285" i="25" s="1"/>
  <c r="P285" i="25" s="1"/>
  <c r="V285" i="25" s="1"/>
  <c r="U283" i="25"/>
  <c r="T283" i="25" s="1"/>
  <c r="S283" i="25" s="1"/>
  <c r="R283" i="25" s="1"/>
  <c r="P283" i="25" s="1"/>
  <c r="V283" i="25" s="1"/>
  <c r="U281" i="25"/>
  <c r="T281" i="25" s="1"/>
  <c r="S281" i="25" s="1"/>
  <c r="R281" i="25" s="1"/>
  <c r="P281" i="25" s="1"/>
  <c r="V281" i="25" s="1"/>
  <c r="U279" i="25"/>
  <c r="T279" i="25" s="1"/>
  <c r="S279" i="25" s="1"/>
  <c r="R279" i="25" s="1"/>
  <c r="P279" i="25" s="1"/>
  <c r="V279" i="25" s="1"/>
  <c r="U277" i="25"/>
  <c r="T277" i="25" s="1"/>
  <c r="S277" i="25" s="1"/>
  <c r="R277" i="25" s="1"/>
  <c r="P277" i="25" s="1"/>
  <c r="V277" i="25" s="1"/>
  <c r="U275" i="25"/>
  <c r="T275" i="25" s="1"/>
  <c r="S275" i="25" s="1"/>
  <c r="R275" i="25" s="1"/>
  <c r="P275" i="25" s="1"/>
  <c r="V275" i="25" s="1"/>
  <c r="U273" i="25"/>
  <c r="T273" i="25" s="1"/>
  <c r="S273" i="25" s="1"/>
  <c r="R273" i="25" s="1"/>
  <c r="P273" i="25" s="1"/>
  <c r="V273" i="25" s="1"/>
  <c r="U271" i="25"/>
  <c r="T271" i="25" s="1"/>
  <c r="S271" i="25" s="1"/>
  <c r="R271" i="25" s="1"/>
  <c r="P271" i="25" s="1"/>
  <c r="V271" i="25" s="1"/>
  <c r="U269" i="25"/>
  <c r="T269" i="25" s="1"/>
  <c r="S269" i="25" s="1"/>
  <c r="R269" i="25" s="1"/>
  <c r="P269" i="25" s="1"/>
  <c r="V269" i="25" s="1"/>
  <c r="U267" i="25"/>
  <c r="T267" i="25" s="1"/>
  <c r="S267" i="25" s="1"/>
  <c r="R267" i="25" s="1"/>
  <c r="P267" i="25" s="1"/>
  <c r="V267" i="25" s="1"/>
  <c r="U265" i="25"/>
  <c r="T265" i="25" s="1"/>
  <c r="S265" i="25" s="1"/>
  <c r="R265" i="25" s="1"/>
  <c r="P265" i="25" s="1"/>
  <c r="V265" i="25" s="1"/>
  <c r="U263" i="25"/>
  <c r="T263" i="25" s="1"/>
  <c r="S263" i="25" s="1"/>
  <c r="R263" i="25" s="1"/>
  <c r="P263" i="25" s="1"/>
  <c r="V263" i="25" s="1"/>
  <c r="U261" i="25"/>
  <c r="T261" i="25" s="1"/>
  <c r="S261" i="25" s="1"/>
  <c r="R261" i="25" s="1"/>
  <c r="P261" i="25" s="1"/>
  <c r="V261" i="25" s="1"/>
  <c r="U259" i="25"/>
  <c r="T259" i="25" s="1"/>
  <c r="S259" i="25" s="1"/>
  <c r="R259" i="25" s="1"/>
  <c r="P259" i="25" s="1"/>
  <c r="V259" i="25" s="1"/>
  <c r="U257" i="25"/>
  <c r="T257" i="25" s="1"/>
  <c r="S257" i="25" s="1"/>
  <c r="R257" i="25" s="1"/>
  <c r="P257" i="25" s="1"/>
  <c r="V257" i="25" s="1"/>
  <c r="U255" i="25"/>
  <c r="T255" i="25" s="1"/>
  <c r="S255" i="25" s="1"/>
  <c r="R255" i="25" s="1"/>
  <c r="P255" i="25" s="1"/>
  <c r="V255" i="25" s="1"/>
  <c r="U253" i="25"/>
  <c r="T253" i="25" s="1"/>
  <c r="S253" i="25" s="1"/>
  <c r="R253" i="25" s="1"/>
  <c r="P253" i="25" s="1"/>
  <c r="V253" i="25" s="1"/>
  <c r="U251" i="25"/>
  <c r="T251" i="25" s="1"/>
  <c r="S251" i="25" s="1"/>
  <c r="R251" i="25" s="1"/>
  <c r="P251" i="25" s="1"/>
  <c r="V251" i="25" s="1"/>
  <c r="U249" i="25"/>
  <c r="T249" i="25" s="1"/>
  <c r="S249" i="25" s="1"/>
  <c r="R249" i="25" s="1"/>
  <c r="P249" i="25" s="1"/>
  <c r="V249" i="25" s="1"/>
  <c r="U247" i="25"/>
  <c r="T247" i="25" s="1"/>
  <c r="S247" i="25" s="1"/>
  <c r="R247" i="25" s="1"/>
  <c r="P247" i="25" s="1"/>
  <c r="V247" i="25" s="1"/>
  <c r="U245" i="25"/>
  <c r="T245" i="25" s="1"/>
  <c r="S245" i="25" s="1"/>
  <c r="R245" i="25" s="1"/>
  <c r="P245" i="25" s="1"/>
  <c r="V245" i="25" s="1"/>
  <c r="U243" i="25"/>
  <c r="T243" i="25" s="1"/>
  <c r="S243" i="25" s="1"/>
  <c r="R243" i="25" s="1"/>
  <c r="P243" i="25" s="1"/>
  <c r="V243" i="25" s="1"/>
  <c r="U241" i="25"/>
  <c r="T241" i="25" s="1"/>
  <c r="S241" i="25" s="1"/>
  <c r="R241" i="25" s="1"/>
  <c r="P241" i="25" s="1"/>
  <c r="AH75" i="7" s="1"/>
  <c r="U239" i="25"/>
  <c r="T239" i="25" s="1"/>
  <c r="S239" i="25" s="1"/>
  <c r="R239" i="25" s="1"/>
  <c r="P239" i="25" s="1"/>
  <c r="V239" i="25" s="1"/>
  <c r="U237" i="25"/>
  <c r="T237" i="25" s="1"/>
  <c r="S237" i="25" s="1"/>
  <c r="R237" i="25" s="1"/>
  <c r="P237" i="25" s="1"/>
  <c r="V237" i="25" s="1"/>
  <c r="U235" i="25"/>
  <c r="T235" i="25" s="1"/>
  <c r="S235" i="25" s="1"/>
  <c r="R235" i="25" s="1"/>
  <c r="P235" i="25" s="1"/>
  <c r="V235" i="25" s="1"/>
  <c r="U233" i="25"/>
  <c r="T233" i="25" s="1"/>
  <c r="S233" i="25" s="1"/>
  <c r="R233" i="25" s="1"/>
  <c r="P233" i="25" s="1"/>
  <c r="V233" i="25" s="1"/>
  <c r="U231" i="25"/>
  <c r="T231" i="25" s="1"/>
  <c r="S231" i="25" s="1"/>
  <c r="R231" i="25" s="1"/>
  <c r="P231" i="25" s="1"/>
  <c r="V231" i="25" s="1"/>
  <c r="U229" i="25"/>
  <c r="T229" i="25" s="1"/>
  <c r="S229" i="25" s="1"/>
  <c r="R229" i="25" s="1"/>
  <c r="P229" i="25" s="1"/>
  <c r="V229" i="25" s="1"/>
  <c r="U227" i="25"/>
  <c r="T227" i="25" s="1"/>
  <c r="S227" i="25" s="1"/>
  <c r="R227" i="25" s="1"/>
  <c r="P227" i="25" s="1"/>
  <c r="V227" i="25" s="1"/>
  <c r="U225" i="25"/>
  <c r="T225" i="25" s="1"/>
  <c r="S225" i="25" s="1"/>
  <c r="R225" i="25" s="1"/>
  <c r="P225" i="25" s="1"/>
  <c r="V225" i="25" s="1"/>
  <c r="U223" i="25"/>
  <c r="T223" i="25" s="1"/>
  <c r="S223" i="25" s="1"/>
  <c r="R223" i="25" s="1"/>
  <c r="P223" i="25" s="1"/>
  <c r="V223" i="25" s="1"/>
  <c r="U221" i="25"/>
  <c r="T221" i="25" s="1"/>
  <c r="S221" i="25" s="1"/>
  <c r="R221" i="25" s="1"/>
  <c r="P221" i="25" s="1"/>
  <c r="V221" i="25" s="1"/>
  <c r="U219" i="25"/>
  <c r="T219" i="25" s="1"/>
  <c r="S219" i="25" s="1"/>
  <c r="R219" i="25" s="1"/>
  <c r="P219" i="25" s="1"/>
  <c r="V219" i="25" s="1"/>
  <c r="U217" i="25"/>
  <c r="T217" i="25" s="1"/>
  <c r="S217" i="25" s="1"/>
  <c r="R217" i="25" s="1"/>
  <c r="P217" i="25" s="1"/>
  <c r="V217" i="25" s="1"/>
  <c r="U215" i="25"/>
  <c r="T215" i="25" s="1"/>
  <c r="S215" i="25" s="1"/>
  <c r="R215" i="25" s="1"/>
  <c r="P215" i="25" s="1"/>
  <c r="V215" i="25" s="1"/>
  <c r="U213" i="25"/>
  <c r="T213" i="25" s="1"/>
  <c r="S213" i="25" s="1"/>
  <c r="R213" i="25" s="1"/>
  <c r="P213" i="25" s="1"/>
  <c r="V213" i="25" s="1"/>
  <c r="U211" i="25"/>
  <c r="T211" i="25" s="1"/>
  <c r="S211" i="25" s="1"/>
  <c r="R211" i="25" s="1"/>
  <c r="P211" i="25" s="1"/>
  <c r="V211" i="25" s="1"/>
  <c r="U209" i="25"/>
  <c r="T209" i="25" s="1"/>
  <c r="S209" i="25" s="1"/>
  <c r="R209" i="25" s="1"/>
  <c r="P209" i="25" s="1"/>
  <c r="V209" i="25" s="1"/>
  <c r="U207" i="25"/>
  <c r="T207" i="25" s="1"/>
  <c r="S207" i="25" s="1"/>
  <c r="R207" i="25" s="1"/>
  <c r="P207" i="25" s="1"/>
  <c r="V207" i="25" s="1"/>
  <c r="U205" i="25"/>
  <c r="T205" i="25" s="1"/>
  <c r="S205" i="25" s="1"/>
  <c r="R205" i="25" s="1"/>
  <c r="P205" i="25" s="1"/>
  <c r="V205" i="25" s="1"/>
  <c r="U203" i="25"/>
  <c r="T203" i="25" s="1"/>
  <c r="S203" i="25" s="1"/>
  <c r="R203" i="25" s="1"/>
  <c r="P203" i="25" s="1"/>
  <c r="V203" i="25" s="1"/>
  <c r="U201" i="25"/>
  <c r="T201" i="25" s="1"/>
  <c r="S201" i="25" s="1"/>
  <c r="R201" i="25" s="1"/>
  <c r="P201" i="25" s="1"/>
  <c r="V201" i="25" s="1"/>
  <c r="U199" i="25"/>
  <c r="T199" i="25" s="1"/>
  <c r="S199" i="25" s="1"/>
  <c r="R199" i="25" s="1"/>
  <c r="P199" i="25" s="1"/>
  <c r="V199" i="25" s="1"/>
  <c r="U197" i="25"/>
  <c r="T197" i="25" s="1"/>
  <c r="S197" i="25" s="1"/>
  <c r="R197" i="25" s="1"/>
  <c r="P197" i="25" s="1"/>
  <c r="V197" i="25" s="1"/>
  <c r="U195" i="25"/>
  <c r="T195" i="25" s="1"/>
  <c r="S195" i="25" s="1"/>
  <c r="R195" i="25" s="1"/>
  <c r="P195" i="25" s="1"/>
  <c r="V195" i="25" s="1"/>
  <c r="U193" i="25"/>
  <c r="T193" i="25" s="1"/>
  <c r="S193" i="25" s="1"/>
  <c r="R193" i="25" s="1"/>
  <c r="P193" i="25" s="1"/>
  <c r="V193" i="25" s="1"/>
  <c r="U191" i="25"/>
  <c r="T191" i="25" s="1"/>
  <c r="S191" i="25" s="1"/>
  <c r="R191" i="25" s="1"/>
  <c r="P191" i="25" s="1"/>
  <c r="V191" i="25" s="1"/>
  <c r="U189" i="25"/>
  <c r="T189" i="25" s="1"/>
  <c r="S189" i="25" s="1"/>
  <c r="R189" i="25" s="1"/>
  <c r="P189" i="25" s="1"/>
  <c r="V189" i="25" s="1"/>
  <c r="U187" i="25"/>
  <c r="T187" i="25" s="1"/>
  <c r="S187" i="25" s="1"/>
  <c r="R187" i="25" s="1"/>
  <c r="P187" i="25" s="1"/>
  <c r="V187" i="25" s="1"/>
  <c r="U185" i="25"/>
  <c r="T185" i="25" s="1"/>
  <c r="S185" i="25" s="1"/>
  <c r="R185" i="25" s="1"/>
  <c r="P185" i="25" s="1"/>
  <c r="V185" i="25" s="1"/>
  <c r="U183" i="25"/>
  <c r="T183" i="25" s="1"/>
  <c r="S183" i="25" s="1"/>
  <c r="R183" i="25" s="1"/>
  <c r="P183" i="25" s="1"/>
  <c r="V183" i="25" s="1"/>
  <c r="U181" i="25"/>
  <c r="T181" i="25" s="1"/>
  <c r="S181" i="25" s="1"/>
  <c r="R181" i="25" s="1"/>
  <c r="P181" i="25" s="1"/>
  <c r="V181" i="25" s="1"/>
  <c r="U178" i="25"/>
  <c r="T178" i="25" s="1"/>
  <c r="S178" i="25" s="1"/>
  <c r="R178" i="25" s="1"/>
  <c r="P178" i="25" s="1"/>
  <c r="V178" i="25" s="1"/>
  <c r="U174" i="25"/>
  <c r="T174" i="25" s="1"/>
  <c r="S174" i="25" s="1"/>
  <c r="R174" i="25" s="1"/>
  <c r="P174" i="25" s="1"/>
  <c r="V174" i="25" s="1"/>
  <c r="U170" i="25"/>
  <c r="T170" i="25" s="1"/>
  <c r="S170" i="25" s="1"/>
  <c r="R170" i="25" s="1"/>
  <c r="P170" i="25" s="1"/>
  <c r="V170" i="25" s="1"/>
  <c r="U166" i="25"/>
  <c r="T166" i="25" s="1"/>
  <c r="S166" i="25" s="1"/>
  <c r="R166" i="25" s="1"/>
  <c r="P166" i="25" s="1"/>
  <c r="V166" i="25" s="1"/>
  <c r="U162" i="25"/>
  <c r="T162" i="25" s="1"/>
  <c r="S162" i="25" s="1"/>
  <c r="R162" i="25" s="1"/>
  <c r="P162" i="25" s="1"/>
  <c r="V162" i="25" s="1"/>
  <c r="U158" i="25"/>
  <c r="T158" i="25" s="1"/>
  <c r="S158" i="25" s="1"/>
  <c r="R158" i="25" s="1"/>
  <c r="P158" i="25" s="1"/>
  <c r="V158" i="25" s="1"/>
  <c r="U154" i="25"/>
  <c r="T154" i="25" s="1"/>
  <c r="S154" i="25" s="1"/>
  <c r="R154" i="25" s="1"/>
  <c r="P154" i="25" s="1"/>
  <c r="V154" i="25" s="1"/>
  <c r="U150" i="25"/>
  <c r="T150" i="25" s="1"/>
  <c r="S150" i="25" s="1"/>
  <c r="R150" i="25" s="1"/>
  <c r="P150" i="25" s="1"/>
  <c r="V150" i="25" s="1"/>
  <c r="U146" i="25"/>
  <c r="T146" i="25" s="1"/>
  <c r="S146" i="25" s="1"/>
  <c r="R146" i="25" s="1"/>
  <c r="P146" i="25" s="1"/>
  <c r="V146" i="25" s="1"/>
  <c r="U142" i="25"/>
  <c r="T142" i="25" s="1"/>
  <c r="S142" i="25" s="1"/>
  <c r="R142" i="25" s="1"/>
  <c r="P142" i="25" s="1"/>
  <c r="V142" i="25" s="1"/>
  <c r="U138" i="25"/>
  <c r="T138" i="25" s="1"/>
  <c r="S138" i="25" s="1"/>
  <c r="R138" i="25" s="1"/>
  <c r="P138" i="25" s="1"/>
  <c r="V138" i="25" s="1"/>
  <c r="U134" i="25"/>
  <c r="T134" i="25" s="1"/>
  <c r="S134" i="25" s="1"/>
  <c r="R134" i="25" s="1"/>
  <c r="P134" i="25" s="1"/>
  <c r="V134" i="25" s="1"/>
  <c r="U130" i="25"/>
  <c r="T130" i="25" s="1"/>
  <c r="S130" i="25" s="1"/>
  <c r="R130" i="25" s="1"/>
  <c r="P130" i="25" s="1"/>
  <c r="V130" i="25" s="1"/>
  <c r="U126" i="25"/>
  <c r="T126" i="25" s="1"/>
  <c r="S126" i="25" s="1"/>
  <c r="R126" i="25" s="1"/>
  <c r="P126" i="25" s="1"/>
  <c r="V126" i="25" s="1"/>
  <c r="U122" i="25"/>
  <c r="T122" i="25" s="1"/>
  <c r="S122" i="25" s="1"/>
  <c r="R122" i="25" s="1"/>
  <c r="P122" i="25" s="1"/>
  <c r="V122" i="25" s="1"/>
  <c r="U118" i="25"/>
  <c r="T118" i="25" s="1"/>
  <c r="S118" i="25" s="1"/>
  <c r="R118" i="25" s="1"/>
  <c r="P118" i="25" s="1"/>
  <c r="V118" i="25" s="1"/>
  <c r="U114" i="25"/>
  <c r="T114" i="25" s="1"/>
  <c r="S114" i="25" s="1"/>
  <c r="R114" i="25" s="1"/>
  <c r="P114" i="25" s="1"/>
  <c r="V114" i="25" s="1"/>
  <c r="U110" i="25"/>
  <c r="T110" i="25" s="1"/>
  <c r="S110" i="25" s="1"/>
  <c r="R110" i="25" s="1"/>
  <c r="P110" i="25" s="1"/>
  <c r="V110" i="25" s="1"/>
  <c r="U106" i="25"/>
  <c r="T106" i="25" s="1"/>
  <c r="S106" i="25" s="1"/>
  <c r="R106" i="25" s="1"/>
  <c r="P106" i="25" s="1"/>
  <c r="V106" i="25" s="1"/>
  <c r="U102" i="25"/>
  <c r="T102" i="25" s="1"/>
  <c r="S102" i="25" s="1"/>
  <c r="R102" i="25" s="1"/>
  <c r="P102" i="25" s="1"/>
  <c r="V102" i="25" s="1"/>
  <c r="U98" i="25"/>
  <c r="T98" i="25" s="1"/>
  <c r="S98" i="25" s="1"/>
  <c r="R98" i="25" s="1"/>
  <c r="P98" i="25" s="1"/>
  <c r="V98" i="25" s="1"/>
  <c r="U94" i="25"/>
  <c r="T94" i="25" s="1"/>
  <c r="S94" i="25" s="1"/>
  <c r="R94" i="25" s="1"/>
  <c r="P94" i="25" s="1"/>
  <c r="V94" i="25" s="1"/>
  <c r="U90" i="25"/>
  <c r="T90" i="25" s="1"/>
  <c r="S90" i="25" s="1"/>
  <c r="R90" i="25" s="1"/>
  <c r="P90" i="25" s="1"/>
  <c r="V90" i="25" s="1"/>
  <c r="U86" i="25"/>
  <c r="T86" i="25" s="1"/>
  <c r="S86" i="25" s="1"/>
  <c r="R86" i="25" s="1"/>
  <c r="P86" i="25" s="1"/>
  <c r="V86" i="25" s="1"/>
  <c r="U82" i="25"/>
  <c r="T82" i="25" s="1"/>
  <c r="S82" i="25" s="1"/>
  <c r="R82" i="25" s="1"/>
  <c r="P82" i="25" s="1"/>
  <c r="V82" i="25" s="1"/>
  <c r="U78" i="25"/>
  <c r="T78" i="25" s="1"/>
  <c r="S78" i="25" s="1"/>
  <c r="R78" i="25" s="1"/>
  <c r="P78" i="25" s="1"/>
  <c r="V78" i="25" s="1"/>
  <c r="U74" i="25"/>
  <c r="T74" i="25" s="1"/>
  <c r="S74" i="25" s="1"/>
  <c r="R74" i="25" s="1"/>
  <c r="P74" i="25" s="1"/>
  <c r="V74" i="25" s="1"/>
  <c r="U70" i="25"/>
  <c r="T70" i="25" s="1"/>
  <c r="S70" i="25" s="1"/>
  <c r="R70" i="25" s="1"/>
  <c r="P70" i="25" s="1"/>
  <c r="V70" i="25" s="1"/>
  <c r="U66" i="25"/>
  <c r="T66" i="25" s="1"/>
  <c r="S66" i="25" s="1"/>
  <c r="R66" i="25" s="1"/>
  <c r="P66" i="25" s="1"/>
  <c r="V66" i="25" s="1"/>
  <c r="U62" i="25"/>
  <c r="T62" i="25" s="1"/>
  <c r="S62" i="25" s="1"/>
  <c r="R62" i="25" s="1"/>
  <c r="P62" i="25" s="1"/>
  <c r="V62" i="25" s="1"/>
  <c r="U58" i="25"/>
  <c r="T58" i="25" s="1"/>
  <c r="S58" i="25" s="1"/>
  <c r="R58" i="25" s="1"/>
  <c r="P58" i="25" s="1"/>
  <c r="V58" i="25" s="1"/>
  <c r="U54" i="25"/>
  <c r="T54" i="25" s="1"/>
  <c r="S54" i="25" s="1"/>
  <c r="R54" i="25" s="1"/>
  <c r="P54" i="25" s="1"/>
  <c r="V54" i="25" s="1"/>
  <c r="U50" i="25"/>
  <c r="T50" i="25" s="1"/>
  <c r="S50" i="25" s="1"/>
  <c r="R50" i="25" s="1"/>
  <c r="P50" i="25" s="1"/>
  <c r="V50" i="25" s="1"/>
  <c r="U46" i="25"/>
  <c r="T46" i="25" s="1"/>
  <c r="S46" i="25" s="1"/>
  <c r="R46" i="25" s="1"/>
  <c r="P46" i="25" s="1"/>
  <c r="V46" i="25" s="1"/>
  <c r="U42" i="25"/>
  <c r="T42" i="25" s="1"/>
  <c r="S42" i="25" s="1"/>
  <c r="R42" i="25" s="1"/>
  <c r="P42" i="25" s="1"/>
  <c r="V42" i="25" s="1"/>
  <c r="U38" i="25"/>
  <c r="T38" i="25" s="1"/>
  <c r="S38" i="25" s="1"/>
  <c r="R38" i="25" s="1"/>
  <c r="P38" i="25" s="1"/>
  <c r="V38" i="25" s="1"/>
  <c r="U34" i="25"/>
  <c r="T34" i="25" s="1"/>
  <c r="S34" i="25" s="1"/>
  <c r="R34" i="25" s="1"/>
  <c r="P34" i="25" s="1"/>
  <c r="V34" i="25" s="1"/>
  <c r="U30" i="25"/>
  <c r="T30" i="25" s="1"/>
  <c r="S30" i="25" s="1"/>
  <c r="R30" i="25" s="1"/>
  <c r="P30" i="25" s="1"/>
  <c r="V30" i="25" s="1"/>
  <c r="U27" i="25"/>
  <c r="T27" i="25" s="1"/>
  <c r="S27" i="25" s="1"/>
  <c r="R27" i="25" s="1"/>
  <c r="P27" i="25" s="1"/>
  <c r="V27" i="25" s="1"/>
  <c r="U17" i="25"/>
  <c r="T17" i="25" s="1"/>
  <c r="S17" i="25" s="1"/>
  <c r="R17" i="25" s="1"/>
  <c r="P17" i="25" s="1"/>
  <c r="V17" i="25" s="1"/>
  <c r="U20" i="25"/>
  <c r="T20" i="25" s="1"/>
  <c r="S20" i="25" s="1"/>
  <c r="R20" i="25" s="1"/>
  <c r="P20" i="25" s="1"/>
  <c r="V20" i="25" s="1"/>
  <c r="U16" i="25"/>
  <c r="T16" i="25" s="1"/>
  <c r="S16" i="25" s="1"/>
  <c r="R16" i="25" s="1"/>
  <c r="P16" i="25" s="1"/>
  <c r="V16" i="25" s="1"/>
  <c r="AI378" i="25"/>
  <c r="AH378" i="25" s="1"/>
  <c r="AG378" i="25" s="1"/>
  <c r="AF378" i="25" s="1"/>
  <c r="AD378" i="25" s="1"/>
  <c r="AI370" i="25"/>
  <c r="AH370" i="25" s="1"/>
  <c r="AG370" i="25" s="1"/>
  <c r="AF370" i="25" s="1"/>
  <c r="AD370" i="25" s="1"/>
  <c r="AI362" i="25"/>
  <c r="AH362" i="25" s="1"/>
  <c r="AG362" i="25" s="1"/>
  <c r="AF362" i="25" s="1"/>
  <c r="AD362" i="25" s="1"/>
  <c r="AI354" i="25"/>
  <c r="AH354" i="25" s="1"/>
  <c r="AG354" i="25" s="1"/>
  <c r="AF354" i="25" s="1"/>
  <c r="AD354" i="25" s="1"/>
  <c r="AI346" i="25"/>
  <c r="AH346" i="25" s="1"/>
  <c r="AG346" i="25" s="1"/>
  <c r="AF346" i="25" s="1"/>
  <c r="AD346" i="25" s="1"/>
  <c r="AI338" i="25"/>
  <c r="AH338" i="25" s="1"/>
  <c r="AG338" i="25" s="1"/>
  <c r="AF338" i="25" s="1"/>
  <c r="AD338" i="25" s="1"/>
  <c r="AI330" i="25"/>
  <c r="AH330" i="25" s="1"/>
  <c r="AG330" i="25" s="1"/>
  <c r="AF330" i="25" s="1"/>
  <c r="AD330" i="25" s="1"/>
  <c r="AI322" i="25"/>
  <c r="AH322" i="25" s="1"/>
  <c r="AG322" i="25" s="1"/>
  <c r="AF322" i="25" s="1"/>
  <c r="AD322" i="25" s="1"/>
  <c r="AI314" i="25"/>
  <c r="AH314" i="25" s="1"/>
  <c r="AG314" i="25" s="1"/>
  <c r="AF314" i="25" s="1"/>
  <c r="AD314" i="25" s="1"/>
  <c r="AI306" i="25"/>
  <c r="AH306" i="25" s="1"/>
  <c r="AG306" i="25" s="1"/>
  <c r="AF306" i="25" s="1"/>
  <c r="AD306" i="25" s="1"/>
  <c r="AI298" i="25"/>
  <c r="AH298" i="25" s="1"/>
  <c r="AG298" i="25" s="1"/>
  <c r="AF298" i="25" s="1"/>
  <c r="AD298" i="25" s="1"/>
  <c r="AI290" i="25"/>
  <c r="AH290" i="25" s="1"/>
  <c r="AG290" i="25" s="1"/>
  <c r="AF290" i="25" s="1"/>
  <c r="AD290" i="25" s="1"/>
  <c r="AI275" i="25"/>
  <c r="AH275" i="25" s="1"/>
  <c r="AG275" i="25" s="1"/>
  <c r="AF275" i="25" s="1"/>
  <c r="AD275" i="25" s="1"/>
  <c r="AI259" i="25"/>
  <c r="AH259" i="25" s="1"/>
  <c r="AG259" i="25" s="1"/>
  <c r="AF259" i="25" s="1"/>
  <c r="AD259" i="25" s="1"/>
  <c r="AI243" i="25"/>
  <c r="AH243" i="25" s="1"/>
  <c r="AG243" i="25" s="1"/>
  <c r="AF243" i="25" s="1"/>
  <c r="AD243" i="25" s="1"/>
  <c r="AI227" i="25"/>
  <c r="AH227" i="25" s="1"/>
  <c r="AG227" i="25" s="1"/>
  <c r="AF227" i="25" s="1"/>
  <c r="AD227" i="25" s="1"/>
  <c r="AI211" i="25"/>
  <c r="AH211" i="25" s="1"/>
  <c r="AG211" i="25" s="1"/>
  <c r="AF211" i="25" s="1"/>
  <c r="AD211" i="25" s="1"/>
  <c r="AI195" i="25"/>
  <c r="AH195" i="25" s="1"/>
  <c r="AG195" i="25" s="1"/>
  <c r="AF195" i="25" s="1"/>
  <c r="AD195" i="25" s="1"/>
  <c r="AI174" i="25"/>
  <c r="AH174" i="25" s="1"/>
  <c r="AG174" i="25" s="1"/>
  <c r="AF174" i="25" s="1"/>
  <c r="AD174" i="25" s="1"/>
  <c r="AI142" i="25"/>
  <c r="AH142" i="25" s="1"/>
  <c r="AG142" i="25" s="1"/>
  <c r="AF142" i="25" s="1"/>
  <c r="AD142" i="25" s="1"/>
  <c r="AI110" i="25"/>
  <c r="AH110" i="25" s="1"/>
  <c r="AG110" i="25" s="1"/>
  <c r="AF110" i="25" s="1"/>
  <c r="AD110" i="25" s="1"/>
  <c r="AI62" i="25"/>
  <c r="AH62" i="25" s="1"/>
  <c r="AG62" i="25" s="1"/>
  <c r="AF62" i="25" s="1"/>
  <c r="AD62" i="25" s="1"/>
  <c r="AI92" i="25"/>
  <c r="AH92" i="25" s="1"/>
  <c r="AG92" i="25" s="1"/>
  <c r="AF92" i="25" s="1"/>
  <c r="AD92" i="25" s="1"/>
  <c r="AI84" i="25"/>
  <c r="AH84" i="25" s="1"/>
  <c r="AG84" i="25" s="1"/>
  <c r="AF84" i="25" s="1"/>
  <c r="AD84" i="25" s="1"/>
  <c r="AI76" i="25"/>
  <c r="AH76" i="25" s="1"/>
  <c r="AG76" i="25" s="1"/>
  <c r="AF76" i="25" s="1"/>
  <c r="AD76" i="25" s="1"/>
  <c r="AI68" i="25"/>
  <c r="AH68" i="25" s="1"/>
  <c r="AG68" i="25" s="1"/>
  <c r="AF68" i="25" s="1"/>
  <c r="AD68" i="25" s="1"/>
  <c r="AI60" i="25"/>
  <c r="AH60" i="25" s="1"/>
  <c r="AG60" i="25" s="1"/>
  <c r="AF60" i="25" s="1"/>
  <c r="AD60" i="25" s="1"/>
  <c r="AI52" i="25"/>
  <c r="AH52" i="25" s="1"/>
  <c r="AG52" i="25" s="1"/>
  <c r="AF52" i="25" s="1"/>
  <c r="AD52" i="25" s="1"/>
  <c r="AI44" i="25"/>
  <c r="AH44" i="25" s="1"/>
  <c r="AG44" i="25" s="1"/>
  <c r="AF44" i="25" s="1"/>
  <c r="AD44" i="25" s="1"/>
  <c r="AI36" i="25"/>
  <c r="AH36" i="25" s="1"/>
  <c r="AG36" i="25" s="1"/>
  <c r="AF36" i="25" s="1"/>
  <c r="AD36" i="25" s="1"/>
  <c r="AI28" i="25"/>
  <c r="AH28" i="25" s="1"/>
  <c r="AG28" i="25" s="1"/>
  <c r="AF28" i="25" s="1"/>
  <c r="AD28" i="25" s="1"/>
  <c r="AI25" i="25"/>
  <c r="AH25" i="25" s="1"/>
  <c r="AG25" i="25" s="1"/>
  <c r="AF25" i="25" s="1"/>
  <c r="AD25" i="25" s="1"/>
  <c r="BG16" i="7"/>
  <c r="AI17" i="25"/>
  <c r="AH17" i="25" s="1"/>
  <c r="AG17" i="25" s="1"/>
  <c r="AF17" i="25" s="1"/>
  <c r="AD17" i="25" s="1"/>
  <c r="AI24" i="25"/>
  <c r="AH24" i="25" s="1"/>
  <c r="AG24" i="25" s="1"/>
  <c r="AF24" i="25" s="1"/>
  <c r="AD24" i="25" s="1"/>
  <c r="AI16" i="25"/>
  <c r="AH16" i="25" s="1"/>
  <c r="AG16" i="25" s="1"/>
  <c r="AF16" i="25" s="1"/>
  <c r="AD16" i="25" s="1"/>
  <c r="AI20" i="25"/>
  <c r="AH20" i="25" s="1"/>
  <c r="AG20" i="25" s="1"/>
  <c r="AF20" i="25" s="1"/>
  <c r="AD20" i="25" s="1"/>
  <c r="AI31" i="25"/>
  <c r="AH31" i="25" s="1"/>
  <c r="AG31" i="25" s="1"/>
  <c r="AF31" i="25" s="1"/>
  <c r="AD31" i="25" s="1"/>
  <c r="AI35" i="25"/>
  <c r="AH35" i="25" s="1"/>
  <c r="AG35" i="25" s="1"/>
  <c r="AF35" i="25" s="1"/>
  <c r="AD35" i="25" s="1"/>
  <c r="AI39" i="25"/>
  <c r="AH39" i="25" s="1"/>
  <c r="AG39" i="25" s="1"/>
  <c r="AF39" i="25" s="1"/>
  <c r="AD39" i="25" s="1"/>
  <c r="AI43" i="25"/>
  <c r="AH43" i="25" s="1"/>
  <c r="AG43" i="25" s="1"/>
  <c r="AF43" i="25" s="1"/>
  <c r="AD43" i="25" s="1"/>
  <c r="AI47" i="25"/>
  <c r="AH47" i="25" s="1"/>
  <c r="AG47" i="25" s="1"/>
  <c r="AF47" i="25" s="1"/>
  <c r="AD47" i="25" s="1"/>
  <c r="AI51" i="25"/>
  <c r="AH51" i="25" s="1"/>
  <c r="AG51" i="25" s="1"/>
  <c r="AF51" i="25" s="1"/>
  <c r="AD51" i="25" s="1"/>
  <c r="AI55" i="25"/>
  <c r="AH55" i="25" s="1"/>
  <c r="AG55" i="25" s="1"/>
  <c r="AF55" i="25" s="1"/>
  <c r="AD55" i="25" s="1"/>
  <c r="AI59" i="25"/>
  <c r="AH59" i="25" s="1"/>
  <c r="AG59" i="25" s="1"/>
  <c r="AF59" i="25" s="1"/>
  <c r="AD59" i="25" s="1"/>
  <c r="AI63" i="25"/>
  <c r="AH63" i="25" s="1"/>
  <c r="AG63" i="25" s="1"/>
  <c r="AF63" i="25" s="1"/>
  <c r="AD63" i="25" s="1"/>
  <c r="AI67" i="25"/>
  <c r="AH67" i="25" s="1"/>
  <c r="AG67" i="25" s="1"/>
  <c r="AF67" i="25" s="1"/>
  <c r="AD67" i="25" s="1"/>
  <c r="AI71" i="25"/>
  <c r="AH71" i="25" s="1"/>
  <c r="AG71" i="25" s="1"/>
  <c r="AF71" i="25" s="1"/>
  <c r="AD71" i="25" s="1"/>
  <c r="AI75" i="25"/>
  <c r="AH75" i="25" s="1"/>
  <c r="AG75" i="25" s="1"/>
  <c r="AF75" i="25" s="1"/>
  <c r="AD75" i="25" s="1"/>
  <c r="AI79" i="25"/>
  <c r="AH79" i="25" s="1"/>
  <c r="AG79" i="25" s="1"/>
  <c r="AF79" i="25" s="1"/>
  <c r="AD79" i="25" s="1"/>
  <c r="AI83" i="25"/>
  <c r="AH83" i="25" s="1"/>
  <c r="AG83" i="25" s="1"/>
  <c r="AF83" i="25" s="1"/>
  <c r="AD83" i="25" s="1"/>
  <c r="AI87" i="25"/>
  <c r="AH87" i="25" s="1"/>
  <c r="AG87" i="25" s="1"/>
  <c r="AF87" i="25" s="1"/>
  <c r="AD87" i="25" s="1"/>
  <c r="AI91" i="25"/>
  <c r="AH91" i="25" s="1"/>
  <c r="AG91" i="25" s="1"/>
  <c r="AF91" i="25" s="1"/>
  <c r="AD91" i="25" s="1"/>
  <c r="AI95" i="25"/>
  <c r="AH95" i="25" s="1"/>
  <c r="AG95" i="25" s="1"/>
  <c r="AF95" i="25" s="1"/>
  <c r="AD95" i="25" s="1"/>
  <c r="AI99" i="25"/>
  <c r="AH99" i="25" s="1"/>
  <c r="AG99" i="25" s="1"/>
  <c r="AF99" i="25" s="1"/>
  <c r="AD99" i="25" s="1"/>
  <c r="AI103" i="25"/>
  <c r="AH103" i="25" s="1"/>
  <c r="AG103" i="25" s="1"/>
  <c r="AF103" i="25" s="1"/>
  <c r="AD103" i="25" s="1"/>
  <c r="AI107" i="25"/>
  <c r="AH107" i="25" s="1"/>
  <c r="AG107" i="25" s="1"/>
  <c r="AF107" i="25" s="1"/>
  <c r="AD107" i="25" s="1"/>
  <c r="AI111" i="25"/>
  <c r="AH111" i="25" s="1"/>
  <c r="AG111" i="25" s="1"/>
  <c r="AF111" i="25" s="1"/>
  <c r="AD111" i="25" s="1"/>
  <c r="AI115" i="25"/>
  <c r="AH115" i="25" s="1"/>
  <c r="AG115" i="25" s="1"/>
  <c r="AF115" i="25" s="1"/>
  <c r="AD115" i="25" s="1"/>
  <c r="AI119" i="25"/>
  <c r="AH119" i="25" s="1"/>
  <c r="AG119" i="25" s="1"/>
  <c r="AF119" i="25" s="1"/>
  <c r="AD119" i="25" s="1"/>
  <c r="AI123" i="25"/>
  <c r="AH123" i="25" s="1"/>
  <c r="AG123" i="25" s="1"/>
  <c r="AF123" i="25" s="1"/>
  <c r="AD123" i="25" s="1"/>
  <c r="AI127" i="25"/>
  <c r="AH127" i="25" s="1"/>
  <c r="AG127" i="25" s="1"/>
  <c r="AF127" i="25" s="1"/>
  <c r="AD127" i="25" s="1"/>
  <c r="AI131" i="25"/>
  <c r="AH131" i="25" s="1"/>
  <c r="AG131" i="25" s="1"/>
  <c r="AF131" i="25" s="1"/>
  <c r="AD131" i="25" s="1"/>
  <c r="AI135" i="25"/>
  <c r="AH135" i="25" s="1"/>
  <c r="AG135" i="25" s="1"/>
  <c r="AF135" i="25" s="1"/>
  <c r="AD135" i="25" s="1"/>
  <c r="AI139" i="25"/>
  <c r="AH139" i="25" s="1"/>
  <c r="AG139" i="25" s="1"/>
  <c r="AF139" i="25" s="1"/>
  <c r="AD139" i="25" s="1"/>
  <c r="AI143" i="25"/>
  <c r="AH143" i="25" s="1"/>
  <c r="AG143" i="25" s="1"/>
  <c r="AF143" i="25" s="1"/>
  <c r="AD143" i="25" s="1"/>
  <c r="AI147" i="25"/>
  <c r="AH147" i="25" s="1"/>
  <c r="AG147" i="25" s="1"/>
  <c r="AF147" i="25" s="1"/>
  <c r="AD147" i="25" s="1"/>
  <c r="AI151" i="25"/>
  <c r="AH151" i="25" s="1"/>
  <c r="AG151" i="25" s="1"/>
  <c r="AF151" i="25" s="1"/>
  <c r="AD151" i="25" s="1"/>
  <c r="AI155" i="25"/>
  <c r="AH155" i="25" s="1"/>
  <c r="AG155" i="25" s="1"/>
  <c r="AF155" i="25" s="1"/>
  <c r="AD155" i="25" s="1"/>
  <c r="AI159" i="25"/>
  <c r="AH159" i="25" s="1"/>
  <c r="AG159" i="25" s="1"/>
  <c r="AF159" i="25" s="1"/>
  <c r="AD159" i="25" s="1"/>
  <c r="AI163" i="25"/>
  <c r="AH163" i="25" s="1"/>
  <c r="AG163" i="25" s="1"/>
  <c r="AF163" i="25" s="1"/>
  <c r="AD163" i="25" s="1"/>
  <c r="AI167" i="25"/>
  <c r="AH167" i="25" s="1"/>
  <c r="AG167" i="25" s="1"/>
  <c r="AF167" i="25" s="1"/>
  <c r="AD167" i="25" s="1"/>
  <c r="AI171" i="25"/>
  <c r="AH171" i="25" s="1"/>
  <c r="AG171" i="25" s="1"/>
  <c r="AF171" i="25" s="1"/>
  <c r="AD171" i="25" s="1"/>
  <c r="AI175" i="25"/>
  <c r="AH175" i="25" s="1"/>
  <c r="AG175" i="25" s="1"/>
  <c r="AF175" i="25" s="1"/>
  <c r="AD175" i="25" s="1"/>
  <c r="AI179" i="25"/>
  <c r="AH179" i="25" s="1"/>
  <c r="AG179" i="25" s="1"/>
  <c r="AF179" i="25" s="1"/>
  <c r="AD179" i="25" s="1"/>
  <c r="AI183" i="25"/>
  <c r="AH183" i="25" s="1"/>
  <c r="AG183" i="25" s="1"/>
  <c r="AF183" i="25" s="1"/>
  <c r="AD183" i="25" s="1"/>
  <c r="U380" i="25"/>
  <c r="T380" i="25" s="1"/>
  <c r="S380" i="25" s="1"/>
  <c r="R380" i="25" s="1"/>
  <c r="P380" i="25" s="1"/>
  <c r="V380" i="25" s="1"/>
  <c r="D69" i="19"/>
  <c r="M69" i="19"/>
  <c r="K69" i="19"/>
  <c r="H69" i="19"/>
  <c r="N67" i="19"/>
  <c r="AF15" i="24"/>
  <c r="S354" i="25"/>
  <c r="R354" i="25" s="1"/>
  <c r="P354" i="25" s="1"/>
  <c r="V354" i="25" s="1"/>
  <c r="S316" i="25"/>
  <c r="R316" i="25" s="1"/>
  <c r="P316" i="25" s="1"/>
  <c r="V316" i="25" s="1"/>
  <c r="S278" i="25"/>
  <c r="R278" i="25" s="1"/>
  <c r="P278" i="25" s="1"/>
  <c r="V278" i="25" s="1"/>
  <c r="T15" i="25"/>
  <c r="P382" i="23"/>
  <c r="P381" i="23"/>
  <c r="V15" i="23"/>
  <c r="P383" i="23"/>
  <c r="AD382" i="23"/>
  <c r="AD381" i="23"/>
  <c r="AD383" i="23"/>
  <c r="S381" i="24"/>
  <c r="S382" i="24"/>
  <c r="S383" i="24"/>
  <c r="R15" i="24"/>
  <c r="BF16" i="7"/>
  <c r="AI377" i="25" l="1"/>
  <c r="AH377" i="25" s="1"/>
  <c r="AG377" i="25" s="1"/>
  <c r="AF377" i="25" s="1"/>
  <c r="AD377" i="25" s="1"/>
  <c r="AI369" i="25"/>
  <c r="AH369" i="25" s="1"/>
  <c r="AG369" i="25" s="1"/>
  <c r="AF369" i="25" s="1"/>
  <c r="AD369" i="25" s="1"/>
  <c r="AI361" i="25"/>
  <c r="AH361" i="25" s="1"/>
  <c r="AG361" i="25" s="1"/>
  <c r="AF361" i="25" s="1"/>
  <c r="AD361" i="25" s="1"/>
  <c r="AI353" i="25"/>
  <c r="AH353" i="25" s="1"/>
  <c r="AG353" i="25" s="1"/>
  <c r="AF353" i="25" s="1"/>
  <c r="AD353" i="25" s="1"/>
  <c r="AI345" i="25"/>
  <c r="AH345" i="25" s="1"/>
  <c r="AG345" i="25" s="1"/>
  <c r="AF345" i="25" s="1"/>
  <c r="AD345" i="25" s="1"/>
  <c r="AI337" i="25"/>
  <c r="AH337" i="25" s="1"/>
  <c r="AG337" i="25" s="1"/>
  <c r="AF337" i="25" s="1"/>
  <c r="AD337" i="25" s="1"/>
  <c r="AI329" i="25"/>
  <c r="AH329" i="25" s="1"/>
  <c r="AG329" i="25" s="1"/>
  <c r="AF329" i="25" s="1"/>
  <c r="AD329" i="25" s="1"/>
  <c r="AI321" i="25"/>
  <c r="AH321" i="25" s="1"/>
  <c r="AG321" i="25" s="1"/>
  <c r="AF321" i="25" s="1"/>
  <c r="AD321" i="25" s="1"/>
  <c r="AI313" i="25"/>
  <c r="AH313" i="25" s="1"/>
  <c r="AG313" i="25" s="1"/>
  <c r="AF313" i="25" s="1"/>
  <c r="AD313" i="25" s="1"/>
  <c r="AI305" i="25"/>
  <c r="AH305" i="25" s="1"/>
  <c r="AG305" i="25" s="1"/>
  <c r="AF305" i="25" s="1"/>
  <c r="AD305" i="25" s="1"/>
  <c r="AI297" i="25"/>
  <c r="AH297" i="25" s="1"/>
  <c r="AG297" i="25" s="1"/>
  <c r="AF297" i="25" s="1"/>
  <c r="AD297" i="25" s="1"/>
  <c r="AI289" i="25"/>
  <c r="AH289" i="25" s="1"/>
  <c r="AG289" i="25" s="1"/>
  <c r="AF289" i="25" s="1"/>
  <c r="AD289" i="25" s="1"/>
  <c r="AI273" i="25"/>
  <c r="AH273" i="25" s="1"/>
  <c r="AG273" i="25" s="1"/>
  <c r="AF273" i="25" s="1"/>
  <c r="AD273" i="25" s="1"/>
  <c r="AI257" i="25"/>
  <c r="AH257" i="25" s="1"/>
  <c r="AG257" i="25" s="1"/>
  <c r="AF257" i="25" s="1"/>
  <c r="AD257" i="25" s="1"/>
  <c r="AI241" i="25"/>
  <c r="AH241" i="25" s="1"/>
  <c r="AG241" i="25" s="1"/>
  <c r="AF241" i="25" s="1"/>
  <c r="AD241" i="25" s="1"/>
  <c r="AI225" i="25"/>
  <c r="AH225" i="25" s="1"/>
  <c r="AG225" i="25" s="1"/>
  <c r="AF225" i="25" s="1"/>
  <c r="AD225" i="25" s="1"/>
  <c r="AI209" i="25"/>
  <c r="AH209" i="25" s="1"/>
  <c r="AG209" i="25" s="1"/>
  <c r="AF209" i="25" s="1"/>
  <c r="AD209" i="25" s="1"/>
  <c r="AI193" i="25"/>
  <c r="AH193" i="25" s="1"/>
  <c r="AG193" i="25" s="1"/>
  <c r="AF193" i="25" s="1"/>
  <c r="AD193" i="25" s="1"/>
  <c r="AI170" i="25"/>
  <c r="AH170" i="25" s="1"/>
  <c r="AG170" i="25" s="1"/>
  <c r="AF170" i="25" s="1"/>
  <c r="AD170" i="25" s="1"/>
  <c r="AI138" i="25"/>
  <c r="AH138" i="25" s="1"/>
  <c r="AG138" i="25" s="1"/>
  <c r="AF138" i="25" s="1"/>
  <c r="AD138" i="25" s="1"/>
  <c r="AI106" i="25"/>
  <c r="AH106" i="25" s="1"/>
  <c r="AG106" i="25" s="1"/>
  <c r="AF106" i="25" s="1"/>
  <c r="AD106" i="25" s="1"/>
  <c r="AI54" i="25"/>
  <c r="AH54" i="25" s="1"/>
  <c r="AG54" i="25" s="1"/>
  <c r="AF54" i="25" s="1"/>
  <c r="AD54" i="25" s="1"/>
  <c r="AI286" i="25"/>
  <c r="AH286" i="25" s="1"/>
  <c r="AG286" i="25" s="1"/>
  <c r="AF286" i="25" s="1"/>
  <c r="AD286" i="25" s="1"/>
  <c r="AI278" i="25"/>
  <c r="AH278" i="25" s="1"/>
  <c r="AG278" i="25" s="1"/>
  <c r="AF278" i="25" s="1"/>
  <c r="AD278" i="25" s="1"/>
  <c r="AI270" i="25"/>
  <c r="AH270" i="25" s="1"/>
  <c r="AG270" i="25" s="1"/>
  <c r="AF270" i="25" s="1"/>
  <c r="AD270" i="25" s="1"/>
  <c r="AI262" i="25"/>
  <c r="AH262" i="25" s="1"/>
  <c r="AG262" i="25" s="1"/>
  <c r="AF262" i="25" s="1"/>
  <c r="AD262" i="25" s="1"/>
  <c r="AI254" i="25"/>
  <c r="AH254" i="25" s="1"/>
  <c r="AG254" i="25" s="1"/>
  <c r="AF254" i="25" s="1"/>
  <c r="AD254" i="25" s="1"/>
  <c r="AI246" i="25"/>
  <c r="AH246" i="25" s="1"/>
  <c r="AG246" i="25" s="1"/>
  <c r="AF246" i="25" s="1"/>
  <c r="AD246" i="25" s="1"/>
  <c r="AI238" i="25"/>
  <c r="AH238" i="25" s="1"/>
  <c r="AG238" i="25" s="1"/>
  <c r="AF238" i="25" s="1"/>
  <c r="AD238" i="25" s="1"/>
  <c r="AI230" i="25"/>
  <c r="AH230" i="25" s="1"/>
  <c r="AG230" i="25" s="1"/>
  <c r="AF230" i="25" s="1"/>
  <c r="AD230" i="25" s="1"/>
  <c r="AI222" i="25"/>
  <c r="AH222" i="25" s="1"/>
  <c r="AG222" i="25" s="1"/>
  <c r="AF222" i="25" s="1"/>
  <c r="AD222" i="25" s="1"/>
  <c r="AI214" i="25"/>
  <c r="AH214" i="25" s="1"/>
  <c r="AG214" i="25" s="1"/>
  <c r="AF214" i="25" s="1"/>
  <c r="AD214" i="25" s="1"/>
  <c r="AI206" i="25"/>
  <c r="AH206" i="25" s="1"/>
  <c r="AG206" i="25" s="1"/>
  <c r="AF206" i="25" s="1"/>
  <c r="AD206" i="25" s="1"/>
  <c r="AI198" i="25"/>
  <c r="AH198" i="25" s="1"/>
  <c r="AG198" i="25" s="1"/>
  <c r="AF198" i="25" s="1"/>
  <c r="AD198" i="25" s="1"/>
  <c r="AI190" i="25"/>
  <c r="AH190" i="25" s="1"/>
  <c r="AG190" i="25" s="1"/>
  <c r="AF190" i="25" s="1"/>
  <c r="AD190" i="25" s="1"/>
  <c r="AI180" i="25"/>
  <c r="AH180" i="25" s="1"/>
  <c r="AG180" i="25" s="1"/>
  <c r="AF180" i="25" s="1"/>
  <c r="AD180" i="25" s="1"/>
  <c r="AI164" i="25"/>
  <c r="AH164" i="25" s="1"/>
  <c r="AG164" i="25" s="1"/>
  <c r="AF164" i="25" s="1"/>
  <c r="AD164" i="25" s="1"/>
  <c r="AI148" i="25"/>
  <c r="AH148" i="25" s="1"/>
  <c r="AG148" i="25" s="1"/>
  <c r="AF148" i="25" s="1"/>
  <c r="AD148" i="25" s="1"/>
  <c r="AI132" i="25"/>
  <c r="AH132" i="25" s="1"/>
  <c r="AG132" i="25" s="1"/>
  <c r="AF132" i="25" s="1"/>
  <c r="AD132" i="25" s="1"/>
  <c r="AI116" i="25"/>
  <c r="AH116" i="25" s="1"/>
  <c r="AG116" i="25" s="1"/>
  <c r="AF116" i="25" s="1"/>
  <c r="AD116" i="25" s="1"/>
  <c r="AI100" i="25"/>
  <c r="AH100" i="25" s="1"/>
  <c r="AG100" i="25" s="1"/>
  <c r="AF100" i="25" s="1"/>
  <c r="AD100" i="25" s="1"/>
  <c r="AI74" i="25"/>
  <c r="AH74" i="25" s="1"/>
  <c r="AG74" i="25" s="1"/>
  <c r="AF74" i="25" s="1"/>
  <c r="AD74" i="25" s="1"/>
  <c r="AI42" i="25"/>
  <c r="AH42" i="25" s="1"/>
  <c r="AG42" i="25" s="1"/>
  <c r="AF42" i="25" s="1"/>
  <c r="AD42" i="25" s="1"/>
  <c r="AI18" i="25"/>
  <c r="AH18" i="25" s="1"/>
  <c r="AG18" i="25" s="1"/>
  <c r="AF18" i="25" s="1"/>
  <c r="AD18" i="25" s="1"/>
  <c r="AI231" i="25"/>
  <c r="AH231" i="25" s="1"/>
  <c r="AG231" i="25" s="1"/>
  <c r="AF231" i="25" s="1"/>
  <c r="AD231" i="25" s="1"/>
  <c r="AI324" i="25"/>
  <c r="AH324" i="25" s="1"/>
  <c r="AG324" i="25" s="1"/>
  <c r="AF324" i="25" s="1"/>
  <c r="AD324" i="25" s="1"/>
  <c r="AI360" i="25"/>
  <c r="AH360" i="25" s="1"/>
  <c r="AG360" i="25" s="1"/>
  <c r="AF360" i="25" s="1"/>
  <c r="AD360" i="25" s="1"/>
  <c r="AI166" i="25"/>
  <c r="AH166" i="25" s="1"/>
  <c r="AG166" i="25" s="1"/>
  <c r="AF166" i="25" s="1"/>
  <c r="AD166" i="25" s="1"/>
  <c r="AI380" i="25"/>
  <c r="AH380" i="25" s="1"/>
  <c r="AG380" i="25" s="1"/>
  <c r="AF380" i="25" s="1"/>
  <c r="AD380" i="25" s="1"/>
  <c r="AI181" i="25"/>
  <c r="AH181" i="25" s="1"/>
  <c r="AG181" i="25" s="1"/>
  <c r="AF181" i="25" s="1"/>
  <c r="AD181" i="25" s="1"/>
  <c r="AI177" i="25"/>
  <c r="AH177" i="25" s="1"/>
  <c r="AG177" i="25" s="1"/>
  <c r="AF177" i="25" s="1"/>
  <c r="AD177" i="25" s="1"/>
  <c r="AI173" i="25"/>
  <c r="AH173" i="25" s="1"/>
  <c r="AG173" i="25" s="1"/>
  <c r="AF173" i="25" s="1"/>
  <c r="AD173" i="25" s="1"/>
  <c r="AI169" i="25"/>
  <c r="AH169" i="25" s="1"/>
  <c r="AG169" i="25" s="1"/>
  <c r="AF169" i="25" s="1"/>
  <c r="AD169" i="25" s="1"/>
  <c r="AI165" i="25"/>
  <c r="AH165" i="25" s="1"/>
  <c r="AG165" i="25" s="1"/>
  <c r="AF165" i="25" s="1"/>
  <c r="AD165" i="25" s="1"/>
  <c r="AI161" i="25"/>
  <c r="AH161" i="25" s="1"/>
  <c r="AG161" i="25" s="1"/>
  <c r="AF161" i="25" s="1"/>
  <c r="AD161" i="25" s="1"/>
  <c r="AI157" i="25"/>
  <c r="AH157" i="25" s="1"/>
  <c r="AG157" i="25" s="1"/>
  <c r="AF157" i="25" s="1"/>
  <c r="AD157" i="25" s="1"/>
  <c r="AI153" i="25"/>
  <c r="AH153" i="25" s="1"/>
  <c r="AG153" i="25" s="1"/>
  <c r="AF153" i="25" s="1"/>
  <c r="AD153" i="25" s="1"/>
  <c r="AI149" i="25"/>
  <c r="AH149" i="25" s="1"/>
  <c r="AG149" i="25" s="1"/>
  <c r="AF149" i="25" s="1"/>
  <c r="AD149" i="25" s="1"/>
  <c r="AI145" i="25"/>
  <c r="AH145" i="25" s="1"/>
  <c r="AG145" i="25" s="1"/>
  <c r="AF145" i="25" s="1"/>
  <c r="AD145" i="25" s="1"/>
  <c r="AI141" i="25"/>
  <c r="AH141" i="25" s="1"/>
  <c r="AG141" i="25" s="1"/>
  <c r="AF141" i="25" s="1"/>
  <c r="AD141" i="25" s="1"/>
  <c r="AI137" i="25"/>
  <c r="AH137" i="25" s="1"/>
  <c r="AG137" i="25" s="1"/>
  <c r="AF137" i="25" s="1"/>
  <c r="AD137" i="25" s="1"/>
  <c r="AI133" i="25"/>
  <c r="AH133" i="25" s="1"/>
  <c r="AG133" i="25" s="1"/>
  <c r="AF133" i="25" s="1"/>
  <c r="AD133" i="25" s="1"/>
  <c r="AI129" i="25"/>
  <c r="AH129" i="25" s="1"/>
  <c r="AG129" i="25" s="1"/>
  <c r="AF129" i="25" s="1"/>
  <c r="AD129" i="25" s="1"/>
  <c r="AI125" i="25"/>
  <c r="AH125" i="25" s="1"/>
  <c r="AG125" i="25" s="1"/>
  <c r="AF125" i="25" s="1"/>
  <c r="AD125" i="25" s="1"/>
  <c r="AI121" i="25"/>
  <c r="AH121" i="25" s="1"/>
  <c r="AG121" i="25" s="1"/>
  <c r="AF121" i="25" s="1"/>
  <c r="AD121" i="25" s="1"/>
  <c r="AI117" i="25"/>
  <c r="AH117" i="25" s="1"/>
  <c r="AG117" i="25" s="1"/>
  <c r="AF117" i="25" s="1"/>
  <c r="AD117" i="25" s="1"/>
  <c r="AI113" i="25"/>
  <c r="AH113" i="25" s="1"/>
  <c r="AG113" i="25" s="1"/>
  <c r="AF113" i="25" s="1"/>
  <c r="AD113" i="25" s="1"/>
  <c r="AI109" i="25"/>
  <c r="AH109" i="25" s="1"/>
  <c r="AG109" i="25" s="1"/>
  <c r="AF109" i="25" s="1"/>
  <c r="AD109" i="25" s="1"/>
  <c r="AI105" i="25"/>
  <c r="AH105" i="25" s="1"/>
  <c r="AG105" i="25" s="1"/>
  <c r="AF105" i="25" s="1"/>
  <c r="AD105" i="25" s="1"/>
  <c r="AI101" i="25"/>
  <c r="AH101" i="25" s="1"/>
  <c r="AG101" i="25" s="1"/>
  <c r="AF101" i="25" s="1"/>
  <c r="AD101" i="25" s="1"/>
  <c r="AI97" i="25"/>
  <c r="AH97" i="25" s="1"/>
  <c r="AG97" i="25" s="1"/>
  <c r="AF97" i="25" s="1"/>
  <c r="AD97" i="25" s="1"/>
  <c r="AI93" i="25"/>
  <c r="AH93" i="25" s="1"/>
  <c r="AG93" i="25" s="1"/>
  <c r="AF93" i="25" s="1"/>
  <c r="AD93" i="25" s="1"/>
  <c r="AI89" i="25"/>
  <c r="AH89" i="25" s="1"/>
  <c r="AG89" i="25" s="1"/>
  <c r="AF89" i="25" s="1"/>
  <c r="AD89" i="25" s="1"/>
  <c r="AI85" i="25"/>
  <c r="AH85" i="25" s="1"/>
  <c r="AG85" i="25" s="1"/>
  <c r="AF85" i="25" s="1"/>
  <c r="AD85" i="25" s="1"/>
  <c r="AI81" i="25"/>
  <c r="AH81" i="25" s="1"/>
  <c r="AG81" i="25" s="1"/>
  <c r="AF81" i="25" s="1"/>
  <c r="AD81" i="25" s="1"/>
  <c r="AI77" i="25"/>
  <c r="AH77" i="25" s="1"/>
  <c r="AG77" i="25" s="1"/>
  <c r="AF77" i="25" s="1"/>
  <c r="AD77" i="25" s="1"/>
  <c r="AI73" i="25"/>
  <c r="AH73" i="25" s="1"/>
  <c r="AG73" i="25" s="1"/>
  <c r="AF73" i="25" s="1"/>
  <c r="AD73" i="25" s="1"/>
  <c r="AI69" i="25"/>
  <c r="AH69" i="25" s="1"/>
  <c r="AG69" i="25" s="1"/>
  <c r="AF69" i="25" s="1"/>
  <c r="AD69" i="25" s="1"/>
  <c r="AI65" i="25"/>
  <c r="AH65" i="25" s="1"/>
  <c r="AG65" i="25" s="1"/>
  <c r="AF65" i="25" s="1"/>
  <c r="AD65" i="25" s="1"/>
  <c r="AI61" i="25"/>
  <c r="AH61" i="25" s="1"/>
  <c r="AG61" i="25" s="1"/>
  <c r="AF61" i="25" s="1"/>
  <c r="AD61" i="25" s="1"/>
  <c r="AI57" i="25"/>
  <c r="AH57" i="25" s="1"/>
  <c r="AG57" i="25" s="1"/>
  <c r="AF57" i="25" s="1"/>
  <c r="AD57" i="25" s="1"/>
  <c r="AI53" i="25"/>
  <c r="AH53" i="25" s="1"/>
  <c r="AG53" i="25" s="1"/>
  <c r="AF53" i="25" s="1"/>
  <c r="AD53" i="25" s="1"/>
  <c r="AI49" i="25"/>
  <c r="AH49" i="25" s="1"/>
  <c r="AG49" i="25" s="1"/>
  <c r="AF49" i="25" s="1"/>
  <c r="AD49" i="25" s="1"/>
  <c r="AI45" i="25"/>
  <c r="AH45" i="25" s="1"/>
  <c r="AG45" i="25" s="1"/>
  <c r="AF45" i="25" s="1"/>
  <c r="AD45" i="25" s="1"/>
  <c r="AI41" i="25"/>
  <c r="AH41" i="25" s="1"/>
  <c r="AG41" i="25" s="1"/>
  <c r="AF41" i="25" s="1"/>
  <c r="AD41" i="25" s="1"/>
  <c r="AI37" i="25"/>
  <c r="AH37" i="25" s="1"/>
  <c r="AG37" i="25" s="1"/>
  <c r="AF37" i="25" s="1"/>
  <c r="AD37" i="25" s="1"/>
  <c r="AI33" i="25"/>
  <c r="AH33" i="25" s="1"/>
  <c r="AG33" i="25" s="1"/>
  <c r="AF33" i="25" s="1"/>
  <c r="AD33" i="25" s="1"/>
  <c r="AI29" i="25"/>
  <c r="AH29" i="25" s="1"/>
  <c r="AG29" i="25" s="1"/>
  <c r="AF29" i="25" s="1"/>
  <c r="AD29" i="25" s="1"/>
  <c r="AI22" i="25"/>
  <c r="AH22" i="25" s="1"/>
  <c r="AG22" i="25" s="1"/>
  <c r="AF22" i="25" s="1"/>
  <c r="AD22" i="25" s="1"/>
  <c r="AI23" i="25"/>
  <c r="AH23" i="25" s="1"/>
  <c r="AG23" i="25" s="1"/>
  <c r="AF23" i="25" s="1"/>
  <c r="AD23" i="25" s="1"/>
  <c r="AI27" i="25"/>
  <c r="AH27" i="25" s="1"/>
  <c r="AG27" i="25" s="1"/>
  <c r="AF27" i="25" s="1"/>
  <c r="AD27" i="25" s="1"/>
  <c r="AI26" i="25"/>
  <c r="AH26" i="25" s="1"/>
  <c r="AG26" i="25" s="1"/>
  <c r="AF26" i="25" s="1"/>
  <c r="AD26" i="25" s="1"/>
  <c r="AI32" i="25"/>
  <c r="AH32" i="25" s="1"/>
  <c r="AG32" i="25" s="1"/>
  <c r="AF32" i="25" s="1"/>
  <c r="AD32" i="25" s="1"/>
  <c r="AI40" i="25"/>
  <c r="AH40" i="25" s="1"/>
  <c r="AG40" i="25" s="1"/>
  <c r="AF40" i="25" s="1"/>
  <c r="AD40" i="25" s="1"/>
  <c r="AI48" i="25"/>
  <c r="AH48" i="25" s="1"/>
  <c r="AG48" i="25" s="1"/>
  <c r="AF48" i="25" s="1"/>
  <c r="AD48" i="25" s="1"/>
  <c r="AI56" i="25"/>
  <c r="AH56" i="25" s="1"/>
  <c r="AG56" i="25" s="1"/>
  <c r="AF56" i="25" s="1"/>
  <c r="AD56" i="25" s="1"/>
  <c r="AI64" i="25"/>
  <c r="AH64" i="25" s="1"/>
  <c r="AG64" i="25" s="1"/>
  <c r="AF64" i="25" s="1"/>
  <c r="AD64" i="25" s="1"/>
  <c r="AI72" i="25"/>
  <c r="AH72" i="25" s="1"/>
  <c r="AG72" i="25" s="1"/>
  <c r="AF72" i="25" s="1"/>
  <c r="AD72" i="25" s="1"/>
  <c r="AI80" i="25"/>
  <c r="AH80" i="25" s="1"/>
  <c r="AG80" i="25" s="1"/>
  <c r="AF80" i="25" s="1"/>
  <c r="AD80" i="25" s="1"/>
  <c r="AI88" i="25"/>
  <c r="AH88" i="25" s="1"/>
  <c r="AG88" i="25" s="1"/>
  <c r="AF88" i="25" s="1"/>
  <c r="AD88" i="25" s="1"/>
  <c r="AI30" i="25"/>
  <c r="AH30" i="25" s="1"/>
  <c r="AG30" i="25" s="1"/>
  <c r="AF30" i="25" s="1"/>
  <c r="AD30" i="25" s="1"/>
  <c r="AI94" i="25"/>
  <c r="AH94" i="25" s="1"/>
  <c r="AG94" i="25" s="1"/>
  <c r="AF94" i="25" s="1"/>
  <c r="AD94" i="25" s="1"/>
  <c r="AI126" i="25"/>
  <c r="AH126" i="25" s="1"/>
  <c r="AG126" i="25" s="1"/>
  <c r="AF126" i="25" s="1"/>
  <c r="AD126" i="25" s="1"/>
  <c r="AI158" i="25"/>
  <c r="AH158" i="25" s="1"/>
  <c r="AG158" i="25" s="1"/>
  <c r="AF158" i="25" s="1"/>
  <c r="AD158" i="25" s="1"/>
  <c r="AI187" i="25"/>
  <c r="AH187" i="25" s="1"/>
  <c r="AG187" i="25" s="1"/>
  <c r="AF187" i="25" s="1"/>
  <c r="AD187" i="25" s="1"/>
  <c r="AI203" i="25"/>
  <c r="AH203" i="25" s="1"/>
  <c r="AG203" i="25" s="1"/>
  <c r="AF203" i="25" s="1"/>
  <c r="AD203" i="25" s="1"/>
  <c r="AI219" i="25"/>
  <c r="AH219" i="25" s="1"/>
  <c r="AG219" i="25" s="1"/>
  <c r="AF219" i="25" s="1"/>
  <c r="AD219" i="25" s="1"/>
  <c r="AI235" i="25"/>
  <c r="AH235" i="25" s="1"/>
  <c r="AG235" i="25" s="1"/>
  <c r="AF235" i="25" s="1"/>
  <c r="AD235" i="25" s="1"/>
  <c r="AI251" i="25"/>
  <c r="AH251" i="25" s="1"/>
  <c r="AG251" i="25" s="1"/>
  <c r="AF251" i="25" s="1"/>
  <c r="AD251" i="25" s="1"/>
  <c r="AI267" i="25"/>
  <c r="AH267" i="25" s="1"/>
  <c r="AG267" i="25" s="1"/>
  <c r="AF267" i="25" s="1"/>
  <c r="AD267" i="25" s="1"/>
  <c r="AI283" i="25"/>
  <c r="AH283" i="25" s="1"/>
  <c r="AG283" i="25" s="1"/>
  <c r="AF283" i="25" s="1"/>
  <c r="AD283" i="25" s="1"/>
  <c r="AI294" i="25"/>
  <c r="AH294" i="25" s="1"/>
  <c r="AG294" i="25" s="1"/>
  <c r="AF294" i="25" s="1"/>
  <c r="AD294" i="25" s="1"/>
  <c r="AI302" i="25"/>
  <c r="AH302" i="25" s="1"/>
  <c r="AG302" i="25" s="1"/>
  <c r="AF302" i="25" s="1"/>
  <c r="AD302" i="25" s="1"/>
  <c r="AI310" i="25"/>
  <c r="AH310" i="25" s="1"/>
  <c r="AG310" i="25" s="1"/>
  <c r="AF310" i="25" s="1"/>
  <c r="AD310" i="25" s="1"/>
  <c r="AI318" i="25"/>
  <c r="AH318" i="25" s="1"/>
  <c r="AG318" i="25" s="1"/>
  <c r="AF318" i="25" s="1"/>
  <c r="AD318" i="25" s="1"/>
  <c r="AI326" i="25"/>
  <c r="AH326" i="25" s="1"/>
  <c r="AG326" i="25" s="1"/>
  <c r="AF326" i="25" s="1"/>
  <c r="AD326" i="25" s="1"/>
  <c r="AI334" i="25"/>
  <c r="AH334" i="25" s="1"/>
  <c r="AG334" i="25" s="1"/>
  <c r="AF334" i="25" s="1"/>
  <c r="AD334" i="25" s="1"/>
  <c r="AI342" i="25"/>
  <c r="AH342" i="25" s="1"/>
  <c r="AG342" i="25" s="1"/>
  <c r="AF342" i="25" s="1"/>
  <c r="AD342" i="25" s="1"/>
  <c r="AI350" i="25"/>
  <c r="AH350" i="25" s="1"/>
  <c r="AG350" i="25" s="1"/>
  <c r="AF350" i="25" s="1"/>
  <c r="AD350" i="25" s="1"/>
  <c r="AI358" i="25"/>
  <c r="AH358" i="25" s="1"/>
  <c r="AG358" i="25" s="1"/>
  <c r="AF358" i="25" s="1"/>
  <c r="AD358" i="25" s="1"/>
  <c r="AI366" i="25"/>
  <c r="AH366" i="25" s="1"/>
  <c r="AG366" i="25" s="1"/>
  <c r="AF366" i="25" s="1"/>
  <c r="AD366" i="25" s="1"/>
  <c r="AI374" i="25"/>
  <c r="AH374" i="25" s="1"/>
  <c r="AG374" i="25" s="1"/>
  <c r="AF374" i="25" s="1"/>
  <c r="AD374" i="25" s="1"/>
  <c r="AI379" i="25"/>
  <c r="AH379" i="25" s="1"/>
  <c r="AG379" i="25" s="1"/>
  <c r="AF379" i="25" s="1"/>
  <c r="AD379" i="25" s="1"/>
  <c r="AI375" i="25"/>
  <c r="AH375" i="25" s="1"/>
  <c r="AG375" i="25" s="1"/>
  <c r="AF375" i="25" s="1"/>
  <c r="AD375" i="25" s="1"/>
  <c r="AI371" i="25"/>
  <c r="AH371" i="25" s="1"/>
  <c r="AG371" i="25" s="1"/>
  <c r="AF371" i="25" s="1"/>
  <c r="AD371" i="25" s="1"/>
  <c r="AI367" i="25"/>
  <c r="AH367" i="25" s="1"/>
  <c r="AG367" i="25" s="1"/>
  <c r="AF367" i="25" s="1"/>
  <c r="AD367" i="25" s="1"/>
  <c r="AI363" i="25"/>
  <c r="AH363" i="25" s="1"/>
  <c r="AG363" i="25" s="1"/>
  <c r="AF363" i="25" s="1"/>
  <c r="AD363" i="25" s="1"/>
  <c r="AI359" i="25"/>
  <c r="AH359" i="25" s="1"/>
  <c r="AG359" i="25" s="1"/>
  <c r="AF359" i="25" s="1"/>
  <c r="AD359" i="25" s="1"/>
  <c r="AI355" i="25"/>
  <c r="AH355" i="25" s="1"/>
  <c r="AG355" i="25" s="1"/>
  <c r="AF355" i="25" s="1"/>
  <c r="AD355" i="25" s="1"/>
  <c r="AI351" i="25"/>
  <c r="AH351" i="25" s="1"/>
  <c r="AG351" i="25" s="1"/>
  <c r="AF351" i="25" s="1"/>
  <c r="AD351" i="25" s="1"/>
  <c r="AI347" i="25"/>
  <c r="AH347" i="25" s="1"/>
  <c r="AG347" i="25" s="1"/>
  <c r="AF347" i="25" s="1"/>
  <c r="AD347" i="25" s="1"/>
  <c r="AI343" i="25"/>
  <c r="AH343" i="25" s="1"/>
  <c r="AG343" i="25" s="1"/>
  <c r="AF343" i="25" s="1"/>
  <c r="AD343" i="25" s="1"/>
  <c r="AI339" i="25"/>
  <c r="AH339" i="25" s="1"/>
  <c r="AG339" i="25" s="1"/>
  <c r="AF339" i="25" s="1"/>
  <c r="AD339" i="25" s="1"/>
  <c r="AI335" i="25"/>
  <c r="AH335" i="25" s="1"/>
  <c r="AG335" i="25" s="1"/>
  <c r="AF335" i="25" s="1"/>
  <c r="AD335" i="25" s="1"/>
  <c r="AI331" i="25"/>
  <c r="AH331" i="25" s="1"/>
  <c r="AG331" i="25" s="1"/>
  <c r="AF331" i="25" s="1"/>
  <c r="AD331" i="25" s="1"/>
  <c r="AI327" i="25"/>
  <c r="AH327" i="25" s="1"/>
  <c r="AG327" i="25" s="1"/>
  <c r="AF327" i="25" s="1"/>
  <c r="AD327" i="25" s="1"/>
  <c r="AI323" i="25"/>
  <c r="AH323" i="25" s="1"/>
  <c r="AG323" i="25" s="1"/>
  <c r="AF323" i="25" s="1"/>
  <c r="AD323" i="25" s="1"/>
  <c r="AI319" i="25"/>
  <c r="AH319" i="25" s="1"/>
  <c r="AG319" i="25" s="1"/>
  <c r="AF319" i="25" s="1"/>
  <c r="AD319" i="25" s="1"/>
  <c r="AI315" i="25"/>
  <c r="AH315" i="25" s="1"/>
  <c r="AG315" i="25" s="1"/>
  <c r="AF315" i="25" s="1"/>
  <c r="AD315" i="25" s="1"/>
  <c r="AI311" i="25"/>
  <c r="AH311" i="25" s="1"/>
  <c r="AG311" i="25" s="1"/>
  <c r="AF311" i="25" s="1"/>
  <c r="AD311" i="25" s="1"/>
  <c r="AI307" i="25"/>
  <c r="AH307" i="25" s="1"/>
  <c r="AG307" i="25" s="1"/>
  <c r="AF307" i="25" s="1"/>
  <c r="AD307" i="25" s="1"/>
  <c r="AI303" i="25"/>
  <c r="AH303" i="25" s="1"/>
  <c r="AG303" i="25" s="1"/>
  <c r="AF303" i="25" s="1"/>
  <c r="AD303" i="25" s="1"/>
  <c r="AI299" i="25"/>
  <c r="AH299" i="25" s="1"/>
  <c r="AG299" i="25" s="1"/>
  <c r="AF299" i="25" s="1"/>
  <c r="AD299" i="25" s="1"/>
  <c r="AI295" i="25"/>
  <c r="AH295" i="25" s="1"/>
  <c r="AG295" i="25" s="1"/>
  <c r="AF295" i="25" s="1"/>
  <c r="AD295" i="25" s="1"/>
  <c r="AI291" i="25"/>
  <c r="AH291" i="25" s="1"/>
  <c r="AG291" i="25" s="1"/>
  <c r="AF291" i="25" s="1"/>
  <c r="AD291" i="25" s="1"/>
  <c r="AI285" i="25"/>
  <c r="AH285" i="25" s="1"/>
  <c r="AG285" i="25" s="1"/>
  <c r="AF285" i="25" s="1"/>
  <c r="AD285" i="25" s="1"/>
  <c r="AI277" i="25"/>
  <c r="AH277" i="25" s="1"/>
  <c r="AG277" i="25" s="1"/>
  <c r="AF277" i="25" s="1"/>
  <c r="AD277" i="25" s="1"/>
  <c r="AI269" i="25"/>
  <c r="AH269" i="25" s="1"/>
  <c r="AG269" i="25" s="1"/>
  <c r="AF269" i="25" s="1"/>
  <c r="AD269" i="25" s="1"/>
  <c r="AI261" i="25"/>
  <c r="AH261" i="25" s="1"/>
  <c r="AG261" i="25" s="1"/>
  <c r="AF261" i="25" s="1"/>
  <c r="AD261" i="25" s="1"/>
  <c r="AI253" i="25"/>
  <c r="AH253" i="25" s="1"/>
  <c r="AG253" i="25" s="1"/>
  <c r="AF253" i="25" s="1"/>
  <c r="AD253" i="25" s="1"/>
  <c r="AI245" i="25"/>
  <c r="AH245" i="25" s="1"/>
  <c r="AG245" i="25" s="1"/>
  <c r="AF245" i="25" s="1"/>
  <c r="AD245" i="25" s="1"/>
  <c r="AI237" i="25"/>
  <c r="AH237" i="25" s="1"/>
  <c r="AG237" i="25" s="1"/>
  <c r="AF237" i="25" s="1"/>
  <c r="AD237" i="25" s="1"/>
  <c r="AI229" i="25"/>
  <c r="AH229" i="25" s="1"/>
  <c r="AG229" i="25" s="1"/>
  <c r="AF229" i="25" s="1"/>
  <c r="AD229" i="25" s="1"/>
  <c r="AI221" i="25"/>
  <c r="AH221" i="25" s="1"/>
  <c r="AG221" i="25" s="1"/>
  <c r="AF221" i="25" s="1"/>
  <c r="AD221" i="25" s="1"/>
  <c r="AI213" i="25"/>
  <c r="AH213" i="25" s="1"/>
  <c r="AG213" i="25" s="1"/>
  <c r="AF213" i="25" s="1"/>
  <c r="AD213" i="25" s="1"/>
  <c r="AI205" i="25"/>
  <c r="AH205" i="25" s="1"/>
  <c r="AG205" i="25" s="1"/>
  <c r="AF205" i="25" s="1"/>
  <c r="AD205" i="25" s="1"/>
  <c r="AI197" i="25"/>
  <c r="AH197" i="25" s="1"/>
  <c r="AG197" i="25" s="1"/>
  <c r="AF197" i="25" s="1"/>
  <c r="AD197" i="25" s="1"/>
  <c r="AI189" i="25"/>
  <c r="AH189" i="25" s="1"/>
  <c r="AG189" i="25" s="1"/>
  <c r="AF189" i="25" s="1"/>
  <c r="AD189" i="25" s="1"/>
  <c r="AI178" i="25"/>
  <c r="AH178" i="25" s="1"/>
  <c r="AG178" i="25" s="1"/>
  <c r="AF178" i="25" s="1"/>
  <c r="AD178" i="25" s="1"/>
  <c r="AI162" i="25"/>
  <c r="AH162" i="25" s="1"/>
  <c r="AG162" i="25" s="1"/>
  <c r="AF162" i="25" s="1"/>
  <c r="AD162" i="25" s="1"/>
  <c r="AI146" i="25"/>
  <c r="AH146" i="25" s="1"/>
  <c r="AG146" i="25" s="1"/>
  <c r="AF146" i="25" s="1"/>
  <c r="AD146" i="25" s="1"/>
  <c r="AI130" i="25"/>
  <c r="AH130" i="25" s="1"/>
  <c r="AG130" i="25" s="1"/>
  <c r="AF130" i="25" s="1"/>
  <c r="AD130" i="25" s="1"/>
  <c r="AI114" i="25"/>
  <c r="AH114" i="25" s="1"/>
  <c r="AG114" i="25" s="1"/>
  <c r="AF114" i="25" s="1"/>
  <c r="AD114" i="25" s="1"/>
  <c r="AI98" i="25"/>
  <c r="AH98" i="25" s="1"/>
  <c r="AG98" i="25" s="1"/>
  <c r="AF98" i="25" s="1"/>
  <c r="AD98" i="25" s="1"/>
  <c r="AI70" i="25"/>
  <c r="AH70" i="25" s="1"/>
  <c r="AG70" i="25" s="1"/>
  <c r="AF70" i="25" s="1"/>
  <c r="AD70" i="25" s="1"/>
  <c r="AI38" i="25"/>
  <c r="AH38" i="25" s="1"/>
  <c r="AG38" i="25" s="1"/>
  <c r="AF38" i="25" s="1"/>
  <c r="AD38" i="25" s="1"/>
  <c r="AI288" i="25"/>
  <c r="AH288" i="25" s="1"/>
  <c r="AG288" i="25" s="1"/>
  <c r="AF288" i="25" s="1"/>
  <c r="AD288" i="25" s="1"/>
  <c r="AI284" i="25"/>
  <c r="AH284" i="25" s="1"/>
  <c r="AG284" i="25" s="1"/>
  <c r="AF284" i="25" s="1"/>
  <c r="AD284" i="25" s="1"/>
  <c r="AI280" i="25"/>
  <c r="AH280" i="25" s="1"/>
  <c r="AG280" i="25" s="1"/>
  <c r="AF280" i="25" s="1"/>
  <c r="AD280" i="25" s="1"/>
  <c r="AI276" i="25"/>
  <c r="AH276" i="25" s="1"/>
  <c r="AG276" i="25" s="1"/>
  <c r="AF276" i="25" s="1"/>
  <c r="AD276" i="25" s="1"/>
  <c r="AI272" i="25"/>
  <c r="AH272" i="25" s="1"/>
  <c r="AG272" i="25" s="1"/>
  <c r="AF272" i="25" s="1"/>
  <c r="AD272" i="25" s="1"/>
  <c r="AI268" i="25"/>
  <c r="AH268" i="25" s="1"/>
  <c r="AG268" i="25" s="1"/>
  <c r="AF268" i="25" s="1"/>
  <c r="AD268" i="25" s="1"/>
  <c r="AI264" i="25"/>
  <c r="AH264" i="25" s="1"/>
  <c r="AG264" i="25" s="1"/>
  <c r="AF264" i="25" s="1"/>
  <c r="AD264" i="25" s="1"/>
  <c r="AI260" i="25"/>
  <c r="AH260" i="25" s="1"/>
  <c r="AG260" i="25" s="1"/>
  <c r="AF260" i="25" s="1"/>
  <c r="AD260" i="25" s="1"/>
  <c r="AI256" i="25"/>
  <c r="AH256" i="25" s="1"/>
  <c r="AG256" i="25" s="1"/>
  <c r="AF256" i="25" s="1"/>
  <c r="AD256" i="25" s="1"/>
  <c r="AI252" i="25"/>
  <c r="AH252" i="25" s="1"/>
  <c r="AG252" i="25" s="1"/>
  <c r="AF252" i="25" s="1"/>
  <c r="AD252" i="25" s="1"/>
  <c r="AI248" i="25"/>
  <c r="AH248" i="25" s="1"/>
  <c r="AG248" i="25" s="1"/>
  <c r="AF248" i="25" s="1"/>
  <c r="AD248" i="25" s="1"/>
  <c r="AI244" i="25"/>
  <c r="AH244" i="25" s="1"/>
  <c r="AG244" i="25" s="1"/>
  <c r="AF244" i="25" s="1"/>
  <c r="AD244" i="25" s="1"/>
  <c r="AI240" i="25"/>
  <c r="AH240" i="25" s="1"/>
  <c r="AG240" i="25" s="1"/>
  <c r="AF240" i="25" s="1"/>
  <c r="AD240" i="25" s="1"/>
  <c r="AI236" i="25"/>
  <c r="AH236" i="25" s="1"/>
  <c r="AG236" i="25" s="1"/>
  <c r="AF236" i="25" s="1"/>
  <c r="AD236" i="25" s="1"/>
  <c r="AI232" i="25"/>
  <c r="AH232" i="25" s="1"/>
  <c r="AG232" i="25" s="1"/>
  <c r="AF232" i="25" s="1"/>
  <c r="AD232" i="25" s="1"/>
  <c r="AI228" i="25"/>
  <c r="AH228" i="25" s="1"/>
  <c r="AG228" i="25" s="1"/>
  <c r="AF228" i="25" s="1"/>
  <c r="AD228" i="25" s="1"/>
  <c r="AI224" i="25"/>
  <c r="AH224" i="25" s="1"/>
  <c r="AG224" i="25" s="1"/>
  <c r="AF224" i="25" s="1"/>
  <c r="AD224" i="25" s="1"/>
  <c r="AI220" i="25"/>
  <c r="AH220" i="25" s="1"/>
  <c r="AG220" i="25" s="1"/>
  <c r="AF220" i="25" s="1"/>
  <c r="AD220" i="25" s="1"/>
  <c r="AI216" i="25"/>
  <c r="AH216" i="25" s="1"/>
  <c r="AG216" i="25" s="1"/>
  <c r="AF216" i="25" s="1"/>
  <c r="AD216" i="25" s="1"/>
  <c r="AI212" i="25"/>
  <c r="AH212" i="25" s="1"/>
  <c r="AG212" i="25" s="1"/>
  <c r="AF212" i="25" s="1"/>
  <c r="AD212" i="25" s="1"/>
  <c r="AI208" i="25"/>
  <c r="AH208" i="25" s="1"/>
  <c r="AG208" i="25" s="1"/>
  <c r="AF208" i="25" s="1"/>
  <c r="AD208" i="25" s="1"/>
  <c r="AI204" i="25"/>
  <c r="AH204" i="25" s="1"/>
  <c r="AG204" i="25" s="1"/>
  <c r="AF204" i="25" s="1"/>
  <c r="AD204" i="25" s="1"/>
  <c r="AI200" i="25"/>
  <c r="AH200" i="25" s="1"/>
  <c r="AG200" i="25" s="1"/>
  <c r="AF200" i="25" s="1"/>
  <c r="AD200" i="25" s="1"/>
  <c r="AI196" i="25"/>
  <c r="AH196" i="25" s="1"/>
  <c r="AG196" i="25" s="1"/>
  <c r="AF196" i="25" s="1"/>
  <c r="AD196" i="25" s="1"/>
  <c r="AI192" i="25"/>
  <c r="AH192" i="25" s="1"/>
  <c r="AG192" i="25" s="1"/>
  <c r="AF192" i="25" s="1"/>
  <c r="AD192" i="25" s="1"/>
  <c r="AI188" i="25"/>
  <c r="AH188" i="25" s="1"/>
  <c r="AG188" i="25" s="1"/>
  <c r="AF188" i="25" s="1"/>
  <c r="AD188" i="25" s="1"/>
  <c r="AI184" i="25"/>
  <c r="AH184" i="25" s="1"/>
  <c r="AG184" i="25" s="1"/>
  <c r="AF184" i="25" s="1"/>
  <c r="AD184" i="25" s="1"/>
  <c r="AI176" i="25"/>
  <c r="AH176" i="25" s="1"/>
  <c r="AG176" i="25" s="1"/>
  <c r="AF176" i="25" s="1"/>
  <c r="AD176" i="25" s="1"/>
  <c r="AI168" i="25"/>
  <c r="AH168" i="25" s="1"/>
  <c r="AG168" i="25" s="1"/>
  <c r="AF168" i="25" s="1"/>
  <c r="AD168" i="25" s="1"/>
  <c r="AI160" i="25"/>
  <c r="AH160" i="25" s="1"/>
  <c r="AG160" i="25" s="1"/>
  <c r="AF160" i="25" s="1"/>
  <c r="AD160" i="25" s="1"/>
  <c r="AI152" i="25"/>
  <c r="AH152" i="25" s="1"/>
  <c r="AG152" i="25" s="1"/>
  <c r="AF152" i="25" s="1"/>
  <c r="AD152" i="25" s="1"/>
  <c r="AI144" i="25"/>
  <c r="AH144" i="25" s="1"/>
  <c r="AG144" i="25" s="1"/>
  <c r="AF144" i="25" s="1"/>
  <c r="AD144" i="25" s="1"/>
  <c r="AI136" i="25"/>
  <c r="AH136" i="25" s="1"/>
  <c r="AG136" i="25" s="1"/>
  <c r="AF136" i="25" s="1"/>
  <c r="AD136" i="25" s="1"/>
  <c r="AI128" i="25"/>
  <c r="AH128" i="25" s="1"/>
  <c r="AG128" i="25" s="1"/>
  <c r="AF128" i="25" s="1"/>
  <c r="AD128" i="25" s="1"/>
  <c r="AI120" i="25"/>
  <c r="AH120" i="25" s="1"/>
  <c r="AG120" i="25" s="1"/>
  <c r="AF120" i="25" s="1"/>
  <c r="AD120" i="25" s="1"/>
  <c r="AI112" i="25"/>
  <c r="AH112" i="25" s="1"/>
  <c r="AG112" i="25" s="1"/>
  <c r="AF112" i="25" s="1"/>
  <c r="AD112" i="25" s="1"/>
  <c r="AI104" i="25"/>
  <c r="AH104" i="25" s="1"/>
  <c r="AG104" i="25" s="1"/>
  <c r="AF104" i="25" s="1"/>
  <c r="AD104" i="25" s="1"/>
  <c r="AI96" i="25"/>
  <c r="AH96" i="25" s="1"/>
  <c r="AG96" i="25" s="1"/>
  <c r="AF96" i="25" s="1"/>
  <c r="AD96" i="25" s="1"/>
  <c r="AI82" i="25"/>
  <c r="AH82" i="25" s="1"/>
  <c r="AG82" i="25" s="1"/>
  <c r="AF82" i="25" s="1"/>
  <c r="AD82" i="25" s="1"/>
  <c r="AI66" i="25"/>
  <c r="AH66" i="25" s="1"/>
  <c r="AG66" i="25" s="1"/>
  <c r="AF66" i="25" s="1"/>
  <c r="AD66" i="25" s="1"/>
  <c r="AI50" i="25"/>
  <c r="AH50" i="25" s="1"/>
  <c r="AG50" i="25" s="1"/>
  <c r="AF50" i="25" s="1"/>
  <c r="AD50" i="25" s="1"/>
  <c r="AI34" i="25"/>
  <c r="AH34" i="25" s="1"/>
  <c r="AG34" i="25" s="1"/>
  <c r="AF34" i="25" s="1"/>
  <c r="AD34" i="25" s="1"/>
  <c r="AI21" i="25"/>
  <c r="AH21" i="25" s="1"/>
  <c r="AG21" i="25" s="1"/>
  <c r="AF21" i="25" s="1"/>
  <c r="AD21" i="25" s="1"/>
  <c r="AI78" i="25"/>
  <c r="AH78" i="25" s="1"/>
  <c r="AG78" i="25" s="1"/>
  <c r="AF78" i="25" s="1"/>
  <c r="AD78" i="25" s="1"/>
  <c r="AI199" i="25"/>
  <c r="AH199" i="25" s="1"/>
  <c r="AG199" i="25" s="1"/>
  <c r="AF199" i="25" s="1"/>
  <c r="AD199" i="25" s="1"/>
  <c r="AI263" i="25"/>
  <c r="AH263" i="25" s="1"/>
  <c r="AG263" i="25" s="1"/>
  <c r="AF263" i="25" s="1"/>
  <c r="AD263" i="25" s="1"/>
  <c r="AI308" i="25"/>
  <c r="AH308" i="25" s="1"/>
  <c r="AG308" i="25" s="1"/>
  <c r="AF308" i="25" s="1"/>
  <c r="AD308" i="25" s="1"/>
  <c r="AI340" i="25"/>
  <c r="AH340" i="25" s="1"/>
  <c r="AG340" i="25" s="1"/>
  <c r="AF340" i="25" s="1"/>
  <c r="AD340" i="25" s="1"/>
  <c r="AI372" i="25"/>
  <c r="AH372" i="25" s="1"/>
  <c r="AG372" i="25" s="1"/>
  <c r="AF372" i="25" s="1"/>
  <c r="AD372" i="25" s="1"/>
  <c r="AI328" i="25"/>
  <c r="AH328" i="25" s="1"/>
  <c r="AG328" i="25" s="1"/>
  <c r="AF328" i="25" s="1"/>
  <c r="AD328" i="25" s="1"/>
  <c r="AI239" i="25"/>
  <c r="AH239" i="25" s="1"/>
  <c r="AG239" i="25" s="1"/>
  <c r="AF239" i="25" s="1"/>
  <c r="AD239" i="25" s="1"/>
  <c r="AI215" i="25"/>
  <c r="AH215" i="25" s="1"/>
  <c r="AG215" i="25" s="1"/>
  <c r="AF215" i="25" s="1"/>
  <c r="AD215" i="25" s="1"/>
  <c r="AH70" i="7"/>
  <c r="AI376" i="25"/>
  <c r="AH376" i="25" s="1"/>
  <c r="AG376" i="25" s="1"/>
  <c r="AF376" i="25" s="1"/>
  <c r="AD376" i="25" s="1"/>
  <c r="AI344" i="25"/>
  <c r="AH344" i="25" s="1"/>
  <c r="AG344" i="25" s="1"/>
  <c r="AF344" i="25" s="1"/>
  <c r="AD344" i="25" s="1"/>
  <c r="AI312" i="25"/>
  <c r="AH312" i="25" s="1"/>
  <c r="AG312" i="25" s="1"/>
  <c r="AF312" i="25" s="1"/>
  <c r="AD312" i="25" s="1"/>
  <c r="AI271" i="25"/>
  <c r="AH271" i="25" s="1"/>
  <c r="AG271" i="25" s="1"/>
  <c r="AF271" i="25" s="1"/>
  <c r="AD271" i="25" s="1"/>
  <c r="AI207" i="25"/>
  <c r="AH207" i="25" s="1"/>
  <c r="AG207" i="25" s="1"/>
  <c r="AF207" i="25" s="1"/>
  <c r="AD207" i="25" s="1"/>
  <c r="AI102" i="25"/>
  <c r="AH102" i="25" s="1"/>
  <c r="AG102" i="25" s="1"/>
  <c r="AF102" i="25" s="1"/>
  <c r="AD102" i="25" s="1"/>
  <c r="AI316" i="25"/>
  <c r="AH316" i="25" s="1"/>
  <c r="AG316" i="25" s="1"/>
  <c r="AF316" i="25" s="1"/>
  <c r="AD316" i="25" s="1"/>
  <c r="V272" i="25"/>
  <c r="J70" i="19" s="1"/>
  <c r="V241" i="25"/>
  <c r="I70" i="19" s="1"/>
  <c r="V180" i="25"/>
  <c r="G70" i="19" s="1"/>
  <c r="AH77" i="7"/>
  <c r="V29" i="25"/>
  <c r="AH72" i="7"/>
  <c r="AH74" i="7"/>
  <c r="AI368" i="25"/>
  <c r="AH368" i="25" s="1"/>
  <c r="AG368" i="25" s="1"/>
  <c r="AF368" i="25" s="1"/>
  <c r="AD368" i="25" s="1"/>
  <c r="AI352" i="25"/>
  <c r="AH352" i="25" s="1"/>
  <c r="AG352" i="25" s="1"/>
  <c r="AF352" i="25" s="1"/>
  <c r="AD352" i="25" s="1"/>
  <c r="AI336" i="25"/>
  <c r="AH336" i="25" s="1"/>
  <c r="AG336" i="25" s="1"/>
  <c r="AF336" i="25" s="1"/>
  <c r="AD336" i="25" s="1"/>
  <c r="AI320" i="25"/>
  <c r="AH320" i="25" s="1"/>
  <c r="AG320" i="25" s="1"/>
  <c r="AF320" i="25" s="1"/>
  <c r="AD320" i="25" s="1"/>
  <c r="AI304" i="25"/>
  <c r="AH304" i="25" s="1"/>
  <c r="AG304" i="25" s="1"/>
  <c r="AF304" i="25" s="1"/>
  <c r="AD304" i="25" s="1"/>
  <c r="AI287" i="25"/>
  <c r="AH287" i="25" s="1"/>
  <c r="AG287" i="25" s="1"/>
  <c r="AF287" i="25" s="1"/>
  <c r="AD287" i="25" s="1"/>
  <c r="AI255" i="25"/>
  <c r="AH255" i="25" s="1"/>
  <c r="AG255" i="25" s="1"/>
  <c r="AF255" i="25" s="1"/>
  <c r="AD255" i="25" s="1"/>
  <c r="AI223" i="25"/>
  <c r="AH223" i="25" s="1"/>
  <c r="AG223" i="25" s="1"/>
  <c r="AF223" i="25" s="1"/>
  <c r="AD223" i="25" s="1"/>
  <c r="AI191" i="25"/>
  <c r="AH191" i="25" s="1"/>
  <c r="AG191" i="25" s="1"/>
  <c r="AF191" i="25" s="1"/>
  <c r="AD191" i="25" s="1"/>
  <c r="AI134" i="25"/>
  <c r="AH134" i="25" s="1"/>
  <c r="AG134" i="25" s="1"/>
  <c r="AF134" i="25" s="1"/>
  <c r="AD134" i="25" s="1"/>
  <c r="AI46" i="25"/>
  <c r="AH46" i="25" s="1"/>
  <c r="AG46" i="25" s="1"/>
  <c r="AF46" i="25" s="1"/>
  <c r="AD46" i="25" s="1"/>
  <c r="AI279" i="25"/>
  <c r="AH279" i="25" s="1"/>
  <c r="AG279" i="25" s="1"/>
  <c r="AF279" i="25" s="1"/>
  <c r="AD279" i="25" s="1"/>
  <c r="AG379" i="24"/>
  <c r="AH383" i="24"/>
  <c r="AH382" i="24"/>
  <c r="AH381" i="24"/>
  <c r="AI182" i="25"/>
  <c r="AH182" i="25" s="1"/>
  <c r="AG182" i="25" s="1"/>
  <c r="AF182" i="25" s="1"/>
  <c r="AD182" i="25" s="1"/>
  <c r="AI300" i="25"/>
  <c r="AH300" i="25" s="1"/>
  <c r="AG300" i="25" s="1"/>
  <c r="AF300" i="25" s="1"/>
  <c r="AD300" i="25" s="1"/>
  <c r="AI364" i="25"/>
  <c r="AH364" i="25" s="1"/>
  <c r="AG364" i="25" s="1"/>
  <c r="AF364" i="25" s="1"/>
  <c r="AD364" i="25" s="1"/>
  <c r="AI247" i="25"/>
  <c r="AH247" i="25" s="1"/>
  <c r="AG247" i="25" s="1"/>
  <c r="AF247" i="25" s="1"/>
  <c r="AD247" i="25" s="1"/>
  <c r="AI332" i="25"/>
  <c r="AH332" i="25" s="1"/>
  <c r="AG332" i="25" s="1"/>
  <c r="AF332" i="25" s="1"/>
  <c r="AD332" i="25" s="1"/>
  <c r="AI118" i="25"/>
  <c r="AH118" i="25" s="1"/>
  <c r="AG118" i="25" s="1"/>
  <c r="AF118" i="25" s="1"/>
  <c r="AD118" i="25" s="1"/>
  <c r="AH78" i="7"/>
  <c r="U381" i="25"/>
  <c r="T383" i="25"/>
  <c r="U383" i="25"/>
  <c r="U382" i="25"/>
  <c r="H70" i="19"/>
  <c r="H57" i="19" s="1"/>
  <c r="K70" i="19"/>
  <c r="L70" i="19"/>
  <c r="D70" i="19"/>
  <c r="F70" i="19"/>
  <c r="AH71" i="7"/>
  <c r="V119" i="25"/>
  <c r="AH69" i="7"/>
  <c r="V60" i="25"/>
  <c r="AH79" i="7"/>
  <c r="V363" i="25"/>
  <c r="S379" i="25"/>
  <c r="R379" i="25" s="1"/>
  <c r="P379" i="25" s="1"/>
  <c r="V381" i="23"/>
  <c r="V383" i="23"/>
  <c r="B68" i="19"/>
  <c r="N68" i="19" s="1"/>
  <c r="V382" i="23"/>
  <c r="R381" i="24"/>
  <c r="R382" i="24"/>
  <c r="R383" i="24"/>
  <c r="P15" i="24"/>
  <c r="AG15" i="25"/>
  <c r="S15" i="25"/>
  <c r="T381" i="25"/>
  <c r="T382" i="25"/>
  <c r="AD15" i="24"/>
  <c r="H58" i="19" l="1"/>
  <c r="V379" i="25"/>
  <c r="D44" i="19"/>
  <c r="D33" i="19" s="1"/>
  <c r="AH382" i="25"/>
  <c r="AI383" i="25"/>
  <c r="AH383" i="25"/>
  <c r="AH381" i="25"/>
  <c r="AI381" i="25"/>
  <c r="AI382" i="25"/>
  <c r="AF379" i="24"/>
  <c r="AG383" i="24"/>
  <c r="AG382" i="24"/>
  <c r="AG381" i="24"/>
  <c r="H59" i="19"/>
  <c r="D57" i="19"/>
  <c r="D59" i="19"/>
  <c r="D58" i="19"/>
  <c r="L57" i="19"/>
  <c r="L58" i="19"/>
  <c r="L59" i="19"/>
  <c r="K59" i="19"/>
  <c r="K58" i="19"/>
  <c r="K57" i="19"/>
  <c r="I57" i="19"/>
  <c r="I58" i="19"/>
  <c r="I59" i="19"/>
  <c r="J57" i="19"/>
  <c r="J58" i="19"/>
  <c r="J59" i="19"/>
  <c r="M70" i="19"/>
  <c r="C70" i="19"/>
  <c r="F59" i="19"/>
  <c r="F57" i="19"/>
  <c r="F58" i="19"/>
  <c r="E70" i="19"/>
  <c r="G58" i="19"/>
  <c r="G59" i="19"/>
  <c r="G57" i="19"/>
  <c r="AG383" i="25"/>
  <c r="AG381" i="25"/>
  <c r="AG382" i="25"/>
  <c r="AF15" i="25"/>
  <c r="V15" i="24"/>
  <c r="P382" i="24"/>
  <c r="P381" i="24"/>
  <c r="P383" i="24"/>
  <c r="S382" i="25"/>
  <c r="S383" i="25"/>
  <c r="S381" i="25"/>
  <c r="R15" i="25"/>
  <c r="AD379" i="24" l="1"/>
  <c r="AF381" i="24"/>
  <c r="AF383" i="24"/>
  <c r="AF382" i="24"/>
  <c r="E58" i="19"/>
  <c r="E57" i="19"/>
  <c r="E59" i="19"/>
  <c r="C57" i="19"/>
  <c r="C59" i="19"/>
  <c r="C58" i="19"/>
  <c r="M58" i="19"/>
  <c r="M57" i="19"/>
  <c r="M59" i="19"/>
  <c r="V382" i="24"/>
  <c r="V381" i="24"/>
  <c r="B69" i="19"/>
  <c r="N69" i="19" s="1"/>
  <c r="V383" i="24"/>
  <c r="R381" i="25"/>
  <c r="R382" i="25"/>
  <c r="R383" i="25"/>
  <c r="P15" i="25"/>
  <c r="AF381" i="25"/>
  <c r="AF382" i="25"/>
  <c r="AF383" i="25"/>
  <c r="AD15" i="25"/>
  <c r="AD383" i="24" l="1"/>
  <c r="AD382" i="24"/>
  <c r="AD381" i="24"/>
  <c r="AD383" i="25"/>
  <c r="AD382" i="25"/>
  <c r="AD381" i="25"/>
  <c r="P382" i="25"/>
  <c r="P383" i="25"/>
  <c r="V15" i="25"/>
  <c r="P381" i="25"/>
  <c r="B70" i="19" l="1"/>
  <c r="V381" i="25"/>
  <c r="V382" i="25" l="1"/>
  <c r="V383" i="25"/>
  <c r="N70" i="19"/>
  <c r="B58" i="19"/>
  <c r="B59" i="19"/>
  <c r="B57" i="19"/>
  <c r="N57" i="19" l="1"/>
  <c r="N58" i="19"/>
  <c r="N59" i="19"/>
  <c r="W379" i="17"/>
  <c r="W375" i="17"/>
  <c r="W371" i="17"/>
  <c r="W367" i="17"/>
  <c r="W363" i="17"/>
  <c r="W359" i="17"/>
  <c r="W355" i="17"/>
  <c r="W351" i="17"/>
  <c r="W347" i="17"/>
  <c r="W343" i="17"/>
  <c r="W339" i="17"/>
  <c r="W335" i="17"/>
  <c r="W331" i="17"/>
  <c r="W327" i="17"/>
  <c r="W323" i="17"/>
  <c r="W319" i="17"/>
  <c r="W315" i="17"/>
  <c r="W311" i="17"/>
  <c r="W307" i="17"/>
  <c r="W303" i="17"/>
  <c r="W299" i="17"/>
  <c r="W295" i="17"/>
  <c r="W291" i="17"/>
  <c r="W287" i="17"/>
  <c r="W283" i="17"/>
  <c r="W279" i="17"/>
  <c r="W275" i="17"/>
  <c r="W271" i="17"/>
  <c r="W267" i="17"/>
  <c r="W263" i="17"/>
  <c r="W259" i="17"/>
  <c r="W255" i="17"/>
  <c r="W251" i="17"/>
  <c r="W247" i="17"/>
  <c r="W243" i="17"/>
  <c r="W239" i="17"/>
  <c r="W235" i="17"/>
  <c r="W231" i="17"/>
  <c r="W227" i="17"/>
  <c r="W223" i="17"/>
  <c r="W219" i="17"/>
  <c r="W215" i="17"/>
  <c r="W211" i="17"/>
  <c r="W372" i="17"/>
  <c r="W364" i="17"/>
  <c r="W356" i="17"/>
  <c r="W348" i="17"/>
  <c r="W340" i="17"/>
  <c r="W332" i="17"/>
  <c r="W324" i="17"/>
  <c r="W316" i="17"/>
  <c r="W308" i="17"/>
  <c r="W300" i="17"/>
  <c r="W292" i="17"/>
  <c r="W284" i="17"/>
  <c r="W276" i="17"/>
  <c r="W268" i="17"/>
  <c r="W260" i="17"/>
  <c r="W252" i="17"/>
  <c r="W244" i="17"/>
  <c r="W236" i="17"/>
  <c r="W228" i="17"/>
  <c r="W220" i="17"/>
  <c r="W212" i="17"/>
  <c r="W207" i="17"/>
  <c r="W203" i="17"/>
  <c r="W199" i="17"/>
  <c r="W195" i="17"/>
  <c r="W191" i="17"/>
  <c r="W187" i="17"/>
  <c r="W183" i="17"/>
  <c r="W179" i="17"/>
  <c r="W175" i="17"/>
  <c r="W171" i="17"/>
  <c r="W167" i="17"/>
  <c r="W163" i="17"/>
  <c r="W159" i="17"/>
  <c r="W155" i="17"/>
  <c r="W151" i="17"/>
  <c r="W147" i="17"/>
  <c r="W143" i="17"/>
  <c r="W139" i="17"/>
  <c r="W135" i="17"/>
  <c r="W131" i="17"/>
  <c r="W127" i="17"/>
  <c r="W377" i="17"/>
  <c r="W369" i="17"/>
  <c r="W361" i="17"/>
  <c r="W353" i="17"/>
  <c r="W345" i="17"/>
  <c r="W337" i="17"/>
  <c r="W329" i="17"/>
  <c r="W321" i="17"/>
  <c r="W313" i="17"/>
  <c r="W305" i="17"/>
  <c r="W297" i="17"/>
  <c r="W289" i="17"/>
  <c r="W281" i="17"/>
  <c r="W273" i="17"/>
  <c r="W265" i="17"/>
  <c r="W257" i="17"/>
  <c r="W249" i="17"/>
  <c r="W241" i="17"/>
  <c r="W233" i="17"/>
  <c r="W225" i="17"/>
  <c r="W217" i="17"/>
  <c r="W376" i="17"/>
  <c r="W360" i="17"/>
  <c r="W344" i="17"/>
  <c r="W328" i="17"/>
  <c r="W312" i="17"/>
  <c r="W296" i="17"/>
  <c r="W280" i="17"/>
  <c r="W264" i="17"/>
  <c r="W248" i="17"/>
  <c r="W232" i="17"/>
  <c r="W216" i="17"/>
  <c r="W205" i="17"/>
  <c r="W197" i="17"/>
  <c r="W189" i="17"/>
  <c r="W181" i="17"/>
  <c r="W173" i="17"/>
  <c r="W165" i="17"/>
  <c r="W157" i="17"/>
  <c r="W149" i="17"/>
  <c r="W141" i="17"/>
  <c r="W133" i="17"/>
  <c r="W125" i="17"/>
  <c r="W370" i="17"/>
  <c r="W354" i="17"/>
  <c r="W338" i="17"/>
  <c r="W322" i="17"/>
  <c r="W306" i="17"/>
  <c r="W290" i="17"/>
  <c r="W274" i="17"/>
  <c r="W258" i="17"/>
  <c r="W242" i="17"/>
  <c r="W226" i="17"/>
  <c r="W210" i="17"/>
  <c r="W202" i="17"/>
  <c r="W194" i="17"/>
  <c r="W186" i="17"/>
  <c r="W178" i="17"/>
  <c r="W170" i="17"/>
  <c r="W162" i="17"/>
  <c r="W154" i="17"/>
  <c r="W146" i="17"/>
  <c r="W138" i="17"/>
  <c r="W130" i="17"/>
  <c r="W123" i="17"/>
  <c r="W119" i="17"/>
  <c r="W115" i="17"/>
  <c r="W111" i="17"/>
  <c r="W107" i="17"/>
  <c r="W103" i="17"/>
  <c r="W99" i="17"/>
  <c r="W95" i="17"/>
  <c r="W91" i="17"/>
  <c r="W87" i="17"/>
  <c r="W83" i="17"/>
  <c r="W79" i="17"/>
  <c r="W75" i="17"/>
  <c r="W71" i="17"/>
  <c r="W67" i="17"/>
  <c r="W63" i="17"/>
  <c r="W59" i="17"/>
  <c r="W55" i="17"/>
  <c r="W51" i="17"/>
  <c r="W47" i="17"/>
  <c r="W43" i="17"/>
  <c r="W39" i="17"/>
  <c r="W35" i="17"/>
  <c r="W31" i="17"/>
  <c r="W27" i="17"/>
  <c r="W374" i="17"/>
  <c r="W358" i="17"/>
  <c r="W342" i="17"/>
  <c r="W326" i="17"/>
  <c r="W310" i="17"/>
  <c r="W294" i="17"/>
  <c r="W278" i="17"/>
  <c r="W262" i="17"/>
  <c r="W246" i="17"/>
  <c r="W230" i="17"/>
  <c r="W214" i="17"/>
  <c r="W204" i="17"/>
  <c r="W196" i="17"/>
  <c r="W188" i="17"/>
  <c r="W180" i="17"/>
  <c r="W172" i="17"/>
  <c r="W164" i="17"/>
  <c r="W156" i="17"/>
  <c r="W148" i="17"/>
  <c r="W140" i="17"/>
  <c r="W132" i="17"/>
  <c r="W124" i="17"/>
  <c r="W120" i="17"/>
  <c r="W116" i="17"/>
  <c r="W112" i="17"/>
  <c r="W108" i="17"/>
  <c r="W104" i="17"/>
  <c r="W100" i="17"/>
  <c r="W96" i="17"/>
  <c r="W92" i="17"/>
  <c r="W88" i="17"/>
  <c r="W84" i="17"/>
  <c r="W80" i="17"/>
  <c r="W76" i="17"/>
  <c r="W72" i="17"/>
  <c r="W68" i="17"/>
  <c r="W64" i="17"/>
  <c r="W60" i="17"/>
  <c r="W56" i="17"/>
  <c r="W52" i="17"/>
  <c r="W48" i="17"/>
  <c r="W44" i="17"/>
  <c r="W40" i="17"/>
  <c r="W36" i="17"/>
  <c r="W32" i="17"/>
  <c r="W28" i="17"/>
  <c r="W24" i="17"/>
  <c r="W20" i="17"/>
  <c r="W16" i="17"/>
  <c r="W19" i="17"/>
  <c r="W17" i="17"/>
  <c r="W373" i="17"/>
  <c r="W357" i="17"/>
  <c r="W341" i="17"/>
  <c r="W325" i="17"/>
  <c r="W309" i="17"/>
  <c r="W293" i="17"/>
  <c r="W277" i="17"/>
  <c r="W261" i="17"/>
  <c r="W245" i="17"/>
  <c r="W229" i="17"/>
  <c r="W213" i="17"/>
  <c r="W352" i="17"/>
  <c r="W320" i="17"/>
  <c r="W288" i="17"/>
  <c r="W256" i="17"/>
  <c r="W224" i="17"/>
  <c r="W201" i="17"/>
  <c r="W185" i="17"/>
  <c r="W169" i="17"/>
  <c r="W153" i="17"/>
  <c r="W137" i="17"/>
  <c r="W378" i="17"/>
  <c r="W346" i="17"/>
  <c r="W314" i="17"/>
  <c r="W282" i="17"/>
  <c r="W250" i="17"/>
  <c r="W218" i="17"/>
  <c r="W198" i="17"/>
  <c r="W182" i="17"/>
  <c r="W166" i="17"/>
  <c r="W150" i="17"/>
  <c r="W134" i="17"/>
  <c r="W121" i="17"/>
  <c r="W113" i="17"/>
  <c r="W105" i="17"/>
  <c r="W97" i="17"/>
  <c r="W89" i="17"/>
  <c r="W81" i="17"/>
  <c r="W73" i="17"/>
  <c r="W65" i="17"/>
  <c r="W57" i="17"/>
  <c r="W49" i="17"/>
  <c r="W41" i="17"/>
  <c r="W33" i="17"/>
  <c r="W25" i="17"/>
  <c r="W350" i="17"/>
  <c r="W318" i="17"/>
  <c r="W286" i="17"/>
  <c r="W254" i="17"/>
  <c r="W222" i="17"/>
  <c r="W200" i="17"/>
  <c r="W184" i="17"/>
  <c r="W168" i="17"/>
  <c r="W152" i="17"/>
  <c r="W136" i="17"/>
  <c r="W122" i="17"/>
  <c r="W114" i="17"/>
  <c r="W106" i="17"/>
  <c r="W98" i="17"/>
  <c r="W90" i="17"/>
  <c r="W82" i="17"/>
  <c r="W74" i="17"/>
  <c r="W66" i="17"/>
  <c r="W58" i="17"/>
  <c r="W50" i="17"/>
  <c r="W42" i="17"/>
  <c r="W34" i="17"/>
  <c r="W26" i="17"/>
  <c r="W18" i="17"/>
  <c r="W330" i="17"/>
  <c r="W145" i="17"/>
  <c r="W365" i="17"/>
  <c r="W333" i="17"/>
  <c r="W301" i="17"/>
  <c r="W269" i="17"/>
  <c r="W237" i="17"/>
  <c r="W368" i="17"/>
  <c r="W304" i="17"/>
  <c r="W240" i="17"/>
  <c r="W193" i="17"/>
  <c r="W161" i="17"/>
  <c r="W129" i="17"/>
  <c r="W266" i="17"/>
  <c r="W206" i="17"/>
  <c r="W174" i="17"/>
  <c r="W142" i="17"/>
  <c r="W117" i="17"/>
  <c r="W101" i="17"/>
  <c r="W85" i="17"/>
  <c r="W69" i="17"/>
  <c r="W53" i="17"/>
  <c r="W37" i="17"/>
  <c r="W366" i="17"/>
  <c r="W302" i="17"/>
  <c r="W238" i="17"/>
  <c r="W192" i="17"/>
  <c r="W160" i="17"/>
  <c r="W128" i="17"/>
  <c r="W110" i="17"/>
  <c r="W94" i="17"/>
  <c r="W78" i="17"/>
  <c r="W62" i="17"/>
  <c r="W46" i="17"/>
  <c r="W30" i="17"/>
  <c r="W23" i="17"/>
  <c r="W21" i="17"/>
  <c r="D131" i="17"/>
  <c r="E131" i="17" s="1"/>
  <c r="F131" i="17" s="1"/>
  <c r="D27" i="17"/>
  <c r="E27" i="17" s="1"/>
  <c r="F27" i="17" s="1"/>
  <c r="D307" i="17"/>
  <c r="E307" i="17" s="1"/>
  <c r="F307" i="17" s="1"/>
  <c r="D91" i="17"/>
  <c r="E91" i="17" s="1"/>
  <c r="F91" i="17" s="1"/>
  <c r="W102" i="17"/>
  <c r="W176" i="17"/>
  <c r="W208" i="17"/>
  <c r="W118" i="17"/>
  <c r="W158" i="17"/>
  <c r="W29" i="17"/>
  <c r="W349" i="17"/>
  <c r="W285" i="17"/>
  <c r="W221" i="17"/>
  <c r="W272" i="17"/>
  <c r="W177" i="17"/>
  <c r="W362" i="17"/>
  <c r="W234" i="17"/>
  <c r="W109" i="17"/>
  <c r="W77" i="17"/>
  <c r="D77" i="17"/>
  <c r="E77" i="17" s="1"/>
  <c r="F77" i="17" s="1"/>
  <c r="W45" i="17"/>
  <c r="W334" i="17"/>
  <c r="W144" i="17"/>
  <c r="W70" i="17"/>
  <c r="W38" i="17"/>
  <c r="D330" i="17"/>
  <c r="E330" i="17" s="1"/>
  <c r="F330" i="17" s="1"/>
  <c r="AA330" i="17" s="1"/>
  <c r="Z330" i="17" s="1"/>
  <c r="Y330" i="17" s="1"/>
  <c r="D300" i="17"/>
  <c r="E300" i="17" s="1"/>
  <c r="F300" i="17" s="1"/>
  <c r="D81" i="17"/>
  <c r="E81" i="17" s="1"/>
  <c r="F81" i="17" s="1"/>
  <c r="D316" i="17"/>
  <c r="E316" i="17" s="1"/>
  <c r="F316" i="17" s="1"/>
  <c r="H316" i="17" s="1"/>
  <c r="D145" i="17"/>
  <c r="E145" i="17" s="1"/>
  <c r="F145" i="17" s="1"/>
  <c r="D43" i="17"/>
  <c r="E43" i="17" s="1"/>
  <c r="F43" i="17" s="1"/>
  <c r="H43" i="17" s="1"/>
  <c r="D59" i="17"/>
  <c r="E59" i="17" s="1"/>
  <c r="F59" i="17" s="1"/>
  <c r="D275" i="17"/>
  <c r="E275" i="17" s="1"/>
  <c r="F275" i="17" s="1"/>
  <c r="D268" i="17"/>
  <c r="E268" i="17" s="1"/>
  <c r="F268" i="17" s="1"/>
  <c r="D282" i="17"/>
  <c r="E282" i="17" s="1"/>
  <c r="F282" i="17" s="1"/>
  <c r="D176" i="17"/>
  <c r="E176" i="17" s="1"/>
  <c r="F176" i="17" s="1"/>
  <c r="D372" i="17"/>
  <c r="E372" i="17" s="1"/>
  <c r="F372" i="17" s="1"/>
  <c r="D356" i="17"/>
  <c r="E356" i="17" s="1"/>
  <c r="F356" i="17" s="1"/>
  <c r="D152" i="17"/>
  <c r="E152" i="17" s="1"/>
  <c r="F152" i="17" s="1"/>
  <c r="D56" i="17"/>
  <c r="E56" i="17" s="1"/>
  <c r="F56" i="17" s="1"/>
  <c r="D337" i="17"/>
  <c r="E337" i="17" s="1"/>
  <c r="F337" i="17" s="1"/>
  <c r="D297" i="17"/>
  <c r="E297" i="17" s="1"/>
  <c r="F297" i="17" s="1"/>
  <c r="D205" i="17"/>
  <c r="E205" i="17" s="1"/>
  <c r="F205" i="17" s="1"/>
  <c r="D185" i="17"/>
  <c r="E185" i="17" s="1"/>
  <c r="F185" i="17" s="1"/>
  <c r="D153" i="17"/>
  <c r="E153" i="17" s="1"/>
  <c r="F153" i="17" s="1"/>
  <c r="D101" i="17"/>
  <c r="E101" i="17" s="1"/>
  <c r="F101" i="17" s="1"/>
  <c r="D224" i="17"/>
  <c r="E224" i="17" s="1"/>
  <c r="F224" i="17" s="1"/>
  <c r="D227" i="17"/>
  <c r="E227" i="17" s="1"/>
  <c r="F227" i="17" s="1"/>
  <c r="D276" i="17"/>
  <c r="E276" i="17" s="1"/>
  <c r="F276" i="17" s="1"/>
  <c r="D42" i="17"/>
  <c r="E42" i="17" s="1"/>
  <c r="F42" i="17" s="1"/>
  <c r="D178" i="17"/>
  <c r="E178" i="17" s="1"/>
  <c r="F178" i="17" s="1"/>
  <c r="G178" i="17" s="1"/>
  <c r="BZ178" i="6" s="1"/>
  <c r="D197" i="17"/>
  <c r="E197" i="17" s="1"/>
  <c r="F197" i="17" s="1"/>
  <c r="D240" i="17"/>
  <c r="E240" i="17" s="1"/>
  <c r="F240" i="17" s="1"/>
  <c r="H240" i="17" s="1"/>
  <c r="J240" i="17" s="1"/>
  <c r="C240" i="6" s="1"/>
  <c r="D312" i="17"/>
  <c r="E312" i="17" s="1"/>
  <c r="F312" i="17" s="1"/>
  <c r="AA312" i="17" s="1"/>
  <c r="Z312" i="17" s="1"/>
  <c r="Y312" i="17" s="1"/>
  <c r="D87" i="17"/>
  <c r="E87" i="17" s="1"/>
  <c r="F87" i="17" s="1"/>
  <c r="H87" i="17" s="1"/>
  <c r="J87" i="17" s="1"/>
  <c r="C87" i="6" s="1"/>
  <c r="D203" i="17"/>
  <c r="E203" i="17" s="1"/>
  <c r="F203" i="17" s="1"/>
  <c r="W22" i="17"/>
  <c r="W190" i="17"/>
  <c r="W93" i="17"/>
  <c r="W209" i="17"/>
  <c r="W126" i="17"/>
  <c r="W336" i="17"/>
  <c r="W61" i="17"/>
  <c r="W317" i="17"/>
  <c r="W86" i="17"/>
  <c r="D125" i="17"/>
  <c r="E125" i="17" s="1"/>
  <c r="F125" i="17" s="1"/>
  <c r="D102" i="17"/>
  <c r="E102" i="17" s="1"/>
  <c r="F102" i="17" s="1"/>
  <c r="D318" i="17"/>
  <c r="E318" i="17" s="1"/>
  <c r="F318" i="17" s="1"/>
  <c r="D16" i="17"/>
  <c r="E16" i="17" s="1"/>
  <c r="F16" i="17" s="1"/>
  <c r="D243" i="17"/>
  <c r="E243" i="17" s="1"/>
  <c r="F243" i="17" s="1"/>
  <c r="D266" i="17"/>
  <c r="E266" i="17" s="1"/>
  <c r="F266" i="17" s="1"/>
  <c r="D32" i="17"/>
  <c r="E32" i="17" s="1"/>
  <c r="F32" i="17" s="1"/>
  <c r="D280" i="17"/>
  <c r="E280" i="17" s="1"/>
  <c r="F280" i="17" s="1"/>
  <c r="D31" i="17"/>
  <c r="E31" i="17" s="1"/>
  <c r="F31" i="17" s="1"/>
  <c r="D182" i="17"/>
  <c r="E182" i="17" s="1"/>
  <c r="F182" i="17" s="1"/>
  <c r="D220" i="17"/>
  <c r="E220" i="17" s="1"/>
  <c r="F220" i="17" s="1"/>
  <c r="D118" i="17"/>
  <c r="E118" i="17" s="1"/>
  <c r="F118" i="17" s="1"/>
  <c r="D364" i="17"/>
  <c r="E364" i="17" s="1"/>
  <c r="F364" i="17" s="1"/>
  <c r="D147" i="17"/>
  <c r="E147" i="17" s="1"/>
  <c r="F147" i="17" s="1"/>
  <c r="D360" i="17"/>
  <c r="E360" i="17" s="1"/>
  <c r="F360" i="17" s="1"/>
  <c r="G360" i="17" s="1"/>
  <c r="BZ360" i="6" s="1"/>
  <c r="D164" i="17"/>
  <c r="E164" i="17" s="1"/>
  <c r="F164" i="17" s="1"/>
  <c r="AA164" i="17" s="1"/>
  <c r="Z164" i="17" s="1"/>
  <c r="Y164" i="17" s="1"/>
  <c r="D97" i="17"/>
  <c r="E97" i="17" s="1"/>
  <c r="F97" i="17" s="1"/>
  <c r="D46" i="17"/>
  <c r="E46" i="17" s="1"/>
  <c r="F46" i="17" s="1"/>
  <c r="D140" i="17"/>
  <c r="E140" i="17" s="1"/>
  <c r="F140" i="17" s="1"/>
  <c r="AA140" i="17" s="1"/>
  <c r="Z140" i="17" s="1"/>
  <c r="Y140" i="17" s="1"/>
  <c r="D232" i="17"/>
  <c r="E232" i="17" s="1"/>
  <c r="F232" i="17" s="1"/>
  <c r="D296" i="17"/>
  <c r="E296" i="17" s="1"/>
  <c r="F296" i="17" s="1"/>
  <c r="D57" i="17"/>
  <c r="E57" i="17" s="1"/>
  <c r="F57" i="17" s="1"/>
  <c r="D179" i="17"/>
  <c r="E179" i="17" s="1"/>
  <c r="F179" i="17" s="1"/>
  <c r="D29" i="17"/>
  <c r="E29" i="17" s="1"/>
  <c r="F29" i="17" s="1"/>
  <c r="D22" i="17"/>
  <c r="E22" i="17" s="1"/>
  <c r="F22" i="17" s="1"/>
  <c r="D110" i="17"/>
  <c r="E110" i="17" s="1"/>
  <c r="F110" i="17" s="1"/>
  <c r="D190" i="17"/>
  <c r="E190" i="17" s="1"/>
  <c r="F190" i="17" s="1"/>
  <c r="D378" i="17"/>
  <c r="E378" i="17" s="1"/>
  <c r="F378" i="17" s="1"/>
  <c r="D365" i="17"/>
  <c r="E365" i="17" s="1"/>
  <c r="F365" i="17" s="1"/>
  <c r="D37" i="17"/>
  <c r="E37" i="17" s="1"/>
  <c r="F37" i="17" s="1"/>
  <c r="D137" i="17"/>
  <c r="E137" i="17" s="1"/>
  <c r="F137" i="17" s="1"/>
  <c r="D210" i="17"/>
  <c r="E210" i="17" s="1"/>
  <c r="F210" i="17" s="1"/>
  <c r="D200" i="17"/>
  <c r="E200" i="17" s="1"/>
  <c r="F200" i="17" s="1"/>
  <c r="D344" i="17"/>
  <c r="E344" i="17" s="1"/>
  <c r="F344" i="17" s="1"/>
  <c r="D246" i="17"/>
  <c r="E246" i="17" s="1"/>
  <c r="F246" i="17" s="1"/>
  <c r="D93" i="17"/>
  <c r="E93" i="17" s="1"/>
  <c r="F93" i="17" s="1"/>
  <c r="H93" i="17" s="1"/>
  <c r="J93" i="17" s="1"/>
  <c r="C93" i="6" s="1"/>
  <c r="D257" i="17"/>
  <c r="E257" i="17" s="1"/>
  <c r="F257" i="17" s="1"/>
  <c r="D204" i="17"/>
  <c r="E204" i="17" s="1"/>
  <c r="F204" i="17" s="1"/>
  <c r="H204" i="17" s="1"/>
  <c r="D368" i="17"/>
  <c r="E368" i="17" s="1"/>
  <c r="F368" i="17" s="1"/>
  <c r="D75" i="17"/>
  <c r="E75" i="17" s="1"/>
  <c r="F75" i="17" s="1"/>
  <c r="D223" i="17"/>
  <c r="E223" i="17" s="1"/>
  <c r="F223" i="17" s="1"/>
  <c r="D138" i="17"/>
  <c r="E138" i="17" s="1"/>
  <c r="F138" i="17" s="1"/>
  <c r="D305" i="17"/>
  <c r="E305" i="17" s="1"/>
  <c r="F305" i="17" s="1"/>
  <c r="D72" i="17"/>
  <c r="E72" i="17" s="1"/>
  <c r="F72" i="17" s="1"/>
  <c r="D272" i="17"/>
  <c r="E272" i="17" s="1"/>
  <c r="F272" i="17" s="1"/>
  <c r="AA272" i="17" s="1"/>
  <c r="Z272" i="17" s="1"/>
  <c r="Y272" i="17" s="1"/>
  <c r="D308" i="17"/>
  <c r="E308" i="17" s="1"/>
  <c r="F308" i="17" s="1"/>
  <c r="D119" i="17"/>
  <c r="E119" i="17" s="1"/>
  <c r="F119" i="17" s="1"/>
  <c r="AA119" i="17" s="1"/>
  <c r="Z119" i="17" s="1"/>
  <c r="Y119" i="17" s="1"/>
  <c r="D183" i="17"/>
  <c r="E183" i="17" s="1"/>
  <c r="F183" i="17" s="1"/>
  <c r="D323" i="17"/>
  <c r="E323" i="17" s="1"/>
  <c r="F323" i="17" s="1"/>
  <c r="D166" i="17"/>
  <c r="E166" i="17" s="1"/>
  <c r="F166" i="17" s="1"/>
  <c r="D333" i="17"/>
  <c r="E333" i="17" s="1"/>
  <c r="F333" i="17" s="1"/>
  <c r="D354" i="17"/>
  <c r="E354" i="17" s="1"/>
  <c r="F354" i="17" s="1"/>
  <c r="D133" i="17"/>
  <c r="E133" i="17" s="1"/>
  <c r="F133" i="17" s="1"/>
  <c r="D329" i="17"/>
  <c r="E329" i="17" s="1"/>
  <c r="F329" i="17" s="1"/>
  <c r="D373" i="17"/>
  <c r="E373" i="17" s="1"/>
  <c r="F373" i="17" s="1"/>
  <c r="D53" i="17"/>
  <c r="E53" i="17" s="1"/>
  <c r="F53" i="17" s="1"/>
  <c r="D149" i="17"/>
  <c r="E149" i="17" s="1"/>
  <c r="F149" i="17" s="1"/>
  <c r="D121" i="17"/>
  <c r="E121" i="17" s="1"/>
  <c r="F121" i="17" s="1"/>
  <c r="D108" i="17"/>
  <c r="E108" i="17" s="1"/>
  <c r="F108" i="17" s="1"/>
  <c r="D163" i="17"/>
  <c r="E163" i="17" s="1"/>
  <c r="F163" i="17" s="1"/>
  <c r="D26" i="17"/>
  <c r="E26" i="17" s="1"/>
  <c r="F26" i="17" s="1"/>
  <c r="D130" i="17"/>
  <c r="E130" i="17" s="1"/>
  <c r="F130" i="17" s="1"/>
  <c r="D177" i="17"/>
  <c r="E177" i="17" s="1"/>
  <c r="F177" i="17" s="1"/>
  <c r="D233" i="17"/>
  <c r="E233" i="17" s="1"/>
  <c r="F233" i="17" s="1"/>
  <c r="D92" i="17"/>
  <c r="E92" i="17" s="1"/>
  <c r="F92" i="17" s="1"/>
  <c r="D196" i="17"/>
  <c r="E196" i="17" s="1"/>
  <c r="F196" i="17" s="1"/>
  <c r="D256" i="17"/>
  <c r="E256" i="17" s="1"/>
  <c r="F256" i="17" s="1"/>
  <c r="D159" i="17"/>
  <c r="E159" i="17" s="1"/>
  <c r="F159" i="17" s="1"/>
  <c r="D335" i="17"/>
  <c r="E335" i="17" s="1"/>
  <c r="F335" i="17" s="1"/>
  <c r="D173" i="17"/>
  <c r="E173" i="17" s="1"/>
  <c r="F173" i="17" s="1"/>
  <c r="D277" i="17"/>
  <c r="E277" i="17" s="1"/>
  <c r="F277" i="17" s="1"/>
  <c r="D313" i="17"/>
  <c r="E313" i="17" s="1"/>
  <c r="F313" i="17" s="1"/>
  <c r="D237" i="17"/>
  <c r="E237" i="17" s="1"/>
  <c r="F237" i="17" s="1"/>
  <c r="D342" i="17"/>
  <c r="E342" i="17" s="1"/>
  <c r="F342" i="17" s="1"/>
  <c r="D286" i="17"/>
  <c r="E286" i="17" s="1"/>
  <c r="F286" i="17" s="1"/>
  <c r="D254" i="17"/>
  <c r="E254" i="17" s="1"/>
  <c r="F254" i="17" s="1"/>
  <c r="D238" i="17"/>
  <c r="E238" i="17" s="1"/>
  <c r="F238" i="17" s="1"/>
  <c r="AA238" i="17" s="1"/>
  <c r="Z238" i="17" s="1"/>
  <c r="Y238" i="17" s="1"/>
  <c r="D151" i="17"/>
  <c r="E151" i="17" s="1"/>
  <c r="F151" i="17" s="1"/>
  <c r="D99" i="17"/>
  <c r="E99" i="17" s="1"/>
  <c r="F99" i="17" s="1"/>
  <c r="AA99" i="17" s="1"/>
  <c r="Z99" i="17" s="1"/>
  <c r="Y99" i="17" s="1"/>
  <c r="D23" i="17"/>
  <c r="E23" i="17" s="1"/>
  <c r="F23" i="17" s="1"/>
  <c r="D112" i="17"/>
  <c r="E112" i="17" s="1"/>
  <c r="F112" i="17" s="1"/>
  <c r="D96" i="17"/>
  <c r="E96" i="17" s="1"/>
  <c r="F96" i="17" s="1"/>
  <c r="D343" i="17"/>
  <c r="E343" i="17" s="1"/>
  <c r="F343" i="17" s="1"/>
  <c r="D141" i="17"/>
  <c r="E141" i="17" s="1"/>
  <c r="F141" i="17" s="1"/>
  <c r="D85" i="17"/>
  <c r="E85" i="17" s="1"/>
  <c r="F85" i="17" s="1"/>
  <c r="AA85" i="17" s="1"/>
  <c r="Z85" i="17" s="1"/>
  <c r="Y85" i="17" s="1"/>
  <c r="D24" i="17"/>
  <c r="E24" i="17" s="1"/>
  <c r="F24" i="17" s="1"/>
  <c r="D181" i="17"/>
  <c r="E181" i="17" s="1"/>
  <c r="F181" i="17" s="1"/>
  <c r="D259" i="17"/>
  <c r="E259" i="17" s="1"/>
  <c r="F259" i="17" s="1"/>
  <c r="D358" i="17"/>
  <c r="E358" i="17" s="1"/>
  <c r="F358" i="17" s="1"/>
  <c r="D98" i="17"/>
  <c r="E98" i="17" s="1"/>
  <c r="F98" i="17" s="1"/>
  <c r="D50" i="17"/>
  <c r="E50" i="17" s="1"/>
  <c r="F50" i="17" s="1"/>
  <c r="D120" i="17"/>
  <c r="E120" i="17" s="1"/>
  <c r="F120" i="17" s="1"/>
  <c r="D327" i="17"/>
  <c r="E327" i="17" s="1"/>
  <c r="F327" i="17" s="1"/>
  <c r="D161" i="17"/>
  <c r="E161" i="17" s="1"/>
  <c r="F161" i="17" s="1"/>
  <c r="W298" i="17"/>
  <c r="D264" i="17"/>
  <c r="E264" i="17" s="1"/>
  <c r="F264" i="17" s="1"/>
  <c r="H264" i="17" s="1"/>
  <c r="W253" i="17"/>
  <c r="D169" i="17"/>
  <c r="E169" i="17" s="1"/>
  <c r="F169" i="17" s="1"/>
  <c r="D291" i="17"/>
  <c r="E291" i="17" s="1"/>
  <c r="F291" i="17" s="1"/>
  <c r="D347" i="17"/>
  <c r="E347" i="17" s="1"/>
  <c r="F347" i="17" s="1"/>
  <c r="D376" i="17"/>
  <c r="E376" i="17" s="1"/>
  <c r="F376" i="17" s="1"/>
  <c r="D114" i="17"/>
  <c r="E114" i="17" s="1"/>
  <c r="F114" i="17" s="1"/>
  <c r="D135" i="17"/>
  <c r="E135" i="17" s="1"/>
  <c r="F135" i="17" s="1"/>
  <c r="AA135" i="17" s="1"/>
  <c r="Z135" i="17" s="1"/>
  <c r="Y135" i="17" s="1"/>
  <c r="D208" i="17"/>
  <c r="E208" i="17" s="1"/>
  <c r="F208" i="17" s="1"/>
  <c r="D245" i="17"/>
  <c r="E245" i="17" s="1"/>
  <c r="F245" i="17" s="1"/>
  <c r="D350" i="17"/>
  <c r="E350" i="17" s="1"/>
  <c r="F350" i="17" s="1"/>
  <c r="D326" i="17"/>
  <c r="E326" i="17" s="1"/>
  <c r="F326" i="17" s="1"/>
  <c r="D234" i="17"/>
  <c r="E234" i="17" s="1"/>
  <c r="F234" i="17" s="1"/>
  <c r="H234" i="17" s="1"/>
  <c r="D206" i="17"/>
  <c r="E206" i="17" s="1"/>
  <c r="F206" i="17" s="1"/>
  <c r="D154" i="17"/>
  <c r="E154" i="17" s="1"/>
  <c r="F154" i="17" s="1"/>
  <c r="D126" i="17"/>
  <c r="E126" i="17" s="1"/>
  <c r="F126" i="17" s="1"/>
  <c r="D68" i="17"/>
  <c r="E68" i="17" s="1"/>
  <c r="F68" i="17" s="1"/>
  <c r="D295" i="17"/>
  <c r="E295" i="17" s="1"/>
  <c r="F295" i="17" s="1"/>
  <c r="D219" i="17"/>
  <c r="E219" i="17" s="1"/>
  <c r="F219" i="17" s="1"/>
  <c r="D191" i="17"/>
  <c r="E191" i="17" s="1"/>
  <c r="F191" i="17" s="1"/>
  <c r="D79" i="17"/>
  <c r="E79" i="17" s="1"/>
  <c r="F79" i="17" s="1"/>
  <c r="AA79" i="17" s="1"/>
  <c r="Z79" i="17" s="1"/>
  <c r="Y79" i="17" s="1"/>
  <c r="D158" i="17"/>
  <c r="E158" i="17" s="1"/>
  <c r="F158" i="17" s="1"/>
  <c r="D156" i="17"/>
  <c r="E156" i="17" s="1"/>
  <c r="F156" i="17" s="1"/>
  <c r="D341" i="17"/>
  <c r="E341" i="17" s="1"/>
  <c r="F341" i="17" s="1"/>
  <c r="D64" i="17"/>
  <c r="E64" i="17" s="1"/>
  <c r="F64" i="17" s="1"/>
  <c r="AA64" i="17" s="1"/>
  <c r="Z64" i="17" s="1"/>
  <c r="Y64" i="17" s="1"/>
  <c r="D167" i="17"/>
  <c r="E167" i="17" s="1"/>
  <c r="F167" i="17" s="1"/>
  <c r="D235" i="17"/>
  <c r="E235" i="17" s="1"/>
  <c r="F235" i="17" s="1"/>
  <c r="D198" i="17"/>
  <c r="E198" i="17" s="1"/>
  <c r="F198" i="17" s="1"/>
  <c r="D301" i="17"/>
  <c r="E301" i="17" s="1"/>
  <c r="F301" i="17" s="1"/>
  <c r="D267" i="17"/>
  <c r="E267" i="17" s="1"/>
  <c r="F267" i="17" s="1"/>
  <c r="D52" i="17"/>
  <c r="E52" i="17" s="1"/>
  <c r="F52" i="17" s="1"/>
  <c r="D128" i="17"/>
  <c r="E128" i="17" s="1"/>
  <c r="F128" i="17" s="1"/>
  <c r="D299" i="17"/>
  <c r="E299" i="17" s="1"/>
  <c r="F299" i="17" s="1"/>
  <c r="D273" i="17"/>
  <c r="E273" i="17" s="1"/>
  <c r="F273" i="17" s="1"/>
  <c r="D320" i="17"/>
  <c r="E320" i="17" s="1"/>
  <c r="F320" i="17" s="1"/>
  <c r="D111" i="17"/>
  <c r="E111" i="17" s="1"/>
  <c r="F111" i="17" s="1"/>
  <c r="D269" i="17"/>
  <c r="E269" i="17" s="1"/>
  <c r="F269" i="17" s="1"/>
  <c r="D48" i="17"/>
  <c r="E48" i="17" s="1"/>
  <c r="F48" i="17" s="1"/>
  <c r="D216" i="17"/>
  <c r="E216" i="17" s="1"/>
  <c r="F216" i="17" s="1"/>
  <c r="D284" i="17"/>
  <c r="E284" i="17" s="1"/>
  <c r="F284" i="17" s="1"/>
  <c r="AA284" i="17" s="1"/>
  <c r="Z284" i="17" s="1"/>
  <c r="Y284" i="17" s="1"/>
  <c r="D155" i="17"/>
  <c r="E155" i="17" s="1"/>
  <c r="F155" i="17" s="1"/>
  <c r="D251" i="17"/>
  <c r="E251" i="17" s="1"/>
  <c r="F251" i="17" s="1"/>
  <c r="H251" i="17" s="1"/>
  <c r="D217" i="17"/>
  <c r="E217" i="17" s="1"/>
  <c r="F217" i="17" s="1"/>
  <c r="H217" i="17" s="1"/>
  <c r="D122" i="17"/>
  <c r="E122" i="17" s="1"/>
  <c r="F122" i="17" s="1"/>
  <c r="D214" i="17"/>
  <c r="E214" i="17" s="1"/>
  <c r="F214" i="17" s="1"/>
  <c r="D289" i="17"/>
  <c r="E289" i="17" s="1"/>
  <c r="F289" i="17" s="1"/>
  <c r="D261" i="17"/>
  <c r="E261" i="17" s="1"/>
  <c r="F261" i="17" s="1"/>
  <c r="D361" i="17"/>
  <c r="E361" i="17" s="1"/>
  <c r="F361" i="17" s="1"/>
  <c r="D336" i="17"/>
  <c r="E336" i="17" s="1"/>
  <c r="F336" i="17" s="1"/>
  <c r="D228" i="17"/>
  <c r="E228" i="17" s="1"/>
  <c r="F228" i="17" s="1"/>
  <c r="D248" i="17"/>
  <c r="E248" i="17" s="1"/>
  <c r="F248" i="17" s="1"/>
  <c r="D279" i="17"/>
  <c r="E279" i="17" s="1"/>
  <c r="F279" i="17" s="1"/>
  <c r="AA279" i="17" s="1"/>
  <c r="Z279" i="17" s="1"/>
  <c r="Y279" i="17" s="1"/>
  <c r="D38" i="17"/>
  <c r="E38" i="17" s="1"/>
  <c r="F38" i="17" s="1"/>
  <c r="D213" i="17"/>
  <c r="E213" i="17" s="1"/>
  <c r="F213" i="17" s="1"/>
  <c r="D136" i="17"/>
  <c r="E136" i="17" s="1"/>
  <c r="F136" i="17" s="1"/>
  <c r="D328" i="17"/>
  <c r="E328" i="17" s="1"/>
  <c r="F328" i="17" s="1"/>
  <c r="D171" i="17"/>
  <c r="E171" i="17" s="1"/>
  <c r="F171" i="17" s="1"/>
  <c r="D221" i="17"/>
  <c r="E221" i="17" s="1"/>
  <c r="F221" i="17" s="1"/>
  <c r="D317" i="17"/>
  <c r="E317" i="17" s="1"/>
  <c r="F317" i="17" s="1"/>
  <c r="D370" i="17"/>
  <c r="E370" i="17" s="1"/>
  <c r="F370" i="17" s="1"/>
  <c r="D162" i="17"/>
  <c r="E162" i="17" s="1"/>
  <c r="F162" i="17" s="1"/>
  <c r="D375" i="17"/>
  <c r="E375" i="17" s="1"/>
  <c r="F375" i="17" s="1"/>
  <c r="D67" i="17"/>
  <c r="E67" i="17" s="1"/>
  <c r="F67" i="17" s="1"/>
  <c r="D359" i="17"/>
  <c r="E359" i="17" s="1"/>
  <c r="F359" i="17" s="1"/>
  <c r="D61" i="17"/>
  <c r="E61" i="17" s="1"/>
  <c r="F61" i="17" s="1"/>
  <c r="D331" i="17"/>
  <c r="E331" i="17" s="1"/>
  <c r="F331" i="17" s="1"/>
  <c r="G331" i="17" s="1"/>
  <c r="BZ331" i="6" s="1"/>
  <c r="D134" i="17"/>
  <c r="E134" i="17" s="1"/>
  <c r="F134" i="17" s="1"/>
  <c r="D348" i="17"/>
  <c r="E348" i="17" s="1"/>
  <c r="F348" i="17" s="1"/>
  <c r="D160" i="17"/>
  <c r="E160" i="17" s="1"/>
  <c r="F160" i="17" s="1"/>
  <c r="D84" i="17"/>
  <c r="E84" i="17" s="1"/>
  <c r="F84" i="17" s="1"/>
  <c r="D298" i="17"/>
  <c r="E298" i="17" s="1"/>
  <c r="F298" i="17" s="1"/>
  <c r="D170" i="17"/>
  <c r="E170" i="17" s="1"/>
  <c r="F170" i="17" s="1"/>
  <c r="D186" i="17"/>
  <c r="E186" i="17" s="1"/>
  <c r="F186" i="17" s="1"/>
  <c r="D103" i="17"/>
  <c r="E103" i="17" s="1"/>
  <c r="F103" i="17" s="1"/>
  <c r="D325" i="17"/>
  <c r="E325" i="17" s="1"/>
  <c r="F325" i="17" s="1"/>
  <c r="D374" i="17"/>
  <c r="E374" i="17" s="1"/>
  <c r="F374" i="17" s="1"/>
  <c r="AA374" i="17" s="1"/>
  <c r="Z374" i="17" s="1"/>
  <c r="Y374" i="17" s="1"/>
  <c r="D310" i="17"/>
  <c r="E310" i="17" s="1"/>
  <c r="F310" i="17" s="1"/>
  <c r="D242" i="17"/>
  <c r="E242" i="17" s="1"/>
  <c r="F242" i="17" s="1"/>
  <c r="D74" i="17"/>
  <c r="E74" i="17" s="1"/>
  <c r="F74" i="17" s="1"/>
  <c r="D34" i="17"/>
  <c r="E34" i="17" s="1"/>
  <c r="F34" i="17" s="1"/>
  <c r="D211" i="17"/>
  <c r="E211" i="17" s="1"/>
  <c r="F211" i="17" s="1"/>
  <c r="D63" i="17"/>
  <c r="E63" i="17" s="1"/>
  <c r="F63" i="17" s="1"/>
  <c r="D168" i="17"/>
  <c r="E168" i="17" s="1"/>
  <c r="F168" i="17" s="1"/>
  <c r="D144" i="17"/>
  <c r="E144" i="17" s="1"/>
  <c r="F144" i="17" s="1"/>
  <c r="G144" i="17" s="1"/>
  <c r="BZ144" i="6" s="1"/>
  <c r="D40" i="17"/>
  <c r="E40" i="17" s="1"/>
  <c r="F40" i="17" s="1"/>
  <c r="D69" i="17"/>
  <c r="E69" i="17" s="1"/>
  <c r="F69" i="17" s="1"/>
  <c r="D355" i="17"/>
  <c r="E355" i="17" s="1"/>
  <c r="F355" i="17" s="1"/>
  <c r="D287" i="17"/>
  <c r="E287" i="17" s="1"/>
  <c r="F287" i="17" s="1"/>
  <c r="D324" i="17"/>
  <c r="E324" i="17" s="1"/>
  <c r="F324" i="17" s="1"/>
  <c r="D288" i="17"/>
  <c r="E288" i="17" s="1"/>
  <c r="F288" i="17" s="1"/>
  <c r="D65" i="17"/>
  <c r="E65" i="17" s="1"/>
  <c r="F65" i="17" s="1"/>
  <c r="D249" i="17"/>
  <c r="E249" i="17" s="1"/>
  <c r="F249" i="17" s="1"/>
  <c r="D17" i="17"/>
  <c r="E17" i="17" s="1"/>
  <c r="F17" i="17" s="1"/>
  <c r="D283" i="17"/>
  <c r="E283" i="17" s="1"/>
  <c r="F283" i="17" s="1"/>
  <c r="D278" i="17"/>
  <c r="E278" i="17" s="1"/>
  <c r="F278" i="17" s="1"/>
  <c r="D315" i="17"/>
  <c r="E315" i="17" s="1"/>
  <c r="F315" i="17" s="1"/>
  <c r="D25" i="17"/>
  <c r="E25" i="17" s="1"/>
  <c r="F25" i="17" s="1"/>
  <c r="AA25" i="17" s="1"/>
  <c r="Z25" i="17" s="1"/>
  <c r="Y25" i="17" s="1"/>
  <c r="D132" i="17"/>
  <c r="E132" i="17" s="1"/>
  <c r="F132" i="17" s="1"/>
  <c r="D187" i="17"/>
  <c r="E187" i="17" s="1"/>
  <c r="F187" i="17" s="1"/>
  <c r="W54" i="17"/>
  <c r="D201" i="17"/>
  <c r="E201" i="17" s="1"/>
  <c r="F201" i="17" s="1"/>
  <c r="D366" i="17"/>
  <c r="E366" i="17" s="1"/>
  <c r="F366" i="17" s="1"/>
  <c r="D174" i="17"/>
  <c r="E174" i="17" s="1"/>
  <c r="F174" i="17" s="1"/>
  <c r="D321" i="17"/>
  <c r="E321" i="17" s="1"/>
  <c r="F321" i="17" s="1"/>
  <c r="D265" i="17"/>
  <c r="E265" i="17" s="1"/>
  <c r="F265" i="17" s="1"/>
  <c r="D51" i="17"/>
  <c r="E51" i="17" s="1"/>
  <c r="F51" i="17" s="1"/>
  <c r="D346" i="17"/>
  <c r="E346" i="17" s="1"/>
  <c r="F346" i="17" s="1"/>
  <c r="D218" i="17"/>
  <c r="E218" i="17" s="1"/>
  <c r="F218" i="17" s="1"/>
  <c r="D150" i="17"/>
  <c r="E150" i="17" s="1"/>
  <c r="F150" i="17" s="1"/>
  <c r="D239" i="17"/>
  <c r="E239" i="17" s="1"/>
  <c r="F239" i="17" s="1"/>
  <c r="D95" i="17"/>
  <c r="E95" i="17" s="1"/>
  <c r="F95" i="17" s="1"/>
  <c r="D222" i="17"/>
  <c r="E222" i="17" s="1"/>
  <c r="F222" i="17" s="1"/>
  <c r="D241" i="17"/>
  <c r="E241" i="17" s="1"/>
  <c r="F241" i="17" s="1"/>
  <c r="D86" i="17"/>
  <c r="E86" i="17" s="1"/>
  <c r="F86" i="17" s="1"/>
  <c r="D332" i="17"/>
  <c r="E332" i="17" s="1"/>
  <c r="F332" i="17" s="1"/>
  <c r="D285" i="17"/>
  <c r="E285" i="17" s="1"/>
  <c r="F285" i="17" s="1"/>
  <c r="D334" i="17"/>
  <c r="E334" i="17" s="1"/>
  <c r="F334" i="17" s="1"/>
  <c r="D309" i="17"/>
  <c r="E309" i="17" s="1"/>
  <c r="F309" i="17" s="1"/>
  <c r="D202" i="17"/>
  <c r="E202" i="17" s="1"/>
  <c r="F202" i="17" s="1"/>
  <c r="D260" i="17"/>
  <c r="E260" i="17" s="1"/>
  <c r="F260" i="17" s="1"/>
  <c r="D319" i="17"/>
  <c r="E319" i="17" s="1"/>
  <c r="F319" i="17" s="1"/>
  <c r="AA319" i="17" s="1"/>
  <c r="Z319" i="17" s="1"/>
  <c r="Y319" i="17" s="1"/>
  <c r="D28" i="17"/>
  <c r="E28" i="17" s="1"/>
  <c r="F28" i="17" s="1"/>
  <c r="D55" i="17"/>
  <c r="E55" i="17" s="1"/>
  <c r="F55" i="17" s="1"/>
  <c r="D322" i="17"/>
  <c r="E322" i="17" s="1"/>
  <c r="F322" i="17" s="1"/>
  <c r="D116" i="17"/>
  <c r="E116" i="17" s="1"/>
  <c r="F116" i="17" s="1"/>
  <c r="D184" i="17"/>
  <c r="E184" i="17" s="1"/>
  <c r="F184" i="17" s="1"/>
  <c r="D252" i="17"/>
  <c r="E252" i="17" s="1"/>
  <c r="F252" i="17" s="1"/>
  <c r="D107" i="17"/>
  <c r="E107" i="17" s="1"/>
  <c r="F107" i="17" s="1"/>
  <c r="AA107" i="17" s="1"/>
  <c r="Z107" i="17" s="1"/>
  <c r="Y107" i="17" s="1"/>
  <c r="W270" i="17"/>
  <c r="D270" i="17"/>
  <c r="E270" i="17" s="1"/>
  <c r="F270" i="17" s="1"/>
  <c r="D367" i="17"/>
  <c r="E367" i="17" s="1"/>
  <c r="F367" i="17" s="1"/>
  <c r="D30" i="17"/>
  <c r="E30" i="17" s="1"/>
  <c r="F30" i="17" s="1"/>
  <c r="D54" i="17"/>
  <c r="E54" i="17" s="1"/>
  <c r="F54" i="17" s="1"/>
  <c r="D231" i="17"/>
  <c r="E231" i="17" s="1"/>
  <c r="F231" i="17" s="1"/>
  <c r="D306" i="17"/>
  <c r="E306" i="17" s="1"/>
  <c r="F306" i="17" s="1"/>
  <c r="D71" i="17"/>
  <c r="E71" i="17" s="1"/>
  <c r="F71" i="17" s="1"/>
  <c r="AA71" i="17" s="1"/>
  <c r="Z71" i="17" s="1"/>
  <c r="Y71" i="17" s="1"/>
  <c r="D199" i="17"/>
  <c r="E199" i="17" s="1"/>
  <c r="F199" i="17" s="1"/>
  <c r="AA199" i="17" s="1"/>
  <c r="Z199" i="17" s="1"/>
  <c r="Y199" i="17" s="1"/>
  <c r="D109" i="17"/>
  <c r="E109" i="17" s="1"/>
  <c r="F109" i="17" s="1"/>
  <c r="D94" i="17"/>
  <c r="E94" i="17" s="1"/>
  <c r="F94" i="17" s="1"/>
  <c r="D20" i="17"/>
  <c r="E20" i="17" s="1"/>
  <c r="F20" i="17" s="1"/>
  <c r="D212" i="17"/>
  <c r="E212" i="17" s="1"/>
  <c r="F212" i="17" s="1"/>
  <c r="D209" i="17"/>
  <c r="E209" i="17" s="1"/>
  <c r="F209" i="17" s="1"/>
  <c r="D66" i="17"/>
  <c r="E66" i="17" s="1"/>
  <c r="F66" i="17" s="1"/>
  <c r="AA66" i="17" s="1"/>
  <c r="Z66" i="17" s="1"/>
  <c r="Y66" i="17" s="1"/>
  <c r="D82" i="17"/>
  <c r="E82" i="17" s="1"/>
  <c r="F82" i="17" s="1"/>
  <c r="D157" i="17"/>
  <c r="E157" i="17" s="1"/>
  <c r="F157" i="17" s="1"/>
  <c r="D363" i="17"/>
  <c r="E363" i="17" s="1"/>
  <c r="F363" i="17" s="1"/>
  <c r="D165" i="17"/>
  <c r="E165" i="17" s="1"/>
  <c r="F165" i="17" s="1"/>
  <c r="D236" i="17"/>
  <c r="E236" i="17" s="1"/>
  <c r="F236" i="17" s="1"/>
  <c r="D340" i="17"/>
  <c r="E340" i="17" s="1"/>
  <c r="F340" i="17" s="1"/>
  <c r="D262" i="17"/>
  <c r="E262" i="17" s="1"/>
  <c r="F262" i="17" s="1"/>
  <c r="D255" i="17"/>
  <c r="E255" i="17" s="1"/>
  <c r="F255" i="17" s="1"/>
  <c r="D338" i="17"/>
  <c r="E338" i="17" s="1"/>
  <c r="F338" i="17" s="1"/>
  <c r="D78" i="17"/>
  <c r="E78" i="17" s="1"/>
  <c r="F78" i="17" s="1"/>
  <c r="D35" i="17"/>
  <c r="E35" i="17" s="1"/>
  <c r="F35" i="17" s="1"/>
  <c r="D127" i="17"/>
  <c r="E127" i="17" s="1"/>
  <c r="F127" i="17" s="1"/>
  <c r="AA127" i="17" s="1"/>
  <c r="Z127" i="17" s="1"/>
  <c r="Y127" i="17" s="1"/>
  <c r="D274" i="17"/>
  <c r="E274" i="17" s="1"/>
  <c r="F274" i="17" s="1"/>
  <c r="D73" i="17"/>
  <c r="E73" i="17" s="1"/>
  <c r="F73" i="17" s="1"/>
  <c r="D106" i="17"/>
  <c r="E106" i="17" s="1"/>
  <c r="F106" i="17" s="1"/>
  <c r="D263" i="17"/>
  <c r="E263" i="17" s="1"/>
  <c r="F263" i="17" s="1"/>
  <c r="D377" i="17"/>
  <c r="E377" i="17" s="1"/>
  <c r="F377" i="17" s="1"/>
  <c r="D193" i="17"/>
  <c r="E193" i="17" s="1"/>
  <c r="F193" i="17" s="1"/>
  <c r="D294" i="17"/>
  <c r="E294" i="17" s="1"/>
  <c r="F294" i="17" s="1"/>
  <c r="D70" i="17"/>
  <c r="E70" i="17" s="1"/>
  <c r="F70" i="17" s="1"/>
  <c r="D371" i="17"/>
  <c r="E371" i="17" s="1"/>
  <c r="F371" i="17" s="1"/>
  <c r="D36" i="17"/>
  <c r="E36" i="17" s="1"/>
  <c r="F36" i="17" s="1"/>
  <c r="D362" i="17"/>
  <c r="E362" i="17" s="1"/>
  <c r="F362" i="17" s="1"/>
  <c r="D115" i="17"/>
  <c r="E115" i="17" s="1"/>
  <c r="F115" i="17" s="1"/>
  <c r="D80" i="17"/>
  <c r="E80" i="17" s="1"/>
  <c r="F80" i="17" s="1"/>
  <c r="D351" i="17"/>
  <c r="E351" i="17" s="1"/>
  <c r="F351" i="17" s="1"/>
  <c r="D60" i="17"/>
  <c r="E60" i="17" s="1"/>
  <c r="F60" i="17" s="1"/>
  <c r="AA60" i="17" s="1"/>
  <c r="Z60" i="17" s="1"/>
  <c r="Y60" i="17" s="1"/>
  <c r="D258" i="17"/>
  <c r="E258" i="17" s="1"/>
  <c r="F258" i="17" s="1"/>
  <c r="D229" i="17"/>
  <c r="E229" i="17" s="1"/>
  <c r="F229" i="17" s="1"/>
  <c r="D207" i="17"/>
  <c r="E207" i="17" s="1"/>
  <c r="F207" i="17" s="1"/>
  <c r="D345" i="17"/>
  <c r="E345" i="17" s="1"/>
  <c r="F345" i="17" s="1"/>
  <c r="D250" i="17"/>
  <c r="E250" i="17" s="1"/>
  <c r="F250" i="17" s="1"/>
  <c r="D100" i="17"/>
  <c r="E100" i="17" s="1"/>
  <c r="F100" i="17" s="1"/>
  <c r="D175" i="17"/>
  <c r="E175" i="17" s="1"/>
  <c r="F175" i="17" s="1"/>
  <c r="D194" i="17"/>
  <c r="E194" i="17" s="1"/>
  <c r="F194" i="17" s="1"/>
  <c r="D253" i="17"/>
  <c r="E253" i="17" s="1"/>
  <c r="F253" i="17" s="1"/>
  <c r="H253" i="17" s="1"/>
  <c r="D142" i="17"/>
  <c r="E142" i="17" s="1"/>
  <c r="F142" i="17" s="1"/>
  <c r="D195" i="17"/>
  <c r="E195" i="17" s="1"/>
  <c r="F195" i="17" s="1"/>
  <c r="H195" i="17" s="1"/>
  <c r="D83" i="17"/>
  <c r="E83" i="17" s="1"/>
  <c r="F83" i="17" s="1"/>
  <c r="D180" i="17"/>
  <c r="E180" i="17" s="1"/>
  <c r="F180" i="17" s="1"/>
  <c r="D117" i="17"/>
  <c r="E117" i="17" s="1"/>
  <c r="F117" i="17" s="1"/>
  <c r="D304" i="17"/>
  <c r="E304" i="17" s="1"/>
  <c r="F304" i="17" s="1"/>
  <c r="D369" i="17"/>
  <c r="E369" i="17" s="1"/>
  <c r="F369" i="17" s="1"/>
  <c r="D19" i="17"/>
  <c r="E19" i="17" s="1"/>
  <c r="F19" i="17" s="1"/>
  <c r="D105" i="17"/>
  <c r="E105" i="17" s="1"/>
  <c r="F105" i="17" s="1"/>
  <c r="D230" i="17"/>
  <c r="E230" i="17" s="1"/>
  <c r="F230" i="17" s="1"/>
  <c r="D225" i="17"/>
  <c r="E225" i="17" s="1"/>
  <c r="F225" i="17" s="1"/>
  <c r="D89" i="17"/>
  <c r="E89" i="17" s="1"/>
  <c r="F89" i="17" s="1"/>
  <c r="D226" i="17"/>
  <c r="E226" i="17" s="1"/>
  <c r="F226" i="17" s="1"/>
  <c r="D290" i="17"/>
  <c r="E290" i="17" s="1"/>
  <c r="F290" i="17" s="1"/>
  <c r="D292" i="17"/>
  <c r="E292" i="17" s="1"/>
  <c r="F292" i="17" s="1"/>
  <c r="D44" i="17"/>
  <c r="E44" i="17" s="1"/>
  <c r="F44" i="17" s="1"/>
  <c r="D244" i="17"/>
  <c r="E244" i="17" s="1"/>
  <c r="F244" i="17" s="1"/>
  <c r="D357" i="17"/>
  <c r="E357" i="17" s="1"/>
  <c r="F357" i="17" s="1"/>
  <c r="D189" i="17"/>
  <c r="E189" i="17" s="1"/>
  <c r="F189" i="17" s="1"/>
  <c r="D349" i="17"/>
  <c r="E349" i="17" s="1"/>
  <c r="F349" i="17" s="1"/>
  <c r="D47" i="17"/>
  <c r="E47" i="17" s="1"/>
  <c r="F47" i="17" s="1"/>
  <c r="D303" i="17"/>
  <c r="E303" i="17" s="1"/>
  <c r="F303" i="17" s="1"/>
  <c r="D88" i="17"/>
  <c r="E88" i="17" s="1"/>
  <c r="F88" i="17" s="1"/>
  <c r="D311" i="17"/>
  <c r="E311" i="17" s="1"/>
  <c r="F311" i="17" s="1"/>
  <c r="D281" i="17"/>
  <c r="E281" i="17" s="1"/>
  <c r="F281" i="17" s="1"/>
  <c r="D129" i="17"/>
  <c r="E129" i="17" s="1"/>
  <c r="F129" i="17" s="1"/>
  <c r="D293" i="17"/>
  <c r="E293" i="17" s="1"/>
  <c r="F293" i="17" s="1"/>
  <c r="D314" i="17"/>
  <c r="E314" i="17" s="1"/>
  <c r="F314" i="17" s="1"/>
  <c r="D148" i="17"/>
  <c r="E148" i="17" s="1"/>
  <c r="F148" i="17" s="1"/>
  <c r="D104" i="17"/>
  <c r="E104" i="17" s="1"/>
  <c r="F104" i="17" s="1"/>
  <c r="D123" i="17"/>
  <c r="E123" i="17" s="1"/>
  <c r="F123" i="17" s="1"/>
  <c r="D302" i="17"/>
  <c r="E302" i="17" s="1"/>
  <c r="F302" i="17" s="1"/>
  <c r="D192" i="17"/>
  <c r="E192" i="17" s="1"/>
  <c r="F192" i="17" s="1"/>
  <c r="D76" i="17"/>
  <c r="E76" i="17" s="1"/>
  <c r="F76" i="17" s="1"/>
  <c r="H76" i="17" s="1"/>
  <c r="D90" i="17"/>
  <c r="E90" i="17" s="1"/>
  <c r="F90" i="17" s="1"/>
  <c r="D41" i="17"/>
  <c r="E41" i="17" s="1"/>
  <c r="F41" i="17" s="1"/>
  <c r="D143" i="17"/>
  <c r="E143" i="17" s="1"/>
  <c r="F143" i="17" s="1"/>
  <c r="D188" i="17"/>
  <c r="E188" i="17" s="1"/>
  <c r="F188" i="17" s="1"/>
  <c r="D146" i="17"/>
  <c r="E146" i="17" s="1"/>
  <c r="F146" i="17" s="1"/>
  <c r="D339" i="17"/>
  <c r="E339" i="17" s="1"/>
  <c r="F339" i="17" s="1"/>
  <c r="D172" i="17"/>
  <c r="E172" i="17" s="1"/>
  <c r="F172" i="17" s="1"/>
  <c r="D215" i="17"/>
  <c r="E215" i="17" s="1"/>
  <c r="F215" i="17" s="1"/>
  <c r="D58" i="17"/>
  <c r="E58" i="17" s="1"/>
  <c r="F58" i="17" s="1"/>
  <c r="D353" i="17"/>
  <c r="E353" i="17" s="1"/>
  <c r="F353" i="17" s="1"/>
  <c r="AA353" i="17" s="1"/>
  <c r="Z353" i="17" s="1"/>
  <c r="Y353" i="17" s="1"/>
  <c r="D139" i="17"/>
  <c r="E139" i="17" s="1"/>
  <c r="F139" i="17" s="1"/>
  <c r="D271" i="17"/>
  <c r="E271" i="17" s="1"/>
  <c r="F271" i="17" s="1"/>
  <c r="D33" i="17"/>
  <c r="E33" i="17" s="1"/>
  <c r="F33" i="17" s="1"/>
  <c r="D62" i="17"/>
  <c r="E62" i="17" s="1"/>
  <c r="F62" i="17" s="1"/>
  <c r="D39" i="17"/>
  <c r="E39" i="17" s="1"/>
  <c r="F39" i="17" s="1"/>
  <c r="D45" i="17"/>
  <c r="E45" i="17" s="1"/>
  <c r="F45" i="17" s="1"/>
  <c r="D18" i="17"/>
  <c r="E18" i="17" s="1"/>
  <c r="F18" i="17" s="1"/>
  <c r="D113" i="17"/>
  <c r="E113" i="17" s="1"/>
  <c r="F113" i="17" s="1"/>
  <c r="D21" i="17"/>
  <c r="E21" i="17" s="1"/>
  <c r="F21" i="17" s="1"/>
  <c r="D49" i="17"/>
  <c r="E49" i="17" s="1"/>
  <c r="F49" i="17" s="1"/>
  <c r="D352" i="17"/>
  <c r="E352" i="17" s="1"/>
  <c r="F352" i="17" s="1"/>
  <c r="D247" i="17"/>
  <c r="E247" i="17" s="1"/>
  <c r="F247" i="17" s="1"/>
  <c r="D379" i="17"/>
  <c r="E379" i="17" s="1"/>
  <c r="F379" i="17" s="1"/>
  <c r="D124" i="17"/>
  <c r="E124" i="17" s="1"/>
  <c r="F124" i="17" s="1"/>
  <c r="B174" i="18"/>
  <c r="B174" i="20" s="1"/>
  <c r="B232" i="18"/>
  <c r="B132" i="18"/>
  <c r="W132" i="18" s="1"/>
  <c r="B76" i="18"/>
  <c r="B38" i="18"/>
  <c r="W38" i="18" s="1"/>
  <c r="B295" i="18"/>
  <c r="B153" i="18"/>
  <c r="D153" i="18" s="1"/>
  <c r="E153" i="18" s="1"/>
  <c r="F153" i="18" s="1"/>
  <c r="B81" i="18"/>
  <c r="B100" i="18"/>
  <c r="B100" i="20" s="1"/>
  <c r="B62" i="18"/>
  <c r="B251" i="18"/>
  <c r="W251" i="18" s="1"/>
  <c r="B73" i="18"/>
  <c r="B331" i="18"/>
  <c r="W331" i="18" s="1"/>
  <c r="B309" i="18"/>
  <c r="B235" i="18"/>
  <c r="B235" i="20" s="1"/>
  <c r="B332" i="18"/>
  <c r="B32" i="18"/>
  <c r="B32" i="20" s="1"/>
  <c r="B125" i="18"/>
  <c r="B103" i="18"/>
  <c r="B103" i="20" s="1"/>
  <c r="B321" i="18"/>
  <c r="B229" i="18"/>
  <c r="B229" i="20" s="1"/>
  <c r="B157" i="18"/>
  <c r="B52" i="18"/>
  <c r="B52" i="20" s="1"/>
  <c r="B163" i="18"/>
  <c r="B353" i="18"/>
  <c r="B374" i="18"/>
  <c r="B152" i="18"/>
  <c r="W152" i="18" s="1"/>
  <c r="B98" i="18"/>
  <c r="B306" i="18"/>
  <c r="W306" i="18" s="1"/>
  <c r="B311" i="18"/>
  <c r="B305" i="18"/>
  <c r="B305" i="20" s="1"/>
  <c r="B236" i="18"/>
  <c r="B299" i="18"/>
  <c r="W299" i="18" s="1"/>
  <c r="B310" i="18"/>
  <c r="B252" i="18"/>
  <c r="B252" i="20" s="1"/>
  <c r="B182" i="18"/>
  <c r="B207" i="18"/>
  <c r="B207" i="20" s="1"/>
  <c r="B378" i="18"/>
  <c r="B204" i="18"/>
  <c r="B204" i="20" s="1"/>
  <c r="B289" i="18"/>
  <c r="B205" i="18"/>
  <c r="W205" i="18" s="1"/>
  <c r="B90" i="18"/>
  <c r="B222" i="18"/>
  <c r="B222" i="20" s="1"/>
  <c r="B78" i="18"/>
  <c r="B64" i="18"/>
  <c r="W64" i="18" s="1"/>
  <c r="B137" i="18"/>
  <c r="B366" i="18"/>
  <c r="W366" i="18" s="1"/>
  <c r="B362" i="18"/>
  <c r="B358" i="18"/>
  <c r="W358" i="18" s="1"/>
  <c r="B356" i="18"/>
  <c r="B342" i="18"/>
  <c r="B342" i="20" s="1"/>
  <c r="B340" i="18"/>
  <c r="B338" i="18"/>
  <c r="W338" i="18" s="1"/>
  <c r="B314" i="18"/>
  <c r="B312" i="18"/>
  <c r="D312" i="18" s="1"/>
  <c r="E312" i="18" s="1"/>
  <c r="F312" i="18" s="1"/>
  <c r="B290" i="18"/>
  <c r="B286" i="18"/>
  <c r="B286" i="20" s="1"/>
  <c r="B264" i="18"/>
  <c r="B242" i="18"/>
  <c r="B242" i="20" s="1"/>
  <c r="B240" i="18"/>
  <c r="B224" i="18"/>
  <c r="W224" i="18" s="1"/>
  <c r="B214" i="18"/>
  <c r="B212" i="18"/>
  <c r="W212" i="18" s="1"/>
  <c r="B206" i="18"/>
  <c r="B200" i="18"/>
  <c r="B200" i="20" s="1"/>
  <c r="B198" i="18"/>
  <c r="B190" i="18"/>
  <c r="B190" i="20" s="1"/>
  <c r="B186" i="18"/>
  <c r="B168" i="18"/>
  <c r="W168" i="18" s="1"/>
  <c r="B162" i="18"/>
  <c r="B158" i="18"/>
  <c r="B158" i="20" s="1"/>
  <c r="B156" i="18"/>
  <c r="B134" i="18"/>
  <c r="B134" i="20" s="1"/>
  <c r="B102" i="18"/>
  <c r="B82" i="18"/>
  <c r="B82" i="20" s="1"/>
  <c r="B72" i="18"/>
  <c r="B68" i="18"/>
  <c r="W68" i="18" s="1"/>
  <c r="B58" i="18"/>
  <c r="B54" i="18"/>
  <c r="W54" i="18" s="1"/>
  <c r="B44" i="18"/>
  <c r="B40" i="18"/>
  <c r="B40" i="20" s="1"/>
  <c r="B36" i="18"/>
  <c r="B30" i="18"/>
  <c r="W30" i="18" s="1"/>
  <c r="B24" i="18"/>
  <c r="B377" i="18"/>
  <c r="W377" i="18" s="1"/>
  <c r="B355" i="18"/>
  <c r="B351" i="18"/>
  <c r="W351" i="18" s="1"/>
  <c r="B345" i="18"/>
  <c r="B343" i="18"/>
  <c r="B343" i="20" s="1"/>
  <c r="B329" i="18"/>
  <c r="W329" i="18" s="1"/>
  <c r="B315" i="18"/>
  <c r="B297" i="18"/>
  <c r="W297" i="18" s="1"/>
  <c r="B279" i="18"/>
  <c r="B243" i="18"/>
  <c r="W243" i="18" s="1"/>
  <c r="B239" i="18"/>
  <c r="B237" i="18"/>
  <c r="W237" i="18" s="1"/>
  <c r="B225" i="18"/>
  <c r="B217" i="18"/>
  <c r="D217" i="18" s="1"/>
  <c r="E217" i="18" s="1"/>
  <c r="F217" i="18" s="1"/>
  <c r="B213" i="18"/>
  <c r="B199" i="18"/>
  <c r="B199" i="20" s="1"/>
  <c r="B165" i="18"/>
  <c r="B133" i="18"/>
  <c r="B129" i="18"/>
  <c r="W129" i="18" s="1"/>
  <c r="B121" i="18"/>
  <c r="B117" i="18"/>
  <c r="B117" i="20" s="1"/>
  <c r="B115" i="18"/>
  <c r="B113" i="18"/>
  <c r="B113" i="20" s="1"/>
  <c r="B109" i="18"/>
  <c r="B91" i="18"/>
  <c r="B91" i="20" s="1"/>
  <c r="B85" i="18"/>
  <c r="B57" i="18"/>
  <c r="B57" i="20" s="1"/>
  <c r="B51" i="18"/>
  <c r="B41" i="18"/>
  <c r="B41" i="20" s="1"/>
  <c r="B25" i="18"/>
  <c r="B26" i="18"/>
  <c r="W26" i="18" s="1"/>
  <c r="B370" i="18"/>
  <c r="B370" i="20" s="1"/>
  <c r="B364" i="18"/>
  <c r="B360" i="18"/>
  <c r="B360" i="20" s="1"/>
  <c r="B350" i="18"/>
  <c r="B344" i="18"/>
  <c r="W344" i="18" s="1"/>
  <c r="B330" i="18"/>
  <c r="B324" i="18"/>
  <c r="W324" i="18" s="1"/>
  <c r="B322" i="18"/>
  <c r="B304" i="18"/>
  <c r="B304" i="20" s="1"/>
  <c r="B292" i="18"/>
  <c r="B280" i="18"/>
  <c r="B280" i="20" s="1"/>
  <c r="B266" i="18"/>
  <c r="B262" i="18"/>
  <c r="W262" i="18" s="1"/>
  <c r="B256" i="18"/>
  <c r="B238" i="18"/>
  <c r="W238" i="18" s="1"/>
  <c r="B234" i="18"/>
  <c r="B202" i="18"/>
  <c r="B202" i="20" s="1"/>
  <c r="B184" i="18"/>
  <c r="B172" i="18"/>
  <c r="B172" i="20" s="1"/>
  <c r="B160" i="18"/>
  <c r="B138" i="18"/>
  <c r="B138" i="20" s="1"/>
  <c r="B124" i="18"/>
  <c r="B122" i="18"/>
  <c r="B122" i="20" s="1"/>
  <c r="B48" i="18"/>
  <c r="B28" i="18"/>
  <c r="D28" i="18" s="1"/>
  <c r="E28" i="18" s="1"/>
  <c r="F28" i="18" s="1"/>
  <c r="B27" i="18"/>
  <c r="B18" i="18"/>
  <c r="W18" i="18" s="1"/>
  <c r="B20" i="18"/>
  <c r="B288" i="18"/>
  <c r="B375" i="18"/>
  <c r="B375" i="20" s="1"/>
  <c r="B373" i="18"/>
  <c r="B359" i="18"/>
  <c r="W359" i="18" s="1"/>
  <c r="B357" i="18"/>
  <c r="B337" i="18"/>
  <c r="D337" i="18" s="1"/>
  <c r="E337" i="18" s="1"/>
  <c r="F337" i="18" s="1"/>
  <c r="B325" i="18"/>
  <c r="B313" i="18"/>
  <c r="W313" i="18" s="1"/>
  <c r="B307" i="18"/>
  <c r="B301" i="18"/>
  <c r="W301" i="18" s="1"/>
  <c r="B277" i="18"/>
  <c r="B269" i="18"/>
  <c r="W269" i="18" s="1"/>
  <c r="B267" i="18"/>
  <c r="B257" i="18"/>
  <c r="B257" i="20" s="1"/>
  <c r="B245" i="18"/>
  <c r="B231" i="18"/>
  <c r="W231" i="18" s="1"/>
  <c r="B223" i="18"/>
  <c r="B211" i="18"/>
  <c r="W211" i="18" s="1"/>
  <c r="B203" i="18"/>
  <c r="B193" i="18"/>
  <c r="W193" i="18" s="1"/>
  <c r="B191" i="18"/>
  <c r="B179" i="18"/>
  <c r="D179" i="18" s="1"/>
  <c r="E179" i="18" s="1"/>
  <c r="F179" i="18" s="1"/>
  <c r="B169" i="18"/>
  <c r="B151" i="18"/>
  <c r="B151" i="20" s="1"/>
  <c r="B143" i="18"/>
  <c r="B141" i="18"/>
  <c r="B141" i="20" s="1"/>
  <c r="B139" i="18"/>
  <c r="B107" i="18"/>
  <c r="B107" i="20" s="1"/>
  <c r="B65" i="18"/>
  <c r="B59" i="18"/>
  <c r="W59" i="18" s="1"/>
  <c r="B53" i="18"/>
  <c r="B39" i="18"/>
  <c r="B39" i="20" s="1"/>
  <c r="B372" i="18"/>
  <c r="B348" i="18"/>
  <c r="W348" i="18" s="1"/>
  <c r="B334" i="18"/>
  <c r="B326" i="18"/>
  <c r="W326" i="18" s="1"/>
  <c r="B300" i="18"/>
  <c r="W300" i="18" s="1"/>
  <c r="B296" i="18"/>
  <c r="B294" i="18"/>
  <c r="W294" i="18" s="1"/>
  <c r="B250" i="18"/>
  <c r="B228" i="18"/>
  <c r="W228" i="18" s="1"/>
  <c r="B218" i="18"/>
  <c r="B192" i="18"/>
  <c r="W192" i="18" s="1"/>
  <c r="B188" i="18"/>
  <c r="B164" i="18"/>
  <c r="W164" i="18" s="1"/>
  <c r="B148" i="18"/>
  <c r="B146" i="18"/>
  <c r="B146" i="20" s="1"/>
  <c r="B144" i="18"/>
  <c r="B142" i="18"/>
  <c r="B142" i="20" s="1"/>
  <c r="B126" i="18"/>
  <c r="B120" i="18"/>
  <c r="W120" i="18" s="1"/>
  <c r="B112" i="18"/>
  <c r="B108" i="18"/>
  <c r="W108" i="18" s="1"/>
  <c r="B96" i="18"/>
  <c r="B94" i="18"/>
  <c r="W94" i="18" s="1"/>
  <c r="B86" i="18"/>
  <c r="B80" i="18"/>
  <c r="B80" i="20" s="1"/>
  <c r="B34" i="18"/>
  <c r="B371" i="18"/>
  <c r="B341" i="18"/>
  <c r="B341" i="20" s="1"/>
  <c r="B339" i="18"/>
  <c r="B327" i="18"/>
  <c r="W327" i="18" s="1"/>
  <c r="B303" i="18"/>
  <c r="B293" i="18"/>
  <c r="B293" i="20" s="1"/>
  <c r="B291" i="18"/>
  <c r="B285" i="18"/>
  <c r="B285" i="20" s="1"/>
  <c r="B275" i="18"/>
  <c r="B259" i="18"/>
  <c r="W259" i="18" s="1"/>
  <c r="B233" i="18"/>
  <c r="B221" i="18"/>
  <c r="B221" i="20" s="1"/>
  <c r="B215" i="18"/>
  <c r="B209" i="18"/>
  <c r="B209" i="20" s="1"/>
  <c r="B201" i="18"/>
  <c r="B195" i="18"/>
  <c r="B195" i="20" s="1"/>
  <c r="B181" i="18"/>
  <c r="B147" i="18"/>
  <c r="B147" i="20" s="1"/>
  <c r="B145" i="18"/>
  <c r="B131" i="18"/>
  <c r="W131" i="18" s="1"/>
  <c r="B123" i="18"/>
  <c r="B93" i="18"/>
  <c r="B93" i="20" s="1"/>
  <c r="B87" i="18"/>
  <c r="B79" i="18"/>
  <c r="W79" i="18" s="1"/>
  <c r="B71" i="18"/>
  <c r="B69" i="18"/>
  <c r="W69" i="18" s="1"/>
  <c r="B49" i="18"/>
  <c r="B47" i="18"/>
  <c r="B47" i="20" s="1"/>
  <c r="B45" i="18"/>
  <c r="B33" i="18"/>
  <c r="B33" i="20" s="1"/>
  <c r="B31" i="18"/>
  <c r="B23" i="18"/>
  <c r="W23" i="18" s="1"/>
  <c r="B21" i="18"/>
  <c r="B258" i="18"/>
  <c r="W258" i="18" s="1"/>
  <c r="B352" i="18"/>
  <c r="B336" i="18"/>
  <c r="B336" i="20" s="1"/>
  <c r="B328" i="18"/>
  <c r="B320" i="18"/>
  <c r="B320" i="20" s="1"/>
  <c r="B318" i="18"/>
  <c r="B308" i="18"/>
  <c r="B308" i="20" s="1"/>
  <c r="B282" i="18"/>
  <c r="B276" i="18"/>
  <c r="B276" i="20" s="1"/>
  <c r="B274" i="18"/>
  <c r="B270" i="18"/>
  <c r="D270" i="18" s="1"/>
  <c r="E270" i="18" s="1"/>
  <c r="F270" i="18" s="1"/>
  <c r="B268" i="18"/>
  <c r="B260" i="18"/>
  <c r="B260" i="20" s="1"/>
  <c r="B254" i="18"/>
  <c r="B246" i="18"/>
  <c r="B230" i="18"/>
  <c r="B230" i="20" s="1"/>
  <c r="B220" i="18"/>
  <c r="B178" i="18"/>
  <c r="B178" i="20" s="1"/>
  <c r="B176" i="18"/>
  <c r="B170" i="18"/>
  <c r="W170" i="18" s="1"/>
  <c r="B140" i="18"/>
  <c r="B136" i="18"/>
  <c r="D136" i="18" s="1"/>
  <c r="E136" i="18" s="1"/>
  <c r="F136" i="18" s="1"/>
  <c r="B128" i="18"/>
  <c r="B118" i="18"/>
  <c r="B118" i="20" s="1"/>
  <c r="B110" i="18"/>
  <c r="B106" i="18"/>
  <c r="B106" i="20" s="1"/>
  <c r="B104" i="18"/>
  <c r="B92" i="18"/>
  <c r="W92" i="18" s="1"/>
  <c r="B84" i="18"/>
  <c r="B70" i="18"/>
  <c r="W70" i="18" s="1"/>
  <c r="B56" i="18"/>
  <c r="B50" i="18"/>
  <c r="W50" i="18" s="1"/>
  <c r="B42" i="18"/>
  <c r="B361" i="18"/>
  <c r="B323" i="18"/>
  <c r="W323" i="18" s="1"/>
  <c r="B317" i="18"/>
  <c r="B281" i="18"/>
  <c r="B281" i="20" s="1"/>
  <c r="B273" i="18"/>
  <c r="B271" i="18"/>
  <c r="B271" i="20" s="1"/>
  <c r="B263" i="18"/>
  <c r="B255" i="18"/>
  <c r="W255" i="18" s="1"/>
  <c r="B249" i="18"/>
  <c r="B247" i="18"/>
  <c r="B247" i="20" s="1"/>
  <c r="B219" i="18"/>
  <c r="B197" i="18"/>
  <c r="W197" i="18" s="1"/>
  <c r="B185" i="18"/>
  <c r="B183" i="18"/>
  <c r="W183" i="18" s="1"/>
  <c r="B173" i="18"/>
  <c r="B167" i="18"/>
  <c r="D167" i="18" s="1"/>
  <c r="E167" i="18" s="1"/>
  <c r="F167" i="18" s="1"/>
  <c r="B159" i="18"/>
  <c r="B155" i="18"/>
  <c r="W155" i="18" s="1"/>
  <c r="B127" i="18"/>
  <c r="B101" i="18"/>
  <c r="W101" i="18" s="1"/>
  <c r="B99" i="18"/>
  <c r="B97" i="18"/>
  <c r="W97" i="18" s="1"/>
  <c r="B89" i="18"/>
  <c r="B83" i="18"/>
  <c r="B83" i="20" s="1"/>
  <c r="B77" i="18"/>
  <c r="B63" i="18"/>
  <c r="B63" i="20" s="1"/>
  <c r="B61" i="18"/>
  <c r="B55" i="18"/>
  <c r="D55" i="18" s="1"/>
  <c r="E55" i="18" s="1"/>
  <c r="F55" i="18" s="1"/>
  <c r="B37" i="18"/>
  <c r="B88" i="18"/>
  <c r="B19" i="18"/>
  <c r="W19" i="18" s="1"/>
  <c r="B265" i="18"/>
  <c r="W265" i="18" s="1"/>
  <c r="B287" i="18"/>
  <c r="B130" i="18"/>
  <c r="B130" i="20" s="1"/>
  <c r="B161" i="18"/>
  <c r="B175" i="18"/>
  <c r="B175" i="20" s="1"/>
  <c r="B253" i="18"/>
  <c r="B116" i="18"/>
  <c r="W116" i="18" s="1"/>
  <c r="B244" i="18"/>
  <c r="B284" i="18"/>
  <c r="W284" i="18" s="1"/>
  <c r="B369" i="18"/>
  <c r="B241" i="18"/>
  <c r="B241" i="20" s="1"/>
  <c r="B210" i="18"/>
  <c r="B302" i="18"/>
  <c r="B302" i="20" s="1"/>
  <c r="B189" i="18"/>
  <c r="B189" i="20" s="1"/>
  <c r="B347" i="18"/>
  <c r="B367" i="18"/>
  <c r="W367" i="18" s="1"/>
  <c r="B114" i="18"/>
  <c r="B154" i="18"/>
  <c r="B154" i="20" s="1"/>
  <c r="B376" i="18"/>
  <c r="B335" i="18"/>
  <c r="W335" i="18" s="1"/>
  <c r="B66" i="18"/>
  <c r="B66" i="20" s="1"/>
  <c r="B194" i="18"/>
  <c r="B368" i="18"/>
  <c r="B368" i="20" s="1"/>
  <c r="B135" i="18"/>
  <c r="B272" i="18"/>
  <c r="B95" i="18"/>
  <c r="W95" i="18" s="1"/>
  <c r="B171" i="18"/>
  <c r="B278" i="18"/>
  <c r="B278" i="20" s="1"/>
  <c r="B346" i="18"/>
  <c r="B43" i="18"/>
  <c r="W43" i="18" s="1"/>
  <c r="B75" i="18"/>
  <c r="B111" i="18"/>
  <c r="B111" i="20" s="1"/>
  <c r="B283" i="18"/>
  <c r="B216" i="18"/>
  <c r="W216" i="18" s="1"/>
  <c r="B261" i="18"/>
  <c r="B17" i="18"/>
  <c r="B17" i="20" s="1"/>
  <c r="B248" i="18"/>
  <c r="B354" i="18"/>
  <c r="B354" i="20" s="1"/>
  <c r="B74" i="18"/>
  <c r="B319" i="18"/>
  <c r="B319" i="20" s="1"/>
  <c r="B22" i="18"/>
  <c r="B227" i="18"/>
  <c r="W227" i="18" s="1"/>
  <c r="B349" i="18"/>
  <c r="B166" i="18"/>
  <c r="B166" i="20" s="1"/>
  <c r="B46" i="18"/>
  <c r="B35" i="18"/>
  <c r="W35" i="18" s="1"/>
  <c r="B67" i="18"/>
  <c r="B177" i="18"/>
  <c r="B177" i="20" s="1"/>
  <c r="B208" i="18"/>
  <c r="W208" i="18" s="1"/>
  <c r="B226" i="18"/>
  <c r="B298" i="18"/>
  <c r="B298" i="20" s="1"/>
  <c r="B187" i="18"/>
  <c r="B16" i="18"/>
  <c r="W16" i="18" s="1"/>
  <c r="B150" i="18"/>
  <c r="B316" i="18"/>
  <c r="W316" i="18" s="1"/>
  <c r="B365" i="18"/>
  <c r="B105" i="18"/>
  <c r="B105" i="20" s="1"/>
  <c r="B29" i="18"/>
  <c r="B149" i="18"/>
  <c r="B149" i="20" s="1"/>
  <c r="B333" i="18"/>
  <c r="B180" i="18"/>
  <c r="D180" i="18" s="1"/>
  <c r="E180" i="18" s="1"/>
  <c r="F180" i="18" s="1"/>
  <c r="B196" i="18"/>
  <c r="B60" i="18"/>
  <c r="B363" i="18"/>
  <c r="W363" i="18" s="1"/>
  <c r="B379" i="18"/>
  <c r="B379" i="20" s="1"/>
  <c r="B119" i="18"/>
  <c r="B28" i="20" l="1"/>
  <c r="D28" i="20" s="1"/>
  <c r="E28" i="20" s="1"/>
  <c r="F28" i="20" s="1"/>
  <c r="B132" i="20"/>
  <c r="B132" i="22" s="1"/>
  <c r="B108" i="20"/>
  <c r="D108" i="20" s="1"/>
  <c r="E108" i="20" s="1"/>
  <c r="F108" i="20" s="1"/>
  <c r="B193" i="20"/>
  <c r="W193" i="20" s="1"/>
  <c r="B237" i="20"/>
  <c r="D237" i="20" s="1"/>
  <c r="E237" i="20" s="1"/>
  <c r="F237" i="20" s="1"/>
  <c r="B30" i="20"/>
  <c r="D30" i="20" s="1"/>
  <c r="E30" i="20" s="1"/>
  <c r="F30" i="20" s="1"/>
  <c r="B363" i="20"/>
  <c r="D363" i="20" s="1"/>
  <c r="E363" i="20" s="1"/>
  <c r="F363" i="20" s="1"/>
  <c r="B180" i="20"/>
  <c r="D180" i="20" s="1"/>
  <c r="E180" i="20" s="1"/>
  <c r="F180" i="20" s="1"/>
  <c r="B300" i="20"/>
  <c r="W300" i="20" s="1"/>
  <c r="B326" i="20"/>
  <c r="W326" i="20" s="1"/>
  <c r="B359" i="20"/>
  <c r="D359" i="20" s="1"/>
  <c r="E359" i="20" s="1"/>
  <c r="F359" i="20" s="1"/>
  <c r="D155" i="18"/>
  <c r="E155" i="18" s="1"/>
  <c r="F155" i="18" s="1"/>
  <c r="AA155" i="18" s="1"/>
  <c r="Z155" i="18" s="1"/>
  <c r="Y155" i="18" s="1"/>
  <c r="D251" i="18"/>
  <c r="E251" i="18" s="1"/>
  <c r="F251" i="18" s="1"/>
  <c r="AA251" i="18" s="1"/>
  <c r="Z251" i="18" s="1"/>
  <c r="Y251" i="18" s="1"/>
  <c r="B16" i="20"/>
  <c r="B16" i="22" s="1"/>
  <c r="B335" i="20"/>
  <c r="D335" i="20" s="1"/>
  <c r="E335" i="20" s="1"/>
  <c r="F335" i="20" s="1"/>
  <c r="B116" i="20"/>
  <c r="D116" i="20" s="1"/>
  <c r="E116" i="20" s="1"/>
  <c r="F116" i="20" s="1"/>
  <c r="B155" i="20"/>
  <c r="W155" i="20" s="1"/>
  <c r="B323" i="20"/>
  <c r="W323" i="20" s="1"/>
  <c r="B50" i="20"/>
  <c r="D50" i="20" s="1"/>
  <c r="E50" i="20" s="1"/>
  <c r="F50" i="20" s="1"/>
  <c r="B164" i="20"/>
  <c r="W164" i="20" s="1"/>
  <c r="B269" i="20"/>
  <c r="D269" i="20" s="1"/>
  <c r="E269" i="20" s="1"/>
  <c r="F269" i="20" s="1"/>
  <c r="B26" i="20"/>
  <c r="B26" i="22" s="1"/>
  <c r="B152" i="20"/>
  <c r="W152" i="20" s="1"/>
  <c r="B251" i="20"/>
  <c r="B251" i="22" s="1"/>
  <c r="D30" i="18"/>
  <c r="E30" i="18" s="1"/>
  <c r="F30" i="18" s="1"/>
  <c r="AA30" i="18" s="1"/>
  <c r="Z30" i="18" s="1"/>
  <c r="Y30" i="18" s="1"/>
  <c r="D297" i="18"/>
  <c r="E297" i="18" s="1"/>
  <c r="F297" i="18" s="1"/>
  <c r="G297" i="18" s="1"/>
  <c r="CA297" i="6" s="1"/>
  <c r="B208" i="20"/>
  <c r="W208" i="20" s="1"/>
  <c r="B367" i="20"/>
  <c r="W367" i="20" s="1"/>
  <c r="B97" i="20"/>
  <c r="W97" i="20" s="1"/>
  <c r="B183" i="20"/>
  <c r="D183" i="20" s="1"/>
  <c r="E183" i="20" s="1"/>
  <c r="F183" i="20" s="1"/>
  <c r="B92" i="20"/>
  <c r="D92" i="20" s="1"/>
  <c r="E92" i="20" s="1"/>
  <c r="F92" i="20" s="1"/>
  <c r="B170" i="20"/>
  <c r="W170" i="20" s="1"/>
  <c r="B258" i="20"/>
  <c r="W258" i="20" s="1"/>
  <c r="B69" i="20"/>
  <c r="B69" i="22" s="1"/>
  <c r="B259" i="20"/>
  <c r="D259" i="20" s="1"/>
  <c r="E259" i="20" s="1"/>
  <c r="F259" i="20" s="1"/>
  <c r="B228" i="20"/>
  <c r="D228" i="20" s="1"/>
  <c r="E228" i="20" s="1"/>
  <c r="F228" i="20" s="1"/>
  <c r="B231" i="20"/>
  <c r="D231" i="20" s="1"/>
  <c r="E231" i="20" s="1"/>
  <c r="F231" i="20" s="1"/>
  <c r="B313" i="20"/>
  <c r="B313" i="22" s="1"/>
  <c r="B262" i="20"/>
  <c r="B262" i="22" s="1"/>
  <c r="B344" i="20"/>
  <c r="W344" i="20" s="1"/>
  <c r="B129" i="20"/>
  <c r="W129" i="20" s="1"/>
  <c r="B297" i="20"/>
  <c r="W297" i="20" s="1"/>
  <c r="B351" i="20"/>
  <c r="W351" i="20" s="1"/>
  <c r="B54" i="20"/>
  <c r="D54" i="20" s="1"/>
  <c r="E54" i="20" s="1"/>
  <c r="F54" i="20" s="1"/>
  <c r="B212" i="20"/>
  <c r="W212" i="20" s="1"/>
  <c r="B312" i="20"/>
  <c r="W312" i="20" s="1"/>
  <c r="B366" i="20"/>
  <c r="D366" i="20" s="1"/>
  <c r="E366" i="20" s="1"/>
  <c r="F366" i="20" s="1"/>
  <c r="B153" i="20"/>
  <c r="D153" i="20" s="1"/>
  <c r="E153" i="20" s="1"/>
  <c r="F153" i="20" s="1"/>
  <c r="D26" i="18"/>
  <c r="E26" i="18" s="1"/>
  <c r="F26" i="18" s="1"/>
  <c r="G26" i="18" s="1"/>
  <c r="CA26" i="6" s="1"/>
  <c r="D193" i="18"/>
  <c r="E193" i="18" s="1"/>
  <c r="F193" i="18" s="1"/>
  <c r="AA193" i="18" s="1"/>
  <c r="Z193" i="18" s="1"/>
  <c r="Y193" i="18" s="1"/>
  <c r="D344" i="18"/>
  <c r="E344" i="18" s="1"/>
  <c r="F344" i="18" s="1"/>
  <c r="AA344" i="18" s="1"/>
  <c r="Z344" i="18" s="1"/>
  <c r="Y344" i="18" s="1"/>
  <c r="D353" i="18"/>
  <c r="E353" i="18" s="1"/>
  <c r="F353" i="18" s="1"/>
  <c r="G353" i="18" s="1"/>
  <c r="CA353" i="6" s="1"/>
  <c r="W353" i="18"/>
  <c r="D224" i="18"/>
  <c r="E224" i="18" s="1"/>
  <c r="F224" i="18" s="1"/>
  <c r="AA224" i="18" s="1"/>
  <c r="Z224" i="18" s="1"/>
  <c r="Y224" i="18" s="1"/>
  <c r="D192" i="18"/>
  <c r="E192" i="18" s="1"/>
  <c r="F192" i="18" s="1"/>
  <c r="AA192" i="18" s="1"/>
  <c r="Z192" i="18" s="1"/>
  <c r="Y192" i="18" s="1"/>
  <c r="D168" i="18"/>
  <c r="E168" i="18" s="1"/>
  <c r="F168" i="18" s="1"/>
  <c r="G168" i="18" s="1"/>
  <c r="CA168" i="6" s="1"/>
  <c r="D348" i="18"/>
  <c r="E348" i="18" s="1"/>
  <c r="F348" i="18" s="1"/>
  <c r="G348" i="18" s="1"/>
  <c r="CA348" i="6" s="1"/>
  <c r="D64" i="18"/>
  <c r="E64" i="18" s="1"/>
  <c r="F64" i="18" s="1"/>
  <c r="AA64" i="18" s="1"/>
  <c r="Z64" i="18" s="1"/>
  <c r="Y64" i="18" s="1"/>
  <c r="D79" i="18"/>
  <c r="E79" i="18" s="1"/>
  <c r="F79" i="18" s="1"/>
  <c r="G79" i="18" s="1"/>
  <c r="CA79" i="6" s="1"/>
  <c r="D299" i="18"/>
  <c r="E299" i="18" s="1"/>
  <c r="F299" i="18" s="1"/>
  <c r="AA299" i="18" s="1"/>
  <c r="Z299" i="18" s="1"/>
  <c r="Y299" i="18" s="1"/>
  <c r="D284" i="18"/>
  <c r="E284" i="18" s="1"/>
  <c r="F284" i="18" s="1"/>
  <c r="AA284" i="18" s="1"/>
  <c r="Z284" i="18" s="1"/>
  <c r="Y284" i="18" s="1"/>
  <c r="D306" i="18"/>
  <c r="E306" i="18" s="1"/>
  <c r="F306" i="18" s="1"/>
  <c r="AA306" i="18" s="1"/>
  <c r="Z306" i="18" s="1"/>
  <c r="Y306" i="18" s="1"/>
  <c r="W179" i="18"/>
  <c r="G252" i="17"/>
  <c r="BZ252" i="6" s="1"/>
  <c r="H252" i="17"/>
  <c r="J252" i="17" s="1"/>
  <c r="C252" i="6" s="1"/>
  <c r="AA252" i="17"/>
  <c r="Z252" i="17" s="1"/>
  <c r="Y252" i="17" s="1"/>
  <c r="AA267" i="17"/>
  <c r="Z267" i="17" s="1"/>
  <c r="Y267" i="17" s="1"/>
  <c r="G267" i="17"/>
  <c r="BZ267" i="6" s="1"/>
  <c r="W136" i="18"/>
  <c r="W337" i="18"/>
  <c r="B316" i="20"/>
  <c r="W316" i="20" s="1"/>
  <c r="B35" i="20"/>
  <c r="W35" i="20" s="1"/>
  <c r="B227" i="20"/>
  <c r="W227" i="20" s="1"/>
  <c r="B216" i="20"/>
  <c r="W216" i="20" s="1"/>
  <c r="B43" i="20"/>
  <c r="D43" i="20" s="1"/>
  <c r="E43" i="20" s="1"/>
  <c r="F43" i="20" s="1"/>
  <c r="B95" i="20"/>
  <c r="D95" i="20" s="1"/>
  <c r="E95" i="20" s="1"/>
  <c r="F95" i="20" s="1"/>
  <c r="B284" i="20"/>
  <c r="W284" i="20" s="1"/>
  <c r="B265" i="20"/>
  <c r="W265" i="20" s="1"/>
  <c r="B19" i="20"/>
  <c r="W19" i="20" s="1"/>
  <c r="B55" i="20"/>
  <c r="W55" i="20" s="1"/>
  <c r="B101" i="20"/>
  <c r="B101" i="22" s="1"/>
  <c r="B167" i="20"/>
  <c r="W167" i="20" s="1"/>
  <c r="B197" i="20"/>
  <c r="D197" i="20" s="1"/>
  <c r="E197" i="20" s="1"/>
  <c r="F197" i="20" s="1"/>
  <c r="B255" i="20"/>
  <c r="D255" i="20" s="1"/>
  <c r="E255" i="20" s="1"/>
  <c r="F255" i="20" s="1"/>
  <c r="B70" i="20"/>
  <c r="W70" i="20" s="1"/>
  <c r="B136" i="20"/>
  <c r="D136" i="20" s="1"/>
  <c r="E136" i="20" s="1"/>
  <c r="F136" i="20" s="1"/>
  <c r="B270" i="20"/>
  <c r="D270" i="20" s="1"/>
  <c r="E270" i="20" s="1"/>
  <c r="F270" i="20" s="1"/>
  <c r="B23" i="20"/>
  <c r="W23" i="20" s="1"/>
  <c r="B79" i="20"/>
  <c r="D79" i="20" s="1"/>
  <c r="E79" i="20" s="1"/>
  <c r="F79" i="20" s="1"/>
  <c r="B131" i="20"/>
  <c r="W131" i="20" s="1"/>
  <c r="B327" i="20"/>
  <c r="W327" i="20" s="1"/>
  <c r="B94" i="20"/>
  <c r="D94" i="20" s="1"/>
  <c r="E94" i="20" s="1"/>
  <c r="F94" i="20" s="1"/>
  <c r="B120" i="20"/>
  <c r="B120" i="22" s="1"/>
  <c r="B192" i="20"/>
  <c r="D192" i="20" s="1"/>
  <c r="E192" i="20" s="1"/>
  <c r="F192" i="20" s="1"/>
  <c r="B294" i="20"/>
  <c r="W294" i="20" s="1"/>
  <c r="B348" i="20"/>
  <c r="W348" i="20" s="1"/>
  <c r="D39" i="18"/>
  <c r="E39" i="18" s="1"/>
  <c r="F39" i="18" s="1"/>
  <c r="AA39" i="18" s="1"/>
  <c r="Z39" i="18" s="1"/>
  <c r="Y39" i="18" s="1"/>
  <c r="W39" i="18"/>
  <c r="B59" i="20"/>
  <c r="D59" i="20" s="1"/>
  <c r="E59" i="20" s="1"/>
  <c r="F59" i="20" s="1"/>
  <c r="B179" i="20"/>
  <c r="W179" i="20" s="1"/>
  <c r="B211" i="20"/>
  <c r="D211" i="20" s="1"/>
  <c r="E211" i="20" s="1"/>
  <c r="F211" i="20" s="1"/>
  <c r="B301" i="20"/>
  <c r="W301" i="20" s="1"/>
  <c r="B337" i="20"/>
  <c r="D337" i="20" s="1"/>
  <c r="E337" i="20" s="1"/>
  <c r="F337" i="20" s="1"/>
  <c r="B18" i="20"/>
  <c r="D18" i="20" s="1"/>
  <c r="E18" i="20" s="1"/>
  <c r="F18" i="20" s="1"/>
  <c r="B238" i="20"/>
  <c r="B238" i="22" s="1"/>
  <c r="B324" i="20"/>
  <c r="W324" i="20" s="1"/>
  <c r="B217" i="20"/>
  <c r="B217" i="22" s="1"/>
  <c r="B243" i="20"/>
  <c r="W243" i="20" s="1"/>
  <c r="B329" i="20"/>
  <c r="D329" i="20" s="1"/>
  <c r="E329" i="20" s="1"/>
  <c r="F329" i="20" s="1"/>
  <c r="B377" i="20"/>
  <c r="D377" i="20" s="1"/>
  <c r="E377" i="20" s="1"/>
  <c r="F377" i="20" s="1"/>
  <c r="B68" i="20"/>
  <c r="B68" i="22" s="1"/>
  <c r="B168" i="20"/>
  <c r="D168" i="20" s="1"/>
  <c r="E168" i="20" s="1"/>
  <c r="F168" i="20" s="1"/>
  <c r="B224" i="20"/>
  <c r="W224" i="20" s="1"/>
  <c r="B338" i="20"/>
  <c r="W338" i="20" s="1"/>
  <c r="B358" i="20"/>
  <c r="D358" i="20" s="1"/>
  <c r="E358" i="20" s="1"/>
  <c r="F358" i="20" s="1"/>
  <c r="B64" i="20"/>
  <c r="W64" i="20" s="1"/>
  <c r="B205" i="20"/>
  <c r="D205" i="20" s="1"/>
  <c r="E205" i="20" s="1"/>
  <c r="F205" i="20" s="1"/>
  <c r="B299" i="20"/>
  <c r="B299" i="22" s="1"/>
  <c r="B306" i="20"/>
  <c r="D306" i="20" s="1"/>
  <c r="E306" i="20" s="1"/>
  <c r="F306" i="20" s="1"/>
  <c r="B353" i="20"/>
  <c r="W353" i="20" s="1"/>
  <c r="B331" i="20"/>
  <c r="D331" i="20" s="1"/>
  <c r="E331" i="20" s="1"/>
  <c r="F331" i="20" s="1"/>
  <c r="B38" i="20"/>
  <c r="W38" i="20" s="1"/>
  <c r="D227" i="18"/>
  <c r="E227" i="18" s="1"/>
  <c r="F227" i="18" s="1"/>
  <c r="AA227" i="18" s="1"/>
  <c r="Z227" i="18" s="1"/>
  <c r="Y227" i="18" s="1"/>
  <c r="D363" i="18"/>
  <c r="E363" i="18" s="1"/>
  <c r="F363" i="18" s="1"/>
  <c r="G363" i="18" s="1"/>
  <c r="CA363" i="6" s="1"/>
  <c r="D269" i="18"/>
  <c r="E269" i="18" s="1"/>
  <c r="F269" i="18" s="1"/>
  <c r="AA269" i="18" s="1"/>
  <c r="Z269" i="18" s="1"/>
  <c r="Y269" i="18" s="1"/>
  <c r="D366" i="18"/>
  <c r="E366" i="18" s="1"/>
  <c r="F366" i="18" s="1"/>
  <c r="G366" i="18" s="1"/>
  <c r="CA366" i="6" s="1"/>
  <c r="D152" i="18"/>
  <c r="E152" i="18" s="1"/>
  <c r="F152" i="18" s="1"/>
  <c r="AA152" i="18" s="1"/>
  <c r="Z152" i="18" s="1"/>
  <c r="Y152" i="18" s="1"/>
  <c r="D228" i="18"/>
  <c r="E228" i="18" s="1"/>
  <c r="F228" i="18" s="1"/>
  <c r="G228" i="18" s="1"/>
  <c r="CA228" i="6" s="1"/>
  <c r="D237" i="18"/>
  <c r="E237" i="18" s="1"/>
  <c r="F237" i="18" s="1"/>
  <c r="G237" i="18" s="1"/>
  <c r="CA237" i="6" s="1"/>
  <c r="D205" i="18"/>
  <c r="E205" i="18" s="1"/>
  <c r="F205" i="18" s="1"/>
  <c r="AA205" i="18" s="1"/>
  <c r="Z205" i="18" s="1"/>
  <c r="Y205" i="18" s="1"/>
  <c r="D265" i="18"/>
  <c r="E265" i="18" s="1"/>
  <c r="F265" i="18" s="1"/>
  <c r="AA265" i="18" s="1"/>
  <c r="Z265" i="18" s="1"/>
  <c r="Y265" i="18" s="1"/>
  <c r="D259" i="18"/>
  <c r="E259" i="18" s="1"/>
  <c r="F259" i="18" s="1"/>
  <c r="AA259" i="18" s="1"/>
  <c r="Z259" i="18" s="1"/>
  <c r="Y259" i="18" s="1"/>
  <c r="D54" i="18"/>
  <c r="E54" i="18" s="1"/>
  <c r="F54" i="18" s="1"/>
  <c r="G54" i="18" s="1"/>
  <c r="CA54" i="6" s="1"/>
  <c r="D301" i="18"/>
  <c r="E301" i="18" s="1"/>
  <c r="F301" i="18" s="1"/>
  <c r="AA301" i="18" s="1"/>
  <c r="Z301" i="18" s="1"/>
  <c r="Y301" i="18" s="1"/>
  <c r="D23" i="18"/>
  <c r="E23" i="18" s="1"/>
  <c r="F23" i="18" s="1"/>
  <c r="G23" i="18" s="1"/>
  <c r="CA23" i="6" s="1"/>
  <c r="D170" i="18"/>
  <c r="E170" i="18" s="1"/>
  <c r="F170" i="18" s="1"/>
  <c r="G170" i="18" s="1"/>
  <c r="CA170" i="6" s="1"/>
  <c r="D243" i="18"/>
  <c r="E243" i="18" s="1"/>
  <c r="F243" i="18" s="1"/>
  <c r="G243" i="18" s="1"/>
  <c r="CA243" i="6" s="1"/>
  <c r="D164" i="18"/>
  <c r="E164" i="18" s="1"/>
  <c r="F164" i="18" s="1"/>
  <c r="AA164" i="18" s="1"/>
  <c r="Z164" i="18" s="1"/>
  <c r="Y164" i="18" s="1"/>
  <c r="D300" i="18"/>
  <c r="E300" i="18" s="1"/>
  <c r="F300" i="18" s="1"/>
  <c r="AA300" i="18" s="1"/>
  <c r="Z300" i="18" s="1"/>
  <c r="Y300" i="18" s="1"/>
  <c r="W180" i="18"/>
  <c r="D19" i="18"/>
  <c r="E19" i="18" s="1"/>
  <c r="F19" i="18" s="1"/>
  <c r="G19" i="18" s="1"/>
  <c r="CA19" i="6" s="1"/>
  <c r="W28" i="18"/>
  <c r="G156" i="17"/>
  <c r="BZ156" i="6" s="1"/>
  <c r="AA156" i="17"/>
  <c r="Z156" i="17" s="1"/>
  <c r="Y156" i="17" s="1"/>
  <c r="AA93" i="17"/>
  <c r="Z93" i="17" s="1"/>
  <c r="Y93" i="17" s="1"/>
  <c r="H267" i="17"/>
  <c r="J267" i="17" s="1"/>
  <c r="C267" i="6" s="1"/>
  <c r="G101" i="17"/>
  <c r="BZ101" i="6" s="1"/>
  <c r="AA101" i="17"/>
  <c r="Z101" i="17" s="1"/>
  <c r="Y101" i="17" s="1"/>
  <c r="AA296" i="17"/>
  <c r="Z296" i="17" s="1"/>
  <c r="Y296" i="17" s="1"/>
  <c r="G296" i="17"/>
  <c r="BZ296" i="6" s="1"/>
  <c r="AA46" i="17"/>
  <c r="Z46" i="17" s="1"/>
  <c r="Y46" i="17" s="1"/>
  <c r="G46" i="17"/>
  <c r="BZ46" i="6" s="1"/>
  <c r="G205" i="17"/>
  <c r="BZ205" i="6" s="1"/>
  <c r="H205" i="17"/>
  <c r="I205" i="17" s="1"/>
  <c r="AA205" i="17"/>
  <c r="Z205" i="17" s="1"/>
  <c r="Y205" i="17" s="1"/>
  <c r="H296" i="17"/>
  <c r="I296" i="17" s="1"/>
  <c r="B296" i="6" s="1"/>
  <c r="AA240" i="17"/>
  <c r="Z240" i="17" s="1"/>
  <c r="Y240" i="17" s="1"/>
  <c r="AA87" i="17"/>
  <c r="Z87" i="17" s="1"/>
  <c r="Y87" i="17" s="1"/>
  <c r="I87" i="17"/>
  <c r="B87" i="6" s="1"/>
  <c r="W379" i="20"/>
  <c r="D379" i="20"/>
  <c r="E379" i="20" s="1"/>
  <c r="F379" i="20" s="1"/>
  <c r="B379" i="22"/>
  <c r="B29" i="20"/>
  <c r="W29" i="18"/>
  <c r="D29" i="18"/>
  <c r="E29" i="18" s="1"/>
  <c r="F29" i="18" s="1"/>
  <c r="W150" i="18"/>
  <c r="D150" i="18"/>
  <c r="E150" i="18" s="1"/>
  <c r="F150" i="18" s="1"/>
  <c r="B150" i="20"/>
  <c r="W226" i="18"/>
  <c r="D226" i="18"/>
  <c r="E226" i="18" s="1"/>
  <c r="F226" i="18" s="1"/>
  <c r="B226" i="20"/>
  <c r="W177" i="20"/>
  <c r="D177" i="20"/>
  <c r="E177" i="20" s="1"/>
  <c r="F177" i="20" s="1"/>
  <c r="B177" i="22"/>
  <c r="W354" i="20"/>
  <c r="B354" i="22"/>
  <c r="D354" i="20"/>
  <c r="E354" i="20" s="1"/>
  <c r="F354" i="20" s="1"/>
  <c r="W283" i="18"/>
  <c r="D283" i="18"/>
  <c r="E283" i="18" s="1"/>
  <c r="F283" i="18" s="1"/>
  <c r="B283" i="20"/>
  <c r="W43" i="20"/>
  <c r="D135" i="18"/>
  <c r="E135" i="18" s="1"/>
  <c r="F135" i="18" s="1"/>
  <c r="W135" i="18"/>
  <c r="B135" i="20"/>
  <c r="W114" i="18"/>
  <c r="D114" i="18"/>
  <c r="E114" i="18" s="1"/>
  <c r="F114" i="18" s="1"/>
  <c r="B114" i="20"/>
  <c r="W210" i="18"/>
  <c r="D210" i="18"/>
  <c r="E210" i="18" s="1"/>
  <c r="F210" i="18" s="1"/>
  <c r="B210" i="20"/>
  <c r="W161" i="18"/>
  <c r="D161" i="18"/>
  <c r="E161" i="18" s="1"/>
  <c r="F161" i="18" s="1"/>
  <c r="B161" i="20"/>
  <c r="G55" i="18"/>
  <c r="CA55" i="6" s="1"/>
  <c r="AA55" i="18"/>
  <c r="Z55" i="18" s="1"/>
  <c r="Y55" i="18" s="1"/>
  <c r="W77" i="18"/>
  <c r="D77" i="18"/>
  <c r="E77" i="18" s="1"/>
  <c r="F77" i="18" s="1"/>
  <c r="B77" i="20"/>
  <c r="W99" i="18"/>
  <c r="D99" i="18"/>
  <c r="E99" i="18" s="1"/>
  <c r="F99" i="18" s="1"/>
  <c r="B99" i="20"/>
  <c r="D159" i="18"/>
  <c r="E159" i="18" s="1"/>
  <c r="F159" i="18" s="1"/>
  <c r="B159" i="20"/>
  <c r="W159" i="18"/>
  <c r="W247" i="20"/>
  <c r="B247" i="22"/>
  <c r="D247" i="20"/>
  <c r="E247" i="20" s="1"/>
  <c r="F247" i="20" s="1"/>
  <c r="W263" i="18"/>
  <c r="D263" i="18"/>
  <c r="E263" i="18" s="1"/>
  <c r="F263" i="18" s="1"/>
  <c r="B263" i="20"/>
  <c r="D281" i="20"/>
  <c r="E281" i="20" s="1"/>
  <c r="F281" i="20" s="1"/>
  <c r="B281" i="22"/>
  <c r="W281" i="20"/>
  <c r="W84" i="18"/>
  <c r="B84" i="20"/>
  <c r="D84" i="18"/>
  <c r="E84" i="18" s="1"/>
  <c r="F84" i="18" s="1"/>
  <c r="W106" i="20"/>
  <c r="D106" i="20"/>
  <c r="E106" i="20" s="1"/>
  <c r="F106" i="20" s="1"/>
  <c r="B106" i="22"/>
  <c r="W178" i="20"/>
  <c r="D178" i="20"/>
  <c r="E178" i="20" s="1"/>
  <c r="F178" i="20" s="1"/>
  <c r="B178" i="22"/>
  <c r="G270" i="18"/>
  <c r="CA270" i="6" s="1"/>
  <c r="AA270" i="18"/>
  <c r="Z270" i="18" s="1"/>
  <c r="Y270" i="18" s="1"/>
  <c r="W274" i="18"/>
  <c r="D274" i="18"/>
  <c r="E274" i="18" s="1"/>
  <c r="F274" i="18" s="1"/>
  <c r="B274" i="20"/>
  <c r="W318" i="18"/>
  <c r="B318" i="20"/>
  <c r="D318" i="18"/>
  <c r="E318" i="18" s="1"/>
  <c r="F318" i="18" s="1"/>
  <c r="W352" i="18"/>
  <c r="D352" i="18"/>
  <c r="E352" i="18" s="1"/>
  <c r="F352" i="18" s="1"/>
  <c r="B352" i="20"/>
  <c r="W33" i="20"/>
  <c r="D33" i="20"/>
  <c r="E33" i="20" s="1"/>
  <c r="F33" i="20" s="1"/>
  <c r="B33" i="22"/>
  <c r="W60" i="18"/>
  <c r="B60" i="20"/>
  <c r="D60" i="18"/>
  <c r="E60" i="18" s="1"/>
  <c r="F60" i="18" s="1"/>
  <c r="G180" i="18"/>
  <c r="CA180" i="6" s="1"/>
  <c r="AA180" i="18"/>
  <c r="Z180" i="18" s="1"/>
  <c r="Y180" i="18" s="1"/>
  <c r="D333" i="18"/>
  <c r="E333" i="18" s="1"/>
  <c r="F333" i="18" s="1"/>
  <c r="W333" i="18"/>
  <c r="B333" i="20"/>
  <c r="W149" i="20"/>
  <c r="D149" i="20"/>
  <c r="E149" i="20" s="1"/>
  <c r="F149" i="20" s="1"/>
  <c r="B149" i="22"/>
  <c r="W365" i="18"/>
  <c r="B365" i="20"/>
  <c r="D365" i="18"/>
  <c r="E365" i="18" s="1"/>
  <c r="F365" i="18" s="1"/>
  <c r="W187" i="18"/>
  <c r="D187" i="18"/>
  <c r="E187" i="18" s="1"/>
  <c r="F187" i="18" s="1"/>
  <c r="B187" i="20"/>
  <c r="D298" i="20"/>
  <c r="E298" i="20" s="1"/>
  <c r="F298" i="20" s="1"/>
  <c r="W298" i="20"/>
  <c r="B298" i="22"/>
  <c r="W46" i="18"/>
  <c r="D46" i="18"/>
  <c r="E46" i="18" s="1"/>
  <c r="F46" i="18" s="1"/>
  <c r="B46" i="20"/>
  <c r="W349" i="18"/>
  <c r="B349" i="20"/>
  <c r="D349" i="18"/>
  <c r="E349" i="18" s="1"/>
  <c r="F349" i="18" s="1"/>
  <c r="W319" i="20"/>
  <c r="D319" i="20"/>
  <c r="E319" i="20" s="1"/>
  <c r="F319" i="20" s="1"/>
  <c r="B319" i="22"/>
  <c r="W74" i="18"/>
  <c r="D74" i="18"/>
  <c r="E74" i="18" s="1"/>
  <c r="F74" i="18" s="1"/>
  <c r="B74" i="20"/>
  <c r="D17" i="20"/>
  <c r="E17" i="20" s="1"/>
  <c r="F17" i="20" s="1"/>
  <c r="W17" i="20"/>
  <c r="B17" i="22"/>
  <c r="W261" i="18"/>
  <c r="B261" i="20"/>
  <c r="D261" i="18"/>
  <c r="E261" i="18" s="1"/>
  <c r="F261" i="18" s="1"/>
  <c r="W111" i="20"/>
  <c r="D111" i="20"/>
  <c r="E111" i="20" s="1"/>
  <c r="F111" i="20" s="1"/>
  <c r="B111" i="22"/>
  <c r="W75" i="18"/>
  <c r="D75" i="18"/>
  <c r="E75" i="18" s="1"/>
  <c r="F75" i="18" s="1"/>
  <c r="B75" i="20"/>
  <c r="W278" i="20"/>
  <c r="B278" i="22"/>
  <c r="D278" i="20"/>
  <c r="E278" i="20" s="1"/>
  <c r="F278" i="20" s="1"/>
  <c r="W171" i="18"/>
  <c r="B171" i="20"/>
  <c r="D171" i="18"/>
  <c r="E171" i="18" s="1"/>
  <c r="F171" i="18" s="1"/>
  <c r="W194" i="18"/>
  <c r="D194" i="18"/>
  <c r="E194" i="18" s="1"/>
  <c r="F194" i="18" s="1"/>
  <c r="B194" i="20"/>
  <c r="W66" i="20"/>
  <c r="D66" i="20"/>
  <c r="E66" i="20" s="1"/>
  <c r="F66" i="20" s="1"/>
  <c r="B66" i="22"/>
  <c r="W335" i="20"/>
  <c r="W376" i="18"/>
  <c r="D376" i="18"/>
  <c r="E376" i="18" s="1"/>
  <c r="F376" i="18" s="1"/>
  <c r="B376" i="20"/>
  <c r="W347" i="18"/>
  <c r="D347" i="18"/>
  <c r="E347" i="18" s="1"/>
  <c r="F347" i="18" s="1"/>
  <c r="B347" i="20"/>
  <c r="W302" i="20"/>
  <c r="D302" i="20"/>
  <c r="E302" i="20" s="1"/>
  <c r="F302" i="20" s="1"/>
  <c r="B302" i="22"/>
  <c r="W369" i="18"/>
  <c r="D369" i="18"/>
  <c r="E369" i="18" s="1"/>
  <c r="F369" i="18" s="1"/>
  <c r="B369" i="20"/>
  <c r="W253" i="18"/>
  <c r="D253" i="18"/>
  <c r="E253" i="18" s="1"/>
  <c r="F253" i="18" s="1"/>
  <c r="B253" i="20"/>
  <c r="W175" i="20"/>
  <c r="D175" i="20"/>
  <c r="E175" i="20" s="1"/>
  <c r="F175" i="20" s="1"/>
  <c r="B175" i="22"/>
  <c r="W130" i="20"/>
  <c r="D130" i="20"/>
  <c r="E130" i="20" s="1"/>
  <c r="F130" i="20" s="1"/>
  <c r="B130" i="22"/>
  <c r="W287" i="18"/>
  <c r="B287" i="20"/>
  <c r="D287" i="18"/>
  <c r="E287" i="18" s="1"/>
  <c r="F287" i="18" s="1"/>
  <c r="W61" i="18"/>
  <c r="D61" i="18"/>
  <c r="E61" i="18" s="1"/>
  <c r="F61" i="18" s="1"/>
  <c r="B61" i="20"/>
  <c r="W83" i="20"/>
  <c r="D83" i="20"/>
  <c r="E83" i="20" s="1"/>
  <c r="F83" i="20" s="1"/>
  <c r="B83" i="22"/>
  <c r="W89" i="18"/>
  <c r="D89" i="18"/>
  <c r="E89" i="18" s="1"/>
  <c r="F89" i="18" s="1"/>
  <c r="B89" i="20"/>
  <c r="W127" i="18"/>
  <c r="D127" i="18"/>
  <c r="E127" i="18" s="1"/>
  <c r="F127" i="18" s="1"/>
  <c r="B127" i="20"/>
  <c r="W173" i="18"/>
  <c r="D173" i="18"/>
  <c r="E173" i="18" s="1"/>
  <c r="F173" i="18" s="1"/>
  <c r="B173" i="20"/>
  <c r="W219" i="18"/>
  <c r="D219" i="18"/>
  <c r="E219" i="18" s="1"/>
  <c r="F219" i="18" s="1"/>
  <c r="B219" i="20"/>
  <c r="W271" i="20"/>
  <c r="D271" i="20"/>
  <c r="E271" i="20" s="1"/>
  <c r="F271" i="20" s="1"/>
  <c r="B271" i="22"/>
  <c r="W273" i="18"/>
  <c r="D273" i="18"/>
  <c r="E273" i="18" s="1"/>
  <c r="F273" i="18" s="1"/>
  <c r="B273" i="20"/>
  <c r="W361" i="18"/>
  <c r="D361" i="18"/>
  <c r="E361" i="18" s="1"/>
  <c r="F361" i="18" s="1"/>
  <c r="B361" i="20"/>
  <c r="W50" i="20"/>
  <c r="W56" i="18"/>
  <c r="D56" i="18"/>
  <c r="E56" i="18" s="1"/>
  <c r="F56" i="18" s="1"/>
  <c r="B56" i="20"/>
  <c r="W104" i="18"/>
  <c r="D104" i="18"/>
  <c r="E104" i="18" s="1"/>
  <c r="F104" i="18" s="1"/>
  <c r="B104" i="20"/>
  <c r="W118" i="20"/>
  <c r="D118" i="20"/>
  <c r="E118" i="20" s="1"/>
  <c r="F118" i="20" s="1"/>
  <c r="B118" i="22"/>
  <c r="W128" i="18"/>
  <c r="B128" i="20"/>
  <c r="D128" i="18"/>
  <c r="E128" i="18" s="1"/>
  <c r="F128" i="18" s="1"/>
  <c r="G136" i="18"/>
  <c r="CA136" i="6" s="1"/>
  <c r="AA136" i="18"/>
  <c r="Z136" i="18" s="1"/>
  <c r="Y136" i="18" s="1"/>
  <c r="W176" i="18"/>
  <c r="D176" i="18"/>
  <c r="E176" i="18" s="1"/>
  <c r="F176" i="18" s="1"/>
  <c r="B176" i="20"/>
  <c r="W230" i="20"/>
  <c r="B230" i="22"/>
  <c r="D230" i="20"/>
  <c r="E230" i="20" s="1"/>
  <c r="F230" i="20" s="1"/>
  <c r="W246" i="18"/>
  <c r="B246" i="20"/>
  <c r="D246" i="18"/>
  <c r="E246" i="18" s="1"/>
  <c r="F246" i="18" s="1"/>
  <c r="W268" i="18"/>
  <c r="D268" i="18"/>
  <c r="E268" i="18" s="1"/>
  <c r="F268" i="18" s="1"/>
  <c r="B268" i="20"/>
  <c r="W282" i="18"/>
  <c r="B282" i="20"/>
  <c r="D282" i="18"/>
  <c r="E282" i="18" s="1"/>
  <c r="F282" i="18" s="1"/>
  <c r="W308" i="20"/>
  <c r="D308" i="20"/>
  <c r="E308" i="20" s="1"/>
  <c r="F308" i="20" s="1"/>
  <c r="B308" i="22"/>
  <c r="W328" i="18"/>
  <c r="D328" i="18"/>
  <c r="E328" i="18" s="1"/>
  <c r="F328" i="18" s="1"/>
  <c r="B328" i="20"/>
  <c r="W336" i="20"/>
  <c r="B336" i="22"/>
  <c r="D336" i="20"/>
  <c r="E336" i="20" s="1"/>
  <c r="F336" i="20" s="1"/>
  <c r="W21" i="18"/>
  <c r="D21" i="18"/>
  <c r="E21" i="18" s="1"/>
  <c r="F21" i="18" s="1"/>
  <c r="B21" i="20"/>
  <c r="W45" i="18"/>
  <c r="B45" i="20"/>
  <c r="D45" i="18"/>
  <c r="E45" i="18" s="1"/>
  <c r="F45" i="18" s="1"/>
  <c r="W47" i="20"/>
  <c r="D47" i="20"/>
  <c r="E47" i="20" s="1"/>
  <c r="F47" i="20" s="1"/>
  <c r="B47" i="22"/>
  <c r="W71" i="18"/>
  <c r="D71" i="18"/>
  <c r="E71" i="18" s="1"/>
  <c r="F71" i="18" s="1"/>
  <c r="B71" i="20"/>
  <c r="W123" i="18"/>
  <c r="B123" i="20"/>
  <c r="D123" i="18"/>
  <c r="E123" i="18" s="1"/>
  <c r="F123" i="18" s="1"/>
  <c r="W181" i="18"/>
  <c r="D181" i="18"/>
  <c r="E181" i="18" s="1"/>
  <c r="F181" i="18" s="1"/>
  <c r="B181" i="20"/>
  <c r="W195" i="20"/>
  <c r="D195" i="20"/>
  <c r="E195" i="20" s="1"/>
  <c r="F195" i="20" s="1"/>
  <c r="B195" i="22"/>
  <c r="W215" i="18"/>
  <c r="D215" i="18"/>
  <c r="E215" i="18" s="1"/>
  <c r="F215" i="18" s="1"/>
  <c r="B215" i="20"/>
  <c r="W221" i="20"/>
  <c r="D221" i="20"/>
  <c r="E221" i="20" s="1"/>
  <c r="F221" i="20" s="1"/>
  <c r="B221" i="22"/>
  <c r="W233" i="18"/>
  <c r="B233" i="20"/>
  <c r="D233" i="18"/>
  <c r="E233" i="18" s="1"/>
  <c r="F233" i="18" s="1"/>
  <c r="W275" i="18"/>
  <c r="D275" i="18"/>
  <c r="E275" i="18" s="1"/>
  <c r="F275" i="18" s="1"/>
  <c r="B275" i="20"/>
  <c r="W285" i="20"/>
  <c r="D285" i="20"/>
  <c r="E285" i="20" s="1"/>
  <c r="F285" i="20" s="1"/>
  <c r="B285" i="22"/>
  <c r="W303" i="18"/>
  <c r="D303" i="18"/>
  <c r="E303" i="18" s="1"/>
  <c r="F303" i="18" s="1"/>
  <c r="B303" i="20"/>
  <c r="W86" i="18"/>
  <c r="D86" i="18"/>
  <c r="E86" i="18" s="1"/>
  <c r="F86" i="18" s="1"/>
  <c r="B86" i="20"/>
  <c r="W112" i="18"/>
  <c r="D112" i="18"/>
  <c r="E112" i="18" s="1"/>
  <c r="F112" i="18" s="1"/>
  <c r="B112" i="20"/>
  <c r="W144" i="18"/>
  <c r="D144" i="18"/>
  <c r="E144" i="18" s="1"/>
  <c r="F144" i="18" s="1"/>
  <c r="B144" i="20"/>
  <c r="W146" i="20"/>
  <c r="D146" i="20"/>
  <c r="E146" i="20" s="1"/>
  <c r="F146" i="20" s="1"/>
  <c r="B146" i="22"/>
  <c r="W188" i="18"/>
  <c r="D188" i="18"/>
  <c r="E188" i="18" s="1"/>
  <c r="F188" i="18" s="1"/>
  <c r="B188" i="20"/>
  <c r="W218" i="18"/>
  <c r="D218" i="18"/>
  <c r="E218" i="18" s="1"/>
  <c r="F218" i="18" s="1"/>
  <c r="B218" i="20"/>
  <c r="D296" i="18"/>
  <c r="E296" i="18" s="1"/>
  <c r="F296" i="18" s="1"/>
  <c r="W296" i="18"/>
  <c r="B296" i="20"/>
  <c r="W334" i="18"/>
  <c r="D334" i="18"/>
  <c r="E334" i="18" s="1"/>
  <c r="F334" i="18" s="1"/>
  <c r="B334" i="20"/>
  <c r="D39" i="20"/>
  <c r="E39" i="20" s="1"/>
  <c r="F39" i="20" s="1"/>
  <c r="B39" i="22"/>
  <c r="W39" i="20"/>
  <c r="W53" i="18"/>
  <c r="D53" i="18"/>
  <c r="E53" i="18" s="1"/>
  <c r="F53" i="18" s="1"/>
  <c r="B53" i="20"/>
  <c r="W107" i="20"/>
  <c r="B107" i="22"/>
  <c r="D107" i="20"/>
  <c r="E107" i="20" s="1"/>
  <c r="F107" i="20" s="1"/>
  <c r="W139" i="18"/>
  <c r="D139" i="18"/>
  <c r="E139" i="18" s="1"/>
  <c r="F139" i="18" s="1"/>
  <c r="B139" i="20"/>
  <c r="W151" i="20"/>
  <c r="B151" i="22"/>
  <c r="D151" i="20"/>
  <c r="E151" i="20" s="1"/>
  <c r="F151" i="20" s="1"/>
  <c r="W169" i="18"/>
  <c r="B169" i="20"/>
  <c r="D169" i="18"/>
  <c r="E169" i="18" s="1"/>
  <c r="F169" i="18" s="1"/>
  <c r="G179" i="18"/>
  <c r="CA179" i="6" s="1"/>
  <c r="AA179" i="18"/>
  <c r="Z179" i="18" s="1"/>
  <c r="Y179" i="18" s="1"/>
  <c r="W203" i="18"/>
  <c r="D203" i="18"/>
  <c r="E203" i="18" s="1"/>
  <c r="F203" i="18" s="1"/>
  <c r="B203" i="20"/>
  <c r="W245" i="18"/>
  <c r="D245" i="18"/>
  <c r="E245" i="18" s="1"/>
  <c r="F245" i="18" s="1"/>
  <c r="B245" i="20"/>
  <c r="W277" i="18"/>
  <c r="D277" i="18"/>
  <c r="E277" i="18" s="1"/>
  <c r="F277" i="18" s="1"/>
  <c r="B277" i="20"/>
  <c r="W325" i="18"/>
  <c r="D325" i="18"/>
  <c r="E325" i="18" s="1"/>
  <c r="F325" i="18" s="1"/>
  <c r="B325" i="20"/>
  <c r="G337" i="18"/>
  <c r="CA337" i="6" s="1"/>
  <c r="AA337" i="18"/>
  <c r="Z337" i="18" s="1"/>
  <c r="Y337" i="18" s="1"/>
  <c r="W375" i="20"/>
  <c r="B375" i="22"/>
  <c r="D375" i="20"/>
  <c r="E375" i="20" s="1"/>
  <c r="F375" i="20" s="1"/>
  <c r="W288" i="18"/>
  <c r="D288" i="18"/>
  <c r="E288" i="18" s="1"/>
  <c r="F288" i="18" s="1"/>
  <c r="B288" i="20"/>
  <c r="W27" i="18"/>
  <c r="D27" i="18"/>
  <c r="E27" i="18" s="1"/>
  <c r="F27" i="18" s="1"/>
  <c r="B27" i="20"/>
  <c r="W124" i="18"/>
  <c r="D124" i="18"/>
  <c r="E124" i="18" s="1"/>
  <c r="F124" i="18" s="1"/>
  <c r="B124" i="20"/>
  <c r="W138" i="20"/>
  <c r="D138" i="20"/>
  <c r="E138" i="20" s="1"/>
  <c r="F138" i="20" s="1"/>
  <c r="B138" i="22"/>
  <c r="W184" i="18"/>
  <c r="D184" i="18"/>
  <c r="E184" i="18" s="1"/>
  <c r="F184" i="18" s="1"/>
  <c r="B184" i="20"/>
  <c r="W202" i="20"/>
  <c r="D202" i="20"/>
  <c r="E202" i="20" s="1"/>
  <c r="F202" i="20" s="1"/>
  <c r="B202" i="22"/>
  <c r="W256" i="18"/>
  <c r="D256" i="18"/>
  <c r="E256" i="18" s="1"/>
  <c r="F256" i="18" s="1"/>
  <c r="B256" i="20"/>
  <c r="W292" i="18"/>
  <c r="B292" i="20"/>
  <c r="D292" i="18"/>
  <c r="E292" i="18" s="1"/>
  <c r="F292" i="18" s="1"/>
  <c r="W304" i="20"/>
  <c r="B304" i="22"/>
  <c r="D304" i="20"/>
  <c r="E304" i="20" s="1"/>
  <c r="F304" i="20" s="1"/>
  <c r="W330" i="18"/>
  <c r="D330" i="18"/>
  <c r="E330" i="18" s="1"/>
  <c r="F330" i="18" s="1"/>
  <c r="B330" i="20"/>
  <c r="W364" i="18"/>
  <c r="D364" i="18"/>
  <c r="E364" i="18" s="1"/>
  <c r="F364" i="18" s="1"/>
  <c r="B364" i="20"/>
  <c r="W370" i="20"/>
  <c r="D370" i="20"/>
  <c r="E370" i="20" s="1"/>
  <c r="F370" i="20" s="1"/>
  <c r="B370" i="22"/>
  <c r="W25" i="18"/>
  <c r="D25" i="18"/>
  <c r="E25" i="18" s="1"/>
  <c r="F25" i="18" s="1"/>
  <c r="B25" i="20"/>
  <c r="W41" i="20"/>
  <c r="D41" i="20"/>
  <c r="E41" i="20" s="1"/>
  <c r="F41" i="20" s="1"/>
  <c r="B41" i="22"/>
  <c r="W51" i="18"/>
  <c r="B51" i="20"/>
  <c r="D51" i="18"/>
  <c r="E51" i="18" s="1"/>
  <c r="F51" i="18" s="1"/>
  <c r="W91" i="20"/>
  <c r="D91" i="20"/>
  <c r="E91" i="20" s="1"/>
  <c r="F91" i="20" s="1"/>
  <c r="B91" i="22"/>
  <c r="W109" i="18"/>
  <c r="B109" i="20"/>
  <c r="D109" i="18"/>
  <c r="E109" i="18" s="1"/>
  <c r="F109" i="18" s="1"/>
  <c r="W117" i="20"/>
  <c r="D117" i="20"/>
  <c r="E117" i="20" s="1"/>
  <c r="F117" i="20" s="1"/>
  <c r="B117" i="22"/>
  <c r="W121" i="18"/>
  <c r="D121" i="18"/>
  <c r="E121" i="18" s="1"/>
  <c r="F121" i="18" s="1"/>
  <c r="B121" i="20"/>
  <c r="W165" i="18"/>
  <c r="D165" i="18"/>
  <c r="E165" i="18" s="1"/>
  <c r="F165" i="18" s="1"/>
  <c r="B165" i="20"/>
  <c r="W199" i="20"/>
  <c r="D199" i="20"/>
  <c r="E199" i="20" s="1"/>
  <c r="F199" i="20" s="1"/>
  <c r="B199" i="22"/>
  <c r="G217" i="18"/>
  <c r="CA217" i="6" s="1"/>
  <c r="AA217" i="18"/>
  <c r="Z217" i="18" s="1"/>
  <c r="Y217" i="18" s="1"/>
  <c r="W225" i="18"/>
  <c r="D225" i="18"/>
  <c r="E225" i="18" s="1"/>
  <c r="F225" i="18" s="1"/>
  <c r="B225" i="20"/>
  <c r="W279" i="18"/>
  <c r="B279" i="20"/>
  <c r="D279" i="18"/>
  <c r="E279" i="18" s="1"/>
  <c r="F279" i="18" s="1"/>
  <c r="W355" i="18"/>
  <c r="B355" i="20"/>
  <c r="D355" i="18"/>
  <c r="E355" i="18" s="1"/>
  <c r="F355" i="18" s="1"/>
  <c r="W36" i="18"/>
  <c r="D36" i="18"/>
  <c r="E36" i="18" s="1"/>
  <c r="F36" i="18" s="1"/>
  <c r="B36" i="20"/>
  <c r="W58" i="18"/>
  <c r="D58" i="18"/>
  <c r="E58" i="18" s="1"/>
  <c r="F58" i="18" s="1"/>
  <c r="B58" i="20"/>
  <c r="W82" i="20"/>
  <c r="B82" i="22"/>
  <c r="D82" i="20"/>
  <c r="E82" i="20" s="1"/>
  <c r="F82" i="20" s="1"/>
  <c r="D102" i="18"/>
  <c r="E102" i="18" s="1"/>
  <c r="F102" i="18" s="1"/>
  <c r="B102" i="20"/>
  <c r="W102" i="18"/>
  <c r="W158" i="20"/>
  <c r="D158" i="20"/>
  <c r="E158" i="20" s="1"/>
  <c r="F158" i="20" s="1"/>
  <c r="B158" i="22"/>
  <c r="B162" i="20"/>
  <c r="W162" i="18"/>
  <c r="D162" i="18"/>
  <c r="E162" i="18" s="1"/>
  <c r="F162" i="18" s="1"/>
  <c r="W186" i="18"/>
  <c r="D186" i="18"/>
  <c r="E186" i="18" s="1"/>
  <c r="F186" i="18" s="1"/>
  <c r="B186" i="20"/>
  <c r="W198" i="18"/>
  <c r="D198" i="18"/>
  <c r="E198" i="18" s="1"/>
  <c r="F198" i="18" s="1"/>
  <c r="B198" i="20"/>
  <c r="W214" i="18"/>
  <c r="D214" i="18"/>
  <c r="E214" i="18" s="1"/>
  <c r="F214" i="18" s="1"/>
  <c r="B214" i="20"/>
  <c r="W242" i="20"/>
  <c r="D242" i="20"/>
  <c r="E242" i="20" s="1"/>
  <c r="F242" i="20" s="1"/>
  <c r="B242" i="22"/>
  <c r="W264" i="18"/>
  <c r="D264" i="18"/>
  <c r="E264" i="18" s="1"/>
  <c r="F264" i="18" s="1"/>
  <c r="B264" i="20"/>
  <c r="W286" i="20"/>
  <c r="B286" i="22"/>
  <c r="D286" i="20"/>
  <c r="E286" i="20" s="1"/>
  <c r="F286" i="20" s="1"/>
  <c r="W290" i="18"/>
  <c r="B290" i="20"/>
  <c r="D290" i="18"/>
  <c r="E290" i="18" s="1"/>
  <c r="F290" i="18" s="1"/>
  <c r="B340" i="20"/>
  <c r="W340" i="18"/>
  <c r="D340" i="18"/>
  <c r="E340" i="18" s="1"/>
  <c r="F340" i="18" s="1"/>
  <c r="W362" i="18"/>
  <c r="B362" i="20"/>
  <c r="D362" i="18"/>
  <c r="E362" i="18" s="1"/>
  <c r="F362" i="18" s="1"/>
  <c r="W137" i="18"/>
  <c r="D137" i="18"/>
  <c r="E137" i="18" s="1"/>
  <c r="F137" i="18" s="1"/>
  <c r="B137" i="20"/>
  <c r="W222" i="20"/>
  <c r="D222" i="20"/>
  <c r="E222" i="20" s="1"/>
  <c r="F222" i="20" s="1"/>
  <c r="B222" i="22"/>
  <c r="D90" i="18"/>
  <c r="E90" i="18" s="1"/>
  <c r="F90" i="18" s="1"/>
  <c r="B90" i="20"/>
  <c r="W90" i="18"/>
  <c r="W204" i="20"/>
  <c r="D204" i="20"/>
  <c r="E204" i="20" s="1"/>
  <c r="F204" i="20" s="1"/>
  <c r="B204" i="22"/>
  <c r="W378" i="18"/>
  <c r="D378" i="18"/>
  <c r="E378" i="18" s="1"/>
  <c r="F378" i="18" s="1"/>
  <c r="B378" i="20"/>
  <c r="W252" i="20"/>
  <c r="D252" i="20"/>
  <c r="E252" i="20" s="1"/>
  <c r="F252" i="20" s="1"/>
  <c r="B252" i="22"/>
  <c r="W310" i="18"/>
  <c r="D310" i="18"/>
  <c r="E310" i="18" s="1"/>
  <c r="F310" i="18" s="1"/>
  <c r="B310" i="20"/>
  <c r="W305" i="20"/>
  <c r="D305" i="20"/>
  <c r="E305" i="20" s="1"/>
  <c r="F305" i="20" s="1"/>
  <c r="B305" i="22"/>
  <c r="W311" i="18"/>
  <c r="D311" i="18"/>
  <c r="E311" i="18" s="1"/>
  <c r="F311" i="18" s="1"/>
  <c r="B311" i="20"/>
  <c r="W374" i="18"/>
  <c r="D374" i="18"/>
  <c r="E374" i="18" s="1"/>
  <c r="F374" i="18" s="1"/>
  <c r="B374" i="20"/>
  <c r="W52" i="20"/>
  <c r="D52" i="20"/>
  <c r="E52" i="20" s="1"/>
  <c r="F52" i="20" s="1"/>
  <c r="B52" i="22"/>
  <c r="W157" i="18"/>
  <c r="D157" i="18"/>
  <c r="E157" i="18" s="1"/>
  <c r="F157" i="18" s="1"/>
  <c r="B157" i="20"/>
  <c r="W103" i="20"/>
  <c r="D103" i="20"/>
  <c r="E103" i="20" s="1"/>
  <c r="F103" i="20" s="1"/>
  <c r="B103" i="22"/>
  <c r="W125" i="18"/>
  <c r="D125" i="18"/>
  <c r="E125" i="18" s="1"/>
  <c r="F125" i="18" s="1"/>
  <c r="B125" i="20"/>
  <c r="W235" i="20"/>
  <c r="D235" i="20"/>
  <c r="E235" i="20" s="1"/>
  <c r="F235" i="20" s="1"/>
  <c r="B235" i="22"/>
  <c r="W309" i="18"/>
  <c r="B309" i="20"/>
  <c r="D309" i="18"/>
  <c r="E309" i="18" s="1"/>
  <c r="F309" i="18" s="1"/>
  <c r="W62" i="18"/>
  <c r="B62" i="20"/>
  <c r="D62" i="18"/>
  <c r="E62" i="18" s="1"/>
  <c r="F62" i="18" s="1"/>
  <c r="W295" i="18"/>
  <c r="D295" i="18"/>
  <c r="E295" i="18" s="1"/>
  <c r="F295" i="18" s="1"/>
  <c r="B295" i="20"/>
  <c r="W232" i="18"/>
  <c r="B232" i="20"/>
  <c r="D232" i="18"/>
  <c r="E232" i="18" s="1"/>
  <c r="F232" i="18" s="1"/>
  <c r="W119" i="18"/>
  <c r="D119" i="18"/>
  <c r="E119" i="18" s="1"/>
  <c r="F119" i="18" s="1"/>
  <c r="B119" i="20"/>
  <c r="W196" i="18"/>
  <c r="D196" i="18"/>
  <c r="E196" i="18" s="1"/>
  <c r="F196" i="18" s="1"/>
  <c r="B196" i="20"/>
  <c r="W105" i="20"/>
  <c r="B105" i="22"/>
  <c r="D105" i="20"/>
  <c r="E105" i="20" s="1"/>
  <c r="F105" i="20" s="1"/>
  <c r="W67" i="18"/>
  <c r="D67" i="18"/>
  <c r="E67" i="18" s="1"/>
  <c r="F67" i="18" s="1"/>
  <c r="B67" i="20"/>
  <c r="D166" i="20"/>
  <c r="E166" i="20" s="1"/>
  <c r="F166" i="20" s="1"/>
  <c r="B166" i="22"/>
  <c r="W166" i="20"/>
  <c r="W22" i="18"/>
  <c r="D22" i="18"/>
  <c r="E22" i="18" s="1"/>
  <c r="F22" i="18" s="1"/>
  <c r="B22" i="20"/>
  <c r="W248" i="18"/>
  <c r="D248" i="18"/>
  <c r="E248" i="18" s="1"/>
  <c r="F248" i="18" s="1"/>
  <c r="B248" i="20"/>
  <c r="W346" i="18"/>
  <c r="D346" i="18"/>
  <c r="E346" i="18" s="1"/>
  <c r="F346" i="18" s="1"/>
  <c r="B346" i="20"/>
  <c r="W272" i="18"/>
  <c r="D272" i="18"/>
  <c r="E272" i="18" s="1"/>
  <c r="F272" i="18" s="1"/>
  <c r="B272" i="20"/>
  <c r="W368" i="20"/>
  <c r="B368" i="22"/>
  <c r="D368" i="20"/>
  <c r="E368" i="20" s="1"/>
  <c r="F368" i="20" s="1"/>
  <c r="W154" i="20"/>
  <c r="B154" i="22"/>
  <c r="D154" i="20"/>
  <c r="E154" i="20" s="1"/>
  <c r="F154" i="20" s="1"/>
  <c r="D189" i="20"/>
  <c r="E189" i="20" s="1"/>
  <c r="F189" i="20" s="1"/>
  <c r="B189" i="22"/>
  <c r="W189" i="20"/>
  <c r="W241" i="20"/>
  <c r="D241" i="20"/>
  <c r="E241" i="20" s="1"/>
  <c r="F241" i="20" s="1"/>
  <c r="B241" i="22"/>
  <c r="W244" i="18"/>
  <c r="D244" i="18"/>
  <c r="E244" i="18" s="1"/>
  <c r="F244" i="18" s="1"/>
  <c r="B244" i="20"/>
  <c r="W88" i="18"/>
  <c r="D88" i="18"/>
  <c r="E88" i="18" s="1"/>
  <c r="F88" i="18" s="1"/>
  <c r="B88" i="20"/>
  <c r="W37" i="18"/>
  <c r="D37" i="18"/>
  <c r="E37" i="18" s="1"/>
  <c r="F37" i="18" s="1"/>
  <c r="B37" i="20"/>
  <c r="W63" i="20"/>
  <c r="B63" i="22"/>
  <c r="D63" i="20"/>
  <c r="E63" i="20" s="1"/>
  <c r="F63" i="20" s="1"/>
  <c r="AA167" i="18"/>
  <c r="Z167" i="18" s="1"/>
  <c r="Y167" i="18" s="1"/>
  <c r="G167" i="18"/>
  <c r="CA167" i="6" s="1"/>
  <c r="W185" i="18"/>
  <c r="D185" i="18"/>
  <c r="E185" i="18" s="1"/>
  <c r="F185" i="18" s="1"/>
  <c r="B185" i="20"/>
  <c r="W249" i="18"/>
  <c r="D249" i="18"/>
  <c r="E249" i="18" s="1"/>
  <c r="F249" i="18" s="1"/>
  <c r="B249" i="20"/>
  <c r="W317" i="18"/>
  <c r="B317" i="20"/>
  <c r="D317" i="18"/>
  <c r="E317" i="18" s="1"/>
  <c r="F317" i="18" s="1"/>
  <c r="W42" i="18"/>
  <c r="D42" i="18"/>
  <c r="E42" i="18" s="1"/>
  <c r="F42" i="18" s="1"/>
  <c r="B42" i="20"/>
  <c r="W110" i="18"/>
  <c r="B110" i="20"/>
  <c r="D110" i="18"/>
  <c r="E110" i="18" s="1"/>
  <c r="F110" i="18" s="1"/>
  <c r="W140" i="18"/>
  <c r="D140" i="18"/>
  <c r="E140" i="18" s="1"/>
  <c r="F140" i="18" s="1"/>
  <c r="B140" i="20"/>
  <c r="W220" i="18"/>
  <c r="D220" i="18"/>
  <c r="E220" i="18" s="1"/>
  <c r="F220" i="18" s="1"/>
  <c r="B220" i="20"/>
  <c r="D254" i="18"/>
  <c r="E254" i="18" s="1"/>
  <c r="F254" i="18" s="1"/>
  <c r="B254" i="20"/>
  <c r="W254" i="18"/>
  <c r="W260" i="20"/>
  <c r="D260" i="20"/>
  <c r="E260" i="20" s="1"/>
  <c r="F260" i="20" s="1"/>
  <c r="B260" i="22"/>
  <c r="W276" i="20"/>
  <c r="B276" i="22"/>
  <c r="D276" i="20"/>
  <c r="E276" i="20" s="1"/>
  <c r="F276" i="20" s="1"/>
  <c r="W320" i="20"/>
  <c r="D320" i="20"/>
  <c r="E320" i="20" s="1"/>
  <c r="F320" i="20" s="1"/>
  <c r="B320" i="22"/>
  <c r="B31" i="20"/>
  <c r="W31" i="18"/>
  <c r="D31" i="18"/>
  <c r="E31" i="18" s="1"/>
  <c r="F31" i="18" s="1"/>
  <c r="W49" i="18"/>
  <c r="D49" i="18"/>
  <c r="E49" i="18" s="1"/>
  <c r="F49" i="18" s="1"/>
  <c r="B49" i="20"/>
  <c r="D87" i="18"/>
  <c r="E87" i="18" s="1"/>
  <c r="F87" i="18" s="1"/>
  <c r="B87" i="20"/>
  <c r="W87" i="18"/>
  <c r="D93" i="20"/>
  <c r="E93" i="20" s="1"/>
  <c r="F93" i="20" s="1"/>
  <c r="B93" i="22"/>
  <c r="W93" i="20"/>
  <c r="W145" i="18"/>
  <c r="D145" i="18"/>
  <c r="E145" i="18" s="1"/>
  <c r="F145" i="18" s="1"/>
  <c r="B145" i="20"/>
  <c r="W147" i="20"/>
  <c r="D147" i="20"/>
  <c r="E147" i="20" s="1"/>
  <c r="F147" i="20" s="1"/>
  <c r="B147" i="22"/>
  <c r="W201" i="18"/>
  <c r="D201" i="18"/>
  <c r="E201" i="18" s="1"/>
  <c r="F201" i="18" s="1"/>
  <c r="B201" i="20"/>
  <c r="W209" i="20"/>
  <c r="D209" i="20"/>
  <c r="E209" i="20" s="1"/>
  <c r="F209" i="20" s="1"/>
  <c r="B209" i="22"/>
  <c r="W291" i="18"/>
  <c r="D291" i="18"/>
  <c r="E291" i="18" s="1"/>
  <c r="F291" i="18" s="1"/>
  <c r="B291" i="20"/>
  <c r="W293" i="20"/>
  <c r="D293" i="20"/>
  <c r="E293" i="20" s="1"/>
  <c r="F293" i="20" s="1"/>
  <c r="B293" i="22"/>
  <c r="W339" i="18"/>
  <c r="D339" i="18"/>
  <c r="E339" i="18" s="1"/>
  <c r="F339" i="18" s="1"/>
  <c r="B339" i="20"/>
  <c r="D341" i="20"/>
  <c r="E341" i="20" s="1"/>
  <c r="F341" i="20" s="1"/>
  <c r="W341" i="20"/>
  <c r="B341" i="22"/>
  <c r="W371" i="18"/>
  <c r="D371" i="18"/>
  <c r="E371" i="18" s="1"/>
  <c r="F371" i="18" s="1"/>
  <c r="B371" i="20"/>
  <c r="W34" i="18"/>
  <c r="D34" i="18"/>
  <c r="E34" i="18" s="1"/>
  <c r="F34" i="18" s="1"/>
  <c r="B34" i="20"/>
  <c r="W80" i="20"/>
  <c r="D80" i="20"/>
  <c r="E80" i="20" s="1"/>
  <c r="F80" i="20" s="1"/>
  <c r="B80" i="22"/>
  <c r="W96" i="18"/>
  <c r="D96" i="18"/>
  <c r="E96" i="18" s="1"/>
  <c r="F96" i="18" s="1"/>
  <c r="B96" i="20"/>
  <c r="W126" i="18"/>
  <c r="D126" i="18"/>
  <c r="E126" i="18" s="1"/>
  <c r="F126" i="18" s="1"/>
  <c r="B126" i="20"/>
  <c r="D142" i="20"/>
  <c r="E142" i="20" s="1"/>
  <c r="F142" i="20" s="1"/>
  <c r="W142" i="20"/>
  <c r="B142" i="22"/>
  <c r="W148" i="18"/>
  <c r="D148" i="18"/>
  <c r="E148" i="18" s="1"/>
  <c r="F148" i="18" s="1"/>
  <c r="B148" i="20"/>
  <c r="D250" i="18"/>
  <c r="E250" i="18" s="1"/>
  <c r="F250" i="18" s="1"/>
  <c r="W250" i="18"/>
  <c r="B250" i="20"/>
  <c r="W372" i="18"/>
  <c r="B372" i="20"/>
  <c r="D372" i="18"/>
  <c r="E372" i="18" s="1"/>
  <c r="F372" i="18" s="1"/>
  <c r="W65" i="18"/>
  <c r="D65" i="18"/>
  <c r="E65" i="18" s="1"/>
  <c r="F65" i="18" s="1"/>
  <c r="B65" i="20"/>
  <c r="W141" i="20"/>
  <c r="D141" i="20"/>
  <c r="E141" i="20" s="1"/>
  <c r="F141" i="20" s="1"/>
  <c r="B141" i="22"/>
  <c r="W143" i="18"/>
  <c r="D143" i="18"/>
  <c r="E143" i="18" s="1"/>
  <c r="F143" i="18" s="1"/>
  <c r="B143" i="20"/>
  <c r="W191" i="18"/>
  <c r="B191" i="20"/>
  <c r="D191" i="18"/>
  <c r="E191" i="18" s="1"/>
  <c r="F191" i="18" s="1"/>
  <c r="W223" i="18"/>
  <c r="D223" i="18"/>
  <c r="E223" i="18" s="1"/>
  <c r="F223" i="18" s="1"/>
  <c r="B223" i="20"/>
  <c r="D257" i="20"/>
  <c r="E257" i="20" s="1"/>
  <c r="F257" i="20" s="1"/>
  <c r="W257" i="20"/>
  <c r="B257" i="22"/>
  <c r="W267" i="18"/>
  <c r="B267" i="20"/>
  <c r="D267" i="18"/>
  <c r="E267" i="18" s="1"/>
  <c r="F267" i="18" s="1"/>
  <c r="W307" i="18"/>
  <c r="D307" i="18"/>
  <c r="E307" i="18" s="1"/>
  <c r="F307" i="18" s="1"/>
  <c r="B307" i="20"/>
  <c r="W357" i="18"/>
  <c r="D357" i="18"/>
  <c r="E357" i="18" s="1"/>
  <c r="F357" i="18" s="1"/>
  <c r="B357" i="20"/>
  <c r="W373" i="18"/>
  <c r="B373" i="20"/>
  <c r="D373" i="18"/>
  <c r="E373" i="18" s="1"/>
  <c r="F373" i="18" s="1"/>
  <c r="W20" i="18"/>
  <c r="B20" i="20"/>
  <c r="D20" i="18"/>
  <c r="E20" i="18" s="1"/>
  <c r="F20" i="18" s="1"/>
  <c r="W48" i="18"/>
  <c r="D48" i="18"/>
  <c r="E48" i="18" s="1"/>
  <c r="F48" i="18" s="1"/>
  <c r="B48" i="20"/>
  <c r="W122" i="20"/>
  <c r="B122" i="22"/>
  <c r="D122" i="20"/>
  <c r="E122" i="20" s="1"/>
  <c r="F122" i="20" s="1"/>
  <c r="W160" i="18"/>
  <c r="D160" i="18"/>
  <c r="E160" i="18" s="1"/>
  <c r="F160" i="18" s="1"/>
  <c r="B160" i="20"/>
  <c r="D172" i="20"/>
  <c r="E172" i="20" s="1"/>
  <c r="F172" i="20" s="1"/>
  <c r="W172" i="20"/>
  <c r="B172" i="22"/>
  <c r="W234" i="18"/>
  <c r="B234" i="20"/>
  <c r="D234" i="18"/>
  <c r="E234" i="18" s="1"/>
  <c r="F234" i="18" s="1"/>
  <c r="W266" i="18"/>
  <c r="D266" i="18"/>
  <c r="E266" i="18" s="1"/>
  <c r="F266" i="18" s="1"/>
  <c r="B266" i="20"/>
  <c r="W280" i="20"/>
  <c r="D280" i="20"/>
  <c r="E280" i="20" s="1"/>
  <c r="F280" i="20" s="1"/>
  <c r="B280" i="22"/>
  <c r="W322" i="18"/>
  <c r="D322" i="18"/>
  <c r="E322" i="18" s="1"/>
  <c r="F322" i="18" s="1"/>
  <c r="B322" i="20"/>
  <c r="D350" i="18"/>
  <c r="E350" i="18" s="1"/>
  <c r="F350" i="18" s="1"/>
  <c r="W350" i="18"/>
  <c r="B350" i="20"/>
  <c r="W360" i="20"/>
  <c r="B360" i="22"/>
  <c r="D360" i="20"/>
  <c r="E360" i="20" s="1"/>
  <c r="F360" i="20" s="1"/>
  <c r="W57" i="20"/>
  <c r="B57" i="22"/>
  <c r="D57" i="20"/>
  <c r="E57" i="20" s="1"/>
  <c r="F57" i="20" s="1"/>
  <c r="W85" i="18"/>
  <c r="B85" i="20"/>
  <c r="D85" i="18"/>
  <c r="E85" i="18" s="1"/>
  <c r="F85" i="18" s="1"/>
  <c r="W113" i="20"/>
  <c r="D113" i="20"/>
  <c r="E113" i="20" s="1"/>
  <c r="F113" i="20" s="1"/>
  <c r="B113" i="22"/>
  <c r="W115" i="18"/>
  <c r="D115" i="18"/>
  <c r="E115" i="18" s="1"/>
  <c r="F115" i="18" s="1"/>
  <c r="B115" i="20"/>
  <c r="W133" i="18"/>
  <c r="D133" i="18"/>
  <c r="E133" i="18" s="1"/>
  <c r="F133" i="18" s="1"/>
  <c r="B133" i="20"/>
  <c r="W213" i="18"/>
  <c r="B213" i="20"/>
  <c r="D213" i="18"/>
  <c r="E213" i="18" s="1"/>
  <c r="F213" i="18" s="1"/>
  <c r="W239" i="18"/>
  <c r="D239" i="18"/>
  <c r="E239" i="18" s="1"/>
  <c r="F239" i="18" s="1"/>
  <c r="B239" i="20"/>
  <c r="W315" i="18"/>
  <c r="D315" i="18"/>
  <c r="E315" i="18" s="1"/>
  <c r="F315" i="18" s="1"/>
  <c r="B315" i="20"/>
  <c r="W343" i="20"/>
  <c r="D343" i="20"/>
  <c r="E343" i="20" s="1"/>
  <c r="F343" i="20" s="1"/>
  <c r="B343" i="22"/>
  <c r="W345" i="18"/>
  <c r="D345" i="18"/>
  <c r="E345" i="18" s="1"/>
  <c r="F345" i="18" s="1"/>
  <c r="B345" i="20"/>
  <c r="W24" i="18"/>
  <c r="D24" i="18"/>
  <c r="E24" i="18" s="1"/>
  <c r="F24" i="18" s="1"/>
  <c r="B24" i="20"/>
  <c r="W40" i="20"/>
  <c r="D40" i="20"/>
  <c r="E40" i="20" s="1"/>
  <c r="F40" i="20" s="1"/>
  <c r="B40" i="22"/>
  <c r="W44" i="18"/>
  <c r="D44" i="18"/>
  <c r="E44" i="18" s="1"/>
  <c r="F44" i="18" s="1"/>
  <c r="B44" i="20"/>
  <c r="W72" i="18"/>
  <c r="B72" i="20"/>
  <c r="D72" i="18"/>
  <c r="E72" i="18" s="1"/>
  <c r="F72" i="18" s="1"/>
  <c r="W134" i="20"/>
  <c r="B134" i="22"/>
  <c r="D134" i="20"/>
  <c r="E134" i="20" s="1"/>
  <c r="F134" i="20" s="1"/>
  <c r="W156" i="18"/>
  <c r="D156" i="18"/>
  <c r="E156" i="18" s="1"/>
  <c r="F156" i="18" s="1"/>
  <c r="B156" i="20"/>
  <c r="D190" i="20"/>
  <c r="E190" i="20" s="1"/>
  <c r="F190" i="20" s="1"/>
  <c r="B190" i="22"/>
  <c r="W190" i="20"/>
  <c r="W200" i="20"/>
  <c r="D200" i="20"/>
  <c r="E200" i="20" s="1"/>
  <c r="F200" i="20" s="1"/>
  <c r="B200" i="22"/>
  <c r="W206" i="18"/>
  <c r="D206" i="18"/>
  <c r="E206" i="18" s="1"/>
  <c r="F206" i="18" s="1"/>
  <c r="B206" i="20"/>
  <c r="W240" i="18"/>
  <c r="B240" i="20"/>
  <c r="D240" i="18"/>
  <c r="E240" i="18" s="1"/>
  <c r="F240" i="18" s="1"/>
  <c r="W314" i="18"/>
  <c r="B314" i="20"/>
  <c r="D314" i="18"/>
  <c r="E314" i="18" s="1"/>
  <c r="F314" i="18" s="1"/>
  <c r="W342" i="20"/>
  <c r="D342" i="20"/>
  <c r="E342" i="20" s="1"/>
  <c r="F342" i="20" s="1"/>
  <c r="B342" i="22"/>
  <c r="W356" i="18"/>
  <c r="D356" i="18"/>
  <c r="E356" i="18" s="1"/>
  <c r="F356" i="18" s="1"/>
  <c r="B356" i="20"/>
  <c r="W78" i="18"/>
  <c r="D78" i="18"/>
  <c r="E78" i="18" s="1"/>
  <c r="F78" i="18" s="1"/>
  <c r="B78" i="20"/>
  <c r="W289" i="18"/>
  <c r="D289" i="18"/>
  <c r="E289" i="18" s="1"/>
  <c r="F289" i="18" s="1"/>
  <c r="B289" i="20"/>
  <c r="W207" i="20"/>
  <c r="B207" i="22"/>
  <c r="D207" i="20"/>
  <c r="E207" i="20" s="1"/>
  <c r="F207" i="20" s="1"/>
  <c r="W182" i="18"/>
  <c r="D182" i="18"/>
  <c r="E182" i="18" s="1"/>
  <c r="F182" i="18" s="1"/>
  <c r="B182" i="20"/>
  <c r="W236" i="18"/>
  <c r="B236" i="20"/>
  <c r="D236" i="18"/>
  <c r="E236" i="18" s="1"/>
  <c r="F236" i="18" s="1"/>
  <c r="W98" i="18"/>
  <c r="D98" i="18"/>
  <c r="E98" i="18" s="1"/>
  <c r="F98" i="18" s="1"/>
  <c r="B98" i="20"/>
  <c r="W163" i="18"/>
  <c r="D163" i="18"/>
  <c r="E163" i="18" s="1"/>
  <c r="F163" i="18" s="1"/>
  <c r="B163" i="20"/>
  <c r="W229" i="20"/>
  <c r="D229" i="20"/>
  <c r="E229" i="20" s="1"/>
  <c r="F229" i="20" s="1"/>
  <c r="B229" i="22"/>
  <c r="W321" i="18"/>
  <c r="D321" i="18"/>
  <c r="E321" i="18" s="1"/>
  <c r="F321" i="18" s="1"/>
  <c r="B321" i="20"/>
  <c r="W32" i="20"/>
  <c r="D32" i="20"/>
  <c r="E32" i="20" s="1"/>
  <c r="F32" i="20" s="1"/>
  <c r="B32" i="22"/>
  <c r="W332" i="18"/>
  <c r="D332" i="18"/>
  <c r="E332" i="18" s="1"/>
  <c r="F332" i="18" s="1"/>
  <c r="B332" i="20"/>
  <c r="W73" i="18"/>
  <c r="B73" i="20"/>
  <c r="D73" i="18"/>
  <c r="E73" i="18" s="1"/>
  <c r="F73" i="18" s="1"/>
  <c r="B100" i="22"/>
  <c r="D100" i="20"/>
  <c r="E100" i="20" s="1"/>
  <c r="F100" i="20" s="1"/>
  <c r="W100" i="20"/>
  <c r="W81" i="18"/>
  <c r="D81" i="18"/>
  <c r="E81" i="18" s="1"/>
  <c r="F81" i="18" s="1"/>
  <c r="B81" i="20"/>
  <c r="G153" i="18"/>
  <c r="CA153" i="6" s="1"/>
  <c r="AA153" i="18"/>
  <c r="Z153" i="18" s="1"/>
  <c r="Y153" i="18" s="1"/>
  <c r="W76" i="18"/>
  <c r="D76" i="18"/>
  <c r="E76" i="18" s="1"/>
  <c r="F76" i="18" s="1"/>
  <c r="B76" i="20"/>
  <c r="W174" i="20"/>
  <c r="D174" i="20"/>
  <c r="E174" i="20" s="1"/>
  <c r="F174" i="20" s="1"/>
  <c r="B174" i="22"/>
  <c r="AA49" i="17"/>
  <c r="Z49" i="17" s="1"/>
  <c r="Y49" i="17" s="1"/>
  <c r="H49" i="17"/>
  <c r="G49" i="17"/>
  <c r="BZ49" i="6" s="1"/>
  <c r="G21" i="17"/>
  <c r="BZ21" i="6" s="1"/>
  <c r="AA21" i="17"/>
  <c r="Z21" i="17" s="1"/>
  <c r="Y21" i="17" s="1"/>
  <c r="H21" i="17"/>
  <c r="H18" i="17"/>
  <c r="G18" i="17"/>
  <c r="BZ18" i="6" s="1"/>
  <c r="AA18" i="17"/>
  <c r="Z18" i="17" s="1"/>
  <c r="Y18" i="17" s="1"/>
  <c r="G45" i="17"/>
  <c r="BZ45" i="6" s="1"/>
  <c r="AA45" i="17"/>
  <c r="Z45" i="17" s="1"/>
  <c r="Y45" i="17" s="1"/>
  <c r="H45" i="17"/>
  <c r="G39" i="17"/>
  <c r="BZ39" i="6" s="1"/>
  <c r="AA39" i="17"/>
  <c r="Z39" i="17" s="1"/>
  <c r="Y39" i="17" s="1"/>
  <c r="H39" i="17"/>
  <c r="AA62" i="17"/>
  <c r="Z62" i="17" s="1"/>
  <c r="Y62" i="17" s="1"/>
  <c r="H62" i="17"/>
  <c r="G62" i="17"/>
  <c r="BZ62" i="6" s="1"/>
  <c r="G188" i="17"/>
  <c r="BZ188" i="6" s="1"/>
  <c r="H188" i="17"/>
  <c r="AA188" i="17"/>
  <c r="Z188" i="17" s="1"/>
  <c r="Y188" i="17" s="1"/>
  <c r="G41" i="17"/>
  <c r="BZ41" i="6" s="1"/>
  <c r="H41" i="17"/>
  <c r="AA41" i="17"/>
  <c r="Z41" i="17" s="1"/>
  <c r="Y41" i="17" s="1"/>
  <c r="G90" i="17"/>
  <c r="BZ90" i="6" s="1"/>
  <c r="AA90" i="17"/>
  <c r="Z90" i="17" s="1"/>
  <c r="Y90" i="17" s="1"/>
  <c r="H90" i="17"/>
  <c r="G244" i="17"/>
  <c r="BZ244" i="6" s="1"/>
  <c r="H244" i="17"/>
  <c r="AA244" i="17"/>
  <c r="Z244" i="17" s="1"/>
  <c r="Y244" i="17" s="1"/>
  <c r="G345" i="17"/>
  <c r="BZ345" i="6" s="1"/>
  <c r="AA345" i="17"/>
  <c r="Z345" i="17" s="1"/>
  <c r="Y345" i="17" s="1"/>
  <c r="H345" i="17"/>
  <c r="G207" i="17"/>
  <c r="BZ207" i="6" s="1"/>
  <c r="H207" i="17"/>
  <c r="AA207" i="17"/>
  <c r="Z207" i="17" s="1"/>
  <c r="Y207" i="17" s="1"/>
  <c r="H362" i="17"/>
  <c r="G362" i="17"/>
  <c r="BZ362" i="6" s="1"/>
  <c r="AA362" i="17"/>
  <c r="Z362" i="17" s="1"/>
  <c r="Y362" i="17" s="1"/>
  <c r="G36" i="17"/>
  <c r="BZ36" i="6" s="1"/>
  <c r="AA36" i="17"/>
  <c r="Z36" i="17" s="1"/>
  <c r="Y36" i="17" s="1"/>
  <c r="H36" i="17"/>
  <c r="G371" i="17"/>
  <c r="BZ371" i="6" s="1"/>
  <c r="AA371" i="17"/>
  <c r="Z371" i="17" s="1"/>
  <c r="Y371" i="17" s="1"/>
  <c r="H371" i="17"/>
  <c r="G70" i="17"/>
  <c r="BZ70" i="6" s="1"/>
  <c r="H70" i="17"/>
  <c r="AA70" i="17"/>
  <c r="Z70" i="17" s="1"/>
  <c r="Y70" i="17" s="1"/>
  <c r="G294" i="17"/>
  <c r="BZ294" i="6" s="1"/>
  <c r="AA294" i="17"/>
  <c r="Z294" i="17" s="1"/>
  <c r="Y294" i="17" s="1"/>
  <c r="H294" i="17"/>
  <c r="G193" i="17"/>
  <c r="BZ193" i="6" s="1"/>
  <c r="AA193" i="17"/>
  <c r="Z193" i="17" s="1"/>
  <c r="Y193" i="17" s="1"/>
  <c r="H193" i="17"/>
  <c r="G377" i="17"/>
  <c r="BZ377" i="6" s="1"/>
  <c r="H377" i="17"/>
  <c r="AA377" i="17"/>
  <c r="Z377" i="17" s="1"/>
  <c r="Y377" i="17" s="1"/>
  <c r="G263" i="17"/>
  <c r="BZ263" i="6" s="1"/>
  <c r="AA263" i="17"/>
  <c r="Z263" i="17" s="1"/>
  <c r="Y263" i="17" s="1"/>
  <c r="H263" i="17"/>
  <c r="G338" i="17"/>
  <c r="BZ338" i="6" s="1"/>
  <c r="H338" i="17"/>
  <c r="AA338" i="17"/>
  <c r="Z338" i="17" s="1"/>
  <c r="Y338" i="17" s="1"/>
  <c r="H255" i="17"/>
  <c r="AA255" i="17"/>
  <c r="Z255" i="17" s="1"/>
  <c r="Y255" i="17" s="1"/>
  <c r="G255" i="17"/>
  <c r="BZ255" i="6" s="1"/>
  <c r="G212" i="17"/>
  <c r="BZ212" i="6" s="1"/>
  <c r="H212" i="17"/>
  <c r="AA212" i="17"/>
  <c r="Z212" i="17" s="1"/>
  <c r="Y212" i="17" s="1"/>
  <c r="G109" i="17"/>
  <c r="BZ109" i="6" s="1"/>
  <c r="H109" i="17"/>
  <c r="AA109" i="17"/>
  <c r="Z109" i="17" s="1"/>
  <c r="Y109" i="17" s="1"/>
  <c r="G215" i="17"/>
  <c r="BZ215" i="6" s="1"/>
  <c r="H215" i="17"/>
  <c r="AA215" i="17"/>
  <c r="Z215" i="17" s="1"/>
  <c r="Y215" i="17" s="1"/>
  <c r="H241" i="17"/>
  <c r="G241" i="17"/>
  <c r="BZ241" i="6" s="1"/>
  <c r="AA241" i="17"/>
  <c r="Z241" i="17" s="1"/>
  <c r="Y241" i="17" s="1"/>
  <c r="G150" i="17"/>
  <c r="BZ150" i="6" s="1"/>
  <c r="H150" i="17"/>
  <c r="AA150" i="17"/>
  <c r="Z150" i="17" s="1"/>
  <c r="Y150" i="17" s="1"/>
  <c r="G265" i="17"/>
  <c r="BZ265" i="6" s="1"/>
  <c r="H265" i="17"/>
  <c r="AA265" i="17"/>
  <c r="Z265" i="17" s="1"/>
  <c r="Y265" i="17" s="1"/>
  <c r="G321" i="17"/>
  <c r="BZ321" i="6" s="1"/>
  <c r="H321" i="17"/>
  <c r="AA321" i="17"/>
  <c r="Z321" i="17" s="1"/>
  <c r="Y321" i="17" s="1"/>
  <c r="G312" i="18"/>
  <c r="CA312" i="6" s="1"/>
  <c r="AA312" i="18"/>
  <c r="Z312" i="18" s="1"/>
  <c r="Y312" i="18" s="1"/>
  <c r="G33" i="17"/>
  <c r="BZ33" i="6" s="1"/>
  <c r="H33" i="17"/>
  <c r="AA33" i="17"/>
  <c r="Z33" i="17" s="1"/>
  <c r="Y33" i="17" s="1"/>
  <c r="G172" i="17"/>
  <c r="BZ172" i="6" s="1"/>
  <c r="H172" i="17"/>
  <c r="AA172" i="17"/>
  <c r="Z172" i="17" s="1"/>
  <c r="Y172" i="17" s="1"/>
  <c r="G314" i="17"/>
  <c r="BZ314" i="6" s="1"/>
  <c r="AA314" i="17"/>
  <c r="Z314" i="17" s="1"/>
  <c r="Y314" i="17" s="1"/>
  <c r="H314" i="17"/>
  <c r="G311" i="17"/>
  <c r="BZ311" i="6" s="1"/>
  <c r="H311" i="17"/>
  <c r="AA311" i="17"/>
  <c r="Z311" i="17" s="1"/>
  <c r="Y311" i="17" s="1"/>
  <c r="G88" i="17"/>
  <c r="BZ88" i="6" s="1"/>
  <c r="H88" i="17"/>
  <c r="AA88" i="17"/>
  <c r="Z88" i="17" s="1"/>
  <c r="Y88" i="17" s="1"/>
  <c r="G303" i="17"/>
  <c r="BZ303" i="6" s="1"/>
  <c r="H303" i="17"/>
  <c r="AA303" i="17"/>
  <c r="Z303" i="17" s="1"/>
  <c r="Y303" i="17" s="1"/>
  <c r="H292" i="17"/>
  <c r="G292" i="17"/>
  <c r="BZ292" i="6" s="1"/>
  <c r="AA292" i="17"/>
  <c r="Z292" i="17" s="1"/>
  <c r="Y292" i="17" s="1"/>
  <c r="G290" i="17"/>
  <c r="BZ290" i="6" s="1"/>
  <c r="AA290" i="17"/>
  <c r="Z290" i="17" s="1"/>
  <c r="Y290" i="17" s="1"/>
  <c r="H290" i="17"/>
  <c r="G226" i="17"/>
  <c r="BZ226" i="6" s="1"/>
  <c r="AA226" i="17"/>
  <c r="Z226" i="17" s="1"/>
  <c r="Y226" i="17" s="1"/>
  <c r="H226" i="17"/>
  <c r="G89" i="17"/>
  <c r="BZ89" i="6" s="1"/>
  <c r="AA89" i="17"/>
  <c r="Z89" i="17" s="1"/>
  <c r="Y89" i="17" s="1"/>
  <c r="H89" i="17"/>
  <c r="G225" i="17"/>
  <c r="BZ225" i="6" s="1"/>
  <c r="H225" i="17"/>
  <c r="AA225" i="17"/>
  <c r="Z225" i="17" s="1"/>
  <c r="Y225" i="17" s="1"/>
  <c r="G105" i="17"/>
  <c r="BZ105" i="6" s="1"/>
  <c r="H105" i="17"/>
  <c r="AA105" i="17"/>
  <c r="Z105" i="17" s="1"/>
  <c r="Y105" i="17" s="1"/>
  <c r="AA369" i="17"/>
  <c r="Z369" i="17" s="1"/>
  <c r="Y369" i="17" s="1"/>
  <c r="H369" i="17"/>
  <c r="G369" i="17"/>
  <c r="BZ369" i="6" s="1"/>
  <c r="G304" i="17"/>
  <c r="BZ304" i="6" s="1"/>
  <c r="H304" i="17"/>
  <c r="AA304" i="17"/>
  <c r="Z304" i="17" s="1"/>
  <c r="Y304" i="17" s="1"/>
  <c r="G142" i="17"/>
  <c r="BZ142" i="6" s="1"/>
  <c r="AA142" i="17"/>
  <c r="Z142" i="17" s="1"/>
  <c r="Y142" i="17" s="1"/>
  <c r="H142" i="17"/>
  <c r="G194" i="17"/>
  <c r="BZ194" i="6" s="1"/>
  <c r="H194" i="17"/>
  <c r="AA194" i="17"/>
  <c r="Z194" i="17" s="1"/>
  <c r="Y194" i="17" s="1"/>
  <c r="G258" i="17"/>
  <c r="BZ258" i="6" s="1"/>
  <c r="H258" i="17"/>
  <c r="AA258" i="17"/>
  <c r="Z258" i="17" s="1"/>
  <c r="Y258" i="17" s="1"/>
  <c r="G60" i="17"/>
  <c r="BZ60" i="6" s="1"/>
  <c r="H60" i="17"/>
  <c r="G351" i="17"/>
  <c r="BZ351" i="6" s="1"/>
  <c r="H351" i="17"/>
  <c r="AA351" i="17"/>
  <c r="Z351" i="17" s="1"/>
  <c r="Y351" i="17" s="1"/>
  <c r="G247" i="17"/>
  <c r="BZ247" i="6" s="1"/>
  <c r="H247" i="17"/>
  <c r="AA247" i="17"/>
  <c r="Z247" i="17" s="1"/>
  <c r="Y247" i="17" s="1"/>
  <c r="H340" i="17"/>
  <c r="G340" i="17"/>
  <c r="BZ340" i="6" s="1"/>
  <c r="AA340" i="17"/>
  <c r="Z340" i="17" s="1"/>
  <c r="Y340" i="17" s="1"/>
  <c r="G363" i="17"/>
  <c r="BZ363" i="6" s="1"/>
  <c r="AA363" i="17"/>
  <c r="Z363" i="17" s="1"/>
  <c r="Y363" i="17" s="1"/>
  <c r="H363" i="17"/>
  <c r="G306" i="17"/>
  <c r="BZ306" i="6" s="1"/>
  <c r="H306" i="17"/>
  <c r="AA306" i="17"/>
  <c r="Z306" i="17" s="1"/>
  <c r="Y306" i="17" s="1"/>
  <c r="G54" i="17"/>
  <c r="BZ54" i="6" s="1"/>
  <c r="H54" i="17"/>
  <c r="AA54" i="17"/>
  <c r="Z54" i="17" s="1"/>
  <c r="Y54" i="17" s="1"/>
  <c r="G367" i="17"/>
  <c r="BZ367" i="6" s="1"/>
  <c r="H367" i="17"/>
  <c r="AA367" i="17"/>
  <c r="Z367" i="17" s="1"/>
  <c r="Y367" i="17" s="1"/>
  <c r="G270" i="17"/>
  <c r="BZ270" i="6" s="1"/>
  <c r="H270" i="17"/>
  <c r="AA270" i="17"/>
  <c r="Z270" i="17" s="1"/>
  <c r="Y270" i="17" s="1"/>
  <c r="G55" i="17"/>
  <c r="BZ55" i="6" s="1"/>
  <c r="AA55" i="17"/>
  <c r="Z55" i="17" s="1"/>
  <c r="Y55" i="17" s="1"/>
  <c r="H55" i="17"/>
  <c r="H309" i="17"/>
  <c r="AA309" i="17"/>
  <c r="Z309" i="17" s="1"/>
  <c r="Y309" i="17" s="1"/>
  <c r="G309" i="17"/>
  <c r="BZ309" i="6" s="1"/>
  <c r="G86" i="17"/>
  <c r="BZ86" i="6" s="1"/>
  <c r="H86" i="17"/>
  <c r="AA86" i="17"/>
  <c r="Z86" i="17" s="1"/>
  <c r="Y86" i="17" s="1"/>
  <c r="H95" i="17"/>
  <c r="G95" i="17"/>
  <c r="BZ95" i="6" s="1"/>
  <c r="AA95" i="17"/>
  <c r="Z95" i="17" s="1"/>
  <c r="Y95" i="17" s="1"/>
  <c r="G366" i="17"/>
  <c r="BZ366" i="6" s="1"/>
  <c r="H366" i="17"/>
  <c r="AA366" i="17"/>
  <c r="Z366" i="17" s="1"/>
  <c r="Y366" i="17" s="1"/>
  <c r="H201" i="17"/>
  <c r="G201" i="17"/>
  <c r="BZ201" i="6" s="1"/>
  <c r="AA201" i="17"/>
  <c r="Z201" i="17" s="1"/>
  <c r="Y201" i="17" s="1"/>
  <c r="G288" i="17"/>
  <c r="BZ288" i="6" s="1"/>
  <c r="AA288" i="17"/>
  <c r="Z288" i="17" s="1"/>
  <c r="Y288" i="17" s="1"/>
  <c r="H288" i="17"/>
  <c r="G324" i="17"/>
  <c r="BZ324" i="6" s="1"/>
  <c r="AA324" i="17"/>
  <c r="Z324" i="17" s="1"/>
  <c r="Y324" i="17" s="1"/>
  <c r="H324" i="17"/>
  <c r="G287" i="17"/>
  <c r="BZ287" i="6" s="1"/>
  <c r="H287" i="17"/>
  <c r="AA287" i="17"/>
  <c r="Z287" i="17" s="1"/>
  <c r="Y287" i="17" s="1"/>
  <c r="G355" i="17"/>
  <c r="BZ355" i="6" s="1"/>
  <c r="AA355" i="17"/>
  <c r="Z355" i="17" s="1"/>
  <c r="Y355" i="17" s="1"/>
  <c r="H355" i="17"/>
  <c r="G69" i="17"/>
  <c r="BZ69" i="6" s="1"/>
  <c r="AA69" i="17"/>
  <c r="Z69" i="17" s="1"/>
  <c r="Y69" i="17" s="1"/>
  <c r="H69" i="17"/>
  <c r="G40" i="17"/>
  <c r="BZ40" i="6" s="1"/>
  <c r="AA40" i="17"/>
  <c r="Z40" i="17" s="1"/>
  <c r="Y40" i="17" s="1"/>
  <c r="H40" i="17"/>
  <c r="AA221" i="17"/>
  <c r="Z221" i="17" s="1"/>
  <c r="Y221" i="17" s="1"/>
  <c r="G221" i="17"/>
  <c r="BZ221" i="6" s="1"/>
  <c r="H221" i="17"/>
  <c r="G171" i="17"/>
  <c r="BZ171" i="6" s="1"/>
  <c r="AA171" i="17"/>
  <c r="Z171" i="17" s="1"/>
  <c r="Y171" i="17" s="1"/>
  <c r="H171" i="17"/>
  <c r="G328" i="17"/>
  <c r="BZ328" i="6" s="1"/>
  <c r="AA328" i="17"/>
  <c r="Z328" i="17" s="1"/>
  <c r="Y328" i="17" s="1"/>
  <c r="H328" i="17"/>
  <c r="G124" i="17"/>
  <c r="BZ124" i="6" s="1"/>
  <c r="H124" i="17"/>
  <c r="AA124" i="17"/>
  <c r="Z124" i="17" s="1"/>
  <c r="Y124" i="17" s="1"/>
  <c r="G379" i="17"/>
  <c r="BZ379" i="6" s="1"/>
  <c r="H379" i="17"/>
  <c r="AA379" i="17"/>
  <c r="Z379" i="17" s="1"/>
  <c r="Y379" i="17" s="1"/>
  <c r="G352" i="17"/>
  <c r="BZ352" i="6" s="1"/>
  <c r="H352" i="17"/>
  <c r="H271" i="17"/>
  <c r="G271" i="17"/>
  <c r="BZ271" i="6" s="1"/>
  <c r="AA271" i="17"/>
  <c r="Z271" i="17" s="1"/>
  <c r="Y271" i="17" s="1"/>
  <c r="G58" i="17"/>
  <c r="BZ58" i="6" s="1"/>
  <c r="H58" i="17"/>
  <c r="AA58" i="17"/>
  <c r="Z58" i="17" s="1"/>
  <c r="Y58" i="17" s="1"/>
  <c r="G339" i="17"/>
  <c r="BZ339" i="6" s="1"/>
  <c r="H339" i="17"/>
  <c r="AA339" i="17"/>
  <c r="Z339" i="17" s="1"/>
  <c r="Y339" i="17" s="1"/>
  <c r="G146" i="17"/>
  <c r="BZ146" i="6" s="1"/>
  <c r="H146" i="17"/>
  <c r="AA146" i="17"/>
  <c r="Z146" i="17" s="1"/>
  <c r="Y146" i="17" s="1"/>
  <c r="G143" i="17"/>
  <c r="BZ143" i="6" s="1"/>
  <c r="H143" i="17"/>
  <c r="AA143" i="17"/>
  <c r="Z143" i="17" s="1"/>
  <c r="Y143" i="17" s="1"/>
  <c r="G302" i="17"/>
  <c r="BZ302" i="6" s="1"/>
  <c r="H302" i="17"/>
  <c r="AA302" i="17"/>
  <c r="Z302" i="17" s="1"/>
  <c r="Y302" i="17" s="1"/>
  <c r="G123" i="17"/>
  <c r="BZ123" i="6" s="1"/>
  <c r="H123" i="17"/>
  <c r="AA123" i="17"/>
  <c r="Z123" i="17" s="1"/>
  <c r="Y123" i="17" s="1"/>
  <c r="G293" i="17"/>
  <c r="BZ293" i="6" s="1"/>
  <c r="H293" i="17"/>
  <c r="AA293" i="17"/>
  <c r="Z293" i="17" s="1"/>
  <c r="Y293" i="17" s="1"/>
  <c r="H129" i="17"/>
  <c r="G129" i="17"/>
  <c r="BZ129" i="6" s="1"/>
  <c r="AA129" i="17"/>
  <c r="Z129" i="17" s="1"/>
  <c r="Y129" i="17" s="1"/>
  <c r="G281" i="17"/>
  <c r="BZ281" i="6" s="1"/>
  <c r="AA281" i="17"/>
  <c r="Z281" i="17" s="1"/>
  <c r="Y281" i="17" s="1"/>
  <c r="H281" i="17"/>
  <c r="H47" i="17"/>
  <c r="G47" i="17"/>
  <c r="BZ47" i="6" s="1"/>
  <c r="AA47" i="17"/>
  <c r="Z47" i="17" s="1"/>
  <c r="Y47" i="17" s="1"/>
  <c r="G349" i="17"/>
  <c r="BZ349" i="6" s="1"/>
  <c r="AA349" i="17"/>
  <c r="Z349" i="17" s="1"/>
  <c r="Y349" i="17" s="1"/>
  <c r="H349" i="17"/>
  <c r="G189" i="17"/>
  <c r="BZ189" i="6" s="1"/>
  <c r="H189" i="17"/>
  <c r="AA189" i="17"/>
  <c r="Z189" i="17" s="1"/>
  <c r="Y189" i="17" s="1"/>
  <c r="G357" i="17"/>
  <c r="BZ357" i="6" s="1"/>
  <c r="H357" i="17"/>
  <c r="AA357" i="17"/>
  <c r="Z357" i="17" s="1"/>
  <c r="Y357" i="17" s="1"/>
  <c r="G44" i="17"/>
  <c r="BZ44" i="6" s="1"/>
  <c r="H44" i="17"/>
  <c r="AA44" i="17"/>
  <c r="Z44" i="17" s="1"/>
  <c r="Y44" i="17" s="1"/>
  <c r="AA28" i="18"/>
  <c r="Z28" i="18" s="1"/>
  <c r="Y28" i="18" s="1"/>
  <c r="G28" i="18"/>
  <c r="CA28" i="6" s="1"/>
  <c r="G83" i="17"/>
  <c r="BZ83" i="6" s="1"/>
  <c r="H83" i="17"/>
  <c r="AA83" i="17"/>
  <c r="Z83" i="17" s="1"/>
  <c r="Y83" i="17" s="1"/>
  <c r="AA352" i="17"/>
  <c r="Z352" i="17" s="1"/>
  <c r="Y352" i="17" s="1"/>
  <c r="G175" i="17"/>
  <c r="BZ175" i="6" s="1"/>
  <c r="H175" i="17"/>
  <c r="AA175" i="17"/>
  <c r="Z175" i="17" s="1"/>
  <c r="Y175" i="17" s="1"/>
  <c r="G250" i="17"/>
  <c r="BZ250" i="6" s="1"/>
  <c r="H250" i="17"/>
  <c r="G229" i="17"/>
  <c r="BZ229" i="6" s="1"/>
  <c r="H229" i="17"/>
  <c r="AA229" i="17"/>
  <c r="Z229" i="17" s="1"/>
  <c r="Y229" i="17" s="1"/>
  <c r="G80" i="17"/>
  <c r="BZ80" i="6" s="1"/>
  <c r="H80" i="17"/>
  <c r="AA80" i="17"/>
  <c r="Z80" i="17" s="1"/>
  <c r="Y80" i="17" s="1"/>
  <c r="G115" i="17"/>
  <c r="BZ115" i="6" s="1"/>
  <c r="AA115" i="17"/>
  <c r="Z115" i="17" s="1"/>
  <c r="Y115" i="17" s="1"/>
  <c r="H115" i="17"/>
  <c r="G73" i="17"/>
  <c r="BZ73" i="6" s="1"/>
  <c r="H73" i="17"/>
  <c r="AA73" i="17"/>
  <c r="Z73" i="17" s="1"/>
  <c r="Y73" i="17" s="1"/>
  <c r="G35" i="17"/>
  <c r="BZ35" i="6" s="1"/>
  <c r="H35" i="17"/>
  <c r="AA35" i="17"/>
  <c r="Z35" i="17" s="1"/>
  <c r="Y35" i="17" s="1"/>
  <c r="AA262" i="17"/>
  <c r="Z262" i="17" s="1"/>
  <c r="Y262" i="17" s="1"/>
  <c r="G262" i="17"/>
  <c r="BZ262" i="6" s="1"/>
  <c r="H262" i="17"/>
  <c r="G165" i="17"/>
  <c r="BZ165" i="6" s="1"/>
  <c r="AA165" i="17"/>
  <c r="Z165" i="17" s="1"/>
  <c r="Y165" i="17" s="1"/>
  <c r="H165" i="17"/>
  <c r="AA250" i="17"/>
  <c r="Z250" i="17" s="1"/>
  <c r="Y250" i="17" s="1"/>
  <c r="G20" i="17"/>
  <c r="BZ20" i="6" s="1"/>
  <c r="H20" i="17"/>
  <c r="AA20" i="17"/>
  <c r="Z20" i="17" s="1"/>
  <c r="Y20" i="17" s="1"/>
  <c r="H231" i="17"/>
  <c r="G231" i="17"/>
  <c r="BZ231" i="6" s="1"/>
  <c r="AA231" i="17"/>
  <c r="Z231" i="17" s="1"/>
  <c r="Y231" i="17" s="1"/>
  <c r="G30" i="17"/>
  <c r="BZ30" i="6" s="1"/>
  <c r="H30" i="17"/>
  <c r="AA30" i="17"/>
  <c r="Z30" i="17" s="1"/>
  <c r="Y30" i="17" s="1"/>
  <c r="H184" i="17"/>
  <c r="G184" i="17"/>
  <c r="BZ184" i="6" s="1"/>
  <c r="AA184" i="17"/>
  <c r="Z184" i="17" s="1"/>
  <c r="Y184" i="17" s="1"/>
  <c r="G116" i="17"/>
  <c r="BZ116" i="6" s="1"/>
  <c r="H116" i="17"/>
  <c r="AA116" i="17"/>
  <c r="Z116" i="17" s="1"/>
  <c r="Y116" i="17" s="1"/>
  <c r="G322" i="17"/>
  <c r="BZ322" i="6" s="1"/>
  <c r="AA322" i="17"/>
  <c r="Z322" i="17" s="1"/>
  <c r="Y322" i="17" s="1"/>
  <c r="H322" i="17"/>
  <c r="AA260" i="17"/>
  <c r="Z260" i="17" s="1"/>
  <c r="Y260" i="17" s="1"/>
  <c r="G260" i="17"/>
  <c r="BZ260" i="6" s="1"/>
  <c r="H260" i="17"/>
  <c r="AA202" i="17"/>
  <c r="Z202" i="17" s="1"/>
  <c r="Y202" i="17" s="1"/>
  <c r="H202" i="17"/>
  <c r="G202" i="17"/>
  <c r="BZ202" i="6" s="1"/>
  <c r="G334" i="17"/>
  <c r="BZ334" i="6" s="1"/>
  <c r="H334" i="17"/>
  <c r="AA334" i="17"/>
  <c r="Z334" i="17" s="1"/>
  <c r="Y334" i="17" s="1"/>
  <c r="G332" i="17"/>
  <c r="BZ332" i="6" s="1"/>
  <c r="H332" i="17"/>
  <c r="AA332" i="17"/>
  <c r="Z332" i="17" s="1"/>
  <c r="Y332" i="17" s="1"/>
  <c r="G222" i="17"/>
  <c r="BZ222" i="6" s="1"/>
  <c r="H222" i="17"/>
  <c r="AA222" i="17"/>
  <c r="Z222" i="17" s="1"/>
  <c r="Y222" i="17" s="1"/>
  <c r="G239" i="17"/>
  <c r="BZ239" i="6" s="1"/>
  <c r="H239" i="17"/>
  <c r="AA239" i="17"/>
  <c r="Z239" i="17" s="1"/>
  <c r="Y239" i="17" s="1"/>
  <c r="H346" i="17"/>
  <c r="G346" i="17"/>
  <c r="BZ346" i="6" s="1"/>
  <c r="AA346" i="17"/>
  <c r="Z346" i="17" s="1"/>
  <c r="Y346" i="17" s="1"/>
  <c r="G51" i="17"/>
  <c r="BZ51" i="6" s="1"/>
  <c r="H51" i="17"/>
  <c r="AA51" i="17"/>
  <c r="Z51" i="17" s="1"/>
  <c r="Y51" i="17" s="1"/>
  <c r="G174" i="17"/>
  <c r="BZ174" i="6" s="1"/>
  <c r="H174" i="17"/>
  <c r="AA174" i="17"/>
  <c r="Z174" i="17" s="1"/>
  <c r="Y174" i="17" s="1"/>
  <c r="G103" i="17"/>
  <c r="BZ103" i="6" s="1"/>
  <c r="AA103" i="17"/>
  <c r="Z103" i="17" s="1"/>
  <c r="Y103" i="17" s="1"/>
  <c r="H103" i="17"/>
  <c r="G170" i="17"/>
  <c r="BZ170" i="6" s="1"/>
  <c r="H170" i="17"/>
  <c r="AA170" i="17"/>
  <c r="Z170" i="17" s="1"/>
  <c r="Y170" i="17" s="1"/>
  <c r="G298" i="17"/>
  <c r="BZ298" i="6" s="1"/>
  <c r="H298" i="17"/>
  <c r="AA298" i="17"/>
  <c r="Z298" i="17" s="1"/>
  <c r="Y298" i="17" s="1"/>
  <c r="G84" i="17"/>
  <c r="BZ84" i="6" s="1"/>
  <c r="H84" i="17"/>
  <c r="AA84" i="17"/>
  <c r="Z84" i="17" s="1"/>
  <c r="Y84" i="17" s="1"/>
  <c r="G160" i="17"/>
  <c r="BZ160" i="6" s="1"/>
  <c r="H160" i="17"/>
  <c r="AA160" i="17"/>
  <c r="Z160" i="17" s="1"/>
  <c r="Y160" i="17" s="1"/>
  <c r="G348" i="17"/>
  <c r="BZ348" i="6" s="1"/>
  <c r="H348" i="17"/>
  <c r="AA348" i="17"/>
  <c r="Z348" i="17" s="1"/>
  <c r="Y348" i="17" s="1"/>
  <c r="G134" i="17"/>
  <c r="BZ134" i="6" s="1"/>
  <c r="H134" i="17"/>
  <c r="AA134" i="17"/>
  <c r="Z134" i="17" s="1"/>
  <c r="Y134" i="17" s="1"/>
  <c r="G214" i="17"/>
  <c r="BZ214" i="6" s="1"/>
  <c r="H214" i="17"/>
  <c r="AA214" i="17"/>
  <c r="Z214" i="17" s="1"/>
  <c r="Y214" i="17" s="1"/>
  <c r="G354" i="17"/>
  <c r="BZ354" i="6" s="1"/>
  <c r="H354" i="17"/>
  <c r="AA354" i="17"/>
  <c r="Z354" i="17" s="1"/>
  <c r="Y354" i="17" s="1"/>
  <c r="AA280" i="17"/>
  <c r="Z280" i="17" s="1"/>
  <c r="Y280" i="17" s="1"/>
  <c r="H280" i="17"/>
  <c r="G280" i="17"/>
  <c r="BZ280" i="6" s="1"/>
  <c r="G136" i="17"/>
  <c r="BZ136" i="6" s="1"/>
  <c r="AA136" i="17"/>
  <c r="Z136" i="17" s="1"/>
  <c r="Y136" i="17" s="1"/>
  <c r="H136" i="17"/>
  <c r="G213" i="17"/>
  <c r="BZ213" i="6" s="1"/>
  <c r="H213" i="17"/>
  <c r="AA213" i="17"/>
  <c r="Z213" i="17" s="1"/>
  <c r="Y213" i="17" s="1"/>
  <c r="G38" i="17"/>
  <c r="BZ38" i="6" s="1"/>
  <c r="AA38" i="17"/>
  <c r="Z38" i="17" s="1"/>
  <c r="Y38" i="17" s="1"/>
  <c r="H38" i="17"/>
  <c r="G216" i="17"/>
  <c r="BZ216" i="6" s="1"/>
  <c r="AA216" i="17"/>
  <c r="Z216" i="17" s="1"/>
  <c r="Y216" i="17" s="1"/>
  <c r="H216" i="17"/>
  <c r="G299" i="17"/>
  <c r="BZ299" i="6" s="1"/>
  <c r="H299" i="17"/>
  <c r="AA299" i="17"/>
  <c r="Z299" i="17" s="1"/>
  <c r="Y299" i="17" s="1"/>
  <c r="G167" i="17"/>
  <c r="BZ167" i="6" s="1"/>
  <c r="AA167" i="17"/>
  <c r="Z167" i="17" s="1"/>
  <c r="Y167" i="17" s="1"/>
  <c r="H167" i="17"/>
  <c r="H219" i="17"/>
  <c r="AA219" i="17"/>
  <c r="Z219" i="17" s="1"/>
  <c r="Y219" i="17" s="1"/>
  <c r="G219" i="17"/>
  <c r="BZ219" i="6" s="1"/>
  <c r="G206" i="17"/>
  <c r="BZ206" i="6" s="1"/>
  <c r="AA206" i="17"/>
  <c r="Z206" i="17" s="1"/>
  <c r="Y206" i="17" s="1"/>
  <c r="G208" i="17"/>
  <c r="BZ208" i="6" s="1"/>
  <c r="AA208" i="17"/>
  <c r="Z208" i="17" s="1"/>
  <c r="Y208" i="17" s="1"/>
  <c r="H208" i="17"/>
  <c r="J76" i="17"/>
  <c r="C76" i="6" s="1"/>
  <c r="I76" i="17"/>
  <c r="B76" i="6" s="1"/>
  <c r="G192" i="17"/>
  <c r="BZ192" i="6" s="1"/>
  <c r="AA192" i="17"/>
  <c r="Z192" i="17" s="1"/>
  <c r="Y192" i="17" s="1"/>
  <c r="H192" i="17"/>
  <c r="H249" i="17"/>
  <c r="G249" i="17"/>
  <c r="BZ249" i="6" s="1"/>
  <c r="AA249" i="17"/>
  <c r="Z249" i="17" s="1"/>
  <c r="Y249" i="17" s="1"/>
  <c r="I195" i="17"/>
  <c r="B195" i="6" s="1"/>
  <c r="J195" i="17"/>
  <c r="C195" i="6" s="1"/>
  <c r="J253" i="17"/>
  <c r="C253" i="6" s="1"/>
  <c r="I253" i="17"/>
  <c r="B253" i="6" s="1"/>
  <c r="G161" i="17"/>
  <c r="BZ161" i="6" s="1"/>
  <c r="AA161" i="17"/>
  <c r="Z161" i="17" s="1"/>
  <c r="Y161" i="17" s="1"/>
  <c r="H161" i="17"/>
  <c r="G327" i="17"/>
  <c r="BZ327" i="6" s="1"/>
  <c r="AA327" i="17"/>
  <c r="Z327" i="17" s="1"/>
  <c r="Y327" i="17" s="1"/>
  <c r="G120" i="17"/>
  <c r="BZ120" i="6" s="1"/>
  <c r="AA120" i="17"/>
  <c r="Z120" i="17" s="1"/>
  <c r="Y120" i="17" s="1"/>
  <c r="H120" i="17"/>
  <c r="G50" i="17"/>
  <c r="BZ50" i="6" s="1"/>
  <c r="AA50" i="17"/>
  <c r="Z50" i="17" s="1"/>
  <c r="Y50" i="17" s="1"/>
  <c r="H50" i="17"/>
  <c r="AA98" i="17"/>
  <c r="Z98" i="17" s="1"/>
  <c r="Y98" i="17" s="1"/>
  <c r="G98" i="17"/>
  <c r="BZ98" i="6" s="1"/>
  <c r="G358" i="17"/>
  <c r="BZ358" i="6" s="1"/>
  <c r="AA358" i="17"/>
  <c r="Z358" i="17" s="1"/>
  <c r="Y358" i="17" s="1"/>
  <c r="H358" i="17"/>
  <c r="G259" i="17"/>
  <c r="BZ259" i="6" s="1"/>
  <c r="AA259" i="17"/>
  <c r="Z259" i="17" s="1"/>
  <c r="Y259" i="17" s="1"/>
  <c r="H259" i="17"/>
  <c r="AA181" i="17"/>
  <c r="Z181" i="17" s="1"/>
  <c r="Y181" i="17" s="1"/>
  <c r="G181" i="17"/>
  <c r="BZ181" i="6" s="1"/>
  <c r="G335" i="17"/>
  <c r="BZ335" i="6" s="1"/>
  <c r="AA335" i="17"/>
  <c r="Z335" i="17" s="1"/>
  <c r="Y335" i="17" s="1"/>
  <c r="G159" i="17"/>
  <c r="BZ159" i="6" s="1"/>
  <c r="AA159" i="17"/>
  <c r="Z159" i="17" s="1"/>
  <c r="Y159" i="17" s="1"/>
  <c r="H159" i="17"/>
  <c r="G256" i="17"/>
  <c r="BZ256" i="6" s="1"/>
  <c r="AA256" i="17"/>
  <c r="Z256" i="17" s="1"/>
  <c r="Y256" i="17" s="1"/>
  <c r="H256" i="17"/>
  <c r="AA196" i="17"/>
  <c r="Z196" i="17" s="1"/>
  <c r="Y196" i="17" s="1"/>
  <c r="G196" i="17"/>
  <c r="BZ196" i="6" s="1"/>
  <c r="H196" i="17"/>
  <c r="AA92" i="17"/>
  <c r="Z92" i="17" s="1"/>
  <c r="Y92" i="17" s="1"/>
  <c r="G92" i="17"/>
  <c r="BZ92" i="6" s="1"/>
  <c r="H92" i="17"/>
  <c r="G233" i="17"/>
  <c r="BZ233" i="6" s="1"/>
  <c r="H233" i="17"/>
  <c r="AA233" i="17"/>
  <c r="Z233" i="17" s="1"/>
  <c r="Y233" i="17" s="1"/>
  <c r="G177" i="17"/>
  <c r="BZ177" i="6" s="1"/>
  <c r="AA177" i="17"/>
  <c r="Z177" i="17" s="1"/>
  <c r="Y177" i="17" s="1"/>
  <c r="H177" i="17"/>
  <c r="G130" i="17"/>
  <c r="BZ130" i="6" s="1"/>
  <c r="H130" i="17"/>
  <c r="AA130" i="17"/>
  <c r="Z130" i="17" s="1"/>
  <c r="Y130" i="17" s="1"/>
  <c r="H26" i="17"/>
  <c r="G26" i="17"/>
  <c r="BZ26" i="6" s="1"/>
  <c r="AA26" i="17"/>
  <c r="Z26" i="17" s="1"/>
  <c r="Y26" i="17" s="1"/>
  <c r="AA163" i="17"/>
  <c r="Z163" i="17" s="1"/>
  <c r="Y163" i="17" s="1"/>
  <c r="G163" i="17"/>
  <c r="BZ163" i="6" s="1"/>
  <c r="H163" i="17"/>
  <c r="G108" i="17"/>
  <c r="BZ108" i="6" s="1"/>
  <c r="H108" i="17"/>
  <c r="AA108" i="17"/>
  <c r="Z108" i="17" s="1"/>
  <c r="Y108" i="17" s="1"/>
  <c r="G121" i="17"/>
  <c r="BZ121" i="6" s="1"/>
  <c r="AA121" i="17"/>
  <c r="Z121" i="17" s="1"/>
  <c r="Y121" i="17" s="1"/>
  <c r="H121" i="17"/>
  <c r="G149" i="17"/>
  <c r="BZ149" i="6" s="1"/>
  <c r="AA149" i="17"/>
  <c r="Z149" i="17" s="1"/>
  <c r="Y149" i="17" s="1"/>
  <c r="G329" i="17"/>
  <c r="BZ329" i="6" s="1"/>
  <c r="AA329" i="17"/>
  <c r="Z329" i="17" s="1"/>
  <c r="Y329" i="17" s="1"/>
  <c r="H329" i="17"/>
  <c r="H166" i="17"/>
  <c r="AA166" i="17"/>
  <c r="Z166" i="17" s="1"/>
  <c r="Y166" i="17" s="1"/>
  <c r="G166" i="17"/>
  <c r="BZ166" i="6" s="1"/>
  <c r="AA183" i="17"/>
  <c r="Z183" i="17" s="1"/>
  <c r="Y183" i="17" s="1"/>
  <c r="H183" i="17"/>
  <c r="G72" i="17"/>
  <c r="BZ72" i="6" s="1"/>
  <c r="AA72" i="17"/>
  <c r="Z72" i="17" s="1"/>
  <c r="Y72" i="17" s="1"/>
  <c r="H72" i="17"/>
  <c r="H359" i="17"/>
  <c r="AA359" i="17"/>
  <c r="Z359" i="17" s="1"/>
  <c r="Y359" i="17" s="1"/>
  <c r="G359" i="17"/>
  <c r="BZ359" i="6" s="1"/>
  <c r="G137" i="17"/>
  <c r="BZ137" i="6" s="1"/>
  <c r="H137" i="17"/>
  <c r="AA137" i="17"/>
  <c r="Z137" i="17" s="1"/>
  <c r="Y137" i="17" s="1"/>
  <c r="G365" i="17"/>
  <c r="BZ365" i="6" s="1"/>
  <c r="AA365" i="17"/>
  <c r="Z365" i="17" s="1"/>
  <c r="Y365" i="17" s="1"/>
  <c r="H365" i="17"/>
  <c r="AA32" i="17"/>
  <c r="Z32" i="17" s="1"/>
  <c r="Y32" i="17" s="1"/>
  <c r="G32" i="17"/>
  <c r="BZ32" i="6" s="1"/>
  <c r="H32" i="17"/>
  <c r="G102" i="17"/>
  <c r="BZ102" i="6" s="1"/>
  <c r="H102" i="17"/>
  <c r="AA102" i="17"/>
  <c r="Z102" i="17" s="1"/>
  <c r="Y102" i="17" s="1"/>
  <c r="I264" i="17"/>
  <c r="B264" i="6" s="1"/>
  <c r="J264" i="17"/>
  <c r="C264" i="6" s="1"/>
  <c r="H98" i="17"/>
  <c r="H335" i="17"/>
  <c r="J217" i="17"/>
  <c r="C217" i="6" s="1"/>
  <c r="I217" i="17"/>
  <c r="I204" i="17"/>
  <c r="B204" i="6" s="1"/>
  <c r="J204" i="17"/>
  <c r="C204" i="6" s="1"/>
  <c r="H337" i="17"/>
  <c r="G337" i="17"/>
  <c r="BZ337" i="6" s="1"/>
  <c r="AA337" i="17"/>
  <c r="Z337" i="17" s="1"/>
  <c r="Y337" i="17" s="1"/>
  <c r="G57" i="17"/>
  <c r="BZ57" i="6" s="1"/>
  <c r="AA57" i="17"/>
  <c r="Z57" i="17" s="1"/>
  <c r="Y57" i="17" s="1"/>
  <c r="H57" i="17"/>
  <c r="J43" i="17"/>
  <c r="C43" i="6" s="1"/>
  <c r="I43" i="17"/>
  <c r="B43" i="6" s="1"/>
  <c r="W379" i="18"/>
  <c r="D379" i="18"/>
  <c r="E379" i="18" s="1"/>
  <c r="F379" i="18" s="1"/>
  <c r="W149" i="18"/>
  <c r="D149" i="18"/>
  <c r="E149" i="18" s="1"/>
  <c r="F149" i="18" s="1"/>
  <c r="W105" i="18"/>
  <c r="D105" i="18"/>
  <c r="E105" i="18" s="1"/>
  <c r="F105" i="18" s="1"/>
  <c r="W298" i="18"/>
  <c r="D298" i="18"/>
  <c r="E298" i="18" s="1"/>
  <c r="F298" i="18" s="1"/>
  <c r="W177" i="18"/>
  <c r="D177" i="18"/>
  <c r="E177" i="18" s="1"/>
  <c r="F177" i="18" s="1"/>
  <c r="W166" i="18"/>
  <c r="D166" i="18"/>
  <c r="E166" i="18" s="1"/>
  <c r="F166" i="18" s="1"/>
  <c r="W319" i="18"/>
  <c r="D319" i="18"/>
  <c r="E319" i="18" s="1"/>
  <c r="F319" i="18" s="1"/>
  <c r="W354" i="18"/>
  <c r="D354" i="18"/>
  <c r="E354" i="18" s="1"/>
  <c r="F354" i="18" s="1"/>
  <c r="W17" i="18"/>
  <c r="D17" i="18"/>
  <c r="E17" i="18" s="1"/>
  <c r="F17" i="18" s="1"/>
  <c r="W111" i="18"/>
  <c r="D111" i="18"/>
  <c r="E111" i="18" s="1"/>
  <c r="F111" i="18" s="1"/>
  <c r="W278" i="18"/>
  <c r="D278" i="18"/>
  <c r="E278" i="18" s="1"/>
  <c r="F278" i="18" s="1"/>
  <c r="W368" i="18"/>
  <c r="D368" i="18"/>
  <c r="E368" i="18" s="1"/>
  <c r="F368" i="18" s="1"/>
  <c r="W66" i="18"/>
  <c r="D66" i="18"/>
  <c r="E66" i="18" s="1"/>
  <c r="F66" i="18" s="1"/>
  <c r="W154" i="18"/>
  <c r="D154" i="18"/>
  <c r="E154" i="18" s="1"/>
  <c r="F154" i="18" s="1"/>
  <c r="W189" i="18"/>
  <c r="D189" i="18"/>
  <c r="E189" i="18" s="1"/>
  <c r="F189" i="18" s="1"/>
  <c r="W302" i="18"/>
  <c r="D302" i="18"/>
  <c r="E302" i="18" s="1"/>
  <c r="F302" i="18" s="1"/>
  <c r="W241" i="18"/>
  <c r="D241" i="18"/>
  <c r="E241" i="18" s="1"/>
  <c r="F241" i="18" s="1"/>
  <c r="W175" i="18"/>
  <c r="D175" i="18"/>
  <c r="E175" i="18" s="1"/>
  <c r="F175" i="18" s="1"/>
  <c r="W130" i="18"/>
  <c r="D130" i="18"/>
  <c r="E130" i="18" s="1"/>
  <c r="F130" i="18" s="1"/>
  <c r="W63" i="18"/>
  <c r="D63" i="18"/>
  <c r="E63" i="18" s="1"/>
  <c r="F63" i="18" s="1"/>
  <c r="W83" i="18"/>
  <c r="D83" i="18"/>
  <c r="E83" i="18" s="1"/>
  <c r="F83" i="18" s="1"/>
  <c r="W247" i="18"/>
  <c r="D247" i="18"/>
  <c r="E247" i="18" s="1"/>
  <c r="F247" i="18" s="1"/>
  <c r="W271" i="18"/>
  <c r="D271" i="18"/>
  <c r="E271" i="18" s="1"/>
  <c r="F271" i="18" s="1"/>
  <c r="W281" i="18"/>
  <c r="D281" i="18"/>
  <c r="E281" i="18" s="1"/>
  <c r="F281" i="18" s="1"/>
  <c r="W106" i="18"/>
  <c r="D106" i="18"/>
  <c r="E106" i="18" s="1"/>
  <c r="F106" i="18" s="1"/>
  <c r="W118" i="18"/>
  <c r="D118" i="18"/>
  <c r="E118" i="18" s="1"/>
  <c r="F118" i="18" s="1"/>
  <c r="W178" i="18"/>
  <c r="D178" i="18"/>
  <c r="E178" i="18" s="1"/>
  <c r="F178" i="18" s="1"/>
  <c r="W230" i="18"/>
  <c r="D230" i="18"/>
  <c r="E230" i="18" s="1"/>
  <c r="F230" i="18" s="1"/>
  <c r="W260" i="18"/>
  <c r="D260" i="18"/>
  <c r="E260" i="18" s="1"/>
  <c r="F260" i="18" s="1"/>
  <c r="W276" i="18"/>
  <c r="D276" i="18"/>
  <c r="E276" i="18" s="1"/>
  <c r="F276" i="18" s="1"/>
  <c r="W308" i="18"/>
  <c r="D308" i="18"/>
  <c r="E308" i="18" s="1"/>
  <c r="F308" i="18" s="1"/>
  <c r="W320" i="18"/>
  <c r="D320" i="18"/>
  <c r="E320" i="18" s="1"/>
  <c r="F320" i="18" s="1"/>
  <c r="W336" i="18"/>
  <c r="D336" i="18"/>
  <c r="E336" i="18" s="1"/>
  <c r="F336" i="18" s="1"/>
  <c r="W33" i="18"/>
  <c r="D33" i="18"/>
  <c r="E33" i="18" s="1"/>
  <c r="F33" i="18" s="1"/>
  <c r="W47" i="18"/>
  <c r="D47" i="18"/>
  <c r="E47" i="18" s="1"/>
  <c r="F47" i="18" s="1"/>
  <c r="W93" i="18"/>
  <c r="D93" i="18"/>
  <c r="E93" i="18" s="1"/>
  <c r="F93" i="18" s="1"/>
  <c r="W147" i="18"/>
  <c r="D147" i="18"/>
  <c r="E147" i="18" s="1"/>
  <c r="F147" i="18" s="1"/>
  <c r="W195" i="18"/>
  <c r="D195" i="18"/>
  <c r="E195" i="18" s="1"/>
  <c r="F195" i="18" s="1"/>
  <c r="W209" i="18"/>
  <c r="D209" i="18"/>
  <c r="E209" i="18" s="1"/>
  <c r="F209" i="18" s="1"/>
  <c r="W221" i="18"/>
  <c r="D221" i="18"/>
  <c r="E221" i="18" s="1"/>
  <c r="F221" i="18" s="1"/>
  <c r="W285" i="18"/>
  <c r="D285" i="18"/>
  <c r="E285" i="18" s="1"/>
  <c r="F285" i="18" s="1"/>
  <c r="W293" i="18"/>
  <c r="D293" i="18"/>
  <c r="E293" i="18" s="1"/>
  <c r="F293" i="18" s="1"/>
  <c r="W341" i="18"/>
  <c r="D341" i="18"/>
  <c r="E341" i="18" s="1"/>
  <c r="F341" i="18" s="1"/>
  <c r="W80" i="18"/>
  <c r="D80" i="18"/>
  <c r="E80" i="18" s="1"/>
  <c r="F80" i="18" s="1"/>
  <c r="W142" i="18"/>
  <c r="D142" i="18"/>
  <c r="E142" i="18" s="1"/>
  <c r="F142" i="18" s="1"/>
  <c r="W146" i="18"/>
  <c r="D146" i="18"/>
  <c r="E146" i="18" s="1"/>
  <c r="F146" i="18" s="1"/>
  <c r="W107" i="18"/>
  <c r="D107" i="18"/>
  <c r="E107" i="18" s="1"/>
  <c r="F107" i="18" s="1"/>
  <c r="W141" i="18"/>
  <c r="D141" i="18"/>
  <c r="E141" i="18" s="1"/>
  <c r="F141" i="18" s="1"/>
  <c r="W151" i="18"/>
  <c r="D151" i="18"/>
  <c r="E151" i="18" s="1"/>
  <c r="F151" i="18" s="1"/>
  <c r="W257" i="18"/>
  <c r="D257" i="18"/>
  <c r="E257" i="18" s="1"/>
  <c r="F257" i="18" s="1"/>
  <c r="W375" i="18"/>
  <c r="D375" i="18"/>
  <c r="E375" i="18" s="1"/>
  <c r="F375" i="18" s="1"/>
  <c r="W122" i="18"/>
  <c r="D122" i="18"/>
  <c r="E122" i="18" s="1"/>
  <c r="F122" i="18" s="1"/>
  <c r="W138" i="18"/>
  <c r="D138" i="18"/>
  <c r="E138" i="18" s="1"/>
  <c r="F138" i="18" s="1"/>
  <c r="W172" i="18"/>
  <c r="D172" i="18"/>
  <c r="E172" i="18" s="1"/>
  <c r="F172" i="18" s="1"/>
  <c r="W202" i="18"/>
  <c r="D202" i="18"/>
  <c r="E202" i="18" s="1"/>
  <c r="F202" i="18" s="1"/>
  <c r="W280" i="18"/>
  <c r="D280" i="18"/>
  <c r="E280" i="18" s="1"/>
  <c r="F280" i="18" s="1"/>
  <c r="W304" i="18"/>
  <c r="D304" i="18"/>
  <c r="E304" i="18" s="1"/>
  <c r="F304" i="18" s="1"/>
  <c r="W360" i="18"/>
  <c r="D360" i="18"/>
  <c r="E360" i="18" s="1"/>
  <c r="F360" i="18" s="1"/>
  <c r="W370" i="18"/>
  <c r="D370" i="18"/>
  <c r="E370" i="18" s="1"/>
  <c r="F370" i="18" s="1"/>
  <c r="W41" i="18"/>
  <c r="D41" i="18"/>
  <c r="E41" i="18" s="1"/>
  <c r="F41" i="18" s="1"/>
  <c r="W57" i="18"/>
  <c r="D57" i="18"/>
  <c r="E57" i="18" s="1"/>
  <c r="F57" i="18" s="1"/>
  <c r="W91" i="18"/>
  <c r="D91" i="18"/>
  <c r="E91" i="18" s="1"/>
  <c r="F91" i="18" s="1"/>
  <c r="W113" i="18"/>
  <c r="D113" i="18"/>
  <c r="E113" i="18" s="1"/>
  <c r="F113" i="18" s="1"/>
  <c r="W117" i="18"/>
  <c r="D117" i="18"/>
  <c r="E117" i="18" s="1"/>
  <c r="F117" i="18" s="1"/>
  <c r="W199" i="18"/>
  <c r="D199" i="18"/>
  <c r="E199" i="18" s="1"/>
  <c r="F199" i="18" s="1"/>
  <c r="W343" i="18"/>
  <c r="D343" i="18"/>
  <c r="E343" i="18" s="1"/>
  <c r="F343" i="18" s="1"/>
  <c r="W40" i="18"/>
  <c r="D40" i="18"/>
  <c r="E40" i="18" s="1"/>
  <c r="F40" i="18" s="1"/>
  <c r="W82" i="18"/>
  <c r="D82" i="18"/>
  <c r="E82" i="18" s="1"/>
  <c r="F82" i="18" s="1"/>
  <c r="W134" i="18"/>
  <c r="D134" i="18"/>
  <c r="E134" i="18" s="1"/>
  <c r="F134" i="18" s="1"/>
  <c r="W158" i="18"/>
  <c r="D158" i="18"/>
  <c r="E158" i="18" s="1"/>
  <c r="F158" i="18" s="1"/>
  <c r="W190" i="18"/>
  <c r="D190" i="18"/>
  <c r="E190" i="18" s="1"/>
  <c r="F190" i="18" s="1"/>
  <c r="W200" i="18"/>
  <c r="D200" i="18"/>
  <c r="E200" i="18" s="1"/>
  <c r="F200" i="18" s="1"/>
  <c r="W242" i="18"/>
  <c r="D242" i="18"/>
  <c r="E242" i="18" s="1"/>
  <c r="F242" i="18" s="1"/>
  <c r="W286" i="18"/>
  <c r="D286" i="18"/>
  <c r="E286" i="18" s="1"/>
  <c r="F286" i="18" s="1"/>
  <c r="W342" i="18"/>
  <c r="D342" i="18"/>
  <c r="E342" i="18" s="1"/>
  <c r="F342" i="18" s="1"/>
  <c r="W222" i="18"/>
  <c r="D222" i="18"/>
  <c r="E222" i="18" s="1"/>
  <c r="F222" i="18" s="1"/>
  <c r="W204" i="18"/>
  <c r="D204" i="18"/>
  <c r="E204" i="18" s="1"/>
  <c r="F204" i="18" s="1"/>
  <c r="W207" i="18"/>
  <c r="D207" i="18"/>
  <c r="E207" i="18" s="1"/>
  <c r="F207" i="18" s="1"/>
  <c r="W252" i="18"/>
  <c r="D252" i="18"/>
  <c r="E252" i="18" s="1"/>
  <c r="F252" i="18" s="1"/>
  <c r="W305" i="18"/>
  <c r="D305" i="18"/>
  <c r="E305" i="18" s="1"/>
  <c r="F305" i="18" s="1"/>
  <c r="W52" i="18"/>
  <c r="D52" i="18"/>
  <c r="E52" i="18" s="1"/>
  <c r="F52" i="18" s="1"/>
  <c r="W229" i="18"/>
  <c r="D229" i="18"/>
  <c r="E229" i="18" s="1"/>
  <c r="F229" i="18" s="1"/>
  <c r="W103" i="18"/>
  <c r="D103" i="18"/>
  <c r="E103" i="18" s="1"/>
  <c r="F103" i="18" s="1"/>
  <c r="W32" i="18"/>
  <c r="D32" i="18"/>
  <c r="E32" i="18" s="1"/>
  <c r="F32" i="18" s="1"/>
  <c r="W235" i="18"/>
  <c r="D235" i="18"/>
  <c r="E235" i="18" s="1"/>
  <c r="F235" i="18" s="1"/>
  <c r="W100" i="18"/>
  <c r="D100" i="18"/>
  <c r="E100" i="18" s="1"/>
  <c r="F100" i="18" s="1"/>
  <c r="W174" i="18"/>
  <c r="D174" i="18"/>
  <c r="E174" i="18" s="1"/>
  <c r="F174" i="18" s="1"/>
  <c r="D258" i="18"/>
  <c r="E258" i="18" s="1"/>
  <c r="F258" i="18" s="1"/>
  <c r="D183" i="18"/>
  <c r="E183" i="18" s="1"/>
  <c r="F183" i="18" s="1"/>
  <c r="D323" i="18"/>
  <c r="E323" i="18" s="1"/>
  <c r="F323" i="18" s="1"/>
  <c r="D211" i="18"/>
  <c r="E211" i="18" s="1"/>
  <c r="F211" i="18" s="1"/>
  <c r="D43" i="18"/>
  <c r="E43" i="18" s="1"/>
  <c r="F43" i="18" s="1"/>
  <c r="D95" i="18"/>
  <c r="E95" i="18" s="1"/>
  <c r="F95" i="18" s="1"/>
  <c r="D326" i="18"/>
  <c r="E326" i="18" s="1"/>
  <c r="F326" i="18" s="1"/>
  <c r="D208" i="18"/>
  <c r="E208" i="18" s="1"/>
  <c r="F208" i="18" s="1"/>
  <c r="D132" i="18"/>
  <c r="E132" i="18" s="1"/>
  <c r="F132" i="18" s="1"/>
  <c r="D313" i="18"/>
  <c r="E313" i="18" s="1"/>
  <c r="F313" i="18" s="1"/>
  <c r="D231" i="18"/>
  <c r="E231" i="18" s="1"/>
  <c r="F231" i="18" s="1"/>
  <c r="D197" i="18"/>
  <c r="E197" i="18" s="1"/>
  <c r="F197" i="18" s="1"/>
  <c r="D294" i="18"/>
  <c r="E294" i="18" s="1"/>
  <c r="F294" i="18" s="1"/>
  <c r="D16" i="18"/>
  <c r="E16" i="18" s="1"/>
  <c r="F16" i="18" s="1"/>
  <c r="D359" i="18"/>
  <c r="E359" i="18" s="1"/>
  <c r="F359" i="18" s="1"/>
  <c r="D331" i="18"/>
  <c r="E331" i="18" s="1"/>
  <c r="F331" i="18" s="1"/>
  <c r="D129" i="18"/>
  <c r="E129" i="18" s="1"/>
  <c r="F129" i="18" s="1"/>
  <c r="D18" i="18"/>
  <c r="E18" i="18" s="1"/>
  <c r="F18" i="18" s="1"/>
  <c r="D377" i="18"/>
  <c r="E377" i="18" s="1"/>
  <c r="F377" i="18" s="1"/>
  <c r="D255" i="18"/>
  <c r="E255" i="18" s="1"/>
  <c r="F255" i="18" s="1"/>
  <c r="D262" i="18"/>
  <c r="E262" i="18" s="1"/>
  <c r="F262" i="18" s="1"/>
  <c r="D116" i="18"/>
  <c r="E116" i="18" s="1"/>
  <c r="F116" i="18" s="1"/>
  <c r="D97" i="18"/>
  <c r="E97" i="18" s="1"/>
  <c r="F97" i="18" s="1"/>
  <c r="D120" i="18"/>
  <c r="E120" i="18" s="1"/>
  <c r="F120" i="18" s="1"/>
  <c r="D70" i="18"/>
  <c r="E70" i="18" s="1"/>
  <c r="F70" i="18" s="1"/>
  <c r="D324" i="18"/>
  <c r="E324" i="18" s="1"/>
  <c r="F324" i="18" s="1"/>
  <c r="D216" i="18"/>
  <c r="E216" i="18" s="1"/>
  <c r="F216" i="18" s="1"/>
  <c r="D68" i="18"/>
  <c r="E68" i="18" s="1"/>
  <c r="F68" i="18" s="1"/>
  <c r="D238" i="18"/>
  <c r="E238" i="18" s="1"/>
  <c r="F238" i="18" s="1"/>
  <c r="D338" i="18"/>
  <c r="E338" i="18" s="1"/>
  <c r="F338" i="18" s="1"/>
  <c r="D212" i="18"/>
  <c r="E212" i="18" s="1"/>
  <c r="F212" i="18" s="1"/>
  <c r="D50" i="18"/>
  <c r="E50" i="18" s="1"/>
  <c r="F50" i="18" s="1"/>
  <c r="D351" i="18"/>
  <c r="E351" i="18" s="1"/>
  <c r="F351" i="18" s="1"/>
  <c r="D358" i="18"/>
  <c r="E358" i="18" s="1"/>
  <c r="F358" i="18" s="1"/>
  <c r="D38" i="18"/>
  <c r="E38" i="18" s="1"/>
  <c r="F38" i="18" s="1"/>
  <c r="D35" i="18"/>
  <c r="E35" i="18" s="1"/>
  <c r="F35" i="18" s="1"/>
  <c r="D92" i="18"/>
  <c r="E92" i="18" s="1"/>
  <c r="F92" i="18" s="1"/>
  <c r="D108" i="18"/>
  <c r="E108" i="18" s="1"/>
  <c r="F108" i="18" s="1"/>
  <c r="G113" i="17"/>
  <c r="BZ113" i="6" s="1"/>
  <c r="AA113" i="17"/>
  <c r="Z113" i="17" s="1"/>
  <c r="Y113" i="17" s="1"/>
  <c r="H113" i="17"/>
  <c r="D94" i="18"/>
  <c r="E94" i="18" s="1"/>
  <c r="F94" i="18" s="1"/>
  <c r="AA139" i="17"/>
  <c r="Z139" i="17" s="1"/>
  <c r="Y139" i="17" s="1"/>
  <c r="G139" i="17"/>
  <c r="BZ139" i="6" s="1"/>
  <c r="G353" i="17"/>
  <c r="BZ353" i="6" s="1"/>
  <c r="H353" i="17"/>
  <c r="D131" i="18"/>
  <c r="E131" i="18" s="1"/>
  <c r="F131" i="18" s="1"/>
  <c r="D101" i="18"/>
  <c r="E101" i="18" s="1"/>
  <c r="F101" i="18" s="1"/>
  <c r="D329" i="18"/>
  <c r="E329" i="18" s="1"/>
  <c r="F329" i="18" s="1"/>
  <c r="D367" i="18"/>
  <c r="E367" i="18" s="1"/>
  <c r="F367" i="18" s="1"/>
  <c r="D316" i="18"/>
  <c r="E316" i="18" s="1"/>
  <c r="F316" i="18" s="1"/>
  <c r="D335" i="18"/>
  <c r="E335" i="18" s="1"/>
  <c r="F335" i="18" s="1"/>
  <c r="D69" i="18"/>
  <c r="E69" i="18" s="1"/>
  <c r="F69" i="18" s="1"/>
  <c r="G76" i="17"/>
  <c r="BZ76" i="6" s="1"/>
  <c r="AA76" i="17"/>
  <c r="Z76" i="17" s="1"/>
  <c r="Y76" i="17" s="1"/>
  <c r="D327" i="18"/>
  <c r="E327" i="18" s="1"/>
  <c r="F327" i="18" s="1"/>
  <c r="G104" i="17"/>
  <c r="BZ104" i="6" s="1"/>
  <c r="AA104" i="17"/>
  <c r="Z104" i="17" s="1"/>
  <c r="Y104" i="17" s="1"/>
  <c r="H104" i="17"/>
  <c r="G148" i="17"/>
  <c r="BZ148" i="6" s="1"/>
  <c r="AA148" i="17"/>
  <c r="Z148" i="17" s="1"/>
  <c r="Y148" i="17" s="1"/>
  <c r="H148" i="17"/>
  <c r="D59" i="18"/>
  <c r="E59" i="18" s="1"/>
  <c r="F59" i="18" s="1"/>
  <c r="G230" i="17"/>
  <c r="BZ230" i="6" s="1"/>
  <c r="H230" i="17"/>
  <c r="AA230" i="17"/>
  <c r="Z230" i="17" s="1"/>
  <c r="Y230" i="17" s="1"/>
  <c r="G19" i="17"/>
  <c r="BZ19" i="6" s="1"/>
  <c r="H19" i="17"/>
  <c r="AA19" i="17"/>
  <c r="Z19" i="17" s="1"/>
  <c r="Y19" i="17" s="1"/>
  <c r="AA117" i="17"/>
  <c r="Z117" i="17" s="1"/>
  <c r="Y117" i="17" s="1"/>
  <c r="H117" i="17"/>
  <c r="G117" i="17"/>
  <c r="BZ117" i="6" s="1"/>
  <c r="G180" i="17"/>
  <c r="BZ180" i="6" s="1"/>
  <c r="AA180" i="17"/>
  <c r="Z180" i="17" s="1"/>
  <c r="Y180" i="17" s="1"/>
  <c r="H180" i="17"/>
  <c r="G195" i="17"/>
  <c r="BZ195" i="6" s="1"/>
  <c r="AA195" i="17"/>
  <c r="Z195" i="17" s="1"/>
  <c r="Y195" i="17" s="1"/>
  <c r="G253" i="17"/>
  <c r="BZ253" i="6" s="1"/>
  <c r="AA253" i="17"/>
  <c r="Z253" i="17" s="1"/>
  <c r="Y253" i="17" s="1"/>
  <c r="H100" i="17"/>
  <c r="G100" i="17"/>
  <c r="BZ100" i="6" s="1"/>
  <c r="G106" i="17"/>
  <c r="BZ106" i="6" s="1"/>
  <c r="H106" i="17"/>
  <c r="AA106" i="17"/>
  <c r="Z106" i="17" s="1"/>
  <c r="Y106" i="17" s="1"/>
  <c r="G274" i="17"/>
  <c r="BZ274" i="6" s="1"/>
  <c r="AA274" i="17"/>
  <c r="Z274" i="17" s="1"/>
  <c r="Y274" i="17" s="1"/>
  <c r="H274" i="17"/>
  <c r="H127" i="17"/>
  <c r="G127" i="17"/>
  <c r="BZ127" i="6" s="1"/>
  <c r="G78" i="17"/>
  <c r="BZ78" i="6" s="1"/>
  <c r="H78" i="17"/>
  <c r="W167" i="18"/>
  <c r="AA236" i="17"/>
  <c r="Z236" i="17" s="1"/>
  <c r="Y236" i="17" s="1"/>
  <c r="G236" i="17"/>
  <c r="BZ236" i="6" s="1"/>
  <c r="G157" i="17"/>
  <c r="BZ157" i="6" s="1"/>
  <c r="AA157" i="17"/>
  <c r="Z157" i="17" s="1"/>
  <c r="Y157" i="17" s="1"/>
  <c r="H157" i="17"/>
  <c r="G82" i="17"/>
  <c r="BZ82" i="6" s="1"/>
  <c r="H82" i="17"/>
  <c r="G66" i="17"/>
  <c r="BZ66" i="6" s="1"/>
  <c r="H66" i="17"/>
  <c r="G209" i="17"/>
  <c r="BZ209" i="6" s="1"/>
  <c r="AA209" i="17"/>
  <c r="Z209" i="17" s="1"/>
  <c r="Y209" i="17" s="1"/>
  <c r="H209" i="17"/>
  <c r="G94" i="17"/>
  <c r="BZ94" i="6" s="1"/>
  <c r="H94" i="17"/>
  <c r="G199" i="17"/>
  <c r="BZ199" i="6" s="1"/>
  <c r="H199" i="17"/>
  <c r="G71" i="17"/>
  <c r="BZ71" i="6" s="1"/>
  <c r="H71" i="17"/>
  <c r="AA82" i="17"/>
  <c r="Z82" i="17" s="1"/>
  <c r="Y82" i="17" s="1"/>
  <c r="G107" i="17"/>
  <c r="BZ107" i="6" s="1"/>
  <c r="H107" i="17"/>
  <c r="G28" i="17"/>
  <c r="BZ28" i="6" s="1"/>
  <c r="H28" i="17"/>
  <c r="AA28" i="17"/>
  <c r="Z28" i="17" s="1"/>
  <c r="Y28" i="17" s="1"/>
  <c r="G319" i="17"/>
  <c r="BZ319" i="6" s="1"/>
  <c r="H319" i="17"/>
  <c r="G285" i="17"/>
  <c r="BZ285" i="6" s="1"/>
  <c r="H285" i="17"/>
  <c r="AA285" i="17"/>
  <c r="Z285" i="17" s="1"/>
  <c r="Y285" i="17" s="1"/>
  <c r="H218" i="17"/>
  <c r="G218" i="17"/>
  <c r="BZ218" i="6" s="1"/>
  <c r="AA218" i="17"/>
  <c r="Z218" i="17" s="1"/>
  <c r="Y218" i="17" s="1"/>
  <c r="G132" i="17"/>
  <c r="BZ132" i="6" s="1"/>
  <c r="H132" i="17"/>
  <c r="AA132" i="17"/>
  <c r="Z132" i="17" s="1"/>
  <c r="Y132" i="17" s="1"/>
  <c r="G25" i="17"/>
  <c r="BZ25" i="6" s="1"/>
  <c r="H25" i="17"/>
  <c r="G315" i="17"/>
  <c r="BZ315" i="6" s="1"/>
  <c r="H315" i="17"/>
  <c r="AA315" i="17"/>
  <c r="Z315" i="17" s="1"/>
  <c r="Y315" i="17" s="1"/>
  <c r="AA278" i="17"/>
  <c r="Z278" i="17" s="1"/>
  <c r="Y278" i="17" s="1"/>
  <c r="H278" i="17"/>
  <c r="G278" i="17"/>
  <c r="BZ278" i="6" s="1"/>
  <c r="G17" i="17"/>
  <c r="BZ17" i="6" s="1"/>
  <c r="H17" i="17"/>
  <c r="G65" i="17"/>
  <c r="BZ65" i="6" s="1"/>
  <c r="AA65" i="17"/>
  <c r="Z65" i="17" s="1"/>
  <c r="Y65" i="17" s="1"/>
  <c r="H65" i="17"/>
  <c r="H144" i="17"/>
  <c r="AA144" i="17"/>
  <c r="Z144" i="17" s="1"/>
  <c r="Y144" i="17" s="1"/>
  <c r="G63" i="17"/>
  <c r="BZ63" i="6" s="1"/>
  <c r="H63" i="17"/>
  <c r="AA63" i="17"/>
  <c r="Z63" i="17" s="1"/>
  <c r="Y63" i="17" s="1"/>
  <c r="G211" i="17"/>
  <c r="BZ211" i="6" s="1"/>
  <c r="AA211" i="17"/>
  <c r="Z211" i="17" s="1"/>
  <c r="Y211" i="17" s="1"/>
  <c r="H211" i="17"/>
  <c r="G34" i="17"/>
  <c r="BZ34" i="6" s="1"/>
  <c r="H34" i="17"/>
  <c r="AA34" i="17"/>
  <c r="Z34" i="17" s="1"/>
  <c r="Y34" i="17" s="1"/>
  <c r="G74" i="17"/>
  <c r="BZ74" i="6" s="1"/>
  <c r="AA74" i="17"/>
  <c r="Z74" i="17" s="1"/>
  <c r="Y74" i="17" s="1"/>
  <c r="H74" i="17"/>
  <c r="G242" i="17"/>
  <c r="BZ242" i="6" s="1"/>
  <c r="H242" i="17"/>
  <c r="AA242" i="17"/>
  <c r="Z242" i="17" s="1"/>
  <c r="Y242" i="17" s="1"/>
  <c r="G310" i="17"/>
  <c r="BZ310" i="6" s="1"/>
  <c r="H310" i="17"/>
  <c r="G374" i="17"/>
  <c r="BZ374" i="6" s="1"/>
  <c r="H374" i="17"/>
  <c r="G325" i="17"/>
  <c r="BZ325" i="6" s="1"/>
  <c r="H325" i="17"/>
  <c r="AA325" i="17"/>
  <c r="Z325" i="17" s="1"/>
  <c r="Y325" i="17" s="1"/>
  <c r="AA186" i="17"/>
  <c r="Z186" i="17" s="1"/>
  <c r="Y186" i="17" s="1"/>
  <c r="H186" i="17"/>
  <c r="G186" i="17"/>
  <c r="BZ186" i="6" s="1"/>
  <c r="W153" i="18"/>
  <c r="H331" i="17"/>
  <c r="AA331" i="17"/>
  <c r="Z331" i="17" s="1"/>
  <c r="Y331" i="17" s="1"/>
  <c r="G61" i="17"/>
  <c r="BZ61" i="6" s="1"/>
  <c r="H61" i="17"/>
  <c r="AA61" i="17"/>
  <c r="Z61" i="17" s="1"/>
  <c r="Y61" i="17" s="1"/>
  <c r="H67" i="17"/>
  <c r="AA67" i="17"/>
  <c r="Z67" i="17" s="1"/>
  <c r="Y67" i="17" s="1"/>
  <c r="G375" i="17"/>
  <c r="BZ375" i="6" s="1"/>
  <c r="H375" i="17"/>
  <c r="AA375" i="17"/>
  <c r="Z375" i="17" s="1"/>
  <c r="Y375" i="17" s="1"/>
  <c r="G162" i="17"/>
  <c r="BZ162" i="6" s="1"/>
  <c r="H162" i="17"/>
  <c r="AA162" i="17"/>
  <c r="Z162" i="17" s="1"/>
  <c r="Y162" i="17" s="1"/>
  <c r="H370" i="17"/>
  <c r="AA370" i="17"/>
  <c r="Z370" i="17" s="1"/>
  <c r="Y370" i="17" s="1"/>
  <c r="G370" i="17"/>
  <c r="BZ370" i="6" s="1"/>
  <c r="G317" i="17"/>
  <c r="BZ317" i="6" s="1"/>
  <c r="H317" i="17"/>
  <c r="AA317" i="17"/>
  <c r="Z317" i="17" s="1"/>
  <c r="Y317" i="17" s="1"/>
  <c r="G248" i="17"/>
  <c r="BZ248" i="6" s="1"/>
  <c r="H248" i="17"/>
  <c r="AA248" i="17"/>
  <c r="Z248" i="17" s="1"/>
  <c r="Y248" i="17" s="1"/>
  <c r="AA228" i="17"/>
  <c r="Z228" i="17" s="1"/>
  <c r="Y228" i="17" s="1"/>
  <c r="H228" i="17"/>
  <c r="G228" i="17"/>
  <c r="BZ228" i="6" s="1"/>
  <c r="G217" i="17"/>
  <c r="BZ217" i="6" s="1"/>
  <c r="AA217" i="17"/>
  <c r="Z217" i="17" s="1"/>
  <c r="Y217" i="17" s="1"/>
  <c r="AA48" i="17"/>
  <c r="Z48" i="17" s="1"/>
  <c r="Y48" i="17" s="1"/>
  <c r="G48" i="17"/>
  <c r="BZ48" i="6" s="1"/>
  <c r="H48" i="17"/>
  <c r="G269" i="17"/>
  <c r="BZ269" i="6" s="1"/>
  <c r="AA269" i="17"/>
  <c r="Z269" i="17" s="1"/>
  <c r="Y269" i="17" s="1"/>
  <c r="H269" i="17"/>
  <c r="G111" i="17"/>
  <c r="BZ111" i="6" s="1"/>
  <c r="AA111" i="17"/>
  <c r="Z111" i="17" s="1"/>
  <c r="Y111" i="17" s="1"/>
  <c r="H111" i="17"/>
  <c r="G320" i="17"/>
  <c r="BZ320" i="6" s="1"/>
  <c r="AA320" i="17"/>
  <c r="Z320" i="17" s="1"/>
  <c r="Y320" i="17" s="1"/>
  <c r="H320" i="17"/>
  <c r="G52" i="17"/>
  <c r="BZ52" i="6" s="1"/>
  <c r="H52" i="17"/>
  <c r="AA52" i="17"/>
  <c r="Z52" i="17" s="1"/>
  <c r="Y52" i="17" s="1"/>
  <c r="AA17" i="17"/>
  <c r="Z17" i="17" s="1"/>
  <c r="Y17" i="17" s="1"/>
  <c r="G155" i="17"/>
  <c r="BZ155" i="6" s="1"/>
  <c r="H155" i="17"/>
  <c r="AA155" i="17"/>
  <c r="Z155" i="17" s="1"/>
  <c r="Y155" i="17" s="1"/>
  <c r="G126" i="17"/>
  <c r="BZ126" i="6" s="1"/>
  <c r="H126" i="17"/>
  <c r="AA126" i="17"/>
  <c r="Z126" i="17" s="1"/>
  <c r="Y126" i="17" s="1"/>
  <c r="G326" i="17"/>
  <c r="BZ326" i="6" s="1"/>
  <c r="AA326" i="17"/>
  <c r="Z326" i="17" s="1"/>
  <c r="Y326" i="17" s="1"/>
  <c r="G245" i="17"/>
  <c r="BZ245" i="6" s="1"/>
  <c r="H245" i="17"/>
  <c r="AA245" i="17"/>
  <c r="Z245" i="17" s="1"/>
  <c r="Y245" i="17" s="1"/>
  <c r="G291" i="17"/>
  <c r="BZ291" i="6" s="1"/>
  <c r="H291" i="17"/>
  <c r="AA291" i="17"/>
  <c r="Z291" i="17" s="1"/>
  <c r="Y291" i="17" s="1"/>
  <c r="W270" i="18"/>
  <c r="G24" i="17"/>
  <c r="BZ24" i="6" s="1"/>
  <c r="AA24" i="17"/>
  <c r="Z24" i="17" s="1"/>
  <c r="Y24" i="17" s="1"/>
  <c r="H24" i="17"/>
  <c r="G85" i="17"/>
  <c r="BZ85" i="6" s="1"/>
  <c r="H85" i="17"/>
  <c r="G141" i="17"/>
  <c r="BZ141" i="6" s="1"/>
  <c r="H141" i="17"/>
  <c r="AA141" i="17"/>
  <c r="Z141" i="17" s="1"/>
  <c r="Y141" i="17" s="1"/>
  <c r="G343" i="17"/>
  <c r="BZ343" i="6" s="1"/>
  <c r="H343" i="17"/>
  <c r="AA343" i="17"/>
  <c r="Z343" i="17" s="1"/>
  <c r="Y343" i="17" s="1"/>
  <c r="G96" i="17"/>
  <c r="BZ96" i="6" s="1"/>
  <c r="H96" i="17"/>
  <c r="AA96" i="17"/>
  <c r="Z96" i="17" s="1"/>
  <c r="Y96" i="17" s="1"/>
  <c r="G112" i="17"/>
  <c r="BZ112" i="6" s="1"/>
  <c r="H112" i="17"/>
  <c r="AA112" i="17"/>
  <c r="Z112" i="17" s="1"/>
  <c r="Y112" i="17" s="1"/>
  <c r="G23" i="17"/>
  <c r="BZ23" i="6" s="1"/>
  <c r="H23" i="17"/>
  <c r="AA23" i="17"/>
  <c r="Z23" i="17" s="1"/>
  <c r="Y23" i="17" s="1"/>
  <c r="G99" i="17"/>
  <c r="BZ99" i="6" s="1"/>
  <c r="H99" i="17"/>
  <c r="G151" i="17"/>
  <c r="BZ151" i="6" s="1"/>
  <c r="H151" i="17"/>
  <c r="AA151" i="17"/>
  <c r="Z151" i="17" s="1"/>
  <c r="Y151" i="17" s="1"/>
  <c r="H238" i="17"/>
  <c r="G238" i="17"/>
  <c r="BZ238" i="6" s="1"/>
  <c r="H254" i="17"/>
  <c r="G254" i="17"/>
  <c r="BZ254" i="6" s="1"/>
  <c r="AA254" i="17"/>
  <c r="Z254" i="17" s="1"/>
  <c r="Y254" i="17" s="1"/>
  <c r="G286" i="17"/>
  <c r="BZ286" i="6" s="1"/>
  <c r="H286" i="17"/>
  <c r="AA286" i="17"/>
  <c r="Z286" i="17" s="1"/>
  <c r="Y286" i="17" s="1"/>
  <c r="G342" i="17"/>
  <c r="BZ342" i="6" s="1"/>
  <c r="H342" i="17"/>
  <c r="AA342" i="17"/>
  <c r="Z342" i="17" s="1"/>
  <c r="Y342" i="17" s="1"/>
  <c r="G237" i="17"/>
  <c r="BZ237" i="6" s="1"/>
  <c r="H237" i="17"/>
  <c r="AA237" i="17"/>
  <c r="Z237" i="17" s="1"/>
  <c r="Y237" i="17" s="1"/>
  <c r="G313" i="17"/>
  <c r="BZ313" i="6" s="1"/>
  <c r="H313" i="17"/>
  <c r="AA313" i="17"/>
  <c r="Z313" i="17" s="1"/>
  <c r="Y313" i="17" s="1"/>
  <c r="G277" i="17"/>
  <c r="BZ277" i="6" s="1"/>
  <c r="AA277" i="17"/>
  <c r="Z277" i="17" s="1"/>
  <c r="Y277" i="17" s="1"/>
  <c r="H277" i="17"/>
  <c r="W217" i="18"/>
  <c r="AA310" i="17"/>
  <c r="Z310" i="17" s="1"/>
  <c r="Y310" i="17" s="1"/>
  <c r="AA78" i="17"/>
  <c r="Z78" i="17" s="1"/>
  <c r="Y78" i="17" s="1"/>
  <c r="G119" i="17"/>
  <c r="BZ119" i="6" s="1"/>
  <c r="H119" i="17"/>
  <c r="AA100" i="17"/>
  <c r="Z100" i="17" s="1"/>
  <c r="Y100" i="17" s="1"/>
  <c r="G257" i="17"/>
  <c r="BZ257" i="6" s="1"/>
  <c r="AA257" i="17"/>
  <c r="Z257" i="17" s="1"/>
  <c r="Y257" i="17" s="1"/>
  <c r="H257" i="17"/>
  <c r="G344" i="17"/>
  <c r="BZ344" i="6" s="1"/>
  <c r="AA344" i="17"/>
  <c r="Z344" i="17" s="1"/>
  <c r="Y344" i="17" s="1"/>
  <c r="H344" i="17"/>
  <c r="G200" i="17"/>
  <c r="BZ200" i="6" s="1"/>
  <c r="AA200" i="17"/>
  <c r="Z200" i="17" s="1"/>
  <c r="Y200" i="17" s="1"/>
  <c r="H200" i="17"/>
  <c r="G190" i="17"/>
  <c r="BZ190" i="6" s="1"/>
  <c r="AA190" i="17"/>
  <c r="Z190" i="17" s="1"/>
  <c r="Y190" i="17" s="1"/>
  <c r="H190" i="17"/>
  <c r="G147" i="17"/>
  <c r="BZ147" i="6" s="1"/>
  <c r="H147" i="17"/>
  <c r="AA147" i="17"/>
  <c r="Z147" i="17" s="1"/>
  <c r="Y147" i="17" s="1"/>
  <c r="G336" i="17"/>
  <c r="BZ336" i="6" s="1"/>
  <c r="AA336" i="17"/>
  <c r="Z336" i="17" s="1"/>
  <c r="Y336" i="17" s="1"/>
  <c r="H336" i="17"/>
  <c r="H266" i="17"/>
  <c r="AA266" i="17"/>
  <c r="Z266" i="17" s="1"/>
  <c r="Y266" i="17" s="1"/>
  <c r="G266" i="17"/>
  <c r="BZ266" i="6" s="1"/>
  <c r="H327" i="17"/>
  <c r="H181" i="17"/>
  <c r="W312" i="18"/>
  <c r="H139" i="17"/>
  <c r="W55" i="18"/>
  <c r="H236" i="17"/>
  <c r="H149" i="17"/>
  <c r="H206" i="17"/>
  <c r="I251" i="17"/>
  <c r="B251" i="6" s="1"/>
  <c r="J251" i="17"/>
  <c r="C251" i="6" s="1"/>
  <c r="G67" i="17"/>
  <c r="BZ67" i="6" s="1"/>
  <c r="J234" i="17"/>
  <c r="C234" i="6" s="1"/>
  <c r="I234" i="17"/>
  <c r="B234" i="6" s="1"/>
  <c r="AA94" i="17"/>
  <c r="Z94" i="17" s="1"/>
  <c r="Y94" i="17" s="1"/>
  <c r="G183" i="17"/>
  <c r="BZ183" i="6" s="1"/>
  <c r="H326" i="17"/>
  <c r="G187" i="17"/>
  <c r="BZ187" i="6" s="1"/>
  <c r="AA187" i="17"/>
  <c r="Z187" i="17" s="1"/>
  <c r="Y187" i="17" s="1"/>
  <c r="H187" i="17"/>
  <c r="G283" i="17"/>
  <c r="BZ283" i="6" s="1"/>
  <c r="AA283" i="17"/>
  <c r="Z283" i="17" s="1"/>
  <c r="Y283" i="17" s="1"/>
  <c r="H283" i="17"/>
  <c r="G168" i="17"/>
  <c r="BZ168" i="6" s="1"/>
  <c r="H168" i="17"/>
  <c r="AA168" i="17"/>
  <c r="Z168" i="17" s="1"/>
  <c r="Y168" i="17" s="1"/>
  <c r="G279" i="17"/>
  <c r="BZ279" i="6" s="1"/>
  <c r="H279" i="17"/>
  <c r="H361" i="17"/>
  <c r="G361" i="17"/>
  <c r="BZ361" i="6" s="1"/>
  <c r="AA361" i="17"/>
  <c r="Z361" i="17" s="1"/>
  <c r="Y361" i="17" s="1"/>
  <c r="G289" i="17"/>
  <c r="BZ289" i="6" s="1"/>
  <c r="H289" i="17"/>
  <c r="AA289" i="17"/>
  <c r="Z289" i="17" s="1"/>
  <c r="Y289" i="17" s="1"/>
  <c r="H122" i="17"/>
  <c r="G122" i="17"/>
  <c r="BZ122" i="6" s="1"/>
  <c r="AA122" i="17"/>
  <c r="Z122" i="17" s="1"/>
  <c r="Y122" i="17" s="1"/>
  <c r="G251" i="17"/>
  <c r="BZ251" i="6" s="1"/>
  <c r="AA251" i="17"/>
  <c r="Z251" i="17" s="1"/>
  <c r="Y251" i="17" s="1"/>
  <c r="G273" i="17"/>
  <c r="BZ273" i="6" s="1"/>
  <c r="H273" i="17"/>
  <c r="AA273" i="17"/>
  <c r="Z273" i="17" s="1"/>
  <c r="Y273" i="17" s="1"/>
  <c r="AA128" i="17"/>
  <c r="Z128" i="17" s="1"/>
  <c r="Y128" i="17" s="1"/>
  <c r="G128" i="17"/>
  <c r="BZ128" i="6" s="1"/>
  <c r="H128" i="17"/>
  <c r="G301" i="17"/>
  <c r="BZ301" i="6" s="1"/>
  <c r="H301" i="17"/>
  <c r="AA301" i="17"/>
  <c r="Z301" i="17" s="1"/>
  <c r="Y301" i="17" s="1"/>
  <c r="G198" i="17"/>
  <c r="BZ198" i="6" s="1"/>
  <c r="H198" i="17"/>
  <c r="G235" i="17"/>
  <c r="BZ235" i="6" s="1"/>
  <c r="H235" i="17"/>
  <c r="AA235" i="17"/>
  <c r="Z235" i="17" s="1"/>
  <c r="Y235" i="17" s="1"/>
  <c r="G341" i="17"/>
  <c r="BZ341" i="6" s="1"/>
  <c r="H341" i="17"/>
  <c r="AA341" i="17"/>
  <c r="Z341" i="17" s="1"/>
  <c r="Y341" i="17" s="1"/>
  <c r="G158" i="17"/>
  <c r="BZ158" i="6" s="1"/>
  <c r="H158" i="17"/>
  <c r="AA158" i="17"/>
  <c r="Z158" i="17" s="1"/>
  <c r="Y158" i="17" s="1"/>
  <c r="H191" i="17"/>
  <c r="G191" i="17"/>
  <c r="BZ191" i="6" s="1"/>
  <c r="AA191" i="17"/>
  <c r="Z191" i="17" s="1"/>
  <c r="Y191" i="17" s="1"/>
  <c r="G295" i="17"/>
  <c r="BZ295" i="6" s="1"/>
  <c r="H295" i="17"/>
  <c r="AA295" i="17"/>
  <c r="Z295" i="17" s="1"/>
  <c r="Y295" i="17" s="1"/>
  <c r="G68" i="17"/>
  <c r="BZ68" i="6" s="1"/>
  <c r="H68" i="17"/>
  <c r="AA68" i="17"/>
  <c r="Z68" i="17" s="1"/>
  <c r="Y68" i="17" s="1"/>
  <c r="H154" i="17"/>
  <c r="G154" i="17"/>
  <c r="BZ154" i="6" s="1"/>
  <c r="AA154" i="17"/>
  <c r="Z154" i="17" s="1"/>
  <c r="Y154" i="17" s="1"/>
  <c r="G234" i="17"/>
  <c r="BZ234" i="6" s="1"/>
  <c r="AA234" i="17"/>
  <c r="Z234" i="17" s="1"/>
  <c r="Y234" i="17" s="1"/>
  <c r="G350" i="17"/>
  <c r="BZ350" i="6" s="1"/>
  <c r="H350" i="17"/>
  <c r="AA350" i="17"/>
  <c r="Z350" i="17" s="1"/>
  <c r="Y350" i="17" s="1"/>
  <c r="G376" i="17"/>
  <c r="BZ376" i="6" s="1"/>
  <c r="H376" i="17"/>
  <c r="AA376" i="17"/>
  <c r="Z376" i="17" s="1"/>
  <c r="Y376" i="17" s="1"/>
  <c r="G347" i="17"/>
  <c r="BZ347" i="6" s="1"/>
  <c r="H347" i="17"/>
  <c r="AA347" i="17"/>
  <c r="Z347" i="17" s="1"/>
  <c r="Y347" i="17" s="1"/>
  <c r="G169" i="17"/>
  <c r="BZ169" i="6" s="1"/>
  <c r="H169" i="17"/>
  <c r="AA169" i="17"/>
  <c r="Z169" i="17" s="1"/>
  <c r="Y169" i="17" s="1"/>
  <c r="G323" i="17"/>
  <c r="BZ323" i="6" s="1"/>
  <c r="AA323" i="17"/>
  <c r="Z323" i="17" s="1"/>
  <c r="Y323" i="17" s="1"/>
  <c r="H323" i="17"/>
  <c r="G308" i="17"/>
  <c r="BZ308" i="6" s="1"/>
  <c r="H308" i="17"/>
  <c r="AA308" i="17"/>
  <c r="Z308" i="17" s="1"/>
  <c r="Y308" i="17" s="1"/>
  <c r="G138" i="17"/>
  <c r="BZ138" i="6" s="1"/>
  <c r="H138" i="17"/>
  <c r="AA138" i="17"/>
  <c r="Z138" i="17" s="1"/>
  <c r="Y138" i="17" s="1"/>
  <c r="G223" i="17"/>
  <c r="BZ223" i="6" s="1"/>
  <c r="AA223" i="17"/>
  <c r="Z223" i="17" s="1"/>
  <c r="Y223" i="17" s="1"/>
  <c r="H223" i="17"/>
  <c r="G75" i="17"/>
  <c r="BZ75" i="6" s="1"/>
  <c r="AA75" i="17"/>
  <c r="Z75" i="17" s="1"/>
  <c r="Y75" i="17" s="1"/>
  <c r="H75" i="17"/>
  <c r="AA368" i="17"/>
  <c r="Z368" i="17" s="1"/>
  <c r="Y368" i="17" s="1"/>
  <c r="G368" i="17"/>
  <c r="BZ368" i="6" s="1"/>
  <c r="H368" i="17"/>
  <c r="G204" i="17"/>
  <c r="BZ204" i="6" s="1"/>
  <c r="AA204" i="17"/>
  <c r="Z204" i="17" s="1"/>
  <c r="Y204" i="17" s="1"/>
  <c r="G246" i="17"/>
  <c r="BZ246" i="6" s="1"/>
  <c r="AA246" i="17"/>
  <c r="Z246" i="17" s="1"/>
  <c r="Y246" i="17" s="1"/>
  <c r="H246" i="17"/>
  <c r="G37" i="17"/>
  <c r="BZ37" i="6" s="1"/>
  <c r="H37" i="17"/>
  <c r="AA37" i="17"/>
  <c r="Z37" i="17" s="1"/>
  <c r="Y37" i="17" s="1"/>
  <c r="G378" i="17"/>
  <c r="BZ378" i="6" s="1"/>
  <c r="H378" i="17"/>
  <c r="AA378" i="17"/>
  <c r="Z378" i="17" s="1"/>
  <c r="Y378" i="17" s="1"/>
  <c r="G110" i="17"/>
  <c r="BZ110" i="6" s="1"/>
  <c r="AA110" i="17"/>
  <c r="Z110" i="17" s="1"/>
  <c r="Y110" i="17" s="1"/>
  <c r="H110" i="17"/>
  <c r="G22" i="17"/>
  <c r="BZ22" i="6" s="1"/>
  <c r="H22" i="17"/>
  <c r="AA22" i="17"/>
  <c r="Z22" i="17" s="1"/>
  <c r="Y22" i="17" s="1"/>
  <c r="G29" i="17"/>
  <c r="BZ29" i="6" s="1"/>
  <c r="H29" i="17"/>
  <c r="AA29" i="17"/>
  <c r="Z29" i="17" s="1"/>
  <c r="Y29" i="17" s="1"/>
  <c r="G179" i="17"/>
  <c r="BZ179" i="6" s="1"/>
  <c r="AA179" i="17"/>
  <c r="Z179" i="17" s="1"/>
  <c r="Y179" i="17" s="1"/>
  <c r="H179" i="17"/>
  <c r="G232" i="17"/>
  <c r="BZ232" i="6" s="1"/>
  <c r="AA232" i="17"/>
  <c r="Z232" i="17" s="1"/>
  <c r="Y232" i="17" s="1"/>
  <c r="H232" i="17"/>
  <c r="G140" i="17"/>
  <c r="BZ140" i="6" s="1"/>
  <c r="H140" i="17"/>
  <c r="G364" i="17"/>
  <c r="BZ364" i="6" s="1"/>
  <c r="AA364" i="17"/>
  <c r="Z364" i="17" s="1"/>
  <c r="Y364" i="17" s="1"/>
  <c r="H364" i="17"/>
  <c r="AA198" i="17"/>
  <c r="Z198" i="17" s="1"/>
  <c r="Y198" i="17" s="1"/>
  <c r="G118" i="17"/>
  <c r="BZ118" i="6" s="1"/>
  <c r="H118" i="17"/>
  <c r="AA118" i="17"/>
  <c r="Z118" i="17" s="1"/>
  <c r="Y118" i="17" s="1"/>
  <c r="H220" i="17"/>
  <c r="G220" i="17"/>
  <c r="BZ220" i="6" s="1"/>
  <c r="AA220" i="17"/>
  <c r="Z220" i="17" s="1"/>
  <c r="Y220" i="17" s="1"/>
  <c r="G16" i="17"/>
  <c r="BZ16" i="6" s="1"/>
  <c r="H16" i="17"/>
  <c r="AA16" i="17"/>
  <c r="Z16" i="17" s="1"/>
  <c r="Y16" i="17" s="1"/>
  <c r="G318" i="17"/>
  <c r="BZ318" i="6" s="1"/>
  <c r="H318" i="17"/>
  <c r="AA318" i="17"/>
  <c r="Z318" i="17" s="1"/>
  <c r="Y318" i="17" s="1"/>
  <c r="G125" i="17"/>
  <c r="BZ125" i="6" s="1"/>
  <c r="H125" i="17"/>
  <c r="AA125" i="17"/>
  <c r="Z125" i="17" s="1"/>
  <c r="Y125" i="17" s="1"/>
  <c r="H185" i="17"/>
  <c r="G185" i="17"/>
  <c r="BZ185" i="6" s="1"/>
  <c r="AA185" i="17"/>
  <c r="Z185" i="17" s="1"/>
  <c r="Y185" i="17" s="1"/>
  <c r="G56" i="17"/>
  <c r="BZ56" i="6" s="1"/>
  <c r="AA56" i="17"/>
  <c r="Z56" i="17" s="1"/>
  <c r="Y56" i="17" s="1"/>
  <c r="H56" i="17"/>
  <c r="G356" i="17"/>
  <c r="BZ356" i="6" s="1"/>
  <c r="AA356" i="17"/>
  <c r="Z356" i="17" s="1"/>
  <c r="Y356" i="17" s="1"/>
  <c r="H356" i="17"/>
  <c r="G372" i="17"/>
  <c r="BZ372" i="6" s="1"/>
  <c r="AA372" i="17"/>
  <c r="Z372" i="17" s="1"/>
  <c r="Y372" i="17" s="1"/>
  <c r="H372" i="17"/>
  <c r="G176" i="17"/>
  <c r="BZ176" i="6" s="1"/>
  <c r="H176" i="17"/>
  <c r="AA176" i="17"/>
  <c r="Z176" i="17" s="1"/>
  <c r="Y176" i="17" s="1"/>
  <c r="H81" i="17"/>
  <c r="AA81" i="17"/>
  <c r="Z81" i="17" s="1"/>
  <c r="Y81" i="17" s="1"/>
  <c r="G81" i="17"/>
  <c r="BZ81" i="6" s="1"/>
  <c r="G224" i="17"/>
  <c r="BZ224" i="6" s="1"/>
  <c r="AA224" i="17"/>
  <c r="Z224" i="17" s="1"/>
  <c r="Y224" i="17" s="1"/>
  <c r="H224" i="17"/>
  <c r="G261" i="17"/>
  <c r="BZ261" i="6" s="1"/>
  <c r="H261" i="17"/>
  <c r="G284" i="17"/>
  <c r="BZ284" i="6" s="1"/>
  <c r="H284" i="17"/>
  <c r="G64" i="17"/>
  <c r="BZ64" i="6" s="1"/>
  <c r="H64" i="17"/>
  <c r="G79" i="17"/>
  <c r="BZ79" i="6" s="1"/>
  <c r="H79" i="17"/>
  <c r="H135" i="17"/>
  <c r="G135" i="17"/>
  <c r="BZ135" i="6" s="1"/>
  <c r="G114" i="17"/>
  <c r="BZ114" i="6" s="1"/>
  <c r="H114" i="17"/>
  <c r="AA114" i="17"/>
  <c r="Z114" i="17" s="1"/>
  <c r="Y114" i="17" s="1"/>
  <c r="G264" i="17"/>
  <c r="BZ264" i="6" s="1"/>
  <c r="AA264" i="17"/>
  <c r="Z264" i="17" s="1"/>
  <c r="Y264" i="17" s="1"/>
  <c r="G173" i="17"/>
  <c r="BZ173" i="6" s="1"/>
  <c r="AA173" i="17"/>
  <c r="Z173" i="17" s="1"/>
  <c r="Y173" i="17" s="1"/>
  <c r="H173" i="17"/>
  <c r="H53" i="17"/>
  <c r="G53" i="17"/>
  <c r="BZ53" i="6" s="1"/>
  <c r="G373" i="17"/>
  <c r="BZ373" i="6" s="1"/>
  <c r="AA373" i="17"/>
  <c r="Z373" i="17" s="1"/>
  <c r="Y373" i="17" s="1"/>
  <c r="H373" i="17"/>
  <c r="G133" i="17"/>
  <c r="BZ133" i="6" s="1"/>
  <c r="H133" i="17"/>
  <c r="AA133" i="17"/>
  <c r="Z133" i="17" s="1"/>
  <c r="Y133" i="17" s="1"/>
  <c r="G333" i="17"/>
  <c r="BZ333" i="6" s="1"/>
  <c r="AA333" i="17"/>
  <c r="Z333" i="17" s="1"/>
  <c r="Y333" i="17" s="1"/>
  <c r="G272" i="17"/>
  <c r="BZ272" i="6" s="1"/>
  <c r="H272" i="17"/>
  <c r="G305" i="17"/>
  <c r="BZ305" i="6" s="1"/>
  <c r="H305" i="17"/>
  <c r="AA305" i="17"/>
  <c r="Z305" i="17" s="1"/>
  <c r="Y305" i="17" s="1"/>
  <c r="G210" i="17"/>
  <c r="BZ210" i="6" s="1"/>
  <c r="AA210" i="17"/>
  <c r="Z210" i="17" s="1"/>
  <c r="Y210" i="17" s="1"/>
  <c r="AA97" i="17"/>
  <c r="Z97" i="17" s="1"/>
  <c r="Y97" i="17" s="1"/>
  <c r="G97" i="17"/>
  <c r="BZ97" i="6" s="1"/>
  <c r="H97" i="17"/>
  <c r="H164" i="17"/>
  <c r="G164" i="17"/>
  <c r="BZ164" i="6" s="1"/>
  <c r="AA261" i="17"/>
  <c r="Z261" i="17" s="1"/>
  <c r="Y261" i="17" s="1"/>
  <c r="AA182" i="17"/>
  <c r="Z182" i="17" s="1"/>
  <c r="Y182" i="17" s="1"/>
  <c r="G182" i="17"/>
  <c r="BZ182" i="6" s="1"/>
  <c r="G31" i="17"/>
  <c r="BZ31" i="6" s="1"/>
  <c r="AA31" i="17"/>
  <c r="Z31" i="17" s="1"/>
  <c r="Y31" i="17" s="1"/>
  <c r="AA53" i="17"/>
  <c r="Z53" i="17" s="1"/>
  <c r="Y53" i="17" s="1"/>
  <c r="G243" i="17"/>
  <c r="BZ243" i="6" s="1"/>
  <c r="H243" i="17"/>
  <c r="AA360" i="17"/>
  <c r="Z360" i="17" s="1"/>
  <c r="Y360" i="17" s="1"/>
  <c r="H333" i="17"/>
  <c r="H156" i="17"/>
  <c r="G93" i="17"/>
  <c r="BZ93" i="6" s="1"/>
  <c r="H210" i="17"/>
  <c r="I93" i="17"/>
  <c r="B93" i="6" s="1"/>
  <c r="H203" i="17"/>
  <c r="G203" i="17"/>
  <c r="BZ203" i="6" s="1"/>
  <c r="AA203" i="17"/>
  <c r="Z203" i="17" s="1"/>
  <c r="Y203" i="17" s="1"/>
  <c r="H312" i="17"/>
  <c r="G312" i="17"/>
  <c r="BZ312" i="6" s="1"/>
  <c r="G197" i="17"/>
  <c r="BZ197" i="6" s="1"/>
  <c r="AA197" i="17"/>
  <c r="Z197" i="17" s="1"/>
  <c r="Y197" i="17" s="1"/>
  <c r="AA178" i="17"/>
  <c r="Z178" i="17" s="1"/>
  <c r="Y178" i="17" s="1"/>
  <c r="H178" i="17"/>
  <c r="G227" i="17"/>
  <c r="BZ227" i="6" s="1"/>
  <c r="AA227" i="17"/>
  <c r="Z227" i="17" s="1"/>
  <c r="Y227" i="17" s="1"/>
  <c r="H227" i="17"/>
  <c r="G153" i="17"/>
  <c r="BZ153" i="6" s="1"/>
  <c r="AA153" i="17"/>
  <c r="Z153" i="17" s="1"/>
  <c r="Y153" i="17" s="1"/>
  <c r="G152" i="17"/>
  <c r="BZ152" i="6" s="1"/>
  <c r="AA152" i="17"/>
  <c r="Z152" i="17" s="1"/>
  <c r="Y152" i="17" s="1"/>
  <c r="H152" i="17"/>
  <c r="AA268" i="17"/>
  <c r="Z268" i="17" s="1"/>
  <c r="Y268" i="17" s="1"/>
  <c r="G268" i="17"/>
  <c r="BZ268" i="6" s="1"/>
  <c r="H268" i="17"/>
  <c r="G275" i="17"/>
  <c r="BZ275" i="6" s="1"/>
  <c r="AA275" i="17"/>
  <c r="Z275" i="17" s="1"/>
  <c r="Y275" i="17" s="1"/>
  <c r="H275" i="17"/>
  <c r="G59" i="17"/>
  <c r="BZ59" i="6" s="1"/>
  <c r="H59" i="17"/>
  <c r="AA59" i="17"/>
  <c r="Z59" i="17" s="1"/>
  <c r="Y59" i="17" s="1"/>
  <c r="H300" i="17"/>
  <c r="G300" i="17"/>
  <c r="BZ300" i="6" s="1"/>
  <c r="AA300" i="17"/>
  <c r="Z300" i="17" s="1"/>
  <c r="Y300" i="17" s="1"/>
  <c r="AA243" i="17"/>
  <c r="Z243" i="17" s="1"/>
  <c r="Y243" i="17" s="1"/>
  <c r="H46" i="17"/>
  <c r="H197" i="17"/>
  <c r="H360" i="17"/>
  <c r="H153" i="17"/>
  <c r="H182" i="17"/>
  <c r="H31" i="17"/>
  <c r="H91" i="17"/>
  <c r="AA91" i="17"/>
  <c r="Z91" i="17" s="1"/>
  <c r="Y91" i="17" s="1"/>
  <c r="G91" i="17"/>
  <c r="BZ91" i="6" s="1"/>
  <c r="G307" i="17"/>
  <c r="BZ307" i="6" s="1"/>
  <c r="H307" i="17"/>
  <c r="AA307" i="17"/>
  <c r="Z307" i="17" s="1"/>
  <c r="Y307" i="17" s="1"/>
  <c r="H27" i="17"/>
  <c r="G27" i="17"/>
  <c r="BZ27" i="6" s="1"/>
  <c r="AA27" i="17"/>
  <c r="Z27" i="17" s="1"/>
  <c r="Y27" i="17" s="1"/>
  <c r="G77" i="17"/>
  <c r="BZ77" i="6" s="1"/>
  <c r="H77" i="17"/>
  <c r="AA77" i="17"/>
  <c r="Z77" i="17" s="1"/>
  <c r="Y77" i="17" s="1"/>
  <c r="I316" i="17"/>
  <c r="B316" i="6" s="1"/>
  <c r="J316" i="17"/>
  <c r="C316" i="6" s="1"/>
  <c r="G42" i="17"/>
  <c r="BZ42" i="6" s="1"/>
  <c r="AA42" i="17"/>
  <c r="Z42" i="17" s="1"/>
  <c r="Y42" i="17" s="1"/>
  <c r="H42" i="17"/>
  <c r="G276" i="17"/>
  <c r="BZ276" i="6" s="1"/>
  <c r="H276" i="17"/>
  <c r="AA276" i="17"/>
  <c r="Z276" i="17" s="1"/>
  <c r="Y276" i="17" s="1"/>
  <c r="H297" i="17"/>
  <c r="AA297" i="17"/>
  <c r="Z297" i="17" s="1"/>
  <c r="Y297" i="17" s="1"/>
  <c r="G282" i="17"/>
  <c r="BZ282" i="6" s="1"/>
  <c r="H282" i="17"/>
  <c r="AA282" i="17"/>
  <c r="Z282" i="17" s="1"/>
  <c r="Y282" i="17" s="1"/>
  <c r="G43" i="17"/>
  <c r="BZ43" i="6" s="1"/>
  <c r="AA43" i="17"/>
  <c r="Z43" i="17" s="1"/>
  <c r="Y43" i="17" s="1"/>
  <c r="G316" i="17"/>
  <c r="BZ316" i="6" s="1"/>
  <c r="AA316" i="17"/>
  <c r="Z316" i="17" s="1"/>
  <c r="Y316" i="17" s="1"/>
  <c r="I240" i="17"/>
  <c r="B240" i="6" s="1"/>
  <c r="G240" i="17"/>
  <c r="BZ240" i="6" s="1"/>
  <c r="G87" i="17"/>
  <c r="BZ87" i="6" s="1"/>
  <c r="H101" i="17"/>
  <c r="G297" i="17"/>
  <c r="BZ297" i="6" s="1"/>
  <c r="H145" i="17"/>
  <c r="G145" i="17"/>
  <c r="BZ145" i="6" s="1"/>
  <c r="AA145" i="17"/>
  <c r="Z145" i="17" s="1"/>
  <c r="Y145" i="17" s="1"/>
  <c r="G330" i="17"/>
  <c r="BZ330" i="6" s="1"/>
  <c r="H330" i="17"/>
  <c r="H131" i="17"/>
  <c r="G131" i="17"/>
  <c r="BZ131" i="6" s="1"/>
  <c r="AA131" i="17"/>
  <c r="Z131" i="17" s="1"/>
  <c r="Y131" i="17" s="1"/>
  <c r="H205" i="18" l="1"/>
  <c r="I205" i="18" s="1"/>
  <c r="B205" i="6"/>
  <c r="H217" i="18"/>
  <c r="J217" i="18" s="1"/>
  <c r="B217" i="6"/>
  <c r="AA19" i="18"/>
  <c r="Z19" i="18" s="1"/>
  <c r="Y19" i="18" s="1"/>
  <c r="G265" i="18"/>
  <c r="CA265" i="6" s="1"/>
  <c r="W59" i="20"/>
  <c r="B108" i="22"/>
  <c r="D108" i="22" s="1"/>
  <c r="E108" i="22" s="1"/>
  <c r="F108" i="22" s="1"/>
  <c r="W363" i="20"/>
  <c r="B152" i="22"/>
  <c r="W152" i="22" s="1"/>
  <c r="G227" i="18"/>
  <c r="CA227" i="6" s="1"/>
  <c r="G300" i="18"/>
  <c r="CA300" i="6" s="1"/>
  <c r="AA23" i="18"/>
  <c r="Z23" i="18" s="1"/>
  <c r="Y23" i="18" s="1"/>
  <c r="AA348" i="18"/>
  <c r="Z348" i="18" s="1"/>
  <c r="Y348" i="18" s="1"/>
  <c r="W306" i="20"/>
  <c r="D68" i="20"/>
  <c r="E68" i="20" s="1"/>
  <c r="F68" i="20" s="1"/>
  <c r="G68" i="20" s="1"/>
  <c r="CB68" i="6" s="1"/>
  <c r="W329" i="20"/>
  <c r="W337" i="20"/>
  <c r="W259" i="20"/>
  <c r="B70" i="22"/>
  <c r="D70" i="22" s="1"/>
  <c r="E70" i="22" s="1"/>
  <c r="F70" i="22" s="1"/>
  <c r="W237" i="20"/>
  <c r="D262" i="20"/>
  <c r="E262" i="20" s="1"/>
  <c r="F262" i="20" s="1"/>
  <c r="G262" i="20" s="1"/>
  <c r="CB262" i="6" s="1"/>
  <c r="B28" i="22"/>
  <c r="W28" i="22" s="1"/>
  <c r="W269" i="20"/>
  <c r="W231" i="20"/>
  <c r="I252" i="17"/>
  <c r="G344" i="18"/>
  <c r="CA344" i="6" s="1"/>
  <c r="G251" i="18"/>
  <c r="CA251" i="6" s="1"/>
  <c r="G192" i="18"/>
  <c r="CA192" i="6" s="1"/>
  <c r="AA26" i="18"/>
  <c r="Z26" i="18" s="1"/>
  <c r="Y26" i="18" s="1"/>
  <c r="G284" i="18"/>
  <c r="CA284" i="6" s="1"/>
  <c r="G30" i="18"/>
  <c r="CA30" i="6" s="1"/>
  <c r="W331" i="20"/>
  <c r="W205" i="20"/>
  <c r="W217" i="20"/>
  <c r="D238" i="20"/>
  <c r="E238" i="20" s="1"/>
  <c r="F238" i="20" s="1"/>
  <c r="G238" i="20" s="1"/>
  <c r="CB238" i="6" s="1"/>
  <c r="W211" i="20"/>
  <c r="W108" i="20"/>
  <c r="D97" i="20"/>
  <c r="E97" i="20" s="1"/>
  <c r="F97" i="20" s="1"/>
  <c r="AA97" i="20" s="1"/>
  <c r="Z97" i="20" s="1"/>
  <c r="Y97" i="20" s="1"/>
  <c r="B363" i="22"/>
  <c r="W363" i="22" s="1"/>
  <c r="D152" i="20"/>
  <c r="E152" i="20" s="1"/>
  <c r="F152" i="20" s="1"/>
  <c r="G152" i="20" s="1"/>
  <c r="CB152" i="6" s="1"/>
  <c r="B212" i="22"/>
  <c r="W212" i="22" s="1"/>
  <c r="B351" i="22"/>
  <c r="W351" i="22" s="1"/>
  <c r="B237" i="22"/>
  <c r="D237" i="22" s="1"/>
  <c r="E237" i="22" s="1"/>
  <c r="F237" i="22" s="1"/>
  <c r="W28" i="20"/>
  <c r="B359" i="22"/>
  <c r="W359" i="22" s="1"/>
  <c r="D258" i="20"/>
  <c r="E258" i="20" s="1"/>
  <c r="F258" i="20" s="1"/>
  <c r="AA258" i="20" s="1"/>
  <c r="Z258" i="20" s="1"/>
  <c r="Y258" i="20" s="1"/>
  <c r="H251" i="18"/>
  <c r="I251" i="18" s="1"/>
  <c r="BA251" i="6" s="1"/>
  <c r="D251" i="6" s="1"/>
  <c r="AA79" i="18"/>
  <c r="Z79" i="18" s="1"/>
  <c r="Y79" i="18" s="1"/>
  <c r="AA243" i="18"/>
  <c r="Z243" i="18" s="1"/>
  <c r="Y243" i="18" s="1"/>
  <c r="G152" i="18"/>
  <c r="CA152" i="6" s="1"/>
  <c r="AA237" i="18"/>
  <c r="Z237" i="18" s="1"/>
  <c r="Y237" i="18" s="1"/>
  <c r="AA54" i="18"/>
  <c r="Z54" i="18" s="1"/>
  <c r="Y54" i="18" s="1"/>
  <c r="G269" i="18"/>
  <c r="CA269" i="6" s="1"/>
  <c r="B331" i="22"/>
  <c r="W331" i="22" s="1"/>
  <c r="B306" i="22"/>
  <c r="D306" i="22" s="1"/>
  <c r="E306" i="22" s="1"/>
  <c r="F306" i="22" s="1"/>
  <c r="B205" i="22"/>
  <c r="D205" i="22" s="1"/>
  <c r="E205" i="22" s="1"/>
  <c r="F205" i="22" s="1"/>
  <c r="D224" i="20"/>
  <c r="E224" i="20" s="1"/>
  <c r="F224" i="20" s="1"/>
  <c r="G224" i="20" s="1"/>
  <c r="CB224" i="6" s="1"/>
  <c r="W68" i="20"/>
  <c r="B329" i="22"/>
  <c r="D329" i="22" s="1"/>
  <c r="E329" i="22" s="1"/>
  <c r="F329" i="22" s="1"/>
  <c r="D217" i="20"/>
  <c r="E217" i="20" s="1"/>
  <c r="F217" i="20" s="1"/>
  <c r="G217" i="20" s="1"/>
  <c r="CB217" i="6" s="1"/>
  <c r="D129" i="20"/>
  <c r="E129" i="20" s="1"/>
  <c r="F129" i="20" s="1"/>
  <c r="AA129" i="20" s="1"/>
  <c r="Z129" i="20" s="1"/>
  <c r="Y129" i="20" s="1"/>
  <c r="W238" i="20"/>
  <c r="B337" i="22"/>
  <c r="W337" i="22" s="1"/>
  <c r="B211" i="22"/>
  <c r="D211" i="22" s="1"/>
  <c r="E211" i="22" s="1"/>
  <c r="F211" i="22" s="1"/>
  <c r="B59" i="22"/>
  <c r="D59" i="22" s="1"/>
  <c r="E59" i="22" s="1"/>
  <c r="F59" i="22" s="1"/>
  <c r="G39" i="18"/>
  <c r="CA39" i="6" s="1"/>
  <c r="D294" i="20"/>
  <c r="E294" i="20" s="1"/>
  <c r="F294" i="20" s="1"/>
  <c r="AA294" i="20" s="1"/>
  <c r="Z294" i="20" s="1"/>
  <c r="Y294" i="20" s="1"/>
  <c r="B259" i="22"/>
  <c r="W259" i="22" s="1"/>
  <c r="D70" i="20"/>
  <c r="E70" i="20" s="1"/>
  <c r="F70" i="20" s="1"/>
  <c r="G70" i="20" s="1"/>
  <c r="CB70" i="6" s="1"/>
  <c r="D208" i="20"/>
  <c r="E208" i="20" s="1"/>
  <c r="F208" i="20" s="1"/>
  <c r="AA208" i="20" s="1"/>
  <c r="Z208" i="20" s="1"/>
  <c r="Y208" i="20" s="1"/>
  <c r="B358" i="22"/>
  <c r="D358" i="22" s="1"/>
  <c r="E358" i="22" s="1"/>
  <c r="F358" i="22" s="1"/>
  <c r="W359" i="20"/>
  <c r="D300" i="20"/>
  <c r="E300" i="20" s="1"/>
  <c r="F300" i="20" s="1"/>
  <c r="G300" i="20" s="1"/>
  <c r="CB300" i="6" s="1"/>
  <c r="W120" i="20"/>
  <c r="B79" i="22"/>
  <c r="W79" i="22" s="1"/>
  <c r="W270" i="20"/>
  <c r="W92" i="20"/>
  <c r="B50" i="22"/>
  <c r="D50" i="22" s="1"/>
  <c r="E50" i="22" s="1"/>
  <c r="F50" i="22" s="1"/>
  <c r="B197" i="22"/>
  <c r="W197" i="22" s="1"/>
  <c r="B335" i="22"/>
  <c r="W335" i="22" s="1"/>
  <c r="W54" i="20"/>
  <c r="B30" i="22"/>
  <c r="W30" i="22" s="1"/>
  <c r="W101" i="20"/>
  <c r="B19" i="22"/>
  <c r="D19" i="22" s="1"/>
  <c r="E19" i="22" s="1"/>
  <c r="F19" i="22" s="1"/>
  <c r="D155" i="20"/>
  <c r="E155" i="20" s="1"/>
  <c r="F155" i="20" s="1"/>
  <c r="AA155" i="20" s="1"/>
  <c r="Z155" i="20" s="1"/>
  <c r="Y155" i="20" s="1"/>
  <c r="G155" i="18"/>
  <c r="CA155" i="6" s="1"/>
  <c r="D353" i="20"/>
  <c r="E353" i="20" s="1"/>
  <c r="F353" i="20" s="1"/>
  <c r="AA353" i="20" s="1"/>
  <c r="Z353" i="20" s="1"/>
  <c r="Y353" i="20" s="1"/>
  <c r="W26" i="20"/>
  <c r="B193" i="22"/>
  <c r="D193" i="22" s="1"/>
  <c r="E193" i="22" s="1"/>
  <c r="F193" i="22" s="1"/>
  <c r="D326" i="20"/>
  <c r="E326" i="20" s="1"/>
  <c r="F326" i="20" s="1"/>
  <c r="AA326" i="20" s="1"/>
  <c r="Z326" i="20" s="1"/>
  <c r="Y326" i="20" s="1"/>
  <c r="D131" i="20"/>
  <c r="E131" i="20" s="1"/>
  <c r="F131" i="20" s="1"/>
  <c r="G131" i="20" s="1"/>
  <c r="CB131" i="6" s="1"/>
  <c r="W358" i="20"/>
  <c r="W262" i="20"/>
  <c r="B269" i="22"/>
  <c r="D269" i="22" s="1"/>
  <c r="E269" i="22" s="1"/>
  <c r="F269" i="22" s="1"/>
  <c r="B231" i="22"/>
  <c r="D231" i="22" s="1"/>
  <c r="E231" i="22" s="1"/>
  <c r="F231" i="22" s="1"/>
  <c r="B300" i="22"/>
  <c r="D300" i="22" s="1"/>
  <c r="E300" i="22" s="1"/>
  <c r="F300" i="22" s="1"/>
  <c r="D120" i="20"/>
  <c r="E120" i="20" s="1"/>
  <c r="F120" i="20" s="1"/>
  <c r="G120" i="20" s="1"/>
  <c r="CB120" i="6" s="1"/>
  <c r="B327" i="22"/>
  <c r="W327" i="22" s="1"/>
  <c r="W79" i="20"/>
  <c r="B270" i="22"/>
  <c r="D270" i="22" s="1"/>
  <c r="E270" i="22" s="1"/>
  <c r="F270" i="22" s="1"/>
  <c r="W197" i="20"/>
  <c r="D101" i="20"/>
  <c r="E101" i="20" s="1"/>
  <c r="F101" i="20" s="1"/>
  <c r="G101" i="20" s="1"/>
  <c r="CB101" i="6" s="1"/>
  <c r="D284" i="20"/>
  <c r="E284" i="20" s="1"/>
  <c r="F284" i="20" s="1"/>
  <c r="G284" i="20" s="1"/>
  <c r="CB284" i="6" s="1"/>
  <c r="B316" i="22"/>
  <c r="W316" i="22" s="1"/>
  <c r="B155" i="22"/>
  <c r="D155" i="22" s="1"/>
  <c r="E155" i="22" s="1"/>
  <c r="F155" i="22" s="1"/>
  <c r="G205" i="18"/>
  <c r="CA205" i="6" s="1"/>
  <c r="AA168" i="18"/>
  <c r="Z168" i="18" s="1"/>
  <c r="Y168" i="18" s="1"/>
  <c r="D312" i="20"/>
  <c r="E312" i="20" s="1"/>
  <c r="F312" i="20" s="1"/>
  <c r="AA312" i="20" s="1"/>
  <c r="Z312" i="20" s="1"/>
  <c r="Y312" i="20" s="1"/>
  <c r="W168" i="20"/>
  <c r="B18" i="22"/>
  <c r="W18" i="22" s="1"/>
  <c r="D164" i="20"/>
  <c r="E164" i="20" s="1"/>
  <c r="F164" i="20" s="1"/>
  <c r="AA164" i="20" s="1"/>
  <c r="Z164" i="20" s="1"/>
  <c r="Y164" i="20" s="1"/>
  <c r="W16" i="20"/>
  <c r="D132" i="20"/>
  <c r="E132" i="20" s="1"/>
  <c r="F132" i="20" s="1"/>
  <c r="G132" i="20" s="1"/>
  <c r="CB132" i="6" s="1"/>
  <c r="W153" i="20"/>
  <c r="D251" i="20"/>
  <c r="E251" i="20" s="1"/>
  <c r="F251" i="20" s="1"/>
  <c r="AA251" i="20" s="1"/>
  <c r="Z251" i="20" s="1"/>
  <c r="Y251" i="20" s="1"/>
  <c r="D297" i="20"/>
  <c r="E297" i="20" s="1"/>
  <c r="F297" i="20" s="1"/>
  <c r="AA297" i="20" s="1"/>
  <c r="Z297" i="20" s="1"/>
  <c r="Y297" i="20" s="1"/>
  <c r="D313" i="20"/>
  <c r="E313" i="20" s="1"/>
  <c r="F313" i="20" s="1"/>
  <c r="AA313" i="20" s="1"/>
  <c r="Z313" i="20" s="1"/>
  <c r="Y313" i="20" s="1"/>
  <c r="W228" i="20"/>
  <c r="B192" i="22"/>
  <c r="D192" i="22" s="1"/>
  <c r="E192" i="22" s="1"/>
  <c r="F192" i="22" s="1"/>
  <c r="D367" i="20"/>
  <c r="E367" i="20" s="1"/>
  <c r="F367" i="20" s="1"/>
  <c r="G367" i="20" s="1"/>
  <c r="CB367" i="6" s="1"/>
  <c r="W255" i="20"/>
  <c r="W69" i="20"/>
  <c r="D23" i="20"/>
  <c r="E23" i="20" s="1"/>
  <c r="F23" i="20" s="1"/>
  <c r="AA23" i="20" s="1"/>
  <c r="Z23" i="20" s="1"/>
  <c r="Y23" i="20" s="1"/>
  <c r="W183" i="20"/>
  <c r="B116" i="22"/>
  <c r="D116" i="22" s="1"/>
  <c r="E116" i="22" s="1"/>
  <c r="F116" i="22" s="1"/>
  <c r="G306" i="18"/>
  <c r="CA306" i="6" s="1"/>
  <c r="G299" i="18"/>
  <c r="CA299" i="6" s="1"/>
  <c r="G193" i="18"/>
  <c r="CA193" i="6" s="1"/>
  <c r="D64" i="20"/>
  <c r="E64" i="20" s="1"/>
  <c r="F64" i="20" s="1"/>
  <c r="AA64" i="20" s="1"/>
  <c r="Z64" i="20" s="1"/>
  <c r="Y64" i="20" s="1"/>
  <c r="W377" i="20"/>
  <c r="D243" i="20"/>
  <c r="E243" i="20" s="1"/>
  <c r="F243" i="20" s="1"/>
  <c r="AA243" i="20" s="1"/>
  <c r="Z243" i="20" s="1"/>
  <c r="Y243" i="20" s="1"/>
  <c r="D179" i="20"/>
  <c r="E179" i="20" s="1"/>
  <c r="F179" i="20" s="1"/>
  <c r="AA179" i="20" s="1"/>
  <c r="Z179" i="20" s="1"/>
  <c r="Y179" i="20" s="1"/>
  <c r="D348" i="20"/>
  <c r="E348" i="20" s="1"/>
  <c r="F348" i="20" s="1"/>
  <c r="G348" i="20" s="1"/>
  <c r="CB348" i="6" s="1"/>
  <c r="D216" i="20"/>
  <c r="E216" i="20" s="1"/>
  <c r="F216" i="20" s="1"/>
  <c r="G216" i="20" s="1"/>
  <c r="CB216" i="6" s="1"/>
  <c r="D16" i="20"/>
  <c r="E16" i="20" s="1"/>
  <c r="F16" i="20" s="1"/>
  <c r="AA16" i="20" s="1"/>
  <c r="Z16" i="20" s="1"/>
  <c r="Y16" i="20" s="1"/>
  <c r="W132" i="20"/>
  <c r="B153" i="22"/>
  <c r="W153" i="22" s="1"/>
  <c r="W251" i="20"/>
  <c r="D338" i="20"/>
  <c r="E338" i="20" s="1"/>
  <c r="F338" i="20" s="1"/>
  <c r="G338" i="20" s="1"/>
  <c r="CB338" i="6" s="1"/>
  <c r="B54" i="22"/>
  <c r="D54" i="22" s="1"/>
  <c r="E54" i="22" s="1"/>
  <c r="F54" i="22" s="1"/>
  <c r="W30" i="20"/>
  <c r="D26" i="20"/>
  <c r="E26" i="20" s="1"/>
  <c r="F26" i="20" s="1"/>
  <c r="AA26" i="20" s="1"/>
  <c r="Z26" i="20" s="1"/>
  <c r="Y26" i="20" s="1"/>
  <c r="D344" i="20"/>
  <c r="E344" i="20" s="1"/>
  <c r="F344" i="20" s="1"/>
  <c r="G344" i="20" s="1"/>
  <c r="CB344" i="6" s="1"/>
  <c r="W313" i="20"/>
  <c r="B228" i="22"/>
  <c r="W228" i="22" s="1"/>
  <c r="B94" i="22"/>
  <c r="D94" i="22" s="1"/>
  <c r="E94" i="22" s="1"/>
  <c r="F94" i="22" s="1"/>
  <c r="D170" i="20"/>
  <c r="E170" i="20" s="1"/>
  <c r="F170" i="20" s="1"/>
  <c r="AA170" i="20" s="1"/>
  <c r="Z170" i="20" s="1"/>
  <c r="Y170" i="20" s="1"/>
  <c r="D323" i="20"/>
  <c r="E323" i="20" s="1"/>
  <c r="F323" i="20" s="1"/>
  <c r="AA323" i="20" s="1"/>
  <c r="Z323" i="20" s="1"/>
  <c r="Y323" i="20" s="1"/>
  <c r="D55" i="20"/>
  <c r="E55" i="20" s="1"/>
  <c r="F55" i="20" s="1"/>
  <c r="AA55" i="20" s="1"/>
  <c r="Z55" i="20" s="1"/>
  <c r="Y55" i="20" s="1"/>
  <c r="D265" i="20"/>
  <c r="E265" i="20" s="1"/>
  <c r="F265" i="20" s="1"/>
  <c r="AA265" i="20" s="1"/>
  <c r="Z265" i="20" s="1"/>
  <c r="Y265" i="20" s="1"/>
  <c r="D35" i="20"/>
  <c r="E35" i="20" s="1"/>
  <c r="F35" i="20" s="1"/>
  <c r="G35" i="20" s="1"/>
  <c r="CB35" i="6" s="1"/>
  <c r="D69" i="20"/>
  <c r="E69" i="20" s="1"/>
  <c r="F69" i="20" s="1"/>
  <c r="AA69" i="20" s="1"/>
  <c r="Z69" i="20" s="1"/>
  <c r="Y69" i="20" s="1"/>
  <c r="W136" i="20"/>
  <c r="B183" i="22"/>
  <c r="W183" i="22" s="1"/>
  <c r="W116" i="20"/>
  <c r="B95" i="22"/>
  <c r="W95" i="22" s="1"/>
  <c r="B180" i="22"/>
  <c r="D180" i="22" s="1"/>
  <c r="E180" i="22" s="1"/>
  <c r="F180" i="22" s="1"/>
  <c r="J296" i="17"/>
  <c r="C296" i="6" s="1"/>
  <c r="I267" i="17"/>
  <c r="B43" i="22"/>
  <c r="W43" i="22" s="1"/>
  <c r="D227" i="20"/>
  <c r="E227" i="20" s="1"/>
  <c r="F227" i="20" s="1"/>
  <c r="AA227" i="20" s="1"/>
  <c r="Z227" i="20" s="1"/>
  <c r="Y227" i="20" s="1"/>
  <c r="J205" i="17"/>
  <c r="C205" i="6" s="1"/>
  <c r="AA297" i="18"/>
  <c r="Z297" i="18" s="1"/>
  <c r="Y297" i="18" s="1"/>
  <c r="AA170" i="18"/>
  <c r="Z170" i="18" s="1"/>
  <c r="Y170" i="18" s="1"/>
  <c r="AA363" i="18"/>
  <c r="Z363" i="18" s="1"/>
  <c r="Y363" i="18" s="1"/>
  <c r="G164" i="18"/>
  <c r="CA164" i="6" s="1"/>
  <c r="G259" i="18"/>
  <c r="CA259" i="6" s="1"/>
  <c r="AA366" i="18"/>
  <c r="Z366" i="18" s="1"/>
  <c r="Y366" i="18" s="1"/>
  <c r="G301" i="18"/>
  <c r="CA301" i="6" s="1"/>
  <c r="G64" i="18"/>
  <c r="CA64" i="6" s="1"/>
  <c r="AA228" i="18"/>
  <c r="Z228" i="18" s="1"/>
  <c r="Y228" i="18" s="1"/>
  <c r="D38" i="20"/>
  <c r="E38" i="20" s="1"/>
  <c r="F38" i="20" s="1"/>
  <c r="AA38" i="20" s="1"/>
  <c r="Z38" i="20" s="1"/>
  <c r="Y38" i="20" s="1"/>
  <c r="W299" i="20"/>
  <c r="B312" i="22"/>
  <c r="W312" i="22" s="1"/>
  <c r="B168" i="22"/>
  <c r="D168" i="22" s="1"/>
  <c r="E168" i="22" s="1"/>
  <c r="F168" i="22" s="1"/>
  <c r="B377" i="22"/>
  <c r="D377" i="22" s="1"/>
  <c r="E377" i="22" s="1"/>
  <c r="F377" i="22" s="1"/>
  <c r="D324" i="20"/>
  <c r="E324" i="20" s="1"/>
  <c r="F324" i="20" s="1"/>
  <c r="AA324" i="20" s="1"/>
  <c r="Z324" i="20" s="1"/>
  <c r="Y324" i="20" s="1"/>
  <c r="D301" i="20"/>
  <c r="E301" i="20" s="1"/>
  <c r="F301" i="20" s="1"/>
  <c r="AA301" i="20" s="1"/>
  <c r="Z301" i="20" s="1"/>
  <c r="Y301" i="20" s="1"/>
  <c r="B164" i="22"/>
  <c r="W164" i="22" s="1"/>
  <c r="AA353" i="18"/>
  <c r="Z353" i="18" s="1"/>
  <c r="Y353" i="18" s="1"/>
  <c r="B338" i="22"/>
  <c r="W338" i="22" s="1"/>
  <c r="B297" i="22"/>
  <c r="W297" i="22" s="1"/>
  <c r="B344" i="22"/>
  <c r="D344" i="22" s="1"/>
  <c r="E344" i="22" s="1"/>
  <c r="F344" i="22" s="1"/>
  <c r="D193" i="20"/>
  <c r="E193" i="20" s="1"/>
  <c r="F193" i="20" s="1"/>
  <c r="AA193" i="20" s="1"/>
  <c r="Z193" i="20" s="1"/>
  <c r="Y193" i="20" s="1"/>
  <c r="B326" i="22"/>
  <c r="W326" i="22" s="1"/>
  <c r="W192" i="20"/>
  <c r="W94" i="20"/>
  <c r="B170" i="22"/>
  <c r="D170" i="22" s="1"/>
  <c r="E170" i="22" s="1"/>
  <c r="F170" i="22" s="1"/>
  <c r="B323" i="22"/>
  <c r="D323" i="22" s="1"/>
  <c r="E323" i="22" s="1"/>
  <c r="F323" i="22" s="1"/>
  <c r="D167" i="20"/>
  <c r="E167" i="20" s="1"/>
  <c r="F167" i="20" s="1"/>
  <c r="G167" i="20" s="1"/>
  <c r="CB167" i="6" s="1"/>
  <c r="B367" i="22"/>
  <c r="W367" i="22" s="1"/>
  <c r="B136" i="22"/>
  <c r="W136" i="22" s="1"/>
  <c r="W95" i="20"/>
  <c r="W180" i="20"/>
  <c r="W366" i="20"/>
  <c r="B380" i="20"/>
  <c r="B366" i="22"/>
  <c r="W366" i="22" s="1"/>
  <c r="B224" i="22"/>
  <c r="W224" i="22" s="1"/>
  <c r="B129" i="22"/>
  <c r="D129" i="22" s="1"/>
  <c r="E129" i="22" s="1"/>
  <c r="F129" i="22" s="1"/>
  <c r="B294" i="22"/>
  <c r="D294" i="22" s="1"/>
  <c r="E294" i="22" s="1"/>
  <c r="F294" i="22" s="1"/>
  <c r="B97" i="22"/>
  <c r="W97" i="22" s="1"/>
  <c r="B208" i="22"/>
  <c r="D208" i="22" s="1"/>
  <c r="E208" i="22" s="1"/>
  <c r="F208" i="22" s="1"/>
  <c r="D212" i="20"/>
  <c r="E212" i="20" s="1"/>
  <c r="F212" i="20" s="1"/>
  <c r="G212" i="20" s="1"/>
  <c r="CB212" i="6" s="1"/>
  <c r="D351" i="20"/>
  <c r="E351" i="20" s="1"/>
  <c r="F351" i="20" s="1"/>
  <c r="AA351" i="20" s="1"/>
  <c r="Z351" i="20" s="1"/>
  <c r="Y351" i="20" s="1"/>
  <c r="D327" i="20"/>
  <c r="E327" i="20" s="1"/>
  <c r="F327" i="20" s="1"/>
  <c r="G327" i="20" s="1"/>
  <c r="CB327" i="6" s="1"/>
  <c r="B258" i="22"/>
  <c r="D258" i="22" s="1"/>
  <c r="E258" i="22" s="1"/>
  <c r="F258" i="22" s="1"/>
  <c r="B92" i="22"/>
  <c r="D92" i="22" s="1"/>
  <c r="E92" i="22" s="1"/>
  <c r="F92" i="22" s="1"/>
  <c r="D19" i="20"/>
  <c r="E19" i="20" s="1"/>
  <c r="F19" i="20" s="1"/>
  <c r="AA19" i="20" s="1"/>
  <c r="Z19" i="20" s="1"/>
  <c r="Y19" i="20" s="1"/>
  <c r="B284" i="22"/>
  <c r="W284" i="22" s="1"/>
  <c r="D316" i="20"/>
  <c r="E316" i="20" s="1"/>
  <c r="F316" i="20" s="1"/>
  <c r="G316" i="20" s="1"/>
  <c r="CB316" i="6" s="1"/>
  <c r="B227" i="22"/>
  <c r="W227" i="22" s="1"/>
  <c r="G224" i="18"/>
  <c r="CA224" i="6" s="1"/>
  <c r="B38" i="22"/>
  <c r="W38" i="22" s="1"/>
  <c r="B353" i="22"/>
  <c r="D353" i="22" s="1"/>
  <c r="E353" i="22" s="1"/>
  <c r="F353" i="22" s="1"/>
  <c r="D299" i="20"/>
  <c r="E299" i="20" s="1"/>
  <c r="F299" i="20" s="1"/>
  <c r="G299" i="20" s="1"/>
  <c r="CB299" i="6" s="1"/>
  <c r="B64" i="22"/>
  <c r="D64" i="22" s="1"/>
  <c r="E64" i="22" s="1"/>
  <c r="F64" i="22" s="1"/>
  <c r="B243" i="22"/>
  <c r="D243" i="22" s="1"/>
  <c r="E243" i="22" s="1"/>
  <c r="F243" i="22" s="1"/>
  <c r="B324" i="22"/>
  <c r="W324" i="22" s="1"/>
  <c r="W18" i="20"/>
  <c r="B301" i="22"/>
  <c r="D301" i="22" s="1"/>
  <c r="E301" i="22" s="1"/>
  <c r="F301" i="22" s="1"/>
  <c r="B179" i="22"/>
  <c r="D179" i="22" s="1"/>
  <c r="E179" i="22" s="1"/>
  <c r="F179" i="22" s="1"/>
  <c r="B348" i="22"/>
  <c r="D348" i="22" s="1"/>
  <c r="E348" i="22" s="1"/>
  <c r="F348" i="22" s="1"/>
  <c r="B216" i="22"/>
  <c r="D216" i="22" s="1"/>
  <c r="E216" i="22" s="1"/>
  <c r="F216" i="22" s="1"/>
  <c r="B131" i="22"/>
  <c r="D131" i="22" s="1"/>
  <c r="E131" i="22" s="1"/>
  <c r="F131" i="22" s="1"/>
  <c r="B255" i="22"/>
  <c r="D255" i="22" s="1"/>
  <c r="E255" i="22" s="1"/>
  <c r="F255" i="22" s="1"/>
  <c r="B167" i="22"/>
  <c r="D167" i="22" s="1"/>
  <c r="E167" i="22" s="1"/>
  <c r="F167" i="22" s="1"/>
  <c r="B55" i="22"/>
  <c r="D55" i="22" s="1"/>
  <c r="E55" i="22" s="1"/>
  <c r="F55" i="22" s="1"/>
  <c r="B265" i="22"/>
  <c r="W265" i="22" s="1"/>
  <c r="B35" i="22"/>
  <c r="D35" i="22" s="1"/>
  <c r="E35" i="22" s="1"/>
  <c r="F35" i="22" s="1"/>
  <c r="B23" i="22"/>
  <c r="D23" i="22" s="1"/>
  <c r="E23" i="22" s="1"/>
  <c r="F23" i="22" s="1"/>
  <c r="J243" i="17"/>
  <c r="C243" i="6" s="1"/>
  <c r="I243" i="17"/>
  <c r="J97" i="17"/>
  <c r="C97" i="6" s="1"/>
  <c r="I97" i="17"/>
  <c r="B97" i="6" s="1"/>
  <c r="J173" i="17"/>
  <c r="C173" i="6" s="1"/>
  <c r="I173" i="17"/>
  <c r="J64" i="17"/>
  <c r="C64" i="6" s="1"/>
  <c r="I64" i="17"/>
  <c r="J261" i="17"/>
  <c r="C261" i="6" s="1"/>
  <c r="I261" i="17"/>
  <c r="J140" i="17"/>
  <c r="C140" i="6" s="1"/>
  <c r="I140" i="17"/>
  <c r="I110" i="17"/>
  <c r="J110" i="17"/>
  <c r="C110" i="6" s="1"/>
  <c r="I206" i="17"/>
  <c r="J206" i="17"/>
  <c r="C206" i="6" s="1"/>
  <c r="J236" i="17"/>
  <c r="C236" i="6" s="1"/>
  <c r="I236" i="17"/>
  <c r="I139" i="17"/>
  <c r="J139" i="17"/>
  <c r="C139" i="6" s="1"/>
  <c r="J181" i="17"/>
  <c r="C181" i="6" s="1"/>
  <c r="I181" i="17"/>
  <c r="J266" i="17"/>
  <c r="C266" i="6" s="1"/>
  <c r="I266" i="17"/>
  <c r="I200" i="17"/>
  <c r="J200" i="17"/>
  <c r="C200" i="6" s="1"/>
  <c r="I257" i="17"/>
  <c r="J257" i="17"/>
  <c r="C257" i="6" s="1"/>
  <c r="I119" i="17"/>
  <c r="J119" i="17"/>
  <c r="C119" i="6" s="1"/>
  <c r="J237" i="17"/>
  <c r="C237" i="6" s="1"/>
  <c r="I237" i="17"/>
  <c r="I286" i="17"/>
  <c r="J286" i="17"/>
  <c r="C286" i="6" s="1"/>
  <c r="J254" i="17"/>
  <c r="C254" i="6" s="1"/>
  <c r="I254" i="17"/>
  <c r="J238" i="17"/>
  <c r="C238" i="6" s="1"/>
  <c r="I238" i="17"/>
  <c r="B238" i="6" s="1"/>
  <c r="J151" i="17"/>
  <c r="C151" i="6" s="1"/>
  <c r="I151" i="17"/>
  <c r="J99" i="17"/>
  <c r="C99" i="6" s="1"/>
  <c r="I99" i="17"/>
  <c r="J112" i="17"/>
  <c r="C112" i="6" s="1"/>
  <c r="I112" i="17"/>
  <c r="J343" i="17"/>
  <c r="C343" i="6" s="1"/>
  <c r="I343" i="17"/>
  <c r="J291" i="17"/>
  <c r="C291" i="6" s="1"/>
  <c r="I291" i="17"/>
  <c r="I126" i="17"/>
  <c r="J126" i="17"/>
  <c r="C126" i="6" s="1"/>
  <c r="I111" i="17"/>
  <c r="J111" i="17"/>
  <c r="C111" i="6" s="1"/>
  <c r="I48" i="17"/>
  <c r="J48" i="17"/>
  <c r="C48" i="6" s="1"/>
  <c r="I228" i="17"/>
  <c r="J228" i="17"/>
  <c r="C228" i="6" s="1"/>
  <c r="J317" i="17"/>
  <c r="C317" i="6" s="1"/>
  <c r="I317" i="17"/>
  <c r="J370" i="17"/>
  <c r="C370" i="6" s="1"/>
  <c r="I370" i="17"/>
  <c r="J162" i="17"/>
  <c r="C162" i="6" s="1"/>
  <c r="I162" i="17"/>
  <c r="I67" i="17"/>
  <c r="J67" i="17"/>
  <c r="C67" i="6" s="1"/>
  <c r="J61" i="17"/>
  <c r="C61" i="6" s="1"/>
  <c r="I61" i="17"/>
  <c r="I186" i="17"/>
  <c r="J186" i="17"/>
  <c r="C186" i="6" s="1"/>
  <c r="J330" i="17"/>
  <c r="C330" i="6" s="1"/>
  <c r="I330" i="17"/>
  <c r="J145" i="17"/>
  <c r="C145" i="6" s="1"/>
  <c r="I145" i="17"/>
  <c r="J101" i="17"/>
  <c r="C101" i="6" s="1"/>
  <c r="I101" i="17"/>
  <c r="J297" i="17"/>
  <c r="C297" i="6" s="1"/>
  <c r="I297" i="17"/>
  <c r="I276" i="17"/>
  <c r="J276" i="17"/>
  <c r="C276" i="6" s="1"/>
  <c r="J42" i="17"/>
  <c r="C42" i="6" s="1"/>
  <c r="I42" i="17"/>
  <c r="J77" i="17"/>
  <c r="C77" i="6" s="1"/>
  <c r="I77" i="17"/>
  <c r="J27" i="17"/>
  <c r="C27" i="6" s="1"/>
  <c r="I27" i="17"/>
  <c r="I307" i="17"/>
  <c r="J307" i="17"/>
  <c r="C307" i="6" s="1"/>
  <c r="J91" i="17"/>
  <c r="C91" i="6" s="1"/>
  <c r="I91" i="17"/>
  <c r="J182" i="17"/>
  <c r="C182" i="6" s="1"/>
  <c r="I182" i="17"/>
  <c r="I360" i="17"/>
  <c r="J360" i="17"/>
  <c r="C360" i="6" s="1"/>
  <c r="I46" i="17"/>
  <c r="J46" i="17"/>
  <c r="C46" i="6" s="1"/>
  <c r="J300" i="17"/>
  <c r="C300" i="6" s="1"/>
  <c r="I300" i="17"/>
  <c r="I59" i="17"/>
  <c r="J59" i="17"/>
  <c r="C59" i="6" s="1"/>
  <c r="J275" i="17"/>
  <c r="C275" i="6" s="1"/>
  <c r="I275" i="17"/>
  <c r="I152" i="17"/>
  <c r="J152" i="17"/>
  <c r="C152" i="6" s="1"/>
  <c r="I178" i="17"/>
  <c r="J178" i="17"/>
  <c r="C178" i="6" s="1"/>
  <c r="J203" i="17"/>
  <c r="C203" i="6" s="1"/>
  <c r="I203" i="17"/>
  <c r="J210" i="17"/>
  <c r="C210" i="6" s="1"/>
  <c r="I210" i="17"/>
  <c r="J156" i="17"/>
  <c r="C156" i="6" s="1"/>
  <c r="I156" i="17"/>
  <c r="J164" i="17"/>
  <c r="C164" i="6" s="1"/>
  <c r="I164" i="17"/>
  <c r="J133" i="17"/>
  <c r="C133" i="6" s="1"/>
  <c r="I133" i="17"/>
  <c r="J373" i="17"/>
  <c r="C373" i="6" s="1"/>
  <c r="I373" i="17"/>
  <c r="I53" i="17"/>
  <c r="J53" i="17"/>
  <c r="C53" i="6" s="1"/>
  <c r="J135" i="17"/>
  <c r="C135" i="6" s="1"/>
  <c r="I135" i="17"/>
  <c r="J81" i="17"/>
  <c r="C81" i="6" s="1"/>
  <c r="I81" i="17"/>
  <c r="J176" i="17"/>
  <c r="C176" i="6" s="1"/>
  <c r="I176" i="17"/>
  <c r="I372" i="17"/>
  <c r="J372" i="17"/>
  <c r="C372" i="6" s="1"/>
  <c r="I56" i="17"/>
  <c r="J56" i="17"/>
  <c r="C56" i="6" s="1"/>
  <c r="J318" i="17"/>
  <c r="C318" i="6" s="1"/>
  <c r="I318" i="17"/>
  <c r="J364" i="17"/>
  <c r="C364" i="6" s="1"/>
  <c r="I364" i="17"/>
  <c r="I179" i="17"/>
  <c r="J179" i="17"/>
  <c r="C179" i="6" s="1"/>
  <c r="I29" i="17"/>
  <c r="J29" i="17"/>
  <c r="C29" i="6" s="1"/>
  <c r="J37" i="17"/>
  <c r="C37" i="6" s="1"/>
  <c r="I37" i="17"/>
  <c r="I246" i="17"/>
  <c r="J246" i="17"/>
  <c r="C246" i="6" s="1"/>
  <c r="I75" i="17"/>
  <c r="J75" i="17"/>
  <c r="C75" i="6" s="1"/>
  <c r="J308" i="17"/>
  <c r="C308" i="6" s="1"/>
  <c r="I308" i="17"/>
  <c r="I323" i="17"/>
  <c r="J323" i="17"/>
  <c r="C323" i="6" s="1"/>
  <c r="J169" i="17"/>
  <c r="C169" i="6" s="1"/>
  <c r="I169" i="17"/>
  <c r="I376" i="17"/>
  <c r="J376" i="17"/>
  <c r="C376" i="6" s="1"/>
  <c r="I295" i="17"/>
  <c r="J295" i="17"/>
  <c r="C295" i="6" s="1"/>
  <c r="J191" i="17"/>
  <c r="C191" i="6" s="1"/>
  <c r="I191" i="17"/>
  <c r="J158" i="17"/>
  <c r="C158" i="6" s="1"/>
  <c r="I158" i="17"/>
  <c r="J235" i="17"/>
  <c r="C235" i="6" s="1"/>
  <c r="I235" i="17"/>
  <c r="J198" i="17"/>
  <c r="C198" i="6" s="1"/>
  <c r="I198" i="17"/>
  <c r="I279" i="17"/>
  <c r="J279" i="17"/>
  <c r="C279" i="6" s="1"/>
  <c r="I187" i="17"/>
  <c r="J187" i="17"/>
  <c r="C187" i="6" s="1"/>
  <c r="I149" i="17"/>
  <c r="J149" i="17"/>
  <c r="C149" i="6" s="1"/>
  <c r="J327" i="17"/>
  <c r="C327" i="6" s="1"/>
  <c r="I327" i="17"/>
  <c r="J336" i="17"/>
  <c r="C336" i="6" s="1"/>
  <c r="I336" i="17"/>
  <c r="J147" i="17"/>
  <c r="C147" i="6" s="1"/>
  <c r="I147" i="17"/>
  <c r="J190" i="17"/>
  <c r="C190" i="6" s="1"/>
  <c r="I190" i="17"/>
  <c r="J344" i="17"/>
  <c r="C344" i="6" s="1"/>
  <c r="I344" i="17"/>
  <c r="I277" i="17"/>
  <c r="J277" i="17"/>
  <c r="C277" i="6" s="1"/>
  <c r="I313" i="17"/>
  <c r="J313" i="17"/>
  <c r="C313" i="6" s="1"/>
  <c r="J342" i="17"/>
  <c r="C342" i="6" s="1"/>
  <c r="I342" i="17"/>
  <c r="J23" i="17"/>
  <c r="C23" i="6" s="1"/>
  <c r="I23" i="17"/>
  <c r="I96" i="17"/>
  <c r="J96" i="17"/>
  <c r="C96" i="6" s="1"/>
  <c r="J141" i="17"/>
  <c r="C141" i="6" s="1"/>
  <c r="I141" i="17"/>
  <c r="J85" i="17"/>
  <c r="C85" i="6" s="1"/>
  <c r="I85" i="17"/>
  <c r="J24" i="17"/>
  <c r="C24" i="6" s="1"/>
  <c r="I24" i="17"/>
  <c r="J245" i="17"/>
  <c r="C245" i="6" s="1"/>
  <c r="I245" i="17"/>
  <c r="J155" i="17"/>
  <c r="C155" i="6" s="1"/>
  <c r="I155" i="17"/>
  <c r="J52" i="17"/>
  <c r="C52" i="6" s="1"/>
  <c r="I52" i="17"/>
  <c r="J320" i="17"/>
  <c r="C320" i="6" s="1"/>
  <c r="I320" i="17"/>
  <c r="J269" i="17"/>
  <c r="C269" i="6" s="1"/>
  <c r="I269" i="17"/>
  <c r="I248" i="17"/>
  <c r="J248" i="17"/>
  <c r="C248" i="6" s="1"/>
  <c r="I375" i="17"/>
  <c r="J375" i="17"/>
  <c r="C375" i="6" s="1"/>
  <c r="J331" i="17"/>
  <c r="C331" i="6" s="1"/>
  <c r="I331" i="17"/>
  <c r="J325" i="17"/>
  <c r="C325" i="6" s="1"/>
  <c r="I325" i="17"/>
  <c r="J374" i="17"/>
  <c r="C374" i="6" s="1"/>
  <c r="I374" i="17"/>
  <c r="I310" i="17"/>
  <c r="J310" i="17"/>
  <c r="C310" i="6" s="1"/>
  <c r="J144" i="17"/>
  <c r="C144" i="6" s="1"/>
  <c r="I144" i="17"/>
  <c r="J17" i="17"/>
  <c r="C17" i="6" s="1"/>
  <c r="I17" i="17"/>
  <c r="I315" i="17"/>
  <c r="J315" i="17"/>
  <c r="C315" i="6" s="1"/>
  <c r="J25" i="17"/>
  <c r="C25" i="6" s="1"/>
  <c r="I25" i="17"/>
  <c r="I28" i="17"/>
  <c r="J28" i="17"/>
  <c r="C28" i="6" s="1"/>
  <c r="I107" i="17"/>
  <c r="J107" i="17"/>
  <c r="C107" i="6" s="1"/>
  <c r="J66" i="17"/>
  <c r="C66" i="6" s="1"/>
  <c r="I66" i="17"/>
  <c r="J82" i="17"/>
  <c r="C82" i="6" s="1"/>
  <c r="I82" i="17"/>
  <c r="I157" i="17"/>
  <c r="J157" i="17"/>
  <c r="C157" i="6" s="1"/>
  <c r="J78" i="17"/>
  <c r="C78" i="6" s="1"/>
  <c r="I78" i="17"/>
  <c r="J274" i="17"/>
  <c r="C274" i="6" s="1"/>
  <c r="I274" i="17"/>
  <c r="I106" i="17"/>
  <c r="J106" i="17"/>
  <c r="C106" i="6" s="1"/>
  <c r="I180" i="17"/>
  <c r="J180" i="17"/>
  <c r="C180" i="6" s="1"/>
  <c r="I117" i="17"/>
  <c r="J117" i="17"/>
  <c r="C117" i="6" s="1"/>
  <c r="I230" i="17"/>
  <c r="J230" i="17"/>
  <c r="C230" i="6" s="1"/>
  <c r="G59" i="18"/>
  <c r="CA59" i="6" s="1"/>
  <c r="AA59" i="18"/>
  <c r="Z59" i="18" s="1"/>
  <c r="Y59" i="18" s="1"/>
  <c r="I104" i="17"/>
  <c r="J104" i="17"/>
  <c r="C104" i="6" s="1"/>
  <c r="G69" i="18"/>
  <c r="CA69" i="6" s="1"/>
  <c r="AA69" i="18"/>
  <c r="Z69" i="18" s="1"/>
  <c r="Y69" i="18" s="1"/>
  <c r="G316" i="18"/>
  <c r="CA316" i="6" s="1"/>
  <c r="H316" i="18"/>
  <c r="AA316" i="18"/>
  <c r="Z316" i="18" s="1"/>
  <c r="Y316" i="18" s="1"/>
  <c r="G329" i="18"/>
  <c r="CA329" i="6" s="1"/>
  <c r="AA329" i="18"/>
  <c r="Z329" i="18" s="1"/>
  <c r="Y329" i="18" s="1"/>
  <c r="AA131" i="18"/>
  <c r="Z131" i="18" s="1"/>
  <c r="Y131" i="18" s="1"/>
  <c r="G131" i="18"/>
  <c r="CA131" i="6" s="1"/>
  <c r="I113" i="17"/>
  <c r="J113" i="17"/>
  <c r="C113" i="6" s="1"/>
  <c r="G92" i="18"/>
  <c r="CA92" i="6" s="1"/>
  <c r="AA92" i="18"/>
  <c r="Z92" i="18" s="1"/>
  <c r="Y92" i="18" s="1"/>
  <c r="G38" i="18"/>
  <c r="CA38" i="6" s="1"/>
  <c r="AA38" i="18"/>
  <c r="Z38" i="18" s="1"/>
  <c r="Y38" i="18" s="1"/>
  <c r="G351" i="18"/>
  <c r="CA351" i="6" s="1"/>
  <c r="AA351" i="18"/>
  <c r="Z351" i="18" s="1"/>
  <c r="Y351" i="18" s="1"/>
  <c r="AA212" i="18"/>
  <c r="Z212" i="18" s="1"/>
  <c r="Y212" i="18" s="1"/>
  <c r="G212" i="18"/>
  <c r="CA212" i="6" s="1"/>
  <c r="G238" i="18"/>
  <c r="CA238" i="6" s="1"/>
  <c r="AA238" i="18"/>
  <c r="Z238" i="18" s="1"/>
  <c r="Y238" i="18" s="1"/>
  <c r="H238" i="18"/>
  <c r="G216" i="18"/>
  <c r="CA216" i="6" s="1"/>
  <c r="AA216" i="18"/>
  <c r="Z216" i="18" s="1"/>
  <c r="Y216" i="18" s="1"/>
  <c r="G70" i="18"/>
  <c r="CA70" i="6" s="1"/>
  <c r="AA70" i="18"/>
  <c r="Z70" i="18" s="1"/>
  <c r="Y70" i="18" s="1"/>
  <c r="G97" i="18"/>
  <c r="CA97" i="6" s="1"/>
  <c r="H97" i="18"/>
  <c r="AA97" i="18"/>
  <c r="Z97" i="18" s="1"/>
  <c r="Y97" i="18" s="1"/>
  <c r="G262" i="18"/>
  <c r="CA262" i="6" s="1"/>
  <c r="AA262" i="18"/>
  <c r="Z262" i="18" s="1"/>
  <c r="Y262" i="18" s="1"/>
  <c r="G377" i="18"/>
  <c r="CA377" i="6" s="1"/>
  <c r="AA377" i="18"/>
  <c r="Z377" i="18" s="1"/>
  <c r="Y377" i="18" s="1"/>
  <c r="G129" i="18"/>
  <c r="CA129" i="6" s="1"/>
  <c r="AA129" i="18"/>
  <c r="Z129" i="18" s="1"/>
  <c r="Y129" i="18" s="1"/>
  <c r="G359" i="18"/>
  <c r="CA359" i="6" s="1"/>
  <c r="AA359" i="18"/>
  <c r="Z359" i="18" s="1"/>
  <c r="Y359" i="18" s="1"/>
  <c r="G294" i="18"/>
  <c r="CA294" i="6" s="1"/>
  <c r="AA294" i="18"/>
  <c r="Z294" i="18" s="1"/>
  <c r="Y294" i="18" s="1"/>
  <c r="G231" i="18"/>
  <c r="CA231" i="6" s="1"/>
  <c r="AA231" i="18"/>
  <c r="Z231" i="18" s="1"/>
  <c r="Y231" i="18" s="1"/>
  <c r="G132" i="18"/>
  <c r="CA132" i="6" s="1"/>
  <c r="AA132" i="18"/>
  <c r="Z132" i="18" s="1"/>
  <c r="Y132" i="18" s="1"/>
  <c r="G326" i="18"/>
  <c r="CA326" i="6" s="1"/>
  <c r="AA326" i="18"/>
  <c r="Z326" i="18" s="1"/>
  <c r="Y326" i="18" s="1"/>
  <c r="G43" i="18"/>
  <c r="CA43" i="6" s="1"/>
  <c r="AA43" i="18"/>
  <c r="Z43" i="18" s="1"/>
  <c r="Y43" i="18" s="1"/>
  <c r="H43" i="18"/>
  <c r="G323" i="18"/>
  <c r="CA323" i="6" s="1"/>
  <c r="AA323" i="18"/>
  <c r="Z323" i="18" s="1"/>
  <c r="Y323" i="18" s="1"/>
  <c r="G258" i="18"/>
  <c r="CA258" i="6" s="1"/>
  <c r="AA258" i="18"/>
  <c r="Z258" i="18" s="1"/>
  <c r="Y258" i="18" s="1"/>
  <c r="J337" i="17"/>
  <c r="C337" i="6" s="1"/>
  <c r="I337" i="17"/>
  <c r="J98" i="17"/>
  <c r="C98" i="6" s="1"/>
  <c r="I98" i="17"/>
  <c r="I102" i="17"/>
  <c r="J102" i="17"/>
  <c r="C102" i="6" s="1"/>
  <c r="J32" i="17"/>
  <c r="C32" i="6" s="1"/>
  <c r="I32" i="17"/>
  <c r="J72" i="17"/>
  <c r="C72" i="6" s="1"/>
  <c r="I72" i="17"/>
  <c r="I329" i="17"/>
  <c r="J329" i="17"/>
  <c r="C329" i="6" s="1"/>
  <c r="I26" i="17"/>
  <c r="J26" i="17"/>
  <c r="C26" i="6" s="1"/>
  <c r="I130" i="17"/>
  <c r="J130" i="17"/>
  <c r="C130" i="6" s="1"/>
  <c r="I177" i="17"/>
  <c r="J177" i="17"/>
  <c r="C177" i="6" s="1"/>
  <c r="J233" i="17"/>
  <c r="C233" i="6" s="1"/>
  <c r="I233" i="17"/>
  <c r="J92" i="17"/>
  <c r="C92" i="6" s="1"/>
  <c r="I92" i="17"/>
  <c r="I256" i="17"/>
  <c r="J256" i="17"/>
  <c r="C256" i="6" s="1"/>
  <c r="J259" i="17"/>
  <c r="C259" i="6" s="1"/>
  <c r="I259" i="17"/>
  <c r="I50" i="17"/>
  <c r="J50" i="17"/>
  <c r="C50" i="6" s="1"/>
  <c r="J161" i="17"/>
  <c r="C161" i="6" s="1"/>
  <c r="I161" i="17"/>
  <c r="I192" i="17"/>
  <c r="J192" i="17"/>
  <c r="C192" i="6" s="1"/>
  <c r="J219" i="17"/>
  <c r="C219" i="6" s="1"/>
  <c r="I219" i="17"/>
  <c r="J38" i="17"/>
  <c r="C38" i="6" s="1"/>
  <c r="I38" i="17"/>
  <c r="I213" i="17"/>
  <c r="J213" i="17"/>
  <c r="C213" i="6" s="1"/>
  <c r="J136" i="17"/>
  <c r="C136" i="6" s="1"/>
  <c r="I136" i="17"/>
  <c r="J280" i="17"/>
  <c r="C280" i="6" s="1"/>
  <c r="I280" i="17"/>
  <c r="J214" i="17"/>
  <c r="C214" i="6" s="1"/>
  <c r="I214" i="17"/>
  <c r="J348" i="17"/>
  <c r="C348" i="6" s="1"/>
  <c r="I348" i="17"/>
  <c r="J84" i="17"/>
  <c r="C84" i="6" s="1"/>
  <c r="I84" i="17"/>
  <c r="I170" i="17"/>
  <c r="J170" i="17"/>
  <c r="C170" i="6" s="1"/>
  <c r="I103" i="17"/>
  <c r="J103" i="17"/>
  <c r="C103" i="6" s="1"/>
  <c r="J51" i="17"/>
  <c r="C51" i="6" s="1"/>
  <c r="I51" i="17"/>
  <c r="I346" i="17"/>
  <c r="J346" i="17"/>
  <c r="C346" i="6" s="1"/>
  <c r="J239" i="17"/>
  <c r="C239" i="6" s="1"/>
  <c r="I239" i="17"/>
  <c r="J332" i="17"/>
  <c r="C332" i="6" s="1"/>
  <c r="I332" i="17"/>
  <c r="I202" i="17"/>
  <c r="J202" i="17"/>
  <c r="C202" i="6" s="1"/>
  <c r="J260" i="17"/>
  <c r="C260" i="6" s="1"/>
  <c r="I260" i="17"/>
  <c r="I165" i="17"/>
  <c r="J165" i="17"/>
  <c r="C165" i="6" s="1"/>
  <c r="J73" i="17"/>
  <c r="C73" i="6" s="1"/>
  <c r="I73" i="17"/>
  <c r="I229" i="17"/>
  <c r="J229" i="17"/>
  <c r="C229" i="6" s="1"/>
  <c r="I250" i="17"/>
  <c r="J250" i="17"/>
  <c r="C250" i="6" s="1"/>
  <c r="I357" i="17"/>
  <c r="J357" i="17"/>
  <c r="C357" i="6" s="1"/>
  <c r="I47" i="17"/>
  <c r="J47" i="17"/>
  <c r="C47" i="6" s="1"/>
  <c r="J129" i="17"/>
  <c r="C129" i="6" s="1"/>
  <c r="I129" i="17"/>
  <c r="I293" i="17"/>
  <c r="J293" i="17"/>
  <c r="C293" i="6" s="1"/>
  <c r="I302" i="17"/>
  <c r="J302" i="17"/>
  <c r="C302" i="6" s="1"/>
  <c r="I146" i="17"/>
  <c r="J146" i="17"/>
  <c r="C146" i="6" s="1"/>
  <c r="J58" i="17"/>
  <c r="C58" i="6" s="1"/>
  <c r="I58" i="17"/>
  <c r="J271" i="17"/>
  <c r="C271" i="6" s="1"/>
  <c r="I271" i="17"/>
  <c r="J379" i="17"/>
  <c r="C379" i="6" s="1"/>
  <c r="I379" i="17"/>
  <c r="I171" i="17"/>
  <c r="J171" i="17"/>
  <c r="C171" i="6" s="1"/>
  <c r="I40" i="17"/>
  <c r="J40" i="17"/>
  <c r="C40" i="6" s="1"/>
  <c r="J355" i="17"/>
  <c r="C355" i="6" s="1"/>
  <c r="I355" i="17"/>
  <c r="J287" i="17"/>
  <c r="C287" i="6" s="1"/>
  <c r="I287" i="17"/>
  <c r="I324" i="17"/>
  <c r="J324" i="17"/>
  <c r="C324" i="6" s="1"/>
  <c r="I201" i="17"/>
  <c r="J201" i="17"/>
  <c r="C201" i="6" s="1"/>
  <c r="I366" i="17"/>
  <c r="J366" i="17"/>
  <c r="C366" i="6" s="1"/>
  <c r="J95" i="17"/>
  <c r="C95" i="6" s="1"/>
  <c r="I95" i="17"/>
  <c r="I86" i="17"/>
  <c r="J86" i="17"/>
  <c r="C86" i="6" s="1"/>
  <c r="I309" i="17"/>
  <c r="J309" i="17"/>
  <c r="C309" i="6" s="1"/>
  <c r="I367" i="17"/>
  <c r="J367" i="17"/>
  <c r="C367" i="6" s="1"/>
  <c r="J306" i="17"/>
  <c r="C306" i="6" s="1"/>
  <c r="I306" i="17"/>
  <c r="J363" i="17"/>
  <c r="C363" i="6" s="1"/>
  <c r="I363" i="17"/>
  <c r="J351" i="17"/>
  <c r="C351" i="6" s="1"/>
  <c r="I351" i="17"/>
  <c r="J60" i="17"/>
  <c r="C60" i="6" s="1"/>
  <c r="I60" i="17"/>
  <c r="J194" i="17"/>
  <c r="C194" i="6" s="1"/>
  <c r="I194" i="17"/>
  <c r="I142" i="17"/>
  <c r="J142" i="17"/>
  <c r="C142" i="6" s="1"/>
  <c r="I304" i="17"/>
  <c r="J304" i="17"/>
  <c r="C304" i="6" s="1"/>
  <c r="J105" i="17"/>
  <c r="C105" i="6" s="1"/>
  <c r="I105" i="17"/>
  <c r="I226" i="17"/>
  <c r="J226" i="17"/>
  <c r="C226" i="6" s="1"/>
  <c r="J88" i="17"/>
  <c r="C88" i="6" s="1"/>
  <c r="I88" i="17"/>
  <c r="I172" i="17"/>
  <c r="J172" i="17"/>
  <c r="C172" i="6" s="1"/>
  <c r="J321" i="17"/>
  <c r="C321" i="6" s="1"/>
  <c r="I321" i="17"/>
  <c r="I150" i="17"/>
  <c r="J150" i="17"/>
  <c r="C150" i="6" s="1"/>
  <c r="J241" i="17"/>
  <c r="C241" i="6" s="1"/>
  <c r="I241" i="17"/>
  <c r="J215" i="17"/>
  <c r="C215" i="6" s="1"/>
  <c r="I215" i="17"/>
  <c r="J212" i="17"/>
  <c r="C212" i="6" s="1"/>
  <c r="I212" i="17"/>
  <c r="I255" i="17"/>
  <c r="J255" i="17"/>
  <c r="C255" i="6" s="1"/>
  <c r="J338" i="17"/>
  <c r="C338" i="6" s="1"/>
  <c r="I338" i="17"/>
  <c r="J263" i="17"/>
  <c r="C263" i="6" s="1"/>
  <c r="I263" i="17"/>
  <c r="I377" i="17"/>
  <c r="J377" i="17"/>
  <c r="C377" i="6" s="1"/>
  <c r="J193" i="17"/>
  <c r="C193" i="6" s="1"/>
  <c r="I193" i="17"/>
  <c r="I36" i="17"/>
  <c r="J36" i="17"/>
  <c r="C36" i="6" s="1"/>
  <c r="J244" i="17"/>
  <c r="C244" i="6" s="1"/>
  <c r="I244" i="17"/>
  <c r="J90" i="17"/>
  <c r="C90" i="6" s="1"/>
  <c r="I90" i="17"/>
  <c r="I41" i="17"/>
  <c r="J41" i="17"/>
  <c r="C41" i="6" s="1"/>
  <c r="I62" i="17"/>
  <c r="J62" i="17"/>
  <c r="C62" i="6" s="1"/>
  <c r="I39" i="17"/>
  <c r="J39" i="17"/>
  <c r="C39" i="6" s="1"/>
  <c r="J18" i="17"/>
  <c r="C18" i="6" s="1"/>
  <c r="I18" i="17"/>
  <c r="G174" i="20"/>
  <c r="CB174" i="6" s="1"/>
  <c r="AA174" i="20"/>
  <c r="Z174" i="20" s="1"/>
  <c r="Y174" i="20" s="1"/>
  <c r="W76" i="20"/>
  <c r="D76" i="20"/>
  <c r="E76" i="20" s="1"/>
  <c r="F76" i="20" s="1"/>
  <c r="B76" i="22"/>
  <c r="G81" i="18"/>
  <c r="CA81" i="6" s="1"/>
  <c r="AA81" i="18"/>
  <c r="Z81" i="18" s="1"/>
  <c r="Y81" i="18" s="1"/>
  <c r="W100" i="22"/>
  <c r="D100" i="22"/>
  <c r="E100" i="22" s="1"/>
  <c r="F100" i="22" s="1"/>
  <c r="B100" i="23"/>
  <c r="W73" i="20"/>
  <c r="D73" i="20"/>
  <c r="E73" i="20" s="1"/>
  <c r="F73" i="20" s="1"/>
  <c r="B73" i="22"/>
  <c r="G332" i="18"/>
  <c r="CA332" i="6" s="1"/>
  <c r="AA332" i="18"/>
  <c r="Z332" i="18" s="1"/>
  <c r="Y332" i="18" s="1"/>
  <c r="W32" i="22"/>
  <c r="D32" i="22"/>
  <c r="E32" i="22" s="1"/>
  <c r="F32" i="22" s="1"/>
  <c r="B32" i="23"/>
  <c r="G321" i="18"/>
  <c r="CA321" i="6" s="1"/>
  <c r="AA321" i="18"/>
  <c r="Z321" i="18" s="1"/>
  <c r="Y321" i="18" s="1"/>
  <c r="W229" i="22"/>
  <c r="D229" i="22"/>
  <c r="E229" i="22" s="1"/>
  <c r="F229" i="22" s="1"/>
  <c r="B229" i="23"/>
  <c r="G163" i="18"/>
  <c r="CA163" i="6" s="1"/>
  <c r="AA163" i="18"/>
  <c r="Z163" i="18" s="1"/>
  <c r="Y163" i="18" s="1"/>
  <c r="G98" i="18"/>
  <c r="CA98" i="6" s="1"/>
  <c r="AA98" i="18"/>
  <c r="Z98" i="18" s="1"/>
  <c r="Y98" i="18" s="1"/>
  <c r="W236" i="20"/>
  <c r="D236" i="20"/>
  <c r="E236" i="20" s="1"/>
  <c r="F236" i="20" s="1"/>
  <c r="B236" i="22"/>
  <c r="W299" i="22"/>
  <c r="D299" i="22"/>
  <c r="E299" i="22" s="1"/>
  <c r="F299" i="22" s="1"/>
  <c r="B299" i="23"/>
  <c r="G182" i="18"/>
  <c r="CA182" i="6" s="1"/>
  <c r="AA182" i="18"/>
  <c r="Z182" i="18" s="1"/>
  <c r="Y182" i="18" s="1"/>
  <c r="G207" i="20"/>
  <c r="CB207" i="6" s="1"/>
  <c r="AA207" i="20"/>
  <c r="Z207" i="20" s="1"/>
  <c r="Y207" i="20" s="1"/>
  <c r="G289" i="18"/>
  <c r="CA289" i="6" s="1"/>
  <c r="AA289" i="18"/>
  <c r="Z289" i="18" s="1"/>
  <c r="Y289" i="18" s="1"/>
  <c r="G78" i="18"/>
  <c r="CA78" i="6" s="1"/>
  <c r="AA78" i="18"/>
  <c r="Z78" i="18" s="1"/>
  <c r="Y78" i="18" s="1"/>
  <c r="G366" i="20"/>
  <c r="CB366" i="6" s="1"/>
  <c r="AA366" i="20"/>
  <c r="Z366" i="20" s="1"/>
  <c r="Y366" i="20" s="1"/>
  <c r="W356" i="20"/>
  <c r="D356" i="20"/>
  <c r="E356" i="20" s="1"/>
  <c r="F356" i="20" s="1"/>
  <c r="B356" i="22"/>
  <c r="G342" i="20"/>
  <c r="CB342" i="6" s="1"/>
  <c r="AA342" i="20"/>
  <c r="Z342" i="20" s="1"/>
  <c r="Y342" i="20" s="1"/>
  <c r="G314" i="18"/>
  <c r="CA314" i="6" s="1"/>
  <c r="AA314" i="18"/>
  <c r="Z314" i="18" s="1"/>
  <c r="Y314" i="18" s="1"/>
  <c r="G240" i="18"/>
  <c r="CA240" i="6" s="1"/>
  <c r="H240" i="18"/>
  <c r="AA240" i="18"/>
  <c r="Z240" i="18" s="1"/>
  <c r="Y240" i="18" s="1"/>
  <c r="W206" i="20"/>
  <c r="D206" i="20"/>
  <c r="E206" i="20" s="1"/>
  <c r="F206" i="20" s="1"/>
  <c r="B206" i="22"/>
  <c r="G200" i="20"/>
  <c r="CB200" i="6" s="1"/>
  <c r="AA200" i="20"/>
  <c r="Z200" i="20" s="1"/>
  <c r="Y200" i="20" s="1"/>
  <c r="G190" i="20"/>
  <c r="CB190" i="6" s="1"/>
  <c r="AA190" i="20"/>
  <c r="Z190" i="20" s="1"/>
  <c r="Y190" i="20" s="1"/>
  <c r="G168" i="20"/>
  <c r="CB168" i="6" s="1"/>
  <c r="AA168" i="20"/>
  <c r="Z168" i="20" s="1"/>
  <c r="Y168" i="20" s="1"/>
  <c r="W156" i="20"/>
  <c r="D156" i="20"/>
  <c r="E156" i="20" s="1"/>
  <c r="F156" i="20" s="1"/>
  <c r="B156" i="22"/>
  <c r="W134" i="22"/>
  <c r="D134" i="22"/>
  <c r="E134" i="22" s="1"/>
  <c r="F134" i="22" s="1"/>
  <c r="B134" i="23"/>
  <c r="G72" i="18"/>
  <c r="CA72" i="6" s="1"/>
  <c r="AA72" i="18"/>
  <c r="Z72" i="18" s="1"/>
  <c r="Y72" i="18" s="1"/>
  <c r="W68" i="22"/>
  <c r="D68" i="22"/>
  <c r="E68" i="22" s="1"/>
  <c r="F68" i="22" s="1"/>
  <c r="B68" i="23"/>
  <c r="W44" i="20"/>
  <c r="D44" i="20"/>
  <c r="E44" i="20" s="1"/>
  <c r="F44" i="20" s="1"/>
  <c r="B44" i="22"/>
  <c r="G40" i="20"/>
  <c r="CB40" i="6" s="1"/>
  <c r="AA40" i="20"/>
  <c r="Z40" i="20" s="1"/>
  <c r="Y40" i="20" s="1"/>
  <c r="W24" i="20"/>
  <c r="D24" i="20"/>
  <c r="E24" i="20" s="1"/>
  <c r="F24" i="20" s="1"/>
  <c r="B24" i="22"/>
  <c r="G377" i="20"/>
  <c r="CB377" i="6" s="1"/>
  <c r="AA377" i="20"/>
  <c r="Z377" i="20" s="1"/>
  <c r="Y377" i="20" s="1"/>
  <c r="W345" i="20"/>
  <c r="D345" i="20"/>
  <c r="E345" i="20" s="1"/>
  <c r="F345" i="20" s="1"/>
  <c r="B345" i="22"/>
  <c r="G343" i="20"/>
  <c r="CB343" i="6" s="1"/>
  <c r="AA343" i="20"/>
  <c r="Z343" i="20" s="1"/>
  <c r="Y343" i="20" s="1"/>
  <c r="G315" i="18"/>
  <c r="CA315" i="6" s="1"/>
  <c r="AA315" i="18"/>
  <c r="Z315" i="18" s="1"/>
  <c r="Y315" i="18" s="1"/>
  <c r="G239" i="18"/>
  <c r="CA239" i="6" s="1"/>
  <c r="AA239" i="18"/>
  <c r="Z239" i="18" s="1"/>
  <c r="Y239" i="18" s="1"/>
  <c r="W213" i="20"/>
  <c r="D213" i="20"/>
  <c r="E213" i="20" s="1"/>
  <c r="F213" i="20" s="1"/>
  <c r="B213" i="22"/>
  <c r="W133" i="20"/>
  <c r="D133" i="20"/>
  <c r="E133" i="20" s="1"/>
  <c r="F133" i="20" s="1"/>
  <c r="B133" i="22"/>
  <c r="W115" i="20"/>
  <c r="D115" i="20"/>
  <c r="E115" i="20" s="1"/>
  <c r="F115" i="20" s="1"/>
  <c r="B115" i="22"/>
  <c r="G113" i="20"/>
  <c r="CB113" i="6" s="1"/>
  <c r="AA113" i="20"/>
  <c r="Z113" i="20" s="1"/>
  <c r="Y113" i="20" s="1"/>
  <c r="G85" i="18"/>
  <c r="CA85" i="6" s="1"/>
  <c r="AA85" i="18"/>
  <c r="Z85" i="18" s="1"/>
  <c r="Y85" i="18" s="1"/>
  <c r="W57" i="22"/>
  <c r="D57" i="22"/>
  <c r="E57" i="22" s="1"/>
  <c r="F57" i="22" s="1"/>
  <c r="B57" i="23"/>
  <c r="AA360" i="20"/>
  <c r="Z360" i="20" s="1"/>
  <c r="Y360" i="20" s="1"/>
  <c r="G360" i="20"/>
  <c r="CB360" i="6" s="1"/>
  <c r="AA322" i="18"/>
  <c r="Z322" i="18" s="1"/>
  <c r="Y322" i="18" s="1"/>
  <c r="G322" i="18"/>
  <c r="CA322" i="6" s="1"/>
  <c r="W280" i="22"/>
  <c r="D280" i="22"/>
  <c r="E280" i="22" s="1"/>
  <c r="F280" i="22" s="1"/>
  <c r="B280" i="23"/>
  <c r="G266" i="18"/>
  <c r="CA266" i="6" s="1"/>
  <c r="AA266" i="18"/>
  <c r="Z266" i="18" s="1"/>
  <c r="Y266" i="18" s="1"/>
  <c r="W234" i="20"/>
  <c r="D234" i="20"/>
  <c r="E234" i="20" s="1"/>
  <c r="F234" i="20" s="1"/>
  <c r="B234" i="22"/>
  <c r="W172" i="22"/>
  <c r="D172" i="22"/>
  <c r="E172" i="22" s="1"/>
  <c r="F172" i="22" s="1"/>
  <c r="B172" i="23"/>
  <c r="G172" i="20"/>
  <c r="CB172" i="6" s="1"/>
  <c r="AA172" i="20"/>
  <c r="Z172" i="20" s="1"/>
  <c r="Y172" i="20" s="1"/>
  <c r="G160" i="18"/>
  <c r="CA160" i="6" s="1"/>
  <c r="AA160" i="18"/>
  <c r="Z160" i="18" s="1"/>
  <c r="Y160" i="18" s="1"/>
  <c r="G122" i="20"/>
  <c r="CB122" i="6" s="1"/>
  <c r="AA122" i="20"/>
  <c r="Z122" i="20" s="1"/>
  <c r="Y122" i="20" s="1"/>
  <c r="G48" i="18"/>
  <c r="CA48" i="6" s="1"/>
  <c r="AA48" i="18"/>
  <c r="Z48" i="18" s="1"/>
  <c r="Y48" i="18" s="1"/>
  <c r="G18" i="20"/>
  <c r="CB18" i="6" s="1"/>
  <c r="AA18" i="20"/>
  <c r="Z18" i="20" s="1"/>
  <c r="Y18" i="20" s="1"/>
  <c r="W20" i="20"/>
  <c r="D20" i="20"/>
  <c r="E20" i="20" s="1"/>
  <c r="F20" i="20" s="1"/>
  <c r="B20" i="22"/>
  <c r="G373" i="18"/>
  <c r="CA373" i="6" s="1"/>
  <c r="AA373" i="18"/>
  <c r="Z373" i="18" s="1"/>
  <c r="Y373" i="18" s="1"/>
  <c r="G357" i="18"/>
  <c r="CA357" i="6" s="1"/>
  <c r="AA357" i="18"/>
  <c r="Z357" i="18" s="1"/>
  <c r="Y357" i="18" s="1"/>
  <c r="G307" i="18"/>
  <c r="CA307" i="6" s="1"/>
  <c r="AA307" i="18"/>
  <c r="Z307" i="18" s="1"/>
  <c r="Y307" i="18" s="1"/>
  <c r="W267" i="20"/>
  <c r="D267" i="20"/>
  <c r="E267" i="20" s="1"/>
  <c r="F267" i="20" s="1"/>
  <c r="B267" i="22"/>
  <c r="W257" i="22"/>
  <c r="D257" i="22"/>
  <c r="E257" i="22" s="1"/>
  <c r="F257" i="22" s="1"/>
  <c r="B257" i="23"/>
  <c r="G257" i="20"/>
  <c r="CB257" i="6" s="1"/>
  <c r="AA257" i="20"/>
  <c r="Z257" i="20" s="1"/>
  <c r="Y257" i="20" s="1"/>
  <c r="G223" i="18"/>
  <c r="CA223" i="6" s="1"/>
  <c r="AA223" i="18"/>
  <c r="Z223" i="18" s="1"/>
  <c r="Y223" i="18" s="1"/>
  <c r="W191" i="20"/>
  <c r="D191" i="20"/>
  <c r="E191" i="20" s="1"/>
  <c r="F191" i="20" s="1"/>
  <c r="B191" i="22"/>
  <c r="G143" i="18"/>
  <c r="CA143" i="6" s="1"/>
  <c r="AA143" i="18"/>
  <c r="Z143" i="18" s="1"/>
  <c r="Y143" i="18" s="1"/>
  <c r="W141" i="22"/>
  <c r="D141" i="22"/>
  <c r="E141" i="22" s="1"/>
  <c r="F141" i="22" s="1"/>
  <c r="B141" i="23"/>
  <c r="AA65" i="18"/>
  <c r="Z65" i="18" s="1"/>
  <c r="Y65" i="18" s="1"/>
  <c r="G65" i="18"/>
  <c r="CA65" i="6" s="1"/>
  <c r="G372" i="18"/>
  <c r="CA372" i="6" s="1"/>
  <c r="AA372" i="18"/>
  <c r="Z372" i="18" s="1"/>
  <c r="Y372" i="18" s="1"/>
  <c r="G148" i="18"/>
  <c r="CA148" i="6" s="1"/>
  <c r="AA148" i="18"/>
  <c r="Z148" i="18" s="1"/>
  <c r="Y148" i="18" s="1"/>
  <c r="W142" i="22"/>
  <c r="D142" i="22"/>
  <c r="E142" i="22" s="1"/>
  <c r="F142" i="22" s="1"/>
  <c r="B142" i="23"/>
  <c r="G142" i="20"/>
  <c r="CB142" i="6" s="1"/>
  <c r="AA142" i="20"/>
  <c r="Z142" i="20" s="1"/>
  <c r="Y142" i="20" s="1"/>
  <c r="G126" i="18"/>
  <c r="CA126" i="6" s="1"/>
  <c r="AA126" i="18"/>
  <c r="Z126" i="18" s="1"/>
  <c r="Y126" i="18" s="1"/>
  <c r="AA96" i="18"/>
  <c r="Z96" i="18" s="1"/>
  <c r="Y96" i="18" s="1"/>
  <c r="G96" i="18"/>
  <c r="CA96" i="6" s="1"/>
  <c r="W80" i="22"/>
  <c r="D80" i="22"/>
  <c r="E80" i="22" s="1"/>
  <c r="F80" i="22" s="1"/>
  <c r="B80" i="23"/>
  <c r="G34" i="18"/>
  <c r="CA34" i="6" s="1"/>
  <c r="AA34" i="18"/>
  <c r="Z34" i="18" s="1"/>
  <c r="Y34" i="18" s="1"/>
  <c r="W371" i="20"/>
  <c r="D371" i="20"/>
  <c r="E371" i="20" s="1"/>
  <c r="F371" i="20" s="1"/>
  <c r="B371" i="22"/>
  <c r="W339" i="20"/>
  <c r="D339" i="20"/>
  <c r="E339" i="20" s="1"/>
  <c r="F339" i="20" s="1"/>
  <c r="B339" i="22"/>
  <c r="AA293" i="20"/>
  <c r="Z293" i="20" s="1"/>
  <c r="Y293" i="20" s="1"/>
  <c r="G293" i="20"/>
  <c r="CB293" i="6" s="1"/>
  <c r="W291" i="20"/>
  <c r="D291" i="20"/>
  <c r="E291" i="20" s="1"/>
  <c r="F291" i="20" s="1"/>
  <c r="B291" i="22"/>
  <c r="G259" i="20"/>
  <c r="CB259" i="6" s="1"/>
  <c r="AA259" i="20"/>
  <c r="Z259" i="20" s="1"/>
  <c r="Y259" i="20" s="1"/>
  <c r="W209" i="22"/>
  <c r="D209" i="22"/>
  <c r="E209" i="22" s="1"/>
  <c r="F209" i="22" s="1"/>
  <c r="B209" i="23"/>
  <c r="G201" i="18"/>
  <c r="CA201" i="6" s="1"/>
  <c r="AA201" i="18"/>
  <c r="Z201" i="18" s="1"/>
  <c r="Y201" i="18" s="1"/>
  <c r="W147" i="22"/>
  <c r="D147" i="22"/>
  <c r="E147" i="22" s="1"/>
  <c r="F147" i="22" s="1"/>
  <c r="B147" i="23"/>
  <c r="G145" i="18"/>
  <c r="CA145" i="6" s="1"/>
  <c r="AA145" i="18"/>
  <c r="Z145" i="18" s="1"/>
  <c r="Y145" i="18" s="1"/>
  <c r="G93" i="20"/>
  <c r="CB93" i="6" s="1"/>
  <c r="AA93" i="20"/>
  <c r="Z93" i="20" s="1"/>
  <c r="Y93" i="20" s="1"/>
  <c r="W87" i="20"/>
  <c r="D87" i="20"/>
  <c r="E87" i="20" s="1"/>
  <c r="F87" i="20" s="1"/>
  <c r="B87" i="22"/>
  <c r="W49" i="20"/>
  <c r="D49" i="20"/>
  <c r="E49" i="20" s="1"/>
  <c r="F49" i="20" s="1"/>
  <c r="B49" i="22"/>
  <c r="W320" i="22"/>
  <c r="D320" i="22"/>
  <c r="E320" i="22" s="1"/>
  <c r="F320" i="22" s="1"/>
  <c r="B320" i="23"/>
  <c r="W276" i="22"/>
  <c r="D276" i="22"/>
  <c r="E276" i="22" s="1"/>
  <c r="F276" i="22" s="1"/>
  <c r="B276" i="23"/>
  <c r="W260" i="22"/>
  <c r="D260" i="22"/>
  <c r="E260" i="22" s="1"/>
  <c r="F260" i="22" s="1"/>
  <c r="B260" i="23"/>
  <c r="W254" i="20"/>
  <c r="D254" i="20"/>
  <c r="E254" i="20" s="1"/>
  <c r="F254" i="20" s="1"/>
  <c r="B254" i="22"/>
  <c r="W220" i="20"/>
  <c r="D220" i="20"/>
  <c r="E220" i="20" s="1"/>
  <c r="F220" i="20" s="1"/>
  <c r="B220" i="22"/>
  <c r="G140" i="18"/>
  <c r="CA140" i="6" s="1"/>
  <c r="AA140" i="18"/>
  <c r="Z140" i="18" s="1"/>
  <c r="Y140" i="18" s="1"/>
  <c r="G110" i="18"/>
  <c r="CA110" i="6" s="1"/>
  <c r="AA110" i="18"/>
  <c r="Z110" i="18" s="1"/>
  <c r="Y110" i="18" s="1"/>
  <c r="W42" i="20"/>
  <c r="D42" i="20"/>
  <c r="E42" i="20" s="1"/>
  <c r="F42" i="20" s="1"/>
  <c r="B42" i="22"/>
  <c r="W317" i="20"/>
  <c r="D317" i="20"/>
  <c r="E317" i="20" s="1"/>
  <c r="F317" i="20" s="1"/>
  <c r="B317" i="22"/>
  <c r="W249" i="20"/>
  <c r="D249" i="20"/>
  <c r="E249" i="20" s="1"/>
  <c r="F249" i="20" s="1"/>
  <c r="B249" i="22"/>
  <c r="G185" i="18"/>
  <c r="CA185" i="6" s="1"/>
  <c r="AA185" i="18"/>
  <c r="Z185" i="18" s="1"/>
  <c r="Y185" i="18" s="1"/>
  <c r="G63" i="20"/>
  <c r="CB63" i="6" s="1"/>
  <c r="AA63" i="20"/>
  <c r="Z63" i="20" s="1"/>
  <c r="Y63" i="20" s="1"/>
  <c r="AA37" i="18"/>
  <c r="Z37" i="18" s="1"/>
  <c r="Y37" i="18" s="1"/>
  <c r="G37" i="18"/>
  <c r="CA37" i="6" s="1"/>
  <c r="W88" i="20"/>
  <c r="D88" i="20"/>
  <c r="E88" i="20" s="1"/>
  <c r="F88" i="20" s="1"/>
  <c r="B88" i="22"/>
  <c r="AA244" i="18"/>
  <c r="Z244" i="18" s="1"/>
  <c r="Y244" i="18" s="1"/>
  <c r="G244" i="18"/>
  <c r="CA244" i="6" s="1"/>
  <c r="W241" i="22"/>
  <c r="D241" i="22"/>
  <c r="E241" i="22" s="1"/>
  <c r="F241" i="22" s="1"/>
  <c r="B241" i="23"/>
  <c r="W189" i="22"/>
  <c r="D189" i="22"/>
  <c r="E189" i="22" s="1"/>
  <c r="F189" i="22" s="1"/>
  <c r="B189" i="23"/>
  <c r="G154" i="20"/>
  <c r="CB154" i="6" s="1"/>
  <c r="AA154" i="20"/>
  <c r="Z154" i="20" s="1"/>
  <c r="Y154" i="20" s="1"/>
  <c r="W368" i="22"/>
  <c r="D368" i="22"/>
  <c r="E368" i="22" s="1"/>
  <c r="F368" i="22" s="1"/>
  <c r="B368" i="23"/>
  <c r="W272" i="20"/>
  <c r="D272" i="20"/>
  <c r="E272" i="20" s="1"/>
  <c r="F272" i="20" s="1"/>
  <c r="B272" i="22"/>
  <c r="G346" i="18"/>
  <c r="CA346" i="6" s="1"/>
  <c r="AA346" i="18"/>
  <c r="Z346" i="18" s="1"/>
  <c r="Y346" i="18" s="1"/>
  <c r="AA248" i="18"/>
  <c r="Z248" i="18" s="1"/>
  <c r="Y248" i="18" s="1"/>
  <c r="G248" i="18"/>
  <c r="CA248" i="6" s="1"/>
  <c r="D22" i="20"/>
  <c r="E22" i="20" s="1"/>
  <c r="F22" i="20" s="1"/>
  <c r="W22" i="20"/>
  <c r="B22" i="22"/>
  <c r="W166" i="22"/>
  <c r="D166" i="22"/>
  <c r="E166" i="22" s="1"/>
  <c r="F166" i="22" s="1"/>
  <c r="B166" i="23"/>
  <c r="W67" i="20"/>
  <c r="D67" i="20"/>
  <c r="E67" i="20" s="1"/>
  <c r="F67" i="20" s="1"/>
  <c r="B67" i="22"/>
  <c r="W105" i="22"/>
  <c r="D105" i="22"/>
  <c r="E105" i="22" s="1"/>
  <c r="F105" i="22" s="1"/>
  <c r="B105" i="23"/>
  <c r="W196" i="20"/>
  <c r="D196" i="20"/>
  <c r="E196" i="20" s="1"/>
  <c r="F196" i="20" s="1"/>
  <c r="B196" i="22"/>
  <c r="G363" i="20"/>
  <c r="CB363" i="6" s="1"/>
  <c r="AA363" i="20"/>
  <c r="Z363" i="20" s="1"/>
  <c r="Y363" i="20" s="1"/>
  <c r="W119" i="20"/>
  <c r="D119" i="20"/>
  <c r="E119" i="20" s="1"/>
  <c r="F119" i="20" s="1"/>
  <c r="B119" i="22"/>
  <c r="W232" i="20"/>
  <c r="D232" i="20"/>
  <c r="E232" i="20" s="1"/>
  <c r="F232" i="20" s="1"/>
  <c r="B232" i="22"/>
  <c r="G295" i="18"/>
  <c r="CA295" i="6" s="1"/>
  <c r="AA295" i="18"/>
  <c r="Z295" i="18" s="1"/>
  <c r="Y295" i="18" s="1"/>
  <c r="D62" i="20"/>
  <c r="E62" i="20" s="1"/>
  <c r="F62" i="20" s="1"/>
  <c r="W62" i="20"/>
  <c r="B62" i="22"/>
  <c r="W309" i="20"/>
  <c r="D309" i="20"/>
  <c r="E309" i="20" s="1"/>
  <c r="F309" i="20" s="1"/>
  <c r="B309" i="22"/>
  <c r="W235" i="22"/>
  <c r="D235" i="22"/>
  <c r="E235" i="22" s="1"/>
  <c r="F235" i="22" s="1"/>
  <c r="B235" i="23"/>
  <c r="G125" i="18"/>
  <c r="CA125" i="6" s="1"/>
  <c r="AA125" i="18"/>
  <c r="Z125" i="18" s="1"/>
  <c r="Y125" i="18" s="1"/>
  <c r="W103" i="22"/>
  <c r="D103" i="22"/>
  <c r="E103" i="22" s="1"/>
  <c r="F103" i="22" s="1"/>
  <c r="B103" i="23"/>
  <c r="G157" i="18"/>
  <c r="CA157" i="6" s="1"/>
  <c r="AA157" i="18"/>
  <c r="Z157" i="18" s="1"/>
  <c r="Y157" i="18" s="1"/>
  <c r="W52" i="22"/>
  <c r="D52" i="22"/>
  <c r="E52" i="22" s="1"/>
  <c r="F52" i="22" s="1"/>
  <c r="B52" i="23"/>
  <c r="W374" i="20"/>
  <c r="D374" i="20"/>
  <c r="E374" i="20" s="1"/>
  <c r="F374" i="20" s="1"/>
  <c r="B374" i="22"/>
  <c r="W311" i="20"/>
  <c r="D311" i="20"/>
  <c r="E311" i="20" s="1"/>
  <c r="F311" i="20" s="1"/>
  <c r="B311" i="22"/>
  <c r="G305" i="20"/>
  <c r="CB305" i="6" s="1"/>
  <c r="AA305" i="20"/>
  <c r="Z305" i="20" s="1"/>
  <c r="Y305" i="20" s="1"/>
  <c r="W310" i="20"/>
  <c r="D310" i="20"/>
  <c r="E310" i="20" s="1"/>
  <c r="F310" i="20" s="1"/>
  <c r="B310" i="22"/>
  <c r="G252" i="20"/>
  <c r="CB252" i="6" s="1"/>
  <c r="AA252" i="20"/>
  <c r="Z252" i="20" s="1"/>
  <c r="Y252" i="20" s="1"/>
  <c r="W378" i="20"/>
  <c r="D378" i="20"/>
  <c r="E378" i="20" s="1"/>
  <c r="F378" i="20" s="1"/>
  <c r="B378" i="22"/>
  <c r="G204" i="20"/>
  <c r="CB204" i="6" s="1"/>
  <c r="AA204" i="20"/>
  <c r="Z204" i="20" s="1"/>
  <c r="Y204" i="20" s="1"/>
  <c r="G90" i="18"/>
  <c r="CA90" i="6" s="1"/>
  <c r="AA90" i="18"/>
  <c r="Z90" i="18" s="1"/>
  <c r="Y90" i="18" s="1"/>
  <c r="G222" i="20"/>
  <c r="CB222" i="6" s="1"/>
  <c r="AA222" i="20"/>
  <c r="Z222" i="20" s="1"/>
  <c r="Y222" i="20" s="1"/>
  <c r="D137" i="20"/>
  <c r="E137" i="20" s="1"/>
  <c r="F137" i="20" s="1"/>
  <c r="W137" i="20"/>
  <c r="B137" i="22"/>
  <c r="W362" i="20"/>
  <c r="D362" i="20"/>
  <c r="E362" i="20" s="1"/>
  <c r="F362" i="20" s="1"/>
  <c r="B362" i="22"/>
  <c r="W290" i="20"/>
  <c r="D290" i="20"/>
  <c r="E290" i="20" s="1"/>
  <c r="F290" i="20" s="1"/>
  <c r="B290" i="22"/>
  <c r="G286" i="20"/>
  <c r="CB286" i="6" s="1"/>
  <c r="AA286" i="20"/>
  <c r="Z286" i="20" s="1"/>
  <c r="Y286" i="20" s="1"/>
  <c r="G264" i="18"/>
  <c r="CA264" i="6" s="1"/>
  <c r="AA264" i="18"/>
  <c r="Z264" i="18" s="1"/>
  <c r="Y264" i="18" s="1"/>
  <c r="H264" i="18"/>
  <c r="W242" i="22"/>
  <c r="D242" i="22"/>
  <c r="E242" i="22" s="1"/>
  <c r="F242" i="22" s="1"/>
  <c r="B242" i="23"/>
  <c r="G214" i="18"/>
  <c r="CA214" i="6" s="1"/>
  <c r="AA214" i="18"/>
  <c r="Z214" i="18" s="1"/>
  <c r="Y214" i="18" s="1"/>
  <c r="G198" i="18"/>
  <c r="CA198" i="6" s="1"/>
  <c r="AA198" i="18"/>
  <c r="Z198" i="18" s="1"/>
  <c r="Y198" i="18" s="1"/>
  <c r="W186" i="20"/>
  <c r="D186" i="20"/>
  <c r="E186" i="20" s="1"/>
  <c r="F186" i="20" s="1"/>
  <c r="B186" i="22"/>
  <c r="W158" i="22"/>
  <c r="D158" i="22"/>
  <c r="E158" i="22" s="1"/>
  <c r="F158" i="22" s="1"/>
  <c r="B158" i="23"/>
  <c r="W102" i="20"/>
  <c r="D102" i="20"/>
  <c r="E102" i="20" s="1"/>
  <c r="F102" i="20" s="1"/>
  <c r="B102" i="22"/>
  <c r="AA82" i="20"/>
  <c r="Z82" i="20" s="1"/>
  <c r="Y82" i="20" s="1"/>
  <c r="G82" i="20"/>
  <c r="CB82" i="6" s="1"/>
  <c r="AA58" i="18"/>
  <c r="Z58" i="18" s="1"/>
  <c r="Y58" i="18" s="1"/>
  <c r="G58" i="18"/>
  <c r="CA58" i="6" s="1"/>
  <c r="G36" i="18"/>
  <c r="CA36" i="6" s="1"/>
  <c r="AA36" i="18"/>
  <c r="Z36" i="18" s="1"/>
  <c r="Y36" i="18" s="1"/>
  <c r="W355" i="20"/>
  <c r="D355" i="20"/>
  <c r="E355" i="20" s="1"/>
  <c r="F355" i="20" s="1"/>
  <c r="B355" i="22"/>
  <c r="AA279" i="18"/>
  <c r="Z279" i="18" s="1"/>
  <c r="Y279" i="18" s="1"/>
  <c r="G279" i="18"/>
  <c r="CA279" i="6" s="1"/>
  <c r="AA237" i="20"/>
  <c r="Z237" i="20" s="1"/>
  <c r="Y237" i="20" s="1"/>
  <c r="G237" i="20"/>
  <c r="CB237" i="6" s="1"/>
  <c r="W225" i="20"/>
  <c r="D225" i="20"/>
  <c r="E225" i="20" s="1"/>
  <c r="F225" i="20" s="1"/>
  <c r="B225" i="22"/>
  <c r="W199" i="22"/>
  <c r="D199" i="22"/>
  <c r="E199" i="22" s="1"/>
  <c r="F199" i="22" s="1"/>
  <c r="B199" i="23"/>
  <c r="G165" i="18"/>
  <c r="CA165" i="6" s="1"/>
  <c r="AA165" i="18"/>
  <c r="Z165" i="18" s="1"/>
  <c r="Y165" i="18" s="1"/>
  <c r="W121" i="20"/>
  <c r="D121" i="20"/>
  <c r="E121" i="20" s="1"/>
  <c r="F121" i="20" s="1"/>
  <c r="B121" i="22"/>
  <c r="G117" i="20"/>
  <c r="CB117" i="6" s="1"/>
  <c r="AA117" i="20"/>
  <c r="Z117" i="20" s="1"/>
  <c r="Y117" i="20" s="1"/>
  <c r="G109" i="18"/>
  <c r="CA109" i="6" s="1"/>
  <c r="AA109" i="18"/>
  <c r="Z109" i="18" s="1"/>
  <c r="Y109" i="18" s="1"/>
  <c r="G91" i="20"/>
  <c r="CB91" i="6" s="1"/>
  <c r="AA91" i="20"/>
  <c r="Z91" i="20" s="1"/>
  <c r="Y91" i="20" s="1"/>
  <c r="G51" i="18"/>
  <c r="CA51" i="6" s="1"/>
  <c r="AA51" i="18"/>
  <c r="Z51" i="18" s="1"/>
  <c r="Y51" i="18" s="1"/>
  <c r="G41" i="20"/>
  <c r="CB41" i="6" s="1"/>
  <c r="AA41" i="20"/>
  <c r="Z41" i="20" s="1"/>
  <c r="Y41" i="20" s="1"/>
  <c r="W25" i="20"/>
  <c r="D25" i="20"/>
  <c r="E25" i="20" s="1"/>
  <c r="F25" i="20" s="1"/>
  <c r="B25" i="22"/>
  <c r="W26" i="22"/>
  <c r="D26" i="22"/>
  <c r="E26" i="22" s="1"/>
  <c r="F26" i="22" s="1"/>
  <c r="B26" i="23"/>
  <c r="W370" i="22"/>
  <c r="D370" i="22"/>
  <c r="E370" i="22" s="1"/>
  <c r="F370" i="22" s="1"/>
  <c r="B370" i="23"/>
  <c r="G364" i="18"/>
  <c r="CA364" i="6" s="1"/>
  <c r="AA364" i="18"/>
  <c r="Z364" i="18" s="1"/>
  <c r="Y364" i="18" s="1"/>
  <c r="G330" i="18"/>
  <c r="CA330" i="6" s="1"/>
  <c r="AA330" i="18"/>
  <c r="Z330" i="18" s="1"/>
  <c r="Y330" i="18" s="1"/>
  <c r="G304" i="20"/>
  <c r="CB304" i="6" s="1"/>
  <c r="AA304" i="20"/>
  <c r="Z304" i="20" s="1"/>
  <c r="Y304" i="20" s="1"/>
  <c r="W292" i="20"/>
  <c r="D292" i="20"/>
  <c r="E292" i="20" s="1"/>
  <c r="F292" i="20" s="1"/>
  <c r="B292" i="22"/>
  <c r="G256" i="18"/>
  <c r="CA256" i="6" s="1"/>
  <c r="AA256" i="18"/>
  <c r="Z256" i="18" s="1"/>
  <c r="Y256" i="18" s="1"/>
  <c r="W202" i="22"/>
  <c r="D202" i="22"/>
  <c r="E202" i="22" s="1"/>
  <c r="F202" i="22" s="1"/>
  <c r="B202" i="23"/>
  <c r="G184" i="18"/>
  <c r="CA184" i="6" s="1"/>
  <c r="AA184" i="18"/>
  <c r="Z184" i="18" s="1"/>
  <c r="Y184" i="18" s="1"/>
  <c r="W138" i="22"/>
  <c r="D138" i="22"/>
  <c r="E138" i="22" s="1"/>
  <c r="F138" i="22" s="1"/>
  <c r="B138" i="23"/>
  <c r="G124" i="18"/>
  <c r="CA124" i="6" s="1"/>
  <c r="AA124" i="18"/>
  <c r="Z124" i="18" s="1"/>
  <c r="Y124" i="18" s="1"/>
  <c r="G27" i="18"/>
  <c r="CA27" i="6" s="1"/>
  <c r="AA27" i="18"/>
  <c r="Z27" i="18" s="1"/>
  <c r="Y27" i="18" s="1"/>
  <c r="D288" i="20"/>
  <c r="E288" i="20" s="1"/>
  <c r="F288" i="20" s="1"/>
  <c r="W288" i="20"/>
  <c r="B288" i="22"/>
  <c r="W375" i="22"/>
  <c r="D375" i="22"/>
  <c r="E375" i="22" s="1"/>
  <c r="F375" i="22" s="1"/>
  <c r="B375" i="23"/>
  <c r="D325" i="20"/>
  <c r="E325" i="20" s="1"/>
  <c r="F325" i="20" s="1"/>
  <c r="W325" i="20"/>
  <c r="B325" i="22"/>
  <c r="W313" i="22"/>
  <c r="D313" i="22"/>
  <c r="E313" i="22" s="1"/>
  <c r="F313" i="22" s="1"/>
  <c r="B313" i="23"/>
  <c r="W277" i="20"/>
  <c r="D277" i="20"/>
  <c r="E277" i="20" s="1"/>
  <c r="F277" i="20" s="1"/>
  <c r="B277" i="22"/>
  <c r="W245" i="20"/>
  <c r="D245" i="20"/>
  <c r="E245" i="20" s="1"/>
  <c r="F245" i="20" s="1"/>
  <c r="B245" i="22"/>
  <c r="G231" i="20"/>
  <c r="CB231" i="6" s="1"/>
  <c r="AA231" i="20"/>
  <c r="Z231" i="20" s="1"/>
  <c r="Y231" i="20" s="1"/>
  <c r="W203" i="20"/>
  <c r="D203" i="20"/>
  <c r="E203" i="20" s="1"/>
  <c r="F203" i="20" s="1"/>
  <c r="B203" i="22"/>
  <c r="W169" i="20"/>
  <c r="D169" i="20"/>
  <c r="E169" i="20" s="1"/>
  <c r="F169" i="20" s="1"/>
  <c r="B169" i="22"/>
  <c r="AA151" i="20"/>
  <c r="Z151" i="20" s="1"/>
  <c r="Y151" i="20" s="1"/>
  <c r="G151" i="20"/>
  <c r="CB151" i="6" s="1"/>
  <c r="G139" i="18"/>
  <c r="CA139" i="6" s="1"/>
  <c r="AA139" i="18"/>
  <c r="Z139" i="18" s="1"/>
  <c r="Y139" i="18" s="1"/>
  <c r="AA107" i="20"/>
  <c r="Z107" i="20" s="1"/>
  <c r="Y107" i="20" s="1"/>
  <c r="G107" i="20"/>
  <c r="CB107" i="6" s="1"/>
  <c r="G53" i="18"/>
  <c r="CA53" i="6" s="1"/>
  <c r="AA53" i="18"/>
  <c r="Z53" i="18" s="1"/>
  <c r="Y53" i="18" s="1"/>
  <c r="G39" i="20"/>
  <c r="CB39" i="6" s="1"/>
  <c r="AA39" i="20"/>
  <c r="Z39" i="20" s="1"/>
  <c r="Y39" i="20" s="1"/>
  <c r="G334" i="18"/>
  <c r="CA334" i="6" s="1"/>
  <c r="AA334" i="18"/>
  <c r="Z334" i="18" s="1"/>
  <c r="Y334" i="18" s="1"/>
  <c r="W296" i="20"/>
  <c r="D296" i="20"/>
  <c r="E296" i="20" s="1"/>
  <c r="F296" i="20" s="1"/>
  <c r="B296" i="22"/>
  <c r="G296" i="18"/>
  <c r="CA296" i="6" s="1"/>
  <c r="AA296" i="18"/>
  <c r="Z296" i="18" s="1"/>
  <c r="Y296" i="18" s="1"/>
  <c r="H296" i="18"/>
  <c r="G228" i="20"/>
  <c r="CB228" i="6" s="1"/>
  <c r="AA228" i="20"/>
  <c r="Z228" i="20" s="1"/>
  <c r="Y228" i="20" s="1"/>
  <c r="W218" i="20"/>
  <c r="D218" i="20"/>
  <c r="E218" i="20" s="1"/>
  <c r="F218" i="20" s="1"/>
  <c r="B218" i="22"/>
  <c r="G192" i="20"/>
  <c r="CB192" i="6" s="1"/>
  <c r="AA192" i="20"/>
  <c r="Z192" i="20" s="1"/>
  <c r="Y192" i="20" s="1"/>
  <c r="W188" i="20"/>
  <c r="D188" i="20"/>
  <c r="E188" i="20" s="1"/>
  <c r="F188" i="20" s="1"/>
  <c r="B188" i="22"/>
  <c r="G146" i="20"/>
  <c r="CB146" i="6" s="1"/>
  <c r="AA146" i="20"/>
  <c r="Z146" i="20" s="1"/>
  <c r="Y146" i="20" s="1"/>
  <c r="W144" i="20"/>
  <c r="D144" i="20"/>
  <c r="E144" i="20" s="1"/>
  <c r="F144" i="20" s="1"/>
  <c r="B144" i="22"/>
  <c r="W120" i="22"/>
  <c r="D120" i="22"/>
  <c r="E120" i="22" s="1"/>
  <c r="F120" i="22" s="1"/>
  <c r="B120" i="23"/>
  <c r="W112" i="20"/>
  <c r="D112" i="20"/>
  <c r="E112" i="20" s="1"/>
  <c r="F112" i="20" s="1"/>
  <c r="B112" i="22"/>
  <c r="G94" i="20"/>
  <c r="CB94" i="6" s="1"/>
  <c r="AA94" i="20"/>
  <c r="Z94" i="20" s="1"/>
  <c r="Y94" i="20" s="1"/>
  <c r="D86" i="20"/>
  <c r="E86" i="20" s="1"/>
  <c r="F86" i="20" s="1"/>
  <c r="W86" i="20"/>
  <c r="B86" i="22"/>
  <c r="D303" i="20"/>
  <c r="E303" i="20" s="1"/>
  <c r="F303" i="20" s="1"/>
  <c r="W303" i="20"/>
  <c r="B303" i="22"/>
  <c r="G285" i="20"/>
  <c r="CB285" i="6" s="1"/>
  <c r="AA285" i="20"/>
  <c r="Z285" i="20" s="1"/>
  <c r="Y285" i="20" s="1"/>
  <c r="D275" i="20"/>
  <c r="E275" i="20" s="1"/>
  <c r="F275" i="20" s="1"/>
  <c r="W275" i="20"/>
  <c r="B275" i="22"/>
  <c r="W233" i="20"/>
  <c r="D233" i="20"/>
  <c r="E233" i="20" s="1"/>
  <c r="F233" i="20" s="1"/>
  <c r="B233" i="22"/>
  <c r="D221" i="22"/>
  <c r="E221" i="22" s="1"/>
  <c r="F221" i="22" s="1"/>
  <c r="W221" i="22"/>
  <c r="B221" i="23"/>
  <c r="G215" i="18"/>
  <c r="CA215" i="6" s="1"/>
  <c r="AA215" i="18"/>
  <c r="Z215" i="18" s="1"/>
  <c r="Y215" i="18" s="1"/>
  <c r="W195" i="22"/>
  <c r="D195" i="22"/>
  <c r="E195" i="22" s="1"/>
  <c r="F195" i="22" s="1"/>
  <c r="B195" i="23"/>
  <c r="G181" i="18"/>
  <c r="CA181" i="6" s="1"/>
  <c r="AA181" i="18"/>
  <c r="Z181" i="18" s="1"/>
  <c r="Y181" i="18" s="1"/>
  <c r="W123" i="20"/>
  <c r="D123" i="20"/>
  <c r="E123" i="20" s="1"/>
  <c r="F123" i="20" s="1"/>
  <c r="B123" i="22"/>
  <c r="G71" i="18"/>
  <c r="CA71" i="6" s="1"/>
  <c r="AA71" i="18"/>
  <c r="Z71" i="18" s="1"/>
  <c r="Y71" i="18" s="1"/>
  <c r="W47" i="22"/>
  <c r="D47" i="22"/>
  <c r="E47" i="22" s="1"/>
  <c r="F47" i="22" s="1"/>
  <c r="B47" i="23"/>
  <c r="W45" i="20"/>
  <c r="D45" i="20"/>
  <c r="E45" i="20" s="1"/>
  <c r="F45" i="20" s="1"/>
  <c r="B45" i="22"/>
  <c r="W21" i="20"/>
  <c r="D21" i="20"/>
  <c r="E21" i="20" s="1"/>
  <c r="F21" i="20" s="1"/>
  <c r="B21" i="22"/>
  <c r="G336" i="20"/>
  <c r="CB336" i="6" s="1"/>
  <c r="AA336" i="20"/>
  <c r="Z336" i="20" s="1"/>
  <c r="Y336" i="20" s="1"/>
  <c r="G328" i="18"/>
  <c r="CA328" i="6" s="1"/>
  <c r="AA328" i="18"/>
  <c r="Z328" i="18" s="1"/>
  <c r="Y328" i="18" s="1"/>
  <c r="D308" i="22"/>
  <c r="E308" i="22" s="1"/>
  <c r="F308" i="22" s="1"/>
  <c r="W308" i="22"/>
  <c r="B308" i="23"/>
  <c r="W282" i="20"/>
  <c r="D282" i="20"/>
  <c r="E282" i="20" s="1"/>
  <c r="F282" i="20" s="1"/>
  <c r="B282" i="22"/>
  <c r="G268" i="18"/>
  <c r="CA268" i="6" s="1"/>
  <c r="AA268" i="18"/>
  <c r="Z268" i="18" s="1"/>
  <c r="Y268" i="18" s="1"/>
  <c r="G246" i="18"/>
  <c r="CA246" i="6" s="1"/>
  <c r="AA246" i="18"/>
  <c r="Z246" i="18" s="1"/>
  <c r="Y246" i="18" s="1"/>
  <c r="W230" i="22"/>
  <c r="D230" i="22"/>
  <c r="E230" i="22" s="1"/>
  <c r="F230" i="22" s="1"/>
  <c r="B230" i="23"/>
  <c r="W176" i="20"/>
  <c r="D176" i="20"/>
  <c r="E176" i="20" s="1"/>
  <c r="F176" i="20" s="1"/>
  <c r="B176" i="22"/>
  <c r="W128" i="20"/>
  <c r="D128" i="20"/>
  <c r="E128" i="20" s="1"/>
  <c r="F128" i="20" s="1"/>
  <c r="B128" i="22"/>
  <c r="W118" i="22"/>
  <c r="D118" i="22"/>
  <c r="E118" i="22" s="1"/>
  <c r="F118" i="22" s="1"/>
  <c r="B118" i="23"/>
  <c r="G104" i="18"/>
  <c r="CA104" i="6" s="1"/>
  <c r="AA104" i="18"/>
  <c r="Z104" i="18" s="1"/>
  <c r="Y104" i="18" s="1"/>
  <c r="G92" i="20"/>
  <c r="CB92" i="6" s="1"/>
  <c r="AA92" i="20"/>
  <c r="Z92" i="20" s="1"/>
  <c r="Y92" i="20" s="1"/>
  <c r="G56" i="18"/>
  <c r="CA56" i="6" s="1"/>
  <c r="AA56" i="18"/>
  <c r="Z56" i="18" s="1"/>
  <c r="Y56" i="18" s="1"/>
  <c r="G361" i="18"/>
  <c r="CA361" i="6" s="1"/>
  <c r="AA361" i="18"/>
  <c r="Z361" i="18" s="1"/>
  <c r="Y361" i="18" s="1"/>
  <c r="G273" i="18"/>
  <c r="CA273" i="6" s="1"/>
  <c r="AA273" i="18"/>
  <c r="Z273" i="18" s="1"/>
  <c r="Y273" i="18" s="1"/>
  <c r="D271" i="22"/>
  <c r="E271" i="22" s="1"/>
  <c r="F271" i="22" s="1"/>
  <c r="W271" i="22"/>
  <c r="B271" i="23"/>
  <c r="W219" i="20"/>
  <c r="D219" i="20"/>
  <c r="E219" i="20" s="1"/>
  <c r="F219" i="20" s="1"/>
  <c r="B219" i="22"/>
  <c r="AA197" i="20"/>
  <c r="Z197" i="20" s="1"/>
  <c r="Y197" i="20" s="1"/>
  <c r="G197" i="20"/>
  <c r="CB197" i="6" s="1"/>
  <c r="W173" i="20"/>
  <c r="D173" i="20"/>
  <c r="E173" i="20" s="1"/>
  <c r="F173" i="20" s="1"/>
  <c r="B173" i="22"/>
  <c r="W127" i="20"/>
  <c r="D127" i="20"/>
  <c r="E127" i="20" s="1"/>
  <c r="F127" i="20" s="1"/>
  <c r="B127" i="22"/>
  <c r="D101" i="22"/>
  <c r="E101" i="22" s="1"/>
  <c r="F101" i="22" s="1"/>
  <c r="W101" i="22"/>
  <c r="B101" i="23"/>
  <c r="D89" i="20"/>
  <c r="E89" i="20" s="1"/>
  <c r="F89" i="20" s="1"/>
  <c r="W89" i="20"/>
  <c r="B89" i="22"/>
  <c r="G83" i="20"/>
  <c r="CB83" i="6" s="1"/>
  <c r="AA83" i="20"/>
  <c r="Z83" i="20" s="1"/>
  <c r="Y83" i="20" s="1"/>
  <c r="D61" i="20"/>
  <c r="E61" i="20" s="1"/>
  <c r="F61" i="20" s="1"/>
  <c r="W61" i="20"/>
  <c r="B61" i="22"/>
  <c r="G287" i="18"/>
  <c r="CA287" i="6" s="1"/>
  <c r="AA287" i="18"/>
  <c r="Z287" i="18" s="1"/>
  <c r="Y287" i="18" s="1"/>
  <c r="AA130" i="20"/>
  <c r="Z130" i="20" s="1"/>
  <c r="Y130" i="20" s="1"/>
  <c r="G130" i="20"/>
  <c r="CB130" i="6" s="1"/>
  <c r="W175" i="22"/>
  <c r="D175" i="22"/>
  <c r="E175" i="22" s="1"/>
  <c r="F175" i="22" s="1"/>
  <c r="B175" i="23"/>
  <c r="G253" i="18"/>
  <c r="CA253" i="6" s="1"/>
  <c r="AA253" i="18"/>
  <c r="Z253" i="18" s="1"/>
  <c r="Y253" i="18" s="1"/>
  <c r="H253" i="18"/>
  <c r="AA369" i="18"/>
  <c r="Z369" i="18" s="1"/>
  <c r="Y369" i="18" s="1"/>
  <c r="G369" i="18"/>
  <c r="CA369" i="6" s="1"/>
  <c r="W302" i="22"/>
  <c r="D302" i="22"/>
  <c r="E302" i="22" s="1"/>
  <c r="F302" i="22" s="1"/>
  <c r="B302" i="23"/>
  <c r="G347" i="18"/>
  <c r="CA347" i="6" s="1"/>
  <c r="AA347" i="18"/>
  <c r="Z347" i="18" s="1"/>
  <c r="Y347" i="18" s="1"/>
  <c r="G376" i="18"/>
  <c r="CA376" i="6" s="1"/>
  <c r="AA376" i="18"/>
  <c r="Z376" i="18" s="1"/>
  <c r="Y376" i="18" s="1"/>
  <c r="G66" i="20"/>
  <c r="CB66" i="6" s="1"/>
  <c r="AA66" i="20"/>
  <c r="Z66" i="20" s="1"/>
  <c r="Y66" i="20" s="1"/>
  <c r="W194" i="20"/>
  <c r="D194" i="20"/>
  <c r="E194" i="20" s="1"/>
  <c r="F194" i="20" s="1"/>
  <c r="B194" i="22"/>
  <c r="W171" i="20"/>
  <c r="D171" i="20"/>
  <c r="E171" i="20" s="1"/>
  <c r="F171" i="20" s="1"/>
  <c r="B171" i="22"/>
  <c r="AA278" i="20"/>
  <c r="Z278" i="20" s="1"/>
  <c r="Y278" i="20" s="1"/>
  <c r="G278" i="20"/>
  <c r="CB278" i="6" s="1"/>
  <c r="G75" i="18"/>
  <c r="CA75" i="6" s="1"/>
  <c r="AA75" i="18"/>
  <c r="Z75" i="18" s="1"/>
  <c r="Y75" i="18" s="1"/>
  <c r="D111" i="22"/>
  <c r="E111" i="22" s="1"/>
  <c r="F111" i="22" s="1"/>
  <c r="W111" i="22"/>
  <c r="B111" i="23"/>
  <c r="W261" i="20"/>
  <c r="D261" i="20"/>
  <c r="E261" i="20" s="1"/>
  <c r="F261" i="20" s="1"/>
  <c r="B261" i="22"/>
  <c r="D17" i="22"/>
  <c r="E17" i="22" s="1"/>
  <c r="F17" i="22" s="1"/>
  <c r="W17" i="22"/>
  <c r="B17" i="23"/>
  <c r="G17" i="20"/>
  <c r="CB17" i="6" s="1"/>
  <c r="AA17" i="20"/>
  <c r="Z17" i="20" s="1"/>
  <c r="Y17" i="20" s="1"/>
  <c r="G74" i="18"/>
  <c r="CA74" i="6" s="1"/>
  <c r="AA74" i="18"/>
  <c r="Z74" i="18" s="1"/>
  <c r="Y74" i="18" s="1"/>
  <c r="W319" i="22"/>
  <c r="D319" i="22"/>
  <c r="E319" i="22" s="1"/>
  <c r="F319" i="22" s="1"/>
  <c r="B319" i="23"/>
  <c r="D349" i="20"/>
  <c r="E349" i="20" s="1"/>
  <c r="F349" i="20" s="1"/>
  <c r="W349" i="20"/>
  <c r="B349" i="22"/>
  <c r="W46" i="20"/>
  <c r="D46" i="20"/>
  <c r="E46" i="20" s="1"/>
  <c r="F46" i="20" s="1"/>
  <c r="B46" i="22"/>
  <c r="W298" i="22"/>
  <c r="D298" i="22"/>
  <c r="E298" i="22" s="1"/>
  <c r="F298" i="22" s="1"/>
  <c r="B298" i="23"/>
  <c r="G298" i="20"/>
  <c r="CB298" i="6" s="1"/>
  <c r="AA298" i="20"/>
  <c r="Z298" i="20" s="1"/>
  <c r="Y298" i="20" s="1"/>
  <c r="G187" i="18"/>
  <c r="CA187" i="6" s="1"/>
  <c r="AA187" i="18"/>
  <c r="Z187" i="18" s="1"/>
  <c r="Y187" i="18" s="1"/>
  <c r="W365" i="20"/>
  <c r="D365" i="20"/>
  <c r="E365" i="20" s="1"/>
  <c r="F365" i="20" s="1"/>
  <c r="B365" i="22"/>
  <c r="W149" i="22"/>
  <c r="D149" i="22"/>
  <c r="E149" i="22" s="1"/>
  <c r="F149" i="22" s="1"/>
  <c r="B149" i="23"/>
  <c r="W60" i="20"/>
  <c r="D60" i="20"/>
  <c r="E60" i="20" s="1"/>
  <c r="F60" i="20" s="1"/>
  <c r="B60" i="22"/>
  <c r="G33" i="20"/>
  <c r="CB33" i="6" s="1"/>
  <c r="AA33" i="20"/>
  <c r="Z33" i="20" s="1"/>
  <c r="Y33" i="20" s="1"/>
  <c r="G352" i="18"/>
  <c r="CA352" i="6" s="1"/>
  <c r="AA352" i="18"/>
  <c r="Z352" i="18" s="1"/>
  <c r="Y352" i="18" s="1"/>
  <c r="G318" i="18"/>
  <c r="CA318" i="6" s="1"/>
  <c r="AA318" i="18"/>
  <c r="Z318" i="18" s="1"/>
  <c r="Y318" i="18" s="1"/>
  <c r="G274" i="18"/>
  <c r="CA274" i="6" s="1"/>
  <c r="AA274" i="18"/>
  <c r="Z274" i="18" s="1"/>
  <c r="Y274" i="18" s="1"/>
  <c r="G178" i="20"/>
  <c r="CB178" i="6" s="1"/>
  <c r="AA178" i="20"/>
  <c r="Z178" i="20" s="1"/>
  <c r="Y178" i="20" s="1"/>
  <c r="G106" i="20"/>
  <c r="CB106" i="6" s="1"/>
  <c r="AA106" i="20"/>
  <c r="Z106" i="20" s="1"/>
  <c r="Y106" i="20" s="1"/>
  <c r="G84" i="18"/>
  <c r="CA84" i="6" s="1"/>
  <c r="AA84" i="18"/>
  <c r="Z84" i="18" s="1"/>
  <c r="Y84" i="18" s="1"/>
  <c r="W281" i="22"/>
  <c r="D281" i="22"/>
  <c r="E281" i="22" s="1"/>
  <c r="F281" i="22" s="1"/>
  <c r="B281" i="23"/>
  <c r="W263" i="20"/>
  <c r="D263" i="20"/>
  <c r="E263" i="20" s="1"/>
  <c r="F263" i="20" s="1"/>
  <c r="B263" i="22"/>
  <c r="W247" i="22"/>
  <c r="D247" i="22"/>
  <c r="E247" i="22" s="1"/>
  <c r="F247" i="22" s="1"/>
  <c r="B247" i="23"/>
  <c r="D159" i="20"/>
  <c r="E159" i="20" s="1"/>
  <c r="F159" i="20" s="1"/>
  <c r="W159" i="20"/>
  <c r="B159" i="22"/>
  <c r="G99" i="18"/>
  <c r="CA99" i="6" s="1"/>
  <c r="AA99" i="18"/>
  <c r="Z99" i="18" s="1"/>
  <c r="Y99" i="18" s="1"/>
  <c r="W77" i="20"/>
  <c r="D77" i="20"/>
  <c r="E77" i="20" s="1"/>
  <c r="F77" i="20" s="1"/>
  <c r="B77" i="22"/>
  <c r="W161" i="20"/>
  <c r="D161" i="20"/>
  <c r="E161" i="20" s="1"/>
  <c r="F161" i="20" s="1"/>
  <c r="B161" i="22"/>
  <c r="G116" i="20"/>
  <c r="CB116" i="6" s="1"/>
  <c r="AA116" i="20"/>
  <c r="Z116" i="20" s="1"/>
  <c r="Y116" i="20" s="1"/>
  <c r="W210" i="20"/>
  <c r="D210" i="20"/>
  <c r="E210" i="20" s="1"/>
  <c r="F210" i="20" s="1"/>
  <c r="B210" i="22"/>
  <c r="G114" i="18"/>
  <c r="CA114" i="6" s="1"/>
  <c r="AA114" i="18"/>
  <c r="Z114" i="18" s="1"/>
  <c r="Y114" i="18" s="1"/>
  <c r="W135" i="20"/>
  <c r="D135" i="20"/>
  <c r="E135" i="20" s="1"/>
  <c r="F135" i="20" s="1"/>
  <c r="B135" i="22"/>
  <c r="G135" i="18"/>
  <c r="CA135" i="6" s="1"/>
  <c r="AA135" i="18"/>
  <c r="Z135" i="18" s="1"/>
  <c r="Y135" i="18" s="1"/>
  <c r="G95" i="20"/>
  <c r="CB95" i="6" s="1"/>
  <c r="AA95" i="20"/>
  <c r="Z95" i="20" s="1"/>
  <c r="Y95" i="20" s="1"/>
  <c r="G283" i="18"/>
  <c r="CA283" i="6" s="1"/>
  <c r="AA283" i="18"/>
  <c r="Z283" i="18" s="1"/>
  <c r="Y283" i="18" s="1"/>
  <c r="G354" i="20"/>
  <c r="CB354" i="6" s="1"/>
  <c r="AA354" i="20"/>
  <c r="Z354" i="20" s="1"/>
  <c r="Y354" i="20" s="1"/>
  <c r="W177" i="22"/>
  <c r="D177" i="22"/>
  <c r="E177" i="22" s="1"/>
  <c r="F177" i="22" s="1"/>
  <c r="B177" i="23"/>
  <c r="G226" i="18"/>
  <c r="CA226" i="6" s="1"/>
  <c r="AA226" i="18"/>
  <c r="Z226" i="18" s="1"/>
  <c r="Y226" i="18" s="1"/>
  <c r="D150" i="20"/>
  <c r="E150" i="20" s="1"/>
  <c r="F150" i="20" s="1"/>
  <c r="W150" i="20"/>
  <c r="B150" i="22"/>
  <c r="G180" i="20"/>
  <c r="CB180" i="6" s="1"/>
  <c r="AA180" i="20"/>
  <c r="Z180" i="20" s="1"/>
  <c r="Y180" i="20" s="1"/>
  <c r="G379" i="20"/>
  <c r="CB379" i="6" s="1"/>
  <c r="AA379" i="20"/>
  <c r="Z379" i="20" s="1"/>
  <c r="Y379" i="20" s="1"/>
  <c r="J131" i="17"/>
  <c r="C131" i="6" s="1"/>
  <c r="I131" i="17"/>
  <c r="J282" i="17"/>
  <c r="C282" i="6" s="1"/>
  <c r="I282" i="17"/>
  <c r="I31" i="17"/>
  <c r="J31" i="17"/>
  <c r="C31" i="6" s="1"/>
  <c r="I153" i="17"/>
  <c r="J153" i="17"/>
  <c r="C153" i="6" s="1"/>
  <c r="I197" i="17"/>
  <c r="B197" i="6" s="1"/>
  <c r="J197" i="17"/>
  <c r="C197" i="6" s="1"/>
  <c r="I268" i="17"/>
  <c r="J268" i="17"/>
  <c r="C268" i="6" s="1"/>
  <c r="J227" i="17"/>
  <c r="C227" i="6" s="1"/>
  <c r="I227" i="17"/>
  <c r="I312" i="17"/>
  <c r="J312" i="17"/>
  <c r="C312" i="6" s="1"/>
  <c r="I333" i="17"/>
  <c r="J333" i="17"/>
  <c r="C333" i="6" s="1"/>
  <c r="I305" i="17"/>
  <c r="J305" i="17"/>
  <c r="C305" i="6" s="1"/>
  <c r="J272" i="17"/>
  <c r="C272" i="6" s="1"/>
  <c r="I272" i="17"/>
  <c r="J114" i="17"/>
  <c r="C114" i="6" s="1"/>
  <c r="I114" i="17"/>
  <c r="I79" i="17"/>
  <c r="J79" i="17"/>
  <c r="C79" i="6" s="1"/>
  <c r="J284" i="17"/>
  <c r="C284" i="6" s="1"/>
  <c r="I284" i="17"/>
  <c r="J224" i="17"/>
  <c r="C224" i="6" s="1"/>
  <c r="I224" i="17"/>
  <c r="J356" i="17"/>
  <c r="C356" i="6" s="1"/>
  <c r="I356" i="17"/>
  <c r="J185" i="17"/>
  <c r="C185" i="6" s="1"/>
  <c r="I185" i="17"/>
  <c r="I125" i="17"/>
  <c r="J125" i="17"/>
  <c r="C125" i="6" s="1"/>
  <c r="J16" i="17"/>
  <c r="C16" i="6" s="1"/>
  <c r="I16" i="17"/>
  <c r="J220" i="17"/>
  <c r="C220" i="6" s="1"/>
  <c r="I220" i="17"/>
  <c r="I118" i="17"/>
  <c r="J118" i="17"/>
  <c r="C118" i="6" s="1"/>
  <c r="J232" i="17"/>
  <c r="C232" i="6" s="1"/>
  <c r="I232" i="17"/>
  <c r="J22" i="17"/>
  <c r="C22" i="6" s="1"/>
  <c r="I22" i="17"/>
  <c r="J378" i="17"/>
  <c r="C378" i="6" s="1"/>
  <c r="I378" i="17"/>
  <c r="I368" i="17"/>
  <c r="J368" i="17"/>
  <c r="C368" i="6" s="1"/>
  <c r="J223" i="17"/>
  <c r="C223" i="6" s="1"/>
  <c r="I223" i="17"/>
  <c r="I138" i="17"/>
  <c r="J138" i="17"/>
  <c r="C138" i="6" s="1"/>
  <c r="I347" i="17"/>
  <c r="J347" i="17"/>
  <c r="C347" i="6" s="1"/>
  <c r="J350" i="17"/>
  <c r="C350" i="6" s="1"/>
  <c r="I350" i="17"/>
  <c r="I154" i="17"/>
  <c r="J154" i="17"/>
  <c r="C154" i="6" s="1"/>
  <c r="J68" i="17"/>
  <c r="C68" i="6" s="1"/>
  <c r="I68" i="17"/>
  <c r="I341" i="17"/>
  <c r="J341" i="17"/>
  <c r="C341" i="6" s="1"/>
  <c r="J301" i="17"/>
  <c r="C301" i="6" s="1"/>
  <c r="I301" i="17"/>
  <c r="J128" i="17"/>
  <c r="C128" i="6" s="1"/>
  <c r="I128" i="17"/>
  <c r="I273" i="17"/>
  <c r="J273" i="17"/>
  <c r="C273" i="6" s="1"/>
  <c r="I122" i="17"/>
  <c r="J122" i="17"/>
  <c r="C122" i="6" s="1"/>
  <c r="I289" i="17"/>
  <c r="J289" i="17"/>
  <c r="C289" i="6" s="1"/>
  <c r="I361" i="17"/>
  <c r="J361" i="17"/>
  <c r="C361" i="6" s="1"/>
  <c r="J168" i="17"/>
  <c r="C168" i="6" s="1"/>
  <c r="I168" i="17"/>
  <c r="I283" i="17"/>
  <c r="J283" i="17"/>
  <c r="C283" i="6" s="1"/>
  <c r="J326" i="17"/>
  <c r="C326" i="6" s="1"/>
  <c r="I326" i="17"/>
  <c r="J242" i="17"/>
  <c r="C242" i="6" s="1"/>
  <c r="I242" i="17"/>
  <c r="J74" i="17"/>
  <c r="C74" i="6" s="1"/>
  <c r="I74" i="17"/>
  <c r="I34" i="17"/>
  <c r="J34" i="17"/>
  <c r="C34" i="6" s="1"/>
  <c r="I211" i="17"/>
  <c r="J211" i="17"/>
  <c r="C211" i="6" s="1"/>
  <c r="I63" i="17"/>
  <c r="J63" i="17"/>
  <c r="C63" i="6" s="1"/>
  <c r="J65" i="17"/>
  <c r="C65" i="6" s="1"/>
  <c r="I65" i="17"/>
  <c r="J278" i="17"/>
  <c r="C278" i="6" s="1"/>
  <c r="I278" i="17"/>
  <c r="I132" i="17"/>
  <c r="J132" i="17"/>
  <c r="C132" i="6" s="1"/>
  <c r="J218" i="17"/>
  <c r="C218" i="6" s="1"/>
  <c r="I218" i="17"/>
  <c r="J285" i="17"/>
  <c r="C285" i="6" s="1"/>
  <c r="I285" i="17"/>
  <c r="J319" i="17"/>
  <c r="C319" i="6" s="1"/>
  <c r="I319" i="17"/>
  <c r="J71" i="17"/>
  <c r="C71" i="6" s="1"/>
  <c r="I71" i="17"/>
  <c r="J199" i="17"/>
  <c r="C199" i="6" s="1"/>
  <c r="I199" i="17"/>
  <c r="J94" i="17"/>
  <c r="C94" i="6" s="1"/>
  <c r="I94" i="17"/>
  <c r="I209" i="17"/>
  <c r="J209" i="17"/>
  <c r="C209" i="6" s="1"/>
  <c r="I127" i="17"/>
  <c r="J127" i="17"/>
  <c r="C127" i="6" s="1"/>
  <c r="J100" i="17"/>
  <c r="C100" i="6" s="1"/>
  <c r="I100" i="17"/>
  <c r="I19" i="17"/>
  <c r="J19" i="17"/>
  <c r="C19" i="6" s="1"/>
  <c r="J148" i="17"/>
  <c r="C148" i="6" s="1"/>
  <c r="I148" i="17"/>
  <c r="G327" i="18"/>
  <c r="CA327" i="6" s="1"/>
  <c r="AA327" i="18"/>
  <c r="Z327" i="18" s="1"/>
  <c r="Y327" i="18" s="1"/>
  <c r="G335" i="18"/>
  <c r="CA335" i="6" s="1"/>
  <c r="AA335" i="18"/>
  <c r="Z335" i="18" s="1"/>
  <c r="Y335" i="18" s="1"/>
  <c r="G367" i="18"/>
  <c r="CA367" i="6" s="1"/>
  <c r="AA367" i="18"/>
  <c r="Z367" i="18" s="1"/>
  <c r="Y367" i="18" s="1"/>
  <c r="G101" i="18"/>
  <c r="CA101" i="6" s="1"/>
  <c r="AA101" i="18"/>
  <c r="Z101" i="18" s="1"/>
  <c r="Y101" i="18" s="1"/>
  <c r="J353" i="17"/>
  <c r="C353" i="6" s="1"/>
  <c r="I353" i="17"/>
  <c r="G94" i="18"/>
  <c r="CA94" i="6" s="1"/>
  <c r="AA94" i="18"/>
  <c r="Z94" i="18" s="1"/>
  <c r="Y94" i="18" s="1"/>
  <c r="G108" i="18"/>
  <c r="CA108" i="6" s="1"/>
  <c r="AA108" i="18"/>
  <c r="Z108" i="18" s="1"/>
  <c r="Y108" i="18" s="1"/>
  <c r="G35" i="18"/>
  <c r="CA35" i="6" s="1"/>
  <c r="AA35" i="18"/>
  <c r="Z35" i="18" s="1"/>
  <c r="Y35" i="18" s="1"/>
  <c r="AA358" i="18"/>
  <c r="Z358" i="18" s="1"/>
  <c r="Y358" i="18" s="1"/>
  <c r="G358" i="18"/>
  <c r="CA358" i="6" s="1"/>
  <c r="AA50" i="18"/>
  <c r="Z50" i="18" s="1"/>
  <c r="Y50" i="18" s="1"/>
  <c r="G50" i="18"/>
  <c r="CA50" i="6" s="1"/>
  <c r="G338" i="18"/>
  <c r="CA338" i="6" s="1"/>
  <c r="AA338" i="18"/>
  <c r="Z338" i="18" s="1"/>
  <c r="Y338" i="18" s="1"/>
  <c r="G68" i="18"/>
  <c r="CA68" i="6" s="1"/>
  <c r="AA68" i="18"/>
  <c r="Z68" i="18" s="1"/>
  <c r="Y68" i="18" s="1"/>
  <c r="G324" i="18"/>
  <c r="CA324" i="6" s="1"/>
  <c r="AA324" i="18"/>
  <c r="Z324" i="18" s="1"/>
  <c r="Y324" i="18" s="1"/>
  <c r="G120" i="18"/>
  <c r="CA120" i="6" s="1"/>
  <c r="AA120" i="18"/>
  <c r="Z120" i="18" s="1"/>
  <c r="Y120" i="18" s="1"/>
  <c r="G116" i="18"/>
  <c r="CA116" i="6" s="1"/>
  <c r="AA116" i="18"/>
  <c r="Z116" i="18" s="1"/>
  <c r="Y116" i="18" s="1"/>
  <c r="AA255" i="18"/>
  <c r="Z255" i="18" s="1"/>
  <c r="Y255" i="18" s="1"/>
  <c r="G255" i="18"/>
  <c r="CA255" i="6" s="1"/>
  <c r="G18" i="18"/>
  <c r="CA18" i="6" s="1"/>
  <c r="AA18" i="18"/>
  <c r="Z18" i="18" s="1"/>
  <c r="Y18" i="18" s="1"/>
  <c r="G331" i="18"/>
  <c r="CA331" i="6" s="1"/>
  <c r="AA331" i="18"/>
  <c r="Z331" i="18" s="1"/>
  <c r="Y331" i="18" s="1"/>
  <c r="G16" i="18"/>
  <c r="CA16" i="6" s="1"/>
  <c r="AA16" i="18"/>
  <c r="Z16" i="18" s="1"/>
  <c r="Y16" i="18" s="1"/>
  <c r="G197" i="18"/>
  <c r="CA197" i="6" s="1"/>
  <c r="AA197" i="18"/>
  <c r="Z197" i="18" s="1"/>
  <c r="Y197" i="18" s="1"/>
  <c r="H197" i="18"/>
  <c r="G313" i="18"/>
  <c r="CA313" i="6" s="1"/>
  <c r="AA313" i="18"/>
  <c r="Z313" i="18" s="1"/>
  <c r="Y313" i="18" s="1"/>
  <c r="G208" i="18"/>
  <c r="CA208" i="6" s="1"/>
  <c r="AA208" i="18"/>
  <c r="Z208" i="18" s="1"/>
  <c r="Y208" i="18" s="1"/>
  <c r="G95" i="18"/>
  <c r="CA95" i="6" s="1"/>
  <c r="AA95" i="18"/>
  <c r="Z95" i="18" s="1"/>
  <c r="Y95" i="18" s="1"/>
  <c r="G211" i="18"/>
  <c r="CA211" i="6" s="1"/>
  <c r="AA211" i="18"/>
  <c r="Z211" i="18" s="1"/>
  <c r="Y211" i="18" s="1"/>
  <c r="G183" i="18"/>
  <c r="CA183" i="6" s="1"/>
  <c r="AA183" i="18"/>
  <c r="Z183" i="18" s="1"/>
  <c r="Y183" i="18" s="1"/>
  <c r="G174" i="18"/>
  <c r="CA174" i="6" s="1"/>
  <c r="AA174" i="18"/>
  <c r="Z174" i="18" s="1"/>
  <c r="Y174" i="18" s="1"/>
  <c r="G100" i="18"/>
  <c r="CA100" i="6" s="1"/>
  <c r="AA100" i="18"/>
  <c r="Z100" i="18" s="1"/>
  <c r="Y100" i="18" s="1"/>
  <c r="G235" i="18"/>
  <c r="CA235" i="6" s="1"/>
  <c r="AA235" i="18"/>
  <c r="Z235" i="18" s="1"/>
  <c r="Y235" i="18" s="1"/>
  <c r="G32" i="18"/>
  <c r="CA32" i="6" s="1"/>
  <c r="AA32" i="18"/>
  <c r="Z32" i="18" s="1"/>
  <c r="Y32" i="18" s="1"/>
  <c r="G103" i="18"/>
  <c r="CA103" i="6" s="1"/>
  <c r="AA103" i="18"/>
  <c r="Z103" i="18" s="1"/>
  <c r="Y103" i="18" s="1"/>
  <c r="G229" i="18"/>
  <c r="CA229" i="6" s="1"/>
  <c r="AA229" i="18"/>
  <c r="Z229" i="18" s="1"/>
  <c r="Y229" i="18" s="1"/>
  <c r="G52" i="18"/>
  <c r="CA52" i="6" s="1"/>
  <c r="AA52" i="18"/>
  <c r="Z52" i="18" s="1"/>
  <c r="Y52" i="18" s="1"/>
  <c r="G305" i="18"/>
  <c r="CA305" i="6" s="1"/>
  <c r="AA305" i="18"/>
  <c r="Z305" i="18" s="1"/>
  <c r="Y305" i="18" s="1"/>
  <c r="G252" i="18"/>
  <c r="CA252" i="6" s="1"/>
  <c r="AA252" i="18"/>
  <c r="Z252" i="18" s="1"/>
  <c r="Y252" i="18" s="1"/>
  <c r="G207" i="18"/>
  <c r="CA207" i="6" s="1"/>
  <c r="AA207" i="18"/>
  <c r="Z207" i="18" s="1"/>
  <c r="Y207" i="18" s="1"/>
  <c r="G204" i="18"/>
  <c r="CA204" i="6" s="1"/>
  <c r="AA204" i="18"/>
  <c r="Z204" i="18" s="1"/>
  <c r="Y204" i="18" s="1"/>
  <c r="H204" i="18"/>
  <c r="G222" i="18"/>
  <c r="CA222" i="6" s="1"/>
  <c r="AA222" i="18"/>
  <c r="Z222" i="18" s="1"/>
  <c r="Y222" i="18" s="1"/>
  <c r="G342" i="18"/>
  <c r="CA342" i="6" s="1"/>
  <c r="AA342" i="18"/>
  <c r="Z342" i="18" s="1"/>
  <c r="Y342" i="18" s="1"/>
  <c r="G286" i="18"/>
  <c r="CA286" i="6" s="1"/>
  <c r="AA286" i="18"/>
  <c r="Z286" i="18" s="1"/>
  <c r="Y286" i="18" s="1"/>
  <c r="G242" i="18"/>
  <c r="CA242" i="6" s="1"/>
  <c r="AA242" i="18"/>
  <c r="Z242" i="18" s="1"/>
  <c r="Y242" i="18" s="1"/>
  <c r="AA200" i="18"/>
  <c r="Z200" i="18" s="1"/>
  <c r="Y200" i="18" s="1"/>
  <c r="G200" i="18"/>
  <c r="CA200" i="6" s="1"/>
  <c r="G190" i="18"/>
  <c r="CA190" i="6" s="1"/>
  <c r="AA190" i="18"/>
  <c r="Z190" i="18" s="1"/>
  <c r="Y190" i="18" s="1"/>
  <c r="G158" i="18"/>
  <c r="CA158" i="6" s="1"/>
  <c r="AA158" i="18"/>
  <c r="Z158" i="18" s="1"/>
  <c r="Y158" i="18" s="1"/>
  <c r="G134" i="18"/>
  <c r="CA134" i="6" s="1"/>
  <c r="AA134" i="18"/>
  <c r="Z134" i="18" s="1"/>
  <c r="Y134" i="18" s="1"/>
  <c r="AA82" i="18"/>
  <c r="Z82" i="18" s="1"/>
  <c r="Y82" i="18" s="1"/>
  <c r="G82" i="18"/>
  <c r="CA82" i="6" s="1"/>
  <c r="G40" i="18"/>
  <c r="CA40" i="6" s="1"/>
  <c r="AA40" i="18"/>
  <c r="Z40" i="18" s="1"/>
  <c r="Y40" i="18" s="1"/>
  <c r="AA343" i="18"/>
  <c r="Z343" i="18" s="1"/>
  <c r="Y343" i="18" s="1"/>
  <c r="G343" i="18"/>
  <c r="CA343" i="6" s="1"/>
  <c r="G199" i="18"/>
  <c r="CA199" i="6" s="1"/>
  <c r="AA199" i="18"/>
  <c r="Z199" i="18" s="1"/>
  <c r="Y199" i="18" s="1"/>
  <c r="G117" i="18"/>
  <c r="CA117" i="6" s="1"/>
  <c r="AA117" i="18"/>
  <c r="Z117" i="18" s="1"/>
  <c r="Y117" i="18" s="1"/>
  <c r="G113" i="18"/>
  <c r="CA113" i="6" s="1"/>
  <c r="AA113" i="18"/>
  <c r="Z113" i="18" s="1"/>
  <c r="Y113" i="18" s="1"/>
  <c r="G91" i="18"/>
  <c r="CA91" i="6" s="1"/>
  <c r="AA91" i="18"/>
  <c r="Z91" i="18" s="1"/>
  <c r="Y91" i="18" s="1"/>
  <c r="G57" i="18"/>
  <c r="CA57" i="6" s="1"/>
  <c r="AA57" i="18"/>
  <c r="Z57" i="18" s="1"/>
  <c r="Y57" i="18" s="1"/>
  <c r="G41" i="18"/>
  <c r="CA41" i="6" s="1"/>
  <c r="AA41" i="18"/>
  <c r="Z41" i="18" s="1"/>
  <c r="Y41" i="18" s="1"/>
  <c r="G370" i="18"/>
  <c r="CA370" i="6" s="1"/>
  <c r="AA370" i="18"/>
  <c r="Z370" i="18" s="1"/>
  <c r="Y370" i="18" s="1"/>
  <c r="G360" i="18"/>
  <c r="CA360" i="6" s="1"/>
  <c r="AA360" i="18"/>
  <c r="Z360" i="18" s="1"/>
  <c r="Y360" i="18" s="1"/>
  <c r="AA304" i="18"/>
  <c r="Z304" i="18" s="1"/>
  <c r="Y304" i="18" s="1"/>
  <c r="G304" i="18"/>
  <c r="CA304" i="6" s="1"/>
  <c r="AA280" i="18"/>
  <c r="Z280" i="18" s="1"/>
  <c r="Y280" i="18" s="1"/>
  <c r="G280" i="18"/>
  <c r="CA280" i="6" s="1"/>
  <c r="G202" i="18"/>
  <c r="CA202" i="6" s="1"/>
  <c r="AA202" i="18"/>
  <c r="Z202" i="18" s="1"/>
  <c r="Y202" i="18" s="1"/>
  <c r="G172" i="18"/>
  <c r="CA172" i="6" s="1"/>
  <c r="AA172" i="18"/>
  <c r="Z172" i="18" s="1"/>
  <c r="Y172" i="18" s="1"/>
  <c r="AA138" i="18"/>
  <c r="Z138" i="18" s="1"/>
  <c r="Y138" i="18" s="1"/>
  <c r="G138" i="18"/>
  <c r="CA138" i="6" s="1"/>
  <c r="G122" i="18"/>
  <c r="CA122" i="6" s="1"/>
  <c r="AA122" i="18"/>
  <c r="Z122" i="18" s="1"/>
  <c r="Y122" i="18" s="1"/>
  <c r="G375" i="18"/>
  <c r="CA375" i="6" s="1"/>
  <c r="AA375" i="18"/>
  <c r="Z375" i="18" s="1"/>
  <c r="Y375" i="18" s="1"/>
  <c r="G257" i="18"/>
  <c r="CA257" i="6" s="1"/>
  <c r="AA257" i="18"/>
  <c r="Z257" i="18" s="1"/>
  <c r="Y257" i="18" s="1"/>
  <c r="G151" i="18"/>
  <c r="CA151" i="6" s="1"/>
  <c r="AA151" i="18"/>
  <c r="Z151" i="18" s="1"/>
  <c r="Y151" i="18" s="1"/>
  <c r="G141" i="18"/>
  <c r="CA141" i="6" s="1"/>
  <c r="AA141" i="18"/>
  <c r="Z141" i="18" s="1"/>
  <c r="Y141" i="18" s="1"/>
  <c r="G107" i="18"/>
  <c r="CA107" i="6" s="1"/>
  <c r="AA107" i="18"/>
  <c r="Z107" i="18" s="1"/>
  <c r="Y107" i="18" s="1"/>
  <c r="G146" i="18"/>
  <c r="CA146" i="6" s="1"/>
  <c r="AA146" i="18"/>
  <c r="Z146" i="18" s="1"/>
  <c r="Y146" i="18" s="1"/>
  <c r="G142" i="18"/>
  <c r="CA142" i="6" s="1"/>
  <c r="AA142" i="18"/>
  <c r="Z142" i="18" s="1"/>
  <c r="Y142" i="18" s="1"/>
  <c r="G80" i="18"/>
  <c r="CA80" i="6" s="1"/>
  <c r="AA80" i="18"/>
  <c r="Z80" i="18" s="1"/>
  <c r="Y80" i="18" s="1"/>
  <c r="G341" i="18"/>
  <c r="CA341" i="6" s="1"/>
  <c r="AA341" i="18"/>
  <c r="Z341" i="18" s="1"/>
  <c r="Y341" i="18" s="1"/>
  <c r="AA293" i="18"/>
  <c r="Z293" i="18" s="1"/>
  <c r="Y293" i="18" s="1"/>
  <c r="G293" i="18"/>
  <c r="CA293" i="6" s="1"/>
  <c r="G285" i="18"/>
  <c r="CA285" i="6" s="1"/>
  <c r="AA285" i="18"/>
  <c r="Z285" i="18" s="1"/>
  <c r="Y285" i="18" s="1"/>
  <c r="AA221" i="18"/>
  <c r="Z221" i="18" s="1"/>
  <c r="Y221" i="18" s="1"/>
  <c r="G221" i="18"/>
  <c r="CA221" i="6" s="1"/>
  <c r="G209" i="18"/>
  <c r="CA209" i="6" s="1"/>
  <c r="AA209" i="18"/>
  <c r="Z209" i="18" s="1"/>
  <c r="Y209" i="18" s="1"/>
  <c r="G195" i="18"/>
  <c r="CA195" i="6" s="1"/>
  <c r="AA195" i="18"/>
  <c r="Z195" i="18" s="1"/>
  <c r="Y195" i="18" s="1"/>
  <c r="H195" i="18"/>
  <c r="G147" i="18"/>
  <c r="CA147" i="6" s="1"/>
  <c r="AA147" i="18"/>
  <c r="Z147" i="18" s="1"/>
  <c r="Y147" i="18" s="1"/>
  <c r="G93" i="18"/>
  <c r="CA93" i="6" s="1"/>
  <c r="AA93" i="18"/>
  <c r="Z93" i="18" s="1"/>
  <c r="Y93" i="18" s="1"/>
  <c r="H93" i="18"/>
  <c r="AA47" i="18"/>
  <c r="Z47" i="18" s="1"/>
  <c r="Y47" i="18" s="1"/>
  <c r="G47" i="18"/>
  <c r="CA47" i="6" s="1"/>
  <c r="G33" i="18"/>
  <c r="CA33" i="6" s="1"/>
  <c r="AA33" i="18"/>
  <c r="Z33" i="18" s="1"/>
  <c r="Y33" i="18" s="1"/>
  <c r="G336" i="18"/>
  <c r="CA336" i="6" s="1"/>
  <c r="AA336" i="18"/>
  <c r="Z336" i="18" s="1"/>
  <c r="Y336" i="18" s="1"/>
  <c r="AA320" i="18"/>
  <c r="Z320" i="18" s="1"/>
  <c r="Y320" i="18" s="1"/>
  <c r="G320" i="18"/>
  <c r="CA320" i="6" s="1"/>
  <c r="G308" i="18"/>
  <c r="CA308" i="6" s="1"/>
  <c r="AA308" i="18"/>
  <c r="Z308" i="18" s="1"/>
  <c r="Y308" i="18" s="1"/>
  <c r="G276" i="18"/>
  <c r="CA276" i="6" s="1"/>
  <c r="AA276" i="18"/>
  <c r="Z276" i="18" s="1"/>
  <c r="Y276" i="18" s="1"/>
  <c r="G260" i="18"/>
  <c r="CA260" i="6" s="1"/>
  <c r="AA260" i="18"/>
  <c r="Z260" i="18" s="1"/>
  <c r="Y260" i="18" s="1"/>
  <c r="AA230" i="18"/>
  <c r="Z230" i="18" s="1"/>
  <c r="Y230" i="18" s="1"/>
  <c r="G230" i="18"/>
  <c r="CA230" i="6" s="1"/>
  <c r="G178" i="18"/>
  <c r="CA178" i="6" s="1"/>
  <c r="AA178" i="18"/>
  <c r="Z178" i="18" s="1"/>
  <c r="Y178" i="18" s="1"/>
  <c r="G118" i="18"/>
  <c r="CA118" i="6" s="1"/>
  <c r="AA118" i="18"/>
  <c r="Z118" i="18" s="1"/>
  <c r="Y118" i="18" s="1"/>
  <c r="G106" i="18"/>
  <c r="CA106" i="6" s="1"/>
  <c r="AA106" i="18"/>
  <c r="Z106" i="18" s="1"/>
  <c r="Y106" i="18" s="1"/>
  <c r="G281" i="18"/>
  <c r="CA281" i="6" s="1"/>
  <c r="AA281" i="18"/>
  <c r="Z281" i="18" s="1"/>
  <c r="Y281" i="18" s="1"/>
  <c r="G271" i="18"/>
  <c r="CA271" i="6" s="1"/>
  <c r="AA271" i="18"/>
  <c r="Z271" i="18" s="1"/>
  <c r="Y271" i="18" s="1"/>
  <c r="G247" i="18"/>
  <c r="CA247" i="6" s="1"/>
  <c r="AA247" i="18"/>
  <c r="Z247" i="18" s="1"/>
  <c r="Y247" i="18" s="1"/>
  <c r="G83" i="18"/>
  <c r="CA83" i="6" s="1"/>
  <c r="AA83" i="18"/>
  <c r="Z83" i="18" s="1"/>
  <c r="Y83" i="18" s="1"/>
  <c r="G63" i="18"/>
  <c r="CA63" i="6" s="1"/>
  <c r="AA63" i="18"/>
  <c r="Z63" i="18" s="1"/>
  <c r="Y63" i="18" s="1"/>
  <c r="G130" i="18"/>
  <c r="CA130" i="6" s="1"/>
  <c r="AA130" i="18"/>
  <c r="Z130" i="18" s="1"/>
  <c r="Y130" i="18" s="1"/>
  <c r="G175" i="18"/>
  <c r="CA175" i="6" s="1"/>
  <c r="AA175" i="18"/>
  <c r="Z175" i="18" s="1"/>
  <c r="Y175" i="18" s="1"/>
  <c r="G241" i="18"/>
  <c r="CA241" i="6" s="1"/>
  <c r="AA241" i="18"/>
  <c r="Z241" i="18" s="1"/>
  <c r="Y241" i="18" s="1"/>
  <c r="G302" i="18"/>
  <c r="CA302" i="6" s="1"/>
  <c r="AA302" i="18"/>
  <c r="Z302" i="18" s="1"/>
  <c r="Y302" i="18" s="1"/>
  <c r="G189" i="18"/>
  <c r="CA189" i="6" s="1"/>
  <c r="AA189" i="18"/>
  <c r="Z189" i="18" s="1"/>
  <c r="Y189" i="18" s="1"/>
  <c r="AA154" i="18"/>
  <c r="Z154" i="18" s="1"/>
  <c r="Y154" i="18" s="1"/>
  <c r="G154" i="18"/>
  <c r="CA154" i="6" s="1"/>
  <c r="G66" i="18"/>
  <c r="CA66" i="6" s="1"/>
  <c r="AA66" i="18"/>
  <c r="Z66" i="18" s="1"/>
  <c r="Y66" i="18" s="1"/>
  <c r="AA368" i="18"/>
  <c r="Z368" i="18" s="1"/>
  <c r="Y368" i="18" s="1"/>
  <c r="G368" i="18"/>
  <c r="CA368" i="6" s="1"/>
  <c r="G278" i="18"/>
  <c r="CA278" i="6" s="1"/>
  <c r="AA278" i="18"/>
  <c r="Z278" i="18" s="1"/>
  <c r="Y278" i="18" s="1"/>
  <c r="G111" i="18"/>
  <c r="CA111" i="6" s="1"/>
  <c r="AA111" i="18"/>
  <c r="Z111" i="18" s="1"/>
  <c r="Y111" i="18" s="1"/>
  <c r="G17" i="18"/>
  <c r="CA17" i="6" s="1"/>
  <c r="AA17" i="18"/>
  <c r="Z17" i="18" s="1"/>
  <c r="Y17" i="18" s="1"/>
  <c r="G354" i="18"/>
  <c r="CA354" i="6" s="1"/>
  <c r="AA354" i="18"/>
  <c r="Z354" i="18" s="1"/>
  <c r="Y354" i="18" s="1"/>
  <c r="G319" i="18"/>
  <c r="CA319" i="6" s="1"/>
  <c r="AA319" i="18"/>
  <c r="Z319" i="18" s="1"/>
  <c r="Y319" i="18" s="1"/>
  <c r="G166" i="18"/>
  <c r="CA166" i="6" s="1"/>
  <c r="AA166" i="18"/>
  <c r="Z166" i="18" s="1"/>
  <c r="Y166" i="18" s="1"/>
  <c r="AA177" i="18"/>
  <c r="Z177" i="18" s="1"/>
  <c r="Y177" i="18" s="1"/>
  <c r="G177" i="18"/>
  <c r="CA177" i="6" s="1"/>
  <c r="G298" i="18"/>
  <c r="CA298" i="6" s="1"/>
  <c r="AA298" i="18"/>
  <c r="Z298" i="18" s="1"/>
  <c r="Y298" i="18" s="1"/>
  <c r="G105" i="18"/>
  <c r="CA105" i="6" s="1"/>
  <c r="AA105" i="18"/>
  <c r="Z105" i="18" s="1"/>
  <c r="Y105" i="18" s="1"/>
  <c r="G149" i="18"/>
  <c r="CA149" i="6" s="1"/>
  <c r="AA149" i="18"/>
  <c r="Z149" i="18" s="1"/>
  <c r="Y149" i="18" s="1"/>
  <c r="G379" i="18"/>
  <c r="CA379" i="6" s="1"/>
  <c r="AA379" i="18"/>
  <c r="Z379" i="18" s="1"/>
  <c r="Y379" i="18" s="1"/>
  <c r="J57" i="17"/>
  <c r="C57" i="6" s="1"/>
  <c r="I57" i="17"/>
  <c r="I335" i="17"/>
  <c r="J335" i="17"/>
  <c r="C335" i="6" s="1"/>
  <c r="J365" i="17"/>
  <c r="C365" i="6" s="1"/>
  <c r="I365" i="17"/>
  <c r="I137" i="17"/>
  <c r="J137" i="17"/>
  <c r="C137" i="6" s="1"/>
  <c r="I359" i="17"/>
  <c r="J359" i="17"/>
  <c r="C359" i="6" s="1"/>
  <c r="I183" i="17"/>
  <c r="J183" i="17"/>
  <c r="C183" i="6" s="1"/>
  <c r="J166" i="17"/>
  <c r="C166" i="6" s="1"/>
  <c r="I166" i="17"/>
  <c r="J121" i="17"/>
  <c r="C121" i="6" s="1"/>
  <c r="I121" i="17"/>
  <c r="J108" i="17"/>
  <c r="C108" i="6" s="1"/>
  <c r="I108" i="17"/>
  <c r="J163" i="17"/>
  <c r="C163" i="6" s="1"/>
  <c r="I163" i="17"/>
  <c r="J196" i="17"/>
  <c r="C196" i="6" s="1"/>
  <c r="I196" i="17"/>
  <c r="J159" i="17"/>
  <c r="C159" i="6" s="1"/>
  <c r="I159" i="17"/>
  <c r="I358" i="17"/>
  <c r="J358" i="17"/>
  <c r="C358" i="6" s="1"/>
  <c r="J120" i="17"/>
  <c r="C120" i="6" s="1"/>
  <c r="I120" i="17"/>
  <c r="J249" i="17"/>
  <c r="C249" i="6" s="1"/>
  <c r="I249" i="17"/>
  <c r="I208" i="17"/>
  <c r="J208" i="17"/>
  <c r="C208" i="6" s="1"/>
  <c r="J167" i="17"/>
  <c r="C167" i="6" s="1"/>
  <c r="I167" i="17"/>
  <c r="J299" i="17"/>
  <c r="C299" i="6" s="1"/>
  <c r="I299" i="17"/>
  <c r="J216" i="17"/>
  <c r="C216" i="6" s="1"/>
  <c r="I216" i="17"/>
  <c r="J354" i="17"/>
  <c r="C354" i="6" s="1"/>
  <c r="I354" i="17"/>
  <c r="I134" i="17"/>
  <c r="J134" i="17"/>
  <c r="C134" i="6" s="1"/>
  <c r="I160" i="17"/>
  <c r="J160" i="17"/>
  <c r="C160" i="6" s="1"/>
  <c r="J298" i="17"/>
  <c r="C298" i="6" s="1"/>
  <c r="I298" i="17"/>
  <c r="I174" i="17"/>
  <c r="J174" i="17"/>
  <c r="C174" i="6" s="1"/>
  <c r="J222" i="17"/>
  <c r="C222" i="6" s="1"/>
  <c r="I222" i="17"/>
  <c r="I334" i="17"/>
  <c r="J334" i="17"/>
  <c r="C334" i="6" s="1"/>
  <c r="J322" i="17"/>
  <c r="C322" i="6" s="1"/>
  <c r="I322" i="17"/>
  <c r="I116" i="17"/>
  <c r="J116" i="17"/>
  <c r="C116" i="6" s="1"/>
  <c r="J184" i="17"/>
  <c r="C184" i="6" s="1"/>
  <c r="I184" i="17"/>
  <c r="J30" i="17"/>
  <c r="C30" i="6" s="1"/>
  <c r="I30" i="17"/>
  <c r="I231" i="17"/>
  <c r="J231" i="17"/>
  <c r="C231" i="6" s="1"/>
  <c r="I20" i="17"/>
  <c r="J20" i="17"/>
  <c r="C20" i="6" s="1"/>
  <c r="J262" i="17"/>
  <c r="C262" i="6" s="1"/>
  <c r="I262" i="17"/>
  <c r="J35" i="17"/>
  <c r="C35" i="6" s="1"/>
  <c r="I35" i="17"/>
  <c r="I115" i="17"/>
  <c r="J115" i="17"/>
  <c r="C115" i="6" s="1"/>
  <c r="J80" i="17"/>
  <c r="C80" i="6" s="1"/>
  <c r="I80" i="17"/>
  <c r="I175" i="17"/>
  <c r="J175" i="17"/>
  <c r="C175" i="6" s="1"/>
  <c r="I83" i="17"/>
  <c r="J83" i="17"/>
  <c r="C83" i="6" s="1"/>
  <c r="J44" i="17"/>
  <c r="C44" i="6" s="1"/>
  <c r="I44" i="17"/>
  <c r="J189" i="17"/>
  <c r="C189" i="6" s="1"/>
  <c r="I189" i="17"/>
  <c r="I349" i="17"/>
  <c r="J349" i="17"/>
  <c r="C349" i="6" s="1"/>
  <c r="J281" i="17"/>
  <c r="C281" i="6" s="1"/>
  <c r="I281" i="17"/>
  <c r="I123" i="17"/>
  <c r="J123" i="17"/>
  <c r="C123" i="6" s="1"/>
  <c r="J143" i="17"/>
  <c r="C143" i="6" s="1"/>
  <c r="I143" i="17"/>
  <c r="J339" i="17"/>
  <c r="C339" i="6" s="1"/>
  <c r="I339" i="17"/>
  <c r="I352" i="17"/>
  <c r="J352" i="17"/>
  <c r="C352" i="6" s="1"/>
  <c r="J124" i="17"/>
  <c r="C124" i="6" s="1"/>
  <c r="I124" i="17"/>
  <c r="I328" i="17"/>
  <c r="J328" i="17"/>
  <c r="C328" i="6" s="1"/>
  <c r="I221" i="17"/>
  <c r="J221" i="17"/>
  <c r="C221" i="6" s="1"/>
  <c r="J69" i="17"/>
  <c r="C69" i="6" s="1"/>
  <c r="I69" i="17"/>
  <c r="J288" i="17"/>
  <c r="C288" i="6" s="1"/>
  <c r="I288" i="17"/>
  <c r="J55" i="17"/>
  <c r="C55" i="6" s="1"/>
  <c r="I55" i="17"/>
  <c r="I270" i="17"/>
  <c r="J270" i="17"/>
  <c r="C270" i="6" s="1"/>
  <c r="J54" i="17"/>
  <c r="C54" i="6" s="1"/>
  <c r="I54" i="17"/>
  <c r="I340" i="17"/>
  <c r="J340" i="17"/>
  <c r="C340" i="6" s="1"/>
  <c r="J247" i="17"/>
  <c r="C247" i="6" s="1"/>
  <c r="I247" i="17"/>
  <c r="I258" i="17"/>
  <c r="J258" i="17"/>
  <c r="C258" i="6" s="1"/>
  <c r="J369" i="17"/>
  <c r="C369" i="6" s="1"/>
  <c r="I369" i="17"/>
  <c r="J225" i="17"/>
  <c r="C225" i="6" s="1"/>
  <c r="I225" i="17"/>
  <c r="J89" i="17"/>
  <c r="C89" i="6" s="1"/>
  <c r="I89" i="17"/>
  <c r="I290" i="17"/>
  <c r="J290" i="17"/>
  <c r="C290" i="6" s="1"/>
  <c r="J292" i="17"/>
  <c r="C292" i="6" s="1"/>
  <c r="I292" i="17"/>
  <c r="J303" i="17"/>
  <c r="C303" i="6" s="1"/>
  <c r="I303" i="17"/>
  <c r="J311" i="17"/>
  <c r="C311" i="6" s="1"/>
  <c r="I311" i="17"/>
  <c r="I314" i="17"/>
  <c r="J314" i="17"/>
  <c r="C314" i="6" s="1"/>
  <c r="I33" i="17"/>
  <c r="J33" i="17"/>
  <c r="C33" i="6" s="1"/>
  <c r="J265" i="17"/>
  <c r="C265" i="6" s="1"/>
  <c r="I265" i="17"/>
  <c r="I109" i="17"/>
  <c r="J109" i="17"/>
  <c r="C109" i="6" s="1"/>
  <c r="J294" i="17"/>
  <c r="C294" i="6" s="1"/>
  <c r="I294" i="17"/>
  <c r="J70" i="17"/>
  <c r="C70" i="6" s="1"/>
  <c r="I70" i="17"/>
  <c r="I371" i="17"/>
  <c r="J371" i="17"/>
  <c r="C371" i="6" s="1"/>
  <c r="J362" i="17"/>
  <c r="C362" i="6" s="1"/>
  <c r="I362" i="17"/>
  <c r="I207" i="17"/>
  <c r="J207" i="17"/>
  <c r="C207" i="6" s="1"/>
  <c r="J345" i="17"/>
  <c r="C345" i="6" s="1"/>
  <c r="I345" i="17"/>
  <c r="I188" i="17"/>
  <c r="J188" i="17"/>
  <c r="C188" i="6" s="1"/>
  <c r="J45" i="17"/>
  <c r="C45" i="6" s="1"/>
  <c r="I45" i="17"/>
  <c r="I21" i="17"/>
  <c r="J21" i="17"/>
  <c r="C21" i="6" s="1"/>
  <c r="I49" i="17"/>
  <c r="J49" i="17"/>
  <c r="C49" i="6" s="1"/>
  <c r="W174" i="22"/>
  <c r="D174" i="22"/>
  <c r="E174" i="22" s="1"/>
  <c r="F174" i="22" s="1"/>
  <c r="B174" i="23"/>
  <c r="G76" i="18"/>
  <c r="CA76" i="6" s="1"/>
  <c r="AA76" i="18"/>
  <c r="Z76" i="18" s="1"/>
  <c r="Y76" i="18" s="1"/>
  <c r="H76" i="18"/>
  <c r="W81" i="20"/>
  <c r="D81" i="20"/>
  <c r="E81" i="20" s="1"/>
  <c r="F81" i="20" s="1"/>
  <c r="B81" i="22"/>
  <c r="G100" i="20"/>
  <c r="CB100" i="6" s="1"/>
  <c r="AA100" i="20"/>
  <c r="Z100" i="20" s="1"/>
  <c r="Y100" i="20" s="1"/>
  <c r="G73" i="18"/>
  <c r="CA73" i="6" s="1"/>
  <c r="AA73" i="18"/>
  <c r="Z73" i="18" s="1"/>
  <c r="Y73" i="18" s="1"/>
  <c r="G331" i="20"/>
  <c r="CB331" i="6" s="1"/>
  <c r="AA331" i="20"/>
  <c r="Z331" i="20" s="1"/>
  <c r="Y331" i="20" s="1"/>
  <c r="W332" i="20"/>
  <c r="D332" i="20"/>
  <c r="E332" i="20" s="1"/>
  <c r="F332" i="20" s="1"/>
  <c r="B332" i="22"/>
  <c r="G32" i="20"/>
  <c r="CB32" i="6" s="1"/>
  <c r="AA32" i="20"/>
  <c r="Z32" i="20" s="1"/>
  <c r="Y32" i="20" s="1"/>
  <c r="W321" i="20"/>
  <c r="D321" i="20"/>
  <c r="E321" i="20" s="1"/>
  <c r="F321" i="20" s="1"/>
  <c r="B321" i="22"/>
  <c r="G229" i="20"/>
  <c r="CB229" i="6" s="1"/>
  <c r="AA229" i="20"/>
  <c r="Z229" i="20" s="1"/>
  <c r="Y229" i="20" s="1"/>
  <c r="W163" i="20"/>
  <c r="D163" i="20"/>
  <c r="E163" i="20" s="1"/>
  <c r="F163" i="20" s="1"/>
  <c r="B163" i="22"/>
  <c r="D98" i="20"/>
  <c r="E98" i="20" s="1"/>
  <c r="F98" i="20" s="1"/>
  <c r="W98" i="20"/>
  <c r="B98" i="22"/>
  <c r="G306" i="20"/>
  <c r="CB306" i="6" s="1"/>
  <c r="AA306" i="20"/>
  <c r="Z306" i="20" s="1"/>
  <c r="Y306" i="20" s="1"/>
  <c r="G236" i="18"/>
  <c r="CA236" i="6" s="1"/>
  <c r="AA236" i="18"/>
  <c r="Z236" i="18" s="1"/>
  <c r="Y236" i="18" s="1"/>
  <c r="D182" i="20"/>
  <c r="E182" i="20" s="1"/>
  <c r="F182" i="20" s="1"/>
  <c r="W182" i="20"/>
  <c r="B182" i="22"/>
  <c r="W207" i="22"/>
  <c r="D207" i="22"/>
  <c r="E207" i="22" s="1"/>
  <c r="F207" i="22" s="1"/>
  <c r="B207" i="23"/>
  <c r="W289" i="20"/>
  <c r="D289" i="20"/>
  <c r="E289" i="20" s="1"/>
  <c r="F289" i="20" s="1"/>
  <c r="B289" i="22"/>
  <c r="G205" i="20"/>
  <c r="CB205" i="6" s="1"/>
  <c r="AA205" i="20"/>
  <c r="Z205" i="20" s="1"/>
  <c r="Y205" i="20" s="1"/>
  <c r="D78" i="20"/>
  <c r="E78" i="20" s="1"/>
  <c r="F78" i="20" s="1"/>
  <c r="W78" i="20"/>
  <c r="B78" i="22"/>
  <c r="AA356" i="18"/>
  <c r="Z356" i="18" s="1"/>
  <c r="Y356" i="18" s="1"/>
  <c r="G356" i="18"/>
  <c r="CA356" i="6" s="1"/>
  <c r="W342" i="22"/>
  <c r="D342" i="22"/>
  <c r="E342" i="22" s="1"/>
  <c r="F342" i="22" s="1"/>
  <c r="B342" i="23"/>
  <c r="W314" i="20"/>
  <c r="D314" i="20"/>
  <c r="E314" i="20" s="1"/>
  <c r="F314" i="20" s="1"/>
  <c r="B314" i="22"/>
  <c r="W240" i="20"/>
  <c r="D240" i="20"/>
  <c r="E240" i="20" s="1"/>
  <c r="F240" i="20" s="1"/>
  <c r="B240" i="22"/>
  <c r="G206" i="18"/>
  <c r="CA206" i="6" s="1"/>
  <c r="AA206" i="18"/>
  <c r="Z206" i="18" s="1"/>
  <c r="Y206" i="18" s="1"/>
  <c r="W200" i="22"/>
  <c r="D200" i="22"/>
  <c r="E200" i="22" s="1"/>
  <c r="F200" i="22" s="1"/>
  <c r="B200" i="23"/>
  <c r="D190" i="22"/>
  <c r="E190" i="22" s="1"/>
  <c r="F190" i="22" s="1"/>
  <c r="W190" i="22"/>
  <c r="B190" i="23"/>
  <c r="G156" i="18"/>
  <c r="CA156" i="6" s="1"/>
  <c r="AA156" i="18"/>
  <c r="Z156" i="18" s="1"/>
  <c r="Y156" i="18" s="1"/>
  <c r="AA134" i="20"/>
  <c r="Z134" i="20" s="1"/>
  <c r="Y134" i="20" s="1"/>
  <c r="G134" i="20"/>
  <c r="CB134" i="6" s="1"/>
  <c r="W72" i="20"/>
  <c r="D72" i="20"/>
  <c r="E72" i="20" s="1"/>
  <c r="F72" i="20" s="1"/>
  <c r="B72" i="22"/>
  <c r="G44" i="18"/>
  <c r="CA44" i="6" s="1"/>
  <c r="AA44" i="18"/>
  <c r="Z44" i="18" s="1"/>
  <c r="Y44" i="18" s="1"/>
  <c r="W40" i="22"/>
  <c r="D40" i="22"/>
  <c r="E40" i="22" s="1"/>
  <c r="F40" i="22" s="1"/>
  <c r="B40" i="23"/>
  <c r="G24" i="18"/>
  <c r="CA24" i="6" s="1"/>
  <c r="AA24" i="18"/>
  <c r="Z24" i="18" s="1"/>
  <c r="Y24" i="18" s="1"/>
  <c r="AA345" i="18"/>
  <c r="Z345" i="18" s="1"/>
  <c r="Y345" i="18" s="1"/>
  <c r="G345" i="18"/>
  <c r="CA345" i="6" s="1"/>
  <c r="W343" i="22"/>
  <c r="D343" i="22"/>
  <c r="E343" i="22" s="1"/>
  <c r="F343" i="22" s="1"/>
  <c r="B343" i="23"/>
  <c r="G329" i="20"/>
  <c r="CB329" i="6" s="1"/>
  <c r="AA329" i="20"/>
  <c r="Z329" i="20" s="1"/>
  <c r="Y329" i="20" s="1"/>
  <c r="D315" i="20"/>
  <c r="E315" i="20" s="1"/>
  <c r="F315" i="20" s="1"/>
  <c r="W315" i="20"/>
  <c r="B315" i="22"/>
  <c r="W239" i="20"/>
  <c r="D239" i="20"/>
  <c r="E239" i="20" s="1"/>
  <c r="F239" i="20" s="1"/>
  <c r="B239" i="22"/>
  <c r="W217" i="22"/>
  <c r="D217" i="22"/>
  <c r="E217" i="22" s="1"/>
  <c r="F217" i="22" s="1"/>
  <c r="B217" i="23"/>
  <c r="G213" i="18"/>
  <c r="CA213" i="6" s="1"/>
  <c r="AA213" i="18"/>
  <c r="Z213" i="18" s="1"/>
  <c r="Y213" i="18" s="1"/>
  <c r="G133" i="18"/>
  <c r="CA133" i="6" s="1"/>
  <c r="AA133" i="18"/>
  <c r="Z133" i="18" s="1"/>
  <c r="Y133" i="18" s="1"/>
  <c r="G115" i="18"/>
  <c r="CA115" i="6" s="1"/>
  <c r="AA115" i="18"/>
  <c r="Z115" i="18" s="1"/>
  <c r="Y115" i="18" s="1"/>
  <c r="W113" i="22"/>
  <c r="D113" i="22"/>
  <c r="E113" i="22" s="1"/>
  <c r="F113" i="22" s="1"/>
  <c r="B113" i="23"/>
  <c r="W85" i="20"/>
  <c r="D85" i="20"/>
  <c r="E85" i="20" s="1"/>
  <c r="F85" i="20" s="1"/>
  <c r="B85" i="22"/>
  <c r="G57" i="20"/>
  <c r="CB57" i="6" s="1"/>
  <c r="AA57" i="20"/>
  <c r="Z57" i="20" s="1"/>
  <c r="Y57" i="20" s="1"/>
  <c r="W360" i="22"/>
  <c r="D360" i="22"/>
  <c r="E360" i="22" s="1"/>
  <c r="F360" i="22" s="1"/>
  <c r="B360" i="23"/>
  <c r="D350" i="20"/>
  <c r="E350" i="20" s="1"/>
  <c r="F350" i="20" s="1"/>
  <c r="W350" i="20"/>
  <c r="B350" i="22"/>
  <c r="G350" i="18"/>
  <c r="CA350" i="6" s="1"/>
  <c r="AA350" i="18"/>
  <c r="Z350" i="18" s="1"/>
  <c r="Y350" i="18" s="1"/>
  <c r="W322" i="20"/>
  <c r="D322" i="20"/>
  <c r="E322" i="20" s="1"/>
  <c r="F322" i="20" s="1"/>
  <c r="B322" i="22"/>
  <c r="G280" i="20"/>
  <c r="CB280" i="6" s="1"/>
  <c r="AA280" i="20"/>
  <c r="Z280" i="20" s="1"/>
  <c r="Y280" i="20" s="1"/>
  <c r="W266" i="20"/>
  <c r="D266" i="20"/>
  <c r="E266" i="20" s="1"/>
  <c r="F266" i="20" s="1"/>
  <c r="B266" i="22"/>
  <c r="W238" i="22"/>
  <c r="D238" i="22"/>
  <c r="E238" i="22" s="1"/>
  <c r="F238" i="22" s="1"/>
  <c r="B238" i="23"/>
  <c r="G234" i="18"/>
  <c r="CA234" i="6" s="1"/>
  <c r="AA234" i="18"/>
  <c r="Z234" i="18" s="1"/>
  <c r="Y234" i="18" s="1"/>
  <c r="H234" i="18"/>
  <c r="W160" i="20"/>
  <c r="D160" i="20"/>
  <c r="E160" i="20" s="1"/>
  <c r="F160" i="20" s="1"/>
  <c r="B160" i="22"/>
  <c r="W122" i="22"/>
  <c r="D122" i="22"/>
  <c r="E122" i="22" s="1"/>
  <c r="F122" i="22" s="1"/>
  <c r="B122" i="23"/>
  <c r="W48" i="20"/>
  <c r="D48" i="20"/>
  <c r="E48" i="20" s="1"/>
  <c r="F48" i="20" s="1"/>
  <c r="B48" i="22"/>
  <c r="G20" i="18"/>
  <c r="CA20" i="6" s="1"/>
  <c r="AA20" i="18"/>
  <c r="Z20" i="18" s="1"/>
  <c r="Y20" i="18" s="1"/>
  <c r="W373" i="20"/>
  <c r="D373" i="20"/>
  <c r="E373" i="20" s="1"/>
  <c r="F373" i="20" s="1"/>
  <c r="B373" i="22"/>
  <c r="W357" i="20"/>
  <c r="D357" i="20"/>
  <c r="E357" i="20" s="1"/>
  <c r="F357" i="20" s="1"/>
  <c r="B357" i="22"/>
  <c r="G337" i="20"/>
  <c r="CB337" i="6" s="1"/>
  <c r="AA337" i="20"/>
  <c r="Z337" i="20" s="1"/>
  <c r="Y337" i="20" s="1"/>
  <c r="W307" i="20"/>
  <c r="D307" i="20"/>
  <c r="E307" i="20" s="1"/>
  <c r="F307" i="20" s="1"/>
  <c r="B307" i="22"/>
  <c r="G267" i="18"/>
  <c r="CA267" i="6" s="1"/>
  <c r="AA267" i="18"/>
  <c r="Z267" i="18" s="1"/>
  <c r="Y267" i="18" s="1"/>
  <c r="W223" i="20"/>
  <c r="D223" i="20"/>
  <c r="E223" i="20" s="1"/>
  <c r="F223" i="20" s="1"/>
  <c r="B223" i="22"/>
  <c r="G211" i="20"/>
  <c r="CB211" i="6" s="1"/>
  <c r="AA211" i="20"/>
  <c r="Z211" i="20" s="1"/>
  <c r="Y211" i="20" s="1"/>
  <c r="G191" i="18"/>
  <c r="CA191" i="6" s="1"/>
  <c r="AA191" i="18"/>
  <c r="Z191" i="18" s="1"/>
  <c r="Y191" i="18" s="1"/>
  <c r="W143" i="20"/>
  <c r="D143" i="20"/>
  <c r="E143" i="20" s="1"/>
  <c r="F143" i="20" s="1"/>
  <c r="B143" i="22"/>
  <c r="AA141" i="20"/>
  <c r="Z141" i="20" s="1"/>
  <c r="Y141" i="20" s="1"/>
  <c r="G141" i="20"/>
  <c r="CB141" i="6" s="1"/>
  <c r="D65" i="20"/>
  <c r="E65" i="20" s="1"/>
  <c r="F65" i="20" s="1"/>
  <c r="W65" i="20"/>
  <c r="B65" i="22"/>
  <c r="G59" i="20"/>
  <c r="CB59" i="6" s="1"/>
  <c r="AA59" i="20"/>
  <c r="Z59" i="20" s="1"/>
  <c r="Y59" i="20" s="1"/>
  <c r="W372" i="20"/>
  <c r="D372" i="20"/>
  <c r="E372" i="20" s="1"/>
  <c r="F372" i="20" s="1"/>
  <c r="B372" i="22"/>
  <c r="D250" i="20"/>
  <c r="E250" i="20" s="1"/>
  <c r="F250" i="20" s="1"/>
  <c r="W250" i="20"/>
  <c r="B250" i="22"/>
  <c r="G250" i="18"/>
  <c r="CA250" i="6" s="1"/>
  <c r="AA250" i="18"/>
  <c r="Z250" i="18" s="1"/>
  <c r="Y250" i="18" s="1"/>
  <c r="W148" i="20"/>
  <c r="D148" i="20"/>
  <c r="E148" i="20" s="1"/>
  <c r="F148" i="20" s="1"/>
  <c r="B148" i="22"/>
  <c r="W126" i="20"/>
  <c r="D126" i="20"/>
  <c r="E126" i="20" s="1"/>
  <c r="F126" i="20" s="1"/>
  <c r="B126" i="22"/>
  <c r="G108" i="20"/>
  <c r="CB108" i="6" s="1"/>
  <c r="AA108" i="20"/>
  <c r="Z108" i="20" s="1"/>
  <c r="Y108" i="20" s="1"/>
  <c r="W96" i="20"/>
  <c r="D96" i="20"/>
  <c r="E96" i="20" s="1"/>
  <c r="F96" i="20" s="1"/>
  <c r="B96" i="22"/>
  <c r="G80" i="20"/>
  <c r="CB80" i="6" s="1"/>
  <c r="AA80" i="20"/>
  <c r="Z80" i="20" s="1"/>
  <c r="Y80" i="20" s="1"/>
  <c r="W34" i="20"/>
  <c r="D34" i="20"/>
  <c r="E34" i="20" s="1"/>
  <c r="F34" i="20" s="1"/>
  <c r="B34" i="22"/>
  <c r="G371" i="18"/>
  <c r="CA371" i="6" s="1"/>
  <c r="AA371" i="18"/>
  <c r="Z371" i="18" s="1"/>
  <c r="Y371" i="18" s="1"/>
  <c r="W341" i="22"/>
  <c r="D341" i="22"/>
  <c r="E341" i="22" s="1"/>
  <c r="F341" i="22" s="1"/>
  <c r="B341" i="23"/>
  <c r="G341" i="20"/>
  <c r="CB341" i="6" s="1"/>
  <c r="AA341" i="20"/>
  <c r="Z341" i="20" s="1"/>
  <c r="Y341" i="20" s="1"/>
  <c r="G339" i="18"/>
  <c r="CA339" i="6" s="1"/>
  <c r="AA339" i="18"/>
  <c r="Z339" i="18" s="1"/>
  <c r="Y339" i="18" s="1"/>
  <c r="D293" i="22"/>
  <c r="E293" i="22" s="1"/>
  <c r="F293" i="22" s="1"/>
  <c r="W293" i="22"/>
  <c r="B293" i="23"/>
  <c r="G291" i="18"/>
  <c r="CA291" i="6" s="1"/>
  <c r="AA291" i="18"/>
  <c r="Z291" i="18" s="1"/>
  <c r="Y291" i="18" s="1"/>
  <c r="G209" i="20"/>
  <c r="CB209" i="6" s="1"/>
  <c r="AA209" i="20"/>
  <c r="Z209" i="20" s="1"/>
  <c r="Y209" i="20" s="1"/>
  <c r="W201" i="20"/>
  <c r="D201" i="20"/>
  <c r="E201" i="20" s="1"/>
  <c r="F201" i="20" s="1"/>
  <c r="B201" i="22"/>
  <c r="G147" i="20"/>
  <c r="CB147" i="6" s="1"/>
  <c r="AA147" i="20"/>
  <c r="Z147" i="20" s="1"/>
  <c r="Y147" i="20" s="1"/>
  <c r="W145" i="20"/>
  <c r="D145" i="20"/>
  <c r="E145" i="20" s="1"/>
  <c r="F145" i="20" s="1"/>
  <c r="B145" i="22"/>
  <c r="W93" i="22"/>
  <c r="D93" i="22"/>
  <c r="E93" i="22" s="1"/>
  <c r="F93" i="22" s="1"/>
  <c r="B93" i="23"/>
  <c r="G87" i="18"/>
  <c r="CA87" i="6" s="1"/>
  <c r="AA87" i="18"/>
  <c r="Z87" i="18" s="1"/>
  <c r="Y87" i="18" s="1"/>
  <c r="H87" i="18"/>
  <c r="G49" i="18"/>
  <c r="CA49" i="6" s="1"/>
  <c r="AA49" i="18"/>
  <c r="Z49" i="18" s="1"/>
  <c r="Y49" i="18" s="1"/>
  <c r="G31" i="18"/>
  <c r="CA31" i="6" s="1"/>
  <c r="AA31" i="18"/>
  <c r="Z31" i="18" s="1"/>
  <c r="Y31" i="18" s="1"/>
  <c r="W31" i="20"/>
  <c r="D31" i="20"/>
  <c r="E31" i="20" s="1"/>
  <c r="F31" i="20" s="1"/>
  <c r="B31" i="22"/>
  <c r="G320" i="20"/>
  <c r="CB320" i="6" s="1"/>
  <c r="AA320" i="20"/>
  <c r="Z320" i="20" s="1"/>
  <c r="Y320" i="20" s="1"/>
  <c r="G276" i="20"/>
  <c r="CB276" i="6" s="1"/>
  <c r="AA276" i="20"/>
  <c r="Z276" i="20" s="1"/>
  <c r="Y276" i="20" s="1"/>
  <c r="G260" i="20"/>
  <c r="CB260" i="6" s="1"/>
  <c r="AA260" i="20"/>
  <c r="Z260" i="20" s="1"/>
  <c r="Y260" i="20" s="1"/>
  <c r="G254" i="18"/>
  <c r="CA254" i="6" s="1"/>
  <c r="AA254" i="18"/>
  <c r="Z254" i="18" s="1"/>
  <c r="Y254" i="18" s="1"/>
  <c r="AA220" i="18"/>
  <c r="Z220" i="18" s="1"/>
  <c r="Y220" i="18" s="1"/>
  <c r="G220" i="18"/>
  <c r="CA220" i="6" s="1"/>
  <c r="D140" i="20"/>
  <c r="E140" i="20" s="1"/>
  <c r="F140" i="20" s="1"/>
  <c r="W140" i="20"/>
  <c r="B140" i="22"/>
  <c r="W110" i="20"/>
  <c r="D110" i="20"/>
  <c r="E110" i="20" s="1"/>
  <c r="F110" i="20" s="1"/>
  <c r="B110" i="22"/>
  <c r="G42" i="18"/>
  <c r="CA42" i="6" s="1"/>
  <c r="AA42" i="18"/>
  <c r="Z42" i="18" s="1"/>
  <c r="Y42" i="18" s="1"/>
  <c r="G317" i="18"/>
  <c r="CA317" i="6" s="1"/>
  <c r="AA317" i="18"/>
  <c r="Z317" i="18" s="1"/>
  <c r="Y317" i="18" s="1"/>
  <c r="G249" i="18"/>
  <c r="CA249" i="6" s="1"/>
  <c r="AA249" i="18"/>
  <c r="Z249" i="18" s="1"/>
  <c r="Y249" i="18" s="1"/>
  <c r="W185" i="20"/>
  <c r="D185" i="20"/>
  <c r="E185" i="20" s="1"/>
  <c r="F185" i="20" s="1"/>
  <c r="B185" i="22"/>
  <c r="W63" i="22"/>
  <c r="D63" i="22"/>
  <c r="E63" i="22" s="1"/>
  <c r="F63" i="22" s="1"/>
  <c r="B63" i="23"/>
  <c r="W37" i="20"/>
  <c r="D37" i="20"/>
  <c r="E37" i="20" s="1"/>
  <c r="F37" i="20" s="1"/>
  <c r="B37" i="22"/>
  <c r="G88" i="18"/>
  <c r="CA88" i="6" s="1"/>
  <c r="AA88" i="18"/>
  <c r="Z88" i="18" s="1"/>
  <c r="Y88" i="18" s="1"/>
  <c r="W244" i="20"/>
  <c r="D244" i="20"/>
  <c r="E244" i="20" s="1"/>
  <c r="F244" i="20" s="1"/>
  <c r="B244" i="22"/>
  <c r="G241" i="20"/>
  <c r="CB241" i="6" s="1"/>
  <c r="AA241" i="20"/>
  <c r="Z241" i="20" s="1"/>
  <c r="Y241" i="20" s="1"/>
  <c r="G189" i="20"/>
  <c r="CB189" i="6" s="1"/>
  <c r="AA189" i="20"/>
  <c r="Z189" i="20" s="1"/>
  <c r="Y189" i="20" s="1"/>
  <c r="W154" i="22"/>
  <c r="D154" i="22"/>
  <c r="E154" i="22" s="1"/>
  <c r="F154" i="22" s="1"/>
  <c r="B154" i="23"/>
  <c r="AA368" i="20"/>
  <c r="Z368" i="20" s="1"/>
  <c r="Y368" i="20" s="1"/>
  <c r="G368" i="20"/>
  <c r="CB368" i="6" s="1"/>
  <c r="G272" i="18"/>
  <c r="CA272" i="6" s="1"/>
  <c r="AA272" i="18"/>
  <c r="Z272" i="18" s="1"/>
  <c r="Y272" i="18" s="1"/>
  <c r="W346" i="20"/>
  <c r="D346" i="20"/>
  <c r="E346" i="20" s="1"/>
  <c r="F346" i="20" s="1"/>
  <c r="B346" i="22"/>
  <c r="D248" i="20"/>
  <c r="E248" i="20" s="1"/>
  <c r="F248" i="20" s="1"/>
  <c r="W248" i="20"/>
  <c r="B248" i="22"/>
  <c r="G22" i="18"/>
  <c r="CA22" i="6" s="1"/>
  <c r="AA22" i="18"/>
  <c r="Z22" i="18" s="1"/>
  <c r="Y22" i="18" s="1"/>
  <c r="G166" i="20"/>
  <c r="CB166" i="6" s="1"/>
  <c r="AA166" i="20"/>
  <c r="Z166" i="20" s="1"/>
  <c r="Y166" i="20" s="1"/>
  <c r="G67" i="18"/>
  <c r="CA67" i="6" s="1"/>
  <c r="AA67" i="18"/>
  <c r="Z67" i="18" s="1"/>
  <c r="Y67" i="18" s="1"/>
  <c r="W16" i="22"/>
  <c r="D16" i="22"/>
  <c r="E16" i="22" s="1"/>
  <c r="F16" i="22" s="1"/>
  <c r="B16" i="23"/>
  <c r="G105" i="20"/>
  <c r="CB105" i="6" s="1"/>
  <c r="AA105" i="20"/>
  <c r="Z105" i="20" s="1"/>
  <c r="Y105" i="20" s="1"/>
  <c r="G196" i="18"/>
  <c r="CA196" i="6" s="1"/>
  <c r="AA196" i="18"/>
  <c r="Z196" i="18" s="1"/>
  <c r="Y196" i="18" s="1"/>
  <c r="G119" i="18"/>
  <c r="CA119" i="6" s="1"/>
  <c r="AA119" i="18"/>
  <c r="Z119" i="18" s="1"/>
  <c r="Y119" i="18" s="1"/>
  <c r="G232" i="18"/>
  <c r="CA232" i="6" s="1"/>
  <c r="AA232" i="18"/>
  <c r="Z232" i="18" s="1"/>
  <c r="Y232" i="18" s="1"/>
  <c r="W132" i="22"/>
  <c r="D132" i="22"/>
  <c r="E132" i="22" s="1"/>
  <c r="F132" i="22" s="1"/>
  <c r="B132" i="23"/>
  <c r="D295" i="20"/>
  <c r="E295" i="20" s="1"/>
  <c r="F295" i="20" s="1"/>
  <c r="W295" i="20"/>
  <c r="B295" i="22"/>
  <c r="G153" i="20"/>
  <c r="CB153" i="6" s="1"/>
  <c r="AA153" i="20"/>
  <c r="Z153" i="20" s="1"/>
  <c r="Y153" i="20" s="1"/>
  <c r="G62" i="18"/>
  <c r="CA62" i="6" s="1"/>
  <c r="AA62" i="18"/>
  <c r="Z62" i="18" s="1"/>
  <c r="Y62" i="18" s="1"/>
  <c r="W251" i="22"/>
  <c r="D251" i="22"/>
  <c r="E251" i="22" s="1"/>
  <c r="F251" i="22" s="1"/>
  <c r="B251" i="23"/>
  <c r="G309" i="18"/>
  <c r="CA309" i="6" s="1"/>
  <c r="AA309" i="18"/>
  <c r="Z309" i="18" s="1"/>
  <c r="Y309" i="18" s="1"/>
  <c r="AA235" i="20"/>
  <c r="Z235" i="20" s="1"/>
  <c r="Y235" i="20" s="1"/>
  <c r="G235" i="20"/>
  <c r="CB235" i="6" s="1"/>
  <c r="W125" i="20"/>
  <c r="D125" i="20"/>
  <c r="E125" i="20" s="1"/>
  <c r="F125" i="20" s="1"/>
  <c r="B125" i="22"/>
  <c r="G103" i="20"/>
  <c r="CB103" i="6" s="1"/>
  <c r="AA103" i="20"/>
  <c r="Z103" i="20" s="1"/>
  <c r="Y103" i="20" s="1"/>
  <c r="W157" i="20"/>
  <c r="D157" i="20"/>
  <c r="E157" i="20" s="1"/>
  <c r="F157" i="20" s="1"/>
  <c r="B157" i="22"/>
  <c r="G52" i="20"/>
  <c r="CB52" i="6" s="1"/>
  <c r="AA52" i="20"/>
  <c r="Z52" i="20" s="1"/>
  <c r="Y52" i="20" s="1"/>
  <c r="G374" i="18"/>
  <c r="CA374" i="6" s="1"/>
  <c r="AA374" i="18"/>
  <c r="Z374" i="18" s="1"/>
  <c r="Y374" i="18" s="1"/>
  <c r="G311" i="18"/>
  <c r="CA311" i="6" s="1"/>
  <c r="AA311" i="18"/>
  <c r="Z311" i="18" s="1"/>
  <c r="Y311" i="18" s="1"/>
  <c r="W305" i="22"/>
  <c r="D305" i="22"/>
  <c r="E305" i="22" s="1"/>
  <c r="F305" i="22" s="1"/>
  <c r="B305" i="23"/>
  <c r="G310" i="18"/>
  <c r="CA310" i="6" s="1"/>
  <c r="AA310" i="18"/>
  <c r="Z310" i="18" s="1"/>
  <c r="Y310" i="18" s="1"/>
  <c r="W252" i="22"/>
  <c r="D252" i="22"/>
  <c r="E252" i="22" s="1"/>
  <c r="F252" i="22" s="1"/>
  <c r="B252" i="23"/>
  <c r="G378" i="18"/>
  <c r="CA378" i="6" s="1"/>
  <c r="AA378" i="18"/>
  <c r="Z378" i="18" s="1"/>
  <c r="Y378" i="18" s="1"/>
  <c r="W204" i="22"/>
  <c r="D204" i="22"/>
  <c r="E204" i="22" s="1"/>
  <c r="F204" i="22" s="1"/>
  <c r="B204" i="23"/>
  <c r="W90" i="20"/>
  <c r="D90" i="20"/>
  <c r="E90" i="20" s="1"/>
  <c r="F90" i="20" s="1"/>
  <c r="B90" i="22"/>
  <c r="W222" i="22"/>
  <c r="D222" i="22"/>
  <c r="E222" i="22" s="1"/>
  <c r="F222" i="22" s="1"/>
  <c r="B222" i="23"/>
  <c r="G137" i="18"/>
  <c r="CA137" i="6" s="1"/>
  <c r="AA137" i="18"/>
  <c r="Z137" i="18" s="1"/>
  <c r="Y137" i="18" s="1"/>
  <c r="G362" i="18"/>
  <c r="CA362" i="6" s="1"/>
  <c r="AA362" i="18"/>
  <c r="Z362" i="18" s="1"/>
  <c r="Y362" i="18" s="1"/>
  <c r="G358" i="20"/>
  <c r="CB358" i="6" s="1"/>
  <c r="AA358" i="20"/>
  <c r="Z358" i="20" s="1"/>
  <c r="Y358" i="20" s="1"/>
  <c r="G340" i="18"/>
  <c r="CA340" i="6" s="1"/>
  <c r="AA340" i="18"/>
  <c r="Z340" i="18" s="1"/>
  <c r="Y340" i="18" s="1"/>
  <c r="W340" i="20"/>
  <c r="D340" i="20"/>
  <c r="E340" i="20" s="1"/>
  <c r="F340" i="20" s="1"/>
  <c r="B340" i="22"/>
  <c r="G290" i="18"/>
  <c r="CA290" i="6" s="1"/>
  <c r="AA290" i="18"/>
  <c r="Z290" i="18" s="1"/>
  <c r="Y290" i="18" s="1"/>
  <c r="W286" i="22"/>
  <c r="D286" i="22"/>
  <c r="E286" i="22" s="1"/>
  <c r="F286" i="22" s="1"/>
  <c r="B286" i="23"/>
  <c r="W264" i="20"/>
  <c r="D264" i="20"/>
  <c r="E264" i="20" s="1"/>
  <c r="F264" i="20" s="1"/>
  <c r="B264" i="22"/>
  <c r="G242" i="20"/>
  <c r="CB242" i="6" s="1"/>
  <c r="AA242" i="20"/>
  <c r="Z242" i="20" s="1"/>
  <c r="Y242" i="20" s="1"/>
  <c r="D214" i="20"/>
  <c r="E214" i="20" s="1"/>
  <c r="F214" i="20" s="1"/>
  <c r="W214" i="20"/>
  <c r="B214" i="22"/>
  <c r="D198" i="20"/>
  <c r="E198" i="20" s="1"/>
  <c r="F198" i="20" s="1"/>
  <c r="W198" i="20"/>
  <c r="B198" i="22"/>
  <c r="G186" i="18"/>
  <c r="CA186" i="6" s="1"/>
  <c r="AA186" i="18"/>
  <c r="Z186" i="18" s="1"/>
  <c r="Y186" i="18" s="1"/>
  <c r="G162" i="18"/>
  <c r="CA162" i="6" s="1"/>
  <c r="AA162" i="18"/>
  <c r="Z162" i="18" s="1"/>
  <c r="Y162" i="18" s="1"/>
  <c r="W162" i="20"/>
  <c r="D162" i="20"/>
  <c r="E162" i="20" s="1"/>
  <c r="F162" i="20" s="1"/>
  <c r="B162" i="22"/>
  <c r="G158" i="20"/>
  <c r="CB158" i="6" s="1"/>
  <c r="AA158" i="20"/>
  <c r="Z158" i="20" s="1"/>
  <c r="Y158" i="20" s="1"/>
  <c r="G102" i="18"/>
  <c r="CA102" i="6" s="1"/>
  <c r="AA102" i="18"/>
  <c r="Z102" i="18" s="1"/>
  <c r="Y102" i="18" s="1"/>
  <c r="W82" i="22"/>
  <c r="D82" i="22"/>
  <c r="E82" i="22" s="1"/>
  <c r="F82" i="22" s="1"/>
  <c r="B82" i="23"/>
  <c r="D58" i="20"/>
  <c r="E58" i="20" s="1"/>
  <c r="F58" i="20" s="1"/>
  <c r="W58" i="20"/>
  <c r="B58" i="22"/>
  <c r="AA54" i="20"/>
  <c r="Z54" i="20" s="1"/>
  <c r="Y54" i="20" s="1"/>
  <c r="G54" i="20"/>
  <c r="CB54" i="6" s="1"/>
  <c r="W36" i="20"/>
  <c r="D36" i="20"/>
  <c r="E36" i="20" s="1"/>
  <c r="F36" i="20" s="1"/>
  <c r="B36" i="22"/>
  <c r="G30" i="20"/>
  <c r="CB30" i="6" s="1"/>
  <c r="AA30" i="20"/>
  <c r="Z30" i="20" s="1"/>
  <c r="Y30" i="20" s="1"/>
  <c r="AA355" i="18"/>
  <c r="Z355" i="18" s="1"/>
  <c r="Y355" i="18" s="1"/>
  <c r="G355" i="18"/>
  <c r="CA355" i="6" s="1"/>
  <c r="W279" i="20"/>
  <c r="D279" i="20"/>
  <c r="E279" i="20" s="1"/>
  <c r="F279" i="20" s="1"/>
  <c r="B279" i="22"/>
  <c r="G225" i="18"/>
  <c r="CA225" i="6" s="1"/>
  <c r="AA225" i="18"/>
  <c r="Z225" i="18" s="1"/>
  <c r="Y225" i="18" s="1"/>
  <c r="G199" i="20"/>
  <c r="CB199" i="6" s="1"/>
  <c r="AA199" i="20"/>
  <c r="Z199" i="20" s="1"/>
  <c r="Y199" i="20" s="1"/>
  <c r="W165" i="20"/>
  <c r="D165" i="20"/>
  <c r="E165" i="20" s="1"/>
  <c r="F165" i="20" s="1"/>
  <c r="B165" i="22"/>
  <c r="G121" i="18"/>
  <c r="CA121" i="6" s="1"/>
  <c r="AA121" i="18"/>
  <c r="Z121" i="18" s="1"/>
  <c r="Y121" i="18" s="1"/>
  <c r="W117" i="22"/>
  <c r="D117" i="22"/>
  <c r="E117" i="22" s="1"/>
  <c r="F117" i="22" s="1"/>
  <c r="B117" i="23"/>
  <c r="W109" i="20"/>
  <c r="D109" i="20"/>
  <c r="E109" i="20" s="1"/>
  <c r="F109" i="20" s="1"/>
  <c r="B109" i="22"/>
  <c r="W91" i="22"/>
  <c r="D91" i="22"/>
  <c r="E91" i="22" s="1"/>
  <c r="F91" i="22" s="1"/>
  <c r="B91" i="23"/>
  <c r="W51" i="20"/>
  <c r="D51" i="20"/>
  <c r="E51" i="20" s="1"/>
  <c r="F51" i="20" s="1"/>
  <c r="B51" i="22"/>
  <c r="D41" i="22"/>
  <c r="E41" i="22" s="1"/>
  <c r="F41" i="22" s="1"/>
  <c r="W41" i="22"/>
  <c r="B41" i="23"/>
  <c r="G25" i="18"/>
  <c r="CA25" i="6" s="1"/>
  <c r="AA25" i="18"/>
  <c r="Z25" i="18" s="1"/>
  <c r="Y25" i="18" s="1"/>
  <c r="G370" i="20"/>
  <c r="CB370" i="6" s="1"/>
  <c r="AA370" i="20"/>
  <c r="Z370" i="20" s="1"/>
  <c r="Y370" i="20" s="1"/>
  <c r="W364" i="20"/>
  <c r="D364" i="20"/>
  <c r="E364" i="20" s="1"/>
  <c r="F364" i="20" s="1"/>
  <c r="B364" i="22"/>
  <c r="W330" i="20"/>
  <c r="D330" i="20"/>
  <c r="E330" i="20" s="1"/>
  <c r="F330" i="20" s="1"/>
  <c r="B330" i="22"/>
  <c r="W304" i="22"/>
  <c r="D304" i="22"/>
  <c r="E304" i="22" s="1"/>
  <c r="F304" i="22" s="1"/>
  <c r="B304" i="23"/>
  <c r="G292" i="18"/>
  <c r="CA292" i="6" s="1"/>
  <c r="AA292" i="18"/>
  <c r="Z292" i="18" s="1"/>
  <c r="Y292" i="18" s="1"/>
  <c r="W262" i="22"/>
  <c r="D262" i="22"/>
  <c r="E262" i="22" s="1"/>
  <c r="F262" i="22" s="1"/>
  <c r="B262" i="23"/>
  <c r="W256" i="20"/>
  <c r="D256" i="20"/>
  <c r="E256" i="20" s="1"/>
  <c r="F256" i="20" s="1"/>
  <c r="B256" i="22"/>
  <c r="G202" i="20"/>
  <c r="CB202" i="6" s="1"/>
  <c r="AA202" i="20"/>
  <c r="Z202" i="20" s="1"/>
  <c r="Y202" i="20" s="1"/>
  <c r="W184" i="20"/>
  <c r="D184" i="20"/>
  <c r="E184" i="20" s="1"/>
  <c r="F184" i="20" s="1"/>
  <c r="B184" i="22"/>
  <c r="G138" i="20"/>
  <c r="CB138" i="6" s="1"/>
  <c r="AA138" i="20"/>
  <c r="Z138" i="20" s="1"/>
  <c r="Y138" i="20" s="1"/>
  <c r="W124" i="20"/>
  <c r="D124" i="20"/>
  <c r="E124" i="20" s="1"/>
  <c r="F124" i="20" s="1"/>
  <c r="B124" i="22"/>
  <c r="G28" i="20"/>
  <c r="CB28" i="6" s="1"/>
  <c r="AA28" i="20"/>
  <c r="Z28" i="20" s="1"/>
  <c r="Y28" i="20" s="1"/>
  <c r="W27" i="20"/>
  <c r="D27" i="20"/>
  <c r="E27" i="20" s="1"/>
  <c r="F27" i="20" s="1"/>
  <c r="B27" i="22"/>
  <c r="G288" i="18"/>
  <c r="CA288" i="6" s="1"/>
  <c r="AA288" i="18"/>
  <c r="Z288" i="18" s="1"/>
  <c r="Y288" i="18" s="1"/>
  <c r="G375" i="20"/>
  <c r="CB375" i="6" s="1"/>
  <c r="AA375" i="20"/>
  <c r="Z375" i="20" s="1"/>
  <c r="Y375" i="20" s="1"/>
  <c r="G359" i="20"/>
  <c r="CB359" i="6" s="1"/>
  <c r="AA359" i="20"/>
  <c r="Z359" i="20" s="1"/>
  <c r="Y359" i="20" s="1"/>
  <c r="G325" i="18"/>
  <c r="CA325" i="6" s="1"/>
  <c r="AA325" i="18"/>
  <c r="Z325" i="18" s="1"/>
  <c r="Y325" i="18" s="1"/>
  <c r="G277" i="18"/>
  <c r="CA277" i="6" s="1"/>
  <c r="AA277" i="18"/>
  <c r="Z277" i="18" s="1"/>
  <c r="Y277" i="18" s="1"/>
  <c r="G269" i="20"/>
  <c r="CB269" i="6" s="1"/>
  <c r="AA269" i="20"/>
  <c r="Z269" i="20" s="1"/>
  <c r="Y269" i="20" s="1"/>
  <c r="G245" i="18"/>
  <c r="CA245" i="6" s="1"/>
  <c r="AA245" i="18"/>
  <c r="Z245" i="18" s="1"/>
  <c r="Y245" i="18" s="1"/>
  <c r="G203" i="18"/>
  <c r="CA203" i="6" s="1"/>
  <c r="AA203" i="18"/>
  <c r="Z203" i="18" s="1"/>
  <c r="Y203" i="18" s="1"/>
  <c r="AA169" i="18"/>
  <c r="Z169" i="18" s="1"/>
  <c r="Y169" i="18" s="1"/>
  <c r="G169" i="18"/>
  <c r="CA169" i="6" s="1"/>
  <c r="W151" i="22"/>
  <c r="D151" i="22"/>
  <c r="E151" i="22" s="1"/>
  <c r="F151" i="22" s="1"/>
  <c r="B151" i="23"/>
  <c r="D139" i="20"/>
  <c r="E139" i="20" s="1"/>
  <c r="F139" i="20" s="1"/>
  <c r="W139" i="20"/>
  <c r="B139" i="22"/>
  <c r="W107" i="22"/>
  <c r="D107" i="22"/>
  <c r="E107" i="22" s="1"/>
  <c r="F107" i="22" s="1"/>
  <c r="B107" i="23"/>
  <c r="W53" i="20"/>
  <c r="D53" i="20"/>
  <c r="E53" i="20" s="1"/>
  <c r="F53" i="20" s="1"/>
  <c r="B53" i="22"/>
  <c r="W39" i="22"/>
  <c r="D39" i="22"/>
  <c r="E39" i="22" s="1"/>
  <c r="F39" i="22" s="1"/>
  <c r="B39" i="23"/>
  <c r="D334" i="20"/>
  <c r="E334" i="20" s="1"/>
  <c r="F334" i="20" s="1"/>
  <c r="W334" i="20"/>
  <c r="B334" i="22"/>
  <c r="AA218" i="18"/>
  <c r="Z218" i="18" s="1"/>
  <c r="Y218" i="18" s="1"/>
  <c r="G218" i="18"/>
  <c r="CA218" i="6" s="1"/>
  <c r="G188" i="18"/>
  <c r="CA188" i="6" s="1"/>
  <c r="AA188" i="18"/>
  <c r="Z188" i="18" s="1"/>
  <c r="Y188" i="18" s="1"/>
  <c r="W146" i="22"/>
  <c r="D146" i="22"/>
  <c r="E146" i="22" s="1"/>
  <c r="F146" i="22" s="1"/>
  <c r="B146" i="23"/>
  <c r="AA144" i="18"/>
  <c r="Z144" i="18" s="1"/>
  <c r="Y144" i="18" s="1"/>
  <c r="G144" i="18"/>
  <c r="CA144" i="6" s="1"/>
  <c r="G112" i="18"/>
  <c r="CA112" i="6" s="1"/>
  <c r="AA112" i="18"/>
  <c r="Z112" i="18" s="1"/>
  <c r="Y112" i="18" s="1"/>
  <c r="G86" i="18"/>
  <c r="CA86" i="6" s="1"/>
  <c r="AA86" i="18"/>
  <c r="Z86" i="18" s="1"/>
  <c r="Y86" i="18" s="1"/>
  <c r="G303" i="18"/>
  <c r="CA303" i="6" s="1"/>
  <c r="AA303" i="18"/>
  <c r="Z303" i="18" s="1"/>
  <c r="Y303" i="18" s="1"/>
  <c r="D285" i="22"/>
  <c r="E285" i="22" s="1"/>
  <c r="F285" i="22" s="1"/>
  <c r="W285" i="22"/>
  <c r="B285" i="23"/>
  <c r="G275" i="18"/>
  <c r="CA275" i="6" s="1"/>
  <c r="AA275" i="18"/>
  <c r="Z275" i="18" s="1"/>
  <c r="Y275" i="18" s="1"/>
  <c r="AA233" i="18"/>
  <c r="Z233" i="18" s="1"/>
  <c r="Y233" i="18" s="1"/>
  <c r="G233" i="18"/>
  <c r="CA233" i="6" s="1"/>
  <c r="G221" i="20"/>
  <c r="CB221" i="6" s="1"/>
  <c r="AA221" i="20"/>
  <c r="Z221" i="20" s="1"/>
  <c r="Y221" i="20" s="1"/>
  <c r="W215" i="20"/>
  <c r="D215" i="20"/>
  <c r="E215" i="20" s="1"/>
  <c r="F215" i="20" s="1"/>
  <c r="B215" i="22"/>
  <c r="G195" i="20"/>
  <c r="CB195" i="6" s="1"/>
  <c r="AA195" i="20"/>
  <c r="Z195" i="20" s="1"/>
  <c r="Y195" i="20" s="1"/>
  <c r="W181" i="20"/>
  <c r="D181" i="20"/>
  <c r="E181" i="20" s="1"/>
  <c r="F181" i="20" s="1"/>
  <c r="B181" i="22"/>
  <c r="G123" i="18"/>
  <c r="CA123" i="6" s="1"/>
  <c r="AA123" i="18"/>
  <c r="Z123" i="18" s="1"/>
  <c r="Y123" i="18" s="1"/>
  <c r="G79" i="20"/>
  <c r="CB79" i="6" s="1"/>
  <c r="AA79" i="20"/>
  <c r="Z79" i="20" s="1"/>
  <c r="Y79" i="20" s="1"/>
  <c r="D71" i="20"/>
  <c r="E71" i="20" s="1"/>
  <c r="F71" i="20" s="1"/>
  <c r="W71" i="20"/>
  <c r="B71" i="22"/>
  <c r="G47" i="20"/>
  <c r="CB47" i="6" s="1"/>
  <c r="AA47" i="20"/>
  <c r="Z47" i="20" s="1"/>
  <c r="Y47" i="20" s="1"/>
  <c r="G45" i="18"/>
  <c r="CA45" i="6" s="1"/>
  <c r="AA45" i="18"/>
  <c r="Z45" i="18" s="1"/>
  <c r="Y45" i="18" s="1"/>
  <c r="G21" i="18"/>
  <c r="CA21" i="6" s="1"/>
  <c r="AA21" i="18"/>
  <c r="Z21" i="18" s="1"/>
  <c r="Y21" i="18" s="1"/>
  <c r="W336" i="22"/>
  <c r="D336" i="22"/>
  <c r="E336" i="22" s="1"/>
  <c r="F336" i="22" s="1"/>
  <c r="B336" i="23"/>
  <c r="W328" i="20"/>
  <c r="D328" i="20"/>
  <c r="E328" i="20" s="1"/>
  <c r="F328" i="20" s="1"/>
  <c r="B328" i="22"/>
  <c r="G308" i="20"/>
  <c r="CB308" i="6" s="1"/>
  <c r="AA308" i="20"/>
  <c r="Z308" i="20" s="1"/>
  <c r="Y308" i="20" s="1"/>
  <c r="G282" i="18"/>
  <c r="CA282" i="6" s="1"/>
  <c r="AA282" i="18"/>
  <c r="Z282" i="18" s="1"/>
  <c r="Y282" i="18" s="1"/>
  <c r="G270" i="20"/>
  <c r="CB270" i="6" s="1"/>
  <c r="AA270" i="20"/>
  <c r="Z270" i="20" s="1"/>
  <c r="Y270" i="20" s="1"/>
  <c r="W268" i="20"/>
  <c r="D268" i="20"/>
  <c r="E268" i="20" s="1"/>
  <c r="F268" i="20" s="1"/>
  <c r="B268" i="22"/>
  <c r="W246" i="20"/>
  <c r="D246" i="20"/>
  <c r="E246" i="20" s="1"/>
  <c r="F246" i="20" s="1"/>
  <c r="B246" i="22"/>
  <c r="G230" i="20"/>
  <c r="CB230" i="6" s="1"/>
  <c r="AA230" i="20"/>
  <c r="Z230" i="20" s="1"/>
  <c r="Y230" i="20" s="1"/>
  <c r="G176" i="18"/>
  <c r="CA176" i="6" s="1"/>
  <c r="AA176" i="18"/>
  <c r="Z176" i="18" s="1"/>
  <c r="Y176" i="18" s="1"/>
  <c r="G128" i="18"/>
  <c r="CA128" i="6" s="1"/>
  <c r="AA128" i="18"/>
  <c r="Z128" i="18" s="1"/>
  <c r="Y128" i="18" s="1"/>
  <c r="AA118" i="20"/>
  <c r="Z118" i="20" s="1"/>
  <c r="Y118" i="20" s="1"/>
  <c r="G118" i="20"/>
  <c r="CB118" i="6" s="1"/>
  <c r="W104" i="20"/>
  <c r="D104" i="20"/>
  <c r="E104" i="20" s="1"/>
  <c r="F104" i="20" s="1"/>
  <c r="B104" i="22"/>
  <c r="W56" i="20"/>
  <c r="D56" i="20"/>
  <c r="E56" i="20" s="1"/>
  <c r="F56" i="20" s="1"/>
  <c r="B56" i="22"/>
  <c r="G50" i="20"/>
  <c r="CB50" i="6" s="1"/>
  <c r="AA50" i="20"/>
  <c r="Z50" i="20" s="1"/>
  <c r="Y50" i="20" s="1"/>
  <c r="W361" i="20"/>
  <c r="D361" i="20"/>
  <c r="E361" i="20" s="1"/>
  <c r="F361" i="20" s="1"/>
  <c r="B361" i="22"/>
  <c r="W273" i="20"/>
  <c r="D273" i="20"/>
  <c r="E273" i="20" s="1"/>
  <c r="F273" i="20" s="1"/>
  <c r="B273" i="22"/>
  <c r="G271" i="20"/>
  <c r="CB271" i="6" s="1"/>
  <c r="AA271" i="20"/>
  <c r="Z271" i="20" s="1"/>
  <c r="Y271" i="20" s="1"/>
  <c r="G255" i="20"/>
  <c r="CB255" i="6" s="1"/>
  <c r="AA255" i="20"/>
  <c r="Z255" i="20" s="1"/>
  <c r="Y255" i="20" s="1"/>
  <c r="G219" i="18"/>
  <c r="CA219" i="6" s="1"/>
  <c r="AA219" i="18"/>
  <c r="Z219" i="18" s="1"/>
  <c r="Y219" i="18" s="1"/>
  <c r="G173" i="18"/>
  <c r="CA173" i="6" s="1"/>
  <c r="AA173" i="18"/>
  <c r="Z173" i="18" s="1"/>
  <c r="Y173" i="18" s="1"/>
  <c r="G127" i="18"/>
  <c r="CA127" i="6" s="1"/>
  <c r="AA127" i="18"/>
  <c r="Z127" i="18" s="1"/>
  <c r="Y127" i="18" s="1"/>
  <c r="G89" i="18"/>
  <c r="CA89" i="6" s="1"/>
  <c r="AA89" i="18"/>
  <c r="Z89" i="18" s="1"/>
  <c r="Y89" i="18" s="1"/>
  <c r="W83" i="22"/>
  <c r="D83" i="22"/>
  <c r="E83" i="22" s="1"/>
  <c r="F83" i="22" s="1"/>
  <c r="B83" i="23"/>
  <c r="G61" i="18"/>
  <c r="CA61" i="6" s="1"/>
  <c r="AA61" i="18"/>
  <c r="Z61" i="18" s="1"/>
  <c r="Y61" i="18" s="1"/>
  <c r="W287" i="20"/>
  <c r="D287" i="20"/>
  <c r="E287" i="20" s="1"/>
  <c r="F287" i="20" s="1"/>
  <c r="B287" i="22"/>
  <c r="W130" i="22"/>
  <c r="D130" i="22"/>
  <c r="E130" i="22" s="1"/>
  <c r="F130" i="22" s="1"/>
  <c r="B130" i="23"/>
  <c r="G175" i="20"/>
  <c r="CB175" i="6" s="1"/>
  <c r="AA175" i="20"/>
  <c r="Z175" i="20" s="1"/>
  <c r="Y175" i="20" s="1"/>
  <c r="W253" i="20"/>
  <c r="D253" i="20"/>
  <c r="E253" i="20" s="1"/>
  <c r="F253" i="20" s="1"/>
  <c r="B253" i="22"/>
  <c r="W369" i="20"/>
  <c r="D369" i="20"/>
  <c r="E369" i="20" s="1"/>
  <c r="F369" i="20" s="1"/>
  <c r="B369" i="22"/>
  <c r="G302" i="20"/>
  <c r="CB302" i="6" s="1"/>
  <c r="AA302" i="20"/>
  <c r="Z302" i="20" s="1"/>
  <c r="Y302" i="20" s="1"/>
  <c r="W347" i="20"/>
  <c r="D347" i="20"/>
  <c r="E347" i="20" s="1"/>
  <c r="F347" i="20" s="1"/>
  <c r="B347" i="22"/>
  <c r="W376" i="20"/>
  <c r="D376" i="20"/>
  <c r="E376" i="20" s="1"/>
  <c r="F376" i="20" s="1"/>
  <c r="B376" i="22"/>
  <c r="G335" i="20"/>
  <c r="CB335" i="6" s="1"/>
  <c r="AA335" i="20"/>
  <c r="Z335" i="20" s="1"/>
  <c r="Y335" i="20" s="1"/>
  <c r="W66" i="22"/>
  <c r="D66" i="22"/>
  <c r="E66" i="22" s="1"/>
  <c r="F66" i="22" s="1"/>
  <c r="B66" i="23"/>
  <c r="G194" i="18"/>
  <c r="CA194" i="6" s="1"/>
  <c r="AA194" i="18"/>
  <c r="Z194" i="18" s="1"/>
  <c r="Y194" i="18" s="1"/>
  <c r="G171" i="18"/>
  <c r="CA171" i="6" s="1"/>
  <c r="AA171" i="18"/>
  <c r="Z171" i="18" s="1"/>
  <c r="Y171" i="18" s="1"/>
  <c r="W278" i="22"/>
  <c r="D278" i="22"/>
  <c r="E278" i="22" s="1"/>
  <c r="F278" i="22" s="1"/>
  <c r="B278" i="23"/>
  <c r="W75" i="20"/>
  <c r="D75" i="20"/>
  <c r="E75" i="20" s="1"/>
  <c r="F75" i="20" s="1"/>
  <c r="B75" i="22"/>
  <c r="G111" i="20"/>
  <c r="CB111" i="6" s="1"/>
  <c r="AA111" i="20"/>
  <c r="Z111" i="20" s="1"/>
  <c r="Y111" i="20" s="1"/>
  <c r="G261" i="18"/>
  <c r="CA261" i="6" s="1"/>
  <c r="AA261" i="18"/>
  <c r="Z261" i="18" s="1"/>
  <c r="Y261" i="18" s="1"/>
  <c r="W74" i="20"/>
  <c r="D74" i="20"/>
  <c r="E74" i="20" s="1"/>
  <c r="F74" i="20" s="1"/>
  <c r="B74" i="22"/>
  <c r="G319" i="20"/>
  <c r="CB319" i="6" s="1"/>
  <c r="AA319" i="20"/>
  <c r="Z319" i="20" s="1"/>
  <c r="Y319" i="20" s="1"/>
  <c r="G349" i="18"/>
  <c r="CA349" i="6" s="1"/>
  <c r="AA349" i="18"/>
  <c r="Z349" i="18" s="1"/>
  <c r="Y349" i="18" s="1"/>
  <c r="G46" i="18"/>
  <c r="CA46" i="6" s="1"/>
  <c r="AA46" i="18"/>
  <c r="Z46" i="18" s="1"/>
  <c r="Y46" i="18" s="1"/>
  <c r="W187" i="20"/>
  <c r="D187" i="20"/>
  <c r="E187" i="20" s="1"/>
  <c r="F187" i="20" s="1"/>
  <c r="B187" i="22"/>
  <c r="G365" i="18"/>
  <c r="CA365" i="6" s="1"/>
  <c r="AA365" i="18"/>
  <c r="Z365" i="18" s="1"/>
  <c r="Y365" i="18" s="1"/>
  <c r="G149" i="20"/>
  <c r="CB149" i="6" s="1"/>
  <c r="AA149" i="20"/>
  <c r="Z149" i="20" s="1"/>
  <c r="Y149" i="20" s="1"/>
  <c r="W333" i="20"/>
  <c r="D333" i="20"/>
  <c r="E333" i="20" s="1"/>
  <c r="F333" i="20" s="1"/>
  <c r="B333" i="22"/>
  <c r="G333" i="18"/>
  <c r="CA333" i="6" s="1"/>
  <c r="AA333" i="18"/>
  <c r="Z333" i="18" s="1"/>
  <c r="Y333" i="18" s="1"/>
  <c r="AA60" i="18"/>
  <c r="Z60" i="18" s="1"/>
  <c r="Y60" i="18" s="1"/>
  <c r="G60" i="18"/>
  <c r="CA60" i="6" s="1"/>
  <c r="D69" i="22"/>
  <c r="E69" i="22" s="1"/>
  <c r="F69" i="22" s="1"/>
  <c r="W69" i="22"/>
  <c r="B69" i="23"/>
  <c r="W33" i="22"/>
  <c r="D33" i="22"/>
  <c r="E33" i="22" s="1"/>
  <c r="F33" i="22" s="1"/>
  <c r="B33" i="23"/>
  <c r="W352" i="20"/>
  <c r="D352" i="20"/>
  <c r="E352" i="20" s="1"/>
  <c r="F352" i="20" s="1"/>
  <c r="B352" i="22"/>
  <c r="W318" i="20"/>
  <c r="D318" i="20"/>
  <c r="E318" i="20" s="1"/>
  <c r="F318" i="20" s="1"/>
  <c r="B318" i="22"/>
  <c r="W274" i="20"/>
  <c r="D274" i="20"/>
  <c r="E274" i="20" s="1"/>
  <c r="F274" i="20" s="1"/>
  <c r="B274" i="22"/>
  <c r="W178" i="22"/>
  <c r="D178" i="22"/>
  <c r="E178" i="22" s="1"/>
  <c r="F178" i="22" s="1"/>
  <c r="B178" i="23"/>
  <c r="G136" i="20"/>
  <c r="CB136" i="6" s="1"/>
  <c r="AA136" i="20"/>
  <c r="Z136" i="20" s="1"/>
  <c r="Y136" i="20" s="1"/>
  <c r="W106" i="22"/>
  <c r="D106" i="22"/>
  <c r="E106" i="22" s="1"/>
  <c r="F106" i="22" s="1"/>
  <c r="B106" i="23"/>
  <c r="W84" i="20"/>
  <c r="D84" i="20"/>
  <c r="E84" i="20" s="1"/>
  <c r="F84" i="20" s="1"/>
  <c r="B84" i="22"/>
  <c r="G281" i="20"/>
  <c r="CB281" i="6" s="1"/>
  <c r="AA281" i="20"/>
  <c r="Z281" i="20" s="1"/>
  <c r="Y281" i="20" s="1"/>
  <c r="AA263" i="18"/>
  <c r="Z263" i="18" s="1"/>
  <c r="Y263" i="18" s="1"/>
  <c r="G263" i="18"/>
  <c r="CA263" i="6" s="1"/>
  <c r="G247" i="20"/>
  <c r="CB247" i="6" s="1"/>
  <c r="AA247" i="20"/>
  <c r="Z247" i="20" s="1"/>
  <c r="Y247" i="20" s="1"/>
  <c r="G183" i="20"/>
  <c r="CB183" i="6" s="1"/>
  <c r="AA183" i="20"/>
  <c r="Z183" i="20" s="1"/>
  <c r="Y183" i="20" s="1"/>
  <c r="G159" i="18"/>
  <c r="CA159" i="6" s="1"/>
  <c r="AA159" i="18"/>
  <c r="Z159" i="18" s="1"/>
  <c r="Y159" i="18" s="1"/>
  <c r="D99" i="20"/>
  <c r="E99" i="20" s="1"/>
  <c r="F99" i="20" s="1"/>
  <c r="W99" i="20"/>
  <c r="B99" i="22"/>
  <c r="G77" i="18"/>
  <c r="CA77" i="6" s="1"/>
  <c r="AA77" i="18"/>
  <c r="Z77" i="18" s="1"/>
  <c r="Y77" i="18" s="1"/>
  <c r="AA161" i="18"/>
  <c r="Z161" i="18" s="1"/>
  <c r="Y161" i="18" s="1"/>
  <c r="G161" i="18"/>
  <c r="CA161" i="6" s="1"/>
  <c r="G210" i="18"/>
  <c r="CA210" i="6" s="1"/>
  <c r="AA210" i="18"/>
  <c r="Z210" i="18" s="1"/>
  <c r="Y210" i="18" s="1"/>
  <c r="W114" i="20"/>
  <c r="D114" i="20"/>
  <c r="E114" i="20" s="1"/>
  <c r="F114" i="20" s="1"/>
  <c r="B114" i="22"/>
  <c r="G43" i="20"/>
  <c r="CB43" i="6" s="1"/>
  <c r="AA43" i="20"/>
  <c r="Z43" i="20" s="1"/>
  <c r="Y43" i="20" s="1"/>
  <c r="W283" i="20"/>
  <c r="D283" i="20"/>
  <c r="E283" i="20" s="1"/>
  <c r="F283" i="20" s="1"/>
  <c r="B283" i="22"/>
  <c r="W354" i="22"/>
  <c r="D354" i="22"/>
  <c r="E354" i="22" s="1"/>
  <c r="F354" i="22" s="1"/>
  <c r="B354" i="23"/>
  <c r="G177" i="20"/>
  <c r="CB177" i="6" s="1"/>
  <c r="AA177" i="20"/>
  <c r="Z177" i="20" s="1"/>
  <c r="Y177" i="20" s="1"/>
  <c r="W226" i="20"/>
  <c r="D226" i="20"/>
  <c r="E226" i="20" s="1"/>
  <c r="F226" i="20" s="1"/>
  <c r="B226" i="22"/>
  <c r="G150" i="18"/>
  <c r="CA150" i="6" s="1"/>
  <c r="AA150" i="18"/>
  <c r="Z150" i="18" s="1"/>
  <c r="Y150" i="18" s="1"/>
  <c r="G29" i="18"/>
  <c r="CA29" i="6" s="1"/>
  <c r="AA29" i="18"/>
  <c r="Z29" i="18" s="1"/>
  <c r="Y29" i="18" s="1"/>
  <c r="W29" i="20"/>
  <c r="D29" i="20"/>
  <c r="E29" i="20" s="1"/>
  <c r="F29" i="20" s="1"/>
  <c r="B29" i="22"/>
  <c r="W379" i="22"/>
  <c r="D379" i="22"/>
  <c r="E379" i="22" s="1"/>
  <c r="F379" i="22" s="1"/>
  <c r="B379" i="23"/>
  <c r="I217" i="18" l="1"/>
  <c r="D359" i="22"/>
  <c r="E359" i="22" s="1"/>
  <c r="F359" i="22" s="1"/>
  <c r="AA359" i="22" s="1"/>
  <c r="Z359" i="22" s="1"/>
  <c r="Y359" i="22" s="1"/>
  <c r="W108" i="22"/>
  <c r="D337" i="22"/>
  <c r="E337" i="22" s="1"/>
  <c r="F337" i="22" s="1"/>
  <c r="AA337" i="22" s="1"/>
  <c r="Z337" i="22" s="1"/>
  <c r="Y337" i="22" s="1"/>
  <c r="AA238" i="20"/>
  <c r="Z238" i="20" s="1"/>
  <c r="Y238" i="20" s="1"/>
  <c r="J251" i="18"/>
  <c r="BA205" i="6"/>
  <c r="D205" i="6" s="1"/>
  <c r="J205" i="18"/>
  <c r="BA217" i="6"/>
  <c r="D217" i="6" s="1"/>
  <c r="H49" i="18"/>
  <c r="J49" i="18" s="1"/>
  <c r="B49" i="6"/>
  <c r="H21" i="18"/>
  <c r="J21" i="18" s="1"/>
  <c r="B21" i="6"/>
  <c r="H188" i="18"/>
  <c r="B188" i="6"/>
  <c r="H207" i="18"/>
  <c r="B207" i="6"/>
  <c r="H371" i="18"/>
  <c r="I371" i="18" s="1"/>
  <c r="B371" i="6"/>
  <c r="H109" i="18"/>
  <c r="J109" i="18" s="1"/>
  <c r="B109" i="6"/>
  <c r="H33" i="18"/>
  <c r="J33" i="18" s="1"/>
  <c r="B33" i="6"/>
  <c r="H314" i="18"/>
  <c r="B314" i="6"/>
  <c r="H290" i="18"/>
  <c r="B290" i="6"/>
  <c r="H258" i="18"/>
  <c r="B258" i="6"/>
  <c r="H340" i="18"/>
  <c r="J340" i="18" s="1"/>
  <c r="B340" i="6"/>
  <c r="H270" i="18"/>
  <c r="I270" i="18" s="1"/>
  <c r="B270" i="6"/>
  <c r="H221" i="18"/>
  <c r="I221" i="18" s="1"/>
  <c r="B221" i="6"/>
  <c r="H328" i="18"/>
  <c r="I328" i="18" s="1"/>
  <c r="B328" i="6"/>
  <c r="H352" i="18"/>
  <c r="B352" i="6"/>
  <c r="H123" i="18"/>
  <c r="B123" i="6"/>
  <c r="H349" i="18"/>
  <c r="B349" i="6"/>
  <c r="H83" i="18"/>
  <c r="B83" i="6"/>
  <c r="H175" i="18"/>
  <c r="B175" i="6"/>
  <c r="H115" i="18"/>
  <c r="J115" i="18" s="1"/>
  <c r="B115" i="6"/>
  <c r="H20" i="18"/>
  <c r="I20" i="18" s="1"/>
  <c r="B20" i="6"/>
  <c r="H231" i="18"/>
  <c r="J231" i="18" s="1"/>
  <c r="B231" i="6"/>
  <c r="H116" i="18"/>
  <c r="B116" i="6"/>
  <c r="H334" i="18"/>
  <c r="I334" i="18" s="1"/>
  <c r="B334" i="6"/>
  <c r="H174" i="18"/>
  <c r="B174" i="6"/>
  <c r="H160" i="18"/>
  <c r="I160" i="18" s="1"/>
  <c r="B160" i="6"/>
  <c r="H134" i="18"/>
  <c r="B134" i="6"/>
  <c r="H208" i="18"/>
  <c r="I208" i="18" s="1"/>
  <c r="B208" i="6"/>
  <c r="H358" i="18"/>
  <c r="B358" i="6"/>
  <c r="H183" i="18"/>
  <c r="B183" i="6"/>
  <c r="H359" i="18"/>
  <c r="B359" i="6"/>
  <c r="H137" i="18"/>
  <c r="J137" i="18" s="1"/>
  <c r="B137" i="6"/>
  <c r="H335" i="18"/>
  <c r="I335" i="18" s="1"/>
  <c r="B335" i="6"/>
  <c r="H19" i="18"/>
  <c r="I19" i="18" s="1"/>
  <c r="B19" i="6"/>
  <c r="H127" i="18"/>
  <c r="B127" i="6"/>
  <c r="H209" i="18"/>
  <c r="J209" i="18" s="1"/>
  <c r="B209" i="6"/>
  <c r="H132" i="18"/>
  <c r="I132" i="18" s="1"/>
  <c r="B132" i="6"/>
  <c r="H63" i="18"/>
  <c r="B63" i="6"/>
  <c r="H211" i="18"/>
  <c r="J211" i="18" s="1"/>
  <c r="B211" i="6"/>
  <c r="H34" i="18"/>
  <c r="B34" i="6"/>
  <c r="H283" i="18"/>
  <c r="B283" i="6"/>
  <c r="H361" i="18"/>
  <c r="B361" i="6"/>
  <c r="H289" i="18"/>
  <c r="I289" i="18" s="1"/>
  <c r="B289" i="6"/>
  <c r="H122" i="18"/>
  <c r="J122" i="18" s="1"/>
  <c r="B122" i="6"/>
  <c r="H273" i="18"/>
  <c r="B273" i="6"/>
  <c r="H341" i="18"/>
  <c r="J341" i="18" s="1"/>
  <c r="B341" i="6"/>
  <c r="H154" i="18"/>
  <c r="I154" i="18" s="1"/>
  <c r="B154" i="6"/>
  <c r="H347" i="18"/>
  <c r="I347" i="18" s="1"/>
  <c r="B347" i="6"/>
  <c r="H138" i="18"/>
  <c r="B138" i="6"/>
  <c r="H368" i="18"/>
  <c r="I368" i="18" s="1"/>
  <c r="B368" i="6"/>
  <c r="H118" i="18"/>
  <c r="I118" i="18" s="1"/>
  <c r="B118" i="6"/>
  <c r="H125" i="18"/>
  <c r="B125" i="6"/>
  <c r="H79" i="18"/>
  <c r="J79" i="18" s="1"/>
  <c r="B79" i="6"/>
  <c r="H305" i="18"/>
  <c r="I305" i="18" s="1"/>
  <c r="B305" i="6"/>
  <c r="H333" i="18"/>
  <c r="J333" i="18" s="1"/>
  <c r="B333" i="6"/>
  <c r="H312" i="18"/>
  <c r="I312" i="18" s="1"/>
  <c r="B312" i="6"/>
  <c r="H268" i="18"/>
  <c r="J268" i="18" s="1"/>
  <c r="B268" i="6"/>
  <c r="H153" i="18"/>
  <c r="J153" i="18" s="1"/>
  <c r="B153" i="6"/>
  <c r="H31" i="18"/>
  <c r="J31" i="18" s="1"/>
  <c r="B31" i="6"/>
  <c r="H18" i="18"/>
  <c r="J18" i="18" s="1"/>
  <c r="B18" i="6"/>
  <c r="H90" i="18"/>
  <c r="B90" i="6"/>
  <c r="H244" i="18"/>
  <c r="J244" i="18" s="1"/>
  <c r="B244" i="6"/>
  <c r="H193" i="18"/>
  <c r="B193" i="6"/>
  <c r="H263" i="18"/>
  <c r="B263" i="6"/>
  <c r="H338" i="18"/>
  <c r="I338" i="18" s="1"/>
  <c r="B338" i="6"/>
  <c r="H212" i="18"/>
  <c r="J212" i="18" s="1"/>
  <c r="B212" i="6"/>
  <c r="H215" i="18"/>
  <c r="I215" i="18" s="1"/>
  <c r="B215" i="6"/>
  <c r="H241" i="18"/>
  <c r="B241" i="6"/>
  <c r="H321" i="18"/>
  <c r="I321" i="18" s="1"/>
  <c r="B321" i="6"/>
  <c r="H88" i="18"/>
  <c r="I88" i="18" s="1"/>
  <c r="B88" i="6"/>
  <c r="H105" i="18"/>
  <c r="I105" i="18" s="1"/>
  <c r="B105" i="6"/>
  <c r="H194" i="18"/>
  <c r="B194" i="6"/>
  <c r="H60" i="18"/>
  <c r="B60" i="6"/>
  <c r="H351" i="18"/>
  <c r="B351" i="6"/>
  <c r="H363" i="18"/>
  <c r="J363" i="18" s="1"/>
  <c r="B363" i="6"/>
  <c r="H306" i="18"/>
  <c r="I306" i="18" s="1"/>
  <c r="B306" i="6"/>
  <c r="H95" i="18"/>
  <c r="I95" i="18" s="1"/>
  <c r="B95" i="6"/>
  <c r="H287" i="18"/>
  <c r="I287" i="18" s="1"/>
  <c r="B287" i="6"/>
  <c r="H355" i="18"/>
  <c r="B355" i="6"/>
  <c r="H379" i="18"/>
  <c r="B379" i="6"/>
  <c r="H271" i="18"/>
  <c r="B271" i="6"/>
  <c r="H58" i="18"/>
  <c r="J58" i="18" s="1"/>
  <c r="B58" i="6"/>
  <c r="H129" i="18"/>
  <c r="I129" i="18" s="1"/>
  <c r="B129" i="6"/>
  <c r="H73" i="18"/>
  <c r="B73" i="6"/>
  <c r="H260" i="18"/>
  <c r="I260" i="18" s="1"/>
  <c r="B260" i="6"/>
  <c r="H332" i="18"/>
  <c r="I332" i="18" s="1"/>
  <c r="B332" i="6"/>
  <c r="H239" i="18"/>
  <c r="I239" i="18" s="1"/>
  <c r="B239" i="6"/>
  <c r="H51" i="18"/>
  <c r="I51" i="18" s="1"/>
  <c r="B51" i="6"/>
  <c r="H84" i="18"/>
  <c r="I84" i="18" s="1"/>
  <c r="B84" i="6"/>
  <c r="H348" i="18"/>
  <c r="I348" i="18" s="1"/>
  <c r="B348" i="6"/>
  <c r="H214" i="18"/>
  <c r="I214" i="18" s="1"/>
  <c r="B214" i="6"/>
  <c r="H280" i="18"/>
  <c r="B280" i="6"/>
  <c r="H136" i="18"/>
  <c r="B136" i="6"/>
  <c r="H38" i="18"/>
  <c r="B38" i="6"/>
  <c r="H219" i="18"/>
  <c r="J219" i="18" s="1"/>
  <c r="B219" i="6"/>
  <c r="H161" i="18"/>
  <c r="B161" i="6"/>
  <c r="H259" i="18"/>
  <c r="I259" i="18" s="1"/>
  <c r="B259" i="6"/>
  <c r="H92" i="18"/>
  <c r="B92" i="6"/>
  <c r="H233" i="18"/>
  <c r="B233" i="6"/>
  <c r="H72" i="18"/>
  <c r="I72" i="18" s="1"/>
  <c r="B72" i="6"/>
  <c r="H32" i="18"/>
  <c r="I32" i="18" s="1"/>
  <c r="B32" i="6"/>
  <c r="H98" i="18"/>
  <c r="J98" i="18" s="1"/>
  <c r="B98" i="6"/>
  <c r="H337" i="18"/>
  <c r="I337" i="18" s="1"/>
  <c r="B337" i="6"/>
  <c r="H113" i="18"/>
  <c r="J113" i="18" s="1"/>
  <c r="B113" i="6"/>
  <c r="H274" i="18"/>
  <c r="J274" i="18" s="1"/>
  <c r="B274" i="6"/>
  <c r="H78" i="18"/>
  <c r="J78" i="18" s="1"/>
  <c r="B78" i="6"/>
  <c r="H82" i="18"/>
  <c r="I82" i="18" s="1"/>
  <c r="B82" i="6"/>
  <c r="H66" i="18"/>
  <c r="J66" i="18" s="1"/>
  <c r="B66" i="6"/>
  <c r="H25" i="18"/>
  <c r="I25" i="18" s="1"/>
  <c r="B25" i="6"/>
  <c r="H17" i="18"/>
  <c r="B17" i="6"/>
  <c r="H144" i="18"/>
  <c r="J144" i="18" s="1"/>
  <c r="B144" i="6"/>
  <c r="H374" i="18"/>
  <c r="J374" i="18" s="1"/>
  <c r="B374" i="6"/>
  <c r="H325" i="18"/>
  <c r="J325" i="18" s="1"/>
  <c r="B325" i="6"/>
  <c r="H331" i="18"/>
  <c r="J331" i="18" s="1"/>
  <c r="B331" i="6"/>
  <c r="H269" i="18"/>
  <c r="B269" i="6"/>
  <c r="H320" i="18"/>
  <c r="B320" i="6"/>
  <c r="H52" i="18"/>
  <c r="I52" i="18" s="1"/>
  <c r="B52" i="6"/>
  <c r="H155" i="18"/>
  <c r="I155" i="18" s="1"/>
  <c r="B155" i="6"/>
  <c r="H245" i="18"/>
  <c r="I245" i="18" s="1"/>
  <c r="B245" i="6"/>
  <c r="H24" i="18"/>
  <c r="J24" i="18" s="1"/>
  <c r="B24" i="6"/>
  <c r="H85" i="18"/>
  <c r="I85" i="18" s="1"/>
  <c r="B85" i="6"/>
  <c r="H141" i="18"/>
  <c r="B141" i="6"/>
  <c r="H23" i="18"/>
  <c r="I23" i="18" s="1"/>
  <c r="B23" i="6"/>
  <c r="H342" i="18"/>
  <c r="I342" i="18" s="1"/>
  <c r="B342" i="6"/>
  <c r="H344" i="18"/>
  <c r="I344" i="18" s="1"/>
  <c r="B344" i="6"/>
  <c r="H190" i="18"/>
  <c r="B190" i="6"/>
  <c r="H147" i="18"/>
  <c r="I147" i="18" s="1"/>
  <c r="B147" i="6"/>
  <c r="H336" i="18"/>
  <c r="J336" i="18" s="1"/>
  <c r="B336" i="6"/>
  <c r="H327" i="18"/>
  <c r="J327" i="18" s="1"/>
  <c r="B327" i="6"/>
  <c r="H198" i="18"/>
  <c r="J198" i="18" s="1"/>
  <c r="B198" i="6"/>
  <c r="H235" i="18"/>
  <c r="J235" i="18" s="1"/>
  <c r="B235" i="6"/>
  <c r="H158" i="18"/>
  <c r="I158" i="18" s="1"/>
  <c r="B158" i="6"/>
  <c r="H191" i="18"/>
  <c r="I191" i="18" s="1"/>
  <c r="B191" i="6"/>
  <c r="H169" i="18"/>
  <c r="I169" i="18" s="1"/>
  <c r="B169" i="6"/>
  <c r="H308" i="18"/>
  <c r="B308" i="6"/>
  <c r="H37" i="18"/>
  <c r="J37" i="18" s="1"/>
  <c r="B37" i="6"/>
  <c r="H364" i="18"/>
  <c r="I364" i="18" s="1"/>
  <c r="B364" i="6"/>
  <c r="H318" i="18"/>
  <c r="J318" i="18" s="1"/>
  <c r="B318" i="6"/>
  <c r="H176" i="18"/>
  <c r="B176" i="6"/>
  <c r="H81" i="18"/>
  <c r="I81" i="18" s="1"/>
  <c r="B81" i="6"/>
  <c r="H135" i="18"/>
  <c r="B135" i="6"/>
  <c r="H373" i="18"/>
  <c r="J373" i="18" s="1"/>
  <c r="B373" i="6"/>
  <c r="H133" i="18"/>
  <c r="B133" i="6"/>
  <c r="H164" i="18"/>
  <c r="B164" i="6"/>
  <c r="H156" i="18"/>
  <c r="J156" i="18" s="1"/>
  <c r="B156" i="6"/>
  <c r="H210" i="18"/>
  <c r="J210" i="18" s="1"/>
  <c r="B210" i="6"/>
  <c r="H203" i="18"/>
  <c r="B203" i="6"/>
  <c r="H275" i="18"/>
  <c r="I275" i="18" s="1"/>
  <c r="B275" i="6"/>
  <c r="H300" i="18"/>
  <c r="I300" i="18" s="1"/>
  <c r="B300" i="6"/>
  <c r="H182" i="18"/>
  <c r="J182" i="18" s="1"/>
  <c r="B182" i="6"/>
  <c r="H91" i="18"/>
  <c r="J91" i="18" s="1"/>
  <c r="B91" i="6"/>
  <c r="H27" i="18"/>
  <c r="J27" i="18" s="1"/>
  <c r="B27" i="6"/>
  <c r="H77" i="18"/>
  <c r="B77" i="6"/>
  <c r="H42" i="18"/>
  <c r="I42" i="18" s="1"/>
  <c r="B42" i="6"/>
  <c r="H297" i="18"/>
  <c r="I297" i="18" s="1"/>
  <c r="B297" i="6"/>
  <c r="H101" i="18"/>
  <c r="I101" i="18" s="1"/>
  <c r="B101" i="6"/>
  <c r="H145" i="18"/>
  <c r="J145" i="18" s="1"/>
  <c r="B145" i="6"/>
  <c r="H330" i="18"/>
  <c r="J330" i="18" s="1"/>
  <c r="B330" i="6"/>
  <c r="H61" i="18"/>
  <c r="B61" i="6"/>
  <c r="H162" i="18"/>
  <c r="B162" i="6"/>
  <c r="H370" i="18"/>
  <c r="B370" i="6"/>
  <c r="H317" i="18"/>
  <c r="B317" i="6"/>
  <c r="H291" i="18"/>
  <c r="B291" i="6"/>
  <c r="H343" i="18"/>
  <c r="B343" i="6"/>
  <c r="H112" i="18"/>
  <c r="I112" i="18" s="1"/>
  <c r="B112" i="6"/>
  <c r="H99" i="18"/>
  <c r="I99" i="18" s="1"/>
  <c r="B99" i="6"/>
  <c r="H151" i="18"/>
  <c r="B151" i="6"/>
  <c r="H254" i="18"/>
  <c r="J254" i="18" s="1"/>
  <c r="B254" i="6"/>
  <c r="H237" i="18"/>
  <c r="J237" i="18" s="1"/>
  <c r="B237" i="6"/>
  <c r="H266" i="18"/>
  <c r="I266" i="18" s="1"/>
  <c r="B266" i="6"/>
  <c r="H181" i="18"/>
  <c r="I181" i="18" s="1"/>
  <c r="B181" i="6"/>
  <c r="H236" i="18"/>
  <c r="J236" i="18" s="1"/>
  <c r="B236" i="6"/>
  <c r="H140" i="18"/>
  <c r="J140" i="18" s="1"/>
  <c r="B140" i="6"/>
  <c r="H261" i="18"/>
  <c r="J261" i="18" s="1"/>
  <c r="B261" i="6"/>
  <c r="H64" i="18"/>
  <c r="B64" i="6"/>
  <c r="H173" i="18"/>
  <c r="B173" i="6"/>
  <c r="H243" i="18"/>
  <c r="J243" i="18" s="1"/>
  <c r="B243" i="6"/>
  <c r="H267" i="18"/>
  <c r="B267" i="6"/>
  <c r="H252" i="18"/>
  <c r="J252" i="18" s="1"/>
  <c r="B252" i="6"/>
  <c r="H45" i="18"/>
  <c r="B45" i="6"/>
  <c r="H345" i="18"/>
  <c r="B345" i="6"/>
  <c r="H362" i="18"/>
  <c r="B362" i="6"/>
  <c r="H70" i="18"/>
  <c r="B70" i="6"/>
  <c r="H294" i="18"/>
  <c r="B294" i="6"/>
  <c r="H265" i="18"/>
  <c r="B265" i="6"/>
  <c r="H311" i="18"/>
  <c r="J311" i="18" s="1"/>
  <c r="B311" i="6"/>
  <c r="H303" i="18"/>
  <c r="B303" i="6"/>
  <c r="H292" i="18"/>
  <c r="B292" i="6"/>
  <c r="H89" i="18"/>
  <c r="I89" i="18" s="1"/>
  <c r="B89" i="6"/>
  <c r="H225" i="18"/>
  <c r="B225" i="6"/>
  <c r="H369" i="18"/>
  <c r="B369" i="6"/>
  <c r="H247" i="18"/>
  <c r="I247" i="18" s="1"/>
  <c r="B247" i="6"/>
  <c r="H54" i="18"/>
  <c r="J54" i="18" s="1"/>
  <c r="B54" i="6"/>
  <c r="H55" i="18"/>
  <c r="B55" i="6"/>
  <c r="H288" i="18"/>
  <c r="B288" i="6"/>
  <c r="H69" i="18"/>
  <c r="B69" i="6"/>
  <c r="H124" i="18"/>
  <c r="J124" i="18" s="1"/>
  <c r="B124" i="6"/>
  <c r="H339" i="18"/>
  <c r="B339" i="6"/>
  <c r="H143" i="18"/>
  <c r="B143" i="6"/>
  <c r="H281" i="18"/>
  <c r="I281" i="18" s="1"/>
  <c r="B281" i="6"/>
  <c r="H189" i="18"/>
  <c r="B189" i="6"/>
  <c r="H44" i="18"/>
  <c r="I44" i="18" s="1"/>
  <c r="B44" i="6"/>
  <c r="H80" i="18"/>
  <c r="B80" i="6"/>
  <c r="H35" i="18"/>
  <c r="B35" i="6"/>
  <c r="H262" i="18"/>
  <c r="J262" i="18" s="1"/>
  <c r="B262" i="6"/>
  <c r="H30" i="18"/>
  <c r="J30" i="18" s="1"/>
  <c r="B30" i="6"/>
  <c r="H184" i="18"/>
  <c r="B184" i="6"/>
  <c r="H322" i="18"/>
  <c r="J322" i="18" s="1"/>
  <c r="B322" i="6"/>
  <c r="H222" i="18"/>
  <c r="B222" i="6"/>
  <c r="H298" i="18"/>
  <c r="J298" i="18" s="1"/>
  <c r="B298" i="6"/>
  <c r="H354" i="18"/>
  <c r="B354" i="6"/>
  <c r="H216" i="18"/>
  <c r="B216" i="6"/>
  <c r="H299" i="18"/>
  <c r="B299" i="6"/>
  <c r="H167" i="18"/>
  <c r="I167" i="18" s="1"/>
  <c r="B167" i="6"/>
  <c r="H249" i="18"/>
  <c r="J249" i="18" s="1"/>
  <c r="B249" i="6"/>
  <c r="H120" i="18"/>
  <c r="B120" i="6"/>
  <c r="H159" i="18"/>
  <c r="J159" i="18" s="1"/>
  <c r="B159" i="6"/>
  <c r="H196" i="18"/>
  <c r="B196" i="6"/>
  <c r="H163" i="18"/>
  <c r="I163" i="18" s="1"/>
  <c r="B163" i="6"/>
  <c r="H108" i="18"/>
  <c r="B108" i="6"/>
  <c r="H121" i="18"/>
  <c r="B121" i="6"/>
  <c r="H166" i="18"/>
  <c r="J166" i="18" s="1"/>
  <c r="B166" i="6"/>
  <c r="H365" i="18"/>
  <c r="B365" i="6"/>
  <c r="H57" i="18"/>
  <c r="B57" i="6"/>
  <c r="H353" i="18"/>
  <c r="J353" i="18" s="1"/>
  <c r="B353" i="6"/>
  <c r="H148" i="18"/>
  <c r="B148" i="6"/>
  <c r="H100" i="18"/>
  <c r="B100" i="6"/>
  <c r="H94" i="18"/>
  <c r="B94" i="6"/>
  <c r="H199" i="18"/>
  <c r="B199" i="6"/>
  <c r="H71" i="18"/>
  <c r="I71" i="18" s="1"/>
  <c r="B71" i="6"/>
  <c r="H319" i="18"/>
  <c r="I319" i="18" s="1"/>
  <c r="B319" i="6"/>
  <c r="H285" i="18"/>
  <c r="B285" i="6"/>
  <c r="H218" i="18"/>
  <c r="I218" i="18" s="1"/>
  <c r="B218" i="6"/>
  <c r="H278" i="18"/>
  <c r="B278" i="6"/>
  <c r="H65" i="18"/>
  <c r="B65" i="6"/>
  <c r="H74" i="18"/>
  <c r="J74" i="18" s="1"/>
  <c r="B74" i="6"/>
  <c r="H242" i="18"/>
  <c r="B242" i="6"/>
  <c r="H326" i="18"/>
  <c r="B326" i="6"/>
  <c r="H168" i="18"/>
  <c r="I168" i="18" s="1"/>
  <c r="B168" i="6"/>
  <c r="H128" i="18"/>
  <c r="B128" i="6"/>
  <c r="H301" i="18"/>
  <c r="B301" i="6"/>
  <c r="H68" i="18"/>
  <c r="I68" i="18" s="1"/>
  <c r="B68" i="6"/>
  <c r="H350" i="18"/>
  <c r="J350" i="18" s="1"/>
  <c r="B350" i="6"/>
  <c r="H223" i="18"/>
  <c r="B223" i="6"/>
  <c r="H378" i="18"/>
  <c r="J378" i="18" s="1"/>
  <c r="B378" i="6"/>
  <c r="H22" i="18"/>
  <c r="J22" i="18" s="1"/>
  <c r="B22" i="6"/>
  <c r="H232" i="18"/>
  <c r="B232" i="6"/>
  <c r="H220" i="18"/>
  <c r="J220" i="18" s="1"/>
  <c r="B220" i="6"/>
  <c r="H16" i="18"/>
  <c r="I16" i="18" s="1"/>
  <c r="B16" i="6"/>
  <c r="H185" i="18"/>
  <c r="B185" i="6"/>
  <c r="H356" i="18"/>
  <c r="J356" i="18" s="1"/>
  <c r="B356" i="6"/>
  <c r="H224" i="18"/>
  <c r="J224" i="18" s="1"/>
  <c r="B224" i="6"/>
  <c r="H284" i="18"/>
  <c r="I284" i="18" s="1"/>
  <c r="B284" i="6"/>
  <c r="H114" i="18"/>
  <c r="I114" i="18" s="1"/>
  <c r="B114" i="6"/>
  <c r="H272" i="18"/>
  <c r="J272" i="18" s="1"/>
  <c r="B272" i="6"/>
  <c r="H227" i="18"/>
  <c r="J227" i="18" s="1"/>
  <c r="B227" i="6"/>
  <c r="H282" i="18"/>
  <c r="B282" i="6"/>
  <c r="H131" i="18"/>
  <c r="B131" i="6"/>
  <c r="H39" i="18"/>
  <c r="I39" i="18" s="1"/>
  <c r="B39" i="6"/>
  <c r="H62" i="18"/>
  <c r="J62" i="18" s="1"/>
  <c r="B62" i="6"/>
  <c r="H41" i="18"/>
  <c r="I41" i="18" s="1"/>
  <c r="B41" i="6"/>
  <c r="H36" i="18"/>
  <c r="J36" i="18" s="1"/>
  <c r="B36" i="6"/>
  <c r="H377" i="18"/>
  <c r="B377" i="6"/>
  <c r="H255" i="18"/>
  <c r="I255" i="18" s="1"/>
  <c r="B255" i="6"/>
  <c r="H150" i="18"/>
  <c r="B150" i="6"/>
  <c r="H172" i="18"/>
  <c r="J172" i="18" s="1"/>
  <c r="B172" i="6"/>
  <c r="H226" i="18"/>
  <c r="J226" i="18" s="1"/>
  <c r="B226" i="6"/>
  <c r="H304" i="18"/>
  <c r="I304" i="18" s="1"/>
  <c r="B304" i="6"/>
  <c r="H142" i="18"/>
  <c r="B142" i="6"/>
  <c r="H367" i="18"/>
  <c r="J367" i="18" s="1"/>
  <c r="B367" i="6"/>
  <c r="H309" i="18"/>
  <c r="J309" i="18" s="1"/>
  <c r="B309" i="6"/>
  <c r="H86" i="18"/>
  <c r="B86" i="6"/>
  <c r="H366" i="18"/>
  <c r="I366" i="18" s="1"/>
  <c r="B366" i="6"/>
  <c r="H201" i="18"/>
  <c r="B201" i="6"/>
  <c r="H324" i="18"/>
  <c r="B324" i="6"/>
  <c r="H40" i="18"/>
  <c r="J40" i="18" s="1"/>
  <c r="B40" i="6"/>
  <c r="H171" i="18"/>
  <c r="B171" i="6"/>
  <c r="H146" i="18"/>
  <c r="J146" i="18" s="1"/>
  <c r="B146" i="6"/>
  <c r="H302" i="18"/>
  <c r="I302" i="18" s="1"/>
  <c r="B302" i="6"/>
  <c r="H293" i="18"/>
  <c r="I293" i="18" s="1"/>
  <c r="B293" i="6"/>
  <c r="H47" i="18"/>
  <c r="B47" i="6"/>
  <c r="H357" i="18"/>
  <c r="J357" i="18" s="1"/>
  <c r="B357" i="6"/>
  <c r="H250" i="18"/>
  <c r="I250" i="18" s="1"/>
  <c r="B250" i="6"/>
  <c r="H229" i="18"/>
  <c r="I229" i="18" s="1"/>
  <c r="B229" i="6"/>
  <c r="H165" i="18"/>
  <c r="J165" i="18" s="1"/>
  <c r="B165" i="6"/>
  <c r="H202" i="18"/>
  <c r="I202" i="18" s="1"/>
  <c r="B202" i="6"/>
  <c r="H346" i="18"/>
  <c r="J346" i="18" s="1"/>
  <c r="B346" i="6"/>
  <c r="H103" i="18"/>
  <c r="J103" i="18" s="1"/>
  <c r="B103" i="6"/>
  <c r="H170" i="18"/>
  <c r="I170" i="18" s="1"/>
  <c r="B170" i="6"/>
  <c r="H213" i="18"/>
  <c r="B213" i="6"/>
  <c r="H192" i="18"/>
  <c r="J192" i="18" s="1"/>
  <c r="B192" i="6"/>
  <c r="H50" i="18"/>
  <c r="I50" i="18" s="1"/>
  <c r="B50" i="6"/>
  <c r="H256" i="18"/>
  <c r="J256" i="18" s="1"/>
  <c r="B256" i="6"/>
  <c r="H177" i="18"/>
  <c r="B177" i="6"/>
  <c r="H130" i="18"/>
  <c r="J130" i="18" s="1"/>
  <c r="B130" i="6"/>
  <c r="H26" i="18"/>
  <c r="I26" i="18" s="1"/>
  <c r="B26" i="6"/>
  <c r="H329" i="18"/>
  <c r="I329" i="18" s="1"/>
  <c r="B329" i="6"/>
  <c r="H102" i="18"/>
  <c r="B102" i="6"/>
  <c r="H104" i="18"/>
  <c r="J104" i="18" s="1"/>
  <c r="B104" i="6"/>
  <c r="H230" i="18"/>
  <c r="J230" i="18" s="1"/>
  <c r="B230" i="6"/>
  <c r="H117" i="18"/>
  <c r="I117" i="18" s="1"/>
  <c r="B117" i="6"/>
  <c r="H180" i="18"/>
  <c r="I180" i="18" s="1"/>
  <c r="B180" i="6"/>
  <c r="H106" i="18"/>
  <c r="J106" i="18" s="1"/>
  <c r="B106" i="6"/>
  <c r="H157" i="18"/>
  <c r="I157" i="18" s="1"/>
  <c r="B157" i="6"/>
  <c r="H107" i="18"/>
  <c r="I107" i="18" s="1"/>
  <c r="B107" i="6"/>
  <c r="H28" i="18"/>
  <c r="I28" i="18" s="1"/>
  <c r="B28" i="6"/>
  <c r="H315" i="18"/>
  <c r="I315" i="18" s="1"/>
  <c r="B315" i="6"/>
  <c r="H310" i="18"/>
  <c r="B310" i="6"/>
  <c r="H375" i="18"/>
  <c r="J375" i="18" s="1"/>
  <c r="B375" i="6"/>
  <c r="H248" i="18"/>
  <c r="J248" i="18" s="1"/>
  <c r="B248" i="6"/>
  <c r="H96" i="18"/>
  <c r="I96" i="18" s="1"/>
  <c r="B96" i="6"/>
  <c r="H313" i="18"/>
  <c r="I313" i="18" s="1"/>
  <c r="B313" i="6"/>
  <c r="H277" i="18"/>
  <c r="B277" i="6"/>
  <c r="H149" i="18"/>
  <c r="B149" i="6"/>
  <c r="H187" i="18"/>
  <c r="I187" i="18" s="1"/>
  <c r="B187" i="6"/>
  <c r="H279" i="18"/>
  <c r="I279" i="18" s="1"/>
  <c r="B279" i="6"/>
  <c r="H295" i="18"/>
  <c r="I295" i="18" s="1"/>
  <c r="B295" i="6"/>
  <c r="H376" i="18"/>
  <c r="J376" i="18" s="1"/>
  <c r="B376" i="6"/>
  <c r="H323" i="18"/>
  <c r="I323" i="18" s="1"/>
  <c r="B323" i="6"/>
  <c r="H75" i="18"/>
  <c r="B75" i="6"/>
  <c r="H246" i="18"/>
  <c r="I246" i="18" s="1"/>
  <c r="B246" i="6"/>
  <c r="H29" i="18"/>
  <c r="J29" i="18" s="1"/>
  <c r="B29" i="6"/>
  <c r="H179" i="18"/>
  <c r="I179" i="18" s="1"/>
  <c r="B179" i="6"/>
  <c r="H56" i="18"/>
  <c r="I56" i="18" s="1"/>
  <c r="B56" i="6"/>
  <c r="H372" i="18"/>
  <c r="I372" i="18" s="1"/>
  <c r="B372" i="6"/>
  <c r="H53" i="18"/>
  <c r="B53" i="6"/>
  <c r="H178" i="18"/>
  <c r="B178" i="6"/>
  <c r="H152" i="18"/>
  <c r="I152" i="18" s="1"/>
  <c r="B152" i="6"/>
  <c r="H59" i="18"/>
  <c r="J59" i="18" s="1"/>
  <c r="B59" i="6"/>
  <c r="H46" i="18"/>
  <c r="J46" i="18" s="1"/>
  <c r="B46" i="6"/>
  <c r="H360" i="18"/>
  <c r="B360" i="6"/>
  <c r="H307" i="18"/>
  <c r="I307" i="18" s="1"/>
  <c r="B307" i="6"/>
  <c r="H276" i="18"/>
  <c r="J276" i="18" s="1"/>
  <c r="B276" i="6"/>
  <c r="H186" i="18"/>
  <c r="B186" i="6"/>
  <c r="H67" i="18"/>
  <c r="B67" i="6"/>
  <c r="H228" i="18"/>
  <c r="I228" i="18" s="1"/>
  <c r="B228" i="6"/>
  <c r="H48" i="18"/>
  <c r="J48" i="18" s="1"/>
  <c r="B48" i="6"/>
  <c r="H111" i="18"/>
  <c r="J111" i="18" s="1"/>
  <c r="B111" i="6"/>
  <c r="H126" i="18"/>
  <c r="J126" i="18" s="1"/>
  <c r="B126" i="6"/>
  <c r="H286" i="18"/>
  <c r="J286" i="18" s="1"/>
  <c r="B286" i="6"/>
  <c r="H119" i="18"/>
  <c r="I119" i="18" s="1"/>
  <c r="B119" i="6"/>
  <c r="H257" i="18"/>
  <c r="I257" i="18" s="1"/>
  <c r="B257" i="6"/>
  <c r="H200" i="18"/>
  <c r="J200" i="18" s="1"/>
  <c r="B200" i="6"/>
  <c r="H139" i="18"/>
  <c r="J139" i="18" s="1"/>
  <c r="B139" i="6"/>
  <c r="H206" i="18"/>
  <c r="I206" i="18" s="1"/>
  <c r="B206" i="6"/>
  <c r="H110" i="18"/>
  <c r="I110" i="18" s="1"/>
  <c r="B110" i="6"/>
  <c r="D152" i="22"/>
  <c r="E152" i="22" s="1"/>
  <c r="F152" i="22" s="1"/>
  <c r="B152" i="23"/>
  <c r="W152" i="23" s="1"/>
  <c r="AA262" i="20"/>
  <c r="Z262" i="20" s="1"/>
  <c r="Y262" i="20" s="1"/>
  <c r="B108" i="23"/>
  <c r="W108" i="23" s="1"/>
  <c r="B59" i="23"/>
  <c r="D59" i="23" s="1"/>
  <c r="E59" i="23" s="1"/>
  <c r="F59" i="23" s="1"/>
  <c r="W270" i="22"/>
  <c r="W269" i="22"/>
  <c r="D351" i="22"/>
  <c r="E351" i="22" s="1"/>
  <c r="F351" i="22" s="1"/>
  <c r="AA351" i="22" s="1"/>
  <c r="Z351" i="22" s="1"/>
  <c r="Y351" i="22" s="1"/>
  <c r="B259" i="23"/>
  <c r="B259" i="24" s="1"/>
  <c r="W377" i="22"/>
  <c r="D312" i="22"/>
  <c r="E312" i="22" s="1"/>
  <c r="F312" i="22" s="1"/>
  <c r="AA312" i="22" s="1"/>
  <c r="Z312" i="22" s="1"/>
  <c r="Y312" i="22" s="1"/>
  <c r="D43" i="22"/>
  <c r="E43" i="22" s="1"/>
  <c r="F43" i="22" s="1"/>
  <c r="AA43" i="22" s="1"/>
  <c r="Z43" i="22" s="1"/>
  <c r="Y43" i="22" s="1"/>
  <c r="D183" i="22"/>
  <c r="E183" i="22" s="1"/>
  <c r="F183" i="22" s="1"/>
  <c r="G183" i="22" s="1"/>
  <c r="CC183" i="6" s="1"/>
  <c r="D136" i="22"/>
  <c r="E136" i="22" s="1"/>
  <c r="F136" i="22" s="1"/>
  <c r="AA136" i="22" s="1"/>
  <c r="Z136" i="22" s="1"/>
  <c r="Y136" i="22" s="1"/>
  <c r="D28" i="22"/>
  <c r="E28" i="22" s="1"/>
  <c r="F28" i="22" s="1"/>
  <c r="G28" i="22" s="1"/>
  <c r="CC28" i="6" s="1"/>
  <c r="W170" i="22"/>
  <c r="G326" i="20"/>
  <c r="CB326" i="6" s="1"/>
  <c r="D335" i="22"/>
  <c r="E335" i="22" s="1"/>
  <c r="F335" i="22" s="1"/>
  <c r="AA335" i="22" s="1"/>
  <c r="Z335" i="22" s="1"/>
  <c r="Y335" i="22" s="1"/>
  <c r="AA167" i="20"/>
  <c r="Z167" i="20" s="1"/>
  <c r="Y167" i="20" s="1"/>
  <c r="B50" i="23"/>
  <c r="W50" i="23" s="1"/>
  <c r="B28" i="23"/>
  <c r="D28" i="23" s="1"/>
  <c r="E28" i="23" s="1"/>
  <c r="F28" i="23" s="1"/>
  <c r="W54" i="22"/>
  <c r="G97" i="20"/>
  <c r="CB97" i="6" s="1"/>
  <c r="B211" i="23"/>
  <c r="W211" i="23" s="1"/>
  <c r="B205" i="23"/>
  <c r="W205" i="23" s="1"/>
  <c r="B331" i="23"/>
  <c r="W331" i="23" s="1"/>
  <c r="B70" i="23"/>
  <c r="D70" i="23" s="1"/>
  <c r="E70" i="23" s="1"/>
  <c r="F70" i="23" s="1"/>
  <c r="AA68" i="20"/>
  <c r="Z68" i="20" s="1"/>
  <c r="Y68" i="20" s="1"/>
  <c r="W237" i="22"/>
  <c r="D212" i="22"/>
  <c r="E212" i="22" s="1"/>
  <c r="F212" i="22" s="1"/>
  <c r="AA212" i="22" s="1"/>
  <c r="Z212" i="22" s="1"/>
  <c r="Y212" i="22" s="1"/>
  <c r="D363" i="22"/>
  <c r="E363" i="22" s="1"/>
  <c r="F363" i="22" s="1"/>
  <c r="G363" i="22" s="1"/>
  <c r="CC363" i="6" s="1"/>
  <c r="W70" i="22"/>
  <c r="G294" i="20"/>
  <c r="CB294" i="6" s="1"/>
  <c r="B359" i="23"/>
  <c r="D359" i="23" s="1"/>
  <c r="E359" i="23" s="1"/>
  <c r="F359" i="23" s="1"/>
  <c r="B231" i="23"/>
  <c r="B231" i="24" s="1"/>
  <c r="B237" i="23"/>
  <c r="D237" i="23" s="1"/>
  <c r="E237" i="23" s="1"/>
  <c r="F237" i="23" s="1"/>
  <c r="B212" i="23"/>
  <c r="D212" i="23" s="1"/>
  <c r="E212" i="23" s="1"/>
  <c r="F212" i="23" s="1"/>
  <c r="B363" i="23"/>
  <c r="B363" i="24" s="1"/>
  <c r="AA300" i="20"/>
  <c r="Z300" i="20" s="1"/>
  <c r="Y300" i="20" s="1"/>
  <c r="W358" i="22"/>
  <c r="B329" i="23"/>
  <c r="W329" i="23" s="1"/>
  <c r="AA299" i="20"/>
  <c r="Z299" i="20" s="1"/>
  <c r="Y299" i="20" s="1"/>
  <c r="B306" i="23"/>
  <c r="W306" i="23" s="1"/>
  <c r="D95" i="22"/>
  <c r="E95" i="22" s="1"/>
  <c r="F95" i="22" s="1"/>
  <c r="AA95" i="22" s="1"/>
  <c r="Z95" i="22" s="1"/>
  <c r="Y95" i="22" s="1"/>
  <c r="D316" i="22"/>
  <c r="E316" i="22" s="1"/>
  <c r="F316" i="22" s="1"/>
  <c r="G316" i="22" s="1"/>
  <c r="CC316" i="6" s="1"/>
  <c r="W19" i="22"/>
  <c r="AA101" i="20"/>
  <c r="Z101" i="20" s="1"/>
  <c r="Y101" i="20" s="1"/>
  <c r="W94" i="22"/>
  <c r="B300" i="23"/>
  <c r="W300" i="23" s="1"/>
  <c r="D297" i="22"/>
  <c r="E297" i="22" s="1"/>
  <c r="F297" i="22" s="1"/>
  <c r="AA297" i="22" s="1"/>
  <c r="Z297" i="22" s="1"/>
  <c r="Y297" i="22" s="1"/>
  <c r="AA152" i="20"/>
  <c r="Z152" i="20" s="1"/>
  <c r="Y152" i="20" s="1"/>
  <c r="D259" i="22"/>
  <c r="E259" i="22" s="1"/>
  <c r="F259" i="22" s="1"/>
  <c r="G259" i="22" s="1"/>
  <c r="CC259" i="6" s="1"/>
  <c r="G69" i="20"/>
  <c r="CB69" i="6" s="1"/>
  <c r="W50" i="22"/>
  <c r="G258" i="20"/>
  <c r="CB258" i="6" s="1"/>
  <c r="G297" i="20"/>
  <c r="CB297" i="6" s="1"/>
  <c r="D30" i="22"/>
  <c r="E30" i="22" s="1"/>
  <c r="F30" i="22" s="1"/>
  <c r="G30" i="22" s="1"/>
  <c r="CC30" i="6" s="1"/>
  <c r="G208" i="20"/>
  <c r="CB208" i="6" s="1"/>
  <c r="W211" i="22"/>
  <c r="AA217" i="20"/>
  <c r="Z217" i="20" s="1"/>
  <c r="Y217" i="20" s="1"/>
  <c r="W205" i="22"/>
  <c r="D331" i="22"/>
  <c r="E331" i="22" s="1"/>
  <c r="F331" i="22" s="1"/>
  <c r="G331" i="22" s="1"/>
  <c r="CC331" i="6" s="1"/>
  <c r="AA367" i="20"/>
  <c r="Z367" i="20" s="1"/>
  <c r="Y367" i="20" s="1"/>
  <c r="B19" i="23"/>
  <c r="D19" i="23" s="1"/>
  <c r="E19" i="23" s="1"/>
  <c r="F19" i="23" s="1"/>
  <c r="B167" i="23"/>
  <c r="G323" i="20"/>
  <c r="CB323" i="6" s="1"/>
  <c r="B170" i="23"/>
  <c r="B170" i="24" s="1"/>
  <c r="B94" i="23"/>
  <c r="B94" i="24" s="1"/>
  <c r="W300" i="22"/>
  <c r="G193" i="20"/>
  <c r="CB193" i="6" s="1"/>
  <c r="B269" i="23"/>
  <c r="W269" i="23" s="1"/>
  <c r="G26" i="20"/>
  <c r="CB26" i="6" s="1"/>
  <c r="B351" i="23"/>
  <c r="B351" i="24" s="1"/>
  <c r="W208" i="22"/>
  <c r="AA216" i="20"/>
  <c r="Z216" i="20" s="1"/>
  <c r="Y216" i="20" s="1"/>
  <c r="B348" i="23"/>
  <c r="D348" i="23" s="1"/>
  <c r="E348" i="23" s="1"/>
  <c r="F348" i="23" s="1"/>
  <c r="G179" i="20"/>
  <c r="CB179" i="6" s="1"/>
  <c r="G301" i="20"/>
  <c r="CB301" i="6" s="1"/>
  <c r="D18" i="22"/>
  <c r="E18" i="22" s="1"/>
  <c r="F18" i="22" s="1"/>
  <c r="G18" i="22" s="1"/>
  <c r="CC18" i="6" s="1"/>
  <c r="B377" i="23"/>
  <c r="D377" i="23" s="1"/>
  <c r="E377" i="23" s="1"/>
  <c r="F377" i="23" s="1"/>
  <c r="B23" i="23"/>
  <c r="D23" i="23" s="1"/>
  <c r="E23" i="23" s="1"/>
  <c r="F23" i="23" s="1"/>
  <c r="B335" i="23"/>
  <c r="D335" i="23" s="1"/>
  <c r="E335" i="23" s="1"/>
  <c r="F335" i="23" s="1"/>
  <c r="G265" i="20"/>
  <c r="CB265" i="6" s="1"/>
  <c r="B270" i="23"/>
  <c r="W270" i="23" s="1"/>
  <c r="B131" i="23"/>
  <c r="B131" i="24" s="1"/>
  <c r="D327" i="22"/>
  <c r="E327" i="22" s="1"/>
  <c r="F327" i="22" s="1"/>
  <c r="AA327" i="22" s="1"/>
  <c r="Z327" i="22" s="1"/>
  <c r="Y327" i="22" s="1"/>
  <c r="B54" i="23"/>
  <c r="W54" i="23" s="1"/>
  <c r="G312" i="20"/>
  <c r="CB312" i="6" s="1"/>
  <c r="W64" i="22"/>
  <c r="B353" i="23"/>
  <c r="D353" i="23" s="1"/>
  <c r="E353" i="23" s="1"/>
  <c r="F353" i="23" s="1"/>
  <c r="G38" i="20"/>
  <c r="CB38" i="6" s="1"/>
  <c r="G155" i="20"/>
  <c r="CB155" i="6" s="1"/>
  <c r="D197" i="22"/>
  <c r="E197" i="22" s="1"/>
  <c r="F197" i="22" s="1"/>
  <c r="G197" i="22" s="1"/>
  <c r="CC197" i="6" s="1"/>
  <c r="AA70" i="20"/>
  <c r="Z70" i="20" s="1"/>
  <c r="Y70" i="20" s="1"/>
  <c r="D79" i="22"/>
  <c r="E79" i="22" s="1"/>
  <c r="F79" i="22" s="1"/>
  <c r="AA79" i="22" s="1"/>
  <c r="Z79" i="22" s="1"/>
  <c r="Y79" i="22" s="1"/>
  <c r="B358" i="23"/>
  <c r="W358" i="23" s="1"/>
  <c r="W59" i="22"/>
  <c r="B179" i="23"/>
  <c r="D179" i="23" s="1"/>
  <c r="E179" i="23" s="1"/>
  <c r="F179" i="23" s="1"/>
  <c r="G129" i="20"/>
  <c r="CB129" i="6" s="1"/>
  <c r="W329" i="22"/>
  <c r="AA224" i="20"/>
  <c r="Z224" i="20" s="1"/>
  <c r="Y224" i="20" s="1"/>
  <c r="W306" i="22"/>
  <c r="W116" i="22"/>
  <c r="B197" i="23"/>
  <c r="B197" i="24" s="1"/>
  <c r="AA120" i="20"/>
  <c r="Z120" i="20" s="1"/>
  <c r="Y120" i="20" s="1"/>
  <c r="W192" i="22"/>
  <c r="B129" i="23"/>
  <c r="D129" i="23" s="1"/>
  <c r="E129" i="23" s="1"/>
  <c r="F129" i="23" s="1"/>
  <c r="G353" i="20"/>
  <c r="CB353" i="6" s="1"/>
  <c r="B79" i="23"/>
  <c r="B79" i="24" s="1"/>
  <c r="B337" i="23"/>
  <c r="B337" i="24" s="1"/>
  <c r="W294" i="22"/>
  <c r="B301" i="23"/>
  <c r="W301" i="23" s="1"/>
  <c r="B95" i="23"/>
  <c r="D95" i="23" s="1"/>
  <c r="E95" i="23" s="1"/>
  <c r="F95" i="23" s="1"/>
  <c r="B316" i="23"/>
  <c r="D316" i="23" s="1"/>
  <c r="E316" i="23" s="1"/>
  <c r="F316" i="23" s="1"/>
  <c r="D265" i="22"/>
  <c r="E265" i="22" s="1"/>
  <c r="F265" i="22" s="1"/>
  <c r="AA265" i="22" s="1"/>
  <c r="Z265" i="22" s="1"/>
  <c r="Y265" i="22" s="1"/>
  <c r="W167" i="22"/>
  <c r="W258" i="22"/>
  <c r="B297" i="23"/>
  <c r="W297" i="23" s="1"/>
  <c r="B208" i="23"/>
  <c r="B208" i="24" s="1"/>
  <c r="W348" i="22"/>
  <c r="B18" i="23"/>
  <c r="B18" i="24" s="1"/>
  <c r="D224" i="22"/>
  <c r="E224" i="22" s="1"/>
  <c r="F224" i="22" s="1"/>
  <c r="G224" i="22" s="1"/>
  <c r="CC224" i="6" s="1"/>
  <c r="B312" i="23"/>
  <c r="B312" i="24" s="1"/>
  <c r="B43" i="23"/>
  <c r="W43" i="23" s="1"/>
  <c r="B183" i="23"/>
  <c r="B183" i="24" s="1"/>
  <c r="B136" i="23"/>
  <c r="D136" i="23" s="1"/>
  <c r="E136" i="23" s="1"/>
  <c r="F136" i="23" s="1"/>
  <c r="W23" i="22"/>
  <c r="AA316" i="20"/>
  <c r="Z316" i="20" s="1"/>
  <c r="Y316" i="20" s="1"/>
  <c r="G19" i="20"/>
  <c r="CB19" i="6" s="1"/>
  <c r="W131" i="22"/>
  <c r="B327" i="23"/>
  <c r="D327" i="23" s="1"/>
  <c r="E327" i="23" s="1"/>
  <c r="F327" i="23" s="1"/>
  <c r="G351" i="20"/>
  <c r="CB351" i="6" s="1"/>
  <c r="B30" i="23"/>
  <c r="D30" i="23" s="1"/>
  <c r="E30" i="23" s="1"/>
  <c r="F30" i="23" s="1"/>
  <c r="B294" i="23"/>
  <c r="W294" i="23" s="1"/>
  <c r="D326" i="22"/>
  <c r="E326" i="22" s="1"/>
  <c r="F326" i="22" s="1"/>
  <c r="G326" i="22" s="1"/>
  <c r="CC326" i="6" s="1"/>
  <c r="B193" i="23"/>
  <c r="B193" i="24" s="1"/>
  <c r="W301" i="22"/>
  <c r="D324" i="22"/>
  <c r="E324" i="22" s="1"/>
  <c r="F324" i="22" s="1"/>
  <c r="AA324" i="22" s="1"/>
  <c r="Z324" i="22" s="1"/>
  <c r="Y324" i="22" s="1"/>
  <c r="W180" i="22"/>
  <c r="AA284" i="20"/>
  <c r="Z284" i="20" s="1"/>
  <c r="Y284" i="20" s="1"/>
  <c r="AA131" i="20"/>
  <c r="Z131" i="20" s="1"/>
  <c r="Y131" i="20" s="1"/>
  <c r="W231" i="22"/>
  <c r="G313" i="20"/>
  <c r="CB313" i="6" s="1"/>
  <c r="AA344" i="20"/>
  <c r="Z344" i="20" s="1"/>
  <c r="Y344" i="20" s="1"/>
  <c r="D97" i="22"/>
  <c r="E97" i="22" s="1"/>
  <c r="F97" i="22" s="1"/>
  <c r="AA97" i="22" s="1"/>
  <c r="Z97" i="22" s="1"/>
  <c r="Y97" i="22" s="1"/>
  <c r="W155" i="22"/>
  <c r="W193" i="22"/>
  <c r="B116" i="23"/>
  <c r="W116" i="23" s="1"/>
  <c r="G23" i="20"/>
  <c r="CB23" i="6" s="1"/>
  <c r="B35" i="23"/>
  <c r="B35" i="24" s="1"/>
  <c r="B192" i="23"/>
  <c r="W192" i="23" s="1"/>
  <c r="G164" i="20"/>
  <c r="CB164" i="6" s="1"/>
  <c r="G243" i="20"/>
  <c r="CB243" i="6" s="1"/>
  <c r="B168" i="23"/>
  <c r="B168" i="24" s="1"/>
  <c r="D366" i="22"/>
  <c r="E366" i="22" s="1"/>
  <c r="F366" i="22" s="1"/>
  <c r="AA366" i="22" s="1"/>
  <c r="Z366" i="22" s="1"/>
  <c r="Y366" i="22" s="1"/>
  <c r="B155" i="23"/>
  <c r="W155" i="23" s="1"/>
  <c r="AA132" i="20"/>
  <c r="Z132" i="20" s="1"/>
  <c r="Y132" i="20" s="1"/>
  <c r="G227" i="20"/>
  <c r="CB227" i="6" s="1"/>
  <c r="AA35" i="20"/>
  <c r="Z35" i="20" s="1"/>
  <c r="Y35" i="20" s="1"/>
  <c r="D367" i="22"/>
  <c r="E367" i="22" s="1"/>
  <c r="F367" i="22" s="1"/>
  <c r="AA367" i="22" s="1"/>
  <c r="Z367" i="22" s="1"/>
  <c r="Y367" i="22" s="1"/>
  <c r="D284" i="22"/>
  <c r="E284" i="22" s="1"/>
  <c r="F284" i="22" s="1"/>
  <c r="G284" i="22" s="1"/>
  <c r="CC284" i="6" s="1"/>
  <c r="G55" i="20"/>
  <c r="CB55" i="6" s="1"/>
  <c r="B323" i="23"/>
  <c r="D323" i="23" s="1"/>
  <c r="E323" i="23" s="1"/>
  <c r="F323" i="23" s="1"/>
  <c r="W92" i="22"/>
  <c r="W344" i="22"/>
  <c r="AA212" i="20"/>
  <c r="Z212" i="20" s="1"/>
  <c r="Y212" i="20" s="1"/>
  <c r="AA338" i="20"/>
  <c r="Z338" i="20" s="1"/>
  <c r="Y338" i="20" s="1"/>
  <c r="G251" i="20"/>
  <c r="CB251" i="6" s="1"/>
  <c r="B153" i="23"/>
  <c r="D153" i="23" s="1"/>
  <c r="E153" i="23" s="1"/>
  <c r="F153" i="23" s="1"/>
  <c r="G16" i="20"/>
  <c r="CB16" i="6" s="1"/>
  <c r="B216" i="23"/>
  <c r="W216" i="23" s="1"/>
  <c r="D164" i="22"/>
  <c r="E164" i="22" s="1"/>
  <c r="F164" i="22" s="1"/>
  <c r="G164" i="22" s="1"/>
  <c r="CC164" i="6" s="1"/>
  <c r="B180" i="23"/>
  <c r="W180" i="23" s="1"/>
  <c r="D227" i="22"/>
  <c r="E227" i="22" s="1"/>
  <c r="F227" i="22" s="1"/>
  <c r="G227" i="22" s="1"/>
  <c r="CC227" i="6" s="1"/>
  <c r="B55" i="23"/>
  <c r="B55" i="24" s="1"/>
  <c r="AA327" i="20"/>
  <c r="Z327" i="20" s="1"/>
  <c r="Y327" i="20" s="1"/>
  <c r="D228" i="22"/>
  <c r="E228" i="22" s="1"/>
  <c r="F228" i="22" s="1"/>
  <c r="G228" i="22" s="1"/>
  <c r="CC228" i="6" s="1"/>
  <c r="G324" i="20"/>
  <c r="CB324" i="6" s="1"/>
  <c r="W129" i="22"/>
  <c r="W168" i="22"/>
  <c r="B366" i="23"/>
  <c r="B366" i="24" s="1"/>
  <c r="G64" i="20"/>
  <c r="CB64" i="6" s="1"/>
  <c r="D38" i="22"/>
  <c r="E38" i="22" s="1"/>
  <c r="F38" i="22" s="1"/>
  <c r="AA38" i="22" s="1"/>
  <c r="Z38" i="22" s="1"/>
  <c r="Y38" i="22" s="1"/>
  <c r="W323" i="22"/>
  <c r="B92" i="23"/>
  <c r="B92" i="24" s="1"/>
  <c r="G170" i="20"/>
  <c r="CB170" i="6" s="1"/>
  <c r="B344" i="23"/>
  <c r="W344" i="23" s="1"/>
  <c r="D338" i="22"/>
  <c r="E338" i="22" s="1"/>
  <c r="F338" i="22" s="1"/>
  <c r="G338" i="22" s="1"/>
  <c r="CC338" i="6" s="1"/>
  <c r="D153" i="22"/>
  <c r="E153" i="22" s="1"/>
  <c r="F153" i="22" s="1"/>
  <c r="G153" i="22" s="1"/>
  <c r="CC153" i="6" s="1"/>
  <c r="AA348" i="20"/>
  <c r="Z348" i="20" s="1"/>
  <c r="Y348" i="20" s="1"/>
  <c r="B64" i="23"/>
  <c r="W64" i="23" s="1"/>
  <c r="W353" i="22"/>
  <c r="B243" i="23"/>
  <c r="W243" i="23" s="1"/>
  <c r="B227" i="23"/>
  <c r="B227" i="24" s="1"/>
  <c r="W35" i="22"/>
  <c r="W55" i="22"/>
  <c r="W255" i="22"/>
  <c r="B228" i="23"/>
  <c r="B228" i="24" s="1"/>
  <c r="B97" i="23"/>
  <c r="W97" i="23" s="1"/>
  <c r="B367" i="23"/>
  <c r="W367" i="23" s="1"/>
  <c r="B284" i="23"/>
  <c r="D284" i="23" s="1"/>
  <c r="E284" i="23" s="1"/>
  <c r="F284" i="23" s="1"/>
  <c r="B326" i="23"/>
  <c r="D326" i="23" s="1"/>
  <c r="E326" i="23" s="1"/>
  <c r="F326" i="23" s="1"/>
  <c r="B338" i="23"/>
  <c r="W338" i="23" s="1"/>
  <c r="W216" i="22"/>
  <c r="B164" i="23"/>
  <c r="W164" i="23" s="1"/>
  <c r="W179" i="22"/>
  <c r="W243" i="22"/>
  <c r="H205" i="20"/>
  <c r="I205" i="20" s="1"/>
  <c r="H205" i="22" s="1"/>
  <c r="B265" i="23"/>
  <c r="B265" i="24" s="1"/>
  <c r="B258" i="23"/>
  <c r="B258" i="24" s="1"/>
  <c r="B224" i="23"/>
  <c r="W224" i="23" s="1"/>
  <c r="B324" i="23"/>
  <c r="W324" i="23" s="1"/>
  <c r="D380" i="20"/>
  <c r="E380" i="20" s="1"/>
  <c r="F380" i="20" s="1"/>
  <c r="W380" i="20"/>
  <c r="H251" i="20"/>
  <c r="J251" i="20" s="1"/>
  <c r="H217" i="20"/>
  <c r="J217" i="20" s="1"/>
  <c r="B255" i="23"/>
  <c r="B255" i="24" s="1"/>
  <c r="B38" i="23"/>
  <c r="B38" i="24" s="1"/>
  <c r="I109" i="18"/>
  <c r="W379" i="23"/>
  <c r="D379" i="23"/>
  <c r="E379" i="23" s="1"/>
  <c r="F379" i="23" s="1"/>
  <c r="B379" i="24"/>
  <c r="G180" i="22"/>
  <c r="CC180" i="6" s="1"/>
  <c r="AA180" i="22"/>
  <c r="Z180" i="22" s="1"/>
  <c r="Y180" i="22" s="1"/>
  <c r="W29" i="22"/>
  <c r="D29" i="22"/>
  <c r="E29" i="22" s="1"/>
  <c r="F29" i="22" s="1"/>
  <c r="B29" i="23"/>
  <c r="G226" i="20"/>
  <c r="CB226" i="6" s="1"/>
  <c r="AA226" i="20"/>
  <c r="Z226" i="20" s="1"/>
  <c r="Y226" i="20" s="1"/>
  <c r="W354" i="23"/>
  <c r="D354" i="23"/>
  <c r="E354" i="23" s="1"/>
  <c r="F354" i="23" s="1"/>
  <c r="B354" i="24"/>
  <c r="G283" i="20"/>
  <c r="CB283" i="6" s="1"/>
  <c r="AA283" i="20"/>
  <c r="Z283" i="20" s="1"/>
  <c r="Y283" i="20" s="1"/>
  <c r="D114" i="22"/>
  <c r="E114" i="22" s="1"/>
  <c r="F114" i="22" s="1"/>
  <c r="B114" i="23"/>
  <c r="W114" i="22"/>
  <c r="W84" i="22"/>
  <c r="B84" i="23"/>
  <c r="D84" i="22"/>
  <c r="E84" i="22" s="1"/>
  <c r="F84" i="22" s="1"/>
  <c r="G106" i="22"/>
  <c r="CC106" i="6" s="1"/>
  <c r="AA106" i="22"/>
  <c r="Z106" i="22" s="1"/>
  <c r="Y106" i="22" s="1"/>
  <c r="G178" i="22"/>
  <c r="CC178" i="6" s="1"/>
  <c r="AA178" i="22"/>
  <c r="Z178" i="22" s="1"/>
  <c r="Y178" i="22" s="1"/>
  <c r="W274" i="22"/>
  <c r="D274" i="22"/>
  <c r="E274" i="22" s="1"/>
  <c r="F274" i="22" s="1"/>
  <c r="B274" i="23"/>
  <c r="G318" i="20"/>
  <c r="CB318" i="6" s="1"/>
  <c r="AA318" i="20"/>
  <c r="Z318" i="20" s="1"/>
  <c r="Y318" i="20" s="1"/>
  <c r="W352" i="22"/>
  <c r="B352" i="23"/>
  <c r="D352" i="22"/>
  <c r="E352" i="22" s="1"/>
  <c r="F352" i="22" s="1"/>
  <c r="D33" i="23"/>
  <c r="E33" i="23" s="1"/>
  <c r="F33" i="23" s="1"/>
  <c r="B33" i="24"/>
  <c r="W33" i="23"/>
  <c r="W333" i="22"/>
  <c r="B333" i="23"/>
  <c r="D333" i="22"/>
  <c r="E333" i="22" s="1"/>
  <c r="F333" i="22" s="1"/>
  <c r="W187" i="22"/>
  <c r="D187" i="22"/>
  <c r="E187" i="22" s="1"/>
  <c r="F187" i="22" s="1"/>
  <c r="B187" i="23"/>
  <c r="G35" i="22"/>
  <c r="CC35" i="6" s="1"/>
  <c r="AA35" i="22"/>
  <c r="Z35" i="22" s="1"/>
  <c r="Y35" i="22" s="1"/>
  <c r="G74" i="20"/>
  <c r="CB74" i="6" s="1"/>
  <c r="AA74" i="20"/>
  <c r="Z74" i="20" s="1"/>
  <c r="Y74" i="20" s="1"/>
  <c r="W75" i="22"/>
  <c r="B75" i="23"/>
  <c r="D75" i="22"/>
  <c r="E75" i="22" s="1"/>
  <c r="F75" i="22" s="1"/>
  <c r="G278" i="22"/>
  <c r="CC278" i="6" s="1"/>
  <c r="AA278" i="22"/>
  <c r="Z278" i="22" s="1"/>
  <c r="Y278" i="22" s="1"/>
  <c r="D66" i="23"/>
  <c r="E66" i="23" s="1"/>
  <c r="F66" i="23" s="1"/>
  <c r="B66" i="24"/>
  <c r="W66" i="23"/>
  <c r="W376" i="22"/>
  <c r="B376" i="23"/>
  <c r="D376" i="22"/>
  <c r="E376" i="22" s="1"/>
  <c r="F376" i="22" s="1"/>
  <c r="W347" i="22"/>
  <c r="B347" i="23"/>
  <c r="D347" i="22"/>
  <c r="E347" i="22" s="1"/>
  <c r="F347" i="22" s="1"/>
  <c r="W369" i="22"/>
  <c r="B369" i="23"/>
  <c r="D369" i="22"/>
  <c r="E369" i="22" s="1"/>
  <c r="F369" i="22" s="1"/>
  <c r="W253" i="22"/>
  <c r="D253" i="22"/>
  <c r="E253" i="22" s="1"/>
  <c r="F253" i="22" s="1"/>
  <c r="B253" i="23"/>
  <c r="D130" i="23"/>
  <c r="E130" i="23" s="1"/>
  <c r="F130" i="23" s="1"/>
  <c r="B130" i="24"/>
  <c r="W130" i="23"/>
  <c r="G287" i="20"/>
  <c r="CB287" i="6" s="1"/>
  <c r="AA287" i="20"/>
  <c r="Z287" i="20" s="1"/>
  <c r="Y287" i="20" s="1"/>
  <c r="G19" i="22"/>
  <c r="CC19" i="6" s="1"/>
  <c r="AA19" i="22"/>
  <c r="Z19" i="22" s="1"/>
  <c r="Y19" i="22" s="1"/>
  <c r="W83" i="23"/>
  <c r="D83" i="23"/>
  <c r="E83" i="23" s="1"/>
  <c r="F83" i="23" s="1"/>
  <c r="B83" i="24"/>
  <c r="G273" i="20"/>
  <c r="CB273" i="6" s="1"/>
  <c r="AA273" i="20"/>
  <c r="Z273" i="20" s="1"/>
  <c r="Y273" i="20" s="1"/>
  <c r="G361" i="20"/>
  <c r="CB361" i="6" s="1"/>
  <c r="AA361" i="20"/>
  <c r="Z361" i="20" s="1"/>
  <c r="Y361" i="20" s="1"/>
  <c r="G56" i="20"/>
  <c r="CB56" i="6" s="1"/>
  <c r="AA56" i="20"/>
  <c r="Z56" i="20" s="1"/>
  <c r="Y56" i="20" s="1"/>
  <c r="W104" i="22"/>
  <c r="B104" i="23"/>
  <c r="D104" i="22"/>
  <c r="E104" i="22" s="1"/>
  <c r="F104" i="22" s="1"/>
  <c r="AA170" i="22"/>
  <c r="Z170" i="22" s="1"/>
  <c r="Y170" i="22" s="1"/>
  <c r="G170" i="22"/>
  <c r="CC170" i="6" s="1"/>
  <c r="W246" i="22"/>
  <c r="B246" i="23"/>
  <c r="D246" i="22"/>
  <c r="E246" i="22" s="1"/>
  <c r="F246" i="22" s="1"/>
  <c r="G268" i="20"/>
  <c r="CB268" i="6" s="1"/>
  <c r="AA268" i="20"/>
  <c r="Z268" i="20" s="1"/>
  <c r="Y268" i="20" s="1"/>
  <c r="G328" i="20"/>
  <c r="CB328" i="6" s="1"/>
  <c r="AA328" i="20"/>
  <c r="Z328" i="20" s="1"/>
  <c r="Y328" i="20" s="1"/>
  <c r="W336" i="23"/>
  <c r="B336" i="24"/>
  <c r="D336" i="23"/>
  <c r="E336" i="23" s="1"/>
  <c r="F336" i="23" s="1"/>
  <c r="G181" i="20"/>
  <c r="CB181" i="6" s="1"/>
  <c r="AA181" i="20"/>
  <c r="Z181" i="20" s="1"/>
  <c r="Y181" i="20" s="1"/>
  <c r="G215" i="20"/>
  <c r="CB215" i="6" s="1"/>
  <c r="AA215" i="20"/>
  <c r="Z215" i="20" s="1"/>
  <c r="Y215" i="20" s="1"/>
  <c r="G94" i="22"/>
  <c r="CC94" i="6" s="1"/>
  <c r="AA94" i="22"/>
  <c r="Z94" i="22" s="1"/>
  <c r="Y94" i="22" s="1"/>
  <c r="G146" i="22"/>
  <c r="CC146" i="6" s="1"/>
  <c r="AA146" i="22"/>
  <c r="Z146" i="22" s="1"/>
  <c r="Y146" i="22" s="1"/>
  <c r="G192" i="22"/>
  <c r="CC192" i="6" s="1"/>
  <c r="AA192" i="22"/>
  <c r="Z192" i="22" s="1"/>
  <c r="Y192" i="22" s="1"/>
  <c r="W334" i="22"/>
  <c r="D334" i="22"/>
  <c r="E334" i="22" s="1"/>
  <c r="F334" i="22" s="1"/>
  <c r="B334" i="23"/>
  <c r="G334" i="20"/>
  <c r="CB334" i="6" s="1"/>
  <c r="AA334" i="20"/>
  <c r="Z334" i="20" s="1"/>
  <c r="Y334" i="20" s="1"/>
  <c r="G39" i="22"/>
  <c r="CC39" i="6" s="1"/>
  <c r="AA39" i="22"/>
  <c r="Z39" i="22" s="1"/>
  <c r="Y39" i="22" s="1"/>
  <c r="W53" i="22"/>
  <c r="D53" i="22"/>
  <c r="E53" i="22" s="1"/>
  <c r="F53" i="22" s="1"/>
  <c r="B53" i="23"/>
  <c r="AA107" i="22"/>
  <c r="Z107" i="22" s="1"/>
  <c r="Y107" i="22" s="1"/>
  <c r="G107" i="22"/>
  <c r="CC107" i="6" s="1"/>
  <c r="W139" i="22"/>
  <c r="B139" i="23"/>
  <c r="D139" i="22"/>
  <c r="E139" i="22" s="1"/>
  <c r="F139" i="22" s="1"/>
  <c r="G139" i="20"/>
  <c r="CB139" i="6" s="1"/>
  <c r="AA139" i="20"/>
  <c r="Z139" i="20" s="1"/>
  <c r="Y139" i="20" s="1"/>
  <c r="G151" i="22"/>
  <c r="CC151" i="6" s="1"/>
  <c r="AA151" i="22"/>
  <c r="Z151" i="22" s="1"/>
  <c r="Y151" i="22" s="1"/>
  <c r="G231" i="22"/>
  <c r="CC231" i="6" s="1"/>
  <c r="AA231" i="22"/>
  <c r="Z231" i="22" s="1"/>
  <c r="Y231" i="22" s="1"/>
  <c r="G27" i="20"/>
  <c r="CB27" i="6" s="1"/>
  <c r="AA27" i="20"/>
  <c r="Z27" i="20" s="1"/>
  <c r="Y27" i="20" s="1"/>
  <c r="G124" i="20"/>
  <c r="CB124" i="6" s="1"/>
  <c r="AA124" i="20"/>
  <c r="Z124" i="20" s="1"/>
  <c r="Y124" i="20" s="1"/>
  <c r="G184" i="20"/>
  <c r="CB184" i="6" s="1"/>
  <c r="AA184" i="20"/>
  <c r="Z184" i="20" s="1"/>
  <c r="Y184" i="20" s="1"/>
  <c r="G256" i="20"/>
  <c r="CB256" i="6" s="1"/>
  <c r="AA256" i="20"/>
  <c r="Z256" i="20" s="1"/>
  <c r="Y256" i="20" s="1"/>
  <c r="W262" i="23"/>
  <c r="B262" i="24"/>
  <c r="D262" i="23"/>
  <c r="E262" i="23" s="1"/>
  <c r="F262" i="23" s="1"/>
  <c r="D304" i="23"/>
  <c r="E304" i="23" s="1"/>
  <c r="F304" i="23" s="1"/>
  <c r="B304" i="24"/>
  <c r="W304" i="23"/>
  <c r="G330" i="20"/>
  <c r="CB330" i="6" s="1"/>
  <c r="AA330" i="20"/>
  <c r="Z330" i="20" s="1"/>
  <c r="Y330" i="20" s="1"/>
  <c r="G364" i="20"/>
  <c r="CB364" i="6" s="1"/>
  <c r="AA364" i="20"/>
  <c r="Z364" i="20" s="1"/>
  <c r="Y364" i="20" s="1"/>
  <c r="W51" i="22"/>
  <c r="D51" i="22"/>
  <c r="E51" i="22" s="1"/>
  <c r="F51" i="22" s="1"/>
  <c r="B51" i="23"/>
  <c r="G91" i="22"/>
  <c r="CC91" i="6" s="1"/>
  <c r="AA91" i="22"/>
  <c r="Z91" i="22" s="1"/>
  <c r="Y91" i="22" s="1"/>
  <c r="W109" i="22"/>
  <c r="B109" i="23"/>
  <c r="D109" i="22"/>
  <c r="E109" i="22" s="1"/>
  <c r="F109" i="22" s="1"/>
  <c r="G117" i="22"/>
  <c r="CC117" i="6" s="1"/>
  <c r="AA117" i="22"/>
  <c r="Z117" i="22" s="1"/>
  <c r="Y117" i="22" s="1"/>
  <c r="G165" i="20"/>
  <c r="CB165" i="6" s="1"/>
  <c r="AA165" i="20"/>
  <c r="Z165" i="20" s="1"/>
  <c r="Y165" i="20" s="1"/>
  <c r="G237" i="22"/>
  <c r="CC237" i="6" s="1"/>
  <c r="AA237" i="22"/>
  <c r="Z237" i="22" s="1"/>
  <c r="Y237" i="22" s="1"/>
  <c r="G279" i="20"/>
  <c r="CB279" i="6" s="1"/>
  <c r="AA279" i="20"/>
  <c r="Z279" i="20" s="1"/>
  <c r="Y279" i="20" s="1"/>
  <c r="W36" i="22"/>
  <c r="D36" i="22"/>
  <c r="E36" i="22" s="1"/>
  <c r="F36" i="22" s="1"/>
  <c r="B36" i="23"/>
  <c r="W58" i="22"/>
  <c r="D58" i="22"/>
  <c r="E58" i="22" s="1"/>
  <c r="F58" i="22" s="1"/>
  <c r="B58" i="23"/>
  <c r="G58" i="20"/>
  <c r="CB58" i="6" s="1"/>
  <c r="AA58" i="20"/>
  <c r="Z58" i="20" s="1"/>
  <c r="Y58" i="20" s="1"/>
  <c r="G82" i="22"/>
  <c r="CC82" i="6" s="1"/>
  <c r="AA82" i="22"/>
  <c r="Z82" i="22" s="1"/>
  <c r="Y82" i="22" s="1"/>
  <c r="W162" i="22"/>
  <c r="D162" i="22"/>
  <c r="E162" i="22" s="1"/>
  <c r="F162" i="22" s="1"/>
  <c r="B162" i="23"/>
  <c r="G264" i="20"/>
  <c r="CB264" i="6" s="1"/>
  <c r="AA264" i="20"/>
  <c r="Z264" i="20" s="1"/>
  <c r="Y264" i="20" s="1"/>
  <c r="W286" i="23"/>
  <c r="D286" i="23"/>
  <c r="E286" i="23" s="1"/>
  <c r="F286" i="23" s="1"/>
  <c r="B286" i="24"/>
  <c r="W340" i="22"/>
  <c r="D340" i="22"/>
  <c r="E340" i="22" s="1"/>
  <c r="F340" i="22" s="1"/>
  <c r="B340" i="23"/>
  <c r="G222" i="22"/>
  <c r="CC222" i="6" s="1"/>
  <c r="AA222" i="22"/>
  <c r="Z222" i="22" s="1"/>
  <c r="Y222" i="22" s="1"/>
  <c r="W90" i="22"/>
  <c r="B90" i="23"/>
  <c r="D90" i="22"/>
  <c r="E90" i="22" s="1"/>
  <c r="F90" i="22" s="1"/>
  <c r="G204" i="22"/>
  <c r="CC204" i="6" s="1"/>
  <c r="AA204" i="22"/>
  <c r="Z204" i="22" s="1"/>
  <c r="Y204" i="22" s="1"/>
  <c r="G252" i="22"/>
  <c r="CC252" i="6" s="1"/>
  <c r="AA252" i="22"/>
  <c r="Z252" i="22" s="1"/>
  <c r="Y252" i="22" s="1"/>
  <c r="G305" i="22"/>
  <c r="CC305" i="6" s="1"/>
  <c r="AA305" i="22"/>
  <c r="Z305" i="22" s="1"/>
  <c r="Y305" i="22" s="1"/>
  <c r="G157" i="20"/>
  <c r="CB157" i="6" s="1"/>
  <c r="AA157" i="20"/>
  <c r="Z157" i="20" s="1"/>
  <c r="Y157" i="20" s="1"/>
  <c r="G125" i="20"/>
  <c r="CB125" i="6" s="1"/>
  <c r="AA125" i="20"/>
  <c r="Z125" i="20" s="1"/>
  <c r="Y125" i="20" s="1"/>
  <c r="D251" i="23"/>
  <c r="E251" i="23" s="1"/>
  <c r="F251" i="23" s="1"/>
  <c r="B251" i="24"/>
  <c r="W251" i="23"/>
  <c r="W132" i="23"/>
  <c r="D132" i="23"/>
  <c r="E132" i="23" s="1"/>
  <c r="F132" i="23" s="1"/>
  <c r="B132" i="24"/>
  <c r="D16" i="23"/>
  <c r="E16" i="23" s="1"/>
  <c r="F16" i="23" s="1"/>
  <c r="B16" i="24"/>
  <c r="W16" i="23"/>
  <c r="G208" i="22"/>
  <c r="CC208" i="6" s="1"/>
  <c r="AA208" i="22"/>
  <c r="Z208" i="22" s="1"/>
  <c r="Y208" i="22" s="1"/>
  <c r="G346" i="20"/>
  <c r="CB346" i="6" s="1"/>
  <c r="AA346" i="20"/>
  <c r="Z346" i="20" s="1"/>
  <c r="Y346" i="20" s="1"/>
  <c r="W154" i="23"/>
  <c r="B154" i="24"/>
  <c r="D154" i="23"/>
  <c r="E154" i="23" s="1"/>
  <c r="F154" i="23" s="1"/>
  <c r="AA244" i="20"/>
  <c r="Z244" i="20" s="1"/>
  <c r="Y244" i="20" s="1"/>
  <c r="G244" i="20"/>
  <c r="CB244" i="6" s="1"/>
  <c r="G37" i="20"/>
  <c r="CB37" i="6" s="1"/>
  <c r="AA37" i="20"/>
  <c r="Z37" i="20" s="1"/>
  <c r="Y37" i="20" s="1"/>
  <c r="W63" i="23"/>
  <c r="B63" i="24"/>
  <c r="D63" i="23"/>
  <c r="E63" i="23" s="1"/>
  <c r="F63" i="23" s="1"/>
  <c r="D185" i="22"/>
  <c r="E185" i="22" s="1"/>
  <c r="F185" i="22" s="1"/>
  <c r="B185" i="23"/>
  <c r="W185" i="22"/>
  <c r="G70" i="22"/>
  <c r="CC70" i="6" s="1"/>
  <c r="AA70" i="22"/>
  <c r="Z70" i="22" s="1"/>
  <c r="Y70" i="22" s="1"/>
  <c r="W110" i="22"/>
  <c r="B110" i="23"/>
  <c r="D110" i="22"/>
  <c r="E110" i="22" s="1"/>
  <c r="F110" i="22" s="1"/>
  <c r="AA31" i="20"/>
  <c r="Z31" i="20" s="1"/>
  <c r="Y31" i="20" s="1"/>
  <c r="G31" i="20"/>
  <c r="CB31" i="6" s="1"/>
  <c r="J87" i="18"/>
  <c r="I87" i="18"/>
  <c r="BA87" i="6" s="1"/>
  <c r="D87" i="6" s="1"/>
  <c r="G93" i="22"/>
  <c r="CC93" i="6" s="1"/>
  <c r="AA93" i="22"/>
  <c r="Z93" i="22" s="1"/>
  <c r="Y93" i="22" s="1"/>
  <c r="W145" i="22"/>
  <c r="B145" i="23"/>
  <c r="D145" i="22"/>
  <c r="E145" i="22" s="1"/>
  <c r="F145" i="22" s="1"/>
  <c r="W201" i="22"/>
  <c r="B201" i="23"/>
  <c r="D201" i="22"/>
  <c r="E201" i="22" s="1"/>
  <c r="F201" i="22" s="1"/>
  <c r="B293" i="24"/>
  <c r="W293" i="23"/>
  <c r="D293" i="23"/>
  <c r="E293" i="23" s="1"/>
  <c r="F293" i="23" s="1"/>
  <c r="AA293" i="22"/>
  <c r="Z293" i="22" s="1"/>
  <c r="Y293" i="22" s="1"/>
  <c r="G293" i="22"/>
  <c r="CC293" i="6" s="1"/>
  <c r="G341" i="22"/>
  <c r="CC341" i="6" s="1"/>
  <c r="AA341" i="22"/>
  <c r="Z341" i="22" s="1"/>
  <c r="Y341" i="22" s="1"/>
  <c r="G34" i="20"/>
  <c r="CB34" i="6" s="1"/>
  <c r="AA34" i="20"/>
  <c r="Z34" i="20" s="1"/>
  <c r="Y34" i="20" s="1"/>
  <c r="G96" i="20"/>
  <c r="CB96" i="6" s="1"/>
  <c r="AA96" i="20"/>
  <c r="Z96" i="20" s="1"/>
  <c r="Y96" i="20" s="1"/>
  <c r="G126" i="20"/>
  <c r="CB126" i="6" s="1"/>
  <c r="AA126" i="20"/>
  <c r="Z126" i="20" s="1"/>
  <c r="Y126" i="20" s="1"/>
  <c r="W148" i="22"/>
  <c r="D148" i="22"/>
  <c r="E148" i="22" s="1"/>
  <c r="F148" i="22" s="1"/>
  <c r="B148" i="23"/>
  <c r="G348" i="22"/>
  <c r="CC348" i="6" s="1"/>
  <c r="AA348" i="22"/>
  <c r="Z348" i="22" s="1"/>
  <c r="Y348" i="22" s="1"/>
  <c r="W372" i="22"/>
  <c r="D372" i="22"/>
  <c r="E372" i="22" s="1"/>
  <c r="F372" i="22" s="1"/>
  <c r="B372" i="23"/>
  <c r="W65" i="22"/>
  <c r="B65" i="23"/>
  <c r="D65" i="22"/>
  <c r="E65" i="22" s="1"/>
  <c r="F65" i="22" s="1"/>
  <c r="G65" i="20"/>
  <c r="CB65" i="6" s="1"/>
  <c r="AA65" i="20"/>
  <c r="Z65" i="20" s="1"/>
  <c r="Y65" i="20" s="1"/>
  <c r="W143" i="22"/>
  <c r="B143" i="23"/>
  <c r="D143" i="22"/>
  <c r="E143" i="22" s="1"/>
  <c r="F143" i="22" s="1"/>
  <c r="W223" i="22"/>
  <c r="B223" i="23"/>
  <c r="D223" i="22"/>
  <c r="E223" i="22" s="1"/>
  <c r="F223" i="22" s="1"/>
  <c r="G307" i="20"/>
  <c r="CB307" i="6" s="1"/>
  <c r="AA307" i="20"/>
  <c r="Z307" i="20" s="1"/>
  <c r="Y307" i="20" s="1"/>
  <c r="G357" i="20"/>
  <c r="CB357" i="6" s="1"/>
  <c r="AA357" i="20"/>
  <c r="Z357" i="20" s="1"/>
  <c r="Y357" i="20" s="1"/>
  <c r="W373" i="22"/>
  <c r="D373" i="22"/>
  <c r="E373" i="22" s="1"/>
  <c r="F373" i="22" s="1"/>
  <c r="B373" i="23"/>
  <c r="G48" i="20"/>
  <c r="CB48" i="6" s="1"/>
  <c r="AA48" i="20"/>
  <c r="Z48" i="20" s="1"/>
  <c r="Y48" i="20" s="1"/>
  <c r="B122" i="24"/>
  <c r="W122" i="23"/>
  <c r="D122" i="23"/>
  <c r="E122" i="23" s="1"/>
  <c r="F122" i="23" s="1"/>
  <c r="G160" i="20"/>
  <c r="CB160" i="6" s="1"/>
  <c r="AA160" i="20"/>
  <c r="Z160" i="20" s="1"/>
  <c r="Y160" i="20" s="1"/>
  <c r="I234" i="18"/>
  <c r="BA234" i="6" s="1"/>
  <c r="D234" i="6" s="1"/>
  <c r="J234" i="18"/>
  <c r="G238" i="22"/>
  <c r="CC238" i="6" s="1"/>
  <c r="AA238" i="22"/>
  <c r="Z238" i="22" s="1"/>
  <c r="Y238" i="22" s="1"/>
  <c r="B266" i="23"/>
  <c r="W266" i="22"/>
  <c r="D266" i="22"/>
  <c r="E266" i="22" s="1"/>
  <c r="F266" i="22" s="1"/>
  <c r="D322" i="22"/>
  <c r="E322" i="22" s="1"/>
  <c r="F322" i="22" s="1"/>
  <c r="W322" i="22"/>
  <c r="B322" i="23"/>
  <c r="W360" i="23"/>
  <c r="D360" i="23"/>
  <c r="E360" i="23" s="1"/>
  <c r="F360" i="23" s="1"/>
  <c r="B360" i="24"/>
  <c r="W85" i="22"/>
  <c r="D85" i="22"/>
  <c r="E85" i="22" s="1"/>
  <c r="F85" i="22" s="1"/>
  <c r="B85" i="23"/>
  <c r="AA113" i="22"/>
  <c r="Z113" i="22" s="1"/>
  <c r="Y113" i="22" s="1"/>
  <c r="G113" i="22"/>
  <c r="CC113" i="6" s="1"/>
  <c r="G129" i="22"/>
  <c r="CC129" i="6" s="1"/>
  <c r="AA129" i="22"/>
  <c r="Z129" i="22" s="1"/>
  <c r="Y129" i="22" s="1"/>
  <c r="D217" i="23"/>
  <c r="E217" i="23" s="1"/>
  <c r="F217" i="23" s="1"/>
  <c r="B217" i="24"/>
  <c r="W217" i="23"/>
  <c r="G239" i="20"/>
  <c r="CB239" i="6" s="1"/>
  <c r="AA239" i="20"/>
  <c r="Z239" i="20" s="1"/>
  <c r="Y239" i="20" s="1"/>
  <c r="G343" i="22"/>
  <c r="CC343" i="6" s="1"/>
  <c r="AA343" i="22"/>
  <c r="Z343" i="22" s="1"/>
  <c r="Y343" i="22" s="1"/>
  <c r="G377" i="22"/>
  <c r="CC377" i="6" s="1"/>
  <c r="AA377" i="22"/>
  <c r="Z377" i="22" s="1"/>
  <c r="Y377" i="22" s="1"/>
  <c r="G40" i="22"/>
  <c r="CC40" i="6" s="1"/>
  <c r="AA40" i="22"/>
  <c r="Z40" i="22" s="1"/>
  <c r="Y40" i="22" s="1"/>
  <c r="W72" i="22"/>
  <c r="B72" i="23"/>
  <c r="D72" i="22"/>
  <c r="E72" i="22" s="1"/>
  <c r="F72" i="22" s="1"/>
  <c r="G168" i="22"/>
  <c r="CC168" i="6" s="1"/>
  <c r="AA168" i="22"/>
  <c r="Z168" i="22" s="1"/>
  <c r="Y168" i="22" s="1"/>
  <c r="W190" i="23"/>
  <c r="D190" i="23"/>
  <c r="E190" i="23" s="1"/>
  <c r="F190" i="23" s="1"/>
  <c r="B190" i="24"/>
  <c r="G190" i="22"/>
  <c r="CC190" i="6" s="1"/>
  <c r="AA190" i="22"/>
  <c r="Z190" i="22" s="1"/>
  <c r="Y190" i="22" s="1"/>
  <c r="G200" i="22"/>
  <c r="CC200" i="6" s="1"/>
  <c r="AA200" i="22"/>
  <c r="Z200" i="22" s="1"/>
  <c r="Y200" i="22" s="1"/>
  <c r="W240" i="22"/>
  <c r="D240" i="22"/>
  <c r="E240" i="22" s="1"/>
  <c r="F240" i="22" s="1"/>
  <c r="B240" i="23"/>
  <c r="W314" i="22"/>
  <c r="B314" i="23"/>
  <c r="D314" i="22"/>
  <c r="E314" i="22" s="1"/>
  <c r="F314" i="22" s="1"/>
  <c r="G342" i="22"/>
  <c r="CC342" i="6" s="1"/>
  <c r="AA342" i="22"/>
  <c r="Z342" i="22" s="1"/>
  <c r="Y342" i="22" s="1"/>
  <c r="W78" i="22"/>
  <c r="B78" i="23"/>
  <c r="D78" i="22"/>
  <c r="E78" i="22" s="1"/>
  <c r="F78" i="22" s="1"/>
  <c r="G78" i="20"/>
  <c r="CB78" i="6" s="1"/>
  <c r="AA78" i="20"/>
  <c r="Z78" i="20" s="1"/>
  <c r="Y78" i="20" s="1"/>
  <c r="W289" i="22"/>
  <c r="D289" i="22"/>
  <c r="E289" i="22" s="1"/>
  <c r="F289" i="22" s="1"/>
  <c r="B289" i="23"/>
  <c r="G207" i="22"/>
  <c r="CC207" i="6" s="1"/>
  <c r="AA207" i="22"/>
  <c r="Z207" i="22" s="1"/>
  <c r="Y207" i="22" s="1"/>
  <c r="W182" i="22"/>
  <c r="B182" i="23"/>
  <c r="D182" i="22"/>
  <c r="E182" i="22" s="1"/>
  <c r="F182" i="22" s="1"/>
  <c r="G182" i="20"/>
  <c r="CB182" i="6" s="1"/>
  <c r="AA182" i="20"/>
  <c r="Z182" i="20" s="1"/>
  <c r="Y182" i="20" s="1"/>
  <c r="G163" i="20"/>
  <c r="CB163" i="6" s="1"/>
  <c r="AA163" i="20"/>
  <c r="Z163" i="20" s="1"/>
  <c r="Y163" i="20" s="1"/>
  <c r="G321" i="20"/>
  <c r="CB321" i="6" s="1"/>
  <c r="AA321" i="20"/>
  <c r="Z321" i="20" s="1"/>
  <c r="Y321" i="20" s="1"/>
  <c r="G332" i="20"/>
  <c r="CB332" i="6" s="1"/>
  <c r="AA332" i="20"/>
  <c r="Z332" i="20" s="1"/>
  <c r="Y332" i="20" s="1"/>
  <c r="AA81" i="20"/>
  <c r="Z81" i="20" s="1"/>
  <c r="Y81" i="20" s="1"/>
  <c r="G81" i="20"/>
  <c r="CB81" i="6" s="1"/>
  <c r="B174" i="24"/>
  <c r="W174" i="23"/>
  <c r="D174" i="23"/>
  <c r="E174" i="23" s="1"/>
  <c r="F174" i="23" s="1"/>
  <c r="J93" i="18"/>
  <c r="I93" i="18"/>
  <c r="I195" i="18"/>
  <c r="J195" i="18"/>
  <c r="W150" i="22"/>
  <c r="D150" i="22"/>
  <c r="E150" i="22" s="1"/>
  <c r="F150" i="22" s="1"/>
  <c r="B150" i="23"/>
  <c r="G150" i="20"/>
  <c r="CB150" i="6" s="1"/>
  <c r="AA150" i="20"/>
  <c r="Z150" i="20" s="1"/>
  <c r="Y150" i="20" s="1"/>
  <c r="W177" i="23"/>
  <c r="D177" i="23"/>
  <c r="E177" i="23" s="1"/>
  <c r="F177" i="23" s="1"/>
  <c r="B177" i="24"/>
  <c r="AA135" i="20"/>
  <c r="Z135" i="20" s="1"/>
  <c r="Y135" i="20" s="1"/>
  <c r="G135" i="20"/>
  <c r="CB135" i="6" s="1"/>
  <c r="G210" i="20"/>
  <c r="CB210" i="6" s="1"/>
  <c r="AA210" i="20"/>
  <c r="Z210" i="20" s="1"/>
  <c r="Y210" i="20" s="1"/>
  <c r="G161" i="20"/>
  <c r="CB161" i="6" s="1"/>
  <c r="AA161" i="20"/>
  <c r="Z161" i="20" s="1"/>
  <c r="Y161" i="20" s="1"/>
  <c r="W77" i="22"/>
  <c r="D77" i="22"/>
  <c r="E77" i="22" s="1"/>
  <c r="F77" i="22" s="1"/>
  <c r="B77" i="23"/>
  <c r="G155" i="22"/>
  <c r="CC155" i="6" s="1"/>
  <c r="AA155" i="22"/>
  <c r="Z155" i="22" s="1"/>
  <c r="Y155" i="22" s="1"/>
  <c r="G247" i="22"/>
  <c r="CC247" i="6" s="1"/>
  <c r="AA247" i="22"/>
  <c r="Z247" i="22" s="1"/>
  <c r="Y247" i="22" s="1"/>
  <c r="W263" i="22"/>
  <c r="D263" i="22"/>
  <c r="E263" i="22" s="1"/>
  <c r="F263" i="22" s="1"/>
  <c r="B263" i="23"/>
  <c r="AA281" i="22"/>
  <c r="Z281" i="22" s="1"/>
  <c r="Y281" i="22" s="1"/>
  <c r="G281" i="22"/>
  <c r="CC281" i="6" s="1"/>
  <c r="G23" i="22"/>
  <c r="CC23" i="6" s="1"/>
  <c r="AA23" i="22"/>
  <c r="Z23" i="22" s="1"/>
  <c r="Y23" i="22" s="1"/>
  <c r="W60" i="22"/>
  <c r="B60" i="23"/>
  <c r="D60" i="22"/>
  <c r="E60" i="22" s="1"/>
  <c r="F60" i="22" s="1"/>
  <c r="G149" i="22"/>
  <c r="CC149" i="6" s="1"/>
  <c r="AA149" i="22"/>
  <c r="Z149" i="22" s="1"/>
  <c r="Y149" i="22" s="1"/>
  <c r="W365" i="22"/>
  <c r="D365" i="22"/>
  <c r="E365" i="22" s="1"/>
  <c r="F365" i="22" s="1"/>
  <c r="B365" i="23"/>
  <c r="W298" i="23"/>
  <c r="B298" i="24"/>
  <c r="D298" i="23"/>
  <c r="E298" i="23" s="1"/>
  <c r="F298" i="23" s="1"/>
  <c r="W46" i="22"/>
  <c r="B46" i="23"/>
  <c r="D46" i="22"/>
  <c r="E46" i="22" s="1"/>
  <c r="F46" i="22" s="1"/>
  <c r="W319" i="23"/>
  <c r="D319" i="23"/>
  <c r="E319" i="23" s="1"/>
  <c r="F319" i="23" s="1"/>
  <c r="B319" i="24"/>
  <c r="D261" i="22"/>
  <c r="E261" i="22" s="1"/>
  <c r="F261" i="22" s="1"/>
  <c r="B261" i="23"/>
  <c r="W261" i="22"/>
  <c r="W171" i="22"/>
  <c r="B171" i="23"/>
  <c r="D171" i="22"/>
  <c r="E171" i="22" s="1"/>
  <c r="F171" i="22" s="1"/>
  <c r="G194" i="20"/>
  <c r="CB194" i="6" s="1"/>
  <c r="AA194" i="20"/>
  <c r="Z194" i="20" s="1"/>
  <c r="Y194" i="20" s="1"/>
  <c r="G302" i="22"/>
  <c r="CC302" i="6" s="1"/>
  <c r="AA302" i="22"/>
  <c r="Z302" i="22" s="1"/>
  <c r="Y302" i="22" s="1"/>
  <c r="J253" i="18"/>
  <c r="I253" i="18"/>
  <c r="BA253" i="6" s="1"/>
  <c r="G175" i="22"/>
  <c r="CC175" i="6" s="1"/>
  <c r="AA175" i="22"/>
  <c r="Z175" i="22" s="1"/>
  <c r="Y175" i="22" s="1"/>
  <c r="W101" i="23"/>
  <c r="B101" i="24"/>
  <c r="D101" i="23"/>
  <c r="E101" i="23" s="1"/>
  <c r="F101" i="23" s="1"/>
  <c r="G101" i="22"/>
  <c r="CC101" i="6" s="1"/>
  <c r="AA101" i="22"/>
  <c r="Z101" i="22" s="1"/>
  <c r="Y101" i="22" s="1"/>
  <c r="G127" i="20"/>
  <c r="CB127" i="6" s="1"/>
  <c r="AA127" i="20"/>
  <c r="Z127" i="20" s="1"/>
  <c r="Y127" i="20" s="1"/>
  <c r="G173" i="20"/>
  <c r="CB173" i="6" s="1"/>
  <c r="AA173" i="20"/>
  <c r="Z173" i="20" s="1"/>
  <c r="Y173" i="20" s="1"/>
  <c r="G219" i="20"/>
  <c r="CB219" i="6" s="1"/>
  <c r="AA219" i="20"/>
  <c r="Z219" i="20" s="1"/>
  <c r="Y219" i="20" s="1"/>
  <c r="B271" i="24"/>
  <c r="W271" i="23"/>
  <c r="D271" i="23"/>
  <c r="E271" i="23" s="1"/>
  <c r="F271" i="23" s="1"/>
  <c r="G271" i="22"/>
  <c r="CC271" i="6" s="1"/>
  <c r="AA271" i="22"/>
  <c r="Z271" i="22" s="1"/>
  <c r="Y271" i="22" s="1"/>
  <c r="G92" i="22"/>
  <c r="CC92" i="6" s="1"/>
  <c r="AA92" i="22"/>
  <c r="Z92" i="22" s="1"/>
  <c r="Y92" i="22" s="1"/>
  <c r="G118" i="22"/>
  <c r="CC118" i="6" s="1"/>
  <c r="AA118" i="22"/>
  <c r="Z118" i="22" s="1"/>
  <c r="Y118" i="22" s="1"/>
  <c r="W128" i="22"/>
  <c r="D128" i="22"/>
  <c r="E128" i="22" s="1"/>
  <c r="F128" i="22" s="1"/>
  <c r="B128" i="23"/>
  <c r="D176" i="22"/>
  <c r="E176" i="22" s="1"/>
  <c r="F176" i="22" s="1"/>
  <c r="B176" i="23"/>
  <c r="W176" i="22"/>
  <c r="AA230" i="22"/>
  <c r="Z230" i="22" s="1"/>
  <c r="Y230" i="22" s="1"/>
  <c r="G230" i="22"/>
  <c r="CC230" i="6" s="1"/>
  <c r="G282" i="20"/>
  <c r="CB282" i="6" s="1"/>
  <c r="AA282" i="20"/>
  <c r="Z282" i="20" s="1"/>
  <c r="Y282" i="20" s="1"/>
  <c r="W308" i="23"/>
  <c r="B308" i="24"/>
  <c r="D308" i="23"/>
  <c r="E308" i="23" s="1"/>
  <c r="F308" i="23" s="1"/>
  <c r="G308" i="22"/>
  <c r="CC308" i="6" s="1"/>
  <c r="AA308" i="22"/>
  <c r="Z308" i="22" s="1"/>
  <c r="Y308" i="22" s="1"/>
  <c r="B21" i="23"/>
  <c r="D21" i="22"/>
  <c r="E21" i="22" s="1"/>
  <c r="F21" i="22" s="1"/>
  <c r="W21" i="22"/>
  <c r="G45" i="20"/>
  <c r="CB45" i="6" s="1"/>
  <c r="AA45" i="20"/>
  <c r="Z45" i="20" s="1"/>
  <c r="Y45" i="20" s="1"/>
  <c r="D47" i="23"/>
  <c r="E47" i="23" s="1"/>
  <c r="F47" i="23" s="1"/>
  <c r="B47" i="24"/>
  <c r="W47" i="23"/>
  <c r="G123" i="20"/>
  <c r="CB123" i="6" s="1"/>
  <c r="AA123" i="20"/>
  <c r="Z123" i="20" s="1"/>
  <c r="Y123" i="20" s="1"/>
  <c r="D195" i="23"/>
  <c r="E195" i="23" s="1"/>
  <c r="F195" i="23" s="1"/>
  <c r="B195" i="24"/>
  <c r="W195" i="23"/>
  <c r="B221" i="24"/>
  <c r="W221" i="23"/>
  <c r="D221" i="23"/>
  <c r="E221" i="23" s="1"/>
  <c r="F221" i="23" s="1"/>
  <c r="G221" i="22"/>
  <c r="CC221" i="6" s="1"/>
  <c r="AA221" i="22"/>
  <c r="Z221" i="22" s="1"/>
  <c r="Y221" i="22" s="1"/>
  <c r="G233" i="20"/>
  <c r="CB233" i="6" s="1"/>
  <c r="AA233" i="20"/>
  <c r="Z233" i="20" s="1"/>
  <c r="Y233" i="20" s="1"/>
  <c r="W275" i="22"/>
  <c r="D275" i="22"/>
  <c r="E275" i="22" s="1"/>
  <c r="F275" i="22" s="1"/>
  <c r="B275" i="23"/>
  <c r="G275" i="20"/>
  <c r="CB275" i="6" s="1"/>
  <c r="AA275" i="20"/>
  <c r="Z275" i="20" s="1"/>
  <c r="Y275" i="20" s="1"/>
  <c r="W303" i="22"/>
  <c r="D303" i="22"/>
  <c r="E303" i="22" s="1"/>
  <c r="F303" i="22" s="1"/>
  <c r="B303" i="23"/>
  <c r="G303" i="20"/>
  <c r="CB303" i="6" s="1"/>
  <c r="AA303" i="20"/>
  <c r="Z303" i="20" s="1"/>
  <c r="Y303" i="20" s="1"/>
  <c r="W86" i="22"/>
  <c r="B86" i="23"/>
  <c r="D86" i="22"/>
  <c r="E86" i="22" s="1"/>
  <c r="F86" i="22" s="1"/>
  <c r="G86" i="20"/>
  <c r="CB86" i="6" s="1"/>
  <c r="AA86" i="20"/>
  <c r="Z86" i="20" s="1"/>
  <c r="Y86" i="20" s="1"/>
  <c r="W112" i="22"/>
  <c r="D112" i="22"/>
  <c r="E112" i="22" s="1"/>
  <c r="F112" i="22" s="1"/>
  <c r="B112" i="23"/>
  <c r="G120" i="22"/>
  <c r="CC120" i="6" s="1"/>
  <c r="AA120" i="22"/>
  <c r="Z120" i="22" s="1"/>
  <c r="Y120" i="22" s="1"/>
  <c r="W144" i="22"/>
  <c r="D144" i="22"/>
  <c r="E144" i="22" s="1"/>
  <c r="F144" i="22" s="1"/>
  <c r="B144" i="23"/>
  <c r="B188" i="23"/>
  <c r="D188" i="22"/>
  <c r="E188" i="22" s="1"/>
  <c r="F188" i="22" s="1"/>
  <c r="W188" i="22"/>
  <c r="D218" i="22"/>
  <c r="E218" i="22" s="1"/>
  <c r="F218" i="22" s="1"/>
  <c r="B218" i="23"/>
  <c r="W218" i="22"/>
  <c r="J296" i="18"/>
  <c r="I296" i="18"/>
  <c r="BA296" i="6" s="1"/>
  <c r="D296" i="6" s="1"/>
  <c r="G296" i="20"/>
  <c r="CB296" i="6" s="1"/>
  <c r="AA296" i="20"/>
  <c r="Z296" i="20" s="1"/>
  <c r="Y296" i="20" s="1"/>
  <c r="W169" i="22"/>
  <c r="D169" i="22"/>
  <c r="E169" i="22" s="1"/>
  <c r="F169" i="22" s="1"/>
  <c r="B169" i="23"/>
  <c r="G193" i="22"/>
  <c r="CC193" i="6" s="1"/>
  <c r="AA193" i="22"/>
  <c r="Z193" i="22" s="1"/>
  <c r="Y193" i="22" s="1"/>
  <c r="W203" i="22"/>
  <c r="B203" i="23"/>
  <c r="D203" i="22"/>
  <c r="E203" i="22" s="1"/>
  <c r="F203" i="22" s="1"/>
  <c r="W245" i="22"/>
  <c r="B245" i="23"/>
  <c r="D245" i="22"/>
  <c r="E245" i="22" s="1"/>
  <c r="F245" i="22" s="1"/>
  <c r="G277" i="20"/>
  <c r="CB277" i="6" s="1"/>
  <c r="AA277" i="20"/>
  <c r="Z277" i="20" s="1"/>
  <c r="Y277" i="20" s="1"/>
  <c r="W313" i="23"/>
  <c r="B313" i="24"/>
  <c r="D313" i="23"/>
  <c r="E313" i="23" s="1"/>
  <c r="F313" i="23" s="1"/>
  <c r="AA375" i="22"/>
  <c r="Z375" i="22" s="1"/>
  <c r="Y375" i="22" s="1"/>
  <c r="G375" i="22"/>
  <c r="CC375" i="6" s="1"/>
  <c r="W288" i="22"/>
  <c r="B288" i="23"/>
  <c r="D288" i="22"/>
  <c r="E288" i="22" s="1"/>
  <c r="F288" i="22" s="1"/>
  <c r="AA288" i="20"/>
  <c r="Z288" i="20" s="1"/>
  <c r="Y288" i="20" s="1"/>
  <c r="G288" i="20"/>
  <c r="CB288" i="6" s="1"/>
  <c r="D138" i="23"/>
  <c r="E138" i="23" s="1"/>
  <c r="F138" i="23" s="1"/>
  <c r="B138" i="24"/>
  <c r="W138" i="23"/>
  <c r="D202" i="23"/>
  <c r="E202" i="23" s="1"/>
  <c r="F202" i="23" s="1"/>
  <c r="B202" i="24"/>
  <c r="W202" i="23"/>
  <c r="G292" i="20"/>
  <c r="CB292" i="6" s="1"/>
  <c r="AA292" i="20"/>
  <c r="Z292" i="20" s="1"/>
  <c r="Y292" i="20" s="1"/>
  <c r="W370" i="23"/>
  <c r="D370" i="23"/>
  <c r="E370" i="23" s="1"/>
  <c r="F370" i="23" s="1"/>
  <c r="B370" i="24"/>
  <c r="G26" i="22"/>
  <c r="CC26" i="6" s="1"/>
  <c r="AA26" i="22"/>
  <c r="Z26" i="22" s="1"/>
  <c r="Y26" i="22" s="1"/>
  <c r="D25" i="22"/>
  <c r="E25" i="22" s="1"/>
  <c r="F25" i="22" s="1"/>
  <c r="W25" i="22"/>
  <c r="B25" i="23"/>
  <c r="B121" i="23"/>
  <c r="W121" i="22"/>
  <c r="D121" i="22"/>
  <c r="E121" i="22" s="1"/>
  <c r="F121" i="22" s="1"/>
  <c r="W199" i="23"/>
  <c r="D199" i="23"/>
  <c r="E199" i="23" s="1"/>
  <c r="F199" i="23" s="1"/>
  <c r="B199" i="24"/>
  <c r="G225" i="20"/>
  <c r="CB225" i="6" s="1"/>
  <c r="AA225" i="20"/>
  <c r="Z225" i="20" s="1"/>
  <c r="Y225" i="20" s="1"/>
  <c r="W355" i="22"/>
  <c r="D355" i="22"/>
  <c r="E355" i="22" s="1"/>
  <c r="F355" i="22" s="1"/>
  <c r="B355" i="23"/>
  <c r="G54" i="22"/>
  <c r="CC54" i="6" s="1"/>
  <c r="AA54" i="22"/>
  <c r="Z54" i="22" s="1"/>
  <c r="Y54" i="22" s="1"/>
  <c r="W102" i="22"/>
  <c r="B102" i="23"/>
  <c r="D102" i="22"/>
  <c r="E102" i="22" s="1"/>
  <c r="F102" i="22" s="1"/>
  <c r="AA158" i="22"/>
  <c r="Z158" i="22" s="1"/>
  <c r="Y158" i="22" s="1"/>
  <c r="G158" i="22"/>
  <c r="CC158" i="6" s="1"/>
  <c r="W186" i="22"/>
  <c r="D186" i="22"/>
  <c r="E186" i="22" s="1"/>
  <c r="F186" i="22" s="1"/>
  <c r="B186" i="23"/>
  <c r="D242" i="23"/>
  <c r="E242" i="23" s="1"/>
  <c r="F242" i="23" s="1"/>
  <c r="B242" i="24"/>
  <c r="W242" i="23"/>
  <c r="G290" i="20"/>
  <c r="CB290" i="6" s="1"/>
  <c r="AA290" i="20"/>
  <c r="Z290" i="20" s="1"/>
  <c r="Y290" i="20" s="1"/>
  <c r="G362" i="20"/>
  <c r="CB362" i="6" s="1"/>
  <c r="AA362" i="20"/>
  <c r="Z362" i="20" s="1"/>
  <c r="Y362" i="20" s="1"/>
  <c r="D137" i="22"/>
  <c r="E137" i="22" s="1"/>
  <c r="F137" i="22" s="1"/>
  <c r="B137" i="23"/>
  <c r="W137" i="22"/>
  <c r="G137" i="20"/>
  <c r="CB137" i="6" s="1"/>
  <c r="AA137" i="20"/>
  <c r="Z137" i="20" s="1"/>
  <c r="Y137" i="20" s="1"/>
  <c r="W378" i="22"/>
  <c r="B378" i="23"/>
  <c r="D378" i="22"/>
  <c r="E378" i="22" s="1"/>
  <c r="F378" i="22" s="1"/>
  <c r="W310" i="22"/>
  <c r="B310" i="23"/>
  <c r="D310" i="22"/>
  <c r="E310" i="22" s="1"/>
  <c r="F310" i="22" s="1"/>
  <c r="W311" i="22"/>
  <c r="D311" i="22"/>
  <c r="E311" i="22" s="1"/>
  <c r="F311" i="22" s="1"/>
  <c r="B311" i="23"/>
  <c r="G374" i="20"/>
  <c r="CB374" i="6" s="1"/>
  <c r="AA374" i="20"/>
  <c r="Z374" i="20" s="1"/>
  <c r="Y374" i="20" s="1"/>
  <c r="B52" i="24"/>
  <c r="W52" i="23"/>
  <c r="D52" i="23"/>
  <c r="E52" i="23" s="1"/>
  <c r="F52" i="23" s="1"/>
  <c r="D103" i="23"/>
  <c r="E103" i="23" s="1"/>
  <c r="F103" i="23" s="1"/>
  <c r="B103" i="24"/>
  <c r="W103" i="23"/>
  <c r="W235" i="23"/>
  <c r="D235" i="23"/>
  <c r="E235" i="23" s="1"/>
  <c r="F235" i="23" s="1"/>
  <c r="B235" i="24"/>
  <c r="G309" i="20"/>
  <c r="CB309" i="6" s="1"/>
  <c r="AA309" i="20"/>
  <c r="Z309" i="20" s="1"/>
  <c r="Y309" i="20" s="1"/>
  <c r="G232" i="20"/>
  <c r="CB232" i="6" s="1"/>
  <c r="AA232" i="20"/>
  <c r="Z232" i="20" s="1"/>
  <c r="Y232" i="20" s="1"/>
  <c r="D119" i="22"/>
  <c r="E119" i="22" s="1"/>
  <c r="F119" i="22" s="1"/>
  <c r="B119" i="23"/>
  <c r="W119" i="22"/>
  <c r="W196" i="22"/>
  <c r="D196" i="22"/>
  <c r="E196" i="22" s="1"/>
  <c r="F196" i="22" s="1"/>
  <c r="B196" i="23"/>
  <c r="G105" i="22"/>
  <c r="CC105" i="6" s="1"/>
  <c r="AA105" i="22"/>
  <c r="Z105" i="22" s="1"/>
  <c r="Y105" i="22" s="1"/>
  <c r="W67" i="22"/>
  <c r="D67" i="22"/>
  <c r="E67" i="22" s="1"/>
  <c r="F67" i="22" s="1"/>
  <c r="B67" i="23"/>
  <c r="G166" i="22"/>
  <c r="CC166" i="6" s="1"/>
  <c r="AA166" i="22"/>
  <c r="Z166" i="22" s="1"/>
  <c r="Y166" i="22" s="1"/>
  <c r="D22" i="22"/>
  <c r="E22" i="22" s="1"/>
  <c r="F22" i="22" s="1"/>
  <c r="B22" i="23"/>
  <c r="W22" i="22"/>
  <c r="G22" i="20"/>
  <c r="CB22" i="6" s="1"/>
  <c r="AA22" i="20"/>
  <c r="Z22" i="20" s="1"/>
  <c r="Y22" i="20" s="1"/>
  <c r="B272" i="23"/>
  <c r="W272" i="22"/>
  <c r="D272" i="22"/>
  <c r="E272" i="22" s="1"/>
  <c r="F272" i="22" s="1"/>
  <c r="G368" i="22"/>
  <c r="CC368" i="6" s="1"/>
  <c r="AA368" i="22"/>
  <c r="Z368" i="22" s="1"/>
  <c r="Y368" i="22" s="1"/>
  <c r="G189" i="22"/>
  <c r="CC189" i="6" s="1"/>
  <c r="AA189" i="22"/>
  <c r="Z189" i="22" s="1"/>
  <c r="Y189" i="22" s="1"/>
  <c r="D241" i="23"/>
  <c r="E241" i="23" s="1"/>
  <c r="F241" i="23" s="1"/>
  <c r="B241" i="24"/>
  <c r="W241" i="23"/>
  <c r="W88" i="22"/>
  <c r="D88" i="22"/>
  <c r="E88" i="22" s="1"/>
  <c r="F88" i="22" s="1"/>
  <c r="B88" i="23"/>
  <c r="AA249" i="20"/>
  <c r="Z249" i="20" s="1"/>
  <c r="Y249" i="20" s="1"/>
  <c r="G249" i="20"/>
  <c r="CB249" i="6" s="1"/>
  <c r="W317" i="22"/>
  <c r="B317" i="23"/>
  <c r="D317" i="22"/>
  <c r="E317" i="22" s="1"/>
  <c r="F317" i="22" s="1"/>
  <c r="G42" i="20"/>
  <c r="CB42" i="6" s="1"/>
  <c r="AA42" i="20"/>
  <c r="Z42" i="20" s="1"/>
  <c r="Y42" i="20" s="1"/>
  <c r="W220" i="22"/>
  <c r="B220" i="23"/>
  <c r="D220" i="22"/>
  <c r="E220" i="22" s="1"/>
  <c r="F220" i="22" s="1"/>
  <c r="G254" i="20"/>
  <c r="CB254" i="6" s="1"/>
  <c r="AA254" i="20"/>
  <c r="Z254" i="20" s="1"/>
  <c r="Y254" i="20" s="1"/>
  <c r="W260" i="23"/>
  <c r="D260" i="23"/>
  <c r="E260" i="23" s="1"/>
  <c r="F260" i="23" s="1"/>
  <c r="B260" i="24"/>
  <c r="AA276" i="22"/>
  <c r="Z276" i="22" s="1"/>
  <c r="Y276" i="22" s="1"/>
  <c r="G276" i="22"/>
  <c r="CC276" i="6" s="1"/>
  <c r="W320" i="23"/>
  <c r="D320" i="23"/>
  <c r="E320" i="23" s="1"/>
  <c r="F320" i="23" s="1"/>
  <c r="B320" i="24"/>
  <c r="G49" i="20"/>
  <c r="CB49" i="6" s="1"/>
  <c r="AA49" i="20"/>
  <c r="Z49" i="20" s="1"/>
  <c r="Y49" i="20" s="1"/>
  <c r="W87" i="22"/>
  <c r="B87" i="23"/>
  <c r="D87" i="22"/>
  <c r="E87" i="22" s="1"/>
  <c r="F87" i="22" s="1"/>
  <c r="G147" i="22"/>
  <c r="CC147" i="6" s="1"/>
  <c r="AA147" i="22"/>
  <c r="Z147" i="22" s="1"/>
  <c r="Y147" i="22" s="1"/>
  <c r="G209" i="22"/>
  <c r="CC209" i="6" s="1"/>
  <c r="AA209" i="22"/>
  <c r="Z209" i="22" s="1"/>
  <c r="Y209" i="22" s="1"/>
  <c r="AA291" i="20"/>
  <c r="Z291" i="20" s="1"/>
  <c r="Y291" i="20" s="1"/>
  <c r="G291" i="20"/>
  <c r="CB291" i="6" s="1"/>
  <c r="G339" i="20"/>
  <c r="CB339" i="6" s="1"/>
  <c r="AA339" i="20"/>
  <c r="Z339" i="20" s="1"/>
  <c r="Y339" i="20" s="1"/>
  <c r="W371" i="22"/>
  <c r="D371" i="22"/>
  <c r="E371" i="22" s="1"/>
  <c r="F371" i="22" s="1"/>
  <c r="B371" i="23"/>
  <c r="B80" i="24"/>
  <c r="W80" i="23"/>
  <c r="D80" i="23"/>
  <c r="E80" i="23" s="1"/>
  <c r="F80" i="23" s="1"/>
  <c r="G108" i="22"/>
  <c r="CC108" i="6" s="1"/>
  <c r="AA108" i="22"/>
  <c r="Z108" i="22" s="1"/>
  <c r="Y108" i="22" s="1"/>
  <c r="G142" i="22"/>
  <c r="CC142" i="6" s="1"/>
  <c r="AA142" i="22"/>
  <c r="Z142" i="22" s="1"/>
  <c r="Y142" i="22" s="1"/>
  <c r="G59" i="22"/>
  <c r="CC59" i="6" s="1"/>
  <c r="AA59" i="22"/>
  <c r="Z59" i="22" s="1"/>
  <c r="Y59" i="22" s="1"/>
  <c r="G141" i="22"/>
  <c r="CC141" i="6" s="1"/>
  <c r="AA141" i="22"/>
  <c r="Z141" i="22" s="1"/>
  <c r="Y141" i="22" s="1"/>
  <c r="AA179" i="22"/>
  <c r="Z179" i="22" s="1"/>
  <c r="Y179" i="22" s="1"/>
  <c r="G179" i="22"/>
  <c r="CC179" i="6" s="1"/>
  <c r="W191" i="22"/>
  <c r="D191" i="22"/>
  <c r="E191" i="22" s="1"/>
  <c r="F191" i="22" s="1"/>
  <c r="B191" i="23"/>
  <c r="AA211" i="22"/>
  <c r="Z211" i="22" s="1"/>
  <c r="Y211" i="22" s="1"/>
  <c r="G211" i="22"/>
  <c r="CC211" i="6" s="1"/>
  <c r="W257" i="23"/>
  <c r="B257" i="24"/>
  <c r="D257" i="23"/>
  <c r="E257" i="23" s="1"/>
  <c r="F257" i="23" s="1"/>
  <c r="G267" i="20"/>
  <c r="CB267" i="6" s="1"/>
  <c r="AA267" i="20"/>
  <c r="Z267" i="20" s="1"/>
  <c r="Y267" i="20" s="1"/>
  <c r="G20" i="20"/>
  <c r="CB20" i="6" s="1"/>
  <c r="AA20" i="20"/>
  <c r="Z20" i="20" s="1"/>
  <c r="Y20" i="20" s="1"/>
  <c r="G172" i="22"/>
  <c r="CC172" i="6" s="1"/>
  <c r="AA172" i="22"/>
  <c r="Z172" i="22" s="1"/>
  <c r="Y172" i="22" s="1"/>
  <c r="W234" i="22"/>
  <c r="B234" i="23"/>
  <c r="D234" i="22"/>
  <c r="E234" i="22" s="1"/>
  <c r="F234" i="22" s="1"/>
  <c r="G280" i="22"/>
  <c r="CC280" i="6" s="1"/>
  <c r="AA280" i="22"/>
  <c r="Z280" i="22" s="1"/>
  <c r="Y280" i="22" s="1"/>
  <c r="G57" i="22"/>
  <c r="CC57" i="6" s="1"/>
  <c r="AA57" i="22"/>
  <c r="Z57" i="22" s="1"/>
  <c r="Y57" i="22" s="1"/>
  <c r="W115" i="22"/>
  <c r="D115" i="22"/>
  <c r="E115" i="22" s="1"/>
  <c r="F115" i="22" s="1"/>
  <c r="B115" i="23"/>
  <c r="W133" i="22"/>
  <c r="D133" i="22"/>
  <c r="E133" i="22" s="1"/>
  <c r="F133" i="22" s="1"/>
  <c r="B133" i="23"/>
  <c r="G213" i="20"/>
  <c r="CB213" i="6" s="1"/>
  <c r="AA213" i="20"/>
  <c r="Z213" i="20" s="1"/>
  <c r="Y213" i="20" s="1"/>
  <c r="W345" i="22"/>
  <c r="B345" i="23"/>
  <c r="D345" i="22"/>
  <c r="E345" i="22" s="1"/>
  <c r="F345" i="22" s="1"/>
  <c r="D24" i="22"/>
  <c r="E24" i="22" s="1"/>
  <c r="F24" i="22" s="1"/>
  <c r="B24" i="23"/>
  <c r="W24" i="22"/>
  <c r="W44" i="22"/>
  <c r="B44" i="23"/>
  <c r="D44" i="22"/>
  <c r="E44" i="22" s="1"/>
  <c r="F44" i="22" s="1"/>
  <c r="G68" i="22"/>
  <c r="CC68" i="6" s="1"/>
  <c r="AA68" i="22"/>
  <c r="Z68" i="22" s="1"/>
  <c r="Y68" i="22" s="1"/>
  <c r="AA134" i="22"/>
  <c r="Z134" i="22" s="1"/>
  <c r="Y134" i="22" s="1"/>
  <c r="G134" i="22"/>
  <c r="CC134" i="6" s="1"/>
  <c r="B156" i="23"/>
  <c r="W156" i="22"/>
  <c r="D156" i="22"/>
  <c r="E156" i="22" s="1"/>
  <c r="F156" i="22" s="1"/>
  <c r="W206" i="22"/>
  <c r="D206" i="22"/>
  <c r="E206" i="22" s="1"/>
  <c r="F206" i="22" s="1"/>
  <c r="B206" i="23"/>
  <c r="W356" i="22"/>
  <c r="B356" i="23"/>
  <c r="D356" i="22"/>
  <c r="E356" i="22" s="1"/>
  <c r="F356" i="22" s="1"/>
  <c r="W299" i="23"/>
  <c r="D299" i="23"/>
  <c r="E299" i="23" s="1"/>
  <c r="F299" i="23" s="1"/>
  <c r="B299" i="24"/>
  <c r="W236" i="22"/>
  <c r="B236" i="23"/>
  <c r="D236" i="22"/>
  <c r="E236" i="22" s="1"/>
  <c r="F236" i="22" s="1"/>
  <c r="G306" i="22"/>
  <c r="CC306" i="6" s="1"/>
  <c r="AA306" i="22"/>
  <c r="Z306" i="22" s="1"/>
  <c r="Y306" i="22" s="1"/>
  <c r="G353" i="22"/>
  <c r="CC353" i="6" s="1"/>
  <c r="AA353" i="22"/>
  <c r="Z353" i="22" s="1"/>
  <c r="Y353" i="22" s="1"/>
  <c r="G229" i="22"/>
  <c r="CC229" i="6" s="1"/>
  <c r="AA229" i="22"/>
  <c r="Z229" i="22" s="1"/>
  <c r="Y229" i="22" s="1"/>
  <c r="G32" i="22"/>
  <c r="CC32" i="6" s="1"/>
  <c r="AA32" i="22"/>
  <c r="Z32" i="22" s="1"/>
  <c r="Y32" i="22" s="1"/>
  <c r="W73" i="22"/>
  <c r="B73" i="23"/>
  <c r="D73" i="22"/>
  <c r="E73" i="22" s="1"/>
  <c r="F73" i="22" s="1"/>
  <c r="AA100" i="22"/>
  <c r="Z100" i="22" s="1"/>
  <c r="Y100" i="22" s="1"/>
  <c r="G100" i="22"/>
  <c r="CC100" i="6" s="1"/>
  <c r="W76" i="22"/>
  <c r="B76" i="23"/>
  <c r="D76" i="22"/>
  <c r="E76" i="22" s="1"/>
  <c r="F76" i="22" s="1"/>
  <c r="J43" i="18"/>
  <c r="I43" i="18"/>
  <c r="J97" i="18"/>
  <c r="I97" i="18"/>
  <c r="J238" i="18"/>
  <c r="I238" i="18"/>
  <c r="I316" i="18"/>
  <c r="J316" i="18"/>
  <c r="G379" i="22"/>
  <c r="CC379" i="6" s="1"/>
  <c r="AA379" i="22"/>
  <c r="Z379" i="22" s="1"/>
  <c r="Y379" i="22" s="1"/>
  <c r="G29" i="20"/>
  <c r="CB29" i="6" s="1"/>
  <c r="AA29" i="20"/>
  <c r="Z29" i="20" s="1"/>
  <c r="Y29" i="20" s="1"/>
  <c r="W226" i="22"/>
  <c r="D226" i="22"/>
  <c r="E226" i="22" s="1"/>
  <c r="F226" i="22" s="1"/>
  <c r="B226" i="23"/>
  <c r="AA354" i="22"/>
  <c r="Z354" i="22" s="1"/>
  <c r="Y354" i="22" s="1"/>
  <c r="G354" i="22"/>
  <c r="CC354" i="6" s="1"/>
  <c r="W283" i="22"/>
  <c r="D283" i="22"/>
  <c r="E283" i="22" s="1"/>
  <c r="F283" i="22" s="1"/>
  <c r="B283" i="23"/>
  <c r="G114" i="20"/>
  <c r="CB114" i="6" s="1"/>
  <c r="AA114" i="20"/>
  <c r="Z114" i="20" s="1"/>
  <c r="Y114" i="20" s="1"/>
  <c r="G116" i="22"/>
  <c r="CC116" i="6" s="1"/>
  <c r="AA116" i="22"/>
  <c r="Z116" i="22" s="1"/>
  <c r="Y116" i="22" s="1"/>
  <c r="D99" i="22"/>
  <c r="E99" i="22" s="1"/>
  <c r="F99" i="22" s="1"/>
  <c r="B99" i="23"/>
  <c r="W99" i="22"/>
  <c r="G99" i="20"/>
  <c r="CB99" i="6" s="1"/>
  <c r="AA99" i="20"/>
  <c r="Z99" i="20" s="1"/>
  <c r="Y99" i="20" s="1"/>
  <c r="G84" i="20"/>
  <c r="CB84" i="6" s="1"/>
  <c r="AA84" i="20"/>
  <c r="Z84" i="20" s="1"/>
  <c r="Y84" i="20" s="1"/>
  <c r="W106" i="23"/>
  <c r="D106" i="23"/>
  <c r="E106" i="23" s="1"/>
  <c r="F106" i="23" s="1"/>
  <c r="B106" i="24"/>
  <c r="B178" i="24"/>
  <c r="W178" i="23"/>
  <c r="D178" i="23"/>
  <c r="E178" i="23" s="1"/>
  <c r="F178" i="23" s="1"/>
  <c r="G274" i="20"/>
  <c r="CB274" i="6" s="1"/>
  <c r="AA274" i="20"/>
  <c r="Z274" i="20" s="1"/>
  <c r="Y274" i="20" s="1"/>
  <c r="W318" i="22"/>
  <c r="D318" i="22"/>
  <c r="E318" i="22" s="1"/>
  <c r="F318" i="22" s="1"/>
  <c r="B318" i="23"/>
  <c r="G352" i="20"/>
  <c r="CB352" i="6" s="1"/>
  <c r="AA352" i="20"/>
  <c r="Z352" i="20" s="1"/>
  <c r="Y352" i="20" s="1"/>
  <c r="G33" i="22"/>
  <c r="CC33" i="6" s="1"/>
  <c r="AA33" i="22"/>
  <c r="Z33" i="22" s="1"/>
  <c r="Y33" i="22" s="1"/>
  <c r="B69" i="24"/>
  <c r="W69" i="23"/>
  <c r="D69" i="23"/>
  <c r="E69" i="23" s="1"/>
  <c r="F69" i="23" s="1"/>
  <c r="G69" i="22"/>
  <c r="CC69" i="6" s="1"/>
  <c r="AA69" i="22"/>
  <c r="Z69" i="22" s="1"/>
  <c r="Y69" i="22" s="1"/>
  <c r="G333" i="20"/>
  <c r="CB333" i="6" s="1"/>
  <c r="AA333" i="20"/>
  <c r="Z333" i="20" s="1"/>
  <c r="Y333" i="20" s="1"/>
  <c r="G187" i="20"/>
  <c r="CB187" i="6" s="1"/>
  <c r="AA187" i="20"/>
  <c r="Z187" i="20" s="1"/>
  <c r="Y187" i="20" s="1"/>
  <c r="D74" i="22"/>
  <c r="E74" i="22" s="1"/>
  <c r="F74" i="22" s="1"/>
  <c r="B74" i="23"/>
  <c r="W74" i="22"/>
  <c r="G75" i="20"/>
  <c r="CB75" i="6" s="1"/>
  <c r="AA75" i="20"/>
  <c r="Z75" i="20" s="1"/>
  <c r="Y75" i="20" s="1"/>
  <c r="W278" i="23"/>
  <c r="D278" i="23"/>
  <c r="E278" i="23" s="1"/>
  <c r="F278" i="23" s="1"/>
  <c r="B278" i="24"/>
  <c r="AA66" i="22"/>
  <c r="Z66" i="22" s="1"/>
  <c r="Y66" i="22" s="1"/>
  <c r="G66" i="22"/>
  <c r="CC66" i="6" s="1"/>
  <c r="G376" i="20"/>
  <c r="CB376" i="6" s="1"/>
  <c r="AA376" i="20"/>
  <c r="Z376" i="20" s="1"/>
  <c r="Y376" i="20" s="1"/>
  <c r="G347" i="20"/>
  <c r="CB347" i="6" s="1"/>
  <c r="AA347" i="20"/>
  <c r="Z347" i="20" s="1"/>
  <c r="Y347" i="20" s="1"/>
  <c r="G369" i="20"/>
  <c r="CB369" i="6" s="1"/>
  <c r="AA369" i="20"/>
  <c r="Z369" i="20" s="1"/>
  <c r="Y369" i="20" s="1"/>
  <c r="G253" i="20"/>
  <c r="CB253" i="6" s="1"/>
  <c r="AA253" i="20"/>
  <c r="Z253" i="20" s="1"/>
  <c r="Y253" i="20" s="1"/>
  <c r="G130" i="22"/>
  <c r="CC130" i="6" s="1"/>
  <c r="AA130" i="22"/>
  <c r="Z130" i="22" s="1"/>
  <c r="Y130" i="22" s="1"/>
  <c r="W287" i="22"/>
  <c r="D287" i="22"/>
  <c r="E287" i="22" s="1"/>
  <c r="F287" i="22" s="1"/>
  <c r="B287" i="23"/>
  <c r="G55" i="22"/>
  <c r="CC55" i="6" s="1"/>
  <c r="AA55" i="22"/>
  <c r="Z55" i="22" s="1"/>
  <c r="Y55" i="22" s="1"/>
  <c r="G83" i="22"/>
  <c r="CC83" i="6" s="1"/>
  <c r="AA83" i="22"/>
  <c r="Z83" i="22" s="1"/>
  <c r="Y83" i="22" s="1"/>
  <c r="G167" i="22"/>
  <c r="CC167" i="6" s="1"/>
  <c r="AA167" i="22"/>
  <c r="Z167" i="22" s="1"/>
  <c r="Y167" i="22" s="1"/>
  <c r="G255" i="22"/>
  <c r="CC255" i="6" s="1"/>
  <c r="AA255" i="22"/>
  <c r="Z255" i="22" s="1"/>
  <c r="Y255" i="22" s="1"/>
  <c r="W273" i="22"/>
  <c r="B273" i="23"/>
  <c r="D273" i="22"/>
  <c r="E273" i="22" s="1"/>
  <c r="F273" i="22" s="1"/>
  <c r="W361" i="22"/>
  <c r="B361" i="23"/>
  <c r="D361" i="22"/>
  <c r="E361" i="22" s="1"/>
  <c r="F361" i="22" s="1"/>
  <c r="W56" i="22"/>
  <c r="B56" i="23"/>
  <c r="D56" i="22"/>
  <c r="E56" i="22" s="1"/>
  <c r="F56" i="22" s="1"/>
  <c r="G104" i="20"/>
  <c r="CB104" i="6" s="1"/>
  <c r="AA104" i="20"/>
  <c r="Z104" i="20" s="1"/>
  <c r="Y104" i="20" s="1"/>
  <c r="G246" i="20"/>
  <c r="CB246" i="6" s="1"/>
  <c r="AA246" i="20"/>
  <c r="Z246" i="20" s="1"/>
  <c r="Y246" i="20" s="1"/>
  <c r="W268" i="22"/>
  <c r="D268" i="22"/>
  <c r="E268" i="22" s="1"/>
  <c r="F268" i="22" s="1"/>
  <c r="B268" i="23"/>
  <c r="W328" i="22"/>
  <c r="D328" i="22"/>
  <c r="E328" i="22" s="1"/>
  <c r="F328" i="22" s="1"/>
  <c r="B328" i="23"/>
  <c r="AA336" i="22"/>
  <c r="Z336" i="22" s="1"/>
  <c r="Y336" i="22" s="1"/>
  <c r="G336" i="22"/>
  <c r="CC336" i="6" s="1"/>
  <c r="G258" i="22"/>
  <c r="CC258" i="6" s="1"/>
  <c r="AA258" i="22"/>
  <c r="Z258" i="22" s="1"/>
  <c r="Y258" i="22" s="1"/>
  <c r="D71" i="22"/>
  <c r="E71" i="22" s="1"/>
  <c r="F71" i="22" s="1"/>
  <c r="B71" i="23"/>
  <c r="W71" i="22"/>
  <c r="G71" i="20"/>
  <c r="CB71" i="6" s="1"/>
  <c r="AA71" i="20"/>
  <c r="Z71" i="20" s="1"/>
  <c r="Y71" i="20" s="1"/>
  <c r="W181" i="22"/>
  <c r="B181" i="23"/>
  <c r="D181" i="22"/>
  <c r="E181" i="22" s="1"/>
  <c r="F181" i="22" s="1"/>
  <c r="W215" i="22"/>
  <c r="D215" i="22"/>
  <c r="E215" i="22" s="1"/>
  <c r="F215" i="22" s="1"/>
  <c r="B215" i="23"/>
  <c r="D285" i="23"/>
  <c r="E285" i="23" s="1"/>
  <c r="F285" i="23" s="1"/>
  <c r="B285" i="24"/>
  <c r="W285" i="23"/>
  <c r="G285" i="22"/>
  <c r="CC285" i="6" s="1"/>
  <c r="AA285" i="22"/>
  <c r="Z285" i="22" s="1"/>
  <c r="Y285" i="22" s="1"/>
  <c r="W146" i="23"/>
  <c r="D146" i="23"/>
  <c r="E146" i="23" s="1"/>
  <c r="F146" i="23" s="1"/>
  <c r="B146" i="24"/>
  <c r="G300" i="22"/>
  <c r="CC300" i="6" s="1"/>
  <c r="AA300" i="22"/>
  <c r="Z300" i="22" s="1"/>
  <c r="Y300" i="22" s="1"/>
  <c r="W39" i="23"/>
  <c r="D39" i="23"/>
  <c r="E39" i="23" s="1"/>
  <c r="F39" i="23" s="1"/>
  <c r="B39" i="24"/>
  <c r="G53" i="20"/>
  <c r="CB53" i="6" s="1"/>
  <c r="AA53" i="20"/>
  <c r="Z53" i="20" s="1"/>
  <c r="Y53" i="20" s="1"/>
  <c r="W107" i="23"/>
  <c r="D107" i="23"/>
  <c r="E107" i="23" s="1"/>
  <c r="F107" i="23" s="1"/>
  <c r="B107" i="24"/>
  <c r="W151" i="23"/>
  <c r="D151" i="23"/>
  <c r="E151" i="23" s="1"/>
  <c r="F151" i="23" s="1"/>
  <c r="B151" i="24"/>
  <c r="G269" i="22"/>
  <c r="CC269" i="6" s="1"/>
  <c r="AA269" i="22"/>
  <c r="Z269" i="22" s="1"/>
  <c r="Y269" i="22" s="1"/>
  <c r="W27" i="22"/>
  <c r="B27" i="23"/>
  <c r="D27" i="22"/>
  <c r="E27" i="22" s="1"/>
  <c r="F27" i="22" s="1"/>
  <c r="W124" i="22"/>
  <c r="B124" i="23"/>
  <c r="D124" i="22"/>
  <c r="E124" i="22" s="1"/>
  <c r="F124" i="22" s="1"/>
  <c r="W184" i="22"/>
  <c r="D184" i="22"/>
  <c r="E184" i="22" s="1"/>
  <c r="F184" i="22" s="1"/>
  <c r="B184" i="23"/>
  <c r="W256" i="22"/>
  <c r="D256" i="22"/>
  <c r="E256" i="22" s="1"/>
  <c r="F256" i="22" s="1"/>
  <c r="B256" i="23"/>
  <c r="G262" i="22"/>
  <c r="CC262" i="6" s="1"/>
  <c r="AA262" i="22"/>
  <c r="Z262" i="22" s="1"/>
  <c r="Y262" i="22" s="1"/>
  <c r="AA304" i="22"/>
  <c r="Z304" i="22" s="1"/>
  <c r="Y304" i="22" s="1"/>
  <c r="G304" i="22"/>
  <c r="CC304" i="6" s="1"/>
  <c r="W330" i="22"/>
  <c r="B330" i="23"/>
  <c r="D330" i="22"/>
  <c r="E330" i="22" s="1"/>
  <c r="F330" i="22" s="1"/>
  <c r="W364" i="22"/>
  <c r="D364" i="22"/>
  <c r="E364" i="22" s="1"/>
  <c r="F364" i="22" s="1"/>
  <c r="B364" i="23"/>
  <c r="W41" i="23"/>
  <c r="B41" i="24"/>
  <c r="D41" i="23"/>
  <c r="E41" i="23" s="1"/>
  <c r="F41" i="23" s="1"/>
  <c r="AA41" i="22"/>
  <c r="Z41" i="22" s="1"/>
  <c r="Y41" i="22" s="1"/>
  <c r="G41" i="22"/>
  <c r="CC41" i="6" s="1"/>
  <c r="G51" i="20"/>
  <c r="CB51" i="6" s="1"/>
  <c r="AA51" i="20"/>
  <c r="Z51" i="20" s="1"/>
  <c r="Y51" i="20" s="1"/>
  <c r="W91" i="23"/>
  <c r="D91" i="23"/>
  <c r="E91" i="23" s="1"/>
  <c r="F91" i="23" s="1"/>
  <c r="B91" i="24"/>
  <c r="G109" i="20"/>
  <c r="CB109" i="6" s="1"/>
  <c r="AA109" i="20"/>
  <c r="Z109" i="20" s="1"/>
  <c r="Y109" i="20" s="1"/>
  <c r="W117" i="23"/>
  <c r="D117" i="23"/>
  <c r="E117" i="23" s="1"/>
  <c r="F117" i="23" s="1"/>
  <c r="B117" i="24"/>
  <c r="W165" i="22"/>
  <c r="B165" i="23"/>
  <c r="D165" i="22"/>
  <c r="E165" i="22" s="1"/>
  <c r="F165" i="22" s="1"/>
  <c r="W279" i="22"/>
  <c r="B279" i="23"/>
  <c r="D279" i="22"/>
  <c r="E279" i="22" s="1"/>
  <c r="F279" i="22" s="1"/>
  <c r="G36" i="20"/>
  <c r="CB36" i="6" s="1"/>
  <c r="AA36" i="20"/>
  <c r="Z36" i="20" s="1"/>
  <c r="Y36" i="20" s="1"/>
  <c r="D82" i="23"/>
  <c r="E82" i="23" s="1"/>
  <c r="F82" i="23" s="1"/>
  <c r="B82" i="24"/>
  <c r="W82" i="23"/>
  <c r="G162" i="20"/>
  <c r="CB162" i="6" s="1"/>
  <c r="AA162" i="20"/>
  <c r="Z162" i="20" s="1"/>
  <c r="Y162" i="20" s="1"/>
  <c r="W198" i="22"/>
  <c r="B198" i="23"/>
  <c r="D198" i="22"/>
  <c r="E198" i="22" s="1"/>
  <c r="F198" i="22" s="1"/>
  <c r="G198" i="20"/>
  <c r="CB198" i="6" s="1"/>
  <c r="AA198" i="20"/>
  <c r="Z198" i="20" s="1"/>
  <c r="Y198" i="20" s="1"/>
  <c r="B214" i="23"/>
  <c r="W214" i="22"/>
  <c r="D214" i="22"/>
  <c r="E214" i="22" s="1"/>
  <c r="F214" i="22" s="1"/>
  <c r="G214" i="20"/>
  <c r="CB214" i="6" s="1"/>
  <c r="AA214" i="20"/>
  <c r="Z214" i="20" s="1"/>
  <c r="Y214" i="20" s="1"/>
  <c r="W264" i="22"/>
  <c r="B264" i="23"/>
  <c r="D264" i="22"/>
  <c r="E264" i="22" s="1"/>
  <c r="F264" i="22" s="1"/>
  <c r="G286" i="22"/>
  <c r="CC286" i="6" s="1"/>
  <c r="AA286" i="22"/>
  <c r="Z286" i="22" s="1"/>
  <c r="Y286" i="22" s="1"/>
  <c r="G340" i="20"/>
  <c r="CB340" i="6" s="1"/>
  <c r="AA340" i="20"/>
  <c r="Z340" i="20" s="1"/>
  <c r="Y340" i="20" s="1"/>
  <c r="W222" i="23"/>
  <c r="B222" i="24"/>
  <c r="D222" i="23"/>
  <c r="E222" i="23" s="1"/>
  <c r="F222" i="23" s="1"/>
  <c r="G90" i="20"/>
  <c r="CB90" i="6" s="1"/>
  <c r="AA90" i="20"/>
  <c r="Z90" i="20" s="1"/>
  <c r="Y90" i="20" s="1"/>
  <c r="B204" i="24"/>
  <c r="W204" i="23"/>
  <c r="D204" i="23"/>
  <c r="E204" i="23" s="1"/>
  <c r="F204" i="23" s="1"/>
  <c r="W252" i="23"/>
  <c r="B252" i="24"/>
  <c r="D252" i="23"/>
  <c r="E252" i="23" s="1"/>
  <c r="F252" i="23" s="1"/>
  <c r="D305" i="23"/>
  <c r="E305" i="23" s="1"/>
  <c r="F305" i="23" s="1"/>
  <c r="B305" i="24"/>
  <c r="W305" i="23"/>
  <c r="W157" i="22"/>
  <c r="D157" i="22"/>
  <c r="E157" i="22" s="1"/>
  <c r="F157" i="22" s="1"/>
  <c r="B157" i="23"/>
  <c r="W125" i="22"/>
  <c r="D125" i="22"/>
  <c r="E125" i="22" s="1"/>
  <c r="F125" i="22" s="1"/>
  <c r="B125" i="23"/>
  <c r="G251" i="22"/>
  <c r="CC251" i="6" s="1"/>
  <c r="AA251" i="22"/>
  <c r="Z251" i="22" s="1"/>
  <c r="Y251" i="22" s="1"/>
  <c r="W295" i="22"/>
  <c r="B295" i="23"/>
  <c r="D295" i="22"/>
  <c r="E295" i="22" s="1"/>
  <c r="F295" i="22" s="1"/>
  <c r="AA295" i="20"/>
  <c r="Z295" i="20" s="1"/>
  <c r="Y295" i="20" s="1"/>
  <c r="G295" i="20"/>
  <c r="CB295" i="6" s="1"/>
  <c r="G132" i="22"/>
  <c r="CC132" i="6" s="1"/>
  <c r="AA132" i="22"/>
  <c r="Z132" i="22" s="1"/>
  <c r="Y132" i="22" s="1"/>
  <c r="G16" i="22"/>
  <c r="CC16" i="6" s="1"/>
  <c r="AA16" i="22"/>
  <c r="Z16" i="22" s="1"/>
  <c r="Y16" i="22" s="1"/>
  <c r="W248" i="22"/>
  <c r="B248" i="23"/>
  <c r="D248" i="22"/>
  <c r="E248" i="22" s="1"/>
  <c r="F248" i="22" s="1"/>
  <c r="G248" i="20"/>
  <c r="CB248" i="6" s="1"/>
  <c r="AA248" i="20"/>
  <c r="Z248" i="20" s="1"/>
  <c r="Y248" i="20" s="1"/>
  <c r="B346" i="23"/>
  <c r="W346" i="22"/>
  <c r="D346" i="22"/>
  <c r="E346" i="22" s="1"/>
  <c r="F346" i="22" s="1"/>
  <c r="G154" i="22"/>
  <c r="CC154" i="6" s="1"/>
  <c r="AA154" i="22"/>
  <c r="Z154" i="22" s="1"/>
  <c r="Y154" i="22" s="1"/>
  <c r="D244" i="22"/>
  <c r="E244" i="22" s="1"/>
  <c r="F244" i="22" s="1"/>
  <c r="B244" i="23"/>
  <c r="W244" i="22"/>
  <c r="W37" i="22"/>
  <c r="B37" i="23"/>
  <c r="D37" i="22"/>
  <c r="E37" i="22" s="1"/>
  <c r="F37" i="22" s="1"/>
  <c r="AA63" i="22"/>
  <c r="Z63" i="22" s="1"/>
  <c r="Y63" i="22" s="1"/>
  <c r="G63" i="22"/>
  <c r="CC63" i="6" s="1"/>
  <c r="G185" i="20"/>
  <c r="CB185" i="6" s="1"/>
  <c r="AA185" i="20"/>
  <c r="Z185" i="20" s="1"/>
  <c r="Y185" i="20" s="1"/>
  <c r="G110" i="20"/>
  <c r="CB110" i="6" s="1"/>
  <c r="AA110" i="20"/>
  <c r="Z110" i="20" s="1"/>
  <c r="Y110" i="20" s="1"/>
  <c r="B140" i="23"/>
  <c r="W140" i="22"/>
  <c r="D140" i="22"/>
  <c r="E140" i="22" s="1"/>
  <c r="F140" i="22" s="1"/>
  <c r="G140" i="20"/>
  <c r="CB140" i="6" s="1"/>
  <c r="AA140" i="20"/>
  <c r="Z140" i="20" s="1"/>
  <c r="Y140" i="20" s="1"/>
  <c r="W31" i="22"/>
  <c r="B31" i="23"/>
  <c r="D31" i="22"/>
  <c r="E31" i="22" s="1"/>
  <c r="F31" i="22" s="1"/>
  <c r="D93" i="23"/>
  <c r="E93" i="23" s="1"/>
  <c r="F93" i="23" s="1"/>
  <c r="B93" i="24"/>
  <c r="W93" i="23"/>
  <c r="G145" i="20"/>
  <c r="CB145" i="6" s="1"/>
  <c r="AA145" i="20"/>
  <c r="Z145" i="20" s="1"/>
  <c r="Y145" i="20" s="1"/>
  <c r="G201" i="20"/>
  <c r="CB201" i="6" s="1"/>
  <c r="AA201" i="20"/>
  <c r="Z201" i="20" s="1"/>
  <c r="Y201" i="20" s="1"/>
  <c r="W341" i="23"/>
  <c r="D341" i="23"/>
  <c r="E341" i="23" s="1"/>
  <c r="F341" i="23" s="1"/>
  <c r="B341" i="24"/>
  <c r="W34" i="22"/>
  <c r="B34" i="23"/>
  <c r="D34" i="22"/>
  <c r="E34" i="22" s="1"/>
  <c r="F34" i="22" s="1"/>
  <c r="W96" i="22"/>
  <c r="B96" i="23"/>
  <c r="D96" i="22"/>
  <c r="E96" i="22" s="1"/>
  <c r="F96" i="22" s="1"/>
  <c r="W126" i="22"/>
  <c r="B126" i="23"/>
  <c r="D126" i="22"/>
  <c r="E126" i="22" s="1"/>
  <c r="F126" i="22" s="1"/>
  <c r="G148" i="20"/>
  <c r="CB148" i="6" s="1"/>
  <c r="AA148" i="20"/>
  <c r="Z148" i="20" s="1"/>
  <c r="Y148" i="20" s="1"/>
  <c r="D250" i="22"/>
  <c r="E250" i="22" s="1"/>
  <c r="F250" i="22" s="1"/>
  <c r="B250" i="23"/>
  <c r="W250" i="22"/>
  <c r="G250" i="20"/>
  <c r="CB250" i="6" s="1"/>
  <c r="AA250" i="20"/>
  <c r="Z250" i="20" s="1"/>
  <c r="Y250" i="20" s="1"/>
  <c r="AA372" i="20"/>
  <c r="Z372" i="20" s="1"/>
  <c r="Y372" i="20" s="1"/>
  <c r="G372" i="20"/>
  <c r="CB372" i="6" s="1"/>
  <c r="G143" i="20"/>
  <c r="CB143" i="6" s="1"/>
  <c r="AA143" i="20"/>
  <c r="Z143" i="20" s="1"/>
  <c r="Y143" i="20" s="1"/>
  <c r="AA223" i="20"/>
  <c r="Z223" i="20" s="1"/>
  <c r="Y223" i="20" s="1"/>
  <c r="G223" i="20"/>
  <c r="CB223" i="6" s="1"/>
  <c r="W307" i="22"/>
  <c r="D307" i="22"/>
  <c r="E307" i="22" s="1"/>
  <c r="F307" i="22" s="1"/>
  <c r="B307" i="23"/>
  <c r="B357" i="23"/>
  <c r="W357" i="22"/>
  <c r="D357" i="22"/>
  <c r="E357" i="22" s="1"/>
  <c r="F357" i="22" s="1"/>
  <c r="G373" i="20"/>
  <c r="CB373" i="6" s="1"/>
  <c r="AA373" i="20"/>
  <c r="Z373" i="20" s="1"/>
  <c r="Y373" i="20" s="1"/>
  <c r="W48" i="22"/>
  <c r="D48" i="22"/>
  <c r="E48" i="22" s="1"/>
  <c r="F48" i="22" s="1"/>
  <c r="B48" i="23"/>
  <c r="G122" i="22"/>
  <c r="CC122" i="6" s="1"/>
  <c r="AA122" i="22"/>
  <c r="Z122" i="22" s="1"/>
  <c r="Y122" i="22" s="1"/>
  <c r="W160" i="22"/>
  <c r="D160" i="22"/>
  <c r="E160" i="22" s="1"/>
  <c r="F160" i="22" s="1"/>
  <c r="B160" i="23"/>
  <c r="W238" i="23"/>
  <c r="D238" i="23"/>
  <c r="E238" i="23" s="1"/>
  <c r="F238" i="23" s="1"/>
  <c r="B238" i="24"/>
  <c r="G266" i="20"/>
  <c r="CB266" i="6" s="1"/>
  <c r="AA266" i="20"/>
  <c r="Z266" i="20" s="1"/>
  <c r="Y266" i="20" s="1"/>
  <c r="G322" i="20"/>
  <c r="CB322" i="6" s="1"/>
  <c r="AA322" i="20"/>
  <c r="Z322" i="20" s="1"/>
  <c r="Y322" i="20" s="1"/>
  <c r="W350" i="22"/>
  <c r="D350" i="22"/>
  <c r="E350" i="22" s="1"/>
  <c r="F350" i="22" s="1"/>
  <c r="B350" i="23"/>
  <c r="G350" i="20"/>
  <c r="CB350" i="6" s="1"/>
  <c r="AA350" i="20"/>
  <c r="Z350" i="20" s="1"/>
  <c r="Y350" i="20" s="1"/>
  <c r="G360" i="22"/>
  <c r="CC360" i="6" s="1"/>
  <c r="AA360" i="22"/>
  <c r="Z360" i="22" s="1"/>
  <c r="Y360" i="22" s="1"/>
  <c r="G85" i="20"/>
  <c r="CB85" i="6" s="1"/>
  <c r="AA85" i="20"/>
  <c r="Z85" i="20" s="1"/>
  <c r="Y85" i="20" s="1"/>
  <c r="W113" i="23"/>
  <c r="B113" i="24"/>
  <c r="D113" i="23"/>
  <c r="E113" i="23" s="1"/>
  <c r="F113" i="23" s="1"/>
  <c r="G217" i="22"/>
  <c r="CC217" i="6" s="1"/>
  <c r="AA217" i="22"/>
  <c r="Z217" i="22" s="1"/>
  <c r="Y217" i="22" s="1"/>
  <c r="B239" i="23"/>
  <c r="W239" i="22"/>
  <c r="D239" i="22"/>
  <c r="E239" i="22" s="1"/>
  <c r="F239" i="22" s="1"/>
  <c r="D315" i="22"/>
  <c r="E315" i="22" s="1"/>
  <c r="F315" i="22" s="1"/>
  <c r="B315" i="23"/>
  <c r="W315" i="22"/>
  <c r="G315" i="20"/>
  <c r="CB315" i="6" s="1"/>
  <c r="AA315" i="20"/>
  <c r="Z315" i="20" s="1"/>
  <c r="Y315" i="20" s="1"/>
  <c r="D343" i="23"/>
  <c r="E343" i="23" s="1"/>
  <c r="F343" i="23" s="1"/>
  <c r="B343" i="24"/>
  <c r="W343" i="23"/>
  <c r="W40" i="23"/>
  <c r="D40" i="23"/>
  <c r="E40" i="23" s="1"/>
  <c r="F40" i="23" s="1"/>
  <c r="B40" i="24"/>
  <c r="G72" i="20"/>
  <c r="CB72" i="6" s="1"/>
  <c r="AA72" i="20"/>
  <c r="Z72" i="20" s="1"/>
  <c r="Y72" i="20" s="1"/>
  <c r="W200" i="23"/>
  <c r="D200" i="23"/>
  <c r="E200" i="23" s="1"/>
  <c r="F200" i="23" s="1"/>
  <c r="B200" i="24"/>
  <c r="G240" i="20"/>
  <c r="CB240" i="6" s="1"/>
  <c r="AA240" i="20"/>
  <c r="Z240" i="20" s="1"/>
  <c r="Y240" i="20" s="1"/>
  <c r="AA314" i="20"/>
  <c r="Z314" i="20" s="1"/>
  <c r="Y314" i="20" s="1"/>
  <c r="G314" i="20"/>
  <c r="CB314" i="6" s="1"/>
  <c r="W342" i="23"/>
  <c r="D342" i="23"/>
  <c r="E342" i="23" s="1"/>
  <c r="F342" i="23" s="1"/>
  <c r="B342" i="24"/>
  <c r="G289" i="20"/>
  <c r="CB289" i="6" s="1"/>
  <c r="AA289" i="20"/>
  <c r="Z289" i="20" s="1"/>
  <c r="Y289" i="20" s="1"/>
  <c r="W207" i="23"/>
  <c r="B207" i="24"/>
  <c r="D207" i="23"/>
  <c r="E207" i="23" s="1"/>
  <c r="F207" i="23" s="1"/>
  <c r="W98" i="22"/>
  <c r="B98" i="23"/>
  <c r="D98" i="22"/>
  <c r="E98" i="22" s="1"/>
  <c r="F98" i="22" s="1"/>
  <c r="G98" i="20"/>
  <c r="CB98" i="6" s="1"/>
  <c r="AA98" i="20"/>
  <c r="Z98" i="20" s="1"/>
  <c r="Y98" i="20" s="1"/>
  <c r="W163" i="22"/>
  <c r="B163" i="23"/>
  <c r="D163" i="22"/>
  <c r="E163" i="22" s="1"/>
  <c r="F163" i="22" s="1"/>
  <c r="W321" i="22"/>
  <c r="B321" i="23"/>
  <c r="D321" i="22"/>
  <c r="E321" i="22" s="1"/>
  <c r="F321" i="22" s="1"/>
  <c r="W332" i="22"/>
  <c r="D332" i="22"/>
  <c r="E332" i="22" s="1"/>
  <c r="F332" i="22" s="1"/>
  <c r="B332" i="23"/>
  <c r="W81" i="22"/>
  <c r="B81" i="23"/>
  <c r="D81" i="22"/>
  <c r="E81" i="22" s="1"/>
  <c r="F81" i="22" s="1"/>
  <c r="J76" i="18"/>
  <c r="I76" i="18"/>
  <c r="BA76" i="6" s="1"/>
  <c r="D76" i="6" s="1"/>
  <c r="G174" i="22"/>
  <c r="CC174" i="6" s="1"/>
  <c r="AA174" i="22"/>
  <c r="Z174" i="22" s="1"/>
  <c r="Y174" i="22" s="1"/>
  <c r="J204" i="18"/>
  <c r="I204" i="18"/>
  <c r="I197" i="18"/>
  <c r="J197" i="18"/>
  <c r="G177" i="22"/>
  <c r="CC177" i="6" s="1"/>
  <c r="AA177" i="22"/>
  <c r="Z177" i="22" s="1"/>
  <c r="Y177" i="22" s="1"/>
  <c r="W135" i="22"/>
  <c r="D135" i="22"/>
  <c r="E135" i="22" s="1"/>
  <c r="F135" i="22" s="1"/>
  <c r="B135" i="23"/>
  <c r="W210" i="22"/>
  <c r="D210" i="22"/>
  <c r="E210" i="22" s="1"/>
  <c r="F210" i="22" s="1"/>
  <c r="B210" i="23"/>
  <c r="B161" i="23"/>
  <c r="W161" i="22"/>
  <c r="D161" i="22"/>
  <c r="E161" i="22" s="1"/>
  <c r="F161" i="22" s="1"/>
  <c r="G77" i="20"/>
  <c r="CB77" i="6" s="1"/>
  <c r="AA77" i="20"/>
  <c r="Z77" i="20" s="1"/>
  <c r="Y77" i="20" s="1"/>
  <c r="W159" i="22"/>
  <c r="D159" i="22"/>
  <c r="E159" i="22" s="1"/>
  <c r="F159" i="22" s="1"/>
  <c r="B159" i="23"/>
  <c r="G159" i="20"/>
  <c r="CB159" i="6" s="1"/>
  <c r="AA159" i="20"/>
  <c r="Z159" i="20" s="1"/>
  <c r="Y159" i="20" s="1"/>
  <c r="D247" i="23"/>
  <c r="E247" i="23" s="1"/>
  <c r="F247" i="23" s="1"/>
  <c r="B247" i="24"/>
  <c r="W247" i="23"/>
  <c r="AA263" i="20"/>
  <c r="Z263" i="20" s="1"/>
  <c r="Y263" i="20" s="1"/>
  <c r="G263" i="20"/>
  <c r="CB263" i="6" s="1"/>
  <c r="W281" i="23"/>
  <c r="B281" i="24"/>
  <c r="D281" i="23"/>
  <c r="E281" i="23" s="1"/>
  <c r="F281" i="23" s="1"/>
  <c r="G60" i="20"/>
  <c r="CB60" i="6" s="1"/>
  <c r="AA60" i="20"/>
  <c r="Z60" i="20" s="1"/>
  <c r="Y60" i="20" s="1"/>
  <c r="W149" i="23"/>
  <c r="D149" i="23"/>
  <c r="E149" i="23" s="1"/>
  <c r="F149" i="23" s="1"/>
  <c r="B149" i="24"/>
  <c r="G365" i="20"/>
  <c r="CB365" i="6" s="1"/>
  <c r="AA365" i="20"/>
  <c r="Z365" i="20" s="1"/>
  <c r="Y365" i="20" s="1"/>
  <c r="G298" i="22"/>
  <c r="CC298" i="6" s="1"/>
  <c r="AA298" i="22"/>
  <c r="Z298" i="22" s="1"/>
  <c r="Y298" i="22" s="1"/>
  <c r="G46" i="20"/>
  <c r="CB46" i="6" s="1"/>
  <c r="AA46" i="20"/>
  <c r="Z46" i="20" s="1"/>
  <c r="Y46" i="20" s="1"/>
  <c r="W349" i="22"/>
  <c r="B349" i="23"/>
  <c r="D349" i="22"/>
  <c r="E349" i="22" s="1"/>
  <c r="F349" i="22" s="1"/>
  <c r="G349" i="20"/>
  <c r="CB349" i="6" s="1"/>
  <c r="AA349" i="20"/>
  <c r="Z349" i="20" s="1"/>
  <c r="Y349" i="20" s="1"/>
  <c r="G319" i="22"/>
  <c r="CC319" i="6" s="1"/>
  <c r="AA319" i="22"/>
  <c r="Z319" i="22" s="1"/>
  <c r="Y319" i="22" s="1"/>
  <c r="W17" i="23"/>
  <c r="D17" i="23"/>
  <c r="E17" i="23" s="1"/>
  <c r="F17" i="23" s="1"/>
  <c r="B17" i="24"/>
  <c r="G17" i="22"/>
  <c r="CC17" i="6" s="1"/>
  <c r="AA17" i="22"/>
  <c r="Z17" i="22" s="1"/>
  <c r="Y17" i="22" s="1"/>
  <c r="G261" i="20"/>
  <c r="CB261" i="6" s="1"/>
  <c r="AA261" i="20"/>
  <c r="Z261" i="20" s="1"/>
  <c r="Y261" i="20" s="1"/>
  <c r="D111" i="23"/>
  <c r="E111" i="23" s="1"/>
  <c r="F111" i="23" s="1"/>
  <c r="B111" i="24"/>
  <c r="W111" i="23"/>
  <c r="G111" i="22"/>
  <c r="CC111" i="6" s="1"/>
  <c r="AA111" i="22"/>
  <c r="Z111" i="22" s="1"/>
  <c r="Y111" i="22" s="1"/>
  <c r="G171" i="20"/>
  <c r="CB171" i="6" s="1"/>
  <c r="AA171" i="20"/>
  <c r="Z171" i="20" s="1"/>
  <c r="Y171" i="20" s="1"/>
  <c r="W194" i="22"/>
  <c r="B194" i="23"/>
  <c r="D194" i="22"/>
  <c r="E194" i="22" s="1"/>
  <c r="F194" i="22" s="1"/>
  <c r="W302" i="23"/>
  <c r="B302" i="24"/>
  <c r="D302" i="23"/>
  <c r="E302" i="23" s="1"/>
  <c r="F302" i="23" s="1"/>
  <c r="D175" i="23"/>
  <c r="E175" i="23" s="1"/>
  <c r="F175" i="23" s="1"/>
  <c r="B175" i="24"/>
  <c r="W175" i="23"/>
  <c r="W61" i="22"/>
  <c r="B61" i="23"/>
  <c r="D61" i="22"/>
  <c r="E61" i="22" s="1"/>
  <c r="F61" i="22" s="1"/>
  <c r="G61" i="20"/>
  <c r="CB61" i="6" s="1"/>
  <c r="AA61" i="20"/>
  <c r="Z61" i="20" s="1"/>
  <c r="Y61" i="20" s="1"/>
  <c r="W89" i="22"/>
  <c r="B89" i="23"/>
  <c r="D89" i="22"/>
  <c r="E89" i="22" s="1"/>
  <c r="F89" i="22" s="1"/>
  <c r="G89" i="20"/>
  <c r="CB89" i="6" s="1"/>
  <c r="AA89" i="20"/>
  <c r="Z89" i="20" s="1"/>
  <c r="Y89" i="20" s="1"/>
  <c r="B127" i="23"/>
  <c r="W127" i="22"/>
  <c r="D127" i="22"/>
  <c r="E127" i="22" s="1"/>
  <c r="F127" i="22" s="1"/>
  <c r="W173" i="22"/>
  <c r="B173" i="23"/>
  <c r="D173" i="22"/>
  <c r="E173" i="22" s="1"/>
  <c r="F173" i="22" s="1"/>
  <c r="W219" i="22"/>
  <c r="D219" i="22"/>
  <c r="E219" i="22" s="1"/>
  <c r="F219" i="22" s="1"/>
  <c r="B219" i="23"/>
  <c r="G323" i="22"/>
  <c r="CC323" i="6" s="1"/>
  <c r="AA323" i="22"/>
  <c r="Z323" i="22" s="1"/>
  <c r="Y323" i="22" s="1"/>
  <c r="G50" i="22"/>
  <c r="CC50" i="6" s="1"/>
  <c r="AA50" i="22"/>
  <c r="Z50" i="22" s="1"/>
  <c r="Y50" i="22" s="1"/>
  <c r="W118" i="23"/>
  <c r="D118" i="23"/>
  <c r="E118" i="23" s="1"/>
  <c r="F118" i="23" s="1"/>
  <c r="B118" i="24"/>
  <c r="G128" i="20"/>
  <c r="CB128" i="6" s="1"/>
  <c r="AA128" i="20"/>
  <c r="Z128" i="20" s="1"/>
  <c r="Y128" i="20" s="1"/>
  <c r="G176" i="20"/>
  <c r="CB176" i="6" s="1"/>
  <c r="AA176" i="20"/>
  <c r="Z176" i="20" s="1"/>
  <c r="Y176" i="20" s="1"/>
  <c r="W230" i="23"/>
  <c r="D230" i="23"/>
  <c r="E230" i="23" s="1"/>
  <c r="F230" i="23" s="1"/>
  <c r="B230" i="24"/>
  <c r="G270" i="22"/>
  <c r="CC270" i="6" s="1"/>
  <c r="AA270" i="22"/>
  <c r="Z270" i="22" s="1"/>
  <c r="Y270" i="22" s="1"/>
  <c r="W282" i="22"/>
  <c r="B282" i="23"/>
  <c r="D282" i="22"/>
  <c r="E282" i="22" s="1"/>
  <c r="F282" i="22" s="1"/>
  <c r="G21" i="20"/>
  <c r="CB21" i="6" s="1"/>
  <c r="AA21" i="20"/>
  <c r="Z21" i="20" s="1"/>
  <c r="Y21" i="20" s="1"/>
  <c r="W45" i="22"/>
  <c r="D45" i="22"/>
  <c r="E45" i="22" s="1"/>
  <c r="F45" i="22" s="1"/>
  <c r="B45" i="23"/>
  <c r="AA47" i="22"/>
  <c r="Z47" i="22" s="1"/>
  <c r="Y47" i="22" s="1"/>
  <c r="G47" i="22"/>
  <c r="CC47" i="6" s="1"/>
  <c r="W123" i="22"/>
  <c r="B123" i="23"/>
  <c r="D123" i="22"/>
  <c r="E123" i="22" s="1"/>
  <c r="F123" i="22" s="1"/>
  <c r="G131" i="22"/>
  <c r="CC131" i="6" s="1"/>
  <c r="AA131" i="22"/>
  <c r="Z131" i="22" s="1"/>
  <c r="Y131" i="22" s="1"/>
  <c r="G195" i="22"/>
  <c r="CC195" i="6" s="1"/>
  <c r="AA195" i="22"/>
  <c r="Z195" i="22" s="1"/>
  <c r="Y195" i="22" s="1"/>
  <c r="W233" i="22"/>
  <c r="D233" i="22"/>
  <c r="E233" i="22" s="1"/>
  <c r="F233" i="22" s="1"/>
  <c r="B233" i="23"/>
  <c r="G112" i="20"/>
  <c r="CB112" i="6" s="1"/>
  <c r="AA112" i="20"/>
  <c r="Z112" i="20" s="1"/>
  <c r="Y112" i="20" s="1"/>
  <c r="W120" i="23"/>
  <c r="D120" i="23"/>
  <c r="E120" i="23" s="1"/>
  <c r="F120" i="23" s="1"/>
  <c r="B120" i="24"/>
  <c r="G144" i="20"/>
  <c r="CB144" i="6" s="1"/>
  <c r="AA144" i="20"/>
  <c r="Z144" i="20" s="1"/>
  <c r="Y144" i="20" s="1"/>
  <c r="G188" i="20"/>
  <c r="CB188" i="6" s="1"/>
  <c r="AA188" i="20"/>
  <c r="Z188" i="20" s="1"/>
  <c r="Y188" i="20" s="1"/>
  <c r="G218" i="20"/>
  <c r="CB218" i="6" s="1"/>
  <c r="AA218" i="20"/>
  <c r="Z218" i="20" s="1"/>
  <c r="Y218" i="20" s="1"/>
  <c r="B296" i="23"/>
  <c r="W296" i="22"/>
  <c r="D296" i="22"/>
  <c r="E296" i="22" s="1"/>
  <c r="F296" i="22" s="1"/>
  <c r="G169" i="20"/>
  <c r="CB169" i="6" s="1"/>
  <c r="AA169" i="20"/>
  <c r="Z169" i="20" s="1"/>
  <c r="Y169" i="20" s="1"/>
  <c r="AA203" i="20"/>
  <c r="Z203" i="20" s="1"/>
  <c r="Y203" i="20" s="1"/>
  <c r="G203" i="20"/>
  <c r="CB203" i="6" s="1"/>
  <c r="G245" i="20"/>
  <c r="CB245" i="6" s="1"/>
  <c r="AA245" i="20"/>
  <c r="Z245" i="20" s="1"/>
  <c r="Y245" i="20" s="1"/>
  <c r="D277" i="22"/>
  <c r="E277" i="22" s="1"/>
  <c r="F277" i="22" s="1"/>
  <c r="B277" i="23"/>
  <c r="W277" i="22"/>
  <c r="G313" i="22"/>
  <c r="CC313" i="6" s="1"/>
  <c r="AA313" i="22"/>
  <c r="Z313" i="22" s="1"/>
  <c r="Y313" i="22" s="1"/>
  <c r="D325" i="22"/>
  <c r="E325" i="22" s="1"/>
  <c r="F325" i="22" s="1"/>
  <c r="B325" i="23"/>
  <c r="W325" i="22"/>
  <c r="G325" i="20"/>
  <c r="CB325" i="6" s="1"/>
  <c r="AA325" i="20"/>
  <c r="Z325" i="20" s="1"/>
  <c r="Y325" i="20" s="1"/>
  <c r="B375" i="24"/>
  <c r="W375" i="23"/>
  <c r="D375" i="23"/>
  <c r="E375" i="23" s="1"/>
  <c r="F375" i="23" s="1"/>
  <c r="G138" i="22"/>
  <c r="CC138" i="6" s="1"/>
  <c r="AA138" i="22"/>
  <c r="Z138" i="22" s="1"/>
  <c r="Y138" i="22" s="1"/>
  <c r="G202" i="22"/>
  <c r="CC202" i="6" s="1"/>
  <c r="AA202" i="22"/>
  <c r="Z202" i="22" s="1"/>
  <c r="Y202" i="22" s="1"/>
  <c r="B292" i="23"/>
  <c r="W292" i="22"/>
  <c r="D292" i="22"/>
  <c r="E292" i="22" s="1"/>
  <c r="F292" i="22" s="1"/>
  <c r="G344" i="22"/>
  <c r="CC344" i="6" s="1"/>
  <c r="AA344" i="22"/>
  <c r="Z344" i="22" s="1"/>
  <c r="Y344" i="22" s="1"/>
  <c r="G370" i="22"/>
  <c r="CC370" i="6" s="1"/>
  <c r="AA370" i="22"/>
  <c r="Z370" i="22" s="1"/>
  <c r="Y370" i="22" s="1"/>
  <c r="B26" i="24"/>
  <c r="W26" i="23"/>
  <c r="D26" i="23"/>
  <c r="E26" i="23" s="1"/>
  <c r="F26" i="23" s="1"/>
  <c r="G25" i="20"/>
  <c r="CB25" i="6" s="1"/>
  <c r="AA25" i="20"/>
  <c r="Z25" i="20" s="1"/>
  <c r="Y25" i="20" s="1"/>
  <c r="G121" i="20"/>
  <c r="CB121" i="6" s="1"/>
  <c r="AA121" i="20"/>
  <c r="Z121" i="20" s="1"/>
  <c r="Y121" i="20" s="1"/>
  <c r="G199" i="22"/>
  <c r="CC199" i="6" s="1"/>
  <c r="AA199" i="22"/>
  <c r="Z199" i="22" s="1"/>
  <c r="Y199" i="22" s="1"/>
  <c r="W225" i="22"/>
  <c r="B225" i="23"/>
  <c r="D225" i="22"/>
  <c r="E225" i="22" s="1"/>
  <c r="F225" i="22" s="1"/>
  <c r="G355" i="20"/>
  <c r="CB355" i="6" s="1"/>
  <c r="AA355" i="20"/>
  <c r="Z355" i="20" s="1"/>
  <c r="Y355" i="20" s="1"/>
  <c r="AA102" i="20"/>
  <c r="Z102" i="20" s="1"/>
  <c r="Y102" i="20" s="1"/>
  <c r="G102" i="20"/>
  <c r="CB102" i="6" s="1"/>
  <c r="W158" i="23"/>
  <c r="B158" i="24"/>
  <c r="D158" i="23"/>
  <c r="E158" i="23" s="1"/>
  <c r="F158" i="23" s="1"/>
  <c r="AA186" i="20"/>
  <c r="Z186" i="20" s="1"/>
  <c r="Y186" i="20" s="1"/>
  <c r="G186" i="20"/>
  <c r="CB186" i="6" s="1"/>
  <c r="G242" i="22"/>
  <c r="CC242" i="6" s="1"/>
  <c r="AA242" i="22"/>
  <c r="Z242" i="22" s="1"/>
  <c r="Y242" i="22" s="1"/>
  <c r="J264" i="18"/>
  <c r="I264" i="18"/>
  <c r="BA264" i="6" s="1"/>
  <c r="D264" i="6" s="1"/>
  <c r="W290" i="22"/>
  <c r="B290" i="23"/>
  <c r="D290" i="22"/>
  <c r="E290" i="22" s="1"/>
  <c r="F290" i="22" s="1"/>
  <c r="G358" i="22"/>
  <c r="CC358" i="6" s="1"/>
  <c r="AA358" i="22"/>
  <c r="Z358" i="22" s="1"/>
  <c r="Y358" i="22" s="1"/>
  <c r="W362" i="22"/>
  <c r="D362" i="22"/>
  <c r="E362" i="22" s="1"/>
  <c r="F362" i="22" s="1"/>
  <c r="B362" i="23"/>
  <c r="G378" i="20"/>
  <c r="CB378" i="6" s="1"/>
  <c r="AA378" i="20"/>
  <c r="Z378" i="20" s="1"/>
  <c r="Y378" i="20" s="1"/>
  <c r="G310" i="20"/>
  <c r="CB310" i="6" s="1"/>
  <c r="AA310" i="20"/>
  <c r="Z310" i="20" s="1"/>
  <c r="Y310" i="20" s="1"/>
  <c r="G311" i="20"/>
  <c r="CB311" i="6" s="1"/>
  <c r="AA311" i="20"/>
  <c r="Z311" i="20" s="1"/>
  <c r="Y311" i="20" s="1"/>
  <c r="W374" i="22"/>
  <c r="D374" i="22"/>
  <c r="E374" i="22" s="1"/>
  <c r="F374" i="22" s="1"/>
  <c r="B374" i="23"/>
  <c r="G52" i="22"/>
  <c r="CC52" i="6" s="1"/>
  <c r="AA52" i="22"/>
  <c r="Z52" i="22" s="1"/>
  <c r="Y52" i="22" s="1"/>
  <c r="G103" i="22"/>
  <c r="CC103" i="6" s="1"/>
  <c r="AA103" i="22"/>
  <c r="Z103" i="22" s="1"/>
  <c r="Y103" i="22" s="1"/>
  <c r="G235" i="22"/>
  <c r="CC235" i="6" s="1"/>
  <c r="AA235" i="22"/>
  <c r="Z235" i="22" s="1"/>
  <c r="Y235" i="22" s="1"/>
  <c r="W309" i="22"/>
  <c r="B309" i="23"/>
  <c r="D309" i="22"/>
  <c r="E309" i="22" s="1"/>
  <c r="F309" i="22" s="1"/>
  <c r="W62" i="22"/>
  <c r="D62" i="22"/>
  <c r="E62" i="22" s="1"/>
  <c r="F62" i="22" s="1"/>
  <c r="B62" i="23"/>
  <c r="G62" i="20"/>
  <c r="CB62" i="6" s="1"/>
  <c r="AA62" i="20"/>
  <c r="Z62" i="20" s="1"/>
  <c r="Y62" i="20" s="1"/>
  <c r="W232" i="22"/>
  <c r="D232" i="22"/>
  <c r="E232" i="22" s="1"/>
  <c r="F232" i="22" s="1"/>
  <c r="B232" i="23"/>
  <c r="G119" i="20"/>
  <c r="CB119" i="6" s="1"/>
  <c r="AA119" i="20"/>
  <c r="Z119" i="20" s="1"/>
  <c r="Y119" i="20" s="1"/>
  <c r="G196" i="20"/>
  <c r="CB196" i="6" s="1"/>
  <c r="AA196" i="20"/>
  <c r="Z196" i="20" s="1"/>
  <c r="Y196" i="20" s="1"/>
  <c r="B105" i="24"/>
  <c r="W105" i="23"/>
  <c r="D105" i="23"/>
  <c r="E105" i="23" s="1"/>
  <c r="F105" i="23" s="1"/>
  <c r="G67" i="20"/>
  <c r="CB67" i="6" s="1"/>
  <c r="AA67" i="20"/>
  <c r="Z67" i="20" s="1"/>
  <c r="Y67" i="20" s="1"/>
  <c r="B166" i="24"/>
  <c r="W166" i="23"/>
  <c r="D166" i="23"/>
  <c r="E166" i="23" s="1"/>
  <c r="F166" i="23" s="1"/>
  <c r="G216" i="22"/>
  <c r="CC216" i="6" s="1"/>
  <c r="AA216" i="22"/>
  <c r="Z216" i="22" s="1"/>
  <c r="Y216" i="22" s="1"/>
  <c r="AA272" i="20"/>
  <c r="Z272" i="20" s="1"/>
  <c r="Y272" i="20" s="1"/>
  <c r="G272" i="20"/>
  <c r="CB272" i="6" s="1"/>
  <c r="W368" i="23"/>
  <c r="D368" i="23"/>
  <c r="E368" i="23" s="1"/>
  <c r="F368" i="23" s="1"/>
  <c r="B368" i="24"/>
  <c r="W189" i="23"/>
  <c r="D189" i="23"/>
  <c r="E189" i="23" s="1"/>
  <c r="F189" i="23" s="1"/>
  <c r="B189" i="24"/>
  <c r="G241" i="22"/>
  <c r="CC241" i="6" s="1"/>
  <c r="AA241" i="22"/>
  <c r="Z241" i="22" s="1"/>
  <c r="Y241" i="22" s="1"/>
  <c r="G88" i="20"/>
  <c r="CB88" i="6" s="1"/>
  <c r="AA88" i="20"/>
  <c r="Z88" i="20" s="1"/>
  <c r="Y88" i="20" s="1"/>
  <c r="W249" i="22"/>
  <c r="B249" i="23"/>
  <c r="D249" i="22"/>
  <c r="E249" i="22" s="1"/>
  <c r="F249" i="22" s="1"/>
  <c r="G317" i="20"/>
  <c r="CB317" i="6" s="1"/>
  <c r="AA317" i="20"/>
  <c r="Z317" i="20" s="1"/>
  <c r="Y317" i="20" s="1"/>
  <c r="W42" i="22"/>
  <c r="B42" i="23"/>
  <c r="D42" i="22"/>
  <c r="E42" i="22" s="1"/>
  <c r="F42" i="22" s="1"/>
  <c r="G220" i="20"/>
  <c r="CB220" i="6" s="1"/>
  <c r="AA220" i="20"/>
  <c r="Z220" i="20" s="1"/>
  <c r="Y220" i="20" s="1"/>
  <c r="D254" i="22"/>
  <c r="E254" i="22" s="1"/>
  <c r="F254" i="22" s="1"/>
  <c r="B254" i="23"/>
  <c r="W254" i="22"/>
  <c r="G260" i="22"/>
  <c r="CC260" i="6" s="1"/>
  <c r="AA260" i="22"/>
  <c r="Z260" i="22" s="1"/>
  <c r="Y260" i="22" s="1"/>
  <c r="W276" i="23"/>
  <c r="D276" i="23"/>
  <c r="E276" i="23" s="1"/>
  <c r="F276" i="23" s="1"/>
  <c r="B276" i="24"/>
  <c r="G320" i="22"/>
  <c r="CC320" i="6" s="1"/>
  <c r="AA320" i="22"/>
  <c r="Z320" i="22" s="1"/>
  <c r="Y320" i="22" s="1"/>
  <c r="W49" i="22"/>
  <c r="D49" i="22"/>
  <c r="E49" i="22" s="1"/>
  <c r="F49" i="22" s="1"/>
  <c r="B49" i="23"/>
  <c r="AA87" i="20"/>
  <c r="Z87" i="20" s="1"/>
  <c r="Y87" i="20" s="1"/>
  <c r="G87" i="20"/>
  <c r="CB87" i="6" s="1"/>
  <c r="W147" i="23"/>
  <c r="B147" i="24"/>
  <c r="D147" i="23"/>
  <c r="E147" i="23" s="1"/>
  <c r="F147" i="23" s="1"/>
  <c r="W209" i="23"/>
  <c r="D209" i="23"/>
  <c r="E209" i="23" s="1"/>
  <c r="F209" i="23" s="1"/>
  <c r="B209" i="24"/>
  <c r="B291" i="23"/>
  <c r="W291" i="22"/>
  <c r="D291" i="22"/>
  <c r="E291" i="22" s="1"/>
  <c r="F291" i="22" s="1"/>
  <c r="W339" i="22"/>
  <c r="B339" i="23"/>
  <c r="D339" i="22"/>
  <c r="E339" i="22" s="1"/>
  <c r="F339" i="22" s="1"/>
  <c r="AA371" i="20"/>
  <c r="Z371" i="20" s="1"/>
  <c r="Y371" i="20" s="1"/>
  <c r="G371" i="20"/>
  <c r="CB371" i="6" s="1"/>
  <c r="G80" i="22"/>
  <c r="CC80" i="6" s="1"/>
  <c r="AA80" i="22"/>
  <c r="Z80" i="22" s="1"/>
  <c r="Y80" i="22" s="1"/>
  <c r="W142" i="23"/>
  <c r="B142" i="24"/>
  <c r="D142" i="23"/>
  <c r="E142" i="23" s="1"/>
  <c r="F142" i="23" s="1"/>
  <c r="G294" i="22"/>
  <c r="CC294" i="6" s="1"/>
  <c r="AA294" i="22"/>
  <c r="Z294" i="22" s="1"/>
  <c r="Y294" i="22" s="1"/>
  <c r="B141" i="24"/>
  <c r="W141" i="23"/>
  <c r="D141" i="23"/>
  <c r="E141" i="23" s="1"/>
  <c r="F141" i="23" s="1"/>
  <c r="G191" i="20"/>
  <c r="CB191" i="6" s="1"/>
  <c r="AA191" i="20"/>
  <c r="Z191" i="20" s="1"/>
  <c r="Y191" i="20" s="1"/>
  <c r="AA257" i="22"/>
  <c r="Z257" i="22" s="1"/>
  <c r="Y257" i="22" s="1"/>
  <c r="G257" i="22"/>
  <c r="CC257" i="6" s="1"/>
  <c r="W267" i="22"/>
  <c r="D267" i="22"/>
  <c r="E267" i="22" s="1"/>
  <c r="F267" i="22" s="1"/>
  <c r="B267" i="23"/>
  <c r="G301" i="22"/>
  <c r="CC301" i="6" s="1"/>
  <c r="AA301" i="22"/>
  <c r="Z301" i="22" s="1"/>
  <c r="Y301" i="22" s="1"/>
  <c r="G337" i="22"/>
  <c r="CC337" i="6" s="1"/>
  <c r="W20" i="22"/>
  <c r="B20" i="23"/>
  <c r="D20" i="22"/>
  <c r="E20" i="22" s="1"/>
  <c r="F20" i="22" s="1"/>
  <c r="D172" i="23"/>
  <c r="E172" i="23" s="1"/>
  <c r="F172" i="23" s="1"/>
  <c r="B172" i="24"/>
  <c r="W172" i="23"/>
  <c r="G234" i="20"/>
  <c r="CB234" i="6" s="1"/>
  <c r="AA234" i="20"/>
  <c r="Z234" i="20" s="1"/>
  <c r="Y234" i="20" s="1"/>
  <c r="W280" i="23"/>
  <c r="B280" i="24"/>
  <c r="D280" i="23"/>
  <c r="E280" i="23" s="1"/>
  <c r="F280" i="23" s="1"/>
  <c r="B57" i="24"/>
  <c r="W57" i="23"/>
  <c r="D57" i="23"/>
  <c r="E57" i="23" s="1"/>
  <c r="F57" i="23" s="1"/>
  <c r="G115" i="20"/>
  <c r="CB115" i="6" s="1"/>
  <c r="AA115" i="20"/>
  <c r="Z115" i="20" s="1"/>
  <c r="Y115" i="20" s="1"/>
  <c r="G133" i="20"/>
  <c r="CB133" i="6" s="1"/>
  <c r="AA133" i="20"/>
  <c r="Z133" i="20" s="1"/>
  <c r="Y133" i="20" s="1"/>
  <c r="W213" i="22"/>
  <c r="B213" i="23"/>
  <c r="D213" i="22"/>
  <c r="E213" i="22" s="1"/>
  <c r="F213" i="22" s="1"/>
  <c r="G243" i="22"/>
  <c r="CC243" i="6" s="1"/>
  <c r="AA243" i="22"/>
  <c r="Z243" i="22" s="1"/>
  <c r="Y243" i="22" s="1"/>
  <c r="G329" i="22"/>
  <c r="CC329" i="6" s="1"/>
  <c r="AA329" i="22"/>
  <c r="Z329" i="22" s="1"/>
  <c r="Y329" i="22" s="1"/>
  <c r="G345" i="20"/>
  <c r="CB345" i="6" s="1"/>
  <c r="AA345" i="20"/>
  <c r="Z345" i="20" s="1"/>
  <c r="Y345" i="20" s="1"/>
  <c r="G24" i="20"/>
  <c r="CB24" i="6" s="1"/>
  <c r="AA24" i="20"/>
  <c r="Z24" i="20" s="1"/>
  <c r="Y24" i="20" s="1"/>
  <c r="G44" i="20"/>
  <c r="CB44" i="6" s="1"/>
  <c r="AA44" i="20"/>
  <c r="Z44" i="20" s="1"/>
  <c r="Y44" i="20" s="1"/>
  <c r="W68" i="23"/>
  <c r="B68" i="24"/>
  <c r="D68" i="23"/>
  <c r="E68" i="23" s="1"/>
  <c r="F68" i="23" s="1"/>
  <c r="W134" i="23"/>
  <c r="B134" i="24"/>
  <c r="D134" i="23"/>
  <c r="E134" i="23" s="1"/>
  <c r="F134" i="23" s="1"/>
  <c r="AA156" i="20"/>
  <c r="Z156" i="20" s="1"/>
  <c r="Y156" i="20" s="1"/>
  <c r="G156" i="20"/>
  <c r="CB156" i="6" s="1"/>
  <c r="G206" i="20"/>
  <c r="CB206" i="6" s="1"/>
  <c r="AA206" i="20"/>
  <c r="Z206" i="20" s="1"/>
  <c r="Y206" i="20" s="1"/>
  <c r="J240" i="18"/>
  <c r="I240" i="18"/>
  <c r="BA240" i="6" s="1"/>
  <c r="D240" i="6" s="1"/>
  <c r="AA356" i="20"/>
  <c r="Z356" i="20" s="1"/>
  <c r="Y356" i="20" s="1"/>
  <c r="G356" i="20"/>
  <c r="CB356" i="6" s="1"/>
  <c r="G64" i="22"/>
  <c r="CC64" i="6" s="1"/>
  <c r="AA64" i="22"/>
  <c r="Z64" i="22" s="1"/>
  <c r="Y64" i="22" s="1"/>
  <c r="G205" i="22"/>
  <c r="CC205" i="6" s="1"/>
  <c r="AA205" i="22"/>
  <c r="Z205" i="22" s="1"/>
  <c r="Y205" i="22" s="1"/>
  <c r="G299" i="22"/>
  <c r="CC299" i="6" s="1"/>
  <c r="AA299" i="22"/>
  <c r="Z299" i="22" s="1"/>
  <c r="Y299" i="22" s="1"/>
  <c r="G236" i="20"/>
  <c r="CB236" i="6" s="1"/>
  <c r="AA236" i="20"/>
  <c r="Z236" i="20" s="1"/>
  <c r="Y236" i="20" s="1"/>
  <c r="W229" i="23"/>
  <c r="D229" i="23"/>
  <c r="E229" i="23" s="1"/>
  <c r="F229" i="23" s="1"/>
  <c r="B229" i="24"/>
  <c r="W32" i="23"/>
  <c r="B32" i="24"/>
  <c r="D32" i="23"/>
  <c r="E32" i="23" s="1"/>
  <c r="F32" i="23" s="1"/>
  <c r="AA73" i="20"/>
  <c r="Z73" i="20" s="1"/>
  <c r="Y73" i="20" s="1"/>
  <c r="G73" i="20"/>
  <c r="CB73" i="6" s="1"/>
  <c r="W100" i="23"/>
  <c r="D100" i="23"/>
  <c r="E100" i="23" s="1"/>
  <c r="F100" i="23" s="1"/>
  <c r="B100" i="24"/>
  <c r="G76" i="20"/>
  <c r="CB76" i="6" s="1"/>
  <c r="AA76" i="20"/>
  <c r="Z76" i="20" s="1"/>
  <c r="Y76" i="20" s="1"/>
  <c r="G359" i="22" l="1"/>
  <c r="CC359" i="6" s="1"/>
  <c r="I336" i="18"/>
  <c r="H336" i="20" s="1"/>
  <c r="J81" i="18"/>
  <c r="I78" i="18"/>
  <c r="H78" i="20" s="1"/>
  <c r="J72" i="18"/>
  <c r="J315" i="18"/>
  <c r="J307" i="18"/>
  <c r="J313" i="18"/>
  <c r="J305" i="18"/>
  <c r="J28" i="18"/>
  <c r="J214" i="18"/>
  <c r="I36" i="18"/>
  <c r="H36" i="20" s="1"/>
  <c r="J51" i="18"/>
  <c r="J364" i="18"/>
  <c r="I27" i="18"/>
  <c r="BA27" i="6" s="1"/>
  <c r="D27" i="6" s="1"/>
  <c r="J56" i="18"/>
  <c r="J287" i="18"/>
  <c r="I153" i="18"/>
  <c r="H153" i="20" s="1"/>
  <c r="I40" i="18"/>
  <c r="H40" i="20" s="1"/>
  <c r="J167" i="18"/>
  <c r="I325" i="18"/>
  <c r="H325" i="20" s="1"/>
  <c r="I325" i="20" s="1"/>
  <c r="H325" i="22" s="1"/>
  <c r="I261" i="18"/>
  <c r="H261" i="20" s="1"/>
  <c r="I261" i="20" s="1"/>
  <c r="H261" i="22" s="1"/>
  <c r="I46" i="18"/>
  <c r="H46" i="20" s="1"/>
  <c r="I46" i="20" s="1"/>
  <c r="H46" i="22" s="1"/>
  <c r="I333" i="18"/>
  <c r="H333" i="20" s="1"/>
  <c r="J333" i="20" s="1"/>
  <c r="I29" i="18"/>
  <c r="H29" i="20" s="1"/>
  <c r="J347" i="18"/>
  <c r="BA78" i="6"/>
  <c r="D78" i="6" s="1"/>
  <c r="I192" i="18"/>
  <c r="H192" i="20" s="1"/>
  <c r="I37" i="18"/>
  <c r="BA37" i="6" s="1"/>
  <c r="D37" i="6" s="1"/>
  <c r="I327" i="18"/>
  <c r="H327" i="20" s="1"/>
  <c r="I103" i="18"/>
  <c r="H103" i="20" s="1"/>
  <c r="I375" i="18"/>
  <c r="H375" i="20" s="1"/>
  <c r="I66" i="18"/>
  <c r="H66" i="20" s="1"/>
  <c r="J306" i="18"/>
  <c r="J295" i="18"/>
  <c r="J284" i="18"/>
  <c r="J293" i="18"/>
  <c r="J328" i="18"/>
  <c r="J152" i="18"/>
  <c r="J323" i="18"/>
  <c r="J366" i="18"/>
  <c r="I140" i="18"/>
  <c r="BA140" i="6" s="1"/>
  <c r="D140" i="6" s="1"/>
  <c r="I346" i="18"/>
  <c r="BA346" i="6" s="1"/>
  <c r="D346" i="6" s="1"/>
  <c r="J181" i="18"/>
  <c r="J246" i="18"/>
  <c r="I79" i="18"/>
  <c r="H79" i="20" s="1"/>
  <c r="I18" i="18"/>
  <c r="H18" i="20" s="1"/>
  <c r="I235" i="18"/>
  <c r="H235" i="20" s="1"/>
  <c r="I252" i="18"/>
  <c r="H252" i="20" s="1"/>
  <c r="J304" i="18"/>
  <c r="I341" i="18"/>
  <c r="H341" i="20" s="1"/>
  <c r="I106" i="18"/>
  <c r="H106" i="20" s="1"/>
  <c r="J319" i="18"/>
  <c r="I54" i="18"/>
  <c r="H54" i="20" s="1"/>
  <c r="I49" i="18"/>
  <c r="BA49" i="6" s="1"/>
  <c r="D49" i="6" s="1"/>
  <c r="I254" i="18"/>
  <c r="BA254" i="6" s="1"/>
  <c r="D254" i="6" s="1"/>
  <c r="J42" i="18"/>
  <c r="I21" i="18"/>
  <c r="BA21" i="6" s="1"/>
  <c r="D21" i="6" s="1"/>
  <c r="I219" i="18"/>
  <c r="BA219" i="6" s="1"/>
  <c r="D219" i="6" s="1"/>
  <c r="J23" i="18"/>
  <c r="J338" i="18"/>
  <c r="I91" i="18"/>
  <c r="H91" i="20" s="1"/>
  <c r="J154" i="18"/>
  <c r="J112" i="18"/>
  <c r="I159" i="18"/>
  <c r="H159" i="20" s="1"/>
  <c r="J159" i="20" s="1"/>
  <c r="I322" i="18"/>
  <c r="BA322" i="6" s="1"/>
  <c r="D322" i="6" s="1"/>
  <c r="J71" i="18"/>
  <c r="BA36" i="6"/>
  <c r="D36" i="6" s="1"/>
  <c r="BA325" i="6"/>
  <c r="D325" i="6" s="1"/>
  <c r="BA261" i="6"/>
  <c r="D261" i="6" s="1"/>
  <c r="BA46" i="6"/>
  <c r="D46" i="6" s="1"/>
  <c r="BA333" i="6"/>
  <c r="D333" i="6" s="1"/>
  <c r="BA29" i="6"/>
  <c r="D29" i="6" s="1"/>
  <c r="G351" i="22"/>
  <c r="CC351" i="6" s="1"/>
  <c r="BA159" i="6"/>
  <c r="D159" i="6" s="1"/>
  <c r="G95" i="22"/>
  <c r="CC95" i="6" s="1"/>
  <c r="BA109" i="6"/>
  <c r="D109" i="6" s="1"/>
  <c r="BA110" i="6"/>
  <c r="D110" i="6" s="1"/>
  <c r="BA206" i="6"/>
  <c r="D206" i="6" s="1"/>
  <c r="BA119" i="6"/>
  <c r="D119" i="6" s="1"/>
  <c r="BA307" i="6"/>
  <c r="D307" i="6" s="1"/>
  <c r="BA372" i="6"/>
  <c r="D372" i="6" s="1"/>
  <c r="BA56" i="6"/>
  <c r="D56" i="6" s="1"/>
  <c r="BA246" i="6"/>
  <c r="D246" i="6" s="1"/>
  <c r="BA295" i="6"/>
  <c r="D295" i="6" s="1"/>
  <c r="BA279" i="6"/>
  <c r="D279" i="6" s="1"/>
  <c r="BA187" i="6"/>
  <c r="D187" i="6" s="1"/>
  <c r="BA96" i="6"/>
  <c r="D96" i="6" s="1"/>
  <c r="BA315" i="6"/>
  <c r="D315" i="6" s="1"/>
  <c r="BA157" i="6"/>
  <c r="D157" i="6" s="1"/>
  <c r="BA250" i="6"/>
  <c r="D250" i="6" s="1"/>
  <c r="BA114" i="6"/>
  <c r="D114" i="6" s="1"/>
  <c r="BA218" i="6"/>
  <c r="D218" i="6" s="1"/>
  <c r="BA71" i="6"/>
  <c r="D71" i="6" s="1"/>
  <c r="BA163" i="6"/>
  <c r="D163" i="6" s="1"/>
  <c r="BA44" i="6"/>
  <c r="D44" i="6" s="1"/>
  <c r="BA89" i="6"/>
  <c r="D89" i="6" s="1"/>
  <c r="BA181" i="6"/>
  <c r="D181" i="6" s="1"/>
  <c r="BA266" i="6"/>
  <c r="D266" i="6" s="1"/>
  <c r="BA99" i="6"/>
  <c r="D99" i="6" s="1"/>
  <c r="BA112" i="6"/>
  <c r="D112" i="6" s="1"/>
  <c r="BA42" i="6"/>
  <c r="D42" i="6" s="1"/>
  <c r="BA275" i="6"/>
  <c r="D275" i="6" s="1"/>
  <c r="BA81" i="6"/>
  <c r="D81" i="6" s="1"/>
  <c r="BA364" i="6"/>
  <c r="D364" i="6" s="1"/>
  <c r="BA169" i="6"/>
  <c r="D169" i="6" s="1"/>
  <c r="BA191" i="6"/>
  <c r="D191" i="6" s="1"/>
  <c r="BA85" i="6"/>
  <c r="D85" i="6" s="1"/>
  <c r="BA245" i="6"/>
  <c r="D245" i="6" s="1"/>
  <c r="BA25" i="6"/>
  <c r="D25" i="6" s="1"/>
  <c r="BA72" i="6"/>
  <c r="D72" i="6" s="1"/>
  <c r="BA214" i="6"/>
  <c r="D214" i="6" s="1"/>
  <c r="BA84" i="6"/>
  <c r="D84" i="6" s="1"/>
  <c r="BA51" i="6"/>
  <c r="D51" i="6" s="1"/>
  <c r="BA239" i="6"/>
  <c r="D239" i="6" s="1"/>
  <c r="BA332" i="6"/>
  <c r="D332" i="6" s="1"/>
  <c r="BA287" i="6"/>
  <c r="D287" i="6" s="1"/>
  <c r="BA88" i="6"/>
  <c r="D88" i="6" s="1"/>
  <c r="BA321" i="6"/>
  <c r="D321" i="6" s="1"/>
  <c r="BA215" i="6"/>
  <c r="D215" i="6" s="1"/>
  <c r="BA347" i="6"/>
  <c r="D347" i="6" s="1"/>
  <c r="BA289" i="6"/>
  <c r="D289" i="6" s="1"/>
  <c r="BA160" i="6"/>
  <c r="D160" i="6" s="1"/>
  <c r="BA334" i="6"/>
  <c r="D334" i="6" s="1"/>
  <c r="BA20" i="6"/>
  <c r="D20" i="6" s="1"/>
  <c r="BA328" i="6"/>
  <c r="D328" i="6" s="1"/>
  <c r="J228" i="18"/>
  <c r="J179" i="18"/>
  <c r="J180" i="18"/>
  <c r="J26" i="18"/>
  <c r="J170" i="18"/>
  <c r="J39" i="18"/>
  <c r="J321" i="18"/>
  <c r="I182" i="18"/>
  <c r="BA182" i="6" s="1"/>
  <c r="D182" i="6" s="1"/>
  <c r="J239" i="18"/>
  <c r="J266" i="18"/>
  <c r="I48" i="18"/>
  <c r="BA48" i="6" s="1"/>
  <c r="D48" i="6" s="1"/>
  <c r="I357" i="18"/>
  <c r="BA357" i="6" s="1"/>
  <c r="D357" i="6" s="1"/>
  <c r="J372" i="18"/>
  <c r="J110" i="18"/>
  <c r="I244" i="18"/>
  <c r="BA244" i="6" s="1"/>
  <c r="D244" i="6" s="1"/>
  <c r="I248" i="18"/>
  <c r="BA248" i="6" s="1"/>
  <c r="D248" i="6" s="1"/>
  <c r="I330" i="18"/>
  <c r="BA330" i="6" s="1"/>
  <c r="D330" i="6" s="1"/>
  <c r="I256" i="18"/>
  <c r="BA256" i="6" s="1"/>
  <c r="D256" i="6" s="1"/>
  <c r="J215" i="18"/>
  <c r="I104" i="18"/>
  <c r="BA104" i="6" s="1"/>
  <c r="D104" i="6" s="1"/>
  <c r="I376" i="18"/>
  <c r="BA376" i="6" s="1"/>
  <c r="D376" i="6" s="1"/>
  <c r="J84" i="18"/>
  <c r="J99" i="18"/>
  <c r="I226" i="18"/>
  <c r="BA226" i="6" s="1"/>
  <c r="D226" i="6" s="1"/>
  <c r="J312" i="18"/>
  <c r="J19" i="18"/>
  <c r="I367" i="18"/>
  <c r="H367" i="20" s="1"/>
  <c r="I331" i="18"/>
  <c r="H331" i="20" s="1"/>
  <c r="I211" i="18"/>
  <c r="H211" i="20" s="1"/>
  <c r="J32" i="18"/>
  <c r="J52" i="18"/>
  <c r="J342" i="18"/>
  <c r="I113" i="18"/>
  <c r="H113" i="20" s="1"/>
  <c r="J202" i="18"/>
  <c r="J107" i="18"/>
  <c r="I209" i="18"/>
  <c r="J260" i="18"/>
  <c r="I130" i="18"/>
  <c r="H130" i="20" s="1"/>
  <c r="I111" i="18"/>
  <c r="H111" i="20" s="1"/>
  <c r="J105" i="18"/>
  <c r="I30" i="18"/>
  <c r="H30" i="20" s="1"/>
  <c r="I115" i="18"/>
  <c r="BA115" i="6" s="1"/>
  <c r="D115" i="6" s="1"/>
  <c r="J20" i="18"/>
  <c r="I249" i="18"/>
  <c r="BA249" i="6" s="1"/>
  <c r="D249" i="6" s="1"/>
  <c r="I340" i="18"/>
  <c r="BA340" i="6" s="1"/>
  <c r="D340" i="6" s="1"/>
  <c r="J25" i="18"/>
  <c r="J245" i="18"/>
  <c r="J89" i="18"/>
  <c r="J297" i="18"/>
  <c r="J337" i="18"/>
  <c r="I98" i="18"/>
  <c r="BA98" i="6" s="1"/>
  <c r="D98" i="6" s="1"/>
  <c r="I126" i="18"/>
  <c r="BA126" i="6" s="1"/>
  <c r="D126" i="6" s="1"/>
  <c r="I58" i="18"/>
  <c r="BA58" i="6" s="1"/>
  <c r="D58" i="6" s="1"/>
  <c r="J279" i="18"/>
  <c r="I165" i="18"/>
  <c r="BA165" i="6" s="1"/>
  <c r="D165" i="6" s="1"/>
  <c r="I318" i="18"/>
  <c r="BA318" i="6" s="1"/>
  <c r="D318" i="6" s="1"/>
  <c r="J101" i="18"/>
  <c r="J16" i="18"/>
  <c r="J158" i="18"/>
  <c r="I122" i="18"/>
  <c r="H122" i="20" s="1"/>
  <c r="I230" i="18"/>
  <c r="H230" i="20" s="1"/>
  <c r="J206" i="18"/>
  <c r="I156" i="18"/>
  <c r="BA156" i="6" s="1"/>
  <c r="D156" i="6" s="1"/>
  <c r="J44" i="18"/>
  <c r="I220" i="18"/>
  <c r="BA220" i="6" s="1"/>
  <c r="D220" i="6" s="1"/>
  <c r="J88" i="18"/>
  <c r="I272" i="18"/>
  <c r="BA272" i="6" s="1"/>
  <c r="D272" i="6" s="1"/>
  <c r="I374" i="18"/>
  <c r="BA374" i="6" s="1"/>
  <c r="D374" i="6" s="1"/>
  <c r="I166" i="18"/>
  <c r="H166" i="20" s="1"/>
  <c r="I124" i="18"/>
  <c r="BA124" i="6" s="1"/>
  <c r="D124" i="6" s="1"/>
  <c r="I212" i="18"/>
  <c r="H212" i="20" s="1"/>
  <c r="J160" i="18"/>
  <c r="I67" i="18"/>
  <c r="BA67" i="6" s="1"/>
  <c r="D67" i="6" s="1"/>
  <c r="J67" i="18"/>
  <c r="I186" i="18"/>
  <c r="BA186" i="6" s="1"/>
  <c r="D186" i="6" s="1"/>
  <c r="J186" i="18"/>
  <c r="I360" i="18"/>
  <c r="H360" i="20" s="1"/>
  <c r="J360" i="18"/>
  <c r="J178" i="18"/>
  <c r="I178" i="18"/>
  <c r="H178" i="20" s="1"/>
  <c r="I53" i="18"/>
  <c r="BA53" i="6" s="1"/>
  <c r="D53" i="6" s="1"/>
  <c r="J53" i="18"/>
  <c r="J75" i="18"/>
  <c r="I75" i="18"/>
  <c r="BA75" i="6" s="1"/>
  <c r="D75" i="6" s="1"/>
  <c r="J149" i="18"/>
  <c r="I149" i="18"/>
  <c r="H149" i="20" s="1"/>
  <c r="I277" i="18"/>
  <c r="BA277" i="6" s="1"/>
  <c r="D277" i="6" s="1"/>
  <c r="J277" i="18"/>
  <c r="J310" i="18"/>
  <c r="I310" i="18"/>
  <c r="BA310" i="6" s="1"/>
  <c r="D310" i="6" s="1"/>
  <c r="J102" i="18"/>
  <c r="I102" i="18"/>
  <c r="BA102" i="6" s="1"/>
  <c r="D102" i="6" s="1"/>
  <c r="J177" i="18"/>
  <c r="I177" i="18"/>
  <c r="H177" i="20" s="1"/>
  <c r="J213" i="18"/>
  <c r="I213" i="18"/>
  <c r="BA213" i="6" s="1"/>
  <c r="D213" i="6" s="1"/>
  <c r="J47" i="18"/>
  <c r="I47" i="18"/>
  <c r="J171" i="18"/>
  <c r="I171" i="18"/>
  <c r="BA171" i="6" s="1"/>
  <c r="D171" i="6" s="1"/>
  <c r="I324" i="18"/>
  <c r="H324" i="20" s="1"/>
  <c r="J324" i="18"/>
  <c r="J201" i="18"/>
  <c r="I201" i="18"/>
  <c r="BA201" i="6" s="1"/>
  <c r="D201" i="6" s="1"/>
  <c r="I142" i="18"/>
  <c r="H142" i="20" s="1"/>
  <c r="J142" i="18"/>
  <c r="I232" i="18"/>
  <c r="BA232" i="6" s="1"/>
  <c r="D232" i="6" s="1"/>
  <c r="J232" i="18"/>
  <c r="I223" i="18"/>
  <c r="BA223" i="6" s="1"/>
  <c r="D223" i="6" s="1"/>
  <c r="J223" i="18"/>
  <c r="I301" i="18"/>
  <c r="H301" i="20" s="1"/>
  <c r="J301" i="18"/>
  <c r="I128" i="18"/>
  <c r="BA128" i="6" s="1"/>
  <c r="D128" i="6" s="1"/>
  <c r="J128" i="18"/>
  <c r="J242" i="18"/>
  <c r="I242" i="18"/>
  <c r="H242" i="20" s="1"/>
  <c r="I278" i="18"/>
  <c r="H278" i="20" s="1"/>
  <c r="J278" i="18"/>
  <c r="J285" i="18"/>
  <c r="I285" i="18"/>
  <c r="J199" i="18"/>
  <c r="I199" i="18"/>
  <c r="J94" i="18"/>
  <c r="I94" i="18"/>
  <c r="H94" i="20" s="1"/>
  <c r="I100" i="18"/>
  <c r="H100" i="20" s="1"/>
  <c r="J100" i="18"/>
  <c r="I121" i="18"/>
  <c r="BA121" i="6" s="1"/>
  <c r="D121" i="6" s="1"/>
  <c r="J121" i="18"/>
  <c r="J196" i="18"/>
  <c r="I196" i="18"/>
  <c r="BA196" i="6" s="1"/>
  <c r="D196" i="6" s="1"/>
  <c r="I299" i="18"/>
  <c r="H299" i="20" s="1"/>
  <c r="J299" i="18"/>
  <c r="J216" i="18"/>
  <c r="I216" i="18"/>
  <c r="H216" i="20" s="1"/>
  <c r="J80" i="18"/>
  <c r="I80" i="18"/>
  <c r="H80" i="20" s="1"/>
  <c r="J339" i="18"/>
  <c r="I339" i="18"/>
  <c r="BA339" i="6" s="1"/>
  <c r="D339" i="6" s="1"/>
  <c r="I288" i="18"/>
  <c r="BA288" i="6" s="1"/>
  <c r="D288" i="6" s="1"/>
  <c r="J288" i="18"/>
  <c r="I55" i="18"/>
  <c r="H55" i="20" s="1"/>
  <c r="J55" i="18"/>
  <c r="J225" i="18"/>
  <c r="I225" i="18"/>
  <c r="BA225" i="6" s="1"/>
  <c r="D225" i="6" s="1"/>
  <c r="J292" i="18"/>
  <c r="I292" i="18"/>
  <c r="BA292" i="6" s="1"/>
  <c r="D292" i="6" s="1"/>
  <c r="J303" i="18"/>
  <c r="I303" i="18"/>
  <c r="BA303" i="6" s="1"/>
  <c r="D303" i="6" s="1"/>
  <c r="I265" i="18"/>
  <c r="H265" i="20" s="1"/>
  <c r="J265" i="18"/>
  <c r="I294" i="18"/>
  <c r="H294" i="20" s="1"/>
  <c r="J294" i="18"/>
  <c r="J362" i="18"/>
  <c r="I362" i="18"/>
  <c r="BA362" i="6" s="1"/>
  <c r="D362" i="6" s="1"/>
  <c r="I345" i="18"/>
  <c r="BA345" i="6" s="1"/>
  <c r="D345" i="6" s="1"/>
  <c r="J345" i="18"/>
  <c r="J45" i="18"/>
  <c r="I45" i="18"/>
  <c r="BA45" i="6" s="1"/>
  <c r="D45" i="6" s="1"/>
  <c r="I267" i="18"/>
  <c r="BA267" i="6" s="1"/>
  <c r="D267" i="6" s="1"/>
  <c r="J267" i="18"/>
  <c r="J173" i="18"/>
  <c r="I173" i="18"/>
  <c r="BA173" i="6" s="1"/>
  <c r="D173" i="6" s="1"/>
  <c r="I64" i="18"/>
  <c r="H64" i="20" s="1"/>
  <c r="J64" i="18"/>
  <c r="I151" i="18"/>
  <c r="H151" i="20" s="1"/>
  <c r="J151" i="18"/>
  <c r="I343" i="18"/>
  <c r="H343" i="20" s="1"/>
  <c r="J343" i="18"/>
  <c r="I291" i="18"/>
  <c r="BA291" i="6" s="1"/>
  <c r="D291" i="6" s="1"/>
  <c r="J291" i="18"/>
  <c r="J317" i="18"/>
  <c r="I317" i="18"/>
  <c r="BA317" i="6" s="1"/>
  <c r="D317" i="6" s="1"/>
  <c r="I370" i="18"/>
  <c r="H370" i="20" s="1"/>
  <c r="J370" i="18"/>
  <c r="I162" i="18"/>
  <c r="BA162" i="6" s="1"/>
  <c r="D162" i="6" s="1"/>
  <c r="J162" i="18"/>
  <c r="I61" i="18"/>
  <c r="BA61" i="6" s="1"/>
  <c r="D61" i="6" s="1"/>
  <c r="J61" i="18"/>
  <c r="I203" i="18"/>
  <c r="BA203" i="6" s="1"/>
  <c r="D203" i="6" s="1"/>
  <c r="J203" i="18"/>
  <c r="I164" i="18"/>
  <c r="H164" i="20" s="1"/>
  <c r="J164" i="18"/>
  <c r="J133" i="18"/>
  <c r="I133" i="18"/>
  <c r="BA133" i="6" s="1"/>
  <c r="D133" i="6" s="1"/>
  <c r="I135" i="18"/>
  <c r="BA135" i="6" s="1"/>
  <c r="D135" i="6" s="1"/>
  <c r="J135" i="18"/>
  <c r="J308" i="18"/>
  <c r="I308" i="18"/>
  <c r="H308" i="20" s="1"/>
  <c r="I190" i="18"/>
  <c r="H190" i="20" s="1"/>
  <c r="J190" i="18"/>
  <c r="I141" i="18"/>
  <c r="H141" i="20" s="1"/>
  <c r="J141" i="18"/>
  <c r="J320" i="18"/>
  <c r="I320" i="18"/>
  <c r="H320" i="20" s="1"/>
  <c r="J269" i="18"/>
  <c r="I269" i="18"/>
  <c r="H269" i="20" s="1"/>
  <c r="J17" i="18"/>
  <c r="I17" i="18"/>
  <c r="H17" i="20" s="1"/>
  <c r="J92" i="18"/>
  <c r="I92" i="18"/>
  <c r="H92" i="20" s="1"/>
  <c r="I161" i="18"/>
  <c r="BA161" i="6" s="1"/>
  <c r="D161" i="6" s="1"/>
  <c r="J161" i="18"/>
  <c r="I136" i="18"/>
  <c r="H136" i="20" s="1"/>
  <c r="J136" i="18"/>
  <c r="J280" i="18"/>
  <c r="I280" i="18"/>
  <c r="H280" i="20" s="1"/>
  <c r="I73" i="18"/>
  <c r="BA73" i="6" s="1"/>
  <c r="D73" i="6" s="1"/>
  <c r="J73" i="18"/>
  <c r="J271" i="18"/>
  <c r="I271" i="18"/>
  <c r="H271" i="20" s="1"/>
  <c r="I379" i="18"/>
  <c r="H379" i="20" s="1"/>
  <c r="J379" i="18"/>
  <c r="J355" i="18"/>
  <c r="I355" i="18"/>
  <c r="BA355" i="6" s="1"/>
  <c r="D355" i="6" s="1"/>
  <c r="I241" i="18"/>
  <c r="H241" i="20" s="1"/>
  <c r="J241" i="18"/>
  <c r="I263" i="18"/>
  <c r="BA263" i="6" s="1"/>
  <c r="D263" i="6" s="1"/>
  <c r="J263" i="18"/>
  <c r="I193" i="18"/>
  <c r="H193" i="20" s="1"/>
  <c r="J193" i="18"/>
  <c r="I90" i="18"/>
  <c r="BA90" i="6" s="1"/>
  <c r="D90" i="6" s="1"/>
  <c r="J90" i="18"/>
  <c r="I138" i="18"/>
  <c r="H138" i="20" s="1"/>
  <c r="J138" i="18"/>
  <c r="J283" i="18"/>
  <c r="I283" i="18"/>
  <c r="BA283" i="6" s="1"/>
  <c r="D283" i="6" s="1"/>
  <c r="I63" i="18"/>
  <c r="H63" i="20" s="1"/>
  <c r="J63" i="18"/>
  <c r="J127" i="18"/>
  <c r="I127" i="18"/>
  <c r="BA127" i="6" s="1"/>
  <c r="D127" i="6" s="1"/>
  <c r="I183" i="18"/>
  <c r="H183" i="20" s="1"/>
  <c r="J183" i="18"/>
  <c r="I175" i="18"/>
  <c r="H175" i="20" s="1"/>
  <c r="J175" i="18"/>
  <c r="I349" i="18"/>
  <c r="BA349" i="6" s="1"/>
  <c r="D349" i="6" s="1"/>
  <c r="J349" i="18"/>
  <c r="J123" i="18"/>
  <c r="I123" i="18"/>
  <c r="BA123" i="6" s="1"/>
  <c r="D123" i="6" s="1"/>
  <c r="I290" i="18"/>
  <c r="H290" i="20" s="1"/>
  <c r="J290" i="18"/>
  <c r="J188" i="18"/>
  <c r="I188" i="18"/>
  <c r="BA188" i="6" s="1"/>
  <c r="D188" i="6" s="1"/>
  <c r="BA290" i="6"/>
  <c r="D290" i="6" s="1"/>
  <c r="J329" i="18"/>
  <c r="AA316" i="22"/>
  <c r="Z316" i="22" s="1"/>
  <c r="Y316" i="22" s="1"/>
  <c r="BA371" i="6"/>
  <c r="D371" i="6" s="1"/>
  <c r="B167" i="24"/>
  <c r="D167" i="24" s="1"/>
  <c r="E167" i="24" s="1"/>
  <c r="F167" i="24" s="1"/>
  <c r="W167" i="23"/>
  <c r="AA152" i="22"/>
  <c r="Z152" i="22" s="1"/>
  <c r="Y152" i="22" s="1"/>
  <c r="G152" i="22"/>
  <c r="CC152" i="6" s="1"/>
  <c r="J86" i="18"/>
  <c r="I86" i="18"/>
  <c r="BA86" i="6" s="1"/>
  <c r="D86" i="6" s="1"/>
  <c r="J150" i="18"/>
  <c r="I150" i="18"/>
  <c r="BA150" i="6" s="1"/>
  <c r="D150" i="6" s="1"/>
  <c r="J377" i="18"/>
  <c r="I377" i="18"/>
  <c r="H377" i="20" s="1"/>
  <c r="I131" i="18"/>
  <c r="H131" i="20" s="1"/>
  <c r="J131" i="18"/>
  <c r="J282" i="18"/>
  <c r="I282" i="18"/>
  <c r="BA282" i="6" s="1"/>
  <c r="D282" i="6" s="1"/>
  <c r="J185" i="18"/>
  <c r="I185" i="18"/>
  <c r="BA185" i="6" s="1"/>
  <c r="D185" i="6" s="1"/>
  <c r="I326" i="18"/>
  <c r="H326" i="20" s="1"/>
  <c r="J326" i="18"/>
  <c r="I65" i="18"/>
  <c r="BA65" i="6" s="1"/>
  <c r="D65" i="6" s="1"/>
  <c r="J65" i="18"/>
  <c r="I148" i="18"/>
  <c r="BA148" i="6" s="1"/>
  <c r="D148" i="6" s="1"/>
  <c r="J148" i="18"/>
  <c r="J57" i="18"/>
  <c r="I57" i="18"/>
  <c r="H57" i="20" s="1"/>
  <c r="I365" i="18"/>
  <c r="BA365" i="6" s="1"/>
  <c r="D365" i="6" s="1"/>
  <c r="J365" i="18"/>
  <c r="I108" i="18"/>
  <c r="H108" i="20" s="1"/>
  <c r="J108" i="18"/>
  <c r="I120" i="18"/>
  <c r="H120" i="20" s="1"/>
  <c r="J120" i="18"/>
  <c r="I354" i="18"/>
  <c r="H354" i="20" s="1"/>
  <c r="J354" i="18"/>
  <c r="J222" i="18"/>
  <c r="I222" i="18"/>
  <c r="H222" i="20" s="1"/>
  <c r="I184" i="18"/>
  <c r="BA184" i="6" s="1"/>
  <c r="D184" i="6" s="1"/>
  <c r="J184" i="18"/>
  <c r="I35" i="18"/>
  <c r="H35" i="20" s="1"/>
  <c r="J35" i="18"/>
  <c r="J189" i="18"/>
  <c r="I189" i="18"/>
  <c r="H189" i="20" s="1"/>
  <c r="J143" i="18"/>
  <c r="I143" i="18"/>
  <c r="BA143" i="6" s="1"/>
  <c r="D143" i="6" s="1"/>
  <c r="J69" i="18"/>
  <c r="I69" i="18"/>
  <c r="H69" i="20" s="1"/>
  <c r="J369" i="18"/>
  <c r="I369" i="18"/>
  <c r="BA369" i="6" s="1"/>
  <c r="D369" i="6" s="1"/>
  <c r="I70" i="18"/>
  <c r="H70" i="20" s="1"/>
  <c r="J70" i="18"/>
  <c r="I77" i="18"/>
  <c r="BA77" i="6" s="1"/>
  <c r="D77" i="6" s="1"/>
  <c r="J77" i="18"/>
  <c r="J176" i="18"/>
  <c r="I176" i="18"/>
  <c r="BA176" i="6" s="1"/>
  <c r="D176" i="6" s="1"/>
  <c r="I233" i="18"/>
  <c r="BA233" i="6" s="1"/>
  <c r="D233" i="6" s="1"/>
  <c r="J233" i="18"/>
  <c r="I38" i="18"/>
  <c r="H38" i="20" s="1"/>
  <c r="J38" i="18"/>
  <c r="I351" i="18"/>
  <c r="H351" i="20" s="1"/>
  <c r="J351" i="18"/>
  <c r="J60" i="18"/>
  <c r="I60" i="18"/>
  <c r="BA60" i="6" s="1"/>
  <c r="D60" i="6" s="1"/>
  <c r="J194" i="18"/>
  <c r="I194" i="18"/>
  <c r="BA194" i="6" s="1"/>
  <c r="D194" i="6" s="1"/>
  <c r="I125" i="18"/>
  <c r="BA125" i="6" s="1"/>
  <c r="D125" i="6" s="1"/>
  <c r="J125" i="18"/>
  <c r="I273" i="18"/>
  <c r="BA273" i="6" s="1"/>
  <c r="D273" i="6" s="1"/>
  <c r="J273" i="18"/>
  <c r="J361" i="18"/>
  <c r="I361" i="18"/>
  <c r="BA361" i="6" s="1"/>
  <c r="D361" i="6" s="1"/>
  <c r="I34" i="18"/>
  <c r="BA34" i="6" s="1"/>
  <c r="D34" i="6" s="1"/>
  <c r="J34" i="18"/>
  <c r="J359" i="18"/>
  <c r="I359" i="18"/>
  <c r="H359" i="20" s="1"/>
  <c r="J358" i="18"/>
  <c r="I358" i="18"/>
  <c r="H358" i="20" s="1"/>
  <c r="I134" i="18"/>
  <c r="H134" i="20" s="1"/>
  <c r="J134" i="18"/>
  <c r="J174" i="18"/>
  <c r="I174" i="18"/>
  <c r="H174" i="20" s="1"/>
  <c r="I116" i="18"/>
  <c r="H116" i="20" s="1"/>
  <c r="J116" i="18"/>
  <c r="J83" i="18"/>
  <c r="I83" i="18"/>
  <c r="H83" i="20" s="1"/>
  <c r="I352" i="18"/>
  <c r="BA352" i="6" s="1"/>
  <c r="D352" i="6" s="1"/>
  <c r="J352" i="18"/>
  <c r="J258" i="18"/>
  <c r="I258" i="18"/>
  <c r="H258" i="20" s="1"/>
  <c r="J314" i="18"/>
  <c r="I314" i="18"/>
  <c r="BA314" i="6" s="1"/>
  <c r="D314" i="6" s="1"/>
  <c r="J207" i="18"/>
  <c r="I207" i="18"/>
  <c r="H207" i="20" s="1"/>
  <c r="I210" i="18"/>
  <c r="BA210" i="6" s="1"/>
  <c r="D210" i="6" s="1"/>
  <c r="I243" i="18"/>
  <c r="H243" i="20" s="1"/>
  <c r="I237" i="18"/>
  <c r="H237" i="20" s="1"/>
  <c r="J300" i="18"/>
  <c r="J344" i="18"/>
  <c r="J155" i="18"/>
  <c r="I59" i="18"/>
  <c r="H59" i="20" s="1"/>
  <c r="J259" i="18"/>
  <c r="J348" i="18"/>
  <c r="I363" i="18"/>
  <c r="H363" i="20" s="1"/>
  <c r="J332" i="18"/>
  <c r="J85" i="18"/>
  <c r="I373" i="18"/>
  <c r="BA373" i="6" s="1"/>
  <c r="D373" i="6" s="1"/>
  <c r="J96" i="18"/>
  <c r="I145" i="18"/>
  <c r="BA145" i="6" s="1"/>
  <c r="D145" i="6" s="1"/>
  <c r="J157" i="18"/>
  <c r="I198" i="18"/>
  <c r="BA198" i="6" s="1"/>
  <c r="D198" i="6" s="1"/>
  <c r="I139" i="18"/>
  <c r="BA139" i="6" s="1"/>
  <c r="D139" i="6" s="1"/>
  <c r="J187" i="18"/>
  <c r="I274" i="18"/>
  <c r="BA274" i="6" s="1"/>
  <c r="D274" i="6" s="1"/>
  <c r="I227" i="18"/>
  <c r="H227" i="20" s="1"/>
  <c r="I224" i="18"/>
  <c r="H224" i="20" s="1"/>
  <c r="J168" i="18"/>
  <c r="I353" i="18"/>
  <c r="H353" i="20" s="1"/>
  <c r="J50" i="18"/>
  <c r="J68" i="18"/>
  <c r="J255" i="18"/>
  <c r="J95" i="18"/>
  <c r="J229" i="18"/>
  <c r="I286" i="18"/>
  <c r="H286" i="20" s="1"/>
  <c r="I200" i="18"/>
  <c r="H200" i="20" s="1"/>
  <c r="J82" i="18"/>
  <c r="J117" i="18"/>
  <c r="J41" i="18"/>
  <c r="I172" i="18"/>
  <c r="H172" i="20" s="1"/>
  <c r="J257" i="18"/>
  <c r="I146" i="18"/>
  <c r="H146" i="20" s="1"/>
  <c r="J147" i="18"/>
  <c r="I276" i="18"/>
  <c r="H276" i="20" s="1"/>
  <c r="J118" i="18"/>
  <c r="J302" i="18"/>
  <c r="J368" i="18"/>
  <c r="J270" i="18"/>
  <c r="I236" i="18"/>
  <c r="BA236" i="6" s="1"/>
  <c r="D236" i="6" s="1"/>
  <c r="I356" i="18"/>
  <c r="BA356" i="6" s="1"/>
  <c r="D356" i="6" s="1"/>
  <c r="I24" i="18"/>
  <c r="BA24" i="6" s="1"/>
  <c r="D24" i="6" s="1"/>
  <c r="I350" i="18"/>
  <c r="BA350" i="6" s="1"/>
  <c r="D350" i="6" s="1"/>
  <c r="J191" i="18"/>
  <c r="J250" i="18"/>
  <c r="J371" i="18"/>
  <c r="I31" i="18"/>
  <c r="BA31" i="6" s="1"/>
  <c r="D31" i="6" s="1"/>
  <c r="I22" i="18"/>
  <c r="BA22" i="6" s="1"/>
  <c r="D22" i="6" s="1"/>
  <c r="J119" i="18"/>
  <c r="I62" i="18"/>
  <c r="BA62" i="6" s="1"/>
  <c r="D62" i="6" s="1"/>
  <c r="I309" i="18"/>
  <c r="BA309" i="6" s="1"/>
  <c r="D309" i="6" s="1"/>
  <c r="I311" i="18"/>
  <c r="BA311" i="6" s="1"/>
  <c r="D311" i="6" s="1"/>
  <c r="I378" i="18"/>
  <c r="BA378" i="6" s="1"/>
  <c r="D378" i="6" s="1"/>
  <c r="I137" i="18"/>
  <c r="BA137" i="6" s="1"/>
  <c r="D137" i="6" s="1"/>
  <c r="J169" i="18"/>
  <c r="J218" i="18"/>
  <c r="I144" i="18"/>
  <c r="BA144" i="6" s="1"/>
  <c r="D144" i="6" s="1"/>
  <c r="J275" i="18"/>
  <c r="I268" i="18"/>
  <c r="BA268" i="6" s="1"/>
  <c r="D268" i="6" s="1"/>
  <c r="J289" i="18"/>
  <c r="J132" i="18"/>
  <c r="J163" i="18"/>
  <c r="I298" i="18"/>
  <c r="H298" i="20" s="1"/>
  <c r="I262" i="18"/>
  <c r="H262" i="20" s="1"/>
  <c r="J281" i="18"/>
  <c r="J247" i="18"/>
  <c r="I231" i="18"/>
  <c r="H231" i="20" s="1"/>
  <c r="I33" i="18"/>
  <c r="H33" i="20" s="1"/>
  <c r="J129" i="18"/>
  <c r="J114" i="18"/>
  <c r="I74" i="18"/>
  <c r="BA74" i="6" s="1"/>
  <c r="D74" i="6" s="1"/>
  <c r="J335" i="18"/>
  <c r="J208" i="18"/>
  <c r="J334" i="18"/>
  <c r="J221" i="18"/>
  <c r="B59" i="24"/>
  <c r="B59" i="25" s="1"/>
  <c r="B211" i="24"/>
  <c r="D211" i="24" s="1"/>
  <c r="E211" i="24" s="1"/>
  <c r="F211" i="24" s="1"/>
  <c r="B152" i="24"/>
  <c r="D152" i="24" s="1"/>
  <c r="E152" i="24" s="1"/>
  <c r="F152" i="24" s="1"/>
  <c r="B108" i="24"/>
  <c r="W108" i="24" s="1"/>
  <c r="D108" i="23"/>
  <c r="E108" i="23" s="1"/>
  <c r="F108" i="23" s="1"/>
  <c r="AA108" i="23" s="1"/>
  <c r="Z108" i="23" s="1"/>
  <c r="Y108" i="23" s="1"/>
  <c r="G335" i="22"/>
  <c r="CC335" i="6" s="1"/>
  <c r="W59" i="23"/>
  <c r="AA183" i="22"/>
  <c r="Z183" i="22" s="1"/>
  <c r="Y183" i="22" s="1"/>
  <c r="B331" i="24"/>
  <c r="W331" i="24" s="1"/>
  <c r="G136" i="22"/>
  <c r="CC136" i="6" s="1"/>
  <c r="G43" i="22"/>
  <c r="CC43" i="6" s="1"/>
  <c r="D363" i="23"/>
  <c r="E363" i="23" s="1"/>
  <c r="F363" i="23" s="1"/>
  <c r="AA363" i="23" s="1"/>
  <c r="Z363" i="23" s="1"/>
  <c r="Y363" i="23" s="1"/>
  <c r="D152" i="23"/>
  <c r="E152" i="23" s="1"/>
  <c r="F152" i="23" s="1"/>
  <c r="AA152" i="23" s="1"/>
  <c r="Z152" i="23" s="1"/>
  <c r="Y152" i="23" s="1"/>
  <c r="B50" i="24"/>
  <c r="D50" i="24" s="1"/>
  <c r="E50" i="24" s="1"/>
  <c r="F50" i="24" s="1"/>
  <c r="B306" i="24"/>
  <c r="W306" i="24" s="1"/>
  <c r="AA28" i="22"/>
  <c r="Z28" i="22" s="1"/>
  <c r="Y28" i="22" s="1"/>
  <c r="D205" i="23"/>
  <c r="E205" i="23" s="1"/>
  <c r="F205" i="23" s="1"/>
  <c r="G205" i="23" s="1"/>
  <c r="CD205" i="6" s="1"/>
  <c r="B323" i="24"/>
  <c r="W323" i="24" s="1"/>
  <c r="D259" i="23"/>
  <c r="E259" i="23" s="1"/>
  <c r="F259" i="23" s="1"/>
  <c r="G259" i="23" s="1"/>
  <c r="CD259" i="6" s="1"/>
  <c r="AA363" i="22"/>
  <c r="Z363" i="22" s="1"/>
  <c r="Y363" i="22" s="1"/>
  <c r="B212" i="24"/>
  <c r="D212" i="24" s="1"/>
  <c r="E212" i="24" s="1"/>
  <c r="F212" i="24" s="1"/>
  <c r="D331" i="23"/>
  <c r="E331" i="23" s="1"/>
  <c r="F331" i="23" s="1"/>
  <c r="G331" i="23" s="1"/>
  <c r="CD331" i="6" s="1"/>
  <c r="D211" i="23"/>
  <c r="E211" i="23" s="1"/>
  <c r="F211" i="23" s="1"/>
  <c r="G211" i="23" s="1"/>
  <c r="CD211" i="6" s="1"/>
  <c r="D50" i="23"/>
  <c r="E50" i="23" s="1"/>
  <c r="F50" i="23" s="1"/>
  <c r="G50" i="23" s="1"/>
  <c r="CD50" i="6" s="1"/>
  <c r="G312" i="22"/>
  <c r="CC312" i="6" s="1"/>
  <c r="W18" i="23"/>
  <c r="W259" i="23"/>
  <c r="W327" i="23"/>
  <c r="W70" i="23"/>
  <c r="W351" i="23"/>
  <c r="D231" i="23"/>
  <c r="E231" i="23" s="1"/>
  <c r="F231" i="23" s="1"/>
  <c r="G231" i="23" s="1"/>
  <c r="CD231" i="6" s="1"/>
  <c r="AA30" i="22"/>
  <c r="Z30" i="22" s="1"/>
  <c r="Y30" i="22" s="1"/>
  <c r="B28" i="24"/>
  <c r="W28" i="24" s="1"/>
  <c r="B205" i="24"/>
  <c r="W205" i="24" s="1"/>
  <c r="W28" i="23"/>
  <c r="B54" i="24"/>
  <c r="W54" i="24" s="1"/>
  <c r="B23" i="24"/>
  <c r="W23" i="24" s="1"/>
  <c r="B70" i="24"/>
  <c r="W70" i="24" s="1"/>
  <c r="W231" i="23"/>
  <c r="D192" i="23"/>
  <c r="E192" i="23" s="1"/>
  <c r="F192" i="23" s="1"/>
  <c r="AA192" i="23" s="1"/>
  <c r="Z192" i="23" s="1"/>
  <c r="Y192" i="23" s="1"/>
  <c r="W170" i="23"/>
  <c r="B329" i="24"/>
  <c r="W329" i="24" s="1"/>
  <c r="W131" i="23"/>
  <c r="D306" i="23"/>
  <c r="E306" i="23" s="1"/>
  <c r="F306" i="23" s="1"/>
  <c r="G306" i="23" s="1"/>
  <c r="CD306" i="6" s="1"/>
  <c r="B30" i="24"/>
  <c r="D30" i="24" s="1"/>
  <c r="E30" i="24" s="1"/>
  <c r="F30" i="24" s="1"/>
  <c r="G79" i="22"/>
  <c r="CC79" i="6" s="1"/>
  <c r="G38" i="22"/>
  <c r="CC38" i="6" s="1"/>
  <c r="W312" i="23"/>
  <c r="B129" i="24"/>
  <c r="W129" i="24" s="1"/>
  <c r="AA18" i="22"/>
  <c r="Z18" i="22" s="1"/>
  <c r="Y18" i="22" s="1"/>
  <c r="D208" i="23"/>
  <c r="E208" i="23" s="1"/>
  <c r="F208" i="23" s="1"/>
  <c r="G208" i="23" s="1"/>
  <c r="CD208" i="6" s="1"/>
  <c r="D351" i="23"/>
  <c r="E351" i="23" s="1"/>
  <c r="F351" i="23" s="1"/>
  <c r="G351" i="23" s="1"/>
  <c r="CD351" i="6" s="1"/>
  <c r="D170" i="23"/>
  <c r="E170" i="23" s="1"/>
  <c r="F170" i="23" s="1"/>
  <c r="AA170" i="23" s="1"/>
  <c r="Z170" i="23" s="1"/>
  <c r="Y170" i="23" s="1"/>
  <c r="AA197" i="22"/>
  <c r="Z197" i="22" s="1"/>
  <c r="Y197" i="22" s="1"/>
  <c r="B95" i="24"/>
  <c r="W95" i="24" s="1"/>
  <c r="D329" i="23"/>
  <c r="E329" i="23" s="1"/>
  <c r="F329" i="23" s="1"/>
  <c r="G329" i="23" s="1"/>
  <c r="CD329" i="6" s="1"/>
  <c r="D131" i="23"/>
  <c r="E131" i="23" s="1"/>
  <c r="F131" i="23" s="1"/>
  <c r="G131" i="23" s="1"/>
  <c r="CD131" i="6" s="1"/>
  <c r="W79" i="23"/>
  <c r="W212" i="23"/>
  <c r="B269" i="24"/>
  <c r="W269" i="24" s="1"/>
  <c r="D300" i="23"/>
  <c r="E300" i="23" s="1"/>
  <c r="F300" i="23" s="1"/>
  <c r="AA300" i="23" s="1"/>
  <c r="Z300" i="23" s="1"/>
  <c r="Y300" i="23" s="1"/>
  <c r="D167" i="23"/>
  <c r="E167" i="23" s="1"/>
  <c r="F167" i="23" s="1"/>
  <c r="G167" i="23" s="1"/>
  <c r="CD167" i="6" s="1"/>
  <c r="G212" i="22"/>
  <c r="CC212" i="6" s="1"/>
  <c r="B19" i="24"/>
  <c r="W19" i="24" s="1"/>
  <c r="W35" i="23"/>
  <c r="AA331" i="22"/>
  <c r="Z331" i="22" s="1"/>
  <c r="Y331" i="22" s="1"/>
  <c r="W353" i="23"/>
  <c r="W193" i="23"/>
  <c r="B335" i="24"/>
  <c r="W335" i="24" s="1"/>
  <c r="W377" i="23"/>
  <c r="W363" i="23"/>
  <c r="G297" i="22"/>
  <c r="CC297" i="6" s="1"/>
  <c r="W94" i="23"/>
  <c r="D294" i="23"/>
  <c r="E294" i="23" s="1"/>
  <c r="F294" i="23" s="1"/>
  <c r="G294" i="23" s="1"/>
  <c r="CD294" i="6" s="1"/>
  <c r="B359" i="24"/>
  <c r="D359" i="24" s="1"/>
  <c r="E359" i="24" s="1"/>
  <c r="F359" i="24" s="1"/>
  <c r="D270" i="23"/>
  <c r="E270" i="23" s="1"/>
  <c r="F270" i="23" s="1"/>
  <c r="G270" i="23" s="1"/>
  <c r="CD270" i="6" s="1"/>
  <c r="AA259" i="22"/>
  <c r="Z259" i="22" s="1"/>
  <c r="Y259" i="22" s="1"/>
  <c r="B237" i="24"/>
  <c r="W237" i="24" s="1"/>
  <c r="B353" i="24"/>
  <c r="D353" i="24" s="1"/>
  <c r="E353" i="24" s="1"/>
  <c r="F353" i="24" s="1"/>
  <c r="W335" i="23"/>
  <c r="B377" i="24"/>
  <c r="D377" i="24" s="1"/>
  <c r="E377" i="24" s="1"/>
  <c r="F377" i="24" s="1"/>
  <c r="B348" i="24"/>
  <c r="W348" i="24" s="1"/>
  <c r="D94" i="23"/>
  <c r="E94" i="23" s="1"/>
  <c r="F94" i="23" s="1"/>
  <c r="AA94" i="23" s="1"/>
  <c r="Z94" i="23" s="1"/>
  <c r="Y94" i="23" s="1"/>
  <c r="W337" i="23"/>
  <c r="AA338" i="22"/>
  <c r="Z338" i="22" s="1"/>
  <c r="Y338" i="22" s="1"/>
  <c r="W359" i="23"/>
  <c r="G327" i="22"/>
  <c r="CC327" i="6" s="1"/>
  <c r="G367" i="22"/>
  <c r="CC367" i="6" s="1"/>
  <c r="B136" i="24"/>
  <c r="W136" i="24" s="1"/>
  <c r="W197" i="23"/>
  <c r="W237" i="23"/>
  <c r="D54" i="23"/>
  <c r="E54" i="23" s="1"/>
  <c r="F54" i="23" s="1"/>
  <c r="AA54" i="23" s="1"/>
  <c r="Z54" i="23" s="1"/>
  <c r="Y54" i="23" s="1"/>
  <c r="W30" i="23"/>
  <c r="B327" i="24"/>
  <c r="W327" i="24" s="1"/>
  <c r="W23" i="23"/>
  <c r="W129" i="23"/>
  <c r="W208" i="23"/>
  <c r="G265" i="22"/>
  <c r="CC265" i="6" s="1"/>
  <c r="D79" i="23"/>
  <c r="E79" i="23" s="1"/>
  <c r="F79" i="23" s="1"/>
  <c r="G79" i="23" s="1"/>
  <c r="CD79" i="6" s="1"/>
  <c r="D183" i="23"/>
  <c r="E183" i="23" s="1"/>
  <c r="F183" i="23" s="1"/>
  <c r="G183" i="23" s="1"/>
  <c r="CD183" i="6" s="1"/>
  <c r="G366" i="22"/>
  <c r="CC366" i="6" s="1"/>
  <c r="G97" i="22"/>
  <c r="CC97" i="6" s="1"/>
  <c r="D269" i="23"/>
  <c r="E269" i="23" s="1"/>
  <c r="F269" i="23" s="1"/>
  <c r="G269" i="23" s="1"/>
  <c r="CD269" i="6" s="1"/>
  <c r="B300" i="24"/>
  <c r="D300" i="24" s="1"/>
  <c r="E300" i="24" s="1"/>
  <c r="F300" i="24" s="1"/>
  <c r="B179" i="24"/>
  <c r="W179" i="24" s="1"/>
  <c r="W348" i="23"/>
  <c r="W19" i="23"/>
  <c r="D337" i="23"/>
  <c r="E337" i="23" s="1"/>
  <c r="F337" i="23" s="1"/>
  <c r="AA337" i="23" s="1"/>
  <c r="Z337" i="23" s="1"/>
  <c r="Y337" i="23" s="1"/>
  <c r="B301" i="24"/>
  <c r="D301" i="24" s="1"/>
  <c r="E301" i="24" s="1"/>
  <c r="F301" i="24" s="1"/>
  <c r="D358" i="23"/>
  <c r="E358" i="23" s="1"/>
  <c r="F358" i="23" s="1"/>
  <c r="AA358" i="23" s="1"/>
  <c r="Z358" i="23" s="1"/>
  <c r="Y358" i="23" s="1"/>
  <c r="B270" i="24"/>
  <c r="W270" i="24" s="1"/>
  <c r="D297" i="23"/>
  <c r="E297" i="23" s="1"/>
  <c r="F297" i="23" s="1"/>
  <c r="AA297" i="23" s="1"/>
  <c r="Z297" i="23" s="1"/>
  <c r="Y297" i="23" s="1"/>
  <c r="D197" i="23"/>
  <c r="E197" i="23" s="1"/>
  <c r="F197" i="23" s="1"/>
  <c r="G197" i="23" s="1"/>
  <c r="CD197" i="6" s="1"/>
  <c r="W179" i="23"/>
  <c r="B316" i="24"/>
  <c r="W316" i="24" s="1"/>
  <c r="D301" i="23"/>
  <c r="E301" i="23" s="1"/>
  <c r="F301" i="23" s="1"/>
  <c r="AA301" i="23" s="1"/>
  <c r="Z301" i="23" s="1"/>
  <c r="Y301" i="23" s="1"/>
  <c r="B358" i="24"/>
  <c r="W358" i="24" s="1"/>
  <c r="W136" i="23"/>
  <c r="B43" i="24"/>
  <c r="W43" i="24" s="1"/>
  <c r="AA224" i="22"/>
  <c r="Z224" i="22" s="1"/>
  <c r="Y224" i="22" s="1"/>
  <c r="B164" i="24"/>
  <c r="W164" i="24" s="1"/>
  <c r="W92" i="23"/>
  <c r="W366" i="23"/>
  <c r="D312" i="23"/>
  <c r="E312" i="23" s="1"/>
  <c r="F312" i="23" s="1"/>
  <c r="AA312" i="23" s="1"/>
  <c r="Z312" i="23" s="1"/>
  <c r="Y312" i="23" s="1"/>
  <c r="W95" i="23"/>
  <c r="W153" i="23"/>
  <c r="D344" i="23"/>
  <c r="E344" i="23" s="1"/>
  <c r="F344" i="23" s="1"/>
  <c r="G344" i="23" s="1"/>
  <c r="CD344" i="6" s="1"/>
  <c r="AA326" i="22"/>
  <c r="Z326" i="22" s="1"/>
  <c r="Y326" i="22" s="1"/>
  <c r="W183" i="23"/>
  <c r="D18" i="23"/>
  <c r="E18" i="23" s="1"/>
  <c r="F18" i="23" s="1"/>
  <c r="G18" i="23" s="1"/>
  <c r="CD18" i="6" s="1"/>
  <c r="B192" i="24"/>
  <c r="W192" i="24" s="1"/>
  <c r="D193" i="23"/>
  <c r="E193" i="23" s="1"/>
  <c r="F193" i="23" s="1"/>
  <c r="G193" i="23" s="1"/>
  <c r="CD193" i="6" s="1"/>
  <c r="D168" i="23"/>
  <c r="E168" i="23" s="1"/>
  <c r="F168" i="23" s="1"/>
  <c r="AA168" i="23" s="1"/>
  <c r="Z168" i="23" s="1"/>
  <c r="Y168" i="23" s="1"/>
  <c r="W316" i="23"/>
  <c r="G324" i="22"/>
  <c r="CC324" i="6" s="1"/>
  <c r="B294" i="24"/>
  <c r="W294" i="24" s="1"/>
  <c r="B155" i="24"/>
  <c r="W155" i="24" s="1"/>
  <c r="D43" i="23"/>
  <c r="E43" i="23" s="1"/>
  <c r="F43" i="23" s="1"/>
  <c r="G43" i="23" s="1"/>
  <c r="CD43" i="6" s="1"/>
  <c r="B297" i="24"/>
  <c r="D297" i="24" s="1"/>
  <c r="E297" i="24" s="1"/>
  <c r="F297" i="24" s="1"/>
  <c r="D116" i="23"/>
  <c r="E116" i="23" s="1"/>
  <c r="F116" i="23" s="1"/>
  <c r="G116" i="23" s="1"/>
  <c r="CD116" i="6" s="1"/>
  <c r="W168" i="23"/>
  <c r="AA164" i="22"/>
  <c r="Z164" i="22" s="1"/>
  <c r="Y164" i="22" s="1"/>
  <c r="D155" i="23"/>
  <c r="E155" i="23" s="1"/>
  <c r="F155" i="23" s="1"/>
  <c r="G155" i="23" s="1"/>
  <c r="CD155" i="6" s="1"/>
  <c r="B116" i="24"/>
  <c r="D116" i="24" s="1"/>
  <c r="E116" i="24" s="1"/>
  <c r="F116" i="24" s="1"/>
  <c r="H296" i="20"/>
  <c r="J296" i="20" s="1"/>
  <c r="J205" i="20"/>
  <c r="J205" i="22" s="1"/>
  <c r="D35" i="23"/>
  <c r="E35" i="23" s="1"/>
  <c r="F35" i="23" s="1"/>
  <c r="AA35" i="23" s="1"/>
  <c r="Z35" i="23" s="1"/>
  <c r="Y35" i="23" s="1"/>
  <c r="AA227" i="22"/>
  <c r="Z227" i="22" s="1"/>
  <c r="Y227" i="22" s="1"/>
  <c r="D92" i="23"/>
  <c r="E92" i="23" s="1"/>
  <c r="F92" i="23" s="1"/>
  <c r="AA92" i="23" s="1"/>
  <c r="Z92" i="23" s="1"/>
  <c r="Y92" i="23" s="1"/>
  <c r="D366" i="23"/>
  <c r="E366" i="23" s="1"/>
  <c r="F366" i="23" s="1"/>
  <c r="AA366" i="23" s="1"/>
  <c r="Z366" i="23" s="1"/>
  <c r="Y366" i="23" s="1"/>
  <c r="D164" i="23"/>
  <c r="E164" i="23" s="1"/>
  <c r="F164" i="23" s="1"/>
  <c r="G164" i="23" s="1"/>
  <c r="CD164" i="6" s="1"/>
  <c r="B338" i="24"/>
  <c r="D338" i="24" s="1"/>
  <c r="E338" i="24" s="1"/>
  <c r="F338" i="24" s="1"/>
  <c r="B284" i="24"/>
  <c r="D284" i="24" s="1"/>
  <c r="E284" i="24" s="1"/>
  <c r="F284" i="24" s="1"/>
  <c r="B224" i="24"/>
  <c r="W224" i="24" s="1"/>
  <c r="B97" i="24"/>
  <c r="D97" i="24" s="1"/>
  <c r="E97" i="24" s="1"/>
  <c r="F97" i="24" s="1"/>
  <c r="D255" i="23"/>
  <c r="E255" i="23" s="1"/>
  <c r="F255" i="23" s="1"/>
  <c r="G255" i="23" s="1"/>
  <c r="CD255" i="6" s="1"/>
  <c r="D180" i="23"/>
  <c r="E180" i="23" s="1"/>
  <c r="F180" i="23" s="1"/>
  <c r="AA180" i="23" s="1"/>
  <c r="Z180" i="23" s="1"/>
  <c r="Y180" i="23" s="1"/>
  <c r="D64" i="23"/>
  <c r="E64" i="23" s="1"/>
  <c r="F64" i="23" s="1"/>
  <c r="G64" i="23" s="1"/>
  <c r="CD64" i="6" s="1"/>
  <c r="D243" i="23"/>
  <c r="E243" i="23" s="1"/>
  <c r="F243" i="23" s="1"/>
  <c r="G243" i="23" s="1"/>
  <c r="CD243" i="6" s="1"/>
  <c r="AA153" i="22"/>
  <c r="Z153" i="22" s="1"/>
  <c r="Y153" i="22" s="1"/>
  <c r="D216" i="23"/>
  <c r="E216" i="23" s="1"/>
  <c r="F216" i="23" s="1"/>
  <c r="AA216" i="23" s="1"/>
  <c r="Z216" i="23" s="1"/>
  <c r="Y216" i="23" s="1"/>
  <c r="B153" i="24"/>
  <c r="W153" i="24" s="1"/>
  <c r="AA284" i="22"/>
  <c r="Z284" i="22" s="1"/>
  <c r="Y284" i="22" s="1"/>
  <c r="D55" i="23"/>
  <c r="E55" i="23" s="1"/>
  <c r="F55" i="23" s="1"/>
  <c r="G55" i="23" s="1"/>
  <c r="CD55" i="6" s="1"/>
  <c r="B180" i="24"/>
  <c r="W180" i="24" s="1"/>
  <c r="B64" i="24"/>
  <c r="W64" i="24" s="1"/>
  <c r="B243" i="24"/>
  <c r="W243" i="24" s="1"/>
  <c r="B216" i="24"/>
  <c r="W216" i="24" s="1"/>
  <c r="I251" i="20"/>
  <c r="H251" i="22" s="1"/>
  <c r="J251" i="22" s="1"/>
  <c r="B344" i="24"/>
  <c r="W344" i="24" s="1"/>
  <c r="W323" i="23"/>
  <c r="AA228" i="22"/>
  <c r="Z228" i="22" s="1"/>
  <c r="Y228" i="22" s="1"/>
  <c r="W55" i="23"/>
  <c r="W265" i="23"/>
  <c r="W326" i="23"/>
  <c r="W228" i="23"/>
  <c r="W258" i="23"/>
  <c r="D227" i="23"/>
  <c r="E227" i="23" s="1"/>
  <c r="F227" i="23" s="1"/>
  <c r="AA227" i="23" s="1"/>
  <c r="Z227" i="23" s="1"/>
  <c r="Y227" i="23" s="1"/>
  <c r="D265" i="23"/>
  <c r="E265" i="23" s="1"/>
  <c r="F265" i="23" s="1"/>
  <c r="G265" i="23" s="1"/>
  <c r="CD265" i="6" s="1"/>
  <c r="H191" i="20"/>
  <c r="I191" i="20" s="1"/>
  <c r="H191" i="22" s="1"/>
  <c r="B326" i="24"/>
  <c r="D326" i="24" s="1"/>
  <c r="E326" i="24" s="1"/>
  <c r="F326" i="24" s="1"/>
  <c r="D367" i="23"/>
  <c r="E367" i="23" s="1"/>
  <c r="F367" i="23" s="1"/>
  <c r="G367" i="23" s="1"/>
  <c r="CD367" i="6" s="1"/>
  <c r="D228" i="23"/>
  <c r="E228" i="23" s="1"/>
  <c r="F228" i="23" s="1"/>
  <c r="AA228" i="23" s="1"/>
  <c r="Z228" i="23" s="1"/>
  <c r="Y228" i="23" s="1"/>
  <c r="W227" i="23"/>
  <c r="W38" i="23"/>
  <c r="I217" i="20"/>
  <c r="H217" i="22" s="1"/>
  <c r="J217" i="22" s="1"/>
  <c r="B367" i="24"/>
  <c r="D367" i="24" s="1"/>
  <c r="E367" i="24" s="1"/>
  <c r="F367" i="24" s="1"/>
  <c r="H53" i="20"/>
  <c r="I53" i="20" s="1"/>
  <c r="H53" i="22" s="1"/>
  <c r="D338" i="23"/>
  <c r="E338" i="23" s="1"/>
  <c r="F338" i="23" s="1"/>
  <c r="G338" i="23" s="1"/>
  <c r="CD338" i="6" s="1"/>
  <c r="W284" i="23"/>
  <c r="D224" i="23"/>
  <c r="E224" i="23" s="1"/>
  <c r="F224" i="23" s="1"/>
  <c r="G224" i="23" s="1"/>
  <c r="CD224" i="6" s="1"/>
  <c r="D97" i="23"/>
  <c r="E97" i="23" s="1"/>
  <c r="F97" i="23" s="1"/>
  <c r="G97" i="23" s="1"/>
  <c r="CD97" i="6" s="1"/>
  <c r="W255" i="23"/>
  <c r="H128" i="20"/>
  <c r="H185" i="20"/>
  <c r="I185" i="20" s="1"/>
  <c r="H185" i="22" s="1"/>
  <c r="H109" i="20"/>
  <c r="I109" i="20" s="1"/>
  <c r="H109" i="22" s="1"/>
  <c r="H371" i="20"/>
  <c r="H87" i="20"/>
  <c r="J87" i="20" s="1"/>
  <c r="H76" i="20"/>
  <c r="J76" i="20" s="1"/>
  <c r="H347" i="20"/>
  <c r="H173" i="20"/>
  <c r="I173" i="20" s="1"/>
  <c r="H173" i="22" s="1"/>
  <c r="H206" i="20"/>
  <c r="I206" i="20" s="1"/>
  <c r="H206" i="22" s="1"/>
  <c r="H44" i="20"/>
  <c r="J44" i="20" s="1"/>
  <c r="D324" i="23"/>
  <c r="E324" i="23" s="1"/>
  <c r="F324" i="23" s="1"/>
  <c r="G324" i="23" s="1"/>
  <c r="CD324" i="6" s="1"/>
  <c r="H234" i="20"/>
  <c r="J234" i="20" s="1"/>
  <c r="H25" i="20"/>
  <c r="H112" i="20"/>
  <c r="I112" i="20" s="1"/>
  <c r="H112" i="22" s="1"/>
  <c r="D258" i="23"/>
  <c r="E258" i="23" s="1"/>
  <c r="F258" i="23" s="1"/>
  <c r="G258" i="23" s="1"/>
  <c r="CD258" i="6" s="1"/>
  <c r="H275" i="20"/>
  <c r="I275" i="20" s="1"/>
  <c r="H275" i="22" s="1"/>
  <c r="D38" i="23"/>
  <c r="E38" i="23" s="1"/>
  <c r="F38" i="23" s="1"/>
  <c r="G38" i="23" s="1"/>
  <c r="CD38" i="6" s="1"/>
  <c r="B324" i="24"/>
  <c r="D324" i="24" s="1"/>
  <c r="E324" i="24" s="1"/>
  <c r="F324" i="24" s="1"/>
  <c r="H88" i="20"/>
  <c r="H119" i="20"/>
  <c r="I119" i="20" s="1"/>
  <c r="H119" i="22" s="1"/>
  <c r="H245" i="20"/>
  <c r="I245" i="20" s="1"/>
  <c r="H245" i="22" s="1"/>
  <c r="H289" i="20"/>
  <c r="J289" i="20" s="1"/>
  <c r="H223" i="20"/>
  <c r="H71" i="20"/>
  <c r="I71" i="20" s="1"/>
  <c r="H71" i="22" s="1"/>
  <c r="H114" i="20"/>
  <c r="J114" i="20" s="1"/>
  <c r="H163" i="20"/>
  <c r="J163" i="20" s="1"/>
  <c r="H160" i="20"/>
  <c r="I160" i="20" s="1"/>
  <c r="H160" i="22" s="1"/>
  <c r="H334" i="20"/>
  <c r="I334" i="20" s="1"/>
  <c r="H334" i="22" s="1"/>
  <c r="H328" i="20"/>
  <c r="G380" i="20"/>
  <c r="CB380" i="6" s="1"/>
  <c r="AA380" i="20"/>
  <c r="Z380" i="20" s="1"/>
  <c r="Y380" i="20" s="1"/>
  <c r="H253" i="20"/>
  <c r="I253" i="20" s="1"/>
  <c r="H253" i="22" s="1"/>
  <c r="H187" i="20"/>
  <c r="H85" i="20"/>
  <c r="H186" i="20"/>
  <c r="H169" i="20"/>
  <c r="H218" i="20"/>
  <c r="I218" i="20" s="1"/>
  <c r="H218" i="22" s="1"/>
  <c r="H89" i="20"/>
  <c r="H250" i="20"/>
  <c r="J250" i="20" s="1"/>
  <c r="H295" i="20"/>
  <c r="I295" i="20" s="1"/>
  <c r="H295" i="22" s="1"/>
  <c r="BA192" i="6"/>
  <c r="D192" i="6" s="1"/>
  <c r="W100" i="24"/>
  <c r="D100" i="24"/>
  <c r="E100" i="24" s="1"/>
  <c r="F100" i="24" s="1"/>
  <c r="B100" i="25"/>
  <c r="G32" i="23"/>
  <c r="CD32" i="6" s="1"/>
  <c r="AA32" i="23"/>
  <c r="Z32" i="23" s="1"/>
  <c r="Y32" i="23" s="1"/>
  <c r="G229" i="23"/>
  <c r="CD229" i="6" s="1"/>
  <c r="AA229" i="23"/>
  <c r="Z229" i="23" s="1"/>
  <c r="Y229" i="23" s="1"/>
  <c r="I205" i="22"/>
  <c r="W134" i="24"/>
  <c r="D134" i="24"/>
  <c r="E134" i="24" s="1"/>
  <c r="F134" i="24" s="1"/>
  <c r="B134" i="25"/>
  <c r="AA68" i="23"/>
  <c r="Z68" i="23" s="1"/>
  <c r="Y68" i="23" s="1"/>
  <c r="G68" i="23"/>
  <c r="CD68" i="6" s="1"/>
  <c r="G213" i="22"/>
  <c r="CC213" i="6" s="1"/>
  <c r="AA213" i="22"/>
  <c r="Z213" i="22" s="1"/>
  <c r="Y213" i="22" s="1"/>
  <c r="W280" i="24"/>
  <c r="D280" i="24"/>
  <c r="E280" i="24" s="1"/>
  <c r="F280" i="24" s="1"/>
  <c r="B280" i="25"/>
  <c r="W172" i="24"/>
  <c r="D172" i="24"/>
  <c r="E172" i="24" s="1"/>
  <c r="F172" i="24" s="1"/>
  <c r="B172" i="25"/>
  <c r="AA20" i="22"/>
  <c r="Z20" i="22" s="1"/>
  <c r="Y20" i="22" s="1"/>
  <c r="G20" i="22"/>
  <c r="CC20" i="6" s="1"/>
  <c r="G267" i="22"/>
  <c r="CC267" i="6" s="1"/>
  <c r="AA267" i="22"/>
  <c r="Z267" i="22" s="1"/>
  <c r="Y267" i="22" s="1"/>
  <c r="G141" i="23"/>
  <c r="CD141" i="6" s="1"/>
  <c r="AA141" i="23"/>
  <c r="Z141" i="23" s="1"/>
  <c r="Y141" i="23" s="1"/>
  <c r="W141" i="24"/>
  <c r="D141" i="24"/>
  <c r="E141" i="24" s="1"/>
  <c r="F141" i="24" s="1"/>
  <c r="B141" i="25"/>
  <c r="G59" i="23"/>
  <c r="CD59" i="6" s="1"/>
  <c r="AA59" i="23"/>
  <c r="Z59" i="23" s="1"/>
  <c r="Y59" i="23" s="1"/>
  <c r="AA142" i="23"/>
  <c r="Z142" i="23" s="1"/>
  <c r="Y142" i="23" s="1"/>
  <c r="G142" i="23"/>
  <c r="CD142" i="6" s="1"/>
  <c r="W339" i="23"/>
  <c r="D339" i="23"/>
  <c r="E339" i="23" s="1"/>
  <c r="F339" i="23" s="1"/>
  <c r="B339" i="24"/>
  <c r="G291" i="22"/>
  <c r="CC291" i="6" s="1"/>
  <c r="AA291" i="22"/>
  <c r="Z291" i="22" s="1"/>
  <c r="Y291" i="22" s="1"/>
  <c r="W291" i="23"/>
  <c r="D291" i="23"/>
  <c r="E291" i="23" s="1"/>
  <c r="F291" i="23" s="1"/>
  <c r="B291" i="24"/>
  <c r="G209" i="23"/>
  <c r="CD209" i="6" s="1"/>
  <c r="AA209" i="23"/>
  <c r="Z209" i="23" s="1"/>
  <c r="Y209" i="23" s="1"/>
  <c r="G147" i="23"/>
  <c r="CD147" i="6" s="1"/>
  <c r="AA147" i="23"/>
  <c r="Z147" i="23" s="1"/>
  <c r="Y147" i="23" s="1"/>
  <c r="W49" i="23"/>
  <c r="D49" i="23"/>
  <c r="E49" i="23" s="1"/>
  <c r="F49" i="23" s="1"/>
  <c r="B49" i="24"/>
  <c r="D276" i="24"/>
  <c r="E276" i="24" s="1"/>
  <c r="F276" i="24" s="1"/>
  <c r="W276" i="24"/>
  <c r="B276" i="25"/>
  <c r="G254" i="22"/>
  <c r="CC254" i="6" s="1"/>
  <c r="AA254" i="22"/>
  <c r="Z254" i="22" s="1"/>
  <c r="Y254" i="22" s="1"/>
  <c r="G42" i="22"/>
  <c r="CC42" i="6" s="1"/>
  <c r="AA42" i="22"/>
  <c r="Z42" i="22" s="1"/>
  <c r="Y42" i="22" s="1"/>
  <c r="AA249" i="22"/>
  <c r="Z249" i="22" s="1"/>
  <c r="Y249" i="22" s="1"/>
  <c r="G249" i="22"/>
  <c r="CC249" i="6" s="1"/>
  <c r="G189" i="23"/>
  <c r="CD189" i="6" s="1"/>
  <c r="AA189" i="23"/>
  <c r="Z189" i="23" s="1"/>
  <c r="Y189" i="23" s="1"/>
  <c r="W368" i="24"/>
  <c r="D368" i="24"/>
  <c r="E368" i="24" s="1"/>
  <c r="F368" i="24" s="1"/>
  <c r="B368" i="25"/>
  <c r="W232" i="23"/>
  <c r="D232" i="23"/>
  <c r="E232" i="23" s="1"/>
  <c r="F232" i="23" s="1"/>
  <c r="B232" i="24"/>
  <c r="W62" i="23"/>
  <c r="D62" i="23"/>
  <c r="E62" i="23" s="1"/>
  <c r="F62" i="23" s="1"/>
  <c r="B62" i="24"/>
  <c r="W309" i="23"/>
  <c r="D309" i="23"/>
  <c r="E309" i="23" s="1"/>
  <c r="F309" i="23" s="1"/>
  <c r="B309" i="24"/>
  <c r="G374" i="22"/>
  <c r="CC374" i="6" s="1"/>
  <c r="AA374" i="22"/>
  <c r="Z374" i="22" s="1"/>
  <c r="Y374" i="22" s="1"/>
  <c r="G362" i="22"/>
  <c r="CC362" i="6" s="1"/>
  <c r="AA362" i="22"/>
  <c r="Z362" i="22" s="1"/>
  <c r="Y362" i="22" s="1"/>
  <c r="G290" i="22"/>
  <c r="CC290" i="6" s="1"/>
  <c r="AA290" i="22"/>
  <c r="Z290" i="22" s="1"/>
  <c r="Y290" i="22" s="1"/>
  <c r="D158" i="24"/>
  <c r="E158" i="24" s="1"/>
  <c r="F158" i="24" s="1"/>
  <c r="W158" i="24"/>
  <c r="B158" i="25"/>
  <c r="G225" i="22"/>
  <c r="CC225" i="6" s="1"/>
  <c r="AA225" i="22"/>
  <c r="Z225" i="22" s="1"/>
  <c r="Y225" i="22" s="1"/>
  <c r="G26" i="23"/>
  <c r="CD26" i="6" s="1"/>
  <c r="AA26" i="23"/>
  <c r="Z26" i="23" s="1"/>
  <c r="Y26" i="23" s="1"/>
  <c r="W26" i="24"/>
  <c r="D26" i="24"/>
  <c r="E26" i="24" s="1"/>
  <c r="F26" i="24" s="1"/>
  <c r="B26" i="25"/>
  <c r="W325" i="23"/>
  <c r="D325" i="23"/>
  <c r="E325" i="23" s="1"/>
  <c r="F325" i="23" s="1"/>
  <c r="B325" i="24"/>
  <c r="W277" i="23"/>
  <c r="D277" i="23"/>
  <c r="E277" i="23" s="1"/>
  <c r="F277" i="23" s="1"/>
  <c r="B277" i="24"/>
  <c r="D193" i="24"/>
  <c r="E193" i="24" s="1"/>
  <c r="F193" i="24" s="1"/>
  <c r="W193" i="24"/>
  <c r="B193" i="25"/>
  <c r="G120" i="23"/>
  <c r="CD120" i="6" s="1"/>
  <c r="AA120" i="23"/>
  <c r="Z120" i="23" s="1"/>
  <c r="Y120" i="23" s="1"/>
  <c r="G327" i="23"/>
  <c r="CD327" i="6" s="1"/>
  <c r="AA327" i="23"/>
  <c r="Z327" i="23" s="1"/>
  <c r="Y327" i="23" s="1"/>
  <c r="W233" i="23"/>
  <c r="D233" i="23"/>
  <c r="E233" i="23" s="1"/>
  <c r="F233" i="23" s="1"/>
  <c r="B233" i="24"/>
  <c r="W123" i="23"/>
  <c r="D123" i="23"/>
  <c r="E123" i="23" s="1"/>
  <c r="F123" i="23" s="1"/>
  <c r="B123" i="24"/>
  <c r="D45" i="23"/>
  <c r="E45" i="23" s="1"/>
  <c r="F45" i="23" s="1"/>
  <c r="W45" i="23"/>
  <c r="B45" i="24"/>
  <c r="G282" i="22"/>
  <c r="CC282" i="6" s="1"/>
  <c r="AA282" i="22"/>
  <c r="Z282" i="22" s="1"/>
  <c r="Y282" i="22" s="1"/>
  <c r="W230" i="24"/>
  <c r="D230" i="24"/>
  <c r="E230" i="24" s="1"/>
  <c r="F230" i="24" s="1"/>
  <c r="B230" i="25"/>
  <c r="G118" i="23"/>
  <c r="CD118" i="6" s="1"/>
  <c r="AA118" i="23"/>
  <c r="Z118" i="23" s="1"/>
  <c r="Y118" i="23" s="1"/>
  <c r="G219" i="22"/>
  <c r="CC219" i="6" s="1"/>
  <c r="AA219" i="22"/>
  <c r="Z219" i="22" s="1"/>
  <c r="Y219" i="22" s="1"/>
  <c r="G173" i="22"/>
  <c r="CC173" i="6" s="1"/>
  <c r="AA173" i="22"/>
  <c r="Z173" i="22" s="1"/>
  <c r="Y173" i="22" s="1"/>
  <c r="W89" i="23"/>
  <c r="D89" i="23"/>
  <c r="E89" i="23" s="1"/>
  <c r="F89" i="23" s="1"/>
  <c r="B89" i="24"/>
  <c r="W61" i="23"/>
  <c r="D61" i="23"/>
  <c r="E61" i="23" s="1"/>
  <c r="F61" i="23" s="1"/>
  <c r="B61" i="24"/>
  <c r="G175" i="23"/>
  <c r="CD175" i="6" s="1"/>
  <c r="AA175" i="23"/>
  <c r="Z175" i="23" s="1"/>
  <c r="Y175" i="23" s="1"/>
  <c r="G302" i="23"/>
  <c r="CD302" i="6" s="1"/>
  <c r="AA302" i="23"/>
  <c r="Z302" i="23" s="1"/>
  <c r="Y302" i="23" s="1"/>
  <c r="D194" i="23"/>
  <c r="E194" i="23" s="1"/>
  <c r="F194" i="23" s="1"/>
  <c r="W194" i="23"/>
  <c r="B194" i="24"/>
  <c r="AA111" i="23"/>
  <c r="Z111" i="23" s="1"/>
  <c r="Y111" i="23" s="1"/>
  <c r="G111" i="23"/>
  <c r="CD111" i="6" s="1"/>
  <c r="G17" i="23"/>
  <c r="CD17" i="6" s="1"/>
  <c r="AA17" i="23"/>
  <c r="Z17" i="23" s="1"/>
  <c r="Y17" i="23" s="1"/>
  <c r="G349" i="22"/>
  <c r="CC349" i="6" s="1"/>
  <c r="AA349" i="22"/>
  <c r="Z349" i="22" s="1"/>
  <c r="Y349" i="22" s="1"/>
  <c r="W149" i="24"/>
  <c r="D149" i="24"/>
  <c r="E149" i="24" s="1"/>
  <c r="F149" i="24" s="1"/>
  <c r="B149" i="25"/>
  <c r="G23" i="23"/>
  <c r="CD23" i="6" s="1"/>
  <c r="AA23" i="23"/>
  <c r="Z23" i="23" s="1"/>
  <c r="Y23" i="23" s="1"/>
  <c r="G281" i="23"/>
  <c r="CD281" i="6" s="1"/>
  <c r="AA281" i="23"/>
  <c r="Z281" i="23" s="1"/>
  <c r="Y281" i="23" s="1"/>
  <c r="G247" i="23"/>
  <c r="CD247" i="6" s="1"/>
  <c r="AA247" i="23"/>
  <c r="Z247" i="23" s="1"/>
  <c r="Y247" i="23" s="1"/>
  <c r="G159" i="22"/>
  <c r="CC159" i="6" s="1"/>
  <c r="AA159" i="22"/>
  <c r="Z159" i="22" s="1"/>
  <c r="Y159" i="22" s="1"/>
  <c r="W210" i="23"/>
  <c r="B210" i="24"/>
  <c r="D210" i="23"/>
  <c r="E210" i="23" s="1"/>
  <c r="F210" i="23" s="1"/>
  <c r="G135" i="22"/>
  <c r="CC135" i="6" s="1"/>
  <c r="AA135" i="22"/>
  <c r="Z135" i="22" s="1"/>
  <c r="Y135" i="22" s="1"/>
  <c r="BA153" i="6"/>
  <c r="D153" i="6" s="1"/>
  <c r="BA79" i="6"/>
  <c r="D79" i="6" s="1"/>
  <c r="BA327" i="6"/>
  <c r="D327" i="6" s="1"/>
  <c r="BA367" i="6"/>
  <c r="D367" i="6" s="1"/>
  <c r="BA18" i="6"/>
  <c r="D18" i="6" s="1"/>
  <c r="BA331" i="6"/>
  <c r="D331" i="6" s="1"/>
  <c r="BA211" i="6"/>
  <c r="BA235" i="6"/>
  <c r="D235" i="6" s="1"/>
  <c r="BA103" i="6"/>
  <c r="D103" i="6" s="1"/>
  <c r="BA252" i="6"/>
  <c r="D252" i="6" s="1"/>
  <c r="BA204" i="6"/>
  <c r="D204" i="6" s="1"/>
  <c r="H204" i="20"/>
  <c r="BA40" i="6"/>
  <c r="D40" i="6" s="1"/>
  <c r="BA199" i="6"/>
  <c r="D199" i="6" s="1"/>
  <c r="H199" i="20"/>
  <c r="BA113" i="6"/>
  <c r="BA280" i="6"/>
  <c r="D280" i="6" s="1"/>
  <c r="BA375" i="6"/>
  <c r="D375" i="6" s="1"/>
  <c r="BA341" i="6"/>
  <c r="D341" i="6" s="1"/>
  <c r="BA285" i="6"/>
  <c r="D285" i="6" s="1"/>
  <c r="H285" i="20"/>
  <c r="BA209" i="6"/>
  <c r="D209" i="6" s="1"/>
  <c r="H209" i="20"/>
  <c r="BA47" i="6"/>
  <c r="D47" i="6" s="1"/>
  <c r="H47" i="20"/>
  <c r="BA336" i="6"/>
  <c r="D336" i="6" s="1"/>
  <c r="BA308" i="6"/>
  <c r="D308" i="6" s="1"/>
  <c r="BA178" i="6"/>
  <c r="D178" i="6" s="1"/>
  <c r="BA106" i="6"/>
  <c r="D106" i="6" s="1"/>
  <c r="BA271" i="6"/>
  <c r="D271" i="6" s="1"/>
  <c r="BA130" i="6"/>
  <c r="D130" i="6" s="1"/>
  <c r="BA66" i="6"/>
  <c r="D66" i="6" s="1"/>
  <c r="BA111" i="6"/>
  <c r="D111" i="6" s="1"/>
  <c r="BA17" i="6"/>
  <c r="D17" i="6" s="1"/>
  <c r="BA177" i="6"/>
  <c r="D177" i="6" s="1"/>
  <c r="BA30" i="6"/>
  <c r="D30" i="6" s="1"/>
  <c r="BA54" i="6"/>
  <c r="D54" i="6" s="1"/>
  <c r="G81" i="22"/>
  <c r="CC81" i="6" s="1"/>
  <c r="AA81" i="22"/>
  <c r="Z81" i="22" s="1"/>
  <c r="Y81" i="22" s="1"/>
  <c r="G332" i="22"/>
  <c r="CC332" i="6" s="1"/>
  <c r="AA332" i="22"/>
  <c r="Z332" i="22" s="1"/>
  <c r="Y332" i="22" s="1"/>
  <c r="G321" i="22"/>
  <c r="CC321" i="6" s="1"/>
  <c r="AA321" i="22"/>
  <c r="Z321" i="22" s="1"/>
  <c r="Y321" i="22" s="1"/>
  <c r="W163" i="23"/>
  <c r="D163" i="23"/>
  <c r="E163" i="23" s="1"/>
  <c r="F163" i="23" s="1"/>
  <c r="B163" i="24"/>
  <c r="W98" i="23"/>
  <c r="D98" i="23"/>
  <c r="E98" i="23" s="1"/>
  <c r="F98" i="23" s="1"/>
  <c r="B98" i="24"/>
  <c r="G207" i="23"/>
  <c r="CD207" i="6" s="1"/>
  <c r="AA207" i="23"/>
  <c r="Z207" i="23" s="1"/>
  <c r="Y207" i="23" s="1"/>
  <c r="G342" i="23"/>
  <c r="CD342" i="6" s="1"/>
  <c r="AA342" i="23"/>
  <c r="Z342" i="23" s="1"/>
  <c r="Y342" i="23" s="1"/>
  <c r="D200" i="24"/>
  <c r="E200" i="24" s="1"/>
  <c r="F200" i="24" s="1"/>
  <c r="W200" i="24"/>
  <c r="B200" i="25"/>
  <c r="W168" i="24"/>
  <c r="B168" i="25"/>
  <c r="D168" i="24"/>
  <c r="E168" i="24" s="1"/>
  <c r="F168" i="24" s="1"/>
  <c r="H72" i="20"/>
  <c r="G40" i="23"/>
  <c r="CD40" i="6" s="1"/>
  <c r="AA40" i="23"/>
  <c r="Z40" i="23" s="1"/>
  <c r="Y40" i="23" s="1"/>
  <c r="D343" i="24"/>
  <c r="E343" i="24" s="1"/>
  <c r="F343" i="24" s="1"/>
  <c r="W343" i="24"/>
  <c r="B343" i="25"/>
  <c r="H315" i="20"/>
  <c r="D315" i="23"/>
  <c r="E315" i="23" s="1"/>
  <c r="F315" i="23" s="1"/>
  <c r="W315" i="23"/>
  <c r="B315" i="24"/>
  <c r="G239" i="22"/>
  <c r="CC239" i="6" s="1"/>
  <c r="AA239" i="22"/>
  <c r="Z239" i="22" s="1"/>
  <c r="Y239" i="22" s="1"/>
  <c r="W239" i="23"/>
  <c r="D239" i="23"/>
  <c r="E239" i="23" s="1"/>
  <c r="F239" i="23" s="1"/>
  <c r="B239" i="24"/>
  <c r="W113" i="24"/>
  <c r="D113" i="24"/>
  <c r="E113" i="24" s="1"/>
  <c r="F113" i="24" s="1"/>
  <c r="B113" i="25"/>
  <c r="G350" i="22"/>
  <c r="CC350" i="6" s="1"/>
  <c r="AA350" i="22"/>
  <c r="Z350" i="22" s="1"/>
  <c r="Y350" i="22" s="1"/>
  <c r="H266" i="20"/>
  <c r="W238" i="24"/>
  <c r="D238" i="24"/>
  <c r="E238" i="24" s="1"/>
  <c r="F238" i="24" s="1"/>
  <c r="B238" i="25"/>
  <c r="G160" i="22"/>
  <c r="CC160" i="6" s="1"/>
  <c r="AA160" i="22"/>
  <c r="Z160" i="22" s="1"/>
  <c r="Y160" i="22" s="1"/>
  <c r="G48" i="22"/>
  <c r="CC48" i="6" s="1"/>
  <c r="AA48" i="22"/>
  <c r="Z48" i="22" s="1"/>
  <c r="Y48" i="22" s="1"/>
  <c r="G357" i="22"/>
  <c r="CC357" i="6" s="1"/>
  <c r="AA357" i="22"/>
  <c r="Z357" i="22" s="1"/>
  <c r="Y357" i="22" s="1"/>
  <c r="W357" i="23"/>
  <c r="D357" i="23"/>
  <c r="E357" i="23" s="1"/>
  <c r="F357" i="23" s="1"/>
  <c r="B357" i="24"/>
  <c r="G307" i="22"/>
  <c r="CC307" i="6" s="1"/>
  <c r="AA307" i="22"/>
  <c r="Z307" i="22" s="1"/>
  <c r="Y307" i="22" s="1"/>
  <c r="H372" i="20"/>
  <c r="W250" i="23"/>
  <c r="D250" i="23"/>
  <c r="E250" i="23" s="1"/>
  <c r="F250" i="23" s="1"/>
  <c r="B250" i="24"/>
  <c r="W126" i="23"/>
  <c r="D126" i="23"/>
  <c r="E126" i="23" s="1"/>
  <c r="F126" i="23" s="1"/>
  <c r="B126" i="24"/>
  <c r="G96" i="22"/>
  <c r="CC96" i="6" s="1"/>
  <c r="AA96" i="22"/>
  <c r="Z96" i="22" s="1"/>
  <c r="Y96" i="22" s="1"/>
  <c r="W34" i="23"/>
  <c r="D34" i="23"/>
  <c r="E34" i="23" s="1"/>
  <c r="F34" i="23" s="1"/>
  <c r="B34" i="24"/>
  <c r="W341" i="24"/>
  <c r="B341" i="25"/>
  <c r="D341" i="24"/>
  <c r="E341" i="24" s="1"/>
  <c r="F341" i="24" s="1"/>
  <c r="W93" i="24"/>
  <c r="D93" i="24"/>
  <c r="E93" i="24" s="1"/>
  <c r="F93" i="24" s="1"/>
  <c r="B93" i="25"/>
  <c r="G31" i="22"/>
  <c r="CC31" i="6" s="1"/>
  <c r="AA31" i="22"/>
  <c r="Z31" i="22" s="1"/>
  <c r="Y31" i="22" s="1"/>
  <c r="G140" i="22"/>
  <c r="CC140" i="6" s="1"/>
  <c r="AA140" i="22"/>
  <c r="Z140" i="22" s="1"/>
  <c r="Y140" i="22" s="1"/>
  <c r="W140" i="23"/>
  <c r="D140" i="23"/>
  <c r="E140" i="23" s="1"/>
  <c r="F140" i="23" s="1"/>
  <c r="B140" i="24"/>
  <c r="H110" i="20"/>
  <c r="G37" i="22"/>
  <c r="CC37" i="6" s="1"/>
  <c r="AA37" i="22"/>
  <c r="Z37" i="22" s="1"/>
  <c r="Y37" i="22" s="1"/>
  <c r="D244" i="23"/>
  <c r="E244" i="23" s="1"/>
  <c r="F244" i="23" s="1"/>
  <c r="W244" i="23"/>
  <c r="B244" i="24"/>
  <c r="W248" i="23"/>
  <c r="D248" i="23"/>
  <c r="E248" i="23" s="1"/>
  <c r="F248" i="23" s="1"/>
  <c r="B248" i="24"/>
  <c r="W295" i="23"/>
  <c r="D295" i="23"/>
  <c r="E295" i="23" s="1"/>
  <c r="F295" i="23" s="1"/>
  <c r="B295" i="24"/>
  <c r="G125" i="22"/>
  <c r="CC125" i="6" s="1"/>
  <c r="AA125" i="22"/>
  <c r="Z125" i="22" s="1"/>
  <c r="Y125" i="22" s="1"/>
  <c r="W157" i="23"/>
  <c r="D157" i="23"/>
  <c r="E157" i="23" s="1"/>
  <c r="F157" i="23" s="1"/>
  <c r="B157" i="24"/>
  <c r="G305" i="23"/>
  <c r="CD305" i="6" s="1"/>
  <c r="AA305" i="23"/>
  <c r="Z305" i="23" s="1"/>
  <c r="Y305" i="23" s="1"/>
  <c r="W252" i="24"/>
  <c r="D252" i="24"/>
  <c r="E252" i="24" s="1"/>
  <c r="F252" i="24" s="1"/>
  <c r="B252" i="25"/>
  <c r="G204" i="23"/>
  <c r="CD204" i="6" s="1"/>
  <c r="AA204" i="23"/>
  <c r="Z204" i="23" s="1"/>
  <c r="Y204" i="23" s="1"/>
  <c r="W204" i="24"/>
  <c r="D204" i="24"/>
  <c r="E204" i="24" s="1"/>
  <c r="F204" i="24" s="1"/>
  <c r="B204" i="25"/>
  <c r="G222" i="23"/>
  <c r="CD222" i="6" s="1"/>
  <c r="AA222" i="23"/>
  <c r="Z222" i="23" s="1"/>
  <c r="Y222" i="23" s="1"/>
  <c r="W264" i="23"/>
  <c r="D264" i="23"/>
  <c r="E264" i="23" s="1"/>
  <c r="F264" i="23" s="1"/>
  <c r="B264" i="24"/>
  <c r="G198" i="22"/>
  <c r="CC198" i="6" s="1"/>
  <c r="AA198" i="22"/>
  <c r="Z198" i="22" s="1"/>
  <c r="Y198" i="22" s="1"/>
  <c r="G82" i="23"/>
  <c r="CD82" i="6" s="1"/>
  <c r="AA82" i="23"/>
  <c r="Z82" i="23" s="1"/>
  <c r="Y82" i="23" s="1"/>
  <c r="G279" i="22"/>
  <c r="CC279" i="6" s="1"/>
  <c r="AA279" i="22"/>
  <c r="Z279" i="22" s="1"/>
  <c r="Y279" i="22" s="1"/>
  <c r="W165" i="23"/>
  <c r="D165" i="23"/>
  <c r="E165" i="23" s="1"/>
  <c r="F165" i="23" s="1"/>
  <c r="B165" i="24"/>
  <c r="D117" i="24"/>
  <c r="E117" i="24" s="1"/>
  <c r="F117" i="24" s="1"/>
  <c r="W117" i="24"/>
  <c r="B117" i="25"/>
  <c r="W91" i="24"/>
  <c r="D91" i="24"/>
  <c r="E91" i="24" s="1"/>
  <c r="F91" i="24" s="1"/>
  <c r="B91" i="25"/>
  <c r="W41" i="24"/>
  <c r="D41" i="24"/>
  <c r="E41" i="24" s="1"/>
  <c r="F41" i="24" s="1"/>
  <c r="B41" i="25"/>
  <c r="D364" i="23"/>
  <c r="E364" i="23" s="1"/>
  <c r="F364" i="23" s="1"/>
  <c r="W364" i="23"/>
  <c r="B364" i="24"/>
  <c r="W330" i="23"/>
  <c r="D330" i="23"/>
  <c r="E330" i="23" s="1"/>
  <c r="F330" i="23" s="1"/>
  <c r="B330" i="24"/>
  <c r="W256" i="23"/>
  <c r="D256" i="23"/>
  <c r="E256" i="23" s="1"/>
  <c r="F256" i="23" s="1"/>
  <c r="B256" i="24"/>
  <c r="G184" i="22"/>
  <c r="CC184" i="6" s="1"/>
  <c r="AA184" i="22"/>
  <c r="Z184" i="22" s="1"/>
  <c r="Y184" i="22" s="1"/>
  <c r="G124" i="22"/>
  <c r="CC124" i="6" s="1"/>
  <c r="AA124" i="22"/>
  <c r="Z124" i="22" s="1"/>
  <c r="Y124" i="22" s="1"/>
  <c r="W27" i="23"/>
  <c r="D27" i="23"/>
  <c r="E27" i="23" s="1"/>
  <c r="F27" i="23" s="1"/>
  <c r="B27" i="24"/>
  <c r="W231" i="24"/>
  <c r="D231" i="24"/>
  <c r="E231" i="24" s="1"/>
  <c r="F231" i="24" s="1"/>
  <c r="B231" i="25"/>
  <c r="W151" i="24"/>
  <c r="D151" i="24"/>
  <c r="E151" i="24" s="1"/>
  <c r="F151" i="24" s="1"/>
  <c r="B151" i="25"/>
  <c r="G107" i="23"/>
  <c r="CD107" i="6" s="1"/>
  <c r="AA107" i="23"/>
  <c r="Z107" i="23" s="1"/>
  <c r="Y107" i="23" s="1"/>
  <c r="G39" i="23"/>
  <c r="CD39" i="6" s="1"/>
  <c r="AA39" i="23"/>
  <c r="Z39" i="23" s="1"/>
  <c r="Y39" i="23" s="1"/>
  <c r="D228" i="24"/>
  <c r="E228" i="24" s="1"/>
  <c r="F228" i="24" s="1"/>
  <c r="W228" i="24"/>
  <c r="B228" i="25"/>
  <c r="G146" i="23"/>
  <c r="CD146" i="6" s="1"/>
  <c r="AA146" i="23"/>
  <c r="Z146" i="23" s="1"/>
  <c r="Y146" i="23" s="1"/>
  <c r="G285" i="23"/>
  <c r="CD285" i="6" s="1"/>
  <c r="AA285" i="23"/>
  <c r="Z285" i="23" s="1"/>
  <c r="Y285" i="23" s="1"/>
  <c r="AA215" i="22"/>
  <c r="Z215" i="22" s="1"/>
  <c r="Y215" i="22" s="1"/>
  <c r="G215" i="22"/>
  <c r="CC215" i="6" s="1"/>
  <c r="G181" i="22"/>
  <c r="CC181" i="6" s="1"/>
  <c r="AA181" i="22"/>
  <c r="Z181" i="22" s="1"/>
  <c r="Y181" i="22" s="1"/>
  <c r="G71" i="22"/>
  <c r="CC71" i="6" s="1"/>
  <c r="AA71" i="22"/>
  <c r="Z71" i="22" s="1"/>
  <c r="Y71" i="22" s="1"/>
  <c r="W328" i="23"/>
  <c r="D328" i="23"/>
  <c r="E328" i="23" s="1"/>
  <c r="F328" i="23" s="1"/>
  <c r="B328" i="24"/>
  <c r="G268" i="22"/>
  <c r="CC268" i="6" s="1"/>
  <c r="AA268" i="22"/>
  <c r="Z268" i="22" s="1"/>
  <c r="Y268" i="22" s="1"/>
  <c r="W170" i="24"/>
  <c r="D170" i="24"/>
  <c r="E170" i="24" s="1"/>
  <c r="F170" i="24" s="1"/>
  <c r="B170" i="25"/>
  <c r="W56" i="23"/>
  <c r="D56" i="23"/>
  <c r="E56" i="23" s="1"/>
  <c r="F56" i="23" s="1"/>
  <c r="B56" i="24"/>
  <c r="G361" i="22"/>
  <c r="CC361" i="6" s="1"/>
  <c r="AA361" i="22"/>
  <c r="Z361" i="22" s="1"/>
  <c r="Y361" i="22" s="1"/>
  <c r="W273" i="23"/>
  <c r="D273" i="23"/>
  <c r="E273" i="23" s="1"/>
  <c r="F273" i="23" s="1"/>
  <c r="B273" i="24"/>
  <c r="W255" i="24"/>
  <c r="D255" i="24"/>
  <c r="E255" i="24" s="1"/>
  <c r="F255" i="24" s="1"/>
  <c r="B255" i="25"/>
  <c r="G19" i="23"/>
  <c r="CD19" i="6" s="1"/>
  <c r="AA19" i="23"/>
  <c r="Z19" i="23" s="1"/>
  <c r="Y19" i="23" s="1"/>
  <c r="W287" i="23"/>
  <c r="D287" i="23"/>
  <c r="E287" i="23" s="1"/>
  <c r="F287" i="23" s="1"/>
  <c r="B287" i="24"/>
  <c r="AA278" i="23"/>
  <c r="Z278" i="23" s="1"/>
  <c r="Y278" i="23" s="1"/>
  <c r="G278" i="23"/>
  <c r="CD278" i="6" s="1"/>
  <c r="W74" i="23"/>
  <c r="D74" i="23"/>
  <c r="E74" i="23" s="1"/>
  <c r="F74" i="23" s="1"/>
  <c r="B74" i="24"/>
  <c r="W35" i="24"/>
  <c r="D35" i="24"/>
  <c r="E35" i="24" s="1"/>
  <c r="F35" i="24" s="1"/>
  <c r="B35" i="25"/>
  <c r="G316" i="23"/>
  <c r="CD316" i="6" s="1"/>
  <c r="AA316" i="23"/>
  <c r="Z316" i="23" s="1"/>
  <c r="Y316" i="23" s="1"/>
  <c r="W318" i="23"/>
  <c r="D318" i="23"/>
  <c r="E318" i="23" s="1"/>
  <c r="F318" i="23" s="1"/>
  <c r="B318" i="24"/>
  <c r="G178" i="23"/>
  <c r="CD178" i="6" s="1"/>
  <c r="AA178" i="23"/>
  <c r="Z178" i="23" s="1"/>
  <c r="Y178" i="23" s="1"/>
  <c r="D178" i="24"/>
  <c r="E178" i="24" s="1"/>
  <c r="F178" i="24" s="1"/>
  <c r="W178" i="24"/>
  <c r="B178" i="25"/>
  <c r="G106" i="23"/>
  <c r="CD106" i="6" s="1"/>
  <c r="AA106" i="23"/>
  <c r="Z106" i="23" s="1"/>
  <c r="Y106" i="23" s="1"/>
  <c r="H84" i="20"/>
  <c r="H99" i="20"/>
  <c r="G99" i="22"/>
  <c r="CC99" i="6" s="1"/>
  <c r="AA99" i="22"/>
  <c r="Z99" i="22" s="1"/>
  <c r="Y99" i="22" s="1"/>
  <c r="G95" i="23"/>
  <c r="CD95" i="6" s="1"/>
  <c r="AA95" i="23"/>
  <c r="Z95" i="23" s="1"/>
  <c r="Y95" i="23" s="1"/>
  <c r="W283" i="23"/>
  <c r="D283" i="23"/>
  <c r="E283" i="23" s="1"/>
  <c r="F283" i="23" s="1"/>
  <c r="B283" i="24"/>
  <c r="G226" i="22"/>
  <c r="CC226" i="6" s="1"/>
  <c r="AA226" i="22"/>
  <c r="Z226" i="22" s="1"/>
  <c r="Y226" i="22" s="1"/>
  <c r="BA243" i="6"/>
  <c r="D243" i="6" s="1"/>
  <c r="BA237" i="6"/>
  <c r="D237" i="6" s="1"/>
  <c r="BA269" i="6"/>
  <c r="D269" i="6" s="1"/>
  <c r="BA59" i="6"/>
  <c r="D59" i="6" s="1"/>
  <c r="BA316" i="6"/>
  <c r="D316" i="6" s="1"/>
  <c r="H316" i="20"/>
  <c r="BA363" i="6"/>
  <c r="D363" i="6" s="1"/>
  <c r="W76" i="23"/>
  <c r="D76" i="23"/>
  <c r="E76" i="23" s="1"/>
  <c r="F76" i="23" s="1"/>
  <c r="B76" i="24"/>
  <c r="D73" i="23"/>
  <c r="E73" i="23" s="1"/>
  <c r="F73" i="23" s="1"/>
  <c r="W73" i="23"/>
  <c r="B73" i="24"/>
  <c r="G236" i="22"/>
  <c r="CC236" i="6" s="1"/>
  <c r="AA236" i="22"/>
  <c r="Z236" i="22" s="1"/>
  <c r="Y236" i="22" s="1"/>
  <c r="G299" i="23"/>
  <c r="CD299" i="6" s="1"/>
  <c r="AA299" i="23"/>
  <c r="Z299" i="23" s="1"/>
  <c r="Y299" i="23" s="1"/>
  <c r="G356" i="22"/>
  <c r="CC356" i="6" s="1"/>
  <c r="AA356" i="22"/>
  <c r="Z356" i="22" s="1"/>
  <c r="Y356" i="22" s="1"/>
  <c r="G206" i="22"/>
  <c r="CC206" i="6" s="1"/>
  <c r="AA206" i="22"/>
  <c r="Z206" i="22" s="1"/>
  <c r="Y206" i="22" s="1"/>
  <c r="G156" i="22"/>
  <c r="CC156" i="6" s="1"/>
  <c r="AA156" i="22"/>
  <c r="Z156" i="22" s="1"/>
  <c r="Y156" i="22" s="1"/>
  <c r="W156" i="23"/>
  <c r="D156" i="23"/>
  <c r="E156" i="23" s="1"/>
  <c r="F156" i="23" s="1"/>
  <c r="B156" i="24"/>
  <c r="W44" i="23"/>
  <c r="B44" i="24"/>
  <c r="D44" i="23"/>
  <c r="E44" i="23" s="1"/>
  <c r="F44" i="23" s="1"/>
  <c r="G24" i="22"/>
  <c r="CC24" i="6" s="1"/>
  <c r="AA24" i="22"/>
  <c r="Z24" i="22" s="1"/>
  <c r="Y24" i="22" s="1"/>
  <c r="W345" i="23"/>
  <c r="D345" i="23"/>
  <c r="E345" i="23" s="1"/>
  <c r="F345" i="23" s="1"/>
  <c r="B345" i="24"/>
  <c r="G133" i="22"/>
  <c r="CC133" i="6" s="1"/>
  <c r="AA133" i="22"/>
  <c r="Z133" i="22" s="1"/>
  <c r="Y133" i="22" s="1"/>
  <c r="W115" i="23"/>
  <c r="D115" i="23"/>
  <c r="E115" i="23" s="1"/>
  <c r="F115" i="23" s="1"/>
  <c r="B115" i="24"/>
  <c r="G234" i="22"/>
  <c r="CC234" i="6" s="1"/>
  <c r="AA234" i="22"/>
  <c r="Z234" i="22" s="1"/>
  <c r="Y234" i="22" s="1"/>
  <c r="W337" i="24"/>
  <c r="D337" i="24"/>
  <c r="E337" i="24" s="1"/>
  <c r="F337" i="24" s="1"/>
  <c r="B337" i="25"/>
  <c r="G257" i="23"/>
  <c r="CD257" i="6" s="1"/>
  <c r="AA257" i="23"/>
  <c r="Z257" i="23" s="1"/>
  <c r="Y257" i="23" s="1"/>
  <c r="D191" i="23"/>
  <c r="E191" i="23" s="1"/>
  <c r="F191" i="23" s="1"/>
  <c r="W191" i="23"/>
  <c r="B191" i="24"/>
  <c r="W371" i="23"/>
  <c r="D371" i="23"/>
  <c r="E371" i="23" s="1"/>
  <c r="F371" i="23" s="1"/>
  <c r="B371" i="24"/>
  <c r="W87" i="23"/>
  <c r="D87" i="23"/>
  <c r="E87" i="23" s="1"/>
  <c r="F87" i="23" s="1"/>
  <c r="B87" i="24"/>
  <c r="G320" i="23"/>
  <c r="CD320" i="6" s="1"/>
  <c r="AA320" i="23"/>
  <c r="Z320" i="23" s="1"/>
  <c r="Y320" i="23" s="1"/>
  <c r="AA260" i="23"/>
  <c r="Z260" i="23" s="1"/>
  <c r="Y260" i="23" s="1"/>
  <c r="G260" i="23"/>
  <c r="CD260" i="6" s="1"/>
  <c r="W220" i="23"/>
  <c r="D220" i="23"/>
  <c r="E220" i="23" s="1"/>
  <c r="F220" i="23" s="1"/>
  <c r="B220" i="24"/>
  <c r="H42" i="20"/>
  <c r="W317" i="23"/>
  <c r="D317" i="23"/>
  <c r="E317" i="23" s="1"/>
  <c r="F317" i="23" s="1"/>
  <c r="B317" i="24"/>
  <c r="G88" i="22"/>
  <c r="CC88" i="6" s="1"/>
  <c r="AA88" i="22"/>
  <c r="Z88" i="22" s="1"/>
  <c r="Y88" i="22" s="1"/>
  <c r="G241" i="23"/>
  <c r="CD241" i="6" s="1"/>
  <c r="AA241" i="23"/>
  <c r="Z241" i="23" s="1"/>
  <c r="Y241" i="23" s="1"/>
  <c r="G22" i="22"/>
  <c r="CC22" i="6" s="1"/>
  <c r="AA22" i="22"/>
  <c r="Z22" i="22" s="1"/>
  <c r="Y22" i="22" s="1"/>
  <c r="W67" i="23"/>
  <c r="D67" i="23"/>
  <c r="E67" i="23" s="1"/>
  <c r="F67" i="23" s="1"/>
  <c r="B67" i="24"/>
  <c r="W196" i="23"/>
  <c r="D196" i="23"/>
  <c r="E196" i="23" s="1"/>
  <c r="F196" i="23" s="1"/>
  <c r="B196" i="24"/>
  <c r="W119" i="23"/>
  <c r="D119" i="23"/>
  <c r="E119" i="23" s="1"/>
  <c r="F119" i="23" s="1"/>
  <c r="B119" i="24"/>
  <c r="W235" i="24"/>
  <c r="D235" i="24"/>
  <c r="E235" i="24" s="1"/>
  <c r="F235" i="24" s="1"/>
  <c r="B235" i="25"/>
  <c r="W103" i="24"/>
  <c r="D103" i="24"/>
  <c r="E103" i="24" s="1"/>
  <c r="F103" i="24" s="1"/>
  <c r="B103" i="25"/>
  <c r="G52" i="23"/>
  <c r="CD52" i="6" s="1"/>
  <c r="AA52" i="23"/>
  <c r="Z52" i="23" s="1"/>
  <c r="Y52" i="23" s="1"/>
  <c r="W52" i="24"/>
  <c r="D52" i="24"/>
  <c r="E52" i="24" s="1"/>
  <c r="F52" i="24" s="1"/>
  <c r="B52" i="25"/>
  <c r="W311" i="23"/>
  <c r="D311" i="23"/>
  <c r="E311" i="23" s="1"/>
  <c r="F311" i="23" s="1"/>
  <c r="B311" i="24"/>
  <c r="W310" i="23"/>
  <c r="D310" i="23"/>
  <c r="E310" i="23" s="1"/>
  <c r="F310" i="23" s="1"/>
  <c r="B310" i="24"/>
  <c r="G378" i="22"/>
  <c r="CC378" i="6" s="1"/>
  <c r="AA378" i="22"/>
  <c r="Z378" i="22" s="1"/>
  <c r="Y378" i="22" s="1"/>
  <c r="AA137" i="22"/>
  <c r="Z137" i="22" s="1"/>
  <c r="Y137" i="22" s="1"/>
  <c r="G137" i="22"/>
  <c r="CC137" i="6" s="1"/>
  <c r="W242" i="24"/>
  <c r="D242" i="24"/>
  <c r="E242" i="24" s="1"/>
  <c r="F242" i="24" s="1"/>
  <c r="B242" i="25"/>
  <c r="D186" i="23"/>
  <c r="E186" i="23" s="1"/>
  <c r="F186" i="23" s="1"/>
  <c r="W186" i="23"/>
  <c r="B186" i="24"/>
  <c r="G102" i="22"/>
  <c r="CC102" i="6" s="1"/>
  <c r="AA102" i="22"/>
  <c r="Z102" i="22" s="1"/>
  <c r="Y102" i="22" s="1"/>
  <c r="G355" i="22"/>
  <c r="CC355" i="6" s="1"/>
  <c r="AA355" i="22"/>
  <c r="Z355" i="22" s="1"/>
  <c r="Y355" i="22" s="1"/>
  <c r="G199" i="23"/>
  <c r="CD199" i="6" s="1"/>
  <c r="AA199" i="23"/>
  <c r="Z199" i="23" s="1"/>
  <c r="Y199" i="23" s="1"/>
  <c r="G121" i="22"/>
  <c r="CC121" i="6" s="1"/>
  <c r="AA121" i="22"/>
  <c r="Z121" i="22" s="1"/>
  <c r="Y121" i="22" s="1"/>
  <c r="W121" i="23"/>
  <c r="D121" i="23"/>
  <c r="E121" i="23" s="1"/>
  <c r="F121" i="23" s="1"/>
  <c r="B121" i="24"/>
  <c r="G370" i="23"/>
  <c r="CD370" i="6" s="1"/>
  <c r="AA370" i="23"/>
  <c r="Z370" i="23" s="1"/>
  <c r="Y370" i="23" s="1"/>
  <c r="AA202" i="23"/>
  <c r="Z202" i="23" s="1"/>
  <c r="Y202" i="23" s="1"/>
  <c r="G202" i="23"/>
  <c r="CD202" i="6" s="1"/>
  <c r="D138" i="24"/>
  <c r="E138" i="24" s="1"/>
  <c r="F138" i="24" s="1"/>
  <c r="W138" i="24"/>
  <c r="B138" i="25"/>
  <c r="AA288" i="22"/>
  <c r="Z288" i="22" s="1"/>
  <c r="Y288" i="22" s="1"/>
  <c r="G288" i="22"/>
  <c r="CC288" i="6" s="1"/>
  <c r="G313" i="23"/>
  <c r="CD313" i="6" s="1"/>
  <c r="AA313" i="23"/>
  <c r="Z313" i="23" s="1"/>
  <c r="Y313" i="23" s="1"/>
  <c r="AA245" i="22"/>
  <c r="Z245" i="22" s="1"/>
  <c r="Y245" i="22" s="1"/>
  <c r="G245" i="22"/>
  <c r="CC245" i="6" s="1"/>
  <c r="D203" i="23"/>
  <c r="E203" i="23" s="1"/>
  <c r="F203" i="23" s="1"/>
  <c r="W203" i="23"/>
  <c r="B203" i="24"/>
  <c r="G169" i="22"/>
  <c r="CC169" i="6" s="1"/>
  <c r="AA169" i="22"/>
  <c r="Z169" i="22" s="1"/>
  <c r="Y169" i="22" s="1"/>
  <c r="G218" i="22"/>
  <c r="CC218" i="6" s="1"/>
  <c r="AA218" i="22"/>
  <c r="Z218" i="22" s="1"/>
  <c r="Y218" i="22" s="1"/>
  <c r="G188" i="22"/>
  <c r="CC188" i="6" s="1"/>
  <c r="AA188" i="22"/>
  <c r="Z188" i="22" s="1"/>
  <c r="Y188" i="22" s="1"/>
  <c r="W144" i="23"/>
  <c r="D144" i="23"/>
  <c r="E144" i="23" s="1"/>
  <c r="F144" i="23" s="1"/>
  <c r="B144" i="24"/>
  <c r="W112" i="23"/>
  <c r="D112" i="23"/>
  <c r="E112" i="23" s="1"/>
  <c r="F112" i="23" s="1"/>
  <c r="B112" i="24"/>
  <c r="G86" i="22"/>
  <c r="CC86" i="6" s="1"/>
  <c r="AA86" i="22"/>
  <c r="Z86" i="22" s="1"/>
  <c r="Y86" i="22" s="1"/>
  <c r="G303" i="22"/>
  <c r="CC303" i="6" s="1"/>
  <c r="AA303" i="22"/>
  <c r="Z303" i="22" s="1"/>
  <c r="Y303" i="22" s="1"/>
  <c r="G275" i="22"/>
  <c r="CC275" i="6" s="1"/>
  <c r="AA275" i="22"/>
  <c r="Z275" i="22" s="1"/>
  <c r="Y275" i="22" s="1"/>
  <c r="G221" i="23"/>
  <c r="CD221" i="6" s="1"/>
  <c r="AA221" i="23"/>
  <c r="Z221" i="23" s="1"/>
  <c r="Y221" i="23" s="1"/>
  <c r="W221" i="24"/>
  <c r="D221" i="24"/>
  <c r="E221" i="24" s="1"/>
  <c r="F221" i="24" s="1"/>
  <c r="B221" i="25"/>
  <c r="W195" i="24"/>
  <c r="D195" i="24"/>
  <c r="E195" i="24" s="1"/>
  <c r="F195" i="24" s="1"/>
  <c r="B195" i="25"/>
  <c r="W47" i="24"/>
  <c r="D47" i="24"/>
  <c r="E47" i="24" s="1"/>
  <c r="F47" i="24" s="1"/>
  <c r="B47" i="25"/>
  <c r="G21" i="22"/>
  <c r="CC21" i="6" s="1"/>
  <c r="AA21" i="22"/>
  <c r="Z21" i="22" s="1"/>
  <c r="Y21" i="22" s="1"/>
  <c r="W308" i="24"/>
  <c r="D308" i="24"/>
  <c r="E308" i="24" s="1"/>
  <c r="F308" i="24" s="1"/>
  <c r="B308" i="25"/>
  <c r="W176" i="23"/>
  <c r="D176" i="23"/>
  <c r="E176" i="23" s="1"/>
  <c r="F176" i="23" s="1"/>
  <c r="B176" i="24"/>
  <c r="W128" i="23"/>
  <c r="D128" i="23"/>
  <c r="E128" i="23" s="1"/>
  <c r="F128" i="23" s="1"/>
  <c r="B128" i="24"/>
  <c r="G323" i="23"/>
  <c r="CD323" i="6" s="1"/>
  <c r="AA323" i="23"/>
  <c r="Z323" i="23" s="1"/>
  <c r="Y323" i="23" s="1"/>
  <c r="G271" i="23"/>
  <c r="CD271" i="6" s="1"/>
  <c r="AA271" i="23"/>
  <c r="Z271" i="23" s="1"/>
  <c r="Y271" i="23" s="1"/>
  <c r="W271" i="24"/>
  <c r="D271" i="24"/>
  <c r="E271" i="24" s="1"/>
  <c r="F271" i="24" s="1"/>
  <c r="B271" i="25"/>
  <c r="W101" i="24"/>
  <c r="D101" i="24"/>
  <c r="E101" i="24" s="1"/>
  <c r="F101" i="24" s="1"/>
  <c r="B101" i="25"/>
  <c r="G171" i="22"/>
  <c r="CC171" i="6" s="1"/>
  <c r="AA171" i="22"/>
  <c r="Z171" i="22" s="1"/>
  <c r="Y171" i="22" s="1"/>
  <c r="D261" i="23"/>
  <c r="E261" i="23" s="1"/>
  <c r="F261" i="23" s="1"/>
  <c r="W261" i="23"/>
  <c r="B261" i="24"/>
  <c r="W319" i="24"/>
  <c r="D319" i="24"/>
  <c r="E319" i="24" s="1"/>
  <c r="F319" i="24" s="1"/>
  <c r="B319" i="25"/>
  <c r="W46" i="23"/>
  <c r="D46" i="23"/>
  <c r="E46" i="23" s="1"/>
  <c r="F46" i="23" s="1"/>
  <c r="B46" i="24"/>
  <c r="G298" i="23"/>
  <c r="CD298" i="6" s="1"/>
  <c r="AA298" i="23"/>
  <c r="Z298" i="23" s="1"/>
  <c r="Y298" i="23" s="1"/>
  <c r="G365" i="22"/>
  <c r="CC365" i="6" s="1"/>
  <c r="AA365" i="22"/>
  <c r="Z365" i="22" s="1"/>
  <c r="Y365" i="22" s="1"/>
  <c r="W60" i="23"/>
  <c r="D60" i="23"/>
  <c r="E60" i="23" s="1"/>
  <c r="F60" i="23" s="1"/>
  <c r="B60" i="24"/>
  <c r="AA136" i="23"/>
  <c r="Z136" i="23" s="1"/>
  <c r="Y136" i="23" s="1"/>
  <c r="G136" i="23"/>
  <c r="CD136" i="6" s="1"/>
  <c r="AA263" i="22"/>
  <c r="Z263" i="22" s="1"/>
  <c r="Y263" i="22" s="1"/>
  <c r="G263" i="22"/>
  <c r="CC263" i="6" s="1"/>
  <c r="D183" i="24"/>
  <c r="E183" i="24" s="1"/>
  <c r="F183" i="24" s="1"/>
  <c r="W183" i="24"/>
  <c r="B183" i="25"/>
  <c r="D77" i="23"/>
  <c r="E77" i="23" s="1"/>
  <c r="F77" i="23" s="1"/>
  <c r="W77" i="23"/>
  <c r="B77" i="24"/>
  <c r="G177" i="23"/>
  <c r="CD177" i="6" s="1"/>
  <c r="AA177" i="23"/>
  <c r="Z177" i="23" s="1"/>
  <c r="Y177" i="23" s="1"/>
  <c r="AA150" i="22"/>
  <c r="Z150" i="22" s="1"/>
  <c r="Y150" i="22" s="1"/>
  <c r="G150" i="22"/>
  <c r="CC150" i="6" s="1"/>
  <c r="BA284" i="6"/>
  <c r="D284" i="6" s="1"/>
  <c r="H284" i="20"/>
  <c r="BA301" i="6"/>
  <c r="D301" i="6" s="1"/>
  <c r="BA168" i="6"/>
  <c r="D168" i="6" s="1"/>
  <c r="H168" i="20"/>
  <c r="BA101" i="6"/>
  <c r="D101" i="6" s="1"/>
  <c r="H101" i="20"/>
  <c r="BA50" i="6"/>
  <c r="D50" i="6" s="1"/>
  <c r="H50" i="20"/>
  <c r="BA338" i="6"/>
  <c r="D338" i="6" s="1"/>
  <c r="H338" i="20"/>
  <c r="BA68" i="6"/>
  <c r="D68" i="6" s="1"/>
  <c r="H68" i="20"/>
  <c r="BA324" i="6"/>
  <c r="D324" i="6" s="1"/>
  <c r="BA255" i="6"/>
  <c r="D255" i="6" s="1"/>
  <c r="H255" i="20"/>
  <c r="BA16" i="6"/>
  <c r="D16" i="6" s="1"/>
  <c r="H16" i="20"/>
  <c r="BA95" i="6"/>
  <c r="D95" i="6" s="1"/>
  <c r="H95" i="20"/>
  <c r="BA100" i="6"/>
  <c r="D100" i="6" s="1"/>
  <c r="BA229" i="6"/>
  <c r="D229" i="6" s="1"/>
  <c r="H229" i="20"/>
  <c r="BA305" i="6"/>
  <c r="D305" i="6" s="1"/>
  <c r="H305" i="20"/>
  <c r="BA158" i="6"/>
  <c r="D158" i="6" s="1"/>
  <c r="H158" i="20"/>
  <c r="BA82" i="6"/>
  <c r="D82" i="6" s="1"/>
  <c r="H82" i="20"/>
  <c r="BA343" i="6"/>
  <c r="D343" i="6" s="1"/>
  <c r="BA117" i="6"/>
  <c r="D117" i="6" s="1"/>
  <c r="H117" i="20"/>
  <c r="BA41" i="6"/>
  <c r="D41" i="6" s="1"/>
  <c r="H41" i="20"/>
  <c r="BA360" i="6"/>
  <c r="D360" i="6" s="1"/>
  <c r="BA257" i="6"/>
  <c r="D257" i="6" s="1"/>
  <c r="H257" i="20"/>
  <c r="BA141" i="6"/>
  <c r="BA293" i="6"/>
  <c r="D293" i="6" s="1"/>
  <c r="H293" i="20"/>
  <c r="BA147" i="6"/>
  <c r="D147" i="6" s="1"/>
  <c r="H147" i="20"/>
  <c r="BA93" i="6"/>
  <c r="D93" i="6" s="1"/>
  <c r="H93" i="20"/>
  <c r="BA118" i="6"/>
  <c r="D118" i="6" s="1"/>
  <c r="H118" i="20"/>
  <c r="BA63" i="6"/>
  <c r="D63" i="6" s="1"/>
  <c r="BA302" i="6"/>
  <c r="D302" i="6" s="1"/>
  <c r="H302" i="20"/>
  <c r="BA154" i="6"/>
  <c r="D154" i="6" s="1"/>
  <c r="H154" i="20"/>
  <c r="BA368" i="6"/>
  <c r="D368" i="6" s="1"/>
  <c r="H368" i="20"/>
  <c r="BA270" i="6"/>
  <c r="D270" i="6" s="1"/>
  <c r="H270" i="20"/>
  <c r="G174" i="23"/>
  <c r="CD174" i="6" s="1"/>
  <c r="AA174" i="23"/>
  <c r="Z174" i="23" s="1"/>
  <c r="Y174" i="23" s="1"/>
  <c r="D174" i="24"/>
  <c r="E174" i="24" s="1"/>
  <c r="F174" i="24" s="1"/>
  <c r="W174" i="24"/>
  <c r="B174" i="25"/>
  <c r="W38" i="24"/>
  <c r="B38" i="25"/>
  <c r="D38" i="24"/>
  <c r="E38" i="24" s="1"/>
  <c r="F38" i="24" s="1"/>
  <c r="H332" i="20"/>
  <c r="H321" i="20"/>
  <c r="W182" i="23"/>
  <c r="D182" i="23"/>
  <c r="E182" i="23" s="1"/>
  <c r="F182" i="23" s="1"/>
  <c r="B182" i="24"/>
  <c r="G289" i="22"/>
  <c r="CC289" i="6" s="1"/>
  <c r="AA289" i="22"/>
  <c r="Z289" i="22" s="1"/>
  <c r="Y289" i="22" s="1"/>
  <c r="W78" i="23"/>
  <c r="D78" i="23"/>
  <c r="E78" i="23" s="1"/>
  <c r="F78" i="23" s="1"/>
  <c r="B78" i="24"/>
  <c r="W314" i="23"/>
  <c r="D314" i="23"/>
  <c r="E314" i="23" s="1"/>
  <c r="F314" i="23" s="1"/>
  <c r="B314" i="24"/>
  <c r="G240" i="22"/>
  <c r="CC240" i="6" s="1"/>
  <c r="AA240" i="22"/>
  <c r="Z240" i="22" s="1"/>
  <c r="Y240" i="22" s="1"/>
  <c r="G190" i="23"/>
  <c r="CD190" i="6" s="1"/>
  <c r="AA190" i="23"/>
  <c r="Z190" i="23" s="1"/>
  <c r="Y190" i="23" s="1"/>
  <c r="W72" i="23"/>
  <c r="D72" i="23"/>
  <c r="E72" i="23" s="1"/>
  <c r="F72" i="23" s="1"/>
  <c r="B72" i="24"/>
  <c r="H239" i="20"/>
  <c r="G217" i="23"/>
  <c r="CD217" i="6" s="1"/>
  <c r="AA217" i="23"/>
  <c r="Z217" i="23" s="1"/>
  <c r="Y217" i="23" s="1"/>
  <c r="G85" i="22"/>
  <c r="CC85" i="6" s="1"/>
  <c r="AA85" i="22"/>
  <c r="Z85" i="22" s="1"/>
  <c r="Y85" i="22" s="1"/>
  <c r="W360" i="24"/>
  <c r="D360" i="24"/>
  <c r="E360" i="24" s="1"/>
  <c r="F360" i="24" s="1"/>
  <c r="B360" i="25"/>
  <c r="G266" i="22"/>
  <c r="CC266" i="6" s="1"/>
  <c r="AA266" i="22"/>
  <c r="Z266" i="22" s="1"/>
  <c r="Y266" i="22" s="1"/>
  <c r="W266" i="23"/>
  <c r="D266" i="23"/>
  <c r="E266" i="23" s="1"/>
  <c r="F266" i="23" s="1"/>
  <c r="B266" i="24"/>
  <c r="D18" i="24"/>
  <c r="E18" i="24" s="1"/>
  <c r="F18" i="24" s="1"/>
  <c r="W18" i="24"/>
  <c r="B18" i="25"/>
  <c r="D373" i="23"/>
  <c r="E373" i="23" s="1"/>
  <c r="F373" i="23" s="1"/>
  <c r="W373" i="23"/>
  <c r="B373" i="24"/>
  <c r="H307" i="20"/>
  <c r="D223" i="23"/>
  <c r="E223" i="23" s="1"/>
  <c r="F223" i="23" s="1"/>
  <c r="W223" i="23"/>
  <c r="B223" i="24"/>
  <c r="AA143" i="22"/>
  <c r="Z143" i="22" s="1"/>
  <c r="Y143" i="22" s="1"/>
  <c r="G143" i="22"/>
  <c r="CC143" i="6" s="1"/>
  <c r="G65" i="22"/>
  <c r="CC65" i="6" s="1"/>
  <c r="AA65" i="22"/>
  <c r="Z65" i="22" s="1"/>
  <c r="Y65" i="22" s="1"/>
  <c r="G372" i="22"/>
  <c r="CC372" i="6" s="1"/>
  <c r="AA372" i="22"/>
  <c r="Z372" i="22" s="1"/>
  <c r="Y372" i="22" s="1"/>
  <c r="G148" i="22"/>
  <c r="CC148" i="6" s="1"/>
  <c r="AA148" i="22"/>
  <c r="Z148" i="22" s="1"/>
  <c r="Y148" i="22" s="1"/>
  <c r="H96" i="20"/>
  <c r="W259" i="24"/>
  <c r="D259" i="24"/>
  <c r="E259" i="24" s="1"/>
  <c r="F259" i="24" s="1"/>
  <c r="B259" i="25"/>
  <c r="G201" i="22"/>
  <c r="CC201" i="6" s="1"/>
  <c r="AA201" i="22"/>
  <c r="Z201" i="22" s="1"/>
  <c r="Y201" i="22" s="1"/>
  <c r="W145" i="23"/>
  <c r="D145" i="23"/>
  <c r="E145" i="23" s="1"/>
  <c r="F145" i="23" s="1"/>
  <c r="B145" i="24"/>
  <c r="G110" i="22"/>
  <c r="CC110" i="6" s="1"/>
  <c r="AA110" i="22"/>
  <c r="Z110" i="22" s="1"/>
  <c r="Y110" i="22" s="1"/>
  <c r="G185" i="22"/>
  <c r="CC185" i="6" s="1"/>
  <c r="AA185" i="22"/>
  <c r="Z185" i="22" s="1"/>
  <c r="Y185" i="22" s="1"/>
  <c r="G63" i="23"/>
  <c r="CD63" i="6" s="1"/>
  <c r="AA63" i="23"/>
  <c r="Z63" i="23" s="1"/>
  <c r="Y63" i="23" s="1"/>
  <c r="W154" i="24"/>
  <c r="D154" i="24"/>
  <c r="E154" i="24" s="1"/>
  <c r="F154" i="24" s="1"/>
  <c r="B154" i="25"/>
  <c r="G16" i="23"/>
  <c r="CD16" i="6" s="1"/>
  <c r="AA16" i="23"/>
  <c r="Z16" i="23" s="1"/>
  <c r="Y16" i="23" s="1"/>
  <c r="W132" i="24"/>
  <c r="D132" i="24"/>
  <c r="E132" i="24" s="1"/>
  <c r="F132" i="24" s="1"/>
  <c r="B132" i="25"/>
  <c r="W251" i="24"/>
  <c r="D251" i="24"/>
  <c r="E251" i="24" s="1"/>
  <c r="F251" i="24" s="1"/>
  <c r="B251" i="25"/>
  <c r="H157" i="20"/>
  <c r="G90" i="22"/>
  <c r="CC90" i="6" s="1"/>
  <c r="AA90" i="22"/>
  <c r="Z90" i="22" s="1"/>
  <c r="Y90" i="22" s="1"/>
  <c r="D340" i="23"/>
  <c r="E340" i="23" s="1"/>
  <c r="F340" i="23" s="1"/>
  <c r="W340" i="23"/>
  <c r="B340" i="24"/>
  <c r="G286" i="23"/>
  <c r="CD286" i="6" s="1"/>
  <c r="AA286" i="23"/>
  <c r="Z286" i="23" s="1"/>
  <c r="Y286" i="23" s="1"/>
  <c r="W162" i="23"/>
  <c r="D162" i="23"/>
  <c r="E162" i="23" s="1"/>
  <c r="F162" i="23" s="1"/>
  <c r="B162" i="24"/>
  <c r="G58" i="22"/>
  <c r="CC58" i="6" s="1"/>
  <c r="AA58" i="22"/>
  <c r="Z58" i="22" s="1"/>
  <c r="Y58" i="22" s="1"/>
  <c r="W36" i="23"/>
  <c r="D36" i="23"/>
  <c r="E36" i="23" s="1"/>
  <c r="F36" i="23" s="1"/>
  <c r="B36" i="24"/>
  <c r="H279" i="20"/>
  <c r="G109" i="22"/>
  <c r="CC109" i="6" s="1"/>
  <c r="AA109" i="22"/>
  <c r="Z109" i="22" s="1"/>
  <c r="Y109" i="22" s="1"/>
  <c r="W51" i="23"/>
  <c r="D51" i="23"/>
  <c r="E51" i="23" s="1"/>
  <c r="F51" i="23" s="1"/>
  <c r="B51" i="24"/>
  <c r="D304" i="24"/>
  <c r="E304" i="24" s="1"/>
  <c r="F304" i="24" s="1"/>
  <c r="W304" i="24"/>
  <c r="B304" i="25"/>
  <c r="G262" i="23"/>
  <c r="CD262" i="6" s="1"/>
  <c r="AA262" i="23"/>
  <c r="Z262" i="23" s="1"/>
  <c r="Y262" i="23" s="1"/>
  <c r="D139" i="23"/>
  <c r="E139" i="23" s="1"/>
  <c r="F139" i="23" s="1"/>
  <c r="W139" i="23"/>
  <c r="B139" i="24"/>
  <c r="G53" i="22"/>
  <c r="CC53" i="6" s="1"/>
  <c r="AA53" i="22"/>
  <c r="Z53" i="22" s="1"/>
  <c r="Y53" i="22" s="1"/>
  <c r="D334" i="23"/>
  <c r="E334" i="23" s="1"/>
  <c r="F334" i="23" s="1"/>
  <c r="W334" i="23"/>
  <c r="B334" i="24"/>
  <c r="H215" i="20"/>
  <c r="H181" i="20"/>
  <c r="G336" i="23"/>
  <c r="CD336" i="6" s="1"/>
  <c r="AA336" i="23"/>
  <c r="Z336" i="23" s="1"/>
  <c r="Y336" i="23" s="1"/>
  <c r="W246" i="23"/>
  <c r="D246" i="23"/>
  <c r="E246" i="23" s="1"/>
  <c r="F246" i="23" s="1"/>
  <c r="B246" i="24"/>
  <c r="W104" i="23"/>
  <c r="D104" i="23"/>
  <c r="E104" i="23" s="1"/>
  <c r="F104" i="23" s="1"/>
  <c r="B104" i="24"/>
  <c r="D197" i="24"/>
  <c r="E197" i="24" s="1"/>
  <c r="F197" i="24" s="1"/>
  <c r="W197" i="24"/>
  <c r="B197" i="25"/>
  <c r="G83" i="23"/>
  <c r="CD83" i="6" s="1"/>
  <c r="AA83" i="23"/>
  <c r="Z83" i="23" s="1"/>
  <c r="Y83" i="23" s="1"/>
  <c r="H287" i="20"/>
  <c r="AA130" i="23"/>
  <c r="Z130" i="23" s="1"/>
  <c r="Y130" i="23" s="1"/>
  <c r="G130" i="23"/>
  <c r="CD130" i="6" s="1"/>
  <c r="G253" i="22"/>
  <c r="CC253" i="6" s="1"/>
  <c r="AA253" i="22"/>
  <c r="Z253" i="22" s="1"/>
  <c r="Y253" i="22" s="1"/>
  <c r="G369" i="22"/>
  <c r="CC369" i="6" s="1"/>
  <c r="AA369" i="22"/>
  <c r="Z369" i="22" s="1"/>
  <c r="Y369" i="22" s="1"/>
  <c r="D347" i="23"/>
  <c r="E347" i="23" s="1"/>
  <c r="F347" i="23" s="1"/>
  <c r="W347" i="23"/>
  <c r="B347" i="24"/>
  <c r="G376" i="22"/>
  <c r="CC376" i="6" s="1"/>
  <c r="AA376" i="22"/>
  <c r="Z376" i="22" s="1"/>
  <c r="Y376" i="22" s="1"/>
  <c r="W66" i="24"/>
  <c r="D66" i="24"/>
  <c r="E66" i="24" s="1"/>
  <c r="F66" i="24" s="1"/>
  <c r="B66" i="25"/>
  <c r="W75" i="23"/>
  <c r="D75" i="23"/>
  <c r="E75" i="23" s="1"/>
  <c r="F75" i="23" s="1"/>
  <c r="B75" i="24"/>
  <c r="W187" i="23"/>
  <c r="D187" i="23"/>
  <c r="E187" i="23" s="1"/>
  <c r="F187" i="23" s="1"/>
  <c r="B187" i="24"/>
  <c r="G333" i="22"/>
  <c r="CC333" i="6" s="1"/>
  <c r="AA333" i="22"/>
  <c r="Z333" i="22" s="1"/>
  <c r="Y333" i="22" s="1"/>
  <c r="W33" i="24"/>
  <c r="D33" i="24"/>
  <c r="E33" i="24" s="1"/>
  <c r="F33" i="24" s="1"/>
  <c r="B33" i="25"/>
  <c r="G352" i="22"/>
  <c r="CC352" i="6" s="1"/>
  <c r="AA352" i="22"/>
  <c r="Z352" i="22" s="1"/>
  <c r="Y352" i="22" s="1"/>
  <c r="D274" i="23"/>
  <c r="E274" i="23" s="1"/>
  <c r="F274" i="23" s="1"/>
  <c r="W274" i="23"/>
  <c r="B274" i="24"/>
  <c r="W84" i="23"/>
  <c r="D84" i="23"/>
  <c r="E84" i="23" s="1"/>
  <c r="F84" i="23" s="1"/>
  <c r="B84" i="24"/>
  <c r="W114" i="23"/>
  <c r="D114" i="23"/>
  <c r="E114" i="23" s="1"/>
  <c r="F114" i="23" s="1"/>
  <c r="B114" i="24"/>
  <c r="W354" i="24"/>
  <c r="B354" i="25"/>
  <c r="D354" i="24"/>
  <c r="E354" i="24" s="1"/>
  <c r="F354" i="24" s="1"/>
  <c r="G29" i="22"/>
  <c r="CC29" i="6" s="1"/>
  <c r="AA29" i="22"/>
  <c r="Z29" i="22" s="1"/>
  <c r="Y29" i="22" s="1"/>
  <c r="AA379" i="23"/>
  <c r="Z379" i="23" s="1"/>
  <c r="Y379" i="23" s="1"/>
  <c r="G379" i="23"/>
  <c r="CD379" i="6" s="1"/>
  <c r="BA329" i="6"/>
  <c r="D329" i="6" s="1"/>
  <c r="H329" i="20"/>
  <c r="BA132" i="6"/>
  <c r="D132" i="6" s="1"/>
  <c r="H132" i="20"/>
  <c r="BA108" i="6"/>
  <c r="D108" i="6" s="1"/>
  <c r="BA120" i="6"/>
  <c r="D120" i="6" s="1"/>
  <c r="BA354" i="6"/>
  <c r="D354" i="6" s="1"/>
  <c r="BA35" i="6"/>
  <c r="D35" i="6" s="1"/>
  <c r="BA281" i="6"/>
  <c r="H281" i="20"/>
  <c r="BA247" i="6"/>
  <c r="D247" i="6" s="1"/>
  <c r="H247" i="20"/>
  <c r="BA294" i="6"/>
  <c r="D294" i="6" s="1"/>
  <c r="BA70" i="6"/>
  <c r="D70" i="6" s="1"/>
  <c r="BA38" i="6"/>
  <c r="D38" i="6" s="1"/>
  <c r="BA129" i="6"/>
  <c r="D129" i="6" s="1"/>
  <c r="H129" i="20"/>
  <c r="BA351" i="6"/>
  <c r="BA131" i="6"/>
  <c r="D131" i="6" s="1"/>
  <c r="BA326" i="6"/>
  <c r="D326" i="6" s="1"/>
  <c r="BA335" i="6"/>
  <c r="D335" i="6" s="1"/>
  <c r="H335" i="20"/>
  <c r="BA183" i="6"/>
  <c r="BA208" i="6"/>
  <c r="D208" i="6" s="1"/>
  <c r="H208" i="20"/>
  <c r="BA134" i="6"/>
  <c r="D134" i="6" s="1"/>
  <c r="BA116" i="6"/>
  <c r="D116" i="6" s="1"/>
  <c r="BA175" i="6"/>
  <c r="D175" i="6" s="1"/>
  <c r="BA221" i="6"/>
  <c r="D221" i="6" s="1"/>
  <c r="H221" i="20"/>
  <c r="BA228" i="6"/>
  <c r="D228" i="6" s="1"/>
  <c r="H228" i="20"/>
  <c r="BA152" i="6"/>
  <c r="D152" i="6" s="1"/>
  <c r="H152" i="20"/>
  <c r="BA179" i="6"/>
  <c r="D179" i="6" s="1"/>
  <c r="H179" i="20"/>
  <c r="BA28" i="6"/>
  <c r="D28" i="6" s="1"/>
  <c r="H28" i="20"/>
  <c r="BA180" i="6"/>
  <c r="D180" i="6" s="1"/>
  <c r="H180" i="20"/>
  <c r="BA323" i="6"/>
  <c r="H323" i="20"/>
  <c r="BA26" i="6"/>
  <c r="D26" i="6" s="1"/>
  <c r="H26" i="20"/>
  <c r="BA170" i="6"/>
  <c r="D170" i="6" s="1"/>
  <c r="H170" i="20"/>
  <c r="BA366" i="6"/>
  <c r="D366" i="6" s="1"/>
  <c r="H366" i="20"/>
  <c r="BA39" i="6"/>
  <c r="D39" i="6" s="1"/>
  <c r="H39" i="20"/>
  <c r="G100" i="23"/>
  <c r="CD100" i="6" s="1"/>
  <c r="AA100" i="23"/>
  <c r="Z100" i="23" s="1"/>
  <c r="Y100" i="23" s="1"/>
  <c r="W32" i="24"/>
  <c r="D32" i="24"/>
  <c r="E32" i="24" s="1"/>
  <c r="F32" i="24" s="1"/>
  <c r="B32" i="25"/>
  <c r="W229" i="24"/>
  <c r="D229" i="24"/>
  <c r="E229" i="24" s="1"/>
  <c r="F229" i="24" s="1"/>
  <c r="B229" i="25"/>
  <c r="G353" i="23"/>
  <c r="CD353" i="6" s="1"/>
  <c r="AA353" i="23"/>
  <c r="Z353" i="23" s="1"/>
  <c r="Y353" i="23" s="1"/>
  <c r="G134" i="23"/>
  <c r="CD134" i="6" s="1"/>
  <c r="AA134" i="23"/>
  <c r="Z134" i="23" s="1"/>
  <c r="Y134" i="23" s="1"/>
  <c r="D68" i="24"/>
  <c r="E68" i="24" s="1"/>
  <c r="F68" i="24" s="1"/>
  <c r="W68" i="24"/>
  <c r="B68" i="25"/>
  <c r="D213" i="23"/>
  <c r="E213" i="23" s="1"/>
  <c r="F213" i="23" s="1"/>
  <c r="W213" i="23"/>
  <c r="B213" i="24"/>
  <c r="G57" i="23"/>
  <c r="CD57" i="6" s="1"/>
  <c r="AA57" i="23"/>
  <c r="Z57" i="23" s="1"/>
  <c r="Y57" i="23" s="1"/>
  <c r="D57" i="24"/>
  <c r="E57" i="24" s="1"/>
  <c r="F57" i="24" s="1"/>
  <c r="W57" i="24"/>
  <c r="B57" i="25"/>
  <c r="G280" i="23"/>
  <c r="CD280" i="6" s="1"/>
  <c r="AA280" i="23"/>
  <c r="Z280" i="23" s="1"/>
  <c r="Y280" i="23" s="1"/>
  <c r="G172" i="23"/>
  <c r="CD172" i="6" s="1"/>
  <c r="AA172" i="23"/>
  <c r="Z172" i="23" s="1"/>
  <c r="Y172" i="23" s="1"/>
  <c r="W20" i="23"/>
  <c r="D20" i="23"/>
  <c r="E20" i="23" s="1"/>
  <c r="F20" i="23" s="1"/>
  <c r="B20" i="24"/>
  <c r="W267" i="23"/>
  <c r="D267" i="23"/>
  <c r="E267" i="23" s="1"/>
  <c r="F267" i="23" s="1"/>
  <c r="B267" i="24"/>
  <c r="G179" i="23"/>
  <c r="CD179" i="6" s="1"/>
  <c r="AA179" i="23"/>
  <c r="Z179" i="23" s="1"/>
  <c r="Y179" i="23" s="1"/>
  <c r="W142" i="24"/>
  <c r="D142" i="24"/>
  <c r="E142" i="24" s="1"/>
  <c r="F142" i="24" s="1"/>
  <c r="B142" i="25"/>
  <c r="G339" i="22"/>
  <c r="CC339" i="6" s="1"/>
  <c r="AA339" i="22"/>
  <c r="Z339" i="22" s="1"/>
  <c r="Y339" i="22" s="1"/>
  <c r="W209" i="24"/>
  <c r="D209" i="24"/>
  <c r="E209" i="24" s="1"/>
  <c r="F209" i="24" s="1"/>
  <c r="B209" i="25"/>
  <c r="W147" i="24"/>
  <c r="D147" i="24"/>
  <c r="E147" i="24" s="1"/>
  <c r="F147" i="24" s="1"/>
  <c r="B147" i="25"/>
  <c r="G49" i="22"/>
  <c r="CC49" i="6" s="1"/>
  <c r="AA49" i="22"/>
  <c r="Z49" i="22" s="1"/>
  <c r="Y49" i="22" s="1"/>
  <c r="G276" i="23"/>
  <c r="CD276" i="6" s="1"/>
  <c r="AA276" i="23"/>
  <c r="Z276" i="23" s="1"/>
  <c r="Y276" i="23" s="1"/>
  <c r="W254" i="23"/>
  <c r="D254" i="23"/>
  <c r="E254" i="23" s="1"/>
  <c r="F254" i="23" s="1"/>
  <c r="B254" i="24"/>
  <c r="D42" i="23"/>
  <c r="E42" i="23" s="1"/>
  <c r="F42" i="23" s="1"/>
  <c r="W42" i="23"/>
  <c r="B42" i="24"/>
  <c r="D249" i="23"/>
  <c r="E249" i="23" s="1"/>
  <c r="F249" i="23" s="1"/>
  <c r="W249" i="23"/>
  <c r="B249" i="24"/>
  <c r="D189" i="24"/>
  <c r="E189" i="24" s="1"/>
  <c r="F189" i="24" s="1"/>
  <c r="W189" i="24"/>
  <c r="B189" i="25"/>
  <c r="G368" i="23"/>
  <c r="CD368" i="6" s="1"/>
  <c r="AA368" i="23"/>
  <c r="Z368" i="23" s="1"/>
  <c r="Y368" i="23" s="1"/>
  <c r="G166" i="23"/>
  <c r="CD166" i="6" s="1"/>
  <c r="AA166" i="23"/>
  <c r="Z166" i="23" s="1"/>
  <c r="Y166" i="23" s="1"/>
  <c r="D166" i="24"/>
  <c r="E166" i="24" s="1"/>
  <c r="F166" i="24" s="1"/>
  <c r="W166" i="24"/>
  <c r="B166" i="25"/>
  <c r="G105" i="23"/>
  <c r="CD105" i="6" s="1"/>
  <c r="AA105" i="23"/>
  <c r="Z105" i="23" s="1"/>
  <c r="Y105" i="23" s="1"/>
  <c r="W105" i="24"/>
  <c r="D105" i="24"/>
  <c r="E105" i="24" s="1"/>
  <c r="F105" i="24" s="1"/>
  <c r="B105" i="25"/>
  <c r="G232" i="22"/>
  <c r="CC232" i="6" s="1"/>
  <c r="AA232" i="22"/>
  <c r="Z232" i="22" s="1"/>
  <c r="Y232" i="22" s="1"/>
  <c r="G62" i="22"/>
  <c r="CC62" i="6" s="1"/>
  <c r="AA62" i="22"/>
  <c r="Z62" i="22" s="1"/>
  <c r="Y62" i="22" s="1"/>
  <c r="AA309" i="22"/>
  <c r="Z309" i="22" s="1"/>
  <c r="Y309" i="22" s="1"/>
  <c r="G309" i="22"/>
  <c r="CC309" i="6" s="1"/>
  <c r="W374" i="23"/>
  <c r="D374" i="23"/>
  <c r="E374" i="23" s="1"/>
  <c r="F374" i="23" s="1"/>
  <c r="B374" i="24"/>
  <c r="W362" i="23"/>
  <c r="D362" i="23"/>
  <c r="E362" i="23" s="1"/>
  <c r="F362" i="23" s="1"/>
  <c r="B362" i="24"/>
  <c r="W290" i="23"/>
  <c r="D290" i="23"/>
  <c r="E290" i="23" s="1"/>
  <c r="F290" i="23" s="1"/>
  <c r="B290" i="24"/>
  <c r="G158" i="23"/>
  <c r="CD158" i="6" s="1"/>
  <c r="AA158" i="23"/>
  <c r="Z158" i="23" s="1"/>
  <c r="Y158" i="23" s="1"/>
  <c r="AA30" i="23"/>
  <c r="Z30" i="23" s="1"/>
  <c r="Y30" i="23" s="1"/>
  <c r="G30" i="23"/>
  <c r="CD30" i="6" s="1"/>
  <c r="W225" i="23"/>
  <c r="D225" i="23"/>
  <c r="E225" i="23" s="1"/>
  <c r="F225" i="23" s="1"/>
  <c r="B225" i="24"/>
  <c r="G292" i="22"/>
  <c r="CC292" i="6" s="1"/>
  <c r="AA292" i="22"/>
  <c r="Z292" i="22" s="1"/>
  <c r="Y292" i="22" s="1"/>
  <c r="W292" i="23"/>
  <c r="D292" i="23"/>
  <c r="E292" i="23" s="1"/>
  <c r="F292" i="23" s="1"/>
  <c r="B292" i="24"/>
  <c r="G375" i="23"/>
  <c r="CD375" i="6" s="1"/>
  <c r="AA375" i="23"/>
  <c r="Z375" i="23" s="1"/>
  <c r="Y375" i="23" s="1"/>
  <c r="W375" i="24"/>
  <c r="D375" i="24"/>
  <c r="E375" i="24" s="1"/>
  <c r="F375" i="24" s="1"/>
  <c r="B375" i="25"/>
  <c r="G325" i="22"/>
  <c r="CC325" i="6" s="1"/>
  <c r="AA325" i="22"/>
  <c r="Z325" i="22" s="1"/>
  <c r="Y325" i="22" s="1"/>
  <c r="G277" i="22"/>
  <c r="CC277" i="6" s="1"/>
  <c r="AA277" i="22"/>
  <c r="Z277" i="22" s="1"/>
  <c r="Y277" i="22" s="1"/>
  <c r="G326" i="23"/>
  <c r="CD326" i="6" s="1"/>
  <c r="AA326" i="23"/>
  <c r="Z326" i="23" s="1"/>
  <c r="Y326" i="23" s="1"/>
  <c r="G296" i="22"/>
  <c r="CC296" i="6" s="1"/>
  <c r="AA296" i="22"/>
  <c r="Z296" i="22" s="1"/>
  <c r="Y296" i="22" s="1"/>
  <c r="D296" i="23"/>
  <c r="E296" i="23" s="1"/>
  <c r="F296" i="23" s="1"/>
  <c r="W296" i="23"/>
  <c r="B296" i="24"/>
  <c r="W120" i="24"/>
  <c r="D120" i="24"/>
  <c r="E120" i="24" s="1"/>
  <c r="F120" i="24" s="1"/>
  <c r="B120" i="25"/>
  <c r="G233" i="22"/>
  <c r="CC233" i="6" s="1"/>
  <c r="AA233" i="22"/>
  <c r="Z233" i="22" s="1"/>
  <c r="Y233" i="22" s="1"/>
  <c r="G123" i="22"/>
  <c r="CC123" i="6" s="1"/>
  <c r="AA123" i="22"/>
  <c r="Z123" i="22" s="1"/>
  <c r="Y123" i="22" s="1"/>
  <c r="G45" i="22"/>
  <c r="CC45" i="6" s="1"/>
  <c r="AA45" i="22"/>
  <c r="Z45" i="22" s="1"/>
  <c r="Y45" i="22" s="1"/>
  <c r="W282" i="23"/>
  <c r="D282" i="23"/>
  <c r="E282" i="23" s="1"/>
  <c r="F282" i="23" s="1"/>
  <c r="B282" i="24"/>
  <c r="G230" i="23"/>
  <c r="CD230" i="6" s="1"/>
  <c r="AA230" i="23"/>
  <c r="Z230" i="23" s="1"/>
  <c r="Y230" i="23" s="1"/>
  <c r="D118" i="24"/>
  <c r="E118" i="24" s="1"/>
  <c r="F118" i="24" s="1"/>
  <c r="W118" i="24"/>
  <c r="B118" i="25"/>
  <c r="W92" i="24"/>
  <c r="D92" i="24"/>
  <c r="E92" i="24" s="1"/>
  <c r="F92" i="24" s="1"/>
  <c r="B92" i="25"/>
  <c r="W219" i="23"/>
  <c r="D219" i="23"/>
  <c r="E219" i="23" s="1"/>
  <c r="F219" i="23" s="1"/>
  <c r="B219" i="24"/>
  <c r="W173" i="23"/>
  <c r="D173" i="23"/>
  <c r="E173" i="23" s="1"/>
  <c r="F173" i="23" s="1"/>
  <c r="B173" i="24"/>
  <c r="G127" i="22"/>
  <c r="CC127" i="6" s="1"/>
  <c r="AA127" i="22"/>
  <c r="Z127" i="22" s="1"/>
  <c r="Y127" i="22" s="1"/>
  <c r="W127" i="23"/>
  <c r="D127" i="23"/>
  <c r="E127" i="23" s="1"/>
  <c r="F127" i="23" s="1"/>
  <c r="B127" i="24"/>
  <c r="G89" i="22"/>
  <c r="CC89" i="6" s="1"/>
  <c r="AA89" i="22"/>
  <c r="Z89" i="22" s="1"/>
  <c r="Y89" i="22" s="1"/>
  <c r="G61" i="22"/>
  <c r="CC61" i="6" s="1"/>
  <c r="AA61" i="22"/>
  <c r="Z61" i="22" s="1"/>
  <c r="Y61" i="22" s="1"/>
  <c r="D175" i="24"/>
  <c r="E175" i="24" s="1"/>
  <c r="F175" i="24" s="1"/>
  <c r="W175" i="24"/>
  <c r="B175" i="25"/>
  <c r="G284" i="23"/>
  <c r="CD284" i="6" s="1"/>
  <c r="AA284" i="23"/>
  <c r="Z284" i="23" s="1"/>
  <c r="Y284" i="23" s="1"/>
  <c r="D302" i="24"/>
  <c r="E302" i="24" s="1"/>
  <c r="F302" i="24" s="1"/>
  <c r="W302" i="24"/>
  <c r="B302" i="25"/>
  <c r="G335" i="23"/>
  <c r="CD335" i="6" s="1"/>
  <c r="AA335" i="23"/>
  <c r="Z335" i="23" s="1"/>
  <c r="Y335" i="23" s="1"/>
  <c r="G194" i="22"/>
  <c r="CC194" i="6" s="1"/>
  <c r="AA194" i="22"/>
  <c r="Z194" i="22" s="1"/>
  <c r="Y194" i="22" s="1"/>
  <c r="W111" i="24"/>
  <c r="D111" i="24"/>
  <c r="E111" i="24" s="1"/>
  <c r="F111" i="24" s="1"/>
  <c r="B111" i="25"/>
  <c r="W17" i="24"/>
  <c r="D17" i="24"/>
  <c r="E17" i="24" s="1"/>
  <c r="F17" i="24" s="1"/>
  <c r="B17" i="25"/>
  <c r="D349" i="23"/>
  <c r="E349" i="23" s="1"/>
  <c r="F349" i="23" s="1"/>
  <c r="W349" i="23"/>
  <c r="B349" i="24"/>
  <c r="G149" i="23"/>
  <c r="CD149" i="6" s="1"/>
  <c r="AA149" i="23"/>
  <c r="Z149" i="23" s="1"/>
  <c r="Y149" i="23" s="1"/>
  <c r="W281" i="24"/>
  <c r="D281" i="24"/>
  <c r="E281" i="24" s="1"/>
  <c r="F281" i="24" s="1"/>
  <c r="B281" i="25"/>
  <c r="W247" i="24"/>
  <c r="D247" i="24"/>
  <c r="E247" i="24" s="1"/>
  <c r="F247" i="24" s="1"/>
  <c r="B247" i="25"/>
  <c r="W159" i="23"/>
  <c r="D159" i="23"/>
  <c r="E159" i="23" s="1"/>
  <c r="F159" i="23" s="1"/>
  <c r="B159" i="24"/>
  <c r="G161" i="22"/>
  <c r="CC161" i="6" s="1"/>
  <c r="AA161" i="22"/>
  <c r="Z161" i="22" s="1"/>
  <c r="Y161" i="22" s="1"/>
  <c r="W161" i="23"/>
  <c r="D161" i="23"/>
  <c r="E161" i="23" s="1"/>
  <c r="F161" i="23" s="1"/>
  <c r="B161" i="24"/>
  <c r="G210" i="22"/>
  <c r="CC210" i="6" s="1"/>
  <c r="AA210" i="22"/>
  <c r="Z210" i="22" s="1"/>
  <c r="Y210" i="22" s="1"/>
  <c r="W135" i="23"/>
  <c r="D135" i="23"/>
  <c r="E135" i="23" s="1"/>
  <c r="F135" i="23" s="1"/>
  <c r="B135" i="24"/>
  <c r="BA312" i="6"/>
  <c r="D312" i="6" s="1"/>
  <c r="H312" i="20"/>
  <c r="BA19" i="6"/>
  <c r="D19" i="6" s="1"/>
  <c r="H19" i="20"/>
  <c r="BA197" i="6"/>
  <c r="H197" i="20"/>
  <c r="BA313" i="6"/>
  <c r="D313" i="6" s="1"/>
  <c r="H313" i="20"/>
  <c r="BA32" i="6"/>
  <c r="D32" i="6" s="1"/>
  <c r="H32" i="20"/>
  <c r="BA52" i="6"/>
  <c r="D52" i="6" s="1"/>
  <c r="H52" i="20"/>
  <c r="BA342" i="6"/>
  <c r="D342" i="6" s="1"/>
  <c r="H342" i="20"/>
  <c r="BA190" i="6"/>
  <c r="D190" i="6" s="1"/>
  <c r="BA370" i="6"/>
  <c r="D370" i="6" s="1"/>
  <c r="BA304" i="6"/>
  <c r="D304" i="6" s="1"/>
  <c r="H304" i="20"/>
  <c r="BA202" i="6"/>
  <c r="D202" i="6" s="1"/>
  <c r="H202" i="20"/>
  <c r="BA138" i="6"/>
  <c r="D138" i="6" s="1"/>
  <c r="BA151" i="6"/>
  <c r="D151" i="6" s="1"/>
  <c r="BA107" i="6"/>
  <c r="D107" i="6" s="1"/>
  <c r="H107" i="20"/>
  <c r="BA142" i="6"/>
  <c r="D142" i="6" s="1"/>
  <c r="BA260" i="6"/>
  <c r="D260" i="6" s="1"/>
  <c r="H260" i="20"/>
  <c r="BA241" i="6"/>
  <c r="D241" i="6" s="1"/>
  <c r="BA278" i="6"/>
  <c r="D278" i="6" s="1"/>
  <c r="BA319" i="6"/>
  <c r="D319" i="6" s="1"/>
  <c r="H319" i="20"/>
  <c r="BA105" i="6"/>
  <c r="D105" i="6" s="1"/>
  <c r="H105" i="20"/>
  <c r="BA379" i="6"/>
  <c r="D379" i="6" s="1"/>
  <c r="BA167" i="6"/>
  <c r="D167" i="6" s="1"/>
  <c r="H167" i="20"/>
  <c r="BA299" i="6"/>
  <c r="D299" i="6" s="1"/>
  <c r="BA55" i="6"/>
  <c r="D55" i="6" s="1"/>
  <c r="BA265" i="6"/>
  <c r="D265" i="6" s="1"/>
  <c r="W81" i="23"/>
  <c r="D81" i="23"/>
  <c r="E81" i="23" s="1"/>
  <c r="F81" i="23" s="1"/>
  <c r="B81" i="24"/>
  <c r="W332" i="23"/>
  <c r="D332" i="23"/>
  <c r="E332" i="23" s="1"/>
  <c r="F332" i="23" s="1"/>
  <c r="B332" i="24"/>
  <c r="D321" i="23"/>
  <c r="E321" i="23" s="1"/>
  <c r="F321" i="23" s="1"/>
  <c r="W321" i="23"/>
  <c r="B321" i="24"/>
  <c r="G163" i="22"/>
  <c r="CC163" i="6" s="1"/>
  <c r="AA163" i="22"/>
  <c r="Z163" i="22" s="1"/>
  <c r="Y163" i="22" s="1"/>
  <c r="G98" i="22"/>
  <c r="CC98" i="6" s="1"/>
  <c r="AA98" i="22"/>
  <c r="Z98" i="22" s="1"/>
  <c r="Y98" i="22" s="1"/>
  <c r="W207" i="24"/>
  <c r="D207" i="24"/>
  <c r="E207" i="24" s="1"/>
  <c r="F207" i="24" s="1"/>
  <c r="B207" i="25"/>
  <c r="D366" i="24"/>
  <c r="E366" i="24" s="1"/>
  <c r="F366" i="24" s="1"/>
  <c r="W366" i="24"/>
  <c r="B366" i="25"/>
  <c r="D342" i="24"/>
  <c r="E342" i="24" s="1"/>
  <c r="F342" i="24" s="1"/>
  <c r="W342" i="24"/>
  <c r="B342" i="25"/>
  <c r="W312" i="24"/>
  <c r="D312" i="24"/>
  <c r="E312" i="24" s="1"/>
  <c r="F312" i="24" s="1"/>
  <c r="B312" i="25"/>
  <c r="H240" i="20"/>
  <c r="G200" i="23"/>
  <c r="CD200" i="6" s="1"/>
  <c r="AA200" i="23"/>
  <c r="Z200" i="23" s="1"/>
  <c r="Y200" i="23" s="1"/>
  <c r="W40" i="24"/>
  <c r="B40" i="25"/>
  <c r="D40" i="24"/>
  <c r="E40" i="24" s="1"/>
  <c r="F40" i="24" s="1"/>
  <c r="G377" i="23"/>
  <c r="CD377" i="6" s="1"/>
  <c r="AA377" i="23"/>
  <c r="Z377" i="23" s="1"/>
  <c r="Y377" i="23" s="1"/>
  <c r="G343" i="23"/>
  <c r="CD343" i="6" s="1"/>
  <c r="AA343" i="23"/>
  <c r="Z343" i="23" s="1"/>
  <c r="Y343" i="23" s="1"/>
  <c r="G315" i="22"/>
  <c r="CC315" i="6" s="1"/>
  <c r="AA315" i="22"/>
  <c r="Z315" i="22" s="1"/>
  <c r="Y315" i="22" s="1"/>
  <c r="G129" i="23"/>
  <c r="CD129" i="6" s="1"/>
  <c r="AA129" i="23"/>
  <c r="Z129" i="23" s="1"/>
  <c r="Y129" i="23" s="1"/>
  <c r="G113" i="23"/>
  <c r="CD113" i="6" s="1"/>
  <c r="AA113" i="23"/>
  <c r="Z113" i="23" s="1"/>
  <c r="Y113" i="23" s="1"/>
  <c r="W350" i="23"/>
  <c r="D350" i="23"/>
  <c r="E350" i="23" s="1"/>
  <c r="F350" i="23" s="1"/>
  <c r="B350" i="24"/>
  <c r="G238" i="23"/>
  <c r="CD238" i="6" s="1"/>
  <c r="AA238" i="23"/>
  <c r="Z238" i="23" s="1"/>
  <c r="Y238" i="23" s="1"/>
  <c r="W160" i="23"/>
  <c r="D160" i="23"/>
  <c r="E160" i="23" s="1"/>
  <c r="F160" i="23" s="1"/>
  <c r="B160" i="24"/>
  <c r="D48" i="23"/>
  <c r="E48" i="23" s="1"/>
  <c r="F48" i="23" s="1"/>
  <c r="W48" i="23"/>
  <c r="B48" i="24"/>
  <c r="W307" i="23"/>
  <c r="D307" i="23"/>
  <c r="E307" i="23" s="1"/>
  <c r="F307" i="23" s="1"/>
  <c r="B307" i="24"/>
  <c r="G348" i="23"/>
  <c r="CD348" i="6" s="1"/>
  <c r="AA348" i="23"/>
  <c r="Z348" i="23" s="1"/>
  <c r="Y348" i="23" s="1"/>
  <c r="G250" i="22"/>
  <c r="CC250" i="6" s="1"/>
  <c r="AA250" i="22"/>
  <c r="Z250" i="22" s="1"/>
  <c r="Y250" i="22" s="1"/>
  <c r="G126" i="22"/>
  <c r="CC126" i="6" s="1"/>
  <c r="AA126" i="22"/>
  <c r="Z126" i="22" s="1"/>
  <c r="Y126" i="22" s="1"/>
  <c r="W96" i="23"/>
  <c r="D96" i="23"/>
  <c r="E96" i="23" s="1"/>
  <c r="F96" i="23" s="1"/>
  <c r="B96" i="24"/>
  <c r="G34" i="22"/>
  <c r="CC34" i="6" s="1"/>
  <c r="AA34" i="22"/>
  <c r="Z34" i="22" s="1"/>
  <c r="Y34" i="22" s="1"/>
  <c r="G341" i="23"/>
  <c r="CD341" i="6" s="1"/>
  <c r="AA341" i="23"/>
  <c r="Z341" i="23" s="1"/>
  <c r="Y341" i="23" s="1"/>
  <c r="G93" i="23"/>
  <c r="CD93" i="6" s="1"/>
  <c r="AA93" i="23"/>
  <c r="Z93" i="23" s="1"/>
  <c r="Y93" i="23" s="1"/>
  <c r="W31" i="23"/>
  <c r="D31" i="23"/>
  <c r="E31" i="23" s="1"/>
  <c r="F31" i="23" s="1"/>
  <c r="B31" i="24"/>
  <c r="G70" i="23"/>
  <c r="CD70" i="6" s="1"/>
  <c r="AA70" i="23"/>
  <c r="Z70" i="23" s="1"/>
  <c r="Y70" i="23" s="1"/>
  <c r="W37" i="23"/>
  <c r="D37" i="23"/>
  <c r="E37" i="23" s="1"/>
  <c r="F37" i="23" s="1"/>
  <c r="B37" i="24"/>
  <c r="G244" i="22"/>
  <c r="CC244" i="6" s="1"/>
  <c r="AA244" i="22"/>
  <c r="Z244" i="22" s="1"/>
  <c r="Y244" i="22" s="1"/>
  <c r="G346" i="22"/>
  <c r="CC346" i="6" s="1"/>
  <c r="AA346" i="22"/>
  <c r="Z346" i="22" s="1"/>
  <c r="Y346" i="22" s="1"/>
  <c r="W346" i="23"/>
  <c r="D346" i="23"/>
  <c r="E346" i="23" s="1"/>
  <c r="F346" i="23" s="1"/>
  <c r="B346" i="24"/>
  <c r="G248" i="22"/>
  <c r="CC248" i="6" s="1"/>
  <c r="AA248" i="22"/>
  <c r="Z248" i="22" s="1"/>
  <c r="Y248" i="22" s="1"/>
  <c r="W208" i="24"/>
  <c r="D208" i="24"/>
  <c r="E208" i="24" s="1"/>
  <c r="F208" i="24" s="1"/>
  <c r="B208" i="25"/>
  <c r="W363" i="24"/>
  <c r="D363" i="24"/>
  <c r="E363" i="24" s="1"/>
  <c r="F363" i="24" s="1"/>
  <c r="B363" i="25"/>
  <c r="G295" i="22"/>
  <c r="CC295" i="6" s="1"/>
  <c r="AA295" i="22"/>
  <c r="Z295" i="22" s="1"/>
  <c r="Y295" i="22" s="1"/>
  <c r="W125" i="23"/>
  <c r="D125" i="23"/>
  <c r="E125" i="23" s="1"/>
  <c r="F125" i="23" s="1"/>
  <c r="B125" i="24"/>
  <c r="G157" i="22"/>
  <c r="CC157" i="6" s="1"/>
  <c r="AA157" i="22"/>
  <c r="Z157" i="22" s="1"/>
  <c r="Y157" i="22" s="1"/>
  <c r="W305" i="24"/>
  <c r="D305" i="24"/>
  <c r="E305" i="24" s="1"/>
  <c r="F305" i="24" s="1"/>
  <c r="B305" i="25"/>
  <c r="G252" i="23"/>
  <c r="CD252" i="6" s="1"/>
  <c r="AA252" i="23"/>
  <c r="Z252" i="23" s="1"/>
  <c r="Y252" i="23" s="1"/>
  <c r="D222" i="24"/>
  <c r="E222" i="24" s="1"/>
  <c r="F222" i="24" s="1"/>
  <c r="W222" i="24"/>
  <c r="B222" i="25"/>
  <c r="G264" i="22"/>
  <c r="CC264" i="6" s="1"/>
  <c r="AA264" i="22"/>
  <c r="Z264" i="22" s="1"/>
  <c r="Y264" i="22" s="1"/>
  <c r="H214" i="20"/>
  <c r="G214" i="22"/>
  <c r="CC214" i="6" s="1"/>
  <c r="AA214" i="22"/>
  <c r="Z214" i="22" s="1"/>
  <c r="Y214" i="22" s="1"/>
  <c r="W214" i="23"/>
  <c r="D214" i="23"/>
  <c r="E214" i="23" s="1"/>
  <c r="F214" i="23" s="1"/>
  <c r="B214" i="24"/>
  <c r="W198" i="23"/>
  <c r="D198" i="23"/>
  <c r="E198" i="23" s="1"/>
  <c r="F198" i="23" s="1"/>
  <c r="B198" i="24"/>
  <c r="W82" i="24"/>
  <c r="D82" i="24"/>
  <c r="E82" i="24" s="1"/>
  <c r="F82" i="24" s="1"/>
  <c r="B82" i="25"/>
  <c r="W351" i="24"/>
  <c r="D351" i="24"/>
  <c r="E351" i="24" s="1"/>
  <c r="F351" i="24" s="1"/>
  <c r="B351" i="25"/>
  <c r="W279" i="23"/>
  <c r="D279" i="23"/>
  <c r="E279" i="23" s="1"/>
  <c r="F279" i="23" s="1"/>
  <c r="B279" i="24"/>
  <c r="G165" i="22"/>
  <c r="CC165" i="6" s="1"/>
  <c r="AA165" i="22"/>
  <c r="Z165" i="22" s="1"/>
  <c r="Y165" i="22" s="1"/>
  <c r="G117" i="23"/>
  <c r="CD117" i="6" s="1"/>
  <c r="AA117" i="23"/>
  <c r="Z117" i="23" s="1"/>
  <c r="Y117" i="23" s="1"/>
  <c r="G91" i="23"/>
  <c r="CD91" i="6" s="1"/>
  <c r="AA91" i="23"/>
  <c r="Z91" i="23" s="1"/>
  <c r="Y91" i="23" s="1"/>
  <c r="H51" i="20"/>
  <c r="G41" i="23"/>
  <c r="CD41" i="6" s="1"/>
  <c r="AA41" i="23"/>
  <c r="Z41" i="23" s="1"/>
  <c r="Y41" i="23" s="1"/>
  <c r="G364" i="22"/>
  <c r="CC364" i="6" s="1"/>
  <c r="AA364" i="22"/>
  <c r="Z364" i="22" s="1"/>
  <c r="Y364" i="22" s="1"/>
  <c r="AA330" i="22"/>
  <c r="Z330" i="22" s="1"/>
  <c r="Y330" i="22" s="1"/>
  <c r="G330" i="22"/>
  <c r="CC330" i="6" s="1"/>
  <c r="AA256" i="22"/>
  <c r="Z256" i="22" s="1"/>
  <c r="Y256" i="22" s="1"/>
  <c r="G256" i="22"/>
  <c r="CC256" i="6" s="1"/>
  <c r="D184" i="23"/>
  <c r="E184" i="23" s="1"/>
  <c r="F184" i="23" s="1"/>
  <c r="W184" i="23"/>
  <c r="B184" i="24"/>
  <c r="W124" i="23"/>
  <c r="D124" i="23"/>
  <c r="E124" i="23" s="1"/>
  <c r="F124" i="23" s="1"/>
  <c r="B124" i="24"/>
  <c r="G27" i="22"/>
  <c r="CC27" i="6" s="1"/>
  <c r="AA27" i="22"/>
  <c r="Z27" i="22" s="1"/>
  <c r="Y27" i="22" s="1"/>
  <c r="G151" i="23"/>
  <c r="CD151" i="6" s="1"/>
  <c r="AA151" i="23"/>
  <c r="Z151" i="23" s="1"/>
  <c r="Y151" i="23" s="1"/>
  <c r="W107" i="24"/>
  <c r="D107" i="24"/>
  <c r="E107" i="24" s="1"/>
  <c r="F107" i="24" s="1"/>
  <c r="B107" i="25"/>
  <c r="W39" i="24"/>
  <c r="D39" i="24"/>
  <c r="E39" i="24" s="1"/>
  <c r="F39" i="24" s="1"/>
  <c r="B39" i="25"/>
  <c r="W146" i="24"/>
  <c r="D146" i="24"/>
  <c r="E146" i="24" s="1"/>
  <c r="F146" i="24" s="1"/>
  <c r="B146" i="25"/>
  <c r="W94" i="24"/>
  <c r="D94" i="24"/>
  <c r="E94" i="24" s="1"/>
  <c r="F94" i="24" s="1"/>
  <c r="B94" i="25"/>
  <c r="W285" i="24"/>
  <c r="D285" i="24"/>
  <c r="E285" i="24" s="1"/>
  <c r="F285" i="24" s="1"/>
  <c r="B285" i="25"/>
  <c r="W215" i="23"/>
  <c r="D215" i="23"/>
  <c r="E215" i="23" s="1"/>
  <c r="F215" i="23" s="1"/>
  <c r="B215" i="24"/>
  <c r="W181" i="23"/>
  <c r="D181" i="23"/>
  <c r="E181" i="23" s="1"/>
  <c r="F181" i="23" s="1"/>
  <c r="B181" i="24"/>
  <c r="D71" i="23"/>
  <c r="E71" i="23" s="1"/>
  <c r="F71" i="23" s="1"/>
  <c r="W71" i="23"/>
  <c r="B71" i="24"/>
  <c r="D258" i="24"/>
  <c r="E258" i="24" s="1"/>
  <c r="F258" i="24" s="1"/>
  <c r="W258" i="24"/>
  <c r="B258" i="25"/>
  <c r="G328" i="22"/>
  <c r="CC328" i="6" s="1"/>
  <c r="AA328" i="22"/>
  <c r="Z328" i="22" s="1"/>
  <c r="Y328" i="22" s="1"/>
  <c r="W268" i="23"/>
  <c r="D268" i="23"/>
  <c r="E268" i="23" s="1"/>
  <c r="F268" i="23" s="1"/>
  <c r="B268" i="24"/>
  <c r="H246" i="20"/>
  <c r="G56" i="22"/>
  <c r="CC56" i="6" s="1"/>
  <c r="AA56" i="22"/>
  <c r="Z56" i="22" s="1"/>
  <c r="Y56" i="22" s="1"/>
  <c r="W361" i="23"/>
  <c r="D361" i="23"/>
  <c r="E361" i="23" s="1"/>
  <c r="F361" i="23" s="1"/>
  <c r="B361" i="24"/>
  <c r="AA273" i="22"/>
  <c r="Z273" i="22" s="1"/>
  <c r="Y273" i="22" s="1"/>
  <c r="G273" i="22"/>
  <c r="CC273" i="6" s="1"/>
  <c r="G287" i="22"/>
  <c r="CC287" i="6" s="1"/>
  <c r="AA287" i="22"/>
  <c r="Z287" i="22" s="1"/>
  <c r="Y287" i="22" s="1"/>
  <c r="D278" i="24"/>
  <c r="E278" i="24" s="1"/>
  <c r="F278" i="24" s="1"/>
  <c r="W278" i="24"/>
  <c r="B278" i="25"/>
  <c r="G74" i="22"/>
  <c r="CC74" i="6" s="1"/>
  <c r="AA74" i="22"/>
  <c r="Z74" i="22" s="1"/>
  <c r="Y74" i="22" s="1"/>
  <c r="G69" i="23"/>
  <c r="CD69" i="6" s="1"/>
  <c r="AA69" i="23"/>
  <c r="Z69" i="23" s="1"/>
  <c r="Y69" i="23" s="1"/>
  <c r="D69" i="24"/>
  <c r="E69" i="24" s="1"/>
  <c r="F69" i="24" s="1"/>
  <c r="W69" i="24"/>
  <c r="B69" i="25"/>
  <c r="G318" i="22"/>
  <c r="CC318" i="6" s="1"/>
  <c r="AA318" i="22"/>
  <c r="Z318" i="22" s="1"/>
  <c r="Y318" i="22" s="1"/>
  <c r="D106" i="24"/>
  <c r="E106" i="24" s="1"/>
  <c r="F106" i="24" s="1"/>
  <c r="W106" i="24"/>
  <c r="B106" i="25"/>
  <c r="W99" i="23"/>
  <c r="D99" i="23"/>
  <c r="E99" i="23" s="1"/>
  <c r="F99" i="23" s="1"/>
  <c r="B99" i="24"/>
  <c r="G283" i="22"/>
  <c r="CC283" i="6" s="1"/>
  <c r="AA283" i="22"/>
  <c r="Z283" i="22" s="1"/>
  <c r="Y283" i="22" s="1"/>
  <c r="W227" i="24"/>
  <c r="D227" i="24"/>
  <c r="E227" i="24" s="1"/>
  <c r="F227" i="24" s="1"/>
  <c r="B227" i="25"/>
  <c r="W226" i="23"/>
  <c r="D226" i="23"/>
  <c r="E226" i="23" s="1"/>
  <c r="F226" i="23" s="1"/>
  <c r="B226" i="24"/>
  <c r="BA64" i="6"/>
  <c r="D64" i="6" s="1"/>
  <c r="BA297" i="6"/>
  <c r="D297" i="6" s="1"/>
  <c r="H297" i="20"/>
  <c r="BA300" i="6"/>
  <c r="D300" i="6" s="1"/>
  <c r="H300" i="20"/>
  <c r="BA164" i="6"/>
  <c r="D164" i="6" s="1"/>
  <c r="BA344" i="6"/>
  <c r="D344" i="6" s="1"/>
  <c r="H344" i="20"/>
  <c r="BA23" i="6"/>
  <c r="D23" i="6" s="1"/>
  <c r="H23" i="20"/>
  <c r="BA155" i="6"/>
  <c r="H155" i="20"/>
  <c r="BA238" i="6"/>
  <c r="D238" i="6" s="1"/>
  <c r="H238" i="20"/>
  <c r="BA97" i="6"/>
  <c r="D97" i="6" s="1"/>
  <c r="H97" i="20"/>
  <c r="BA43" i="6"/>
  <c r="H43" i="20"/>
  <c r="BA337" i="6"/>
  <c r="H337" i="20"/>
  <c r="BA259" i="6"/>
  <c r="D259" i="6" s="1"/>
  <c r="H259" i="20"/>
  <c r="BA136" i="6"/>
  <c r="D136" i="6" s="1"/>
  <c r="BA348" i="6"/>
  <c r="D348" i="6" s="1"/>
  <c r="H348" i="20"/>
  <c r="BA306" i="6"/>
  <c r="D306" i="6" s="1"/>
  <c r="H306" i="20"/>
  <c r="BA193" i="6"/>
  <c r="D193" i="6" s="1"/>
  <c r="AA76" i="22"/>
  <c r="Z76" i="22" s="1"/>
  <c r="Y76" i="22" s="1"/>
  <c r="G76" i="22"/>
  <c r="CC76" i="6" s="1"/>
  <c r="G73" i="22"/>
  <c r="CC73" i="6" s="1"/>
  <c r="AA73" i="22"/>
  <c r="Z73" i="22" s="1"/>
  <c r="Y73" i="22" s="1"/>
  <c r="W236" i="23"/>
  <c r="D236" i="23"/>
  <c r="E236" i="23" s="1"/>
  <c r="F236" i="23" s="1"/>
  <c r="B236" i="24"/>
  <c r="W299" i="24"/>
  <c r="D299" i="24"/>
  <c r="E299" i="24" s="1"/>
  <c r="F299" i="24" s="1"/>
  <c r="B299" i="25"/>
  <c r="W356" i="23"/>
  <c r="D356" i="23"/>
  <c r="E356" i="23" s="1"/>
  <c r="F356" i="23" s="1"/>
  <c r="B356" i="24"/>
  <c r="W206" i="23"/>
  <c r="D206" i="23"/>
  <c r="E206" i="23" s="1"/>
  <c r="F206" i="23" s="1"/>
  <c r="B206" i="24"/>
  <c r="G44" i="22"/>
  <c r="CC44" i="6" s="1"/>
  <c r="AA44" i="22"/>
  <c r="Z44" i="22" s="1"/>
  <c r="Y44" i="22" s="1"/>
  <c r="W24" i="23"/>
  <c r="D24" i="23"/>
  <c r="E24" i="23" s="1"/>
  <c r="F24" i="23" s="1"/>
  <c r="B24" i="24"/>
  <c r="G345" i="22"/>
  <c r="CC345" i="6" s="1"/>
  <c r="AA345" i="22"/>
  <c r="Z345" i="22" s="1"/>
  <c r="Y345" i="22" s="1"/>
  <c r="W133" i="23"/>
  <c r="D133" i="23"/>
  <c r="E133" i="23" s="1"/>
  <c r="F133" i="23" s="1"/>
  <c r="B133" i="24"/>
  <c r="G115" i="22"/>
  <c r="CC115" i="6" s="1"/>
  <c r="AA115" i="22"/>
  <c r="Z115" i="22" s="1"/>
  <c r="Y115" i="22" s="1"/>
  <c r="W234" i="23"/>
  <c r="D234" i="23"/>
  <c r="E234" i="23" s="1"/>
  <c r="F234" i="23" s="1"/>
  <c r="B234" i="24"/>
  <c r="H20" i="20"/>
  <c r="D257" i="24"/>
  <c r="E257" i="24" s="1"/>
  <c r="F257" i="24" s="1"/>
  <c r="W257" i="24"/>
  <c r="B257" i="25"/>
  <c r="G191" i="22"/>
  <c r="CC191" i="6" s="1"/>
  <c r="AA191" i="22"/>
  <c r="Z191" i="22" s="1"/>
  <c r="Y191" i="22" s="1"/>
  <c r="G80" i="23"/>
  <c r="CD80" i="6" s="1"/>
  <c r="AA80" i="23"/>
  <c r="Z80" i="23" s="1"/>
  <c r="Y80" i="23" s="1"/>
  <c r="W80" i="24"/>
  <c r="D80" i="24"/>
  <c r="E80" i="24" s="1"/>
  <c r="F80" i="24" s="1"/>
  <c r="B80" i="25"/>
  <c r="G371" i="22"/>
  <c r="CC371" i="6" s="1"/>
  <c r="AA371" i="22"/>
  <c r="Z371" i="22" s="1"/>
  <c r="Y371" i="22" s="1"/>
  <c r="G87" i="22"/>
  <c r="CC87" i="6" s="1"/>
  <c r="AA87" i="22"/>
  <c r="Z87" i="22" s="1"/>
  <c r="Y87" i="22" s="1"/>
  <c r="W320" i="24"/>
  <c r="D320" i="24"/>
  <c r="E320" i="24" s="1"/>
  <c r="F320" i="24" s="1"/>
  <c r="B320" i="25"/>
  <c r="W260" i="24"/>
  <c r="D260" i="24"/>
  <c r="E260" i="24" s="1"/>
  <c r="F260" i="24" s="1"/>
  <c r="B260" i="25"/>
  <c r="G220" i="22"/>
  <c r="CC220" i="6" s="1"/>
  <c r="AA220" i="22"/>
  <c r="Z220" i="22" s="1"/>
  <c r="Y220" i="22" s="1"/>
  <c r="AA317" i="22"/>
  <c r="Z317" i="22" s="1"/>
  <c r="Y317" i="22" s="1"/>
  <c r="G317" i="22"/>
  <c r="CC317" i="6" s="1"/>
  <c r="W88" i="23"/>
  <c r="D88" i="23"/>
  <c r="E88" i="23" s="1"/>
  <c r="F88" i="23" s="1"/>
  <c r="B88" i="24"/>
  <c r="W241" i="24"/>
  <c r="D241" i="24"/>
  <c r="E241" i="24" s="1"/>
  <c r="F241" i="24" s="1"/>
  <c r="B241" i="25"/>
  <c r="AA272" i="22"/>
  <c r="Z272" i="22" s="1"/>
  <c r="Y272" i="22" s="1"/>
  <c r="G272" i="22"/>
  <c r="CC272" i="6" s="1"/>
  <c r="W272" i="23"/>
  <c r="D272" i="23"/>
  <c r="E272" i="23" s="1"/>
  <c r="F272" i="23" s="1"/>
  <c r="B272" i="24"/>
  <c r="W22" i="23"/>
  <c r="D22" i="23"/>
  <c r="E22" i="23" s="1"/>
  <c r="F22" i="23" s="1"/>
  <c r="B22" i="24"/>
  <c r="G67" i="22"/>
  <c r="CC67" i="6" s="1"/>
  <c r="AA67" i="22"/>
  <c r="Z67" i="22" s="1"/>
  <c r="Y67" i="22" s="1"/>
  <c r="G196" i="22"/>
  <c r="CC196" i="6" s="1"/>
  <c r="AA196" i="22"/>
  <c r="Z196" i="22" s="1"/>
  <c r="Y196" i="22" s="1"/>
  <c r="G119" i="22"/>
  <c r="CC119" i="6" s="1"/>
  <c r="AA119" i="22"/>
  <c r="Z119" i="22" s="1"/>
  <c r="Y119" i="22" s="1"/>
  <c r="G153" i="23"/>
  <c r="CD153" i="6" s="1"/>
  <c r="AA153" i="23"/>
  <c r="Z153" i="23" s="1"/>
  <c r="Y153" i="23" s="1"/>
  <c r="G235" i="23"/>
  <c r="CD235" i="6" s="1"/>
  <c r="AA235" i="23"/>
  <c r="Z235" i="23" s="1"/>
  <c r="Y235" i="23" s="1"/>
  <c r="G103" i="23"/>
  <c r="CD103" i="6" s="1"/>
  <c r="AA103" i="23"/>
  <c r="Z103" i="23" s="1"/>
  <c r="Y103" i="23" s="1"/>
  <c r="G311" i="22"/>
  <c r="CC311" i="6" s="1"/>
  <c r="AA311" i="22"/>
  <c r="Z311" i="22" s="1"/>
  <c r="Y311" i="22" s="1"/>
  <c r="G310" i="22"/>
  <c r="CC310" i="6" s="1"/>
  <c r="AA310" i="22"/>
  <c r="Z310" i="22" s="1"/>
  <c r="Y310" i="22" s="1"/>
  <c r="W378" i="23"/>
  <c r="D378" i="23"/>
  <c r="E378" i="23" s="1"/>
  <c r="F378" i="23" s="1"/>
  <c r="B378" i="24"/>
  <c r="W137" i="23"/>
  <c r="D137" i="23"/>
  <c r="E137" i="23" s="1"/>
  <c r="F137" i="23" s="1"/>
  <c r="B137" i="24"/>
  <c r="G242" i="23"/>
  <c r="CD242" i="6" s="1"/>
  <c r="AA242" i="23"/>
  <c r="Z242" i="23" s="1"/>
  <c r="Y242" i="23" s="1"/>
  <c r="G186" i="22"/>
  <c r="CC186" i="6" s="1"/>
  <c r="AA186" i="22"/>
  <c r="Z186" i="22" s="1"/>
  <c r="Y186" i="22" s="1"/>
  <c r="W102" i="23"/>
  <c r="D102" i="23"/>
  <c r="E102" i="23" s="1"/>
  <c r="F102" i="23" s="1"/>
  <c r="B102" i="24"/>
  <c r="W355" i="23"/>
  <c r="D355" i="23"/>
  <c r="E355" i="23" s="1"/>
  <c r="F355" i="23" s="1"/>
  <c r="B355" i="24"/>
  <c r="W199" i="24"/>
  <c r="D199" i="24"/>
  <c r="E199" i="24" s="1"/>
  <c r="F199" i="24" s="1"/>
  <c r="B199" i="25"/>
  <c r="W25" i="23"/>
  <c r="D25" i="23"/>
  <c r="E25" i="23" s="1"/>
  <c r="F25" i="23" s="1"/>
  <c r="B25" i="24"/>
  <c r="G25" i="22"/>
  <c r="CC25" i="6" s="1"/>
  <c r="AA25" i="22"/>
  <c r="Z25" i="22" s="1"/>
  <c r="Y25" i="22" s="1"/>
  <c r="W370" i="24"/>
  <c r="D370" i="24"/>
  <c r="E370" i="24" s="1"/>
  <c r="F370" i="24" s="1"/>
  <c r="B370" i="25"/>
  <c r="W202" i="24"/>
  <c r="D202" i="24"/>
  <c r="E202" i="24" s="1"/>
  <c r="F202" i="24" s="1"/>
  <c r="B202" i="25"/>
  <c r="G138" i="23"/>
  <c r="CD138" i="6" s="1"/>
  <c r="AA138" i="23"/>
  <c r="Z138" i="23" s="1"/>
  <c r="Y138" i="23" s="1"/>
  <c r="AA28" i="23"/>
  <c r="Z28" i="23" s="1"/>
  <c r="Y28" i="23" s="1"/>
  <c r="G28" i="23"/>
  <c r="CD28" i="6" s="1"/>
  <c r="W288" i="23"/>
  <c r="D288" i="23"/>
  <c r="E288" i="23" s="1"/>
  <c r="F288" i="23" s="1"/>
  <c r="B288" i="24"/>
  <c r="G359" i="23"/>
  <c r="CD359" i="6" s="1"/>
  <c r="AA359" i="23"/>
  <c r="Z359" i="23" s="1"/>
  <c r="Y359" i="23" s="1"/>
  <c r="W313" i="24"/>
  <c r="D313" i="24"/>
  <c r="E313" i="24" s="1"/>
  <c r="F313" i="24" s="1"/>
  <c r="B313" i="25"/>
  <c r="W245" i="23"/>
  <c r="D245" i="23"/>
  <c r="E245" i="23" s="1"/>
  <c r="F245" i="23" s="1"/>
  <c r="B245" i="24"/>
  <c r="G203" i="22"/>
  <c r="CC203" i="6" s="1"/>
  <c r="AA203" i="22"/>
  <c r="Z203" i="22" s="1"/>
  <c r="Y203" i="22" s="1"/>
  <c r="W169" i="23"/>
  <c r="D169" i="23"/>
  <c r="E169" i="23" s="1"/>
  <c r="F169" i="23" s="1"/>
  <c r="B169" i="24"/>
  <c r="W218" i="23"/>
  <c r="D218" i="23"/>
  <c r="E218" i="23" s="1"/>
  <c r="F218" i="23" s="1"/>
  <c r="B218" i="24"/>
  <c r="W188" i="23"/>
  <c r="D188" i="23"/>
  <c r="E188" i="23" s="1"/>
  <c r="F188" i="23" s="1"/>
  <c r="B188" i="24"/>
  <c r="G144" i="22"/>
  <c r="CC144" i="6" s="1"/>
  <c r="AA144" i="22"/>
  <c r="Z144" i="22" s="1"/>
  <c r="Y144" i="22" s="1"/>
  <c r="AA112" i="22"/>
  <c r="Z112" i="22" s="1"/>
  <c r="Y112" i="22" s="1"/>
  <c r="G112" i="22"/>
  <c r="CC112" i="6" s="1"/>
  <c r="W86" i="23"/>
  <c r="D86" i="23"/>
  <c r="E86" i="23" s="1"/>
  <c r="F86" i="23" s="1"/>
  <c r="B86" i="24"/>
  <c r="W303" i="23"/>
  <c r="D303" i="23"/>
  <c r="E303" i="23" s="1"/>
  <c r="F303" i="23" s="1"/>
  <c r="B303" i="24"/>
  <c r="W275" i="23"/>
  <c r="D275" i="23"/>
  <c r="E275" i="23" s="1"/>
  <c r="F275" i="23" s="1"/>
  <c r="B275" i="24"/>
  <c r="G195" i="23"/>
  <c r="CD195" i="6" s="1"/>
  <c r="AA195" i="23"/>
  <c r="Z195" i="23" s="1"/>
  <c r="Y195" i="23" s="1"/>
  <c r="W131" i="24"/>
  <c r="D131" i="24"/>
  <c r="E131" i="24" s="1"/>
  <c r="F131" i="24" s="1"/>
  <c r="B131" i="25"/>
  <c r="W79" i="24"/>
  <c r="D79" i="24"/>
  <c r="E79" i="24" s="1"/>
  <c r="F79" i="24" s="1"/>
  <c r="B79" i="25"/>
  <c r="AA47" i="23"/>
  <c r="Z47" i="23" s="1"/>
  <c r="Y47" i="23" s="1"/>
  <c r="G47" i="23"/>
  <c r="CD47" i="6" s="1"/>
  <c r="W21" i="23"/>
  <c r="D21" i="23"/>
  <c r="E21" i="23" s="1"/>
  <c r="F21" i="23" s="1"/>
  <c r="B21" i="24"/>
  <c r="G308" i="23"/>
  <c r="CD308" i="6" s="1"/>
  <c r="AA308" i="23"/>
  <c r="Z308" i="23" s="1"/>
  <c r="Y308" i="23" s="1"/>
  <c r="G176" i="22"/>
  <c r="CC176" i="6" s="1"/>
  <c r="AA176" i="22"/>
  <c r="Z176" i="22" s="1"/>
  <c r="Y176" i="22" s="1"/>
  <c r="G128" i="22"/>
  <c r="CC128" i="6" s="1"/>
  <c r="AA128" i="22"/>
  <c r="Z128" i="22" s="1"/>
  <c r="Y128" i="22" s="1"/>
  <c r="G101" i="23"/>
  <c r="CD101" i="6" s="1"/>
  <c r="AA101" i="23"/>
  <c r="Z101" i="23" s="1"/>
  <c r="Y101" i="23" s="1"/>
  <c r="D253" i="6"/>
  <c r="W171" i="23"/>
  <c r="D171" i="23"/>
  <c r="E171" i="23" s="1"/>
  <c r="F171" i="23" s="1"/>
  <c r="B171" i="24"/>
  <c r="G261" i="22"/>
  <c r="CC261" i="6" s="1"/>
  <c r="AA261" i="22"/>
  <c r="Z261" i="22" s="1"/>
  <c r="Y261" i="22" s="1"/>
  <c r="AA319" i="23"/>
  <c r="Z319" i="23" s="1"/>
  <c r="Y319" i="23" s="1"/>
  <c r="G319" i="23"/>
  <c r="CD319" i="6" s="1"/>
  <c r="AA46" i="22"/>
  <c r="Z46" i="22" s="1"/>
  <c r="Y46" i="22" s="1"/>
  <c r="G46" i="22"/>
  <c r="CC46" i="6" s="1"/>
  <c r="D298" i="24"/>
  <c r="E298" i="24" s="1"/>
  <c r="F298" i="24" s="1"/>
  <c r="W298" i="24"/>
  <c r="B298" i="25"/>
  <c r="W365" i="23"/>
  <c r="D365" i="23"/>
  <c r="E365" i="23" s="1"/>
  <c r="F365" i="23" s="1"/>
  <c r="B365" i="24"/>
  <c r="G60" i="22"/>
  <c r="CC60" i="6" s="1"/>
  <c r="AA60" i="22"/>
  <c r="Z60" i="22" s="1"/>
  <c r="Y60" i="22" s="1"/>
  <c r="W263" i="23"/>
  <c r="D263" i="23"/>
  <c r="E263" i="23" s="1"/>
  <c r="F263" i="23" s="1"/>
  <c r="B263" i="24"/>
  <c r="G77" i="22"/>
  <c r="CC77" i="6" s="1"/>
  <c r="AA77" i="22"/>
  <c r="Z77" i="22" s="1"/>
  <c r="Y77" i="22" s="1"/>
  <c r="W177" i="24"/>
  <c r="D177" i="24"/>
  <c r="E177" i="24" s="1"/>
  <c r="F177" i="24" s="1"/>
  <c r="B177" i="25"/>
  <c r="W150" i="23"/>
  <c r="D150" i="23"/>
  <c r="E150" i="23" s="1"/>
  <c r="F150" i="23" s="1"/>
  <c r="B150" i="24"/>
  <c r="BA227" i="6"/>
  <c r="D227" i="6" s="1"/>
  <c r="BA224" i="6"/>
  <c r="D224" i="6" s="1"/>
  <c r="BA353" i="6"/>
  <c r="D353" i="6" s="1"/>
  <c r="BA94" i="6"/>
  <c r="D94" i="6" s="1"/>
  <c r="BA286" i="6"/>
  <c r="D286" i="6" s="1"/>
  <c r="BA242" i="6"/>
  <c r="D242" i="6" s="1"/>
  <c r="BA200" i="6"/>
  <c r="D200" i="6" s="1"/>
  <c r="BA91" i="6"/>
  <c r="D91" i="6" s="1"/>
  <c r="BA172" i="6"/>
  <c r="D172" i="6" s="1"/>
  <c r="BA122" i="6"/>
  <c r="D122" i="6" s="1"/>
  <c r="BA146" i="6"/>
  <c r="D146" i="6" s="1"/>
  <c r="BA195" i="6"/>
  <c r="D195" i="6" s="1"/>
  <c r="H195" i="20"/>
  <c r="BA320" i="6"/>
  <c r="D320" i="6" s="1"/>
  <c r="BA276" i="6"/>
  <c r="D276" i="6" s="1"/>
  <c r="BA230" i="6"/>
  <c r="D230" i="6" s="1"/>
  <c r="BA149" i="6"/>
  <c r="D149" i="6" s="1"/>
  <c r="H81" i="20"/>
  <c r="G182" i="22"/>
  <c r="CC182" i="6" s="1"/>
  <c r="AA182" i="22"/>
  <c r="Z182" i="22" s="1"/>
  <c r="Y182" i="22" s="1"/>
  <c r="W289" i="23"/>
  <c r="D289" i="23"/>
  <c r="E289" i="23" s="1"/>
  <c r="F289" i="23" s="1"/>
  <c r="B289" i="24"/>
  <c r="G78" i="22"/>
  <c r="CC78" i="6" s="1"/>
  <c r="AA78" i="22"/>
  <c r="Z78" i="22" s="1"/>
  <c r="Y78" i="22" s="1"/>
  <c r="G314" i="22"/>
  <c r="CC314" i="6" s="1"/>
  <c r="AA314" i="22"/>
  <c r="Z314" i="22" s="1"/>
  <c r="Y314" i="22" s="1"/>
  <c r="W240" i="23"/>
  <c r="D240" i="23"/>
  <c r="E240" i="23" s="1"/>
  <c r="F240" i="23" s="1"/>
  <c r="B240" i="24"/>
  <c r="D190" i="24"/>
  <c r="E190" i="24" s="1"/>
  <c r="F190" i="24" s="1"/>
  <c r="W190" i="24"/>
  <c r="B190" i="25"/>
  <c r="G72" i="22"/>
  <c r="CC72" i="6" s="1"/>
  <c r="AA72" i="22"/>
  <c r="Z72" i="22" s="1"/>
  <c r="Y72" i="22" s="1"/>
  <c r="D217" i="24"/>
  <c r="E217" i="24" s="1"/>
  <c r="F217" i="24" s="1"/>
  <c r="W217" i="24"/>
  <c r="B217" i="25"/>
  <c r="D85" i="23"/>
  <c r="E85" i="23" s="1"/>
  <c r="F85" i="23" s="1"/>
  <c r="W85" i="23"/>
  <c r="B85" i="24"/>
  <c r="AA360" i="23"/>
  <c r="Z360" i="23" s="1"/>
  <c r="Y360" i="23" s="1"/>
  <c r="G360" i="23"/>
  <c r="CD360" i="6" s="1"/>
  <c r="W322" i="23"/>
  <c r="D322" i="23"/>
  <c r="E322" i="23" s="1"/>
  <c r="F322" i="23" s="1"/>
  <c r="B322" i="24"/>
  <c r="G322" i="22"/>
  <c r="CC322" i="6" s="1"/>
  <c r="AA322" i="22"/>
  <c r="Z322" i="22" s="1"/>
  <c r="Y322" i="22" s="1"/>
  <c r="G122" i="23"/>
  <c r="CD122" i="6" s="1"/>
  <c r="AA122" i="23"/>
  <c r="Z122" i="23" s="1"/>
  <c r="Y122" i="23" s="1"/>
  <c r="W122" i="24"/>
  <c r="D122" i="24"/>
  <c r="E122" i="24" s="1"/>
  <c r="F122" i="24" s="1"/>
  <c r="B122" i="25"/>
  <c r="G373" i="22"/>
  <c r="CC373" i="6" s="1"/>
  <c r="AA373" i="22"/>
  <c r="Z373" i="22" s="1"/>
  <c r="Y373" i="22" s="1"/>
  <c r="G223" i="22"/>
  <c r="CC223" i="6" s="1"/>
  <c r="AA223" i="22"/>
  <c r="Z223" i="22" s="1"/>
  <c r="Y223" i="22" s="1"/>
  <c r="W143" i="23"/>
  <c r="D143" i="23"/>
  <c r="E143" i="23" s="1"/>
  <c r="F143" i="23" s="1"/>
  <c r="B143" i="24"/>
  <c r="D65" i="23"/>
  <c r="E65" i="23" s="1"/>
  <c r="F65" i="23" s="1"/>
  <c r="W65" i="23"/>
  <c r="B65" i="24"/>
  <c r="W372" i="23"/>
  <c r="D372" i="23"/>
  <c r="E372" i="23" s="1"/>
  <c r="F372" i="23" s="1"/>
  <c r="B372" i="24"/>
  <c r="W148" i="23"/>
  <c r="D148" i="23"/>
  <c r="E148" i="23" s="1"/>
  <c r="F148" i="23" s="1"/>
  <c r="B148" i="24"/>
  <c r="AA293" i="23"/>
  <c r="Z293" i="23" s="1"/>
  <c r="Y293" i="23" s="1"/>
  <c r="G293" i="23"/>
  <c r="CD293" i="6" s="1"/>
  <c r="W293" i="24"/>
  <c r="D293" i="24"/>
  <c r="E293" i="24" s="1"/>
  <c r="F293" i="24" s="1"/>
  <c r="B293" i="25"/>
  <c r="D201" i="23"/>
  <c r="E201" i="23" s="1"/>
  <c r="F201" i="23" s="1"/>
  <c r="W201" i="23"/>
  <c r="B201" i="24"/>
  <c r="G145" i="22"/>
  <c r="CC145" i="6" s="1"/>
  <c r="AA145" i="22"/>
  <c r="Z145" i="22" s="1"/>
  <c r="Y145" i="22" s="1"/>
  <c r="D110" i="23"/>
  <c r="E110" i="23" s="1"/>
  <c r="F110" i="23" s="1"/>
  <c r="W110" i="23"/>
  <c r="B110" i="24"/>
  <c r="W185" i="23"/>
  <c r="D185" i="23"/>
  <c r="E185" i="23" s="1"/>
  <c r="F185" i="23" s="1"/>
  <c r="B185" i="24"/>
  <c r="D63" i="24"/>
  <c r="E63" i="24" s="1"/>
  <c r="F63" i="24" s="1"/>
  <c r="W63" i="24"/>
  <c r="B63" i="25"/>
  <c r="G154" i="23"/>
  <c r="CD154" i="6" s="1"/>
  <c r="AA154" i="23"/>
  <c r="Z154" i="23" s="1"/>
  <c r="Y154" i="23" s="1"/>
  <c r="W16" i="24"/>
  <c r="D16" i="24"/>
  <c r="E16" i="24" s="1"/>
  <c r="F16" i="24" s="1"/>
  <c r="B16" i="25"/>
  <c r="G132" i="23"/>
  <c r="CD132" i="6" s="1"/>
  <c r="AA132" i="23"/>
  <c r="Z132" i="23" s="1"/>
  <c r="Y132" i="23" s="1"/>
  <c r="G251" i="23"/>
  <c r="CD251" i="6" s="1"/>
  <c r="AA251" i="23"/>
  <c r="Z251" i="23" s="1"/>
  <c r="Y251" i="23" s="1"/>
  <c r="W90" i="23"/>
  <c r="D90" i="23"/>
  <c r="E90" i="23" s="1"/>
  <c r="F90" i="23" s="1"/>
  <c r="B90" i="24"/>
  <c r="G340" i="22"/>
  <c r="CC340" i="6" s="1"/>
  <c r="AA340" i="22"/>
  <c r="Z340" i="22" s="1"/>
  <c r="Y340" i="22" s="1"/>
  <c r="W286" i="24"/>
  <c r="D286" i="24"/>
  <c r="E286" i="24" s="1"/>
  <c r="F286" i="24" s="1"/>
  <c r="B286" i="25"/>
  <c r="H264" i="20"/>
  <c r="AA212" i="23"/>
  <c r="Z212" i="23" s="1"/>
  <c r="Y212" i="23" s="1"/>
  <c r="G212" i="23"/>
  <c r="CD212" i="6" s="1"/>
  <c r="G162" i="22"/>
  <c r="CC162" i="6" s="1"/>
  <c r="AA162" i="22"/>
  <c r="Z162" i="22" s="1"/>
  <c r="Y162" i="22" s="1"/>
  <c r="W58" i="23"/>
  <c r="D58" i="23"/>
  <c r="E58" i="23" s="1"/>
  <c r="F58" i="23" s="1"/>
  <c r="B58" i="24"/>
  <c r="G36" i="22"/>
  <c r="CC36" i="6" s="1"/>
  <c r="AA36" i="22"/>
  <c r="Z36" i="22" s="1"/>
  <c r="Y36" i="22" s="1"/>
  <c r="G237" i="23"/>
  <c r="CD237" i="6" s="1"/>
  <c r="AA237" i="23"/>
  <c r="Z237" i="23" s="1"/>
  <c r="Y237" i="23" s="1"/>
  <c r="W109" i="23"/>
  <c r="D109" i="23"/>
  <c r="E109" i="23" s="1"/>
  <c r="F109" i="23" s="1"/>
  <c r="B109" i="24"/>
  <c r="G51" i="22"/>
  <c r="CC51" i="6" s="1"/>
  <c r="AA51" i="22"/>
  <c r="Z51" i="22" s="1"/>
  <c r="Y51" i="22" s="1"/>
  <c r="H364" i="20"/>
  <c r="G304" i="23"/>
  <c r="CD304" i="6" s="1"/>
  <c r="AA304" i="23"/>
  <c r="Z304" i="23" s="1"/>
  <c r="Y304" i="23" s="1"/>
  <c r="D262" i="24"/>
  <c r="E262" i="24" s="1"/>
  <c r="F262" i="24" s="1"/>
  <c r="W262" i="24"/>
  <c r="B262" i="25"/>
  <c r="G139" i="22"/>
  <c r="CC139" i="6" s="1"/>
  <c r="AA139" i="22"/>
  <c r="Z139" i="22" s="1"/>
  <c r="Y139" i="22" s="1"/>
  <c r="W53" i="23"/>
  <c r="D53" i="23"/>
  <c r="E53" i="23" s="1"/>
  <c r="F53" i="23" s="1"/>
  <c r="B53" i="24"/>
  <c r="G334" i="22"/>
  <c r="CC334" i="6" s="1"/>
  <c r="AA334" i="22"/>
  <c r="Z334" i="22" s="1"/>
  <c r="Y334" i="22" s="1"/>
  <c r="W336" i="24"/>
  <c r="D336" i="24"/>
  <c r="E336" i="24" s="1"/>
  <c r="F336" i="24" s="1"/>
  <c r="B336" i="25"/>
  <c r="G246" i="22"/>
  <c r="CC246" i="6" s="1"/>
  <c r="AA246" i="22"/>
  <c r="Z246" i="22" s="1"/>
  <c r="Y246" i="22" s="1"/>
  <c r="G104" i="22"/>
  <c r="CC104" i="6" s="1"/>
  <c r="AA104" i="22"/>
  <c r="Z104" i="22" s="1"/>
  <c r="Y104" i="22" s="1"/>
  <c r="H56" i="20"/>
  <c r="W83" i="24"/>
  <c r="D83" i="24"/>
  <c r="E83" i="24" s="1"/>
  <c r="F83" i="24" s="1"/>
  <c r="B83" i="25"/>
  <c r="W55" i="24"/>
  <c r="D55" i="24"/>
  <c r="E55" i="24" s="1"/>
  <c r="F55" i="24" s="1"/>
  <c r="B55" i="25"/>
  <c r="W265" i="24"/>
  <c r="D265" i="24"/>
  <c r="E265" i="24" s="1"/>
  <c r="F265" i="24" s="1"/>
  <c r="B265" i="25"/>
  <c r="W130" i="24"/>
  <c r="D130" i="24"/>
  <c r="E130" i="24" s="1"/>
  <c r="F130" i="24" s="1"/>
  <c r="B130" i="25"/>
  <c r="W253" i="23"/>
  <c r="D253" i="23"/>
  <c r="E253" i="23" s="1"/>
  <c r="F253" i="23" s="1"/>
  <c r="B253" i="24"/>
  <c r="W369" i="23"/>
  <c r="D369" i="23"/>
  <c r="E369" i="23" s="1"/>
  <c r="F369" i="23" s="1"/>
  <c r="B369" i="24"/>
  <c r="G347" i="22"/>
  <c r="CC347" i="6" s="1"/>
  <c r="AA347" i="22"/>
  <c r="Z347" i="22" s="1"/>
  <c r="Y347" i="22" s="1"/>
  <c r="W376" i="23"/>
  <c r="D376" i="23"/>
  <c r="E376" i="23" s="1"/>
  <c r="F376" i="23" s="1"/>
  <c r="B376" i="24"/>
  <c r="G66" i="23"/>
  <c r="CD66" i="6" s="1"/>
  <c r="AA66" i="23"/>
  <c r="Z66" i="23" s="1"/>
  <c r="Y66" i="23" s="1"/>
  <c r="G75" i="22"/>
  <c r="CC75" i="6" s="1"/>
  <c r="AA75" i="22"/>
  <c r="Z75" i="22" s="1"/>
  <c r="Y75" i="22" s="1"/>
  <c r="G187" i="22"/>
  <c r="CC187" i="6" s="1"/>
  <c r="AA187" i="22"/>
  <c r="Z187" i="22" s="1"/>
  <c r="Y187" i="22" s="1"/>
  <c r="W333" i="23"/>
  <c r="D333" i="23"/>
  <c r="E333" i="23" s="1"/>
  <c r="F333" i="23" s="1"/>
  <c r="B333" i="24"/>
  <c r="G33" i="23"/>
  <c r="CD33" i="6" s="1"/>
  <c r="AA33" i="23"/>
  <c r="Z33" i="23" s="1"/>
  <c r="Y33" i="23" s="1"/>
  <c r="W352" i="23"/>
  <c r="D352" i="23"/>
  <c r="E352" i="23" s="1"/>
  <c r="F352" i="23" s="1"/>
  <c r="B352" i="24"/>
  <c r="G274" i="22"/>
  <c r="CC274" i="6" s="1"/>
  <c r="AA274" i="22"/>
  <c r="Z274" i="22" s="1"/>
  <c r="Y274" i="22" s="1"/>
  <c r="G84" i="22"/>
  <c r="CC84" i="6" s="1"/>
  <c r="AA84" i="22"/>
  <c r="Z84" i="22" s="1"/>
  <c r="Y84" i="22" s="1"/>
  <c r="G114" i="22"/>
  <c r="CC114" i="6" s="1"/>
  <c r="AA114" i="22"/>
  <c r="Z114" i="22" s="1"/>
  <c r="Y114" i="22" s="1"/>
  <c r="G354" i="23"/>
  <c r="CD354" i="6" s="1"/>
  <c r="AA354" i="23"/>
  <c r="Z354" i="23" s="1"/>
  <c r="Y354" i="23" s="1"/>
  <c r="W29" i="23"/>
  <c r="D29" i="23"/>
  <c r="E29" i="23" s="1"/>
  <c r="F29" i="23" s="1"/>
  <c r="B29" i="24"/>
  <c r="W379" i="24"/>
  <c r="D379" i="24"/>
  <c r="E379" i="24" s="1"/>
  <c r="F379" i="24" s="1"/>
  <c r="B379" i="25"/>
  <c r="BA377" i="6"/>
  <c r="D377" i="6" s="1"/>
  <c r="BA57" i="6"/>
  <c r="BA166" i="6"/>
  <c r="D166" i="6" s="1"/>
  <c r="BA216" i="6"/>
  <c r="D216" i="6" s="1"/>
  <c r="BA298" i="6"/>
  <c r="D298" i="6" s="1"/>
  <c r="BA222" i="6"/>
  <c r="D222" i="6" s="1"/>
  <c r="BA262" i="6"/>
  <c r="D262" i="6" s="1"/>
  <c r="BA80" i="6"/>
  <c r="D80" i="6" s="1"/>
  <c r="BA189" i="6"/>
  <c r="D189" i="6" s="1"/>
  <c r="BA69" i="6"/>
  <c r="D69" i="6" s="1"/>
  <c r="BA231" i="6"/>
  <c r="D231" i="6" s="1"/>
  <c r="BA83" i="6"/>
  <c r="D83" i="6" s="1"/>
  <c r="BA258" i="6"/>
  <c r="D258" i="6" s="1"/>
  <c r="BA33" i="6"/>
  <c r="D33" i="6" s="1"/>
  <c r="BA207" i="6"/>
  <c r="D207" i="6" s="1"/>
  <c r="BA92" i="6"/>
  <c r="D92" i="6" s="1"/>
  <c r="BA212" i="6"/>
  <c r="D212" i="6" s="1"/>
  <c r="BA359" i="6"/>
  <c r="D359" i="6" s="1"/>
  <c r="BA358" i="6"/>
  <c r="D358" i="6" s="1"/>
  <c r="BA174" i="6"/>
  <c r="D174" i="6" s="1"/>
  <c r="H45" i="20" l="1"/>
  <c r="I45" i="20" s="1"/>
  <c r="H45" i="22" s="1"/>
  <c r="H225" i="20"/>
  <c r="I225" i="20" s="1"/>
  <c r="H225" i="22" s="1"/>
  <c r="H249" i="20"/>
  <c r="J249" i="20" s="1"/>
  <c r="H254" i="20"/>
  <c r="J254" i="20" s="1"/>
  <c r="H210" i="20"/>
  <c r="I210" i="20" s="1"/>
  <c r="H210" i="22" s="1"/>
  <c r="H219" i="20"/>
  <c r="I219" i="20" s="1"/>
  <c r="H219" i="22" s="1"/>
  <c r="B167" i="25"/>
  <c r="D167" i="25" s="1"/>
  <c r="E167" i="25" s="1"/>
  <c r="F167" i="25" s="1"/>
  <c r="H318" i="20"/>
  <c r="J318" i="20" s="1"/>
  <c r="H213" i="20"/>
  <c r="J213" i="20" s="1"/>
  <c r="H140" i="20"/>
  <c r="I140" i="20" s="1"/>
  <c r="H140" i="22" s="1"/>
  <c r="H256" i="20"/>
  <c r="I256" i="20" s="1"/>
  <c r="H256" i="22" s="1"/>
  <c r="H126" i="20"/>
  <c r="J126" i="20" s="1"/>
  <c r="I333" i="20"/>
  <c r="H333" i="22" s="1"/>
  <c r="J333" i="22" s="1"/>
  <c r="J186" i="20"/>
  <c r="H27" i="20"/>
  <c r="J27" i="20" s="1"/>
  <c r="H165" i="20"/>
  <c r="J165" i="20" s="1"/>
  <c r="H58" i="20"/>
  <c r="I58" i="20" s="1"/>
  <c r="H58" i="22" s="1"/>
  <c r="H346" i="20"/>
  <c r="I346" i="20" s="1"/>
  <c r="H346" i="22" s="1"/>
  <c r="H48" i="20"/>
  <c r="J48" i="20" s="1"/>
  <c r="H220" i="20"/>
  <c r="I220" i="20" s="1"/>
  <c r="H220" i="22" s="1"/>
  <c r="I220" i="22" s="1"/>
  <c r="H220" i="23" s="1"/>
  <c r="J89" i="20"/>
  <c r="H196" i="20"/>
  <c r="I196" i="20" s="1"/>
  <c r="H196" i="22" s="1"/>
  <c r="I196" i="22" s="1"/>
  <c r="H196" i="23" s="1"/>
  <c r="J328" i="20"/>
  <c r="J347" i="20"/>
  <c r="W167" i="24"/>
  <c r="H340" i="20"/>
  <c r="J340" i="20" s="1"/>
  <c r="H37" i="20"/>
  <c r="I37" i="20" s="1"/>
  <c r="H37" i="22" s="1"/>
  <c r="H330" i="20"/>
  <c r="J330" i="20" s="1"/>
  <c r="H135" i="20"/>
  <c r="I135" i="20" s="1"/>
  <c r="H135" i="22" s="1"/>
  <c r="H288" i="20"/>
  <c r="I288" i="20" s="1"/>
  <c r="H288" i="22" s="1"/>
  <c r="H49" i="20"/>
  <c r="J49" i="20" s="1"/>
  <c r="H244" i="20"/>
  <c r="J244" i="20" s="1"/>
  <c r="H277" i="20"/>
  <c r="I277" i="20" s="1"/>
  <c r="H277" i="22" s="1"/>
  <c r="H198" i="20"/>
  <c r="I198" i="20" s="1"/>
  <c r="H198" i="22" s="1"/>
  <c r="I198" i="22" s="1"/>
  <c r="H198" i="23" s="1"/>
  <c r="H31" i="20"/>
  <c r="J31" i="20" s="1"/>
  <c r="J187" i="20"/>
  <c r="H184" i="20"/>
  <c r="I184" i="20" s="1"/>
  <c r="H184" i="22" s="1"/>
  <c r="I184" i="22" s="1"/>
  <c r="H184" i="23" s="1"/>
  <c r="H345" i="20"/>
  <c r="I345" i="20" s="1"/>
  <c r="H345" i="22" s="1"/>
  <c r="H309" i="20"/>
  <c r="I309" i="20" s="1"/>
  <c r="H309" i="22" s="1"/>
  <c r="I309" i="22" s="1"/>
  <c r="H309" i="23" s="1"/>
  <c r="H161" i="20"/>
  <c r="J161" i="20" s="1"/>
  <c r="W50" i="24"/>
  <c r="H232" i="20"/>
  <c r="I232" i="20" s="1"/>
  <c r="H232" i="22" s="1"/>
  <c r="H267" i="20"/>
  <c r="I267" i="20" s="1"/>
  <c r="H267" i="22" s="1"/>
  <c r="H376" i="20"/>
  <c r="I376" i="20" s="1"/>
  <c r="H376" i="22" s="1"/>
  <c r="H74" i="20"/>
  <c r="I74" i="20" s="1"/>
  <c r="H74" i="22" s="1"/>
  <c r="I74" i="22" s="1"/>
  <c r="H74" i="23" s="1"/>
  <c r="H77" i="20"/>
  <c r="I77" i="20" s="1"/>
  <c r="H77" i="22" s="1"/>
  <c r="I77" i="22" s="1"/>
  <c r="H77" i="23" s="1"/>
  <c r="J169" i="20"/>
  <c r="H356" i="20"/>
  <c r="J356" i="20" s="1"/>
  <c r="H34" i="20"/>
  <c r="I34" i="20" s="1"/>
  <c r="H34" i="22" s="1"/>
  <c r="I34" i="22" s="1"/>
  <c r="H34" i="23" s="1"/>
  <c r="H98" i="20"/>
  <c r="J98" i="20" s="1"/>
  <c r="H303" i="20"/>
  <c r="J303" i="20" s="1"/>
  <c r="H104" i="20"/>
  <c r="I104" i="20" s="1"/>
  <c r="H104" i="22" s="1"/>
  <c r="H248" i="20"/>
  <c r="J248" i="20" s="1"/>
  <c r="H182" i="20"/>
  <c r="I182" i="20" s="1"/>
  <c r="H182" i="22" s="1"/>
  <c r="H283" i="20"/>
  <c r="J283" i="20" s="1"/>
  <c r="H124" i="20"/>
  <c r="J124" i="20" s="1"/>
  <c r="H322" i="20"/>
  <c r="I322" i="20" s="1"/>
  <c r="H322" i="22" s="1"/>
  <c r="I322" i="22" s="1"/>
  <c r="H322" i="23" s="1"/>
  <c r="H21" i="20"/>
  <c r="I21" i="20" s="1"/>
  <c r="H21" i="22" s="1"/>
  <c r="I21" i="22" s="1"/>
  <c r="H21" i="23" s="1"/>
  <c r="H310" i="20"/>
  <c r="J310" i="20" s="1"/>
  <c r="H374" i="20"/>
  <c r="I374" i="20" s="1"/>
  <c r="H374" i="22" s="1"/>
  <c r="I374" i="22" s="1"/>
  <c r="H374" i="23" s="1"/>
  <c r="H188" i="20"/>
  <c r="I188" i="20" s="1"/>
  <c r="H188" i="22" s="1"/>
  <c r="I188" i="22" s="1"/>
  <c r="H188" i="23" s="1"/>
  <c r="J128" i="20"/>
  <c r="W211" i="24"/>
  <c r="H263" i="20"/>
  <c r="I263" i="20" s="1"/>
  <c r="H263" i="22" s="1"/>
  <c r="I263" i="22" s="1"/>
  <c r="H263" i="23" s="1"/>
  <c r="H203" i="20"/>
  <c r="J203" i="20" s="1"/>
  <c r="H378" i="20"/>
  <c r="J378" i="20" s="1"/>
  <c r="H156" i="20"/>
  <c r="J156" i="20" s="1"/>
  <c r="H73" i="20"/>
  <c r="J73" i="20" s="1"/>
  <c r="H125" i="20"/>
  <c r="I125" i="20" s="1"/>
  <c r="H125" i="22" s="1"/>
  <c r="I125" i="22" s="1"/>
  <c r="H125" i="23" s="1"/>
  <c r="H65" i="20"/>
  <c r="I65" i="20" s="1"/>
  <c r="H65" i="22" s="1"/>
  <c r="I65" i="22" s="1"/>
  <c r="H65" i="23" s="1"/>
  <c r="H148" i="20"/>
  <c r="I148" i="20" s="1"/>
  <c r="H148" i="22" s="1"/>
  <c r="I148" i="22" s="1"/>
  <c r="H148" i="23" s="1"/>
  <c r="H233" i="20"/>
  <c r="J233" i="20" s="1"/>
  <c r="H121" i="20"/>
  <c r="J121" i="20" s="1"/>
  <c r="H162" i="20"/>
  <c r="J162" i="20" s="1"/>
  <c r="H61" i="20"/>
  <c r="I61" i="20" s="1"/>
  <c r="H61" i="22" s="1"/>
  <c r="I61" i="22" s="1"/>
  <c r="H61" i="23" s="1"/>
  <c r="H67" i="20"/>
  <c r="J67" i="20" s="1"/>
  <c r="H291" i="20"/>
  <c r="I291" i="20" s="1"/>
  <c r="H291" i="22" s="1"/>
  <c r="I291" i="22" s="1"/>
  <c r="H291" i="23" s="1"/>
  <c r="H349" i="20"/>
  <c r="I349" i="20" s="1"/>
  <c r="H349" i="22" s="1"/>
  <c r="I349" i="22" s="1"/>
  <c r="H349" i="23" s="1"/>
  <c r="H90" i="20"/>
  <c r="I90" i="20" s="1"/>
  <c r="H90" i="22" s="1"/>
  <c r="I90" i="22" s="1"/>
  <c r="H90" i="23" s="1"/>
  <c r="H373" i="20"/>
  <c r="I373" i="20" s="1"/>
  <c r="H373" i="22" s="1"/>
  <c r="I373" i="22" s="1"/>
  <c r="H373" i="23" s="1"/>
  <c r="H273" i="20"/>
  <c r="J273" i="20" s="1"/>
  <c r="H272" i="20"/>
  <c r="J272" i="20" s="1"/>
  <c r="H226" i="20"/>
  <c r="I226" i="20" s="1"/>
  <c r="H226" i="22" s="1"/>
  <c r="H357" i="20"/>
  <c r="J357" i="20" s="1"/>
  <c r="H127" i="20"/>
  <c r="I127" i="20" s="1"/>
  <c r="H127" i="22" s="1"/>
  <c r="H123" i="20"/>
  <c r="I123" i="20" s="1"/>
  <c r="H123" i="22" s="1"/>
  <c r="H362" i="20"/>
  <c r="I362" i="20" s="1"/>
  <c r="H362" i="22" s="1"/>
  <c r="H355" i="20"/>
  <c r="J355" i="20" s="1"/>
  <c r="H311" i="20"/>
  <c r="J311" i="20" s="1"/>
  <c r="H317" i="20"/>
  <c r="I317" i="20" s="1"/>
  <c r="H317" i="22" s="1"/>
  <c r="I317" i="22" s="1"/>
  <c r="H317" i="23" s="1"/>
  <c r="H115" i="20"/>
  <c r="I115" i="20" s="1"/>
  <c r="H115" i="22" s="1"/>
  <c r="I115" i="22" s="1"/>
  <c r="H115" i="23" s="1"/>
  <c r="H194" i="20"/>
  <c r="I194" i="20" s="1"/>
  <c r="H194" i="22" s="1"/>
  <c r="I194" i="22" s="1"/>
  <c r="H194" i="23" s="1"/>
  <c r="H339" i="20"/>
  <c r="I339" i="20" s="1"/>
  <c r="H339" i="22" s="1"/>
  <c r="I339" i="22" s="1"/>
  <c r="H339" i="23" s="1"/>
  <c r="H274" i="20"/>
  <c r="I274" i="20" s="1"/>
  <c r="H274" i="22" s="1"/>
  <c r="I274" i="22" s="1"/>
  <c r="H274" i="23" s="1"/>
  <c r="H201" i="20"/>
  <c r="I201" i="20" s="1"/>
  <c r="H201" i="22" s="1"/>
  <c r="I201" i="22" s="1"/>
  <c r="H201" i="23" s="1"/>
  <c r="J223" i="20"/>
  <c r="H176" i="20"/>
  <c r="J176" i="20" s="1"/>
  <c r="J88" i="20"/>
  <c r="H133" i="20"/>
  <c r="J133" i="20" s="1"/>
  <c r="H292" i="20"/>
  <c r="J292" i="20" s="1"/>
  <c r="H171" i="20"/>
  <c r="I171" i="20" s="1"/>
  <c r="H171" i="22" s="1"/>
  <c r="I171" i="22" s="1"/>
  <c r="H171" i="23" s="1"/>
  <c r="J25" i="20"/>
  <c r="H75" i="20"/>
  <c r="J75" i="20" s="1"/>
  <c r="H102" i="20"/>
  <c r="J102" i="20" s="1"/>
  <c r="W59" i="24"/>
  <c r="H86" i="20"/>
  <c r="I86" i="20" s="1"/>
  <c r="H86" i="22" s="1"/>
  <c r="I86" i="22" s="1"/>
  <c r="H86" i="23" s="1"/>
  <c r="H137" i="20"/>
  <c r="J137" i="20" s="1"/>
  <c r="H22" i="20"/>
  <c r="I22" i="20" s="1"/>
  <c r="H22" i="22" s="1"/>
  <c r="I22" i="22" s="1"/>
  <c r="H22" i="23" s="1"/>
  <c r="H62" i="20"/>
  <c r="I62" i="20" s="1"/>
  <c r="H62" i="22" s="1"/>
  <c r="I62" i="22" s="1"/>
  <c r="H62" i="23" s="1"/>
  <c r="J371" i="20"/>
  <c r="H350" i="20"/>
  <c r="I350" i="20" s="1"/>
  <c r="H350" i="22" s="1"/>
  <c r="I350" i="22" s="1"/>
  <c r="H350" i="23" s="1"/>
  <c r="H365" i="20"/>
  <c r="J365" i="20" s="1"/>
  <c r="H144" i="20"/>
  <c r="J144" i="20" s="1"/>
  <c r="H352" i="20"/>
  <c r="I352" i="20" s="1"/>
  <c r="H352" i="22" s="1"/>
  <c r="I352" i="22" s="1"/>
  <c r="H352" i="23" s="1"/>
  <c r="H268" i="20"/>
  <c r="J268" i="20" s="1"/>
  <c r="H145" i="20"/>
  <c r="I145" i="20" s="1"/>
  <c r="H145" i="22" s="1"/>
  <c r="H139" i="20"/>
  <c r="I139" i="20" s="1"/>
  <c r="H139" i="22" s="1"/>
  <c r="H361" i="20"/>
  <c r="I361" i="20" s="1"/>
  <c r="H361" i="22" s="1"/>
  <c r="I361" i="22" s="1"/>
  <c r="H361" i="23" s="1"/>
  <c r="H150" i="20"/>
  <c r="J150" i="20" s="1"/>
  <c r="H369" i="20"/>
  <c r="I369" i="20" s="1"/>
  <c r="H369" i="22" s="1"/>
  <c r="I369" i="22" s="1"/>
  <c r="H369" i="23" s="1"/>
  <c r="H314" i="20"/>
  <c r="J314" i="20" s="1"/>
  <c r="J85" i="20"/>
  <c r="H24" i="20"/>
  <c r="I24" i="20" s="1"/>
  <c r="H24" i="22" s="1"/>
  <c r="I24" i="22" s="1"/>
  <c r="H24" i="23" s="1"/>
  <c r="H143" i="20"/>
  <c r="J143" i="20" s="1"/>
  <c r="H236" i="20"/>
  <c r="J236" i="20" s="1"/>
  <c r="H282" i="20"/>
  <c r="J282" i="20" s="1"/>
  <c r="H60" i="20"/>
  <c r="I60" i="20" s="1"/>
  <c r="H60" i="22" s="1"/>
  <c r="I60" i="22" s="1"/>
  <c r="H60" i="23" s="1"/>
  <c r="D59" i="24"/>
  <c r="E59" i="24" s="1"/>
  <c r="F59" i="24" s="1"/>
  <c r="G59" i="24" s="1"/>
  <c r="CE59" i="6" s="1"/>
  <c r="G170" i="23"/>
  <c r="CD170" i="6" s="1"/>
  <c r="AA231" i="23"/>
  <c r="Z231" i="23" s="1"/>
  <c r="Y231" i="23" s="1"/>
  <c r="G152" i="23"/>
  <c r="CD152" i="6" s="1"/>
  <c r="B23" i="25"/>
  <c r="D23" i="25" s="1"/>
  <c r="E23" i="25" s="1"/>
  <c r="F23" i="25" s="1"/>
  <c r="B108" i="25"/>
  <c r="W108" i="25" s="1"/>
  <c r="B211" i="25"/>
  <c r="W211" i="25" s="1"/>
  <c r="B300" i="25"/>
  <c r="D300" i="25" s="1"/>
  <c r="E300" i="25" s="1"/>
  <c r="F300" i="25" s="1"/>
  <c r="AA306" i="23"/>
  <c r="Z306" i="23" s="1"/>
  <c r="Y306" i="23" s="1"/>
  <c r="D108" i="24"/>
  <c r="E108" i="24" s="1"/>
  <c r="F108" i="24" s="1"/>
  <c r="AA108" i="24" s="1"/>
  <c r="Z108" i="24" s="1"/>
  <c r="Y108" i="24" s="1"/>
  <c r="G363" i="23"/>
  <c r="CD363" i="6" s="1"/>
  <c r="AA197" i="23"/>
  <c r="Z197" i="23" s="1"/>
  <c r="Y197" i="23" s="1"/>
  <c r="D28" i="24"/>
  <c r="E28" i="24" s="1"/>
  <c r="F28" i="24" s="1"/>
  <c r="AA28" i="24" s="1"/>
  <c r="Z28" i="24" s="1"/>
  <c r="Y28" i="24" s="1"/>
  <c r="B152" i="25"/>
  <c r="D152" i="25" s="1"/>
  <c r="E152" i="25" s="1"/>
  <c r="F152" i="25" s="1"/>
  <c r="D54" i="24"/>
  <c r="E54" i="24" s="1"/>
  <c r="F54" i="24" s="1"/>
  <c r="G54" i="24" s="1"/>
  <c r="CE54" i="6" s="1"/>
  <c r="B155" i="25"/>
  <c r="D155" i="25" s="1"/>
  <c r="E155" i="25" s="1"/>
  <c r="F155" i="25" s="1"/>
  <c r="D270" i="24"/>
  <c r="E270" i="24" s="1"/>
  <c r="F270" i="24" s="1"/>
  <c r="AA270" i="24" s="1"/>
  <c r="Z270" i="24" s="1"/>
  <c r="Y270" i="24" s="1"/>
  <c r="W301" i="24"/>
  <c r="B212" i="25"/>
  <c r="D212" i="25" s="1"/>
  <c r="E212" i="25" s="1"/>
  <c r="F212" i="25" s="1"/>
  <c r="W152" i="24"/>
  <c r="AA208" i="23"/>
  <c r="Z208" i="23" s="1"/>
  <c r="Y208" i="23" s="1"/>
  <c r="D129" i="24"/>
  <c r="E129" i="24" s="1"/>
  <c r="F129" i="24" s="1"/>
  <c r="AA129" i="24" s="1"/>
  <c r="Z129" i="24" s="1"/>
  <c r="Y129" i="24" s="1"/>
  <c r="W30" i="24"/>
  <c r="H205" i="23"/>
  <c r="J205" i="23" s="1"/>
  <c r="AA259" i="23"/>
  <c r="Z259" i="23" s="1"/>
  <c r="Y259" i="23" s="1"/>
  <c r="D95" i="24"/>
  <c r="E95" i="24" s="1"/>
  <c r="F95" i="24" s="1"/>
  <c r="AA95" i="24" s="1"/>
  <c r="Z95" i="24" s="1"/>
  <c r="Y95" i="24" s="1"/>
  <c r="D23" i="24"/>
  <c r="E23" i="24" s="1"/>
  <c r="F23" i="24" s="1"/>
  <c r="AA23" i="24" s="1"/>
  <c r="Z23" i="24" s="1"/>
  <c r="Y23" i="24" s="1"/>
  <c r="AA211" i="23"/>
  <c r="Z211" i="23" s="1"/>
  <c r="Y211" i="23" s="1"/>
  <c r="G300" i="23"/>
  <c r="CD300" i="6" s="1"/>
  <c r="W212" i="24"/>
  <c r="G108" i="23"/>
  <c r="CD108" i="6" s="1"/>
  <c r="AA205" i="23"/>
  <c r="Z205" i="23" s="1"/>
  <c r="Y205" i="23" s="1"/>
  <c r="W353" i="24"/>
  <c r="D306" i="24"/>
  <c r="E306" i="24" s="1"/>
  <c r="F306" i="24" s="1"/>
  <c r="AA306" i="24" s="1"/>
  <c r="Z306" i="24" s="1"/>
  <c r="Y306" i="24" s="1"/>
  <c r="D331" i="24"/>
  <c r="E331" i="24" s="1"/>
  <c r="F331" i="24" s="1"/>
  <c r="AA331" i="24" s="1"/>
  <c r="Z331" i="24" s="1"/>
  <c r="Y331" i="24" s="1"/>
  <c r="AA269" i="23"/>
  <c r="Z269" i="23" s="1"/>
  <c r="Y269" i="23" s="1"/>
  <c r="AA155" i="23"/>
  <c r="Z155" i="23" s="1"/>
  <c r="Y155" i="23" s="1"/>
  <c r="D136" i="24"/>
  <c r="E136" i="24" s="1"/>
  <c r="F136" i="24" s="1"/>
  <c r="G136" i="24" s="1"/>
  <c r="CE136" i="6" s="1"/>
  <c r="B95" i="25"/>
  <c r="W95" i="25" s="1"/>
  <c r="D316" i="24"/>
  <c r="E316" i="24" s="1"/>
  <c r="F316" i="24" s="1"/>
  <c r="G316" i="24" s="1"/>
  <c r="CE316" i="6" s="1"/>
  <c r="B297" i="25"/>
  <c r="W297" i="25" s="1"/>
  <c r="B359" i="25"/>
  <c r="D359" i="25" s="1"/>
  <c r="E359" i="25" s="1"/>
  <c r="F359" i="25" s="1"/>
  <c r="B306" i="25"/>
  <c r="W306" i="25" s="1"/>
  <c r="B331" i="25"/>
  <c r="W331" i="25" s="1"/>
  <c r="D323" i="24"/>
  <c r="E323" i="24" s="1"/>
  <c r="F323" i="24" s="1"/>
  <c r="AA323" i="24" s="1"/>
  <c r="Z323" i="24" s="1"/>
  <c r="Y323" i="24" s="1"/>
  <c r="AA116" i="23"/>
  <c r="Z116" i="23" s="1"/>
  <c r="Y116" i="23" s="1"/>
  <c r="AA167" i="23"/>
  <c r="Z167" i="23" s="1"/>
  <c r="Y167" i="23" s="1"/>
  <c r="D269" i="24"/>
  <c r="E269" i="24" s="1"/>
  <c r="F269" i="24" s="1"/>
  <c r="AA269" i="24" s="1"/>
  <c r="Z269" i="24" s="1"/>
  <c r="Y269" i="24" s="1"/>
  <c r="D237" i="24"/>
  <c r="E237" i="24" s="1"/>
  <c r="F237" i="24" s="1"/>
  <c r="G237" i="24" s="1"/>
  <c r="CE237" i="6" s="1"/>
  <c r="B50" i="25"/>
  <c r="W50" i="25" s="1"/>
  <c r="AA183" i="23"/>
  <c r="Z183" i="23" s="1"/>
  <c r="Y183" i="23" s="1"/>
  <c r="AA50" i="23"/>
  <c r="Z50" i="23" s="1"/>
  <c r="Y50" i="23" s="1"/>
  <c r="AA294" i="23"/>
  <c r="Z294" i="23" s="1"/>
  <c r="Y294" i="23" s="1"/>
  <c r="D329" i="24"/>
  <c r="E329" i="24" s="1"/>
  <c r="F329" i="24" s="1"/>
  <c r="AA329" i="24" s="1"/>
  <c r="Z329" i="24" s="1"/>
  <c r="Y329" i="24" s="1"/>
  <c r="D19" i="24"/>
  <c r="E19" i="24" s="1"/>
  <c r="F19" i="24" s="1"/>
  <c r="G19" i="24" s="1"/>
  <c r="CE19" i="6" s="1"/>
  <c r="G192" i="23"/>
  <c r="CD192" i="6" s="1"/>
  <c r="AA224" i="23"/>
  <c r="Z224" i="23" s="1"/>
  <c r="Y224" i="23" s="1"/>
  <c r="B327" i="25"/>
  <c r="D327" i="25" s="1"/>
  <c r="E327" i="25" s="1"/>
  <c r="F327" i="25" s="1"/>
  <c r="AA331" i="23"/>
  <c r="Z331" i="23" s="1"/>
  <c r="Y331" i="23" s="1"/>
  <c r="AA270" i="23"/>
  <c r="Z270" i="23" s="1"/>
  <c r="Y270" i="23" s="1"/>
  <c r="AA329" i="23"/>
  <c r="Z329" i="23" s="1"/>
  <c r="Y329" i="23" s="1"/>
  <c r="D205" i="24"/>
  <c r="E205" i="24" s="1"/>
  <c r="F205" i="24" s="1"/>
  <c r="G205" i="24" s="1"/>
  <c r="CE205" i="6" s="1"/>
  <c r="W300" i="24"/>
  <c r="B323" i="25"/>
  <c r="W323" i="25" s="1"/>
  <c r="G358" i="23"/>
  <c r="CD358" i="6" s="1"/>
  <c r="B329" i="25"/>
  <c r="D329" i="25" s="1"/>
  <c r="E329" i="25" s="1"/>
  <c r="F329" i="25" s="1"/>
  <c r="B19" i="25"/>
  <c r="D19" i="25" s="1"/>
  <c r="E19" i="25" s="1"/>
  <c r="F19" i="25" s="1"/>
  <c r="D327" i="24"/>
  <c r="E327" i="24" s="1"/>
  <c r="F327" i="24" s="1"/>
  <c r="G327" i="24" s="1"/>
  <c r="CE327" i="6" s="1"/>
  <c r="B269" i="25"/>
  <c r="D269" i="25" s="1"/>
  <c r="E269" i="25" s="1"/>
  <c r="F269" i="25" s="1"/>
  <c r="B237" i="25"/>
  <c r="W237" i="25" s="1"/>
  <c r="G301" i="23"/>
  <c r="CD301" i="6" s="1"/>
  <c r="B205" i="25"/>
  <c r="W205" i="25" s="1"/>
  <c r="AA351" i="23"/>
  <c r="Z351" i="23" s="1"/>
  <c r="Y351" i="23" s="1"/>
  <c r="D70" i="24"/>
  <c r="E70" i="24" s="1"/>
  <c r="F70" i="24" s="1"/>
  <c r="G70" i="24" s="1"/>
  <c r="CE70" i="6" s="1"/>
  <c r="D348" i="24"/>
  <c r="E348" i="24" s="1"/>
  <c r="F348" i="24" s="1"/>
  <c r="G348" i="24" s="1"/>
  <c r="CE348" i="6" s="1"/>
  <c r="B54" i="25"/>
  <c r="W54" i="25" s="1"/>
  <c r="B70" i="25"/>
  <c r="D70" i="25" s="1"/>
  <c r="E70" i="25" s="1"/>
  <c r="F70" i="25" s="1"/>
  <c r="B348" i="25"/>
  <c r="D348" i="25" s="1"/>
  <c r="E348" i="25" s="1"/>
  <c r="F348" i="25" s="1"/>
  <c r="AA193" i="23"/>
  <c r="Z193" i="23" s="1"/>
  <c r="Y193" i="23" s="1"/>
  <c r="AA79" i="23"/>
  <c r="Z79" i="23" s="1"/>
  <c r="Y79" i="23" s="1"/>
  <c r="AA131" i="23"/>
  <c r="Z131" i="23" s="1"/>
  <c r="Y131" i="23" s="1"/>
  <c r="B28" i="25"/>
  <c r="W28" i="25" s="1"/>
  <c r="B377" i="25"/>
  <c r="D377" i="25" s="1"/>
  <c r="E377" i="25" s="1"/>
  <c r="F377" i="25" s="1"/>
  <c r="D335" i="24"/>
  <c r="E335" i="24" s="1"/>
  <c r="F335" i="24" s="1"/>
  <c r="G335" i="24" s="1"/>
  <c r="CE335" i="6" s="1"/>
  <c r="B30" i="25"/>
  <c r="D30" i="25" s="1"/>
  <c r="E30" i="25" s="1"/>
  <c r="F30" i="25" s="1"/>
  <c r="W359" i="24"/>
  <c r="G94" i="23"/>
  <c r="CD94" i="6" s="1"/>
  <c r="B129" i="25"/>
  <c r="W129" i="25" s="1"/>
  <c r="W377" i="24"/>
  <c r="D224" i="24"/>
  <c r="E224" i="24" s="1"/>
  <c r="F224" i="24" s="1"/>
  <c r="G224" i="24" s="1"/>
  <c r="CE224" i="6" s="1"/>
  <c r="B353" i="25"/>
  <c r="D353" i="25" s="1"/>
  <c r="E353" i="25" s="1"/>
  <c r="F353" i="25" s="1"/>
  <c r="D43" i="24"/>
  <c r="E43" i="24" s="1"/>
  <c r="F43" i="24" s="1"/>
  <c r="AA43" i="24" s="1"/>
  <c r="Z43" i="24" s="1"/>
  <c r="Y43" i="24" s="1"/>
  <c r="D155" i="24"/>
  <c r="E155" i="24" s="1"/>
  <c r="F155" i="24" s="1"/>
  <c r="G155" i="24" s="1"/>
  <c r="CE155" i="6" s="1"/>
  <c r="B136" i="25"/>
  <c r="D136" i="25" s="1"/>
  <c r="E136" i="25" s="1"/>
  <c r="F136" i="25" s="1"/>
  <c r="B270" i="25"/>
  <c r="D270" i="25" s="1"/>
  <c r="E270" i="25" s="1"/>
  <c r="F270" i="25" s="1"/>
  <c r="AA344" i="23"/>
  <c r="Z344" i="23" s="1"/>
  <c r="Y344" i="23" s="1"/>
  <c r="G168" i="23"/>
  <c r="CD168" i="6" s="1"/>
  <c r="D164" i="24"/>
  <c r="E164" i="24" s="1"/>
  <c r="F164" i="24" s="1"/>
  <c r="AA164" i="24" s="1"/>
  <c r="Z164" i="24" s="1"/>
  <c r="Y164" i="24" s="1"/>
  <c r="W297" i="24"/>
  <c r="D358" i="24"/>
  <c r="E358" i="24" s="1"/>
  <c r="F358" i="24" s="1"/>
  <c r="G358" i="24" s="1"/>
  <c r="CE358" i="6" s="1"/>
  <c r="D192" i="24"/>
  <c r="E192" i="24" s="1"/>
  <c r="F192" i="24" s="1"/>
  <c r="G192" i="24" s="1"/>
  <c r="CE192" i="6" s="1"/>
  <c r="B335" i="25"/>
  <c r="W335" i="25" s="1"/>
  <c r="D179" i="24"/>
  <c r="E179" i="24" s="1"/>
  <c r="F179" i="24" s="1"/>
  <c r="G179" i="24" s="1"/>
  <c r="CE179" i="6" s="1"/>
  <c r="G54" i="23"/>
  <c r="CD54" i="6" s="1"/>
  <c r="G297" i="23"/>
  <c r="CD297" i="6" s="1"/>
  <c r="G337" i="23"/>
  <c r="CD337" i="6" s="1"/>
  <c r="D243" i="24"/>
  <c r="E243" i="24" s="1"/>
  <c r="F243" i="24" s="1"/>
  <c r="AA243" i="24" s="1"/>
  <c r="Z243" i="24" s="1"/>
  <c r="Y243" i="24" s="1"/>
  <c r="AA43" i="23"/>
  <c r="Z43" i="23" s="1"/>
  <c r="Y43" i="23" s="1"/>
  <c r="D294" i="24"/>
  <c r="E294" i="24" s="1"/>
  <c r="F294" i="24" s="1"/>
  <c r="G294" i="24" s="1"/>
  <c r="CE294" i="6" s="1"/>
  <c r="B43" i="25"/>
  <c r="D43" i="25" s="1"/>
  <c r="E43" i="25" s="1"/>
  <c r="F43" i="25" s="1"/>
  <c r="B301" i="25"/>
  <c r="W301" i="25" s="1"/>
  <c r="B316" i="25"/>
  <c r="W316" i="25" s="1"/>
  <c r="I347" i="20"/>
  <c r="H347" i="22" s="1"/>
  <c r="I347" i="22" s="1"/>
  <c r="H347" i="23" s="1"/>
  <c r="AA255" i="23"/>
  <c r="Z255" i="23" s="1"/>
  <c r="Y255" i="23" s="1"/>
  <c r="B164" i="25"/>
  <c r="D164" i="25" s="1"/>
  <c r="E164" i="25" s="1"/>
  <c r="F164" i="25" s="1"/>
  <c r="I296" i="20"/>
  <c r="H296" i="22" s="1"/>
  <c r="I296" i="22" s="1"/>
  <c r="H296" i="23" s="1"/>
  <c r="B358" i="25"/>
  <c r="D358" i="25" s="1"/>
  <c r="E358" i="25" s="1"/>
  <c r="F358" i="25" s="1"/>
  <c r="G35" i="23"/>
  <c r="CD35" i="6" s="1"/>
  <c r="B192" i="25"/>
  <c r="W192" i="25" s="1"/>
  <c r="B179" i="25"/>
  <c r="D179" i="25" s="1"/>
  <c r="E179" i="25" s="1"/>
  <c r="F179" i="25" s="1"/>
  <c r="AA18" i="23"/>
  <c r="Z18" i="23" s="1"/>
  <c r="Y18" i="23" s="1"/>
  <c r="D180" i="24"/>
  <c r="E180" i="24" s="1"/>
  <c r="F180" i="24" s="1"/>
  <c r="AA180" i="24" s="1"/>
  <c r="Z180" i="24" s="1"/>
  <c r="Y180" i="24" s="1"/>
  <c r="B97" i="25"/>
  <c r="D97" i="25" s="1"/>
  <c r="E97" i="25" s="1"/>
  <c r="F97" i="25" s="1"/>
  <c r="G312" i="23"/>
  <c r="CD312" i="6" s="1"/>
  <c r="B116" i="25"/>
  <c r="W116" i="25" s="1"/>
  <c r="AA243" i="23"/>
  <c r="Z243" i="23" s="1"/>
  <c r="Y243" i="23" s="1"/>
  <c r="G216" i="23"/>
  <c r="CD216" i="6" s="1"/>
  <c r="B180" i="25"/>
  <c r="W180" i="25" s="1"/>
  <c r="W97" i="24"/>
  <c r="AA338" i="23"/>
  <c r="Z338" i="23" s="1"/>
  <c r="Y338" i="23" s="1"/>
  <c r="AA164" i="23"/>
  <c r="Z164" i="23" s="1"/>
  <c r="Y164" i="23" s="1"/>
  <c r="W116" i="24"/>
  <c r="AA265" i="23"/>
  <c r="Z265" i="23" s="1"/>
  <c r="Y265" i="23" s="1"/>
  <c r="J334" i="20"/>
  <c r="J334" i="22" s="1"/>
  <c r="B294" i="25"/>
  <c r="D294" i="25" s="1"/>
  <c r="E294" i="25" s="1"/>
  <c r="F294" i="25" s="1"/>
  <c r="G180" i="23"/>
  <c r="CD180" i="6" s="1"/>
  <c r="W284" i="24"/>
  <c r="B243" i="25"/>
  <c r="D243" i="25" s="1"/>
  <c r="E243" i="25" s="1"/>
  <c r="F243" i="25" s="1"/>
  <c r="J373" i="20"/>
  <c r="J373" i="22" s="1"/>
  <c r="I251" i="22"/>
  <c r="H251" i="23" s="1"/>
  <c r="J251" i="23" s="1"/>
  <c r="B284" i="25"/>
  <c r="D284" i="25" s="1"/>
  <c r="E284" i="25" s="1"/>
  <c r="F284" i="25" s="1"/>
  <c r="G92" i="23"/>
  <c r="CD92" i="6" s="1"/>
  <c r="I356" i="20"/>
  <c r="H356" i="22" s="1"/>
  <c r="J356" i="22" s="1"/>
  <c r="W367" i="24"/>
  <c r="J21" i="20"/>
  <c r="J21" i="22" s="1"/>
  <c r="I88" i="20"/>
  <c r="H88" i="22" s="1"/>
  <c r="J317" i="20"/>
  <c r="J317" i="22" s="1"/>
  <c r="J191" i="20"/>
  <c r="J191" i="22" s="1"/>
  <c r="J206" i="20"/>
  <c r="J206" i="22" s="1"/>
  <c r="AA55" i="23"/>
  <c r="Z55" i="23" s="1"/>
  <c r="Y55" i="23" s="1"/>
  <c r="G366" i="23"/>
  <c r="CD366" i="6" s="1"/>
  <c r="W338" i="24"/>
  <c r="AA258" i="23"/>
  <c r="Z258" i="23" s="1"/>
  <c r="Y258" i="23" s="1"/>
  <c r="I87" i="20"/>
  <c r="H87" i="22" s="1"/>
  <c r="J87" i="22" s="1"/>
  <c r="B324" i="25"/>
  <c r="D324" i="25" s="1"/>
  <c r="E324" i="25" s="1"/>
  <c r="F324" i="25" s="1"/>
  <c r="D344" i="24"/>
  <c r="E344" i="24" s="1"/>
  <c r="F344" i="24" s="1"/>
  <c r="G344" i="24" s="1"/>
  <c r="CE344" i="6" s="1"/>
  <c r="D153" i="24"/>
  <c r="E153" i="24" s="1"/>
  <c r="F153" i="24" s="1"/>
  <c r="G153" i="24" s="1"/>
  <c r="CE153" i="6" s="1"/>
  <c r="D216" i="24"/>
  <c r="E216" i="24" s="1"/>
  <c r="F216" i="24" s="1"/>
  <c r="G216" i="24" s="1"/>
  <c r="CE216" i="6" s="1"/>
  <c r="AA64" i="23"/>
  <c r="Z64" i="23" s="1"/>
  <c r="Y64" i="23" s="1"/>
  <c r="AA97" i="23"/>
  <c r="Z97" i="23" s="1"/>
  <c r="Y97" i="23" s="1"/>
  <c r="B338" i="25"/>
  <c r="D338" i="25" s="1"/>
  <c r="E338" i="25" s="1"/>
  <c r="F338" i="25" s="1"/>
  <c r="J160" i="20"/>
  <c r="J160" i="22" s="1"/>
  <c r="AA38" i="23"/>
  <c r="Z38" i="23" s="1"/>
  <c r="Y38" i="23" s="1"/>
  <c r="D64" i="24"/>
  <c r="E64" i="24" s="1"/>
  <c r="F64" i="24" s="1"/>
  <c r="AA64" i="24" s="1"/>
  <c r="Z64" i="24" s="1"/>
  <c r="Y64" i="24" s="1"/>
  <c r="G228" i="23"/>
  <c r="CD228" i="6" s="1"/>
  <c r="J53" i="20"/>
  <c r="J53" i="22" s="1"/>
  <c r="I159" i="20"/>
  <c r="H159" i="22" s="1"/>
  <c r="J159" i="22" s="1"/>
  <c r="B367" i="25"/>
  <c r="W367" i="25" s="1"/>
  <c r="I328" i="20"/>
  <c r="H328" i="22" s="1"/>
  <c r="I328" i="22" s="1"/>
  <c r="H328" i="23" s="1"/>
  <c r="G227" i="23"/>
  <c r="CD227" i="6" s="1"/>
  <c r="B224" i="25"/>
  <c r="W224" i="25" s="1"/>
  <c r="B64" i="25"/>
  <c r="D64" i="25" s="1"/>
  <c r="E64" i="25" s="1"/>
  <c r="F64" i="25" s="1"/>
  <c r="J109" i="20"/>
  <c r="J109" i="22" s="1"/>
  <c r="I128" i="20"/>
  <c r="H128" i="22" s="1"/>
  <c r="I128" i="22" s="1"/>
  <c r="H128" i="23" s="1"/>
  <c r="B344" i="25"/>
  <c r="W344" i="25" s="1"/>
  <c r="B153" i="25"/>
  <c r="D153" i="25" s="1"/>
  <c r="E153" i="25" s="1"/>
  <c r="F153" i="25" s="1"/>
  <c r="B216" i="25"/>
  <c r="D216" i="25" s="1"/>
  <c r="E216" i="25" s="1"/>
  <c r="F216" i="25" s="1"/>
  <c r="I223" i="20"/>
  <c r="H223" i="22" s="1"/>
  <c r="B326" i="25"/>
  <c r="W326" i="25" s="1"/>
  <c r="AA367" i="23"/>
  <c r="Z367" i="23" s="1"/>
  <c r="Y367" i="23" s="1"/>
  <c r="I217" i="22"/>
  <c r="H217" i="23" s="1"/>
  <c r="J217" i="23" s="1"/>
  <c r="AA324" i="23"/>
  <c r="Z324" i="23" s="1"/>
  <c r="Y324" i="23" s="1"/>
  <c r="J245" i="20"/>
  <c r="J245" i="22" s="1"/>
  <c r="W324" i="24"/>
  <c r="J185" i="20"/>
  <c r="J185" i="22" s="1"/>
  <c r="W326" i="24"/>
  <c r="I25" i="20"/>
  <c r="H25" i="22" s="1"/>
  <c r="J275" i="20"/>
  <c r="J275" i="22" s="1"/>
  <c r="J261" i="20"/>
  <c r="J261" i="22" s="1"/>
  <c r="I371" i="20"/>
  <c r="H371" i="22" s="1"/>
  <c r="I234" i="20"/>
  <c r="H234" i="22" s="1"/>
  <c r="J234" i="22" s="1"/>
  <c r="I163" i="20"/>
  <c r="H163" i="22" s="1"/>
  <c r="J163" i="22" s="1"/>
  <c r="J173" i="20"/>
  <c r="J173" i="22" s="1"/>
  <c r="J295" i="20"/>
  <c r="J295" i="22" s="1"/>
  <c r="I289" i="20"/>
  <c r="H289" i="22" s="1"/>
  <c r="J289" i="22" s="1"/>
  <c r="I44" i="20"/>
  <c r="H44" i="22" s="1"/>
  <c r="J44" i="22" s="1"/>
  <c r="I76" i="20"/>
  <c r="H76" i="22" s="1"/>
  <c r="I76" i="22" s="1"/>
  <c r="H76" i="23" s="1"/>
  <c r="J253" i="20"/>
  <c r="J253" i="22" s="1"/>
  <c r="I85" i="20"/>
  <c r="H85" i="22" s="1"/>
  <c r="J112" i="20"/>
  <c r="J112" i="22" s="1"/>
  <c r="J325" i="20"/>
  <c r="J325" i="22" s="1"/>
  <c r="I114" i="20"/>
  <c r="H114" i="22" s="1"/>
  <c r="J114" i="22" s="1"/>
  <c r="J71" i="20"/>
  <c r="J71" i="22" s="1"/>
  <c r="I89" i="20"/>
  <c r="H89" i="22" s="1"/>
  <c r="I89" i="22" s="1"/>
  <c r="H89" i="23" s="1"/>
  <c r="I186" i="20"/>
  <c r="H186" i="22" s="1"/>
  <c r="J119" i="20"/>
  <c r="J119" i="22" s="1"/>
  <c r="I250" i="20"/>
  <c r="H250" i="22" s="1"/>
  <c r="I250" i="22" s="1"/>
  <c r="H250" i="23" s="1"/>
  <c r="I169" i="20"/>
  <c r="H169" i="22" s="1"/>
  <c r="I187" i="20"/>
  <c r="H187" i="22" s="1"/>
  <c r="I187" i="22" s="1"/>
  <c r="H187" i="23" s="1"/>
  <c r="J46" i="20"/>
  <c r="J46" i="22" s="1"/>
  <c r="J218" i="20"/>
  <c r="J218" i="22" s="1"/>
  <c r="AI4" i="6"/>
  <c r="I53" i="22"/>
  <c r="H53" i="23" s="1"/>
  <c r="I109" i="22"/>
  <c r="H109" i="23" s="1"/>
  <c r="I160" i="22"/>
  <c r="H160" i="23" s="1"/>
  <c r="I275" i="22"/>
  <c r="H275" i="23" s="1"/>
  <c r="I173" i="22"/>
  <c r="H173" i="23" s="1"/>
  <c r="I253" i="22"/>
  <c r="H253" i="23" s="1"/>
  <c r="I218" i="22"/>
  <c r="H218" i="23" s="1"/>
  <c r="I206" i="22"/>
  <c r="H206" i="23" s="1"/>
  <c r="D57" i="6"/>
  <c r="Q4" i="6"/>
  <c r="AA379" i="24"/>
  <c r="Z379" i="24" s="1"/>
  <c r="Y379" i="24" s="1"/>
  <c r="G379" i="24"/>
  <c r="CE379" i="6" s="1"/>
  <c r="W29" i="24"/>
  <c r="B29" i="25"/>
  <c r="D29" i="24"/>
  <c r="E29" i="24" s="1"/>
  <c r="F29" i="24" s="1"/>
  <c r="B352" i="25"/>
  <c r="W352" i="24"/>
  <c r="D352" i="24"/>
  <c r="E352" i="24" s="1"/>
  <c r="F352" i="24" s="1"/>
  <c r="D333" i="24"/>
  <c r="E333" i="24" s="1"/>
  <c r="F333" i="24" s="1"/>
  <c r="B333" i="25"/>
  <c r="W333" i="24"/>
  <c r="B376" i="25"/>
  <c r="W376" i="24"/>
  <c r="D376" i="24"/>
  <c r="E376" i="24" s="1"/>
  <c r="F376" i="24" s="1"/>
  <c r="D369" i="24"/>
  <c r="E369" i="24" s="1"/>
  <c r="F369" i="24" s="1"/>
  <c r="B369" i="25"/>
  <c r="W369" i="24"/>
  <c r="G253" i="23"/>
  <c r="CD253" i="6" s="1"/>
  <c r="AA253" i="23"/>
  <c r="Z253" i="23" s="1"/>
  <c r="Y253" i="23" s="1"/>
  <c r="W130" i="25"/>
  <c r="D130" i="25"/>
  <c r="E130" i="25" s="1"/>
  <c r="F130" i="25" s="1"/>
  <c r="G265" i="24"/>
  <c r="CE265" i="6" s="1"/>
  <c r="AA265" i="24"/>
  <c r="Z265" i="24" s="1"/>
  <c r="Y265" i="24" s="1"/>
  <c r="D55" i="25"/>
  <c r="E55" i="25" s="1"/>
  <c r="F55" i="25" s="1"/>
  <c r="W55" i="25"/>
  <c r="G83" i="24"/>
  <c r="CE83" i="6" s="1"/>
  <c r="AA83" i="24"/>
  <c r="Z83" i="24" s="1"/>
  <c r="Y83" i="24" s="1"/>
  <c r="I56" i="20"/>
  <c r="H56" i="22" s="1"/>
  <c r="J56" i="20"/>
  <c r="AA336" i="24"/>
  <c r="Z336" i="24" s="1"/>
  <c r="Y336" i="24" s="1"/>
  <c r="G336" i="24"/>
  <c r="CE336" i="6" s="1"/>
  <c r="I334" i="22"/>
  <c r="H334" i="23" s="1"/>
  <c r="B53" i="25"/>
  <c r="D53" i="24"/>
  <c r="E53" i="24" s="1"/>
  <c r="F53" i="24" s="1"/>
  <c r="W53" i="24"/>
  <c r="Y4" i="6"/>
  <c r="J364" i="20"/>
  <c r="I364" i="20"/>
  <c r="H364" i="22" s="1"/>
  <c r="W109" i="24"/>
  <c r="D109" i="24"/>
  <c r="E109" i="24" s="1"/>
  <c r="F109" i="24" s="1"/>
  <c r="B109" i="25"/>
  <c r="G58" i="23"/>
  <c r="CD58" i="6" s="1"/>
  <c r="AA58" i="23"/>
  <c r="Z58" i="23" s="1"/>
  <c r="Y58" i="23" s="1"/>
  <c r="W286" i="25"/>
  <c r="D286" i="25"/>
  <c r="E286" i="25" s="1"/>
  <c r="F286" i="25" s="1"/>
  <c r="W90" i="24"/>
  <c r="B90" i="25"/>
  <c r="D90" i="24"/>
  <c r="E90" i="24" s="1"/>
  <c r="F90" i="24" s="1"/>
  <c r="G16" i="24"/>
  <c r="CE16" i="6" s="1"/>
  <c r="AA16" i="24"/>
  <c r="Z16" i="24" s="1"/>
  <c r="Y16" i="24" s="1"/>
  <c r="D63" i="25"/>
  <c r="E63" i="25" s="1"/>
  <c r="F63" i="25" s="1"/>
  <c r="W63" i="25"/>
  <c r="G63" i="24"/>
  <c r="CE63" i="6" s="1"/>
  <c r="AA63" i="24"/>
  <c r="Z63" i="24" s="1"/>
  <c r="Y63" i="24" s="1"/>
  <c r="G185" i="23"/>
  <c r="CD185" i="6" s="1"/>
  <c r="AA185" i="23"/>
  <c r="Z185" i="23" s="1"/>
  <c r="Y185" i="23" s="1"/>
  <c r="W110" i="24"/>
  <c r="B110" i="25"/>
  <c r="D110" i="24"/>
  <c r="E110" i="24" s="1"/>
  <c r="F110" i="24" s="1"/>
  <c r="AA110" i="23"/>
  <c r="Z110" i="23" s="1"/>
  <c r="Y110" i="23" s="1"/>
  <c r="G110" i="23"/>
  <c r="CD110" i="6" s="1"/>
  <c r="W201" i="24"/>
  <c r="B201" i="25"/>
  <c r="D201" i="24"/>
  <c r="E201" i="24" s="1"/>
  <c r="F201" i="24" s="1"/>
  <c r="G201" i="23"/>
  <c r="CD201" i="6" s="1"/>
  <c r="AA201" i="23"/>
  <c r="Z201" i="23" s="1"/>
  <c r="Y201" i="23" s="1"/>
  <c r="W293" i="25"/>
  <c r="D293" i="25"/>
  <c r="E293" i="25" s="1"/>
  <c r="F293" i="25" s="1"/>
  <c r="D148" i="24"/>
  <c r="E148" i="24" s="1"/>
  <c r="F148" i="24" s="1"/>
  <c r="B148" i="25"/>
  <c r="W148" i="24"/>
  <c r="G372" i="23"/>
  <c r="CD372" i="6" s="1"/>
  <c r="AA372" i="23"/>
  <c r="Z372" i="23" s="1"/>
  <c r="Y372" i="23" s="1"/>
  <c r="B65" i="25"/>
  <c r="W65" i="24"/>
  <c r="D65" i="24"/>
  <c r="E65" i="24" s="1"/>
  <c r="F65" i="24" s="1"/>
  <c r="G65" i="23"/>
  <c r="CD65" i="6" s="1"/>
  <c r="AA65" i="23"/>
  <c r="Z65" i="23" s="1"/>
  <c r="Y65" i="23" s="1"/>
  <c r="G143" i="23"/>
  <c r="CD143" i="6" s="1"/>
  <c r="AA143" i="23"/>
  <c r="Z143" i="23" s="1"/>
  <c r="Y143" i="23" s="1"/>
  <c r="W122" i="25"/>
  <c r="D122" i="25"/>
  <c r="E122" i="25" s="1"/>
  <c r="F122" i="25" s="1"/>
  <c r="G322" i="23"/>
  <c r="CD322" i="6" s="1"/>
  <c r="AA322" i="23"/>
  <c r="Z322" i="23" s="1"/>
  <c r="Y322" i="23" s="1"/>
  <c r="D217" i="25"/>
  <c r="E217" i="25" s="1"/>
  <c r="F217" i="25" s="1"/>
  <c r="W217" i="25"/>
  <c r="G217" i="24"/>
  <c r="CE217" i="6" s="1"/>
  <c r="AA217" i="24"/>
  <c r="Z217" i="24" s="1"/>
  <c r="Y217" i="24" s="1"/>
  <c r="W190" i="25"/>
  <c r="D190" i="25"/>
  <c r="E190" i="25" s="1"/>
  <c r="F190" i="25" s="1"/>
  <c r="G190" i="24"/>
  <c r="CE190" i="6" s="1"/>
  <c r="AA190" i="24"/>
  <c r="Z190" i="24" s="1"/>
  <c r="Y190" i="24" s="1"/>
  <c r="G240" i="23"/>
  <c r="CD240" i="6" s="1"/>
  <c r="AA240" i="23"/>
  <c r="Z240" i="23" s="1"/>
  <c r="Y240" i="23" s="1"/>
  <c r="D289" i="24"/>
  <c r="E289" i="24" s="1"/>
  <c r="F289" i="24" s="1"/>
  <c r="B289" i="25"/>
  <c r="W289" i="24"/>
  <c r="J81" i="20"/>
  <c r="I81" i="20"/>
  <c r="H81" i="22" s="1"/>
  <c r="I149" i="20"/>
  <c r="H149" i="22" s="1"/>
  <c r="J149" i="20"/>
  <c r="I230" i="20"/>
  <c r="H230" i="22" s="1"/>
  <c r="J230" i="20"/>
  <c r="I276" i="20"/>
  <c r="H276" i="22" s="1"/>
  <c r="J276" i="20"/>
  <c r="I320" i="20"/>
  <c r="H320" i="22" s="1"/>
  <c r="J320" i="20"/>
  <c r="J195" i="20"/>
  <c r="I195" i="20"/>
  <c r="H195" i="22" s="1"/>
  <c r="I146" i="20"/>
  <c r="H146" i="22" s="1"/>
  <c r="J146" i="20"/>
  <c r="J122" i="20"/>
  <c r="I122" i="20"/>
  <c r="H122" i="22" s="1"/>
  <c r="J172" i="20"/>
  <c r="I172" i="20"/>
  <c r="H172" i="22" s="1"/>
  <c r="I91" i="20"/>
  <c r="H91" i="22" s="1"/>
  <c r="J91" i="20"/>
  <c r="J200" i="20"/>
  <c r="I200" i="20"/>
  <c r="H200" i="22" s="1"/>
  <c r="I242" i="20"/>
  <c r="H242" i="22" s="1"/>
  <c r="J242" i="20"/>
  <c r="J286" i="20"/>
  <c r="I286" i="20"/>
  <c r="H286" i="22" s="1"/>
  <c r="I94" i="20"/>
  <c r="H94" i="22" s="1"/>
  <c r="J94" i="20"/>
  <c r="I353" i="20"/>
  <c r="H353" i="22" s="1"/>
  <c r="J353" i="20"/>
  <c r="J224" i="20"/>
  <c r="I224" i="20"/>
  <c r="H224" i="22" s="1"/>
  <c r="J227" i="20"/>
  <c r="I227" i="20"/>
  <c r="H227" i="22" s="1"/>
  <c r="D150" i="24"/>
  <c r="E150" i="24" s="1"/>
  <c r="F150" i="24" s="1"/>
  <c r="B150" i="25"/>
  <c r="W150" i="24"/>
  <c r="AA177" i="24"/>
  <c r="Z177" i="24" s="1"/>
  <c r="Y177" i="24" s="1"/>
  <c r="G177" i="24"/>
  <c r="CE177" i="6" s="1"/>
  <c r="AA263" i="23"/>
  <c r="Z263" i="23" s="1"/>
  <c r="Y263" i="23" s="1"/>
  <c r="G263" i="23"/>
  <c r="CD263" i="6" s="1"/>
  <c r="W365" i="24"/>
  <c r="D365" i="24"/>
  <c r="E365" i="24" s="1"/>
  <c r="F365" i="24" s="1"/>
  <c r="B365" i="25"/>
  <c r="I46" i="22"/>
  <c r="H46" i="23" s="1"/>
  <c r="I261" i="22"/>
  <c r="H261" i="23" s="1"/>
  <c r="G171" i="23"/>
  <c r="CD171" i="6" s="1"/>
  <c r="AA171" i="23"/>
  <c r="Z171" i="23" s="1"/>
  <c r="Y171" i="23" s="1"/>
  <c r="AE4" i="6"/>
  <c r="AA21" i="23"/>
  <c r="Z21" i="23" s="1"/>
  <c r="Y21" i="23" s="1"/>
  <c r="G21" i="23"/>
  <c r="CD21" i="6" s="1"/>
  <c r="W79" i="25"/>
  <c r="D79" i="25"/>
  <c r="E79" i="25" s="1"/>
  <c r="F79" i="25" s="1"/>
  <c r="G131" i="24"/>
  <c r="CE131" i="6" s="1"/>
  <c r="AA131" i="24"/>
  <c r="Z131" i="24" s="1"/>
  <c r="Y131" i="24" s="1"/>
  <c r="G275" i="23"/>
  <c r="CD275" i="6" s="1"/>
  <c r="AA275" i="23"/>
  <c r="Z275" i="23" s="1"/>
  <c r="Y275" i="23" s="1"/>
  <c r="W303" i="24"/>
  <c r="D303" i="24"/>
  <c r="E303" i="24" s="1"/>
  <c r="F303" i="24" s="1"/>
  <c r="B303" i="25"/>
  <c r="W86" i="24"/>
  <c r="B86" i="25"/>
  <c r="D86" i="24"/>
  <c r="E86" i="24" s="1"/>
  <c r="F86" i="24" s="1"/>
  <c r="G188" i="23"/>
  <c r="CD188" i="6" s="1"/>
  <c r="AA188" i="23"/>
  <c r="Z188" i="23" s="1"/>
  <c r="Y188" i="23" s="1"/>
  <c r="W218" i="24"/>
  <c r="B218" i="25"/>
  <c r="D218" i="24"/>
  <c r="E218" i="24" s="1"/>
  <c r="F218" i="24" s="1"/>
  <c r="G169" i="23"/>
  <c r="CD169" i="6" s="1"/>
  <c r="AA169" i="23"/>
  <c r="Z169" i="23" s="1"/>
  <c r="Y169" i="23" s="1"/>
  <c r="G245" i="23"/>
  <c r="CD245" i="6" s="1"/>
  <c r="AA245" i="23"/>
  <c r="Z245" i="23" s="1"/>
  <c r="Y245" i="23" s="1"/>
  <c r="D313" i="25"/>
  <c r="E313" i="25" s="1"/>
  <c r="F313" i="25" s="1"/>
  <c r="W313" i="25"/>
  <c r="W288" i="24"/>
  <c r="D288" i="24"/>
  <c r="E288" i="24" s="1"/>
  <c r="F288" i="24" s="1"/>
  <c r="B288" i="25"/>
  <c r="W202" i="25"/>
  <c r="D202" i="25"/>
  <c r="E202" i="25" s="1"/>
  <c r="F202" i="25" s="1"/>
  <c r="W370" i="25"/>
  <c r="D370" i="25"/>
  <c r="E370" i="25" s="1"/>
  <c r="F370" i="25" s="1"/>
  <c r="W25" i="24"/>
  <c r="B25" i="25"/>
  <c r="D25" i="24"/>
  <c r="E25" i="24" s="1"/>
  <c r="F25" i="24" s="1"/>
  <c r="G199" i="24"/>
  <c r="CE199" i="6" s="1"/>
  <c r="AA199" i="24"/>
  <c r="Z199" i="24" s="1"/>
  <c r="Y199" i="24" s="1"/>
  <c r="G355" i="23"/>
  <c r="CD355" i="6" s="1"/>
  <c r="AA355" i="23"/>
  <c r="Z355" i="23" s="1"/>
  <c r="Y355" i="23" s="1"/>
  <c r="W102" i="24"/>
  <c r="D102" i="24"/>
  <c r="E102" i="24" s="1"/>
  <c r="F102" i="24" s="1"/>
  <c r="B102" i="25"/>
  <c r="W137" i="24"/>
  <c r="B137" i="25"/>
  <c r="D137" i="24"/>
  <c r="E137" i="24" s="1"/>
  <c r="F137" i="24" s="1"/>
  <c r="G378" i="23"/>
  <c r="CD378" i="6" s="1"/>
  <c r="AA378" i="23"/>
  <c r="Z378" i="23" s="1"/>
  <c r="Y378" i="23" s="1"/>
  <c r="I119" i="22"/>
  <c r="H119" i="23" s="1"/>
  <c r="W22" i="24"/>
  <c r="B22" i="25"/>
  <c r="D22" i="24"/>
  <c r="E22" i="24" s="1"/>
  <c r="F22" i="24" s="1"/>
  <c r="B272" i="25"/>
  <c r="D272" i="24"/>
  <c r="E272" i="24" s="1"/>
  <c r="F272" i="24" s="1"/>
  <c r="W272" i="24"/>
  <c r="D241" i="25"/>
  <c r="E241" i="25" s="1"/>
  <c r="F241" i="25" s="1"/>
  <c r="W241" i="25"/>
  <c r="G88" i="23"/>
  <c r="CD88" i="6" s="1"/>
  <c r="AA88" i="23"/>
  <c r="Z88" i="23" s="1"/>
  <c r="Y88" i="23" s="1"/>
  <c r="D260" i="25"/>
  <c r="E260" i="25" s="1"/>
  <c r="F260" i="25" s="1"/>
  <c r="W260" i="25"/>
  <c r="AA320" i="24"/>
  <c r="Z320" i="24" s="1"/>
  <c r="Y320" i="24" s="1"/>
  <c r="G320" i="24"/>
  <c r="CE320" i="6" s="1"/>
  <c r="AA80" i="24"/>
  <c r="Z80" i="24" s="1"/>
  <c r="Y80" i="24" s="1"/>
  <c r="G80" i="24"/>
  <c r="CE80" i="6" s="1"/>
  <c r="AA301" i="24"/>
  <c r="Z301" i="24" s="1"/>
  <c r="Y301" i="24" s="1"/>
  <c r="G301" i="24"/>
  <c r="CE301" i="6" s="1"/>
  <c r="I20" i="20"/>
  <c r="H20" i="22" s="1"/>
  <c r="J20" i="20"/>
  <c r="AA234" i="23"/>
  <c r="Z234" i="23" s="1"/>
  <c r="Y234" i="23" s="1"/>
  <c r="G234" i="23"/>
  <c r="CD234" i="6" s="1"/>
  <c r="S4" i="6"/>
  <c r="G133" i="23"/>
  <c r="CD133" i="6" s="1"/>
  <c r="AA133" i="23"/>
  <c r="Z133" i="23" s="1"/>
  <c r="Y133" i="23" s="1"/>
  <c r="W24" i="24"/>
  <c r="D24" i="24"/>
  <c r="E24" i="24" s="1"/>
  <c r="F24" i="24" s="1"/>
  <c r="B24" i="25"/>
  <c r="W206" i="24"/>
  <c r="B206" i="25"/>
  <c r="D206" i="24"/>
  <c r="E206" i="24" s="1"/>
  <c r="F206" i="24" s="1"/>
  <c r="AA356" i="23"/>
  <c r="Z356" i="23" s="1"/>
  <c r="Y356" i="23" s="1"/>
  <c r="G356" i="23"/>
  <c r="CD356" i="6" s="1"/>
  <c r="G299" i="24"/>
  <c r="CE299" i="6" s="1"/>
  <c r="AA299" i="24"/>
  <c r="Z299" i="24" s="1"/>
  <c r="Y299" i="24" s="1"/>
  <c r="B236" i="25"/>
  <c r="W236" i="24"/>
  <c r="D236" i="24"/>
  <c r="E236" i="24" s="1"/>
  <c r="F236" i="24" s="1"/>
  <c r="AK4" i="6"/>
  <c r="D337" i="6"/>
  <c r="D43" i="6"/>
  <c r="P4" i="6"/>
  <c r="X4" i="6"/>
  <c r="D155" i="6"/>
  <c r="I29" i="20"/>
  <c r="H29" i="22" s="1"/>
  <c r="J29" i="20"/>
  <c r="G226" i="23"/>
  <c r="CD226" i="6" s="1"/>
  <c r="AA226" i="23"/>
  <c r="Z226" i="23" s="1"/>
  <c r="Y226" i="23" s="1"/>
  <c r="W227" i="25"/>
  <c r="D227" i="25"/>
  <c r="E227" i="25" s="1"/>
  <c r="F227" i="25" s="1"/>
  <c r="G99" i="23"/>
  <c r="CD99" i="6" s="1"/>
  <c r="AA99" i="23"/>
  <c r="Z99" i="23" s="1"/>
  <c r="Y99" i="23" s="1"/>
  <c r="W106" i="25"/>
  <c r="D106" i="25"/>
  <c r="E106" i="25" s="1"/>
  <c r="F106" i="25" s="1"/>
  <c r="G106" i="24"/>
  <c r="CE106" i="6" s="1"/>
  <c r="AA106" i="24"/>
  <c r="Z106" i="24" s="1"/>
  <c r="Y106" i="24" s="1"/>
  <c r="W69" i="25"/>
  <c r="D69" i="25"/>
  <c r="E69" i="25" s="1"/>
  <c r="F69" i="25" s="1"/>
  <c r="G69" i="24"/>
  <c r="CE69" i="6" s="1"/>
  <c r="AA69" i="24"/>
  <c r="Z69" i="24" s="1"/>
  <c r="Y69" i="24" s="1"/>
  <c r="W278" i="25"/>
  <c r="D278" i="25"/>
  <c r="E278" i="25" s="1"/>
  <c r="F278" i="25" s="1"/>
  <c r="G278" i="24"/>
  <c r="CE278" i="6" s="1"/>
  <c r="AA278" i="24"/>
  <c r="Z278" i="24" s="1"/>
  <c r="Y278" i="24" s="1"/>
  <c r="G361" i="23"/>
  <c r="CD361" i="6" s="1"/>
  <c r="AA361" i="23"/>
  <c r="Z361" i="23" s="1"/>
  <c r="Y361" i="23" s="1"/>
  <c r="W268" i="24"/>
  <c r="D268" i="24"/>
  <c r="E268" i="24" s="1"/>
  <c r="F268" i="24" s="1"/>
  <c r="B268" i="25"/>
  <c r="D258" i="25"/>
  <c r="E258" i="25" s="1"/>
  <c r="F258" i="25" s="1"/>
  <c r="W258" i="25"/>
  <c r="AA258" i="24"/>
  <c r="Z258" i="24" s="1"/>
  <c r="Y258" i="24" s="1"/>
  <c r="G258" i="24"/>
  <c r="CE258" i="6" s="1"/>
  <c r="W181" i="24"/>
  <c r="B181" i="25"/>
  <c r="D181" i="24"/>
  <c r="E181" i="24" s="1"/>
  <c r="F181" i="24" s="1"/>
  <c r="G215" i="23"/>
  <c r="CD215" i="6" s="1"/>
  <c r="AA215" i="23"/>
  <c r="Z215" i="23" s="1"/>
  <c r="Y215" i="23" s="1"/>
  <c r="D285" i="25"/>
  <c r="E285" i="25" s="1"/>
  <c r="F285" i="25" s="1"/>
  <c r="W285" i="25"/>
  <c r="AA94" i="24"/>
  <c r="Z94" i="24" s="1"/>
  <c r="Y94" i="24" s="1"/>
  <c r="G94" i="24"/>
  <c r="CE94" i="6" s="1"/>
  <c r="D146" i="25"/>
  <c r="E146" i="25" s="1"/>
  <c r="F146" i="25" s="1"/>
  <c r="W146" i="25"/>
  <c r="G39" i="24"/>
  <c r="CE39" i="6" s="1"/>
  <c r="AA39" i="24"/>
  <c r="Z39" i="24" s="1"/>
  <c r="Y39" i="24" s="1"/>
  <c r="W107" i="25"/>
  <c r="D107" i="25"/>
  <c r="E107" i="25" s="1"/>
  <c r="F107" i="25" s="1"/>
  <c r="D124" i="24"/>
  <c r="E124" i="24" s="1"/>
  <c r="F124" i="24" s="1"/>
  <c r="B124" i="25"/>
  <c r="W124" i="24"/>
  <c r="J51" i="20"/>
  <c r="I51" i="20"/>
  <c r="H51" i="22" s="1"/>
  <c r="W279" i="24"/>
  <c r="D279" i="24"/>
  <c r="E279" i="24" s="1"/>
  <c r="F279" i="24" s="1"/>
  <c r="B279" i="25"/>
  <c r="AA351" i="24"/>
  <c r="Z351" i="24" s="1"/>
  <c r="Y351" i="24" s="1"/>
  <c r="G351" i="24"/>
  <c r="CE351" i="6" s="1"/>
  <c r="I36" i="20"/>
  <c r="H36" i="22" s="1"/>
  <c r="J36" i="20"/>
  <c r="G82" i="24"/>
  <c r="CE82" i="6" s="1"/>
  <c r="AA82" i="24"/>
  <c r="Z82" i="24" s="1"/>
  <c r="Y82" i="24" s="1"/>
  <c r="B198" i="25"/>
  <c r="W198" i="24"/>
  <c r="D198" i="24"/>
  <c r="E198" i="24" s="1"/>
  <c r="F198" i="24" s="1"/>
  <c r="G214" i="23"/>
  <c r="CD214" i="6" s="1"/>
  <c r="AA214" i="23"/>
  <c r="Z214" i="23" s="1"/>
  <c r="Y214" i="23" s="1"/>
  <c r="D222" i="25"/>
  <c r="E222" i="25" s="1"/>
  <c r="F222" i="25" s="1"/>
  <c r="W222" i="25"/>
  <c r="G222" i="24"/>
  <c r="CE222" i="6" s="1"/>
  <c r="AA222" i="24"/>
  <c r="Z222" i="24" s="1"/>
  <c r="Y222" i="24" s="1"/>
  <c r="D305" i="25"/>
  <c r="E305" i="25" s="1"/>
  <c r="F305" i="25" s="1"/>
  <c r="W305" i="25"/>
  <c r="G125" i="23"/>
  <c r="CD125" i="6" s="1"/>
  <c r="AA125" i="23"/>
  <c r="Z125" i="23" s="1"/>
  <c r="Y125" i="23" s="1"/>
  <c r="I295" i="22"/>
  <c r="H295" i="23" s="1"/>
  <c r="G363" i="24"/>
  <c r="CE363" i="6" s="1"/>
  <c r="AA363" i="24"/>
  <c r="Z363" i="24" s="1"/>
  <c r="Y363" i="24" s="1"/>
  <c r="D208" i="25"/>
  <c r="E208" i="25" s="1"/>
  <c r="F208" i="25" s="1"/>
  <c r="W208" i="25"/>
  <c r="G346" i="23"/>
  <c r="CD346" i="6" s="1"/>
  <c r="AA346" i="23"/>
  <c r="Z346" i="23" s="1"/>
  <c r="Y346" i="23" s="1"/>
  <c r="D37" i="24"/>
  <c r="E37" i="24" s="1"/>
  <c r="F37" i="24" s="1"/>
  <c r="B37" i="25"/>
  <c r="W37" i="24"/>
  <c r="G97" i="24"/>
  <c r="CE97" i="6" s="1"/>
  <c r="AA97" i="24"/>
  <c r="Z97" i="24" s="1"/>
  <c r="Y97" i="24" s="1"/>
  <c r="W31" i="24"/>
  <c r="B31" i="25"/>
  <c r="D31" i="24"/>
  <c r="E31" i="24" s="1"/>
  <c r="F31" i="24" s="1"/>
  <c r="B96" i="25"/>
  <c r="W96" i="24"/>
  <c r="D96" i="24"/>
  <c r="E96" i="24" s="1"/>
  <c r="F96" i="24" s="1"/>
  <c r="W307" i="24"/>
  <c r="D307" i="24"/>
  <c r="E307" i="24" s="1"/>
  <c r="F307" i="24" s="1"/>
  <c r="B307" i="25"/>
  <c r="W160" i="24"/>
  <c r="B160" i="25"/>
  <c r="D160" i="24"/>
  <c r="E160" i="24" s="1"/>
  <c r="F160" i="24" s="1"/>
  <c r="D350" i="24"/>
  <c r="E350" i="24" s="1"/>
  <c r="F350" i="24" s="1"/>
  <c r="B350" i="25"/>
  <c r="W350" i="24"/>
  <c r="G40" i="24"/>
  <c r="CE40" i="6" s="1"/>
  <c r="AA40" i="24"/>
  <c r="Z40" i="24" s="1"/>
  <c r="Y40" i="24" s="1"/>
  <c r="J240" i="20"/>
  <c r="I240" i="20"/>
  <c r="H240" i="22" s="1"/>
  <c r="G312" i="24"/>
  <c r="CE312" i="6" s="1"/>
  <c r="AA312" i="24"/>
  <c r="Z312" i="24" s="1"/>
  <c r="Y312" i="24" s="1"/>
  <c r="D366" i="25"/>
  <c r="E366" i="25" s="1"/>
  <c r="F366" i="25" s="1"/>
  <c r="W366" i="25"/>
  <c r="AA366" i="24"/>
  <c r="Z366" i="24" s="1"/>
  <c r="Y366" i="24" s="1"/>
  <c r="G366" i="24"/>
  <c r="CE366" i="6" s="1"/>
  <c r="G207" i="24"/>
  <c r="CE207" i="6" s="1"/>
  <c r="AA207" i="24"/>
  <c r="Z207" i="24" s="1"/>
  <c r="Y207" i="24" s="1"/>
  <c r="W321" i="24"/>
  <c r="B321" i="25"/>
  <c r="D321" i="24"/>
  <c r="E321" i="24" s="1"/>
  <c r="F321" i="24" s="1"/>
  <c r="G321" i="23"/>
  <c r="CD321" i="6" s="1"/>
  <c r="AA321" i="23"/>
  <c r="Z321" i="23" s="1"/>
  <c r="Y321" i="23" s="1"/>
  <c r="G332" i="23"/>
  <c r="CD332" i="6" s="1"/>
  <c r="AA332" i="23"/>
  <c r="Z332" i="23" s="1"/>
  <c r="Y332" i="23" s="1"/>
  <c r="B81" i="25"/>
  <c r="W81" i="24"/>
  <c r="D81" i="24"/>
  <c r="E81" i="24" s="1"/>
  <c r="F81" i="24" s="1"/>
  <c r="D197" i="6"/>
  <c r="AA4" i="6"/>
  <c r="G135" i="23"/>
  <c r="CD135" i="6" s="1"/>
  <c r="AA135" i="23"/>
  <c r="Z135" i="23" s="1"/>
  <c r="Y135" i="23" s="1"/>
  <c r="G161" i="23"/>
  <c r="CD161" i="6" s="1"/>
  <c r="AA161" i="23"/>
  <c r="Z161" i="23" s="1"/>
  <c r="Y161" i="23" s="1"/>
  <c r="G159" i="23"/>
  <c r="CD159" i="6" s="1"/>
  <c r="AA159" i="23"/>
  <c r="Z159" i="23" s="1"/>
  <c r="Y159" i="23" s="1"/>
  <c r="D247" i="25"/>
  <c r="E247" i="25" s="1"/>
  <c r="F247" i="25" s="1"/>
  <c r="W247" i="25"/>
  <c r="G281" i="24"/>
  <c r="CE281" i="6" s="1"/>
  <c r="AA281" i="24"/>
  <c r="Z281" i="24" s="1"/>
  <c r="Y281" i="24" s="1"/>
  <c r="W349" i="24"/>
  <c r="D349" i="24"/>
  <c r="E349" i="24" s="1"/>
  <c r="F349" i="24" s="1"/>
  <c r="B349" i="25"/>
  <c r="G349" i="23"/>
  <c r="CD349" i="6" s="1"/>
  <c r="AA349" i="23"/>
  <c r="Z349" i="23" s="1"/>
  <c r="Y349" i="23" s="1"/>
  <c r="AA17" i="24"/>
  <c r="Z17" i="24" s="1"/>
  <c r="Y17" i="24" s="1"/>
  <c r="G17" i="24"/>
  <c r="CE17" i="6" s="1"/>
  <c r="D111" i="25"/>
  <c r="E111" i="25" s="1"/>
  <c r="F111" i="25" s="1"/>
  <c r="W111" i="25"/>
  <c r="G367" i="24"/>
  <c r="CE367" i="6" s="1"/>
  <c r="AA367" i="24"/>
  <c r="Z367" i="24" s="1"/>
  <c r="Y367" i="24" s="1"/>
  <c r="D302" i="25"/>
  <c r="E302" i="25" s="1"/>
  <c r="F302" i="25" s="1"/>
  <c r="W302" i="25"/>
  <c r="AA302" i="24"/>
  <c r="Z302" i="24" s="1"/>
  <c r="Y302" i="24" s="1"/>
  <c r="G302" i="24"/>
  <c r="CE302" i="6" s="1"/>
  <c r="W175" i="25"/>
  <c r="D175" i="25"/>
  <c r="E175" i="25" s="1"/>
  <c r="F175" i="25" s="1"/>
  <c r="G175" i="24"/>
  <c r="CE175" i="6" s="1"/>
  <c r="AA175" i="24"/>
  <c r="Z175" i="24" s="1"/>
  <c r="Y175" i="24" s="1"/>
  <c r="G127" i="23"/>
  <c r="CD127" i="6" s="1"/>
  <c r="AA127" i="23"/>
  <c r="Z127" i="23" s="1"/>
  <c r="Y127" i="23" s="1"/>
  <c r="G173" i="23"/>
  <c r="CD173" i="6" s="1"/>
  <c r="AA173" i="23"/>
  <c r="Z173" i="23" s="1"/>
  <c r="Y173" i="23" s="1"/>
  <c r="D219" i="24"/>
  <c r="E219" i="24" s="1"/>
  <c r="F219" i="24" s="1"/>
  <c r="B219" i="25"/>
  <c r="W219" i="24"/>
  <c r="AA92" i="24"/>
  <c r="Z92" i="24" s="1"/>
  <c r="Y92" i="24" s="1"/>
  <c r="G92" i="24"/>
  <c r="CE92" i="6" s="1"/>
  <c r="W118" i="25"/>
  <c r="D118" i="25"/>
  <c r="E118" i="25" s="1"/>
  <c r="F118" i="25" s="1"/>
  <c r="G118" i="24"/>
  <c r="CE118" i="6" s="1"/>
  <c r="AA118" i="24"/>
  <c r="Z118" i="24" s="1"/>
  <c r="Y118" i="24" s="1"/>
  <c r="W282" i="24"/>
  <c r="D282" i="24"/>
  <c r="E282" i="24" s="1"/>
  <c r="F282" i="24" s="1"/>
  <c r="B282" i="25"/>
  <c r="G120" i="24"/>
  <c r="CE120" i="6" s="1"/>
  <c r="AA120" i="24"/>
  <c r="Z120" i="24" s="1"/>
  <c r="Y120" i="24" s="1"/>
  <c r="D296" i="24"/>
  <c r="E296" i="24" s="1"/>
  <c r="F296" i="24" s="1"/>
  <c r="B296" i="25"/>
  <c r="W296" i="24"/>
  <c r="G296" i="23"/>
  <c r="CD296" i="6" s="1"/>
  <c r="AA296" i="23"/>
  <c r="Z296" i="23" s="1"/>
  <c r="Y296" i="23" s="1"/>
  <c r="AA375" i="24"/>
  <c r="Z375" i="24" s="1"/>
  <c r="Y375" i="24" s="1"/>
  <c r="G375" i="24"/>
  <c r="CE375" i="6" s="1"/>
  <c r="G292" i="23"/>
  <c r="CD292" i="6" s="1"/>
  <c r="AA292" i="23"/>
  <c r="Z292" i="23" s="1"/>
  <c r="Y292" i="23" s="1"/>
  <c r="G225" i="23"/>
  <c r="CD225" i="6" s="1"/>
  <c r="AA225" i="23"/>
  <c r="Z225" i="23" s="1"/>
  <c r="Y225" i="23" s="1"/>
  <c r="G290" i="23"/>
  <c r="CD290" i="6" s="1"/>
  <c r="AA290" i="23"/>
  <c r="Z290" i="23" s="1"/>
  <c r="Y290" i="23" s="1"/>
  <c r="AA362" i="23"/>
  <c r="Z362" i="23" s="1"/>
  <c r="Y362" i="23" s="1"/>
  <c r="G362" i="23"/>
  <c r="CD362" i="6" s="1"/>
  <c r="D374" i="24"/>
  <c r="E374" i="24" s="1"/>
  <c r="F374" i="24" s="1"/>
  <c r="B374" i="25"/>
  <c r="W374" i="24"/>
  <c r="W105" i="25"/>
  <c r="D105" i="25"/>
  <c r="E105" i="25" s="1"/>
  <c r="F105" i="25" s="1"/>
  <c r="W166" i="25"/>
  <c r="D166" i="25"/>
  <c r="E166" i="25" s="1"/>
  <c r="F166" i="25" s="1"/>
  <c r="G166" i="24"/>
  <c r="CE166" i="6" s="1"/>
  <c r="AA166" i="24"/>
  <c r="Z166" i="24" s="1"/>
  <c r="Y166" i="24" s="1"/>
  <c r="D249" i="24"/>
  <c r="E249" i="24" s="1"/>
  <c r="F249" i="24" s="1"/>
  <c r="B249" i="25"/>
  <c r="W249" i="24"/>
  <c r="G249" i="23"/>
  <c r="CD249" i="6" s="1"/>
  <c r="AA249" i="23"/>
  <c r="Z249" i="23" s="1"/>
  <c r="Y249" i="23" s="1"/>
  <c r="W254" i="24"/>
  <c r="B254" i="25"/>
  <c r="D254" i="24"/>
  <c r="E254" i="24" s="1"/>
  <c r="F254" i="24" s="1"/>
  <c r="AA147" i="24"/>
  <c r="Z147" i="24" s="1"/>
  <c r="Y147" i="24" s="1"/>
  <c r="G147" i="24"/>
  <c r="CE147" i="6" s="1"/>
  <c r="W209" i="25"/>
  <c r="D209" i="25"/>
  <c r="E209" i="25" s="1"/>
  <c r="F209" i="25" s="1"/>
  <c r="W142" i="25"/>
  <c r="D142" i="25"/>
  <c r="E142" i="25" s="1"/>
  <c r="F142" i="25" s="1"/>
  <c r="W59" i="25"/>
  <c r="D59" i="25"/>
  <c r="E59" i="25" s="1"/>
  <c r="F59" i="25" s="1"/>
  <c r="D267" i="24"/>
  <c r="E267" i="24" s="1"/>
  <c r="F267" i="24" s="1"/>
  <c r="B267" i="25"/>
  <c r="W267" i="24"/>
  <c r="G20" i="23"/>
  <c r="CD20" i="6" s="1"/>
  <c r="AA20" i="23"/>
  <c r="Z20" i="23" s="1"/>
  <c r="Y20" i="23" s="1"/>
  <c r="W68" i="25"/>
  <c r="D68" i="25"/>
  <c r="E68" i="25" s="1"/>
  <c r="F68" i="25" s="1"/>
  <c r="AA68" i="24"/>
  <c r="Z68" i="24" s="1"/>
  <c r="Y68" i="24" s="1"/>
  <c r="G68" i="24"/>
  <c r="CE68" i="6" s="1"/>
  <c r="D229" i="25"/>
  <c r="E229" i="25" s="1"/>
  <c r="F229" i="25" s="1"/>
  <c r="W229" i="25"/>
  <c r="G32" i="24"/>
  <c r="CE32" i="6" s="1"/>
  <c r="AA32" i="24"/>
  <c r="Z32" i="24" s="1"/>
  <c r="Y32" i="24" s="1"/>
  <c r="J39" i="20"/>
  <c r="I39" i="20"/>
  <c r="H39" i="22" s="1"/>
  <c r="I366" i="20"/>
  <c r="H366" i="22" s="1"/>
  <c r="J366" i="20"/>
  <c r="I170" i="20"/>
  <c r="H170" i="22" s="1"/>
  <c r="J170" i="20"/>
  <c r="J26" i="20"/>
  <c r="I26" i="20"/>
  <c r="H26" i="22" s="1"/>
  <c r="J323" i="20"/>
  <c r="I323" i="20"/>
  <c r="H323" i="22" s="1"/>
  <c r="I180" i="20"/>
  <c r="H180" i="22" s="1"/>
  <c r="J180" i="20"/>
  <c r="J28" i="20"/>
  <c r="I28" i="20"/>
  <c r="H28" i="22" s="1"/>
  <c r="J179" i="20"/>
  <c r="I179" i="20"/>
  <c r="H179" i="22" s="1"/>
  <c r="J152" i="20"/>
  <c r="I152" i="20"/>
  <c r="H152" i="22" s="1"/>
  <c r="J228" i="20"/>
  <c r="I228" i="20"/>
  <c r="H228" i="22" s="1"/>
  <c r="J221" i="20"/>
  <c r="I221" i="20"/>
  <c r="H221" i="22" s="1"/>
  <c r="J175" i="20"/>
  <c r="I175" i="20"/>
  <c r="H175" i="22" s="1"/>
  <c r="J116" i="20"/>
  <c r="I116" i="20"/>
  <c r="H116" i="22" s="1"/>
  <c r="J134" i="20"/>
  <c r="I134" i="20"/>
  <c r="H134" i="22" s="1"/>
  <c r="I208" i="20"/>
  <c r="H208" i="22" s="1"/>
  <c r="J208" i="20"/>
  <c r="I183" i="20"/>
  <c r="H183" i="22" s="1"/>
  <c r="J183" i="20"/>
  <c r="J335" i="20"/>
  <c r="I335" i="20"/>
  <c r="H335" i="22" s="1"/>
  <c r="R4" i="6"/>
  <c r="J326" i="20"/>
  <c r="I326" i="20"/>
  <c r="H326" i="22" s="1"/>
  <c r="J131" i="20"/>
  <c r="I131" i="20"/>
  <c r="H131" i="22" s="1"/>
  <c r="J351" i="20"/>
  <c r="I351" i="20"/>
  <c r="H351" i="22" s="1"/>
  <c r="I129" i="20"/>
  <c r="H129" i="22" s="1"/>
  <c r="J129" i="20"/>
  <c r="J38" i="20"/>
  <c r="I38" i="20"/>
  <c r="H38" i="22" s="1"/>
  <c r="J70" i="20"/>
  <c r="I70" i="20"/>
  <c r="H70" i="22" s="1"/>
  <c r="J294" i="20"/>
  <c r="I294" i="20"/>
  <c r="H294" i="22" s="1"/>
  <c r="I247" i="20"/>
  <c r="H247" i="22" s="1"/>
  <c r="J247" i="20"/>
  <c r="I281" i="20"/>
  <c r="H281" i="22" s="1"/>
  <c r="J281" i="20"/>
  <c r="J35" i="20"/>
  <c r="I35" i="20"/>
  <c r="H35" i="22" s="1"/>
  <c r="I354" i="20"/>
  <c r="H354" i="22" s="1"/>
  <c r="J354" i="20"/>
  <c r="I120" i="20"/>
  <c r="H120" i="22" s="1"/>
  <c r="J120" i="20"/>
  <c r="I108" i="20"/>
  <c r="H108" i="22" s="1"/>
  <c r="J108" i="20"/>
  <c r="J132" i="20"/>
  <c r="I132" i="20"/>
  <c r="H132" i="22" s="1"/>
  <c r="I329" i="20"/>
  <c r="H329" i="22" s="1"/>
  <c r="J329" i="20"/>
  <c r="D354" i="25"/>
  <c r="E354" i="25" s="1"/>
  <c r="F354" i="25" s="1"/>
  <c r="W354" i="25"/>
  <c r="W114" i="24"/>
  <c r="B114" i="25"/>
  <c r="D114" i="24"/>
  <c r="E114" i="24" s="1"/>
  <c r="F114" i="24" s="1"/>
  <c r="G116" i="24"/>
  <c r="CE116" i="6" s="1"/>
  <c r="AA116" i="24"/>
  <c r="Z116" i="24" s="1"/>
  <c r="Y116" i="24" s="1"/>
  <c r="G84" i="23"/>
  <c r="CD84" i="6" s="1"/>
  <c r="AA84" i="23"/>
  <c r="Z84" i="23" s="1"/>
  <c r="Y84" i="23" s="1"/>
  <c r="B274" i="25"/>
  <c r="W274" i="24"/>
  <c r="D274" i="24"/>
  <c r="E274" i="24" s="1"/>
  <c r="F274" i="24" s="1"/>
  <c r="G274" i="23"/>
  <c r="CD274" i="6" s="1"/>
  <c r="AA274" i="23"/>
  <c r="Z274" i="23" s="1"/>
  <c r="Y274" i="23" s="1"/>
  <c r="W33" i="25"/>
  <c r="D33" i="25"/>
  <c r="E33" i="25" s="1"/>
  <c r="F33" i="25" s="1"/>
  <c r="W187" i="24"/>
  <c r="D187" i="24"/>
  <c r="E187" i="24" s="1"/>
  <c r="F187" i="24" s="1"/>
  <c r="B187" i="25"/>
  <c r="G75" i="23"/>
  <c r="CD75" i="6" s="1"/>
  <c r="AA75" i="23"/>
  <c r="Z75" i="23" s="1"/>
  <c r="Y75" i="23" s="1"/>
  <c r="D66" i="25"/>
  <c r="E66" i="25" s="1"/>
  <c r="F66" i="25" s="1"/>
  <c r="W66" i="25"/>
  <c r="D347" i="24"/>
  <c r="E347" i="24" s="1"/>
  <c r="F347" i="24" s="1"/>
  <c r="B347" i="25"/>
  <c r="W347" i="24"/>
  <c r="G347" i="23"/>
  <c r="CD347" i="6" s="1"/>
  <c r="AA347" i="23"/>
  <c r="Z347" i="23" s="1"/>
  <c r="Y347" i="23" s="1"/>
  <c r="J287" i="20"/>
  <c r="I287" i="20"/>
  <c r="H287" i="22" s="1"/>
  <c r="W104" i="24"/>
  <c r="D104" i="24"/>
  <c r="E104" i="24" s="1"/>
  <c r="F104" i="24" s="1"/>
  <c r="B104" i="25"/>
  <c r="AA246" i="23"/>
  <c r="Z246" i="23" s="1"/>
  <c r="Y246" i="23" s="1"/>
  <c r="G246" i="23"/>
  <c r="CD246" i="6" s="1"/>
  <c r="J215" i="20"/>
  <c r="I215" i="20"/>
  <c r="H215" i="22" s="1"/>
  <c r="W334" i="24"/>
  <c r="B334" i="25"/>
  <c r="D334" i="24"/>
  <c r="E334" i="24" s="1"/>
  <c r="F334" i="24" s="1"/>
  <c r="G334" i="23"/>
  <c r="CD334" i="6" s="1"/>
  <c r="AA334" i="23"/>
  <c r="Z334" i="23" s="1"/>
  <c r="Y334" i="23" s="1"/>
  <c r="D139" i="24"/>
  <c r="E139" i="24" s="1"/>
  <c r="F139" i="24" s="1"/>
  <c r="B139" i="25"/>
  <c r="W139" i="24"/>
  <c r="AA139" i="23"/>
  <c r="Z139" i="23" s="1"/>
  <c r="Y139" i="23" s="1"/>
  <c r="G139" i="23"/>
  <c r="CD139" i="6" s="1"/>
  <c r="D304" i="25"/>
  <c r="E304" i="25" s="1"/>
  <c r="F304" i="25" s="1"/>
  <c r="W304" i="25"/>
  <c r="G304" i="24"/>
  <c r="CE304" i="6" s="1"/>
  <c r="AA304" i="24"/>
  <c r="Z304" i="24" s="1"/>
  <c r="Y304" i="24" s="1"/>
  <c r="G51" i="23"/>
  <c r="CD51" i="6" s="1"/>
  <c r="AA51" i="23"/>
  <c r="Z51" i="23" s="1"/>
  <c r="Y51" i="23" s="1"/>
  <c r="J279" i="20"/>
  <c r="I279" i="20"/>
  <c r="H279" i="22" s="1"/>
  <c r="G297" i="24"/>
  <c r="CE297" i="6" s="1"/>
  <c r="AA297" i="24"/>
  <c r="Z297" i="24" s="1"/>
  <c r="Y297" i="24" s="1"/>
  <c r="W36" i="24"/>
  <c r="B36" i="25"/>
  <c r="D36" i="24"/>
  <c r="E36" i="24" s="1"/>
  <c r="F36" i="24" s="1"/>
  <c r="W162" i="24"/>
  <c r="D162" i="24"/>
  <c r="E162" i="24" s="1"/>
  <c r="F162" i="24" s="1"/>
  <c r="B162" i="25"/>
  <c r="G212" i="24"/>
  <c r="CE212" i="6" s="1"/>
  <c r="AA212" i="24"/>
  <c r="Z212" i="24" s="1"/>
  <c r="Y212" i="24" s="1"/>
  <c r="W251" i="25"/>
  <c r="D251" i="25"/>
  <c r="E251" i="25" s="1"/>
  <c r="F251" i="25" s="1"/>
  <c r="G132" i="24"/>
  <c r="CE132" i="6" s="1"/>
  <c r="AA132" i="24"/>
  <c r="Z132" i="24" s="1"/>
  <c r="Y132" i="24" s="1"/>
  <c r="G154" i="24"/>
  <c r="CE154" i="6" s="1"/>
  <c r="AA154" i="24"/>
  <c r="Z154" i="24" s="1"/>
  <c r="Y154" i="24" s="1"/>
  <c r="I185" i="22"/>
  <c r="H185" i="23" s="1"/>
  <c r="G145" i="23"/>
  <c r="CD145" i="6" s="1"/>
  <c r="AA145" i="23"/>
  <c r="Z145" i="23" s="1"/>
  <c r="Y145" i="23" s="1"/>
  <c r="AA259" i="24"/>
  <c r="Z259" i="24" s="1"/>
  <c r="Y259" i="24" s="1"/>
  <c r="G259" i="24"/>
  <c r="CE259" i="6" s="1"/>
  <c r="I96" i="20"/>
  <c r="H96" i="22" s="1"/>
  <c r="J96" i="20"/>
  <c r="W223" i="24"/>
  <c r="D223" i="24"/>
  <c r="E223" i="24" s="1"/>
  <c r="F223" i="24" s="1"/>
  <c r="B223" i="25"/>
  <c r="G223" i="23"/>
  <c r="CD223" i="6" s="1"/>
  <c r="AA223" i="23"/>
  <c r="Z223" i="23" s="1"/>
  <c r="Y223" i="23" s="1"/>
  <c r="W18" i="25"/>
  <c r="D18" i="25"/>
  <c r="E18" i="25" s="1"/>
  <c r="F18" i="25" s="1"/>
  <c r="G18" i="24"/>
  <c r="CE18" i="6" s="1"/>
  <c r="AA18" i="24"/>
  <c r="Z18" i="24" s="1"/>
  <c r="Y18" i="24" s="1"/>
  <c r="G266" i="23"/>
  <c r="CD266" i="6" s="1"/>
  <c r="AA266" i="23"/>
  <c r="Z266" i="23" s="1"/>
  <c r="Y266" i="23" s="1"/>
  <c r="G360" i="24"/>
  <c r="CE360" i="6" s="1"/>
  <c r="AA360" i="24"/>
  <c r="Z360" i="24" s="1"/>
  <c r="Y360" i="24" s="1"/>
  <c r="I239" i="20"/>
  <c r="H239" i="22" s="1"/>
  <c r="J239" i="20"/>
  <c r="AA72" i="23"/>
  <c r="Z72" i="23" s="1"/>
  <c r="Y72" i="23" s="1"/>
  <c r="G72" i="23"/>
  <c r="CD72" i="6" s="1"/>
  <c r="B314" i="25"/>
  <c r="W314" i="24"/>
  <c r="D314" i="24"/>
  <c r="E314" i="24" s="1"/>
  <c r="F314" i="24" s="1"/>
  <c r="AA78" i="23"/>
  <c r="Z78" i="23" s="1"/>
  <c r="Y78" i="23" s="1"/>
  <c r="G78" i="23"/>
  <c r="CD78" i="6" s="1"/>
  <c r="I78" i="20"/>
  <c r="H78" i="22" s="1"/>
  <c r="J78" i="20"/>
  <c r="W182" i="24"/>
  <c r="B182" i="25"/>
  <c r="D182" i="24"/>
  <c r="E182" i="24" s="1"/>
  <c r="F182" i="24" s="1"/>
  <c r="I321" i="20"/>
  <c r="H321" i="22" s="1"/>
  <c r="J321" i="20"/>
  <c r="G38" i="24"/>
  <c r="CE38" i="6" s="1"/>
  <c r="AA38" i="24"/>
  <c r="Z38" i="24" s="1"/>
  <c r="Y38" i="24" s="1"/>
  <c r="W4" i="6"/>
  <c r="D141" i="6"/>
  <c r="D183" i="25"/>
  <c r="E183" i="25" s="1"/>
  <c r="F183" i="25" s="1"/>
  <c r="W183" i="25"/>
  <c r="G183" i="24"/>
  <c r="CE183" i="6" s="1"/>
  <c r="AA183" i="24"/>
  <c r="Z183" i="24" s="1"/>
  <c r="Y183" i="24" s="1"/>
  <c r="G60" i="23"/>
  <c r="CD60" i="6" s="1"/>
  <c r="AA60" i="23"/>
  <c r="Z60" i="23" s="1"/>
  <c r="Y60" i="23" s="1"/>
  <c r="W46" i="24"/>
  <c r="D46" i="24"/>
  <c r="E46" i="24" s="1"/>
  <c r="F46" i="24" s="1"/>
  <c r="B46" i="25"/>
  <c r="AA319" i="24"/>
  <c r="Z319" i="24" s="1"/>
  <c r="Y319" i="24" s="1"/>
  <c r="G319" i="24"/>
  <c r="CE319" i="6" s="1"/>
  <c r="W261" i="24"/>
  <c r="D261" i="24"/>
  <c r="E261" i="24" s="1"/>
  <c r="F261" i="24" s="1"/>
  <c r="B261" i="25"/>
  <c r="G261" i="23"/>
  <c r="CD261" i="6" s="1"/>
  <c r="AA261" i="23"/>
  <c r="Z261" i="23" s="1"/>
  <c r="Y261" i="23" s="1"/>
  <c r="D101" i="25"/>
  <c r="E101" i="25" s="1"/>
  <c r="F101" i="25" s="1"/>
  <c r="W101" i="25"/>
  <c r="G271" i="24"/>
  <c r="CE271" i="6" s="1"/>
  <c r="AA271" i="24"/>
  <c r="Z271" i="24" s="1"/>
  <c r="Y271" i="24" s="1"/>
  <c r="AA128" i="23"/>
  <c r="Z128" i="23" s="1"/>
  <c r="Y128" i="23" s="1"/>
  <c r="G128" i="23"/>
  <c r="CD128" i="6" s="1"/>
  <c r="D176" i="24"/>
  <c r="E176" i="24" s="1"/>
  <c r="F176" i="24" s="1"/>
  <c r="B176" i="25"/>
  <c r="W176" i="24"/>
  <c r="W308" i="25"/>
  <c r="D308" i="25"/>
  <c r="E308" i="25" s="1"/>
  <c r="F308" i="25" s="1"/>
  <c r="D47" i="25"/>
  <c r="E47" i="25" s="1"/>
  <c r="F47" i="25" s="1"/>
  <c r="W47" i="25"/>
  <c r="D195" i="25"/>
  <c r="E195" i="25" s="1"/>
  <c r="F195" i="25" s="1"/>
  <c r="W195" i="25"/>
  <c r="G221" i="24"/>
  <c r="CE221" i="6" s="1"/>
  <c r="AA221" i="24"/>
  <c r="Z221" i="24" s="1"/>
  <c r="Y221" i="24" s="1"/>
  <c r="W112" i="24"/>
  <c r="B112" i="25"/>
  <c r="D112" i="24"/>
  <c r="E112" i="24" s="1"/>
  <c r="F112" i="24" s="1"/>
  <c r="G144" i="23"/>
  <c r="CD144" i="6" s="1"/>
  <c r="AA144" i="23"/>
  <c r="Z144" i="23" s="1"/>
  <c r="Y144" i="23" s="1"/>
  <c r="I245" i="22"/>
  <c r="H245" i="23" s="1"/>
  <c r="G359" i="24"/>
  <c r="CE359" i="6" s="1"/>
  <c r="AA359" i="24"/>
  <c r="Z359" i="24" s="1"/>
  <c r="Y359" i="24" s="1"/>
  <c r="D138" i="25"/>
  <c r="E138" i="25" s="1"/>
  <c r="F138" i="25" s="1"/>
  <c r="W138" i="25"/>
  <c r="G138" i="24"/>
  <c r="CE138" i="6" s="1"/>
  <c r="AA138" i="24"/>
  <c r="Z138" i="24" s="1"/>
  <c r="Y138" i="24" s="1"/>
  <c r="D121" i="24"/>
  <c r="E121" i="24" s="1"/>
  <c r="F121" i="24" s="1"/>
  <c r="B121" i="25"/>
  <c r="W121" i="24"/>
  <c r="W242" i="25"/>
  <c r="D242" i="25"/>
  <c r="E242" i="25" s="1"/>
  <c r="F242" i="25" s="1"/>
  <c r="W310" i="24"/>
  <c r="B310" i="25"/>
  <c r="D310" i="24"/>
  <c r="E310" i="24" s="1"/>
  <c r="F310" i="24" s="1"/>
  <c r="G311" i="23"/>
  <c r="CD311" i="6" s="1"/>
  <c r="AA311" i="23"/>
  <c r="Z311" i="23" s="1"/>
  <c r="Y311" i="23" s="1"/>
  <c r="D52" i="25"/>
  <c r="E52" i="25" s="1"/>
  <c r="F52" i="25" s="1"/>
  <c r="W52" i="25"/>
  <c r="W103" i="25"/>
  <c r="D103" i="25"/>
  <c r="E103" i="25" s="1"/>
  <c r="F103" i="25" s="1"/>
  <c r="G235" i="24"/>
  <c r="CE235" i="6" s="1"/>
  <c r="AA235" i="24"/>
  <c r="Z235" i="24" s="1"/>
  <c r="Y235" i="24" s="1"/>
  <c r="B119" i="25"/>
  <c r="D119" i="24"/>
  <c r="E119" i="24" s="1"/>
  <c r="F119" i="24" s="1"/>
  <c r="W119" i="24"/>
  <c r="G196" i="23"/>
  <c r="CD196" i="6" s="1"/>
  <c r="AA196" i="23"/>
  <c r="Z196" i="23" s="1"/>
  <c r="Y196" i="23" s="1"/>
  <c r="W67" i="24"/>
  <c r="B67" i="25"/>
  <c r="D67" i="24"/>
  <c r="E67" i="24" s="1"/>
  <c r="F67" i="24" s="1"/>
  <c r="D317" i="24"/>
  <c r="E317" i="24" s="1"/>
  <c r="F317" i="24" s="1"/>
  <c r="B317" i="25"/>
  <c r="W317" i="24"/>
  <c r="W220" i="24"/>
  <c r="D220" i="24"/>
  <c r="E220" i="24" s="1"/>
  <c r="F220" i="24" s="1"/>
  <c r="B220" i="25"/>
  <c r="D87" i="24"/>
  <c r="E87" i="24" s="1"/>
  <c r="F87" i="24" s="1"/>
  <c r="B87" i="25"/>
  <c r="W87" i="24"/>
  <c r="G371" i="23"/>
  <c r="CD371" i="6" s="1"/>
  <c r="AA371" i="23"/>
  <c r="Z371" i="23" s="1"/>
  <c r="Y371" i="23" s="1"/>
  <c r="AA337" i="24"/>
  <c r="Z337" i="24" s="1"/>
  <c r="Y337" i="24" s="1"/>
  <c r="G337" i="24"/>
  <c r="CE337" i="6" s="1"/>
  <c r="G115" i="23"/>
  <c r="CD115" i="6" s="1"/>
  <c r="AA115" i="23"/>
  <c r="Z115" i="23" s="1"/>
  <c r="Y115" i="23" s="1"/>
  <c r="G345" i="23"/>
  <c r="CD345" i="6" s="1"/>
  <c r="AA345" i="23"/>
  <c r="Z345" i="23" s="1"/>
  <c r="Y345" i="23" s="1"/>
  <c r="W44" i="24"/>
  <c r="D44" i="24"/>
  <c r="E44" i="24" s="1"/>
  <c r="F44" i="24" s="1"/>
  <c r="B44" i="25"/>
  <c r="W156" i="24"/>
  <c r="B156" i="25"/>
  <c r="D156" i="24"/>
  <c r="E156" i="24" s="1"/>
  <c r="F156" i="24" s="1"/>
  <c r="W76" i="24"/>
  <c r="D76" i="24"/>
  <c r="E76" i="24" s="1"/>
  <c r="F76" i="24" s="1"/>
  <c r="B76" i="25"/>
  <c r="D283" i="24"/>
  <c r="E283" i="24" s="1"/>
  <c r="F283" i="24" s="1"/>
  <c r="B283" i="25"/>
  <c r="W283" i="24"/>
  <c r="I84" i="20"/>
  <c r="H84" i="22" s="1"/>
  <c r="J84" i="20"/>
  <c r="W178" i="25"/>
  <c r="D178" i="25"/>
  <c r="E178" i="25" s="1"/>
  <c r="F178" i="25" s="1"/>
  <c r="AA178" i="24"/>
  <c r="Z178" i="24" s="1"/>
  <c r="Y178" i="24" s="1"/>
  <c r="G178" i="24"/>
  <c r="CE178" i="6" s="1"/>
  <c r="D318" i="24"/>
  <c r="E318" i="24" s="1"/>
  <c r="F318" i="24" s="1"/>
  <c r="B318" i="25"/>
  <c r="W318" i="24"/>
  <c r="D35" i="25"/>
  <c r="E35" i="25" s="1"/>
  <c r="F35" i="25" s="1"/>
  <c r="W35" i="25"/>
  <c r="W74" i="24"/>
  <c r="B74" i="25"/>
  <c r="D74" i="24"/>
  <c r="E74" i="24" s="1"/>
  <c r="F74" i="24" s="1"/>
  <c r="G287" i="23"/>
  <c r="CD287" i="6" s="1"/>
  <c r="AA287" i="23"/>
  <c r="Z287" i="23" s="1"/>
  <c r="Y287" i="23" s="1"/>
  <c r="G255" i="24"/>
  <c r="CE255" i="6" s="1"/>
  <c r="AA255" i="24"/>
  <c r="Z255" i="24" s="1"/>
  <c r="Y255" i="24" s="1"/>
  <c r="W273" i="24"/>
  <c r="D273" i="24"/>
  <c r="E273" i="24" s="1"/>
  <c r="F273" i="24" s="1"/>
  <c r="B273" i="25"/>
  <c r="W56" i="24"/>
  <c r="B56" i="25"/>
  <c r="D56" i="24"/>
  <c r="E56" i="24" s="1"/>
  <c r="F56" i="24" s="1"/>
  <c r="AA170" i="24"/>
  <c r="Z170" i="24" s="1"/>
  <c r="Y170" i="24" s="1"/>
  <c r="G170" i="24"/>
  <c r="CE170" i="6" s="1"/>
  <c r="G328" i="23"/>
  <c r="CD328" i="6" s="1"/>
  <c r="AA328" i="23"/>
  <c r="Z328" i="23" s="1"/>
  <c r="Y328" i="23" s="1"/>
  <c r="I71" i="22"/>
  <c r="H71" i="23" s="1"/>
  <c r="D228" i="25"/>
  <c r="E228" i="25" s="1"/>
  <c r="F228" i="25" s="1"/>
  <c r="W228" i="25"/>
  <c r="G228" i="24"/>
  <c r="CE228" i="6" s="1"/>
  <c r="AA228" i="24"/>
  <c r="Z228" i="24" s="1"/>
  <c r="Y228" i="24" s="1"/>
  <c r="AA151" i="24"/>
  <c r="Z151" i="24" s="1"/>
  <c r="Y151" i="24" s="1"/>
  <c r="G151" i="24"/>
  <c r="CE151" i="6" s="1"/>
  <c r="D231" i="25"/>
  <c r="E231" i="25" s="1"/>
  <c r="F231" i="25" s="1"/>
  <c r="W231" i="25"/>
  <c r="G27" i="23"/>
  <c r="CD27" i="6" s="1"/>
  <c r="AA27" i="23"/>
  <c r="Z27" i="23" s="1"/>
  <c r="Y27" i="23" s="1"/>
  <c r="W256" i="24"/>
  <c r="D256" i="24"/>
  <c r="E256" i="24" s="1"/>
  <c r="F256" i="24" s="1"/>
  <c r="B256" i="25"/>
  <c r="G330" i="23"/>
  <c r="CD330" i="6" s="1"/>
  <c r="AA330" i="23"/>
  <c r="Z330" i="23" s="1"/>
  <c r="Y330" i="23" s="1"/>
  <c r="B364" i="25"/>
  <c r="W364" i="24"/>
  <c r="D364" i="24"/>
  <c r="E364" i="24" s="1"/>
  <c r="F364" i="24" s="1"/>
  <c r="G364" i="23"/>
  <c r="CD364" i="6" s="1"/>
  <c r="AA364" i="23"/>
  <c r="Z364" i="23" s="1"/>
  <c r="Y364" i="23" s="1"/>
  <c r="G41" i="24"/>
  <c r="CE41" i="6" s="1"/>
  <c r="AA41" i="24"/>
  <c r="Z41" i="24" s="1"/>
  <c r="Y41" i="24" s="1"/>
  <c r="D91" i="25"/>
  <c r="E91" i="25" s="1"/>
  <c r="F91" i="25" s="1"/>
  <c r="W91" i="25"/>
  <c r="D165" i="24"/>
  <c r="E165" i="24" s="1"/>
  <c r="F165" i="24" s="1"/>
  <c r="B165" i="25"/>
  <c r="W165" i="24"/>
  <c r="AC4" i="6"/>
  <c r="G264" i="23"/>
  <c r="CD264" i="6" s="1"/>
  <c r="AA264" i="23"/>
  <c r="Z264" i="23" s="1"/>
  <c r="Y264" i="23" s="1"/>
  <c r="AA204" i="24"/>
  <c r="Z204" i="24" s="1"/>
  <c r="Y204" i="24" s="1"/>
  <c r="G204" i="24"/>
  <c r="CE204" i="6" s="1"/>
  <c r="AA252" i="24"/>
  <c r="Z252" i="24" s="1"/>
  <c r="Y252" i="24" s="1"/>
  <c r="G252" i="24"/>
  <c r="CE252" i="6" s="1"/>
  <c r="G152" i="24"/>
  <c r="CE152" i="6" s="1"/>
  <c r="AA152" i="24"/>
  <c r="Z152" i="24" s="1"/>
  <c r="Y152" i="24" s="1"/>
  <c r="W157" i="24"/>
  <c r="D157" i="24"/>
  <c r="E157" i="24" s="1"/>
  <c r="F157" i="24" s="1"/>
  <c r="B157" i="25"/>
  <c r="B295" i="25"/>
  <c r="W295" i="24"/>
  <c r="D295" i="24"/>
  <c r="E295" i="24" s="1"/>
  <c r="F295" i="24" s="1"/>
  <c r="G248" i="23"/>
  <c r="CD248" i="6" s="1"/>
  <c r="AA248" i="23"/>
  <c r="Z248" i="23" s="1"/>
  <c r="Y248" i="23" s="1"/>
  <c r="W244" i="24"/>
  <c r="D244" i="24"/>
  <c r="E244" i="24" s="1"/>
  <c r="F244" i="24" s="1"/>
  <c r="B244" i="25"/>
  <c r="G244" i="23"/>
  <c r="CD244" i="6" s="1"/>
  <c r="AA244" i="23"/>
  <c r="Z244" i="23" s="1"/>
  <c r="Y244" i="23" s="1"/>
  <c r="I110" i="20"/>
  <c r="H110" i="22" s="1"/>
  <c r="J110" i="20"/>
  <c r="G140" i="23"/>
  <c r="CD140" i="6" s="1"/>
  <c r="AA140" i="23"/>
  <c r="Z140" i="23" s="1"/>
  <c r="Y140" i="23" s="1"/>
  <c r="W93" i="25"/>
  <c r="D93" i="25"/>
  <c r="E93" i="25" s="1"/>
  <c r="F93" i="25" s="1"/>
  <c r="W341" i="25"/>
  <c r="D341" i="25"/>
  <c r="E341" i="25" s="1"/>
  <c r="F341" i="25" s="1"/>
  <c r="B34" i="25"/>
  <c r="D34" i="24"/>
  <c r="E34" i="24" s="1"/>
  <c r="F34" i="24" s="1"/>
  <c r="W34" i="24"/>
  <c r="B126" i="25"/>
  <c r="W126" i="24"/>
  <c r="D126" i="24"/>
  <c r="E126" i="24" s="1"/>
  <c r="F126" i="24" s="1"/>
  <c r="G250" i="23"/>
  <c r="CD250" i="6" s="1"/>
  <c r="AA250" i="23"/>
  <c r="Z250" i="23" s="1"/>
  <c r="Y250" i="23" s="1"/>
  <c r="G357" i="23"/>
  <c r="CD357" i="6" s="1"/>
  <c r="AA357" i="23"/>
  <c r="Z357" i="23" s="1"/>
  <c r="Y357" i="23" s="1"/>
  <c r="AA238" i="24"/>
  <c r="Z238" i="24" s="1"/>
  <c r="Y238" i="24" s="1"/>
  <c r="G238" i="24"/>
  <c r="CE238" i="6" s="1"/>
  <c r="I266" i="20"/>
  <c r="H266" i="22" s="1"/>
  <c r="J266" i="20"/>
  <c r="D113" i="25"/>
  <c r="E113" i="25" s="1"/>
  <c r="F113" i="25" s="1"/>
  <c r="W113" i="25"/>
  <c r="W239" i="24"/>
  <c r="B239" i="25"/>
  <c r="D239" i="24"/>
  <c r="E239" i="24" s="1"/>
  <c r="F239" i="24" s="1"/>
  <c r="B315" i="25"/>
  <c r="W315" i="24"/>
  <c r="D315" i="24"/>
  <c r="E315" i="24" s="1"/>
  <c r="F315" i="24" s="1"/>
  <c r="AA315" i="23"/>
  <c r="Z315" i="23" s="1"/>
  <c r="Y315" i="23" s="1"/>
  <c r="G315" i="23"/>
  <c r="CD315" i="6" s="1"/>
  <c r="D343" i="25"/>
  <c r="E343" i="25" s="1"/>
  <c r="F343" i="25" s="1"/>
  <c r="W343" i="25"/>
  <c r="G343" i="24"/>
  <c r="CE343" i="6" s="1"/>
  <c r="AA343" i="24"/>
  <c r="Z343" i="24" s="1"/>
  <c r="Y343" i="24" s="1"/>
  <c r="G377" i="24"/>
  <c r="CE377" i="6" s="1"/>
  <c r="AA377" i="24"/>
  <c r="Z377" i="24" s="1"/>
  <c r="Y377" i="24" s="1"/>
  <c r="G168" i="24"/>
  <c r="CE168" i="6" s="1"/>
  <c r="AA168" i="24"/>
  <c r="Z168" i="24" s="1"/>
  <c r="Y168" i="24" s="1"/>
  <c r="W98" i="24"/>
  <c r="B98" i="25"/>
  <c r="D98" i="24"/>
  <c r="E98" i="24" s="1"/>
  <c r="F98" i="24" s="1"/>
  <c r="G163" i="23"/>
  <c r="CD163" i="6" s="1"/>
  <c r="AA163" i="23"/>
  <c r="Z163" i="23" s="1"/>
  <c r="Y163" i="23" s="1"/>
  <c r="D113" i="6"/>
  <c r="U4" i="6"/>
  <c r="AB4" i="6"/>
  <c r="D211" i="6"/>
  <c r="G210" i="23"/>
  <c r="CD210" i="6" s="1"/>
  <c r="AA210" i="23"/>
  <c r="Z210" i="23" s="1"/>
  <c r="Y210" i="23" s="1"/>
  <c r="T4" i="6"/>
  <c r="G149" i="24"/>
  <c r="CE149" i="6" s="1"/>
  <c r="AA149" i="24"/>
  <c r="Z149" i="24" s="1"/>
  <c r="Y149" i="24" s="1"/>
  <c r="G284" i="24"/>
  <c r="CE284" i="6" s="1"/>
  <c r="AA284" i="24"/>
  <c r="Z284" i="24" s="1"/>
  <c r="Y284" i="24" s="1"/>
  <c r="G61" i="23"/>
  <c r="CD61" i="6" s="1"/>
  <c r="AA61" i="23"/>
  <c r="Z61" i="23" s="1"/>
  <c r="Y61" i="23" s="1"/>
  <c r="D89" i="24"/>
  <c r="E89" i="24" s="1"/>
  <c r="F89" i="24" s="1"/>
  <c r="B89" i="25"/>
  <c r="W89" i="24"/>
  <c r="G230" i="24"/>
  <c r="CE230" i="6" s="1"/>
  <c r="AA230" i="24"/>
  <c r="Z230" i="24" s="1"/>
  <c r="Y230" i="24" s="1"/>
  <c r="W123" i="24"/>
  <c r="B123" i="25"/>
  <c r="D123" i="24"/>
  <c r="E123" i="24" s="1"/>
  <c r="F123" i="24" s="1"/>
  <c r="G233" i="23"/>
  <c r="CD233" i="6" s="1"/>
  <c r="AA233" i="23"/>
  <c r="Z233" i="23" s="1"/>
  <c r="Y233" i="23" s="1"/>
  <c r="AA277" i="23"/>
  <c r="Z277" i="23" s="1"/>
  <c r="Y277" i="23" s="1"/>
  <c r="G277" i="23"/>
  <c r="CD277" i="6" s="1"/>
  <c r="W325" i="24"/>
  <c r="D325" i="24"/>
  <c r="E325" i="24" s="1"/>
  <c r="F325" i="24" s="1"/>
  <c r="B325" i="25"/>
  <c r="G26" i="24"/>
  <c r="CE26" i="6" s="1"/>
  <c r="AA26" i="24"/>
  <c r="Z26" i="24" s="1"/>
  <c r="Y26" i="24" s="1"/>
  <c r="D158" i="25"/>
  <c r="E158" i="25" s="1"/>
  <c r="F158" i="25" s="1"/>
  <c r="W158" i="25"/>
  <c r="AA158" i="24"/>
  <c r="Z158" i="24" s="1"/>
  <c r="Y158" i="24" s="1"/>
  <c r="G158" i="24"/>
  <c r="CE158" i="6" s="1"/>
  <c r="G309" i="23"/>
  <c r="CD309" i="6" s="1"/>
  <c r="AA309" i="23"/>
  <c r="Z309" i="23" s="1"/>
  <c r="Y309" i="23" s="1"/>
  <c r="W62" i="24"/>
  <c r="B62" i="25"/>
  <c r="D62" i="24"/>
  <c r="E62" i="24" s="1"/>
  <c r="F62" i="24" s="1"/>
  <c r="G232" i="23"/>
  <c r="CD232" i="6" s="1"/>
  <c r="AA232" i="23"/>
  <c r="Z232" i="23" s="1"/>
  <c r="Y232" i="23" s="1"/>
  <c r="D368" i="25"/>
  <c r="E368" i="25" s="1"/>
  <c r="F368" i="25" s="1"/>
  <c r="W368" i="25"/>
  <c r="W49" i="24"/>
  <c r="D49" i="24"/>
  <c r="E49" i="24" s="1"/>
  <c r="F49" i="24" s="1"/>
  <c r="B49" i="25"/>
  <c r="G291" i="23"/>
  <c r="CD291" i="6" s="1"/>
  <c r="AA291" i="23"/>
  <c r="Z291" i="23" s="1"/>
  <c r="Y291" i="23" s="1"/>
  <c r="G339" i="23"/>
  <c r="CD339" i="6" s="1"/>
  <c r="AA339" i="23"/>
  <c r="Z339" i="23" s="1"/>
  <c r="Y339" i="23" s="1"/>
  <c r="D141" i="25"/>
  <c r="E141" i="25" s="1"/>
  <c r="F141" i="25" s="1"/>
  <c r="W141" i="25"/>
  <c r="G211" i="24"/>
  <c r="CE211" i="6" s="1"/>
  <c r="AA211" i="24"/>
  <c r="Z211" i="24" s="1"/>
  <c r="Y211" i="24" s="1"/>
  <c r="W172" i="25"/>
  <c r="D172" i="25"/>
  <c r="E172" i="25" s="1"/>
  <c r="F172" i="25" s="1"/>
  <c r="G280" i="24"/>
  <c r="CE280" i="6" s="1"/>
  <c r="AA280" i="24"/>
  <c r="Z280" i="24" s="1"/>
  <c r="Y280" i="24" s="1"/>
  <c r="AA134" i="24"/>
  <c r="Z134" i="24" s="1"/>
  <c r="Y134" i="24" s="1"/>
  <c r="G134" i="24"/>
  <c r="CE134" i="6" s="1"/>
  <c r="AA353" i="24"/>
  <c r="Z353" i="24" s="1"/>
  <c r="Y353" i="24" s="1"/>
  <c r="G353" i="24"/>
  <c r="CE353" i="6" s="1"/>
  <c r="AA100" i="24"/>
  <c r="Z100" i="24" s="1"/>
  <c r="Y100" i="24" s="1"/>
  <c r="G100" i="24"/>
  <c r="CE100" i="6" s="1"/>
  <c r="J192" i="20"/>
  <c r="I192" i="20"/>
  <c r="H192" i="22" s="1"/>
  <c r="J174" i="20"/>
  <c r="I174" i="20"/>
  <c r="H174" i="22" s="1"/>
  <c r="J358" i="20"/>
  <c r="I358" i="20"/>
  <c r="H358" i="22" s="1"/>
  <c r="J359" i="20"/>
  <c r="I359" i="20"/>
  <c r="H359" i="22" s="1"/>
  <c r="J212" i="20"/>
  <c r="I212" i="20"/>
  <c r="H212" i="22" s="1"/>
  <c r="I92" i="20"/>
  <c r="H92" i="22" s="1"/>
  <c r="J92" i="20"/>
  <c r="J207" i="20"/>
  <c r="I207" i="20"/>
  <c r="H207" i="22" s="1"/>
  <c r="J33" i="20"/>
  <c r="I33" i="20"/>
  <c r="H33" i="22" s="1"/>
  <c r="J258" i="20"/>
  <c r="I258" i="20"/>
  <c r="H258" i="22" s="1"/>
  <c r="J83" i="20"/>
  <c r="I83" i="20"/>
  <c r="H83" i="22" s="1"/>
  <c r="J231" i="20"/>
  <c r="I231" i="20"/>
  <c r="H231" i="22" s="1"/>
  <c r="J69" i="20"/>
  <c r="I69" i="20"/>
  <c r="H69" i="22" s="1"/>
  <c r="I189" i="20"/>
  <c r="H189" i="22" s="1"/>
  <c r="J189" i="20"/>
  <c r="J80" i="20"/>
  <c r="I80" i="20"/>
  <c r="H80" i="22" s="1"/>
  <c r="I262" i="20"/>
  <c r="H262" i="22" s="1"/>
  <c r="J262" i="20"/>
  <c r="J222" i="20"/>
  <c r="I222" i="20"/>
  <c r="H222" i="22" s="1"/>
  <c r="I298" i="20"/>
  <c r="H298" i="22" s="1"/>
  <c r="J298" i="20"/>
  <c r="J216" i="20"/>
  <c r="I216" i="20"/>
  <c r="H216" i="22" s="1"/>
  <c r="I166" i="20"/>
  <c r="H166" i="22" s="1"/>
  <c r="J166" i="20"/>
  <c r="J57" i="20"/>
  <c r="I57" i="20"/>
  <c r="H57" i="22" s="1"/>
  <c r="J377" i="20"/>
  <c r="I377" i="20"/>
  <c r="H377" i="22" s="1"/>
  <c r="D379" i="25"/>
  <c r="E379" i="25" s="1"/>
  <c r="F379" i="25" s="1"/>
  <c r="W379" i="25"/>
  <c r="G29" i="23"/>
  <c r="CD29" i="6" s="1"/>
  <c r="AA29" i="23"/>
  <c r="Z29" i="23" s="1"/>
  <c r="Y29" i="23" s="1"/>
  <c r="AA352" i="23"/>
  <c r="Z352" i="23" s="1"/>
  <c r="Y352" i="23" s="1"/>
  <c r="G352" i="23"/>
  <c r="CD352" i="6" s="1"/>
  <c r="AA333" i="23"/>
  <c r="Z333" i="23" s="1"/>
  <c r="Y333" i="23" s="1"/>
  <c r="G333" i="23"/>
  <c r="CD333" i="6" s="1"/>
  <c r="G376" i="23"/>
  <c r="CD376" i="6" s="1"/>
  <c r="AA376" i="23"/>
  <c r="Z376" i="23" s="1"/>
  <c r="Y376" i="23" s="1"/>
  <c r="G369" i="23"/>
  <c r="CD369" i="6" s="1"/>
  <c r="AA369" i="23"/>
  <c r="Z369" i="23" s="1"/>
  <c r="Y369" i="23" s="1"/>
  <c r="W253" i="24"/>
  <c r="D253" i="24"/>
  <c r="E253" i="24" s="1"/>
  <c r="F253" i="24" s="1"/>
  <c r="B253" i="25"/>
  <c r="G130" i="24"/>
  <c r="CE130" i="6" s="1"/>
  <c r="AA130" i="24"/>
  <c r="Z130" i="24" s="1"/>
  <c r="Y130" i="24" s="1"/>
  <c r="W265" i="25"/>
  <c r="D265" i="25"/>
  <c r="E265" i="25" s="1"/>
  <c r="F265" i="25" s="1"/>
  <c r="G55" i="24"/>
  <c r="CE55" i="6" s="1"/>
  <c r="AA55" i="24"/>
  <c r="Z55" i="24" s="1"/>
  <c r="Y55" i="24" s="1"/>
  <c r="D83" i="25"/>
  <c r="E83" i="25" s="1"/>
  <c r="F83" i="25" s="1"/>
  <c r="W83" i="25"/>
  <c r="G167" i="24"/>
  <c r="CE167" i="6" s="1"/>
  <c r="AA167" i="24"/>
  <c r="Z167" i="24" s="1"/>
  <c r="Y167" i="24" s="1"/>
  <c r="D336" i="25"/>
  <c r="E336" i="25" s="1"/>
  <c r="F336" i="25" s="1"/>
  <c r="W336" i="25"/>
  <c r="G300" i="24"/>
  <c r="CE300" i="6" s="1"/>
  <c r="AA300" i="24"/>
  <c r="Z300" i="24" s="1"/>
  <c r="Y300" i="24" s="1"/>
  <c r="G53" i="23"/>
  <c r="CD53" i="6" s="1"/>
  <c r="AA53" i="23"/>
  <c r="Z53" i="23" s="1"/>
  <c r="Y53" i="23" s="1"/>
  <c r="W262" i="25"/>
  <c r="D262" i="25"/>
  <c r="E262" i="25" s="1"/>
  <c r="F262" i="25" s="1"/>
  <c r="G262" i="24"/>
  <c r="CE262" i="6" s="1"/>
  <c r="AA262" i="24"/>
  <c r="Z262" i="24" s="1"/>
  <c r="Y262" i="24" s="1"/>
  <c r="G109" i="23"/>
  <c r="CD109" i="6" s="1"/>
  <c r="AA109" i="23"/>
  <c r="Z109" i="23" s="1"/>
  <c r="Y109" i="23" s="1"/>
  <c r="W58" i="24"/>
  <c r="B58" i="25"/>
  <c r="D58" i="24"/>
  <c r="E58" i="24" s="1"/>
  <c r="F58" i="24" s="1"/>
  <c r="I264" i="20"/>
  <c r="H264" i="22" s="1"/>
  <c r="J264" i="20"/>
  <c r="G286" i="24"/>
  <c r="CE286" i="6" s="1"/>
  <c r="AA286" i="24"/>
  <c r="Z286" i="24" s="1"/>
  <c r="Y286" i="24" s="1"/>
  <c r="G90" i="23"/>
  <c r="CD90" i="6" s="1"/>
  <c r="AA90" i="23"/>
  <c r="Z90" i="23" s="1"/>
  <c r="Y90" i="23" s="1"/>
  <c r="W16" i="25"/>
  <c r="D16" i="25"/>
  <c r="E16" i="25" s="1"/>
  <c r="F16" i="25" s="1"/>
  <c r="W185" i="24"/>
  <c r="D185" i="24"/>
  <c r="E185" i="24" s="1"/>
  <c r="F185" i="24" s="1"/>
  <c r="B185" i="25"/>
  <c r="I145" i="22"/>
  <c r="H145" i="23" s="1"/>
  <c r="G293" i="24"/>
  <c r="CE293" i="6" s="1"/>
  <c r="AA293" i="24"/>
  <c r="Z293" i="24" s="1"/>
  <c r="Y293" i="24" s="1"/>
  <c r="AA148" i="23"/>
  <c r="Z148" i="23" s="1"/>
  <c r="Y148" i="23" s="1"/>
  <c r="G148" i="23"/>
  <c r="CD148" i="6" s="1"/>
  <c r="D372" i="24"/>
  <c r="E372" i="24" s="1"/>
  <c r="F372" i="24" s="1"/>
  <c r="B372" i="25"/>
  <c r="W372" i="24"/>
  <c r="W143" i="24"/>
  <c r="B143" i="25"/>
  <c r="D143" i="24"/>
  <c r="E143" i="24" s="1"/>
  <c r="F143" i="24" s="1"/>
  <c r="AA122" i="24"/>
  <c r="Z122" i="24" s="1"/>
  <c r="Y122" i="24" s="1"/>
  <c r="G122" i="24"/>
  <c r="CE122" i="6" s="1"/>
  <c r="D322" i="24"/>
  <c r="E322" i="24" s="1"/>
  <c r="F322" i="24" s="1"/>
  <c r="B322" i="25"/>
  <c r="W322" i="24"/>
  <c r="W85" i="24"/>
  <c r="D85" i="24"/>
  <c r="E85" i="24" s="1"/>
  <c r="F85" i="24" s="1"/>
  <c r="B85" i="25"/>
  <c r="G85" i="23"/>
  <c r="CD85" i="6" s="1"/>
  <c r="AA85" i="23"/>
  <c r="Z85" i="23" s="1"/>
  <c r="Y85" i="23" s="1"/>
  <c r="B240" i="25"/>
  <c r="W240" i="24"/>
  <c r="D240" i="24"/>
  <c r="E240" i="24" s="1"/>
  <c r="F240" i="24" s="1"/>
  <c r="G289" i="23"/>
  <c r="CD289" i="6" s="1"/>
  <c r="AA289" i="23"/>
  <c r="Z289" i="23" s="1"/>
  <c r="Y289" i="23" s="1"/>
  <c r="G150" i="23"/>
  <c r="CD150" i="6" s="1"/>
  <c r="AA150" i="23"/>
  <c r="Z150" i="23" s="1"/>
  <c r="Y150" i="23" s="1"/>
  <c r="D177" i="25"/>
  <c r="E177" i="25" s="1"/>
  <c r="F177" i="25" s="1"/>
  <c r="W177" i="25"/>
  <c r="W263" i="24"/>
  <c r="B263" i="25"/>
  <c r="D263" i="24"/>
  <c r="E263" i="24" s="1"/>
  <c r="F263" i="24" s="1"/>
  <c r="G365" i="23"/>
  <c r="CD365" i="6" s="1"/>
  <c r="AA365" i="23"/>
  <c r="Z365" i="23" s="1"/>
  <c r="Y365" i="23" s="1"/>
  <c r="D298" i="25"/>
  <c r="E298" i="25" s="1"/>
  <c r="F298" i="25" s="1"/>
  <c r="W298" i="25"/>
  <c r="AA298" i="24"/>
  <c r="Z298" i="24" s="1"/>
  <c r="Y298" i="24" s="1"/>
  <c r="G298" i="24"/>
  <c r="CE298" i="6" s="1"/>
  <c r="W171" i="24"/>
  <c r="D171" i="24"/>
  <c r="E171" i="24" s="1"/>
  <c r="F171" i="24" s="1"/>
  <c r="B171" i="25"/>
  <c r="D21" i="24"/>
  <c r="E21" i="24" s="1"/>
  <c r="F21" i="24" s="1"/>
  <c r="B21" i="25"/>
  <c r="W21" i="24"/>
  <c r="G79" i="24"/>
  <c r="CE79" i="6" s="1"/>
  <c r="AA79" i="24"/>
  <c r="Z79" i="24" s="1"/>
  <c r="Y79" i="24" s="1"/>
  <c r="D131" i="25"/>
  <c r="E131" i="25" s="1"/>
  <c r="F131" i="25" s="1"/>
  <c r="W131" i="25"/>
  <c r="B275" i="25"/>
  <c r="D275" i="24"/>
  <c r="E275" i="24" s="1"/>
  <c r="F275" i="24" s="1"/>
  <c r="W275" i="24"/>
  <c r="G303" i="23"/>
  <c r="CD303" i="6" s="1"/>
  <c r="AA303" i="23"/>
  <c r="Z303" i="23" s="1"/>
  <c r="Y303" i="23" s="1"/>
  <c r="G86" i="23"/>
  <c r="CD86" i="6" s="1"/>
  <c r="AA86" i="23"/>
  <c r="Z86" i="23" s="1"/>
  <c r="Y86" i="23" s="1"/>
  <c r="I112" i="22"/>
  <c r="H112" i="23" s="1"/>
  <c r="W188" i="24"/>
  <c r="B188" i="25"/>
  <c r="D188" i="24"/>
  <c r="E188" i="24" s="1"/>
  <c r="F188" i="24" s="1"/>
  <c r="G218" i="23"/>
  <c r="CD218" i="6" s="1"/>
  <c r="AA218" i="23"/>
  <c r="Z218" i="23" s="1"/>
  <c r="Y218" i="23" s="1"/>
  <c r="W169" i="24"/>
  <c r="D169" i="24"/>
  <c r="E169" i="24" s="1"/>
  <c r="F169" i="24" s="1"/>
  <c r="B169" i="25"/>
  <c r="W245" i="24"/>
  <c r="B245" i="25"/>
  <c r="D245" i="24"/>
  <c r="E245" i="24" s="1"/>
  <c r="F245" i="24" s="1"/>
  <c r="G313" i="24"/>
  <c r="CE313" i="6" s="1"/>
  <c r="AA313" i="24"/>
  <c r="Z313" i="24" s="1"/>
  <c r="Y313" i="24" s="1"/>
  <c r="G288" i="23"/>
  <c r="CD288" i="6" s="1"/>
  <c r="AA288" i="23"/>
  <c r="Z288" i="23" s="1"/>
  <c r="Y288" i="23" s="1"/>
  <c r="J288" i="20"/>
  <c r="G202" i="24"/>
  <c r="CE202" i="6" s="1"/>
  <c r="AA202" i="24"/>
  <c r="Z202" i="24" s="1"/>
  <c r="Y202" i="24" s="1"/>
  <c r="AA370" i="24"/>
  <c r="Z370" i="24" s="1"/>
  <c r="Y370" i="24" s="1"/>
  <c r="G370" i="24"/>
  <c r="CE370" i="6" s="1"/>
  <c r="G25" i="23"/>
  <c r="CD25" i="6" s="1"/>
  <c r="AA25" i="23"/>
  <c r="Z25" i="23" s="1"/>
  <c r="Y25" i="23" s="1"/>
  <c r="W199" i="25"/>
  <c r="D199" i="25"/>
  <c r="E199" i="25" s="1"/>
  <c r="F199" i="25" s="1"/>
  <c r="W355" i="24"/>
  <c r="D355" i="24"/>
  <c r="E355" i="24" s="1"/>
  <c r="F355" i="24" s="1"/>
  <c r="B355" i="25"/>
  <c r="G102" i="23"/>
  <c r="CD102" i="6" s="1"/>
  <c r="AA102" i="23"/>
  <c r="Z102" i="23" s="1"/>
  <c r="Y102" i="23" s="1"/>
  <c r="G137" i="23"/>
  <c r="CD137" i="6" s="1"/>
  <c r="AA137" i="23"/>
  <c r="Z137" i="23" s="1"/>
  <c r="Y137" i="23" s="1"/>
  <c r="W378" i="24"/>
  <c r="B378" i="25"/>
  <c r="D378" i="24"/>
  <c r="E378" i="24" s="1"/>
  <c r="F378" i="24" s="1"/>
  <c r="G22" i="23"/>
  <c r="CD22" i="6" s="1"/>
  <c r="AA22" i="23"/>
  <c r="Z22" i="23" s="1"/>
  <c r="Y22" i="23" s="1"/>
  <c r="AA272" i="23"/>
  <c r="Z272" i="23" s="1"/>
  <c r="Y272" i="23" s="1"/>
  <c r="G272" i="23"/>
  <c r="CD272" i="6" s="1"/>
  <c r="G241" i="24"/>
  <c r="CE241" i="6" s="1"/>
  <c r="AA241" i="24"/>
  <c r="Z241" i="24" s="1"/>
  <c r="Y241" i="24" s="1"/>
  <c r="W88" i="24"/>
  <c r="D88" i="24"/>
  <c r="E88" i="24" s="1"/>
  <c r="F88" i="24" s="1"/>
  <c r="B88" i="25"/>
  <c r="G260" i="24"/>
  <c r="CE260" i="6" s="1"/>
  <c r="AA260" i="24"/>
  <c r="Z260" i="24" s="1"/>
  <c r="Y260" i="24" s="1"/>
  <c r="W320" i="25"/>
  <c r="D320" i="25"/>
  <c r="E320" i="25" s="1"/>
  <c r="F320" i="25" s="1"/>
  <c r="D80" i="25"/>
  <c r="E80" i="25" s="1"/>
  <c r="F80" i="25" s="1"/>
  <c r="W80" i="25"/>
  <c r="I191" i="22"/>
  <c r="H191" i="23" s="1"/>
  <c r="D257" i="25"/>
  <c r="E257" i="25" s="1"/>
  <c r="F257" i="25" s="1"/>
  <c r="W257" i="25"/>
  <c r="G257" i="24"/>
  <c r="CE257" i="6" s="1"/>
  <c r="AA257" i="24"/>
  <c r="Z257" i="24" s="1"/>
  <c r="Y257" i="24" s="1"/>
  <c r="W234" i="24"/>
  <c r="D234" i="24"/>
  <c r="E234" i="24" s="1"/>
  <c r="F234" i="24" s="1"/>
  <c r="B234" i="25"/>
  <c r="W133" i="24"/>
  <c r="D133" i="24"/>
  <c r="E133" i="24" s="1"/>
  <c r="F133" i="24" s="1"/>
  <c r="B133" i="25"/>
  <c r="G24" i="23"/>
  <c r="CD24" i="6" s="1"/>
  <c r="AA24" i="23"/>
  <c r="Z24" i="23" s="1"/>
  <c r="Y24" i="23" s="1"/>
  <c r="AA206" i="23"/>
  <c r="Z206" i="23" s="1"/>
  <c r="Y206" i="23" s="1"/>
  <c r="G206" i="23"/>
  <c r="CD206" i="6" s="1"/>
  <c r="W356" i="24"/>
  <c r="D356" i="24"/>
  <c r="E356" i="24" s="1"/>
  <c r="F356" i="24" s="1"/>
  <c r="B356" i="25"/>
  <c r="D299" i="25"/>
  <c r="E299" i="25" s="1"/>
  <c r="F299" i="25" s="1"/>
  <c r="W299" i="25"/>
  <c r="G236" i="23"/>
  <c r="CD236" i="6" s="1"/>
  <c r="AA236" i="23"/>
  <c r="Z236" i="23" s="1"/>
  <c r="Y236" i="23" s="1"/>
  <c r="J193" i="20"/>
  <c r="I193" i="20"/>
  <c r="H193" i="22" s="1"/>
  <c r="I306" i="20"/>
  <c r="H306" i="22" s="1"/>
  <c r="J306" i="20"/>
  <c r="I348" i="20"/>
  <c r="H348" i="22" s="1"/>
  <c r="J348" i="20"/>
  <c r="I136" i="20"/>
  <c r="H136" i="22" s="1"/>
  <c r="J136" i="20"/>
  <c r="J259" i="20"/>
  <c r="I259" i="20"/>
  <c r="H259" i="22" s="1"/>
  <c r="J337" i="20"/>
  <c r="I337" i="20"/>
  <c r="H337" i="22" s="1"/>
  <c r="I43" i="20"/>
  <c r="H43" i="22" s="1"/>
  <c r="J43" i="20"/>
  <c r="J97" i="20"/>
  <c r="I97" i="20"/>
  <c r="H97" i="22" s="1"/>
  <c r="I238" i="20"/>
  <c r="H238" i="22" s="1"/>
  <c r="J238" i="20"/>
  <c r="I155" i="20"/>
  <c r="H155" i="22" s="1"/>
  <c r="J155" i="20"/>
  <c r="J23" i="20"/>
  <c r="I23" i="20"/>
  <c r="H23" i="22" s="1"/>
  <c r="J344" i="20"/>
  <c r="I344" i="20"/>
  <c r="H344" i="22" s="1"/>
  <c r="J164" i="20"/>
  <c r="I164" i="20"/>
  <c r="H164" i="22" s="1"/>
  <c r="J300" i="20"/>
  <c r="I300" i="20"/>
  <c r="H300" i="22" s="1"/>
  <c r="I297" i="20"/>
  <c r="H297" i="22" s="1"/>
  <c r="J297" i="20"/>
  <c r="I64" i="20"/>
  <c r="H64" i="22" s="1"/>
  <c r="J64" i="20"/>
  <c r="O4" i="6"/>
  <c r="D226" i="24"/>
  <c r="E226" i="24" s="1"/>
  <c r="F226" i="24" s="1"/>
  <c r="B226" i="25"/>
  <c r="W226" i="24"/>
  <c r="G227" i="24"/>
  <c r="CE227" i="6" s="1"/>
  <c r="AA227" i="24"/>
  <c r="Z227" i="24" s="1"/>
  <c r="Y227" i="24" s="1"/>
  <c r="B99" i="25"/>
  <c r="D99" i="24"/>
  <c r="E99" i="24" s="1"/>
  <c r="F99" i="24" s="1"/>
  <c r="W99" i="24"/>
  <c r="W361" i="24"/>
  <c r="D361" i="24"/>
  <c r="E361" i="24" s="1"/>
  <c r="F361" i="24" s="1"/>
  <c r="B361" i="25"/>
  <c r="J104" i="20"/>
  <c r="I246" i="20"/>
  <c r="H246" i="22" s="1"/>
  <c r="J246" i="20"/>
  <c r="G268" i="23"/>
  <c r="CD268" i="6" s="1"/>
  <c r="AA268" i="23"/>
  <c r="Z268" i="23" s="1"/>
  <c r="Y268" i="23" s="1"/>
  <c r="W71" i="24"/>
  <c r="D71" i="24"/>
  <c r="E71" i="24" s="1"/>
  <c r="F71" i="24" s="1"/>
  <c r="B71" i="25"/>
  <c r="G71" i="23"/>
  <c r="CD71" i="6" s="1"/>
  <c r="AA71" i="23"/>
  <c r="Z71" i="23" s="1"/>
  <c r="Y71" i="23" s="1"/>
  <c r="G181" i="23"/>
  <c r="CD181" i="6" s="1"/>
  <c r="AA181" i="23"/>
  <c r="Z181" i="23" s="1"/>
  <c r="Y181" i="23" s="1"/>
  <c r="W215" i="24"/>
  <c r="B215" i="25"/>
  <c r="D215" i="24"/>
  <c r="E215" i="24" s="1"/>
  <c r="F215" i="24" s="1"/>
  <c r="AA285" i="24"/>
  <c r="Z285" i="24" s="1"/>
  <c r="Y285" i="24" s="1"/>
  <c r="G285" i="24"/>
  <c r="CE285" i="6" s="1"/>
  <c r="W94" i="25"/>
  <c r="D94" i="25"/>
  <c r="E94" i="25" s="1"/>
  <c r="F94" i="25" s="1"/>
  <c r="AA146" i="24"/>
  <c r="Z146" i="24" s="1"/>
  <c r="Y146" i="24" s="1"/>
  <c r="G146" i="24"/>
  <c r="CE146" i="6" s="1"/>
  <c r="D39" i="25"/>
  <c r="E39" i="25" s="1"/>
  <c r="F39" i="25" s="1"/>
  <c r="W39" i="25"/>
  <c r="G107" i="24"/>
  <c r="CE107" i="6" s="1"/>
  <c r="AA107" i="24"/>
  <c r="Z107" i="24" s="1"/>
  <c r="Y107" i="24" s="1"/>
  <c r="G124" i="23"/>
  <c r="CD124" i="6" s="1"/>
  <c r="AA124" i="23"/>
  <c r="Z124" i="23" s="1"/>
  <c r="Y124" i="23" s="1"/>
  <c r="W184" i="24"/>
  <c r="B184" i="25"/>
  <c r="D184" i="24"/>
  <c r="E184" i="24" s="1"/>
  <c r="F184" i="24" s="1"/>
  <c r="G184" i="23"/>
  <c r="CD184" i="6" s="1"/>
  <c r="AA184" i="23"/>
  <c r="Z184" i="23" s="1"/>
  <c r="Y184" i="23" s="1"/>
  <c r="G279" i="23"/>
  <c r="CD279" i="6" s="1"/>
  <c r="AA279" i="23"/>
  <c r="Z279" i="23" s="1"/>
  <c r="Y279" i="23" s="1"/>
  <c r="D351" i="25"/>
  <c r="E351" i="25" s="1"/>
  <c r="F351" i="25" s="1"/>
  <c r="W351" i="25"/>
  <c r="D82" i="25"/>
  <c r="E82" i="25" s="1"/>
  <c r="F82" i="25" s="1"/>
  <c r="W82" i="25"/>
  <c r="G198" i="23"/>
  <c r="CD198" i="6" s="1"/>
  <c r="AA198" i="23"/>
  <c r="Z198" i="23" s="1"/>
  <c r="Y198" i="23" s="1"/>
  <c r="D214" i="24"/>
  <c r="E214" i="24" s="1"/>
  <c r="F214" i="24" s="1"/>
  <c r="B214" i="25"/>
  <c r="W214" i="24"/>
  <c r="J214" i="20"/>
  <c r="I214" i="20"/>
  <c r="H214" i="22" s="1"/>
  <c r="G305" i="24"/>
  <c r="CE305" i="6" s="1"/>
  <c r="AA305" i="24"/>
  <c r="Z305" i="24" s="1"/>
  <c r="Y305" i="24" s="1"/>
  <c r="B125" i="25"/>
  <c r="W125" i="24"/>
  <c r="D125" i="24"/>
  <c r="E125" i="24" s="1"/>
  <c r="F125" i="24" s="1"/>
  <c r="D363" i="25"/>
  <c r="E363" i="25" s="1"/>
  <c r="F363" i="25" s="1"/>
  <c r="W363" i="25"/>
  <c r="AA208" i="24"/>
  <c r="Z208" i="24" s="1"/>
  <c r="Y208" i="24" s="1"/>
  <c r="G208" i="24"/>
  <c r="CE208" i="6" s="1"/>
  <c r="W346" i="24"/>
  <c r="B346" i="25"/>
  <c r="D346" i="24"/>
  <c r="E346" i="24" s="1"/>
  <c r="F346" i="24" s="1"/>
  <c r="G37" i="23"/>
  <c r="CD37" i="6" s="1"/>
  <c r="AA37" i="23"/>
  <c r="Z37" i="23" s="1"/>
  <c r="Y37" i="23" s="1"/>
  <c r="G31" i="23"/>
  <c r="CD31" i="6" s="1"/>
  <c r="AA31" i="23"/>
  <c r="Z31" i="23" s="1"/>
  <c r="Y31" i="23" s="1"/>
  <c r="G96" i="23"/>
  <c r="CD96" i="6" s="1"/>
  <c r="AA96" i="23"/>
  <c r="Z96" i="23" s="1"/>
  <c r="Y96" i="23" s="1"/>
  <c r="G307" i="23"/>
  <c r="CD307" i="6" s="1"/>
  <c r="AA307" i="23"/>
  <c r="Z307" i="23" s="1"/>
  <c r="Y307" i="23" s="1"/>
  <c r="B48" i="25"/>
  <c r="W48" i="24"/>
  <c r="D48" i="24"/>
  <c r="E48" i="24" s="1"/>
  <c r="F48" i="24" s="1"/>
  <c r="AA48" i="23"/>
  <c r="Z48" i="23" s="1"/>
  <c r="Y48" i="23" s="1"/>
  <c r="G48" i="23"/>
  <c r="CD48" i="6" s="1"/>
  <c r="AA160" i="23"/>
  <c r="Z160" i="23" s="1"/>
  <c r="Y160" i="23" s="1"/>
  <c r="G160" i="23"/>
  <c r="CD160" i="6" s="1"/>
  <c r="G350" i="23"/>
  <c r="CD350" i="6" s="1"/>
  <c r="AA350" i="23"/>
  <c r="Z350" i="23" s="1"/>
  <c r="Y350" i="23" s="1"/>
  <c r="W40" i="25"/>
  <c r="D40" i="25"/>
  <c r="E40" i="25" s="1"/>
  <c r="F40" i="25" s="1"/>
  <c r="D312" i="25"/>
  <c r="E312" i="25" s="1"/>
  <c r="F312" i="25" s="1"/>
  <c r="W312" i="25"/>
  <c r="W342" i="25"/>
  <c r="D342" i="25"/>
  <c r="E342" i="25" s="1"/>
  <c r="F342" i="25" s="1"/>
  <c r="G342" i="24"/>
  <c r="CE342" i="6" s="1"/>
  <c r="AA342" i="24"/>
  <c r="Z342" i="24" s="1"/>
  <c r="Y342" i="24" s="1"/>
  <c r="W207" i="25"/>
  <c r="D207" i="25"/>
  <c r="E207" i="25" s="1"/>
  <c r="F207" i="25" s="1"/>
  <c r="B332" i="25"/>
  <c r="W332" i="24"/>
  <c r="D332" i="24"/>
  <c r="E332" i="24" s="1"/>
  <c r="F332" i="24" s="1"/>
  <c r="G81" i="23"/>
  <c r="CD81" i="6" s="1"/>
  <c r="AA81" i="23"/>
  <c r="Z81" i="23" s="1"/>
  <c r="Y81" i="23" s="1"/>
  <c r="J265" i="20"/>
  <c r="I265" i="20"/>
  <c r="H265" i="22" s="1"/>
  <c r="J55" i="20"/>
  <c r="I55" i="20"/>
  <c r="H55" i="22" s="1"/>
  <c r="I299" i="20"/>
  <c r="H299" i="22" s="1"/>
  <c r="J299" i="20"/>
  <c r="J167" i="20"/>
  <c r="I167" i="20"/>
  <c r="H167" i="22" s="1"/>
  <c r="J379" i="20"/>
  <c r="I379" i="20"/>
  <c r="H379" i="22" s="1"/>
  <c r="J105" i="20"/>
  <c r="I105" i="20"/>
  <c r="H105" i="22" s="1"/>
  <c r="J319" i="20"/>
  <c r="I319" i="20"/>
  <c r="H319" i="22" s="1"/>
  <c r="J278" i="20"/>
  <c r="I278" i="20"/>
  <c r="H278" i="22" s="1"/>
  <c r="J241" i="20"/>
  <c r="I241" i="20"/>
  <c r="H241" i="22" s="1"/>
  <c r="I260" i="20"/>
  <c r="H260" i="22" s="1"/>
  <c r="J260" i="20"/>
  <c r="J142" i="20"/>
  <c r="I142" i="20"/>
  <c r="H142" i="22" s="1"/>
  <c r="I107" i="20"/>
  <c r="H107" i="22" s="1"/>
  <c r="J107" i="20"/>
  <c r="I151" i="20"/>
  <c r="H151" i="22" s="1"/>
  <c r="J151" i="20"/>
  <c r="J138" i="20"/>
  <c r="I138" i="20"/>
  <c r="H138" i="22" s="1"/>
  <c r="J202" i="20"/>
  <c r="I202" i="20"/>
  <c r="H202" i="22" s="1"/>
  <c r="I304" i="20"/>
  <c r="H304" i="22" s="1"/>
  <c r="J304" i="20"/>
  <c r="J370" i="20"/>
  <c r="I370" i="20"/>
  <c r="H370" i="22" s="1"/>
  <c r="I190" i="20"/>
  <c r="H190" i="22" s="1"/>
  <c r="J190" i="20"/>
  <c r="I342" i="20"/>
  <c r="H342" i="22" s="1"/>
  <c r="J342" i="20"/>
  <c r="J52" i="20"/>
  <c r="I52" i="20"/>
  <c r="H52" i="22" s="1"/>
  <c r="I32" i="20"/>
  <c r="H32" i="22" s="1"/>
  <c r="J32" i="20"/>
  <c r="I313" i="20"/>
  <c r="H313" i="22" s="1"/>
  <c r="J313" i="20"/>
  <c r="I197" i="20"/>
  <c r="H197" i="22" s="1"/>
  <c r="J197" i="20"/>
  <c r="I19" i="20"/>
  <c r="H19" i="22" s="1"/>
  <c r="J19" i="20"/>
  <c r="I312" i="20"/>
  <c r="H312" i="22" s="1"/>
  <c r="J312" i="20"/>
  <c r="W135" i="24"/>
  <c r="B135" i="25"/>
  <c r="D135" i="24"/>
  <c r="E135" i="24" s="1"/>
  <c r="F135" i="24" s="1"/>
  <c r="W161" i="24"/>
  <c r="D161" i="24"/>
  <c r="E161" i="24" s="1"/>
  <c r="F161" i="24" s="1"/>
  <c r="B161" i="25"/>
  <c r="W159" i="24"/>
  <c r="D159" i="24"/>
  <c r="E159" i="24" s="1"/>
  <c r="F159" i="24" s="1"/>
  <c r="B159" i="25"/>
  <c r="G247" i="24"/>
  <c r="CE247" i="6" s="1"/>
  <c r="AA247" i="24"/>
  <c r="Z247" i="24" s="1"/>
  <c r="Y247" i="24" s="1"/>
  <c r="W281" i="25"/>
  <c r="D281" i="25"/>
  <c r="E281" i="25" s="1"/>
  <c r="F281" i="25" s="1"/>
  <c r="D17" i="25"/>
  <c r="E17" i="25" s="1"/>
  <c r="F17" i="25" s="1"/>
  <c r="W17" i="25"/>
  <c r="G111" i="24"/>
  <c r="CE111" i="6" s="1"/>
  <c r="AA111" i="24"/>
  <c r="Z111" i="24" s="1"/>
  <c r="Y111" i="24" s="1"/>
  <c r="B127" i="25"/>
  <c r="W127" i="24"/>
  <c r="D127" i="24"/>
  <c r="E127" i="24" s="1"/>
  <c r="F127" i="24" s="1"/>
  <c r="D173" i="24"/>
  <c r="E173" i="24" s="1"/>
  <c r="F173" i="24" s="1"/>
  <c r="B173" i="25"/>
  <c r="W173" i="24"/>
  <c r="AA219" i="23"/>
  <c r="Z219" i="23" s="1"/>
  <c r="Y219" i="23" s="1"/>
  <c r="G219" i="23"/>
  <c r="CD219" i="6" s="1"/>
  <c r="D92" i="25"/>
  <c r="E92" i="25" s="1"/>
  <c r="F92" i="25" s="1"/>
  <c r="W92" i="25"/>
  <c r="G282" i="23"/>
  <c r="CD282" i="6" s="1"/>
  <c r="AA282" i="23"/>
  <c r="Z282" i="23" s="1"/>
  <c r="Y282" i="23" s="1"/>
  <c r="D120" i="25"/>
  <c r="E120" i="25" s="1"/>
  <c r="F120" i="25" s="1"/>
  <c r="W120" i="25"/>
  <c r="I325" i="22"/>
  <c r="H325" i="23" s="1"/>
  <c r="W375" i="25"/>
  <c r="D375" i="25"/>
  <c r="E375" i="25" s="1"/>
  <c r="F375" i="25" s="1"/>
  <c r="W292" i="24"/>
  <c r="D292" i="24"/>
  <c r="E292" i="24" s="1"/>
  <c r="F292" i="24" s="1"/>
  <c r="B292" i="25"/>
  <c r="W225" i="24"/>
  <c r="B225" i="25"/>
  <c r="D225" i="24"/>
  <c r="E225" i="24" s="1"/>
  <c r="F225" i="24" s="1"/>
  <c r="B290" i="25"/>
  <c r="W290" i="24"/>
  <c r="D290" i="24"/>
  <c r="E290" i="24" s="1"/>
  <c r="F290" i="24" s="1"/>
  <c r="W362" i="24"/>
  <c r="B362" i="25"/>
  <c r="D362" i="24"/>
  <c r="E362" i="24" s="1"/>
  <c r="F362" i="24" s="1"/>
  <c r="G374" i="23"/>
  <c r="CD374" i="6" s="1"/>
  <c r="AA374" i="23"/>
  <c r="Z374" i="23" s="1"/>
  <c r="Y374" i="23" s="1"/>
  <c r="G105" i="24"/>
  <c r="CE105" i="6" s="1"/>
  <c r="AA105" i="24"/>
  <c r="Z105" i="24" s="1"/>
  <c r="Y105" i="24" s="1"/>
  <c r="W189" i="25"/>
  <c r="D189" i="25"/>
  <c r="E189" i="25" s="1"/>
  <c r="F189" i="25" s="1"/>
  <c r="G189" i="24"/>
  <c r="CE189" i="6" s="1"/>
  <c r="AA189" i="24"/>
  <c r="Z189" i="24" s="1"/>
  <c r="Y189" i="24" s="1"/>
  <c r="W42" i="24"/>
  <c r="D42" i="24"/>
  <c r="E42" i="24" s="1"/>
  <c r="F42" i="24" s="1"/>
  <c r="B42" i="25"/>
  <c r="G42" i="23"/>
  <c r="CD42" i="6" s="1"/>
  <c r="AA42" i="23"/>
  <c r="Z42" i="23" s="1"/>
  <c r="Y42" i="23" s="1"/>
  <c r="G254" i="23"/>
  <c r="CD254" i="6" s="1"/>
  <c r="AA254" i="23"/>
  <c r="Z254" i="23" s="1"/>
  <c r="Y254" i="23" s="1"/>
  <c r="D147" i="25"/>
  <c r="E147" i="25" s="1"/>
  <c r="F147" i="25" s="1"/>
  <c r="W147" i="25"/>
  <c r="G209" i="24"/>
  <c r="CE209" i="6" s="1"/>
  <c r="AA209" i="24"/>
  <c r="Z209" i="24" s="1"/>
  <c r="Y209" i="24" s="1"/>
  <c r="G142" i="24"/>
  <c r="CE142" i="6" s="1"/>
  <c r="AA142" i="24"/>
  <c r="Z142" i="24" s="1"/>
  <c r="Y142" i="24" s="1"/>
  <c r="G267" i="23"/>
  <c r="CD267" i="6" s="1"/>
  <c r="AA267" i="23"/>
  <c r="Z267" i="23" s="1"/>
  <c r="Y267" i="23" s="1"/>
  <c r="W20" i="24"/>
  <c r="B20" i="25"/>
  <c r="D20" i="24"/>
  <c r="E20" i="24" s="1"/>
  <c r="F20" i="24" s="1"/>
  <c r="W57" i="25"/>
  <c r="D57" i="25"/>
  <c r="E57" i="25" s="1"/>
  <c r="F57" i="25" s="1"/>
  <c r="G57" i="24"/>
  <c r="CE57" i="6" s="1"/>
  <c r="AA57" i="24"/>
  <c r="Z57" i="24" s="1"/>
  <c r="Y57" i="24" s="1"/>
  <c r="D213" i="24"/>
  <c r="E213" i="24" s="1"/>
  <c r="F213" i="24" s="1"/>
  <c r="B213" i="25"/>
  <c r="W213" i="24"/>
  <c r="G213" i="23"/>
  <c r="CD213" i="6" s="1"/>
  <c r="AA213" i="23"/>
  <c r="Z213" i="23" s="1"/>
  <c r="Y213" i="23" s="1"/>
  <c r="AD4" i="6"/>
  <c r="G229" i="24"/>
  <c r="CE229" i="6" s="1"/>
  <c r="AA229" i="24"/>
  <c r="Z229" i="24" s="1"/>
  <c r="Y229" i="24" s="1"/>
  <c r="W32" i="25"/>
  <c r="D32" i="25"/>
  <c r="E32" i="25" s="1"/>
  <c r="F32" i="25" s="1"/>
  <c r="D323" i="6"/>
  <c r="AJ4" i="6"/>
  <c r="Z4" i="6"/>
  <c r="D183" i="6"/>
  <c r="D351" i="6"/>
  <c r="AL4" i="6"/>
  <c r="AG4" i="6"/>
  <c r="D281" i="6"/>
  <c r="G354" i="24"/>
  <c r="CE354" i="6" s="1"/>
  <c r="AA354" i="24"/>
  <c r="Z354" i="24" s="1"/>
  <c r="Y354" i="24" s="1"/>
  <c r="AA114" i="23"/>
  <c r="Z114" i="23" s="1"/>
  <c r="Y114" i="23" s="1"/>
  <c r="G114" i="23"/>
  <c r="CD114" i="6" s="1"/>
  <c r="B84" i="25"/>
  <c r="W84" i="24"/>
  <c r="D84" i="24"/>
  <c r="E84" i="24" s="1"/>
  <c r="F84" i="24" s="1"/>
  <c r="G33" i="24"/>
  <c r="CE33" i="6" s="1"/>
  <c r="AA33" i="24"/>
  <c r="Z33" i="24" s="1"/>
  <c r="Y33" i="24" s="1"/>
  <c r="G187" i="23"/>
  <c r="CD187" i="6" s="1"/>
  <c r="AA187" i="23"/>
  <c r="Z187" i="23" s="1"/>
  <c r="Y187" i="23" s="1"/>
  <c r="W75" i="24"/>
  <c r="B75" i="25"/>
  <c r="D75" i="24"/>
  <c r="E75" i="24" s="1"/>
  <c r="F75" i="24" s="1"/>
  <c r="G66" i="24"/>
  <c r="CE66" i="6" s="1"/>
  <c r="AA66" i="24"/>
  <c r="Z66" i="24" s="1"/>
  <c r="Y66" i="24" s="1"/>
  <c r="W197" i="25"/>
  <c r="D197" i="25"/>
  <c r="E197" i="25" s="1"/>
  <c r="F197" i="25" s="1"/>
  <c r="G197" i="24"/>
  <c r="CE197" i="6" s="1"/>
  <c r="AA197" i="24"/>
  <c r="Z197" i="24" s="1"/>
  <c r="Y197" i="24" s="1"/>
  <c r="G104" i="23"/>
  <c r="CD104" i="6" s="1"/>
  <c r="AA104" i="23"/>
  <c r="Z104" i="23" s="1"/>
  <c r="Y104" i="23" s="1"/>
  <c r="B246" i="25"/>
  <c r="W246" i="24"/>
  <c r="D246" i="24"/>
  <c r="E246" i="24" s="1"/>
  <c r="F246" i="24" s="1"/>
  <c r="J181" i="20"/>
  <c r="I181" i="20"/>
  <c r="H181" i="22" s="1"/>
  <c r="W51" i="24"/>
  <c r="D51" i="24"/>
  <c r="E51" i="24" s="1"/>
  <c r="F51" i="24" s="1"/>
  <c r="B51" i="25"/>
  <c r="G36" i="23"/>
  <c r="CD36" i="6" s="1"/>
  <c r="AA36" i="23"/>
  <c r="Z36" i="23" s="1"/>
  <c r="Y36" i="23" s="1"/>
  <c r="G162" i="23"/>
  <c r="CD162" i="6" s="1"/>
  <c r="AA162" i="23"/>
  <c r="Z162" i="23" s="1"/>
  <c r="Y162" i="23" s="1"/>
  <c r="B340" i="25"/>
  <c r="W340" i="24"/>
  <c r="D340" i="24"/>
  <c r="E340" i="24" s="1"/>
  <c r="F340" i="24" s="1"/>
  <c r="G340" i="23"/>
  <c r="CD340" i="6" s="1"/>
  <c r="AA340" i="23"/>
  <c r="Z340" i="23" s="1"/>
  <c r="Y340" i="23" s="1"/>
  <c r="J157" i="20"/>
  <c r="I157" i="20"/>
  <c r="H157" i="22" s="1"/>
  <c r="AA251" i="24"/>
  <c r="Z251" i="24" s="1"/>
  <c r="Y251" i="24" s="1"/>
  <c r="G251" i="24"/>
  <c r="CE251" i="6" s="1"/>
  <c r="D132" i="25"/>
  <c r="E132" i="25" s="1"/>
  <c r="F132" i="25" s="1"/>
  <c r="W132" i="25"/>
  <c r="D154" i="25"/>
  <c r="E154" i="25" s="1"/>
  <c r="F154" i="25" s="1"/>
  <c r="W154" i="25"/>
  <c r="D145" i="24"/>
  <c r="E145" i="24" s="1"/>
  <c r="F145" i="24" s="1"/>
  <c r="B145" i="25"/>
  <c r="W145" i="24"/>
  <c r="D259" i="25"/>
  <c r="E259" i="25" s="1"/>
  <c r="F259" i="25" s="1"/>
  <c r="W259" i="25"/>
  <c r="I307" i="20"/>
  <c r="H307" i="22" s="1"/>
  <c r="J307" i="20"/>
  <c r="B373" i="25"/>
  <c r="W373" i="24"/>
  <c r="D373" i="24"/>
  <c r="E373" i="24" s="1"/>
  <c r="F373" i="24" s="1"/>
  <c r="G373" i="23"/>
  <c r="CD373" i="6" s="1"/>
  <c r="AA373" i="23"/>
  <c r="Z373" i="23" s="1"/>
  <c r="Y373" i="23" s="1"/>
  <c r="W266" i="24"/>
  <c r="D266" i="24"/>
  <c r="E266" i="24" s="1"/>
  <c r="F266" i="24" s="1"/>
  <c r="B266" i="25"/>
  <c r="D360" i="25"/>
  <c r="E360" i="25" s="1"/>
  <c r="F360" i="25" s="1"/>
  <c r="W360" i="25"/>
  <c r="W72" i="24"/>
  <c r="D72" i="24"/>
  <c r="E72" i="24" s="1"/>
  <c r="F72" i="24" s="1"/>
  <c r="B72" i="25"/>
  <c r="G314" i="23"/>
  <c r="CD314" i="6" s="1"/>
  <c r="AA314" i="23"/>
  <c r="Z314" i="23" s="1"/>
  <c r="Y314" i="23" s="1"/>
  <c r="W78" i="24"/>
  <c r="D78" i="24"/>
  <c r="E78" i="24" s="1"/>
  <c r="F78" i="24" s="1"/>
  <c r="B78" i="25"/>
  <c r="G182" i="23"/>
  <c r="CD182" i="6" s="1"/>
  <c r="AA182" i="23"/>
  <c r="Z182" i="23" s="1"/>
  <c r="Y182" i="23" s="1"/>
  <c r="J332" i="20"/>
  <c r="I332" i="20"/>
  <c r="H332" i="22" s="1"/>
  <c r="W38" i="25"/>
  <c r="D38" i="25"/>
  <c r="E38" i="25" s="1"/>
  <c r="F38" i="25" s="1"/>
  <c r="D174" i="25"/>
  <c r="E174" i="25" s="1"/>
  <c r="F174" i="25" s="1"/>
  <c r="W174" i="25"/>
  <c r="G174" i="24"/>
  <c r="CE174" i="6" s="1"/>
  <c r="AA174" i="24"/>
  <c r="Z174" i="24" s="1"/>
  <c r="Y174" i="24" s="1"/>
  <c r="J270" i="20"/>
  <c r="I270" i="20"/>
  <c r="H270" i="22" s="1"/>
  <c r="I368" i="20"/>
  <c r="H368" i="22" s="1"/>
  <c r="J368" i="20"/>
  <c r="J154" i="20"/>
  <c r="I154" i="20"/>
  <c r="H154" i="22" s="1"/>
  <c r="I302" i="20"/>
  <c r="H302" i="22" s="1"/>
  <c r="J302" i="20"/>
  <c r="I63" i="20"/>
  <c r="H63" i="22" s="1"/>
  <c r="J63" i="20"/>
  <c r="I118" i="20"/>
  <c r="H118" i="22" s="1"/>
  <c r="J118" i="20"/>
  <c r="I93" i="20"/>
  <c r="H93" i="22" s="1"/>
  <c r="J93" i="20"/>
  <c r="I147" i="20"/>
  <c r="H147" i="22" s="1"/>
  <c r="J147" i="20"/>
  <c r="J293" i="20"/>
  <c r="I293" i="20"/>
  <c r="H293" i="22" s="1"/>
  <c r="I141" i="20"/>
  <c r="H141" i="22" s="1"/>
  <c r="J141" i="20"/>
  <c r="J257" i="20"/>
  <c r="I257" i="20"/>
  <c r="H257" i="22" s="1"/>
  <c r="I360" i="20"/>
  <c r="H360" i="22" s="1"/>
  <c r="J360" i="20"/>
  <c r="J41" i="20"/>
  <c r="I41" i="20"/>
  <c r="H41" i="22" s="1"/>
  <c r="J117" i="20"/>
  <c r="I117" i="20"/>
  <c r="H117" i="22" s="1"/>
  <c r="J343" i="20"/>
  <c r="I343" i="20"/>
  <c r="H343" i="22" s="1"/>
  <c r="J82" i="20"/>
  <c r="I82" i="20"/>
  <c r="H82" i="22" s="1"/>
  <c r="I158" i="20"/>
  <c r="H158" i="22" s="1"/>
  <c r="J158" i="20"/>
  <c r="J305" i="20"/>
  <c r="I305" i="20"/>
  <c r="H305" i="22" s="1"/>
  <c r="I229" i="20"/>
  <c r="H229" i="22" s="1"/>
  <c r="J229" i="20"/>
  <c r="J100" i="20"/>
  <c r="I100" i="20"/>
  <c r="H100" i="22" s="1"/>
  <c r="J95" i="20"/>
  <c r="I95" i="20"/>
  <c r="H95" i="22" s="1"/>
  <c r="J16" i="20"/>
  <c r="I16" i="20"/>
  <c r="H16" i="22" s="1"/>
  <c r="I255" i="20"/>
  <c r="H255" i="22" s="1"/>
  <c r="J255" i="20"/>
  <c r="I324" i="20"/>
  <c r="H324" i="22" s="1"/>
  <c r="J324" i="20"/>
  <c r="I68" i="20"/>
  <c r="H68" i="22" s="1"/>
  <c r="J68" i="20"/>
  <c r="I338" i="20"/>
  <c r="H338" i="22" s="1"/>
  <c r="J338" i="20"/>
  <c r="I50" i="20"/>
  <c r="H50" i="22" s="1"/>
  <c r="J50" i="20"/>
  <c r="I101" i="20"/>
  <c r="H101" i="22" s="1"/>
  <c r="J101" i="20"/>
  <c r="J168" i="20"/>
  <c r="I168" i="20"/>
  <c r="H168" i="22" s="1"/>
  <c r="I301" i="20"/>
  <c r="H301" i="22" s="1"/>
  <c r="J301" i="20"/>
  <c r="J284" i="20"/>
  <c r="I284" i="20"/>
  <c r="H284" i="22" s="1"/>
  <c r="D77" i="24"/>
  <c r="E77" i="24" s="1"/>
  <c r="F77" i="24" s="1"/>
  <c r="B77" i="25"/>
  <c r="W77" i="24"/>
  <c r="G77" i="23"/>
  <c r="CD77" i="6" s="1"/>
  <c r="AA77" i="23"/>
  <c r="Z77" i="23" s="1"/>
  <c r="Y77" i="23" s="1"/>
  <c r="D60" i="24"/>
  <c r="E60" i="24" s="1"/>
  <c r="F60" i="24" s="1"/>
  <c r="B60" i="25"/>
  <c r="W60" i="24"/>
  <c r="G46" i="23"/>
  <c r="CD46" i="6" s="1"/>
  <c r="AA46" i="23"/>
  <c r="Z46" i="23" s="1"/>
  <c r="Y46" i="23" s="1"/>
  <c r="W319" i="25"/>
  <c r="D319" i="25"/>
  <c r="E319" i="25" s="1"/>
  <c r="F319" i="25" s="1"/>
  <c r="G101" i="24"/>
  <c r="CE101" i="6" s="1"/>
  <c r="AA101" i="24"/>
  <c r="Z101" i="24" s="1"/>
  <c r="Y101" i="24" s="1"/>
  <c r="D271" i="25"/>
  <c r="E271" i="25" s="1"/>
  <c r="F271" i="25" s="1"/>
  <c r="W271" i="25"/>
  <c r="G50" i="24"/>
  <c r="CE50" i="6" s="1"/>
  <c r="AA50" i="24"/>
  <c r="Z50" i="24" s="1"/>
  <c r="Y50" i="24" s="1"/>
  <c r="W128" i="24"/>
  <c r="B128" i="25"/>
  <c r="D128" i="24"/>
  <c r="E128" i="24" s="1"/>
  <c r="F128" i="24" s="1"/>
  <c r="G176" i="23"/>
  <c r="CD176" i="6" s="1"/>
  <c r="AA176" i="23"/>
  <c r="Z176" i="23" s="1"/>
  <c r="Y176" i="23" s="1"/>
  <c r="AA308" i="24"/>
  <c r="Z308" i="24" s="1"/>
  <c r="Y308" i="24" s="1"/>
  <c r="G308" i="24"/>
  <c r="CE308" i="6" s="1"/>
  <c r="G47" i="24"/>
  <c r="CE47" i="6" s="1"/>
  <c r="AA47" i="24"/>
  <c r="Z47" i="24" s="1"/>
  <c r="Y47" i="24" s="1"/>
  <c r="G195" i="24"/>
  <c r="CE195" i="6" s="1"/>
  <c r="AA195" i="24"/>
  <c r="Z195" i="24" s="1"/>
  <c r="Y195" i="24" s="1"/>
  <c r="W221" i="25"/>
  <c r="D221" i="25"/>
  <c r="E221" i="25" s="1"/>
  <c r="F221" i="25" s="1"/>
  <c r="G112" i="23"/>
  <c r="CD112" i="6" s="1"/>
  <c r="AA112" i="23"/>
  <c r="Z112" i="23" s="1"/>
  <c r="Y112" i="23" s="1"/>
  <c r="B144" i="25"/>
  <c r="D144" i="24"/>
  <c r="E144" i="24" s="1"/>
  <c r="F144" i="24" s="1"/>
  <c r="W144" i="24"/>
  <c r="B203" i="25"/>
  <c r="D203" i="24"/>
  <c r="E203" i="24" s="1"/>
  <c r="F203" i="24" s="1"/>
  <c r="W203" i="24"/>
  <c r="G203" i="23"/>
  <c r="CD203" i="6" s="1"/>
  <c r="AA203" i="23"/>
  <c r="Z203" i="23" s="1"/>
  <c r="Y203" i="23" s="1"/>
  <c r="AA121" i="23"/>
  <c r="Z121" i="23" s="1"/>
  <c r="Y121" i="23" s="1"/>
  <c r="G121" i="23"/>
  <c r="CD121" i="6" s="1"/>
  <c r="W186" i="24"/>
  <c r="B186" i="25"/>
  <c r="D186" i="24"/>
  <c r="E186" i="24" s="1"/>
  <c r="F186" i="24" s="1"/>
  <c r="G186" i="23"/>
  <c r="CD186" i="6" s="1"/>
  <c r="AA186" i="23"/>
  <c r="Z186" i="23" s="1"/>
  <c r="Y186" i="23" s="1"/>
  <c r="G242" i="24"/>
  <c r="CE242" i="6" s="1"/>
  <c r="AA242" i="24"/>
  <c r="Z242" i="24" s="1"/>
  <c r="Y242" i="24" s="1"/>
  <c r="J290" i="20"/>
  <c r="I290" i="20"/>
  <c r="H290" i="22" s="1"/>
  <c r="AA310" i="23"/>
  <c r="Z310" i="23" s="1"/>
  <c r="Y310" i="23" s="1"/>
  <c r="G310" i="23"/>
  <c r="CD310" i="6" s="1"/>
  <c r="B311" i="25"/>
  <c r="D311" i="24"/>
  <c r="E311" i="24" s="1"/>
  <c r="F311" i="24" s="1"/>
  <c r="W311" i="24"/>
  <c r="G52" i="24"/>
  <c r="CE52" i="6" s="1"/>
  <c r="AA52" i="24"/>
  <c r="Z52" i="24" s="1"/>
  <c r="Y52" i="24" s="1"/>
  <c r="AA103" i="24"/>
  <c r="Z103" i="24" s="1"/>
  <c r="Y103" i="24" s="1"/>
  <c r="G103" i="24"/>
  <c r="CE103" i="6" s="1"/>
  <c r="W235" i="25"/>
  <c r="D235" i="25"/>
  <c r="E235" i="25" s="1"/>
  <c r="F235" i="25" s="1"/>
  <c r="AH4" i="6"/>
  <c r="G119" i="23"/>
  <c r="CD119" i="6" s="1"/>
  <c r="AA119" i="23"/>
  <c r="Z119" i="23" s="1"/>
  <c r="Y119" i="23" s="1"/>
  <c r="W196" i="24"/>
  <c r="B196" i="25"/>
  <c r="D196" i="24"/>
  <c r="E196" i="24" s="1"/>
  <c r="F196" i="24" s="1"/>
  <c r="G67" i="23"/>
  <c r="CD67" i="6" s="1"/>
  <c r="AA67" i="23"/>
  <c r="Z67" i="23" s="1"/>
  <c r="Y67" i="23" s="1"/>
  <c r="G317" i="23"/>
  <c r="CD317" i="6" s="1"/>
  <c r="AA317" i="23"/>
  <c r="Z317" i="23" s="1"/>
  <c r="Y317" i="23" s="1"/>
  <c r="J42" i="20"/>
  <c r="I42" i="20"/>
  <c r="H42" i="22" s="1"/>
  <c r="G220" i="23"/>
  <c r="CD220" i="6" s="1"/>
  <c r="AA220" i="23"/>
  <c r="Z220" i="23" s="1"/>
  <c r="Y220" i="23" s="1"/>
  <c r="I254" i="20"/>
  <c r="H254" i="22" s="1"/>
  <c r="AA87" i="23"/>
  <c r="Z87" i="23" s="1"/>
  <c r="Y87" i="23" s="1"/>
  <c r="G87" i="23"/>
  <c r="CD87" i="6" s="1"/>
  <c r="D371" i="24"/>
  <c r="E371" i="24" s="1"/>
  <c r="F371" i="24" s="1"/>
  <c r="B371" i="25"/>
  <c r="W371" i="24"/>
  <c r="W191" i="24"/>
  <c r="D191" i="24"/>
  <c r="E191" i="24" s="1"/>
  <c r="F191" i="24" s="1"/>
  <c r="B191" i="25"/>
  <c r="G191" i="23"/>
  <c r="CD191" i="6" s="1"/>
  <c r="AA191" i="23"/>
  <c r="Z191" i="23" s="1"/>
  <c r="Y191" i="23" s="1"/>
  <c r="D337" i="25"/>
  <c r="E337" i="25" s="1"/>
  <c r="F337" i="25" s="1"/>
  <c r="W337" i="25"/>
  <c r="D115" i="24"/>
  <c r="E115" i="24" s="1"/>
  <c r="F115" i="24" s="1"/>
  <c r="B115" i="25"/>
  <c r="W115" i="24"/>
  <c r="D345" i="24"/>
  <c r="E345" i="24" s="1"/>
  <c r="F345" i="24" s="1"/>
  <c r="B345" i="25"/>
  <c r="W345" i="24"/>
  <c r="G44" i="23"/>
  <c r="CD44" i="6" s="1"/>
  <c r="AA44" i="23"/>
  <c r="Z44" i="23" s="1"/>
  <c r="Y44" i="23" s="1"/>
  <c r="G156" i="23"/>
  <c r="CD156" i="6" s="1"/>
  <c r="AA156" i="23"/>
  <c r="Z156" i="23" s="1"/>
  <c r="Y156" i="23" s="1"/>
  <c r="W73" i="24"/>
  <c r="B73" i="25"/>
  <c r="D73" i="24"/>
  <c r="E73" i="24" s="1"/>
  <c r="F73" i="24" s="1"/>
  <c r="AA73" i="23"/>
  <c r="Z73" i="23" s="1"/>
  <c r="Y73" i="23" s="1"/>
  <c r="G73" i="23"/>
  <c r="CD73" i="6" s="1"/>
  <c r="G76" i="23"/>
  <c r="CD76" i="6" s="1"/>
  <c r="AA76" i="23"/>
  <c r="Z76" i="23" s="1"/>
  <c r="Y76" i="23" s="1"/>
  <c r="J363" i="20"/>
  <c r="I363" i="20"/>
  <c r="H363" i="22" s="1"/>
  <c r="I316" i="20"/>
  <c r="H316" i="22" s="1"/>
  <c r="J316" i="20"/>
  <c r="I59" i="20"/>
  <c r="H59" i="22" s="1"/>
  <c r="J59" i="20"/>
  <c r="I269" i="20"/>
  <c r="H269" i="22" s="1"/>
  <c r="J269" i="20"/>
  <c r="I237" i="20"/>
  <c r="H237" i="22" s="1"/>
  <c r="J237" i="20"/>
  <c r="J243" i="20"/>
  <c r="I243" i="20"/>
  <c r="H243" i="22" s="1"/>
  <c r="AA283" i="23"/>
  <c r="Z283" i="23" s="1"/>
  <c r="Y283" i="23" s="1"/>
  <c r="G283" i="23"/>
  <c r="CD283" i="6" s="1"/>
  <c r="J99" i="20"/>
  <c r="I99" i="20"/>
  <c r="H99" i="22" s="1"/>
  <c r="G318" i="23"/>
  <c r="CD318" i="6" s="1"/>
  <c r="AA318" i="23"/>
  <c r="Z318" i="23" s="1"/>
  <c r="Y318" i="23" s="1"/>
  <c r="G35" i="24"/>
  <c r="CE35" i="6" s="1"/>
  <c r="AA35" i="24"/>
  <c r="Z35" i="24" s="1"/>
  <c r="Y35" i="24" s="1"/>
  <c r="G74" i="23"/>
  <c r="CD74" i="6" s="1"/>
  <c r="AA74" i="23"/>
  <c r="Z74" i="23" s="1"/>
  <c r="Y74" i="23" s="1"/>
  <c r="B287" i="25"/>
  <c r="W287" i="24"/>
  <c r="D287" i="24"/>
  <c r="E287" i="24" s="1"/>
  <c r="F287" i="24" s="1"/>
  <c r="V4" i="6"/>
  <c r="D255" i="25"/>
  <c r="E255" i="25" s="1"/>
  <c r="F255" i="25" s="1"/>
  <c r="W255" i="25"/>
  <c r="G273" i="23"/>
  <c r="CD273" i="6" s="1"/>
  <c r="AA273" i="23"/>
  <c r="Z273" i="23" s="1"/>
  <c r="Y273" i="23" s="1"/>
  <c r="AA56" i="23"/>
  <c r="Z56" i="23" s="1"/>
  <c r="Y56" i="23" s="1"/>
  <c r="G56" i="23"/>
  <c r="CD56" i="6" s="1"/>
  <c r="W170" i="25"/>
  <c r="D170" i="25"/>
  <c r="E170" i="25" s="1"/>
  <c r="F170" i="25" s="1"/>
  <c r="B328" i="25"/>
  <c r="W328" i="24"/>
  <c r="D328" i="24"/>
  <c r="E328" i="24" s="1"/>
  <c r="F328" i="24" s="1"/>
  <c r="D151" i="25"/>
  <c r="E151" i="25" s="1"/>
  <c r="F151" i="25" s="1"/>
  <c r="W151" i="25"/>
  <c r="G231" i="24"/>
  <c r="CE231" i="6" s="1"/>
  <c r="AA231" i="24"/>
  <c r="Z231" i="24" s="1"/>
  <c r="Y231" i="24" s="1"/>
  <c r="W27" i="24"/>
  <c r="D27" i="24"/>
  <c r="E27" i="24" s="1"/>
  <c r="F27" i="24" s="1"/>
  <c r="B27" i="25"/>
  <c r="G256" i="23"/>
  <c r="CD256" i="6" s="1"/>
  <c r="AA256" i="23"/>
  <c r="Z256" i="23" s="1"/>
  <c r="Y256" i="23" s="1"/>
  <c r="W330" i="24"/>
  <c r="D330" i="24"/>
  <c r="E330" i="24" s="1"/>
  <c r="F330" i="24" s="1"/>
  <c r="B330" i="25"/>
  <c r="W41" i="25"/>
  <c r="D41" i="25"/>
  <c r="E41" i="25" s="1"/>
  <c r="F41" i="25" s="1"/>
  <c r="G91" i="24"/>
  <c r="CE91" i="6" s="1"/>
  <c r="AA91" i="24"/>
  <c r="Z91" i="24" s="1"/>
  <c r="Y91" i="24" s="1"/>
  <c r="W117" i="25"/>
  <c r="D117" i="25"/>
  <c r="E117" i="25" s="1"/>
  <c r="F117" i="25" s="1"/>
  <c r="G117" i="24"/>
  <c r="CE117" i="6" s="1"/>
  <c r="AA117" i="24"/>
  <c r="Z117" i="24" s="1"/>
  <c r="Y117" i="24" s="1"/>
  <c r="G165" i="23"/>
  <c r="CD165" i="6" s="1"/>
  <c r="AA165" i="23"/>
  <c r="Z165" i="23" s="1"/>
  <c r="Y165" i="23" s="1"/>
  <c r="D264" i="24"/>
  <c r="E264" i="24" s="1"/>
  <c r="F264" i="24" s="1"/>
  <c r="B264" i="25"/>
  <c r="W264" i="24"/>
  <c r="D204" i="25"/>
  <c r="E204" i="25" s="1"/>
  <c r="F204" i="25" s="1"/>
  <c r="W204" i="25"/>
  <c r="W252" i="25"/>
  <c r="D252" i="25"/>
  <c r="E252" i="25" s="1"/>
  <c r="F252" i="25" s="1"/>
  <c r="AA157" i="23"/>
  <c r="Z157" i="23" s="1"/>
  <c r="Y157" i="23" s="1"/>
  <c r="G157" i="23"/>
  <c r="CD157" i="6" s="1"/>
  <c r="G295" i="23"/>
  <c r="CD295" i="6" s="1"/>
  <c r="AA295" i="23"/>
  <c r="Z295" i="23" s="1"/>
  <c r="Y295" i="23" s="1"/>
  <c r="B248" i="25"/>
  <c r="W248" i="24"/>
  <c r="D248" i="24"/>
  <c r="E248" i="24" s="1"/>
  <c r="F248" i="24" s="1"/>
  <c r="W140" i="24"/>
  <c r="B140" i="25"/>
  <c r="D140" i="24"/>
  <c r="E140" i="24" s="1"/>
  <c r="F140" i="24" s="1"/>
  <c r="AA93" i="24"/>
  <c r="Z93" i="24" s="1"/>
  <c r="Y93" i="24" s="1"/>
  <c r="G93" i="24"/>
  <c r="CE93" i="6" s="1"/>
  <c r="AA341" i="24"/>
  <c r="Z341" i="24" s="1"/>
  <c r="Y341" i="24" s="1"/>
  <c r="G341" i="24"/>
  <c r="CE341" i="6" s="1"/>
  <c r="G34" i="23"/>
  <c r="CD34" i="6" s="1"/>
  <c r="AA34" i="23"/>
  <c r="Z34" i="23" s="1"/>
  <c r="Y34" i="23" s="1"/>
  <c r="AA126" i="23"/>
  <c r="Z126" i="23" s="1"/>
  <c r="Y126" i="23" s="1"/>
  <c r="G126" i="23"/>
  <c r="CD126" i="6" s="1"/>
  <c r="W250" i="24"/>
  <c r="B250" i="25"/>
  <c r="D250" i="24"/>
  <c r="E250" i="24" s="1"/>
  <c r="F250" i="24" s="1"/>
  <c r="J372" i="20"/>
  <c r="I372" i="20"/>
  <c r="H372" i="22" s="1"/>
  <c r="AF4" i="6"/>
  <c r="D357" i="24"/>
  <c r="E357" i="24" s="1"/>
  <c r="F357" i="24" s="1"/>
  <c r="B357" i="25"/>
  <c r="W357" i="24"/>
  <c r="D238" i="25"/>
  <c r="E238" i="25" s="1"/>
  <c r="F238" i="25" s="1"/>
  <c r="W238" i="25"/>
  <c r="G113" i="24"/>
  <c r="CE113" i="6" s="1"/>
  <c r="AA113" i="24"/>
  <c r="Z113" i="24" s="1"/>
  <c r="Y113" i="24" s="1"/>
  <c r="AA239" i="23"/>
  <c r="Z239" i="23" s="1"/>
  <c r="Y239" i="23" s="1"/>
  <c r="G239" i="23"/>
  <c r="CD239" i="6" s="1"/>
  <c r="I315" i="20"/>
  <c r="H315" i="22" s="1"/>
  <c r="J315" i="20"/>
  <c r="I72" i="20"/>
  <c r="H72" i="22" s="1"/>
  <c r="J72" i="20"/>
  <c r="D168" i="25"/>
  <c r="E168" i="25" s="1"/>
  <c r="F168" i="25" s="1"/>
  <c r="W168" i="25"/>
  <c r="D200" i="25"/>
  <c r="E200" i="25" s="1"/>
  <c r="F200" i="25" s="1"/>
  <c r="W200" i="25"/>
  <c r="G200" i="24"/>
  <c r="CE200" i="6" s="1"/>
  <c r="AA200" i="24"/>
  <c r="Z200" i="24" s="1"/>
  <c r="Y200" i="24" s="1"/>
  <c r="G98" i="23"/>
  <c r="CD98" i="6" s="1"/>
  <c r="AA98" i="23"/>
  <c r="Z98" i="23" s="1"/>
  <c r="Y98" i="23" s="1"/>
  <c r="D163" i="24"/>
  <c r="E163" i="24" s="1"/>
  <c r="F163" i="24" s="1"/>
  <c r="B163" i="25"/>
  <c r="W163" i="24"/>
  <c r="I54" i="20"/>
  <c r="H54" i="22" s="1"/>
  <c r="J54" i="20"/>
  <c r="I30" i="20"/>
  <c r="H30" i="22" s="1"/>
  <c r="J30" i="20"/>
  <c r="J177" i="20"/>
  <c r="I177" i="20"/>
  <c r="H177" i="22" s="1"/>
  <c r="J17" i="20"/>
  <c r="I17" i="20"/>
  <c r="H17" i="22" s="1"/>
  <c r="J111" i="20"/>
  <c r="I111" i="20"/>
  <c r="H111" i="22" s="1"/>
  <c r="I66" i="20"/>
  <c r="H66" i="22" s="1"/>
  <c r="J66" i="20"/>
  <c r="I130" i="20"/>
  <c r="H130" i="22" s="1"/>
  <c r="J130" i="20"/>
  <c r="I271" i="20"/>
  <c r="H271" i="22" s="1"/>
  <c r="J271" i="20"/>
  <c r="I106" i="20"/>
  <c r="H106" i="22" s="1"/>
  <c r="J106" i="20"/>
  <c r="J178" i="20"/>
  <c r="I178" i="20"/>
  <c r="H178" i="22" s="1"/>
  <c r="J308" i="20"/>
  <c r="I308" i="20"/>
  <c r="H308" i="22" s="1"/>
  <c r="J336" i="20"/>
  <c r="I336" i="20"/>
  <c r="H336" i="22" s="1"/>
  <c r="J47" i="20"/>
  <c r="I47" i="20"/>
  <c r="H47" i="22" s="1"/>
  <c r="J209" i="20"/>
  <c r="I209" i="20"/>
  <c r="H209" i="22" s="1"/>
  <c r="I285" i="20"/>
  <c r="H285" i="22" s="1"/>
  <c r="J285" i="20"/>
  <c r="J341" i="20"/>
  <c r="I341" i="20"/>
  <c r="H341" i="22" s="1"/>
  <c r="I375" i="20"/>
  <c r="H375" i="22" s="1"/>
  <c r="J375" i="20"/>
  <c r="J280" i="20"/>
  <c r="I280" i="20"/>
  <c r="H280" i="22" s="1"/>
  <c r="I113" i="20"/>
  <c r="H113" i="22" s="1"/>
  <c r="J113" i="20"/>
  <c r="J199" i="20"/>
  <c r="I199" i="20"/>
  <c r="H199" i="22" s="1"/>
  <c r="I40" i="20"/>
  <c r="H40" i="22" s="1"/>
  <c r="J40" i="20"/>
  <c r="J204" i="20"/>
  <c r="I204" i="20"/>
  <c r="H204" i="22" s="1"/>
  <c r="I252" i="20"/>
  <c r="H252" i="22" s="1"/>
  <c r="J252" i="20"/>
  <c r="I103" i="20"/>
  <c r="H103" i="22" s="1"/>
  <c r="J103" i="20"/>
  <c r="I235" i="20"/>
  <c r="H235" i="22" s="1"/>
  <c r="J235" i="20"/>
  <c r="J211" i="20"/>
  <c r="I211" i="20"/>
  <c r="H211" i="22" s="1"/>
  <c r="I331" i="20"/>
  <c r="H331" i="22" s="1"/>
  <c r="J331" i="20"/>
  <c r="J18" i="20"/>
  <c r="I18" i="20"/>
  <c r="H18" i="22" s="1"/>
  <c r="J367" i="20"/>
  <c r="I367" i="20"/>
  <c r="H367" i="22" s="1"/>
  <c r="J327" i="20"/>
  <c r="I327" i="20"/>
  <c r="H327" i="22" s="1"/>
  <c r="J79" i="20"/>
  <c r="I79" i="20"/>
  <c r="H79" i="22" s="1"/>
  <c r="J153" i="20"/>
  <c r="I153" i="20"/>
  <c r="H153" i="22" s="1"/>
  <c r="B210" i="25"/>
  <c r="W210" i="24"/>
  <c r="D210" i="24"/>
  <c r="E210" i="24" s="1"/>
  <c r="F210" i="24" s="1"/>
  <c r="W149" i="25"/>
  <c r="D149" i="25"/>
  <c r="E149" i="25" s="1"/>
  <c r="F149" i="25" s="1"/>
  <c r="W194" i="24"/>
  <c r="D194" i="24"/>
  <c r="E194" i="24" s="1"/>
  <c r="F194" i="24" s="1"/>
  <c r="B194" i="25"/>
  <c r="G194" i="23"/>
  <c r="CD194" i="6" s="1"/>
  <c r="AA194" i="23"/>
  <c r="Z194" i="23" s="1"/>
  <c r="Y194" i="23" s="1"/>
  <c r="W61" i="24"/>
  <c r="D61" i="24"/>
  <c r="E61" i="24" s="1"/>
  <c r="F61" i="24" s="1"/>
  <c r="B61" i="25"/>
  <c r="G89" i="23"/>
  <c r="CD89" i="6" s="1"/>
  <c r="AA89" i="23"/>
  <c r="Z89" i="23" s="1"/>
  <c r="Y89" i="23" s="1"/>
  <c r="D230" i="25"/>
  <c r="E230" i="25" s="1"/>
  <c r="F230" i="25" s="1"/>
  <c r="W230" i="25"/>
  <c r="B45" i="25"/>
  <c r="W45" i="24"/>
  <c r="D45" i="24"/>
  <c r="E45" i="24" s="1"/>
  <c r="F45" i="24" s="1"/>
  <c r="G45" i="23"/>
  <c r="CD45" i="6" s="1"/>
  <c r="AA45" i="23"/>
  <c r="Z45" i="23" s="1"/>
  <c r="Y45" i="23" s="1"/>
  <c r="G123" i="23"/>
  <c r="CD123" i="6" s="1"/>
  <c r="AA123" i="23"/>
  <c r="Z123" i="23" s="1"/>
  <c r="Y123" i="23" s="1"/>
  <c r="D233" i="24"/>
  <c r="E233" i="24" s="1"/>
  <c r="F233" i="24" s="1"/>
  <c r="B233" i="25"/>
  <c r="W233" i="24"/>
  <c r="G326" i="24"/>
  <c r="CE326" i="6" s="1"/>
  <c r="AA326" i="24"/>
  <c r="Z326" i="24" s="1"/>
  <c r="Y326" i="24" s="1"/>
  <c r="W193" i="25"/>
  <c r="D193" i="25"/>
  <c r="E193" i="25" s="1"/>
  <c r="F193" i="25" s="1"/>
  <c r="AA193" i="24"/>
  <c r="Z193" i="24" s="1"/>
  <c r="Y193" i="24" s="1"/>
  <c r="G193" i="24"/>
  <c r="CE193" i="6" s="1"/>
  <c r="W277" i="24"/>
  <c r="D277" i="24"/>
  <c r="E277" i="24" s="1"/>
  <c r="F277" i="24" s="1"/>
  <c r="B277" i="25"/>
  <c r="AA325" i="23"/>
  <c r="Z325" i="23" s="1"/>
  <c r="Y325" i="23" s="1"/>
  <c r="G325" i="23"/>
  <c r="CD325" i="6" s="1"/>
  <c r="D26" i="25"/>
  <c r="E26" i="25" s="1"/>
  <c r="F26" i="25" s="1"/>
  <c r="W26" i="25"/>
  <c r="G30" i="24"/>
  <c r="CE30" i="6" s="1"/>
  <c r="AA30" i="24"/>
  <c r="Z30" i="24" s="1"/>
  <c r="Y30" i="24" s="1"/>
  <c r="G338" i="24"/>
  <c r="CE338" i="6" s="1"/>
  <c r="AA338" i="24"/>
  <c r="Z338" i="24" s="1"/>
  <c r="Y338" i="24" s="1"/>
  <c r="W309" i="24"/>
  <c r="B309" i="25"/>
  <c r="D309" i="24"/>
  <c r="E309" i="24" s="1"/>
  <c r="F309" i="24" s="1"/>
  <c r="G62" i="23"/>
  <c r="CD62" i="6" s="1"/>
  <c r="AA62" i="23"/>
  <c r="Z62" i="23" s="1"/>
  <c r="Y62" i="23" s="1"/>
  <c r="B232" i="25"/>
  <c r="W232" i="24"/>
  <c r="D232" i="24"/>
  <c r="E232" i="24" s="1"/>
  <c r="F232" i="24" s="1"/>
  <c r="G368" i="24"/>
  <c r="CE368" i="6" s="1"/>
  <c r="AA368" i="24"/>
  <c r="Z368" i="24" s="1"/>
  <c r="Y368" i="24" s="1"/>
  <c r="W276" i="25"/>
  <c r="D276" i="25"/>
  <c r="E276" i="25" s="1"/>
  <c r="F276" i="25" s="1"/>
  <c r="AA276" i="24"/>
  <c r="Z276" i="24" s="1"/>
  <c r="Y276" i="24" s="1"/>
  <c r="G276" i="24"/>
  <c r="CE276" i="6" s="1"/>
  <c r="G49" i="23"/>
  <c r="CD49" i="6" s="1"/>
  <c r="AA49" i="23"/>
  <c r="Z49" i="23" s="1"/>
  <c r="Y49" i="23" s="1"/>
  <c r="W291" i="24"/>
  <c r="D291" i="24"/>
  <c r="E291" i="24" s="1"/>
  <c r="F291" i="24" s="1"/>
  <c r="B291" i="25"/>
  <c r="W339" i="24"/>
  <c r="B339" i="25"/>
  <c r="D339" i="24"/>
  <c r="E339" i="24" s="1"/>
  <c r="F339" i="24" s="1"/>
  <c r="G141" i="24"/>
  <c r="CE141" i="6" s="1"/>
  <c r="AA141" i="24"/>
  <c r="Z141" i="24" s="1"/>
  <c r="Y141" i="24" s="1"/>
  <c r="AA172" i="24"/>
  <c r="Z172" i="24" s="1"/>
  <c r="Y172" i="24" s="1"/>
  <c r="G172" i="24"/>
  <c r="CE172" i="6" s="1"/>
  <c r="D280" i="25"/>
  <c r="E280" i="25" s="1"/>
  <c r="F280" i="25" s="1"/>
  <c r="W280" i="25"/>
  <c r="G324" i="24"/>
  <c r="CE324" i="6" s="1"/>
  <c r="AA324" i="24"/>
  <c r="Z324" i="24" s="1"/>
  <c r="Y324" i="24" s="1"/>
  <c r="W134" i="25"/>
  <c r="D134" i="25"/>
  <c r="E134" i="25" s="1"/>
  <c r="F134" i="25" s="1"/>
  <c r="D100" i="25"/>
  <c r="E100" i="25" s="1"/>
  <c r="F100" i="25" s="1"/>
  <c r="W100" i="25"/>
  <c r="I249" i="20" l="1"/>
  <c r="H249" i="22" s="1"/>
  <c r="I249" i="22" s="1"/>
  <c r="H249" i="23" s="1"/>
  <c r="I303" i="20"/>
  <c r="H303" i="22" s="1"/>
  <c r="I303" i="22" s="1"/>
  <c r="H303" i="23" s="1"/>
  <c r="J135" i="20"/>
  <c r="I48" i="20"/>
  <c r="H48" i="22" s="1"/>
  <c r="J48" i="22" s="1"/>
  <c r="J45" i="20"/>
  <c r="J45" i="22" s="1"/>
  <c r="J37" i="20"/>
  <c r="J37" i="22" s="1"/>
  <c r="J210" i="20"/>
  <c r="J219" i="20"/>
  <c r="J219" i="22" s="1"/>
  <c r="J225" i="20"/>
  <c r="J225" i="22" s="1"/>
  <c r="I126" i="20"/>
  <c r="H126" i="22" s="1"/>
  <c r="J126" i="22" s="1"/>
  <c r="J77" i="20"/>
  <c r="J77" i="22" s="1"/>
  <c r="J77" i="23" s="1"/>
  <c r="J140" i="20"/>
  <c r="J140" i="22" s="1"/>
  <c r="I330" i="20"/>
  <c r="H330" i="22" s="1"/>
  <c r="I330" i="22" s="1"/>
  <c r="H330" i="23" s="1"/>
  <c r="I318" i="20"/>
  <c r="H318" i="22" s="1"/>
  <c r="J318" i="22" s="1"/>
  <c r="J346" i="20"/>
  <c r="J346" i="22" s="1"/>
  <c r="J186" i="22"/>
  <c r="J374" i="20"/>
  <c r="J374" i="22" s="1"/>
  <c r="J374" i="23" s="1"/>
  <c r="I213" i="20"/>
  <c r="H213" i="22" s="1"/>
  <c r="J213" i="22" s="1"/>
  <c r="W167" i="25"/>
  <c r="J226" i="20"/>
  <c r="I75" i="20"/>
  <c r="H75" i="22" s="1"/>
  <c r="I75" i="22" s="1"/>
  <c r="H75" i="23" s="1"/>
  <c r="I75" i="23" s="1"/>
  <c r="H75" i="24" s="1"/>
  <c r="J232" i="20"/>
  <c r="J232" i="22" s="1"/>
  <c r="AA59" i="24"/>
  <c r="Z59" i="24" s="1"/>
  <c r="Y59" i="24" s="1"/>
  <c r="I340" i="20"/>
  <c r="H340" i="22" s="1"/>
  <c r="J340" i="22" s="1"/>
  <c r="I165" i="20"/>
  <c r="H165" i="22" s="1"/>
  <c r="J165" i="22" s="1"/>
  <c r="I161" i="20"/>
  <c r="H161" i="22" s="1"/>
  <c r="J161" i="22" s="1"/>
  <c r="W23" i="25"/>
  <c r="J220" i="20"/>
  <c r="J220" i="22" s="1"/>
  <c r="J220" i="23" s="1"/>
  <c r="J22" i="20"/>
  <c r="J22" i="22" s="1"/>
  <c r="J22" i="23" s="1"/>
  <c r="I98" i="20"/>
  <c r="H98" i="22" s="1"/>
  <c r="J98" i="22" s="1"/>
  <c r="J349" i="20"/>
  <c r="J349" i="22" s="1"/>
  <c r="J349" i="23" s="1"/>
  <c r="J345" i="20"/>
  <c r="I121" i="20"/>
  <c r="H121" i="22" s="1"/>
  <c r="I121" i="22" s="1"/>
  <c r="H121" i="23" s="1"/>
  <c r="J256" i="20"/>
  <c r="J256" i="22" s="1"/>
  <c r="I333" i="22"/>
  <c r="H333" i="23" s="1"/>
  <c r="I333" i="23" s="1"/>
  <c r="H333" i="24" s="1"/>
  <c r="J58" i="20"/>
  <c r="J58" i="22" s="1"/>
  <c r="I27" i="20"/>
  <c r="H27" i="22" s="1"/>
  <c r="J27" i="22" s="1"/>
  <c r="I310" i="20"/>
  <c r="H310" i="22" s="1"/>
  <c r="I310" i="22" s="1"/>
  <c r="H310" i="23" s="1"/>
  <c r="I310" i="23" s="1"/>
  <c r="H310" i="24" s="1"/>
  <c r="J125" i="20"/>
  <c r="J125" i="22" s="1"/>
  <c r="J125" i="23" s="1"/>
  <c r="I156" i="20"/>
  <c r="H156" i="22" s="1"/>
  <c r="I156" i="22" s="1"/>
  <c r="H156" i="23" s="1"/>
  <c r="I156" i="23" s="1"/>
  <c r="H156" i="24" s="1"/>
  <c r="J201" i="20"/>
  <c r="J201" i="22" s="1"/>
  <c r="J201" i="23" s="1"/>
  <c r="J267" i="20"/>
  <c r="J267" i="22" s="1"/>
  <c r="J277" i="20"/>
  <c r="J277" i="22" s="1"/>
  <c r="J127" i="20"/>
  <c r="J127" i="22" s="1"/>
  <c r="I248" i="20"/>
  <c r="H248" i="22" s="1"/>
  <c r="I248" i="22" s="1"/>
  <c r="H248" i="23" s="1"/>
  <c r="I49" i="20"/>
  <c r="H49" i="22" s="1"/>
  <c r="I49" i="22" s="1"/>
  <c r="H49" i="23" s="1"/>
  <c r="I31" i="20"/>
  <c r="H31" i="22" s="1"/>
  <c r="J31" i="22" s="1"/>
  <c r="J169" i="22"/>
  <c r="J34" i="20"/>
  <c r="J34" i="22" s="1"/>
  <c r="J34" i="23" s="1"/>
  <c r="J371" i="22"/>
  <c r="J184" i="20"/>
  <c r="J184" i="22" s="1"/>
  <c r="J184" i="23" s="1"/>
  <c r="I273" i="20"/>
  <c r="H273" i="22" s="1"/>
  <c r="I273" i="22" s="1"/>
  <c r="H273" i="23" s="1"/>
  <c r="I273" i="23" s="1"/>
  <c r="H273" i="24" s="1"/>
  <c r="J182" i="20"/>
  <c r="J182" i="22" s="1"/>
  <c r="J376" i="20"/>
  <c r="J376" i="22" s="1"/>
  <c r="I244" i="20"/>
  <c r="H244" i="22" s="1"/>
  <c r="I244" i="22" s="1"/>
  <c r="H244" i="23" s="1"/>
  <c r="J123" i="20"/>
  <c r="J123" i="22" s="1"/>
  <c r="I357" i="20"/>
  <c r="H357" i="22" s="1"/>
  <c r="I357" i="22" s="1"/>
  <c r="H357" i="23" s="1"/>
  <c r="J139" i="20"/>
  <c r="J139" i="22" s="1"/>
  <c r="J121" i="22"/>
  <c r="J350" i="20"/>
  <c r="J350" i="22" s="1"/>
  <c r="J350" i="23" s="1"/>
  <c r="J274" i="20"/>
  <c r="J274" i="22" s="1"/>
  <c r="J274" i="23" s="1"/>
  <c r="J171" i="20"/>
  <c r="J171" i="22" s="1"/>
  <c r="J171" i="23" s="1"/>
  <c r="J62" i="20"/>
  <c r="J62" i="22" s="1"/>
  <c r="J62" i="23" s="1"/>
  <c r="J198" i="20"/>
  <c r="J198" i="22" s="1"/>
  <c r="J198" i="23" s="1"/>
  <c r="J196" i="20"/>
  <c r="J196" i="22" s="1"/>
  <c r="J196" i="23" s="1"/>
  <c r="I314" i="20"/>
  <c r="H314" i="22" s="1"/>
  <c r="J314" i="22" s="1"/>
  <c r="I233" i="20"/>
  <c r="H233" i="22" s="1"/>
  <c r="J233" i="22" s="1"/>
  <c r="I144" i="20"/>
  <c r="H144" i="22" s="1"/>
  <c r="J144" i="22" s="1"/>
  <c r="I137" i="20"/>
  <c r="H137" i="22" s="1"/>
  <c r="J137" i="22" s="1"/>
  <c r="I162" i="20"/>
  <c r="H162" i="22" s="1"/>
  <c r="I162" i="22" s="1"/>
  <c r="H162" i="23" s="1"/>
  <c r="I162" i="23" s="1"/>
  <c r="H162" i="24" s="1"/>
  <c r="J188" i="20"/>
  <c r="J188" i="22" s="1"/>
  <c r="J188" i="23" s="1"/>
  <c r="J362" i="20"/>
  <c r="J362" i="22" s="1"/>
  <c r="I73" i="20"/>
  <c r="H73" i="22" s="1"/>
  <c r="I73" i="22" s="1"/>
  <c r="H73" i="23" s="1"/>
  <c r="I73" i="23" s="1"/>
  <c r="H73" i="24" s="1"/>
  <c r="I283" i="20"/>
  <c r="H283" i="22" s="1"/>
  <c r="I283" i="22" s="1"/>
  <c r="H283" i="23" s="1"/>
  <c r="I283" i="23" s="1"/>
  <c r="H283" i="24" s="1"/>
  <c r="J65" i="20"/>
  <c r="J65" i="22" s="1"/>
  <c r="J65" i="23" s="1"/>
  <c r="J322" i="20"/>
  <c r="J322" i="22" s="1"/>
  <c r="J322" i="23" s="1"/>
  <c r="I378" i="20"/>
  <c r="H378" i="22" s="1"/>
  <c r="J378" i="22" s="1"/>
  <c r="J74" i="20"/>
  <c r="J74" i="22" s="1"/>
  <c r="J74" i="23" s="1"/>
  <c r="J25" i="22"/>
  <c r="J352" i="20"/>
  <c r="J352" i="22" s="1"/>
  <c r="J352" i="23" s="1"/>
  <c r="J263" i="20"/>
  <c r="J263" i="22" s="1"/>
  <c r="J263" i="23" s="1"/>
  <c r="I365" i="20"/>
  <c r="H365" i="22" s="1"/>
  <c r="J365" i="22" s="1"/>
  <c r="I102" i="20"/>
  <c r="H102" i="22" s="1"/>
  <c r="J102" i="22" s="1"/>
  <c r="J291" i="20"/>
  <c r="J291" i="22" s="1"/>
  <c r="J291" i="23" s="1"/>
  <c r="J309" i="20"/>
  <c r="J309" i="22" s="1"/>
  <c r="J309" i="23" s="1"/>
  <c r="J90" i="20"/>
  <c r="J90" i="22" s="1"/>
  <c r="J90" i="23" s="1"/>
  <c r="I236" i="20"/>
  <c r="H236" i="22" s="1"/>
  <c r="J236" i="22" s="1"/>
  <c r="I203" i="20"/>
  <c r="H203" i="22" s="1"/>
  <c r="J203" i="22" s="1"/>
  <c r="I124" i="20"/>
  <c r="H124" i="22" s="1"/>
  <c r="I124" i="22" s="1"/>
  <c r="H124" i="23" s="1"/>
  <c r="I124" i="23" s="1"/>
  <c r="H124" i="24" s="1"/>
  <c r="J194" i="20"/>
  <c r="J194" i="22" s="1"/>
  <c r="J148" i="20"/>
  <c r="J148" i="22" s="1"/>
  <c r="J148" i="23" s="1"/>
  <c r="I355" i="20"/>
  <c r="H355" i="22" s="1"/>
  <c r="I355" i="22" s="1"/>
  <c r="H355" i="23" s="1"/>
  <c r="I355" i="23" s="1"/>
  <c r="H355" i="24" s="1"/>
  <c r="J223" i="22"/>
  <c r="I133" i="20"/>
  <c r="H133" i="22" s="1"/>
  <c r="I133" i="22" s="1"/>
  <c r="H133" i="23" s="1"/>
  <c r="I133" i="23" s="1"/>
  <c r="H133" i="24" s="1"/>
  <c r="J61" i="20"/>
  <c r="J61" i="22" s="1"/>
  <c r="J61" i="23" s="1"/>
  <c r="I67" i="20"/>
  <c r="H67" i="22" s="1"/>
  <c r="I67" i="22" s="1"/>
  <c r="H67" i="23" s="1"/>
  <c r="I67" i="23" s="1"/>
  <c r="H67" i="24" s="1"/>
  <c r="J24" i="20"/>
  <c r="J24" i="22" s="1"/>
  <c r="J24" i="23" s="1"/>
  <c r="I272" i="20"/>
  <c r="H272" i="22" s="1"/>
  <c r="I272" i="22" s="1"/>
  <c r="H272" i="23" s="1"/>
  <c r="I272" i="23" s="1"/>
  <c r="H272" i="24" s="1"/>
  <c r="I311" i="20"/>
  <c r="H311" i="22" s="1"/>
  <c r="J311" i="22" s="1"/>
  <c r="J88" i="22"/>
  <c r="I176" i="20"/>
  <c r="H176" i="22" s="1"/>
  <c r="I176" i="22" s="1"/>
  <c r="H176" i="23" s="1"/>
  <c r="I176" i="23" s="1"/>
  <c r="H176" i="24" s="1"/>
  <c r="J115" i="20"/>
  <c r="J115" i="22" s="1"/>
  <c r="J115" i="23" s="1"/>
  <c r="J339" i="20"/>
  <c r="J339" i="22" s="1"/>
  <c r="J339" i="23" s="1"/>
  <c r="I292" i="20"/>
  <c r="H292" i="22" s="1"/>
  <c r="I292" i="22" s="1"/>
  <c r="H292" i="23" s="1"/>
  <c r="I292" i="23" s="1"/>
  <c r="H292" i="24" s="1"/>
  <c r="I150" i="20"/>
  <c r="H150" i="22" s="1"/>
  <c r="J150" i="22" s="1"/>
  <c r="J345" i="22"/>
  <c r="I268" i="20"/>
  <c r="H268" i="22" s="1"/>
  <c r="J268" i="22" s="1"/>
  <c r="I282" i="20"/>
  <c r="H282" i="22" s="1"/>
  <c r="I282" i="22" s="1"/>
  <c r="H282" i="23" s="1"/>
  <c r="I282" i="23" s="1"/>
  <c r="H282" i="24" s="1"/>
  <c r="J361" i="20"/>
  <c r="J361" i="22" s="1"/>
  <c r="J361" i="23" s="1"/>
  <c r="I143" i="20"/>
  <c r="H143" i="22" s="1"/>
  <c r="I143" i="22" s="1"/>
  <c r="H143" i="23" s="1"/>
  <c r="I143" i="23" s="1"/>
  <c r="H143" i="24" s="1"/>
  <c r="J86" i="20"/>
  <c r="J86" i="22" s="1"/>
  <c r="J86" i="23" s="1"/>
  <c r="J145" i="20"/>
  <c r="J145" i="22" s="1"/>
  <c r="J145" i="23" s="1"/>
  <c r="J369" i="20"/>
  <c r="J369" i="22" s="1"/>
  <c r="J369" i="23" s="1"/>
  <c r="J85" i="22"/>
  <c r="J60" i="20"/>
  <c r="J60" i="22" s="1"/>
  <c r="J60" i="23" s="1"/>
  <c r="W152" i="25"/>
  <c r="I205" i="23"/>
  <c r="H205" i="24" s="1"/>
  <c r="D108" i="25"/>
  <c r="E108" i="25" s="1"/>
  <c r="F108" i="25" s="1"/>
  <c r="AA108" i="25" s="1"/>
  <c r="Z108" i="25" s="1"/>
  <c r="Y108" i="25" s="1"/>
  <c r="W359" i="25"/>
  <c r="AA136" i="24"/>
  <c r="Z136" i="24" s="1"/>
  <c r="Y136" i="24" s="1"/>
  <c r="D331" i="25"/>
  <c r="E331" i="25" s="1"/>
  <c r="F331" i="25" s="1"/>
  <c r="G331" i="25" s="1"/>
  <c r="CF331" i="6" s="1"/>
  <c r="G129" i="24"/>
  <c r="CE129" i="6" s="1"/>
  <c r="W155" i="25"/>
  <c r="G306" i="24"/>
  <c r="CE306" i="6" s="1"/>
  <c r="D129" i="25"/>
  <c r="E129" i="25" s="1"/>
  <c r="F129" i="25" s="1"/>
  <c r="G129" i="25" s="1"/>
  <c r="CF129" i="6" s="1"/>
  <c r="D192" i="25"/>
  <c r="E192" i="25" s="1"/>
  <c r="F192" i="25" s="1"/>
  <c r="AA192" i="25" s="1"/>
  <c r="Z192" i="25" s="1"/>
  <c r="Y192" i="25" s="1"/>
  <c r="G108" i="24"/>
  <c r="CE108" i="6" s="1"/>
  <c r="W136" i="25"/>
  <c r="W300" i="25"/>
  <c r="D211" i="25"/>
  <c r="E211" i="25" s="1"/>
  <c r="F211" i="25" s="1"/>
  <c r="G211" i="25" s="1"/>
  <c r="CF211" i="6" s="1"/>
  <c r="G270" i="24"/>
  <c r="CE270" i="6" s="1"/>
  <c r="D306" i="25"/>
  <c r="E306" i="25" s="1"/>
  <c r="F306" i="25" s="1"/>
  <c r="G306" i="25" s="1"/>
  <c r="CF306" i="6" s="1"/>
  <c r="G323" i="24"/>
  <c r="CE323" i="6" s="1"/>
  <c r="W43" i="25"/>
  <c r="AA54" i="24"/>
  <c r="Z54" i="24" s="1"/>
  <c r="Y54" i="24" s="1"/>
  <c r="G331" i="24"/>
  <c r="CE331" i="6" s="1"/>
  <c r="W212" i="25"/>
  <c r="G28" i="24"/>
  <c r="CE28" i="6" s="1"/>
  <c r="G23" i="24"/>
  <c r="CE23" i="6" s="1"/>
  <c r="AA316" i="24"/>
  <c r="Z316" i="24" s="1"/>
  <c r="Y316" i="24" s="1"/>
  <c r="G95" i="24"/>
  <c r="CE95" i="6" s="1"/>
  <c r="W377" i="25"/>
  <c r="AA348" i="24"/>
  <c r="Z348" i="24" s="1"/>
  <c r="Y348" i="24" s="1"/>
  <c r="D297" i="25"/>
  <c r="E297" i="25" s="1"/>
  <c r="F297" i="25" s="1"/>
  <c r="AA297" i="25" s="1"/>
  <c r="Z297" i="25" s="1"/>
  <c r="Y297" i="25" s="1"/>
  <c r="W269" i="25"/>
  <c r="AA19" i="24"/>
  <c r="Z19" i="24" s="1"/>
  <c r="Y19" i="24" s="1"/>
  <c r="W19" i="25"/>
  <c r="W353" i="25"/>
  <c r="W70" i="25"/>
  <c r="W30" i="25"/>
  <c r="AA237" i="24"/>
  <c r="Z237" i="24" s="1"/>
  <c r="Y237" i="24" s="1"/>
  <c r="D95" i="25"/>
  <c r="E95" i="25" s="1"/>
  <c r="F95" i="25" s="1"/>
  <c r="AA95" i="25" s="1"/>
  <c r="Z95" i="25" s="1"/>
  <c r="Y95" i="25" s="1"/>
  <c r="D54" i="25"/>
  <c r="E54" i="25" s="1"/>
  <c r="F54" i="25" s="1"/>
  <c r="AA54" i="25" s="1"/>
  <c r="Z54" i="25" s="1"/>
  <c r="Y54" i="25" s="1"/>
  <c r="D50" i="25"/>
  <c r="E50" i="25" s="1"/>
  <c r="F50" i="25" s="1"/>
  <c r="G50" i="25" s="1"/>
  <c r="CF50" i="6" s="1"/>
  <c r="W327" i="25"/>
  <c r="W329" i="25"/>
  <c r="J296" i="22"/>
  <c r="J296" i="23" s="1"/>
  <c r="AA205" i="24"/>
  <c r="Z205" i="24" s="1"/>
  <c r="Y205" i="24" s="1"/>
  <c r="G269" i="24"/>
  <c r="CE269" i="6" s="1"/>
  <c r="G329" i="24"/>
  <c r="CE329" i="6" s="1"/>
  <c r="AA327" i="24"/>
  <c r="Z327" i="24" s="1"/>
  <c r="Y327" i="24" s="1"/>
  <c r="W348" i="25"/>
  <c r="AA335" i="24"/>
  <c r="Z335" i="24" s="1"/>
  <c r="Y335" i="24" s="1"/>
  <c r="AA224" i="24"/>
  <c r="Z224" i="24" s="1"/>
  <c r="Y224" i="24" s="1"/>
  <c r="D205" i="25"/>
  <c r="E205" i="25" s="1"/>
  <c r="F205" i="25" s="1"/>
  <c r="G205" i="25" s="1"/>
  <c r="CF205" i="6" s="1"/>
  <c r="AA358" i="24"/>
  <c r="Z358" i="24" s="1"/>
  <c r="Y358" i="24" s="1"/>
  <c r="D28" i="25"/>
  <c r="E28" i="25" s="1"/>
  <c r="F28" i="25" s="1"/>
  <c r="G28" i="25" s="1"/>
  <c r="CF28" i="6" s="1"/>
  <c r="D237" i="25"/>
  <c r="E237" i="25" s="1"/>
  <c r="F237" i="25" s="1"/>
  <c r="G237" i="25" s="1"/>
  <c r="CF237" i="6" s="1"/>
  <c r="W164" i="25"/>
  <c r="W97" i="25"/>
  <c r="D323" i="25"/>
  <c r="E323" i="25" s="1"/>
  <c r="F323" i="25" s="1"/>
  <c r="G323" i="25" s="1"/>
  <c r="CF323" i="6" s="1"/>
  <c r="AA70" i="24"/>
  <c r="Z70" i="24" s="1"/>
  <c r="Y70" i="24" s="1"/>
  <c r="D335" i="25"/>
  <c r="E335" i="25" s="1"/>
  <c r="F335" i="25" s="1"/>
  <c r="AA335" i="25" s="1"/>
  <c r="Z335" i="25" s="1"/>
  <c r="Y335" i="25" s="1"/>
  <c r="AA179" i="24"/>
  <c r="Z179" i="24" s="1"/>
  <c r="Y179" i="24" s="1"/>
  <c r="G43" i="24"/>
  <c r="CE43" i="6" s="1"/>
  <c r="W358" i="25"/>
  <c r="G164" i="24"/>
  <c r="CE164" i="6" s="1"/>
  <c r="D316" i="25"/>
  <c r="E316" i="25" s="1"/>
  <c r="F316" i="25" s="1"/>
  <c r="AA316" i="25" s="1"/>
  <c r="Z316" i="25" s="1"/>
  <c r="Y316" i="25" s="1"/>
  <c r="AA294" i="24"/>
  <c r="Z294" i="24" s="1"/>
  <c r="Y294" i="24" s="1"/>
  <c r="D180" i="25"/>
  <c r="E180" i="25" s="1"/>
  <c r="F180" i="25" s="1"/>
  <c r="G180" i="25" s="1"/>
  <c r="CF180" i="6" s="1"/>
  <c r="W270" i="25"/>
  <c r="AA155" i="24"/>
  <c r="Z155" i="24" s="1"/>
  <c r="Y155" i="24" s="1"/>
  <c r="AA153" i="24"/>
  <c r="Z153" i="24" s="1"/>
  <c r="Y153" i="24" s="1"/>
  <c r="W64" i="25"/>
  <c r="J347" i="22"/>
  <c r="J347" i="23" s="1"/>
  <c r="W179" i="25"/>
  <c r="D224" i="25"/>
  <c r="E224" i="25" s="1"/>
  <c r="F224" i="25" s="1"/>
  <c r="AA224" i="25" s="1"/>
  <c r="Z224" i="25" s="1"/>
  <c r="Y224" i="25" s="1"/>
  <c r="AA192" i="24"/>
  <c r="Z192" i="24" s="1"/>
  <c r="Y192" i="24" s="1"/>
  <c r="D301" i="25"/>
  <c r="E301" i="25" s="1"/>
  <c r="F301" i="25" s="1"/>
  <c r="AA301" i="25" s="1"/>
  <c r="Z301" i="25" s="1"/>
  <c r="Y301" i="25" s="1"/>
  <c r="G243" i="24"/>
  <c r="CE243" i="6" s="1"/>
  <c r="D116" i="25"/>
  <c r="E116" i="25" s="1"/>
  <c r="F116" i="25" s="1"/>
  <c r="G116" i="25" s="1"/>
  <c r="CF116" i="6" s="1"/>
  <c r="G180" i="24"/>
  <c r="CE180" i="6" s="1"/>
  <c r="W294" i="25"/>
  <c r="W243" i="25"/>
  <c r="I251" i="23"/>
  <c r="H251" i="24" s="1"/>
  <c r="I251" i="24" s="1"/>
  <c r="H251" i="25" s="1"/>
  <c r="W284" i="25"/>
  <c r="I217" i="23"/>
  <c r="H217" i="24" s="1"/>
  <c r="J217" i="24" s="1"/>
  <c r="I356" i="22"/>
  <c r="H356" i="23" s="1"/>
  <c r="I356" i="23" s="1"/>
  <c r="H356" i="24" s="1"/>
  <c r="W338" i="25"/>
  <c r="D344" i="25"/>
  <c r="E344" i="25" s="1"/>
  <c r="F344" i="25" s="1"/>
  <c r="AA344" i="25" s="1"/>
  <c r="Z344" i="25" s="1"/>
  <c r="Y344" i="25" s="1"/>
  <c r="I289" i="22"/>
  <c r="H289" i="23" s="1"/>
  <c r="J289" i="23" s="1"/>
  <c r="I87" i="22"/>
  <c r="H87" i="23" s="1"/>
  <c r="I87" i="23" s="1"/>
  <c r="H87" i="24" s="1"/>
  <c r="I88" i="22"/>
  <c r="H88" i="23" s="1"/>
  <c r="J128" i="22"/>
  <c r="J128" i="23" s="1"/>
  <c r="I159" i="22"/>
  <c r="H159" i="23" s="1"/>
  <c r="I159" i="23" s="1"/>
  <c r="H159" i="24" s="1"/>
  <c r="AA344" i="24"/>
  <c r="Z344" i="24" s="1"/>
  <c r="Y344" i="24" s="1"/>
  <c r="J328" i="22"/>
  <c r="J328" i="23" s="1"/>
  <c r="W324" i="25"/>
  <c r="AA216" i="24"/>
  <c r="Z216" i="24" s="1"/>
  <c r="Y216" i="24" s="1"/>
  <c r="G64" i="24"/>
  <c r="CE64" i="6" s="1"/>
  <c r="I25" i="22"/>
  <c r="H25" i="23" s="1"/>
  <c r="I25" i="23" s="1"/>
  <c r="H25" i="24" s="1"/>
  <c r="D367" i="25"/>
  <c r="E367" i="25" s="1"/>
  <c r="F367" i="25" s="1"/>
  <c r="G367" i="25" s="1"/>
  <c r="CF367" i="6" s="1"/>
  <c r="I114" i="22"/>
  <c r="H114" i="23" s="1"/>
  <c r="I114" i="23" s="1"/>
  <c r="H114" i="24" s="1"/>
  <c r="D326" i="25"/>
  <c r="E326" i="25" s="1"/>
  <c r="F326" i="25" s="1"/>
  <c r="G326" i="25" s="1"/>
  <c r="CF326" i="6" s="1"/>
  <c r="W216" i="25"/>
  <c r="I223" i="22"/>
  <c r="H223" i="23" s="1"/>
  <c r="W153" i="25"/>
  <c r="I234" i="22"/>
  <c r="H234" i="23" s="1"/>
  <c r="I234" i="23" s="1"/>
  <c r="H234" i="24" s="1"/>
  <c r="I44" i="22"/>
  <c r="H44" i="23" s="1"/>
  <c r="J44" i="23" s="1"/>
  <c r="J89" i="22"/>
  <c r="J89" i="23" s="1"/>
  <c r="I371" i="22"/>
  <c r="H371" i="23" s="1"/>
  <c r="I345" i="22"/>
  <c r="H345" i="23" s="1"/>
  <c r="I163" i="22"/>
  <c r="H163" i="23" s="1"/>
  <c r="J163" i="23" s="1"/>
  <c r="I169" i="22"/>
  <c r="H169" i="23" s="1"/>
  <c r="J250" i="22"/>
  <c r="J250" i="23" s="1"/>
  <c r="I85" i="22"/>
  <c r="H85" i="23" s="1"/>
  <c r="I85" i="23" s="1"/>
  <c r="H85" i="24" s="1"/>
  <c r="J76" i="22"/>
  <c r="J76" i="23" s="1"/>
  <c r="I186" i="22"/>
  <c r="H186" i="23" s="1"/>
  <c r="I186" i="23" s="1"/>
  <c r="H186" i="24" s="1"/>
  <c r="J187" i="22"/>
  <c r="J187" i="23" s="1"/>
  <c r="B380" i="25"/>
  <c r="D380" i="25" s="1"/>
  <c r="E380" i="25" s="1"/>
  <c r="F380" i="25" s="1"/>
  <c r="I148" i="23"/>
  <c r="H148" i="24" s="1"/>
  <c r="I201" i="23"/>
  <c r="H201" i="24" s="1"/>
  <c r="I339" i="23"/>
  <c r="H339" i="24" s="1"/>
  <c r="I328" i="23"/>
  <c r="H328" i="24" s="1"/>
  <c r="I196" i="23"/>
  <c r="H196" i="24" s="1"/>
  <c r="I60" i="23"/>
  <c r="H60" i="24" s="1"/>
  <c r="I322" i="23"/>
  <c r="H322" i="24" s="1"/>
  <c r="I198" i="23"/>
  <c r="H198" i="24" s="1"/>
  <c r="I296" i="23"/>
  <c r="H296" i="24" s="1"/>
  <c r="I145" i="23"/>
  <c r="H145" i="24" s="1"/>
  <c r="I347" i="23"/>
  <c r="H347" i="24" s="1"/>
  <c r="I274" i="23"/>
  <c r="H274" i="24" s="1"/>
  <c r="J245" i="23"/>
  <c r="I245" i="23"/>
  <c r="H245" i="24" s="1"/>
  <c r="J185" i="23"/>
  <c r="I185" i="23"/>
  <c r="H185" i="24" s="1"/>
  <c r="G291" i="24"/>
  <c r="CE291" i="6" s="1"/>
  <c r="AA291" i="24"/>
  <c r="Z291" i="24" s="1"/>
  <c r="Y291" i="24" s="1"/>
  <c r="G276" i="25"/>
  <c r="CF276" i="6" s="1"/>
  <c r="AA276" i="25"/>
  <c r="Z276" i="25" s="1"/>
  <c r="Y276" i="25" s="1"/>
  <c r="I62" i="23"/>
  <c r="H62" i="24" s="1"/>
  <c r="G26" i="25"/>
  <c r="CF26" i="6" s="1"/>
  <c r="AA26" i="25"/>
  <c r="Z26" i="25" s="1"/>
  <c r="Y26" i="25" s="1"/>
  <c r="W277" i="25"/>
  <c r="D277" i="25"/>
  <c r="E277" i="25" s="1"/>
  <c r="F277" i="25" s="1"/>
  <c r="AA193" i="25"/>
  <c r="Z193" i="25" s="1"/>
  <c r="Y193" i="25" s="1"/>
  <c r="G193" i="25"/>
  <c r="CF193" i="6" s="1"/>
  <c r="W233" i="25"/>
  <c r="D233" i="25"/>
  <c r="E233" i="25" s="1"/>
  <c r="F233" i="25" s="1"/>
  <c r="AA210" i="24"/>
  <c r="Z210" i="24" s="1"/>
  <c r="Y210" i="24" s="1"/>
  <c r="G210" i="24"/>
  <c r="CE210" i="6" s="1"/>
  <c r="W210" i="25"/>
  <c r="D210" i="25"/>
  <c r="E210" i="25" s="1"/>
  <c r="F210" i="25" s="1"/>
  <c r="J331" i="22"/>
  <c r="I331" i="22"/>
  <c r="H331" i="23" s="1"/>
  <c r="I235" i="22"/>
  <c r="H235" i="23" s="1"/>
  <c r="J235" i="22"/>
  <c r="I103" i="22"/>
  <c r="H103" i="23" s="1"/>
  <c r="J103" i="22"/>
  <c r="I252" i="22"/>
  <c r="H252" i="23" s="1"/>
  <c r="J252" i="22"/>
  <c r="I40" i="22"/>
  <c r="H40" i="23" s="1"/>
  <c r="J40" i="22"/>
  <c r="I113" i="22"/>
  <c r="H113" i="23" s="1"/>
  <c r="J113" i="22"/>
  <c r="J375" i="22"/>
  <c r="I375" i="22"/>
  <c r="H375" i="23" s="1"/>
  <c r="J285" i="22"/>
  <c r="I285" i="22"/>
  <c r="H285" i="23" s="1"/>
  <c r="J106" i="22"/>
  <c r="I106" i="22"/>
  <c r="H106" i="23" s="1"/>
  <c r="J271" i="22"/>
  <c r="I271" i="22"/>
  <c r="H271" i="23" s="1"/>
  <c r="J130" i="22"/>
  <c r="I130" i="22"/>
  <c r="H130" i="23" s="1"/>
  <c r="I66" i="22"/>
  <c r="H66" i="23" s="1"/>
  <c r="J66" i="22"/>
  <c r="G100" i="25"/>
  <c r="CF100" i="6" s="1"/>
  <c r="AA100" i="25"/>
  <c r="Z100" i="25" s="1"/>
  <c r="Y100" i="25" s="1"/>
  <c r="AA353" i="25"/>
  <c r="Z353" i="25" s="1"/>
  <c r="Y353" i="25" s="1"/>
  <c r="G353" i="25"/>
  <c r="CF353" i="6" s="1"/>
  <c r="W339" i="25"/>
  <c r="D339" i="25"/>
  <c r="E339" i="25" s="1"/>
  <c r="F339" i="25" s="1"/>
  <c r="W291" i="25"/>
  <c r="D291" i="25"/>
  <c r="E291" i="25" s="1"/>
  <c r="F291" i="25" s="1"/>
  <c r="G232" i="24"/>
  <c r="CE232" i="6" s="1"/>
  <c r="AA232" i="24"/>
  <c r="Z232" i="24" s="1"/>
  <c r="Y232" i="24" s="1"/>
  <c r="W232" i="25"/>
  <c r="D232" i="25"/>
  <c r="E232" i="25" s="1"/>
  <c r="F232" i="25" s="1"/>
  <c r="AA309" i="24"/>
  <c r="Z309" i="24" s="1"/>
  <c r="Y309" i="24" s="1"/>
  <c r="G309" i="24"/>
  <c r="CE309" i="6" s="1"/>
  <c r="I325" i="23"/>
  <c r="H325" i="24" s="1"/>
  <c r="J325" i="23"/>
  <c r="G277" i="24"/>
  <c r="CE277" i="6" s="1"/>
  <c r="AA277" i="24"/>
  <c r="Z277" i="24" s="1"/>
  <c r="Y277" i="24" s="1"/>
  <c r="G233" i="24"/>
  <c r="CE233" i="6" s="1"/>
  <c r="AA233" i="24"/>
  <c r="Z233" i="24" s="1"/>
  <c r="Y233" i="24" s="1"/>
  <c r="I89" i="23"/>
  <c r="H89" i="24" s="1"/>
  <c r="AA61" i="24"/>
  <c r="Z61" i="24" s="1"/>
  <c r="Y61" i="24" s="1"/>
  <c r="G61" i="24"/>
  <c r="CE61" i="6" s="1"/>
  <c r="AA284" i="25"/>
  <c r="Z284" i="25" s="1"/>
  <c r="Y284" i="25" s="1"/>
  <c r="G284" i="25"/>
  <c r="CF284" i="6" s="1"/>
  <c r="W194" i="25"/>
  <c r="D194" i="25"/>
  <c r="E194" i="25" s="1"/>
  <c r="F194" i="25" s="1"/>
  <c r="J153" i="22"/>
  <c r="I153" i="22"/>
  <c r="H153" i="23" s="1"/>
  <c r="I79" i="22"/>
  <c r="H79" i="23" s="1"/>
  <c r="J79" i="22"/>
  <c r="I327" i="22"/>
  <c r="H327" i="23" s="1"/>
  <c r="J327" i="22"/>
  <c r="I367" i="22"/>
  <c r="H367" i="23" s="1"/>
  <c r="J367" i="22"/>
  <c r="J18" i="22"/>
  <c r="I18" i="22"/>
  <c r="H18" i="23" s="1"/>
  <c r="I211" i="22"/>
  <c r="H211" i="23" s="1"/>
  <c r="J211" i="22"/>
  <c r="I204" i="22"/>
  <c r="H204" i="23" s="1"/>
  <c r="J204" i="22"/>
  <c r="J199" i="22"/>
  <c r="I199" i="22"/>
  <c r="H199" i="23" s="1"/>
  <c r="J280" i="22"/>
  <c r="I280" i="22"/>
  <c r="H280" i="23" s="1"/>
  <c r="J341" i="22"/>
  <c r="I341" i="22"/>
  <c r="H341" i="23" s="1"/>
  <c r="J209" i="22"/>
  <c r="I209" i="22"/>
  <c r="H209" i="23" s="1"/>
  <c r="J47" i="22"/>
  <c r="I47" i="22"/>
  <c r="H47" i="23" s="1"/>
  <c r="I336" i="22"/>
  <c r="H336" i="23" s="1"/>
  <c r="J336" i="22"/>
  <c r="J308" i="22"/>
  <c r="I308" i="22"/>
  <c r="H308" i="23" s="1"/>
  <c r="I178" i="22"/>
  <c r="H178" i="23" s="1"/>
  <c r="J178" i="22"/>
  <c r="I111" i="22"/>
  <c r="H111" i="23" s="1"/>
  <c r="J111" i="22"/>
  <c r="J17" i="22"/>
  <c r="I17" i="22"/>
  <c r="H17" i="23" s="1"/>
  <c r="I177" i="22"/>
  <c r="H177" i="23" s="1"/>
  <c r="J177" i="22"/>
  <c r="G163" i="24"/>
  <c r="CE163" i="6" s="1"/>
  <c r="AA163" i="24"/>
  <c r="Z163" i="24" s="1"/>
  <c r="Y163" i="24" s="1"/>
  <c r="G377" i="25"/>
  <c r="CF377" i="6" s="1"/>
  <c r="AA377" i="25"/>
  <c r="Z377" i="25" s="1"/>
  <c r="Y377" i="25" s="1"/>
  <c r="G357" i="24"/>
  <c r="CE357" i="6" s="1"/>
  <c r="AA357" i="24"/>
  <c r="Z357" i="24" s="1"/>
  <c r="Y357" i="24" s="1"/>
  <c r="J372" i="22"/>
  <c r="I372" i="22"/>
  <c r="H372" i="23" s="1"/>
  <c r="W250" i="25"/>
  <c r="D250" i="25"/>
  <c r="E250" i="25" s="1"/>
  <c r="F250" i="25" s="1"/>
  <c r="AA140" i="24"/>
  <c r="Z140" i="24" s="1"/>
  <c r="Y140" i="24" s="1"/>
  <c r="G140" i="24"/>
  <c r="CE140" i="6" s="1"/>
  <c r="G70" i="25"/>
  <c r="CF70" i="6" s="1"/>
  <c r="AA70" i="25"/>
  <c r="Z70" i="25" s="1"/>
  <c r="Y70" i="25" s="1"/>
  <c r="G152" i="25"/>
  <c r="CF152" i="6" s="1"/>
  <c r="AA152" i="25"/>
  <c r="Z152" i="25" s="1"/>
  <c r="Y152" i="25" s="1"/>
  <c r="AA252" i="25"/>
  <c r="Z252" i="25" s="1"/>
  <c r="Y252" i="25" s="1"/>
  <c r="G252" i="25"/>
  <c r="CF252" i="6" s="1"/>
  <c r="AA264" i="24"/>
  <c r="Z264" i="24" s="1"/>
  <c r="Y264" i="24" s="1"/>
  <c r="G264" i="24"/>
  <c r="CE264" i="6" s="1"/>
  <c r="G41" i="25"/>
  <c r="CF41" i="6" s="1"/>
  <c r="AA41" i="25"/>
  <c r="Z41" i="25" s="1"/>
  <c r="Y41" i="25" s="1"/>
  <c r="W330" i="25"/>
  <c r="D330" i="25"/>
  <c r="E330" i="25" s="1"/>
  <c r="F330" i="25" s="1"/>
  <c r="W27" i="25"/>
  <c r="D27" i="25"/>
  <c r="E27" i="25" s="1"/>
  <c r="F27" i="25" s="1"/>
  <c r="G328" i="24"/>
  <c r="CE328" i="6" s="1"/>
  <c r="AA328" i="24"/>
  <c r="Z328" i="24" s="1"/>
  <c r="Y328" i="24" s="1"/>
  <c r="W328" i="25"/>
  <c r="D328" i="25"/>
  <c r="E328" i="25" s="1"/>
  <c r="F328" i="25" s="1"/>
  <c r="AA255" i="25"/>
  <c r="Z255" i="25" s="1"/>
  <c r="Y255" i="25" s="1"/>
  <c r="G255" i="25"/>
  <c r="CF255" i="6" s="1"/>
  <c r="G287" i="24"/>
  <c r="CE287" i="6" s="1"/>
  <c r="AA287" i="24"/>
  <c r="Z287" i="24" s="1"/>
  <c r="Y287" i="24" s="1"/>
  <c r="W287" i="25"/>
  <c r="D287" i="25"/>
  <c r="E287" i="25" s="1"/>
  <c r="F287" i="25" s="1"/>
  <c r="I99" i="22"/>
  <c r="H99" i="23" s="1"/>
  <c r="J99" i="22"/>
  <c r="J237" i="22"/>
  <c r="I237" i="22"/>
  <c r="H237" i="23" s="1"/>
  <c r="J269" i="22"/>
  <c r="I269" i="22"/>
  <c r="H269" i="23" s="1"/>
  <c r="J59" i="22"/>
  <c r="I59" i="22"/>
  <c r="H59" i="23" s="1"/>
  <c r="J316" i="22"/>
  <c r="I316" i="22"/>
  <c r="H316" i="23" s="1"/>
  <c r="W73" i="25"/>
  <c r="D73" i="25"/>
  <c r="E73" i="25" s="1"/>
  <c r="F73" i="25" s="1"/>
  <c r="AA345" i="24"/>
  <c r="Z345" i="24" s="1"/>
  <c r="Y345" i="24" s="1"/>
  <c r="G345" i="24"/>
  <c r="CE345" i="6" s="1"/>
  <c r="W115" i="25"/>
  <c r="D115" i="25"/>
  <c r="E115" i="25" s="1"/>
  <c r="F115" i="25" s="1"/>
  <c r="G191" i="24"/>
  <c r="CE191" i="6" s="1"/>
  <c r="AA191" i="24"/>
  <c r="Z191" i="24" s="1"/>
  <c r="Y191" i="24" s="1"/>
  <c r="W371" i="25"/>
  <c r="D371" i="25"/>
  <c r="E371" i="25" s="1"/>
  <c r="F371" i="25" s="1"/>
  <c r="J254" i="22"/>
  <c r="I254" i="22"/>
  <c r="H254" i="23" s="1"/>
  <c r="I220" i="23"/>
  <c r="H220" i="24" s="1"/>
  <c r="I42" i="22"/>
  <c r="H42" i="23" s="1"/>
  <c r="J42" i="22"/>
  <c r="J317" i="23"/>
  <c r="I317" i="23"/>
  <c r="H317" i="24" s="1"/>
  <c r="W196" i="25"/>
  <c r="D196" i="25"/>
  <c r="E196" i="25" s="1"/>
  <c r="F196" i="25" s="1"/>
  <c r="I119" i="23"/>
  <c r="H119" i="24" s="1"/>
  <c r="J119" i="23"/>
  <c r="G311" i="24"/>
  <c r="CE311" i="6" s="1"/>
  <c r="AA311" i="24"/>
  <c r="Z311" i="24" s="1"/>
  <c r="Y311" i="24" s="1"/>
  <c r="I290" i="22"/>
  <c r="H290" i="23" s="1"/>
  <c r="J290" i="22"/>
  <c r="AA186" i="24"/>
  <c r="Z186" i="24" s="1"/>
  <c r="Y186" i="24" s="1"/>
  <c r="G186" i="24"/>
  <c r="CE186" i="6" s="1"/>
  <c r="W203" i="25"/>
  <c r="D203" i="25"/>
  <c r="E203" i="25" s="1"/>
  <c r="F203" i="25" s="1"/>
  <c r="G144" i="24"/>
  <c r="CE144" i="6" s="1"/>
  <c r="AA144" i="24"/>
  <c r="Z144" i="24" s="1"/>
  <c r="Y144" i="24" s="1"/>
  <c r="I112" i="23"/>
  <c r="H112" i="24" s="1"/>
  <c r="J112" i="23"/>
  <c r="W128" i="25"/>
  <c r="D128" i="25"/>
  <c r="E128" i="25" s="1"/>
  <c r="F128" i="25" s="1"/>
  <c r="AA271" i="25"/>
  <c r="Z271" i="25" s="1"/>
  <c r="Y271" i="25" s="1"/>
  <c r="G271" i="25"/>
  <c r="CF271" i="6" s="1"/>
  <c r="G319" i="25"/>
  <c r="CF319" i="6" s="1"/>
  <c r="AA319" i="25"/>
  <c r="Z319" i="25" s="1"/>
  <c r="Y319" i="25" s="1"/>
  <c r="W60" i="25"/>
  <c r="D60" i="25"/>
  <c r="E60" i="25" s="1"/>
  <c r="F60" i="25" s="1"/>
  <c r="I77" i="23"/>
  <c r="H77" i="24" s="1"/>
  <c r="W77" i="25"/>
  <c r="D77" i="25"/>
  <c r="E77" i="25" s="1"/>
  <c r="F77" i="25" s="1"/>
  <c r="I284" i="22"/>
  <c r="H284" i="23" s="1"/>
  <c r="J284" i="22"/>
  <c r="J168" i="22"/>
  <c r="I168" i="22"/>
  <c r="H168" i="23" s="1"/>
  <c r="I16" i="22"/>
  <c r="H16" i="23" s="1"/>
  <c r="J16" i="22"/>
  <c r="I95" i="22"/>
  <c r="H95" i="23" s="1"/>
  <c r="J95" i="22"/>
  <c r="J100" i="22"/>
  <c r="I100" i="22"/>
  <c r="H100" i="23" s="1"/>
  <c r="I305" i="22"/>
  <c r="H305" i="23" s="1"/>
  <c r="J305" i="22"/>
  <c r="I82" i="22"/>
  <c r="H82" i="23" s="1"/>
  <c r="J82" i="22"/>
  <c r="I343" i="22"/>
  <c r="H343" i="23" s="1"/>
  <c r="J343" i="22"/>
  <c r="J117" i="22"/>
  <c r="I117" i="22"/>
  <c r="H117" i="23" s="1"/>
  <c r="I41" i="22"/>
  <c r="H41" i="23" s="1"/>
  <c r="J41" i="22"/>
  <c r="J257" i="22"/>
  <c r="I257" i="22"/>
  <c r="H257" i="23" s="1"/>
  <c r="I293" i="22"/>
  <c r="H293" i="23" s="1"/>
  <c r="J293" i="22"/>
  <c r="J154" i="22"/>
  <c r="I154" i="22"/>
  <c r="H154" i="23" s="1"/>
  <c r="I270" i="22"/>
  <c r="H270" i="23" s="1"/>
  <c r="J270" i="22"/>
  <c r="AA174" i="25"/>
  <c r="Z174" i="25" s="1"/>
  <c r="Y174" i="25" s="1"/>
  <c r="G174" i="25"/>
  <c r="CF174" i="6" s="1"/>
  <c r="W78" i="25"/>
  <c r="D78" i="25"/>
  <c r="E78" i="25" s="1"/>
  <c r="F78" i="25" s="1"/>
  <c r="W72" i="25"/>
  <c r="D72" i="25"/>
  <c r="E72" i="25" s="1"/>
  <c r="F72" i="25" s="1"/>
  <c r="G360" i="25"/>
  <c r="CF360" i="6" s="1"/>
  <c r="AA360" i="25"/>
  <c r="Z360" i="25" s="1"/>
  <c r="Y360" i="25" s="1"/>
  <c r="G266" i="24"/>
  <c r="CE266" i="6" s="1"/>
  <c r="AA266" i="24"/>
  <c r="Z266" i="24" s="1"/>
  <c r="Y266" i="24" s="1"/>
  <c r="J373" i="23"/>
  <c r="I373" i="23"/>
  <c r="H373" i="24" s="1"/>
  <c r="G145" i="24"/>
  <c r="CE145" i="6" s="1"/>
  <c r="AA145" i="24"/>
  <c r="Z145" i="24" s="1"/>
  <c r="Y145" i="24" s="1"/>
  <c r="I37" i="22"/>
  <c r="H37" i="23" s="1"/>
  <c r="G154" i="25"/>
  <c r="CF154" i="6" s="1"/>
  <c r="AA154" i="25"/>
  <c r="Z154" i="25" s="1"/>
  <c r="Y154" i="25" s="1"/>
  <c r="G132" i="25"/>
  <c r="CF132" i="6" s="1"/>
  <c r="AA132" i="25"/>
  <c r="Z132" i="25" s="1"/>
  <c r="Y132" i="25" s="1"/>
  <c r="J157" i="22"/>
  <c r="I157" i="22"/>
  <c r="H157" i="23" s="1"/>
  <c r="W51" i="25"/>
  <c r="D51" i="25"/>
  <c r="E51" i="25" s="1"/>
  <c r="F51" i="25" s="1"/>
  <c r="AA269" i="25"/>
  <c r="Z269" i="25" s="1"/>
  <c r="Y269" i="25" s="1"/>
  <c r="G269" i="25"/>
  <c r="CF269" i="6" s="1"/>
  <c r="G197" i="25"/>
  <c r="CF197" i="6" s="1"/>
  <c r="AA197" i="25"/>
  <c r="Z197" i="25" s="1"/>
  <c r="Y197" i="25" s="1"/>
  <c r="W75" i="25"/>
  <c r="D75" i="25"/>
  <c r="E75" i="25" s="1"/>
  <c r="F75" i="25" s="1"/>
  <c r="I187" i="23"/>
  <c r="H187" i="24" s="1"/>
  <c r="AA84" i="24"/>
  <c r="Z84" i="24" s="1"/>
  <c r="Y84" i="24" s="1"/>
  <c r="G84" i="24"/>
  <c r="CE84" i="6" s="1"/>
  <c r="W84" i="25"/>
  <c r="D84" i="25"/>
  <c r="E84" i="25" s="1"/>
  <c r="F84" i="25" s="1"/>
  <c r="G213" i="24"/>
  <c r="CE213" i="6" s="1"/>
  <c r="AA213" i="24"/>
  <c r="Z213" i="24" s="1"/>
  <c r="Y213" i="24" s="1"/>
  <c r="AA57" i="25"/>
  <c r="Z57" i="25" s="1"/>
  <c r="Y57" i="25" s="1"/>
  <c r="G57" i="25"/>
  <c r="CF57" i="6" s="1"/>
  <c r="G20" i="24"/>
  <c r="CE20" i="6" s="1"/>
  <c r="AA20" i="24"/>
  <c r="Z20" i="24" s="1"/>
  <c r="Y20" i="24" s="1"/>
  <c r="G164" i="25"/>
  <c r="CF164" i="6" s="1"/>
  <c r="AA164" i="25"/>
  <c r="Z164" i="25" s="1"/>
  <c r="Y164" i="25" s="1"/>
  <c r="AA147" i="25"/>
  <c r="Z147" i="25" s="1"/>
  <c r="Y147" i="25" s="1"/>
  <c r="G147" i="25"/>
  <c r="CF147" i="6" s="1"/>
  <c r="AA42" i="24"/>
  <c r="Z42" i="24" s="1"/>
  <c r="Y42" i="24" s="1"/>
  <c r="G42" i="24"/>
  <c r="CE42" i="6" s="1"/>
  <c r="W362" i="25"/>
  <c r="D362" i="25"/>
  <c r="E362" i="25" s="1"/>
  <c r="F362" i="25" s="1"/>
  <c r="G290" i="24"/>
  <c r="CE290" i="6" s="1"/>
  <c r="AA290" i="24"/>
  <c r="Z290" i="24" s="1"/>
  <c r="Y290" i="24" s="1"/>
  <c r="W290" i="25"/>
  <c r="D290" i="25"/>
  <c r="E290" i="25" s="1"/>
  <c r="F290" i="25" s="1"/>
  <c r="W225" i="25"/>
  <c r="D225" i="25"/>
  <c r="E225" i="25" s="1"/>
  <c r="F225" i="25" s="1"/>
  <c r="W292" i="25"/>
  <c r="D292" i="25"/>
  <c r="E292" i="25" s="1"/>
  <c r="F292" i="25" s="1"/>
  <c r="G120" i="25"/>
  <c r="CF120" i="6" s="1"/>
  <c r="AA120" i="25"/>
  <c r="Z120" i="25" s="1"/>
  <c r="Y120" i="25" s="1"/>
  <c r="W173" i="25"/>
  <c r="D173" i="25"/>
  <c r="E173" i="25" s="1"/>
  <c r="F173" i="25" s="1"/>
  <c r="G127" i="24"/>
  <c r="CE127" i="6" s="1"/>
  <c r="AA127" i="24"/>
  <c r="Z127" i="24" s="1"/>
  <c r="Y127" i="24" s="1"/>
  <c r="W127" i="25"/>
  <c r="D127" i="25"/>
  <c r="E127" i="25" s="1"/>
  <c r="F127" i="25" s="1"/>
  <c r="AA281" i="25"/>
  <c r="Z281" i="25" s="1"/>
  <c r="Y281" i="25" s="1"/>
  <c r="G281" i="25"/>
  <c r="CF281" i="6" s="1"/>
  <c r="G159" i="24"/>
  <c r="CE159" i="6" s="1"/>
  <c r="AA159" i="24"/>
  <c r="Z159" i="24" s="1"/>
  <c r="Y159" i="24" s="1"/>
  <c r="W161" i="25"/>
  <c r="D161" i="25"/>
  <c r="E161" i="25" s="1"/>
  <c r="F161" i="25" s="1"/>
  <c r="W135" i="25"/>
  <c r="D135" i="25"/>
  <c r="E135" i="25" s="1"/>
  <c r="F135" i="25" s="1"/>
  <c r="I52" i="22"/>
  <c r="H52" i="23" s="1"/>
  <c r="J52" i="22"/>
  <c r="J370" i="22"/>
  <c r="I370" i="22"/>
  <c r="H370" i="23" s="1"/>
  <c r="I202" i="22"/>
  <c r="H202" i="23" s="1"/>
  <c r="J202" i="22"/>
  <c r="I138" i="22"/>
  <c r="H138" i="23" s="1"/>
  <c r="J138" i="22"/>
  <c r="I142" i="22"/>
  <c r="H142" i="23" s="1"/>
  <c r="J142" i="22"/>
  <c r="J241" i="22"/>
  <c r="I241" i="22"/>
  <c r="H241" i="23" s="1"/>
  <c r="I278" i="22"/>
  <c r="H278" i="23" s="1"/>
  <c r="J278" i="22"/>
  <c r="I319" i="22"/>
  <c r="H319" i="23" s="1"/>
  <c r="J319" i="22"/>
  <c r="I105" i="22"/>
  <c r="H105" i="23" s="1"/>
  <c r="J105" i="22"/>
  <c r="J379" i="22"/>
  <c r="I379" i="22"/>
  <c r="H379" i="23" s="1"/>
  <c r="I167" i="22"/>
  <c r="H167" i="23" s="1"/>
  <c r="J167" i="22"/>
  <c r="I55" i="22"/>
  <c r="H55" i="23" s="1"/>
  <c r="J55" i="22"/>
  <c r="J265" i="22"/>
  <c r="I265" i="22"/>
  <c r="H265" i="23" s="1"/>
  <c r="G207" i="25"/>
  <c r="CF207" i="6" s="1"/>
  <c r="AA207" i="25"/>
  <c r="Z207" i="25" s="1"/>
  <c r="Y207" i="25" s="1"/>
  <c r="G312" i="25"/>
  <c r="CF312" i="6" s="1"/>
  <c r="AA312" i="25"/>
  <c r="Z312" i="25" s="1"/>
  <c r="Y312" i="25" s="1"/>
  <c r="J160" i="23"/>
  <c r="I160" i="23"/>
  <c r="H160" i="24" s="1"/>
  <c r="G48" i="24"/>
  <c r="CE48" i="6" s="1"/>
  <c r="AA48" i="24"/>
  <c r="Z48" i="24" s="1"/>
  <c r="Y48" i="24" s="1"/>
  <c r="W48" i="25"/>
  <c r="D48" i="25"/>
  <c r="E48" i="25" s="1"/>
  <c r="F48" i="25" s="1"/>
  <c r="I140" i="22"/>
  <c r="H140" i="23" s="1"/>
  <c r="G97" i="25"/>
  <c r="CF97" i="6" s="1"/>
  <c r="AA97" i="25"/>
  <c r="Z97" i="25" s="1"/>
  <c r="Y97" i="25" s="1"/>
  <c r="W346" i="25"/>
  <c r="D346" i="25"/>
  <c r="E346" i="25" s="1"/>
  <c r="F346" i="25" s="1"/>
  <c r="G363" i="25"/>
  <c r="CF363" i="6" s="1"/>
  <c r="AA363" i="25"/>
  <c r="Z363" i="25" s="1"/>
  <c r="Y363" i="25" s="1"/>
  <c r="W214" i="25"/>
  <c r="D214" i="25"/>
  <c r="E214" i="25" s="1"/>
  <c r="F214" i="25" s="1"/>
  <c r="G82" i="25"/>
  <c r="CF82" i="6" s="1"/>
  <c r="AA82" i="25"/>
  <c r="Z82" i="25" s="1"/>
  <c r="Y82" i="25" s="1"/>
  <c r="G351" i="25"/>
  <c r="CF351" i="6" s="1"/>
  <c r="AA351" i="25"/>
  <c r="Z351" i="25" s="1"/>
  <c r="Y351" i="25" s="1"/>
  <c r="I184" i="23"/>
  <c r="H184" i="24" s="1"/>
  <c r="W184" i="25"/>
  <c r="D184" i="25"/>
  <c r="E184" i="25" s="1"/>
  <c r="F184" i="25" s="1"/>
  <c r="G215" i="24"/>
  <c r="CE215" i="6" s="1"/>
  <c r="AA215" i="24"/>
  <c r="Z215" i="24" s="1"/>
  <c r="Y215" i="24" s="1"/>
  <c r="J71" i="23"/>
  <c r="I71" i="23"/>
  <c r="H71" i="24" s="1"/>
  <c r="AA71" i="24"/>
  <c r="Z71" i="24" s="1"/>
  <c r="Y71" i="24" s="1"/>
  <c r="G71" i="24"/>
  <c r="CE71" i="6" s="1"/>
  <c r="I246" i="22"/>
  <c r="H246" i="23" s="1"/>
  <c r="J246" i="22"/>
  <c r="I104" i="22"/>
  <c r="H104" i="23" s="1"/>
  <c r="J104" i="22"/>
  <c r="AA361" i="24"/>
  <c r="Z361" i="24" s="1"/>
  <c r="Y361" i="24" s="1"/>
  <c r="G361" i="24"/>
  <c r="CE361" i="6" s="1"/>
  <c r="W99" i="25"/>
  <c r="D99" i="25"/>
  <c r="E99" i="25" s="1"/>
  <c r="F99" i="25" s="1"/>
  <c r="W226" i="25"/>
  <c r="D226" i="25"/>
  <c r="E226" i="25" s="1"/>
  <c r="F226" i="25" s="1"/>
  <c r="I300" i="22"/>
  <c r="H300" i="23" s="1"/>
  <c r="J300" i="22"/>
  <c r="J164" i="22"/>
  <c r="I164" i="22"/>
  <c r="H164" i="23" s="1"/>
  <c r="I344" i="22"/>
  <c r="H344" i="23" s="1"/>
  <c r="J344" i="22"/>
  <c r="I23" i="22"/>
  <c r="H23" i="23" s="1"/>
  <c r="J23" i="22"/>
  <c r="J97" i="22"/>
  <c r="I97" i="22"/>
  <c r="H97" i="23" s="1"/>
  <c r="J337" i="22"/>
  <c r="I337" i="22"/>
  <c r="H337" i="23" s="1"/>
  <c r="I259" i="22"/>
  <c r="H259" i="23" s="1"/>
  <c r="J259" i="22"/>
  <c r="J193" i="22"/>
  <c r="I193" i="22"/>
  <c r="H193" i="23" s="1"/>
  <c r="G299" i="25"/>
  <c r="CF299" i="6" s="1"/>
  <c r="AA299" i="25"/>
  <c r="Z299" i="25" s="1"/>
  <c r="Y299" i="25" s="1"/>
  <c r="W356" i="25"/>
  <c r="D356" i="25"/>
  <c r="E356" i="25" s="1"/>
  <c r="F356" i="25" s="1"/>
  <c r="I206" i="23"/>
  <c r="H206" i="24" s="1"/>
  <c r="J206" i="23"/>
  <c r="I24" i="23"/>
  <c r="H24" i="24" s="1"/>
  <c r="G243" i="25"/>
  <c r="CF243" i="6" s="1"/>
  <c r="AA243" i="25"/>
  <c r="Z243" i="25" s="1"/>
  <c r="Y243" i="25" s="1"/>
  <c r="W133" i="25"/>
  <c r="D133" i="25"/>
  <c r="E133" i="25" s="1"/>
  <c r="F133" i="25" s="1"/>
  <c r="G234" i="24"/>
  <c r="CE234" i="6" s="1"/>
  <c r="AA234" i="24"/>
  <c r="Z234" i="24" s="1"/>
  <c r="Y234" i="24" s="1"/>
  <c r="AA257" i="25"/>
  <c r="Z257" i="25" s="1"/>
  <c r="Y257" i="25" s="1"/>
  <c r="G257" i="25"/>
  <c r="CF257" i="6" s="1"/>
  <c r="G80" i="25"/>
  <c r="CF80" i="6" s="1"/>
  <c r="AA80" i="25"/>
  <c r="Z80" i="25" s="1"/>
  <c r="Y80" i="25" s="1"/>
  <c r="W88" i="25"/>
  <c r="D88" i="25"/>
  <c r="E88" i="25" s="1"/>
  <c r="F88" i="25" s="1"/>
  <c r="AA378" i="24"/>
  <c r="Z378" i="24" s="1"/>
  <c r="Y378" i="24" s="1"/>
  <c r="G378" i="24"/>
  <c r="CE378" i="6" s="1"/>
  <c r="G355" i="24"/>
  <c r="CE355" i="6" s="1"/>
  <c r="AA355" i="24"/>
  <c r="Z355" i="24" s="1"/>
  <c r="Y355" i="24" s="1"/>
  <c r="G199" i="25"/>
  <c r="CF199" i="6" s="1"/>
  <c r="AA199" i="25"/>
  <c r="Z199" i="25" s="1"/>
  <c r="Y199" i="25" s="1"/>
  <c r="J288" i="22"/>
  <c r="I288" i="22"/>
  <c r="H288" i="23" s="1"/>
  <c r="W245" i="25"/>
  <c r="D245" i="25"/>
  <c r="E245" i="25" s="1"/>
  <c r="F245" i="25" s="1"/>
  <c r="W169" i="25"/>
  <c r="D169" i="25"/>
  <c r="E169" i="25" s="1"/>
  <c r="F169" i="25" s="1"/>
  <c r="I218" i="23"/>
  <c r="H218" i="24" s="1"/>
  <c r="J218" i="23"/>
  <c r="G188" i="24"/>
  <c r="CE188" i="6" s="1"/>
  <c r="AA188" i="24"/>
  <c r="Z188" i="24" s="1"/>
  <c r="Y188" i="24" s="1"/>
  <c r="I86" i="23"/>
  <c r="H86" i="24" s="1"/>
  <c r="AA275" i="24"/>
  <c r="Z275" i="24" s="1"/>
  <c r="Y275" i="24" s="1"/>
  <c r="G275" i="24"/>
  <c r="CE275" i="6" s="1"/>
  <c r="W21" i="25"/>
  <c r="D21" i="25"/>
  <c r="E21" i="25" s="1"/>
  <c r="F21" i="25" s="1"/>
  <c r="G270" i="25"/>
  <c r="CF270" i="6" s="1"/>
  <c r="AA270" i="25"/>
  <c r="Z270" i="25" s="1"/>
  <c r="Y270" i="25" s="1"/>
  <c r="AA171" i="24"/>
  <c r="Z171" i="24" s="1"/>
  <c r="Y171" i="24" s="1"/>
  <c r="G171" i="24"/>
  <c r="CE171" i="6" s="1"/>
  <c r="G298" i="25"/>
  <c r="CF298" i="6" s="1"/>
  <c r="AA298" i="25"/>
  <c r="Z298" i="25" s="1"/>
  <c r="Y298" i="25" s="1"/>
  <c r="W263" i="25"/>
  <c r="D263" i="25"/>
  <c r="E263" i="25" s="1"/>
  <c r="F263" i="25" s="1"/>
  <c r="J135" i="22"/>
  <c r="I135" i="22"/>
  <c r="H135" i="23" s="1"/>
  <c r="AA177" i="25"/>
  <c r="Z177" i="25" s="1"/>
  <c r="Y177" i="25" s="1"/>
  <c r="G177" i="25"/>
  <c r="CF177" i="6" s="1"/>
  <c r="G240" i="24"/>
  <c r="CE240" i="6" s="1"/>
  <c r="AA240" i="24"/>
  <c r="Z240" i="24" s="1"/>
  <c r="Y240" i="24" s="1"/>
  <c r="W240" i="25"/>
  <c r="D240" i="25"/>
  <c r="E240" i="25" s="1"/>
  <c r="F240" i="25" s="1"/>
  <c r="W85" i="25"/>
  <c r="D85" i="25"/>
  <c r="E85" i="25" s="1"/>
  <c r="F85" i="25" s="1"/>
  <c r="W322" i="25"/>
  <c r="D322" i="25"/>
  <c r="E322" i="25" s="1"/>
  <c r="F322" i="25" s="1"/>
  <c r="W143" i="25"/>
  <c r="D143" i="25"/>
  <c r="E143" i="25" s="1"/>
  <c r="F143" i="25" s="1"/>
  <c r="G372" i="24"/>
  <c r="CE372" i="6" s="1"/>
  <c r="AA372" i="24"/>
  <c r="Z372" i="24" s="1"/>
  <c r="Y372" i="24" s="1"/>
  <c r="AA185" i="24"/>
  <c r="Z185" i="24" s="1"/>
  <c r="Y185" i="24" s="1"/>
  <c r="G185" i="24"/>
  <c r="CE185" i="6" s="1"/>
  <c r="G16" i="25"/>
  <c r="CF16" i="6" s="1"/>
  <c r="AA16" i="25"/>
  <c r="Z16" i="25" s="1"/>
  <c r="Y16" i="25" s="1"/>
  <c r="G58" i="24"/>
  <c r="CE58" i="6" s="1"/>
  <c r="AA58" i="24"/>
  <c r="Z58" i="24" s="1"/>
  <c r="Y58" i="24" s="1"/>
  <c r="I109" i="23"/>
  <c r="H109" i="24" s="1"/>
  <c r="J109" i="23"/>
  <c r="I53" i="23"/>
  <c r="H53" i="24" s="1"/>
  <c r="J53" i="23"/>
  <c r="G336" i="25"/>
  <c r="CF336" i="6" s="1"/>
  <c r="AA336" i="25"/>
  <c r="Z336" i="25" s="1"/>
  <c r="Y336" i="25" s="1"/>
  <c r="W253" i="25"/>
  <c r="D253" i="25"/>
  <c r="E253" i="25" s="1"/>
  <c r="F253" i="25" s="1"/>
  <c r="I352" i="23"/>
  <c r="H352" i="24" s="1"/>
  <c r="I377" i="22"/>
  <c r="H377" i="23" s="1"/>
  <c r="J377" i="22"/>
  <c r="J57" i="22"/>
  <c r="I57" i="22"/>
  <c r="H57" i="23" s="1"/>
  <c r="I216" i="22"/>
  <c r="H216" i="23" s="1"/>
  <c r="J216" i="22"/>
  <c r="I222" i="22"/>
  <c r="H222" i="23" s="1"/>
  <c r="J222" i="22"/>
  <c r="J80" i="22"/>
  <c r="I80" i="22"/>
  <c r="H80" i="23" s="1"/>
  <c r="J69" i="22"/>
  <c r="I69" i="22"/>
  <c r="H69" i="23" s="1"/>
  <c r="I231" i="22"/>
  <c r="H231" i="23" s="1"/>
  <c r="J231" i="22"/>
  <c r="J83" i="22"/>
  <c r="I83" i="22"/>
  <c r="H83" i="23" s="1"/>
  <c r="J258" i="22"/>
  <c r="I258" i="22"/>
  <c r="H258" i="23" s="1"/>
  <c r="I33" i="22"/>
  <c r="H33" i="23" s="1"/>
  <c r="J33" i="22"/>
  <c r="I207" i="22"/>
  <c r="H207" i="23" s="1"/>
  <c r="J207" i="22"/>
  <c r="J212" i="22"/>
  <c r="I212" i="22"/>
  <c r="H212" i="23" s="1"/>
  <c r="I359" i="22"/>
  <c r="H359" i="23" s="1"/>
  <c r="J359" i="22"/>
  <c r="I358" i="22"/>
  <c r="H358" i="23" s="1"/>
  <c r="J358" i="22"/>
  <c r="J174" i="22"/>
  <c r="I174" i="22"/>
  <c r="H174" i="23" s="1"/>
  <c r="I192" i="22"/>
  <c r="H192" i="23" s="1"/>
  <c r="J192" i="22"/>
  <c r="G324" i="25"/>
  <c r="CF324" i="6" s="1"/>
  <c r="AA324" i="25"/>
  <c r="Z324" i="25" s="1"/>
  <c r="Y324" i="25" s="1"/>
  <c r="G172" i="25"/>
  <c r="CF172" i="6" s="1"/>
  <c r="AA172" i="25"/>
  <c r="Z172" i="25" s="1"/>
  <c r="Y172" i="25" s="1"/>
  <c r="G141" i="25"/>
  <c r="CF141" i="6" s="1"/>
  <c r="AA141" i="25"/>
  <c r="Z141" i="25" s="1"/>
  <c r="Y141" i="25" s="1"/>
  <c r="I291" i="23"/>
  <c r="H291" i="24" s="1"/>
  <c r="AA49" i="24"/>
  <c r="Z49" i="24" s="1"/>
  <c r="Y49" i="24" s="1"/>
  <c r="G49" i="24"/>
  <c r="CE49" i="6" s="1"/>
  <c r="W62" i="25"/>
  <c r="D62" i="25"/>
  <c r="E62" i="25" s="1"/>
  <c r="F62" i="25" s="1"/>
  <c r="I309" i="23"/>
  <c r="H309" i="24" s="1"/>
  <c r="G338" i="25"/>
  <c r="CF338" i="6" s="1"/>
  <c r="AA338" i="25"/>
  <c r="Z338" i="25" s="1"/>
  <c r="Y338" i="25" s="1"/>
  <c r="G30" i="25"/>
  <c r="CF30" i="6" s="1"/>
  <c r="AA30" i="25"/>
  <c r="Z30" i="25" s="1"/>
  <c r="Y30" i="25" s="1"/>
  <c r="G325" i="24"/>
  <c r="CE325" i="6" s="1"/>
  <c r="AA325" i="24"/>
  <c r="Z325" i="24" s="1"/>
  <c r="Y325" i="24" s="1"/>
  <c r="G123" i="24"/>
  <c r="CE123" i="6" s="1"/>
  <c r="AA123" i="24"/>
  <c r="Z123" i="24" s="1"/>
  <c r="Y123" i="24" s="1"/>
  <c r="G89" i="24"/>
  <c r="CE89" i="6" s="1"/>
  <c r="AA89" i="24"/>
  <c r="Z89" i="24" s="1"/>
  <c r="Y89" i="24" s="1"/>
  <c r="W98" i="25"/>
  <c r="D98" i="25"/>
  <c r="E98" i="25" s="1"/>
  <c r="F98" i="25" s="1"/>
  <c r="G343" i="25"/>
  <c r="CF343" i="6" s="1"/>
  <c r="AA343" i="25"/>
  <c r="Z343" i="25" s="1"/>
  <c r="Y343" i="25" s="1"/>
  <c r="G315" i="24"/>
  <c r="CE315" i="6" s="1"/>
  <c r="AA315" i="24"/>
  <c r="Z315" i="24" s="1"/>
  <c r="Y315" i="24" s="1"/>
  <c r="W315" i="25"/>
  <c r="D315" i="25"/>
  <c r="E315" i="25" s="1"/>
  <c r="F315" i="25" s="1"/>
  <c r="W239" i="25"/>
  <c r="D239" i="25"/>
  <c r="E239" i="25" s="1"/>
  <c r="F239" i="25" s="1"/>
  <c r="G113" i="25"/>
  <c r="CF113" i="6" s="1"/>
  <c r="AA113" i="25"/>
  <c r="Z113" i="25" s="1"/>
  <c r="Y113" i="25" s="1"/>
  <c r="I266" i="22"/>
  <c r="H266" i="23" s="1"/>
  <c r="J266" i="22"/>
  <c r="G348" i="25"/>
  <c r="CF348" i="6" s="1"/>
  <c r="AA348" i="25"/>
  <c r="Z348" i="25" s="1"/>
  <c r="Y348" i="25" s="1"/>
  <c r="AA126" i="24"/>
  <c r="Z126" i="24" s="1"/>
  <c r="Y126" i="24" s="1"/>
  <c r="G126" i="24"/>
  <c r="CE126" i="6" s="1"/>
  <c r="W126" i="25"/>
  <c r="D126" i="25"/>
  <c r="E126" i="25" s="1"/>
  <c r="F126" i="25" s="1"/>
  <c r="G34" i="24"/>
  <c r="CE34" i="6" s="1"/>
  <c r="AA34" i="24"/>
  <c r="Z34" i="24" s="1"/>
  <c r="Y34" i="24" s="1"/>
  <c r="G341" i="25"/>
  <c r="CF341" i="6" s="1"/>
  <c r="AA341" i="25"/>
  <c r="Z341" i="25" s="1"/>
  <c r="Y341" i="25" s="1"/>
  <c r="G93" i="25"/>
  <c r="CF93" i="6" s="1"/>
  <c r="AA93" i="25"/>
  <c r="Z93" i="25" s="1"/>
  <c r="Y93" i="25" s="1"/>
  <c r="J110" i="22"/>
  <c r="I110" i="22"/>
  <c r="H110" i="23" s="1"/>
  <c r="G244" i="24"/>
  <c r="CE244" i="6" s="1"/>
  <c r="AA244" i="24"/>
  <c r="Z244" i="24" s="1"/>
  <c r="Y244" i="24" s="1"/>
  <c r="W157" i="25"/>
  <c r="D157" i="25"/>
  <c r="E157" i="25" s="1"/>
  <c r="F157" i="25" s="1"/>
  <c r="AA165" i="24"/>
  <c r="Z165" i="24" s="1"/>
  <c r="Y165" i="24" s="1"/>
  <c r="G165" i="24"/>
  <c r="CE165" i="6" s="1"/>
  <c r="G91" i="25"/>
  <c r="CF91" i="6" s="1"/>
  <c r="AA91" i="25"/>
  <c r="Z91" i="25" s="1"/>
  <c r="Y91" i="25" s="1"/>
  <c r="G256" i="24"/>
  <c r="CE256" i="6" s="1"/>
  <c r="AA256" i="24"/>
  <c r="Z256" i="24" s="1"/>
  <c r="Y256" i="24" s="1"/>
  <c r="G231" i="25"/>
  <c r="CF231" i="6" s="1"/>
  <c r="AA231" i="25"/>
  <c r="Z231" i="25" s="1"/>
  <c r="Y231" i="25" s="1"/>
  <c r="G228" i="25"/>
  <c r="CF228" i="6" s="1"/>
  <c r="AA228" i="25"/>
  <c r="Z228" i="25" s="1"/>
  <c r="Y228" i="25" s="1"/>
  <c r="G56" i="24"/>
  <c r="CE56" i="6" s="1"/>
  <c r="AA56" i="24"/>
  <c r="Z56" i="24" s="1"/>
  <c r="Y56" i="24" s="1"/>
  <c r="G273" i="24"/>
  <c r="CE273" i="6" s="1"/>
  <c r="AA273" i="24"/>
  <c r="Z273" i="24" s="1"/>
  <c r="Y273" i="24" s="1"/>
  <c r="AA74" i="24"/>
  <c r="Z74" i="24" s="1"/>
  <c r="Y74" i="24" s="1"/>
  <c r="G74" i="24"/>
  <c r="CE74" i="6" s="1"/>
  <c r="G35" i="25"/>
  <c r="CF35" i="6" s="1"/>
  <c r="AA35" i="25"/>
  <c r="Z35" i="25" s="1"/>
  <c r="Y35" i="25" s="1"/>
  <c r="W318" i="25"/>
  <c r="D318" i="25"/>
  <c r="E318" i="25" s="1"/>
  <c r="F318" i="25" s="1"/>
  <c r="I84" i="22"/>
  <c r="H84" i="23" s="1"/>
  <c r="J84" i="22"/>
  <c r="W283" i="25"/>
  <c r="D283" i="25"/>
  <c r="E283" i="25" s="1"/>
  <c r="F283" i="25" s="1"/>
  <c r="W76" i="25"/>
  <c r="D76" i="25"/>
  <c r="E76" i="25" s="1"/>
  <c r="F76" i="25" s="1"/>
  <c r="G156" i="24"/>
  <c r="CE156" i="6" s="1"/>
  <c r="AA156" i="24"/>
  <c r="Z156" i="24" s="1"/>
  <c r="Y156" i="24" s="1"/>
  <c r="G44" i="24"/>
  <c r="CE44" i="6" s="1"/>
  <c r="AA44" i="24"/>
  <c r="Z44" i="24" s="1"/>
  <c r="Y44" i="24" s="1"/>
  <c r="W87" i="25"/>
  <c r="D87" i="25"/>
  <c r="E87" i="25" s="1"/>
  <c r="F87" i="25" s="1"/>
  <c r="W220" i="25"/>
  <c r="D220" i="25"/>
  <c r="E220" i="25" s="1"/>
  <c r="F220" i="25" s="1"/>
  <c r="W317" i="25"/>
  <c r="D317" i="25"/>
  <c r="E317" i="25" s="1"/>
  <c r="F317" i="25" s="1"/>
  <c r="AA67" i="24"/>
  <c r="Z67" i="24" s="1"/>
  <c r="Y67" i="24" s="1"/>
  <c r="G67" i="24"/>
  <c r="CE67" i="6" s="1"/>
  <c r="W119" i="25"/>
  <c r="D119" i="25"/>
  <c r="E119" i="25" s="1"/>
  <c r="F119" i="25" s="1"/>
  <c r="G103" i="25"/>
  <c r="CF103" i="6" s="1"/>
  <c r="AA103" i="25"/>
  <c r="Z103" i="25" s="1"/>
  <c r="Y103" i="25" s="1"/>
  <c r="W310" i="25"/>
  <c r="D310" i="25"/>
  <c r="E310" i="25" s="1"/>
  <c r="F310" i="25" s="1"/>
  <c r="G242" i="25"/>
  <c r="CF242" i="6" s="1"/>
  <c r="AA242" i="25"/>
  <c r="Z242" i="25" s="1"/>
  <c r="Y242" i="25" s="1"/>
  <c r="G121" i="24"/>
  <c r="CE121" i="6" s="1"/>
  <c r="AA121" i="24"/>
  <c r="Z121" i="24" s="1"/>
  <c r="Y121" i="24" s="1"/>
  <c r="W112" i="25"/>
  <c r="D112" i="25"/>
  <c r="E112" i="25" s="1"/>
  <c r="F112" i="25" s="1"/>
  <c r="G195" i="25"/>
  <c r="CF195" i="6" s="1"/>
  <c r="AA195" i="25"/>
  <c r="Z195" i="25" s="1"/>
  <c r="Y195" i="25" s="1"/>
  <c r="I123" i="22"/>
  <c r="H123" i="23" s="1"/>
  <c r="G47" i="25"/>
  <c r="CF47" i="6" s="1"/>
  <c r="AA47" i="25"/>
  <c r="Z47" i="25" s="1"/>
  <c r="Y47" i="25" s="1"/>
  <c r="W176" i="25"/>
  <c r="D176" i="25"/>
  <c r="E176" i="25" s="1"/>
  <c r="F176" i="25" s="1"/>
  <c r="I128" i="23"/>
  <c r="H128" i="24" s="1"/>
  <c r="I219" i="22"/>
  <c r="H219" i="23" s="1"/>
  <c r="I261" i="23"/>
  <c r="H261" i="24" s="1"/>
  <c r="J261" i="23"/>
  <c r="G261" i="24"/>
  <c r="CE261" i="6" s="1"/>
  <c r="AA261" i="24"/>
  <c r="Z261" i="24" s="1"/>
  <c r="Y261" i="24" s="1"/>
  <c r="G46" i="24"/>
  <c r="CE46" i="6" s="1"/>
  <c r="AA46" i="24"/>
  <c r="Z46" i="24" s="1"/>
  <c r="Y46" i="24" s="1"/>
  <c r="I321" i="22"/>
  <c r="H321" i="23" s="1"/>
  <c r="J321" i="22"/>
  <c r="W182" i="25"/>
  <c r="D182" i="25"/>
  <c r="E182" i="25" s="1"/>
  <c r="F182" i="25" s="1"/>
  <c r="I239" i="22"/>
  <c r="H239" i="23" s="1"/>
  <c r="J239" i="22"/>
  <c r="G18" i="25"/>
  <c r="CF18" i="6" s="1"/>
  <c r="AA18" i="25"/>
  <c r="Z18" i="25" s="1"/>
  <c r="Y18" i="25" s="1"/>
  <c r="AA223" i="24"/>
  <c r="Z223" i="24" s="1"/>
  <c r="Y223" i="24" s="1"/>
  <c r="G223" i="24"/>
  <c r="CE223" i="6" s="1"/>
  <c r="AA251" i="25"/>
  <c r="Z251" i="25" s="1"/>
  <c r="Y251" i="25" s="1"/>
  <c r="G251" i="25"/>
  <c r="CF251" i="6" s="1"/>
  <c r="G162" i="24"/>
  <c r="CE162" i="6" s="1"/>
  <c r="AA162" i="24"/>
  <c r="Z162" i="24" s="1"/>
  <c r="Y162" i="24" s="1"/>
  <c r="G36" i="24"/>
  <c r="CE36" i="6" s="1"/>
  <c r="AA36" i="24"/>
  <c r="Z36" i="24" s="1"/>
  <c r="Y36" i="24" s="1"/>
  <c r="I279" i="22"/>
  <c r="H279" i="23" s="1"/>
  <c r="J279" i="22"/>
  <c r="AA304" i="25"/>
  <c r="Z304" i="25" s="1"/>
  <c r="Y304" i="25" s="1"/>
  <c r="G304" i="25"/>
  <c r="CF304" i="6" s="1"/>
  <c r="I256" i="22"/>
  <c r="H256" i="23" s="1"/>
  <c r="W139" i="25"/>
  <c r="D139" i="25"/>
  <c r="E139" i="25" s="1"/>
  <c r="F139" i="25" s="1"/>
  <c r="J334" i="23"/>
  <c r="I334" i="23"/>
  <c r="H334" i="24" s="1"/>
  <c r="W334" i="25"/>
  <c r="D334" i="25"/>
  <c r="E334" i="25" s="1"/>
  <c r="F334" i="25" s="1"/>
  <c r="J215" i="22"/>
  <c r="I215" i="22"/>
  <c r="H215" i="23" s="1"/>
  <c r="G104" i="24"/>
  <c r="CE104" i="6" s="1"/>
  <c r="AA104" i="24"/>
  <c r="Z104" i="24" s="1"/>
  <c r="Y104" i="24" s="1"/>
  <c r="I287" i="22"/>
  <c r="H287" i="23" s="1"/>
  <c r="J287" i="22"/>
  <c r="W347" i="25"/>
  <c r="D347" i="25"/>
  <c r="E347" i="25" s="1"/>
  <c r="F347" i="25" s="1"/>
  <c r="AA187" i="24"/>
  <c r="Z187" i="24" s="1"/>
  <c r="Y187" i="24" s="1"/>
  <c r="G187" i="24"/>
  <c r="CE187" i="6" s="1"/>
  <c r="AA274" i="24"/>
  <c r="Z274" i="24" s="1"/>
  <c r="Y274" i="24" s="1"/>
  <c r="G274" i="24"/>
  <c r="CE274" i="6" s="1"/>
  <c r="W274" i="25"/>
  <c r="D274" i="25"/>
  <c r="E274" i="25" s="1"/>
  <c r="F274" i="25" s="1"/>
  <c r="W114" i="25"/>
  <c r="D114" i="25"/>
  <c r="E114" i="25" s="1"/>
  <c r="F114" i="25" s="1"/>
  <c r="J226" i="22"/>
  <c r="I226" i="22"/>
  <c r="H226" i="23" s="1"/>
  <c r="J132" i="22"/>
  <c r="I132" i="22"/>
  <c r="H132" i="23" s="1"/>
  <c r="J35" i="22"/>
  <c r="I35" i="22"/>
  <c r="H35" i="23" s="1"/>
  <c r="J294" i="22"/>
  <c r="I294" i="22"/>
  <c r="H294" i="23" s="1"/>
  <c r="J70" i="22"/>
  <c r="I70" i="22"/>
  <c r="H70" i="23" s="1"/>
  <c r="J38" i="22"/>
  <c r="I38" i="22"/>
  <c r="H38" i="23" s="1"/>
  <c r="I351" i="22"/>
  <c r="H351" i="23" s="1"/>
  <c r="J351" i="22"/>
  <c r="I131" i="22"/>
  <c r="H131" i="23" s="1"/>
  <c r="J131" i="22"/>
  <c r="I326" i="22"/>
  <c r="H326" i="23" s="1"/>
  <c r="J326" i="22"/>
  <c r="I183" i="22"/>
  <c r="H183" i="23" s="1"/>
  <c r="J183" i="22"/>
  <c r="J208" i="22"/>
  <c r="I208" i="22"/>
  <c r="H208" i="23" s="1"/>
  <c r="I180" i="22"/>
  <c r="H180" i="23" s="1"/>
  <c r="J180" i="22"/>
  <c r="I170" i="22"/>
  <c r="H170" i="23" s="1"/>
  <c r="J170" i="22"/>
  <c r="I366" i="22"/>
  <c r="H366" i="23" s="1"/>
  <c r="J366" i="22"/>
  <c r="AA267" i="24"/>
  <c r="Z267" i="24" s="1"/>
  <c r="Y267" i="24" s="1"/>
  <c r="G267" i="24"/>
  <c r="CE267" i="6" s="1"/>
  <c r="G142" i="25"/>
  <c r="CF142" i="6" s="1"/>
  <c r="AA142" i="25"/>
  <c r="Z142" i="25" s="1"/>
  <c r="Y142" i="25" s="1"/>
  <c r="AA209" i="25"/>
  <c r="Z209" i="25" s="1"/>
  <c r="Y209" i="25" s="1"/>
  <c r="G209" i="25"/>
  <c r="CF209" i="6" s="1"/>
  <c r="W254" i="25"/>
  <c r="D254" i="25"/>
  <c r="E254" i="25" s="1"/>
  <c r="F254" i="25" s="1"/>
  <c r="W249" i="25"/>
  <c r="D249" i="25"/>
  <c r="E249" i="25" s="1"/>
  <c r="F249" i="25" s="1"/>
  <c r="W374" i="25"/>
  <c r="D374" i="25"/>
  <c r="E374" i="25" s="1"/>
  <c r="F374" i="25" s="1"/>
  <c r="G296" i="24"/>
  <c r="CE296" i="6" s="1"/>
  <c r="AA296" i="24"/>
  <c r="Z296" i="24" s="1"/>
  <c r="Y296" i="24" s="1"/>
  <c r="G282" i="24"/>
  <c r="CE282" i="6" s="1"/>
  <c r="AA282" i="24"/>
  <c r="Z282" i="24" s="1"/>
  <c r="Y282" i="24" s="1"/>
  <c r="AA219" i="24"/>
  <c r="Z219" i="24" s="1"/>
  <c r="Y219" i="24" s="1"/>
  <c r="G219" i="24"/>
  <c r="CE219" i="6" s="1"/>
  <c r="G175" i="25"/>
  <c r="CF175" i="6" s="1"/>
  <c r="AA175" i="25"/>
  <c r="Z175" i="25" s="1"/>
  <c r="Y175" i="25" s="1"/>
  <c r="G302" i="25"/>
  <c r="CF302" i="6" s="1"/>
  <c r="AA302" i="25"/>
  <c r="Z302" i="25" s="1"/>
  <c r="Y302" i="25" s="1"/>
  <c r="I349" i="23"/>
  <c r="H349" i="24" s="1"/>
  <c r="W349" i="25"/>
  <c r="D349" i="25"/>
  <c r="E349" i="25" s="1"/>
  <c r="F349" i="25" s="1"/>
  <c r="AA247" i="25"/>
  <c r="Z247" i="25" s="1"/>
  <c r="Y247" i="25" s="1"/>
  <c r="G247" i="25"/>
  <c r="CF247" i="6" s="1"/>
  <c r="G81" i="24"/>
  <c r="CE81" i="6" s="1"/>
  <c r="AA81" i="24"/>
  <c r="Z81" i="24" s="1"/>
  <c r="Y81" i="24" s="1"/>
  <c r="W81" i="25"/>
  <c r="D81" i="25"/>
  <c r="E81" i="25" s="1"/>
  <c r="F81" i="25" s="1"/>
  <c r="W321" i="25"/>
  <c r="D321" i="25"/>
  <c r="E321" i="25" s="1"/>
  <c r="F321" i="25" s="1"/>
  <c r="G350" i="24"/>
  <c r="CE350" i="6" s="1"/>
  <c r="AA350" i="24"/>
  <c r="Z350" i="24" s="1"/>
  <c r="Y350" i="24" s="1"/>
  <c r="W160" i="25"/>
  <c r="D160" i="25"/>
  <c r="E160" i="25" s="1"/>
  <c r="F160" i="25" s="1"/>
  <c r="W307" i="25"/>
  <c r="D307" i="25"/>
  <c r="E307" i="25" s="1"/>
  <c r="F307" i="25" s="1"/>
  <c r="AA31" i="24"/>
  <c r="Z31" i="24" s="1"/>
  <c r="Y31" i="24" s="1"/>
  <c r="G31" i="24"/>
  <c r="CE31" i="6" s="1"/>
  <c r="G37" i="24"/>
  <c r="CE37" i="6" s="1"/>
  <c r="AA37" i="24"/>
  <c r="Z37" i="24" s="1"/>
  <c r="Y37" i="24" s="1"/>
  <c r="G222" i="25"/>
  <c r="CF222" i="6" s="1"/>
  <c r="AA222" i="25"/>
  <c r="Z222" i="25" s="1"/>
  <c r="Y222" i="25" s="1"/>
  <c r="G198" i="24"/>
  <c r="CE198" i="6" s="1"/>
  <c r="AA198" i="24"/>
  <c r="Z198" i="24" s="1"/>
  <c r="Y198" i="24" s="1"/>
  <c r="W198" i="25"/>
  <c r="D198" i="25"/>
  <c r="E198" i="25" s="1"/>
  <c r="F198" i="25" s="1"/>
  <c r="AA279" i="24"/>
  <c r="Z279" i="24" s="1"/>
  <c r="Y279" i="24" s="1"/>
  <c r="G279" i="24"/>
  <c r="CE279" i="6" s="1"/>
  <c r="J51" i="22"/>
  <c r="I51" i="22"/>
  <c r="H51" i="23" s="1"/>
  <c r="G124" i="24"/>
  <c r="CE124" i="6" s="1"/>
  <c r="AA124" i="24"/>
  <c r="Z124" i="24" s="1"/>
  <c r="Y124" i="24" s="1"/>
  <c r="G285" i="25"/>
  <c r="CF285" i="6" s="1"/>
  <c r="AA285" i="25"/>
  <c r="Z285" i="25" s="1"/>
  <c r="Y285" i="25" s="1"/>
  <c r="G181" i="24"/>
  <c r="CE181" i="6" s="1"/>
  <c r="AA181" i="24"/>
  <c r="Z181" i="24" s="1"/>
  <c r="Y181" i="24" s="1"/>
  <c r="W268" i="25"/>
  <c r="D268" i="25"/>
  <c r="E268" i="25" s="1"/>
  <c r="F268" i="25" s="1"/>
  <c r="I361" i="23"/>
  <c r="H361" i="24" s="1"/>
  <c r="G69" i="25"/>
  <c r="CF69" i="6" s="1"/>
  <c r="AA69" i="25"/>
  <c r="Z69" i="25" s="1"/>
  <c r="Y69" i="25" s="1"/>
  <c r="G227" i="25"/>
  <c r="CF227" i="6" s="1"/>
  <c r="AA227" i="25"/>
  <c r="Z227" i="25" s="1"/>
  <c r="Y227" i="25" s="1"/>
  <c r="J29" i="22"/>
  <c r="I29" i="22"/>
  <c r="H29" i="23" s="1"/>
  <c r="G206" i="24"/>
  <c r="CE206" i="6" s="1"/>
  <c r="AA206" i="24"/>
  <c r="Z206" i="24" s="1"/>
  <c r="Y206" i="24" s="1"/>
  <c r="G24" i="24"/>
  <c r="CE24" i="6" s="1"/>
  <c r="AA24" i="24"/>
  <c r="Z24" i="24" s="1"/>
  <c r="Y24" i="24" s="1"/>
  <c r="G329" i="25"/>
  <c r="CF329" i="6" s="1"/>
  <c r="AA329" i="25"/>
  <c r="Z329" i="25" s="1"/>
  <c r="Y329" i="25" s="1"/>
  <c r="AA260" i="25"/>
  <c r="Z260" i="25" s="1"/>
  <c r="Y260" i="25" s="1"/>
  <c r="G260" i="25"/>
  <c r="CF260" i="6" s="1"/>
  <c r="W272" i="25"/>
  <c r="D272" i="25"/>
  <c r="E272" i="25" s="1"/>
  <c r="F272" i="25" s="1"/>
  <c r="W22" i="25"/>
  <c r="D22" i="25"/>
  <c r="E22" i="25" s="1"/>
  <c r="F22" i="25" s="1"/>
  <c r="W137" i="25"/>
  <c r="D137" i="25"/>
  <c r="E137" i="25" s="1"/>
  <c r="F137" i="25" s="1"/>
  <c r="W102" i="25"/>
  <c r="D102" i="25"/>
  <c r="E102" i="25" s="1"/>
  <c r="F102" i="25" s="1"/>
  <c r="W25" i="25"/>
  <c r="D25" i="25"/>
  <c r="E25" i="25" s="1"/>
  <c r="F25" i="25" s="1"/>
  <c r="AA370" i="25"/>
  <c r="Z370" i="25" s="1"/>
  <c r="Y370" i="25" s="1"/>
  <c r="G370" i="25"/>
  <c r="CF370" i="6" s="1"/>
  <c r="G202" i="25"/>
  <c r="CF202" i="6" s="1"/>
  <c r="AA202" i="25"/>
  <c r="Z202" i="25" s="1"/>
  <c r="Y202" i="25" s="1"/>
  <c r="W288" i="25"/>
  <c r="D288" i="25"/>
  <c r="E288" i="25" s="1"/>
  <c r="F288" i="25" s="1"/>
  <c r="G313" i="25"/>
  <c r="CF313" i="6" s="1"/>
  <c r="AA313" i="25"/>
  <c r="Z313" i="25" s="1"/>
  <c r="Y313" i="25" s="1"/>
  <c r="W218" i="25"/>
  <c r="D218" i="25"/>
  <c r="E218" i="25" s="1"/>
  <c r="F218" i="25" s="1"/>
  <c r="W86" i="25"/>
  <c r="D86" i="25"/>
  <c r="E86" i="25" s="1"/>
  <c r="F86" i="25" s="1"/>
  <c r="W303" i="25"/>
  <c r="D303" i="25"/>
  <c r="E303" i="25" s="1"/>
  <c r="F303" i="25" s="1"/>
  <c r="I275" i="23"/>
  <c r="H275" i="24" s="1"/>
  <c r="J275" i="23"/>
  <c r="I45" i="22"/>
  <c r="H45" i="23" s="1"/>
  <c r="I171" i="23"/>
  <c r="H171" i="24" s="1"/>
  <c r="G365" i="24"/>
  <c r="CE365" i="6" s="1"/>
  <c r="AA365" i="24"/>
  <c r="Z365" i="24" s="1"/>
  <c r="Y365" i="24" s="1"/>
  <c r="G136" i="25"/>
  <c r="CF136" i="6" s="1"/>
  <c r="AA136" i="25"/>
  <c r="Z136" i="25" s="1"/>
  <c r="Y136" i="25" s="1"/>
  <c r="I263" i="23"/>
  <c r="H263" i="24" s="1"/>
  <c r="AA155" i="25"/>
  <c r="Z155" i="25" s="1"/>
  <c r="Y155" i="25" s="1"/>
  <c r="G155" i="25"/>
  <c r="CF155" i="6" s="1"/>
  <c r="G43" i="25"/>
  <c r="CF43" i="6" s="1"/>
  <c r="AA43" i="25"/>
  <c r="Z43" i="25" s="1"/>
  <c r="Y43" i="25" s="1"/>
  <c r="W150" i="25"/>
  <c r="D150" i="25"/>
  <c r="E150" i="25" s="1"/>
  <c r="F150" i="25" s="1"/>
  <c r="J227" i="22"/>
  <c r="I227" i="22"/>
  <c r="H227" i="23" s="1"/>
  <c r="I224" i="22"/>
  <c r="H224" i="23" s="1"/>
  <c r="J224" i="22"/>
  <c r="J286" i="22"/>
  <c r="I286" i="22"/>
  <c r="H286" i="23" s="1"/>
  <c r="I200" i="22"/>
  <c r="H200" i="23" s="1"/>
  <c r="J200" i="22"/>
  <c r="J172" i="22"/>
  <c r="I172" i="22"/>
  <c r="H172" i="23" s="1"/>
  <c r="I122" i="22"/>
  <c r="H122" i="23" s="1"/>
  <c r="J122" i="22"/>
  <c r="I195" i="22"/>
  <c r="H195" i="23" s="1"/>
  <c r="J195" i="22"/>
  <c r="J81" i="22"/>
  <c r="I81" i="22"/>
  <c r="H81" i="23" s="1"/>
  <c r="G289" i="24"/>
  <c r="CE289" i="6" s="1"/>
  <c r="AA289" i="24"/>
  <c r="Z289" i="24" s="1"/>
  <c r="Y289" i="24" s="1"/>
  <c r="I65" i="23"/>
  <c r="H65" i="24" s="1"/>
  <c r="W148" i="25"/>
  <c r="D148" i="25"/>
  <c r="E148" i="25" s="1"/>
  <c r="F148" i="25" s="1"/>
  <c r="AA293" i="25"/>
  <c r="Z293" i="25" s="1"/>
  <c r="Y293" i="25" s="1"/>
  <c r="G293" i="25"/>
  <c r="CF293" i="6" s="1"/>
  <c r="W201" i="25"/>
  <c r="D201" i="25"/>
  <c r="E201" i="25" s="1"/>
  <c r="F201" i="25" s="1"/>
  <c r="W110" i="25"/>
  <c r="D110" i="25"/>
  <c r="E110" i="25" s="1"/>
  <c r="F110" i="25" s="1"/>
  <c r="I346" i="22"/>
  <c r="H346" i="23" s="1"/>
  <c r="W90" i="25"/>
  <c r="D90" i="25"/>
  <c r="E90" i="25" s="1"/>
  <c r="F90" i="25" s="1"/>
  <c r="G286" i="25"/>
  <c r="CF286" i="6" s="1"/>
  <c r="AA286" i="25"/>
  <c r="Z286" i="25" s="1"/>
  <c r="Y286" i="25" s="1"/>
  <c r="I58" i="22"/>
  <c r="H58" i="23" s="1"/>
  <c r="G109" i="24"/>
  <c r="CE109" i="6" s="1"/>
  <c r="AA109" i="24"/>
  <c r="Z109" i="24" s="1"/>
  <c r="Y109" i="24" s="1"/>
  <c r="I364" i="22"/>
  <c r="H364" i="23" s="1"/>
  <c r="J364" i="22"/>
  <c r="AA53" i="24"/>
  <c r="Z53" i="24" s="1"/>
  <c r="Y53" i="24" s="1"/>
  <c r="G53" i="24"/>
  <c r="CE53" i="6" s="1"/>
  <c r="J56" i="22"/>
  <c r="I56" i="22"/>
  <c r="H56" i="23" s="1"/>
  <c r="G167" i="25"/>
  <c r="CF167" i="6" s="1"/>
  <c r="AA167" i="25"/>
  <c r="Z167" i="25" s="1"/>
  <c r="Y167" i="25" s="1"/>
  <c r="AA369" i="24"/>
  <c r="Z369" i="24" s="1"/>
  <c r="Y369" i="24" s="1"/>
  <c r="G369" i="24"/>
  <c r="CE369" i="6" s="1"/>
  <c r="G333" i="24"/>
  <c r="CE333" i="6" s="1"/>
  <c r="AA333" i="24"/>
  <c r="Z333" i="24" s="1"/>
  <c r="Y333" i="24" s="1"/>
  <c r="G29" i="24"/>
  <c r="CE29" i="6" s="1"/>
  <c r="AA29" i="24"/>
  <c r="Z29" i="24" s="1"/>
  <c r="Y29" i="24" s="1"/>
  <c r="G134" i="25"/>
  <c r="CF134" i="6" s="1"/>
  <c r="AA134" i="25"/>
  <c r="Z134" i="25" s="1"/>
  <c r="Y134" i="25" s="1"/>
  <c r="AA280" i="25"/>
  <c r="Z280" i="25" s="1"/>
  <c r="Y280" i="25" s="1"/>
  <c r="G280" i="25"/>
  <c r="CF280" i="6" s="1"/>
  <c r="G339" i="24"/>
  <c r="CE339" i="6" s="1"/>
  <c r="AA339" i="24"/>
  <c r="Z339" i="24" s="1"/>
  <c r="Y339" i="24" s="1"/>
  <c r="W309" i="25"/>
  <c r="D309" i="25"/>
  <c r="E309" i="25" s="1"/>
  <c r="F309" i="25" s="1"/>
  <c r="G45" i="24"/>
  <c r="CE45" i="6" s="1"/>
  <c r="AA45" i="24"/>
  <c r="Z45" i="24" s="1"/>
  <c r="Y45" i="24" s="1"/>
  <c r="W45" i="25"/>
  <c r="D45" i="25"/>
  <c r="E45" i="25" s="1"/>
  <c r="F45" i="25" s="1"/>
  <c r="G230" i="25"/>
  <c r="CF230" i="6" s="1"/>
  <c r="AA230" i="25"/>
  <c r="Z230" i="25" s="1"/>
  <c r="Y230" i="25" s="1"/>
  <c r="W61" i="25"/>
  <c r="D61" i="25"/>
  <c r="E61" i="25" s="1"/>
  <c r="F61" i="25" s="1"/>
  <c r="J194" i="23"/>
  <c r="I194" i="23"/>
  <c r="H194" i="24" s="1"/>
  <c r="AA194" i="24"/>
  <c r="Z194" i="24" s="1"/>
  <c r="Y194" i="24" s="1"/>
  <c r="G194" i="24"/>
  <c r="CE194" i="6" s="1"/>
  <c r="G149" i="25"/>
  <c r="CF149" i="6" s="1"/>
  <c r="AA149" i="25"/>
  <c r="Z149" i="25" s="1"/>
  <c r="Y149" i="25" s="1"/>
  <c r="J30" i="22"/>
  <c r="I30" i="22"/>
  <c r="H30" i="23" s="1"/>
  <c r="J54" i="22"/>
  <c r="I54" i="22"/>
  <c r="H54" i="23" s="1"/>
  <c r="W163" i="25"/>
  <c r="D163" i="25"/>
  <c r="E163" i="25" s="1"/>
  <c r="F163" i="25" s="1"/>
  <c r="G200" i="25"/>
  <c r="CF200" i="6" s="1"/>
  <c r="AA200" i="25"/>
  <c r="Z200" i="25" s="1"/>
  <c r="Y200" i="25" s="1"/>
  <c r="AA168" i="25"/>
  <c r="Z168" i="25" s="1"/>
  <c r="Y168" i="25" s="1"/>
  <c r="G168" i="25"/>
  <c r="CF168" i="6" s="1"/>
  <c r="J72" i="22"/>
  <c r="I72" i="22"/>
  <c r="H72" i="23" s="1"/>
  <c r="J315" i="22"/>
  <c r="I315" i="22"/>
  <c r="H315" i="23" s="1"/>
  <c r="AA238" i="25"/>
  <c r="Z238" i="25" s="1"/>
  <c r="Y238" i="25" s="1"/>
  <c r="G238" i="25"/>
  <c r="CF238" i="6" s="1"/>
  <c r="W357" i="25"/>
  <c r="D357" i="25"/>
  <c r="E357" i="25" s="1"/>
  <c r="F357" i="25" s="1"/>
  <c r="AA250" i="24"/>
  <c r="Z250" i="24" s="1"/>
  <c r="Y250" i="24" s="1"/>
  <c r="G250" i="24"/>
  <c r="CE250" i="6" s="1"/>
  <c r="I34" i="23"/>
  <c r="H34" i="24" s="1"/>
  <c r="W140" i="25"/>
  <c r="D140" i="25"/>
  <c r="E140" i="25" s="1"/>
  <c r="F140" i="25" s="1"/>
  <c r="G248" i="24"/>
  <c r="CE248" i="6" s="1"/>
  <c r="AA248" i="24"/>
  <c r="Z248" i="24" s="1"/>
  <c r="Y248" i="24" s="1"/>
  <c r="W248" i="25"/>
  <c r="D248" i="25"/>
  <c r="E248" i="25" s="1"/>
  <c r="F248" i="25" s="1"/>
  <c r="J295" i="23"/>
  <c r="I295" i="23"/>
  <c r="H295" i="24" s="1"/>
  <c r="G204" i="25"/>
  <c r="CF204" i="6" s="1"/>
  <c r="AA204" i="25"/>
  <c r="Z204" i="25" s="1"/>
  <c r="Y204" i="25" s="1"/>
  <c r="W264" i="25"/>
  <c r="D264" i="25"/>
  <c r="E264" i="25" s="1"/>
  <c r="F264" i="25" s="1"/>
  <c r="G117" i="25"/>
  <c r="CF117" i="6" s="1"/>
  <c r="AA117" i="25"/>
  <c r="Z117" i="25" s="1"/>
  <c r="Y117" i="25" s="1"/>
  <c r="AA330" i="24"/>
  <c r="Z330" i="24" s="1"/>
  <c r="Y330" i="24" s="1"/>
  <c r="G330" i="24"/>
  <c r="CE330" i="6" s="1"/>
  <c r="AA27" i="24"/>
  <c r="Z27" i="24" s="1"/>
  <c r="Y27" i="24" s="1"/>
  <c r="G27" i="24"/>
  <c r="CE27" i="6" s="1"/>
  <c r="AA151" i="25"/>
  <c r="Z151" i="25" s="1"/>
  <c r="Y151" i="25" s="1"/>
  <c r="G151" i="25"/>
  <c r="CF151" i="6" s="1"/>
  <c r="G170" i="25"/>
  <c r="CF170" i="6" s="1"/>
  <c r="AA170" i="25"/>
  <c r="Z170" i="25" s="1"/>
  <c r="Y170" i="25" s="1"/>
  <c r="I74" i="23"/>
  <c r="H74" i="24" s="1"/>
  <c r="I243" i="22"/>
  <c r="H243" i="23" s="1"/>
  <c r="J243" i="22"/>
  <c r="I363" i="22"/>
  <c r="H363" i="23" s="1"/>
  <c r="J363" i="22"/>
  <c r="I76" i="23"/>
  <c r="H76" i="24" s="1"/>
  <c r="G73" i="24"/>
  <c r="CE73" i="6" s="1"/>
  <c r="AA73" i="24"/>
  <c r="Z73" i="24" s="1"/>
  <c r="Y73" i="24" s="1"/>
  <c r="W345" i="25"/>
  <c r="D345" i="25"/>
  <c r="E345" i="25" s="1"/>
  <c r="F345" i="25" s="1"/>
  <c r="G115" i="24"/>
  <c r="CE115" i="6" s="1"/>
  <c r="AA115" i="24"/>
  <c r="Z115" i="24" s="1"/>
  <c r="Y115" i="24" s="1"/>
  <c r="G337" i="25"/>
  <c r="CF337" i="6" s="1"/>
  <c r="AA337" i="25"/>
  <c r="Z337" i="25" s="1"/>
  <c r="Y337" i="25" s="1"/>
  <c r="I267" i="22"/>
  <c r="H267" i="23" s="1"/>
  <c r="J191" i="23"/>
  <c r="I191" i="23"/>
  <c r="H191" i="24" s="1"/>
  <c r="W191" i="25"/>
  <c r="D191" i="25"/>
  <c r="E191" i="25" s="1"/>
  <c r="F191" i="25" s="1"/>
  <c r="G371" i="24"/>
  <c r="CE371" i="6" s="1"/>
  <c r="AA371" i="24"/>
  <c r="Z371" i="24" s="1"/>
  <c r="Y371" i="24" s="1"/>
  <c r="G196" i="24"/>
  <c r="CE196" i="6" s="1"/>
  <c r="AA196" i="24"/>
  <c r="Z196" i="24" s="1"/>
  <c r="Y196" i="24" s="1"/>
  <c r="I232" i="22"/>
  <c r="H232" i="23" s="1"/>
  <c r="G235" i="25"/>
  <c r="CF235" i="6" s="1"/>
  <c r="AA235" i="25"/>
  <c r="Z235" i="25" s="1"/>
  <c r="Y235" i="25" s="1"/>
  <c r="W311" i="25"/>
  <c r="D311" i="25"/>
  <c r="E311" i="25" s="1"/>
  <c r="F311" i="25" s="1"/>
  <c r="I362" i="22"/>
  <c r="H362" i="23" s="1"/>
  <c r="W186" i="25"/>
  <c r="D186" i="25"/>
  <c r="E186" i="25" s="1"/>
  <c r="F186" i="25" s="1"/>
  <c r="G359" i="25"/>
  <c r="CF359" i="6" s="1"/>
  <c r="AA359" i="25"/>
  <c r="Z359" i="25" s="1"/>
  <c r="Y359" i="25" s="1"/>
  <c r="I277" i="22"/>
  <c r="H277" i="23" s="1"/>
  <c r="G203" i="24"/>
  <c r="CE203" i="6" s="1"/>
  <c r="AA203" i="24"/>
  <c r="Z203" i="24" s="1"/>
  <c r="Y203" i="24" s="1"/>
  <c r="W144" i="25"/>
  <c r="D144" i="25"/>
  <c r="E144" i="25" s="1"/>
  <c r="F144" i="25" s="1"/>
  <c r="AA221" i="25"/>
  <c r="Z221" i="25" s="1"/>
  <c r="Y221" i="25" s="1"/>
  <c r="G221" i="25"/>
  <c r="CF221" i="6" s="1"/>
  <c r="G128" i="24"/>
  <c r="CE128" i="6" s="1"/>
  <c r="AA128" i="24"/>
  <c r="Z128" i="24" s="1"/>
  <c r="Y128" i="24" s="1"/>
  <c r="I127" i="22"/>
  <c r="H127" i="23" s="1"/>
  <c r="J46" i="23"/>
  <c r="I46" i="23"/>
  <c r="H46" i="24" s="1"/>
  <c r="G60" i="24"/>
  <c r="CE60" i="6" s="1"/>
  <c r="AA60" i="24"/>
  <c r="Z60" i="24" s="1"/>
  <c r="Y60" i="24" s="1"/>
  <c r="G77" i="24"/>
  <c r="CE77" i="6" s="1"/>
  <c r="AA77" i="24"/>
  <c r="Z77" i="24" s="1"/>
  <c r="Y77" i="24" s="1"/>
  <c r="I301" i="22"/>
  <c r="H301" i="23" s="1"/>
  <c r="J301" i="22"/>
  <c r="J101" i="22"/>
  <c r="I101" i="22"/>
  <c r="H101" i="23" s="1"/>
  <c r="J50" i="22"/>
  <c r="I50" i="22"/>
  <c r="H50" i="23" s="1"/>
  <c r="J338" i="22"/>
  <c r="I338" i="22"/>
  <c r="H338" i="23" s="1"/>
  <c r="I68" i="22"/>
  <c r="H68" i="23" s="1"/>
  <c r="J68" i="22"/>
  <c r="J324" i="22"/>
  <c r="I324" i="22"/>
  <c r="H324" i="23" s="1"/>
  <c r="I255" i="22"/>
  <c r="H255" i="23" s="1"/>
  <c r="J255" i="22"/>
  <c r="I229" i="22"/>
  <c r="H229" i="23" s="1"/>
  <c r="J229" i="22"/>
  <c r="J158" i="22"/>
  <c r="I158" i="22"/>
  <c r="H158" i="23" s="1"/>
  <c r="J360" i="22"/>
  <c r="I360" i="22"/>
  <c r="H360" i="23" s="1"/>
  <c r="I141" i="22"/>
  <c r="H141" i="23" s="1"/>
  <c r="J141" i="22"/>
  <c r="I147" i="22"/>
  <c r="H147" i="23" s="1"/>
  <c r="J147" i="22"/>
  <c r="I93" i="22"/>
  <c r="H93" i="23" s="1"/>
  <c r="J93" i="22"/>
  <c r="J118" i="22"/>
  <c r="I118" i="22"/>
  <c r="H118" i="23" s="1"/>
  <c r="J63" i="22"/>
  <c r="I63" i="22"/>
  <c r="H63" i="23" s="1"/>
  <c r="J302" i="22"/>
  <c r="I302" i="22"/>
  <c r="H302" i="23" s="1"/>
  <c r="I368" i="22"/>
  <c r="H368" i="23" s="1"/>
  <c r="J368" i="22"/>
  <c r="G38" i="25"/>
  <c r="CF38" i="6" s="1"/>
  <c r="AA38" i="25"/>
  <c r="Z38" i="25" s="1"/>
  <c r="Y38" i="25" s="1"/>
  <c r="I332" i="22"/>
  <c r="H332" i="23" s="1"/>
  <c r="J332" i="22"/>
  <c r="I182" i="22"/>
  <c r="H182" i="23" s="1"/>
  <c r="AA78" i="24"/>
  <c r="Z78" i="24" s="1"/>
  <c r="Y78" i="24" s="1"/>
  <c r="G78" i="24"/>
  <c r="CE78" i="6" s="1"/>
  <c r="G72" i="24"/>
  <c r="CE72" i="6" s="1"/>
  <c r="AA72" i="24"/>
  <c r="Z72" i="24" s="1"/>
  <c r="Y72" i="24" s="1"/>
  <c r="W266" i="25"/>
  <c r="D266" i="25"/>
  <c r="E266" i="25" s="1"/>
  <c r="F266" i="25" s="1"/>
  <c r="G373" i="24"/>
  <c r="CE373" i="6" s="1"/>
  <c r="AA373" i="24"/>
  <c r="Z373" i="24" s="1"/>
  <c r="Y373" i="24" s="1"/>
  <c r="W373" i="25"/>
  <c r="D373" i="25"/>
  <c r="E373" i="25" s="1"/>
  <c r="F373" i="25" s="1"/>
  <c r="I307" i="22"/>
  <c r="H307" i="23" s="1"/>
  <c r="J307" i="22"/>
  <c r="G259" i="25"/>
  <c r="CF259" i="6" s="1"/>
  <c r="AA259" i="25"/>
  <c r="Z259" i="25" s="1"/>
  <c r="Y259" i="25" s="1"/>
  <c r="W145" i="25"/>
  <c r="D145" i="25"/>
  <c r="E145" i="25" s="1"/>
  <c r="F145" i="25" s="1"/>
  <c r="G340" i="24"/>
  <c r="CE340" i="6" s="1"/>
  <c r="AA340" i="24"/>
  <c r="Z340" i="24" s="1"/>
  <c r="Y340" i="24" s="1"/>
  <c r="W340" i="25"/>
  <c r="D340" i="25"/>
  <c r="E340" i="25" s="1"/>
  <c r="F340" i="25" s="1"/>
  <c r="AA212" i="25"/>
  <c r="Z212" i="25" s="1"/>
  <c r="Y212" i="25" s="1"/>
  <c r="G212" i="25"/>
  <c r="CF212" i="6" s="1"/>
  <c r="G51" i="24"/>
  <c r="CE51" i="6" s="1"/>
  <c r="AA51" i="24"/>
  <c r="Z51" i="24" s="1"/>
  <c r="Y51" i="24" s="1"/>
  <c r="I181" i="22"/>
  <c r="H181" i="23" s="1"/>
  <c r="J181" i="22"/>
  <c r="G246" i="24"/>
  <c r="CE246" i="6" s="1"/>
  <c r="AA246" i="24"/>
  <c r="Z246" i="24" s="1"/>
  <c r="Y246" i="24" s="1"/>
  <c r="W246" i="25"/>
  <c r="D246" i="25"/>
  <c r="E246" i="25" s="1"/>
  <c r="F246" i="25" s="1"/>
  <c r="G75" i="24"/>
  <c r="CE75" i="6" s="1"/>
  <c r="AA75" i="24"/>
  <c r="Z75" i="24" s="1"/>
  <c r="Y75" i="24" s="1"/>
  <c r="G32" i="25"/>
  <c r="CF32" i="6" s="1"/>
  <c r="AA32" i="25"/>
  <c r="Z32" i="25" s="1"/>
  <c r="Y32" i="25" s="1"/>
  <c r="W213" i="25"/>
  <c r="D213" i="25"/>
  <c r="E213" i="25" s="1"/>
  <c r="F213" i="25" s="1"/>
  <c r="W20" i="25"/>
  <c r="D20" i="25"/>
  <c r="E20" i="25" s="1"/>
  <c r="F20" i="25" s="1"/>
  <c r="W42" i="25"/>
  <c r="D42" i="25"/>
  <c r="E42" i="25" s="1"/>
  <c r="F42" i="25" s="1"/>
  <c r="G189" i="25"/>
  <c r="CF189" i="6" s="1"/>
  <c r="AA189" i="25"/>
  <c r="Z189" i="25" s="1"/>
  <c r="Y189" i="25" s="1"/>
  <c r="I374" i="23"/>
  <c r="H374" i="24" s="1"/>
  <c r="G362" i="24"/>
  <c r="CE362" i="6" s="1"/>
  <c r="AA362" i="24"/>
  <c r="Z362" i="24" s="1"/>
  <c r="Y362" i="24" s="1"/>
  <c r="G225" i="24"/>
  <c r="CE225" i="6" s="1"/>
  <c r="AA225" i="24"/>
  <c r="Z225" i="24" s="1"/>
  <c r="Y225" i="24" s="1"/>
  <c r="G292" i="24"/>
  <c r="CE292" i="6" s="1"/>
  <c r="AA292" i="24"/>
  <c r="Z292" i="24" s="1"/>
  <c r="Y292" i="24" s="1"/>
  <c r="AA375" i="25"/>
  <c r="Z375" i="25" s="1"/>
  <c r="Y375" i="25" s="1"/>
  <c r="G375" i="25"/>
  <c r="CF375" i="6" s="1"/>
  <c r="G92" i="25"/>
  <c r="CF92" i="6" s="1"/>
  <c r="AA92" i="25"/>
  <c r="Z92" i="25" s="1"/>
  <c r="Y92" i="25" s="1"/>
  <c r="G173" i="24"/>
  <c r="CE173" i="6" s="1"/>
  <c r="AA173" i="24"/>
  <c r="Z173" i="24" s="1"/>
  <c r="Y173" i="24" s="1"/>
  <c r="G17" i="25"/>
  <c r="CF17" i="6" s="1"/>
  <c r="AA17" i="25"/>
  <c r="Z17" i="25" s="1"/>
  <c r="Y17" i="25" s="1"/>
  <c r="W159" i="25"/>
  <c r="D159" i="25"/>
  <c r="E159" i="25" s="1"/>
  <c r="F159" i="25" s="1"/>
  <c r="G161" i="24"/>
  <c r="CE161" i="6" s="1"/>
  <c r="AA161" i="24"/>
  <c r="Z161" i="24" s="1"/>
  <c r="Y161" i="24" s="1"/>
  <c r="AA135" i="24"/>
  <c r="Z135" i="24" s="1"/>
  <c r="Y135" i="24" s="1"/>
  <c r="G135" i="24"/>
  <c r="CE135" i="6" s="1"/>
  <c r="I312" i="22"/>
  <c r="H312" i="23" s="1"/>
  <c r="J312" i="22"/>
  <c r="J19" i="22"/>
  <c r="I19" i="22"/>
  <c r="H19" i="23" s="1"/>
  <c r="I197" i="22"/>
  <c r="H197" i="23" s="1"/>
  <c r="J197" i="22"/>
  <c r="I313" i="22"/>
  <c r="H313" i="23" s="1"/>
  <c r="J313" i="22"/>
  <c r="J32" i="22"/>
  <c r="I32" i="22"/>
  <c r="H32" i="23" s="1"/>
  <c r="I342" i="22"/>
  <c r="H342" i="23" s="1"/>
  <c r="J342" i="22"/>
  <c r="J190" i="22"/>
  <c r="I190" i="22"/>
  <c r="H190" i="23" s="1"/>
  <c r="J304" i="22"/>
  <c r="I304" i="22"/>
  <c r="H304" i="23" s="1"/>
  <c r="J151" i="22"/>
  <c r="I151" i="22"/>
  <c r="H151" i="23" s="1"/>
  <c r="I107" i="22"/>
  <c r="H107" i="23" s="1"/>
  <c r="J107" i="22"/>
  <c r="J260" i="22"/>
  <c r="I260" i="22"/>
  <c r="H260" i="23" s="1"/>
  <c r="I299" i="22"/>
  <c r="H299" i="23" s="1"/>
  <c r="J299" i="22"/>
  <c r="G332" i="24"/>
  <c r="CE332" i="6" s="1"/>
  <c r="AA332" i="24"/>
  <c r="Z332" i="24" s="1"/>
  <c r="Y332" i="24" s="1"/>
  <c r="W332" i="25"/>
  <c r="D332" i="25"/>
  <c r="E332" i="25" s="1"/>
  <c r="F332" i="25" s="1"/>
  <c r="G342" i="25"/>
  <c r="CF342" i="6" s="1"/>
  <c r="AA342" i="25"/>
  <c r="Z342" i="25" s="1"/>
  <c r="Y342" i="25" s="1"/>
  <c r="AA40" i="25"/>
  <c r="Z40" i="25" s="1"/>
  <c r="Y40" i="25" s="1"/>
  <c r="G40" i="25"/>
  <c r="CF40" i="6" s="1"/>
  <c r="I350" i="23"/>
  <c r="H350" i="24" s="1"/>
  <c r="G346" i="24"/>
  <c r="CE346" i="6" s="1"/>
  <c r="AA346" i="24"/>
  <c r="Z346" i="24" s="1"/>
  <c r="Y346" i="24" s="1"/>
  <c r="AA125" i="24"/>
  <c r="Z125" i="24" s="1"/>
  <c r="Y125" i="24" s="1"/>
  <c r="G125" i="24"/>
  <c r="CE125" i="6" s="1"/>
  <c r="D125" i="25"/>
  <c r="E125" i="25" s="1"/>
  <c r="F125" i="25" s="1"/>
  <c r="W125" i="25"/>
  <c r="J214" i="22"/>
  <c r="I214" i="22"/>
  <c r="H214" i="23" s="1"/>
  <c r="AA214" i="24"/>
  <c r="Z214" i="24" s="1"/>
  <c r="Y214" i="24" s="1"/>
  <c r="G214" i="24"/>
  <c r="CE214" i="6" s="1"/>
  <c r="G184" i="24"/>
  <c r="CE184" i="6" s="1"/>
  <c r="AA184" i="24"/>
  <c r="Z184" i="24" s="1"/>
  <c r="Y184" i="24" s="1"/>
  <c r="G39" i="25"/>
  <c r="CF39" i="6" s="1"/>
  <c r="AA39" i="25"/>
  <c r="Z39" i="25" s="1"/>
  <c r="Y39" i="25" s="1"/>
  <c r="AA94" i="25"/>
  <c r="Z94" i="25" s="1"/>
  <c r="Y94" i="25" s="1"/>
  <c r="G94" i="25"/>
  <c r="CF94" i="6" s="1"/>
  <c r="W215" i="25"/>
  <c r="D215" i="25"/>
  <c r="E215" i="25" s="1"/>
  <c r="F215" i="25" s="1"/>
  <c r="W71" i="25"/>
  <c r="D71" i="25"/>
  <c r="E71" i="25" s="1"/>
  <c r="F71" i="25" s="1"/>
  <c r="W361" i="25"/>
  <c r="D361" i="25"/>
  <c r="E361" i="25" s="1"/>
  <c r="F361" i="25" s="1"/>
  <c r="G99" i="24"/>
  <c r="CE99" i="6" s="1"/>
  <c r="AA99" i="24"/>
  <c r="Z99" i="24" s="1"/>
  <c r="Y99" i="24" s="1"/>
  <c r="AA226" i="24"/>
  <c r="Z226" i="24" s="1"/>
  <c r="Y226" i="24" s="1"/>
  <c r="G226" i="24"/>
  <c r="CE226" i="6" s="1"/>
  <c r="I64" i="22"/>
  <c r="H64" i="23" s="1"/>
  <c r="J64" i="22"/>
  <c r="J297" i="22"/>
  <c r="I297" i="22"/>
  <c r="H297" i="23" s="1"/>
  <c r="J155" i="22"/>
  <c r="I155" i="22"/>
  <c r="H155" i="23" s="1"/>
  <c r="I238" i="22"/>
  <c r="H238" i="23" s="1"/>
  <c r="J238" i="22"/>
  <c r="J43" i="22"/>
  <c r="I43" i="22"/>
  <c r="H43" i="23" s="1"/>
  <c r="I136" i="22"/>
  <c r="H136" i="23" s="1"/>
  <c r="J136" i="22"/>
  <c r="I348" i="22"/>
  <c r="H348" i="23" s="1"/>
  <c r="J348" i="22"/>
  <c r="I306" i="22"/>
  <c r="H306" i="23" s="1"/>
  <c r="J306" i="22"/>
  <c r="G356" i="24"/>
  <c r="CE356" i="6" s="1"/>
  <c r="AA356" i="24"/>
  <c r="Z356" i="24" s="1"/>
  <c r="Y356" i="24" s="1"/>
  <c r="AA133" i="24"/>
  <c r="Z133" i="24" s="1"/>
  <c r="Y133" i="24" s="1"/>
  <c r="G133" i="24"/>
  <c r="CE133" i="6" s="1"/>
  <c r="W234" i="25"/>
  <c r="D234" i="25"/>
  <c r="E234" i="25" s="1"/>
  <c r="F234" i="25" s="1"/>
  <c r="G320" i="25"/>
  <c r="CF320" i="6" s="1"/>
  <c r="AA320" i="25"/>
  <c r="Z320" i="25" s="1"/>
  <c r="Y320" i="25" s="1"/>
  <c r="G88" i="24"/>
  <c r="CE88" i="6" s="1"/>
  <c r="AA88" i="24"/>
  <c r="Z88" i="24" s="1"/>
  <c r="Y88" i="24" s="1"/>
  <c r="I22" i="23"/>
  <c r="H22" i="24" s="1"/>
  <c r="W378" i="25"/>
  <c r="D378" i="25"/>
  <c r="E378" i="25" s="1"/>
  <c r="F378" i="25" s="1"/>
  <c r="W355" i="25"/>
  <c r="D355" i="25"/>
  <c r="E355" i="25" s="1"/>
  <c r="F355" i="25" s="1"/>
  <c r="AA245" i="24"/>
  <c r="Z245" i="24" s="1"/>
  <c r="Y245" i="24" s="1"/>
  <c r="G245" i="24"/>
  <c r="CE245" i="6" s="1"/>
  <c r="G169" i="24"/>
  <c r="CE169" i="6" s="1"/>
  <c r="AA169" i="24"/>
  <c r="Z169" i="24" s="1"/>
  <c r="Y169" i="24" s="1"/>
  <c r="W188" i="25"/>
  <c r="D188" i="25"/>
  <c r="E188" i="25" s="1"/>
  <c r="F188" i="25" s="1"/>
  <c r="W275" i="25"/>
  <c r="D275" i="25"/>
  <c r="E275" i="25" s="1"/>
  <c r="F275" i="25" s="1"/>
  <c r="AA131" i="25"/>
  <c r="Z131" i="25" s="1"/>
  <c r="Y131" i="25" s="1"/>
  <c r="G131" i="25"/>
  <c r="CF131" i="6" s="1"/>
  <c r="G21" i="24"/>
  <c r="CE21" i="6" s="1"/>
  <c r="AA21" i="24"/>
  <c r="Z21" i="24" s="1"/>
  <c r="Y21" i="24" s="1"/>
  <c r="W171" i="25"/>
  <c r="D171" i="25"/>
  <c r="E171" i="25" s="1"/>
  <c r="F171" i="25" s="1"/>
  <c r="G263" i="24"/>
  <c r="CE263" i="6" s="1"/>
  <c r="AA263" i="24"/>
  <c r="Z263" i="24" s="1"/>
  <c r="Y263" i="24" s="1"/>
  <c r="G85" i="24"/>
  <c r="CE85" i="6" s="1"/>
  <c r="AA85" i="24"/>
  <c r="Z85" i="24" s="1"/>
  <c r="Y85" i="24" s="1"/>
  <c r="G322" i="24"/>
  <c r="CE322" i="6" s="1"/>
  <c r="AA322" i="24"/>
  <c r="Z322" i="24" s="1"/>
  <c r="Y322" i="24" s="1"/>
  <c r="I48" i="22"/>
  <c r="H48" i="23" s="1"/>
  <c r="AA143" i="24"/>
  <c r="Z143" i="24" s="1"/>
  <c r="Y143" i="24" s="1"/>
  <c r="G143" i="24"/>
  <c r="CE143" i="6" s="1"/>
  <c r="W372" i="25"/>
  <c r="D372" i="25"/>
  <c r="E372" i="25" s="1"/>
  <c r="F372" i="25" s="1"/>
  <c r="W185" i="25"/>
  <c r="D185" i="25"/>
  <c r="E185" i="25" s="1"/>
  <c r="F185" i="25" s="1"/>
  <c r="I90" i="23"/>
  <c r="H90" i="24" s="1"/>
  <c r="I264" i="22"/>
  <c r="H264" i="23" s="1"/>
  <c r="J264" i="22"/>
  <c r="D58" i="25"/>
  <c r="E58" i="25" s="1"/>
  <c r="F58" i="25" s="1"/>
  <c r="W58" i="25"/>
  <c r="G262" i="25"/>
  <c r="CF262" i="6" s="1"/>
  <c r="AA262" i="25"/>
  <c r="Z262" i="25" s="1"/>
  <c r="Y262" i="25" s="1"/>
  <c r="G83" i="25"/>
  <c r="CF83" i="6" s="1"/>
  <c r="AA83" i="25"/>
  <c r="Z83" i="25" s="1"/>
  <c r="Y83" i="25" s="1"/>
  <c r="AA265" i="25"/>
  <c r="Z265" i="25" s="1"/>
  <c r="Y265" i="25" s="1"/>
  <c r="G265" i="25"/>
  <c r="CF265" i="6" s="1"/>
  <c r="G253" i="24"/>
  <c r="CE253" i="6" s="1"/>
  <c r="AA253" i="24"/>
  <c r="Z253" i="24" s="1"/>
  <c r="Y253" i="24" s="1"/>
  <c r="I369" i="23"/>
  <c r="H369" i="24" s="1"/>
  <c r="G379" i="25"/>
  <c r="CF379" i="6" s="1"/>
  <c r="AA379" i="25"/>
  <c r="Z379" i="25" s="1"/>
  <c r="Y379" i="25" s="1"/>
  <c r="J166" i="22"/>
  <c r="I166" i="22"/>
  <c r="H166" i="23" s="1"/>
  <c r="I298" i="22"/>
  <c r="H298" i="23" s="1"/>
  <c r="J298" i="22"/>
  <c r="J262" i="22"/>
  <c r="I262" i="22"/>
  <c r="H262" i="23" s="1"/>
  <c r="I189" i="22"/>
  <c r="H189" i="23" s="1"/>
  <c r="J189" i="22"/>
  <c r="I92" i="22"/>
  <c r="H92" i="23" s="1"/>
  <c r="J92" i="22"/>
  <c r="G179" i="25"/>
  <c r="CF179" i="6" s="1"/>
  <c r="AA179" i="25"/>
  <c r="Z179" i="25" s="1"/>
  <c r="Y179" i="25" s="1"/>
  <c r="W49" i="25"/>
  <c r="D49" i="25"/>
  <c r="E49" i="25" s="1"/>
  <c r="F49" i="25" s="1"/>
  <c r="AA368" i="25"/>
  <c r="Z368" i="25" s="1"/>
  <c r="Y368" i="25" s="1"/>
  <c r="G368" i="25"/>
  <c r="CF368" i="6" s="1"/>
  <c r="G62" i="24"/>
  <c r="CE62" i="6" s="1"/>
  <c r="AA62" i="24"/>
  <c r="Z62" i="24" s="1"/>
  <c r="Y62" i="24" s="1"/>
  <c r="G158" i="25"/>
  <c r="CF158" i="6" s="1"/>
  <c r="AA158" i="25"/>
  <c r="Z158" i="25" s="1"/>
  <c r="Y158" i="25" s="1"/>
  <c r="W325" i="25"/>
  <c r="D325" i="25"/>
  <c r="E325" i="25" s="1"/>
  <c r="F325" i="25" s="1"/>
  <c r="W123" i="25"/>
  <c r="D123" i="25"/>
  <c r="E123" i="25" s="1"/>
  <c r="F123" i="25" s="1"/>
  <c r="W89" i="25"/>
  <c r="D89" i="25"/>
  <c r="E89" i="25" s="1"/>
  <c r="F89" i="25" s="1"/>
  <c r="I61" i="23"/>
  <c r="H61" i="24" s="1"/>
  <c r="G98" i="24"/>
  <c r="CE98" i="6" s="1"/>
  <c r="AA98" i="24"/>
  <c r="Z98" i="24" s="1"/>
  <c r="Y98" i="24" s="1"/>
  <c r="AA239" i="24"/>
  <c r="Z239" i="24" s="1"/>
  <c r="Y239" i="24" s="1"/>
  <c r="G239" i="24"/>
  <c r="CE239" i="6" s="1"/>
  <c r="I250" i="23"/>
  <c r="H250" i="24" s="1"/>
  <c r="W34" i="25"/>
  <c r="D34" i="25"/>
  <c r="E34" i="25" s="1"/>
  <c r="F34" i="25" s="1"/>
  <c r="W244" i="25"/>
  <c r="D244" i="25"/>
  <c r="E244" i="25" s="1"/>
  <c r="F244" i="25" s="1"/>
  <c r="G295" i="24"/>
  <c r="CE295" i="6" s="1"/>
  <c r="AA295" i="24"/>
  <c r="Z295" i="24" s="1"/>
  <c r="Y295" i="24" s="1"/>
  <c r="W295" i="25"/>
  <c r="D295" i="25"/>
  <c r="E295" i="25" s="1"/>
  <c r="F295" i="25" s="1"/>
  <c r="AA157" i="24"/>
  <c r="Z157" i="24" s="1"/>
  <c r="Y157" i="24" s="1"/>
  <c r="G157" i="24"/>
  <c r="CE157" i="6" s="1"/>
  <c r="W165" i="25"/>
  <c r="D165" i="25"/>
  <c r="E165" i="25" s="1"/>
  <c r="F165" i="25" s="1"/>
  <c r="G364" i="24"/>
  <c r="CE364" i="6" s="1"/>
  <c r="AA364" i="24"/>
  <c r="Z364" i="24" s="1"/>
  <c r="Y364" i="24" s="1"/>
  <c r="W364" i="25"/>
  <c r="D364" i="25"/>
  <c r="E364" i="25" s="1"/>
  <c r="F364" i="25" s="1"/>
  <c r="W256" i="25"/>
  <c r="D256" i="25"/>
  <c r="E256" i="25" s="1"/>
  <c r="F256" i="25" s="1"/>
  <c r="W56" i="25"/>
  <c r="D56" i="25"/>
  <c r="E56" i="25" s="1"/>
  <c r="F56" i="25" s="1"/>
  <c r="W273" i="25"/>
  <c r="D273" i="25"/>
  <c r="E273" i="25" s="1"/>
  <c r="F273" i="25" s="1"/>
  <c r="I376" i="22"/>
  <c r="H376" i="23" s="1"/>
  <c r="D74" i="25"/>
  <c r="E74" i="25" s="1"/>
  <c r="F74" i="25" s="1"/>
  <c r="W74" i="25"/>
  <c r="G318" i="24"/>
  <c r="CE318" i="6" s="1"/>
  <c r="AA318" i="24"/>
  <c r="Z318" i="24" s="1"/>
  <c r="Y318" i="24" s="1"/>
  <c r="G178" i="25"/>
  <c r="CF178" i="6" s="1"/>
  <c r="AA178" i="25"/>
  <c r="Z178" i="25" s="1"/>
  <c r="Y178" i="25" s="1"/>
  <c r="G283" i="24"/>
  <c r="CE283" i="6" s="1"/>
  <c r="AA283" i="24"/>
  <c r="Z283" i="24" s="1"/>
  <c r="Y283" i="24" s="1"/>
  <c r="AA76" i="24"/>
  <c r="Z76" i="24" s="1"/>
  <c r="Y76" i="24" s="1"/>
  <c r="G76" i="24"/>
  <c r="CE76" i="6" s="1"/>
  <c r="W156" i="25"/>
  <c r="D156" i="25"/>
  <c r="E156" i="25" s="1"/>
  <c r="F156" i="25" s="1"/>
  <c r="W44" i="25"/>
  <c r="D44" i="25"/>
  <c r="E44" i="25" s="1"/>
  <c r="F44" i="25" s="1"/>
  <c r="I115" i="23"/>
  <c r="H115" i="24" s="1"/>
  <c r="G294" i="25"/>
  <c r="CF294" i="6" s="1"/>
  <c r="AA294" i="25"/>
  <c r="Z294" i="25" s="1"/>
  <c r="Y294" i="25" s="1"/>
  <c r="G87" i="24"/>
  <c r="CE87" i="6" s="1"/>
  <c r="AA87" i="24"/>
  <c r="Z87" i="24" s="1"/>
  <c r="Y87" i="24" s="1"/>
  <c r="AA220" i="24"/>
  <c r="Z220" i="24" s="1"/>
  <c r="Y220" i="24" s="1"/>
  <c r="G220" i="24"/>
  <c r="CE220" i="6" s="1"/>
  <c r="G317" i="24"/>
  <c r="CE317" i="6" s="1"/>
  <c r="AA317" i="24"/>
  <c r="Z317" i="24" s="1"/>
  <c r="Y317" i="24" s="1"/>
  <c r="G216" i="25"/>
  <c r="CF216" i="6" s="1"/>
  <c r="AA216" i="25"/>
  <c r="Z216" i="25" s="1"/>
  <c r="Y216" i="25" s="1"/>
  <c r="W67" i="25"/>
  <c r="D67" i="25"/>
  <c r="E67" i="25" s="1"/>
  <c r="F67" i="25" s="1"/>
  <c r="G119" i="24"/>
  <c r="CE119" i="6" s="1"/>
  <c r="AA119" i="24"/>
  <c r="Z119" i="24" s="1"/>
  <c r="Y119" i="24" s="1"/>
  <c r="AA153" i="25"/>
  <c r="Z153" i="25" s="1"/>
  <c r="Y153" i="25" s="1"/>
  <c r="G153" i="25"/>
  <c r="CF153" i="6" s="1"/>
  <c r="AA52" i="25"/>
  <c r="Z52" i="25" s="1"/>
  <c r="Y52" i="25" s="1"/>
  <c r="G52" i="25"/>
  <c r="CF52" i="6" s="1"/>
  <c r="G310" i="24"/>
  <c r="CE310" i="6" s="1"/>
  <c r="AA310" i="24"/>
  <c r="Z310" i="24" s="1"/>
  <c r="Y310" i="24" s="1"/>
  <c r="AA358" i="25"/>
  <c r="Z358" i="25" s="1"/>
  <c r="Y358" i="25" s="1"/>
  <c r="G358" i="25"/>
  <c r="CF358" i="6" s="1"/>
  <c r="W121" i="25"/>
  <c r="D121" i="25"/>
  <c r="E121" i="25" s="1"/>
  <c r="F121" i="25" s="1"/>
  <c r="AA138" i="25"/>
  <c r="Z138" i="25" s="1"/>
  <c r="Y138" i="25" s="1"/>
  <c r="G138" i="25"/>
  <c r="CF138" i="6" s="1"/>
  <c r="AA112" i="24"/>
  <c r="Z112" i="24" s="1"/>
  <c r="Y112" i="24" s="1"/>
  <c r="G112" i="24"/>
  <c r="CE112" i="6" s="1"/>
  <c r="G308" i="25"/>
  <c r="CF308" i="6" s="1"/>
  <c r="AA308" i="25"/>
  <c r="Z308" i="25" s="1"/>
  <c r="Y308" i="25" s="1"/>
  <c r="G176" i="24"/>
  <c r="CE176" i="6" s="1"/>
  <c r="AA176" i="24"/>
  <c r="Z176" i="24" s="1"/>
  <c r="Y176" i="24" s="1"/>
  <c r="G101" i="25"/>
  <c r="CF101" i="6" s="1"/>
  <c r="AA101" i="25"/>
  <c r="Z101" i="25" s="1"/>
  <c r="Y101" i="25" s="1"/>
  <c r="W261" i="25"/>
  <c r="D261" i="25"/>
  <c r="E261" i="25" s="1"/>
  <c r="F261" i="25" s="1"/>
  <c r="W46" i="25"/>
  <c r="D46" i="25"/>
  <c r="E46" i="25" s="1"/>
  <c r="F46" i="25" s="1"/>
  <c r="G183" i="25"/>
  <c r="CF183" i="6" s="1"/>
  <c r="AA183" i="25"/>
  <c r="Z183" i="25" s="1"/>
  <c r="Y183" i="25" s="1"/>
  <c r="G182" i="24"/>
  <c r="CE182" i="6" s="1"/>
  <c r="AA182" i="24"/>
  <c r="Z182" i="24" s="1"/>
  <c r="Y182" i="24" s="1"/>
  <c r="I78" i="22"/>
  <c r="H78" i="23" s="1"/>
  <c r="J78" i="22"/>
  <c r="G314" i="24"/>
  <c r="CE314" i="6" s="1"/>
  <c r="AA314" i="24"/>
  <c r="Z314" i="24" s="1"/>
  <c r="Y314" i="24" s="1"/>
  <c r="W314" i="25"/>
  <c r="D314" i="25"/>
  <c r="E314" i="25" s="1"/>
  <c r="F314" i="25" s="1"/>
  <c r="W223" i="25"/>
  <c r="D223" i="25"/>
  <c r="E223" i="25" s="1"/>
  <c r="F223" i="25" s="1"/>
  <c r="J96" i="22"/>
  <c r="I96" i="22"/>
  <c r="H96" i="23" s="1"/>
  <c r="W162" i="25"/>
  <c r="D162" i="25"/>
  <c r="E162" i="25" s="1"/>
  <c r="F162" i="25" s="1"/>
  <c r="W36" i="25"/>
  <c r="D36" i="25"/>
  <c r="E36" i="25" s="1"/>
  <c r="F36" i="25" s="1"/>
  <c r="G139" i="24"/>
  <c r="CE139" i="6" s="1"/>
  <c r="AA139" i="24"/>
  <c r="Z139" i="24" s="1"/>
  <c r="Y139" i="24" s="1"/>
  <c r="G334" i="24"/>
  <c r="CE334" i="6" s="1"/>
  <c r="AA334" i="24"/>
  <c r="Z334" i="24" s="1"/>
  <c r="Y334" i="24" s="1"/>
  <c r="W104" i="25"/>
  <c r="D104" i="25"/>
  <c r="E104" i="25" s="1"/>
  <c r="F104" i="25" s="1"/>
  <c r="G347" i="24"/>
  <c r="CE347" i="6" s="1"/>
  <c r="AA347" i="24"/>
  <c r="Z347" i="24" s="1"/>
  <c r="Y347" i="24" s="1"/>
  <c r="G66" i="25"/>
  <c r="CF66" i="6" s="1"/>
  <c r="AA66" i="25"/>
  <c r="Z66" i="25" s="1"/>
  <c r="Y66" i="25" s="1"/>
  <c r="W187" i="25"/>
  <c r="D187" i="25"/>
  <c r="E187" i="25" s="1"/>
  <c r="F187" i="25" s="1"/>
  <c r="AA33" i="25"/>
  <c r="Z33" i="25" s="1"/>
  <c r="Y33" i="25" s="1"/>
  <c r="G33" i="25"/>
  <c r="CF33" i="6" s="1"/>
  <c r="AA114" i="24"/>
  <c r="Z114" i="24" s="1"/>
  <c r="Y114" i="24" s="1"/>
  <c r="G114" i="24"/>
  <c r="CE114" i="6" s="1"/>
  <c r="G354" i="25"/>
  <c r="CF354" i="6" s="1"/>
  <c r="AA354" i="25"/>
  <c r="Z354" i="25" s="1"/>
  <c r="Y354" i="25" s="1"/>
  <c r="I329" i="22"/>
  <c r="H329" i="23" s="1"/>
  <c r="J329" i="22"/>
  <c r="I108" i="22"/>
  <c r="H108" i="23" s="1"/>
  <c r="J108" i="22"/>
  <c r="J120" i="22"/>
  <c r="I120" i="22"/>
  <c r="H120" i="23" s="1"/>
  <c r="I354" i="22"/>
  <c r="H354" i="23" s="1"/>
  <c r="J354" i="22"/>
  <c r="I281" i="22"/>
  <c r="H281" i="23" s="1"/>
  <c r="J281" i="22"/>
  <c r="J247" i="22"/>
  <c r="I247" i="22"/>
  <c r="H247" i="23" s="1"/>
  <c r="J129" i="22"/>
  <c r="I129" i="22"/>
  <c r="H129" i="23" s="1"/>
  <c r="J335" i="22"/>
  <c r="I335" i="22"/>
  <c r="H335" i="23" s="1"/>
  <c r="I134" i="22"/>
  <c r="H134" i="23" s="1"/>
  <c r="J134" i="22"/>
  <c r="I116" i="22"/>
  <c r="H116" i="23" s="1"/>
  <c r="J116" i="22"/>
  <c r="J175" i="22"/>
  <c r="I175" i="22"/>
  <c r="H175" i="23" s="1"/>
  <c r="J221" i="22"/>
  <c r="I221" i="22"/>
  <c r="H221" i="23" s="1"/>
  <c r="I228" i="22"/>
  <c r="H228" i="23" s="1"/>
  <c r="J228" i="22"/>
  <c r="I152" i="22"/>
  <c r="H152" i="23" s="1"/>
  <c r="J152" i="22"/>
  <c r="J179" i="22"/>
  <c r="I179" i="22"/>
  <c r="H179" i="23" s="1"/>
  <c r="J28" i="22"/>
  <c r="I28" i="22"/>
  <c r="H28" i="23" s="1"/>
  <c r="I323" i="22"/>
  <c r="H323" i="23" s="1"/>
  <c r="J323" i="22"/>
  <c r="I26" i="22"/>
  <c r="H26" i="23" s="1"/>
  <c r="J26" i="22"/>
  <c r="J39" i="22"/>
  <c r="I39" i="22"/>
  <c r="H39" i="23" s="1"/>
  <c r="G229" i="25"/>
  <c r="CF229" i="6" s="1"/>
  <c r="AA229" i="25"/>
  <c r="Z229" i="25" s="1"/>
  <c r="Y229" i="25" s="1"/>
  <c r="G68" i="25"/>
  <c r="CF68" i="6" s="1"/>
  <c r="AA68" i="25"/>
  <c r="Z68" i="25" s="1"/>
  <c r="Y68" i="25" s="1"/>
  <c r="W267" i="25"/>
  <c r="D267" i="25"/>
  <c r="E267" i="25" s="1"/>
  <c r="F267" i="25" s="1"/>
  <c r="AA59" i="25"/>
  <c r="Z59" i="25" s="1"/>
  <c r="Y59" i="25" s="1"/>
  <c r="G59" i="25"/>
  <c r="CF59" i="6" s="1"/>
  <c r="G254" i="24"/>
  <c r="CE254" i="6" s="1"/>
  <c r="AA254" i="24"/>
  <c r="Z254" i="24" s="1"/>
  <c r="Y254" i="24" s="1"/>
  <c r="G249" i="24"/>
  <c r="CE249" i="6" s="1"/>
  <c r="AA249" i="24"/>
  <c r="Z249" i="24" s="1"/>
  <c r="Y249" i="24" s="1"/>
  <c r="AA166" i="25"/>
  <c r="Z166" i="25" s="1"/>
  <c r="Y166" i="25" s="1"/>
  <c r="G166" i="25"/>
  <c r="CF166" i="6" s="1"/>
  <c r="G105" i="25"/>
  <c r="CF105" i="6" s="1"/>
  <c r="AA105" i="25"/>
  <c r="Z105" i="25" s="1"/>
  <c r="Y105" i="25" s="1"/>
  <c r="AA374" i="24"/>
  <c r="Z374" i="24" s="1"/>
  <c r="Y374" i="24" s="1"/>
  <c r="G374" i="24"/>
  <c r="CE374" i="6" s="1"/>
  <c r="W296" i="25"/>
  <c r="D296" i="25"/>
  <c r="E296" i="25" s="1"/>
  <c r="F296" i="25" s="1"/>
  <c r="AA327" i="25"/>
  <c r="Z327" i="25" s="1"/>
  <c r="Y327" i="25" s="1"/>
  <c r="G327" i="25"/>
  <c r="CF327" i="6" s="1"/>
  <c r="W282" i="25"/>
  <c r="D282" i="25"/>
  <c r="E282" i="25" s="1"/>
  <c r="F282" i="25" s="1"/>
  <c r="G118" i="25"/>
  <c r="CF118" i="6" s="1"/>
  <c r="AA118" i="25"/>
  <c r="Z118" i="25" s="1"/>
  <c r="Y118" i="25" s="1"/>
  <c r="W219" i="25"/>
  <c r="D219" i="25"/>
  <c r="E219" i="25" s="1"/>
  <c r="F219" i="25" s="1"/>
  <c r="I173" i="23"/>
  <c r="H173" i="24" s="1"/>
  <c r="J173" i="23"/>
  <c r="G111" i="25"/>
  <c r="CF111" i="6" s="1"/>
  <c r="AA111" i="25"/>
  <c r="Z111" i="25" s="1"/>
  <c r="Y111" i="25" s="1"/>
  <c r="G349" i="24"/>
  <c r="CE349" i="6" s="1"/>
  <c r="AA349" i="24"/>
  <c r="Z349" i="24" s="1"/>
  <c r="Y349" i="24" s="1"/>
  <c r="G23" i="25"/>
  <c r="CF23" i="6" s="1"/>
  <c r="AA23" i="25"/>
  <c r="Z23" i="25" s="1"/>
  <c r="Y23" i="25" s="1"/>
  <c r="G321" i="24"/>
  <c r="CE321" i="6" s="1"/>
  <c r="AA321" i="24"/>
  <c r="Z321" i="24" s="1"/>
  <c r="Y321" i="24" s="1"/>
  <c r="G366" i="25"/>
  <c r="CF366" i="6" s="1"/>
  <c r="AA366" i="25"/>
  <c r="Z366" i="25" s="1"/>
  <c r="Y366" i="25" s="1"/>
  <c r="J240" i="22"/>
  <c r="I240" i="22"/>
  <c r="H240" i="23" s="1"/>
  <c r="W350" i="25"/>
  <c r="D350" i="25"/>
  <c r="E350" i="25" s="1"/>
  <c r="F350" i="25" s="1"/>
  <c r="G160" i="24"/>
  <c r="CE160" i="6" s="1"/>
  <c r="AA160" i="24"/>
  <c r="Z160" i="24" s="1"/>
  <c r="Y160" i="24" s="1"/>
  <c r="G307" i="24"/>
  <c r="CE307" i="6" s="1"/>
  <c r="AA307" i="24"/>
  <c r="Z307" i="24" s="1"/>
  <c r="Y307" i="24" s="1"/>
  <c r="AA96" i="24"/>
  <c r="Z96" i="24" s="1"/>
  <c r="Y96" i="24" s="1"/>
  <c r="G96" i="24"/>
  <c r="CE96" i="6" s="1"/>
  <c r="W96" i="25"/>
  <c r="D96" i="25"/>
  <c r="E96" i="25" s="1"/>
  <c r="F96" i="25" s="1"/>
  <c r="W31" i="25"/>
  <c r="D31" i="25"/>
  <c r="E31" i="25" s="1"/>
  <c r="F31" i="25" s="1"/>
  <c r="W37" i="25"/>
  <c r="D37" i="25"/>
  <c r="E37" i="25" s="1"/>
  <c r="F37" i="25" s="1"/>
  <c r="AA208" i="25"/>
  <c r="Z208" i="25" s="1"/>
  <c r="Y208" i="25" s="1"/>
  <c r="G208" i="25"/>
  <c r="CF208" i="6" s="1"/>
  <c r="I125" i="23"/>
  <c r="H125" i="24" s="1"/>
  <c r="G305" i="25"/>
  <c r="CF305" i="6" s="1"/>
  <c r="AA305" i="25"/>
  <c r="Z305" i="25" s="1"/>
  <c r="Y305" i="25" s="1"/>
  <c r="I36" i="22"/>
  <c r="H36" i="23" s="1"/>
  <c r="J36" i="22"/>
  <c r="W279" i="25"/>
  <c r="D279" i="25"/>
  <c r="E279" i="25" s="1"/>
  <c r="F279" i="25" s="1"/>
  <c r="W124" i="25"/>
  <c r="D124" i="25"/>
  <c r="E124" i="25" s="1"/>
  <c r="F124" i="25" s="1"/>
  <c r="G107" i="25"/>
  <c r="CF107" i="6" s="1"/>
  <c r="AA107" i="25"/>
  <c r="Z107" i="25" s="1"/>
  <c r="Y107" i="25" s="1"/>
  <c r="G146" i="25"/>
  <c r="CF146" i="6" s="1"/>
  <c r="AA146" i="25"/>
  <c r="Z146" i="25" s="1"/>
  <c r="Y146" i="25" s="1"/>
  <c r="W181" i="25"/>
  <c r="D181" i="25"/>
  <c r="E181" i="25" s="1"/>
  <c r="F181" i="25" s="1"/>
  <c r="G258" i="25"/>
  <c r="CF258" i="6" s="1"/>
  <c r="AA258" i="25"/>
  <c r="Z258" i="25" s="1"/>
  <c r="Y258" i="25" s="1"/>
  <c r="AA268" i="24"/>
  <c r="Z268" i="24" s="1"/>
  <c r="Y268" i="24" s="1"/>
  <c r="G268" i="24"/>
  <c r="CE268" i="6" s="1"/>
  <c r="G19" i="25"/>
  <c r="CF19" i="6" s="1"/>
  <c r="AA19" i="25"/>
  <c r="Z19" i="25" s="1"/>
  <c r="Y19" i="25" s="1"/>
  <c r="G278" i="25"/>
  <c r="CF278" i="6" s="1"/>
  <c r="AA278" i="25"/>
  <c r="Z278" i="25" s="1"/>
  <c r="Y278" i="25" s="1"/>
  <c r="AA106" i="25"/>
  <c r="Z106" i="25" s="1"/>
  <c r="Y106" i="25" s="1"/>
  <c r="G106" i="25"/>
  <c r="CF106" i="6" s="1"/>
  <c r="G236" i="24"/>
  <c r="CE236" i="6" s="1"/>
  <c r="AA236" i="24"/>
  <c r="Z236" i="24" s="1"/>
  <c r="Y236" i="24" s="1"/>
  <c r="W236" i="25"/>
  <c r="D236" i="25"/>
  <c r="E236" i="25" s="1"/>
  <c r="F236" i="25" s="1"/>
  <c r="AA64" i="25"/>
  <c r="Z64" i="25" s="1"/>
  <c r="Y64" i="25" s="1"/>
  <c r="G64" i="25"/>
  <c r="CF64" i="6" s="1"/>
  <c r="W206" i="25"/>
  <c r="D206" i="25"/>
  <c r="E206" i="25" s="1"/>
  <c r="F206" i="25" s="1"/>
  <c r="W24" i="25"/>
  <c r="D24" i="25"/>
  <c r="E24" i="25" s="1"/>
  <c r="F24" i="25" s="1"/>
  <c r="I20" i="22"/>
  <c r="H20" i="23" s="1"/>
  <c r="J20" i="22"/>
  <c r="G241" i="25"/>
  <c r="CF241" i="6" s="1"/>
  <c r="AA241" i="25"/>
  <c r="Z241" i="25" s="1"/>
  <c r="Y241" i="25" s="1"/>
  <c r="AA272" i="24"/>
  <c r="Z272" i="24" s="1"/>
  <c r="Y272" i="24" s="1"/>
  <c r="G272" i="24"/>
  <c r="CE272" i="6" s="1"/>
  <c r="G22" i="24"/>
  <c r="CE22" i="6" s="1"/>
  <c r="AA22" i="24"/>
  <c r="Z22" i="24" s="1"/>
  <c r="Y22" i="24" s="1"/>
  <c r="G137" i="24"/>
  <c r="CE137" i="6" s="1"/>
  <c r="AA137" i="24"/>
  <c r="Z137" i="24" s="1"/>
  <c r="Y137" i="24" s="1"/>
  <c r="AA102" i="24"/>
  <c r="Z102" i="24" s="1"/>
  <c r="Y102" i="24" s="1"/>
  <c r="G102" i="24"/>
  <c r="CE102" i="6" s="1"/>
  <c r="I225" i="22"/>
  <c r="H225" i="23" s="1"/>
  <c r="AA25" i="24"/>
  <c r="Z25" i="24" s="1"/>
  <c r="Y25" i="24" s="1"/>
  <c r="G25" i="24"/>
  <c r="CE25" i="6" s="1"/>
  <c r="AA288" i="24"/>
  <c r="Z288" i="24" s="1"/>
  <c r="Y288" i="24" s="1"/>
  <c r="G288" i="24"/>
  <c r="CE288" i="6" s="1"/>
  <c r="AA218" i="24"/>
  <c r="Z218" i="24" s="1"/>
  <c r="Y218" i="24" s="1"/>
  <c r="G218" i="24"/>
  <c r="CE218" i="6" s="1"/>
  <c r="I188" i="23"/>
  <c r="H188" i="24" s="1"/>
  <c r="AA86" i="24"/>
  <c r="Z86" i="24" s="1"/>
  <c r="Y86" i="24" s="1"/>
  <c r="G86" i="24"/>
  <c r="CE86" i="6" s="1"/>
  <c r="G303" i="24"/>
  <c r="CE303" i="6" s="1"/>
  <c r="AA303" i="24"/>
  <c r="Z303" i="24" s="1"/>
  <c r="Y303" i="24" s="1"/>
  <c r="G79" i="25"/>
  <c r="CF79" i="6" s="1"/>
  <c r="AA79" i="25"/>
  <c r="Z79" i="25" s="1"/>
  <c r="Y79" i="25" s="1"/>
  <c r="I21" i="23"/>
  <c r="H21" i="24" s="1"/>
  <c r="J21" i="23"/>
  <c r="W365" i="25"/>
  <c r="D365" i="25"/>
  <c r="E365" i="25" s="1"/>
  <c r="F365" i="25" s="1"/>
  <c r="J210" i="22"/>
  <c r="I210" i="22"/>
  <c r="H210" i="23" s="1"/>
  <c r="G150" i="24"/>
  <c r="CE150" i="6" s="1"/>
  <c r="AA150" i="24"/>
  <c r="Z150" i="24" s="1"/>
  <c r="Y150" i="24" s="1"/>
  <c r="I353" i="22"/>
  <c r="H353" i="23" s="1"/>
  <c r="J353" i="22"/>
  <c r="I94" i="22"/>
  <c r="H94" i="23" s="1"/>
  <c r="J94" i="22"/>
  <c r="I242" i="22"/>
  <c r="H242" i="23" s="1"/>
  <c r="J242" i="22"/>
  <c r="J91" i="22"/>
  <c r="I91" i="22"/>
  <c r="H91" i="23" s="1"/>
  <c r="I146" i="22"/>
  <c r="H146" i="23" s="1"/>
  <c r="J146" i="22"/>
  <c r="J320" i="22"/>
  <c r="I320" i="22"/>
  <c r="H320" i="23" s="1"/>
  <c r="J276" i="22"/>
  <c r="I276" i="22"/>
  <c r="H276" i="23" s="1"/>
  <c r="I230" i="22"/>
  <c r="H230" i="23" s="1"/>
  <c r="J230" i="22"/>
  <c r="I149" i="22"/>
  <c r="H149" i="23" s="1"/>
  <c r="J149" i="22"/>
  <c r="W289" i="25"/>
  <c r="D289" i="25"/>
  <c r="E289" i="25" s="1"/>
  <c r="F289" i="25" s="1"/>
  <c r="G190" i="25"/>
  <c r="CF190" i="6" s="1"/>
  <c r="AA190" i="25"/>
  <c r="Z190" i="25" s="1"/>
  <c r="Y190" i="25" s="1"/>
  <c r="G217" i="25"/>
  <c r="CF217" i="6" s="1"/>
  <c r="AA217" i="25"/>
  <c r="Z217" i="25" s="1"/>
  <c r="Y217" i="25" s="1"/>
  <c r="G122" i="25"/>
  <c r="CF122" i="6" s="1"/>
  <c r="AA122" i="25"/>
  <c r="Z122" i="25" s="1"/>
  <c r="Y122" i="25" s="1"/>
  <c r="AA65" i="24"/>
  <c r="Z65" i="24" s="1"/>
  <c r="Y65" i="24" s="1"/>
  <c r="G65" i="24"/>
  <c r="CE65" i="6" s="1"/>
  <c r="W65" i="25"/>
  <c r="D65" i="25"/>
  <c r="E65" i="25" s="1"/>
  <c r="F65" i="25" s="1"/>
  <c r="G148" i="24"/>
  <c r="CE148" i="6" s="1"/>
  <c r="AA148" i="24"/>
  <c r="Z148" i="24" s="1"/>
  <c r="Y148" i="24" s="1"/>
  <c r="G201" i="24"/>
  <c r="CE201" i="6" s="1"/>
  <c r="AA201" i="24"/>
  <c r="Z201" i="24" s="1"/>
  <c r="Y201" i="24" s="1"/>
  <c r="G110" i="24"/>
  <c r="CE110" i="6" s="1"/>
  <c r="AA110" i="24"/>
  <c r="Z110" i="24" s="1"/>
  <c r="Y110" i="24" s="1"/>
  <c r="AA63" i="25"/>
  <c r="Z63" i="25" s="1"/>
  <c r="Y63" i="25" s="1"/>
  <c r="G63" i="25"/>
  <c r="CF63" i="6" s="1"/>
  <c r="G90" i="24"/>
  <c r="CE90" i="6" s="1"/>
  <c r="AA90" i="24"/>
  <c r="Z90" i="24" s="1"/>
  <c r="Y90" i="24" s="1"/>
  <c r="W109" i="25"/>
  <c r="D109" i="25"/>
  <c r="E109" i="25" s="1"/>
  <c r="F109" i="25" s="1"/>
  <c r="I139" i="22"/>
  <c r="H139" i="23" s="1"/>
  <c r="W53" i="25"/>
  <c r="D53" i="25"/>
  <c r="E53" i="25" s="1"/>
  <c r="F53" i="25" s="1"/>
  <c r="G300" i="25"/>
  <c r="CF300" i="6" s="1"/>
  <c r="AA300" i="25"/>
  <c r="Z300" i="25" s="1"/>
  <c r="Y300" i="25" s="1"/>
  <c r="G55" i="25"/>
  <c r="CF55" i="6" s="1"/>
  <c r="AA55" i="25"/>
  <c r="Z55" i="25" s="1"/>
  <c r="Y55" i="25" s="1"/>
  <c r="AA130" i="25"/>
  <c r="Z130" i="25" s="1"/>
  <c r="Y130" i="25" s="1"/>
  <c r="G130" i="25"/>
  <c r="CF130" i="6" s="1"/>
  <c r="J253" i="23"/>
  <c r="I253" i="23"/>
  <c r="H253" i="24" s="1"/>
  <c r="W369" i="25"/>
  <c r="D369" i="25"/>
  <c r="E369" i="25" s="1"/>
  <c r="F369" i="25" s="1"/>
  <c r="G376" i="24"/>
  <c r="CE376" i="6" s="1"/>
  <c r="AA376" i="24"/>
  <c r="Z376" i="24" s="1"/>
  <c r="Y376" i="24" s="1"/>
  <c r="W376" i="25"/>
  <c r="D376" i="25"/>
  <c r="E376" i="25" s="1"/>
  <c r="F376" i="25" s="1"/>
  <c r="W333" i="25"/>
  <c r="D333" i="25"/>
  <c r="E333" i="25" s="1"/>
  <c r="F333" i="25" s="1"/>
  <c r="G352" i="24"/>
  <c r="CE352" i="6" s="1"/>
  <c r="AA352" i="24"/>
  <c r="Z352" i="24" s="1"/>
  <c r="Y352" i="24" s="1"/>
  <c r="W352" i="25"/>
  <c r="D352" i="25"/>
  <c r="E352" i="25" s="1"/>
  <c r="F352" i="25" s="1"/>
  <c r="W29" i="25"/>
  <c r="D29" i="25"/>
  <c r="E29" i="25" s="1"/>
  <c r="F29" i="25" s="1"/>
  <c r="J249" i="22" l="1"/>
  <c r="J249" i="23" s="1"/>
  <c r="J303" i="22"/>
  <c r="J303" i="23" s="1"/>
  <c r="I318" i="22"/>
  <c r="H318" i="23" s="1"/>
  <c r="I318" i="23" s="1"/>
  <c r="H318" i="24" s="1"/>
  <c r="I213" i="22"/>
  <c r="H213" i="23" s="1"/>
  <c r="I213" i="23" s="1"/>
  <c r="H213" i="24" s="1"/>
  <c r="I126" i="22"/>
  <c r="H126" i="23" s="1"/>
  <c r="J126" i="23" s="1"/>
  <c r="J371" i="23"/>
  <c r="J333" i="23"/>
  <c r="J330" i="22"/>
  <c r="J248" i="22"/>
  <c r="J248" i="23" s="1"/>
  <c r="I27" i="22"/>
  <c r="H27" i="23" s="1"/>
  <c r="I27" i="23" s="1"/>
  <c r="H27" i="24" s="1"/>
  <c r="I165" i="22"/>
  <c r="H165" i="23" s="1"/>
  <c r="J165" i="23" s="1"/>
  <c r="J75" i="22"/>
  <c r="J75" i="23" s="1"/>
  <c r="J75" i="24" s="1"/>
  <c r="I161" i="22"/>
  <c r="H161" i="23" s="1"/>
  <c r="J161" i="23" s="1"/>
  <c r="J49" i="22"/>
  <c r="J49" i="23" s="1"/>
  <c r="I340" i="22"/>
  <c r="H340" i="23" s="1"/>
  <c r="J340" i="23" s="1"/>
  <c r="I365" i="22"/>
  <c r="H365" i="23" s="1"/>
  <c r="J365" i="23" s="1"/>
  <c r="J282" i="22"/>
  <c r="J282" i="23" s="1"/>
  <c r="J273" i="22"/>
  <c r="J273" i="23" s="1"/>
  <c r="J273" i="24" s="1"/>
  <c r="J272" i="22"/>
  <c r="J272" i="23" s="1"/>
  <c r="J272" i="24" s="1"/>
  <c r="J169" i="23"/>
  <c r="J310" i="22"/>
  <c r="J310" i="23" s="1"/>
  <c r="J310" i="24" s="1"/>
  <c r="J133" i="22"/>
  <c r="J133" i="23" s="1"/>
  <c r="J133" i="24" s="1"/>
  <c r="J156" i="22"/>
  <c r="J156" i="23" s="1"/>
  <c r="J156" i="24" s="1"/>
  <c r="I98" i="22"/>
  <c r="H98" i="23" s="1"/>
  <c r="J98" i="23" s="1"/>
  <c r="J121" i="23"/>
  <c r="J357" i="22"/>
  <c r="J357" i="23" s="1"/>
  <c r="J244" i="22"/>
  <c r="J244" i="23" s="1"/>
  <c r="J73" i="22"/>
  <c r="J73" i="23" s="1"/>
  <c r="J73" i="24" s="1"/>
  <c r="I31" i="22"/>
  <c r="H31" i="23" s="1"/>
  <c r="J31" i="23" s="1"/>
  <c r="I150" i="22"/>
  <c r="H150" i="23" s="1"/>
  <c r="J150" i="23" s="1"/>
  <c r="I233" i="22"/>
  <c r="H233" i="23" s="1"/>
  <c r="J233" i="23" s="1"/>
  <c r="I236" i="22"/>
  <c r="H236" i="23" s="1"/>
  <c r="J236" i="23" s="1"/>
  <c r="I137" i="22"/>
  <c r="H137" i="23" s="1"/>
  <c r="J137" i="23" s="1"/>
  <c r="J223" i="23"/>
  <c r="J176" i="22"/>
  <c r="J176" i="23" s="1"/>
  <c r="J176" i="24" s="1"/>
  <c r="J283" i="22"/>
  <c r="J283" i="23" s="1"/>
  <c r="J283" i="24" s="1"/>
  <c r="I314" i="22"/>
  <c r="H314" i="23" s="1"/>
  <c r="J314" i="23" s="1"/>
  <c r="I144" i="22"/>
  <c r="H144" i="23" s="1"/>
  <c r="I144" i="23" s="1"/>
  <c r="H144" i="24" s="1"/>
  <c r="I144" i="24" s="1"/>
  <c r="H144" i="25" s="1"/>
  <c r="J162" i="22"/>
  <c r="J162" i="23" s="1"/>
  <c r="J162" i="24" s="1"/>
  <c r="J355" i="22"/>
  <c r="J355" i="23" s="1"/>
  <c r="J355" i="24" s="1"/>
  <c r="J88" i="23"/>
  <c r="I98" i="23"/>
  <c r="H98" i="24" s="1"/>
  <c r="J98" i="24" s="1"/>
  <c r="G192" i="25"/>
  <c r="CF192" i="6" s="1"/>
  <c r="AA211" i="25"/>
  <c r="Z211" i="25" s="1"/>
  <c r="Y211" i="25" s="1"/>
  <c r="I378" i="22"/>
  <c r="H378" i="23" s="1"/>
  <c r="J378" i="23" s="1"/>
  <c r="I102" i="22"/>
  <c r="H102" i="23" s="1"/>
  <c r="I102" i="23" s="1"/>
  <c r="H102" i="24" s="1"/>
  <c r="I102" i="24" s="1"/>
  <c r="H102" i="25" s="1"/>
  <c r="I203" i="22"/>
  <c r="H203" i="23" s="1"/>
  <c r="J203" i="23" s="1"/>
  <c r="J345" i="23"/>
  <c r="J67" i="22"/>
  <c r="J67" i="23" s="1"/>
  <c r="J67" i="24" s="1"/>
  <c r="J124" i="22"/>
  <c r="J124" i="23" s="1"/>
  <c r="J124" i="24" s="1"/>
  <c r="I311" i="22"/>
  <c r="H311" i="23" s="1"/>
  <c r="I311" i="23" s="1"/>
  <c r="H311" i="24" s="1"/>
  <c r="I311" i="24" s="1"/>
  <c r="H311" i="25" s="1"/>
  <c r="I268" i="22"/>
  <c r="H268" i="23" s="1"/>
  <c r="I268" i="23" s="1"/>
  <c r="H268" i="24" s="1"/>
  <c r="I268" i="24" s="1"/>
  <c r="H268" i="25" s="1"/>
  <c r="J292" i="22"/>
  <c r="J292" i="23" s="1"/>
  <c r="J292" i="24" s="1"/>
  <c r="J143" i="22"/>
  <c r="J143" i="23" s="1"/>
  <c r="J143" i="24" s="1"/>
  <c r="AA306" i="25"/>
  <c r="Z306" i="25" s="1"/>
  <c r="Y306" i="25" s="1"/>
  <c r="G297" i="25"/>
  <c r="CF297" i="6" s="1"/>
  <c r="AA50" i="25"/>
  <c r="Z50" i="25" s="1"/>
  <c r="Y50" i="25" s="1"/>
  <c r="G108" i="25"/>
  <c r="CF108" i="6" s="1"/>
  <c r="AA331" i="25"/>
  <c r="Z331" i="25" s="1"/>
  <c r="Y331" i="25" s="1"/>
  <c r="AA129" i="25"/>
  <c r="Z129" i="25" s="1"/>
  <c r="Y129" i="25" s="1"/>
  <c r="I205" i="24"/>
  <c r="H205" i="25" s="1"/>
  <c r="I205" i="25" s="1"/>
  <c r="J205" i="24"/>
  <c r="G335" i="25"/>
  <c r="CF335" i="6" s="1"/>
  <c r="AA28" i="25"/>
  <c r="Z28" i="25" s="1"/>
  <c r="Y28" i="25" s="1"/>
  <c r="G95" i="25"/>
  <c r="CF95" i="6" s="1"/>
  <c r="G54" i="25"/>
  <c r="CF54" i="6" s="1"/>
  <c r="J159" i="23"/>
  <c r="J159" i="24" s="1"/>
  <c r="AA237" i="25"/>
  <c r="Z237" i="25" s="1"/>
  <c r="Y237" i="25" s="1"/>
  <c r="I217" i="24"/>
  <c r="H217" i="25" s="1"/>
  <c r="J217" i="25" s="1"/>
  <c r="G316" i="25"/>
  <c r="CF316" i="6" s="1"/>
  <c r="AA323" i="25"/>
  <c r="Z323" i="25" s="1"/>
  <c r="Y323" i="25" s="1"/>
  <c r="AA205" i="25"/>
  <c r="Z205" i="25" s="1"/>
  <c r="Y205" i="25" s="1"/>
  <c r="AA326" i="25"/>
  <c r="Z326" i="25" s="1"/>
  <c r="Y326" i="25" s="1"/>
  <c r="G344" i="25"/>
  <c r="CF344" i="6" s="1"/>
  <c r="G301" i="25"/>
  <c r="CF301" i="6" s="1"/>
  <c r="G224" i="25"/>
  <c r="CF224" i="6" s="1"/>
  <c r="J87" i="23"/>
  <c r="J87" i="24" s="1"/>
  <c r="AA116" i="25"/>
  <c r="Z116" i="25" s="1"/>
  <c r="Y116" i="25" s="1"/>
  <c r="AA180" i="25"/>
  <c r="Z180" i="25" s="1"/>
  <c r="Y180" i="25" s="1"/>
  <c r="I289" i="23"/>
  <c r="H289" i="24" s="1"/>
  <c r="I289" i="24" s="1"/>
  <c r="H289" i="25" s="1"/>
  <c r="J251" i="24"/>
  <c r="J251" i="25" s="1"/>
  <c r="I163" i="23"/>
  <c r="H163" i="24" s="1"/>
  <c r="J163" i="24" s="1"/>
  <c r="J85" i="23"/>
  <c r="J85" i="24" s="1"/>
  <c r="I371" i="23"/>
  <c r="H371" i="24" s="1"/>
  <c r="I371" i="24" s="1"/>
  <c r="H371" i="25" s="1"/>
  <c r="AA367" i="25"/>
  <c r="Z367" i="25" s="1"/>
  <c r="Y367" i="25" s="1"/>
  <c r="I223" i="23"/>
  <c r="H223" i="24" s="1"/>
  <c r="I223" i="24" s="1"/>
  <c r="H223" i="25" s="1"/>
  <c r="I88" i="23"/>
  <c r="H88" i="24" s="1"/>
  <c r="J114" i="23"/>
  <c r="J114" i="24" s="1"/>
  <c r="J25" i="23"/>
  <c r="J25" i="24" s="1"/>
  <c r="J356" i="23"/>
  <c r="J356" i="24" s="1"/>
  <c r="I345" i="23"/>
  <c r="H345" i="24" s="1"/>
  <c r="I169" i="23"/>
  <c r="H169" i="24" s="1"/>
  <c r="I169" i="24" s="1"/>
  <c r="H169" i="25" s="1"/>
  <c r="I44" i="23"/>
  <c r="H44" i="24" s="1"/>
  <c r="J44" i="24" s="1"/>
  <c r="J234" i="23"/>
  <c r="J234" i="24" s="1"/>
  <c r="I121" i="23"/>
  <c r="H121" i="24" s="1"/>
  <c r="I121" i="24" s="1"/>
  <c r="H121" i="25" s="1"/>
  <c r="J186" i="23"/>
  <c r="J186" i="24" s="1"/>
  <c r="W380" i="25"/>
  <c r="G380" i="25"/>
  <c r="CF380" i="6" s="1"/>
  <c r="AA380" i="25"/>
  <c r="Z380" i="25" s="1"/>
  <c r="Y380" i="25" s="1"/>
  <c r="J253" i="24"/>
  <c r="I253" i="24"/>
  <c r="H253" i="25" s="1"/>
  <c r="I125" i="24"/>
  <c r="H125" i="25" s="1"/>
  <c r="J125" i="24"/>
  <c r="J173" i="24"/>
  <c r="I173" i="24"/>
  <c r="H173" i="25" s="1"/>
  <c r="J61" i="24"/>
  <c r="I61" i="24"/>
  <c r="H61" i="25" s="1"/>
  <c r="I333" i="24"/>
  <c r="H333" i="25" s="1"/>
  <c r="J333" i="24"/>
  <c r="I369" i="24"/>
  <c r="H369" i="25" s="1"/>
  <c r="J369" i="24"/>
  <c r="I282" i="24"/>
  <c r="H282" i="25" s="1"/>
  <c r="J282" i="24"/>
  <c r="I46" i="24"/>
  <c r="H46" i="25" s="1"/>
  <c r="J46" i="24"/>
  <c r="J191" i="24"/>
  <c r="I191" i="24"/>
  <c r="H191" i="25" s="1"/>
  <c r="I156" i="24"/>
  <c r="H156" i="25" s="1"/>
  <c r="I74" i="24"/>
  <c r="H74" i="25" s="1"/>
  <c r="J74" i="24"/>
  <c r="J34" i="24"/>
  <c r="I34" i="24"/>
  <c r="H34" i="25" s="1"/>
  <c r="J171" i="24"/>
  <c r="I171" i="24"/>
  <c r="H171" i="25" s="1"/>
  <c r="I275" i="24"/>
  <c r="H275" i="25" s="1"/>
  <c r="J275" i="24"/>
  <c r="I361" i="24"/>
  <c r="H361" i="25" s="1"/>
  <c r="J361" i="24"/>
  <c r="I159" i="24"/>
  <c r="H159" i="25" s="1"/>
  <c r="J21" i="24"/>
  <c r="I21" i="24"/>
  <c r="H21" i="25" s="1"/>
  <c r="J188" i="24"/>
  <c r="I188" i="24"/>
  <c r="H188" i="25" s="1"/>
  <c r="I133" i="24"/>
  <c r="H133" i="25" s="1"/>
  <c r="J115" i="24"/>
  <c r="I115" i="24"/>
  <c r="H115" i="25" s="1"/>
  <c r="J250" i="24"/>
  <c r="I250" i="24"/>
  <c r="H250" i="25" s="1"/>
  <c r="I350" i="24"/>
  <c r="H350" i="25" s="1"/>
  <c r="J350" i="24"/>
  <c r="I251" i="25"/>
  <c r="I309" i="24"/>
  <c r="H309" i="25" s="1"/>
  <c r="J309" i="24"/>
  <c r="I291" i="24"/>
  <c r="H291" i="25" s="1"/>
  <c r="J291" i="24"/>
  <c r="AA29" i="25"/>
  <c r="Z29" i="25" s="1"/>
  <c r="Y29" i="25" s="1"/>
  <c r="G29" i="25"/>
  <c r="CF29" i="6" s="1"/>
  <c r="G352" i="25"/>
  <c r="CF352" i="6" s="1"/>
  <c r="AA352" i="25"/>
  <c r="Z352" i="25" s="1"/>
  <c r="Y352" i="25" s="1"/>
  <c r="I352" i="24"/>
  <c r="H352" i="25" s="1"/>
  <c r="J352" i="24"/>
  <c r="G369" i="25"/>
  <c r="CF369" i="6" s="1"/>
  <c r="AA369" i="25"/>
  <c r="Z369" i="25" s="1"/>
  <c r="Y369" i="25" s="1"/>
  <c r="J90" i="24"/>
  <c r="I90" i="24"/>
  <c r="H90" i="25" s="1"/>
  <c r="I201" i="24"/>
  <c r="H201" i="25" s="1"/>
  <c r="J201" i="24"/>
  <c r="I148" i="24"/>
  <c r="H148" i="25" s="1"/>
  <c r="J148" i="24"/>
  <c r="AA65" i="25"/>
  <c r="Z65" i="25" s="1"/>
  <c r="Y65" i="25" s="1"/>
  <c r="G65" i="25"/>
  <c r="CF65" i="6" s="1"/>
  <c r="J65" i="24"/>
  <c r="I65" i="24"/>
  <c r="H65" i="25" s="1"/>
  <c r="G289" i="25"/>
  <c r="CF289" i="6" s="1"/>
  <c r="AA289" i="25"/>
  <c r="Z289" i="25" s="1"/>
  <c r="Y289" i="25" s="1"/>
  <c r="J276" i="23"/>
  <c r="I276" i="23"/>
  <c r="H276" i="24" s="1"/>
  <c r="I320" i="23"/>
  <c r="H320" i="24" s="1"/>
  <c r="J320" i="23"/>
  <c r="J91" i="23"/>
  <c r="I91" i="23"/>
  <c r="H91" i="24" s="1"/>
  <c r="J218" i="24"/>
  <c r="I218" i="24"/>
  <c r="H218" i="25" s="1"/>
  <c r="I25" i="24"/>
  <c r="H25" i="25" s="1"/>
  <c r="I272" i="24"/>
  <c r="H272" i="25" s="1"/>
  <c r="G24" i="25"/>
  <c r="CF24" i="6" s="1"/>
  <c r="AA24" i="25"/>
  <c r="Z24" i="25" s="1"/>
  <c r="Y24" i="25" s="1"/>
  <c r="G206" i="25"/>
  <c r="CF206" i="6" s="1"/>
  <c r="AA206" i="25"/>
  <c r="Z206" i="25" s="1"/>
  <c r="Y206" i="25" s="1"/>
  <c r="AA181" i="25"/>
  <c r="Z181" i="25" s="1"/>
  <c r="Y181" i="25" s="1"/>
  <c r="G181" i="25"/>
  <c r="CF181" i="6" s="1"/>
  <c r="G124" i="25"/>
  <c r="CF124" i="6" s="1"/>
  <c r="AA124" i="25"/>
  <c r="Z124" i="25" s="1"/>
  <c r="Y124" i="25" s="1"/>
  <c r="G279" i="25"/>
  <c r="CF279" i="6" s="1"/>
  <c r="AA279" i="25"/>
  <c r="Z279" i="25" s="1"/>
  <c r="Y279" i="25" s="1"/>
  <c r="I248" i="23"/>
  <c r="H248" i="24" s="1"/>
  <c r="AA37" i="25"/>
  <c r="Z37" i="25" s="1"/>
  <c r="Y37" i="25" s="1"/>
  <c r="G37" i="25"/>
  <c r="CF37" i="6" s="1"/>
  <c r="G31" i="25"/>
  <c r="CF31" i="6" s="1"/>
  <c r="AA31" i="25"/>
  <c r="Z31" i="25" s="1"/>
  <c r="Y31" i="25" s="1"/>
  <c r="G96" i="25"/>
  <c r="CF96" i="6" s="1"/>
  <c r="AA96" i="25"/>
  <c r="Z96" i="25" s="1"/>
  <c r="Y96" i="25" s="1"/>
  <c r="AA219" i="25"/>
  <c r="Z219" i="25" s="1"/>
  <c r="Y219" i="25" s="1"/>
  <c r="G219" i="25"/>
  <c r="CF219" i="6" s="1"/>
  <c r="G296" i="25"/>
  <c r="CF296" i="6" s="1"/>
  <c r="AA296" i="25"/>
  <c r="Z296" i="25" s="1"/>
  <c r="Y296" i="25" s="1"/>
  <c r="I374" i="24"/>
  <c r="H374" i="25" s="1"/>
  <c r="J374" i="24"/>
  <c r="G267" i="25"/>
  <c r="CF267" i="6" s="1"/>
  <c r="AA267" i="25"/>
  <c r="Z267" i="25" s="1"/>
  <c r="Y267" i="25" s="1"/>
  <c r="I39" i="23"/>
  <c r="H39" i="24" s="1"/>
  <c r="J39" i="23"/>
  <c r="I28" i="23"/>
  <c r="H28" i="24" s="1"/>
  <c r="J28" i="23"/>
  <c r="I179" i="23"/>
  <c r="H179" i="24" s="1"/>
  <c r="J179" i="23"/>
  <c r="I221" i="23"/>
  <c r="H221" i="24" s="1"/>
  <c r="J221" i="23"/>
  <c r="I175" i="23"/>
  <c r="H175" i="24" s="1"/>
  <c r="J175" i="23"/>
  <c r="J335" i="23"/>
  <c r="I335" i="23"/>
  <c r="H335" i="24" s="1"/>
  <c r="I129" i="23"/>
  <c r="H129" i="24" s="1"/>
  <c r="J129" i="23"/>
  <c r="I247" i="23"/>
  <c r="H247" i="24" s="1"/>
  <c r="J247" i="23"/>
  <c r="I120" i="23"/>
  <c r="H120" i="24" s="1"/>
  <c r="J120" i="23"/>
  <c r="J334" i="24"/>
  <c r="I334" i="24"/>
  <c r="H334" i="25" s="1"/>
  <c r="G46" i="25"/>
  <c r="CF46" i="6" s="1"/>
  <c r="AA46" i="25"/>
  <c r="Z46" i="25" s="1"/>
  <c r="Y46" i="25" s="1"/>
  <c r="AA261" i="25"/>
  <c r="Z261" i="25" s="1"/>
  <c r="Y261" i="25" s="1"/>
  <c r="G261" i="25"/>
  <c r="CF261" i="6" s="1"/>
  <c r="J112" i="24"/>
  <c r="I112" i="24"/>
  <c r="H112" i="25" s="1"/>
  <c r="I310" i="24"/>
  <c r="H310" i="25" s="1"/>
  <c r="I119" i="24"/>
  <c r="H119" i="25" s="1"/>
  <c r="J119" i="24"/>
  <c r="G67" i="25"/>
  <c r="CF67" i="6" s="1"/>
  <c r="AA67" i="25"/>
  <c r="Z67" i="25" s="1"/>
  <c r="Y67" i="25" s="1"/>
  <c r="I220" i="24"/>
  <c r="H220" i="25" s="1"/>
  <c r="J220" i="24"/>
  <c r="G74" i="25"/>
  <c r="CF74" i="6" s="1"/>
  <c r="AA74" i="25"/>
  <c r="Z74" i="25" s="1"/>
  <c r="Y74" i="25" s="1"/>
  <c r="I376" i="23"/>
  <c r="H376" i="24" s="1"/>
  <c r="J376" i="23"/>
  <c r="G165" i="25"/>
  <c r="CF165" i="6" s="1"/>
  <c r="AA165" i="25"/>
  <c r="Z165" i="25" s="1"/>
  <c r="Y165" i="25" s="1"/>
  <c r="I295" i="24"/>
  <c r="H295" i="25" s="1"/>
  <c r="J295" i="24"/>
  <c r="AA244" i="25"/>
  <c r="Z244" i="25" s="1"/>
  <c r="Y244" i="25" s="1"/>
  <c r="G244" i="25"/>
  <c r="CF244" i="6" s="1"/>
  <c r="G34" i="25"/>
  <c r="CF34" i="6" s="1"/>
  <c r="AA34" i="25"/>
  <c r="Z34" i="25" s="1"/>
  <c r="Y34" i="25" s="1"/>
  <c r="G325" i="25"/>
  <c r="CF325" i="6" s="1"/>
  <c r="AA325" i="25"/>
  <c r="Z325" i="25" s="1"/>
  <c r="Y325" i="25" s="1"/>
  <c r="J62" i="24"/>
  <c r="I62" i="24"/>
  <c r="H62" i="25" s="1"/>
  <c r="I262" i="23"/>
  <c r="H262" i="24" s="1"/>
  <c r="J262" i="23"/>
  <c r="I166" i="23"/>
  <c r="H166" i="24" s="1"/>
  <c r="J166" i="23"/>
  <c r="J330" i="23"/>
  <c r="I330" i="23"/>
  <c r="H330" i="24" s="1"/>
  <c r="G58" i="25"/>
  <c r="CF58" i="6" s="1"/>
  <c r="AA58" i="25"/>
  <c r="Z58" i="25" s="1"/>
  <c r="Y58" i="25" s="1"/>
  <c r="J264" i="23"/>
  <c r="I264" i="23"/>
  <c r="H264" i="24" s="1"/>
  <c r="I48" i="23"/>
  <c r="H48" i="24" s="1"/>
  <c r="J48" i="23"/>
  <c r="I85" i="24"/>
  <c r="H85" i="25" s="1"/>
  <c r="G275" i="25"/>
  <c r="CF275" i="6" s="1"/>
  <c r="AA275" i="25"/>
  <c r="Z275" i="25" s="1"/>
  <c r="Y275" i="25" s="1"/>
  <c r="G188" i="25"/>
  <c r="CF188" i="6" s="1"/>
  <c r="AA188" i="25"/>
  <c r="Z188" i="25" s="1"/>
  <c r="Y188" i="25" s="1"/>
  <c r="AA355" i="25"/>
  <c r="Z355" i="25" s="1"/>
  <c r="Y355" i="25" s="1"/>
  <c r="G355" i="25"/>
  <c r="CF355" i="6" s="1"/>
  <c r="G378" i="25"/>
  <c r="CF378" i="6" s="1"/>
  <c r="AA378" i="25"/>
  <c r="Z378" i="25" s="1"/>
  <c r="Y378" i="25" s="1"/>
  <c r="G234" i="25"/>
  <c r="CF234" i="6" s="1"/>
  <c r="AA234" i="25"/>
  <c r="Z234" i="25" s="1"/>
  <c r="Y234" i="25" s="1"/>
  <c r="I356" i="24"/>
  <c r="H356" i="25" s="1"/>
  <c r="J43" i="23"/>
  <c r="I43" i="23"/>
  <c r="H43" i="24" s="1"/>
  <c r="I155" i="23"/>
  <c r="H155" i="24" s="1"/>
  <c r="J155" i="23"/>
  <c r="J297" i="23"/>
  <c r="I297" i="23"/>
  <c r="H297" i="24" s="1"/>
  <c r="AA361" i="25"/>
  <c r="Z361" i="25" s="1"/>
  <c r="Y361" i="25" s="1"/>
  <c r="G361" i="25"/>
  <c r="CF361" i="6" s="1"/>
  <c r="G71" i="25"/>
  <c r="CF71" i="6" s="1"/>
  <c r="AA71" i="25"/>
  <c r="Z71" i="25" s="1"/>
  <c r="Y71" i="25" s="1"/>
  <c r="G215" i="25"/>
  <c r="CF215" i="6" s="1"/>
  <c r="AA215" i="25"/>
  <c r="Z215" i="25" s="1"/>
  <c r="Y215" i="25" s="1"/>
  <c r="J214" i="23"/>
  <c r="I214" i="23"/>
  <c r="H214" i="24" s="1"/>
  <c r="G332" i="25"/>
  <c r="CF332" i="6" s="1"/>
  <c r="AA332" i="25"/>
  <c r="Z332" i="25" s="1"/>
  <c r="Y332" i="25" s="1"/>
  <c r="I299" i="23"/>
  <c r="H299" i="24" s="1"/>
  <c r="J299" i="23"/>
  <c r="I107" i="23"/>
  <c r="H107" i="24" s="1"/>
  <c r="J107" i="23"/>
  <c r="I342" i="23"/>
  <c r="H342" i="24" s="1"/>
  <c r="J342" i="23"/>
  <c r="J313" i="23"/>
  <c r="I313" i="23"/>
  <c r="H313" i="24" s="1"/>
  <c r="J197" i="23"/>
  <c r="I197" i="23"/>
  <c r="H197" i="24" s="1"/>
  <c r="J312" i="23"/>
  <c r="I312" i="23"/>
  <c r="H312" i="24" s="1"/>
  <c r="I292" i="24"/>
  <c r="H292" i="25" s="1"/>
  <c r="G340" i="25"/>
  <c r="CF340" i="6" s="1"/>
  <c r="AA340" i="25"/>
  <c r="Z340" i="25" s="1"/>
  <c r="Y340" i="25" s="1"/>
  <c r="AA373" i="25"/>
  <c r="Z373" i="25" s="1"/>
  <c r="Y373" i="25" s="1"/>
  <c r="G373" i="25"/>
  <c r="CF373" i="6" s="1"/>
  <c r="J373" i="24"/>
  <c r="I373" i="24"/>
  <c r="H373" i="25" s="1"/>
  <c r="J182" i="23"/>
  <c r="I182" i="23"/>
  <c r="H182" i="24" s="1"/>
  <c r="J332" i="23"/>
  <c r="I332" i="23"/>
  <c r="H332" i="24" s="1"/>
  <c r="I302" i="23"/>
  <c r="H302" i="24" s="1"/>
  <c r="J302" i="23"/>
  <c r="J63" i="23"/>
  <c r="I63" i="23"/>
  <c r="H63" i="24" s="1"/>
  <c r="I118" i="23"/>
  <c r="H118" i="24" s="1"/>
  <c r="J118" i="23"/>
  <c r="I360" i="23"/>
  <c r="H360" i="24" s="1"/>
  <c r="J360" i="23"/>
  <c r="J158" i="23"/>
  <c r="I158" i="23"/>
  <c r="H158" i="24" s="1"/>
  <c r="J324" i="23"/>
  <c r="I324" i="23"/>
  <c r="H324" i="24" s="1"/>
  <c r="I338" i="23"/>
  <c r="H338" i="24" s="1"/>
  <c r="J338" i="23"/>
  <c r="I50" i="23"/>
  <c r="H50" i="24" s="1"/>
  <c r="J50" i="23"/>
  <c r="I101" i="23"/>
  <c r="H101" i="24" s="1"/>
  <c r="J101" i="23"/>
  <c r="J60" i="24"/>
  <c r="I60" i="24"/>
  <c r="H60" i="25" s="1"/>
  <c r="J127" i="23"/>
  <c r="I127" i="23"/>
  <c r="H127" i="24" s="1"/>
  <c r="J128" i="24"/>
  <c r="I128" i="24"/>
  <c r="H128" i="25" s="1"/>
  <c r="G144" i="25"/>
  <c r="CF144" i="6" s="1"/>
  <c r="AA144" i="25"/>
  <c r="Z144" i="25" s="1"/>
  <c r="Y144" i="25" s="1"/>
  <c r="I277" i="23"/>
  <c r="H277" i="24" s="1"/>
  <c r="J277" i="23"/>
  <c r="I362" i="23"/>
  <c r="H362" i="24" s="1"/>
  <c r="J362" i="23"/>
  <c r="J232" i="23"/>
  <c r="I232" i="23"/>
  <c r="H232" i="24" s="1"/>
  <c r="G191" i="25"/>
  <c r="CF191" i="6" s="1"/>
  <c r="AA191" i="25"/>
  <c r="Z191" i="25" s="1"/>
  <c r="Y191" i="25" s="1"/>
  <c r="I267" i="23"/>
  <c r="H267" i="24" s="1"/>
  <c r="J267" i="23"/>
  <c r="G345" i="25"/>
  <c r="CF345" i="6" s="1"/>
  <c r="AA345" i="25"/>
  <c r="Z345" i="25" s="1"/>
  <c r="Y345" i="25" s="1"/>
  <c r="I73" i="24"/>
  <c r="H73" i="25" s="1"/>
  <c r="G248" i="25"/>
  <c r="CF248" i="6" s="1"/>
  <c r="AA248" i="25"/>
  <c r="Z248" i="25" s="1"/>
  <c r="Y248" i="25" s="1"/>
  <c r="AA357" i="25"/>
  <c r="Z357" i="25" s="1"/>
  <c r="Y357" i="25" s="1"/>
  <c r="G357" i="25"/>
  <c r="CF357" i="6" s="1"/>
  <c r="I194" i="24"/>
  <c r="H194" i="25" s="1"/>
  <c r="J194" i="24"/>
  <c r="AA45" i="25"/>
  <c r="Z45" i="25" s="1"/>
  <c r="Y45" i="25" s="1"/>
  <c r="G45" i="25"/>
  <c r="CF45" i="6" s="1"/>
  <c r="J339" i="24"/>
  <c r="I339" i="24"/>
  <c r="H339" i="25" s="1"/>
  <c r="J56" i="23"/>
  <c r="I56" i="23"/>
  <c r="H56" i="24" s="1"/>
  <c r="J53" i="24"/>
  <c r="I53" i="24"/>
  <c r="H53" i="25" s="1"/>
  <c r="I364" i="23"/>
  <c r="H364" i="24" s="1"/>
  <c r="J364" i="23"/>
  <c r="I109" i="24"/>
  <c r="H109" i="25" s="1"/>
  <c r="J109" i="24"/>
  <c r="J346" i="23"/>
  <c r="I346" i="23"/>
  <c r="H346" i="24" s="1"/>
  <c r="AA148" i="25"/>
  <c r="Z148" i="25" s="1"/>
  <c r="Y148" i="25" s="1"/>
  <c r="G148" i="25"/>
  <c r="CF148" i="6" s="1"/>
  <c r="I195" i="23"/>
  <c r="H195" i="24" s="1"/>
  <c r="J195" i="23"/>
  <c r="J122" i="23"/>
  <c r="I122" i="23"/>
  <c r="H122" i="24" s="1"/>
  <c r="I200" i="23"/>
  <c r="H200" i="24" s="1"/>
  <c r="J200" i="23"/>
  <c r="I224" i="23"/>
  <c r="H224" i="24" s="1"/>
  <c r="J224" i="23"/>
  <c r="AA288" i="25"/>
  <c r="Z288" i="25" s="1"/>
  <c r="Y288" i="25" s="1"/>
  <c r="G288" i="25"/>
  <c r="CF288" i="6" s="1"/>
  <c r="G25" i="25"/>
  <c r="CF25" i="6" s="1"/>
  <c r="AA25" i="25"/>
  <c r="Z25" i="25" s="1"/>
  <c r="Y25" i="25" s="1"/>
  <c r="G102" i="25"/>
  <c r="CF102" i="6" s="1"/>
  <c r="AA102" i="25"/>
  <c r="Z102" i="25" s="1"/>
  <c r="Y102" i="25" s="1"/>
  <c r="G137" i="25"/>
  <c r="CF137" i="6" s="1"/>
  <c r="AA137" i="25"/>
  <c r="Z137" i="25" s="1"/>
  <c r="Y137" i="25" s="1"/>
  <c r="G22" i="25"/>
  <c r="CF22" i="6" s="1"/>
  <c r="AA22" i="25"/>
  <c r="Z22" i="25" s="1"/>
  <c r="Y22" i="25" s="1"/>
  <c r="G272" i="25"/>
  <c r="CF272" i="6" s="1"/>
  <c r="AA272" i="25"/>
  <c r="Z272" i="25" s="1"/>
  <c r="Y272" i="25" s="1"/>
  <c r="J24" i="24"/>
  <c r="I24" i="24"/>
  <c r="H24" i="25" s="1"/>
  <c r="I206" i="24"/>
  <c r="H206" i="25" s="1"/>
  <c r="J206" i="24"/>
  <c r="G268" i="25"/>
  <c r="CF268" i="6" s="1"/>
  <c r="AA268" i="25"/>
  <c r="Z268" i="25" s="1"/>
  <c r="Y268" i="25" s="1"/>
  <c r="G198" i="25"/>
  <c r="CF198" i="6" s="1"/>
  <c r="AA198" i="25"/>
  <c r="Z198" i="25" s="1"/>
  <c r="Y198" i="25" s="1"/>
  <c r="I198" i="24"/>
  <c r="H198" i="25" s="1"/>
  <c r="J198" i="24"/>
  <c r="G307" i="25"/>
  <c r="CF307" i="6" s="1"/>
  <c r="AA307" i="25"/>
  <c r="Z307" i="25" s="1"/>
  <c r="Y307" i="25" s="1"/>
  <c r="G160" i="25"/>
  <c r="CF160" i="6" s="1"/>
  <c r="AA160" i="25"/>
  <c r="Z160" i="25" s="1"/>
  <c r="Y160" i="25" s="1"/>
  <c r="G374" i="25"/>
  <c r="CF374" i="6" s="1"/>
  <c r="AA374" i="25"/>
  <c r="Z374" i="25" s="1"/>
  <c r="Y374" i="25" s="1"/>
  <c r="G249" i="25"/>
  <c r="CF249" i="6" s="1"/>
  <c r="AA249" i="25"/>
  <c r="Z249" i="25" s="1"/>
  <c r="Y249" i="25" s="1"/>
  <c r="G254" i="25"/>
  <c r="CF254" i="6" s="1"/>
  <c r="AA254" i="25"/>
  <c r="Z254" i="25" s="1"/>
  <c r="Y254" i="25" s="1"/>
  <c r="J366" i="23"/>
  <c r="I366" i="23"/>
  <c r="H366" i="24" s="1"/>
  <c r="I170" i="23"/>
  <c r="H170" i="24" s="1"/>
  <c r="J170" i="23"/>
  <c r="J180" i="23"/>
  <c r="I180" i="23"/>
  <c r="H180" i="24" s="1"/>
  <c r="J183" i="23"/>
  <c r="I183" i="23"/>
  <c r="H183" i="24" s="1"/>
  <c r="J326" i="23"/>
  <c r="I326" i="23"/>
  <c r="H326" i="24" s="1"/>
  <c r="I131" i="23"/>
  <c r="H131" i="24" s="1"/>
  <c r="J131" i="23"/>
  <c r="J351" i="23"/>
  <c r="I351" i="23"/>
  <c r="H351" i="24" s="1"/>
  <c r="J187" i="24"/>
  <c r="I187" i="24"/>
  <c r="H187" i="25" s="1"/>
  <c r="I287" i="23"/>
  <c r="H287" i="24" s="1"/>
  <c r="J287" i="23"/>
  <c r="I215" i="23"/>
  <c r="H215" i="24" s="1"/>
  <c r="J215" i="23"/>
  <c r="G334" i="25"/>
  <c r="CF334" i="6" s="1"/>
  <c r="AA334" i="25"/>
  <c r="Z334" i="25" s="1"/>
  <c r="Y334" i="25" s="1"/>
  <c r="G139" i="25"/>
  <c r="CF139" i="6" s="1"/>
  <c r="AA139" i="25"/>
  <c r="Z139" i="25" s="1"/>
  <c r="Y139" i="25" s="1"/>
  <c r="I256" i="23"/>
  <c r="H256" i="24" s="1"/>
  <c r="J256" i="23"/>
  <c r="J279" i="23"/>
  <c r="I279" i="23"/>
  <c r="H279" i="24" s="1"/>
  <c r="I162" i="24"/>
  <c r="H162" i="25" s="1"/>
  <c r="I244" i="23"/>
  <c r="H244" i="24" s="1"/>
  <c r="AA182" i="25"/>
  <c r="Z182" i="25" s="1"/>
  <c r="Y182" i="25" s="1"/>
  <c r="G182" i="25"/>
  <c r="CF182" i="6" s="1"/>
  <c r="J261" i="24"/>
  <c r="I261" i="24"/>
  <c r="H261" i="25" s="1"/>
  <c r="I219" i="23"/>
  <c r="H219" i="24" s="1"/>
  <c r="J219" i="23"/>
  <c r="G310" i="25"/>
  <c r="CF310" i="6" s="1"/>
  <c r="AA310" i="25"/>
  <c r="Z310" i="25" s="1"/>
  <c r="Y310" i="25" s="1"/>
  <c r="G317" i="25"/>
  <c r="CF317" i="6" s="1"/>
  <c r="AA317" i="25"/>
  <c r="Z317" i="25" s="1"/>
  <c r="Y317" i="25" s="1"/>
  <c r="G220" i="25"/>
  <c r="CF220" i="6" s="1"/>
  <c r="AA220" i="25"/>
  <c r="Z220" i="25" s="1"/>
  <c r="Y220" i="25" s="1"/>
  <c r="AA87" i="25"/>
  <c r="Z87" i="25" s="1"/>
  <c r="Y87" i="25" s="1"/>
  <c r="G87" i="25"/>
  <c r="CF87" i="6" s="1"/>
  <c r="AA76" i="25"/>
  <c r="Z76" i="25" s="1"/>
  <c r="Y76" i="25" s="1"/>
  <c r="G76" i="25"/>
  <c r="CF76" i="6" s="1"/>
  <c r="G283" i="25"/>
  <c r="CF283" i="6" s="1"/>
  <c r="AA283" i="25"/>
  <c r="Z283" i="25" s="1"/>
  <c r="Y283" i="25" s="1"/>
  <c r="G318" i="25"/>
  <c r="CF318" i="6" s="1"/>
  <c r="AA318" i="25"/>
  <c r="Z318" i="25" s="1"/>
  <c r="Y318" i="25" s="1"/>
  <c r="I273" i="24"/>
  <c r="H273" i="25" s="1"/>
  <c r="J110" i="23"/>
  <c r="I110" i="23"/>
  <c r="H110" i="24" s="1"/>
  <c r="I266" i="23"/>
  <c r="H266" i="24" s="1"/>
  <c r="J266" i="23"/>
  <c r="G239" i="25"/>
  <c r="CF239" i="6" s="1"/>
  <c r="AA239" i="25"/>
  <c r="Z239" i="25" s="1"/>
  <c r="Y239" i="25" s="1"/>
  <c r="G315" i="25"/>
  <c r="CF315" i="6" s="1"/>
  <c r="AA315" i="25"/>
  <c r="Z315" i="25" s="1"/>
  <c r="Y315" i="25" s="1"/>
  <c r="I89" i="24"/>
  <c r="H89" i="25" s="1"/>
  <c r="J89" i="24"/>
  <c r="G62" i="25"/>
  <c r="CF62" i="6" s="1"/>
  <c r="AA62" i="25"/>
  <c r="Z62" i="25" s="1"/>
  <c r="Y62" i="25" s="1"/>
  <c r="I174" i="23"/>
  <c r="H174" i="24" s="1"/>
  <c r="J174" i="23"/>
  <c r="J212" i="23"/>
  <c r="I212" i="23"/>
  <c r="H212" i="24" s="1"/>
  <c r="I258" i="23"/>
  <c r="H258" i="24" s="1"/>
  <c r="J258" i="23"/>
  <c r="J83" i="23"/>
  <c r="I83" i="23"/>
  <c r="H83" i="24" s="1"/>
  <c r="I69" i="23"/>
  <c r="H69" i="24" s="1"/>
  <c r="J69" i="23"/>
  <c r="J80" i="23"/>
  <c r="I80" i="23"/>
  <c r="H80" i="24" s="1"/>
  <c r="J57" i="23"/>
  <c r="I57" i="23"/>
  <c r="H57" i="24" s="1"/>
  <c r="G253" i="25"/>
  <c r="CF253" i="6" s="1"/>
  <c r="AA253" i="25"/>
  <c r="Z253" i="25" s="1"/>
  <c r="Y253" i="25" s="1"/>
  <c r="G21" i="25"/>
  <c r="CF21" i="6" s="1"/>
  <c r="AA21" i="25"/>
  <c r="Z21" i="25" s="1"/>
  <c r="Y21" i="25" s="1"/>
  <c r="I303" i="23"/>
  <c r="H303" i="24" s="1"/>
  <c r="G169" i="25"/>
  <c r="CF169" i="6" s="1"/>
  <c r="AA169" i="25"/>
  <c r="Z169" i="25" s="1"/>
  <c r="Y169" i="25" s="1"/>
  <c r="AA245" i="25"/>
  <c r="Z245" i="25" s="1"/>
  <c r="Y245" i="25" s="1"/>
  <c r="G245" i="25"/>
  <c r="CF245" i="6" s="1"/>
  <c r="I288" i="23"/>
  <c r="H288" i="24" s="1"/>
  <c r="J288" i="23"/>
  <c r="G133" i="25"/>
  <c r="CF133" i="6" s="1"/>
  <c r="AA133" i="25"/>
  <c r="Z133" i="25" s="1"/>
  <c r="Y133" i="25" s="1"/>
  <c r="I193" i="23"/>
  <c r="H193" i="24" s="1"/>
  <c r="J193" i="23"/>
  <c r="I337" i="23"/>
  <c r="H337" i="24" s="1"/>
  <c r="J337" i="23"/>
  <c r="I97" i="23"/>
  <c r="H97" i="24" s="1"/>
  <c r="J97" i="23"/>
  <c r="J164" i="23"/>
  <c r="I164" i="23"/>
  <c r="H164" i="24" s="1"/>
  <c r="J71" i="24"/>
  <c r="I71" i="24"/>
  <c r="H71" i="25" s="1"/>
  <c r="G184" i="25"/>
  <c r="CF184" i="6" s="1"/>
  <c r="AA184" i="25"/>
  <c r="Z184" i="25" s="1"/>
  <c r="Y184" i="25" s="1"/>
  <c r="G214" i="25"/>
  <c r="CF214" i="6" s="1"/>
  <c r="AA214" i="25"/>
  <c r="Z214" i="25" s="1"/>
  <c r="Y214" i="25" s="1"/>
  <c r="J140" i="23"/>
  <c r="I140" i="23"/>
  <c r="H140" i="24" s="1"/>
  <c r="G48" i="25"/>
  <c r="CF48" i="6" s="1"/>
  <c r="AA48" i="25"/>
  <c r="Z48" i="25" s="1"/>
  <c r="Y48" i="25" s="1"/>
  <c r="I55" i="23"/>
  <c r="H55" i="24" s="1"/>
  <c r="J55" i="23"/>
  <c r="I167" i="23"/>
  <c r="H167" i="24" s="1"/>
  <c r="J167" i="23"/>
  <c r="I105" i="23"/>
  <c r="H105" i="24" s="1"/>
  <c r="J105" i="23"/>
  <c r="I319" i="23"/>
  <c r="H319" i="24" s="1"/>
  <c r="J319" i="23"/>
  <c r="I278" i="23"/>
  <c r="H278" i="24" s="1"/>
  <c r="J278" i="23"/>
  <c r="J142" i="23"/>
  <c r="I142" i="23"/>
  <c r="H142" i="24" s="1"/>
  <c r="J138" i="23"/>
  <c r="I138" i="23"/>
  <c r="H138" i="24" s="1"/>
  <c r="J202" i="23"/>
  <c r="I202" i="23"/>
  <c r="H202" i="24" s="1"/>
  <c r="J52" i="23"/>
  <c r="I52" i="23"/>
  <c r="H52" i="24" s="1"/>
  <c r="G127" i="25"/>
  <c r="CF127" i="6" s="1"/>
  <c r="AA127" i="25"/>
  <c r="Z127" i="25" s="1"/>
  <c r="Y127" i="25" s="1"/>
  <c r="G292" i="25"/>
  <c r="CF292" i="6" s="1"/>
  <c r="AA292" i="25"/>
  <c r="Z292" i="25" s="1"/>
  <c r="Y292" i="25" s="1"/>
  <c r="G225" i="25"/>
  <c r="CF225" i="6" s="1"/>
  <c r="AA225" i="25"/>
  <c r="Z225" i="25" s="1"/>
  <c r="Y225" i="25" s="1"/>
  <c r="AA290" i="25"/>
  <c r="Z290" i="25" s="1"/>
  <c r="Y290" i="25" s="1"/>
  <c r="G290" i="25"/>
  <c r="CF290" i="6" s="1"/>
  <c r="AA84" i="25"/>
  <c r="Z84" i="25" s="1"/>
  <c r="Y84" i="25" s="1"/>
  <c r="G84" i="25"/>
  <c r="CF84" i="6" s="1"/>
  <c r="AA72" i="25"/>
  <c r="Z72" i="25" s="1"/>
  <c r="Y72" i="25" s="1"/>
  <c r="G72" i="25"/>
  <c r="CF72" i="6" s="1"/>
  <c r="G78" i="25"/>
  <c r="CF78" i="6" s="1"/>
  <c r="AA78" i="25"/>
  <c r="Z78" i="25" s="1"/>
  <c r="Y78" i="25" s="1"/>
  <c r="J270" i="23"/>
  <c r="I270" i="23"/>
  <c r="H270" i="24" s="1"/>
  <c r="I293" i="23"/>
  <c r="H293" i="24" s="1"/>
  <c r="J293" i="23"/>
  <c r="J41" i="23"/>
  <c r="I41" i="23"/>
  <c r="H41" i="24" s="1"/>
  <c r="J343" i="23"/>
  <c r="I343" i="23"/>
  <c r="H343" i="24" s="1"/>
  <c r="I82" i="23"/>
  <c r="H82" i="24" s="1"/>
  <c r="J82" i="23"/>
  <c r="I305" i="23"/>
  <c r="H305" i="24" s="1"/>
  <c r="J305" i="23"/>
  <c r="I95" i="23"/>
  <c r="H95" i="24" s="1"/>
  <c r="J95" i="23"/>
  <c r="I16" i="23"/>
  <c r="H16" i="24" s="1"/>
  <c r="J16" i="23"/>
  <c r="I284" i="23"/>
  <c r="H284" i="24" s="1"/>
  <c r="J284" i="23"/>
  <c r="G203" i="25"/>
  <c r="CF203" i="6" s="1"/>
  <c r="AA203" i="25"/>
  <c r="Z203" i="25" s="1"/>
  <c r="Y203" i="25" s="1"/>
  <c r="I186" i="24"/>
  <c r="H186" i="25" s="1"/>
  <c r="I290" i="23"/>
  <c r="H290" i="24" s="1"/>
  <c r="J290" i="23"/>
  <c r="AA196" i="25"/>
  <c r="Z196" i="25" s="1"/>
  <c r="Y196" i="25" s="1"/>
  <c r="G196" i="25"/>
  <c r="CF196" i="6" s="1"/>
  <c r="I254" i="23"/>
  <c r="H254" i="24" s="1"/>
  <c r="J254" i="23"/>
  <c r="G371" i="25"/>
  <c r="CF371" i="6" s="1"/>
  <c r="AA371" i="25"/>
  <c r="Z371" i="25" s="1"/>
  <c r="Y371" i="25" s="1"/>
  <c r="G115" i="25"/>
  <c r="CF115" i="6" s="1"/>
  <c r="AA115" i="25"/>
  <c r="Z115" i="25" s="1"/>
  <c r="Y115" i="25" s="1"/>
  <c r="J99" i="23"/>
  <c r="I99" i="23"/>
  <c r="H99" i="24" s="1"/>
  <c r="J328" i="24"/>
  <c r="I328" i="24"/>
  <c r="H328" i="25" s="1"/>
  <c r="J177" i="23"/>
  <c r="I177" i="23"/>
  <c r="H177" i="24" s="1"/>
  <c r="J111" i="23"/>
  <c r="I111" i="23"/>
  <c r="H111" i="24" s="1"/>
  <c r="I178" i="23"/>
  <c r="H178" i="24" s="1"/>
  <c r="J178" i="23"/>
  <c r="I336" i="23"/>
  <c r="H336" i="24" s="1"/>
  <c r="J336" i="23"/>
  <c r="J204" i="23"/>
  <c r="I204" i="23"/>
  <c r="H204" i="24" s="1"/>
  <c r="I211" i="23"/>
  <c r="H211" i="24" s="1"/>
  <c r="J211" i="23"/>
  <c r="J367" i="23"/>
  <c r="I367" i="23"/>
  <c r="H367" i="24" s="1"/>
  <c r="I327" i="23"/>
  <c r="H327" i="24" s="1"/>
  <c r="J327" i="23"/>
  <c r="J79" i="23"/>
  <c r="I79" i="23"/>
  <c r="H79" i="24" s="1"/>
  <c r="AA232" i="25"/>
  <c r="Z232" i="25" s="1"/>
  <c r="Y232" i="25" s="1"/>
  <c r="G232" i="25"/>
  <c r="CF232" i="6" s="1"/>
  <c r="J130" i="23"/>
  <c r="I130" i="23"/>
  <c r="H130" i="24" s="1"/>
  <c r="J271" i="23"/>
  <c r="I271" i="23"/>
  <c r="H271" i="24" s="1"/>
  <c r="J106" i="23"/>
  <c r="I106" i="23"/>
  <c r="H106" i="24" s="1"/>
  <c r="J285" i="23"/>
  <c r="I285" i="23"/>
  <c r="H285" i="24" s="1"/>
  <c r="I375" i="23"/>
  <c r="H375" i="24" s="1"/>
  <c r="J375" i="23"/>
  <c r="I331" i="23"/>
  <c r="H331" i="24" s="1"/>
  <c r="J331" i="23"/>
  <c r="G210" i="25"/>
  <c r="CF210" i="6" s="1"/>
  <c r="AA210" i="25"/>
  <c r="Z210" i="25" s="1"/>
  <c r="Y210" i="25" s="1"/>
  <c r="AA277" i="25"/>
  <c r="Z277" i="25" s="1"/>
  <c r="Y277" i="25" s="1"/>
  <c r="G277" i="25"/>
  <c r="CF277" i="6" s="1"/>
  <c r="G333" i="25"/>
  <c r="CF333" i="6" s="1"/>
  <c r="AA333" i="25"/>
  <c r="Z333" i="25" s="1"/>
  <c r="Y333" i="25" s="1"/>
  <c r="AA376" i="25"/>
  <c r="Z376" i="25" s="1"/>
  <c r="Y376" i="25" s="1"/>
  <c r="G376" i="25"/>
  <c r="CF376" i="6" s="1"/>
  <c r="G53" i="25"/>
  <c r="CF53" i="6" s="1"/>
  <c r="AA53" i="25"/>
  <c r="Z53" i="25" s="1"/>
  <c r="Y53" i="25" s="1"/>
  <c r="J139" i="23"/>
  <c r="I139" i="23"/>
  <c r="H139" i="24" s="1"/>
  <c r="AA109" i="25"/>
  <c r="Z109" i="25" s="1"/>
  <c r="Y109" i="25" s="1"/>
  <c r="G109" i="25"/>
  <c r="CF109" i="6" s="1"/>
  <c r="I149" i="23"/>
  <c r="H149" i="24" s="1"/>
  <c r="J149" i="23"/>
  <c r="J230" i="23"/>
  <c r="I230" i="23"/>
  <c r="H230" i="24" s="1"/>
  <c r="J146" i="23"/>
  <c r="I146" i="23"/>
  <c r="H146" i="24" s="1"/>
  <c r="J242" i="23"/>
  <c r="I242" i="23"/>
  <c r="H242" i="24" s="1"/>
  <c r="J94" i="23"/>
  <c r="I94" i="23"/>
  <c r="H94" i="24" s="1"/>
  <c r="I353" i="23"/>
  <c r="H353" i="24" s="1"/>
  <c r="J353" i="23"/>
  <c r="I210" i="23"/>
  <c r="H210" i="24" s="1"/>
  <c r="J210" i="23"/>
  <c r="G365" i="25"/>
  <c r="CF365" i="6" s="1"/>
  <c r="AA365" i="25"/>
  <c r="Z365" i="25" s="1"/>
  <c r="Y365" i="25" s="1"/>
  <c r="I86" i="24"/>
  <c r="H86" i="25" s="1"/>
  <c r="J86" i="24"/>
  <c r="J225" i="23"/>
  <c r="I225" i="23"/>
  <c r="H225" i="24" s="1"/>
  <c r="I22" i="24"/>
  <c r="H22" i="25" s="1"/>
  <c r="J22" i="24"/>
  <c r="I20" i="23"/>
  <c r="H20" i="24" s="1"/>
  <c r="J20" i="23"/>
  <c r="G236" i="25"/>
  <c r="CF236" i="6" s="1"/>
  <c r="AA236" i="25"/>
  <c r="Z236" i="25" s="1"/>
  <c r="Y236" i="25" s="1"/>
  <c r="I36" i="23"/>
  <c r="H36" i="24" s="1"/>
  <c r="J36" i="23"/>
  <c r="I160" i="24"/>
  <c r="H160" i="25" s="1"/>
  <c r="J160" i="24"/>
  <c r="G350" i="25"/>
  <c r="CF350" i="6" s="1"/>
  <c r="AA350" i="25"/>
  <c r="Z350" i="25" s="1"/>
  <c r="Y350" i="25" s="1"/>
  <c r="I240" i="23"/>
  <c r="H240" i="24" s="1"/>
  <c r="J240" i="23"/>
  <c r="I349" i="24"/>
  <c r="H349" i="25" s="1"/>
  <c r="J349" i="24"/>
  <c r="G282" i="25"/>
  <c r="CF282" i="6" s="1"/>
  <c r="AA282" i="25"/>
  <c r="Z282" i="25" s="1"/>
  <c r="Y282" i="25" s="1"/>
  <c r="I26" i="23"/>
  <c r="H26" i="24" s="1"/>
  <c r="J26" i="23"/>
  <c r="I323" i="23"/>
  <c r="H323" i="24" s="1"/>
  <c r="J323" i="23"/>
  <c r="I152" i="23"/>
  <c r="H152" i="24" s="1"/>
  <c r="J152" i="23"/>
  <c r="J228" i="23"/>
  <c r="I228" i="23"/>
  <c r="H228" i="24" s="1"/>
  <c r="J116" i="23"/>
  <c r="I116" i="23"/>
  <c r="H116" i="24" s="1"/>
  <c r="I134" i="23"/>
  <c r="H134" i="24" s="1"/>
  <c r="J134" i="23"/>
  <c r="J281" i="23"/>
  <c r="I281" i="23"/>
  <c r="H281" i="24" s="1"/>
  <c r="I354" i="23"/>
  <c r="H354" i="24" s="1"/>
  <c r="J354" i="23"/>
  <c r="I108" i="23"/>
  <c r="H108" i="24" s="1"/>
  <c r="J108" i="23"/>
  <c r="J329" i="23"/>
  <c r="I329" i="23"/>
  <c r="H329" i="24" s="1"/>
  <c r="I114" i="24"/>
  <c r="H114" i="25" s="1"/>
  <c r="G187" i="25"/>
  <c r="CF187" i="6" s="1"/>
  <c r="AA187" i="25"/>
  <c r="Z187" i="25" s="1"/>
  <c r="Y187" i="25" s="1"/>
  <c r="I347" i="24"/>
  <c r="H347" i="25" s="1"/>
  <c r="J347" i="24"/>
  <c r="AA104" i="25"/>
  <c r="Z104" i="25" s="1"/>
  <c r="Y104" i="25" s="1"/>
  <c r="G104" i="25"/>
  <c r="CF104" i="6" s="1"/>
  <c r="G36" i="25"/>
  <c r="CF36" i="6" s="1"/>
  <c r="AA36" i="25"/>
  <c r="Z36" i="25" s="1"/>
  <c r="Y36" i="25" s="1"/>
  <c r="AA162" i="25"/>
  <c r="Z162" i="25" s="1"/>
  <c r="Y162" i="25" s="1"/>
  <c r="G162" i="25"/>
  <c r="CF162" i="6" s="1"/>
  <c r="J96" i="23"/>
  <c r="I96" i="23"/>
  <c r="H96" i="24" s="1"/>
  <c r="G223" i="25"/>
  <c r="CF223" i="6" s="1"/>
  <c r="AA223" i="25"/>
  <c r="Z223" i="25" s="1"/>
  <c r="Y223" i="25" s="1"/>
  <c r="I357" i="23"/>
  <c r="H357" i="24" s="1"/>
  <c r="AA314" i="25"/>
  <c r="Z314" i="25" s="1"/>
  <c r="Y314" i="25" s="1"/>
  <c r="G314" i="25"/>
  <c r="CF314" i="6" s="1"/>
  <c r="J78" i="23"/>
  <c r="I78" i="23"/>
  <c r="H78" i="24" s="1"/>
  <c r="I176" i="24"/>
  <c r="H176" i="25" s="1"/>
  <c r="G121" i="25"/>
  <c r="CF121" i="6" s="1"/>
  <c r="AA121" i="25"/>
  <c r="Z121" i="25" s="1"/>
  <c r="Y121" i="25" s="1"/>
  <c r="J317" i="24"/>
  <c r="I317" i="24"/>
  <c r="H317" i="25" s="1"/>
  <c r="I87" i="24"/>
  <c r="H87" i="25" s="1"/>
  <c r="G44" i="25"/>
  <c r="CF44" i="6" s="1"/>
  <c r="AA44" i="25"/>
  <c r="Z44" i="25" s="1"/>
  <c r="Y44" i="25" s="1"/>
  <c r="AA156" i="25"/>
  <c r="Z156" i="25" s="1"/>
  <c r="Y156" i="25" s="1"/>
  <c r="G156" i="25"/>
  <c r="CF156" i="6" s="1"/>
  <c r="J76" i="24"/>
  <c r="I76" i="24"/>
  <c r="H76" i="25" s="1"/>
  <c r="I283" i="24"/>
  <c r="H283" i="25" s="1"/>
  <c r="AA273" i="25"/>
  <c r="Z273" i="25" s="1"/>
  <c r="Y273" i="25" s="1"/>
  <c r="G273" i="25"/>
  <c r="CF273" i="6" s="1"/>
  <c r="G56" i="25"/>
  <c r="CF56" i="6" s="1"/>
  <c r="AA56" i="25"/>
  <c r="Z56" i="25" s="1"/>
  <c r="Y56" i="25" s="1"/>
  <c r="G256" i="25"/>
  <c r="CF256" i="6" s="1"/>
  <c r="AA256" i="25"/>
  <c r="Z256" i="25" s="1"/>
  <c r="Y256" i="25" s="1"/>
  <c r="G364" i="25"/>
  <c r="CF364" i="6" s="1"/>
  <c r="AA364" i="25"/>
  <c r="Z364" i="25" s="1"/>
  <c r="Y364" i="25" s="1"/>
  <c r="AA295" i="25"/>
  <c r="Z295" i="25" s="1"/>
  <c r="Y295" i="25" s="1"/>
  <c r="G295" i="25"/>
  <c r="CF295" i="6" s="1"/>
  <c r="G89" i="25"/>
  <c r="CF89" i="6" s="1"/>
  <c r="AA89" i="25"/>
  <c r="Z89" i="25" s="1"/>
  <c r="Y89" i="25" s="1"/>
  <c r="G123" i="25"/>
  <c r="CF123" i="6" s="1"/>
  <c r="AA123" i="25"/>
  <c r="Z123" i="25" s="1"/>
  <c r="Y123" i="25" s="1"/>
  <c r="G49" i="25"/>
  <c r="CF49" i="6" s="1"/>
  <c r="AA49" i="25"/>
  <c r="Z49" i="25" s="1"/>
  <c r="Y49" i="25" s="1"/>
  <c r="J92" i="23"/>
  <c r="I92" i="23"/>
  <c r="H92" i="24" s="1"/>
  <c r="J189" i="23"/>
  <c r="I189" i="23"/>
  <c r="H189" i="24" s="1"/>
  <c r="J298" i="23"/>
  <c r="I298" i="23"/>
  <c r="H298" i="24" s="1"/>
  <c r="AA185" i="25"/>
  <c r="Z185" i="25" s="1"/>
  <c r="Y185" i="25" s="1"/>
  <c r="G185" i="25"/>
  <c r="CF185" i="6" s="1"/>
  <c r="G372" i="25"/>
  <c r="CF372" i="6" s="1"/>
  <c r="AA372" i="25"/>
  <c r="Z372" i="25" s="1"/>
  <c r="Y372" i="25" s="1"/>
  <c r="I143" i="24"/>
  <c r="H143" i="25" s="1"/>
  <c r="J322" i="24"/>
  <c r="I322" i="24"/>
  <c r="H322" i="25" s="1"/>
  <c r="I263" i="24"/>
  <c r="H263" i="25" s="1"/>
  <c r="J263" i="24"/>
  <c r="G171" i="25"/>
  <c r="CF171" i="6" s="1"/>
  <c r="AA171" i="25"/>
  <c r="Z171" i="25" s="1"/>
  <c r="Y171" i="25" s="1"/>
  <c r="J245" i="24"/>
  <c r="I245" i="24"/>
  <c r="H245" i="25" s="1"/>
  <c r="J306" i="23"/>
  <c r="I306" i="23"/>
  <c r="H306" i="24" s="1"/>
  <c r="I348" i="23"/>
  <c r="H348" i="24" s="1"/>
  <c r="J348" i="23"/>
  <c r="J136" i="23"/>
  <c r="I136" i="23"/>
  <c r="H136" i="24" s="1"/>
  <c r="J238" i="23"/>
  <c r="I238" i="23"/>
  <c r="H238" i="24" s="1"/>
  <c r="I64" i="23"/>
  <c r="H64" i="24" s="1"/>
  <c r="J64" i="23"/>
  <c r="I184" i="24"/>
  <c r="H184" i="25" s="1"/>
  <c r="J184" i="24"/>
  <c r="G125" i="25"/>
  <c r="CF125" i="6" s="1"/>
  <c r="AA125" i="25"/>
  <c r="Z125" i="25" s="1"/>
  <c r="Y125" i="25" s="1"/>
  <c r="J260" i="23"/>
  <c r="I260" i="23"/>
  <c r="H260" i="24" s="1"/>
  <c r="J151" i="23"/>
  <c r="I151" i="23"/>
  <c r="H151" i="24" s="1"/>
  <c r="I304" i="23"/>
  <c r="H304" i="24" s="1"/>
  <c r="J304" i="23"/>
  <c r="J190" i="23"/>
  <c r="I190" i="23"/>
  <c r="H190" i="24" s="1"/>
  <c r="J32" i="23"/>
  <c r="I32" i="23"/>
  <c r="H32" i="24" s="1"/>
  <c r="I19" i="23"/>
  <c r="H19" i="24" s="1"/>
  <c r="J19" i="23"/>
  <c r="G159" i="25"/>
  <c r="CF159" i="6" s="1"/>
  <c r="AA159" i="25"/>
  <c r="Z159" i="25" s="1"/>
  <c r="Y159" i="25" s="1"/>
  <c r="AA42" i="25"/>
  <c r="Z42" i="25" s="1"/>
  <c r="Y42" i="25" s="1"/>
  <c r="G42" i="25"/>
  <c r="CF42" i="6" s="1"/>
  <c r="G20" i="25"/>
  <c r="CF20" i="6" s="1"/>
  <c r="AA20" i="25"/>
  <c r="Z20" i="25" s="1"/>
  <c r="Y20" i="25" s="1"/>
  <c r="AA213" i="25"/>
  <c r="Z213" i="25" s="1"/>
  <c r="Y213" i="25" s="1"/>
  <c r="G213" i="25"/>
  <c r="CF213" i="6" s="1"/>
  <c r="I75" i="24"/>
  <c r="H75" i="25" s="1"/>
  <c r="AA246" i="25"/>
  <c r="Z246" i="25" s="1"/>
  <c r="Y246" i="25" s="1"/>
  <c r="G246" i="25"/>
  <c r="CF246" i="6" s="1"/>
  <c r="J181" i="23"/>
  <c r="I181" i="23"/>
  <c r="H181" i="24" s="1"/>
  <c r="G145" i="25"/>
  <c r="CF145" i="6" s="1"/>
  <c r="AA145" i="25"/>
  <c r="Z145" i="25" s="1"/>
  <c r="Y145" i="25" s="1"/>
  <c r="I307" i="23"/>
  <c r="H307" i="24" s="1"/>
  <c r="J307" i="23"/>
  <c r="G266" i="25"/>
  <c r="CF266" i="6" s="1"/>
  <c r="AA266" i="25"/>
  <c r="Z266" i="25" s="1"/>
  <c r="Y266" i="25" s="1"/>
  <c r="J368" i="23"/>
  <c r="I368" i="23"/>
  <c r="H368" i="24" s="1"/>
  <c r="J93" i="23"/>
  <c r="I93" i="23"/>
  <c r="H93" i="24" s="1"/>
  <c r="I147" i="23"/>
  <c r="H147" i="24" s="1"/>
  <c r="J147" i="23"/>
  <c r="I141" i="23"/>
  <c r="H141" i="24" s="1"/>
  <c r="J141" i="23"/>
  <c r="I229" i="23"/>
  <c r="H229" i="24" s="1"/>
  <c r="J229" i="23"/>
  <c r="I255" i="23"/>
  <c r="H255" i="24" s="1"/>
  <c r="J255" i="23"/>
  <c r="J68" i="23"/>
  <c r="I68" i="23"/>
  <c r="H68" i="24" s="1"/>
  <c r="J301" i="23"/>
  <c r="I301" i="23"/>
  <c r="H301" i="24" s="1"/>
  <c r="J77" i="24"/>
  <c r="I77" i="24"/>
  <c r="H77" i="25" s="1"/>
  <c r="G186" i="25"/>
  <c r="CF186" i="6" s="1"/>
  <c r="AA186" i="25"/>
  <c r="Z186" i="25" s="1"/>
  <c r="Y186" i="25" s="1"/>
  <c r="G311" i="25"/>
  <c r="CF311" i="6" s="1"/>
  <c r="AA311" i="25"/>
  <c r="Z311" i="25" s="1"/>
  <c r="Y311" i="25" s="1"/>
  <c r="I196" i="24"/>
  <c r="H196" i="25" s="1"/>
  <c r="J196" i="24"/>
  <c r="I249" i="23"/>
  <c r="H249" i="24" s="1"/>
  <c r="J363" i="23"/>
  <c r="I363" i="23"/>
  <c r="H363" i="24" s="1"/>
  <c r="I243" i="23"/>
  <c r="H243" i="24" s="1"/>
  <c r="J243" i="23"/>
  <c r="G264" i="25"/>
  <c r="CF264" i="6" s="1"/>
  <c r="AA264" i="25"/>
  <c r="Z264" i="25" s="1"/>
  <c r="Y264" i="25" s="1"/>
  <c r="G140" i="25"/>
  <c r="CF140" i="6" s="1"/>
  <c r="AA140" i="25"/>
  <c r="Z140" i="25" s="1"/>
  <c r="Y140" i="25" s="1"/>
  <c r="I315" i="23"/>
  <c r="H315" i="24" s="1"/>
  <c r="J315" i="23"/>
  <c r="I72" i="23"/>
  <c r="H72" i="24" s="1"/>
  <c r="J72" i="23"/>
  <c r="AA163" i="25"/>
  <c r="Z163" i="25" s="1"/>
  <c r="Y163" i="25" s="1"/>
  <c r="G163" i="25"/>
  <c r="CF163" i="6" s="1"/>
  <c r="J54" i="23"/>
  <c r="I54" i="23"/>
  <c r="H54" i="24" s="1"/>
  <c r="I30" i="23"/>
  <c r="H30" i="24" s="1"/>
  <c r="J30" i="23"/>
  <c r="AA61" i="25"/>
  <c r="Z61" i="25" s="1"/>
  <c r="Y61" i="25" s="1"/>
  <c r="G61" i="25"/>
  <c r="CF61" i="6" s="1"/>
  <c r="G309" i="25"/>
  <c r="CF309" i="6" s="1"/>
  <c r="AA309" i="25"/>
  <c r="Z309" i="25" s="1"/>
  <c r="Y309" i="25" s="1"/>
  <c r="I58" i="23"/>
  <c r="H58" i="24" s="1"/>
  <c r="J58" i="23"/>
  <c r="G90" i="25"/>
  <c r="CF90" i="6" s="1"/>
  <c r="AA90" i="25"/>
  <c r="Z90" i="25" s="1"/>
  <c r="Y90" i="25" s="1"/>
  <c r="AA110" i="25"/>
  <c r="Z110" i="25" s="1"/>
  <c r="Y110" i="25" s="1"/>
  <c r="G110" i="25"/>
  <c r="CF110" i="6" s="1"/>
  <c r="G201" i="25"/>
  <c r="CF201" i="6" s="1"/>
  <c r="AA201" i="25"/>
  <c r="Z201" i="25" s="1"/>
  <c r="Y201" i="25" s="1"/>
  <c r="J81" i="23"/>
  <c r="I81" i="23"/>
  <c r="H81" i="24" s="1"/>
  <c r="J172" i="23"/>
  <c r="I172" i="23"/>
  <c r="H172" i="24" s="1"/>
  <c r="I286" i="23"/>
  <c r="H286" i="24" s="1"/>
  <c r="J286" i="23"/>
  <c r="J227" i="23"/>
  <c r="I227" i="23"/>
  <c r="H227" i="24" s="1"/>
  <c r="G150" i="25"/>
  <c r="CF150" i="6" s="1"/>
  <c r="AA150" i="25"/>
  <c r="Z150" i="25" s="1"/>
  <c r="Y150" i="25" s="1"/>
  <c r="I45" i="23"/>
  <c r="H45" i="24" s="1"/>
  <c r="J45" i="23"/>
  <c r="G303" i="25"/>
  <c r="CF303" i="6" s="1"/>
  <c r="AA303" i="25"/>
  <c r="Z303" i="25" s="1"/>
  <c r="Y303" i="25" s="1"/>
  <c r="G86" i="25"/>
  <c r="CF86" i="6" s="1"/>
  <c r="AA86" i="25"/>
  <c r="Z86" i="25" s="1"/>
  <c r="Y86" i="25" s="1"/>
  <c r="G218" i="25"/>
  <c r="CF218" i="6" s="1"/>
  <c r="AA218" i="25"/>
  <c r="Z218" i="25" s="1"/>
  <c r="Y218" i="25" s="1"/>
  <c r="I49" i="23"/>
  <c r="H49" i="24" s="1"/>
  <c r="J213" i="23"/>
  <c r="I29" i="23"/>
  <c r="H29" i="24" s="1"/>
  <c r="J29" i="23"/>
  <c r="I124" i="24"/>
  <c r="H124" i="25" s="1"/>
  <c r="J51" i="23"/>
  <c r="I51" i="23"/>
  <c r="H51" i="24" s="1"/>
  <c r="G321" i="25"/>
  <c r="CF321" i="6" s="1"/>
  <c r="AA321" i="25"/>
  <c r="Z321" i="25" s="1"/>
  <c r="Y321" i="25" s="1"/>
  <c r="AA81" i="25"/>
  <c r="Z81" i="25" s="1"/>
  <c r="Y81" i="25" s="1"/>
  <c r="G81" i="25"/>
  <c r="CF81" i="6" s="1"/>
  <c r="G349" i="25"/>
  <c r="CF349" i="6" s="1"/>
  <c r="AA349" i="25"/>
  <c r="Z349" i="25" s="1"/>
  <c r="Y349" i="25" s="1"/>
  <c r="J296" i="24"/>
  <c r="I296" i="24"/>
  <c r="H296" i="25" s="1"/>
  <c r="J208" i="23"/>
  <c r="I208" i="23"/>
  <c r="H208" i="24" s="1"/>
  <c r="I38" i="23"/>
  <c r="H38" i="24" s="1"/>
  <c r="J38" i="23"/>
  <c r="I70" i="23"/>
  <c r="H70" i="24" s="1"/>
  <c r="J70" i="23"/>
  <c r="J294" i="23"/>
  <c r="I294" i="23"/>
  <c r="H294" i="24" s="1"/>
  <c r="J35" i="23"/>
  <c r="I35" i="23"/>
  <c r="H35" i="24" s="1"/>
  <c r="I132" i="23"/>
  <c r="H132" i="24" s="1"/>
  <c r="J132" i="23"/>
  <c r="J226" i="23"/>
  <c r="I226" i="23"/>
  <c r="H226" i="24" s="1"/>
  <c r="G114" i="25"/>
  <c r="CF114" i="6" s="1"/>
  <c r="AA114" i="25"/>
  <c r="Z114" i="25" s="1"/>
  <c r="Y114" i="25" s="1"/>
  <c r="AA274" i="25"/>
  <c r="Z274" i="25" s="1"/>
  <c r="Y274" i="25" s="1"/>
  <c r="G274" i="25"/>
  <c r="CF274" i="6" s="1"/>
  <c r="I274" i="24"/>
  <c r="H274" i="25" s="1"/>
  <c r="J274" i="24"/>
  <c r="G347" i="25"/>
  <c r="CF347" i="6" s="1"/>
  <c r="AA347" i="25"/>
  <c r="Z347" i="25" s="1"/>
  <c r="Y347" i="25" s="1"/>
  <c r="I239" i="23"/>
  <c r="H239" i="24" s="1"/>
  <c r="J239" i="23"/>
  <c r="I321" i="23"/>
  <c r="H321" i="24" s="1"/>
  <c r="J321" i="23"/>
  <c r="G176" i="25"/>
  <c r="CF176" i="6" s="1"/>
  <c r="AA176" i="25"/>
  <c r="Z176" i="25" s="1"/>
  <c r="Y176" i="25" s="1"/>
  <c r="J123" i="23"/>
  <c r="I123" i="23"/>
  <c r="H123" i="24" s="1"/>
  <c r="G112" i="25"/>
  <c r="CF112" i="6" s="1"/>
  <c r="AA112" i="25"/>
  <c r="Z112" i="25" s="1"/>
  <c r="Y112" i="25" s="1"/>
  <c r="G119" i="25"/>
  <c r="CF119" i="6" s="1"/>
  <c r="AA119" i="25"/>
  <c r="Z119" i="25" s="1"/>
  <c r="Y119" i="25" s="1"/>
  <c r="I67" i="24"/>
  <c r="H67" i="25" s="1"/>
  <c r="I84" i="23"/>
  <c r="H84" i="24" s="1"/>
  <c r="J84" i="23"/>
  <c r="G157" i="25"/>
  <c r="CF157" i="6" s="1"/>
  <c r="AA157" i="25"/>
  <c r="Z157" i="25" s="1"/>
  <c r="Y157" i="25" s="1"/>
  <c r="AA126" i="25"/>
  <c r="Z126" i="25" s="1"/>
  <c r="Y126" i="25" s="1"/>
  <c r="G126" i="25"/>
  <c r="CF126" i="6" s="1"/>
  <c r="AA98" i="25"/>
  <c r="Z98" i="25" s="1"/>
  <c r="Y98" i="25" s="1"/>
  <c r="G98" i="25"/>
  <c r="CF98" i="6" s="1"/>
  <c r="I325" i="24"/>
  <c r="H325" i="25" s="1"/>
  <c r="J325" i="24"/>
  <c r="J192" i="23"/>
  <c r="I192" i="23"/>
  <c r="H192" i="24" s="1"/>
  <c r="J358" i="23"/>
  <c r="I358" i="23"/>
  <c r="H358" i="24" s="1"/>
  <c r="J359" i="23"/>
  <c r="I359" i="23"/>
  <c r="H359" i="24" s="1"/>
  <c r="I207" i="23"/>
  <c r="H207" i="24" s="1"/>
  <c r="J207" i="23"/>
  <c r="J33" i="23"/>
  <c r="I33" i="23"/>
  <c r="H33" i="24" s="1"/>
  <c r="J231" i="23"/>
  <c r="I231" i="23"/>
  <c r="H231" i="24" s="1"/>
  <c r="J222" i="23"/>
  <c r="I222" i="23"/>
  <c r="H222" i="24" s="1"/>
  <c r="J216" i="23"/>
  <c r="I216" i="23"/>
  <c r="H216" i="24" s="1"/>
  <c r="J377" i="23"/>
  <c r="I377" i="23"/>
  <c r="H377" i="24" s="1"/>
  <c r="J185" i="24"/>
  <c r="I185" i="24"/>
  <c r="H185" i="25" s="1"/>
  <c r="G143" i="25"/>
  <c r="CF143" i="6" s="1"/>
  <c r="AA143" i="25"/>
  <c r="Z143" i="25" s="1"/>
  <c r="Y143" i="25" s="1"/>
  <c r="G322" i="25"/>
  <c r="CF322" i="6" s="1"/>
  <c r="AA322" i="25"/>
  <c r="Z322" i="25" s="1"/>
  <c r="Y322" i="25" s="1"/>
  <c r="G85" i="25"/>
  <c r="CF85" i="6" s="1"/>
  <c r="AA85" i="25"/>
  <c r="Z85" i="25" s="1"/>
  <c r="Y85" i="25" s="1"/>
  <c r="G240" i="25"/>
  <c r="CF240" i="6" s="1"/>
  <c r="AA240" i="25"/>
  <c r="Z240" i="25" s="1"/>
  <c r="Y240" i="25" s="1"/>
  <c r="J135" i="23"/>
  <c r="I135" i="23"/>
  <c r="H135" i="24" s="1"/>
  <c r="G263" i="25"/>
  <c r="CF263" i="6" s="1"/>
  <c r="AA263" i="25"/>
  <c r="Z263" i="25" s="1"/>
  <c r="Y263" i="25" s="1"/>
  <c r="I355" i="24"/>
  <c r="H355" i="25" s="1"/>
  <c r="G88" i="25"/>
  <c r="CF88" i="6" s="1"/>
  <c r="AA88" i="25"/>
  <c r="Z88" i="25" s="1"/>
  <c r="Y88" i="25" s="1"/>
  <c r="I234" i="24"/>
  <c r="H234" i="25" s="1"/>
  <c r="G356" i="25"/>
  <c r="CF356" i="6" s="1"/>
  <c r="AA356" i="25"/>
  <c r="Z356" i="25" s="1"/>
  <c r="Y356" i="25" s="1"/>
  <c r="I259" i="23"/>
  <c r="H259" i="24" s="1"/>
  <c r="J259" i="23"/>
  <c r="J23" i="23"/>
  <c r="I23" i="23"/>
  <c r="H23" i="24" s="1"/>
  <c r="J344" i="23"/>
  <c r="I344" i="23"/>
  <c r="H344" i="24" s="1"/>
  <c r="I300" i="23"/>
  <c r="H300" i="24" s="1"/>
  <c r="J300" i="23"/>
  <c r="G226" i="25"/>
  <c r="CF226" i="6" s="1"/>
  <c r="AA226" i="25"/>
  <c r="Z226" i="25" s="1"/>
  <c r="Y226" i="25" s="1"/>
  <c r="G99" i="25"/>
  <c r="CF99" i="6" s="1"/>
  <c r="AA99" i="25"/>
  <c r="Z99" i="25" s="1"/>
  <c r="Y99" i="25" s="1"/>
  <c r="J104" i="23"/>
  <c r="I104" i="23"/>
  <c r="H104" i="24" s="1"/>
  <c r="J246" i="23"/>
  <c r="I246" i="23"/>
  <c r="H246" i="24" s="1"/>
  <c r="G346" i="25"/>
  <c r="CF346" i="6" s="1"/>
  <c r="AA346" i="25"/>
  <c r="Z346" i="25" s="1"/>
  <c r="Y346" i="25" s="1"/>
  <c r="I265" i="23"/>
  <c r="H265" i="24" s="1"/>
  <c r="J265" i="23"/>
  <c r="J379" i="23"/>
  <c r="I379" i="23"/>
  <c r="H379" i="24" s="1"/>
  <c r="I241" i="23"/>
  <c r="H241" i="24" s="1"/>
  <c r="J241" i="23"/>
  <c r="I370" i="23"/>
  <c r="H370" i="24" s="1"/>
  <c r="J370" i="23"/>
  <c r="G135" i="25"/>
  <c r="CF135" i="6" s="1"/>
  <c r="AA135" i="25"/>
  <c r="Z135" i="25" s="1"/>
  <c r="Y135" i="25" s="1"/>
  <c r="G161" i="25"/>
  <c r="CF161" i="6" s="1"/>
  <c r="AA161" i="25"/>
  <c r="Z161" i="25" s="1"/>
  <c r="Y161" i="25" s="1"/>
  <c r="G173" i="25"/>
  <c r="CF173" i="6" s="1"/>
  <c r="AA173" i="25"/>
  <c r="Z173" i="25" s="1"/>
  <c r="Y173" i="25" s="1"/>
  <c r="G362" i="25"/>
  <c r="CF362" i="6" s="1"/>
  <c r="AA362" i="25"/>
  <c r="Z362" i="25" s="1"/>
  <c r="Y362" i="25" s="1"/>
  <c r="G75" i="25"/>
  <c r="CF75" i="6" s="1"/>
  <c r="AA75" i="25"/>
  <c r="Z75" i="25" s="1"/>
  <c r="Y75" i="25" s="1"/>
  <c r="G51" i="25"/>
  <c r="CF51" i="6" s="1"/>
  <c r="AA51" i="25"/>
  <c r="Z51" i="25" s="1"/>
  <c r="Y51" i="25" s="1"/>
  <c r="I157" i="23"/>
  <c r="H157" i="24" s="1"/>
  <c r="J157" i="23"/>
  <c r="I37" i="23"/>
  <c r="H37" i="24" s="1"/>
  <c r="J37" i="23"/>
  <c r="J145" i="24"/>
  <c r="I145" i="24"/>
  <c r="H145" i="25" s="1"/>
  <c r="I154" i="23"/>
  <c r="H154" i="24" s="1"/>
  <c r="J154" i="23"/>
  <c r="J257" i="23"/>
  <c r="I257" i="23"/>
  <c r="H257" i="24" s="1"/>
  <c r="J117" i="23"/>
  <c r="I117" i="23"/>
  <c r="H117" i="24" s="1"/>
  <c r="J100" i="23"/>
  <c r="I100" i="23"/>
  <c r="H100" i="24" s="1"/>
  <c r="I168" i="23"/>
  <c r="H168" i="24" s="1"/>
  <c r="J168" i="23"/>
  <c r="AA77" i="25"/>
  <c r="Z77" i="25" s="1"/>
  <c r="Y77" i="25" s="1"/>
  <c r="G77" i="25"/>
  <c r="CF77" i="6" s="1"/>
  <c r="AA60" i="25"/>
  <c r="Z60" i="25" s="1"/>
  <c r="Y60" i="25" s="1"/>
  <c r="G60" i="25"/>
  <c r="CF60" i="6" s="1"/>
  <c r="G128" i="25"/>
  <c r="CF128" i="6" s="1"/>
  <c r="AA128" i="25"/>
  <c r="Z128" i="25" s="1"/>
  <c r="Y128" i="25" s="1"/>
  <c r="I42" i="23"/>
  <c r="H42" i="24" s="1"/>
  <c r="J42" i="23"/>
  <c r="G73" i="25"/>
  <c r="CF73" i="6" s="1"/>
  <c r="AA73" i="25"/>
  <c r="Z73" i="25" s="1"/>
  <c r="Y73" i="25" s="1"/>
  <c r="J316" i="23"/>
  <c r="I316" i="23"/>
  <c r="H316" i="24" s="1"/>
  <c r="I59" i="23"/>
  <c r="H59" i="24" s="1"/>
  <c r="J59" i="23"/>
  <c r="I269" i="23"/>
  <c r="H269" i="24" s="1"/>
  <c r="J269" i="23"/>
  <c r="J237" i="23"/>
  <c r="I237" i="23"/>
  <c r="H237" i="24" s="1"/>
  <c r="AA287" i="25"/>
  <c r="Z287" i="25" s="1"/>
  <c r="Y287" i="25" s="1"/>
  <c r="G287" i="25"/>
  <c r="CF287" i="6" s="1"/>
  <c r="G328" i="25"/>
  <c r="CF328" i="6" s="1"/>
  <c r="AA328" i="25"/>
  <c r="Z328" i="25" s="1"/>
  <c r="Y328" i="25" s="1"/>
  <c r="G27" i="25"/>
  <c r="CF27" i="6" s="1"/>
  <c r="AA27" i="25"/>
  <c r="Z27" i="25" s="1"/>
  <c r="Y27" i="25" s="1"/>
  <c r="G330" i="25"/>
  <c r="CF330" i="6" s="1"/>
  <c r="AA330" i="25"/>
  <c r="Z330" i="25" s="1"/>
  <c r="Y330" i="25" s="1"/>
  <c r="AA250" i="25"/>
  <c r="Z250" i="25" s="1"/>
  <c r="Y250" i="25" s="1"/>
  <c r="G250" i="25"/>
  <c r="CF250" i="6" s="1"/>
  <c r="I372" i="23"/>
  <c r="H372" i="24" s="1"/>
  <c r="J372" i="23"/>
  <c r="I17" i="23"/>
  <c r="H17" i="24" s="1"/>
  <c r="J17" i="23"/>
  <c r="I308" i="23"/>
  <c r="H308" i="24" s="1"/>
  <c r="J308" i="23"/>
  <c r="J47" i="23"/>
  <c r="I47" i="23"/>
  <c r="H47" i="24" s="1"/>
  <c r="J209" i="23"/>
  <c r="I209" i="23"/>
  <c r="H209" i="24" s="1"/>
  <c r="I341" i="23"/>
  <c r="H341" i="24" s="1"/>
  <c r="J341" i="23"/>
  <c r="J280" i="23"/>
  <c r="I280" i="23"/>
  <c r="H280" i="24" s="1"/>
  <c r="J199" i="23"/>
  <c r="I199" i="23"/>
  <c r="H199" i="24" s="1"/>
  <c r="J18" i="23"/>
  <c r="I18" i="23"/>
  <c r="H18" i="24" s="1"/>
  <c r="I153" i="23"/>
  <c r="H153" i="24" s="1"/>
  <c r="J153" i="23"/>
  <c r="G194" i="25"/>
  <c r="CF194" i="6" s="1"/>
  <c r="AA194" i="25"/>
  <c r="Z194" i="25" s="1"/>
  <c r="Y194" i="25" s="1"/>
  <c r="G291" i="25"/>
  <c r="CF291" i="6" s="1"/>
  <c r="AA291" i="25"/>
  <c r="Z291" i="25" s="1"/>
  <c r="Y291" i="25" s="1"/>
  <c r="G339" i="25"/>
  <c r="CF339" i="6" s="1"/>
  <c r="AA339" i="25"/>
  <c r="Z339" i="25" s="1"/>
  <c r="Y339" i="25" s="1"/>
  <c r="J66" i="23"/>
  <c r="I66" i="23"/>
  <c r="H66" i="24" s="1"/>
  <c r="J113" i="23"/>
  <c r="I113" i="23"/>
  <c r="H113" i="24" s="1"/>
  <c r="J40" i="23"/>
  <c r="I40" i="23"/>
  <c r="H40" i="24" s="1"/>
  <c r="J252" i="23"/>
  <c r="I252" i="23"/>
  <c r="H252" i="24" s="1"/>
  <c r="J103" i="23"/>
  <c r="I103" i="23"/>
  <c r="H103" i="24" s="1"/>
  <c r="J235" i="23"/>
  <c r="I235" i="23"/>
  <c r="H235" i="24" s="1"/>
  <c r="AA233" i="25"/>
  <c r="Z233" i="25" s="1"/>
  <c r="Y233" i="25" s="1"/>
  <c r="G233" i="25"/>
  <c r="CF233" i="6" s="1"/>
  <c r="J318" i="23" l="1"/>
  <c r="I126" i="23"/>
  <c r="H126" i="24" s="1"/>
  <c r="I165" i="23"/>
  <c r="H165" i="24" s="1"/>
  <c r="I165" i="24" s="1"/>
  <c r="H165" i="25" s="1"/>
  <c r="I161" i="23"/>
  <c r="H161" i="24" s="1"/>
  <c r="J161" i="24" s="1"/>
  <c r="J27" i="23"/>
  <c r="J27" i="24" s="1"/>
  <c r="I150" i="23"/>
  <c r="H150" i="24" s="1"/>
  <c r="I150" i="24" s="1"/>
  <c r="H150" i="25" s="1"/>
  <c r="J345" i="24"/>
  <c r="I98" i="24"/>
  <c r="H98" i="25" s="1"/>
  <c r="J98" i="25" s="1"/>
  <c r="I365" i="23"/>
  <c r="H365" i="24" s="1"/>
  <c r="J365" i="24" s="1"/>
  <c r="I340" i="23"/>
  <c r="H340" i="24" s="1"/>
  <c r="J340" i="24" s="1"/>
  <c r="I233" i="23"/>
  <c r="H233" i="24" s="1"/>
  <c r="J233" i="24" s="1"/>
  <c r="I236" i="23"/>
  <c r="H236" i="24" s="1"/>
  <c r="J236" i="24" s="1"/>
  <c r="I314" i="23"/>
  <c r="H314" i="24" s="1"/>
  <c r="I314" i="24" s="1"/>
  <c r="H314" i="25" s="1"/>
  <c r="I314" i="25" s="1"/>
  <c r="I31" i="23"/>
  <c r="H31" i="24" s="1"/>
  <c r="I31" i="24" s="1"/>
  <c r="H31" i="25" s="1"/>
  <c r="I31" i="25" s="1"/>
  <c r="I137" i="23"/>
  <c r="H137" i="24" s="1"/>
  <c r="J137" i="24" s="1"/>
  <c r="J88" i="24"/>
  <c r="J102" i="23"/>
  <c r="J102" i="24" s="1"/>
  <c r="J102" i="25" s="1"/>
  <c r="J144" i="23"/>
  <c r="J144" i="24" s="1"/>
  <c r="J144" i="25" s="1"/>
  <c r="J311" i="23"/>
  <c r="J311" i="24" s="1"/>
  <c r="J311" i="25" s="1"/>
  <c r="J268" i="23"/>
  <c r="J268" i="24" s="1"/>
  <c r="I163" i="24"/>
  <c r="H163" i="25" s="1"/>
  <c r="J163" i="25" s="1"/>
  <c r="I203" i="23"/>
  <c r="H203" i="24" s="1"/>
  <c r="J203" i="24" s="1"/>
  <c r="I378" i="23"/>
  <c r="H378" i="24" s="1"/>
  <c r="I217" i="25"/>
  <c r="I88" i="24"/>
  <c r="H88" i="25" s="1"/>
  <c r="J205" i="25"/>
  <c r="J289" i="24"/>
  <c r="J289" i="25" s="1"/>
  <c r="J371" i="24"/>
  <c r="J371" i="25" s="1"/>
  <c r="J223" i="24"/>
  <c r="J223" i="25" s="1"/>
  <c r="I345" i="24"/>
  <c r="H345" i="25" s="1"/>
  <c r="I44" i="24"/>
  <c r="H44" i="25" s="1"/>
  <c r="I44" i="25" s="1"/>
  <c r="J169" i="24"/>
  <c r="J169" i="25" s="1"/>
  <c r="J121" i="24"/>
  <c r="J121" i="25" s="1"/>
  <c r="J234" i="25"/>
  <c r="I234" i="25"/>
  <c r="J355" i="25"/>
  <c r="I355" i="25"/>
  <c r="I325" i="25"/>
  <c r="J325" i="25"/>
  <c r="I296" i="25"/>
  <c r="J296" i="25"/>
  <c r="J124" i="25"/>
  <c r="I124" i="25"/>
  <c r="I371" i="25"/>
  <c r="J196" i="25"/>
  <c r="I196" i="25"/>
  <c r="I184" i="25"/>
  <c r="J184" i="25"/>
  <c r="J283" i="25"/>
  <c r="I283" i="25"/>
  <c r="J87" i="25"/>
  <c r="I87" i="25"/>
  <c r="J22" i="25"/>
  <c r="I22" i="25"/>
  <c r="I102" i="25"/>
  <c r="I144" i="25"/>
  <c r="J261" i="25"/>
  <c r="I261" i="25"/>
  <c r="J206" i="25"/>
  <c r="I206" i="25"/>
  <c r="J65" i="25"/>
  <c r="I65" i="25"/>
  <c r="J145" i="25"/>
  <c r="I145" i="25"/>
  <c r="I185" i="25"/>
  <c r="J185" i="25"/>
  <c r="I67" i="25"/>
  <c r="J67" i="25"/>
  <c r="I289" i="25"/>
  <c r="J245" i="25"/>
  <c r="I245" i="25"/>
  <c r="I76" i="25"/>
  <c r="J76" i="25"/>
  <c r="J317" i="25"/>
  <c r="I317" i="25"/>
  <c r="I160" i="25"/>
  <c r="J160" i="25"/>
  <c r="I71" i="25"/>
  <c r="J71" i="25"/>
  <c r="I198" i="25"/>
  <c r="J198" i="25"/>
  <c r="J24" i="25"/>
  <c r="I24" i="25"/>
  <c r="I373" i="25"/>
  <c r="J373" i="25"/>
  <c r="I199" i="24"/>
  <c r="H199" i="25" s="1"/>
  <c r="J199" i="24"/>
  <c r="J209" i="24"/>
  <c r="I209" i="24"/>
  <c r="H209" i="25" s="1"/>
  <c r="J250" i="25"/>
  <c r="I250" i="25"/>
  <c r="J77" i="25"/>
  <c r="I77" i="25"/>
  <c r="J168" i="24"/>
  <c r="I168" i="24"/>
  <c r="H168" i="25" s="1"/>
  <c r="J154" i="24"/>
  <c r="I154" i="24"/>
  <c r="H154" i="25" s="1"/>
  <c r="J37" i="24"/>
  <c r="I37" i="24"/>
  <c r="H37" i="25" s="1"/>
  <c r="I157" i="24"/>
  <c r="H157" i="25" s="1"/>
  <c r="J157" i="24"/>
  <c r="I370" i="24"/>
  <c r="H370" i="25" s="1"/>
  <c r="J370" i="24"/>
  <c r="I104" i="24"/>
  <c r="H104" i="25" s="1"/>
  <c r="J104" i="24"/>
  <c r="J23" i="24"/>
  <c r="I23" i="24"/>
  <c r="H23" i="25" s="1"/>
  <c r="I356" i="25"/>
  <c r="J356" i="25"/>
  <c r="J322" i="25"/>
  <c r="I322" i="25"/>
  <c r="J143" i="25"/>
  <c r="I143" i="25"/>
  <c r="I207" i="24"/>
  <c r="H207" i="25" s="1"/>
  <c r="J207" i="24"/>
  <c r="I119" i="25"/>
  <c r="J119" i="25"/>
  <c r="J112" i="25"/>
  <c r="I112" i="25"/>
  <c r="J123" i="24"/>
  <c r="I123" i="24"/>
  <c r="H123" i="25" s="1"/>
  <c r="I176" i="25"/>
  <c r="J176" i="25"/>
  <c r="I321" i="24"/>
  <c r="H321" i="25" s="1"/>
  <c r="J321" i="24"/>
  <c r="I239" i="24"/>
  <c r="H239" i="25" s="1"/>
  <c r="J239" i="24"/>
  <c r="J274" i="25"/>
  <c r="I274" i="25"/>
  <c r="I226" i="24"/>
  <c r="H226" i="25" s="1"/>
  <c r="J226" i="24"/>
  <c r="I35" i="24"/>
  <c r="H35" i="25" s="1"/>
  <c r="J35" i="24"/>
  <c r="J294" i="24"/>
  <c r="I294" i="24"/>
  <c r="H294" i="25" s="1"/>
  <c r="J208" i="24"/>
  <c r="I208" i="24"/>
  <c r="H208" i="25" s="1"/>
  <c r="J349" i="25"/>
  <c r="I349" i="25"/>
  <c r="J29" i="24"/>
  <c r="I29" i="24"/>
  <c r="H29" i="25" s="1"/>
  <c r="J218" i="25"/>
  <c r="I218" i="25"/>
  <c r="I150" i="25"/>
  <c r="J286" i="24"/>
  <c r="I286" i="24"/>
  <c r="H286" i="25" s="1"/>
  <c r="I27" i="24"/>
  <c r="H27" i="25" s="1"/>
  <c r="I54" i="24"/>
  <c r="H54" i="25" s="1"/>
  <c r="J54" i="24"/>
  <c r="I72" i="24"/>
  <c r="H72" i="25" s="1"/>
  <c r="J72" i="24"/>
  <c r="I315" i="24"/>
  <c r="H315" i="25" s="1"/>
  <c r="J315" i="24"/>
  <c r="J243" i="24"/>
  <c r="I243" i="24"/>
  <c r="H243" i="25" s="1"/>
  <c r="I311" i="25"/>
  <c r="I186" i="25"/>
  <c r="J186" i="25"/>
  <c r="J255" i="24"/>
  <c r="I255" i="24"/>
  <c r="H255" i="25" s="1"/>
  <c r="J229" i="24"/>
  <c r="I229" i="24"/>
  <c r="H229" i="25" s="1"/>
  <c r="J141" i="24"/>
  <c r="I141" i="24"/>
  <c r="H141" i="25" s="1"/>
  <c r="I147" i="24"/>
  <c r="H147" i="25" s="1"/>
  <c r="J147" i="24"/>
  <c r="J32" i="24"/>
  <c r="I32" i="24"/>
  <c r="H32" i="25" s="1"/>
  <c r="J190" i="24"/>
  <c r="I190" i="24"/>
  <c r="H190" i="25" s="1"/>
  <c r="J151" i="24"/>
  <c r="I151" i="24"/>
  <c r="H151" i="25" s="1"/>
  <c r="I260" i="24"/>
  <c r="H260" i="25" s="1"/>
  <c r="J260" i="24"/>
  <c r="J125" i="25"/>
  <c r="I125" i="25"/>
  <c r="J64" i="24"/>
  <c r="I64" i="24"/>
  <c r="H64" i="25" s="1"/>
  <c r="I348" i="24"/>
  <c r="H348" i="25" s="1"/>
  <c r="J348" i="24"/>
  <c r="J298" i="24"/>
  <c r="I298" i="24"/>
  <c r="H298" i="25" s="1"/>
  <c r="J189" i="24"/>
  <c r="I189" i="24"/>
  <c r="H189" i="25" s="1"/>
  <c r="I92" i="24"/>
  <c r="H92" i="25" s="1"/>
  <c r="J92" i="24"/>
  <c r="I89" i="25"/>
  <c r="J89" i="25"/>
  <c r="J156" i="25"/>
  <c r="I156" i="25"/>
  <c r="I121" i="25"/>
  <c r="I223" i="25"/>
  <c r="I187" i="25"/>
  <c r="J187" i="25"/>
  <c r="I108" i="24"/>
  <c r="H108" i="25" s="1"/>
  <c r="J108" i="24"/>
  <c r="J354" i="24"/>
  <c r="I354" i="24"/>
  <c r="H354" i="25" s="1"/>
  <c r="J134" i="24"/>
  <c r="I134" i="24"/>
  <c r="H134" i="25" s="1"/>
  <c r="J152" i="24"/>
  <c r="I152" i="24"/>
  <c r="H152" i="25" s="1"/>
  <c r="J323" i="24"/>
  <c r="I323" i="24"/>
  <c r="H323" i="25" s="1"/>
  <c r="I26" i="24"/>
  <c r="H26" i="25" s="1"/>
  <c r="J26" i="24"/>
  <c r="I36" i="24"/>
  <c r="H36" i="25" s="1"/>
  <c r="J36" i="24"/>
  <c r="I225" i="24"/>
  <c r="H225" i="25" s="1"/>
  <c r="J225" i="24"/>
  <c r="J210" i="24"/>
  <c r="I210" i="24"/>
  <c r="H210" i="25" s="1"/>
  <c r="J353" i="24"/>
  <c r="I353" i="24"/>
  <c r="H353" i="25" s="1"/>
  <c r="I149" i="24"/>
  <c r="H149" i="25" s="1"/>
  <c r="J149" i="24"/>
  <c r="I139" i="24"/>
  <c r="H139" i="25" s="1"/>
  <c r="J139" i="24"/>
  <c r="J333" i="25"/>
  <c r="I333" i="25"/>
  <c r="J331" i="24"/>
  <c r="I331" i="24"/>
  <c r="H331" i="25" s="1"/>
  <c r="J375" i="24"/>
  <c r="I375" i="24"/>
  <c r="H375" i="25" s="1"/>
  <c r="I79" i="24"/>
  <c r="H79" i="25" s="1"/>
  <c r="J79" i="24"/>
  <c r="I367" i="24"/>
  <c r="H367" i="25" s="1"/>
  <c r="J367" i="24"/>
  <c r="I204" i="24"/>
  <c r="H204" i="25" s="1"/>
  <c r="J204" i="24"/>
  <c r="I111" i="24"/>
  <c r="H111" i="25" s="1"/>
  <c r="J111" i="24"/>
  <c r="J177" i="24"/>
  <c r="I177" i="24"/>
  <c r="H177" i="25" s="1"/>
  <c r="J99" i="24"/>
  <c r="I99" i="24"/>
  <c r="H99" i="25" s="1"/>
  <c r="J115" i="25"/>
  <c r="I115" i="25"/>
  <c r="I290" i="24"/>
  <c r="H290" i="25" s="1"/>
  <c r="J290" i="24"/>
  <c r="I343" i="24"/>
  <c r="H343" i="25" s="1"/>
  <c r="J343" i="24"/>
  <c r="I41" i="24"/>
  <c r="H41" i="25" s="1"/>
  <c r="J41" i="24"/>
  <c r="J270" i="24"/>
  <c r="I270" i="24"/>
  <c r="H270" i="25" s="1"/>
  <c r="J278" i="24"/>
  <c r="I278" i="24"/>
  <c r="H278" i="25" s="1"/>
  <c r="I319" i="24"/>
  <c r="H319" i="25" s="1"/>
  <c r="J319" i="24"/>
  <c r="J105" i="24"/>
  <c r="I105" i="24"/>
  <c r="H105" i="25" s="1"/>
  <c r="I167" i="24"/>
  <c r="H167" i="25" s="1"/>
  <c r="J167" i="24"/>
  <c r="J55" i="24"/>
  <c r="I55" i="24"/>
  <c r="H55" i="25" s="1"/>
  <c r="I140" i="24"/>
  <c r="H140" i="25" s="1"/>
  <c r="J140" i="24"/>
  <c r="J164" i="24"/>
  <c r="I164" i="24"/>
  <c r="H164" i="25" s="1"/>
  <c r="J133" i="25"/>
  <c r="I133" i="25"/>
  <c r="I288" i="24"/>
  <c r="H288" i="25" s="1"/>
  <c r="J288" i="24"/>
  <c r="I169" i="25"/>
  <c r="J21" i="25"/>
  <c r="I21" i="25"/>
  <c r="J69" i="24"/>
  <c r="I69" i="24"/>
  <c r="H69" i="25" s="1"/>
  <c r="I258" i="24"/>
  <c r="H258" i="25" s="1"/>
  <c r="J258" i="24"/>
  <c r="I174" i="24"/>
  <c r="H174" i="25" s="1"/>
  <c r="J174" i="24"/>
  <c r="I110" i="24"/>
  <c r="H110" i="25" s="1"/>
  <c r="J110" i="24"/>
  <c r="I220" i="25"/>
  <c r="J220" i="25"/>
  <c r="J310" i="25"/>
  <c r="I310" i="25"/>
  <c r="J219" i="24"/>
  <c r="I219" i="24"/>
  <c r="H219" i="25" s="1"/>
  <c r="I244" i="24"/>
  <c r="H244" i="25" s="1"/>
  <c r="J244" i="24"/>
  <c r="J279" i="24"/>
  <c r="I279" i="24"/>
  <c r="H279" i="25" s="1"/>
  <c r="J334" i="25"/>
  <c r="I334" i="25"/>
  <c r="I351" i="24"/>
  <c r="H351" i="25" s="1"/>
  <c r="J351" i="24"/>
  <c r="I326" i="24"/>
  <c r="H326" i="25" s="1"/>
  <c r="J326" i="24"/>
  <c r="J183" i="24"/>
  <c r="I183" i="24"/>
  <c r="H183" i="25" s="1"/>
  <c r="J180" i="24"/>
  <c r="I180" i="24"/>
  <c r="H180" i="25" s="1"/>
  <c r="I366" i="24"/>
  <c r="H366" i="25" s="1"/>
  <c r="J366" i="24"/>
  <c r="J374" i="25"/>
  <c r="I374" i="25"/>
  <c r="I224" i="24"/>
  <c r="H224" i="25" s="1"/>
  <c r="J224" i="24"/>
  <c r="J200" i="24"/>
  <c r="I200" i="24"/>
  <c r="H200" i="25" s="1"/>
  <c r="I195" i="24"/>
  <c r="H195" i="25" s="1"/>
  <c r="J195" i="24"/>
  <c r="J346" i="24"/>
  <c r="I346" i="24"/>
  <c r="H346" i="25" s="1"/>
  <c r="J56" i="24"/>
  <c r="I56" i="24"/>
  <c r="H56" i="25" s="1"/>
  <c r="J191" i="25"/>
  <c r="I191" i="25"/>
  <c r="J362" i="24"/>
  <c r="I362" i="24"/>
  <c r="H362" i="25" s="1"/>
  <c r="J277" i="24"/>
  <c r="I277" i="24"/>
  <c r="H277" i="25" s="1"/>
  <c r="I127" i="24"/>
  <c r="H127" i="25" s="1"/>
  <c r="J127" i="24"/>
  <c r="I324" i="24"/>
  <c r="H324" i="25" s="1"/>
  <c r="J324" i="24"/>
  <c r="I158" i="24"/>
  <c r="H158" i="25" s="1"/>
  <c r="J158" i="24"/>
  <c r="I63" i="24"/>
  <c r="H63" i="25" s="1"/>
  <c r="J63" i="24"/>
  <c r="J332" i="24"/>
  <c r="I332" i="24"/>
  <c r="H332" i="25" s="1"/>
  <c r="J182" i="24"/>
  <c r="I182" i="24"/>
  <c r="H182" i="25" s="1"/>
  <c r="J312" i="24"/>
  <c r="I312" i="24"/>
  <c r="H312" i="25" s="1"/>
  <c r="I197" i="24"/>
  <c r="H197" i="25" s="1"/>
  <c r="J197" i="24"/>
  <c r="I313" i="24"/>
  <c r="H313" i="25" s="1"/>
  <c r="J313" i="24"/>
  <c r="J297" i="24"/>
  <c r="I297" i="24"/>
  <c r="H297" i="25" s="1"/>
  <c r="J43" i="24"/>
  <c r="I43" i="24"/>
  <c r="H43" i="25" s="1"/>
  <c r="I275" i="25"/>
  <c r="J275" i="25"/>
  <c r="J48" i="24"/>
  <c r="I48" i="24"/>
  <c r="H48" i="25" s="1"/>
  <c r="J330" i="24"/>
  <c r="I330" i="24"/>
  <c r="H330" i="25" s="1"/>
  <c r="I161" i="24"/>
  <c r="H161" i="25" s="1"/>
  <c r="I335" i="24"/>
  <c r="H335" i="25" s="1"/>
  <c r="J335" i="24"/>
  <c r="I248" i="24"/>
  <c r="H248" i="25" s="1"/>
  <c r="J248" i="24"/>
  <c r="I320" i="24"/>
  <c r="H320" i="25" s="1"/>
  <c r="J320" i="24"/>
  <c r="J352" i="25"/>
  <c r="I352" i="25"/>
  <c r="I18" i="24"/>
  <c r="H18" i="25" s="1"/>
  <c r="J18" i="24"/>
  <c r="J280" i="24"/>
  <c r="I280" i="24"/>
  <c r="H280" i="25" s="1"/>
  <c r="J47" i="24"/>
  <c r="I47" i="24"/>
  <c r="H47" i="25" s="1"/>
  <c r="I269" i="24"/>
  <c r="H269" i="25" s="1"/>
  <c r="J269" i="24"/>
  <c r="I59" i="24"/>
  <c r="H59" i="25" s="1"/>
  <c r="J59" i="24"/>
  <c r="I128" i="25"/>
  <c r="J128" i="25"/>
  <c r="I173" i="25"/>
  <c r="J173" i="25"/>
  <c r="J241" i="24"/>
  <c r="I241" i="24"/>
  <c r="H241" i="25" s="1"/>
  <c r="I265" i="24"/>
  <c r="H265" i="25" s="1"/>
  <c r="J265" i="24"/>
  <c r="J246" i="24"/>
  <c r="I246" i="24"/>
  <c r="H246" i="25" s="1"/>
  <c r="I344" i="24"/>
  <c r="H344" i="25" s="1"/>
  <c r="J344" i="24"/>
  <c r="I263" i="25"/>
  <c r="J263" i="25"/>
  <c r="J85" i="25"/>
  <c r="I85" i="25"/>
  <c r="J235" i="24"/>
  <c r="I235" i="24"/>
  <c r="H235" i="25" s="1"/>
  <c r="J103" i="24"/>
  <c r="I103" i="24"/>
  <c r="H103" i="25" s="1"/>
  <c r="J252" i="24"/>
  <c r="I252" i="24"/>
  <c r="H252" i="25" s="1"/>
  <c r="J40" i="24"/>
  <c r="I40" i="24"/>
  <c r="H40" i="25" s="1"/>
  <c r="J113" i="24"/>
  <c r="I113" i="24"/>
  <c r="H113" i="25" s="1"/>
  <c r="J66" i="24"/>
  <c r="I66" i="24"/>
  <c r="H66" i="25" s="1"/>
  <c r="J339" i="25"/>
  <c r="I339" i="25"/>
  <c r="J291" i="25"/>
  <c r="I291" i="25"/>
  <c r="I194" i="25"/>
  <c r="J194" i="25"/>
  <c r="I153" i="24"/>
  <c r="H153" i="25" s="1"/>
  <c r="J153" i="24"/>
  <c r="J341" i="24"/>
  <c r="I341" i="24"/>
  <c r="H341" i="25" s="1"/>
  <c r="J308" i="24"/>
  <c r="I308" i="24"/>
  <c r="H308" i="25" s="1"/>
  <c r="I17" i="24"/>
  <c r="H17" i="25" s="1"/>
  <c r="J17" i="24"/>
  <c r="J372" i="24"/>
  <c r="I372" i="24"/>
  <c r="H372" i="25" s="1"/>
  <c r="I328" i="25"/>
  <c r="J328" i="25"/>
  <c r="J237" i="24"/>
  <c r="I237" i="24"/>
  <c r="H237" i="25" s="1"/>
  <c r="I316" i="24"/>
  <c r="H316" i="25" s="1"/>
  <c r="J316" i="24"/>
  <c r="J73" i="25"/>
  <c r="I73" i="25"/>
  <c r="J42" i="24"/>
  <c r="I42" i="24"/>
  <c r="H42" i="25" s="1"/>
  <c r="I60" i="25"/>
  <c r="J60" i="25"/>
  <c r="J100" i="24"/>
  <c r="I100" i="24"/>
  <c r="H100" i="25" s="1"/>
  <c r="I117" i="24"/>
  <c r="H117" i="25" s="1"/>
  <c r="J117" i="24"/>
  <c r="I257" i="24"/>
  <c r="H257" i="25" s="1"/>
  <c r="J257" i="24"/>
  <c r="I126" i="24"/>
  <c r="H126" i="25" s="1"/>
  <c r="J126" i="24"/>
  <c r="I75" i="25"/>
  <c r="J75" i="25"/>
  <c r="J379" i="24"/>
  <c r="I379" i="24"/>
  <c r="H379" i="25" s="1"/>
  <c r="I300" i="24"/>
  <c r="H300" i="25" s="1"/>
  <c r="J300" i="24"/>
  <c r="I259" i="24"/>
  <c r="H259" i="25" s="1"/>
  <c r="J259" i="24"/>
  <c r="I135" i="24"/>
  <c r="H135" i="25" s="1"/>
  <c r="J135" i="24"/>
  <c r="J377" i="24"/>
  <c r="I377" i="24"/>
  <c r="H377" i="25" s="1"/>
  <c r="J216" i="24"/>
  <c r="I216" i="24"/>
  <c r="H216" i="25" s="1"/>
  <c r="J222" i="24"/>
  <c r="I222" i="24"/>
  <c r="H222" i="25" s="1"/>
  <c r="I231" i="24"/>
  <c r="H231" i="25" s="1"/>
  <c r="J231" i="24"/>
  <c r="J33" i="24"/>
  <c r="I33" i="24"/>
  <c r="H33" i="25" s="1"/>
  <c r="I359" i="24"/>
  <c r="H359" i="25" s="1"/>
  <c r="J359" i="24"/>
  <c r="J358" i="24"/>
  <c r="I358" i="24"/>
  <c r="H358" i="25" s="1"/>
  <c r="J192" i="24"/>
  <c r="I192" i="24"/>
  <c r="H192" i="25" s="1"/>
  <c r="J84" i="24"/>
  <c r="I84" i="24"/>
  <c r="H84" i="25" s="1"/>
  <c r="I347" i="25"/>
  <c r="J347" i="25"/>
  <c r="J114" i="25"/>
  <c r="I114" i="25"/>
  <c r="J132" i="24"/>
  <c r="I132" i="24"/>
  <c r="H132" i="25" s="1"/>
  <c r="J70" i="24"/>
  <c r="I70" i="24"/>
  <c r="H70" i="25" s="1"/>
  <c r="J38" i="24"/>
  <c r="I38" i="24"/>
  <c r="H38" i="25" s="1"/>
  <c r="I51" i="24"/>
  <c r="H51" i="25" s="1"/>
  <c r="J51" i="24"/>
  <c r="J213" i="24"/>
  <c r="I213" i="24"/>
  <c r="H213" i="25" s="1"/>
  <c r="J49" i="24"/>
  <c r="I49" i="24"/>
  <c r="H49" i="25" s="1"/>
  <c r="J86" i="25"/>
  <c r="I86" i="25"/>
  <c r="J45" i="24"/>
  <c r="I45" i="24"/>
  <c r="H45" i="25" s="1"/>
  <c r="J227" i="24"/>
  <c r="I227" i="24"/>
  <c r="H227" i="25" s="1"/>
  <c r="J172" i="24"/>
  <c r="I172" i="24"/>
  <c r="H172" i="25" s="1"/>
  <c r="J81" i="24"/>
  <c r="I81" i="24"/>
  <c r="H81" i="25" s="1"/>
  <c r="I201" i="25"/>
  <c r="J201" i="25"/>
  <c r="J90" i="25"/>
  <c r="I90" i="25"/>
  <c r="J58" i="24"/>
  <c r="I58" i="24"/>
  <c r="H58" i="25" s="1"/>
  <c r="J309" i="25"/>
  <c r="I309" i="25"/>
  <c r="J61" i="25"/>
  <c r="I61" i="25"/>
  <c r="J30" i="24"/>
  <c r="I30" i="24"/>
  <c r="H30" i="25" s="1"/>
  <c r="J363" i="24"/>
  <c r="I363" i="24"/>
  <c r="H363" i="25" s="1"/>
  <c r="J249" i="24"/>
  <c r="I249" i="24"/>
  <c r="H249" i="25" s="1"/>
  <c r="I301" i="24"/>
  <c r="H301" i="25" s="1"/>
  <c r="J301" i="24"/>
  <c r="I68" i="24"/>
  <c r="H68" i="25" s="1"/>
  <c r="J68" i="24"/>
  <c r="J93" i="24"/>
  <c r="I93" i="24"/>
  <c r="H93" i="25" s="1"/>
  <c r="I368" i="24"/>
  <c r="H368" i="25" s="1"/>
  <c r="J368" i="24"/>
  <c r="I307" i="24"/>
  <c r="H307" i="25" s="1"/>
  <c r="J307" i="24"/>
  <c r="J181" i="24"/>
  <c r="I181" i="24"/>
  <c r="H181" i="25" s="1"/>
  <c r="J159" i="25"/>
  <c r="I159" i="25"/>
  <c r="I19" i="24"/>
  <c r="H19" i="25" s="1"/>
  <c r="J19" i="24"/>
  <c r="I304" i="24"/>
  <c r="H304" i="25" s="1"/>
  <c r="J304" i="24"/>
  <c r="I238" i="24"/>
  <c r="H238" i="25" s="1"/>
  <c r="J238" i="24"/>
  <c r="J136" i="24"/>
  <c r="I136" i="24"/>
  <c r="H136" i="25" s="1"/>
  <c r="I306" i="24"/>
  <c r="H306" i="25" s="1"/>
  <c r="J306" i="24"/>
  <c r="J171" i="25"/>
  <c r="I171" i="25"/>
  <c r="J295" i="25"/>
  <c r="I295" i="25"/>
  <c r="J273" i="25"/>
  <c r="I273" i="25"/>
  <c r="J78" i="24"/>
  <c r="I78" i="24"/>
  <c r="H78" i="25" s="1"/>
  <c r="J357" i="24"/>
  <c r="I357" i="24"/>
  <c r="H357" i="25" s="1"/>
  <c r="I96" i="24"/>
  <c r="H96" i="25" s="1"/>
  <c r="J96" i="24"/>
  <c r="J162" i="25"/>
  <c r="I162" i="25"/>
  <c r="I329" i="24"/>
  <c r="H329" i="25" s="1"/>
  <c r="J329" i="24"/>
  <c r="I281" i="24"/>
  <c r="H281" i="25" s="1"/>
  <c r="J281" i="24"/>
  <c r="J116" i="24"/>
  <c r="I116" i="24"/>
  <c r="H116" i="25" s="1"/>
  <c r="J228" i="24"/>
  <c r="I228" i="24"/>
  <c r="H228" i="25" s="1"/>
  <c r="J282" i="25"/>
  <c r="I282" i="25"/>
  <c r="J240" i="24"/>
  <c r="I240" i="24"/>
  <c r="H240" i="25" s="1"/>
  <c r="J350" i="25"/>
  <c r="I350" i="25"/>
  <c r="I20" i="24"/>
  <c r="H20" i="25" s="1"/>
  <c r="J20" i="24"/>
  <c r="J94" i="24"/>
  <c r="I94" i="24"/>
  <c r="H94" i="25" s="1"/>
  <c r="I242" i="24"/>
  <c r="H242" i="25" s="1"/>
  <c r="J242" i="24"/>
  <c r="I146" i="24"/>
  <c r="H146" i="25" s="1"/>
  <c r="J146" i="24"/>
  <c r="J230" i="24"/>
  <c r="I230" i="24"/>
  <c r="H230" i="25" s="1"/>
  <c r="I109" i="25"/>
  <c r="J109" i="25"/>
  <c r="J53" i="25"/>
  <c r="I53" i="25"/>
  <c r="J285" i="24"/>
  <c r="I285" i="24"/>
  <c r="H285" i="25" s="1"/>
  <c r="J106" i="24"/>
  <c r="I106" i="24"/>
  <c r="H106" i="25" s="1"/>
  <c r="J271" i="24"/>
  <c r="I271" i="24"/>
  <c r="H271" i="25" s="1"/>
  <c r="J130" i="24"/>
  <c r="I130" i="24"/>
  <c r="H130" i="25" s="1"/>
  <c r="J327" i="24"/>
  <c r="I327" i="24"/>
  <c r="H327" i="25" s="1"/>
  <c r="J211" i="24"/>
  <c r="I211" i="24"/>
  <c r="H211" i="25" s="1"/>
  <c r="I336" i="24"/>
  <c r="H336" i="25" s="1"/>
  <c r="J336" i="24"/>
  <c r="J178" i="24"/>
  <c r="I178" i="24"/>
  <c r="H178" i="25" s="1"/>
  <c r="J254" i="24"/>
  <c r="I254" i="24"/>
  <c r="H254" i="25" s="1"/>
  <c r="J284" i="24"/>
  <c r="I284" i="24"/>
  <c r="H284" i="25" s="1"/>
  <c r="I16" i="24"/>
  <c r="H16" i="25" s="1"/>
  <c r="J16" i="24"/>
  <c r="I95" i="24"/>
  <c r="H95" i="25" s="1"/>
  <c r="J95" i="24"/>
  <c r="I305" i="24"/>
  <c r="H305" i="25" s="1"/>
  <c r="J305" i="24"/>
  <c r="J82" i="24"/>
  <c r="I82" i="24"/>
  <c r="H82" i="25" s="1"/>
  <c r="J293" i="24"/>
  <c r="I293" i="24"/>
  <c r="H293" i="25" s="1"/>
  <c r="J292" i="25"/>
  <c r="I292" i="25"/>
  <c r="J52" i="24"/>
  <c r="I52" i="24"/>
  <c r="H52" i="25" s="1"/>
  <c r="I202" i="24"/>
  <c r="H202" i="25" s="1"/>
  <c r="J202" i="24"/>
  <c r="I138" i="24"/>
  <c r="H138" i="25" s="1"/>
  <c r="J138" i="24"/>
  <c r="I142" i="24"/>
  <c r="H142" i="25" s="1"/>
  <c r="J142" i="24"/>
  <c r="I97" i="24"/>
  <c r="H97" i="25" s="1"/>
  <c r="J97" i="24"/>
  <c r="J337" i="24"/>
  <c r="I337" i="24"/>
  <c r="H337" i="25" s="1"/>
  <c r="I193" i="24"/>
  <c r="H193" i="25" s="1"/>
  <c r="J193" i="24"/>
  <c r="J303" i="24"/>
  <c r="I303" i="24"/>
  <c r="H303" i="25" s="1"/>
  <c r="J165" i="24"/>
  <c r="I253" i="25"/>
  <c r="J253" i="25"/>
  <c r="I57" i="24"/>
  <c r="H57" i="25" s="1"/>
  <c r="J57" i="24"/>
  <c r="I80" i="24"/>
  <c r="H80" i="25" s="1"/>
  <c r="J80" i="24"/>
  <c r="I83" i="24"/>
  <c r="H83" i="25" s="1"/>
  <c r="J83" i="24"/>
  <c r="J212" i="24"/>
  <c r="I212" i="24"/>
  <c r="H212" i="25" s="1"/>
  <c r="I62" i="25"/>
  <c r="J62" i="25"/>
  <c r="I266" i="24"/>
  <c r="H266" i="25" s="1"/>
  <c r="J266" i="24"/>
  <c r="I256" i="24"/>
  <c r="H256" i="25" s="1"/>
  <c r="J256" i="24"/>
  <c r="I215" i="24"/>
  <c r="H215" i="25" s="1"/>
  <c r="J215" i="24"/>
  <c r="J287" i="24"/>
  <c r="I287" i="24"/>
  <c r="H287" i="25" s="1"/>
  <c r="J131" i="24"/>
  <c r="I131" i="24"/>
  <c r="H131" i="25" s="1"/>
  <c r="J170" i="24"/>
  <c r="I170" i="24"/>
  <c r="H170" i="25" s="1"/>
  <c r="J268" i="25"/>
  <c r="I268" i="25"/>
  <c r="J272" i="25"/>
  <c r="I272" i="25"/>
  <c r="J25" i="25"/>
  <c r="I25" i="25"/>
  <c r="J122" i="24"/>
  <c r="I122" i="24"/>
  <c r="H122" i="25" s="1"/>
  <c r="I148" i="25"/>
  <c r="J148" i="25"/>
  <c r="I364" i="24"/>
  <c r="H364" i="25" s="1"/>
  <c r="J364" i="24"/>
  <c r="I267" i="24"/>
  <c r="H267" i="25" s="1"/>
  <c r="J267" i="24"/>
  <c r="J232" i="24"/>
  <c r="I232" i="24"/>
  <c r="H232" i="25" s="1"/>
  <c r="I101" i="24"/>
  <c r="H101" i="25" s="1"/>
  <c r="J101" i="24"/>
  <c r="I50" i="24"/>
  <c r="H50" i="25" s="1"/>
  <c r="J50" i="24"/>
  <c r="J338" i="24"/>
  <c r="I338" i="24"/>
  <c r="H338" i="25" s="1"/>
  <c r="I360" i="24"/>
  <c r="H360" i="25" s="1"/>
  <c r="J360" i="24"/>
  <c r="I118" i="24"/>
  <c r="H118" i="25" s="1"/>
  <c r="J118" i="24"/>
  <c r="I302" i="24"/>
  <c r="H302" i="25" s="1"/>
  <c r="J302" i="24"/>
  <c r="J342" i="24"/>
  <c r="I342" i="24"/>
  <c r="H342" i="25" s="1"/>
  <c r="I107" i="24"/>
  <c r="H107" i="25" s="1"/>
  <c r="J107" i="24"/>
  <c r="I299" i="24"/>
  <c r="H299" i="25" s="1"/>
  <c r="J299" i="24"/>
  <c r="J214" i="24"/>
  <c r="I214" i="24"/>
  <c r="H214" i="25" s="1"/>
  <c r="J361" i="25"/>
  <c r="I361" i="25"/>
  <c r="J155" i="24"/>
  <c r="I155" i="24"/>
  <c r="H155" i="25" s="1"/>
  <c r="J188" i="25"/>
  <c r="I188" i="25"/>
  <c r="I264" i="24"/>
  <c r="H264" i="25" s="1"/>
  <c r="J264" i="24"/>
  <c r="I318" i="24"/>
  <c r="H318" i="25" s="1"/>
  <c r="J318" i="24"/>
  <c r="J166" i="24"/>
  <c r="I166" i="24"/>
  <c r="H166" i="25" s="1"/>
  <c r="J262" i="24"/>
  <c r="I262" i="24"/>
  <c r="H262" i="25" s="1"/>
  <c r="I34" i="25"/>
  <c r="J34" i="25"/>
  <c r="J376" i="24"/>
  <c r="I376" i="24"/>
  <c r="H376" i="25" s="1"/>
  <c r="I74" i="25"/>
  <c r="J74" i="25"/>
  <c r="I46" i="25"/>
  <c r="J46" i="25"/>
  <c r="J120" i="24"/>
  <c r="I120" i="24"/>
  <c r="H120" i="25" s="1"/>
  <c r="J247" i="24"/>
  <c r="I247" i="24"/>
  <c r="H247" i="25" s="1"/>
  <c r="I129" i="24"/>
  <c r="H129" i="25" s="1"/>
  <c r="J129" i="24"/>
  <c r="J175" i="24"/>
  <c r="I175" i="24"/>
  <c r="H175" i="25" s="1"/>
  <c r="I221" i="24"/>
  <c r="H221" i="25" s="1"/>
  <c r="J221" i="24"/>
  <c r="J179" i="24"/>
  <c r="I179" i="24"/>
  <c r="H179" i="25" s="1"/>
  <c r="I28" i="24"/>
  <c r="H28" i="25" s="1"/>
  <c r="J28" i="24"/>
  <c r="J39" i="24"/>
  <c r="I39" i="24"/>
  <c r="H39" i="25" s="1"/>
  <c r="J91" i="24"/>
  <c r="I91" i="24"/>
  <c r="H91" i="25" s="1"/>
  <c r="I276" i="24"/>
  <c r="H276" i="25" s="1"/>
  <c r="J276" i="24"/>
  <c r="J369" i="25"/>
  <c r="I369" i="25"/>
  <c r="I98" i="25" l="1"/>
  <c r="J345" i="25"/>
  <c r="I340" i="24"/>
  <c r="H340" i="25" s="1"/>
  <c r="J340" i="25" s="1"/>
  <c r="I203" i="24"/>
  <c r="H203" i="25" s="1"/>
  <c r="J203" i="25" s="1"/>
  <c r="J150" i="24"/>
  <c r="J150" i="25" s="1"/>
  <c r="J31" i="24"/>
  <c r="J31" i="25" s="1"/>
  <c r="I365" i="24"/>
  <c r="H365" i="25" s="1"/>
  <c r="I365" i="25" s="1"/>
  <c r="I163" i="25"/>
  <c r="J314" i="24"/>
  <c r="J314" i="25" s="1"/>
  <c r="I137" i="24"/>
  <c r="H137" i="25" s="1"/>
  <c r="J137" i="25" s="1"/>
  <c r="I233" i="24"/>
  <c r="H233" i="25" s="1"/>
  <c r="J233" i="25" s="1"/>
  <c r="I236" i="24"/>
  <c r="H236" i="25" s="1"/>
  <c r="I236" i="25" s="1"/>
  <c r="J88" i="25"/>
  <c r="J378" i="24"/>
  <c r="I378" i="24"/>
  <c r="H378" i="25" s="1"/>
  <c r="I88" i="25"/>
  <c r="I345" i="25"/>
  <c r="J44" i="25"/>
  <c r="I91" i="25"/>
  <c r="J91" i="25"/>
  <c r="J179" i="25"/>
  <c r="I179" i="25"/>
  <c r="J247" i="25"/>
  <c r="I247" i="25"/>
  <c r="I120" i="25"/>
  <c r="J120" i="25"/>
  <c r="I376" i="25"/>
  <c r="J376" i="25"/>
  <c r="J262" i="25"/>
  <c r="I262" i="25"/>
  <c r="I166" i="25"/>
  <c r="J166" i="25"/>
  <c r="I155" i="25"/>
  <c r="J155" i="25"/>
  <c r="I214" i="25"/>
  <c r="J214" i="25"/>
  <c r="I342" i="25"/>
  <c r="J342" i="25"/>
  <c r="J338" i="25"/>
  <c r="I338" i="25"/>
  <c r="I232" i="25"/>
  <c r="J232" i="25"/>
  <c r="I122" i="25"/>
  <c r="J122" i="25"/>
  <c r="J170" i="25"/>
  <c r="I170" i="25"/>
  <c r="I131" i="25"/>
  <c r="J131" i="25"/>
  <c r="I287" i="25"/>
  <c r="J287" i="25"/>
  <c r="J212" i="25"/>
  <c r="I212" i="25"/>
  <c r="J165" i="25"/>
  <c r="I165" i="25"/>
  <c r="J303" i="25"/>
  <c r="I303" i="25"/>
  <c r="J337" i="25"/>
  <c r="I337" i="25"/>
  <c r="J52" i="25"/>
  <c r="I52" i="25"/>
  <c r="I293" i="25"/>
  <c r="J293" i="25"/>
  <c r="J82" i="25"/>
  <c r="I82" i="25"/>
  <c r="I284" i="25"/>
  <c r="J284" i="25"/>
  <c r="J254" i="25"/>
  <c r="I254" i="25"/>
  <c r="I178" i="25"/>
  <c r="J178" i="25"/>
  <c r="J211" i="25"/>
  <c r="I211" i="25"/>
  <c r="J327" i="25"/>
  <c r="I327" i="25"/>
  <c r="J130" i="25"/>
  <c r="I130" i="25"/>
  <c r="I271" i="25"/>
  <c r="J271" i="25"/>
  <c r="J106" i="25"/>
  <c r="I106" i="25"/>
  <c r="J285" i="25"/>
  <c r="I285" i="25"/>
  <c r="J230" i="25"/>
  <c r="I230" i="25"/>
  <c r="J94" i="25"/>
  <c r="I94" i="25"/>
  <c r="I240" i="25"/>
  <c r="J240" i="25"/>
  <c r="J228" i="25"/>
  <c r="I228" i="25"/>
  <c r="I116" i="25"/>
  <c r="J116" i="25"/>
  <c r="J357" i="25"/>
  <c r="I357" i="25"/>
  <c r="J78" i="25"/>
  <c r="I78" i="25"/>
  <c r="I136" i="25"/>
  <c r="J136" i="25"/>
  <c r="I181" i="25"/>
  <c r="J181" i="25"/>
  <c r="J93" i="25"/>
  <c r="I93" i="25"/>
  <c r="I249" i="25"/>
  <c r="J249" i="25"/>
  <c r="I363" i="25"/>
  <c r="J363" i="25"/>
  <c r="J30" i="25"/>
  <c r="I30" i="25"/>
  <c r="J58" i="25"/>
  <c r="I58" i="25"/>
  <c r="I81" i="25"/>
  <c r="J81" i="25"/>
  <c r="J172" i="25"/>
  <c r="I172" i="25"/>
  <c r="J227" i="25"/>
  <c r="I227" i="25"/>
  <c r="I45" i="25"/>
  <c r="J45" i="25"/>
  <c r="I49" i="25"/>
  <c r="J49" i="25"/>
  <c r="J213" i="25"/>
  <c r="I213" i="25"/>
  <c r="I38" i="25"/>
  <c r="J38" i="25"/>
  <c r="I70" i="25"/>
  <c r="J70" i="25"/>
  <c r="I132" i="25"/>
  <c r="J132" i="25"/>
  <c r="J84" i="25"/>
  <c r="I84" i="25"/>
  <c r="I192" i="25"/>
  <c r="J192" i="25"/>
  <c r="J358" i="25"/>
  <c r="I358" i="25"/>
  <c r="J33" i="25"/>
  <c r="I33" i="25"/>
  <c r="J222" i="25"/>
  <c r="I222" i="25"/>
  <c r="I216" i="25"/>
  <c r="J216" i="25"/>
  <c r="I377" i="25"/>
  <c r="J377" i="25"/>
  <c r="I379" i="25"/>
  <c r="J379" i="25"/>
  <c r="I100" i="25"/>
  <c r="J100" i="25"/>
  <c r="I42" i="25"/>
  <c r="J42" i="25"/>
  <c r="J237" i="25"/>
  <c r="I237" i="25"/>
  <c r="J372" i="25"/>
  <c r="I372" i="25"/>
  <c r="J308" i="25"/>
  <c r="I308" i="25"/>
  <c r="I341" i="25"/>
  <c r="J341" i="25"/>
  <c r="J66" i="25"/>
  <c r="I66" i="25"/>
  <c r="I113" i="25"/>
  <c r="J113" i="25"/>
  <c r="I40" i="25"/>
  <c r="J40" i="25"/>
  <c r="J252" i="25"/>
  <c r="I252" i="25"/>
  <c r="I103" i="25"/>
  <c r="J103" i="25"/>
  <c r="J235" i="25"/>
  <c r="I235" i="25"/>
  <c r="J246" i="25"/>
  <c r="I246" i="25"/>
  <c r="I241" i="25"/>
  <c r="J241" i="25"/>
  <c r="I47" i="25"/>
  <c r="J47" i="25"/>
  <c r="I280" i="25"/>
  <c r="J280" i="25"/>
  <c r="J330" i="25"/>
  <c r="I330" i="25"/>
  <c r="I48" i="25"/>
  <c r="J48" i="25"/>
  <c r="J43" i="25"/>
  <c r="I43" i="25"/>
  <c r="I297" i="25"/>
  <c r="J297" i="25"/>
  <c r="J312" i="25"/>
  <c r="I312" i="25"/>
  <c r="I182" i="25"/>
  <c r="J182" i="25"/>
  <c r="J332" i="25"/>
  <c r="I332" i="25"/>
  <c r="I277" i="25"/>
  <c r="J277" i="25"/>
  <c r="J362" i="25"/>
  <c r="I362" i="25"/>
  <c r="J56" i="25"/>
  <c r="I56" i="25"/>
  <c r="J346" i="25"/>
  <c r="I346" i="25"/>
  <c r="I200" i="25"/>
  <c r="J200" i="25"/>
  <c r="J180" i="25"/>
  <c r="I180" i="25"/>
  <c r="I183" i="25"/>
  <c r="J183" i="25"/>
  <c r="J279" i="25"/>
  <c r="I279" i="25"/>
  <c r="J219" i="25"/>
  <c r="I219" i="25"/>
  <c r="J69" i="25"/>
  <c r="I69" i="25"/>
  <c r="J164" i="25"/>
  <c r="I164" i="25"/>
  <c r="I55" i="25"/>
  <c r="J55" i="25"/>
  <c r="I105" i="25"/>
  <c r="J105" i="25"/>
  <c r="J278" i="25"/>
  <c r="I278" i="25"/>
  <c r="J270" i="25"/>
  <c r="I270" i="25"/>
  <c r="J99" i="25"/>
  <c r="I99" i="25"/>
  <c r="I177" i="25"/>
  <c r="J177" i="25"/>
  <c r="I375" i="25"/>
  <c r="J375" i="25"/>
  <c r="J331" i="25"/>
  <c r="I331" i="25"/>
  <c r="J353" i="25"/>
  <c r="I353" i="25"/>
  <c r="J210" i="25"/>
  <c r="I210" i="25"/>
  <c r="J323" i="25"/>
  <c r="I323" i="25"/>
  <c r="I152" i="25"/>
  <c r="J152" i="25"/>
  <c r="I134" i="25"/>
  <c r="J134" i="25"/>
  <c r="I354" i="25"/>
  <c r="J354" i="25"/>
  <c r="I189" i="25"/>
  <c r="J189" i="25"/>
  <c r="J298" i="25"/>
  <c r="I298" i="25"/>
  <c r="I64" i="25"/>
  <c r="J64" i="25"/>
  <c r="J151" i="25"/>
  <c r="I151" i="25"/>
  <c r="J190" i="25"/>
  <c r="I190" i="25"/>
  <c r="I32" i="25"/>
  <c r="J32" i="25"/>
  <c r="J141" i="25"/>
  <c r="I141" i="25"/>
  <c r="I229" i="25"/>
  <c r="J229" i="25"/>
  <c r="I255" i="25"/>
  <c r="J255" i="25"/>
  <c r="I243" i="25"/>
  <c r="J243" i="25"/>
  <c r="J286" i="25"/>
  <c r="I286" i="25"/>
  <c r="I29" i="25"/>
  <c r="J29" i="25"/>
  <c r="J208" i="25"/>
  <c r="I208" i="25"/>
  <c r="J294" i="25"/>
  <c r="I294" i="25"/>
  <c r="I123" i="25"/>
  <c r="J123" i="25"/>
  <c r="I23" i="25"/>
  <c r="J23" i="25"/>
  <c r="J37" i="25"/>
  <c r="I37" i="25"/>
  <c r="J154" i="25"/>
  <c r="I154" i="25"/>
  <c r="I168" i="25"/>
  <c r="J168" i="25"/>
  <c r="I209" i="25"/>
  <c r="J209" i="25"/>
  <c r="I39" i="25"/>
  <c r="J39" i="25"/>
  <c r="I175" i="25"/>
  <c r="J175" i="25"/>
  <c r="I276" i="25"/>
  <c r="J276" i="25"/>
  <c r="I28" i="25"/>
  <c r="J28" i="25"/>
  <c r="J221" i="25"/>
  <c r="I221" i="25"/>
  <c r="I129" i="25"/>
  <c r="J129" i="25"/>
  <c r="I318" i="25"/>
  <c r="J318" i="25"/>
  <c r="I264" i="25"/>
  <c r="J264" i="25"/>
  <c r="J299" i="25"/>
  <c r="I299" i="25"/>
  <c r="J107" i="25"/>
  <c r="I107" i="25"/>
  <c r="I302" i="25"/>
  <c r="J302" i="25"/>
  <c r="I118" i="25"/>
  <c r="J118" i="25"/>
  <c r="J360" i="25"/>
  <c r="I360" i="25"/>
  <c r="J50" i="25"/>
  <c r="I50" i="25"/>
  <c r="I101" i="25"/>
  <c r="J101" i="25"/>
  <c r="I267" i="25"/>
  <c r="J267" i="25"/>
  <c r="J364" i="25"/>
  <c r="I364" i="25"/>
  <c r="I215" i="25"/>
  <c r="J215" i="25"/>
  <c r="I256" i="25"/>
  <c r="J256" i="25"/>
  <c r="I266" i="25"/>
  <c r="J266" i="25"/>
  <c r="J83" i="25"/>
  <c r="I83" i="25"/>
  <c r="J80" i="25"/>
  <c r="I80" i="25"/>
  <c r="I57" i="25"/>
  <c r="J57" i="25"/>
  <c r="I193" i="25"/>
  <c r="J193" i="25"/>
  <c r="J97" i="25"/>
  <c r="I97" i="25"/>
  <c r="J142" i="25"/>
  <c r="I142" i="25"/>
  <c r="J138" i="25"/>
  <c r="I138" i="25"/>
  <c r="J202" i="25"/>
  <c r="I202" i="25"/>
  <c r="I305" i="25"/>
  <c r="J305" i="25"/>
  <c r="I95" i="25"/>
  <c r="J95" i="25"/>
  <c r="J16" i="25"/>
  <c r="I16" i="25"/>
  <c r="J336" i="25"/>
  <c r="I336" i="25"/>
  <c r="I146" i="25"/>
  <c r="J146" i="25"/>
  <c r="J242" i="25"/>
  <c r="I242" i="25"/>
  <c r="I20" i="25"/>
  <c r="J20" i="25"/>
  <c r="J281" i="25"/>
  <c r="I281" i="25"/>
  <c r="J329" i="25"/>
  <c r="I329" i="25"/>
  <c r="I96" i="25"/>
  <c r="J96" i="25"/>
  <c r="J306" i="25"/>
  <c r="I306" i="25"/>
  <c r="I238" i="25"/>
  <c r="J238" i="25"/>
  <c r="I340" i="25"/>
  <c r="J304" i="25"/>
  <c r="I304" i="25"/>
  <c r="I19" i="25"/>
  <c r="J19" i="25"/>
  <c r="I307" i="25"/>
  <c r="J307" i="25"/>
  <c r="J368" i="25"/>
  <c r="I368" i="25"/>
  <c r="J68" i="25"/>
  <c r="I68" i="25"/>
  <c r="I301" i="25"/>
  <c r="J301" i="25"/>
  <c r="J51" i="25"/>
  <c r="I51" i="25"/>
  <c r="I359" i="25"/>
  <c r="J359" i="25"/>
  <c r="I231" i="25"/>
  <c r="J231" i="25"/>
  <c r="J135" i="25"/>
  <c r="I135" i="25"/>
  <c r="J259" i="25"/>
  <c r="I259" i="25"/>
  <c r="J300" i="25"/>
  <c r="I300" i="25"/>
  <c r="I126" i="25"/>
  <c r="J126" i="25"/>
  <c r="J257" i="25"/>
  <c r="I257" i="25"/>
  <c r="I117" i="25"/>
  <c r="J117" i="25"/>
  <c r="J316" i="25"/>
  <c r="I316" i="25"/>
  <c r="I17" i="25"/>
  <c r="J17" i="25"/>
  <c r="J153" i="25"/>
  <c r="I153" i="25"/>
  <c r="I344" i="25"/>
  <c r="J344" i="25"/>
  <c r="J265" i="25"/>
  <c r="I265" i="25"/>
  <c r="J59" i="25"/>
  <c r="I59" i="25"/>
  <c r="J269" i="25"/>
  <c r="I269" i="25"/>
  <c r="I18" i="25"/>
  <c r="J18" i="25"/>
  <c r="J320" i="25"/>
  <c r="I320" i="25"/>
  <c r="I248" i="25"/>
  <c r="J248" i="25"/>
  <c r="J335" i="25"/>
  <c r="I335" i="25"/>
  <c r="I161" i="25"/>
  <c r="J161" i="25"/>
  <c r="I313" i="25"/>
  <c r="J313" i="25"/>
  <c r="I197" i="25"/>
  <c r="J197" i="25"/>
  <c r="I63" i="25"/>
  <c r="J63" i="25"/>
  <c r="J158" i="25"/>
  <c r="I158" i="25"/>
  <c r="J324" i="25"/>
  <c r="I324" i="25"/>
  <c r="I127" i="25"/>
  <c r="J127" i="25"/>
  <c r="I195" i="25"/>
  <c r="J195" i="25"/>
  <c r="J224" i="25"/>
  <c r="I224" i="25"/>
  <c r="I366" i="25"/>
  <c r="J366" i="25"/>
  <c r="I326" i="25"/>
  <c r="J326" i="25"/>
  <c r="J351" i="25"/>
  <c r="I351" i="25"/>
  <c r="I244" i="25"/>
  <c r="J244" i="25"/>
  <c r="J110" i="25"/>
  <c r="I110" i="25"/>
  <c r="J174" i="25"/>
  <c r="I174" i="25"/>
  <c r="I258" i="25"/>
  <c r="J258" i="25"/>
  <c r="I288" i="25"/>
  <c r="J288" i="25"/>
  <c r="I140" i="25"/>
  <c r="J140" i="25"/>
  <c r="J167" i="25"/>
  <c r="I167" i="25"/>
  <c r="J319" i="25"/>
  <c r="I319" i="25"/>
  <c r="J41" i="25"/>
  <c r="I41" i="25"/>
  <c r="J343" i="25"/>
  <c r="I343" i="25"/>
  <c r="J290" i="25"/>
  <c r="I290" i="25"/>
  <c r="J111" i="25"/>
  <c r="I111" i="25"/>
  <c r="J204" i="25"/>
  <c r="I204" i="25"/>
  <c r="J367" i="25"/>
  <c r="I367" i="25"/>
  <c r="I79" i="25"/>
  <c r="J79" i="25"/>
  <c r="J139" i="25"/>
  <c r="I139" i="25"/>
  <c r="I149" i="25"/>
  <c r="J149" i="25"/>
  <c r="J225" i="25"/>
  <c r="I225" i="25"/>
  <c r="J36" i="25"/>
  <c r="I36" i="25"/>
  <c r="I26" i="25"/>
  <c r="J26" i="25"/>
  <c r="J108" i="25"/>
  <c r="I108" i="25"/>
  <c r="J92" i="25"/>
  <c r="I92" i="25"/>
  <c r="I348" i="25"/>
  <c r="J348" i="25"/>
  <c r="I260" i="25"/>
  <c r="J260" i="25"/>
  <c r="J147" i="25"/>
  <c r="I147" i="25"/>
  <c r="J315" i="25"/>
  <c r="I315" i="25"/>
  <c r="J72" i="25"/>
  <c r="I72" i="25"/>
  <c r="J54" i="25"/>
  <c r="I54" i="25"/>
  <c r="I27" i="25"/>
  <c r="J27" i="25"/>
  <c r="I35" i="25"/>
  <c r="J35" i="25"/>
  <c r="I226" i="25"/>
  <c r="J226" i="25"/>
  <c r="I239" i="25"/>
  <c r="J239" i="25"/>
  <c r="J321" i="25"/>
  <c r="I321" i="25"/>
  <c r="J207" i="25"/>
  <c r="I207" i="25"/>
  <c r="I104" i="25"/>
  <c r="J104" i="25"/>
  <c r="I370" i="25"/>
  <c r="J370" i="25"/>
  <c r="I157" i="25"/>
  <c r="J157" i="25"/>
  <c r="I199" i="25"/>
  <c r="J199" i="25"/>
  <c r="B381" i="17"/>
  <c r="B382" i="17"/>
  <c r="AJ6" i="17"/>
  <c r="W15" i="17"/>
  <c r="B383" i="17"/>
  <c r="AK6" i="17"/>
  <c r="H9" i="17"/>
  <c r="B14" i="19" s="1"/>
  <c r="D15" i="17"/>
  <c r="B15" i="18"/>
  <c r="AJ5" i="18" l="1"/>
  <c r="AK5" i="18"/>
  <c r="J236" i="25"/>
  <c r="J365" i="25"/>
  <c r="I203" i="25"/>
  <c r="I233" i="25"/>
  <c r="I137" i="25"/>
  <c r="J378" i="25"/>
  <c r="I378" i="25"/>
  <c r="E15" i="17"/>
  <c r="AJ9" i="17" s="1"/>
  <c r="AJ7" i="17"/>
  <c r="B382" i="18"/>
  <c r="B381" i="18"/>
  <c r="W15" i="18"/>
  <c r="AJ6" i="18"/>
  <c r="AK6" i="18"/>
  <c r="B383" i="18"/>
  <c r="H9" i="18"/>
  <c r="B15" i="19" s="1"/>
  <c r="D15" i="18"/>
  <c r="AJ7" i="18" s="1"/>
  <c r="B15" i="20"/>
  <c r="AJ10" i="17"/>
  <c r="E9" i="17"/>
  <c r="D382" i="17"/>
  <c r="D383" i="17"/>
  <c r="AJ8" i="17"/>
  <c r="D381" i="17"/>
  <c r="D9" i="17"/>
  <c r="D11" i="17" l="1"/>
  <c r="AJ5" i="20"/>
  <c r="AK5" i="20"/>
  <c r="E381" i="17"/>
  <c r="E382" i="17"/>
  <c r="AJ11" i="17"/>
  <c r="F15" i="17"/>
  <c r="F381" i="17" s="1"/>
  <c r="AK8" i="17"/>
  <c r="E383" i="17"/>
  <c r="AJ12" i="17"/>
  <c r="AJ13" i="17" s="1"/>
  <c r="D383" i="18"/>
  <c r="D9" i="18"/>
  <c r="D382" i="18"/>
  <c r="D381" i="18"/>
  <c r="AJ8" i="18"/>
  <c r="E15" i="18"/>
  <c r="AK10" i="17"/>
  <c r="E11" i="17"/>
  <c r="AK6" i="20"/>
  <c r="AJ6" i="20"/>
  <c r="W15" i="20"/>
  <c r="B382" i="20"/>
  <c r="B383" i="20"/>
  <c r="B381" i="20"/>
  <c r="H9" i="20"/>
  <c r="B16" i="19" s="1"/>
  <c r="D15" i="20"/>
  <c r="AJ7" i="20" s="1"/>
  <c r="B15" i="22"/>
  <c r="AJ5" i="22" l="1"/>
  <c r="AK5" i="22"/>
  <c r="AJ9" i="18"/>
  <c r="AJ11" i="18" s="1"/>
  <c r="AK7" i="18"/>
  <c r="D11" i="18"/>
  <c r="E38" i="19"/>
  <c r="C14" i="19"/>
  <c r="F38" i="19"/>
  <c r="AA15" i="17"/>
  <c r="AL9" i="17" s="1"/>
  <c r="AM10" i="17"/>
  <c r="G15" i="17"/>
  <c r="H15" i="17"/>
  <c r="I15" i="17" s="1"/>
  <c r="B15" i="6" s="1"/>
  <c r="F9" i="17"/>
  <c r="G14" i="19" s="1"/>
  <c r="F382" i="17"/>
  <c r="F383" i="17"/>
  <c r="AK12" i="17"/>
  <c r="AK13" i="17" s="1"/>
  <c r="AA383" i="17"/>
  <c r="AL10" i="17"/>
  <c r="AA382" i="17"/>
  <c r="AK6" i="22"/>
  <c r="B382" i="22"/>
  <c r="B381" i="22"/>
  <c r="AJ6" i="22"/>
  <c r="W15" i="22"/>
  <c r="B383" i="22"/>
  <c r="H9" i="22"/>
  <c r="B17" i="19" s="1"/>
  <c r="D15" i="22"/>
  <c r="AJ7" i="22" s="1"/>
  <c r="B15" i="23"/>
  <c r="D382" i="20"/>
  <c r="D383" i="20"/>
  <c r="D381" i="20"/>
  <c r="D9" i="20"/>
  <c r="AJ8" i="20"/>
  <c r="E15" i="20"/>
  <c r="AJ10" i="18"/>
  <c r="AJ12" i="18" s="1"/>
  <c r="AJ13" i="18" s="1"/>
  <c r="E382" i="18"/>
  <c r="AK8" i="18"/>
  <c r="E381" i="18"/>
  <c r="E383" i="18"/>
  <c r="F15" i="18"/>
  <c r="E9" i="18"/>
  <c r="AJ5" i="23" l="1"/>
  <c r="AK5" i="23"/>
  <c r="AM9" i="18"/>
  <c r="AK9" i="18"/>
  <c r="AK11" i="18"/>
  <c r="C31" i="19"/>
  <c r="J38" i="19"/>
  <c r="G31" i="19"/>
  <c r="G381" i="17"/>
  <c r="BZ15" i="6"/>
  <c r="E11" i="18"/>
  <c r="C15" i="19" s="1"/>
  <c r="D11" i="20"/>
  <c r="E39" i="19"/>
  <c r="AJ9" i="20"/>
  <c r="AJ11" i="20" s="1"/>
  <c r="AK7" i="20"/>
  <c r="AA9" i="17"/>
  <c r="AM8" i="17"/>
  <c r="F11" i="17"/>
  <c r="G382" i="17"/>
  <c r="Z15" i="17"/>
  <c r="AL7" i="17" s="1"/>
  <c r="AA381" i="17"/>
  <c r="J15" i="17"/>
  <c r="C15" i="6" s="1"/>
  <c r="AB9" i="17"/>
  <c r="G383" i="17"/>
  <c r="G12" i="17" s="1"/>
  <c r="D7" i="6" s="1"/>
  <c r="D381" i="22"/>
  <c r="D383" i="22"/>
  <c r="D382" i="22"/>
  <c r="AJ8" i="22"/>
  <c r="D9" i="22"/>
  <c r="E15" i="22"/>
  <c r="AM10" i="18"/>
  <c r="AK10" i="18"/>
  <c r="AK12" i="18" s="1"/>
  <c r="F382" i="18"/>
  <c r="F381" i="18"/>
  <c r="F383" i="18"/>
  <c r="H15" i="18"/>
  <c r="F9" i="18"/>
  <c r="AA15" i="18"/>
  <c r="G15" i="18"/>
  <c r="CA15" i="6" s="1"/>
  <c r="E383" i="20"/>
  <c r="E382" i="20"/>
  <c r="AK8" i="20"/>
  <c r="E381" i="20"/>
  <c r="AJ10" i="20"/>
  <c r="AJ12" i="20" s="1"/>
  <c r="AJ13" i="20" s="1"/>
  <c r="E9" i="20"/>
  <c r="F15" i="20"/>
  <c r="B382" i="23"/>
  <c r="AJ6" i="23"/>
  <c r="W15" i="23"/>
  <c r="B381" i="23"/>
  <c r="B383" i="23"/>
  <c r="AK6" i="23"/>
  <c r="H9" i="23"/>
  <c r="B18" i="19" s="1"/>
  <c r="D15" i="23"/>
  <c r="AJ7" i="23" s="1"/>
  <c r="B15" i="24"/>
  <c r="Z382" i="17"/>
  <c r="AL8" i="17"/>
  <c r="AK13" i="18" l="1"/>
  <c r="AL9" i="18"/>
  <c r="AM7" i="18"/>
  <c r="AJ9" i="22"/>
  <c r="AJ11" i="22" s="1"/>
  <c r="AK7" i="22"/>
  <c r="AK5" i="24"/>
  <c r="AJ5" i="24"/>
  <c r="F39" i="19"/>
  <c r="E11" i="20"/>
  <c r="C16" i="19" s="1"/>
  <c r="D11" i="22"/>
  <c r="E40" i="19"/>
  <c r="D14" i="19"/>
  <c r="G38" i="19"/>
  <c r="AK9" i="20"/>
  <c r="AK11" i="20" s="1"/>
  <c r="AM9" i="20"/>
  <c r="Z9" i="17"/>
  <c r="Y15" i="17"/>
  <c r="AL5" i="17" s="1"/>
  <c r="AL11" i="17" s="1"/>
  <c r="AJ3" i="17" s="1"/>
  <c r="O14" i="19" s="1"/>
  <c r="M14" i="19" s="1"/>
  <c r="Z383" i="17"/>
  <c r="Z381" i="17"/>
  <c r="W7" i="7"/>
  <c r="D382" i="23"/>
  <c r="D381" i="23"/>
  <c r="D383" i="23"/>
  <c r="D9" i="23"/>
  <c r="AJ8" i="23"/>
  <c r="E15" i="23"/>
  <c r="Y381" i="17"/>
  <c r="AL6" i="17"/>
  <c r="AL12" i="17" s="1"/>
  <c r="B383" i="24"/>
  <c r="B382" i="24"/>
  <c r="AJ6" i="24"/>
  <c r="W15" i="24"/>
  <c r="B381" i="24"/>
  <c r="AK6" i="24"/>
  <c r="H9" i="24"/>
  <c r="B19" i="19" s="1"/>
  <c r="D15" i="24"/>
  <c r="AJ7" i="24" s="1"/>
  <c r="B15" i="25"/>
  <c r="AJ5" i="25" s="1"/>
  <c r="G382" i="18"/>
  <c r="G381" i="18"/>
  <c r="G383" i="18"/>
  <c r="G12" i="18" s="1"/>
  <c r="F11" i="18"/>
  <c r="G15" i="19"/>
  <c r="J39" i="19" s="1"/>
  <c r="AB9" i="18"/>
  <c r="E383" i="22"/>
  <c r="AJ10" i="22"/>
  <c r="AJ12" i="22" s="1"/>
  <c r="AJ13" i="22" s="1"/>
  <c r="E382" i="22"/>
  <c r="E381" i="22"/>
  <c r="E9" i="22"/>
  <c r="F15" i="22"/>
  <c r="AK8" i="22"/>
  <c r="AK10" i="20"/>
  <c r="AK12" i="20" s="1"/>
  <c r="F383" i="20"/>
  <c r="F382" i="20"/>
  <c r="F381" i="20"/>
  <c r="AM10" i="20"/>
  <c r="G15" i="20"/>
  <c r="CB15" i="6" s="1"/>
  <c r="F9" i="20"/>
  <c r="AA15" i="20"/>
  <c r="AA383" i="18"/>
  <c r="AA382" i="18"/>
  <c r="AA381" i="18"/>
  <c r="AL10" i="18"/>
  <c r="AA9" i="18"/>
  <c r="AM8" i="18"/>
  <c r="Z15" i="18"/>
  <c r="AL7" i="18" s="1"/>
  <c r="J15" i="18"/>
  <c r="I15" i="18"/>
  <c r="H15" i="20" s="1"/>
  <c r="AJ9" i="23" l="1"/>
  <c r="AJ11" i="23" s="1"/>
  <c r="AK7" i="23"/>
  <c r="AM9" i="22"/>
  <c r="AK9" i="22"/>
  <c r="AK11" i="22"/>
  <c r="D31" i="19"/>
  <c r="E14" i="19"/>
  <c r="F40" i="19"/>
  <c r="E11" i="22"/>
  <c r="C17" i="19" s="1"/>
  <c r="D11" i="23"/>
  <c r="E41" i="19"/>
  <c r="D15" i="19"/>
  <c r="G39" i="19"/>
  <c r="AK13" i="20"/>
  <c r="AL9" i="20"/>
  <c r="AM7" i="20"/>
  <c r="Y383" i="17"/>
  <c r="X9" i="17"/>
  <c r="Y11" i="17" s="1"/>
  <c r="AM6" i="17"/>
  <c r="AM12" i="17" s="1"/>
  <c r="AM13" i="17" s="1"/>
  <c r="Y382" i="17"/>
  <c r="J15" i="20"/>
  <c r="I15" i="20"/>
  <c r="H15" i="22" s="1"/>
  <c r="AL13" i="17"/>
  <c r="AJ4" i="17"/>
  <c r="P14" i="19" s="1"/>
  <c r="G16" i="19"/>
  <c r="J40" i="19" s="1"/>
  <c r="F11" i="20"/>
  <c r="AB9" i="20"/>
  <c r="E15" i="19"/>
  <c r="D382" i="24"/>
  <c r="D383" i="24"/>
  <c r="AJ8" i="24"/>
  <c r="D381" i="24"/>
  <c r="D9" i="24"/>
  <c r="E15" i="24"/>
  <c r="E381" i="23"/>
  <c r="AJ10" i="23"/>
  <c r="E383" i="23"/>
  <c r="E382" i="23"/>
  <c r="E9" i="23"/>
  <c r="AK8" i="23"/>
  <c r="F15" i="23"/>
  <c r="Z382" i="18"/>
  <c r="Z381" i="18"/>
  <c r="Z9" i="18"/>
  <c r="Z383" i="18"/>
  <c r="AL8" i="18"/>
  <c r="Y15" i="18"/>
  <c r="AA381" i="20"/>
  <c r="AA383" i="20"/>
  <c r="AA382" i="20"/>
  <c r="AL10" i="20"/>
  <c r="AM8" i="20"/>
  <c r="AA9" i="20"/>
  <c r="Z15" i="20"/>
  <c r="AL7" i="20" s="1"/>
  <c r="G381" i="20"/>
  <c r="G382" i="20"/>
  <c r="G383" i="20"/>
  <c r="G12" i="20" s="1"/>
  <c r="F383" i="22"/>
  <c r="F382" i="22"/>
  <c r="F381" i="22"/>
  <c r="AK10" i="22"/>
  <c r="AK12" i="22" s="1"/>
  <c r="AK13" i="22" s="1"/>
  <c r="AM10" i="22"/>
  <c r="G15" i="22"/>
  <c r="CC15" i="6" s="1"/>
  <c r="F9" i="22"/>
  <c r="AA15" i="22"/>
  <c r="E7" i="6"/>
  <c r="AC7" i="7"/>
  <c r="AJ6" i="25"/>
  <c r="B383" i="25"/>
  <c r="W15" i="25"/>
  <c r="AK6" i="25"/>
  <c r="B381" i="25"/>
  <c r="B382" i="25"/>
  <c r="H9" i="25"/>
  <c r="B20" i="19" s="1"/>
  <c r="D15" i="25"/>
  <c r="AJ7" i="25" s="1"/>
  <c r="AJ12" i="23"/>
  <c r="AJ13" i="23" s="1"/>
  <c r="AK9" i="23" l="1"/>
  <c r="AK11" i="23" s="1"/>
  <c r="AM9" i="23"/>
  <c r="AL9" i="22"/>
  <c r="AM7" i="22"/>
  <c r="AL5" i="18"/>
  <c r="AL11" i="18" s="1"/>
  <c r="AJ3" i="18" s="1"/>
  <c r="O15" i="19" s="1"/>
  <c r="AM5" i="18"/>
  <c r="AM11" i="18" s="1"/>
  <c r="AK3" i="18" s="1"/>
  <c r="Q15" i="19" s="1"/>
  <c r="AK7" i="24"/>
  <c r="AJ9" i="24"/>
  <c r="AJ11" i="24" s="1"/>
  <c r="M15" i="19"/>
  <c r="F14" i="19"/>
  <c r="F31" i="19" s="1"/>
  <c r="E31" i="19"/>
  <c r="F41" i="19"/>
  <c r="E11" i="23"/>
  <c r="C18" i="19" s="1"/>
  <c r="D11" i="24"/>
  <c r="E42" i="19"/>
  <c r="D16" i="19"/>
  <c r="G40" i="19"/>
  <c r="AA11" i="17"/>
  <c r="AA5" i="17" s="1"/>
  <c r="I14" i="19" s="1"/>
  <c r="AK4" i="17"/>
  <c r="R14" i="19" s="1"/>
  <c r="N15" i="19" s="1"/>
  <c r="Z11" i="17"/>
  <c r="Z5" i="17" s="1"/>
  <c r="H14" i="19" s="1"/>
  <c r="J14" i="19"/>
  <c r="J31" i="19" s="1"/>
  <c r="D381" i="25"/>
  <c r="D383" i="25"/>
  <c r="D382" i="25"/>
  <c r="D9" i="25"/>
  <c r="AJ8" i="25"/>
  <c r="E15" i="25"/>
  <c r="AJ9" i="25" s="1"/>
  <c r="AJ11" i="25" s="1"/>
  <c r="AA383" i="22"/>
  <c r="AL10" i="22"/>
  <c r="AA381" i="22"/>
  <c r="AA382" i="22"/>
  <c r="AA9" i="22"/>
  <c r="AM8" i="22"/>
  <c r="Z15" i="22"/>
  <c r="AL7" i="22" s="1"/>
  <c r="G382" i="22"/>
  <c r="G381" i="22"/>
  <c r="G383" i="22"/>
  <c r="G12" i="22" s="1"/>
  <c r="Z382" i="20"/>
  <c r="Z383" i="20"/>
  <c r="Z381" i="20"/>
  <c r="Z9" i="20"/>
  <c r="Y15" i="20"/>
  <c r="AL8" i="20"/>
  <c r="AM6" i="18"/>
  <c r="AM12" i="18" s="1"/>
  <c r="Y381" i="18"/>
  <c r="Y382" i="18"/>
  <c r="Y383" i="18"/>
  <c r="AL6" i="18"/>
  <c r="AL12" i="18" s="1"/>
  <c r="X9" i="18"/>
  <c r="Y11" i="18" s="1"/>
  <c r="B13" i="6"/>
  <c r="B12" i="6"/>
  <c r="BA15" i="6"/>
  <c r="C12" i="6"/>
  <c r="C13" i="6"/>
  <c r="F382" i="23"/>
  <c r="AK10" i="23"/>
  <c r="AK12" i="23" s="1"/>
  <c r="AM10" i="23"/>
  <c r="F383" i="23"/>
  <c r="F381" i="23"/>
  <c r="G15" i="23"/>
  <c r="CD15" i="6" s="1"/>
  <c r="AA15" i="23"/>
  <c r="F9" i="23"/>
  <c r="B9" i="19"/>
  <c r="G17" i="19"/>
  <c r="J41" i="19" s="1"/>
  <c r="F11" i="22"/>
  <c r="AB9" i="22"/>
  <c r="I15" i="22"/>
  <c r="J15" i="22"/>
  <c r="F7" i="6"/>
  <c r="AI7" i="7"/>
  <c r="E381" i="24"/>
  <c r="E383" i="24"/>
  <c r="AJ10" i="24"/>
  <c r="AJ12" i="24" s="1"/>
  <c r="E382" i="24"/>
  <c r="E9" i="24"/>
  <c r="F15" i="24"/>
  <c r="AK8" i="24"/>
  <c r="F15" i="19"/>
  <c r="AL9" i="23" l="1"/>
  <c r="AM7" i="23"/>
  <c r="AK13" i="23"/>
  <c r="AJ13" i="24"/>
  <c r="H31" i="19"/>
  <c r="I31" i="19"/>
  <c r="H38" i="19"/>
  <c r="I38" i="19"/>
  <c r="E16" i="19"/>
  <c r="F16" i="19" s="1"/>
  <c r="F42" i="19"/>
  <c r="D11" i="25"/>
  <c r="E43" i="19"/>
  <c r="E11" i="24"/>
  <c r="C19" i="19" s="1"/>
  <c r="D17" i="19"/>
  <c r="G41" i="19"/>
  <c r="AL5" i="20"/>
  <c r="AL11" i="20" s="1"/>
  <c r="AJ3" i="20" s="1"/>
  <c r="O16" i="19" s="1"/>
  <c r="AM5" i="20"/>
  <c r="AM11" i="20" s="1"/>
  <c r="AK3" i="20" s="1"/>
  <c r="Q16" i="19" s="1"/>
  <c r="AK9" i="24"/>
  <c r="AK11" i="24" s="1"/>
  <c r="AM9" i="24"/>
  <c r="E17" i="19"/>
  <c r="AA383" i="23"/>
  <c r="AA382" i="23"/>
  <c r="AL10" i="23"/>
  <c r="AA381" i="23"/>
  <c r="AA9" i="23"/>
  <c r="AM8" i="23"/>
  <c r="Z15" i="23"/>
  <c r="AL7" i="23" s="1"/>
  <c r="G381" i="23"/>
  <c r="G383" i="23"/>
  <c r="G12" i="23" s="1"/>
  <c r="G382" i="23"/>
  <c r="N4" i="6"/>
  <c r="D15" i="6"/>
  <c r="AM13" i="18"/>
  <c r="AK4" i="18"/>
  <c r="R15" i="19" s="1"/>
  <c r="AO7" i="7"/>
  <c r="G7" i="6"/>
  <c r="AJ10" i="25"/>
  <c r="AJ12" i="25" s="1"/>
  <c r="AJ13" i="25" s="1"/>
  <c r="E382" i="25"/>
  <c r="E383" i="25"/>
  <c r="E381" i="25"/>
  <c r="AK8" i="25"/>
  <c r="E9" i="25"/>
  <c r="F15" i="25"/>
  <c r="F381" i="24"/>
  <c r="F382" i="24"/>
  <c r="F383" i="24"/>
  <c r="AK10" i="24"/>
  <c r="AK12" i="24" s="1"/>
  <c r="AM10" i="24"/>
  <c r="G15" i="24"/>
  <c r="CE15" i="6" s="1"/>
  <c r="AA15" i="24"/>
  <c r="F9" i="24"/>
  <c r="AL13" i="18"/>
  <c r="AJ4" i="18"/>
  <c r="P15" i="19" s="1"/>
  <c r="G18" i="19"/>
  <c r="J42" i="19" s="1"/>
  <c r="F11" i="23"/>
  <c r="AB9" i="23"/>
  <c r="H15" i="23"/>
  <c r="J15" i="19"/>
  <c r="AA11" i="18"/>
  <c r="AA5" i="18" s="1"/>
  <c r="I15" i="19" s="1"/>
  <c r="Z11" i="18"/>
  <c r="Z5" i="18" s="1"/>
  <c r="H15" i="19" s="1"/>
  <c r="AL6" i="20"/>
  <c r="AL12" i="20" s="1"/>
  <c r="AM6" i="20"/>
  <c r="AM12" i="20" s="1"/>
  <c r="Y383" i="20"/>
  <c r="Y382" i="20"/>
  <c r="Y381" i="20"/>
  <c r="X9" i="20"/>
  <c r="Z382" i="22"/>
  <c r="Z381" i="22"/>
  <c r="Z383" i="22"/>
  <c r="Z9" i="22"/>
  <c r="AL8" i="22"/>
  <c r="Y15" i="22"/>
  <c r="AL5" i="22" l="1"/>
  <c r="AL11" i="22" s="1"/>
  <c r="AJ3" i="22" s="1"/>
  <c r="O17" i="19" s="1"/>
  <c r="AM5" i="22"/>
  <c r="AM11" i="22" s="1"/>
  <c r="AK3" i="22" s="1"/>
  <c r="Q17" i="19" s="1"/>
  <c r="AM7" i="24"/>
  <c r="AL9" i="24"/>
  <c r="H39" i="19"/>
  <c r="I39" i="19"/>
  <c r="F43" i="19"/>
  <c r="E11" i="25"/>
  <c r="C20" i="19" s="1"/>
  <c r="C9" i="19" s="1"/>
  <c r="E44" i="19"/>
  <c r="E33" i="19" s="1"/>
  <c r="N16" i="19"/>
  <c r="M16" i="19"/>
  <c r="AK13" i="24"/>
  <c r="D18" i="19"/>
  <c r="G42" i="19"/>
  <c r="AL13" i="20"/>
  <c r="AJ4" i="20"/>
  <c r="P16" i="19" s="1"/>
  <c r="Y382" i="22"/>
  <c r="AM6" i="22"/>
  <c r="AM12" i="22" s="1"/>
  <c r="Y383" i="22"/>
  <c r="AL6" i="22"/>
  <c r="AL12" i="22" s="1"/>
  <c r="Y381" i="22"/>
  <c r="X9" i="22"/>
  <c r="J16" i="19"/>
  <c r="AA11" i="20"/>
  <c r="AA5" i="20" s="1"/>
  <c r="I16" i="19" s="1"/>
  <c r="Z11" i="20"/>
  <c r="Z5" i="20" s="1"/>
  <c r="H16" i="19" s="1"/>
  <c r="B32" i="19" s="1"/>
  <c r="AM13" i="20"/>
  <c r="AK4" i="20"/>
  <c r="R16" i="19" s="1"/>
  <c r="G19" i="19"/>
  <c r="J43" i="19" s="1"/>
  <c r="F11" i="24"/>
  <c r="AB9" i="24"/>
  <c r="G381" i="24"/>
  <c r="G382" i="24"/>
  <c r="G383" i="24"/>
  <c r="G12" i="24" s="1"/>
  <c r="I15" i="23"/>
  <c r="J15" i="23"/>
  <c r="AL10" i="24"/>
  <c r="AA383" i="24"/>
  <c r="AA381" i="24"/>
  <c r="AA382" i="24"/>
  <c r="AA9" i="24"/>
  <c r="Z15" i="24"/>
  <c r="AL7" i="24" s="1"/>
  <c r="AM8" i="24"/>
  <c r="F383" i="25"/>
  <c r="F381" i="25"/>
  <c r="AM10" i="25"/>
  <c r="F382" i="25"/>
  <c r="AK10" i="25"/>
  <c r="AK12" i="25" s="1"/>
  <c r="AK13" i="25" s="1"/>
  <c r="G15" i="25"/>
  <c r="CF15" i="6" s="1"/>
  <c r="J2" i="6" s="1"/>
  <c r="AA15" i="25"/>
  <c r="AL9" i="25" s="1"/>
  <c r="F9" i="25"/>
  <c r="Y11" i="20"/>
  <c r="D13" i="6"/>
  <c r="D12" i="6"/>
  <c r="F17" i="19"/>
  <c r="H7" i="6"/>
  <c r="AU7" i="7"/>
  <c r="Z382" i="23"/>
  <c r="Z383" i="23"/>
  <c r="Z381" i="23"/>
  <c r="Z9" i="23"/>
  <c r="Y15" i="23"/>
  <c r="AL8" i="23"/>
  <c r="AL5" i="23" l="1"/>
  <c r="AL11" i="23" s="1"/>
  <c r="AJ3" i="23" s="1"/>
  <c r="O18" i="19" s="1"/>
  <c r="AM5" i="23"/>
  <c r="AM11" i="23" s="1"/>
  <c r="AK3" i="23" s="1"/>
  <c r="Q18" i="19" s="1"/>
  <c r="H40" i="19"/>
  <c r="E18" i="19"/>
  <c r="F18" i="19" s="1"/>
  <c r="I40" i="19"/>
  <c r="F44" i="19"/>
  <c r="F33" i="19" s="1"/>
  <c r="N17" i="19"/>
  <c r="M17" i="19"/>
  <c r="D19" i="19"/>
  <c r="G43" i="19"/>
  <c r="Y383" i="23"/>
  <c r="Y382" i="23"/>
  <c r="Y381" i="23"/>
  <c r="AL6" i="23"/>
  <c r="AL12" i="23" s="1"/>
  <c r="AM6" i="23"/>
  <c r="AM12" i="23" s="1"/>
  <c r="X9" i="23"/>
  <c r="Y11" i="23" s="1"/>
  <c r="AA382" i="25"/>
  <c r="AA383" i="25"/>
  <c r="AL10" i="25"/>
  <c r="AA381" i="25"/>
  <c r="Z15" i="25"/>
  <c r="AL7" i="25" s="1"/>
  <c r="AM8" i="25"/>
  <c r="AA9" i="25"/>
  <c r="G381" i="25"/>
  <c r="G382" i="25"/>
  <c r="G383" i="25"/>
  <c r="G12" i="25" s="1"/>
  <c r="AL13" i="22"/>
  <c r="AJ4" i="22"/>
  <c r="P17" i="19" s="1"/>
  <c r="M18" i="19" s="1"/>
  <c r="BA7" i="7"/>
  <c r="I7" i="6"/>
  <c r="J17" i="19"/>
  <c r="AA11" i="22"/>
  <c r="AA5" i="22" s="1"/>
  <c r="I17" i="19" s="1"/>
  <c r="AM13" i="22"/>
  <c r="AK4" i="22"/>
  <c r="R17" i="19" s="1"/>
  <c r="G20" i="19"/>
  <c r="J44" i="19" s="1"/>
  <c r="J33" i="19" s="1"/>
  <c r="F11" i="25"/>
  <c r="AB9" i="25"/>
  <c r="Z383" i="24"/>
  <c r="Z382" i="24"/>
  <c r="Z381" i="24"/>
  <c r="Z9" i="24"/>
  <c r="Y15" i="24"/>
  <c r="AL8" i="24"/>
  <c r="H15" i="24"/>
  <c r="Z11" i="22"/>
  <c r="Z5" i="22" s="1"/>
  <c r="H17" i="19" s="1"/>
  <c r="Y11" i="22"/>
  <c r="N18" i="19" l="1"/>
  <c r="AM5" i="24"/>
  <c r="AM11" i="24" s="1"/>
  <c r="AK3" i="24" s="1"/>
  <c r="Q19" i="19" s="1"/>
  <c r="AL5" i="24"/>
  <c r="AL11" i="24" s="1"/>
  <c r="AJ3" i="24" s="1"/>
  <c r="O19" i="19" s="1"/>
  <c r="I41" i="19"/>
  <c r="H41" i="19"/>
  <c r="E19" i="19"/>
  <c r="F19" i="19" s="1"/>
  <c r="D20" i="19"/>
  <c r="D9" i="19" s="1"/>
  <c r="G44" i="19"/>
  <c r="G33" i="19" s="1"/>
  <c r="J18" i="19"/>
  <c r="AA11" i="23"/>
  <c r="AA5" i="23" s="1"/>
  <c r="I18" i="19" s="1"/>
  <c r="Z11" i="23"/>
  <c r="Z5" i="23" s="1"/>
  <c r="H18" i="19" s="1"/>
  <c r="J15" i="24"/>
  <c r="I15" i="24"/>
  <c r="G9" i="19"/>
  <c r="J7" i="6"/>
  <c r="BG7" i="7"/>
  <c r="Y382" i="24"/>
  <c r="AM6" i="24"/>
  <c r="AM12" i="24" s="1"/>
  <c r="Y383" i="24"/>
  <c r="AL6" i="24"/>
  <c r="AL12" i="24" s="1"/>
  <c r="Y381" i="24"/>
  <c r="X9" i="24"/>
  <c r="Z11" i="24" s="1"/>
  <c r="Z5" i="24" s="1"/>
  <c r="H19" i="19" s="1"/>
  <c r="AJ4" i="23"/>
  <c r="P18" i="19" s="1"/>
  <c r="AL13" i="23"/>
  <c r="Z381" i="25"/>
  <c r="Z383" i="25"/>
  <c r="Z382" i="25"/>
  <c r="AL8" i="25"/>
  <c r="Z9" i="25"/>
  <c r="Y15" i="25"/>
  <c r="AL5" i="25" s="1"/>
  <c r="AL11" i="25" s="1"/>
  <c r="AJ3" i="25" s="1"/>
  <c r="O20" i="19" s="1"/>
  <c r="AM13" i="23"/>
  <c r="AK4" i="23"/>
  <c r="R18" i="19" s="1"/>
  <c r="M19" i="19" l="1"/>
  <c r="N19" i="19"/>
  <c r="I42" i="19"/>
  <c r="H43" i="19"/>
  <c r="H42" i="19"/>
  <c r="E20" i="19"/>
  <c r="F20" i="19" s="1"/>
  <c r="AM6" i="25"/>
  <c r="AM12" i="25" s="1"/>
  <c r="Y382" i="25"/>
  <c r="Y383" i="25"/>
  <c r="Y381" i="25"/>
  <c r="AL6" i="25"/>
  <c r="AL12" i="25" s="1"/>
  <c r="X9" i="25"/>
  <c r="Y11" i="25" s="1"/>
  <c r="AL13" i="24"/>
  <c r="AJ4" i="24"/>
  <c r="P19" i="19" s="1"/>
  <c r="J19" i="19"/>
  <c r="AA11" i="24"/>
  <c r="AA5" i="24" s="1"/>
  <c r="I19" i="19" s="1"/>
  <c r="AK4" i="24"/>
  <c r="R19" i="19" s="1"/>
  <c r="AM13" i="24"/>
  <c r="Y11" i="24"/>
  <c r="H15" i="25"/>
  <c r="M20" i="19" l="1"/>
  <c r="N20" i="19"/>
  <c r="I43" i="19"/>
  <c r="E9" i="19"/>
  <c r="AL13" i="25"/>
  <c r="AJ4" i="25"/>
  <c r="P20" i="19" s="1"/>
  <c r="F9" i="19"/>
  <c r="J20" i="19"/>
  <c r="J9" i="19" s="1"/>
  <c r="AA11" i="25"/>
  <c r="AA5" i="25" s="1"/>
  <c r="I20" i="19" s="1"/>
  <c r="I44" i="19" s="1"/>
  <c r="Z11" i="25"/>
  <c r="Z5" i="25" s="1"/>
  <c r="H20" i="19" s="1"/>
  <c r="I15" i="25"/>
  <c r="J15" i="25"/>
  <c r="AM13" i="25"/>
  <c r="AK4" i="25"/>
  <c r="R20" i="19" s="1"/>
  <c r="O35" i="19" l="1"/>
  <c r="N35" i="19" s="1"/>
  <c r="O33" i="19"/>
  <c r="N33" i="19" s="1"/>
  <c r="O34" i="19"/>
  <c r="O36" i="19"/>
  <c r="N36" i="19" s="1"/>
  <c r="H44" i="19"/>
  <c r="H33" i="19" s="1"/>
  <c r="I33" i="19"/>
  <c r="H9" i="19"/>
  <c r="I9" i="19"/>
  <c r="J380" i="15"/>
  <c r="J381" i="15" s="1"/>
  <c r="I380" i="15"/>
  <c r="I382" i="15" s="1"/>
  <c r="N34" i="19" l="1"/>
  <c r="N32" i="19" s="1"/>
  <c r="O32" i="19"/>
  <c r="J382" i="15"/>
  <c r="J383" i="15"/>
  <c r="I383" i="15"/>
  <c r="H380" i="16"/>
  <c r="I381" i="15"/>
  <c r="J380" i="16" l="1"/>
  <c r="I380" i="16"/>
  <c r="I383" i="16" l="1"/>
  <c r="H380" i="17"/>
  <c r="I381" i="16"/>
  <c r="I382" i="16"/>
  <c r="J381" i="16"/>
  <c r="J383" i="16"/>
  <c r="J382" i="16"/>
  <c r="J380" i="17" l="1"/>
  <c r="C380" i="6" s="1"/>
  <c r="I380" i="17"/>
  <c r="B380" i="6" s="1"/>
  <c r="J382" i="17" l="1"/>
  <c r="J381" i="17"/>
  <c r="J383" i="17"/>
  <c r="I382" i="17"/>
  <c r="I383" i="17"/>
  <c r="H380" i="18"/>
  <c r="I381" i="17"/>
  <c r="J380" i="18" l="1"/>
  <c r="I380" i="18"/>
  <c r="I382" i="18" l="1"/>
  <c r="I381" i="18"/>
  <c r="BA380" i="6"/>
  <c r="I383" i="18"/>
  <c r="H380" i="20"/>
  <c r="J382" i="18"/>
  <c r="J383" i="18"/>
  <c r="J381" i="18"/>
  <c r="I380" i="20" l="1"/>
  <c r="J380" i="20"/>
  <c r="D380" i="6"/>
  <c r="AM4" i="6"/>
  <c r="J383" i="20" l="1"/>
  <c r="J382" i="20"/>
  <c r="J381" i="20"/>
  <c r="I382" i="20"/>
  <c r="I383" i="20"/>
  <c r="I381" i="20"/>
  <c r="H380" i="22"/>
  <c r="I380" i="22" l="1"/>
  <c r="J380" i="22"/>
  <c r="J382" i="22" l="1"/>
  <c r="J381" i="22"/>
  <c r="J383" i="22"/>
  <c r="I383" i="22"/>
  <c r="I381" i="22"/>
  <c r="I382" i="22"/>
  <c r="H380" i="23"/>
  <c r="I380" i="23" l="1"/>
  <c r="J380" i="23"/>
  <c r="J382" i="23" l="1"/>
  <c r="J383" i="23"/>
  <c r="J381" i="23"/>
  <c r="I381" i="23"/>
  <c r="I382" i="23"/>
  <c r="I383" i="23"/>
  <c r="H380" i="24"/>
  <c r="I380" i="24" l="1"/>
  <c r="J380" i="24"/>
  <c r="J383" i="24" l="1"/>
  <c r="J382" i="24"/>
  <c r="J381" i="24"/>
  <c r="I382" i="24"/>
  <c r="I383" i="24"/>
  <c r="I381" i="24"/>
  <c r="H380" i="25"/>
  <c r="J380" i="25" l="1"/>
  <c r="I380" i="25"/>
  <c r="I382" i="25" l="1"/>
  <c r="I381" i="25"/>
  <c r="I383" i="25"/>
  <c r="J383" i="25"/>
  <c r="J382" i="25"/>
  <c r="J381" i="25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5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dont valeur &lt;à "H_i"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juste inférieure à"H_i"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Pose PV terminée</t>
        </r>
      </text>
    </comment>
    <comment ref="A71" authorId="0" shapeId="0">
      <text>
        <r>
          <rPr>
            <sz val="9"/>
            <color indexed="81"/>
            <rFont val="Tahoma"/>
            <family val="2"/>
          </rPr>
          <t>Date réelle de mise en service ENEDIS</t>
        </r>
      </text>
    </comment>
    <comment ref="B7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7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7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74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75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7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77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78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79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80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8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8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8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A84" authorId="0" shapeId="0">
      <text>
        <r>
          <rPr>
            <sz val="9"/>
            <color indexed="81"/>
            <rFont val="Tahoma"/>
            <family val="2"/>
          </rPr>
          <t>Date programmation onduleur et début affichage sur le site SE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B276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B277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Excédents du 26 Fév et 19-20 Sept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sharedStrings.xml><?xml version="1.0" encoding="utf-8"?>
<sst xmlns="http://schemas.openxmlformats.org/spreadsheetml/2006/main" count="2145" uniqueCount="379">
  <si>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</si>
  <si>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</si>
  <si>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</si>
  <si>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</si>
  <si>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</si>
  <si>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</si>
  <si>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</si>
  <si>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</si>
  <si>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</si>
  <si>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</si>
  <si>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</si>
  <si>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</si>
  <si>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</si>
  <si>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</si>
  <si>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</si>
  <si>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</si>
  <si>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</si>
  <si>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</si>
  <si>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</si>
  <si>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</si>
  <si>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</si>
  <si>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</si>
  <si>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</si>
  <si>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</si>
  <si>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</si>
  <si>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</si>
  <si>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</si>
  <si>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</si>
  <si>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</si>
  <si>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</si>
  <si>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</si>
  <si>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</si>
  <si>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</si>
  <si>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</si>
  <si>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</si>
  <si>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</si>
  <si>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</si>
  <si>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</si>
  <si>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</si>
  <si>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</si>
  <si>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</si>
  <si>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</si>
  <si>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</si>
  <si>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</si>
  <si>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</si>
  <si>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</si>
  <si>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</si>
  <si>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</si>
  <si>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</si>
  <si>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</si>
  <si>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</si>
  <si>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</si>
  <si>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</si>
  <si>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</si>
  <si>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</si>
  <si>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</si>
  <si>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</si>
  <si>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</si>
  <si>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</si>
  <si>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</si>
  <si>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</si>
  <si>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</si>
  <si>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</si>
  <si>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</si>
  <si>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</si>
  <si>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</si>
  <si>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</si>
  <si>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</si>
  <si>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</si>
  <si>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</si>
  <si>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</si>
  <si>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</si>
  <si>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</si>
  <si>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</si>
  <si>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</si>
  <si>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</si>
  <si>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</si>
  <si>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</si>
  <si>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</si>
  <si>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</si>
  <si>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</si>
  <si>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</si>
  <si>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</si>
  <si>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</si>
  <si>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</si>
  <si>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</si>
  <si>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</si>
  <si>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</si>
  <si>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</si>
  <si>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</si>
  <si>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</si>
  <si>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</si>
  <si>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</si>
  <si>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</si>
  <si>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</si>
  <si>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</si>
  <si>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</si>
  <si>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</si>
  <si>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</si>
  <si>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</si>
  <si>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</si>
  <si>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</si>
  <si>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</si>
  <si>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</si>
  <si>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</si>
  <si>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</si>
  <si>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</si>
  <si>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</si>
  <si>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</si>
  <si>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</si>
  <si>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</si>
  <si>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</si>
  <si>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</si>
  <si>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</si>
  <si>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</si>
  <si>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</si>
  <si>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</si>
  <si>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</si>
  <si>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</si>
  <si>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</si>
  <si>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</si>
  <si>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</si>
  <si>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</si>
  <si>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</si>
  <si>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</si>
  <si>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</si>
  <si>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</si>
  <si>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</si>
  <si>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</si>
  <si>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</si>
  <si>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</si>
  <si>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</si>
  <si>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</si>
  <si>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</si>
  <si>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</si>
  <si>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</si>
  <si>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</si>
  <si>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</si>
  <si>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</si>
  <si>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</si>
  <si>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</si>
  <si>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</si>
  <si>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</si>
  <si>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</si>
  <si>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</si>
  <si>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</si>
  <si>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</si>
  <si>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</si>
  <si>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</si>
  <si>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</si>
  <si>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</si>
  <si>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</si>
  <si>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</si>
  <si>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</si>
  <si>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</si>
  <si>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</si>
  <si>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2</t>
  </si>
  <si>
    <t>Arbre 3</t>
  </si>
  <si>
    <t>Arbre 4</t>
  </si>
  <si>
    <t>Arbre 5</t>
  </si>
  <si>
    <t>Arbre 6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</si>
  <si>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</si>
  <si>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</si>
  <si>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</si>
  <si>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</si>
  <si>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</si>
  <si>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</si>
  <si>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A la nouvelle année changer la référence de feuille annuelle (+1) dans colonnes 'C' et 'D'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</si>
  <si>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</si>
  <si>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</si>
  <si>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</si>
  <si>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</si>
  <si>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</si>
  <si>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</si>
  <si>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</si>
  <si>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</si>
  <si>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</si>
  <si>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</si>
  <si>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</si>
  <si>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</si>
  <si>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</si>
  <si>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</si>
  <si>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</si>
  <si>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</si>
  <si>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</si>
  <si>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</si>
  <si>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</si>
  <si>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</si>
  <si>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</si>
  <si>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</si>
  <si>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</si>
  <si>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</si>
  <si>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</si>
  <si>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</si>
  <si>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</si>
  <si>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</si>
  <si>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</si>
  <si>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</si>
  <si>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</si>
  <si>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</si>
  <si>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</si>
  <si>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</si>
  <si>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</si>
  <si>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</si>
  <si>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</si>
  <si>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</si>
  <si>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</si>
  <si>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</si>
  <si>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</si>
  <si>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</si>
  <si>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</si>
  <si>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</si>
  <si>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</si>
  <si>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</si>
  <si>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</si>
  <si>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</si>
  <si>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</si>
  <si>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</si>
  <si>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</si>
  <si>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</si>
  <si>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</si>
  <si>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</si>
  <si>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</si>
  <si>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</si>
  <si>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</si>
  <si>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</si>
  <si>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</si>
  <si>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</si>
  <si>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</si>
  <si>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</si>
  <si>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</si>
  <si>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</si>
  <si>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</si>
  <si>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</si>
  <si>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</si>
  <si>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</si>
  <si>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</si>
  <si>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</si>
  <si>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</si>
  <si>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</si>
  <si>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</si>
  <si>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</si>
  <si>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</si>
  <si>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</si>
  <si>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</si>
  <si>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</si>
  <si>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</si>
  <si>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</si>
  <si>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</si>
  <si>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</si>
  <si>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</si>
  <si>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</si>
  <si>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</si>
  <si>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</si>
  <si>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</si>
  <si>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</si>
  <si>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</si>
  <si>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</si>
  <si>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</si>
  <si>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</si>
  <si>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</si>
  <si>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</si>
  <si>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</si>
  <si>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</si>
  <si>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</si>
  <si>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</si>
  <si>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</si>
  <si>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</si>
  <si>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</si>
  <si>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</si>
  <si>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</si>
  <si>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</si>
  <si>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</si>
  <si>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</si>
  <si>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</si>
  <si>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</si>
  <si>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</si>
  <si>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</si>
  <si>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</si>
  <si>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</si>
  <si>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</si>
  <si>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</si>
  <si>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</si>
  <si>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G</t>
  </si>
  <si>
    <t>n° zone:</t>
  </si>
  <si>
    <t>Shift G/D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</si>
  <si>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</si>
  <si>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</si>
  <si>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</si>
  <si>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</si>
  <si>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</si>
  <si>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</si>
  <si>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</si>
  <si>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</si>
  <si>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</si>
  <si>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</si>
  <si>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Centre du champ PV G.:</t>
  </si>
  <si>
    <t>Centre du champ PV C.:</t>
  </si>
  <si>
    <t>Centre du champ PV D.:</t>
  </si>
  <si>
    <t>/ Pousse en hauteur initiale</t>
  </si>
  <si>
    <t>Référence pousse en hauteur:</t>
  </si>
  <si>
    <t>Gauche/Centre/ Droit:</t>
  </si>
  <si>
    <t>Azimut(s) G &amp; D:</t>
  </si>
  <si>
    <t>Calibration rapports d'angle/H photos</t>
  </si>
  <si>
    <t>Coord. UTM 31 Géoportail</t>
  </si>
  <si>
    <t>Hauteur champ PV sélectionnée:</t>
  </si>
  <si>
    <t>Configu. Masque zone 3</t>
  </si>
  <si>
    <t>Configu. Masque zone 4</t>
  </si>
  <si>
    <t>Configu. Masque zone 2</t>
  </si>
  <si>
    <t>Configu. Masque zone 1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</si>
  <si>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</si>
  <si>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</si>
  <si>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</si>
  <si>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</si>
  <si>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</si>
  <si>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</si>
  <si>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</si>
  <si>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</si>
  <si>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</si>
  <si>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</si>
  <si>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Seuil forte prod.:</t>
  </si>
  <si>
    <t>Ratios de forte product.</t>
  </si>
  <si>
    <t>Actif</t>
  </si>
  <si>
    <t>Zone1</t>
  </si>
  <si>
    <t>Zone 2</t>
  </si>
  <si>
    <t>Zone 3</t>
  </si>
  <si>
    <t>Zone 4</t>
  </si>
  <si>
    <t>Configu. Masque fixe zone 1</t>
  </si>
  <si>
    <t>Configu. Masque fixe zone 2</t>
  </si>
  <si>
    <t>Configu. Masque fixe zone 3</t>
  </si>
  <si>
    <t>Configu. Masque fixe zone 4</t>
  </si>
  <si>
    <t>Formule de division linéaire de la mesure (angles &lt;10°)</t>
  </si>
  <si>
    <t>Date de relevés hauteurs (ref. 0m):</t>
  </si>
  <si>
    <t>Arbre 0</t>
  </si>
  <si>
    <t>Noueilles salle des fêtes</t>
  </si>
  <si>
    <t>Bosquet Sud -Est</t>
  </si>
  <si>
    <t>Muret arrière église</t>
  </si>
  <si>
    <t>2022-01 Noueilles SdF entrée.jpg</t>
  </si>
  <si>
    <t>2022-01 Noueilles pano loin.jpg</t>
  </si>
  <si>
    <t>Hauteur 0 = Sol Salle des fêtes</t>
  </si>
  <si>
    <t>Arbre 7</t>
  </si>
  <si>
    <t>Arbre 8</t>
  </si>
  <si>
    <t>Creux 4-5</t>
  </si>
  <si>
    <t>Creux 5-6</t>
  </si>
  <si>
    <t>Mur entrée maison individuel</t>
  </si>
  <si>
    <t>Hauteur porte d'entrée SdF</t>
  </si>
  <si>
    <t>Faitage 1</t>
  </si>
  <si>
    <t>Faitage 2</t>
  </si>
  <si>
    <t>compenser Hobs</t>
  </si>
  <si>
    <t>Creux 3</t>
  </si>
  <si>
    <t>Creux 4</t>
  </si>
  <si>
    <t>Arbres 9</t>
  </si>
  <si>
    <t>Arbres 1</t>
  </si>
  <si>
    <t>Rive 2</t>
  </si>
  <si>
    <t>Faitage - Rive 2</t>
  </si>
  <si>
    <t>largeur toit</t>
  </si>
  <si>
    <t>pente</t>
  </si>
  <si>
    <t>I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</si>
  <si>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</si>
  <si>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</si>
  <si>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</si>
  <si>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</si>
  <si>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</si>
  <si>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</si>
  <si>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</si>
  <si>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</si>
  <si>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</si>
  <si>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</si>
  <si>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</si>
  <si>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r>
      <t xml:space="preserve">Les 3 types de pertes </t>
    </r>
    <r>
      <rPr>
        <sz val="8"/>
        <rFont val="Calibri"/>
        <family val="2"/>
      </rPr>
      <t>sont réglables chaque année pour ajuster les enveloppes sur les pics de production (1% &lt; dépassement &lt; 5%)</t>
    </r>
  </si>
  <si>
    <t>Compilation Ratios /MaxiM</t>
  </si>
  <si>
    <t>Moyenne ratios forte prod. &gt;0,97 :</t>
  </si>
  <si>
    <t>Cumul 22</t>
  </si>
  <si>
    <t>periode net</t>
  </si>
  <si>
    <t>gain par an</t>
  </si>
  <si>
    <t>moyennes annuelles</t>
  </si>
  <si>
    <t>Gains depuis le "début" ou depuis dernière "action":</t>
  </si>
  <si>
    <t>action</t>
  </si>
  <si>
    <t>23 hors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</si>
</sst>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8"/>
      <color theme="9" tint="-0.499984740745262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4" applyNumberFormat="0" applyAlignment="0" applyProtection="0"/>
    <xf numFmtId="0" fontId="15" fillId="0" borderId="55" applyNumberFormat="0" applyFill="0" applyAlignment="0" applyProtection="0"/>
    <xf numFmtId="0" fontId="11" fillId="27" borderId="56" applyNumberFormat="0" applyFont="0" applyAlignment="0" applyProtection="0"/>
    <xf numFmtId="0" fontId="16" fillId="28" borderId="54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8" applyNumberFormat="0" applyFill="0" applyAlignment="0" applyProtection="0"/>
    <xf numFmtId="0" fontId="24" fillId="0" borderId="59" applyNumberFormat="0" applyFill="0" applyAlignment="0" applyProtection="0"/>
    <xf numFmtId="0" fontId="25" fillId="0" borderId="6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1" applyNumberFormat="0" applyFill="0" applyAlignment="0" applyProtection="0"/>
    <xf numFmtId="0" fontId="27" fillId="32" borderId="62" applyNumberFormat="0" applyAlignment="0" applyProtection="0"/>
  </cellStyleXfs>
  <cellXfs count="1286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5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0" fontId="37" fillId="0" borderId="13" xfId="0" applyFont="1" applyBorder="1" applyAlignment="1" applyProtection="1">
      <alignment horizontal="center"/>
    </xf>
    <xf numFmtId="1" fontId="40" fillId="0" borderId="5" xfId="0" applyNumberFormat="1" applyFont="1" applyBorder="1" applyAlignment="1" applyProtection="1">
      <alignment horizontal="center"/>
    </xf>
    <xf numFmtId="0" fontId="37" fillId="0" borderId="2" xfId="0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0" fontId="34" fillId="0" borderId="0" xfId="0" applyFont="1" applyBorder="1" applyAlignment="1" applyProtection="1"/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5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0" borderId="20" xfId="0" applyNumberFormat="1" applyFont="1" applyBorder="1" applyProtection="1">
      <protection locked="0"/>
    </xf>
    <xf numFmtId="2" fontId="77" fillId="0" borderId="21" xfId="0" applyNumberFormat="1" applyFont="1" applyBorder="1" applyProtection="1">
      <protection locked="0"/>
    </xf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0" fontId="78" fillId="0" borderId="19" xfId="0" applyNumberFormat="1" applyFont="1" applyBorder="1" applyAlignment="1" applyProtection="1">
      <alignment horizontal="center" vertic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0" fontId="31" fillId="0" borderId="0" xfId="0" applyFont="1" applyFill="1" applyAlignment="1" applyProtection="1"/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/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80" fillId="0" borderId="15" xfId="0" applyNumberFormat="1" applyFont="1" applyFill="1" applyBorder="1" applyAlignment="1" applyProtection="1">
      <alignment horizontal="center"/>
      <protection locked="0"/>
    </xf>
    <xf numFmtId="168" fontId="78" fillId="0" borderId="15" xfId="33" applyNumberFormat="1" applyFont="1" applyFill="1" applyBorder="1" applyAlignment="1" applyProtection="1">
      <alignment horizontal="center"/>
      <protection locked="0"/>
    </xf>
    <xf numFmtId="168" fontId="78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48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0" fontId="78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</xf>
    <xf numFmtId="175" fontId="80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80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0" fontId="34" fillId="0" borderId="0" xfId="0" applyFont="1" applyAlignment="1" applyProtection="1">
      <alignment horizontal="left"/>
      <protection locked="0"/>
    </xf>
    <xf numFmtId="2" fontId="32" fillId="0" borderId="20" xfId="0" applyNumberFormat="1" applyFont="1" applyBorder="1" applyProtection="1"/>
    <xf numFmtId="2" fontId="32" fillId="0" borderId="21" xfId="0" applyNumberFormat="1" applyFont="1" applyBorder="1" applyProtection="1"/>
    <xf numFmtId="2" fontId="32" fillId="0" borderId="22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179" fontId="95" fillId="0" borderId="15" xfId="0" applyNumberFormat="1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6" fillId="0" borderId="0" xfId="33" applyNumberFormat="1" applyFont="1" applyFill="1" applyBorder="1" applyAlignment="1" applyProtection="1">
      <alignment horizontal="center"/>
    </xf>
    <xf numFmtId="168" fontId="97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8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8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4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9" fillId="0" borderId="25" xfId="31" applyNumberFormat="1" applyFont="1" applyFill="1" applyBorder="1" applyAlignment="1" applyProtection="1">
      <alignment horizontal="center" vertical="center"/>
    </xf>
    <xf numFmtId="0" fontId="100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1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185" fontId="34" fillId="0" borderId="0" xfId="31" applyNumberFormat="1" applyFont="1" applyBorder="1" applyProtection="1">
      <protection locked="0"/>
    </xf>
    <xf numFmtId="0" fontId="102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3" fillId="0" borderId="0" xfId="0" applyFont="1" applyProtection="1"/>
    <xf numFmtId="0" fontId="103" fillId="0" borderId="0" xfId="0" applyFont="1" applyBorder="1" applyProtection="1"/>
    <xf numFmtId="0" fontId="103" fillId="0" borderId="0" xfId="0" applyFont="1" applyAlignment="1" applyProtection="1">
      <alignment horizontal="center"/>
    </xf>
    <xf numFmtId="0" fontId="103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4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179" fontId="50" fillId="0" borderId="0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0" fontId="38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right"/>
    </xf>
    <xf numFmtId="179" fontId="37" fillId="0" borderId="12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7" fillId="0" borderId="0" xfId="33" applyNumberFormat="1" applyFont="1" applyBorder="1" applyAlignment="1" applyProtection="1">
      <alignment horizontal="center" vertical="center"/>
    </xf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5" fillId="0" borderId="26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5" fillId="0" borderId="27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166" fontId="105" fillId="0" borderId="28" xfId="33" applyNumberFormat="1" applyFont="1" applyBorder="1" applyAlignment="1" applyProtection="1">
      <alignment horizontal="center"/>
      <protection locked="0"/>
    </xf>
    <xf numFmtId="0" fontId="34" fillId="0" borderId="3" xfId="0" applyFont="1" applyBorder="1" applyAlignment="1" applyProtection="1">
      <alignment horizontal="center"/>
    </xf>
    <xf numFmtId="0" fontId="106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6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29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7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3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8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9" fillId="0" borderId="0" xfId="0" applyFont="1" applyAlignment="1" applyProtection="1">
      <alignment horizontal="left"/>
      <protection locked="0"/>
    </xf>
    <xf numFmtId="0" fontId="110" fillId="0" borderId="0" xfId="0" applyFont="1" applyProtection="1"/>
    <xf numFmtId="0" fontId="109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1" fillId="0" borderId="28" xfId="0" applyNumberFormat="1" applyFont="1" applyFill="1" applyBorder="1" applyProtection="1">
      <protection locked="0"/>
    </xf>
    <xf numFmtId="0" fontId="111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9" fontId="66" fillId="0" borderId="19" xfId="33" applyFont="1" applyBorder="1" applyAlignment="1" applyProtection="1">
      <alignment horizontal="center" vertical="center"/>
      <protection locked="0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4" fillId="0" borderId="26" xfId="33" applyNumberFormat="1" applyFont="1" applyBorder="1" applyAlignment="1" applyProtection="1">
      <alignment horizontal="center"/>
      <protection locked="0"/>
    </xf>
    <xf numFmtId="167" fontId="104" fillId="0" borderId="28" xfId="33" applyNumberFormat="1" applyFont="1" applyBorder="1" applyAlignment="1" applyProtection="1">
      <alignment horizontal="center"/>
      <protection locked="0"/>
    </xf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179" fontId="37" fillId="0" borderId="13" xfId="0" applyNumberFormat="1" applyFont="1" applyBorder="1" applyAlignment="1" applyProtection="1">
      <alignment horizontal="center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2" fillId="0" borderId="0" xfId="0" applyNumberFormat="1" applyFont="1" applyFill="1" applyBorder="1" applyAlignment="1" applyProtection="1">
      <alignment horizontal="center"/>
    </xf>
    <xf numFmtId="1" fontId="98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1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13" xfId="0" applyNumberFormat="1" applyFont="1" applyBorder="1" applyAlignment="1" applyProtection="1">
      <alignment horizontal="center"/>
    </xf>
    <xf numFmtId="176" fontId="32" fillId="0" borderId="11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0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3" fillId="0" borderId="13" xfId="0" applyNumberFormat="1" applyFont="1" applyBorder="1" applyAlignment="1" applyProtection="1">
      <alignment horizontal="center"/>
    </xf>
    <xf numFmtId="1" fontId="113" fillId="0" borderId="11" xfId="0" applyNumberFormat="1" applyFont="1" applyBorder="1" applyAlignment="1" applyProtection="1">
      <alignment horizontal="center"/>
    </xf>
    <xf numFmtId="1" fontId="113" fillId="0" borderId="2" xfId="0" applyNumberFormat="1" applyFont="1" applyBorder="1" applyAlignment="1" applyProtection="1">
      <alignment horizontal="center"/>
    </xf>
    <xf numFmtId="1" fontId="113" fillId="0" borderId="10" xfId="0" applyNumberFormat="1" applyFont="1" applyBorder="1" applyAlignment="1" applyProtection="1">
      <alignment horizontal="center"/>
    </xf>
    <xf numFmtId="1" fontId="113" fillId="0" borderId="17" xfId="0" applyNumberFormat="1" applyFont="1" applyBorder="1" applyAlignment="1" applyProtection="1">
      <alignment horizontal="center"/>
    </xf>
    <xf numFmtId="1" fontId="113" fillId="0" borderId="30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4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5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6" fillId="0" borderId="0" xfId="0" applyNumberFormat="1" applyFont="1" applyAlignment="1" applyProtection="1">
      <alignment horizontal="center"/>
    </xf>
    <xf numFmtId="15" fontId="117" fillId="0" borderId="0" xfId="0" applyNumberFormat="1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117" fillId="0" borderId="19" xfId="0" applyNumberFormat="1" applyFont="1" applyBorder="1" applyAlignment="1" applyProtection="1">
      <alignment horizontal="center" vertic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 vertical="top"/>
    </xf>
    <xf numFmtId="1" fontId="55" fillId="0" borderId="31" xfId="0" applyNumberFormat="1" applyFont="1" applyBorder="1" applyAlignment="1" applyProtection="1">
      <alignment horizontal="center"/>
      <protection locked="0"/>
    </xf>
    <xf numFmtId="1" fontId="55" fillId="0" borderId="32" xfId="0" applyNumberFormat="1" applyFont="1" applyBorder="1" applyAlignment="1" applyProtection="1">
      <alignment horizontal="center"/>
      <protection locked="0"/>
    </xf>
    <xf numFmtId="166" fontId="55" fillId="0" borderId="33" xfId="0" applyNumberFormat="1" applyFont="1" applyBorder="1" applyAlignment="1" applyProtection="1">
      <alignment horizontal="center"/>
      <protection locked="0"/>
    </xf>
    <xf numFmtId="173" fontId="38" fillId="0" borderId="0" xfId="0" applyNumberFormat="1" applyFont="1" applyAlignment="1" applyProtection="1">
      <alignment horizontal="center" vertical="center"/>
    </xf>
    <xf numFmtId="173" fontId="34" fillId="0" borderId="0" xfId="0" applyNumberFormat="1" applyFont="1" applyAlignment="1" applyProtection="1">
      <alignment horizontal="center" vertical="center"/>
    </xf>
    <xf numFmtId="0" fontId="95" fillId="0" borderId="19" xfId="0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0" fontId="36" fillId="33" borderId="7" xfId="0" applyFont="1" applyFill="1" applyBorder="1" applyProtection="1"/>
    <xf numFmtId="2" fontId="118" fillId="0" borderId="34" xfId="0" applyNumberFormat="1" applyFont="1" applyBorder="1" applyProtection="1">
      <protection locked="0"/>
    </xf>
    <xf numFmtId="2" fontId="118" fillId="0" borderId="35" xfId="0" applyNumberFormat="1" applyFont="1" applyBorder="1" applyProtection="1">
      <protection locked="0"/>
    </xf>
    <xf numFmtId="2" fontId="36" fillId="0" borderId="15" xfId="0" applyNumberFormat="1" applyFont="1" applyBorder="1" applyProtection="1"/>
    <xf numFmtId="179" fontId="95" fillId="0" borderId="34" xfId="0" applyNumberFormat="1" applyFont="1" applyBorder="1" applyAlignment="1" applyProtection="1">
      <alignment horizontal="center"/>
      <protection locked="0"/>
    </xf>
    <xf numFmtId="179" fontId="95" fillId="0" borderId="24" xfId="0" applyNumberFormat="1" applyFont="1" applyBorder="1" applyAlignment="1" applyProtection="1">
      <alignment horizontal="center"/>
      <protection locked="0"/>
    </xf>
    <xf numFmtId="179" fontId="95" fillId="0" borderId="35" xfId="0" applyNumberFormat="1" applyFont="1" applyBorder="1" applyAlignment="1" applyProtection="1">
      <alignment horizontal="center"/>
      <protection locked="0"/>
    </xf>
    <xf numFmtId="2" fontId="118" fillId="0" borderId="26" xfId="0" applyNumberFormat="1" applyFont="1" applyFill="1" applyBorder="1" applyAlignment="1" applyProtection="1">
      <alignment horizontal="center"/>
      <protection locked="0"/>
    </xf>
    <xf numFmtId="2" fontId="118" fillId="0" borderId="36" xfId="0" applyNumberFormat="1" applyFont="1" applyBorder="1" applyProtection="1">
      <protection locked="0"/>
    </xf>
    <xf numFmtId="2" fontId="118" fillId="0" borderId="37" xfId="0" applyNumberFormat="1" applyFont="1" applyBorder="1" applyProtection="1">
      <protection locked="0"/>
    </xf>
    <xf numFmtId="179" fontId="95" fillId="0" borderId="36" xfId="0" applyNumberFormat="1" applyFont="1" applyBorder="1" applyAlignment="1" applyProtection="1">
      <alignment horizontal="center"/>
      <protection locked="0"/>
    </xf>
    <xf numFmtId="179" fontId="95" fillId="0" borderId="37" xfId="0" applyNumberFormat="1" applyFont="1" applyBorder="1" applyAlignment="1" applyProtection="1">
      <alignment horizontal="center"/>
      <protection locked="0"/>
    </xf>
    <xf numFmtId="2" fontId="118" fillId="0" borderId="27" xfId="0" applyNumberFormat="1" applyFont="1" applyBorder="1" applyAlignment="1" applyProtection="1">
      <alignment horizontal="center"/>
      <protection locked="0"/>
    </xf>
    <xf numFmtId="2" fontId="118" fillId="0" borderId="38" xfId="0" applyNumberFormat="1" applyFont="1" applyBorder="1" applyProtection="1">
      <protection locked="0"/>
    </xf>
    <xf numFmtId="2" fontId="118" fillId="0" borderId="39" xfId="0" applyNumberFormat="1" applyFont="1" applyBorder="1" applyProtection="1">
      <protection locked="0"/>
    </xf>
    <xf numFmtId="179" fontId="95" fillId="0" borderId="38" xfId="0" applyNumberFormat="1" applyFont="1" applyBorder="1" applyAlignment="1" applyProtection="1">
      <alignment horizontal="center"/>
      <protection locked="0"/>
    </xf>
    <xf numFmtId="179" fontId="95" fillId="0" borderId="40" xfId="0" applyNumberFormat="1" applyFont="1" applyBorder="1" applyAlignment="1" applyProtection="1">
      <alignment horizontal="center"/>
      <protection locked="0"/>
    </xf>
    <xf numFmtId="179" fontId="95" fillId="0" borderId="39" xfId="0" applyNumberFormat="1" applyFont="1" applyBorder="1" applyAlignment="1" applyProtection="1">
      <alignment horizontal="center"/>
      <protection locked="0"/>
    </xf>
    <xf numFmtId="2" fontId="118" fillId="0" borderId="28" xfId="0" applyNumberFormat="1" applyFont="1" applyBorder="1" applyAlignment="1" applyProtection="1">
      <alignment horizontal="center"/>
      <protection locked="0"/>
    </xf>
    <xf numFmtId="1" fontId="52" fillId="0" borderId="0" xfId="0" applyNumberFormat="1" applyFont="1" applyAlignment="1" applyProtection="1">
      <alignment horizontal="left"/>
    </xf>
    <xf numFmtId="0" fontId="95" fillId="0" borderId="41" xfId="0" applyFont="1" applyBorder="1" applyAlignment="1" applyProtection="1">
      <alignment horizontal="center"/>
      <protection locked="0"/>
    </xf>
    <xf numFmtId="179" fontId="95" fillId="0" borderId="41" xfId="0" applyNumberFormat="1" applyFont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center"/>
      <protection locked="0"/>
    </xf>
    <xf numFmtId="179" fontId="95" fillId="0" borderId="0" xfId="0" applyNumberFormat="1" applyFont="1" applyBorder="1" applyAlignment="1" applyProtection="1">
      <alignment horizontal="center"/>
      <protection locked="0"/>
    </xf>
    <xf numFmtId="0" fontId="114" fillId="0" borderId="25" xfId="0" applyFont="1" applyBorder="1" applyAlignment="1" applyProtection="1">
      <alignment horizontal="right"/>
      <protection locked="0"/>
    </xf>
    <xf numFmtId="0" fontId="34" fillId="0" borderId="0" xfId="0" applyFont="1" applyBorder="1" applyProtection="1">
      <protection locked="0"/>
    </xf>
    <xf numFmtId="2" fontId="34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179" fontId="34" fillId="0" borderId="0" xfId="0" applyNumberFormat="1" applyFont="1" applyBorder="1" applyAlignment="1" applyProtection="1">
      <alignment horizontal="center"/>
    </xf>
    <xf numFmtId="0" fontId="30" fillId="0" borderId="0" xfId="0" quotePrefix="1" applyFont="1" applyAlignment="1" applyProtection="1">
      <alignment horizontal="center"/>
    </xf>
    <xf numFmtId="0" fontId="119" fillId="33" borderId="3" xfId="0" applyFont="1" applyFill="1" applyBorder="1" applyAlignment="1" applyProtection="1">
      <alignment horizontal="right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left"/>
    </xf>
    <xf numFmtId="0" fontId="34" fillId="0" borderId="3" xfId="0" applyFont="1" applyFill="1" applyBorder="1" applyAlignment="1" applyProtection="1">
      <alignment horizontal="center"/>
    </xf>
    <xf numFmtId="1" fontId="34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2" fillId="0" borderId="7" xfId="0" applyFont="1" applyBorder="1" applyAlignment="1" applyProtection="1">
      <alignment horizontal="right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8" fillId="0" borderId="0" xfId="0" applyNumberFormat="1" applyFont="1" applyProtection="1"/>
    <xf numFmtId="179" fontId="34" fillId="0" borderId="10" xfId="0" applyNumberFormat="1" applyFont="1" applyBorder="1" applyAlignment="1" applyProtection="1">
      <alignment horizontal="center" vertical="center"/>
    </xf>
    <xf numFmtId="0" fontId="32" fillId="0" borderId="8" xfId="0" applyFont="1" applyBorder="1" applyAlignment="1" applyProtection="1">
      <alignment horizontal="right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4" fillId="0" borderId="4" xfId="0" applyNumberFormat="1" applyFont="1" applyBorder="1" applyAlignment="1" applyProtection="1">
      <alignment horizontal="center"/>
    </xf>
    <xf numFmtId="179" fontId="34" fillId="0" borderId="9" xfId="0" applyNumberFormat="1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7" fillId="0" borderId="0" xfId="0" applyFont="1" applyBorder="1" applyProtection="1">
      <protection locked="0"/>
    </xf>
    <xf numFmtId="0" fontId="114" fillId="0" borderId="42" xfId="0" applyFont="1" applyBorder="1" applyAlignment="1" applyProtection="1">
      <alignment horizontal="right"/>
      <protection locked="0"/>
    </xf>
    <xf numFmtId="0" fontId="95" fillId="0" borderId="43" xfId="0" applyFont="1" applyBorder="1" applyAlignment="1" applyProtection="1">
      <alignment horizont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0" fontId="65" fillId="0" borderId="44" xfId="0" applyFont="1" applyBorder="1" applyAlignment="1" applyProtection="1">
      <alignment horizontal="right"/>
      <protection locked="0"/>
    </xf>
    <xf numFmtId="0" fontId="65" fillId="0" borderId="25" xfId="0" applyFont="1" applyBorder="1" applyAlignment="1" applyProtection="1">
      <alignment horizontal="right"/>
      <protection locked="0"/>
    </xf>
    <xf numFmtId="0" fontId="65" fillId="0" borderId="45" xfId="0" applyFont="1" applyBorder="1" applyAlignment="1" applyProtection="1">
      <alignment horizontal="right"/>
      <protection locked="0"/>
    </xf>
    <xf numFmtId="179" fontId="95" fillId="0" borderId="1" xfId="0" applyNumberFormat="1" applyFont="1" applyBorder="1" applyAlignment="1" applyProtection="1">
      <alignment horizontal="center"/>
      <protection locked="0"/>
    </xf>
    <xf numFmtId="179" fontId="95" fillId="0" borderId="46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right"/>
      <protection locked="0"/>
    </xf>
    <xf numFmtId="2" fontId="118" fillId="0" borderId="43" xfId="0" applyNumberFormat="1" applyFont="1" applyBorder="1" applyProtection="1">
      <protection locked="0"/>
    </xf>
    <xf numFmtId="179" fontId="95" fillId="0" borderId="43" xfId="0" applyNumberFormat="1" applyFont="1" applyBorder="1" applyAlignment="1" applyProtection="1">
      <alignment horizontal="center"/>
      <protection locked="0"/>
    </xf>
    <xf numFmtId="2" fontId="118" fillId="0" borderId="41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Fill="1" applyBorder="1" applyAlignment="1" applyProtection="1">
      <alignment horizontal="center"/>
      <protection locked="0"/>
    </xf>
    <xf numFmtId="1" fontId="95" fillId="0" borderId="47" xfId="0" applyNumberFormat="1" applyFont="1" applyBorder="1" applyAlignment="1" applyProtection="1">
      <alignment horizontal="right"/>
      <protection locked="0"/>
    </xf>
    <xf numFmtId="179" fontId="37" fillId="33" borderId="7" xfId="0" applyNumberFormat="1" applyFont="1" applyFill="1" applyBorder="1" applyAlignment="1" applyProtection="1">
      <alignment horizontal="center"/>
      <protection locked="0"/>
    </xf>
    <xf numFmtId="179" fontId="38" fillId="33" borderId="7" xfId="0" applyNumberFormat="1" applyFont="1" applyFill="1" applyBorder="1" applyAlignment="1" applyProtection="1">
      <alignment horizontal="center"/>
      <protection locked="0"/>
    </xf>
    <xf numFmtId="179" fontId="38" fillId="33" borderId="8" xfId="0" applyNumberFormat="1" applyFont="1" applyFill="1" applyBorder="1" applyAlignment="1" applyProtection="1">
      <alignment horizontal="center"/>
      <protection locked="0"/>
    </xf>
    <xf numFmtId="179" fontId="37" fillId="0" borderId="6" xfId="0" applyNumberFormat="1" applyFont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7" fillId="0" borderId="7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7" fillId="0" borderId="8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7" fillId="33" borderId="48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42" xfId="0" applyNumberFormat="1" applyFont="1" applyFill="1" applyBorder="1" applyAlignment="1" applyProtection="1">
      <alignment horizontal="center"/>
      <protection locked="0"/>
    </xf>
    <xf numFmtId="179" fontId="37" fillId="33" borderId="6" xfId="0" applyNumberFormat="1" applyFont="1" applyFill="1" applyBorder="1" applyAlignment="1" applyProtection="1">
      <alignment horizontal="center"/>
      <protection locked="0"/>
    </xf>
    <xf numFmtId="1" fontId="95" fillId="0" borderId="49" xfId="0" applyNumberFormat="1" applyFont="1" applyBorder="1" applyAlignment="1" applyProtection="1">
      <alignment horizontal="right"/>
      <protection locked="0"/>
    </xf>
    <xf numFmtId="179" fontId="63" fillId="0" borderId="5" xfId="0" applyNumberFormat="1" applyFont="1" applyBorder="1" applyProtection="1">
      <protection locked="0"/>
    </xf>
    <xf numFmtId="2" fontId="63" fillId="0" borderId="0" xfId="0" applyNumberFormat="1" applyFont="1" applyBorder="1" applyProtection="1">
      <protection locked="0"/>
    </xf>
    <xf numFmtId="179" fontId="63" fillId="0" borderId="0" xfId="0" applyNumberFormat="1" applyFont="1" applyBorder="1" applyProtection="1">
      <protection locked="0"/>
    </xf>
    <xf numFmtId="2" fontId="63" fillId="0" borderId="1" xfId="0" applyNumberFormat="1" applyFont="1" applyBorder="1" applyProtection="1">
      <protection locked="0"/>
    </xf>
    <xf numFmtId="179" fontId="63" fillId="0" borderId="1" xfId="0" applyNumberFormat="1" applyFont="1" applyBorder="1" applyProtection="1">
      <protection locked="0"/>
    </xf>
    <xf numFmtId="2" fontId="63" fillId="0" borderId="13" xfId="0" applyNumberFormat="1" applyFont="1" applyBorder="1" applyProtection="1">
      <protection locked="0"/>
    </xf>
    <xf numFmtId="179" fontId="63" fillId="33" borderId="5" xfId="0" applyNumberFormat="1" applyFont="1" applyFill="1" applyBorder="1" applyProtection="1">
      <protection locked="0"/>
    </xf>
    <xf numFmtId="2" fontId="63" fillId="0" borderId="2" xfId="0" applyNumberFormat="1" applyFont="1" applyBorder="1" applyProtection="1">
      <protection locked="0"/>
    </xf>
    <xf numFmtId="179" fontId="63" fillId="33" borderId="0" xfId="0" applyNumberFormat="1" applyFont="1" applyFill="1" applyBorder="1" applyProtection="1">
      <protection locked="0"/>
    </xf>
    <xf numFmtId="2" fontId="63" fillId="0" borderId="4" xfId="0" applyNumberFormat="1" applyFont="1" applyBorder="1" applyProtection="1">
      <protection locked="0"/>
    </xf>
    <xf numFmtId="2" fontId="86" fillId="0" borderId="1" xfId="0" applyNumberFormat="1" applyFont="1" applyBorder="1" applyAlignment="1" applyProtection="1">
      <alignment horizontal="center"/>
      <protection locked="0"/>
    </xf>
    <xf numFmtId="179" fontId="63" fillId="33" borderId="1" xfId="0" applyNumberFormat="1" applyFont="1" applyFill="1" applyBorder="1" applyProtection="1">
      <protection locked="0"/>
    </xf>
    <xf numFmtId="179" fontId="63" fillId="0" borderId="10" xfId="0" applyNumberFormat="1" applyFont="1" applyBorder="1" applyAlignment="1" applyProtection="1">
      <alignment horizontal="right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32" fillId="0" borderId="11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horizontal="right"/>
    </xf>
    <xf numFmtId="0" fontId="32" fillId="0" borderId="9" xfId="0" applyFont="1" applyBorder="1" applyAlignment="1" applyProtection="1">
      <alignment horizontal="right"/>
    </xf>
    <xf numFmtId="185" fontId="32" fillId="0" borderId="0" xfId="31" applyNumberFormat="1" applyFont="1" applyBorder="1" applyAlignment="1" applyProtection="1">
      <alignment horizontal="right"/>
      <protection locked="0"/>
    </xf>
    <xf numFmtId="183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right"/>
    </xf>
    <xf numFmtId="0" fontId="114" fillId="0" borderId="48" xfId="0" applyFont="1" applyBorder="1" applyAlignment="1" applyProtection="1">
      <alignment horizontal="right"/>
      <protection locked="0"/>
    </xf>
    <xf numFmtId="0" fontId="95" fillId="0" borderId="5" xfId="0" applyFont="1" applyBorder="1" applyAlignment="1" applyProtection="1">
      <alignment horizontal="center"/>
      <protection locked="0"/>
    </xf>
    <xf numFmtId="2" fontId="118" fillId="0" borderId="5" xfId="0" applyNumberFormat="1" applyFont="1" applyBorder="1" applyAlignment="1" applyProtection="1">
      <alignment horizontal="center"/>
      <protection locked="0"/>
    </xf>
    <xf numFmtId="179" fontId="95" fillId="0" borderId="5" xfId="0" applyNumberFormat="1" applyFont="1" applyBorder="1" applyAlignment="1" applyProtection="1">
      <alignment horizontal="center"/>
      <protection locked="0"/>
    </xf>
    <xf numFmtId="1" fontId="95" fillId="0" borderId="50" xfId="0" applyNumberFormat="1" applyFont="1" applyBorder="1" applyAlignment="1" applyProtection="1">
      <alignment horizontal="right"/>
      <protection locked="0"/>
    </xf>
    <xf numFmtId="0" fontId="42" fillId="0" borderId="0" xfId="0" applyFont="1" applyProtection="1"/>
    <xf numFmtId="0" fontId="42" fillId="0" borderId="0" xfId="0" applyFont="1" applyAlignment="1" applyProtection="1">
      <alignment horizontal="center"/>
    </xf>
    <xf numFmtId="0" fontId="26" fillId="0" borderId="0" xfId="0" applyFont="1"/>
    <xf numFmtId="0" fontId="36" fillId="0" borderId="0" xfId="0" applyFont="1"/>
    <xf numFmtId="0" fontId="32" fillId="33" borderId="7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right"/>
    </xf>
    <xf numFmtId="0" fontId="37" fillId="0" borderId="1" xfId="0" applyFont="1" applyFill="1" applyBorder="1" applyAlignment="1" applyProtection="1"/>
    <xf numFmtId="0" fontId="37" fillId="0" borderId="1" xfId="0" applyFont="1" applyFill="1" applyBorder="1" applyAlignment="1" applyProtection="1">
      <alignment horizontal="right"/>
    </xf>
    <xf numFmtId="186" fontId="52" fillId="0" borderId="1" xfId="0" applyNumberFormat="1" applyFont="1" applyBorder="1" applyAlignment="1" applyProtection="1">
      <alignment horizontal="center"/>
    </xf>
    <xf numFmtId="0" fontId="37" fillId="0" borderId="2" xfId="0" applyFont="1" applyBorder="1" applyProtection="1">
      <protection locked="0"/>
    </xf>
    <xf numFmtId="0" fontId="37" fillId="0" borderId="2" xfId="0" applyFont="1" applyBorder="1" applyAlignment="1" applyProtection="1">
      <alignment horizontal="left"/>
      <protection locked="0"/>
    </xf>
    <xf numFmtId="0" fontId="37" fillId="0" borderId="4" xfId="0" applyFont="1" applyBorder="1" applyAlignment="1" applyProtection="1">
      <alignment horizontal="left"/>
      <protection locked="0"/>
    </xf>
    <xf numFmtId="9" fontId="95" fillId="0" borderId="20" xfId="33" applyFont="1" applyBorder="1" applyAlignment="1" applyProtection="1">
      <alignment horizontal="center"/>
      <protection locked="0"/>
    </xf>
    <xf numFmtId="9" fontId="95" fillId="0" borderId="21" xfId="33" applyFont="1" applyBorder="1" applyAlignment="1" applyProtection="1">
      <alignment horizontal="center"/>
      <protection locked="0"/>
    </xf>
    <xf numFmtId="9" fontId="95" fillId="0" borderId="22" xfId="33" applyFont="1" applyBorder="1" applyAlignment="1" applyProtection="1">
      <alignment horizontal="center"/>
      <protection locked="0"/>
    </xf>
    <xf numFmtId="179" fontId="38" fillId="0" borderId="0" xfId="0" applyNumberFormat="1" applyFont="1" applyAlignment="1" applyProtection="1">
      <alignment vertical="center"/>
    </xf>
    <xf numFmtId="0" fontId="38" fillId="0" borderId="0" xfId="0" applyFont="1" applyAlignment="1" applyProtection="1">
      <alignment vertical="center"/>
    </xf>
    <xf numFmtId="168" fontId="32" fillId="0" borderId="15" xfId="33" applyNumberFormat="1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6" fontId="31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2" fontId="32" fillId="0" borderId="5" xfId="0" applyNumberFormat="1" applyFont="1" applyBorder="1" applyAlignment="1" applyProtection="1">
      <alignment horizontal="center"/>
    </xf>
    <xf numFmtId="2" fontId="32" fillId="0" borderId="0" xfId="0" applyNumberFormat="1" applyFont="1" applyBorder="1" applyAlignment="1" applyProtection="1">
      <alignment horizontal="center"/>
    </xf>
    <xf numFmtId="0" fontId="46" fillId="33" borderId="6" xfId="0" applyFont="1" applyFill="1" applyBorder="1" applyAlignment="1" applyProtection="1">
      <alignment horizontal="center" vertical="center" wrapText="1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166" fontId="55" fillId="0" borderId="51" xfId="33" applyNumberFormat="1" applyFont="1" applyBorder="1" applyAlignment="1" applyProtection="1">
      <alignment horizontal="center"/>
      <protection locked="0"/>
    </xf>
    <xf numFmtId="179" fontId="38" fillId="0" borderId="13" xfId="0" applyNumberFormat="1" applyFont="1" applyBorder="1" applyAlignment="1" applyProtection="1">
      <alignment horizontal="center" vertical="center"/>
    </xf>
    <xf numFmtId="179" fontId="38" fillId="0" borderId="5" xfId="0" applyNumberFormat="1" applyFont="1" applyBorder="1" applyAlignment="1" applyProtection="1">
      <alignment horizontal="center"/>
    </xf>
    <xf numFmtId="0" fontId="38" fillId="0" borderId="5" xfId="0" applyFont="1" applyFill="1" applyBorder="1" applyProtection="1"/>
    <xf numFmtId="179" fontId="38" fillId="0" borderId="11" xfId="0" applyNumberFormat="1" applyFont="1" applyFill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center"/>
    </xf>
    <xf numFmtId="179" fontId="38" fillId="0" borderId="10" xfId="0" applyNumberFormat="1" applyFont="1" applyFill="1" applyBorder="1" applyAlignment="1" applyProtection="1">
      <alignment horizontal="center"/>
    </xf>
    <xf numFmtId="179" fontId="38" fillId="0" borderId="4" xfId="0" applyNumberFormat="1" applyFont="1" applyBorder="1" applyAlignment="1" applyProtection="1">
      <alignment horizontal="center" vertical="center"/>
    </xf>
    <xf numFmtId="179" fontId="38" fillId="0" borderId="1" xfId="0" applyNumberFormat="1" applyFont="1" applyBorder="1" applyAlignment="1" applyProtection="1">
      <alignment horizontal="center"/>
    </xf>
    <xf numFmtId="0" fontId="38" fillId="0" borderId="1" xfId="0" applyFont="1" applyBorder="1" applyProtection="1"/>
    <xf numFmtId="179" fontId="38" fillId="0" borderId="9" xfId="0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right"/>
    </xf>
    <xf numFmtId="0" fontId="94" fillId="0" borderId="0" xfId="0" applyFont="1" applyAlignment="1" applyProtection="1">
      <alignment horizontal="right"/>
    </xf>
    <xf numFmtId="0" fontId="29" fillId="0" borderId="5" xfId="0" applyFont="1" applyBorder="1" applyAlignment="1" applyProtection="1">
      <alignment horizontal="right"/>
    </xf>
    <xf numFmtId="179" fontId="37" fillId="0" borderId="7" xfId="0" applyNumberFormat="1" applyFont="1" applyFill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right"/>
    </xf>
    <xf numFmtId="179" fontId="37" fillId="0" borderId="8" xfId="0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 applyProtection="1">
      <alignment horizontal="right"/>
    </xf>
    <xf numFmtId="179" fontId="38" fillId="0" borderId="1" xfId="0" applyNumberFormat="1" applyFont="1" applyBorder="1" applyAlignment="1" applyProtection="1">
      <alignment horizontal="right"/>
    </xf>
    <xf numFmtId="179" fontId="118" fillId="0" borderId="2" xfId="0" applyNumberFormat="1" applyFont="1" applyBorder="1" applyAlignment="1" applyProtection="1">
      <alignment vertical="center"/>
      <protection locked="0"/>
    </xf>
    <xf numFmtId="179" fontId="118" fillId="0" borderId="10" xfId="0" applyNumberFormat="1" applyFont="1" applyBorder="1" applyAlignment="1" applyProtection="1">
      <alignment horizontal="center" vertical="center"/>
      <protection locked="0"/>
    </xf>
    <xf numFmtId="2" fontId="55" fillId="0" borderId="19" xfId="0" applyNumberFormat="1" applyFont="1" applyBorder="1" applyAlignment="1" applyProtection="1">
      <alignment horizontal="center" vertical="center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0" fontId="38" fillId="33" borderId="8" xfId="0" applyFont="1" applyFill="1" applyBorder="1" applyAlignment="1" applyProtection="1">
      <alignment horizontal="right" vertical="center"/>
    </xf>
    <xf numFmtId="0" fontId="38" fillId="33" borderId="8" xfId="0" applyFont="1" applyFill="1" applyBorder="1" applyAlignment="1" applyProtection="1">
      <alignment horizontal="center" vertical="center"/>
    </xf>
    <xf numFmtId="179" fontId="50" fillId="0" borderId="2" xfId="0" applyNumberFormat="1" applyFont="1" applyBorder="1" applyAlignment="1" applyProtection="1">
      <alignment vertical="center"/>
    </xf>
    <xf numFmtId="179" fontId="50" fillId="0" borderId="10" xfId="0" applyNumberFormat="1" applyFont="1" applyBorder="1" applyAlignment="1" applyProtection="1">
      <alignment horizontal="center" vertical="center"/>
    </xf>
    <xf numFmtId="179" fontId="50" fillId="0" borderId="4" xfId="0" applyNumberFormat="1" applyFont="1" applyBorder="1" applyAlignment="1" applyProtection="1">
      <alignment vertical="center"/>
    </xf>
    <xf numFmtId="179" fontId="50" fillId="0" borderId="9" xfId="0" applyNumberFormat="1" applyFont="1" applyBorder="1" applyAlignment="1" applyProtection="1">
      <alignment horizontal="center" vertical="center"/>
    </xf>
    <xf numFmtId="179" fontId="118" fillId="0" borderId="4" xfId="0" applyNumberFormat="1" applyFont="1" applyBorder="1" applyAlignment="1" applyProtection="1">
      <alignment vertical="center"/>
      <protection locked="0"/>
    </xf>
    <xf numFmtId="179" fontId="118" fillId="0" borderId="9" xfId="0" applyNumberFormat="1" applyFont="1" applyBorder="1" applyAlignment="1" applyProtection="1">
      <alignment horizontal="center" vertical="center"/>
      <protection locked="0"/>
    </xf>
    <xf numFmtId="187" fontId="37" fillId="0" borderId="0" xfId="31" applyNumberFormat="1" applyFont="1" applyBorder="1" applyAlignment="1" applyProtection="1">
      <alignment horizontal="center"/>
    </xf>
    <xf numFmtId="187" fontId="37" fillId="0" borderId="10" xfId="31" applyNumberFormat="1" applyFont="1" applyBorder="1" applyAlignment="1" applyProtection="1">
      <alignment horizontal="center"/>
    </xf>
    <xf numFmtId="187" fontId="50" fillId="0" borderId="7" xfId="31" applyNumberFormat="1" applyFont="1" applyBorder="1" applyAlignment="1" applyProtection="1">
      <alignment horizontal="center"/>
    </xf>
    <xf numFmtId="187" fontId="37" fillId="0" borderId="2" xfId="31" applyNumberFormat="1" applyFont="1" applyBorder="1" applyAlignment="1" applyProtection="1">
      <alignment horizontal="center"/>
    </xf>
    <xf numFmtId="179" fontId="37" fillId="0" borderId="2" xfId="0" applyNumberFormat="1" applyFont="1" applyFill="1" applyBorder="1" applyAlignment="1" applyProtection="1">
      <alignment horizontal="center"/>
    </xf>
    <xf numFmtId="179" fontId="50" fillId="0" borderId="7" xfId="0" applyNumberFormat="1" applyFont="1" applyBorder="1" applyAlignment="1" applyProtection="1">
      <alignment horizontal="center"/>
    </xf>
    <xf numFmtId="187" fontId="50" fillId="0" borderId="0" xfId="31" applyNumberFormat="1" applyFont="1" applyBorder="1" applyAlignment="1" applyProtection="1">
      <alignment horizontal="center"/>
    </xf>
    <xf numFmtId="187" fontId="50" fillId="0" borderId="8" xfId="31" applyNumberFormat="1" applyFont="1" applyBorder="1" applyAlignment="1" applyProtection="1">
      <alignment horizontal="center"/>
    </xf>
    <xf numFmtId="187" fontId="37" fillId="0" borderId="4" xfId="31" applyNumberFormat="1" applyFont="1" applyBorder="1" applyAlignment="1" applyProtection="1">
      <alignment horizontal="center"/>
    </xf>
    <xf numFmtId="187" fontId="50" fillId="0" borderId="1" xfId="31" applyNumberFormat="1" applyFont="1" applyBorder="1" applyAlignment="1" applyProtection="1">
      <alignment horizontal="center"/>
    </xf>
    <xf numFmtId="187" fontId="37" fillId="0" borderId="1" xfId="31" applyNumberFormat="1" applyFont="1" applyBorder="1" applyAlignment="1" applyProtection="1">
      <alignment horizontal="center"/>
    </xf>
    <xf numFmtId="187" fontId="37" fillId="0" borderId="9" xfId="31" applyNumberFormat="1" applyFont="1" applyBorder="1" applyAlignment="1" applyProtection="1">
      <alignment horizontal="center"/>
    </xf>
    <xf numFmtId="179" fontId="50" fillId="0" borderId="8" xfId="0" applyNumberFormat="1" applyFont="1" applyBorder="1" applyAlignment="1" applyProtection="1">
      <alignment horizontal="center"/>
    </xf>
    <xf numFmtId="0" fontId="26" fillId="0" borderId="0" xfId="0" applyFont="1" applyProtection="1">
      <protection locked="0"/>
    </xf>
    <xf numFmtId="183" fontId="52" fillId="0" borderId="3" xfId="0" applyNumberFormat="1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right"/>
    </xf>
    <xf numFmtId="2" fontId="34" fillId="0" borderId="0" xfId="0" applyNumberFormat="1" applyFont="1" applyProtection="1"/>
    <xf numFmtId="179" fontId="63" fillId="34" borderId="52" xfId="0" applyNumberFormat="1" applyFont="1" applyFill="1" applyBorder="1" applyAlignment="1" applyProtection="1">
      <alignment horizontal="right"/>
      <protection locked="0"/>
    </xf>
    <xf numFmtId="183" fontId="86" fillId="0" borderId="0" xfId="33" applyNumberFormat="1" applyFont="1" applyBorder="1" applyAlignment="1" applyProtection="1">
      <alignment horizontal="center"/>
    </xf>
    <xf numFmtId="186" fontId="50" fillId="0" borderId="53" xfId="0" applyNumberFormat="1" applyFont="1" applyBorder="1" applyAlignment="1" applyProtection="1">
      <alignment horizontal="center"/>
    </xf>
    <xf numFmtId="2" fontId="31" fillId="0" borderId="0" xfId="0" applyNumberFormat="1" applyFont="1" applyProtection="1">
      <protection locked="0"/>
    </xf>
    <xf numFmtId="2" fontId="32" fillId="0" borderId="0" xfId="0" applyNumberFormat="1" applyFont="1" applyProtection="1">
      <protection locked="0"/>
    </xf>
    <xf numFmtId="167" fontId="83" fillId="0" borderId="0" xfId="0" applyNumberFormat="1" applyFont="1" applyProtection="1">
      <protection locked="0"/>
    </xf>
    <xf numFmtId="0" fontId="31" fillId="0" borderId="0" xfId="0" applyFont="1" applyBorder="1" applyProtection="1"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  <protection locked="0"/>
    </xf>
    <xf numFmtId="0" fontId="83" fillId="0" borderId="0" xfId="0" applyFont="1" applyBorder="1" applyAlignment="1" applyProtection="1">
      <alignment horizontal="right"/>
      <protection locked="0"/>
    </xf>
    <xf numFmtId="179" fontId="33" fillId="0" borderId="0" xfId="0" applyNumberFormat="1" applyFont="1" applyBorder="1" applyAlignment="1" applyProtection="1">
      <alignment horizontal="center"/>
      <protection locked="0"/>
    </xf>
    <xf numFmtId="179" fontId="83" fillId="0" borderId="0" xfId="0" applyNumberFormat="1" applyFont="1" applyBorder="1" applyAlignment="1" applyProtection="1">
      <alignment horizontal="center"/>
      <protection locked="0"/>
    </xf>
    <xf numFmtId="0" fontId="36" fillId="0" borderId="0" xfId="0" applyFont="1" applyBorder="1" applyAlignment="1" applyProtection="1">
      <alignment horizontal="left"/>
      <protection locked="0"/>
    </xf>
    <xf numFmtId="0" fontId="36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left"/>
      <protection locked="0"/>
    </xf>
    <xf numFmtId="173" fontId="34" fillId="0" borderId="0" xfId="0" applyNumberFormat="1" applyFont="1" applyAlignment="1" applyProtection="1">
      <alignment horizontal="center" vertical="center"/>
      <protection locked="0"/>
    </xf>
    <xf numFmtId="0" fontId="83" fillId="0" borderId="0" xfId="0" applyFont="1" applyAlignment="1" applyProtection="1">
      <alignment horizontal="left"/>
      <protection locked="0"/>
    </xf>
    <xf numFmtId="186" fontId="42" fillId="0" borderId="3" xfId="0" applyNumberFormat="1" applyFont="1" applyBorder="1" applyAlignment="1" applyProtection="1">
      <alignment horizontal="center"/>
    </xf>
    <xf numFmtId="171" fontId="31" fillId="34" borderId="2" xfId="0" applyNumberFormat="1" applyFont="1" applyFill="1" applyBorder="1" applyProtection="1"/>
    <xf numFmtId="2" fontId="32" fillId="34" borderId="0" xfId="0" applyNumberFormat="1" applyFont="1" applyFill="1" applyBorder="1" applyAlignment="1" applyProtection="1">
      <alignment horizontal="right"/>
    </xf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9" fontId="44" fillId="34" borderId="1" xfId="33" applyNumberFormat="1" applyFont="1" applyFill="1" applyBorder="1" applyAlignment="1" applyProtection="1">
      <alignment horizontal="center"/>
    </xf>
    <xf numFmtId="166" fontId="34" fillId="34" borderId="1" xfId="33" applyNumberFormat="1" applyFont="1" applyFill="1" applyBorder="1" applyAlignment="1" applyProtection="1">
      <alignment horizontal="center"/>
    </xf>
    <xf numFmtId="179" fontId="34" fillId="34" borderId="1" xfId="33" applyNumberFormat="1" applyFont="1" applyFill="1" applyBorder="1" applyAlignment="1" applyProtection="1">
      <alignment horizontal="center"/>
    </xf>
    <xf numFmtId="1" fontId="34" fillId="34" borderId="1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2" fontId="32" fillId="34" borderId="1" xfId="0" applyNumberFormat="1" applyFont="1" applyFill="1" applyBorder="1" applyAlignment="1" applyProtection="1">
      <alignment horizontal="right"/>
    </xf>
    <xf numFmtId="2" fontId="32" fillId="34" borderId="9" xfId="0" applyNumberFormat="1" applyFont="1" applyFill="1" applyBorder="1" applyAlignment="1" applyProtection="1">
      <alignment horizontal="right"/>
    </xf>
    <xf numFmtId="165" fontId="34" fillId="34" borderId="1" xfId="0" applyNumberFormat="1" applyFont="1" applyFill="1" applyBorder="1" applyProtection="1"/>
    <xf numFmtId="10" fontId="39" fillId="34" borderId="4" xfId="33" applyNumberFormat="1" applyFont="1" applyFill="1" applyBorder="1" applyAlignment="1" applyProtection="1">
      <alignment horizontal="center"/>
    </xf>
    <xf numFmtId="10" fontId="44" fillId="34" borderId="4" xfId="33" applyNumberFormat="1" applyFont="1" applyFill="1" applyBorder="1" applyAlignment="1" applyProtection="1">
      <alignment horizontal="center"/>
    </xf>
    <xf numFmtId="2" fontId="44" fillId="34" borderId="9" xfId="33" applyNumberFormat="1" applyFont="1" applyFill="1" applyBorder="1" applyAlignment="1" applyProtection="1">
      <alignment horizontal="center"/>
    </xf>
    <xf numFmtId="2" fontId="95" fillId="0" borderId="0" xfId="0" applyNumberFormat="1" applyFont="1" applyBorder="1" applyProtection="1">
      <protection locked="0"/>
    </xf>
    <xf numFmtId="2" fontId="95" fillId="0" borderId="5" xfId="0" applyNumberFormat="1" applyFont="1" applyBorder="1" applyProtection="1">
      <protection locked="0"/>
    </xf>
    <xf numFmtId="0" fontId="32" fillId="0" borderId="0" xfId="0" applyFont="1" applyAlignment="1" applyProtection="1">
      <alignment horizontal="right"/>
      <protection locked="0"/>
    </xf>
    <xf numFmtId="179" fontId="32" fillId="0" borderId="0" xfId="0" applyNumberFormat="1" applyFont="1" applyAlignment="1" applyProtection="1">
      <alignment horizontal="right"/>
      <protection locked="0"/>
    </xf>
    <xf numFmtId="2" fontId="32" fillId="0" borderId="0" xfId="0" applyNumberFormat="1" applyFont="1" applyAlignment="1" applyProtection="1">
      <alignment horizontal="right"/>
      <protection locked="0"/>
    </xf>
    <xf numFmtId="179" fontId="31" fillId="0" borderId="0" xfId="0" applyNumberFormat="1" applyFont="1" applyAlignment="1" applyProtection="1">
      <alignment horizontal="right"/>
      <protection locked="0"/>
    </xf>
    <xf numFmtId="9" fontId="117" fillId="0" borderId="19" xfId="33" applyFont="1" applyFill="1" applyBorder="1" applyAlignment="1" applyProtection="1">
      <alignment horizontal="center" vertical="center"/>
      <protection locked="0"/>
    </xf>
    <xf numFmtId="0" fontId="124" fillId="0" borderId="25" xfId="0" applyFont="1" applyBorder="1" applyAlignment="1" applyProtection="1">
      <alignment horizontal="right"/>
      <protection locked="0"/>
    </xf>
    <xf numFmtId="2" fontId="32" fillId="0" borderId="20" xfId="0" applyNumberFormat="1" applyFont="1" applyBorder="1" applyProtection="1">
      <protection locked="0"/>
    </xf>
    <xf numFmtId="2" fontId="32" fillId="0" borderId="21" xfId="0" applyNumberFormat="1" applyFont="1" applyBorder="1" applyProtection="1"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6" fillId="0" borderId="0" xfId="33" applyNumberFormat="1" applyFont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68" fontId="40" fillId="0" borderId="2" xfId="33" applyNumberFormat="1" applyFont="1" applyBorder="1" applyAlignment="1" applyProtection="1">
      <alignment horizontal="center"/>
    </xf>
    <xf numFmtId="10" fontId="73" fillId="0" borderId="0" xfId="33" applyNumberFormat="1" applyFont="1" applyBorder="1" applyAlignment="1" applyProtection="1">
      <alignment horizontal="center"/>
    </xf>
    <xf numFmtId="168" fontId="37" fillId="0" borderId="10" xfId="33" applyNumberFormat="1" applyFont="1" applyBorder="1" applyAlignment="1" applyProtection="1">
      <alignment horizontal="center"/>
    </xf>
    <xf numFmtId="10" fontId="113" fillId="0" borderId="10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73" fillId="0" borderId="30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0" xfId="33" applyNumberFormat="1" applyFont="1" applyBorder="1" applyAlignment="1" applyProtection="1">
      <alignment horizontal="center"/>
    </xf>
    <xf numFmtId="10" fontId="113" fillId="0" borderId="30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9" fontId="66" fillId="37" borderId="15" xfId="33" applyNumberFormat="1" applyFont="1" applyFill="1" applyBorder="1" applyAlignment="1" applyProtection="1">
      <alignment horizontal="center"/>
      <protection locked="0"/>
    </xf>
    <xf numFmtId="174" fontId="66" fillId="37" borderId="15" xfId="33" applyNumberFormat="1" applyFont="1" applyFill="1" applyBorder="1" applyAlignment="1" applyProtection="1">
      <alignment horizontal="center"/>
      <protection locked="0"/>
    </xf>
    <xf numFmtId="0" fontId="0" fillId="33" borderId="3" xfId="0" applyFill="1" applyBorder="1" applyAlignment="1" applyProtection="1">
      <alignment horizontal="center" vertical="center"/>
    </xf>
    <xf numFmtId="166" fontId="31" fillId="0" borderId="2" xfId="0" quotePrefix="1" applyNumberFormat="1" applyFont="1" applyBorder="1" applyProtection="1"/>
    <xf numFmtId="166" fontId="31" fillId="0" borderId="0" xfId="0" quotePrefix="1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2" xfId="0" applyNumberFormat="1" applyFont="1" applyBorder="1" applyProtection="1"/>
    <xf numFmtId="166" fontId="31" fillId="0" borderId="4" xfId="0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9" xfId="0" quotePrefix="1" applyNumberFormat="1" applyFont="1" applyBorder="1" applyProtection="1"/>
    <xf numFmtId="0" fontId="31" fillId="37" borderId="0" xfId="0" applyFont="1" applyFill="1" applyAlignment="1" applyProtection="1">
      <alignment horizontal="right"/>
    </xf>
    <xf numFmtId="166" fontId="52" fillId="37" borderId="3" xfId="0" applyNumberFormat="1" applyFont="1" applyFill="1" applyBorder="1" applyAlignment="1" applyProtection="1">
      <alignment horizontal="center" vertical="center"/>
    </xf>
    <xf numFmtId="2" fontId="100" fillId="0" borderId="0" xfId="0" applyNumberFormat="1" applyFont="1" applyFill="1" applyBorder="1" applyProtection="1">
      <protection locked="0"/>
    </xf>
    <xf numFmtId="2" fontId="93" fillId="34" borderId="22" xfId="0" applyNumberFormat="1" applyFont="1" applyFill="1" applyBorder="1" applyProtection="1">
      <protection locked="0"/>
    </xf>
    <xf numFmtId="0" fontId="37" fillId="0" borderId="0" xfId="0" applyFont="1" applyFill="1" applyBorder="1" applyAlignment="1" applyProtection="1"/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</xf>
    <xf numFmtId="1" fontId="66" fillId="0" borderId="3" xfId="0" applyNumberFormat="1" applyFont="1" applyBorder="1" applyAlignment="1" applyProtection="1">
      <alignment horizontal="center"/>
    </xf>
    <xf numFmtId="0" fontId="85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10" fontId="66" fillId="0" borderId="3" xfId="33" applyNumberFormat="1" applyFont="1" applyBorder="1" applyAlignment="1" applyProtection="1">
      <alignment horizontal="center"/>
    </xf>
    <xf numFmtId="1" fontId="34" fillId="0" borderId="6" xfId="0" applyNumberFormat="1" applyFont="1" applyBorder="1" applyAlignment="1" applyProtection="1">
      <alignment horizontal="center"/>
      <protection locked="0"/>
    </xf>
    <xf numFmtId="10" fontId="34" fillId="0" borderId="6" xfId="33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121" fillId="0" borderId="31" xfId="0" applyFont="1" applyBorder="1" applyAlignment="1" applyProtection="1">
      <alignment horizontal="center"/>
      <protection locked="0"/>
    </xf>
    <xf numFmtId="0" fontId="121" fillId="0" borderId="33" xfId="0" applyFont="1" applyBorder="1" applyAlignment="1" applyProtection="1">
      <alignment horizontal="center"/>
      <protection locked="0"/>
    </xf>
    <xf numFmtId="0" fontId="29" fillId="33" borderId="14" xfId="0" applyFont="1" applyFill="1" applyBorder="1" applyAlignment="1" applyProtection="1">
      <alignment horizontal="center" vertical="center"/>
    </xf>
    <xf numFmtId="0" fontId="29" fillId="33" borderId="12" xfId="0" applyFont="1" applyFill="1" applyBorder="1" applyAlignment="1" applyProtection="1">
      <alignment horizontal="center" vertical="center"/>
    </xf>
    <xf numFmtId="0" fontId="42" fillId="33" borderId="14" xfId="0" applyFont="1" applyFill="1" applyBorder="1" applyAlignment="1" applyProtection="1">
      <alignment horizontal="center" vertical="center"/>
    </xf>
    <xf numFmtId="0" fontId="42" fillId="33" borderId="12" xfId="0" applyFont="1" applyFill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center" wrapText="1"/>
    </xf>
    <xf numFmtId="0" fontId="37" fillId="33" borderId="8" xfId="0" applyFont="1" applyFill="1" applyBorder="1" applyAlignment="1" applyProtection="1">
      <alignment horizontal="center" vertical="center" wrapText="1"/>
    </xf>
    <xf numFmtId="0" fontId="38" fillId="0" borderId="14" xfId="0" applyFont="1" applyBorder="1" applyAlignment="1" applyProtection="1">
      <alignment horizontal="center"/>
    </xf>
    <xf numFmtId="0" fontId="38" fillId="0" borderId="12" xfId="0" applyFont="1" applyBorder="1" applyAlignment="1" applyProtection="1">
      <alignment horizontal="center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6" fillId="0" borderId="7" xfId="0" applyFont="1" applyBorder="1" applyAlignment="1" applyProtection="1">
      <alignment horizontal="center" wrapText="1"/>
    </xf>
    <xf numFmtId="15" fontId="117" fillId="0" borderId="31" xfId="0" applyNumberFormat="1" applyFont="1" applyBorder="1" applyAlignment="1" applyProtection="1">
      <alignment horizontal="center" vertical="center"/>
      <protection locked="0"/>
    </xf>
    <xf numFmtId="15" fontId="117" fillId="0" borderId="33" xfId="0" applyNumberFormat="1" applyFont="1" applyBorder="1" applyAlignment="1" applyProtection="1">
      <alignment horizontal="center" vertical="center"/>
      <protection locked="0"/>
    </xf>
    <xf numFmtId="0" fontId="50" fillId="0" borderId="14" xfId="0" applyFont="1" applyBorder="1" applyAlignment="1" applyProtection="1">
      <alignment horizontal="center"/>
    </xf>
    <xf numFmtId="0" fontId="50" fillId="0" borderId="12" xfId="0" applyFont="1" applyBorder="1" applyAlignment="1" applyProtection="1">
      <alignment horizontal="center"/>
    </xf>
    <xf numFmtId="0" fontId="28" fillId="0" borderId="13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 vertical="center"/>
    </xf>
    <xf numFmtId="0" fontId="28" fillId="0" borderId="4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6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168" fontId="66" fillId="0" borderId="31" xfId="33" applyNumberFormat="1" applyFont="1" applyBorder="1" applyAlignment="1" applyProtection="1">
      <alignment horizontal="center" vertical="center"/>
      <protection locked="0"/>
    </xf>
    <xf numFmtId="168" fontId="66" fillId="0" borderId="33" xfId="33" applyNumberFormat="1" applyFont="1" applyBorder="1" applyAlignment="1" applyProtection="1">
      <alignment horizontal="center" vertical="center"/>
      <protection locked="0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0" fontId="122" fillId="0" borderId="0" xfId="0" applyFont="1" applyBorder="1" applyAlignment="1" applyProtection="1">
      <alignment horizontal="center"/>
    </xf>
    <xf numFmtId="182" fontId="90" fillId="0" borderId="15" xfId="33" applyNumberFormat="1" applyFont="1" applyFill="1" applyBorder="1" applyAlignment="1" applyProtection="1">
      <alignment horizontal="center"/>
    </xf>
    <xf numFmtId="183" fontId="75" fillId="0" borderId="31" xfId="0" applyNumberFormat="1" applyFont="1" applyBorder="1" applyAlignment="1" applyProtection="1">
      <alignment horizontal="center" vertical="center"/>
      <protection locked="0"/>
    </xf>
    <xf numFmtId="183" fontId="75" fillId="0" borderId="33" xfId="0" applyNumberFormat="1" applyFont="1" applyBorder="1" applyAlignment="1" applyProtection="1">
      <alignment horizontal="center" vertical="center"/>
      <protection locked="0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0" borderId="1" xfId="0" applyFont="1" applyBorder="1" applyAlignment="1" applyProtection="1">
      <alignment horizontal="center" vertical="center"/>
    </xf>
    <xf numFmtId="0" fontId="52" fillId="37" borderId="14" xfId="0" applyFont="1" applyFill="1" applyBorder="1" applyAlignment="1" applyProtection="1">
      <alignment horizontal="center" vertical="center"/>
    </xf>
    <xf numFmtId="0" fontId="52" fillId="37" borderId="15" xfId="0" applyFont="1" applyFill="1" applyBorder="1" applyAlignment="1" applyProtection="1">
      <alignment horizontal="center" vertical="center"/>
    </xf>
    <xf numFmtId="0" fontId="52" fillId="37" borderId="12" xfId="0" applyFont="1" applyFill="1" applyBorder="1" applyAlignment="1" applyProtection="1">
      <alignment horizontal="center" vertical="center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31" xfId="0" applyNumberFormat="1" applyFont="1" applyBorder="1" applyAlignment="1" applyProtection="1">
      <alignment horizontal="center" vertical="center"/>
      <protection locked="0"/>
    </xf>
    <xf numFmtId="14" fontId="55" fillId="0" borderId="33" xfId="0" applyNumberFormat="1" applyFont="1" applyBorder="1" applyAlignment="1" applyProtection="1">
      <alignment horizontal="center" vertical="center"/>
      <protection locked="0"/>
    </xf>
    <xf numFmtId="0" fontId="123" fillId="0" borderId="31" xfId="0" applyFont="1" applyBorder="1" applyAlignment="1" applyProtection="1">
      <alignment horizontal="center" vertical="center"/>
      <protection locked="0"/>
    </xf>
    <xf numFmtId="0" fontId="123" fillId="0" borderId="32" xfId="0" applyFont="1" applyBorder="1" applyAlignment="1" applyProtection="1">
      <alignment horizontal="center" vertical="center"/>
      <protection locked="0"/>
    </xf>
    <xf numFmtId="0" fontId="123" fillId="0" borderId="33" xfId="0" applyFont="1" applyBorder="1" applyAlignment="1" applyProtection="1">
      <alignment horizontal="center" vertical="center"/>
      <protection locked="0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50"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6.7396607213015578</c:v>
                </c:pt>
                <c:pt idx="6">
                  <c:v>6.4215972902544571</c:v>
                </c:pt>
                <c:pt idx="7">
                  <c:v>5.9487311171430264</c:v>
                </c:pt>
                <c:pt idx="8">
                  <c:v>5.3067175760555676</c:v>
                </c:pt>
                <c:pt idx="9">
                  <c:v>4.3934787632474661</c:v>
                </c:pt>
                <c:pt idx="10">
                  <c:v>3.4625345986426046</c:v>
                </c:pt>
                <c:pt idx="11">
                  <c:v>2.8280497766035442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3.2810115090174929</c:v>
                </c:pt>
                <c:pt idx="1">
                  <c:v>4.3605563753896766</c:v>
                </c:pt>
                <c:pt idx="2">
                  <c:v>5.4497697857602567</c:v>
                </c:pt>
                <c:pt idx="3">
                  <c:v>6.2700711929039326</c:v>
                </c:pt>
                <c:pt idx="4">
                  <c:v>6.5794244266480559</c:v>
                </c:pt>
                <c:pt idx="5">
                  <c:v>6.5539680858792169</c:v>
                </c:pt>
                <c:pt idx="6">
                  <c:v>6.2466248207327988</c:v>
                </c:pt>
                <c:pt idx="7">
                  <c:v>5.7869709729260297</c:v>
                </c:pt>
                <c:pt idx="8">
                  <c:v>5.1629455434878615</c:v>
                </c:pt>
                <c:pt idx="9">
                  <c:v>4.2708228764191052</c:v>
                </c:pt>
                <c:pt idx="10">
                  <c:v>3.3583782959083606</c:v>
                </c:pt>
                <c:pt idx="11">
                  <c:v>2.7461230181460481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3.1878666628957104</c:v>
                </c:pt>
                <c:pt idx="1">
                  <c:v>4.262842566862834</c:v>
                </c:pt>
                <c:pt idx="2">
                  <c:v>5.3555827674933703</c:v>
                </c:pt>
                <c:pt idx="3">
                  <c:v>6.1432924209017159</c:v>
                </c:pt>
                <c:pt idx="4">
                  <c:v>6.4362535084496315</c:v>
                </c:pt>
                <c:pt idx="5">
                  <c:v>6.4033041201665757</c:v>
                </c:pt>
                <c:pt idx="6">
                  <c:v>6.0969441406112264</c:v>
                </c:pt>
                <c:pt idx="7">
                  <c:v>5.6437019356441205</c:v>
                </c:pt>
                <c:pt idx="8">
                  <c:v>5.0244736731007293</c:v>
                </c:pt>
                <c:pt idx="9">
                  <c:v>4.1409498913739657</c:v>
                </c:pt>
                <c:pt idx="10">
                  <c:v>3.235710134654604</c:v>
                </c:pt>
                <c:pt idx="11">
                  <c:v>2.645795190324074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3.0618400379417881</c:v>
                </c:pt>
                <c:pt idx="1">
                  <c:v>4.0610068811765165</c:v>
                </c:pt>
                <c:pt idx="2">
                  <c:v>5.0837133686231635</c:v>
                </c:pt>
                <c:pt idx="3">
                  <c:v>5.8272461046826987</c:v>
                </c:pt>
                <c:pt idx="4">
                  <c:v>6.6123116743763521</c:v>
                </c:pt>
                <c:pt idx="5">
                  <c:v>6.6065028300153976</c:v>
                </c:pt>
                <c:pt idx="6">
                  <c:v>6.2947786607841145</c:v>
                </c:pt>
                <c:pt idx="7">
                  <c:v>5.8233544041506766</c:v>
                </c:pt>
                <c:pt idx="8">
                  <c:v>5.1885711921624242</c:v>
                </c:pt>
                <c:pt idx="9">
                  <c:v>4.2704733589600341</c:v>
                </c:pt>
                <c:pt idx="10">
                  <c:v>3.3363486982918151</c:v>
                </c:pt>
                <c:pt idx="11">
                  <c:v>2.7205153444219055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3.1663208814112349</c:v>
                </c:pt>
                <c:pt idx="1">
                  <c:v>4.2272369645651837</c:v>
                </c:pt>
                <c:pt idx="2">
                  <c:v>5.3371840763009297</c:v>
                </c:pt>
                <c:pt idx="3">
                  <c:v>6.1513553543739503</c:v>
                </c:pt>
                <c:pt idx="4">
                  <c:v>6.5734415922569092</c:v>
                </c:pt>
                <c:pt idx="5">
                  <c:v>6.544236726682656</c:v>
                </c:pt>
                <c:pt idx="6">
                  <c:v>6.2253293270102112</c:v>
                </c:pt>
                <c:pt idx="7">
                  <c:v>5.7472392460558126</c:v>
                </c:pt>
                <c:pt idx="8">
                  <c:v>5.1118308569664341</c:v>
                </c:pt>
                <c:pt idx="9">
                  <c:v>4.1888945499161343</c:v>
                </c:pt>
                <c:pt idx="10">
                  <c:v>3.2605359233501896</c:v>
                </c:pt>
                <c:pt idx="11">
                  <c:v>2.6468067198135796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3.0871166703609836</c:v>
                </c:pt>
                <c:pt idx="1">
                  <c:v>4.1253416964832006</c:v>
                </c:pt>
                <c:pt idx="2">
                  <c:v>5.2263205189175919</c:v>
                </c:pt>
                <c:pt idx="3">
                  <c:v>6.0165073328296055</c:v>
                </c:pt>
                <c:pt idx="4">
                  <c:v>6.318093812280777</c:v>
                </c:pt>
                <c:pt idx="5">
                  <c:v>6.295342831393504</c:v>
                </c:pt>
                <c:pt idx="6">
                  <c:v>5.9917963116707549</c:v>
                </c:pt>
                <c:pt idx="7">
                  <c:v>5.5329513405776067</c:v>
                </c:pt>
                <c:pt idx="8">
                  <c:v>4.9238723661056483</c:v>
                </c:pt>
                <c:pt idx="9">
                  <c:v>4.025209433311935</c:v>
                </c:pt>
                <c:pt idx="10">
                  <c:v>3.127268774852475</c:v>
                </c:pt>
                <c:pt idx="11">
                  <c:v>2.5291581909844303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2.9642167012691845</c:v>
                </c:pt>
                <c:pt idx="1">
                  <c:v>3.9773952315783601</c:v>
                </c:pt>
                <c:pt idx="2">
                  <c:v>5.0653730184901287</c:v>
                </c:pt>
                <c:pt idx="3">
                  <c:v>5.8492297451028499</c:v>
                </c:pt>
                <c:pt idx="4">
                  <c:v>6.4744618420004176</c:v>
                </c:pt>
                <c:pt idx="5">
                  <c:v>6.4514502685154005</c:v>
                </c:pt>
                <c:pt idx="6">
                  <c:v>6.1337570141750595</c:v>
                </c:pt>
                <c:pt idx="7">
                  <c:v>5.6527882153906486</c:v>
                </c:pt>
                <c:pt idx="8">
                  <c:v>5.0218099277734103</c:v>
                </c:pt>
                <c:pt idx="9">
                  <c:v>4.0817900575706112</c:v>
                </c:pt>
                <c:pt idx="10">
                  <c:v>3.1523230709823071</c:v>
                </c:pt>
                <c:pt idx="11">
                  <c:v>2.5266474334188325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2.9752912151394573</c:v>
                </c:pt>
                <c:pt idx="1">
                  <c:v>4.0141018963633606</c:v>
                </c:pt>
                <c:pt idx="2">
                  <c:v>5.1345601601439883</c:v>
                </c:pt>
                <c:pt idx="3">
                  <c:v>5.9538981355966136</c:v>
                </c:pt>
                <c:pt idx="4">
                  <c:v>6.2404365686337799</c:v>
                </c:pt>
                <c:pt idx="5">
                  <c:v>6.2100077893054024</c:v>
                </c:pt>
                <c:pt idx="6">
                  <c:v>5.9145649721766542</c:v>
                </c:pt>
                <c:pt idx="7">
                  <c:v>5.4782005570549508</c:v>
                </c:pt>
                <c:pt idx="8">
                  <c:v>4.8869317329475015</c:v>
                </c:pt>
                <c:pt idx="9">
                  <c:v>4.046585683125894</c:v>
                </c:pt>
                <c:pt idx="10">
                  <c:v>3.1900311081123118</c:v>
                </c:pt>
                <c:pt idx="11">
                  <c:v>2.6065594570822044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3.0242801371233199</c:v>
                </c:pt>
                <c:pt idx="1">
                  <c:v>4.0199377458274252</c:v>
                </c:pt>
                <c:pt idx="2">
                  <c:v>5.0256706513404312</c:v>
                </c:pt>
                <c:pt idx="3">
                  <c:v>5.7925816446085214</c:v>
                </c:pt>
                <c:pt idx="4">
                  <c:v>6.3980120397181368</c:v>
                </c:pt>
                <c:pt idx="5">
                  <c:v>6.3648924238615638</c:v>
                </c:pt>
                <c:pt idx="6">
                  <c:v>6.0571589098810961</c:v>
                </c:pt>
                <c:pt idx="7">
                  <c:v>5.6018682250861715</c:v>
                </c:pt>
                <c:pt idx="8">
                  <c:v>4.9894531691129522</c:v>
                </c:pt>
                <c:pt idx="9">
                  <c:v>4.1197791181529624</c:v>
                </c:pt>
                <c:pt idx="10">
                  <c:v>3.2330933994604916</c:v>
                </c:pt>
                <c:pt idx="11">
                  <c:v>2.6398750998010225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3.0605747146034936</c:v>
                </c:pt>
                <c:pt idx="1">
                  <c:v>4.0702585344267606</c:v>
                </c:pt>
                <c:pt idx="2">
                  <c:v>5.0998012007367288</c:v>
                </c:pt>
                <c:pt idx="3">
                  <c:v>5.8646134410543747</c:v>
                </c:pt>
                <c:pt idx="4">
                  <c:v>6.1513395453323305</c:v>
                </c:pt>
                <c:pt idx="5">
                  <c:v>6.1231876891373078</c:v>
                </c:pt>
                <c:pt idx="6">
                  <c:v>5.8313334258376113</c:v>
                </c:pt>
                <c:pt idx="7">
                  <c:v>5.3959419865981237</c:v>
                </c:pt>
                <c:pt idx="8">
                  <c:v>4.8089089437809163</c:v>
                </c:pt>
                <c:pt idx="9">
                  <c:v>3.9694822100171496</c:v>
                </c:pt>
                <c:pt idx="10">
                  <c:v>3.1099733634925744</c:v>
                </c:pt>
                <c:pt idx="11">
                  <c:v>2.5435424258154131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4959032"/>
        <c:axId val="374957856"/>
      </c:lineChart>
      <c:dateAx>
        <c:axId val="374959032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4957856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37495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495903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24.0033372546152</c:v>
                </c:pt>
                <c:pt idx="1">
                  <c:v>24.169997203879355</c:v>
                </c:pt>
                <c:pt idx="2">
                  <c:v>24.346380069501386</c:v>
                </c:pt>
                <c:pt idx="3">
                  <c:v>24.531342531956792</c:v>
                </c:pt>
                <c:pt idx="4">
                  <c:v>24.723742310244148</c:v>
                </c:pt>
                <c:pt idx="5">
                  <c:v>24.922438171520152</c:v>
                </c:pt>
                <c:pt idx="6">
                  <c:v>25.126289920197337</c:v>
                </c:pt>
                <c:pt idx="7">
                  <c:v>25.334158416155311</c:v>
                </c:pt>
                <c:pt idx="8">
                  <c:v>25.550522271833369</c:v>
                </c:pt>
                <c:pt idx="9">
                  <c:v>25.779697291508135</c:v>
                </c:pt>
                <c:pt idx="10">
                  <c:v>26.020527935054183</c:v>
                </c:pt>
                <c:pt idx="11">
                  <c:v>26.271814232770765</c:v>
                </c:pt>
                <c:pt idx="12">
                  <c:v>26.532357354908697</c:v>
                </c:pt>
                <c:pt idx="13">
                  <c:v>26.800959637612028</c:v>
                </c:pt>
                <c:pt idx="14">
                  <c:v>27.076424570440668</c:v>
                </c:pt>
                <c:pt idx="15">
                  <c:v>27.357396679740674</c:v>
                </c:pt>
                <c:pt idx="16">
                  <c:v>27.642808371598889</c:v>
                </c:pt>
                <c:pt idx="17">
                  <c:v>27.93146665084036</c:v>
                </c:pt>
                <c:pt idx="18">
                  <c:v>28.222179706460789</c:v>
                </c:pt>
                <c:pt idx="19">
                  <c:v>28.513754694409375</c:v>
                </c:pt>
                <c:pt idx="20">
                  <c:v>28.804998820826686</c:v>
                </c:pt>
                <c:pt idx="21">
                  <c:v>29.09472207249776</c:v>
                </c:pt>
                <c:pt idx="22">
                  <c:v>29.386214794534315</c:v>
                </c:pt>
                <c:pt idx="23">
                  <c:v>29.683201037445471</c:v>
                </c:pt>
                <c:pt idx="24">
                  <c:v>29.985102770021967</c:v>
                </c:pt>
                <c:pt idx="25">
                  <c:v>30.291222181274097</c:v>
                </c:pt>
                <c:pt idx="26">
                  <c:v>30.600862107412013</c:v>
                </c:pt>
                <c:pt idx="27">
                  <c:v>30.913326035696269</c:v>
                </c:pt>
                <c:pt idx="28">
                  <c:v>31.227918104801532</c:v>
                </c:pt>
                <c:pt idx="29">
                  <c:v>31.544792686471599</c:v>
                </c:pt>
                <c:pt idx="30">
                  <c:v>31.863414699529432</c:v>
                </c:pt>
                <c:pt idx="31">
                  <c:v>32.183089720604208</c:v>
                </c:pt>
                <c:pt idx="32">
                  <c:v>32.503123982914211</c:v>
                </c:pt>
                <c:pt idx="33">
                  <c:v>32.822824384178077</c:v>
                </c:pt>
                <c:pt idx="34">
                  <c:v>33.141498494348561</c:v>
                </c:pt>
                <c:pt idx="35">
                  <c:v>33.458454560871928</c:v>
                </c:pt>
                <c:pt idx="36">
                  <c:v>33.774946880469706</c:v>
                </c:pt>
                <c:pt idx="37">
                  <c:v>34.093468751458992</c:v>
                </c:pt>
                <c:pt idx="38">
                  <c:v>34.413813918547334</c:v>
                </c:pt>
                <c:pt idx="39">
                  <c:v>34.735882892186488</c:v>
                </c:pt>
                <c:pt idx="40">
                  <c:v>35.059576387219529</c:v>
                </c:pt>
                <c:pt idx="41">
                  <c:v>35.384795330944449</c:v>
                </c:pt>
                <c:pt idx="42">
                  <c:v>35.711440870054062</c:v>
                </c:pt>
                <c:pt idx="43">
                  <c:v>36.039562138326417</c:v>
                </c:pt>
                <c:pt idx="44">
                  <c:v>36.36821311937657</c:v>
                </c:pt>
                <c:pt idx="45">
                  <c:v>36.697295912788171</c:v>
                </c:pt>
                <c:pt idx="46">
                  <c:v>37.026712819132676</c:v>
                </c:pt>
                <c:pt idx="47">
                  <c:v>37.356366342846378</c:v>
                </c:pt>
                <c:pt idx="48">
                  <c:v>37.686159197943169</c:v>
                </c:pt>
                <c:pt idx="49">
                  <c:v>38.015994312445812</c:v>
                </c:pt>
                <c:pt idx="50">
                  <c:v>38.346021358044304</c:v>
                </c:pt>
                <c:pt idx="51">
                  <c:v>38.675874645871545</c:v>
                </c:pt>
                <c:pt idx="52">
                  <c:v>39.004713921492268</c:v>
                </c:pt>
                <c:pt idx="53">
                  <c:v>39.332542272963359</c:v>
                </c:pt>
                <c:pt idx="54">
                  <c:v>39.659361173522392</c:v>
                </c:pt>
                <c:pt idx="55">
                  <c:v>39.985171996453751</c:v>
                </c:pt>
                <c:pt idx="56">
                  <c:v>40.309976018994867</c:v>
                </c:pt>
                <c:pt idx="57">
                  <c:v>40.632938980678986</c:v>
                </c:pt>
                <c:pt idx="58">
                  <c:v>40.953913671803988</c:v>
                </c:pt>
                <c:pt idx="59">
                  <c:v>41.272900695081006</c:v>
                </c:pt>
                <c:pt idx="60">
                  <c:v>41.589900499590598</c:v>
                </c:pt>
                <c:pt idx="61">
                  <c:v>41.904913378036291</c:v>
                </c:pt>
                <c:pt idx="62">
                  <c:v>42.217939461888868</c:v>
                </c:pt>
                <c:pt idx="63">
                  <c:v>42.528978715295715</c:v>
                </c:pt>
                <c:pt idx="64">
                  <c:v>42.839095963565207</c:v>
                </c:pt>
                <c:pt idx="65">
                  <c:v>43.14865411528725</c:v>
                </c:pt>
                <c:pt idx="66">
                  <c:v>43.457741447571756</c:v>
                </c:pt>
                <c:pt idx="67">
                  <c:v>43.765865047166649</c:v>
                </c:pt>
                <c:pt idx="68">
                  <c:v>44.072532201311745</c:v>
                </c:pt>
                <c:pt idx="69">
                  <c:v>44.377250380335646</c:v>
                </c:pt>
                <c:pt idx="70">
                  <c:v>44.679527221154252</c:v>
                </c:pt>
                <c:pt idx="71">
                  <c:v>44.979057903875926</c:v>
                </c:pt>
                <c:pt idx="72">
                  <c:v>45.276188293746429</c:v>
                </c:pt>
                <c:pt idx="73">
                  <c:v>45.570427452399272</c:v>
                </c:pt>
                <c:pt idx="74">
                  <c:v>45.861284699884848</c:v>
                </c:pt>
                <c:pt idx="75">
                  <c:v>46.148269611386944</c:v>
                </c:pt>
                <c:pt idx="76">
                  <c:v>46.430892016185432</c:v>
                </c:pt>
                <c:pt idx="77">
                  <c:v>46.708661997475936</c:v>
                </c:pt>
                <c:pt idx="78">
                  <c:v>46.984014206596001</c:v>
                </c:pt>
                <c:pt idx="79">
                  <c:v>47.259448776459038</c:v>
                </c:pt>
                <c:pt idx="80">
                  <c:v>47.534554679323207</c:v>
                </c:pt>
                <c:pt idx="81">
                  <c:v>47.808547057961228</c:v>
                </c:pt>
                <c:pt idx="82">
                  <c:v>48.080641754807147</c:v>
                </c:pt>
                <c:pt idx="83">
                  <c:v>48.350055327704631</c:v>
                </c:pt>
                <c:pt idx="84">
                  <c:v>48.616005070528679</c:v>
                </c:pt>
                <c:pt idx="85">
                  <c:v>48.877797996983716</c:v>
                </c:pt>
                <c:pt idx="86">
                  <c:v>49.13446429846752</c:v>
                </c:pt>
                <c:pt idx="87">
                  <c:v>49.385223338817902</c:v>
                </c:pt>
                <c:pt idx="88">
                  <c:v>49.629295256622385</c:v>
                </c:pt>
                <c:pt idx="89">
                  <c:v>49.865900980351242</c:v>
                </c:pt>
                <c:pt idx="90">
                  <c:v>50.094262248643446</c:v>
                </c:pt>
                <c:pt idx="91">
                  <c:v>50.313601628317009</c:v>
                </c:pt>
                <c:pt idx="92">
                  <c:v>50.524250187109232</c:v>
                </c:pt>
                <c:pt idx="93">
                  <c:v>50.727352546767904</c:v>
                </c:pt>
                <c:pt idx="94">
                  <c:v>50.923036017340493</c:v>
                </c:pt>
                <c:pt idx="95">
                  <c:v>51.11169485534073</c:v>
                </c:pt>
                <c:pt idx="96">
                  <c:v>51.293723100311446</c:v>
                </c:pt>
                <c:pt idx="97">
                  <c:v>51.469514583104363</c:v>
                </c:pt>
                <c:pt idx="98">
                  <c:v>51.639462931075087</c:v>
                </c:pt>
                <c:pt idx="99">
                  <c:v>51.803769482720334</c:v>
                </c:pt>
                <c:pt idx="100">
                  <c:v>51.962735400649493</c:v>
                </c:pt>
                <c:pt idx="101">
                  <c:v>52.116751889089372</c:v>
                </c:pt>
                <c:pt idx="102">
                  <c:v>52.266209809815727</c:v>
                </c:pt>
                <c:pt idx="103">
                  <c:v>52.411499673822888</c:v>
                </c:pt>
                <c:pt idx="104">
                  <c:v>52.55301164511819</c:v>
                </c:pt>
                <c:pt idx="105">
                  <c:v>52.6911355382979</c:v>
                </c:pt>
                <c:pt idx="106">
                  <c:v>52.824864204992487</c:v>
                </c:pt>
                <c:pt idx="107">
                  <c:v>52.952993949293102</c:v>
                </c:pt>
                <c:pt idx="108">
                  <c:v>53.07568740889527</c:v>
                </c:pt>
                <c:pt idx="109">
                  <c:v>53.193139499820454</c:v>
                </c:pt>
                <c:pt idx="110">
                  <c:v>53.305544692717163</c:v>
                </c:pt>
                <c:pt idx="111">
                  <c:v>53.413097236861319</c:v>
                </c:pt>
                <c:pt idx="112">
                  <c:v>53.515991368317486</c:v>
                </c:pt>
                <c:pt idx="113">
                  <c:v>53.61464833661973</c:v>
                </c:pt>
                <c:pt idx="114">
                  <c:v>53.70946432104045</c:v>
                </c:pt>
                <c:pt idx="115">
                  <c:v>53.800637513158605</c:v>
                </c:pt>
                <c:pt idx="116">
                  <c:v>53.888366198438597</c:v>
                </c:pt>
                <c:pt idx="117">
                  <c:v>53.972848757716896</c:v>
                </c:pt>
                <c:pt idx="118">
                  <c:v>54.054283679970055</c:v>
                </c:pt>
                <c:pt idx="119">
                  <c:v>54.132869558963257</c:v>
                </c:pt>
                <c:pt idx="120">
                  <c:v>54.207898603368236</c:v>
                </c:pt>
                <c:pt idx="121">
                  <c:v>58.935780562826906</c:v>
                </c:pt>
                <c:pt idx="122">
                  <c:v>59.01753233917448</c:v>
                </c:pt>
                <c:pt idx="123">
                  <c:v>59.095301699308223</c:v>
                </c:pt>
                <c:pt idx="124">
                  <c:v>59.169304949963866</c:v>
                </c:pt>
                <c:pt idx="125">
                  <c:v>59.239758567375041</c:v>
                </c:pt>
                <c:pt idx="126">
                  <c:v>59.306879193561606</c:v>
                </c:pt>
                <c:pt idx="127">
                  <c:v>59.370767377525141</c:v>
                </c:pt>
                <c:pt idx="128">
                  <c:v>59.4313825518595</c:v>
                </c:pt>
                <c:pt idx="129">
                  <c:v>59.488940298016836</c:v>
                </c:pt>
                <c:pt idx="130">
                  <c:v>59.543656332540593</c:v>
                </c:pt>
                <c:pt idx="131">
                  <c:v>59.59574650340921</c:v>
                </c:pt>
                <c:pt idx="132">
                  <c:v>59.645426794318041</c:v>
                </c:pt>
                <c:pt idx="133">
                  <c:v>59.692913322184012</c:v>
                </c:pt>
                <c:pt idx="134">
                  <c:v>59.737895731044787</c:v>
                </c:pt>
                <c:pt idx="135">
                  <c:v>59.779792163907594</c:v>
                </c:pt>
                <c:pt idx="136">
                  <c:v>59.818520890726191</c:v>
                </c:pt>
                <c:pt idx="137">
                  <c:v>59.854082918911971</c:v>
                </c:pt>
                <c:pt idx="138">
                  <c:v>59.886479255355084</c:v>
                </c:pt>
                <c:pt idx="139">
                  <c:v>59.915710907273848</c:v>
                </c:pt>
                <c:pt idx="140">
                  <c:v>59.941778887411338</c:v>
                </c:pt>
                <c:pt idx="141">
                  <c:v>59.964618124902557</c:v>
                </c:pt>
                <c:pt idx="142">
                  <c:v>59.984342534532693</c:v>
                </c:pt>
                <c:pt idx="143">
                  <c:v>60.000950233406961</c:v>
                </c:pt>
                <c:pt idx="144">
                  <c:v>60.014439117296774</c:v>
                </c:pt>
                <c:pt idx="145">
                  <c:v>60.024806988151418</c:v>
                </c:pt>
                <c:pt idx="146">
                  <c:v>60.03205156042138</c:v>
                </c:pt>
                <c:pt idx="147">
                  <c:v>60.036170459913585</c:v>
                </c:pt>
                <c:pt idx="148">
                  <c:v>60.037161235462335</c:v>
                </c:pt>
                <c:pt idx="149">
                  <c:v>60.03501120899913</c:v>
                </c:pt>
                <c:pt idx="150">
                  <c:v>60.029855837852928</c:v>
                </c:pt>
                <c:pt idx="151">
                  <c:v>60.021692509619335</c:v>
                </c:pt>
                <c:pt idx="152">
                  <c:v>60.010518513324975</c:v>
                </c:pt>
                <c:pt idx="153">
                  <c:v>59.996331041895736</c:v>
                </c:pt>
                <c:pt idx="154">
                  <c:v>59.979127204619239</c:v>
                </c:pt>
                <c:pt idx="155">
                  <c:v>59.958907136326147</c:v>
                </c:pt>
                <c:pt idx="156">
                  <c:v>59.935747447615881</c:v>
                </c:pt>
                <c:pt idx="157">
                  <c:v>59.909647935334441</c:v>
                </c:pt>
                <c:pt idx="158">
                  <c:v>59.880608355666787</c:v>
                </c:pt>
                <c:pt idx="159">
                  <c:v>59.848628428607199</c:v>
                </c:pt>
                <c:pt idx="160">
                  <c:v>59.813707837695375</c:v>
                </c:pt>
                <c:pt idx="161">
                  <c:v>59.775846235625167</c:v>
                </c:pt>
                <c:pt idx="162">
                  <c:v>59.735043244992752</c:v>
                </c:pt>
                <c:pt idx="163">
                  <c:v>59.691296873325655</c:v>
                </c:pt>
                <c:pt idx="164">
                  <c:v>59.644625138605804</c:v>
                </c:pt>
                <c:pt idx="165">
                  <c:v>59.595029294364089</c:v>
                </c:pt>
                <c:pt idx="166">
                  <c:v>59.542510570348341</c:v>
                </c:pt>
                <c:pt idx="167">
                  <c:v>59.487070165590161</c:v>
                </c:pt>
                <c:pt idx="168">
                  <c:v>59.428709248688435</c:v>
                </c:pt>
                <c:pt idx="169">
                  <c:v>59.367427396596867</c:v>
                </c:pt>
                <c:pt idx="170">
                  <c:v>59.303222398398695</c:v>
                </c:pt>
                <c:pt idx="171">
                  <c:v>59.236095295916535</c:v>
                </c:pt>
                <c:pt idx="172">
                  <c:v>59.166047091630297</c:v>
                </c:pt>
                <c:pt idx="173">
                  <c:v>59.093078857640869</c:v>
                </c:pt>
                <c:pt idx="174">
                  <c:v>59.017191633346627</c:v>
                </c:pt>
                <c:pt idx="175">
                  <c:v>58.938386324958799</c:v>
                </c:pt>
                <c:pt idx="176">
                  <c:v>58.855981588698327</c:v>
                </c:pt>
                <c:pt idx="177">
                  <c:v>58.769509570054964</c:v>
                </c:pt>
                <c:pt idx="178">
                  <c:v>58.679287699931315</c:v>
                </c:pt>
                <c:pt idx="179">
                  <c:v>58.585631743180151</c:v>
                </c:pt>
                <c:pt idx="180">
                  <c:v>58.488857321558193</c:v>
                </c:pt>
                <c:pt idx="181">
                  <c:v>58.389279917927638</c:v>
                </c:pt>
                <c:pt idx="182">
                  <c:v>58.287214880498134</c:v>
                </c:pt>
                <c:pt idx="183">
                  <c:v>58.18294908457024</c:v>
                </c:pt>
                <c:pt idx="184">
                  <c:v>58.076797746644012</c:v>
                </c:pt>
                <c:pt idx="185">
                  <c:v>57.969074512013378</c:v>
                </c:pt>
                <c:pt idx="186">
                  <c:v>57.860092956907337</c:v>
                </c:pt>
                <c:pt idx="187">
                  <c:v>57.750166590363911</c:v>
                </c:pt>
                <c:pt idx="188">
                  <c:v>57.639608858112332</c:v>
                </c:pt>
                <c:pt idx="189">
                  <c:v>57.528733146123997</c:v>
                </c:pt>
                <c:pt idx="190">
                  <c:v>57.416839333572739</c:v>
                </c:pt>
                <c:pt idx="191">
                  <c:v>57.302979841281022</c:v>
                </c:pt>
                <c:pt idx="192">
                  <c:v>57.187253559193373</c:v>
                </c:pt>
                <c:pt idx="193">
                  <c:v>57.069763013438042</c:v>
                </c:pt>
                <c:pt idx="194">
                  <c:v>56.950610839750091</c:v>
                </c:pt>
                <c:pt idx="195">
                  <c:v>56.829899782017954</c:v>
                </c:pt>
                <c:pt idx="196">
                  <c:v>56.707732688889827</c:v>
                </c:pt>
                <c:pt idx="197">
                  <c:v>56.584056155984626</c:v>
                </c:pt>
                <c:pt idx="198">
                  <c:v>56.45900692514995</c:v>
                </c:pt>
                <c:pt idx="199">
                  <c:v>56.332688745933197</c:v>
                </c:pt>
                <c:pt idx="200">
                  <c:v>56.205205437232443</c:v>
                </c:pt>
                <c:pt idx="201">
                  <c:v>56.0766608792215</c:v>
                </c:pt>
                <c:pt idx="202">
                  <c:v>55.947159006427995</c:v>
                </c:pt>
                <c:pt idx="203">
                  <c:v>55.816803800673895</c:v>
                </c:pt>
                <c:pt idx="204">
                  <c:v>55.68521061846036</c:v>
                </c:pt>
                <c:pt idx="205">
                  <c:v>55.551899338146413</c:v>
                </c:pt>
                <c:pt idx="206">
                  <c:v>55.417089720559744</c:v>
                </c:pt>
                <c:pt idx="207">
                  <c:v>55.280887958811157</c:v>
                </c:pt>
                <c:pt idx="208">
                  <c:v>55.143400175859078</c:v>
                </c:pt>
                <c:pt idx="209">
                  <c:v>55.004732423229868</c:v>
                </c:pt>
                <c:pt idx="210">
                  <c:v>54.864990683036758</c:v>
                </c:pt>
                <c:pt idx="211">
                  <c:v>54.724457738737399</c:v>
                </c:pt>
                <c:pt idx="212">
                  <c:v>54.583398430727861</c:v>
                </c:pt>
                <c:pt idx="213">
                  <c:v>54.441920039420715</c:v>
                </c:pt>
                <c:pt idx="214">
                  <c:v>54.300129668152103</c:v>
                </c:pt>
                <c:pt idx="215">
                  <c:v>54.158134250868891</c:v>
                </c:pt>
                <c:pt idx="216">
                  <c:v>54.016040560434405</c:v>
                </c:pt>
                <c:pt idx="217">
                  <c:v>53.873955215811662</c:v>
                </c:pt>
                <c:pt idx="218">
                  <c:v>53.732403153197282</c:v>
                </c:pt>
                <c:pt idx="219">
                  <c:v>53.591902276124877</c:v>
                </c:pt>
                <c:pt idx="220">
                  <c:v>53.452232317559002</c:v>
                </c:pt>
                <c:pt idx="221">
                  <c:v>53.313080078816427</c:v>
                </c:pt>
                <c:pt idx="222">
                  <c:v>53.174132404615079</c:v>
                </c:pt>
                <c:pt idx="223">
                  <c:v>53.035076184288826</c:v>
                </c:pt>
                <c:pt idx="224">
                  <c:v>52.895598351385964</c:v>
                </c:pt>
                <c:pt idx="225">
                  <c:v>52.755178816110337</c:v>
                </c:pt>
                <c:pt idx="226">
                  <c:v>52.613321105855064</c:v>
                </c:pt>
                <c:pt idx="227">
                  <c:v>52.4697105935522</c:v>
                </c:pt>
                <c:pt idx="228">
                  <c:v>52.324032852420792</c:v>
                </c:pt>
                <c:pt idx="229">
                  <c:v>52.17597364932849</c:v>
                </c:pt>
                <c:pt idx="230">
                  <c:v>52.025218939728205</c:v>
                </c:pt>
                <c:pt idx="231">
                  <c:v>51.871454858552951</c:v>
                </c:pt>
                <c:pt idx="232">
                  <c:v>51.71583082279178</c:v>
                </c:pt>
                <c:pt idx="233">
                  <c:v>51.559269250279264</c:v>
                </c:pt>
                <c:pt idx="234">
                  <c:v>51.401186056621015</c:v>
                </c:pt>
                <c:pt idx="235">
                  <c:v>51.24126801804627</c:v>
                </c:pt>
                <c:pt idx="236">
                  <c:v>51.079202027269723</c:v>
                </c:pt>
                <c:pt idx="237">
                  <c:v>50.914675227330974</c:v>
                </c:pt>
                <c:pt idx="238">
                  <c:v>50.747374924559331</c:v>
                </c:pt>
                <c:pt idx="239">
                  <c:v>50.577087409684438</c:v>
                </c:pt>
                <c:pt idx="240">
                  <c:v>50.403711107615315</c:v>
                </c:pt>
                <c:pt idx="241">
                  <c:v>50.226934405725288</c:v>
                </c:pt>
                <c:pt idx="242">
                  <c:v>50.046445761164215</c:v>
                </c:pt>
                <c:pt idx="243">
                  <c:v>49.86193370464602</c:v>
                </c:pt>
                <c:pt idx="244">
                  <c:v>49.673086843939515</c:v>
                </c:pt>
                <c:pt idx="245">
                  <c:v>49.479593870094419</c:v>
                </c:pt>
                <c:pt idx="246">
                  <c:v>49.281700361123704</c:v>
                </c:pt>
                <c:pt idx="247">
                  <c:v>49.080100940735299</c:v>
                </c:pt>
                <c:pt idx="248">
                  <c:v>48.875126620989441</c:v>
                </c:pt>
                <c:pt idx="249">
                  <c:v>48.666883102204004</c:v>
                </c:pt>
                <c:pt idx="250">
                  <c:v>48.455476018377766</c:v>
                </c:pt>
                <c:pt idx="251">
                  <c:v>48.241010937173094</c:v>
                </c:pt>
                <c:pt idx="252">
                  <c:v>48.023593359731485</c:v>
                </c:pt>
                <c:pt idx="253">
                  <c:v>47.803798424660236</c:v>
                </c:pt>
                <c:pt idx="254">
                  <c:v>47.581631708835175</c:v>
                </c:pt>
                <c:pt idx="255">
                  <c:v>47.357197992306922</c:v>
                </c:pt>
                <c:pt idx="256">
                  <c:v>47.130601920395605</c:v>
                </c:pt>
                <c:pt idx="257">
                  <c:v>46.901948003491867</c:v>
                </c:pt>
                <c:pt idx="258">
                  <c:v>46.671340607936365</c:v>
                </c:pt>
                <c:pt idx="259">
                  <c:v>46.438883951588217</c:v>
                </c:pt>
                <c:pt idx="260">
                  <c:v>46.203969394061943</c:v>
                </c:pt>
                <c:pt idx="261">
                  <c:v>45.966226217390961</c:v>
                </c:pt>
                <c:pt idx="262">
                  <c:v>45.725692154687323</c:v>
                </c:pt>
                <c:pt idx="263">
                  <c:v>45.482574995013664</c:v>
                </c:pt>
                <c:pt idx="264">
                  <c:v>45.237082316527484</c:v>
                </c:pt>
                <c:pt idx="265">
                  <c:v>44.989420463064562</c:v>
                </c:pt>
                <c:pt idx="266">
                  <c:v>44.739796170659119</c:v>
                </c:pt>
                <c:pt idx="267">
                  <c:v>44.487502444520203</c:v>
                </c:pt>
                <c:pt idx="268">
                  <c:v>44.232282535684469</c:v>
                </c:pt>
                <c:pt idx="269">
                  <c:v>43.974346646278832</c:v>
                </c:pt>
                <c:pt idx="270">
                  <c:v>43.713905085775025</c:v>
                </c:pt>
                <c:pt idx="271">
                  <c:v>43.451168284820227</c:v>
                </c:pt>
                <c:pt idx="272">
                  <c:v>43.186346807141668</c:v>
                </c:pt>
                <c:pt idx="273">
                  <c:v>42.919651359371898</c:v>
                </c:pt>
                <c:pt idx="274">
                  <c:v>42.649868755795367</c:v>
                </c:pt>
                <c:pt idx="275">
                  <c:v>42.374429368722119</c:v>
                </c:pt>
                <c:pt idx="276">
                  <c:v>42.093593642647036</c:v>
                </c:pt>
                <c:pt idx="277">
                  <c:v>41.807788567295482</c:v>
                </c:pt>
                <c:pt idx="278">
                  <c:v>41.517441858395202</c:v>
                </c:pt>
                <c:pt idx="279">
                  <c:v>41.222981982711914</c:v>
                </c:pt>
                <c:pt idx="280">
                  <c:v>40.92483818326572</c:v>
                </c:pt>
                <c:pt idx="281">
                  <c:v>40.622751793823937</c:v>
                </c:pt>
                <c:pt idx="282">
                  <c:v>40.318056645450589</c:v>
                </c:pt>
                <c:pt idx="283">
                  <c:v>40.011183844805927</c:v>
                </c:pt>
                <c:pt idx="284">
                  <c:v>39.702565184354505</c:v>
                </c:pt>
                <c:pt idx="285">
                  <c:v>39.392633133161965</c:v>
                </c:pt>
                <c:pt idx="286">
                  <c:v>39.081820817004996</c:v>
                </c:pt>
                <c:pt idx="287">
                  <c:v>38.77056199233391</c:v>
                </c:pt>
                <c:pt idx="288">
                  <c:v>38.457573266982195</c:v>
                </c:pt>
                <c:pt idx="289">
                  <c:v>38.142220414988188</c:v>
                </c:pt>
                <c:pt idx="290">
                  <c:v>37.826289722031021</c:v>
                </c:pt>
                <c:pt idx="291">
                  <c:v>37.510099159039726</c:v>
                </c:pt>
                <c:pt idx="292">
                  <c:v>37.19396626419784</c:v>
                </c:pt>
                <c:pt idx="293">
                  <c:v>36.878208109245229</c:v>
                </c:pt>
                <c:pt idx="294">
                  <c:v>36.563141268958006</c:v>
                </c:pt>
                <c:pt idx="295">
                  <c:v>36.250590424123885</c:v>
                </c:pt>
                <c:pt idx="296">
                  <c:v>35.941518305215382</c:v>
                </c:pt>
                <c:pt idx="297">
                  <c:v>35.636215915448005</c:v>
                </c:pt>
                <c:pt idx="298">
                  <c:v>35.33497818263718</c:v>
                </c:pt>
                <c:pt idx="299">
                  <c:v>35.038099127872982</c:v>
                </c:pt>
                <c:pt idx="300">
                  <c:v>34.745871917396919</c:v>
                </c:pt>
                <c:pt idx="301">
                  <c:v>34.458588929188203</c:v>
                </c:pt>
                <c:pt idx="302">
                  <c:v>34.175987052283226</c:v>
                </c:pt>
                <c:pt idx="303">
                  <c:v>33.898551961100836</c:v>
                </c:pt>
                <c:pt idx="304">
                  <c:v>33.625458016251088</c:v>
                </c:pt>
                <c:pt idx="305">
                  <c:v>33.356576496440525</c:v>
                </c:pt>
                <c:pt idx="306">
                  <c:v>33.091778440753437</c:v>
                </c:pt>
                <c:pt idx="307">
                  <c:v>32.830934758548395</c:v>
                </c:pt>
                <c:pt idx="308">
                  <c:v>32.573916345572513</c:v>
                </c:pt>
                <c:pt idx="309">
                  <c:v>32.320563077432688</c:v>
                </c:pt>
                <c:pt idx="310">
                  <c:v>32.069298122184719</c:v>
                </c:pt>
                <c:pt idx="311">
                  <c:v>31.820005395319566</c:v>
                </c:pt>
                <c:pt idx="312">
                  <c:v>31.572569086048354</c:v>
                </c:pt>
                <c:pt idx="313">
                  <c:v>31.326873712684822</c:v>
                </c:pt>
                <c:pt idx="314">
                  <c:v>31.082804176115321</c:v>
                </c:pt>
                <c:pt idx="315">
                  <c:v>30.840245808537055</c:v>
                </c:pt>
                <c:pt idx="316">
                  <c:v>30.598443484479105</c:v>
                </c:pt>
                <c:pt idx="317">
                  <c:v>30.356569860721319</c:v>
                </c:pt>
                <c:pt idx="318">
                  <c:v>30.11405034156769</c:v>
                </c:pt>
                <c:pt idx="319">
                  <c:v>29.871302939986684</c:v>
                </c:pt>
                <c:pt idx="320">
                  <c:v>29.628745755393709</c:v>
                </c:pt>
                <c:pt idx="321">
                  <c:v>29.386796961808233</c:v>
                </c:pt>
                <c:pt idx="322">
                  <c:v>29.145874797220689</c:v>
                </c:pt>
                <c:pt idx="323">
                  <c:v>28.906028474683151</c:v>
                </c:pt>
                <c:pt idx="324">
                  <c:v>28.667708983494236</c:v>
                </c:pt>
                <c:pt idx="325">
                  <c:v>28.431336970513996</c:v>
                </c:pt>
                <c:pt idx="326">
                  <c:v>28.197336808990887</c:v>
                </c:pt>
                <c:pt idx="327">
                  <c:v>27.966130066076261</c:v>
                </c:pt>
                <c:pt idx="328">
                  <c:v>27.738135043423974</c:v>
                </c:pt>
                <c:pt idx="329">
                  <c:v>27.513769972152822</c:v>
                </c:pt>
                <c:pt idx="330">
                  <c:v>27.289039326741957</c:v>
                </c:pt>
                <c:pt idx="331">
                  <c:v>27.060678119468459</c:v>
                </c:pt>
                <c:pt idx="332">
                  <c:v>26.830653302323466</c:v>
                </c:pt>
                <c:pt idx="333">
                  <c:v>26.600523893854838</c:v>
                </c:pt>
                <c:pt idx="334">
                  <c:v>26.371848585640407</c:v>
                </c:pt>
                <c:pt idx="335">
                  <c:v>26.146185728464062</c:v>
                </c:pt>
                <c:pt idx="336">
                  <c:v>25.925093309570524</c:v>
                </c:pt>
                <c:pt idx="337">
                  <c:v>25.710253976174972</c:v>
                </c:pt>
                <c:pt idx="338">
                  <c:v>25.503582929262226</c:v>
                </c:pt>
                <c:pt idx="339">
                  <c:v>25.306634981503361</c:v>
                </c:pt>
                <c:pt idx="340">
                  <c:v>25.120964742951664</c:v>
                </c:pt>
                <c:pt idx="341">
                  <c:v>24.948126599279945</c:v>
                </c:pt>
                <c:pt idx="342">
                  <c:v>24.789674693692724</c:v>
                </c:pt>
                <c:pt idx="343">
                  <c:v>24.647162919457635</c:v>
                </c:pt>
                <c:pt idx="344">
                  <c:v>24.515956606294981</c:v>
                </c:pt>
                <c:pt idx="345">
                  <c:v>24.391091629162144</c:v>
                </c:pt>
                <c:pt idx="346">
                  <c:v>24.273657476724964</c:v>
                </c:pt>
                <c:pt idx="347">
                  <c:v>24.164713252560986</c:v>
                </c:pt>
                <c:pt idx="348">
                  <c:v>24.065317883667515</c:v>
                </c:pt>
                <c:pt idx="349">
                  <c:v>23.976530081763009</c:v>
                </c:pt>
                <c:pt idx="350">
                  <c:v>23.899408354281025</c:v>
                </c:pt>
                <c:pt idx="351">
                  <c:v>23.835009893974121</c:v>
                </c:pt>
                <c:pt idx="352">
                  <c:v>23.784269416018102</c:v>
                </c:pt>
                <c:pt idx="353">
                  <c:v>23.74824481723558</c:v>
                </c:pt>
                <c:pt idx="354">
                  <c:v>23.727993671871538</c:v>
                </c:pt>
                <c:pt idx="355">
                  <c:v>23.724573214800358</c:v>
                </c:pt>
                <c:pt idx="356">
                  <c:v>23.739043585442499</c:v>
                </c:pt>
                <c:pt idx="357">
                  <c:v>23.772458834235223</c:v>
                </c:pt>
                <c:pt idx="358">
                  <c:v>23.825990718747047</c:v>
                </c:pt>
                <c:pt idx="359">
                  <c:v>23.899315584553939</c:v>
                </c:pt>
                <c:pt idx="360">
                  <c:v>23.991372686621723</c:v>
                </c:pt>
                <c:pt idx="361">
                  <c:v>24.100979442433395</c:v>
                </c:pt>
                <c:pt idx="362">
                  <c:v>24.226952432722936</c:v>
                </c:pt>
                <c:pt idx="363">
                  <c:v>24.368108467662573</c:v>
                </c:pt>
                <c:pt idx="364">
                  <c:v>24.523264576940583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23.740000000000002</c:v>
                </c:pt>
                <c:pt idx="1">
                  <c:v>16.067</c:v>
                </c:pt>
                <c:pt idx="2">
                  <c:v>18.212</c:v>
                </c:pt>
                <c:pt idx="3">
                  <c:v>18.504000000000001</c:v>
                </c:pt>
                <c:pt idx="4">
                  <c:v>13.374000000000001</c:v>
                </c:pt>
                <c:pt idx="5">
                  <c:v>25.144000000000002</c:v>
                </c:pt>
                <c:pt idx="6">
                  <c:v>8.636000000000001</c:v>
                </c:pt>
                <c:pt idx="7">
                  <c:v>6.0090000000000003</c:v>
                </c:pt>
                <c:pt idx="8">
                  <c:v>1.7130000000000001</c:v>
                </c:pt>
                <c:pt idx="9">
                  <c:v>1.3780000000000001</c:v>
                </c:pt>
                <c:pt idx="10">
                  <c:v>23.948</c:v>
                </c:pt>
                <c:pt idx="11">
                  <c:v>20.46</c:v>
                </c:pt>
                <c:pt idx="12">
                  <c:v>6.2069999999999999</c:v>
                </c:pt>
                <c:pt idx="13">
                  <c:v>26.628</c:v>
                </c:pt>
                <c:pt idx="14">
                  <c:v>27.411000000000001</c:v>
                </c:pt>
                <c:pt idx="15">
                  <c:v>27.113</c:v>
                </c:pt>
                <c:pt idx="16">
                  <c:v>17.559000000000001</c:v>
                </c:pt>
                <c:pt idx="17">
                  <c:v>4.6189999999999998</c:v>
                </c:pt>
                <c:pt idx="18">
                  <c:v>11.667</c:v>
                </c:pt>
                <c:pt idx="19">
                  <c:v>4.8369999999999997</c:v>
                </c:pt>
                <c:pt idx="20">
                  <c:v>18.462</c:v>
                </c:pt>
                <c:pt idx="21">
                  <c:v>28.536999999999999</c:v>
                </c:pt>
                <c:pt idx="22">
                  <c:v>28.878</c:v>
                </c:pt>
                <c:pt idx="23">
                  <c:v>29.374000000000002</c:v>
                </c:pt>
                <c:pt idx="24">
                  <c:v>27.43</c:v>
                </c:pt>
                <c:pt idx="25">
                  <c:v>29.541</c:v>
                </c:pt>
                <c:pt idx="26">
                  <c:v>29.331</c:v>
                </c:pt>
                <c:pt idx="27">
                  <c:v>4</c:v>
                </c:pt>
                <c:pt idx="28">
                  <c:v>6.1559999999999997</c:v>
                </c:pt>
                <c:pt idx="29">
                  <c:v>5.55</c:v>
                </c:pt>
                <c:pt idx="30">
                  <c:v>6.9420000000000002</c:v>
                </c:pt>
                <c:pt idx="31">
                  <c:v>17.413</c:v>
                </c:pt>
                <c:pt idx="32">
                  <c:v>6.391</c:v>
                </c:pt>
                <c:pt idx="33">
                  <c:v>15.096</c:v>
                </c:pt>
                <c:pt idx="34">
                  <c:v>13.633000000000001</c:v>
                </c:pt>
                <c:pt idx="35">
                  <c:v>10.013</c:v>
                </c:pt>
                <c:pt idx="36">
                  <c:v>26.353000000000002</c:v>
                </c:pt>
                <c:pt idx="37">
                  <c:v>11.899000000000001</c:v>
                </c:pt>
                <c:pt idx="38">
                  <c:v>34.247</c:v>
                </c:pt>
                <c:pt idx="39">
                  <c:v>34.869999999999997</c:v>
                </c:pt>
                <c:pt idx="40">
                  <c:v>32.890999999999998</c:v>
                </c:pt>
                <c:pt idx="41">
                  <c:v>13.796000000000001</c:v>
                </c:pt>
                <c:pt idx="42">
                  <c:v>26.163</c:v>
                </c:pt>
                <c:pt idx="43">
                  <c:v>33.11</c:v>
                </c:pt>
                <c:pt idx="44">
                  <c:v>15.764000000000001</c:v>
                </c:pt>
                <c:pt idx="45">
                  <c:v>20.831</c:v>
                </c:pt>
                <c:pt idx="46">
                  <c:v>8.8930000000000007</c:v>
                </c:pt>
                <c:pt idx="47">
                  <c:v>9.8119999999999994</c:v>
                </c:pt>
                <c:pt idx="48">
                  <c:v>32.688000000000002</c:v>
                </c:pt>
                <c:pt idx="49">
                  <c:v>14.984</c:v>
                </c:pt>
                <c:pt idx="50">
                  <c:v>26</c:v>
                </c:pt>
                <c:pt idx="51">
                  <c:v>19.486000000000001</c:v>
                </c:pt>
                <c:pt idx="52">
                  <c:v>32.262</c:v>
                </c:pt>
                <c:pt idx="53">
                  <c:v>37.355000000000004</c:v>
                </c:pt>
                <c:pt idx="54">
                  <c:v>24.001999999999999</c:v>
                </c:pt>
                <c:pt idx="55">
                  <c:v>26.103000000000002</c:v>
                </c:pt>
                <c:pt idx="56">
                  <c:v>40.412999999999997</c:v>
                </c:pt>
                <c:pt idx="57">
                  <c:v>21.401</c:v>
                </c:pt>
                <c:pt idx="58">
                  <c:v>37.036000000000001</c:v>
                </c:pt>
                <c:pt idx="59">
                  <c:v>40.997999999999998</c:v>
                </c:pt>
                <c:pt idx="60">
                  <c:v>14.207000000000001</c:v>
                </c:pt>
                <c:pt idx="61">
                  <c:v>37.029000000000003</c:v>
                </c:pt>
                <c:pt idx="62">
                  <c:v>4.931</c:v>
                </c:pt>
                <c:pt idx="63">
                  <c:v>15.178000000000001</c:v>
                </c:pt>
                <c:pt idx="64">
                  <c:v>21.885000000000002</c:v>
                </c:pt>
                <c:pt idx="65">
                  <c:v>34.103999999999999</c:v>
                </c:pt>
                <c:pt idx="66">
                  <c:v>34.480000000000004</c:v>
                </c:pt>
                <c:pt idx="67">
                  <c:v>31.413</c:v>
                </c:pt>
                <c:pt idx="68">
                  <c:v>25.26</c:v>
                </c:pt>
                <c:pt idx="69">
                  <c:v>17.670000000000002</c:v>
                </c:pt>
                <c:pt idx="70">
                  <c:v>12.887</c:v>
                </c:pt>
                <c:pt idx="71">
                  <c:v>9.57</c:v>
                </c:pt>
                <c:pt idx="72">
                  <c:v>12.967000000000001</c:v>
                </c:pt>
                <c:pt idx="73">
                  <c:v>15.843</c:v>
                </c:pt>
                <c:pt idx="74">
                  <c:v>11.547000000000001</c:v>
                </c:pt>
                <c:pt idx="75">
                  <c:v>9.9369999999999994</c:v>
                </c:pt>
                <c:pt idx="76">
                  <c:v>13.046000000000001</c:v>
                </c:pt>
                <c:pt idx="77">
                  <c:v>27.181000000000001</c:v>
                </c:pt>
                <c:pt idx="78">
                  <c:v>31.818000000000001</c:v>
                </c:pt>
                <c:pt idx="79">
                  <c:v>44.313000000000002</c:v>
                </c:pt>
                <c:pt idx="80">
                  <c:v>40.724000000000004</c:v>
                </c:pt>
                <c:pt idx="81">
                  <c:v>48.017000000000003</c:v>
                </c:pt>
                <c:pt idx="82">
                  <c:v>46.923000000000002</c:v>
                </c:pt>
                <c:pt idx="83">
                  <c:v>37.012999999999998</c:v>
                </c:pt>
                <c:pt idx="84">
                  <c:v>42.305999999999997</c:v>
                </c:pt>
                <c:pt idx="85">
                  <c:v>44.872</c:v>
                </c:pt>
                <c:pt idx="86">
                  <c:v>38.288000000000004</c:v>
                </c:pt>
                <c:pt idx="87">
                  <c:v>26.695</c:v>
                </c:pt>
                <c:pt idx="88">
                  <c:v>6.0449999999999999</c:v>
                </c:pt>
                <c:pt idx="89">
                  <c:v>16.733000000000001</c:v>
                </c:pt>
                <c:pt idx="90">
                  <c:v>31.589000000000002</c:v>
                </c:pt>
                <c:pt idx="91">
                  <c:v>16.690000000000001</c:v>
                </c:pt>
                <c:pt idx="92">
                  <c:v>31.047000000000001</c:v>
                </c:pt>
                <c:pt idx="93">
                  <c:v>42.987000000000002</c:v>
                </c:pt>
                <c:pt idx="94">
                  <c:v>50.832000000000001</c:v>
                </c:pt>
                <c:pt idx="95">
                  <c:v>11.697000000000001</c:v>
                </c:pt>
                <c:pt idx="96">
                  <c:v>42.538000000000004</c:v>
                </c:pt>
                <c:pt idx="97">
                  <c:v>37.15</c:v>
                </c:pt>
                <c:pt idx="98">
                  <c:v>29.945</c:v>
                </c:pt>
                <c:pt idx="99">
                  <c:v>54.303000000000004</c:v>
                </c:pt>
                <c:pt idx="100">
                  <c:v>43.316000000000003</c:v>
                </c:pt>
                <c:pt idx="101">
                  <c:v>37.99</c:v>
                </c:pt>
                <c:pt idx="102">
                  <c:v>5.8860000000000001</c:v>
                </c:pt>
                <c:pt idx="103">
                  <c:v>42.500999999999998</c:v>
                </c:pt>
                <c:pt idx="104">
                  <c:v>43.484000000000002</c:v>
                </c:pt>
                <c:pt idx="105">
                  <c:v>35.575000000000003</c:v>
                </c:pt>
                <c:pt idx="106">
                  <c:v>52.378999999999998</c:v>
                </c:pt>
                <c:pt idx="107">
                  <c:v>34.121000000000002</c:v>
                </c:pt>
                <c:pt idx="108">
                  <c:v>9.141</c:v>
                </c:pt>
                <c:pt idx="109">
                  <c:v>9.4130000000000003</c:v>
                </c:pt>
                <c:pt idx="110">
                  <c:v>8.6609999999999996</c:v>
                </c:pt>
                <c:pt idx="111">
                  <c:v>26.741</c:v>
                </c:pt>
                <c:pt idx="112">
                  <c:v>9.15</c:v>
                </c:pt>
                <c:pt idx="113">
                  <c:v>25.954000000000001</c:v>
                </c:pt>
                <c:pt idx="114">
                  <c:v>40.936999999999998</c:v>
                </c:pt>
                <c:pt idx="115">
                  <c:v>52.542999999999999</c:v>
                </c:pt>
                <c:pt idx="116">
                  <c:v>40.369</c:v>
                </c:pt>
                <c:pt idx="117">
                  <c:v>22.645</c:v>
                </c:pt>
                <c:pt idx="118">
                  <c:v>40.58</c:v>
                </c:pt>
                <c:pt idx="119">
                  <c:v>38.582999999999998</c:v>
                </c:pt>
                <c:pt idx="120">
                  <c:v>43.972999999999999</c:v>
                </c:pt>
                <c:pt idx="121">
                  <c:v>27.097000000000001</c:v>
                </c:pt>
                <c:pt idx="122">
                  <c:v>33.302999999999997</c:v>
                </c:pt>
                <c:pt idx="123">
                  <c:v>16.850000000000001</c:v>
                </c:pt>
                <c:pt idx="124">
                  <c:v>36.538000000000004</c:v>
                </c:pt>
                <c:pt idx="125">
                  <c:v>41.834000000000003</c:v>
                </c:pt>
                <c:pt idx="126">
                  <c:v>46.621000000000002</c:v>
                </c:pt>
                <c:pt idx="127">
                  <c:v>57.858000000000004</c:v>
                </c:pt>
                <c:pt idx="128">
                  <c:v>55.498000000000005</c:v>
                </c:pt>
                <c:pt idx="129">
                  <c:v>56.682000000000002</c:v>
                </c:pt>
                <c:pt idx="130">
                  <c:v>59.972999999999999</c:v>
                </c:pt>
                <c:pt idx="131">
                  <c:v>45.494</c:v>
                </c:pt>
                <c:pt idx="132">
                  <c:v>39.29</c:v>
                </c:pt>
                <c:pt idx="133">
                  <c:v>54.631999999999998</c:v>
                </c:pt>
                <c:pt idx="134">
                  <c:v>56.555</c:v>
                </c:pt>
                <c:pt idx="135">
                  <c:v>52.709000000000003</c:v>
                </c:pt>
                <c:pt idx="136">
                  <c:v>57.678000000000004</c:v>
                </c:pt>
                <c:pt idx="137">
                  <c:v>55.283999999999999</c:v>
                </c:pt>
                <c:pt idx="138">
                  <c:v>53.642000000000003</c:v>
                </c:pt>
                <c:pt idx="139">
                  <c:v>52.014000000000003</c:v>
                </c:pt>
                <c:pt idx="140">
                  <c:v>56.969000000000001</c:v>
                </c:pt>
                <c:pt idx="141">
                  <c:v>43.34</c:v>
                </c:pt>
                <c:pt idx="142">
                  <c:v>18.029</c:v>
                </c:pt>
                <c:pt idx="143">
                  <c:v>15.669</c:v>
                </c:pt>
                <c:pt idx="144">
                  <c:v>43.300000000000004</c:v>
                </c:pt>
                <c:pt idx="145">
                  <c:v>31.830000000000002</c:v>
                </c:pt>
                <c:pt idx="146">
                  <c:v>47.417000000000002</c:v>
                </c:pt>
                <c:pt idx="147">
                  <c:v>55.948999999999998</c:v>
                </c:pt>
                <c:pt idx="148">
                  <c:v>61.463999999999999</c:v>
                </c:pt>
                <c:pt idx="149">
                  <c:v>47.874000000000002</c:v>
                </c:pt>
                <c:pt idx="150">
                  <c:v>57.689</c:v>
                </c:pt>
                <c:pt idx="151">
                  <c:v>59.828000000000003</c:v>
                </c:pt>
                <c:pt idx="152">
                  <c:v>41.484000000000002</c:v>
                </c:pt>
                <c:pt idx="153">
                  <c:v>58.32</c:v>
                </c:pt>
                <c:pt idx="154">
                  <c:v>26.442</c:v>
                </c:pt>
                <c:pt idx="155">
                  <c:v>30.547000000000001</c:v>
                </c:pt>
                <c:pt idx="156">
                  <c:v>51.460999999999999</c:v>
                </c:pt>
                <c:pt idx="157">
                  <c:v>28.577000000000002</c:v>
                </c:pt>
                <c:pt idx="158">
                  <c:v>22.080000000000002</c:v>
                </c:pt>
                <c:pt idx="159">
                  <c:v>52.243000000000002</c:v>
                </c:pt>
                <c:pt idx="160">
                  <c:v>60.081000000000003</c:v>
                </c:pt>
                <c:pt idx="161">
                  <c:v>58.462000000000003</c:v>
                </c:pt>
                <c:pt idx="162">
                  <c:v>48.337000000000003</c:v>
                </c:pt>
                <c:pt idx="163">
                  <c:v>53.143000000000001</c:v>
                </c:pt>
                <c:pt idx="164">
                  <c:v>52.276000000000003</c:v>
                </c:pt>
                <c:pt idx="165">
                  <c:v>55.747</c:v>
                </c:pt>
                <c:pt idx="166">
                  <c:v>53.773000000000003</c:v>
                </c:pt>
                <c:pt idx="167">
                  <c:v>54.804000000000002</c:v>
                </c:pt>
                <c:pt idx="168">
                  <c:v>57.902999999999999</c:v>
                </c:pt>
                <c:pt idx="169">
                  <c:v>58.928000000000004</c:v>
                </c:pt>
                <c:pt idx="170">
                  <c:v>30.956</c:v>
                </c:pt>
                <c:pt idx="171">
                  <c:v>20.48</c:v>
                </c:pt>
                <c:pt idx="172">
                  <c:v>43.234000000000002</c:v>
                </c:pt>
                <c:pt idx="173">
                  <c:v>44.975999999999999</c:v>
                </c:pt>
                <c:pt idx="174">
                  <c:v>42.088999999999999</c:v>
                </c:pt>
                <c:pt idx="175">
                  <c:v>42.100999999999999</c:v>
                </c:pt>
                <c:pt idx="176">
                  <c:v>11.061999999999999</c:v>
                </c:pt>
                <c:pt idx="177">
                  <c:v>16.527000000000001</c:v>
                </c:pt>
                <c:pt idx="178">
                  <c:v>58.305</c:v>
                </c:pt>
                <c:pt idx="179">
                  <c:v>59.404000000000003</c:v>
                </c:pt>
                <c:pt idx="180">
                  <c:v>13.107000000000001</c:v>
                </c:pt>
                <c:pt idx="181">
                  <c:v>41.78</c:v>
                </c:pt>
                <c:pt idx="182">
                  <c:v>58.616</c:v>
                </c:pt>
                <c:pt idx="183">
                  <c:v>53.241</c:v>
                </c:pt>
                <c:pt idx="184">
                  <c:v>45.003</c:v>
                </c:pt>
                <c:pt idx="185">
                  <c:v>57.758000000000003</c:v>
                </c:pt>
                <c:pt idx="186">
                  <c:v>41.109000000000002</c:v>
                </c:pt>
                <c:pt idx="187">
                  <c:v>57.423999999999999</c:v>
                </c:pt>
                <c:pt idx="188">
                  <c:v>58.637</c:v>
                </c:pt>
                <c:pt idx="189">
                  <c:v>58.267000000000003</c:v>
                </c:pt>
                <c:pt idx="190">
                  <c:v>57.85</c:v>
                </c:pt>
                <c:pt idx="191">
                  <c:v>56.95</c:v>
                </c:pt>
                <c:pt idx="192">
                  <c:v>55.734000000000002</c:v>
                </c:pt>
                <c:pt idx="193">
                  <c:v>55.797000000000004</c:v>
                </c:pt>
                <c:pt idx="194">
                  <c:v>55.536000000000001</c:v>
                </c:pt>
                <c:pt idx="195">
                  <c:v>52.908000000000001</c:v>
                </c:pt>
                <c:pt idx="196">
                  <c:v>54.151000000000003</c:v>
                </c:pt>
                <c:pt idx="197">
                  <c:v>54.750999999999998</c:v>
                </c:pt>
                <c:pt idx="198">
                  <c:v>56.956000000000003</c:v>
                </c:pt>
                <c:pt idx="199">
                  <c:v>34.340000000000003</c:v>
                </c:pt>
                <c:pt idx="200">
                  <c:v>41.721000000000004</c:v>
                </c:pt>
                <c:pt idx="201">
                  <c:v>54.447000000000003</c:v>
                </c:pt>
                <c:pt idx="202">
                  <c:v>45.741</c:v>
                </c:pt>
                <c:pt idx="203">
                  <c:v>40.344000000000001</c:v>
                </c:pt>
                <c:pt idx="204">
                  <c:v>54.826000000000001</c:v>
                </c:pt>
                <c:pt idx="205">
                  <c:v>29.318999999999999</c:v>
                </c:pt>
                <c:pt idx="206">
                  <c:v>46.182000000000002</c:v>
                </c:pt>
                <c:pt idx="207">
                  <c:v>56.877000000000002</c:v>
                </c:pt>
                <c:pt idx="208">
                  <c:v>45.343000000000004</c:v>
                </c:pt>
                <c:pt idx="209">
                  <c:v>26.712</c:v>
                </c:pt>
                <c:pt idx="210">
                  <c:v>44.335999999999999</c:v>
                </c:pt>
                <c:pt idx="211">
                  <c:v>55.506</c:v>
                </c:pt>
                <c:pt idx="212">
                  <c:v>55.161999999999999</c:v>
                </c:pt>
                <c:pt idx="213">
                  <c:v>55.396999999999998</c:v>
                </c:pt>
                <c:pt idx="214">
                  <c:v>55.508000000000003</c:v>
                </c:pt>
                <c:pt idx="215">
                  <c:v>52.771999999999998</c:v>
                </c:pt>
                <c:pt idx="216">
                  <c:v>42.609000000000002</c:v>
                </c:pt>
                <c:pt idx="217">
                  <c:v>50.548999999999999</c:v>
                </c:pt>
                <c:pt idx="218">
                  <c:v>53.506</c:v>
                </c:pt>
                <c:pt idx="219">
                  <c:v>54.484000000000002</c:v>
                </c:pt>
                <c:pt idx="220">
                  <c:v>52.707999999999998</c:v>
                </c:pt>
                <c:pt idx="221">
                  <c:v>51.256999999999998</c:v>
                </c:pt>
                <c:pt idx="222">
                  <c:v>49.054000000000002</c:v>
                </c:pt>
                <c:pt idx="223">
                  <c:v>49.492000000000004</c:v>
                </c:pt>
                <c:pt idx="224">
                  <c:v>37.195999999999998</c:v>
                </c:pt>
                <c:pt idx="225">
                  <c:v>37.064</c:v>
                </c:pt>
                <c:pt idx="226">
                  <c:v>34.616999999999997</c:v>
                </c:pt>
                <c:pt idx="227">
                  <c:v>39.801000000000002</c:v>
                </c:pt>
                <c:pt idx="228">
                  <c:v>24.864000000000001</c:v>
                </c:pt>
                <c:pt idx="229">
                  <c:v>33.323999999999998</c:v>
                </c:pt>
                <c:pt idx="230">
                  <c:v>34.804000000000002</c:v>
                </c:pt>
                <c:pt idx="231">
                  <c:v>50.809000000000005</c:v>
                </c:pt>
                <c:pt idx="232">
                  <c:v>40.247999999999998</c:v>
                </c:pt>
                <c:pt idx="233">
                  <c:v>28.266999999999999</c:v>
                </c:pt>
                <c:pt idx="234">
                  <c:v>43.984999999999999</c:v>
                </c:pt>
                <c:pt idx="235">
                  <c:v>51.444000000000003</c:v>
                </c:pt>
                <c:pt idx="236">
                  <c:v>28.969000000000001</c:v>
                </c:pt>
                <c:pt idx="237">
                  <c:v>37.024000000000001</c:v>
                </c:pt>
                <c:pt idx="238">
                  <c:v>46.861000000000004</c:v>
                </c:pt>
                <c:pt idx="239">
                  <c:v>50.105000000000004</c:v>
                </c:pt>
                <c:pt idx="240">
                  <c:v>33.619</c:v>
                </c:pt>
                <c:pt idx="241">
                  <c:v>49.451999999999998</c:v>
                </c:pt>
                <c:pt idx="242">
                  <c:v>20.834</c:v>
                </c:pt>
                <c:pt idx="243">
                  <c:v>44.22</c:v>
                </c:pt>
                <c:pt idx="244">
                  <c:v>39.131999999999998</c:v>
                </c:pt>
                <c:pt idx="245">
                  <c:v>32.872999999999998</c:v>
                </c:pt>
                <c:pt idx="246">
                  <c:v>49.928000000000004</c:v>
                </c:pt>
                <c:pt idx="247">
                  <c:v>42.768999999999998</c:v>
                </c:pt>
                <c:pt idx="248">
                  <c:v>46.496000000000002</c:v>
                </c:pt>
                <c:pt idx="249">
                  <c:v>36.225999999999999</c:v>
                </c:pt>
                <c:pt idx="250">
                  <c:v>41.292999999999999</c:v>
                </c:pt>
                <c:pt idx="251">
                  <c:v>17.426000000000002</c:v>
                </c:pt>
                <c:pt idx="252">
                  <c:v>45.737000000000002</c:v>
                </c:pt>
                <c:pt idx="253">
                  <c:v>48.045999999999999</c:v>
                </c:pt>
                <c:pt idx="254">
                  <c:v>37.015000000000001</c:v>
                </c:pt>
                <c:pt idx="255">
                  <c:v>11.683</c:v>
                </c:pt>
                <c:pt idx="256">
                  <c:v>39.189</c:v>
                </c:pt>
                <c:pt idx="257">
                  <c:v>43.798999999999999</c:v>
                </c:pt>
                <c:pt idx="258">
                  <c:v>26.060000000000002</c:v>
                </c:pt>
                <c:pt idx="259">
                  <c:v>47.971000000000004</c:v>
                </c:pt>
                <c:pt idx="260">
                  <c:v>47.213999999999999</c:v>
                </c:pt>
                <c:pt idx="261">
                  <c:v>45.524000000000001</c:v>
                </c:pt>
                <c:pt idx="262">
                  <c:v>45.524000000000001</c:v>
                </c:pt>
                <c:pt idx="263">
                  <c:v>47.045000000000002</c:v>
                </c:pt>
                <c:pt idx="264">
                  <c:v>45.814999999999998</c:v>
                </c:pt>
                <c:pt idx="265">
                  <c:v>34.472999999999999</c:v>
                </c:pt>
                <c:pt idx="266">
                  <c:v>23.13</c:v>
                </c:pt>
                <c:pt idx="267">
                  <c:v>35.01</c:v>
                </c:pt>
                <c:pt idx="268">
                  <c:v>36.441000000000003</c:v>
                </c:pt>
                <c:pt idx="269">
                  <c:v>15.608000000000001</c:v>
                </c:pt>
                <c:pt idx="270">
                  <c:v>15.681000000000001</c:v>
                </c:pt>
                <c:pt idx="271">
                  <c:v>22.231999999999999</c:v>
                </c:pt>
                <c:pt idx="272">
                  <c:v>30.715</c:v>
                </c:pt>
                <c:pt idx="273">
                  <c:v>35.987000000000002</c:v>
                </c:pt>
                <c:pt idx="274">
                  <c:v>40.731000000000002</c:v>
                </c:pt>
                <c:pt idx="275">
                  <c:v>36.236000000000004</c:v>
                </c:pt>
                <c:pt idx="276">
                  <c:v>43.225999999999999</c:v>
                </c:pt>
                <c:pt idx="277">
                  <c:v>42.884</c:v>
                </c:pt>
                <c:pt idx="278">
                  <c:v>15.250999999999999</c:v>
                </c:pt>
                <c:pt idx="279">
                  <c:v>32.297000000000004</c:v>
                </c:pt>
                <c:pt idx="280">
                  <c:v>15.563000000000001</c:v>
                </c:pt>
                <c:pt idx="281">
                  <c:v>40.724000000000004</c:v>
                </c:pt>
                <c:pt idx="282">
                  <c:v>35.529000000000003</c:v>
                </c:pt>
                <c:pt idx="283">
                  <c:v>25.559000000000001</c:v>
                </c:pt>
                <c:pt idx="284">
                  <c:v>24.318999999999999</c:v>
                </c:pt>
                <c:pt idx="285">
                  <c:v>25.003</c:v>
                </c:pt>
                <c:pt idx="286">
                  <c:v>15.564</c:v>
                </c:pt>
                <c:pt idx="287">
                  <c:v>39.67</c:v>
                </c:pt>
                <c:pt idx="288">
                  <c:v>35.419000000000004</c:v>
                </c:pt>
                <c:pt idx="289">
                  <c:v>19.431000000000001</c:v>
                </c:pt>
                <c:pt idx="290">
                  <c:v>36.925000000000004</c:v>
                </c:pt>
                <c:pt idx="291">
                  <c:v>16.503</c:v>
                </c:pt>
                <c:pt idx="292">
                  <c:v>12.82</c:v>
                </c:pt>
                <c:pt idx="293">
                  <c:v>17.416</c:v>
                </c:pt>
                <c:pt idx="294">
                  <c:v>36.268000000000001</c:v>
                </c:pt>
                <c:pt idx="295">
                  <c:v>21.297000000000001</c:v>
                </c:pt>
                <c:pt idx="296">
                  <c:v>30.515000000000001</c:v>
                </c:pt>
                <c:pt idx="297">
                  <c:v>23.733000000000001</c:v>
                </c:pt>
                <c:pt idx="298">
                  <c:v>16.331</c:v>
                </c:pt>
                <c:pt idx="299">
                  <c:v>16.522000000000002</c:v>
                </c:pt>
                <c:pt idx="300">
                  <c:v>18.061</c:v>
                </c:pt>
                <c:pt idx="301">
                  <c:v>29.023</c:v>
                </c:pt>
                <c:pt idx="302">
                  <c:v>25.885000000000002</c:v>
                </c:pt>
                <c:pt idx="303">
                  <c:v>25.182000000000002</c:v>
                </c:pt>
                <c:pt idx="304">
                  <c:v>27.061</c:v>
                </c:pt>
                <c:pt idx="305">
                  <c:v>30.048999999999999</c:v>
                </c:pt>
                <c:pt idx="306">
                  <c:v>9.423</c:v>
                </c:pt>
                <c:pt idx="307">
                  <c:v>13.15</c:v>
                </c:pt>
                <c:pt idx="308">
                  <c:v>31.873000000000001</c:v>
                </c:pt>
                <c:pt idx="309">
                  <c:v>32.977000000000004</c:v>
                </c:pt>
                <c:pt idx="310">
                  <c:v>33.085000000000001</c:v>
                </c:pt>
                <c:pt idx="311">
                  <c:v>21.420999999999999</c:v>
                </c:pt>
                <c:pt idx="312">
                  <c:v>12.698</c:v>
                </c:pt>
                <c:pt idx="313">
                  <c:v>22.167999999999999</c:v>
                </c:pt>
                <c:pt idx="314">
                  <c:v>30.086000000000002</c:v>
                </c:pt>
                <c:pt idx="315">
                  <c:v>29.842000000000002</c:v>
                </c:pt>
                <c:pt idx="316">
                  <c:v>29.998000000000001</c:v>
                </c:pt>
                <c:pt idx="317">
                  <c:v>12.742000000000001</c:v>
                </c:pt>
                <c:pt idx="318">
                  <c:v>13.946</c:v>
                </c:pt>
                <c:pt idx="319">
                  <c:v>29.373000000000001</c:v>
                </c:pt>
                <c:pt idx="320">
                  <c:v>12.907999999999999</c:v>
                </c:pt>
                <c:pt idx="321">
                  <c:v>14.841000000000001</c:v>
                </c:pt>
                <c:pt idx="322">
                  <c:v>6.2130000000000001</c:v>
                </c:pt>
                <c:pt idx="323">
                  <c:v>20.611000000000001</c:v>
                </c:pt>
                <c:pt idx="324">
                  <c:v>3.3210000000000002</c:v>
                </c:pt>
                <c:pt idx="325">
                  <c:v>10.157999999999999</c:v>
                </c:pt>
                <c:pt idx="326">
                  <c:v>13.883000000000001</c:v>
                </c:pt>
                <c:pt idx="327">
                  <c:v>14.535</c:v>
                </c:pt>
                <c:pt idx="328">
                  <c:v>4.2640000000000002</c:v>
                </c:pt>
                <c:pt idx="329">
                  <c:v>15.076000000000001</c:v>
                </c:pt>
                <c:pt idx="330">
                  <c:v>17.030999999999999</c:v>
                </c:pt>
                <c:pt idx="331">
                  <c:v>9.6080000000000005</c:v>
                </c:pt>
                <c:pt idx="332">
                  <c:v>10.686999999999999</c:v>
                </c:pt>
                <c:pt idx="333">
                  <c:v>4.7649999999999997</c:v>
                </c:pt>
                <c:pt idx="334">
                  <c:v>3.536</c:v>
                </c:pt>
                <c:pt idx="335">
                  <c:v>6.1690000000000005</c:v>
                </c:pt>
                <c:pt idx="336">
                  <c:v>11.401</c:v>
                </c:pt>
                <c:pt idx="337">
                  <c:v>22.312999999999999</c:v>
                </c:pt>
                <c:pt idx="338">
                  <c:v>26.442</c:v>
                </c:pt>
                <c:pt idx="339">
                  <c:v>16.757999999999999</c:v>
                </c:pt>
                <c:pt idx="340">
                  <c:v>19.609000000000002</c:v>
                </c:pt>
                <c:pt idx="341">
                  <c:v>4.7780000000000005</c:v>
                </c:pt>
                <c:pt idx="342">
                  <c:v>9.657</c:v>
                </c:pt>
                <c:pt idx="343">
                  <c:v>16.152999999999999</c:v>
                </c:pt>
                <c:pt idx="344">
                  <c:v>15.398</c:v>
                </c:pt>
                <c:pt idx="345">
                  <c:v>7.1029999999999998</c:v>
                </c:pt>
                <c:pt idx="346">
                  <c:v>6.6530000000000005</c:v>
                </c:pt>
                <c:pt idx="347">
                  <c:v>15.614000000000001</c:v>
                </c:pt>
                <c:pt idx="348">
                  <c:v>7.43</c:v>
                </c:pt>
                <c:pt idx="349">
                  <c:v>5.3280000000000003</c:v>
                </c:pt>
                <c:pt idx="350">
                  <c:v>2.97</c:v>
                </c:pt>
                <c:pt idx="351">
                  <c:v>20.081</c:v>
                </c:pt>
                <c:pt idx="352">
                  <c:v>17.955000000000002</c:v>
                </c:pt>
                <c:pt idx="353">
                  <c:v>4.0209999999999999</c:v>
                </c:pt>
                <c:pt idx="354">
                  <c:v>20.495000000000001</c:v>
                </c:pt>
                <c:pt idx="355">
                  <c:v>20.041</c:v>
                </c:pt>
                <c:pt idx="356">
                  <c:v>20.179000000000002</c:v>
                </c:pt>
                <c:pt idx="357">
                  <c:v>21.427</c:v>
                </c:pt>
                <c:pt idx="358">
                  <c:v>12.025</c:v>
                </c:pt>
                <c:pt idx="359">
                  <c:v>20.53</c:v>
                </c:pt>
                <c:pt idx="360">
                  <c:v>6.952</c:v>
                </c:pt>
                <c:pt idx="361">
                  <c:v>22.353000000000002</c:v>
                </c:pt>
                <c:pt idx="362">
                  <c:v>11.375</c:v>
                </c:pt>
                <c:pt idx="363">
                  <c:v>15.527000000000001</c:v>
                </c:pt>
                <c:pt idx="364">
                  <c:v>13.369</c:v>
                </c:pt>
                <c:pt idx="365">
                  <c:v>6.9190000000000005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'2022'!$W$14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'2022'!$W$15:$W$380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604776"/>
        <c:axId val="372158512"/>
      </c:lineChart>
      <c:dateAx>
        <c:axId val="373604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58512"/>
        <c:crosses val="autoZero"/>
        <c:auto val="1"/>
        <c:lblOffset val="100"/>
        <c:baseTimeUnit val="days"/>
        <c:majorUnit val="1"/>
        <c:majorTimeUnit val="months"/>
      </c:dateAx>
      <c:valAx>
        <c:axId val="37215851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360477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338851742978585"/>
          <c:h val="0.136698214285714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24.922091519604873</c:v>
                </c:pt>
                <c:pt idx="1">
                  <c:v>25.099240230034724</c:v>
                </c:pt>
                <c:pt idx="2">
                  <c:v>25.286542231896863</c:v>
                </c:pt>
                <c:pt idx="3">
                  <c:v>25.482820715805545</c:v>
                </c:pt>
                <c:pt idx="4">
                  <c:v>25.686899079689049</c:v>
                </c:pt>
                <c:pt idx="5">
                  <c:v>25.897600943466315</c:v>
                </c:pt>
                <c:pt idx="6">
                  <c:v>26.113750142407525</c:v>
                </c:pt>
                <c:pt idx="7">
                  <c:v>26.334170750467404</c:v>
                </c:pt>
                <c:pt idx="8">
                  <c:v>26.563497191234337</c:v>
                </c:pt>
                <c:pt idx="9">
                  <c:v>26.806254857133521</c:v>
                </c:pt>
                <c:pt idx="10">
                  <c:v>27.061244261120503</c:v>
                </c:pt>
                <c:pt idx="11">
                  <c:v>27.327229341160237</c:v>
                </c:pt>
                <c:pt idx="12">
                  <c:v>27.602974296505423</c:v>
                </c:pt>
                <c:pt idx="13">
                  <c:v>27.887243617329602</c:v>
                </c:pt>
                <c:pt idx="14">
                  <c:v>28.178802074449862</c:v>
                </c:pt>
                <c:pt idx="15">
                  <c:v>28.476337841951754</c:v>
                </c:pt>
                <c:pt idx="16">
                  <c:v>28.778705680969104</c:v>
                </c:pt>
                <c:pt idx="17">
                  <c:v>29.084671266210009</c:v>
                </c:pt>
                <c:pt idx="18">
                  <c:v>29.393000584832386</c:v>
                </c:pt>
                <c:pt idx="19">
                  <c:v>29.702458468543938</c:v>
                </c:pt>
                <c:pt idx="20">
                  <c:v>30.011809315408286</c:v>
                </c:pt>
                <c:pt idx="21">
                  <c:v>30.319818909468932</c:v>
                </c:pt>
                <c:pt idx="22">
                  <c:v>30.629898385243283</c:v>
                </c:pt>
                <c:pt idx="23">
                  <c:v>30.945887197703229</c:v>
                </c:pt>
                <c:pt idx="24">
                  <c:v>31.267132354558349</c:v>
                </c:pt>
                <c:pt idx="25">
                  <c:v>31.592912292660714</c:v>
                </c:pt>
                <c:pt idx="26">
                  <c:v>31.922505604247768</c:v>
                </c:pt>
                <c:pt idx="27">
                  <c:v>32.255191042697284</c:v>
                </c:pt>
                <c:pt idx="28">
                  <c:v>32.590247524760777</c:v>
                </c:pt>
                <c:pt idx="29">
                  <c:v>32.92751408572186</c:v>
                </c:pt>
                <c:pt idx="30">
                  <c:v>33.266347140619629</c:v>
                </c:pt>
                <c:pt idx="31">
                  <c:v>33.606026210115857</c:v>
                </c:pt>
                <c:pt idx="32">
                  <c:v>33.945830997594285</c:v>
                </c:pt>
                <c:pt idx="33">
                  <c:v>34.285041396455313</c:v>
                </c:pt>
                <c:pt idx="34">
                  <c:v>34.622937497890867</c:v>
                </c:pt>
                <c:pt idx="35">
                  <c:v>34.958799596758126</c:v>
                </c:pt>
                <c:pt idx="36">
                  <c:v>35.293930434976396</c:v>
                </c:pt>
                <c:pt idx="37">
                  <c:v>35.6305874418073</c:v>
                </c:pt>
                <c:pt idx="38">
                  <c:v>35.968580916987648</c:v>
                </c:pt>
                <c:pt idx="39">
                  <c:v>36.307808141816459</c:v>
                </c:pt>
                <c:pt idx="40">
                  <c:v>36.648166508619958</c:v>
                </c:pt>
                <c:pt idx="41">
                  <c:v>36.989553527646287</c:v>
                </c:pt>
                <c:pt idx="42">
                  <c:v>37.331866833152382</c:v>
                </c:pt>
                <c:pt idx="43">
                  <c:v>37.675050520863437</c:v>
                </c:pt>
                <c:pt idx="44">
                  <c:v>38.018442061666065</c:v>
                </c:pt>
                <c:pt idx="45">
                  <c:v>38.361939366234324</c:v>
                </c:pt>
                <c:pt idx="46">
                  <c:v>38.705440457589312</c:v>
                </c:pt>
                <c:pt idx="47">
                  <c:v>39.048843474411107</c:v>
                </c:pt>
                <c:pt idx="48">
                  <c:v>39.392046676979533</c:v>
                </c:pt>
                <c:pt idx="49">
                  <c:v>39.734948451365241</c:v>
                </c:pt>
                <c:pt idx="50">
                  <c:v>40.077704173587442</c:v>
                </c:pt>
                <c:pt idx="51">
                  <c:v>40.420129073766979</c:v>
                </c:pt>
                <c:pt idx="52">
                  <c:v>40.761680163194711</c:v>
                </c:pt>
                <c:pt idx="53">
                  <c:v>41.102358959208736</c:v>
                </c:pt>
                <c:pt idx="54">
                  <c:v>41.442165961765483</c:v>
                </c:pt>
                <c:pt idx="55">
                  <c:v>41.78110161688241</c:v>
                </c:pt>
                <c:pt idx="56">
                  <c:v>42.119166320532088</c:v>
                </c:pt>
                <c:pt idx="57">
                  <c:v>42.455837640857418</c:v>
                </c:pt>
                <c:pt idx="58">
                  <c:v>42.791068189487007</c:v>
                </c:pt>
                <c:pt idx="59">
                  <c:v>43.124857338987461</c:v>
                </c:pt>
                <c:pt idx="60">
                  <c:v>43.457204352912548</c:v>
                </c:pt>
                <c:pt idx="61">
                  <c:v>43.788108382921784</c:v>
                </c:pt>
                <c:pt idx="62">
                  <c:v>44.117568464229727</c:v>
                </c:pt>
                <c:pt idx="63">
                  <c:v>44.445583510308126</c:v>
                </c:pt>
                <c:pt idx="64">
                  <c:v>44.773264462142272</c:v>
                </c:pt>
                <c:pt idx="65">
                  <c:v>45.101160796192367</c:v>
                </c:pt>
                <c:pt idx="66">
                  <c:v>45.429167667229422</c:v>
                </c:pt>
                <c:pt idx="67">
                  <c:v>45.756770031469856</c:v>
                </c:pt>
                <c:pt idx="68">
                  <c:v>46.083452800392564</c:v>
                </c:pt>
                <c:pt idx="69">
                  <c:v>46.40870082885646</c:v>
                </c:pt>
                <c:pt idx="70">
                  <c:v>46.731998904413381</c:v>
                </c:pt>
                <c:pt idx="71">
                  <c:v>47.052958180867748</c:v>
                </c:pt>
                <c:pt idx="72">
                  <c:v>47.371590644342398</c:v>
                </c:pt>
                <c:pt idx="73">
                  <c:v>47.687382286636094</c:v>
                </c:pt>
                <c:pt idx="74">
                  <c:v>47.999819125684837</c:v>
                </c:pt>
                <c:pt idx="75">
                  <c:v>48.308387203826598</c:v>
                </c:pt>
                <c:pt idx="76">
                  <c:v>48.61257258806112</c:v>
                </c:pt>
                <c:pt idx="77">
                  <c:v>48.91186137084771</c:v>
                </c:pt>
                <c:pt idx="78">
                  <c:v>49.208799912822002</c:v>
                </c:pt>
                <c:pt idx="79">
                  <c:v>49.505887114524995</c:v>
                </c:pt>
                <c:pt idx="80">
                  <c:v>49.80252270850027</c:v>
                </c:pt>
                <c:pt idx="81">
                  <c:v>50.097885703135766</c:v>
                </c:pt>
                <c:pt idx="82">
                  <c:v>50.391155359961004</c:v>
                </c:pt>
                <c:pt idx="83">
                  <c:v>50.681511206483322</c:v>
                </c:pt>
                <c:pt idx="84">
                  <c:v>50.968133053707128</c:v>
                </c:pt>
                <c:pt idx="85">
                  <c:v>51.250257217893662</c:v>
                </c:pt>
                <c:pt idx="86">
                  <c:v>51.526936134305721</c:v>
                </c:pt>
                <c:pt idx="87">
                  <c:v>51.797350281605837</c:v>
                </c:pt>
                <c:pt idx="88">
                  <c:v>52.060680449874667</c:v>
                </c:pt>
                <c:pt idx="89">
                  <c:v>52.316107751184319</c:v>
                </c:pt>
                <c:pt idx="90">
                  <c:v>52.562813635316758</c:v>
                </c:pt>
                <c:pt idx="91">
                  <c:v>52.799979902867342</c:v>
                </c:pt>
                <c:pt idx="92">
                  <c:v>53.027950295685891</c:v>
                </c:pt>
                <c:pt idx="93">
                  <c:v>53.247914465776446</c:v>
                </c:pt>
                <c:pt idx="94">
                  <c:v>53.46012164634157</c:v>
                </c:pt>
                <c:pt idx="95">
                  <c:v>53.664982898887473</c:v>
                </c:pt>
                <c:pt idx="96">
                  <c:v>53.862909280323073</c:v>
                </c:pt>
                <c:pt idx="97">
                  <c:v>54.054311848009554</c:v>
                </c:pt>
                <c:pt idx="98">
                  <c:v>54.239601661797565</c:v>
                </c:pt>
                <c:pt idx="99">
                  <c:v>54.419067886517368</c:v>
                </c:pt>
                <c:pt idx="100">
                  <c:v>54.593062448696536</c:v>
                </c:pt>
                <c:pt idx="101">
                  <c:v>54.761994748783252</c:v>
                </c:pt>
                <c:pt idx="102">
                  <c:v>54.926274069082254</c:v>
                </c:pt>
                <c:pt idx="103">
                  <c:v>55.086309563093899</c:v>
                </c:pt>
                <c:pt idx="104">
                  <c:v>55.242510257585032</c:v>
                </c:pt>
                <c:pt idx="105">
                  <c:v>55.395285048108605</c:v>
                </c:pt>
                <c:pt idx="106">
                  <c:v>55.543574996449898</c:v>
                </c:pt>
                <c:pt idx="107">
                  <c:v>55.686144399274561</c:v>
                </c:pt>
                <c:pt idx="108">
                  <c:v>55.823170390764517</c:v>
                </c:pt>
                <c:pt idx="109">
                  <c:v>55.954856495823158</c:v>
                </c:pt>
                <c:pt idx="110">
                  <c:v>56.081405957453214</c:v>
                </c:pt>
                <c:pt idx="111">
                  <c:v>56.20302188853433</c:v>
                </c:pt>
                <c:pt idx="112">
                  <c:v>56.319907409119303</c:v>
                </c:pt>
                <c:pt idx="113">
                  <c:v>56.432412003354194</c:v>
                </c:pt>
                <c:pt idx="114">
                  <c:v>56.540869629170963</c:v>
                </c:pt>
                <c:pt idx="115">
                  <c:v>56.645487075786022</c:v>
                </c:pt>
                <c:pt idx="116">
                  <c:v>56.746471258809009</c:v>
                </c:pt>
                <c:pt idx="117">
                  <c:v>56.844029218758777</c:v>
                </c:pt>
                <c:pt idx="118">
                  <c:v>56.938368131616379</c:v>
                </c:pt>
                <c:pt idx="119">
                  <c:v>57.029695302600764</c:v>
                </c:pt>
                <c:pt idx="120">
                  <c:v>57.11726346439265</c:v>
                </c:pt>
                <c:pt idx="121">
                  <c:v>57.200366829046075</c:v>
                </c:pt>
                <c:pt idx="122">
                  <c:v>57.279258253871227</c:v>
                </c:pt>
                <c:pt idx="123">
                  <c:v>57.354147736694124</c:v>
                </c:pt>
                <c:pt idx="124">
                  <c:v>57.425245522466454</c:v>
                </c:pt>
                <c:pt idx="125">
                  <c:v>57.492762100015234</c:v>
                </c:pt>
                <c:pt idx="126">
                  <c:v>57.556908200468811</c:v>
                </c:pt>
                <c:pt idx="127">
                  <c:v>57.617818210940328</c:v>
                </c:pt>
                <c:pt idx="128">
                  <c:v>57.675542467899945</c:v>
                </c:pt>
                <c:pt idx="129">
                  <c:v>57.730287767596536</c:v>
                </c:pt>
                <c:pt idx="130">
                  <c:v>57.782260920619109</c:v>
                </c:pt>
                <c:pt idx="131">
                  <c:v>57.831668743095207</c:v>
                </c:pt>
                <c:pt idx="132">
                  <c:v>57.878718056071861</c:v>
                </c:pt>
                <c:pt idx="133">
                  <c:v>57.923615678888005</c:v>
                </c:pt>
                <c:pt idx="134">
                  <c:v>57.966057560944328</c:v>
                </c:pt>
                <c:pt idx="135">
                  <c:v>58.005518367195464</c:v>
                </c:pt>
                <c:pt idx="136">
                  <c:v>58.041953553449133</c:v>
                </c:pt>
                <c:pt idx="137">
                  <c:v>58.075363050646018</c:v>
                </c:pt>
                <c:pt idx="138">
                  <c:v>58.105746738238985</c:v>
                </c:pt>
                <c:pt idx="139">
                  <c:v>58.133104441779196</c:v>
                </c:pt>
                <c:pt idx="140">
                  <c:v>58.157435935071582</c:v>
                </c:pt>
                <c:pt idx="141">
                  <c:v>58.178705570870662</c:v>
                </c:pt>
                <c:pt idx="142">
                  <c:v>58.196996736099649</c:v>
                </c:pt>
                <c:pt idx="143">
                  <c:v>58.212309982374428</c:v>
                </c:pt>
                <c:pt idx="144">
                  <c:v>58.224645770504189</c:v>
                </c:pt>
                <c:pt idx="145">
                  <c:v>58.23400453555746</c:v>
                </c:pt>
                <c:pt idx="146">
                  <c:v>58.240386685974975</c:v>
                </c:pt>
                <c:pt idx="147">
                  <c:v>58.24379259492558</c:v>
                </c:pt>
                <c:pt idx="148">
                  <c:v>58.244222603616805</c:v>
                </c:pt>
                <c:pt idx="149">
                  <c:v>58.241677967329608</c:v>
                </c:pt>
                <c:pt idx="150">
                  <c:v>58.236253823041224</c:v>
                </c:pt>
                <c:pt idx="151">
                  <c:v>58.227952452155037</c:v>
                </c:pt>
                <c:pt idx="152">
                  <c:v>58.216776106436321</c:v>
                </c:pt>
                <c:pt idx="153">
                  <c:v>58.202726995026516</c:v>
                </c:pt>
                <c:pt idx="154">
                  <c:v>58.185807280517302</c:v>
                </c:pt>
                <c:pt idx="155">
                  <c:v>58.166021131065918</c:v>
                </c:pt>
                <c:pt idx="156">
                  <c:v>58.143410481821022</c:v>
                </c:pt>
                <c:pt idx="157">
                  <c:v>58.117978269350431</c:v>
                </c:pt>
                <c:pt idx="158">
                  <c:v>58.08972734857214</c:v>
                </c:pt>
                <c:pt idx="159">
                  <c:v>58.058660485547513</c:v>
                </c:pt>
                <c:pt idx="160">
                  <c:v>58.024780345848782</c:v>
                </c:pt>
                <c:pt idx="161">
                  <c:v>57.988089488878963</c:v>
                </c:pt>
                <c:pt idx="162">
                  <c:v>57.948590357821871</c:v>
                </c:pt>
                <c:pt idx="163">
                  <c:v>57.906283871848153</c:v>
                </c:pt>
                <c:pt idx="164">
                  <c:v>57.86117116306675</c:v>
                </c:pt>
                <c:pt idx="165">
                  <c:v>57.813254243347465</c:v>
                </c:pt>
                <c:pt idx="166">
                  <c:v>57.762534987136057</c:v>
                </c:pt>
                <c:pt idx="167">
                  <c:v>57.709015122319599</c:v>
                </c:pt>
                <c:pt idx="168">
                  <c:v>57.652696228735948</c:v>
                </c:pt>
                <c:pt idx="169">
                  <c:v>57.59357828480055</c:v>
                </c:pt>
                <c:pt idx="170">
                  <c:v>57.531660275103434</c:v>
                </c:pt>
                <c:pt idx="171">
                  <c:v>57.466943260269936</c:v>
                </c:pt>
                <c:pt idx="172">
                  <c:v>57.399428144031354</c:v>
                </c:pt>
                <c:pt idx="173">
                  <c:v>57.329115739162319</c:v>
                </c:pt>
                <c:pt idx="174">
                  <c:v>57.256006708373</c:v>
                </c:pt>
                <c:pt idx="175">
                  <c:v>57.180101512968669</c:v>
                </c:pt>
                <c:pt idx="176">
                  <c:v>57.100738650596362</c:v>
                </c:pt>
                <c:pt idx="177">
                  <c:v>57.017462633586717</c:v>
                </c:pt>
                <c:pt idx="178">
                  <c:v>56.930580692414836</c:v>
                </c:pt>
                <c:pt idx="179">
                  <c:v>56.840398342729571</c:v>
                </c:pt>
                <c:pt idx="180">
                  <c:v>56.747220883698489</c:v>
                </c:pt>
                <c:pt idx="181">
                  <c:v>56.651353409899357</c:v>
                </c:pt>
                <c:pt idx="182">
                  <c:v>56.553100823556868</c:v>
                </c:pt>
                <c:pt idx="183">
                  <c:v>56.452768955924086</c:v>
                </c:pt>
                <c:pt idx="184">
                  <c:v>56.350663913466832</c:v>
                </c:pt>
                <c:pt idx="185">
                  <c:v>56.247090100822312</c:v>
                </c:pt>
                <c:pt idx="186">
                  <c:v>56.14235177006384</c:v>
                </c:pt>
                <c:pt idx="187">
                  <c:v>56.036753030317179</c:v>
                </c:pt>
                <c:pt idx="188">
                  <c:v>55.930597859652643</c:v>
                </c:pt>
                <c:pt idx="189">
                  <c:v>55.824190116905037</c:v>
                </c:pt>
                <c:pt idx="190">
                  <c:v>55.716850206825818</c:v>
                </c:pt>
                <c:pt idx="191">
                  <c:v>55.607714432094667</c:v>
                </c:pt>
                <c:pt idx="192">
                  <c:v>55.496880351473187</c:v>
                </c:pt>
                <c:pt idx="193">
                  <c:v>55.384447979519955</c:v>
                </c:pt>
                <c:pt idx="194">
                  <c:v>55.270517335955162</c:v>
                </c:pt>
                <c:pt idx="195">
                  <c:v>55.155188453974255</c:v>
                </c:pt>
                <c:pt idx="196">
                  <c:v>55.038561386745641</c:v>
                </c:pt>
                <c:pt idx="197">
                  <c:v>54.920616193681383</c:v>
                </c:pt>
                <c:pt idx="198">
                  <c:v>54.80145101883128</c:v>
                </c:pt>
                <c:pt idx="199">
                  <c:v>54.681165249844177</c:v>
                </c:pt>
                <c:pt idx="200">
                  <c:v>54.559858372389137</c:v>
                </c:pt>
                <c:pt idx="201">
                  <c:v>54.437629969788709</c:v>
                </c:pt>
                <c:pt idx="202">
                  <c:v>54.314579723087505</c:v>
                </c:pt>
                <c:pt idx="203">
                  <c:v>54.190807410283838</c:v>
                </c:pt>
                <c:pt idx="204">
                  <c:v>54.065938591452799</c:v>
                </c:pt>
                <c:pt idx="205">
                  <c:v>53.939484914572567</c:v>
                </c:pt>
                <c:pt idx="206">
                  <c:v>53.811596578100449</c:v>
                </c:pt>
                <c:pt idx="207">
                  <c:v>53.682373704052992</c:v>
                </c:pt>
                <c:pt idx="208">
                  <c:v>53.551916531502307</c:v>
                </c:pt>
                <c:pt idx="209">
                  <c:v>53.420325411759684</c:v>
                </c:pt>
                <c:pt idx="210">
                  <c:v>53.287700806093461</c:v>
                </c:pt>
                <c:pt idx="211">
                  <c:v>53.154211711129982</c:v>
                </c:pt>
                <c:pt idx="212">
                  <c:v>53.020082326664571</c:v>
                </c:pt>
                <c:pt idx="213">
                  <c:v>52.88541418110897</c:v>
                </c:pt>
                <c:pt idx="214">
                  <c:v>52.750308840337851</c:v>
                </c:pt>
                <c:pt idx="215">
                  <c:v>52.614867906276125</c:v>
                </c:pt>
                <c:pt idx="216">
                  <c:v>52.479193016052406</c:v>
                </c:pt>
                <c:pt idx="217">
                  <c:v>52.343385840098193</c:v>
                </c:pt>
                <c:pt idx="218">
                  <c:v>52.207954353227393</c:v>
                </c:pt>
                <c:pt idx="219">
                  <c:v>52.073386640324252</c:v>
                </c:pt>
                <c:pt idx="220">
                  <c:v>51.939495183285963</c:v>
                </c:pt>
                <c:pt idx="221">
                  <c:v>51.805976551028436</c:v>
                </c:pt>
                <c:pt idx="222">
                  <c:v>51.6725273285913</c:v>
                </c:pt>
                <c:pt idx="223">
                  <c:v>51.538844116612587</c:v>
                </c:pt>
                <c:pt idx="224">
                  <c:v>51.4046235294376</c:v>
                </c:pt>
                <c:pt idx="225">
                  <c:v>51.269486290132001</c:v>
                </c:pt>
                <c:pt idx="226">
                  <c:v>51.133059203636073</c:v>
                </c:pt>
                <c:pt idx="227">
                  <c:v>50.995038573805999</c:v>
                </c:pt>
                <c:pt idx="228">
                  <c:v>50.855120751061165</c:v>
                </c:pt>
                <c:pt idx="229">
                  <c:v>50.713002129389565</c:v>
                </c:pt>
                <c:pt idx="230">
                  <c:v>50.568379144798996</c:v>
                </c:pt>
                <c:pt idx="231">
                  <c:v>50.420948269764025</c:v>
                </c:pt>
                <c:pt idx="232">
                  <c:v>50.271826959530287</c:v>
                </c:pt>
                <c:pt idx="233">
                  <c:v>50.121909861759704</c:v>
                </c:pt>
                <c:pt idx="234">
                  <c:v>49.970639000782995</c:v>
                </c:pt>
                <c:pt idx="235">
                  <c:v>49.817709907518356</c:v>
                </c:pt>
                <c:pt idx="236">
                  <c:v>49.662818219800243</c:v>
                </c:pt>
                <c:pt idx="237">
                  <c:v>49.505659762872519</c:v>
                </c:pt>
                <c:pt idx="238">
                  <c:v>49.3459304936178</c:v>
                </c:pt>
                <c:pt idx="239">
                  <c:v>49.18336459340356</c:v>
                </c:pt>
                <c:pt idx="240">
                  <c:v>49.017734861930336</c:v>
                </c:pt>
                <c:pt idx="241">
                  <c:v>48.848737700826476</c:v>
                </c:pt>
                <c:pt idx="242">
                  <c:v>48.676069616010103</c:v>
                </c:pt>
                <c:pt idx="243">
                  <c:v>48.499427217688201</c:v>
                </c:pt>
                <c:pt idx="244">
                  <c:v>48.318507220229399</c:v>
                </c:pt>
                <c:pt idx="245">
                  <c:v>48.133006444826968</c:v>
                </c:pt>
                <c:pt idx="246">
                  <c:v>47.943162763320395</c:v>
                </c:pt>
                <c:pt idx="247">
                  <c:v>47.749590043853807</c:v>
                </c:pt>
                <c:pt idx="248">
                  <c:v>47.552614238326179</c:v>
                </c:pt>
                <c:pt idx="249">
                  <c:v>47.352337960070955</c:v>
                </c:pt>
                <c:pt idx="250">
                  <c:v>47.14886379541602</c:v>
                </c:pt>
                <c:pt idx="251">
                  <c:v>46.942294303417754</c:v>
                </c:pt>
                <c:pt idx="252">
                  <c:v>46.732732015424574</c:v>
                </c:pt>
                <c:pt idx="253">
                  <c:v>46.520593401673743</c:v>
                </c:pt>
                <c:pt idx="254">
                  <c:v>46.305942774208688</c:v>
                </c:pt>
                <c:pt idx="255">
                  <c:v>46.088882389541133</c:v>
                </c:pt>
                <c:pt idx="256">
                  <c:v>45.869514410658446</c:v>
                </c:pt>
                <c:pt idx="257">
                  <c:v>45.647940908005893</c:v>
                </c:pt>
                <c:pt idx="258">
                  <c:v>45.424263851750617</c:v>
                </c:pt>
                <c:pt idx="259">
                  <c:v>45.198585108543547</c:v>
                </c:pt>
                <c:pt idx="260">
                  <c:v>44.970313763819028</c:v>
                </c:pt>
                <c:pt idx="261">
                  <c:v>44.739150162639582</c:v>
                </c:pt>
                <c:pt idx="262">
                  <c:v>44.505191838134735</c:v>
                </c:pt>
                <c:pt idx="263">
                  <c:v>44.268641424166859</c:v>
                </c:pt>
                <c:pt idx="264">
                  <c:v>44.029701356132051</c:v>
                </c:pt>
                <c:pt idx="265">
                  <c:v>43.788573179348028</c:v>
                </c:pt>
                <c:pt idx="266">
                  <c:v>43.545458640547913</c:v>
                </c:pt>
                <c:pt idx="267">
                  <c:v>43.300116656840537</c:v>
                </c:pt>
                <c:pt idx="268">
                  <c:v>43.052438219009318</c:v>
                </c:pt>
                <c:pt idx="269">
                  <c:v>42.802626745370844</c:v>
                </c:pt>
                <c:pt idx="270">
                  <c:v>42.550885599128215</c:v>
                </c:pt>
                <c:pt idx="271">
                  <c:v>42.297418090173956</c:v>
                </c:pt>
                <c:pt idx="272">
                  <c:v>42.042427475360832</c:v>
                </c:pt>
                <c:pt idx="273">
                  <c:v>41.78611695725705</c:v>
                </c:pt>
                <c:pt idx="274">
                  <c:v>41.527305046044873</c:v>
                </c:pt>
                <c:pt idx="275">
                  <c:v>41.263958372451093</c:v>
                </c:pt>
                <c:pt idx="276">
                  <c:v>40.996265342589929</c:v>
                </c:pt>
                <c:pt idx="277">
                  <c:v>40.72463635789348</c:v>
                </c:pt>
                <c:pt idx="278">
                  <c:v>40.449482181726346</c:v>
                </c:pt>
                <c:pt idx="279">
                  <c:v>40.171213954029511</c:v>
                </c:pt>
                <c:pt idx="280">
                  <c:v>39.890243208952242</c:v>
                </c:pt>
                <c:pt idx="281">
                  <c:v>39.606299623047555</c:v>
                </c:pt>
                <c:pt idx="282">
                  <c:v>39.320234658833371</c:v>
                </c:pt>
                <c:pt idx="283">
                  <c:v>39.032462472552687</c:v>
                </c:pt>
                <c:pt idx="284">
                  <c:v>38.743397738992329</c:v>
                </c:pt>
                <c:pt idx="285">
                  <c:v>38.45345565185837</c:v>
                </c:pt>
                <c:pt idx="286">
                  <c:v>38.163051916027257</c:v>
                </c:pt>
                <c:pt idx="287">
                  <c:v>37.872602736038004</c:v>
                </c:pt>
                <c:pt idx="288">
                  <c:v>37.580853701036148</c:v>
                </c:pt>
                <c:pt idx="289">
                  <c:v>37.286653648490628</c:v>
                </c:pt>
                <c:pt idx="290">
                  <c:v>36.991281427988945</c:v>
                </c:pt>
                <c:pt idx="291">
                  <c:v>36.695046540949491</c:v>
                </c:pt>
                <c:pt idx="292">
                  <c:v>36.398258409950245</c:v>
                </c:pt>
                <c:pt idx="293">
                  <c:v>36.10122635358794</c:v>
                </c:pt>
                <c:pt idx="294">
                  <c:v>35.804259562331531</c:v>
                </c:pt>
                <c:pt idx="295">
                  <c:v>35.508629163533776</c:v>
                </c:pt>
                <c:pt idx="296">
                  <c:v>35.215293702943903</c:v>
                </c:pt>
                <c:pt idx="297">
                  <c:v>34.924545050318947</c:v>
                </c:pt>
                <c:pt idx="298">
                  <c:v>34.636677390951291</c:v>
                </c:pt>
                <c:pt idx="299">
                  <c:v>34.351984365813749</c:v>
                </c:pt>
                <c:pt idx="300">
                  <c:v>34.070759097823689</c:v>
                </c:pt>
                <c:pt idx="301">
                  <c:v>33.793294229030181</c:v>
                </c:pt>
                <c:pt idx="302">
                  <c:v>33.519341925545099</c:v>
                </c:pt>
                <c:pt idx="303">
                  <c:v>33.249330684438789</c:v>
                </c:pt>
                <c:pt idx="304">
                  <c:v>32.982975177564867</c:v>
                </c:pt>
                <c:pt idx="305">
                  <c:v>32.712364275380914</c:v>
                </c:pt>
                <c:pt idx="306">
                  <c:v>32.445325880509799</c:v>
                </c:pt>
                <c:pt idx="307">
                  <c:v>32.181736059746072</c:v>
                </c:pt>
                <c:pt idx="308">
                  <c:v>31.921470936513291</c:v>
                </c:pt>
                <c:pt idx="309">
                  <c:v>31.664523684045236</c:v>
                </c:pt>
                <c:pt idx="310">
                  <c:v>31.409846831610039</c:v>
                </c:pt>
                <c:pt idx="311">
                  <c:v>31.157324439954628</c:v>
                </c:pt>
                <c:pt idx="312">
                  <c:v>30.906840890079337</c:v>
                </c:pt>
                <c:pt idx="313">
                  <c:v>30.658280942474597</c:v>
                </c:pt>
                <c:pt idx="314">
                  <c:v>30.411529794696065</c:v>
                </c:pt>
                <c:pt idx="315">
                  <c:v>30.166473134490175</c:v>
                </c:pt>
                <c:pt idx="316">
                  <c:v>29.922374642274068</c:v>
                </c:pt>
                <c:pt idx="317">
                  <c:v>29.678664718649756</c:v>
                </c:pt>
                <c:pt idx="318">
                  <c:v>29.434831480956731</c:v>
                </c:pt>
                <c:pt idx="319">
                  <c:v>29.191276659731116</c:v>
                </c:pt>
                <c:pt idx="320">
                  <c:v>28.94840187975111</c:v>
                </c:pt>
                <c:pt idx="321">
                  <c:v>28.70660866326666</c:v>
                </c:pt>
                <c:pt idx="322">
                  <c:v>28.46629843267819</c:v>
                </c:pt>
                <c:pt idx="323">
                  <c:v>28.22774597948754</c:v>
                </c:pt>
                <c:pt idx="324">
                  <c:v>27.991241423329623</c:v>
                </c:pt>
                <c:pt idx="325">
                  <c:v>27.757187635560673</c:v>
                </c:pt>
                <c:pt idx="326">
                  <c:v>27.5259898353046</c:v>
                </c:pt>
                <c:pt idx="327">
                  <c:v>27.298051180667681</c:v>
                </c:pt>
                <c:pt idx="328">
                  <c:v>27.073772518681732</c:v>
                </c:pt>
                <c:pt idx="329">
                  <c:v>26.853554538053078</c:v>
                </c:pt>
                <c:pt idx="330">
                  <c:v>26.633521709350063</c:v>
                </c:pt>
                <c:pt idx="331">
                  <c:v>26.410409574124344</c:v>
                </c:pt>
                <c:pt idx="332">
                  <c:v>26.185895626928286</c:v>
                </c:pt>
                <c:pt idx="333">
                  <c:v>25.961490297868355</c:v>
                </c:pt>
                <c:pt idx="334">
                  <c:v>25.738702690579345</c:v>
                </c:pt>
                <c:pt idx="335">
                  <c:v>25.519040565041966</c:v>
                </c:pt>
                <c:pt idx="336">
                  <c:v>25.304010311269806</c:v>
                </c:pt>
                <c:pt idx="337">
                  <c:v>25.095070437407557</c:v>
                </c:pt>
                <c:pt idx="338">
                  <c:v>24.893847321382168</c:v>
                </c:pt>
                <c:pt idx="339">
                  <c:v>24.701842745785864</c:v>
                </c:pt>
                <c:pt idx="340">
                  <c:v>24.520557082577614</c:v>
                </c:pt>
                <c:pt idx="341">
                  <c:v>24.351489269053058</c:v>
                </c:pt>
                <c:pt idx="342">
                  <c:v>24.19613678913397</c:v>
                </c:pt>
                <c:pt idx="343">
                  <c:v>24.055995666658372</c:v>
                </c:pt>
                <c:pt idx="344">
                  <c:v>23.926580397857435</c:v>
                </c:pt>
                <c:pt idx="345">
                  <c:v>23.803090317923484</c:v>
                </c:pt>
                <c:pt idx="346">
                  <c:v>23.686623690376607</c:v>
                </c:pt>
                <c:pt idx="347">
                  <c:v>23.578200632259225</c:v>
                </c:pt>
                <c:pt idx="348">
                  <c:v>23.478840253316331</c:v>
                </c:pt>
                <c:pt idx="349">
                  <c:v>23.389560624021787</c:v>
                </c:pt>
                <c:pt idx="350">
                  <c:v>23.311378792315519</c:v>
                </c:pt>
                <c:pt idx="351">
                  <c:v>23.245260376311176</c:v>
                </c:pt>
                <c:pt idx="352">
                  <c:v>23.192266112858462</c:v>
                </c:pt>
                <c:pt idx="353">
                  <c:v>23.153409887203761</c:v>
                </c:pt>
                <c:pt idx="354">
                  <c:v>23.129704522974411</c:v>
                </c:pt>
                <c:pt idx="355">
                  <c:v>23.122161772965416</c:v>
                </c:pt>
                <c:pt idx="356">
                  <c:v>23.131793732724777</c:v>
                </c:pt>
                <c:pt idx="357">
                  <c:v>23.159609053065694</c:v>
                </c:pt>
                <c:pt idx="358">
                  <c:v>23.20672657387027</c:v>
                </c:pt>
                <c:pt idx="359">
                  <c:v>23.272823185217607</c:v>
                </c:pt>
                <c:pt idx="360">
                  <c:v>23.356701597026227</c:v>
                </c:pt>
                <c:pt idx="361">
                  <c:v>23.457261358975991</c:v>
                </c:pt>
                <c:pt idx="362">
                  <c:v>23.5733528577776</c:v>
                </c:pt>
                <c:pt idx="363">
                  <c:v>23.703827542187064</c:v>
                </c:pt>
                <c:pt idx="364">
                  <c:v>23.847537917960786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14.515000000000001</c:v>
                </c:pt>
                <c:pt idx="1">
                  <c:v>4.375</c:v>
                </c:pt>
                <c:pt idx="2">
                  <c:v>24.212</c:v>
                </c:pt>
                <c:pt idx="3">
                  <c:v>22.487000000000002</c:v>
                </c:pt>
                <c:pt idx="4">
                  <c:v>2.0880000000000001</c:v>
                </c:pt>
                <c:pt idx="5">
                  <c:v>7.5460000000000003</c:v>
                </c:pt>
                <c:pt idx="6">
                  <c:v>13.862</c:v>
                </c:pt>
                <c:pt idx="7">
                  <c:v>21.202000000000002</c:v>
                </c:pt>
                <c:pt idx="8">
                  <c:v>5.0200000000000005</c:v>
                </c:pt>
                <c:pt idx="9">
                  <c:v>4.798</c:v>
                </c:pt>
                <c:pt idx="10">
                  <c:v>6.84</c:v>
                </c:pt>
                <c:pt idx="11">
                  <c:v>16.584</c:v>
                </c:pt>
                <c:pt idx="12">
                  <c:v>10.311</c:v>
                </c:pt>
                <c:pt idx="13">
                  <c:v>10.816000000000001</c:v>
                </c:pt>
                <c:pt idx="14">
                  <c:v>17.265000000000001</c:v>
                </c:pt>
                <c:pt idx="15">
                  <c:v>21.51</c:v>
                </c:pt>
                <c:pt idx="16">
                  <c:v>4.49</c:v>
                </c:pt>
                <c:pt idx="17">
                  <c:v>28.580000000000002</c:v>
                </c:pt>
                <c:pt idx="18">
                  <c:v>30.683</c:v>
                </c:pt>
                <c:pt idx="19">
                  <c:v>7.056</c:v>
                </c:pt>
                <c:pt idx="20">
                  <c:v>14.468999999999999</c:v>
                </c:pt>
                <c:pt idx="21">
                  <c:v>5.3810000000000002</c:v>
                </c:pt>
                <c:pt idx="22">
                  <c:v>9.5540000000000003</c:v>
                </c:pt>
                <c:pt idx="23">
                  <c:v>16.472000000000001</c:v>
                </c:pt>
                <c:pt idx="24">
                  <c:v>6.8440000000000003</c:v>
                </c:pt>
                <c:pt idx="25">
                  <c:v>21.586000000000002</c:v>
                </c:pt>
                <c:pt idx="26">
                  <c:v>5.2240000000000002</c:v>
                </c:pt>
                <c:pt idx="27">
                  <c:v>17.663</c:v>
                </c:pt>
                <c:pt idx="28">
                  <c:v>15.756</c:v>
                </c:pt>
                <c:pt idx="29">
                  <c:v>6.8440000000000003</c:v>
                </c:pt>
                <c:pt idx="30">
                  <c:v>9.277000000000001</c:v>
                </c:pt>
                <c:pt idx="31">
                  <c:v>8.5359999999999996</c:v>
                </c:pt>
                <c:pt idx="32">
                  <c:v>31.033000000000001</c:v>
                </c:pt>
                <c:pt idx="33">
                  <c:v>24.865000000000002</c:v>
                </c:pt>
                <c:pt idx="34">
                  <c:v>13.245000000000001</c:v>
                </c:pt>
                <c:pt idx="35">
                  <c:v>8.0340000000000007</c:v>
                </c:pt>
                <c:pt idx="36">
                  <c:v>8.0050000000000008</c:v>
                </c:pt>
                <c:pt idx="37">
                  <c:v>24.834</c:v>
                </c:pt>
                <c:pt idx="38">
                  <c:v>4.2290000000000001</c:v>
                </c:pt>
                <c:pt idx="39">
                  <c:v>14.755000000000001</c:v>
                </c:pt>
                <c:pt idx="40">
                  <c:v>11.384</c:v>
                </c:pt>
                <c:pt idx="41">
                  <c:v>34.197000000000003</c:v>
                </c:pt>
                <c:pt idx="42">
                  <c:v>4.7320000000000002</c:v>
                </c:pt>
                <c:pt idx="43">
                  <c:v>8.3090000000000011</c:v>
                </c:pt>
                <c:pt idx="44">
                  <c:v>31.14</c:v>
                </c:pt>
                <c:pt idx="45">
                  <c:v>36.78</c:v>
                </c:pt>
                <c:pt idx="46">
                  <c:v>32.4</c:v>
                </c:pt>
                <c:pt idx="47">
                  <c:v>36.384999999999998</c:v>
                </c:pt>
                <c:pt idx="48">
                  <c:v>13.214</c:v>
                </c:pt>
                <c:pt idx="49">
                  <c:v>37.5</c:v>
                </c:pt>
                <c:pt idx="50">
                  <c:v>34.849000000000004</c:v>
                </c:pt>
                <c:pt idx="51">
                  <c:v>12.231</c:v>
                </c:pt>
                <c:pt idx="52">
                  <c:v>5.4750000000000005</c:v>
                </c:pt>
                <c:pt idx="53">
                  <c:v>29.141999999999999</c:v>
                </c:pt>
                <c:pt idx="54">
                  <c:v>37.194000000000003</c:v>
                </c:pt>
                <c:pt idx="55">
                  <c:v>36.295999999999999</c:v>
                </c:pt>
                <c:pt idx="56">
                  <c:v>9.5590000000000011</c:v>
                </c:pt>
                <c:pt idx="57">
                  <c:v>40.747999999999998</c:v>
                </c:pt>
                <c:pt idx="58">
                  <c:v>34.813000000000002</c:v>
                </c:pt>
                <c:pt idx="59">
                  <c:v>38.779000000000003</c:v>
                </c:pt>
                <c:pt idx="60">
                  <c:v>17.626999999999999</c:v>
                </c:pt>
                <c:pt idx="61">
                  <c:v>16.618000000000002</c:v>
                </c:pt>
                <c:pt idx="62">
                  <c:v>30.147000000000002</c:v>
                </c:pt>
                <c:pt idx="63">
                  <c:v>32.986000000000004</c:v>
                </c:pt>
                <c:pt idx="64">
                  <c:v>9.5400000000000009</c:v>
                </c:pt>
                <c:pt idx="65">
                  <c:v>11.417</c:v>
                </c:pt>
                <c:pt idx="66">
                  <c:v>17.645</c:v>
                </c:pt>
                <c:pt idx="67">
                  <c:v>42.277000000000001</c:v>
                </c:pt>
                <c:pt idx="68">
                  <c:v>42.663000000000004</c:v>
                </c:pt>
                <c:pt idx="69">
                  <c:v>37.582999999999998</c:v>
                </c:pt>
                <c:pt idx="70">
                  <c:v>27.28</c:v>
                </c:pt>
                <c:pt idx="71">
                  <c:v>38.664000000000001</c:v>
                </c:pt>
                <c:pt idx="72">
                  <c:v>20.248000000000001</c:v>
                </c:pt>
                <c:pt idx="73">
                  <c:v>14.121</c:v>
                </c:pt>
                <c:pt idx="74">
                  <c:v>33.116</c:v>
                </c:pt>
                <c:pt idx="75">
                  <c:v>31.881</c:v>
                </c:pt>
                <c:pt idx="76">
                  <c:v>25.246000000000002</c:v>
                </c:pt>
                <c:pt idx="77">
                  <c:v>8.1449999999999996</c:v>
                </c:pt>
                <c:pt idx="78">
                  <c:v>42.008000000000003</c:v>
                </c:pt>
                <c:pt idx="79">
                  <c:v>47.25</c:v>
                </c:pt>
                <c:pt idx="80">
                  <c:v>34.216999999999999</c:v>
                </c:pt>
                <c:pt idx="81">
                  <c:v>49.221000000000004</c:v>
                </c:pt>
                <c:pt idx="82">
                  <c:v>48.928000000000004</c:v>
                </c:pt>
                <c:pt idx="83">
                  <c:v>28.715</c:v>
                </c:pt>
                <c:pt idx="84">
                  <c:v>41.945</c:v>
                </c:pt>
                <c:pt idx="85">
                  <c:v>37.788000000000004</c:v>
                </c:pt>
                <c:pt idx="86">
                  <c:v>49.622</c:v>
                </c:pt>
                <c:pt idx="87">
                  <c:v>52.289000000000001</c:v>
                </c:pt>
                <c:pt idx="88">
                  <c:v>49.679000000000002</c:v>
                </c:pt>
                <c:pt idx="89">
                  <c:v>48.413000000000004</c:v>
                </c:pt>
                <c:pt idx="90">
                  <c:v>48.889000000000003</c:v>
                </c:pt>
                <c:pt idx="91">
                  <c:v>41.265000000000001</c:v>
                </c:pt>
                <c:pt idx="92">
                  <c:v>41.517000000000003</c:v>
                </c:pt>
                <c:pt idx="93">
                  <c:v>50.947000000000003</c:v>
                </c:pt>
                <c:pt idx="94">
                  <c:v>50.957000000000001</c:v>
                </c:pt>
                <c:pt idx="95">
                  <c:v>23.087</c:v>
                </c:pt>
                <c:pt idx="96">
                  <c:v>54.19</c:v>
                </c:pt>
                <c:pt idx="97">
                  <c:v>54.761000000000003</c:v>
                </c:pt>
                <c:pt idx="98">
                  <c:v>35.523000000000003</c:v>
                </c:pt>
                <c:pt idx="99">
                  <c:v>34.497</c:v>
                </c:pt>
                <c:pt idx="100">
                  <c:v>7.5019999999999998</c:v>
                </c:pt>
                <c:pt idx="101">
                  <c:v>42.006999999999998</c:v>
                </c:pt>
                <c:pt idx="102">
                  <c:v>51.082999999999998</c:v>
                </c:pt>
                <c:pt idx="103">
                  <c:v>54.368000000000002</c:v>
                </c:pt>
                <c:pt idx="104">
                  <c:v>55.216000000000001</c:v>
                </c:pt>
                <c:pt idx="105">
                  <c:v>50.18</c:v>
                </c:pt>
                <c:pt idx="106">
                  <c:v>54.616</c:v>
                </c:pt>
                <c:pt idx="107">
                  <c:v>44.928000000000004</c:v>
                </c:pt>
                <c:pt idx="108">
                  <c:v>54.052</c:v>
                </c:pt>
                <c:pt idx="109">
                  <c:v>43.106999999999999</c:v>
                </c:pt>
                <c:pt idx="110">
                  <c:v>45.742000000000004</c:v>
                </c:pt>
                <c:pt idx="111">
                  <c:v>53.420999999999999</c:v>
                </c:pt>
                <c:pt idx="112">
                  <c:v>56.962000000000003</c:v>
                </c:pt>
                <c:pt idx="113">
                  <c:v>57.605000000000004</c:v>
                </c:pt>
                <c:pt idx="114">
                  <c:v>24.523</c:v>
                </c:pt>
                <c:pt idx="115">
                  <c:v>5.7960000000000003</c:v>
                </c:pt>
                <c:pt idx="116">
                  <c:v>18.759</c:v>
                </c:pt>
                <c:pt idx="117">
                  <c:v>15.975</c:v>
                </c:pt>
                <c:pt idx="118">
                  <c:v>19.673000000000002</c:v>
                </c:pt>
                <c:pt idx="119">
                  <c:v>18.209</c:v>
                </c:pt>
                <c:pt idx="120">
                  <c:v>16.013000000000002</c:v>
                </c:pt>
                <c:pt idx="121">
                  <c:v>49.14</c:v>
                </c:pt>
                <c:pt idx="122">
                  <c:v>55.783999999999999</c:v>
                </c:pt>
                <c:pt idx="123">
                  <c:v>49.242000000000004</c:v>
                </c:pt>
                <c:pt idx="124">
                  <c:v>34.97</c:v>
                </c:pt>
                <c:pt idx="125">
                  <c:v>44.036999999999999</c:v>
                </c:pt>
                <c:pt idx="126">
                  <c:v>25.683</c:v>
                </c:pt>
                <c:pt idx="127">
                  <c:v>57.515999999999998</c:v>
                </c:pt>
                <c:pt idx="128">
                  <c:v>18.968</c:v>
                </c:pt>
                <c:pt idx="129">
                  <c:v>39.189</c:v>
                </c:pt>
                <c:pt idx="130">
                  <c:v>25.995000000000001</c:v>
                </c:pt>
                <c:pt idx="131">
                  <c:v>40.896999999999998</c:v>
                </c:pt>
                <c:pt idx="132">
                  <c:v>52.962000000000003</c:v>
                </c:pt>
                <c:pt idx="133">
                  <c:v>38.904000000000003</c:v>
                </c:pt>
                <c:pt idx="134">
                  <c:v>20.048999999999999</c:v>
                </c:pt>
                <c:pt idx="135">
                  <c:v>12.429</c:v>
                </c:pt>
                <c:pt idx="136">
                  <c:v>49.230000000000004</c:v>
                </c:pt>
                <c:pt idx="137">
                  <c:v>36.234999999999999</c:v>
                </c:pt>
                <c:pt idx="138">
                  <c:v>44.606999999999999</c:v>
                </c:pt>
                <c:pt idx="139">
                  <c:v>56.350999999999999</c:v>
                </c:pt>
                <c:pt idx="140">
                  <c:v>44.744999999999997</c:v>
                </c:pt>
                <c:pt idx="141">
                  <c:v>31.911999999999999</c:v>
                </c:pt>
                <c:pt idx="142">
                  <c:v>33.430999999999997</c:v>
                </c:pt>
                <c:pt idx="143">
                  <c:v>25.045999999999999</c:v>
                </c:pt>
                <c:pt idx="144">
                  <c:v>48.246000000000002</c:v>
                </c:pt>
                <c:pt idx="145">
                  <c:v>51.024999999999999</c:v>
                </c:pt>
                <c:pt idx="146">
                  <c:v>57.313000000000002</c:v>
                </c:pt>
                <c:pt idx="147">
                  <c:v>41.468000000000004</c:v>
                </c:pt>
                <c:pt idx="148">
                  <c:v>30.971</c:v>
                </c:pt>
                <c:pt idx="149">
                  <c:v>50.887999999999998</c:v>
                </c:pt>
                <c:pt idx="150">
                  <c:v>56.597999999999999</c:v>
                </c:pt>
                <c:pt idx="151">
                  <c:v>33.728999999999999</c:v>
                </c:pt>
                <c:pt idx="152">
                  <c:v>32.177</c:v>
                </c:pt>
                <c:pt idx="153">
                  <c:v>39.883000000000003</c:v>
                </c:pt>
                <c:pt idx="154">
                  <c:v>8.8940000000000001</c:v>
                </c:pt>
                <c:pt idx="155">
                  <c:v>36.802</c:v>
                </c:pt>
                <c:pt idx="156">
                  <c:v>47.855000000000004</c:v>
                </c:pt>
                <c:pt idx="157">
                  <c:v>52.957999999999998</c:v>
                </c:pt>
                <c:pt idx="158">
                  <c:v>56.311</c:v>
                </c:pt>
                <c:pt idx="159">
                  <c:v>55.364000000000004</c:v>
                </c:pt>
                <c:pt idx="160">
                  <c:v>55.384</c:v>
                </c:pt>
                <c:pt idx="161">
                  <c:v>48.550000000000004</c:v>
                </c:pt>
                <c:pt idx="162">
                  <c:v>38.878</c:v>
                </c:pt>
                <c:pt idx="163">
                  <c:v>53.992000000000004</c:v>
                </c:pt>
                <c:pt idx="164">
                  <c:v>53.965000000000003</c:v>
                </c:pt>
                <c:pt idx="165">
                  <c:v>50.31</c:v>
                </c:pt>
                <c:pt idx="166">
                  <c:v>51.309000000000005</c:v>
                </c:pt>
                <c:pt idx="167">
                  <c:v>15.477</c:v>
                </c:pt>
                <c:pt idx="168">
                  <c:v>36.384</c:v>
                </c:pt>
                <c:pt idx="169">
                  <c:v>32.725999999999999</c:v>
                </c:pt>
                <c:pt idx="170">
                  <c:v>30.754000000000001</c:v>
                </c:pt>
                <c:pt idx="171">
                  <c:v>33.006</c:v>
                </c:pt>
                <c:pt idx="172">
                  <c:v>41.579000000000001</c:v>
                </c:pt>
                <c:pt idx="173">
                  <c:v>23.236000000000001</c:v>
                </c:pt>
                <c:pt idx="174">
                  <c:v>32.302</c:v>
                </c:pt>
                <c:pt idx="175">
                  <c:v>47.627000000000002</c:v>
                </c:pt>
                <c:pt idx="176">
                  <c:v>54.902999999999999</c:v>
                </c:pt>
                <c:pt idx="177">
                  <c:v>7.9870000000000001</c:v>
                </c:pt>
                <c:pt idx="178">
                  <c:v>24.654</c:v>
                </c:pt>
                <c:pt idx="179">
                  <c:v>36.182000000000002</c:v>
                </c:pt>
                <c:pt idx="180">
                  <c:v>41.941000000000003</c:v>
                </c:pt>
                <c:pt idx="181">
                  <c:v>52.643000000000001</c:v>
                </c:pt>
                <c:pt idx="182">
                  <c:v>51.923999999999999</c:v>
                </c:pt>
                <c:pt idx="183">
                  <c:v>26.187999999999999</c:v>
                </c:pt>
                <c:pt idx="184">
                  <c:v>31.618000000000002</c:v>
                </c:pt>
                <c:pt idx="185">
                  <c:v>54.834000000000003</c:v>
                </c:pt>
                <c:pt idx="186">
                  <c:v>21.23</c:v>
                </c:pt>
                <c:pt idx="187">
                  <c:v>37.576999999999998</c:v>
                </c:pt>
                <c:pt idx="188">
                  <c:v>40.896999999999998</c:v>
                </c:pt>
                <c:pt idx="189">
                  <c:v>49.393999999999998</c:v>
                </c:pt>
                <c:pt idx="190">
                  <c:v>48.492000000000004</c:v>
                </c:pt>
                <c:pt idx="191">
                  <c:v>50.875999999999998</c:v>
                </c:pt>
                <c:pt idx="192">
                  <c:v>10.935</c:v>
                </c:pt>
                <c:pt idx="193">
                  <c:v>25.057000000000002</c:v>
                </c:pt>
                <c:pt idx="194">
                  <c:v>28.422000000000001</c:v>
                </c:pt>
                <c:pt idx="195">
                  <c:v>25.827000000000002</c:v>
                </c:pt>
                <c:pt idx="196">
                  <c:v>42.861000000000004</c:v>
                </c:pt>
                <c:pt idx="197">
                  <c:v>54.813000000000002</c:v>
                </c:pt>
                <c:pt idx="198">
                  <c:v>47.978999999999999</c:v>
                </c:pt>
                <c:pt idx="199">
                  <c:v>52.206000000000003</c:v>
                </c:pt>
                <c:pt idx="200">
                  <c:v>46.971000000000004</c:v>
                </c:pt>
                <c:pt idx="201">
                  <c:v>39.923000000000002</c:v>
                </c:pt>
                <c:pt idx="202">
                  <c:v>51.426000000000002</c:v>
                </c:pt>
                <c:pt idx="203">
                  <c:v>43.852000000000004</c:v>
                </c:pt>
                <c:pt idx="204">
                  <c:v>27.882000000000001</c:v>
                </c:pt>
                <c:pt idx="205">
                  <c:v>36.383000000000003</c:v>
                </c:pt>
                <c:pt idx="206">
                  <c:v>29.292000000000002</c:v>
                </c:pt>
                <c:pt idx="207">
                  <c:v>50.88</c:v>
                </c:pt>
                <c:pt idx="208">
                  <c:v>23.375</c:v>
                </c:pt>
                <c:pt idx="209">
                  <c:v>50.972999999999999</c:v>
                </c:pt>
                <c:pt idx="210">
                  <c:v>16.978999999999999</c:v>
                </c:pt>
                <c:pt idx="211">
                  <c:v>11.63</c:v>
                </c:pt>
                <c:pt idx="212">
                  <c:v>44.416000000000004</c:v>
                </c:pt>
                <c:pt idx="213">
                  <c:v>42.558</c:v>
                </c:pt>
                <c:pt idx="214">
                  <c:v>37.468000000000004</c:v>
                </c:pt>
                <c:pt idx="215">
                  <c:v>23.599</c:v>
                </c:pt>
                <c:pt idx="216">
                  <c:v>44.230000000000004</c:v>
                </c:pt>
                <c:pt idx="217">
                  <c:v>18.001000000000001</c:v>
                </c:pt>
                <c:pt idx="218">
                  <c:v>22.347000000000001</c:v>
                </c:pt>
                <c:pt idx="219">
                  <c:v>37.46</c:v>
                </c:pt>
                <c:pt idx="220">
                  <c:v>50.978000000000002</c:v>
                </c:pt>
                <c:pt idx="221">
                  <c:v>48.277000000000001</c:v>
                </c:pt>
                <c:pt idx="222">
                  <c:v>47.725000000000001</c:v>
                </c:pt>
                <c:pt idx="223">
                  <c:v>45.963000000000001</c:v>
                </c:pt>
                <c:pt idx="224">
                  <c:v>22.332000000000001</c:v>
                </c:pt>
                <c:pt idx="225">
                  <c:v>45.948999999999998</c:v>
                </c:pt>
                <c:pt idx="226">
                  <c:v>17.442</c:v>
                </c:pt>
                <c:pt idx="227">
                  <c:v>28.987000000000002</c:v>
                </c:pt>
                <c:pt idx="228">
                  <c:v>43.366</c:v>
                </c:pt>
                <c:pt idx="229">
                  <c:v>42.292000000000002</c:v>
                </c:pt>
                <c:pt idx="230">
                  <c:v>39.015999999999998</c:v>
                </c:pt>
                <c:pt idx="231">
                  <c:v>49.143999999999998</c:v>
                </c:pt>
                <c:pt idx="232">
                  <c:v>45.84</c:v>
                </c:pt>
                <c:pt idx="233">
                  <c:v>17.565000000000001</c:v>
                </c:pt>
                <c:pt idx="234">
                  <c:v>40.21</c:v>
                </c:pt>
                <c:pt idx="235">
                  <c:v>47.698</c:v>
                </c:pt>
                <c:pt idx="236">
                  <c:v>47.933</c:v>
                </c:pt>
                <c:pt idx="237">
                  <c:v>47.832000000000001</c:v>
                </c:pt>
                <c:pt idx="238">
                  <c:v>44.341000000000001</c:v>
                </c:pt>
                <c:pt idx="239">
                  <c:v>49.686</c:v>
                </c:pt>
                <c:pt idx="240">
                  <c:v>49.097000000000001</c:v>
                </c:pt>
                <c:pt idx="241">
                  <c:v>46.712000000000003</c:v>
                </c:pt>
                <c:pt idx="242">
                  <c:v>47.617000000000004</c:v>
                </c:pt>
                <c:pt idx="243">
                  <c:v>35.436999999999998</c:v>
                </c:pt>
                <c:pt idx="244">
                  <c:v>17.062999999999999</c:v>
                </c:pt>
                <c:pt idx="245">
                  <c:v>28.172000000000001</c:v>
                </c:pt>
                <c:pt idx="246">
                  <c:v>35.68</c:v>
                </c:pt>
                <c:pt idx="247">
                  <c:v>42.621000000000002</c:v>
                </c:pt>
                <c:pt idx="248">
                  <c:v>46.564999999999998</c:v>
                </c:pt>
                <c:pt idx="249">
                  <c:v>38.518999999999998</c:v>
                </c:pt>
                <c:pt idx="250">
                  <c:v>27.974</c:v>
                </c:pt>
                <c:pt idx="251">
                  <c:v>16.396000000000001</c:v>
                </c:pt>
                <c:pt idx="252">
                  <c:v>31.837</c:v>
                </c:pt>
                <c:pt idx="253">
                  <c:v>34.844999999999999</c:v>
                </c:pt>
                <c:pt idx="254">
                  <c:v>43.823999999999998</c:v>
                </c:pt>
                <c:pt idx="255">
                  <c:v>35.386000000000003</c:v>
                </c:pt>
                <c:pt idx="256">
                  <c:v>22.582000000000001</c:v>
                </c:pt>
                <c:pt idx="257">
                  <c:v>27.653000000000002</c:v>
                </c:pt>
                <c:pt idx="258">
                  <c:v>21.414000000000001</c:v>
                </c:pt>
                <c:pt idx="259">
                  <c:v>35.628999999999998</c:v>
                </c:pt>
                <c:pt idx="260">
                  <c:v>7.9770000000000003</c:v>
                </c:pt>
                <c:pt idx="261">
                  <c:v>33.611000000000004</c:v>
                </c:pt>
                <c:pt idx="262">
                  <c:v>29.38</c:v>
                </c:pt>
                <c:pt idx="263">
                  <c:v>10.616</c:v>
                </c:pt>
                <c:pt idx="264">
                  <c:v>41.975999999999999</c:v>
                </c:pt>
                <c:pt idx="265">
                  <c:v>39.033999999999999</c:v>
                </c:pt>
                <c:pt idx="266">
                  <c:v>38.18</c:v>
                </c:pt>
                <c:pt idx="267">
                  <c:v>29.353000000000002</c:v>
                </c:pt>
                <c:pt idx="268">
                  <c:v>36.018999999999998</c:v>
                </c:pt>
                <c:pt idx="269">
                  <c:v>23.498999999999999</c:v>
                </c:pt>
                <c:pt idx="270">
                  <c:v>28.919</c:v>
                </c:pt>
                <c:pt idx="271">
                  <c:v>25.510999999999999</c:v>
                </c:pt>
                <c:pt idx="272">
                  <c:v>15.296000000000001</c:v>
                </c:pt>
                <c:pt idx="273">
                  <c:v>31.124000000000002</c:v>
                </c:pt>
                <c:pt idx="274">
                  <c:v>36.828000000000003</c:v>
                </c:pt>
                <c:pt idx="275">
                  <c:v>5.4450000000000003</c:v>
                </c:pt>
                <c:pt idx="276">
                  <c:v>27.053000000000001</c:v>
                </c:pt>
                <c:pt idx="277">
                  <c:v>11.173</c:v>
                </c:pt>
                <c:pt idx="278">
                  <c:v>34.844999999999999</c:v>
                </c:pt>
                <c:pt idx="279">
                  <c:v>39.356000000000002</c:v>
                </c:pt>
                <c:pt idx="280">
                  <c:v>39.683</c:v>
                </c:pt>
                <c:pt idx="281">
                  <c:v>13.232000000000001</c:v>
                </c:pt>
                <c:pt idx="282">
                  <c:v>22.131</c:v>
                </c:pt>
                <c:pt idx="283">
                  <c:v>38.463999999999999</c:v>
                </c:pt>
                <c:pt idx="284">
                  <c:v>37.881999999999998</c:v>
                </c:pt>
                <c:pt idx="285">
                  <c:v>37.173000000000002</c:v>
                </c:pt>
                <c:pt idx="286">
                  <c:v>39.139000000000003</c:v>
                </c:pt>
                <c:pt idx="287">
                  <c:v>32.143999999999998</c:v>
                </c:pt>
                <c:pt idx="288">
                  <c:v>34.206000000000003</c:v>
                </c:pt>
                <c:pt idx="289">
                  <c:v>35.863</c:v>
                </c:pt>
                <c:pt idx="290">
                  <c:v>31.720000000000002</c:v>
                </c:pt>
                <c:pt idx="291">
                  <c:v>27.172000000000001</c:v>
                </c:pt>
                <c:pt idx="292">
                  <c:v>28.025000000000002</c:v>
                </c:pt>
                <c:pt idx="293">
                  <c:v>7.99</c:v>
                </c:pt>
                <c:pt idx="294">
                  <c:v>16.463999999999999</c:v>
                </c:pt>
                <c:pt idx="295">
                  <c:v>32.271000000000001</c:v>
                </c:pt>
                <c:pt idx="296">
                  <c:v>36.061999999999998</c:v>
                </c:pt>
                <c:pt idx="297">
                  <c:v>33.776000000000003</c:v>
                </c:pt>
                <c:pt idx="298">
                  <c:v>26.986000000000001</c:v>
                </c:pt>
                <c:pt idx="299">
                  <c:v>31.385000000000002</c:v>
                </c:pt>
                <c:pt idx="300">
                  <c:v>33.356999999999999</c:v>
                </c:pt>
                <c:pt idx="301">
                  <c:v>18.32</c:v>
                </c:pt>
                <c:pt idx="302">
                  <c:v>12.508000000000001</c:v>
                </c:pt>
                <c:pt idx="303">
                  <c:v>19.205000000000002</c:v>
                </c:pt>
                <c:pt idx="304">
                  <c:v>14.975</c:v>
                </c:pt>
                <c:pt idx="305">
                  <c:v>25.716000000000001</c:v>
                </c:pt>
                <c:pt idx="306">
                  <c:v>18.981000000000002</c:v>
                </c:pt>
                <c:pt idx="307">
                  <c:v>14.608000000000001</c:v>
                </c:pt>
                <c:pt idx="308">
                  <c:v>8.9960000000000004</c:v>
                </c:pt>
                <c:pt idx="309">
                  <c:v>20.004999999999999</c:v>
                </c:pt>
                <c:pt idx="310">
                  <c:v>13.58</c:v>
                </c:pt>
                <c:pt idx="311">
                  <c:v>27.272000000000002</c:v>
                </c:pt>
                <c:pt idx="312">
                  <c:v>19.696999999999999</c:v>
                </c:pt>
                <c:pt idx="313">
                  <c:v>6.1290000000000004</c:v>
                </c:pt>
                <c:pt idx="314">
                  <c:v>11.214</c:v>
                </c:pt>
                <c:pt idx="315">
                  <c:v>10.577</c:v>
                </c:pt>
                <c:pt idx="316">
                  <c:v>5.3250000000000002</c:v>
                </c:pt>
                <c:pt idx="317">
                  <c:v>4.6020000000000003</c:v>
                </c:pt>
                <c:pt idx="318">
                  <c:v>6.4430000000000005</c:v>
                </c:pt>
                <c:pt idx="319">
                  <c:v>8.3670000000000009</c:v>
                </c:pt>
                <c:pt idx="320">
                  <c:v>3.0779999999999998</c:v>
                </c:pt>
                <c:pt idx="321">
                  <c:v>18.375</c:v>
                </c:pt>
                <c:pt idx="322">
                  <c:v>27.01</c:v>
                </c:pt>
                <c:pt idx="323">
                  <c:v>22.962</c:v>
                </c:pt>
                <c:pt idx="324">
                  <c:v>12.055</c:v>
                </c:pt>
                <c:pt idx="325">
                  <c:v>13.21</c:v>
                </c:pt>
                <c:pt idx="326">
                  <c:v>9.6050000000000004</c:v>
                </c:pt>
                <c:pt idx="327">
                  <c:v>1.0210000000000001</c:v>
                </c:pt>
                <c:pt idx="328">
                  <c:v>19.719000000000001</c:v>
                </c:pt>
                <c:pt idx="329">
                  <c:v>7.4859999999999998</c:v>
                </c:pt>
                <c:pt idx="330">
                  <c:v>13.713000000000001</c:v>
                </c:pt>
                <c:pt idx="331">
                  <c:v>5.702</c:v>
                </c:pt>
                <c:pt idx="332">
                  <c:v>7.843</c:v>
                </c:pt>
                <c:pt idx="333">
                  <c:v>22.308</c:v>
                </c:pt>
                <c:pt idx="334">
                  <c:v>4.2960000000000003</c:v>
                </c:pt>
                <c:pt idx="335">
                  <c:v>9.9930000000000003</c:v>
                </c:pt>
                <c:pt idx="336">
                  <c:v>16.483000000000001</c:v>
                </c:pt>
                <c:pt idx="337">
                  <c:v>5.4489999999999998</c:v>
                </c:pt>
                <c:pt idx="338">
                  <c:v>6.5460000000000003</c:v>
                </c:pt>
                <c:pt idx="339">
                  <c:v>11.224</c:v>
                </c:pt>
                <c:pt idx="340">
                  <c:v>6.7279999999999998</c:v>
                </c:pt>
                <c:pt idx="341">
                  <c:v>8.3279999999999994</c:v>
                </c:pt>
                <c:pt idx="342">
                  <c:v>8.9090000000000007</c:v>
                </c:pt>
                <c:pt idx="343">
                  <c:v>2.601</c:v>
                </c:pt>
                <c:pt idx="344">
                  <c:v>15.074</c:v>
                </c:pt>
                <c:pt idx="345">
                  <c:v>22.873999999999999</c:v>
                </c:pt>
                <c:pt idx="346">
                  <c:v>23.489000000000001</c:v>
                </c:pt>
                <c:pt idx="347">
                  <c:v>23.591000000000001</c:v>
                </c:pt>
                <c:pt idx="348">
                  <c:v>22.52</c:v>
                </c:pt>
                <c:pt idx="349">
                  <c:v>23.119</c:v>
                </c:pt>
                <c:pt idx="350">
                  <c:v>23.451000000000001</c:v>
                </c:pt>
                <c:pt idx="351">
                  <c:v>22.087</c:v>
                </c:pt>
                <c:pt idx="352">
                  <c:v>23.149000000000001</c:v>
                </c:pt>
                <c:pt idx="353">
                  <c:v>23.571000000000002</c:v>
                </c:pt>
                <c:pt idx="354">
                  <c:v>17.353000000000002</c:v>
                </c:pt>
                <c:pt idx="355">
                  <c:v>22.721</c:v>
                </c:pt>
                <c:pt idx="356">
                  <c:v>9.463000000000001</c:v>
                </c:pt>
                <c:pt idx="357">
                  <c:v>14.484999999999999</c:v>
                </c:pt>
                <c:pt idx="358">
                  <c:v>11.919</c:v>
                </c:pt>
                <c:pt idx="359">
                  <c:v>12.241</c:v>
                </c:pt>
                <c:pt idx="360">
                  <c:v>8.7349999999999994</c:v>
                </c:pt>
                <c:pt idx="361">
                  <c:v>3.544</c:v>
                </c:pt>
                <c:pt idx="362">
                  <c:v>5.3550000000000004</c:v>
                </c:pt>
                <c:pt idx="363">
                  <c:v>16.077000000000002</c:v>
                </c:pt>
                <c:pt idx="364">
                  <c:v>23.419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159296"/>
        <c:axId val="372159688"/>
      </c:lineChart>
      <c:dateAx>
        <c:axId val="372159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59688"/>
        <c:crosses val="autoZero"/>
        <c:auto val="1"/>
        <c:lblOffset val="100"/>
        <c:baseTimeUnit val="days"/>
        <c:majorUnit val="1"/>
        <c:majorTimeUnit val="months"/>
      </c:dateAx>
      <c:valAx>
        <c:axId val="37215968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5929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26.520452921517521</c:v>
                </c:pt>
                <c:pt idx="1">
                  <c:v>26.709801697970352</c:v>
                </c:pt>
                <c:pt idx="2">
                  <c:v>26.910020427071125</c:v>
                </c:pt>
                <c:pt idx="3">
                  <c:v>27.119868611702831</c:v>
                </c:pt>
                <c:pt idx="4">
                  <c:v>27.338105746674181</c:v>
                </c:pt>
                <c:pt idx="5">
                  <c:v>27.563491328286897</c:v>
                </c:pt>
                <c:pt idx="6">
                  <c:v>27.794784841443711</c:v>
                </c:pt>
                <c:pt idx="7">
                  <c:v>28.030745778338147</c:v>
                </c:pt>
                <c:pt idx="8">
                  <c:v>28.276264320162365</c:v>
                </c:pt>
                <c:pt idx="9">
                  <c:v>28.53618906605239</c:v>
                </c:pt>
                <c:pt idx="10">
                  <c:v>28.806560725073229</c:v>
                </c:pt>
                <c:pt idx="11">
                  <c:v>29.088682461974265</c:v>
                </c:pt>
                <c:pt idx="12">
                  <c:v>29.381248535045138</c:v>
                </c:pt>
                <c:pt idx="13">
                  <c:v>29.682953694952218</c:v>
                </c:pt>
                <c:pt idx="14">
                  <c:v>29.992493165048671</c:v>
                </c:pt>
                <c:pt idx="15">
                  <c:v>30.308562757510586</c:v>
                </c:pt>
                <c:pt idx="16">
                  <c:v>30.629858773389504</c:v>
                </c:pt>
                <c:pt idx="17">
                  <c:v>30.955077927139527</c:v>
                </c:pt>
                <c:pt idx="18">
                  <c:v>31.282917410062907</c:v>
                </c:pt>
                <c:pt idx="19">
                  <c:v>31.612074894015549</c:v>
                </c:pt>
                <c:pt idx="20">
                  <c:v>31.941248525809151</c:v>
                </c:pt>
                <c:pt idx="21">
                  <c:v>32.269136928744587</c:v>
                </c:pt>
                <c:pt idx="22">
                  <c:v>32.599338646906233</c:v>
                </c:pt>
                <c:pt idx="23">
                  <c:v>32.935812108254154</c:v>
                </c:pt>
                <c:pt idx="24">
                  <c:v>33.277795972819774</c:v>
                </c:pt>
                <c:pt idx="25">
                  <c:v>33.624529211365662</c:v>
                </c:pt>
                <c:pt idx="26">
                  <c:v>33.975251077631469</c:v>
                </c:pt>
                <c:pt idx="27">
                  <c:v>34.329201110379806</c:v>
                </c:pt>
                <c:pt idx="28">
                  <c:v>34.685619132154358</c:v>
                </c:pt>
                <c:pt idx="29">
                  <c:v>35.043746108292787</c:v>
                </c:pt>
                <c:pt idx="30">
                  <c:v>35.402822286418903</c:v>
                </c:pt>
                <c:pt idx="31">
                  <c:v>35.762088456803312</c:v>
                </c:pt>
                <c:pt idx="32">
                  <c:v>36.120785704713661</c:v>
                </c:pt>
                <c:pt idx="33">
                  <c:v>36.4781554102643</c:v>
                </c:pt>
                <c:pt idx="34">
                  <c:v>36.833439249952939</c:v>
                </c:pt>
                <c:pt idx="35">
                  <c:v>37.185879197347838</c:v>
                </c:pt>
                <c:pt idx="36">
                  <c:v>37.536849501379734</c:v>
                </c:pt>
                <c:pt idx="37">
                  <c:v>37.888158510432142</c:v>
                </c:pt>
                <c:pt idx="38">
                  <c:v>38.239697695403137</c:v>
                </c:pt>
                <c:pt idx="39">
                  <c:v>38.59135911468853</c:v>
                </c:pt>
                <c:pt idx="40">
                  <c:v>38.943034903341356</c:v>
                </c:pt>
                <c:pt idx="41">
                  <c:v>39.294617275721279</c:v>
                </c:pt>
                <c:pt idx="42">
                  <c:v>39.645998527604384</c:v>
                </c:pt>
                <c:pt idx="43">
                  <c:v>39.997069658538329</c:v>
                </c:pt>
                <c:pt idx="44">
                  <c:v>40.347721031018942</c:v>
                </c:pt>
                <c:pt idx="45">
                  <c:v>40.697844694147122</c:v>
                </c:pt>
                <c:pt idx="46">
                  <c:v>41.047332748179272</c:v>
                </c:pt>
                <c:pt idx="47">
                  <c:v>41.396077344314222</c:v>
                </c:pt>
                <c:pt idx="48">
                  <c:v>41.743970686336112</c:v>
                </c:pt>
                <c:pt idx="49">
                  <c:v>42.09090502936111</c:v>
                </c:pt>
                <c:pt idx="50">
                  <c:v>42.437043352656886</c:v>
                </c:pt>
                <c:pt idx="51">
                  <c:v>42.782617799713073</c:v>
                </c:pt>
                <c:pt idx="52">
                  <c:v>43.127626395973685</c:v>
                </c:pt>
                <c:pt idx="53">
                  <c:v>43.472068910336056</c:v>
                </c:pt>
                <c:pt idx="54">
                  <c:v>43.815945063240825</c:v>
                </c:pt>
                <c:pt idx="55">
                  <c:v>44.159254525149265</c:v>
                </c:pt>
                <c:pt idx="56">
                  <c:v>44.501996913377347</c:v>
                </c:pt>
                <c:pt idx="57">
                  <c:v>44.844170369833407</c:v>
                </c:pt>
                <c:pt idx="58">
                  <c:v>45.185776975549032</c:v>
                </c:pt>
                <c:pt idx="59">
                  <c:v>45.526816330458743</c:v>
                </c:pt>
                <c:pt idx="60">
                  <c:v>45.867287977179501</c:v>
                </c:pt>
                <c:pt idx="61">
                  <c:v>46.207191397031288</c:v>
                </c:pt>
                <c:pt idx="62">
                  <c:v>46.546526005443063</c:v>
                </c:pt>
                <c:pt idx="63">
                  <c:v>46.885291147755837</c:v>
                </c:pt>
                <c:pt idx="64">
                  <c:v>47.224657539265408</c:v>
                </c:pt>
                <c:pt idx="65">
                  <c:v>47.565435472319521</c:v>
                </c:pt>
                <c:pt idx="66">
                  <c:v>47.907088804639599</c:v>
                </c:pt>
                <c:pt idx="67">
                  <c:v>48.249076478884739</c:v>
                </c:pt>
                <c:pt idx="68">
                  <c:v>48.590857600761808</c:v>
                </c:pt>
                <c:pt idx="69">
                  <c:v>48.931891436858095</c:v>
                </c:pt>
                <c:pt idx="70">
                  <c:v>49.27163741466768</c:v>
                </c:pt>
                <c:pt idx="71">
                  <c:v>49.609556710933951</c:v>
                </c:pt>
                <c:pt idx="72">
                  <c:v>49.945111992036431</c:v>
                </c:pt>
                <c:pt idx="73">
                  <c:v>50.277763725545285</c:v>
                </c:pt>
                <c:pt idx="74">
                  <c:v>50.606972576478725</c:v>
                </c:pt>
                <c:pt idx="75">
                  <c:v>50.932199407153099</c:v>
                </c:pt>
                <c:pt idx="76">
                  <c:v>51.252905279020716</c:v>
                </c:pt>
                <c:pt idx="77">
                  <c:v>51.568551454972848</c:v>
                </c:pt>
                <c:pt idx="78">
                  <c:v>51.881821371526613</c:v>
                </c:pt>
                <c:pt idx="79">
                  <c:v>52.195181363257561</c:v>
                </c:pt>
                <c:pt idx="80">
                  <c:v>52.507766763764451</c:v>
                </c:pt>
                <c:pt idx="81">
                  <c:v>52.818714032102889</c:v>
                </c:pt>
                <c:pt idx="82">
                  <c:v>53.127159938565285</c:v>
                </c:pt>
                <c:pt idx="83">
                  <c:v>53.432241565814145</c:v>
                </c:pt>
                <c:pt idx="84">
                  <c:v>53.733096314507904</c:v>
                </c:pt>
                <c:pt idx="85">
                  <c:v>54.028862361419463</c:v>
                </c:pt>
                <c:pt idx="86">
                  <c:v>54.318674824369367</c:v>
                </c:pt>
                <c:pt idx="87">
                  <c:v>54.601671745432093</c:v>
                </c:pt>
                <c:pt idx="88">
                  <c:v>54.876991466558337</c:v>
                </c:pt>
                <c:pt idx="89">
                  <c:v>55.143772626884171</c:v>
                </c:pt>
                <c:pt idx="90">
                  <c:v>55.401154165218045</c:v>
                </c:pt>
                <c:pt idx="91">
                  <c:v>55.6482753195681</c:v>
                </c:pt>
                <c:pt idx="92">
                  <c:v>55.885498105701629</c:v>
                </c:pt>
                <c:pt idx="93">
                  <c:v>56.114049150373944</c:v>
                </c:pt>
                <c:pt idx="94">
                  <c:v>56.334362453587595</c:v>
                </c:pt>
                <c:pt idx="95">
                  <c:v>56.546871580878822</c:v>
                </c:pt>
                <c:pt idx="96">
                  <c:v>56.752009965684053</c:v>
                </c:pt>
                <c:pt idx="97">
                  <c:v>56.950210912744055</c:v>
                </c:pt>
                <c:pt idx="98">
                  <c:v>57.141907598597633</c:v>
                </c:pt>
                <c:pt idx="99">
                  <c:v>57.327531618077401</c:v>
                </c:pt>
                <c:pt idx="100">
                  <c:v>57.507514882326554</c:v>
                </c:pt>
                <c:pt idx="101">
                  <c:v>57.68228990813973</c:v>
                </c:pt>
                <c:pt idx="102">
                  <c:v>57.852289078420668</c:v>
                </c:pt>
                <c:pt idx="103">
                  <c:v>58.017944635173727</c:v>
                </c:pt>
                <c:pt idx="104">
                  <c:v>58.179688685964244</c:v>
                </c:pt>
                <c:pt idx="105">
                  <c:v>58.337953203526162</c:v>
                </c:pt>
                <c:pt idx="106">
                  <c:v>58.491625866733642</c:v>
                </c:pt>
                <c:pt idx="107">
                  <c:v>58.639451837901973</c:v>
                </c:pt>
                <c:pt idx="108">
                  <c:v>58.781644790832509</c:v>
                </c:pt>
                <c:pt idx="109">
                  <c:v>58.918421376663382</c:v>
                </c:pt>
                <c:pt idx="110">
                  <c:v>59.049998160521099</c:v>
                </c:pt>
                <c:pt idx="111">
                  <c:v>59.17659163800009</c:v>
                </c:pt>
                <c:pt idx="112">
                  <c:v>59.298418241310472</c:v>
                </c:pt>
                <c:pt idx="113">
                  <c:v>59.415697267799835</c:v>
                </c:pt>
                <c:pt idx="114">
                  <c:v>59.528647960789691</c:v>
                </c:pt>
                <c:pt idx="115">
                  <c:v>59.637487206406306</c:v>
                </c:pt>
                <c:pt idx="116">
                  <c:v>59.74243186963318</c:v>
                </c:pt>
                <c:pt idx="117">
                  <c:v>59.843698790696102</c:v>
                </c:pt>
                <c:pt idx="118">
                  <c:v>59.941504794357165</c:v>
                </c:pt>
                <c:pt idx="119">
                  <c:v>60.03606668184284</c:v>
                </c:pt>
                <c:pt idx="120">
                  <c:v>60.12906337295825</c:v>
                </c:pt>
                <c:pt idx="121">
                  <c:v>60.214657973464433</c:v>
                </c:pt>
                <c:pt idx="122">
                  <c:v>60.295645772036323</c:v>
                </c:pt>
                <c:pt idx="123">
                  <c:v>60.372243886031896</c:v>
                </c:pt>
                <c:pt idx="124">
                  <c:v>60.444669419736677</c:v>
                </c:pt>
                <c:pt idx="125">
                  <c:v>60.513139461916019</c:v>
                </c:pt>
                <c:pt idx="126">
                  <c:v>60.577871086174447</c:v>
                </c:pt>
                <c:pt idx="127">
                  <c:v>60.639079949379116</c:v>
                </c:pt>
                <c:pt idx="128">
                  <c:v>60.696981215757319</c:v>
                </c:pt>
                <c:pt idx="129">
                  <c:v>60.751790688406373</c:v>
                </c:pt>
                <c:pt idx="130">
                  <c:v>60.803724090832411</c:v>
                </c:pt>
                <c:pt idx="131">
                  <c:v>60.852997060608068</c:v>
                </c:pt>
                <c:pt idx="132">
                  <c:v>60.89982515206043</c:v>
                </c:pt>
                <c:pt idx="133">
                  <c:v>60.944423833073969</c:v>
                </c:pt>
                <c:pt idx="134">
                  <c:v>60.986471191675733</c:v>
                </c:pt>
                <c:pt idx="135">
                  <c:v>61.025499183812762</c:v>
                </c:pt>
                <c:pt idx="136">
                  <c:v>61.061507739603954</c:v>
                </c:pt>
                <c:pt idx="137">
                  <c:v>61.094496741960661</c:v>
                </c:pt>
                <c:pt idx="138">
                  <c:v>61.124466027124761</c:v>
                </c:pt>
                <c:pt idx="139">
                  <c:v>61.151415382680824</c:v>
                </c:pt>
                <c:pt idx="140">
                  <c:v>61.17534455033401</c:v>
                </c:pt>
                <c:pt idx="141">
                  <c:v>61.196253103659352</c:v>
                </c:pt>
                <c:pt idx="142">
                  <c:v>61.214146154686304</c:v>
                </c:pt>
                <c:pt idx="143">
                  <c:v>61.229024251593081</c:v>
                </c:pt>
                <c:pt idx="144">
                  <c:v>61.240887927511167</c:v>
                </c:pt>
                <c:pt idx="145">
                  <c:v>61.249737703941875</c:v>
                </c:pt>
                <c:pt idx="146">
                  <c:v>61.255574092749796</c:v>
                </c:pt>
                <c:pt idx="147">
                  <c:v>61.258397589879152</c:v>
                </c:pt>
                <c:pt idx="148">
                  <c:v>61.258208681511476</c:v>
                </c:pt>
                <c:pt idx="149">
                  <c:v>61.255008023560769</c:v>
                </c:pt>
                <c:pt idx="150">
                  <c:v>61.248803300883615</c:v>
                </c:pt>
                <c:pt idx="151">
                  <c:v>61.239595939681166</c:v>
                </c:pt>
                <c:pt idx="152">
                  <c:v>61.227387377866073</c:v>
                </c:pt>
                <c:pt idx="153">
                  <c:v>61.212179056989825</c:v>
                </c:pt>
                <c:pt idx="154">
                  <c:v>61.193972423517657</c:v>
                </c:pt>
                <c:pt idx="155">
                  <c:v>61.172769127528639</c:v>
                </c:pt>
                <c:pt idx="156">
                  <c:v>61.148570876051082</c:v>
                </c:pt>
                <c:pt idx="157">
                  <c:v>61.121379159433125</c:v>
                </c:pt>
                <c:pt idx="158">
                  <c:v>61.091195459832797</c:v>
                </c:pt>
                <c:pt idx="159">
                  <c:v>61.058021250641964</c:v>
                </c:pt>
                <c:pt idx="160">
                  <c:v>61.021857990862692</c:v>
                </c:pt>
                <c:pt idx="161">
                  <c:v>60.982707125300294</c:v>
                </c:pt>
                <c:pt idx="162">
                  <c:v>60.94057007967227</c:v>
                </c:pt>
                <c:pt idx="163">
                  <c:v>60.895448060349146</c:v>
                </c:pt>
                <c:pt idx="164">
                  <c:v>60.847342114233868</c:v>
                </c:pt>
                <c:pt idx="165">
                  <c:v>60.796253549329364</c:v>
                </c:pt>
                <c:pt idx="166">
                  <c:v>60.742183648582092</c:v>
                </c:pt>
                <c:pt idx="167">
                  <c:v>60.685133662987326</c:v>
                </c:pt>
                <c:pt idx="168">
                  <c:v>60.625104812055888</c:v>
                </c:pt>
                <c:pt idx="169">
                  <c:v>60.56209804990548</c:v>
                </c:pt>
                <c:pt idx="170">
                  <c:v>60.496114189826983</c:v>
                </c:pt>
                <c:pt idx="171">
                  <c:v>60.427154307760773</c:v>
                </c:pt>
                <c:pt idx="172">
                  <c:v>60.355219438745003</c:v>
                </c:pt>
                <c:pt idx="173">
                  <c:v>60.280310589398347</c:v>
                </c:pt>
                <c:pt idx="174">
                  <c:v>60.202428724992991</c:v>
                </c:pt>
                <c:pt idx="175">
                  <c:v>60.121574769825592</c:v>
                </c:pt>
                <c:pt idx="176">
                  <c:v>60.037053821761944</c:v>
                </c:pt>
                <c:pt idx="177">
                  <c:v>59.948378155637776</c:v>
                </c:pt>
                <c:pt idx="178">
                  <c:v>59.855868885569926</c:v>
                </c:pt>
                <c:pt idx="179">
                  <c:v>59.759857164534068</c:v>
                </c:pt>
                <c:pt idx="180">
                  <c:v>59.660664938546269</c:v>
                </c:pt>
                <c:pt idx="181">
                  <c:v>59.558614001648372</c:v>
                </c:pt>
                <c:pt idx="182">
                  <c:v>59.45402600036995</c:v>
                </c:pt>
                <c:pt idx="183">
                  <c:v>59.347222881059935</c:v>
                </c:pt>
                <c:pt idx="184">
                  <c:v>59.238526322127221</c:v>
                </c:pt>
                <c:pt idx="185">
                  <c:v>59.128257556651313</c:v>
                </c:pt>
                <c:pt idx="186">
                  <c:v>59.016737677093424</c:v>
                </c:pt>
                <c:pt idx="187">
                  <c:v>58.904287636316184</c:v>
                </c:pt>
                <c:pt idx="188">
                  <c:v>58.791228251063906</c:v>
                </c:pt>
                <c:pt idx="189">
                  <c:v>58.677880205497466</c:v>
                </c:pt>
                <c:pt idx="190">
                  <c:v>58.56353056498638</c:v>
                </c:pt>
                <c:pt idx="191">
                  <c:v>58.447320848491167</c:v>
                </c:pt>
                <c:pt idx="192">
                  <c:v>58.329357142751853</c:v>
                </c:pt>
                <c:pt idx="193">
                  <c:v>58.209745987152722</c:v>
                </c:pt>
                <c:pt idx="194">
                  <c:v>58.088593898519072</c:v>
                </c:pt>
                <c:pt idx="195">
                  <c:v>57.966007374441688</c:v>
                </c:pt>
                <c:pt idx="196">
                  <c:v>57.842092895054293</c:v>
                </c:pt>
                <c:pt idx="197">
                  <c:v>57.716932915330197</c:v>
                </c:pt>
                <c:pt idx="198">
                  <c:v>57.590632495781115</c:v>
                </c:pt>
                <c:pt idx="199">
                  <c:v>57.463297219380109</c:v>
                </c:pt>
                <c:pt idx="200">
                  <c:v>57.335032710383999</c:v>
                </c:pt>
                <c:pt idx="201">
                  <c:v>57.205944633480222</c:v>
                </c:pt>
                <c:pt idx="202">
                  <c:v>57.076138693709041</c:v>
                </c:pt>
                <c:pt idx="203">
                  <c:v>56.945720635812812</c:v>
                </c:pt>
                <c:pt idx="204">
                  <c:v>56.814297918313073</c:v>
                </c:pt>
                <c:pt idx="205">
                  <c:v>56.681450698209403</c:v>
                </c:pt>
                <c:pt idx="206">
                  <c:v>56.54728977249269</c:v>
                </c:pt>
                <c:pt idx="207">
                  <c:v>56.411921019786803</c:v>
                </c:pt>
                <c:pt idx="208">
                  <c:v>56.275450372977261</c:v>
                </c:pt>
                <c:pt idx="209">
                  <c:v>56.137983814693257</c:v>
                </c:pt>
                <c:pt idx="210">
                  <c:v>55.999627375589355</c:v>
                </c:pt>
                <c:pt idx="211">
                  <c:v>55.860494461829219</c:v>
                </c:pt>
                <c:pt idx="212">
                  <c:v>55.72071925118393</c:v>
                </c:pt>
                <c:pt idx="213">
                  <c:v>55.580408814024409</c:v>
                </c:pt>
                <c:pt idx="214">
                  <c:v>55.439670195590722</c:v>
                </c:pt>
                <c:pt idx="215">
                  <c:v>55.298610415321129</c:v>
                </c:pt>
                <c:pt idx="216">
                  <c:v>55.157336467033971</c:v>
                </c:pt>
                <c:pt idx="217">
                  <c:v>55.015955318230262</c:v>
                </c:pt>
                <c:pt idx="218">
                  <c:v>54.875000547351988</c:v>
                </c:pt>
                <c:pt idx="219">
                  <c:v>54.734762903540407</c:v>
                </c:pt>
                <c:pt idx="220">
                  <c:v>54.594953594682366</c:v>
                </c:pt>
                <c:pt idx="221">
                  <c:v>54.455254192930362</c:v>
                </c:pt>
                <c:pt idx="222">
                  <c:v>54.3153462889764</c:v>
                </c:pt>
                <c:pt idx="223">
                  <c:v>54.174911495110649</c:v>
                </c:pt>
                <c:pt idx="224">
                  <c:v>54.033631447101691</c:v>
                </c:pt>
                <c:pt idx="225">
                  <c:v>53.891181755692521</c:v>
                </c:pt>
                <c:pt idx="226">
                  <c:v>53.747235028349479</c:v>
                </c:pt>
                <c:pt idx="227">
                  <c:v>53.601472526396172</c:v>
                </c:pt>
                <c:pt idx="228">
                  <c:v>53.453575582860687</c:v>
                </c:pt>
                <c:pt idx="229">
                  <c:v>53.303225602682247</c:v>
                </c:pt>
                <c:pt idx="230">
                  <c:v>53.150104064334577</c:v>
                </c:pt>
                <c:pt idx="231">
                  <c:v>52.993892517121729</c:v>
                </c:pt>
                <c:pt idx="232">
                  <c:v>52.835764097567122</c:v>
                </c:pt>
                <c:pt idx="233">
                  <c:v>52.676852014346913</c:v>
                </c:pt>
                <c:pt idx="234">
                  <c:v>52.516791304169011</c:v>
                </c:pt>
                <c:pt idx="235">
                  <c:v>52.355262085489251</c:v>
                </c:pt>
                <c:pt idx="236">
                  <c:v>52.191944632953067</c:v>
                </c:pt>
                <c:pt idx="237">
                  <c:v>52.026519395716917</c:v>
                </c:pt>
                <c:pt idx="238">
                  <c:v>51.858666981695833</c:v>
                </c:pt>
                <c:pt idx="239">
                  <c:v>51.688089719027651</c:v>
                </c:pt>
                <c:pt idx="240">
                  <c:v>51.514475617229131</c:v>
                </c:pt>
                <c:pt idx="241">
                  <c:v>51.337505900834152</c:v>
                </c:pt>
                <c:pt idx="242">
                  <c:v>51.156861925359436</c:v>
                </c:pt>
                <c:pt idx="243">
                  <c:v>50.972225176040766</c:v>
                </c:pt>
                <c:pt idx="244">
                  <c:v>50.783277266318528</c:v>
                </c:pt>
                <c:pt idx="245">
                  <c:v>50.589699939158521</c:v>
                </c:pt>
                <c:pt idx="246">
                  <c:v>50.391742613114204</c:v>
                </c:pt>
                <c:pt idx="247">
                  <c:v>50.1899587466282</c:v>
                </c:pt>
                <c:pt idx="248">
                  <c:v>49.984497169723483</c:v>
                </c:pt>
                <c:pt idx="249">
                  <c:v>49.775465584344481</c:v>
                </c:pt>
                <c:pt idx="250">
                  <c:v>49.562971641685152</c:v>
                </c:pt>
                <c:pt idx="251">
                  <c:v>49.347122942014046</c:v>
                </c:pt>
                <c:pt idx="252">
                  <c:v>49.128027034552638</c:v>
                </c:pt>
                <c:pt idx="253">
                  <c:v>48.905833472533104</c:v>
                </c:pt>
                <c:pt idx="254">
                  <c:v>48.680628431385735</c:v>
                </c:pt>
                <c:pt idx="255">
                  <c:v>48.452519590500046</c:v>
                </c:pt>
                <c:pt idx="256">
                  <c:v>48.221614550785958</c:v>
                </c:pt>
                <c:pt idx="257">
                  <c:v>47.988020840734166</c:v>
                </c:pt>
                <c:pt idx="258">
                  <c:v>47.751845913878036</c:v>
                </c:pt>
                <c:pt idx="259">
                  <c:v>47.513197151510575</c:v>
                </c:pt>
                <c:pt idx="260">
                  <c:v>47.27145548245884</c:v>
                </c:pt>
                <c:pt idx="261">
                  <c:v>47.026138767001228</c:v>
                </c:pt>
                <c:pt idx="262">
                  <c:v>46.777440059528899</c:v>
                </c:pt>
                <c:pt idx="263">
                  <c:v>46.525572959965501</c:v>
                </c:pt>
                <c:pt idx="264">
                  <c:v>46.270750941475356</c:v>
                </c:pt>
                <c:pt idx="265">
                  <c:v>46.013187176960841</c:v>
                </c:pt>
                <c:pt idx="266">
                  <c:v>45.75309481118515</c:v>
                </c:pt>
                <c:pt idx="267">
                  <c:v>45.49063524207029</c:v>
                </c:pt>
                <c:pt idx="268">
                  <c:v>45.225978403936551</c:v>
                </c:pt>
                <c:pt idx="269">
                  <c:v>44.959337020638962</c:v>
                </c:pt>
                <c:pt idx="270">
                  <c:v>44.69092374210458</c:v>
                </c:pt>
                <c:pt idx="271">
                  <c:v>44.42095114300097</c:v>
                </c:pt>
                <c:pt idx="272">
                  <c:v>44.14963171976872</c:v>
                </c:pt>
                <c:pt idx="273">
                  <c:v>43.877177886043846</c:v>
                </c:pt>
                <c:pt idx="274">
                  <c:v>43.602350742392503</c:v>
                </c:pt>
                <c:pt idx="275">
                  <c:v>43.323853756060139</c:v>
                </c:pt>
                <c:pt idx="276">
                  <c:v>43.042046899723964</c:v>
                </c:pt>
                <c:pt idx="277">
                  <c:v>42.757355762326824</c:v>
                </c:pt>
                <c:pt idx="278">
                  <c:v>42.470205906362843</c:v>
                </c:pt>
                <c:pt idx="279">
                  <c:v>42.181022864233178</c:v>
                </c:pt>
                <c:pt idx="280">
                  <c:v>41.890232140397856</c:v>
                </c:pt>
                <c:pt idx="281">
                  <c:v>41.598011581220277</c:v>
                </c:pt>
                <c:pt idx="282">
                  <c:v>41.304839589642647</c:v>
                </c:pt>
                <c:pt idx="283">
                  <c:v>41.011142650543377</c:v>
                </c:pt>
                <c:pt idx="284">
                  <c:v>40.717347293725631</c:v>
                </c:pt>
                <c:pt idx="285">
                  <c:v>40.423880095161714</c:v>
                </c:pt>
                <c:pt idx="286">
                  <c:v>40.131167673895824</c:v>
                </c:pt>
                <c:pt idx="287">
                  <c:v>39.839636689285967</c:v>
                </c:pt>
                <c:pt idx="288">
                  <c:v>39.547963469429448</c:v>
                </c:pt>
                <c:pt idx="289">
                  <c:v>39.254681298441895</c:v>
                </c:pt>
                <c:pt idx="290">
                  <c:v>38.96030807992112</c:v>
                </c:pt>
                <c:pt idx="291">
                  <c:v>38.665164711173773</c:v>
                </c:pt>
                <c:pt idx="292">
                  <c:v>38.369572043481696</c:v>
                </c:pt>
                <c:pt idx="293">
                  <c:v>38.073850874003831</c:v>
                </c:pt>
                <c:pt idx="294">
                  <c:v>37.778321938506295</c:v>
                </c:pt>
                <c:pt idx="295">
                  <c:v>37.483543554820145</c:v>
                </c:pt>
                <c:pt idx="296">
                  <c:v>37.19007397018374</c:v>
                </c:pt>
                <c:pt idx="297">
                  <c:v>36.898229066477406</c:v>
                </c:pt>
                <c:pt idx="298">
                  <c:v>36.608325136364044</c:v>
                </c:pt>
                <c:pt idx="299">
                  <c:v>36.320678239882604</c:v>
                </c:pt>
                <c:pt idx="300">
                  <c:v>36.035604207198972</c:v>
                </c:pt>
                <c:pt idx="301">
                  <c:v>35.753418648638721</c:v>
                </c:pt>
                <c:pt idx="302">
                  <c:v>35.473871703346127</c:v>
                </c:pt>
                <c:pt idx="303">
                  <c:v>35.196696473156592</c:v>
                </c:pt>
                <c:pt idx="304">
                  <c:v>34.921851986886288</c:v>
                </c:pt>
                <c:pt idx="305">
                  <c:v>34.649226766482528</c:v>
                </c:pt>
                <c:pt idx="306">
                  <c:v>34.3787092623487</c:v>
                </c:pt>
                <c:pt idx="307">
                  <c:v>34.110187876333498</c:v>
                </c:pt>
                <c:pt idx="308">
                  <c:v>33.843550988616848</c:v>
                </c:pt>
                <c:pt idx="309">
                  <c:v>33.578756558891889</c:v>
                </c:pt>
                <c:pt idx="310">
                  <c:v>33.315463783830516</c:v>
                </c:pt>
                <c:pt idx="311">
                  <c:v>33.053562407595479</c:v>
                </c:pt>
                <c:pt idx="312">
                  <c:v>32.792942247371684</c:v>
                </c:pt>
                <c:pt idx="313">
                  <c:v>32.533493213297142</c:v>
                </c:pt>
                <c:pt idx="314">
                  <c:v>32.275105328176345</c:v>
                </c:pt>
                <c:pt idx="315">
                  <c:v>32.017668744506551</c:v>
                </c:pt>
                <c:pt idx="316">
                  <c:v>31.760420764050902</c:v>
                </c:pt>
                <c:pt idx="317">
                  <c:v>31.50296526099152</c:v>
                </c:pt>
                <c:pt idx="318">
                  <c:v>31.24546716879588</c:v>
                </c:pt>
                <c:pt idx="319">
                  <c:v>30.988348585020482</c:v>
                </c:pt>
                <c:pt idx="320">
                  <c:v>30.732031614134819</c:v>
                </c:pt>
                <c:pt idx="321">
                  <c:v>30.476938371042955</c:v>
                </c:pt>
                <c:pt idx="322">
                  <c:v>30.223490985394431</c:v>
                </c:pt>
                <c:pt idx="323">
                  <c:v>29.972098356730676</c:v>
                </c:pt>
                <c:pt idx="324">
                  <c:v>29.7231158480819</c:v>
                </c:pt>
                <c:pt idx="325">
                  <c:v>29.476966179498106</c:v>
                </c:pt>
                <c:pt idx="326">
                  <c:v>29.234072811074121</c:v>
                </c:pt>
                <c:pt idx="327">
                  <c:v>28.994858636555296</c:v>
                </c:pt>
                <c:pt idx="328">
                  <c:v>28.759745908273061</c:v>
                </c:pt>
                <c:pt idx="329">
                  <c:v>28.529156870525082</c:v>
                </c:pt>
                <c:pt idx="330">
                  <c:v>28.299017417184</c:v>
                </c:pt>
                <c:pt idx="331">
                  <c:v>28.065980454784441</c:v>
                </c:pt>
                <c:pt idx="332">
                  <c:v>27.831620932725567</c:v>
                </c:pt>
                <c:pt idx="333">
                  <c:v>27.597526304302573</c:v>
                </c:pt>
                <c:pt idx="334">
                  <c:v>27.365283651809378</c:v>
                </c:pt>
                <c:pt idx="335">
                  <c:v>27.136479680808822</c:v>
                </c:pt>
                <c:pt idx="336">
                  <c:v>26.912700704678354</c:v>
                </c:pt>
                <c:pt idx="337">
                  <c:v>26.695505073362487</c:v>
                </c:pt>
                <c:pt idx="338">
                  <c:v>26.486491302302113</c:v>
                </c:pt>
                <c:pt idx="339">
                  <c:v>26.287244525270857</c:v>
                </c:pt>
                <c:pt idx="340">
                  <c:v>26.099349441554235</c:v>
                </c:pt>
                <c:pt idx="341">
                  <c:v>25.924390300278549</c:v>
                </c:pt>
                <c:pt idx="342">
                  <c:v>25.763950889689511</c:v>
                </c:pt>
                <c:pt idx="343">
                  <c:v>25.619614538305299</c:v>
                </c:pt>
                <c:pt idx="344">
                  <c:v>25.486660447561515</c:v>
                </c:pt>
                <c:pt idx="345">
                  <c:v>25.36003220758759</c:v>
                </c:pt>
                <c:pt idx="346">
                  <c:v>25.240836690290408</c:v>
                </c:pt>
                <c:pt idx="347">
                  <c:v>25.130152788140393</c:v>
                </c:pt>
                <c:pt idx="348">
                  <c:v>25.029059076435932</c:v>
                </c:pt>
                <c:pt idx="349">
                  <c:v>24.938633785736677</c:v>
                </c:pt>
                <c:pt idx="350">
                  <c:v>24.85995482487434</c:v>
                </c:pt>
                <c:pt idx="351">
                  <c:v>24.794078474412011</c:v>
                </c:pt>
                <c:pt idx="352">
                  <c:v>24.742109141034902</c:v>
                </c:pt>
                <c:pt idx="353">
                  <c:v>24.705123682464958</c:v>
                </c:pt>
                <c:pt idx="354">
                  <c:v>24.684198610475768</c:v>
                </c:pt>
                <c:pt idx="355">
                  <c:v>24.68041008209655</c:v>
                </c:pt>
                <c:pt idx="356">
                  <c:v>24.694835572658327</c:v>
                </c:pt>
                <c:pt idx="357">
                  <c:v>24.728548935920145</c:v>
                </c:pt>
                <c:pt idx="358">
                  <c:v>24.782740608627716</c:v>
                </c:pt>
                <c:pt idx="359">
                  <c:v>24.857077913959884</c:v>
                </c:pt>
                <c:pt idx="360">
                  <c:v>24.950324952155125</c:v>
                </c:pt>
                <c:pt idx="361">
                  <c:v>25.061294494690699</c:v>
                </c:pt>
                <c:pt idx="362">
                  <c:v>25.188778381149682</c:v>
                </c:pt>
                <c:pt idx="363">
                  <c:v>25.331568767820734</c:v>
                </c:pt>
                <c:pt idx="364">
                  <c:v>25.488458126236022</c:v>
                </c:pt>
                <c:pt idx="365">
                  <c:v>26.520453176895778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69">
                  <c:v>1.1759999999999999</c:v>
                </c:pt>
                <c:pt idx="70">
                  <c:v>46.386000000000003</c:v>
                </c:pt>
                <c:pt idx="71">
                  <c:v>24.465</c:v>
                </c:pt>
                <c:pt idx="72">
                  <c:v>22.748000000000001</c:v>
                </c:pt>
                <c:pt idx="73">
                  <c:v>12.878</c:v>
                </c:pt>
                <c:pt idx="74">
                  <c:v>48.606999999999999</c:v>
                </c:pt>
                <c:pt idx="75">
                  <c:v>17.158000000000001</c:v>
                </c:pt>
                <c:pt idx="76">
                  <c:v>34.106000000000002</c:v>
                </c:pt>
                <c:pt idx="77">
                  <c:v>14.227</c:v>
                </c:pt>
                <c:pt idx="78">
                  <c:v>50.683</c:v>
                </c:pt>
                <c:pt idx="79">
                  <c:v>50.585999999999999</c:v>
                </c:pt>
                <c:pt idx="80">
                  <c:v>49.481000000000002</c:v>
                </c:pt>
                <c:pt idx="81">
                  <c:v>47.152000000000001</c:v>
                </c:pt>
                <c:pt idx="82">
                  <c:v>49.988</c:v>
                </c:pt>
                <c:pt idx="83">
                  <c:v>44.246000000000002</c:v>
                </c:pt>
                <c:pt idx="84">
                  <c:v>53.35</c:v>
                </c:pt>
                <c:pt idx="85">
                  <c:v>53.018999999999998</c:v>
                </c:pt>
                <c:pt idx="86">
                  <c:v>51.790999999999997</c:v>
                </c:pt>
                <c:pt idx="87">
                  <c:v>52.944000000000003</c:v>
                </c:pt>
                <c:pt idx="88">
                  <c:v>54.570999999999998</c:v>
                </c:pt>
                <c:pt idx="89">
                  <c:v>48.753</c:v>
                </c:pt>
                <c:pt idx="90">
                  <c:v>37.868000000000002</c:v>
                </c:pt>
                <c:pt idx="91">
                  <c:v>15.465</c:v>
                </c:pt>
                <c:pt idx="92">
                  <c:v>16.792999999999999</c:v>
                </c:pt>
                <c:pt idx="93">
                  <c:v>33.401000000000003</c:v>
                </c:pt>
                <c:pt idx="94">
                  <c:v>49.609000000000002</c:v>
                </c:pt>
                <c:pt idx="95">
                  <c:v>17.532</c:v>
                </c:pt>
                <c:pt idx="96">
                  <c:v>24.754999999999999</c:v>
                </c:pt>
                <c:pt idx="97">
                  <c:v>34.476999999999997</c:v>
                </c:pt>
                <c:pt idx="98">
                  <c:v>44.259</c:v>
                </c:pt>
                <c:pt idx="99">
                  <c:v>34.521000000000001</c:v>
                </c:pt>
                <c:pt idx="100">
                  <c:v>7.6120000000000001</c:v>
                </c:pt>
                <c:pt idx="101">
                  <c:v>51.439</c:v>
                </c:pt>
                <c:pt idx="102">
                  <c:v>56.518999999999998</c:v>
                </c:pt>
                <c:pt idx="103">
                  <c:v>27.946000000000002</c:v>
                </c:pt>
                <c:pt idx="104">
                  <c:v>42.514000000000003</c:v>
                </c:pt>
                <c:pt idx="105">
                  <c:v>32.173999999999999</c:v>
                </c:pt>
                <c:pt idx="106">
                  <c:v>34.585999999999999</c:v>
                </c:pt>
                <c:pt idx="107">
                  <c:v>27.623999999999999</c:v>
                </c:pt>
                <c:pt idx="108">
                  <c:v>46.991</c:v>
                </c:pt>
                <c:pt idx="109">
                  <c:v>53.89</c:v>
                </c:pt>
                <c:pt idx="110">
                  <c:v>21.106999999999999</c:v>
                </c:pt>
                <c:pt idx="111">
                  <c:v>32.607999999999997</c:v>
                </c:pt>
                <c:pt idx="112">
                  <c:v>40.381</c:v>
                </c:pt>
                <c:pt idx="113">
                  <c:v>48.442</c:v>
                </c:pt>
                <c:pt idx="114">
                  <c:v>37.229999999999997</c:v>
                </c:pt>
                <c:pt idx="115">
                  <c:v>30.341999999999999</c:v>
                </c:pt>
                <c:pt idx="116">
                  <c:v>24.492999999999999</c:v>
                </c:pt>
                <c:pt idx="117">
                  <c:v>39.636000000000003</c:v>
                </c:pt>
                <c:pt idx="118">
                  <c:v>46.875</c:v>
                </c:pt>
                <c:pt idx="119">
                  <c:v>56.570999999999998</c:v>
                </c:pt>
                <c:pt idx="120">
                  <c:v>54.469000000000001</c:v>
                </c:pt>
                <c:pt idx="121">
                  <c:v>32.509</c:v>
                </c:pt>
                <c:pt idx="122">
                  <c:v>24.475000000000001</c:v>
                </c:pt>
                <c:pt idx="123">
                  <c:v>27.925000000000001</c:v>
                </c:pt>
                <c:pt idx="124">
                  <c:v>47.424999999999997</c:v>
                </c:pt>
                <c:pt idx="125">
                  <c:v>57.706000000000003</c:v>
                </c:pt>
                <c:pt idx="126">
                  <c:v>49.668999999999997</c:v>
                </c:pt>
                <c:pt idx="127">
                  <c:v>32.988999999999997</c:v>
                </c:pt>
                <c:pt idx="128">
                  <c:v>51.447000000000003</c:v>
                </c:pt>
                <c:pt idx="129">
                  <c:v>40.944000000000003</c:v>
                </c:pt>
                <c:pt idx="130">
                  <c:v>32.493000000000002</c:v>
                </c:pt>
                <c:pt idx="131">
                  <c:v>46.018999999999998</c:v>
                </c:pt>
                <c:pt idx="132">
                  <c:v>59.448</c:v>
                </c:pt>
                <c:pt idx="133">
                  <c:v>58.41</c:v>
                </c:pt>
                <c:pt idx="134">
                  <c:v>58.817999999999998</c:v>
                </c:pt>
                <c:pt idx="135">
                  <c:v>54.811</c:v>
                </c:pt>
                <c:pt idx="136">
                  <c:v>6.5880000000000001</c:v>
                </c:pt>
                <c:pt idx="137">
                  <c:v>42.045000000000002</c:v>
                </c:pt>
                <c:pt idx="138">
                  <c:v>27.498000000000001</c:v>
                </c:pt>
                <c:pt idx="139">
                  <c:v>37.975000000000001</c:v>
                </c:pt>
                <c:pt idx="140">
                  <c:v>50.22</c:v>
                </c:pt>
                <c:pt idx="141">
                  <c:v>59.404000000000003</c:v>
                </c:pt>
                <c:pt idx="142">
                  <c:v>58.356000000000002</c:v>
                </c:pt>
                <c:pt idx="143">
                  <c:v>10.787000000000001</c:v>
                </c:pt>
                <c:pt idx="144">
                  <c:v>19.895</c:v>
                </c:pt>
                <c:pt idx="145">
                  <c:v>21.6</c:v>
                </c:pt>
                <c:pt idx="146">
                  <c:v>28.413</c:v>
                </c:pt>
                <c:pt idx="147">
                  <c:v>28.786000000000001</c:v>
                </c:pt>
                <c:pt idx="148">
                  <c:v>30.98</c:v>
                </c:pt>
                <c:pt idx="149">
                  <c:v>60.325000000000003</c:v>
                </c:pt>
                <c:pt idx="150">
                  <c:v>61.064</c:v>
                </c:pt>
                <c:pt idx="151">
                  <c:v>62.792999999999999</c:v>
                </c:pt>
                <c:pt idx="152">
                  <c:v>62.012999999999998</c:v>
                </c:pt>
                <c:pt idx="153">
                  <c:v>40.765000000000001</c:v>
                </c:pt>
                <c:pt idx="154">
                  <c:v>59.831000000000003</c:v>
                </c:pt>
                <c:pt idx="155">
                  <c:v>10.494</c:v>
                </c:pt>
                <c:pt idx="156">
                  <c:v>53.365000000000002</c:v>
                </c:pt>
                <c:pt idx="157">
                  <c:v>21.516999999999999</c:v>
                </c:pt>
                <c:pt idx="158">
                  <c:v>63.356000000000002</c:v>
                </c:pt>
                <c:pt idx="159">
                  <c:v>49.478999999999999</c:v>
                </c:pt>
                <c:pt idx="160">
                  <c:v>23.544</c:v>
                </c:pt>
                <c:pt idx="161">
                  <c:v>30.72</c:v>
                </c:pt>
                <c:pt idx="162">
                  <c:v>59.466999999999999</c:v>
                </c:pt>
                <c:pt idx="163">
                  <c:v>63.284999999999997</c:v>
                </c:pt>
                <c:pt idx="164">
                  <c:v>25.585000000000001</c:v>
                </c:pt>
                <c:pt idx="165">
                  <c:v>19.463999999999999</c:v>
                </c:pt>
                <c:pt idx="166">
                  <c:v>62.008000000000003</c:v>
                </c:pt>
                <c:pt idx="167">
                  <c:v>61.064</c:v>
                </c:pt>
                <c:pt idx="168">
                  <c:v>56.969000000000001</c:v>
                </c:pt>
                <c:pt idx="169">
                  <c:v>52.789000000000001</c:v>
                </c:pt>
                <c:pt idx="170">
                  <c:v>24.274999999999999</c:v>
                </c:pt>
                <c:pt idx="171">
                  <c:v>8.9879999999999995</c:v>
                </c:pt>
                <c:pt idx="172">
                  <c:v>49.421999999999997</c:v>
                </c:pt>
                <c:pt idx="173">
                  <c:v>53.069000000000003</c:v>
                </c:pt>
                <c:pt idx="174">
                  <c:v>43.744999999999997</c:v>
                </c:pt>
                <c:pt idx="175">
                  <c:v>47.902999999999999</c:v>
                </c:pt>
                <c:pt idx="176">
                  <c:v>60.527999999999999</c:v>
                </c:pt>
                <c:pt idx="177">
                  <c:v>59.186999999999998</c:v>
                </c:pt>
                <c:pt idx="178">
                  <c:v>48.822000000000003</c:v>
                </c:pt>
                <c:pt idx="179">
                  <c:v>56.622999999999998</c:v>
                </c:pt>
                <c:pt idx="180">
                  <c:v>45.468000000000004</c:v>
                </c:pt>
                <c:pt idx="181">
                  <c:v>19.475000000000001</c:v>
                </c:pt>
                <c:pt idx="182">
                  <c:v>29.036000000000001</c:v>
                </c:pt>
                <c:pt idx="183">
                  <c:v>47.628999999999998</c:v>
                </c:pt>
                <c:pt idx="184">
                  <c:v>57.878999999999998</c:v>
                </c:pt>
                <c:pt idx="185">
                  <c:v>56.411000000000001</c:v>
                </c:pt>
                <c:pt idx="186">
                  <c:v>54.018999999999998</c:v>
                </c:pt>
                <c:pt idx="187">
                  <c:v>47.298000000000002</c:v>
                </c:pt>
                <c:pt idx="188">
                  <c:v>38.036000000000001</c:v>
                </c:pt>
                <c:pt idx="189">
                  <c:v>23.617999999999999</c:v>
                </c:pt>
                <c:pt idx="190">
                  <c:v>56.817999999999998</c:v>
                </c:pt>
                <c:pt idx="191">
                  <c:v>57.085999999999999</c:v>
                </c:pt>
                <c:pt idx="192">
                  <c:v>55.677</c:v>
                </c:pt>
                <c:pt idx="193">
                  <c:v>51.018999999999998</c:v>
                </c:pt>
                <c:pt idx="194">
                  <c:v>57.658999999999999</c:v>
                </c:pt>
                <c:pt idx="195">
                  <c:v>59.722000000000001</c:v>
                </c:pt>
                <c:pt idx="196">
                  <c:v>59.015000000000001</c:v>
                </c:pt>
                <c:pt idx="197">
                  <c:v>51.588000000000001</c:v>
                </c:pt>
                <c:pt idx="198">
                  <c:v>31.027000000000001</c:v>
                </c:pt>
                <c:pt idx="199">
                  <c:v>57.238999999999997</c:v>
                </c:pt>
                <c:pt idx="200">
                  <c:v>29.366</c:v>
                </c:pt>
                <c:pt idx="201">
                  <c:v>42.314</c:v>
                </c:pt>
                <c:pt idx="202">
                  <c:v>50.67</c:v>
                </c:pt>
                <c:pt idx="203">
                  <c:v>55.52</c:v>
                </c:pt>
                <c:pt idx="204">
                  <c:v>55.085999999999999</c:v>
                </c:pt>
                <c:pt idx="205">
                  <c:v>56.091999999999999</c:v>
                </c:pt>
                <c:pt idx="206">
                  <c:v>22.399000000000001</c:v>
                </c:pt>
                <c:pt idx="207">
                  <c:v>10.489000000000001</c:v>
                </c:pt>
                <c:pt idx="208">
                  <c:v>44.267000000000003</c:v>
                </c:pt>
                <c:pt idx="209">
                  <c:v>57.756</c:v>
                </c:pt>
                <c:pt idx="210">
                  <c:v>22.919</c:v>
                </c:pt>
                <c:pt idx="211">
                  <c:v>55.173000000000002</c:v>
                </c:pt>
                <c:pt idx="212">
                  <c:v>45.323999999999998</c:v>
                </c:pt>
                <c:pt idx="213">
                  <c:v>54.283999999999999</c:v>
                </c:pt>
                <c:pt idx="214">
                  <c:v>55.832999999999998</c:v>
                </c:pt>
                <c:pt idx="215">
                  <c:v>53.927</c:v>
                </c:pt>
                <c:pt idx="216">
                  <c:v>52.597000000000001</c:v>
                </c:pt>
                <c:pt idx="217">
                  <c:v>39.470999999999997</c:v>
                </c:pt>
                <c:pt idx="218">
                  <c:v>41.497</c:v>
                </c:pt>
                <c:pt idx="219">
                  <c:v>53.295000000000002</c:v>
                </c:pt>
                <c:pt idx="220">
                  <c:v>53.887999999999998</c:v>
                </c:pt>
                <c:pt idx="221">
                  <c:v>31.591999999999999</c:v>
                </c:pt>
                <c:pt idx="222">
                  <c:v>28.343</c:v>
                </c:pt>
                <c:pt idx="223">
                  <c:v>26.838999999999999</c:v>
                </c:pt>
                <c:pt idx="224">
                  <c:v>43.726999999999997</c:v>
                </c:pt>
                <c:pt idx="225">
                  <c:v>55.076999999999998</c:v>
                </c:pt>
                <c:pt idx="226">
                  <c:v>23.123999999999999</c:v>
                </c:pt>
                <c:pt idx="227">
                  <c:v>55.426000000000002</c:v>
                </c:pt>
                <c:pt idx="228">
                  <c:v>52.798000000000002</c:v>
                </c:pt>
                <c:pt idx="229">
                  <c:v>37.347000000000001</c:v>
                </c:pt>
                <c:pt idx="230">
                  <c:v>32.558</c:v>
                </c:pt>
                <c:pt idx="231">
                  <c:v>24.058</c:v>
                </c:pt>
                <c:pt idx="232">
                  <c:v>48.594999999999999</c:v>
                </c:pt>
                <c:pt idx="233">
                  <c:v>54.383000000000003</c:v>
                </c:pt>
                <c:pt idx="234">
                  <c:v>51.988999999999997</c:v>
                </c:pt>
                <c:pt idx="235">
                  <c:v>52.398000000000003</c:v>
                </c:pt>
                <c:pt idx="236">
                  <c:v>38.222000000000001</c:v>
                </c:pt>
                <c:pt idx="237">
                  <c:v>48.817</c:v>
                </c:pt>
                <c:pt idx="238">
                  <c:v>28.367000000000001</c:v>
                </c:pt>
                <c:pt idx="239">
                  <c:v>32.244999999999997</c:v>
                </c:pt>
                <c:pt idx="240">
                  <c:v>49.49</c:v>
                </c:pt>
                <c:pt idx="241">
                  <c:v>49.134999999999998</c:v>
                </c:pt>
                <c:pt idx="242">
                  <c:v>46.609000000000002</c:v>
                </c:pt>
                <c:pt idx="243">
                  <c:v>16.100000000000001</c:v>
                </c:pt>
                <c:pt idx="244">
                  <c:v>43.008000000000003</c:v>
                </c:pt>
                <c:pt idx="245">
                  <c:v>52.054000000000002</c:v>
                </c:pt>
                <c:pt idx="246">
                  <c:v>51.582999999999998</c:v>
                </c:pt>
                <c:pt idx="247">
                  <c:v>39.936999999999998</c:v>
                </c:pt>
                <c:pt idx="248">
                  <c:v>50.15</c:v>
                </c:pt>
                <c:pt idx="249">
                  <c:v>51.619</c:v>
                </c:pt>
                <c:pt idx="250">
                  <c:v>45.558999999999997</c:v>
                </c:pt>
                <c:pt idx="251">
                  <c:v>46.161999999999999</c:v>
                </c:pt>
                <c:pt idx="252">
                  <c:v>14.244</c:v>
                </c:pt>
                <c:pt idx="253">
                  <c:v>32.86</c:v>
                </c:pt>
                <c:pt idx="254">
                  <c:v>49.341000000000001</c:v>
                </c:pt>
                <c:pt idx="255">
                  <c:v>43.061999999999998</c:v>
                </c:pt>
                <c:pt idx="256">
                  <c:v>38.582999999999998</c:v>
                </c:pt>
                <c:pt idx="257">
                  <c:v>39.892000000000003</c:v>
                </c:pt>
                <c:pt idx="258">
                  <c:v>43.042999999999999</c:v>
                </c:pt>
                <c:pt idx="259">
                  <c:v>42.197000000000003</c:v>
                </c:pt>
                <c:pt idx="260">
                  <c:v>28.402999999999999</c:v>
                </c:pt>
                <c:pt idx="261">
                  <c:v>35.456000000000003</c:v>
                </c:pt>
                <c:pt idx="262">
                  <c:v>47.779000000000003</c:v>
                </c:pt>
                <c:pt idx="263">
                  <c:v>31.478999999999999</c:v>
                </c:pt>
                <c:pt idx="264">
                  <c:v>12.786</c:v>
                </c:pt>
                <c:pt idx="265">
                  <c:v>38.588000000000001</c:v>
                </c:pt>
                <c:pt idx="266">
                  <c:v>31.396999999999998</c:v>
                </c:pt>
                <c:pt idx="267">
                  <c:v>18.806000000000001</c:v>
                </c:pt>
                <c:pt idx="268">
                  <c:v>38.877000000000002</c:v>
                </c:pt>
                <c:pt idx="269">
                  <c:v>39.329000000000001</c:v>
                </c:pt>
                <c:pt idx="270">
                  <c:v>28.321999999999999</c:v>
                </c:pt>
                <c:pt idx="271">
                  <c:v>44.42</c:v>
                </c:pt>
                <c:pt idx="272">
                  <c:v>22.254999999999999</c:v>
                </c:pt>
                <c:pt idx="273">
                  <c:v>37.947000000000003</c:v>
                </c:pt>
                <c:pt idx="274">
                  <c:v>22.34</c:v>
                </c:pt>
                <c:pt idx="275">
                  <c:v>30.451000000000001</c:v>
                </c:pt>
                <c:pt idx="276">
                  <c:v>13.276</c:v>
                </c:pt>
                <c:pt idx="277">
                  <c:v>37.548999999999999</c:v>
                </c:pt>
                <c:pt idx="278">
                  <c:v>20.202000000000002</c:v>
                </c:pt>
                <c:pt idx="279">
                  <c:v>32.262</c:v>
                </c:pt>
                <c:pt idx="280">
                  <c:v>40.307000000000002</c:v>
                </c:pt>
                <c:pt idx="281">
                  <c:v>9.3819999999999997</c:v>
                </c:pt>
                <c:pt idx="282">
                  <c:v>34.177</c:v>
                </c:pt>
                <c:pt idx="283">
                  <c:v>41.802999999999997</c:v>
                </c:pt>
                <c:pt idx="284">
                  <c:v>16.789000000000001</c:v>
                </c:pt>
                <c:pt idx="285">
                  <c:v>39.037999999999997</c:v>
                </c:pt>
                <c:pt idx="286">
                  <c:v>14.54</c:v>
                </c:pt>
                <c:pt idx="287">
                  <c:v>34.53</c:v>
                </c:pt>
                <c:pt idx="288">
                  <c:v>38.420999999999999</c:v>
                </c:pt>
                <c:pt idx="289">
                  <c:v>17.815999999999999</c:v>
                </c:pt>
                <c:pt idx="290">
                  <c:v>14.250999999999999</c:v>
                </c:pt>
                <c:pt idx="291">
                  <c:v>27.672000000000001</c:v>
                </c:pt>
                <c:pt idx="292">
                  <c:v>14.215999999999999</c:v>
                </c:pt>
                <c:pt idx="293">
                  <c:v>21.65</c:v>
                </c:pt>
                <c:pt idx="294">
                  <c:v>3.649</c:v>
                </c:pt>
                <c:pt idx="295">
                  <c:v>15.522</c:v>
                </c:pt>
                <c:pt idx="296">
                  <c:v>18.065999999999999</c:v>
                </c:pt>
                <c:pt idx="297">
                  <c:v>28.548999999999999</c:v>
                </c:pt>
                <c:pt idx="298">
                  <c:v>36.363</c:v>
                </c:pt>
                <c:pt idx="299">
                  <c:v>27.335999999999999</c:v>
                </c:pt>
                <c:pt idx="300">
                  <c:v>11.146000000000001</c:v>
                </c:pt>
                <c:pt idx="301">
                  <c:v>28.315999999999999</c:v>
                </c:pt>
                <c:pt idx="302">
                  <c:v>20.135000000000002</c:v>
                </c:pt>
                <c:pt idx="303">
                  <c:v>13.539</c:v>
                </c:pt>
                <c:pt idx="304">
                  <c:v>7.1790000000000003</c:v>
                </c:pt>
                <c:pt idx="305">
                  <c:v>5.7569999999999997</c:v>
                </c:pt>
                <c:pt idx="306">
                  <c:v>11.385</c:v>
                </c:pt>
                <c:pt idx="307">
                  <c:v>18.472999999999999</c:v>
                </c:pt>
                <c:pt idx="308">
                  <c:v>13.97</c:v>
                </c:pt>
                <c:pt idx="309">
                  <c:v>13.91</c:v>
                </c:pt>
                <c:pt idx="310">
                  <c:v>4.6040000000000001</c:v>
                </c:pt>
                <c:pt idx="311">
                  <c:v>16.57</c:v>
                </c:pt>
                <c:pt idx="312">
                  <c:v>19.498000000000001</c:v>
                </c:pt>
                <c:pt idx="313">
                  <c:v>19.184000000000001</c:v>
                </c:pt>
                <c:pt idx="314">
                  <c:v>25.38</c:v>
                </c:pt>
                <c:pt idx="315">
                  <c:v>17.905999999999999</c:v>
                </c:pt>
                <c:pt idx="316">
                  <c:v>14.109</c:v>
                </c:pt>
                <c:pt idx="317">
                  <c:v>5.6459999999999999</c:v>
                </c:pt>
                <c:pt idx="318">
                  <c:v>19.201000000000001</c:v>
                </c:pt>
                <c:pt idx="319">
                  <c:v>18.984999999999999</c:v>
                </c:pt>
                <c:pt idx="320">
                  <c:v>9.0990000000000002</c:v>
                </c:pt>
                <c:pt idx="321">
                  <c:v>9.8520000000000003</c:v>
                </c:pt>
                <c:pt idx="322">
                  <c:v>14.141</c:v>
                </c:pt>
                <c:pt idx="323">
                  <c:v>29.353999999999999</c:v>
                </c:pt>
                <c:pt idx="324">
                  <c:v>26.677</c:v>
                </c:pt>
                <c:pt idx="325">
                  <c:v>12.561999999999999</c:v>
                </c:pt>
                <c:pt idx="326">
                  <c:v>9.5220000000000002</c:v>
                </c:pt>
                <c:pt idx="327">
                  <c:v>11.811</c:v>
                </c:pt>
                <c:pt idx="328">
                  <c:v>12.529</c:v>
                </c:pt>
                <c:pt idx="329">
                  <c:v>23.167000000000002</c:v>
                </c:pt>
                <c:pt idx="330">
                  <c:v>22.213000000000001</c:v>
                </c:pt>
                <c:pt idx="331">
                  <c:v>7.6970000000000001</c:v>
                </c:pt>
                <c:pt idx="332">
                  <c:v>14.396000000000001</c:v>
                </c:pt>
                <c:pt idx="333">
                  <c:v>14.055</c:v>
                </c:pt>
                <c:pt idx="334">
                  <c:v>13.2</c:v>
                </c:pt>
                <c:pt idx="335">
                  <c:v>4.4980000000000002</c:v>
                </c:pt>
                <c:pt idx="336">
                  <c:v>5.2240000000000002</c:v>
                </c:pt>
                <c:pt idx="337">
                  <c:v>6.8769999999999998</c:v>
                </c:pt>
                <c:pt idx="338">
                  <c:v>10.852</c:v>
                </c:pt>
                <c:pt idx="339">
                  <c:v>20.738</c:v>
                </c:pt>
                <c:pt idx="340">
                  <c:v>17.326000000000001</c:v>
                </c:pt>
                <c:pt idx="341">
                  <c:v>17.634</c:v>
                </c:pt>
                <c:pt idx="342">
                  <c:v>8.3339999999999996</c:v>
                </c:pt>
                <c:pt idx="343">
                  <c:v>18.905999999999999</c:v>
                </c:pt>
                <c:pt idx="344">
                  <c:v>2.0350000000000001</c:v>
                </c:pt>
                <c:pt idx="345">
                  <c:v>5.8559999999999999</c:v>
                </c:pt>
                <c:pt idx="346">
                  <c:v>2.2320000000000002</c:v>
                </c:pt>
                <c:pt idx="347">
                  <c:v>13.512</c:v>
                </c:pt>
                <c:pt idx="348">
                  <c:v>25.177</c:v>
                </c:pt>
                <c:pt idx="349">
                  <c:v>13.679</c:v>
                </c:pt>
                <c:pt idx="350">
                  <c:v>7.0679999999999996</c:v>
                </c:pt>
                <c:pt idx="351">
                  <c:v>14.395</c:v>
                </c:pt>
                <c:pt idx="352">
                  <c:v>12.563000000000001</c:v>
                </c:pt>
                <c:pt idx="353">
                  <c:v>7.1619999999999999</c:v>
                </c:pt>
                <c:pt idx="354">
                  <c:v>21.600999999999999</c:v>
                </c:pt>
                <c:pt idx="355">
                  <c:v>8.4339999999999993</c:v>
                </c:pt>
                <c:pt idx="356">
                  <c:v>8.7899999999999991</c:v>
                </c:pt>
                <c:pt idx="357">
                  <c:v>12.544</c:v>
                </c:pt>
                <c:pt idx="358">
                  <c:v>14.941000000000001</c:v>
                </c:pt>
                <c:pt idx="359">
                  <c:v>6.4059999999999997</c:v>
                </c:pt>
                <c:pt idx="360">
                  <c:v>23.716999999999999</c:v>
                </c:pt>
                <c:pt idx="361">
                  <c:v>4.8360000000000003</c:v>
                </c:pt>
                <c:pt idx="362">
                  <c:v>24.535</c:v>
                </c:pt>
                <c:pt idx="363">
                  <c:v>25.408000000000001</c:v>
                </c:pt>
                <c:pt idx="364">
                  <c:v>20.329000000000001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815256"/>
        <c:axId val="320815648"/>
      </c:lineChart>
      <c:dateAx>
        <c:axId val="320815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0815648"/>
        <c:crosses val="autoZero"/>
        <c:auto val="1"/>
        <c:lblOffset val="100"/>
        <c:baseTimeUnit val="days"/>
        <c:majorUnit val="1"/>
        <c:majorTimeUnit val="months"/>
      </c:dateAx>
      <c:valAx>
        <c:axId val="32081564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081525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1.9164771863366958E-5</c:v>
                </c:pt>
                <c:pt idx="11">
                  <c:v>3.8329176438200996E-5</c:v>
                </c:pt>
                <c:pt idx="12">
                  <c:v>5.749321373160754E-5</c:v>
                </c:pt>
                <c:pt idx="13">
                  <c:v>7.6656883750580995E-5</c:v>
                </c:pt>
                <c:pt idx="14">
                  <c:v>9.582018650222679E-5</c:v>
                </c:pt>
                <c:pt idx="15">
                  <c:v>1.1498312199365035E-4</c:v>
                </c:pt>
                <c:pt idx="16">
                  <c:v>1.3414569023162404E-4</c:v>
                </c:pt>
                <c:pt idx="17">
                  <c:v>1.5330789122347532E-4</c:v>
                </c:pt>
                <c:pt idx="18">
                  <c:v>1.7246972497597657E-4</c:v>
                </c:pt>
                <c:pt idx="19">
                  <c:v>1.9163119149645524E-4</c:v>
                </c:pt>
                <c:pt idx="20">
                  <c:v>2.1079229079168371E-4</c:v>
                </c:pt>
                <c:pt idx="21">
                  <c:v>2.2995302286887842E-4</c:v>
                </c:pt>
                <c:pt idx="22">
                  <c:v>2.4911338773492275E-4</c:v>
                </c:pt>
                <c:pt idx="23">
                  <c:v>2.6827338539703316E-4</c:v>
                </c:pt>
                <c:pt idx="24">
                  <c:v>2.8743301586220404E-4</c:v>
                </c:pt>
                <c:pt idx="25">
                  <c:v>3.0659227913731879E-4</c:v>
                </c:pt>
                <c:pt idx="26">
                  <c:v>3.2575117522959385E-4</c:v>
                </c:pt>
                <c:pt idx="27">
                  <c:v>3.4490970414602362E-4</c:v>
                </c:pt>
                <c:pt idx="28">
                  <c:v>3.6406786589349149E-4</c:v>
                </c:pt>
                <c:pt idx="29">
                  <c:v>3.8322566047921391E-4</c:v>
                </c:pt>
                <c:pt idx="30">
                  <c:v>4.0238308791029631E-4</c:v>
                </c:pt>
                <c:pt idx="31">
                  <c:v>4.2154014819351104E-4</c:v>
                </c:pt>
                <c:pt idx="32">
                  <c:v>4.4069684133607456E-4</c:v>
                </c:pt>
                <c:pt idx="33">
                  <c:v>4.5985316734498127E-4</c:v>
                </c:pt>
                <c:pt idx="34">
                  <c:v>4.7900912622722558E-4</c:v>
                </c:pt>
                <c:pt idx="35">
                  <c:v>4.9816471799002393E-4</c:v>
                </c:pt>
                <c:pt idx="36">
                  <c:v>5.1731994264014869E-4</c:v>
                </c:pt>
                <c:pt idx="37">
                  <c:v>5.364748001848163E-4</c:v>
                </c:pt>
                <c:pt idx="38">
                  <c:v>5.5562929063102118E-4</c:v>
                </c:pt>
                <c:pt idx="39">
                  <c:v>5.7478341398575772E-4</c:v>
                </c:pt>
                <c:pt idx="40">
                  <c:v>5.9393717025602033E-4</c:v>
                </c:pt>
                <c:pt idx="41">
                  <c:v>6.1309055944902546E-4</c:v>
                </c:pt>
                <c:pt idx="42">
                  <c:v>6.322435815716565E-4</c:v>
                </c:pt>
                <c:pt idx="43">
                  <c:v>6.5139623663101887E-4</c:v>
                </c:pt>
                <c:pt idx="44">
                  <c:v>6.7054852463410697E-4</c:v>
                </c:pt>
                <c:pt idx="45">
                  <c:v>6.8970044558791521E-4</c:v>
                </c:pt>
                <c:pt idx="46">
                  <c:v>7.0885199949954902E-4</c:v>
                </c:pt>
                <c:pt idx="47">
                  <c:v>7.2800318637600281E-4</c:v>
                </c:pt>
                <c:pt idx="48">
                  <c:v>7.4715400622438199E-4</c:v>
                </c:pt>
                <c:pt idx="49">
                  <c:v>7.6630445905168099E-4</c:v>
                </c:pt>
                <c:pt idx="50">
                  <c:v>7.8545454486489419E-4</c:v>
                </c:pt>
                <c:pt idx="51">
                  <c:v>8.0460426367101601E-4</c:v>
                </c:pt>
                <c:pt idx="52">
                  <c:v>8.2375361547726289E-4</c:v>
                </c:pt>
                <c:pt idx="53">
                  <c:v>8.429026002904072E-4</c:v>
                </c:pt>
                <c:pt idx="54">
                  <c:v>8.6205121811777641E-4</c:v>
                </c:pt>
                <c:pt idx="55">
                  <c:v>8.8119946896614287E-4</c:v>
                </c:pt>
                <c:pt idx="56">
                  <c:v>9.0034735284272305E-4</c:v>
                </c:pt>
                <c:pt idx="57">
                  <c:v>9.1949486975440031E-4</c:v>
                </c:pt>
                <c:pt idx="58">
                  <c:v>9.3864201970839112E-4</c:v>
                </c:pt>
                <c:pt idx="59">
                  <c:v>9.5778880271157885E-4</c:v>
                </c:pt>
                <c:pt idx="60">
                  <c:v>9.769352187709579E-4</c:v>
                </c:pt>
                <c:pt idx="61">
                  <c:v>9.9608126789374474E-4</c:v>
                </c:pt>
                <c:pt idx="62">
                  <c:v>1.0152269500868227E-3</c:v>
                </c:pt>
                <c:pt idx="63">
                  <c:v>1.0343722653572973E-3</c:v>
                </c:pt>
                <c:pt idx="64">
                  <c:v>1.0535172137120519E-3</c:v>
                </c:pt>
                <c:pt idx="65">
                  <c:v>1.0726617951584139E-3</c:v>
                </c:pt>
                <c:pt idx="66">
                  <c:v>1.0918060097031557E-3</c:v>
                </c:pt>
                <c:pt idx="67">
                  <c:v>1.1109498573533827E-3</c:v>
                </c:pt>
                <c:pt idx="68">
                  <c:v>1.1300933381162004E-3</c:v>
                </c:pt>
                <c:pt idx="69">
                  <c:v>1.1492364519984921E-3</c:v>
                </c:pt>
                <c:pt idx="70">
                  <c:v>1.1683791990073633E-3</c:v>
                </c:pt>
                <c:pt idx="71">
                  <c:v>1.1875215791499194E-3</c:v>
                </c:pt>
                <c:pt idx="72">
                  <c:v>1.2066635924331548E-3</c:v>
                </c:pt>
                <c:pt idx="73">
                  <c:v>1.2258052388639529E-3</c:v>
                </c:pt>
                <c:pt idx="74">
                  <c:v>1.2449465184496411E-3</c:v>
                </c:pt>
                <c:pt idx="75">
                  <c:v>1.2640874311968808E-3</c:v>
                </c:pt>
                <c:pt idx="76">
                  <c:v>1.2832279771129995E-3</c:v>
                </c:pt>
                <c:pt idx="77">
                  <c:v>1.3023681562048806E-3</c:v>
                </c:pt>
                <c:pt idx="78">
                  <c:v>1.3215079684796294E-3</c:v>
                </c:pt>
                <c:pt idx="79">
                  <c:v>1.3406474139442404E-3</c:v>
                </c:pt>
                <c:pt idx="80">
                  <c:v>1.359786492605819E-3</c:v>
                </c:pt>
                <c:pt idx="81">
                  <c:v>1.3789252044712486E-3</c:v>
                </c:pt>
                <c:pt idx="82">
                  <c:v>1.3980635495475235E-3</c:v>
                </c:pt>
                <c:pt idx="83">
                  <c:v>1.4172015278419714E-3</c:v>
                </c:pt>
                <c:pt idx="84">
                  <c:v>1.4363391393613645E-3</c:v>
                </c:pt>
                <c:pt idx="85">
                  <c:v>1.4554763841126972E-3</c:v>
                </c:pt>
                <c:pt idx="86">
                  <c:v>1.474613262103186E-3</c:v>
                </c:pt>
                <c:pt idx="87">
                  <c:v>1.4937497733398253E-3</c:v>
                </c:pt>
                <c:pt idx="88">
                  <c:v>1.5128859178294984E-3</c:v>
                </c:pt>
                <c:pt idx="89">
                  <c:v>1.5320216955794219E-3</c:v>
                </c:pt>
                <c:pt idx="90">
                  <c:v>1.5511571065964791E-3</c:v>
                </c:pt>
                <c:pt idx="91">
                  <c:v>1.5702921508876644E-3</c:v>
                </c:pt>
                <c:pt idx="92">
                  <c:v>1.5894268284601942E-3</c:v>
                </c:pt>
                <c:pt idx="93">
                  <c:v>1.608561139320952E-3</c:v>
                </c:pt>
                <c:pt idx="94">
                  <c:v>1.6276950834770432E-3</c:v>
                </c:pt>
                <c:pt idx="95">
                  <c:v>1.6468286609354621E-3</c:v>
                </c:pt>
                <c:pt idx="96">
                  <c:v>1.6659618717032032E-3</c:v>
                </c:pt>
                <c:pt idx="97">
                  <c:v>1.6850947157873719E-3</c:v>
                </c:pt>
                <c:pt idx="98">
                  <c:v>1.7042271931948516E-3</c:v>
                </c:pt>
                <c:pt idx="99">
                  <c:v>1.7233593039328587E-3</c:v>
                </c:pt>
                <c:pt idx="100">
                  <c:v>1.7424910480082767E-3</c:v>
                </c:pt>
                <c:pt idx="101">
                  <c:v>1.7616224254282109E-3</c:v>
                </c:pt>
                <c:pt idx="102">
                  <c:v>1.7807534361996558E-3</c:v>
                </c:pt>
                <c:pt idx="103">
                  <c:v>1.7998840803296057E-3</c:v>
                </c:pt>
                <c:pt idx="104">
                  <c:v>1.8190143578251661E-3</c:v>
                </c:pt>
                <c:pt idx="105">
                  <c:v>1.8381442686933314E-3</c:v>
                </c:pt>
                <c:pt idx="106">
                  <c:v>1.8572738129410959E-3</c:v>
                </c:pt>
                <c:pt idx="107">
                  <c:v>1.8764029905755653E-3</c:v>
                </c:pt>
                <c:pt idx="108">
                  <c:v>1.8955318016036227E-3</c:v>
                </c:pt>
                <c:pt idx="109">
                  <c:v>1.9146602460324846E-3</c:v>
                </c:pt>
                <c:pt idx="110">
                  <c:v>1.9337883238690345E-3</c:v>
                </c:pt>
                <c:pt idx="111">
                  <c:v>1.9529160351202668E-3</c:v>
                </c:pt>
                <c:pt idx="112">
                  <c:v>1.9720433797932868E-3</c:v>
                </c:pt>
                <c:pt idx="113">
                  <c:v>1.9911703578952E-3</c:v>
                </c:pt>
                <c:pt idx="114">
                  <c:v>2.0102969694328898E-3</c:v>
                </c:pt>
                <c:pt idx="115">
                  <c:v>2.0294232144134616E-3</c:v>
                </c:pt>
                <c:pt idx="116">
                  <c:v>2.0485490928437988E-3</c:v>
                </c:pt>
                <c:pt idx="117">
                  <c:v>2.0676746047311179E-3</c:v>
                </c:pt>
                <c:pt idx="118">
                  <c:v>2.0867997500824131E-3</c:v>
                </c:pt>
                <c:pt idx="119">
                  <c:v>2.105924528904568E-3</c:v>
                </c:pt>
                <c:pt idx="120">
                  <c:v>2.125048941204799E-3</c:v>
                </c:pt>
                <c:pt idx="121">
                  <c:v>2.1441729869899895E-3</c:v>
                </c:pt>
                <c:pt idx="122">
                  <c:v>2.1632966662672448E-3</c:v>
                </c:pt>
                <c:pt idx="123">
                  <c:v>2.1824199790434484E-3</c:v>
                </c:pt>
                <c:pt idx="124">
                  <c:v>2.2015429253258167E-3</c:v>
                </c:pt>
                <c:pt idx="125">
                  <c:v>2.2206655051212332E-3</c:v>
                </c:pt>
                <c:pt idx="126">
                  <c:v>2.2397877184368031E-3</c:v>
                </c:pt>
                <c:pt idx="127">
                  <c:v>2.25890956527941E-3</c:v>
                </c:pt>
                <c:pt idx="128">
                  <c:v>2.2780310456562702E-3</c:v>
                </c:pt>
                <c:pt idx="129">
                  <c:v>2.2971521595743782E-3</c:v>
                </c:pt>
                <c:pt idx="130">
                  <c:v>2.3162729070406174E-3</c:v>
                </c:pt>
                <c:pt idx="131">
                  <c:v>2.3353932880620931E-3</c:v>
                </c:pt>
                <c:pt idx="132">
                  <c:v>2.3545133026459109E-3</c:v>
                </c:pt>
                <c:pt idx="133">
                  <c:v>2.373632950798954E-3</c:v>
                </c:pt>
                <c:pt idx="134">
                  <c:v>2.3927522325282169E-3</c:v>
                </c:pt>
                <c:pt idx="135">
                  <c:v>2.4118711478409161E-3</c:v>
                </c:pt>
                <c:pt idx="136">
                  <c:v>2.4309896967439348E-3</c:v>
                </c:pt>
                <c:pt idx="137">
                  <c:v>2.4501078792443787E-3</c:v>
                </c:pt>
                <c:pt idx="138">
                  <c:v>2.4692256953491309E-3</c:v>
                </c:pt>
                <c:pt idx="139">
                  <c:v>2.4883431450654081E-3</c:v>
                </c:pt>
                <c:pt idx="140">
                  <c:v>2.5074602283999825E-3</c:v>
                </c:pt>
                <c:pt idx="141">
                  <c:v>2.5265769453600706E-3</c:v>
                </c:pt>
                <c:pt idx="142">
                  <c:v>2.5456932959526668E-3</c:v>
                </c:pt>
                <c:pt idx="143">
                  <c:v>2.5648092801847655E-3</c:v>
                </c:pt>
                <c:pt idx="144">
                  <c:v>2.5839248980633611E-3</c:v>
                </c:pt>
                <c:pt idx="145">
                  <c:v>2.6030401495955591E-3</c:v>
                </c:pt>
                <c:pt idx="146">
                  <c:v>2.6221550347882427E-3</c:v>
                </c:pt>
                <c:pt idx="147">
                  <c:v>2.6412695536486286E-3</c:v>
                </c:pt>
                <c:pt idx="148">
                  <c:v>2.660383706183489E-3</c:v>
                </c:pt>
                <c:pt idx="149">
                  <c:v>2.6794974924000403E-3</c:v>
                </c:pt>
                <c:pt idx="150">
                  <c:v>2.6986109123052771E-3</c:v>
                </c:pt>
                <c:pt idx="151">
                  <c:v>2.7177239659060826E-3</c:v>
                </c:pt>
                <c:pt idx="152">
                  <c:v>2.7368366532096733E-3</c:v>
                </c:pt>
                <c:pt idx="153">
                  <c:v>2.7559489742228216E-3</c:v>
                </c:pt>
                <c:pt idx="154">
                  <c:v>2.7750609289528549E-3</c:v>
                </c:pt>
                <c:pt idx="155">
                  <c:v>2.7941725174065457E-3</c:v>
                </c:pt>
                <c:pt idx="156">
                  <c:v>2.8132837395911103E-3</c:v>
                </c:pt>
                <c:pt idx="157">
                  <c:v>2.8323945955133212E-3</c:v>
                </c:pt>
                <c:pt idx="158">
                  <c:v>2.8515050851803947E-3</c:v>
                </c:pt>
                <c:pt idx="159">
                  <c:v>2.8706152085993253E-3</c:v>
                </c:pt>
                <c:pt idx="160">
                  <c:v>2.8897249657771074E-3</c:v>
                </c:pt>
                <c:pt idx="161">
                  <c:v>2.9088343567207353E-3</c:v>
                </c:pt>
                <c:pt idx="162">
                  <c:v>2.9279433814372036E-3</c:v>
                </c:pt>
                <c:pt idx="163">
                  <c:v>2.9470520399336175E-3</c:v>
                </c:pt>
                <c:pt idx="164">
                  <c:v>2.9661603322169716E-3</c:v>
                </c:pt>
                <c:pt idx="165">
                  <c:v>2.9852682582942602E-3</c:v>
                </c:pt>
                <c:pt idx="166">
                  <c:v>3.0043758181724778E-3</c:v>
                </c:pt>
                <c:pt idx="167">
                  <c:v>3.0234830118586187E-3</c:v>
                </c:pt>
                <c:pt idx="168">
                  <c:v>3.0425898393597883E-3</c:v>
                </c:pt>
                <c:pt idx="169">
                  <c:v>3.0616963006829812E-3</c:v>
                </c:pt>
                <c:pt idx="170">
                  <c:v>3.0808023958351916E-3</c:v>
                </c:pt>
                <c:pt idx="171">
                  <c:v>3.099908124823525E-3</c:v>
                </c:pt>
                <c:pt idx="172">
                  <c:v>3.1190134876548647E-3</c:v>
                </c:pt>
                <c:pt idx="173">
                  <c:v>3.1381184843362053E-3</c:v>
                </c:pt>
                <c:pt idx="174">
                  <c:v>3.1572231148747631E-3</c:v>
                </c:pt>
                <c:pt idx="175">
                  <c:v>3.1763273792774216E-3</c:v>
                </c:pt>
                <c:pt idx="176">
                  <c:v>3.195431277551064E-3</c:v>
                </c:pt>
                <c:pt idx="177">
                  <c:v>3.214534809703018E-3</c:v>
                </c:pt>
                <c:pt idx="178">
                  <c:v>3.2336379757400557E-3</c:v>
                </c:pt>
                <c:pt idx="179">
                  <c:v>3.2527407756692828E-3</c:v>
                </c:pt>
                <c:pt idx="180">
                  <c:v>3.2718432094978045E-3</c:v>
                </c:pt>
                <c:pt idx="181">
                  <c:v>3.2909452772323933E-3</c:v>
                </c:pt>
                <c:pt idx="182">
                  <c:v>3.3100469788802656E-3</c:v>
                </c:pt>
                <c:pt idx="183">
                  <c:v>3.3291483144484157E-3</c:v>
                </c:pt>
                <c:pt idx="184">
                  <c:v>3.3482492839438383E-3</c:v>
                </c:pt>
                <c:pt idx="185">
                  <c:v>3.3673498873735275E-3</c:v>
                </c:pt>
                <c:pt idx="186">
                  <c:v>3.3864501247444778E-3</c:v>
                </c:pt>
                <c:pt idx="187">
                  <c:v>3.4055499960636837E-3</c:v>
                </c:pt>
                <c:pt idx="188">
                  <c:v>3.4246495013383615E-3</c:v>
                </c:pt>
                <c:pt idx="189">
                  <c:v>3.4437486405752837E-3</c:v>
                </c:pt>
                <c:pt idx="190">
                  <c:v>3.4628474137815557E-3</c:v>
                </c:pt>
                <c:pt idx="191">
                  <c:v>3.4819458209641718E-3</c:v>
                </c:pt>
                <c:pt idx="192">
                  <c:v>3.5010438621302375E-3</c:v>
                </c:pt>
                <c:pt idx="193">
                  <c:v>3.5201415372866363E-3</c:v>
                </c:pt>
                <c:pt idx="194">
                  <c:v>3.5392388464404734E-3</c:v>
                </c:pt>
                <c:pt idx="195">
                  <c:v>3.5583357895988543E-3</c:v>
                </c:pt>
                <c:pt idx="196">
                  <c:v>3.5774323667685515E-3</c:v>
                </c:pt>
                <c:pt idx="197">
                  <c:v>3.5965285779566702E-3</c:v>
                </c:pt>
                <c:pt idx="198">
                  <c:v>3.6156244231703161E-3</c:v>
                </c:pt>
                <c:pt idx="199">
                  <c:v>3.6347199024164834E-3</c:v>
                </c:pt>
                <c:pt idx="200">
                  <c:v>3.6538150157020555E-3</c:v>
                </c:pt>
                <c:pt idx="201">
                  <c:v>3.6729097630342489E-3</c:v>
                </c:pt>
                <c:pt idx="202">
                  <c:v>3.6920041444198359E-3</c:v>
                </c:pt>
                <c:pt idx="203">
                  <c:v>3.7110981598660331E-3</c:v>
                </c:pt>
                <c:pt idx="204">
                  <c:v>3.7301918093798347E-3</c:v>
                </c:pt>
                <c:pt idx="205">
                  <c:v>3.7492850929681243E-3</c:v>
                </c:pt>
                <c:pt idx="206">
                  <c:v>3.7683780106380071E-3</c:v>
                </c:pt>
                <c:pt idx="207">
                  <c:v>3.7874705623964777E-3</c:v>
                </c:pt>
                <c:pt idx="208">
                  <c:v>3.8065627482505304E-3</c:v>
                </c:pt>
                <c:pt idx="209">
                  <c:v>3.8256545682071597E-3</c:v>
                </c:pt>
                <c:pt idx="210">
                  <c:v>3.8447460222734708E-3</c:v>
                </c:pt>
                <c:pt idx="211">
                  <c:v>3.8638371104564584E-3</c:v>
                </c:pt>
                <c:pt idx="212">
                  <c:v>3.8829278327631167E-3</c:v>
                </c:pt>
                <c:pt idx="213">
                  <c:v>3.9020181892003292E-3</c:v>
                </c:pt>
                <c:pt idx="214">
                  <c:v>3.9211081797753122E-3</c:v>
                </c:pt>
                <c:pt idx="215">
                  <c:v>3.9401978044948383E-3</c:v>
                </c:pt>
                <c:pt idx="216">
                  <c:v>3.9592870633662347E-3</c:v>
                </c:pt>
                <c:pt idx="217">
                  <c:v>3.9783759563962739E-3</c:v>
                </c:pt>
                <c:pt idx="218">
                  <c:v>3.9974644835919504E-3</c:v>
                </c:pt>
                <c:pt idx="219">
                  <c:v>4.0165526449604805E-3</c:v>
                </c:pt>
                <c:pt idx="220">
                  <c:v>4.0356404405086366E-3</c:v>
                </c:pt>
                <c:pt idx="221">
                  <c:v>4.0547278702436351E-3</c:v>
                </c:pt>
                <c:pt idx="222">
                  <c:v>4.0738149341723595E-3</c:v>
                </c:pt>
                <c:pt idx="223">
                  <c:v>4.0929016323019152E-3</c:v>
                </c:pt>
                <c:pt idx="224">
                  <c:v>4.1119879646391855E-3</c:v>
                </c:pt>
                <c:pt idx="225">
                  <c:v>4.1310739311912759E-3</c:v>
                </c:pt>
                <c:pt idx="226">
                  <c:v>4.1501595319651807E-3</c:v>
                </c:pt>
                <c:pt idx="227">
                  <c:v>4.1692447669678945E-3</c:v>
                </c:pt>
                <c:pt idx="228">
                  <c:v>4.1883296362064115E-3</c:v>
                </c:pt>
                <c:pt idx="229">
                  <c:v>4.2074141396878373E-3</c:v>
                </c:pt>
                <c:pt idx="230">
                  <c:v>4.2264982774190551E-3</c:v>
                </c:pt>
                <c:pt idx="231">
                  <c:v>4.2455820494070595E-3</c:v>
                </c:pt>
                <c:pt idx="232">
                  <c:v>4.2646654556590669E-3</c:v>
                </c:pt>
                <c:pt idx="233">
                  <c:v>4.2837484961818495E-3</c:v>
                </c:pt>
                <c:pt idx="234">
                  <c:v>4.3028311709825129E-3</c:v>
                </c:pt>
                <c:pt idx="235">
                  <c:v>4.3219134800680514E-3</c:v>
                </c:pt>
                <c:pt idx="236">
                  <c:v>4.3409954234455705E-3</c:v>
                </c:pt>
                <c:pt idx="237">
                  <c:v>4.3600770011219536E-3</c:v>
                </c:pt>
                <c:pt idx="238">
                  <c:v>4.3791582131043061E-3</c:v>
                </c:pt>
                <c:pt idx="239">
                  <c:v>4.3982390593995113E-3</c:v>
                </c:pt>
                <c:pt idx="240">
                  <c:v>4.4173195400146748E-3</c:v>
                </c:pt>
                <c:pt idx="241">
                  <c:v>4.4363996549567908E-3</c:v>
                </c:pt>
                <c:pt idx="242">
                  <c:v>4.4554794042328538E-3</c:v>
                </c:pt>
                <c:pt idx="243">
                  <c:v>4.4745587878498583E-3</c:v>
                </c:pt>
                <c:pt idx="244">
                  <c:v>4.4936378058147985E-3</c:v>
                </c:pt>
                <c:pt idx="245">
                  <c:v>4.5127164581347801E-3</c:v>
                </c:pt>
                <c:pt idx="246">
                  <c:v>4.5317947448166862E-3</c:v>
                </c:pt>
                <c:pt idx="247">
                  <c:v>4.5508726658676224E-3</c:v>
                </c:pt>
                <c:pt idx="248">
                  <c:v>4.5699502212945831E-3</c:v>
                </c:pt>
                <c:pt idx="249">
                  <c:v>4.5890274111044516E-3</c:v>
                </c:pt>
                <c:pt idx="250">
                  <c:v>4.6081042353044444E-3</c:v>
                </c:pt>
                <c:pt idx="251">
                  <c:v>4.6271806939013338E-3</c:v>
                </c:pt>
                <c:pt idx="252">
                  <c:v>4.6462567869023363E-3</c:v>
                </c:pt>
                <c:pt idx="253">
                  <c:v>4.6653325143143354E-3</c:v>
                </c:pt>
                <c:pt idx="254">
                  <c:v>4.6844078761443253E-3</c:v>
                </c:pt>
                <c:pt idx="255">
                  <c:v>4.7034828723994115E-3</c:v>
                </c:pt>
                <c:pt idx="256">
                  <c:v>4.7225575030865885E-3</c:v>
                </c:pt>
                <c:pt idx="257">
                  <c:v>4.7416317682127396E-3</c:v>
                </c:pt>
                <c:pt idx="258">
                  <c:v>4.7607056677849702E-3</c:v>
                </c:pt>
                <c:pt idx="259">
                  <c:v>4.7797792018102747E-3</c:v>
                </c:pt>
                <c:pt idx="260">
                  <c:v>4.7988523702956476E-3</c:v>
                </c:pt>
                <c:pt idx="261">
                  <c:v>4.8179251732480832E-3</c:v>
                </c:pt>
                <c:pt idx="262">
                  <c:v>4.836997610674687E-3</c:v>
                </c:pt>
                <c:pt idx="263">
                  <c:v>4.8560696825822314E-3</c:v>
                </c:pt>
                <c:pt idx="264">
                  <c:v>4.8751413889780437E-3</c:v>
                </c:pt>
                <c:pt idx="265">
                  <c:v>4.8942127298687854E-3</c:v>
                </c:pt>
                <c:pt idx="266">
                  <c:v>4.9132837052617839E-3</c:v>
                </c:pt>
                <c:pt idx="267">
                  <c:v>4.9323543151637006E-3</c:v>
                </c:pt>
                <c:pt idx="268">
                  <c:v>4.9514245595818629E-3</c:v>
                </c:pt>
                <c:pt idx="269">
                  <c:v>4.9704944385231542E-3</c:v>
                </c:pt>
                <c:pt idx="270">
                  <c:v>4.9895639519945689E-3</c:v>
                </c:pt>
                <c:pt idx="271">
                  <c:v>5.0086331000029904E-3</c:v>
                </c:pt>
                <c:pt idx="272">
                  <c:v>5.0277018825556352E-3</c:v>
                </c:pt>
                <c:pt idx="273">
                  <c:v>5.0467702996593866E-3</c:v>
                </c:pt>
                <c:pt idx="274">
                  <c:v>5.0658383513213501E-3</c:v>
                </c:pt>
                <c:pt idx="275">
                  <c:v>5.084906037548409E-3</c:v>
                </c:pt>
                <c:pt idx="276">
                  <c:v>5.1039733583475577E-3</c:v>
                </c:pt>
                <c:pt idx="277">
                  <c:v>5.1230403137259017E-3</c:v>
                </c:pt>
                <c:pt idx="278">
                  <c:v>5.1421069036903244E-3</c:v>
                </c:pt>
                <c:pt idx="279">
                  <c:v>5.1611731282479312E-3</c:v>
                </c:pt>
                <c:pt idx="280">
                  <c:v>5.1802389874057164E-3</c:v>
                </c:pt>
                <c:pt idx="281">
                  <c:v>5.1993044811706746E-3</c:v>
                </c:pt>
                <c:pt idx="282">
                  <c:v>5.2183696095498E-3</c:v>
                </c:pt>
                <c:pt idx="283">
                  <c:v>5.2374343725500871E-3</c:v>
                </c:pt>
                <c:pt idx="284">
                  <c:v>5.2564987701785304E-3</c:v>
                </c:pt>
                <c:pt idx="285">
                  <c:v>5.2755628024421242E-3</c:v>
                </c:pt>
                <c:pt idx="286">
                  <c:v>5.2946264693478629E-3</c:v>
                </c:pt>
                <c:pt idx="287">
                  <c:v>5.3136897709028519E-3</c:v>
                </c:pt>
                <c:pt idx="288">
                  <c:v>5.3327527071139746E-3</c:v>
                </c:pt>
                <c:pt idx="289">
                  <c:v>5.3518152779883366E-3</c:v>
                </c:pt>
                <c:pt idx="290">
                  <c:v>5.370877483532821E-3</c:v>
                </c:pt>
                <c:pt idx="291">
                  <c:v>5.3899393237544224E-3</c:v>
                </c:pt>
                <c:pt idx="292">
                  <c:v>5.4090007986602462E-3</c:v>
                </c:pt>
                <c:pt idx="293">
                  <c:v>5.4280619082572867E-3</c:v>
                </c:pt>
                <c:pt idx="294">
                  <c:v>5.4471226525525385E-3</c:v>
                </c:pt>
                <c:pt idx="295">
                  <c:v>5.4661830315528848E-3</c:v>
                </c:pt>
                <c:pt idx="296">
                  <c:v>5.485243045265431E-3</c:v>
                </c:pt>
                <c:pt idx="297">
                  <c:v>5.5043026936972828E-3</c:v>
                </c:pt>
                <c:pt idx="298">
                  <c:v>5.5233619768552122E-3</c:v>
                </c:pt>
                <c:pt idx="299">
                  <c:v>5.5424208947463249E-3</c:v>
                </c:pt>
                <c:pt idx="300">
                  <c:v>5.5614794473776152E-3</c:v>
                </c:pt>
                <c:pt idx="301">
                  <c:v>5.5805376347561886E-3</c:v>
                </c:pt>
                <c:pt idx="302">
                  <c:v>5.5995954568888173E-3</c:v>
                </c:pt>
                <c:pt idx="303">
                  <c:v>5.6186529137827179E-3</c:v>
                </c:pt>
                <c:pt idx="304">
                  <c:v>5.6377100054447737E-3</c:v>
                </c:pt>
                <c:pt idx="305">
                  <c:v>5.6567667318819792E-3</c:v>
                </c:pt>
                <c:pt idx="306">
                  <c:v>5.6758230931014397E-3</c:v>
                </c:pt>
                <c:pt idx="307">
                  <c:v>5.6948790891100387E-3</c:v>
                </c:pt>
                <c:pt idx="308">
                  <c:v>5.7139347199148816E-3</c:v>
                </c:pt>
                <c:pt idx="309">
                  <c:v>5.7329899855228517E-3</c:v>
                </c:pt>
                <c:pt idx="310">
                  <c:v>5.7520448859410545E-3</c:v>
                </c:pt>
                <c:pt idx="311">
                  <c:v>5.7710994211763733E-3</c:v>
                </c:pt>
                <c:pt idx="312">
                  <c:v>5.7901535912359137E-3</c:v>
                </c:pt>
                <c:pt idx="313">
                  <c:v>5.8092073961266699E-3</c:v>
                </c:pt>
                <c:pt idx="314">
                  <c:v>5.8282608358555255E-3</c:v>
                </c:pt>
                <c:pt idx="315">
                  <c:v>5.8473139104295857E-3</c:v>
                </c:pt>
                <c:pt idx="316">
                  <c:v>5.8663666198558451E-3</c:v>
                </c:pt>
                <c:pt idx="317">
                  <c:v>5.8854189641411869E-3</c:v>
                </c:pt>
                <c:pt idx="318">
                  <c:v>5.9044709432928277E-3</c:v>
                </c:pt>
                <c:pt idx="319">
                  <c:v>5.9235225573175398E-3</c:v>
                </c:pt>
                <c:pt idx="320">
                  <c:v>5.9425738062224287E-3</c:v>
                </c:pt>
                <c:pt idx="321">
                  <c:v>5.9616246900144887E-3</c:v>
                </c:pt>
                <c:pt idx="322">
                  <c:v>5.9806752087007142E-3</c:v>
                </c:pt>
                <c:pt idx="323">
                  <c:v>5.9997253622880997E-3</c:v>
                </c:pt>
                <c:pt idx="324">
                  <c:v>6.0187751507836396E-3</c:v>
                </c:pt>
                <c:pt idx="325">
                  <c:v>6.0378245741943282E-3</c:v>
                </c:pt>
                <c:pt idx="326">
                  <c:v>6.0568736325271599E-3</c:v>
                </c:pt>
                <c:pt idx="327">
                  <c:v>6.0759223257891293E-3</c:v>
                </c:pt>
                <c:pt idx="328">
                  <c:v>6.0949706539872306E-3</c:v>
                </c:pt>
                <c:pt idx="329">
                  <c:v>6.1140186171284583E-3</c:v>
                </c:pt>
                <c:pt idx="330">
                  <c:v>6.1330662152198068E-3</c:v>
                </c:pt>
                <c:pt idx="331">
                  <c:v>6.1521134482682704E-3</c:v>
                </c:pt>
                <c:pt idx="332">
                  <c:v>6.1711603162809547E-3</c:v>
                </c:pt>
                <c:pt idx="333">
                  <c:v>6.190206819264632E-3</c:v>
                </c:pt>
                <c:pt idx="334">
                  <c:v>6.2092529572265187E-3</c:v>
                </c:pt>
                <c:pt idx="335">
                  <c:v>6.2282987301734982E-3</c:v>
                </c:pt>
                <c:pt idx="336">
                  <c:v>6.2473441381125649E-3</c:v>
                </c:pt>
                <c:pt idx="337">
                  <c:v>6.2663891810507133E-3</c:v>
                </c:pt>
                <c:pt idx="338">
                  <c:v>6.2854338589950487E-3</c:v>
                </c:pt>
                <c:pt idx="339">
                  <c:v>6.3044781719523435E-3</c:v>
                </c:pt>
                <c:pt idx="340">
                  <c:v>6.3235221199298142E-3</c:v>
                </c:pt>
                <c:pt idx="341">
                  <c:v>6.3425657029343441E-3</c:v>
                </c:pt>
                <c:pt idx="342">
                  <c:v>6.3616089209730387E-3</c:v>
                </c:pt>
                <c:pt idx="343">
                  <c:v>6.3806517740526703E-3</c:v>
                </c:pt>
                <c:pt idx="344">
                  <c:v>6.3996942621804553E-3</c:v>
                </c:pt>
                <c:pt idx="345">
                  <c:v>6.4187363853632773E-3</c:v>
                </c:pt>
                <c:pt idx="346">
                  <c:v>6.4377781436081305E-3</c:v>
                </c:pt>
                <c:pt idx="347">
                  <c:v>6.4568195369220094E-3</c:v>
                </c:pt>
                <c:pt idx="348">
                  <c:v>6.4758605653119083E-3</c:v>
                </c:pt>
                <c:pt idx="349">
                  <c:v>6.4949012287849328E-3</c:v>
                </c:pt>
                <c:pt idx="350">
                  <c:v>6.5139415273479662E-3</c:v>
                </c:pt>
                <c:pt idx="351">
                  <c:v>6.5329814610080028E-3</c:v>
                </c:pt>
                <c:pt idx="352">
                  <c:v>6.5520210297720372E-3</c:v>
                </c:pt>
                <c:pt idx="353">
                  <c:v>6.5710602336470636E-3</c:v>
                </c:pt>
                <c:pt idx="354">
                  <c:v>6.5900990726401876E-3</c:v>
                </c:pt>
                <c:pt idx="355">
                  <c:v>6.6091375467581814E-3</c:v>
                </c:pt>
                <c:pt idx="356">
                  <c:v>6.6281756560082616E-3</c:v>
                </c:pt>
                <c:pt idx="357">
                  <c:v>6.6472134003973116E-3</c:v>
                </c:pt>
                <c:pt idx="358">
                  <c:v>6.6662507799323256E-3</c:v>
                </c:pt>
                <c:pt idx="359">
                  <c:v>6.6852877946201872E-3</c:v>
                </c:pt>
                <c:pt idx="360">
                  <c:v>6.7043244444681127E-3</c:v>
                </c:pt>
                <c:pt idx="361">
                  <c:v>6.7233607294829856E-3</c:v>
                </c:pt>
                <c:pt idx="362">
                  <c:v>6.7423966496718002E-3</c:v>
                </c:pt>
                <c:pt idx="363">
                  <c:v>6.761432205041551E-3</c:v>
                </c:pt>
                <c:pt idx="364">
                  <c:v>6.7804673955992323E-3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7.3044375343596103E-5</c:v>
                </c:pt>
                <c:pt idx="11">
                  <c:v>1.4601847345210544E-4</c:v>
                </c:pt>
                <c:pt idx="12">
                  <c:v>2.1892260313692008E-4</c:v>
                </c:pt>
                <c:pt idx="13">
                  <c:v>2.9175707321674649E-4</c:v>
                </c:pt>
                <c:pt idx="14">
                  <c:v>3.6452219727168634E-4</c:v>
                </c:pt>
                <c:pt idx="15">
                  <c:v>4.3721829742386208E-4</c:v>
                </c:pt>
                <c:pt idx="16">
                  <c:v>5.0984570715153295E-4</c:v>
                </c:pt>
                <c:pt idx="17">
                  <c:v>5.8240477315664419E-4</c:v>
                </c:pt>
                <c:pt idx="18">
                  <c:v>6.5489585631892252E-4</c:v>
                </c:pt>
                <c:pt idx="19">
                  <c:v>7.2731933178090498E-4</c:v>
                </c:pt>
                <c:pt idx="20">
                  <c:v>7.9967558821997557E-4</c:v>
                </c:pt>
                <c:pt idx="21">
                  <c:v>8.7196502637291898E-4</c:v>
                </c:pt>
                <c:pt idx="22">
                  <c:v>9.4418805688775047E-4</c:v>
                </c:pt>
                <c:pt idx="23">
                  <c:v>1.0163450975851668E-3</c:v>
                </c:pt>
                <c:pt idx="24">
                  <c:v>1.0884365702182686E-3</c:v>
                </c:pt>
                <c:pt idx="25">
                  <c:v>1.1604628968244816E-3</c:v>
                </c:pt>
                <c:pt idx="26">
                  <c:v>1.2324244957671831E-3</c:v>
                </c:pt>
                <c:pt idx="27">
                  <c:v>1.3043217775670513E-3</c:v>
                </c:pt>
                <c:pt idx="28">
                  <c:v>1.3761551406238758E-3</c:v>
                </c:pt>
                <c:pt idx="29">
                  <c:v>1.4479249669295084E-3</c:v>
                </c:pt>
                <c:pt idx="30">
                  <c:v>1.5196316178706086E-3</c:v>
                </c:pt>
                <c:pt idx="31">
                  <c:v>1.5912754302170649E-3</c:v>
                </c:pt>
                <c:pt idx="32">
                  <c:v>1.6628567123875499E-3</c:v>
                </c:pt>
                <c:pt idx="33">
                  <c:v>1.7343757410784803E-3</c:v>
                </c:pt>
                <c:pt idx="34">
                  <c:v>1.8058327583361075E-3</c:v>
                </c:pt>
                <c:pt idx="35">
                  <c:v>1.8772279691441711E-3</c:v>
                </c:pt>
                <c:pt idx="36">
                  <c:v>1.9485615395913403E-3</c:v>
                </c:pt>
                <c:pt idx="37">
                  <c:v>2.0198335956736931E-3</c:v>
                </c:pt>
                <c:pt idx="38">
                  <c:v>2.0910442227781299E-3</c:v>
                </c:pt>
                <c:pt idx="39">
                  <c:v>2.1621934658824335E-3</c:v>
                </c:pt>
                <c:pt idx="40">
                  <c:v>2.2332813304976719E-3</c:v>
                </c:pt>
                <c:pt idx="41">
                  <c:v>2.3043077843680235E-3</c:v>
                </c:pt>
                <c:pt idx="42">
                  <c:v>2.3752727599327104E-3</c:v>
                </c:pt>
                <c:pt idx="43">
                  <c:v>2.4461761575441982E-3</c:v>
                </c:pt>
                <c:pt idx="44">
                  <c:v>2.5170178494269284E-3</c:v>
                </c:pt>
                <c:pt idx="45">
                  <c:v>2.5877976843507633E-3</c:v>
                </c:pt>
                <c:pt idx="46">
                  <c:v>2.6585154929841264E-3</c:v>
                </c:pt>
                <c:pt idx="47">
                  <c:v>2.7291710938831181E-3</c:v>
                </c:pt>
                <c:pt idx="48">
                  <c:v>2.7997643000648737E-3</c:v>
                </c:pt>
                <c:pt idx="49">
                  <c:v>2.8702949261059751E-3</c:v>
                </c:pt>
                <c:pt idx="50">
                  <c:v>2.9407627957005419E-3</c:v>
                </c:pt>
                <c:pt idx="51">
                  <c:v>3.0111677496071844E-3</c:v>
                </c:pt>
                <c:pt idx="52">
                  <c:v>3.0815096539093386E-3</c:v>
                </c:pt>
                <c:pt idx="53">
                  <c:v>3.1517884085101948E-3</c:v>
                </c:pt>
                <c:pt idx="54">
                  <c:v>3.2220039557810309E-3</c:v>
                </c:pt>
                <c:pt idx="55">
                  <c:v>3.2921562892803827E-3</c:v>
                </c:pt>
                <c:pt idx="56">
                  <c:v>3.362245462461221E-3</c:v>
                </c:pt>
                <c:pt idx="57">
                  <c:v>3.432271597284074E-3</c:v>
                </c:pt>
                <c:pt idx="58">
                  <c:v>3.5022348926557422E-3</c:v>
                </c:pt>
                <c:pt idx="59">
                  <c:v>3.5721356326160851E-3</c:v>
                </c:pt>
                <c:pt idx="60">
                  <c:v>3.641974194198904E-3</c:v>
                </c:pt>
                <c:pt idx="61">
                  <c:v>3.7117510548974153E-3</c:v>
                </c:pt>
                <c:pt idx="62">
                  <c:v>3.7814667996701494E-3</c:v>
                </c:pt>
                <c:pt idx="63">
                  <c:v>3.85112212742876E-3</c:v>
                </c:pt>
                <c:pt idx="64">
                  <c:v>3.9207178569559938E-3</c:v>
                </c:pt>
                <c:pt idx="65">
                  <c:v>3.990254932208709E-3</c:v>
                </c:pt>
                <c:pt idx="66">
                  <c:v>4.0597344269683502E-3</c:v>
                </c:pt>
                <c:pt idx="67">
                  <c:v>4.1291575488086856E-3</c:v>
                </c:pt>
                <c:pt idx="68">
                  <c:v>4.1985256423582099E-3</c:v>
                </c:pt>
                <c:pt idx="69">
                  <c:v>4.2678401918426739E-3</c:v>
                </c:pt>
                <c:pt idx="70">
                  <c:v>4.3371028229001749E-3</c:v>
                </c:pt>
                <c:pt idx="71">
                  <c:v>4.4063153036693519E-3</c:v>
                </c:pt>
                <c:pt idx="72">
                  <c:v>4.475479545157637E-3</c:v>
                </c:pt>
                <c:pt idx="73">
                  <c:v>4.5445976009037565E-3</c:v>
                </c:pt>
                <c:pt idx="74">
                  <c:v>4.6136716659545031E-3</c:v>
                </c:pt>
                <c:pt idx="75">
                  <c:v>4.6827040751815331E-3</c:v>
                </c:pt>
                <c:pt idx="76">
                  <c:v>4.751697300968887E-3</c:v>
                </c:pt>
                <c:pt idx="77">
                  <c:v>4.8206539503062099E-3</c:v>
                </c:pt>
                <c:pt idx="78">
                  <c:v>4.8895767613259923E-3</c:v>
                </c:pt>
                <c:pt idx="79">
                  <c:v>4.9584685993259098E-3</c:v>
                </c:pt>
                <c:pt idx="80">
                  <c:v>5.0273324523192565E-3</c:v>
                </c:pt>
                <c:pt idx="81">
                  <c:v>5.0961714261571712E-3</c:v>
                </c:pt>
                <c:pt idx="82">
                  <c:v>5.1649887392668445E-3</c:v>
                </c:pt>
                <c:pt idx="83">
                  <c:v>5.233787717048962E-3</c:v>
                </c:pt>
                <c:pt idx="84">
                  <c:v>5.3025717859762822E-3</c:v>
                </c:pt>
                <c:pt idx="85">
                  <c:v>5.3713444674329466E-3</c:v>
                </c:pt>
                <c:pt idx="86">
                  <c:v>5.4401093713312377E-3</c:v>
                </c:pt>
                <c:pt idx="87">
                  <c:v>5.5088701895387579E-3</c:v>
                </c:pt>
                <c:pt idx="88">
                  <c:v>5.5776306891450172E-3</c:v>
                </c:pt>
                <c:pt idx="89">
                  <c:v>5.646394705591677E-3</c:v>
                </c:pt>
                <c:pt idx="90">
                  <c:v>5.7151661356856535E-3</c:v>
                </c:pt>
                <c:pt idx="91">
                  <c:v>5.783948930508832E-3</c:v>
                </c:pt>
                <c:pt idx="92">
                  <c:v>5.8527470882330087E-3</c:v>
                </c:pt>
                <c:pt idx="93">
                  <c:v>5.9215646468425125E-3</c:v>
                </c:pt>
                <c:pt idx="94">
                  <c:v>5.990405676761814E-3</c:v>
                </c:pt>
                <c:pt idx="95">
                  <c:v>6.0592742733798751E-3</c:v>
                </c:pt>
                <c:pt idx="96">
                  <c:v>6.1281745494577034E-3</c:v>
                </c:pt>
                <c:pt idx="97">
                  <c:v>6.1971106274009207E-3</c:v>
                </c:pt>
                <c:pt idx="98">
                  <c:v>6.2660866313748254E-3</c:v>
                </c:pt>
                <c:pt idx="99">
                  <c:v>6.3351066792353486E-3</c:v>
                </c:pt>
                <c:pt idx="100">
                  <c:v>6.4041748742468246E-3</c:v>
                </c:pt>
                <c:pt idx="101">
                  <c:v>6.4732952965543458E-3</c:v>
                </c:pt>
                <c:pt idx="102">
                  <c:v>6.5424719943776369E-3</c:v>
                </c:pt>
                <c:pt idx="103">
                  <c:v>6.6117089748923257E-3</c:v>
                </c:pt>
                <c:pt idx="104">
                  <c:v>6.6810101947648035E-3</c:v>
                </c:pt>
                <c:pt idx="105">
                  <c:v>6.7503795503082858E-3</c:v>
                </c:pt>
                <c:pt idx="106">
                  <c:v>6.8198208672297297E-3</c:v>
                </c:pt>
                <c:pt idx="107">
                  <c:v>6.8893378899406148E-3</c:v>
                </c:pt>
                <c:pt idx="108">
                  <c:v>6.9589342704087188E-3</c:v>
                </c:pt>
                <c:pt idx="109">
                  <c:v>7.0286135565333545E-3</c:v>
                </c:pt>
                <c:pt idx="110">
                  <c:v>7.0983791800325689E-3</c:v>
                </c:pt>
                <c:pt idx="111">
                  <c:v>7.1682344438377269E-3</c:v>
                </c:pt>
                <c:pt idx="112">
                  <c:v>7.2381825089990019E-3</c:v>
                </c:pt>
                <c:pt idx="113">
                  <c:v>7.3082263811135063E-3</c:v>
                </c:pt>
                <c:pt idx="114">
                  <c:v>7.3783688962971768E-3</c:v>
                </c:pt>
                <c:pt idx="115">
                  <c:v>7.4486127067313456E-3</c:v>
                </c:pt>
                <c:pt idx="116">
                  <c:v>7.5189602658246131E-3</c:v>
                </c:pt>
                <c:pt idx="117">
                  <c:v>7.5894138130416953E-3</c:v>
                </c:pt>
                <c:pt idx="118">
                  <c:v>7.6599753584607796E-3</c:v>
                </c:pt>
                <c:pt idx="119">
                  <c:v>7.7306466671320274E-3</c:v>
                </c:pt>
                <c:pt idx="120">
                  <c:v>7.8014292433199193E-3</c:v>
                </c:pt>
                <c:pt idx="121">
                  <c:v>7.8723243147224009E-3</c:v>
                </c:pt>
                <c:pt idx="122">
                  <c:v>7.9433328167693405E-3</c:v>
                </c:pt>
                <c:pt idx="123">
                  <c:v>8.0144553771120119E-3</c:v>
                </c:pt>
                <c:pt idx="124">
                  <c:v>8.0856923004233982E-3</c:v>
                </c:pt>
                <c:pt idx="125">
                  <c:v>8.1570435536367E-3</c:v>
                </c:pt>
                <c:pt idx="126">
                  <c:v>8.228508751755681E-3</c:v>
                </c:pt>
                <c:pt idx="127">
                  <c:v>8.3000871443756931E-3</c:v>
                </c:pt>
                <c:pt idx="128">
                  <c:v>8.3717776030582634E-3</c:v>
                </c:pt>
                <c:pt idx="129">
                  <c:v>8.4435786097043965E-3</c:v>
                </c:pt>
                <c:pt idx="130">
                  <c:v>8.5154882460730316E-3</c:v>
                </c:pt>
                <c:pt idx="131">
                  <c:v>8.5875041845904585E-3</c:v>
                </c:pt>
                <c:pt idx="132">
                  <c:v>8.659623680594343E-3</c:v>
                </c:pt>
                <c:pt idx="133">
                  <c:v>8.7318435661522288E-3</c:v>
                </c:pt>
                <c:pt idx="134">
                  <c:v>8.8041602455888185E-3</c:v>
                </c:pt>
                <c:pt idx="135">
                  <c:v>8.8765696928492909E-3</c:v>
                </c:pt>
                <c:pt idx="136">
                  <c:v>8.9490674508168281E-3</c:v>
                </c:pt>
                <c:pt idx="137">
                  <c:v>9.0216486326920656E-3</c:v>
                </c:pt>
                <c:pt idx="138">
                  <c:v>9.0943079255302005E-3</c:v>
                </c:pt>
                <c:pt idx="139">
                  <c:v>9.167039596017619E-3</c:v>
                </c:pt>
                <c:pt idx="140">
                  <c:v>9.2398374985549446E-3</c:v>
                </c:pt>
                <c:pt idx="141">
                  <c:v>9.3126950856971171E-3</c:v>
                </c:pt>
                <c:pt idx="142">
                  <c:v>9.3856054209835102E-3</c:v>
                </c:pt>
                <c:pt idx="143">
                  <c:v>9.4585611941723734E-3</c:v>
                </c:pt>
                <c:pt idx="144">
                  <c:v>9.5315547388748444E-3</c:v>
                </c:pt>
                <c:pt idx="145">
                  <c:v>9.6045780525631508E-3</c:v>
                </c:pt>
                <c:pt idx="146">
                  <c:v>9.6776228189074769E-3</c:v>
                </c:pt>
                <c:pt idx="147">
                  <c:v>9.7506804323749339E-3</c:v>
                </c:pt>
                <c:pt idx="148">
                  <c:v>9.8237420250028087E-3</c:v>
                </c:pt>
                <c:pt idx="149">
                  <c:v>9.8967984952380537E-3</c:v>
                </c:pt>
                <c:pt idx="150">
                  <c:v>9.9698405387138832E-3</c:v>
                </c:pt>
                <c:pt idx="151">
                  <c:v>1.0042858680814837E-2</c:v>
                </c:pt>
                <c:pt idx="152">
                  <c:v>1.0115843310862412E-2</c:v>
                </c:pt>
                <c:pt idx="153">
                  <c:v>1.0188784717735377E-2</c:v>
                </c:pt>
                <c:pt idx="154">
                  <c:v>1.0261673126721922E-2</c:v>
                </c:pt>
                <c:pt idx="155">
                  <c:v>1.0334498737385359E-2</c:v>
                </c:pt>
                <c:pt idx="156">
                  <c:v>1.0407251762211455E-2</c:v>
                </c:pt>
                <c:pt idx="157">
                  <c:v>1.0479922465793098E-2</c:v>
                </c:pt>
                <c:pt idx="158">
                  <c:v>1.055250120429835E-2</c:v>
                </c:pt>
                <c:pt idx="159">
                  <c:v>1.0624978464959398E-2</c:v>
                </c:pt>
                <c:pt idx="160">
                  <c:v>1.0697344905314848E-2</c:v>
                </c:pt>
                <c:pt idx="161">
                  <c:v>1.0769591391933606E-2</c:v>
                </c:pt>
                <c:pt idx="162">
                  <c:v>1.0841709038348078E-2</c:v>
                </c:pt>
                <c:pt idx="163">
                  <c:v>1.0913689241925678E-2</c:v>
                </c:pt>
                <c:pt idx="164">
                  <c:v>1.0985523719411267E-2</c:v>
                </c:pt>
                <c:pt idx="165">
                  <c:v>1.1057204540880043E-2</c:v>
                </c:pt>
                <c:pt idx="166">
                  <c:v>1.1128724161848626E-2</c:v>
                </c:pt>
                <c:pt idx="167">
                  <c:v>1.1200075453303955E-2</c:v>
                </c:pt>
                <c:pt idx="168">
                  <c:v>1.1271251729422675E-2</c:v>
                </c:pt>
                <c:pt idx="169">
                  <c:v>1.1342246772770162E-2</c:v>
                </c:pt>
                <c:pt idx="170">
                  <c:v>1.1413054856785593E-2</c:v>
                </c:pt>
                <c:pt idx="171">
                  <c:v>1.1483670765380189E-2</c:v>
                </c:pt>
                <c:pt idx="172">
                  <c:v>1.1554089809497011E-2</c:v>
                </c:pt>
                <c:pt idx="173">
                  <c:v>1.1624307840504158E-2</c:v>
                </c:pt>
                <c:pt idx="174">
                  <c:v>1.1694321260318353E-2</c:v>
                </c:pt>
                <c:pt idx="175">
                  <c:v>1.1764127028181264E-2</c:v>
                </c:pt>
                <c:pt idx="176">
                  <c:v>1.1833722664038312E-2</c:v>
                </c:pt>
                <c:pt idx="177">
                  <c:v>1.1903106248497049E-2</c:v>
                </c:pt>
                <c:pt idx="178">
                  <c:v>1.1972276419370128E-2</c:v>
                </c:pt>
                <c:pt idx="179">
                  <c:v>1.2041232364835962E-2</c:v>
                </c:pt>
                <c:pt idx="180">
                  <c:v>1.2109973813278312E-2</c:v>
                </c:pt>
                <c:pt idx="181">
                  <c:v>1.2178501019893267E-2</c:v>
                </c:pt>
                <c:pt idx="182">
                  <c:v>1.2246814750179085E-2</c:v>
                </c:pt>
                <c:pt idx="183">
                  <c:v>1.2314916260450165E-2</c:v>
                </c:pt>
                <c:pt idx="184">
                  <c:v>1.2382807275540839E-2</c:v>
                </c:pt>
                <c:pt idx="185">
                  <c:v>1.2450489963888128E-2</c:v>
                </c:pt>
                <c:pt idx="186">
                  <c:v>1.2517966910203505E-2</c:v>
                </c:pt>
                <c:pt idx="187">
                  <c:v>1.2585241085963417E-2</c:v>
                </c:pt>
                <c:pt idx="188">
                  <c:v>1.2652315817965512E-2</c:v>
                </c:pt>
                <c:pt idx="189">
                  <c:v>1.2719194755212122E-2</c:v>
                </c:pt>
                <c:pt idx="190">
                  <c:v>1.278588183439531E-2</c:v>
                </c:pt>
                <c:pt idx="191">
                  <c:v>1.285238124426712E-2</c:v>
                </c:pt>
                <c:pt idx="192">
                  <c:v>1.2918697389185765E-2</c:v>
                </c:pt>
                <c:pt idx="193">
                  <c:v>1.2984834852132832E-2</c:v>
                </c:pt>
                <c:pt idx="194">
                  <c:v>1.3050798357497213E-2</c:v>
                </c:pt>
                <c:pt idx="195">
                  <c:v>1.3116592733920476E-2</c:v>
                </c:pt>
                <c:pt idx="196">
                  <c:v>1.3182222877493332E-2</c:v>
                </c:pt>
                <c:pt idx="197">
                  <c:v>1.3247693715585592E-2</c:v>
                </c:pt>
                <c:pt idx="198">
                  <c:v>1.3313010171581889E-2</c:v>
                </c:pt>
                <c:pt idx="199">
                  <c:v>1.3378177130782393E-2</c:v>
                </c:pt>
                <c:pt idx="200">
                  <c:v>1.3443199407712493E-2</c:v>
                </c:pt>
                <c:pt idx="201">
                  <c:v>1.3508081715067432E-2</c:v>
                </c:pt>
                <c:pt idx="202">
                  <c:v>1.3572828634498319E-2</c:v>
                </c:pt>
                <c:pt idx="203">
                  <c:v>1.3637444589423352E-2</c:v>
                </c:pt>
                <c:pt idx="204">
                  <c:v>1.3701933820025063E-2</c:v>
                </c:pt>
                <c:pt idx="205">
                  <c:v>1.3766300360568799E-2</c:v>
                </c:pt>
                <c:pt idx="206">
                  <c:v>1.3830548019151437E-2</c:v>
                </c:pt>
                <c:pt idx="207">
                  <c:v>1.3894680359962093E-2</c:v>
                </c:pt>
                <c:pt idx="208">
                  <c:v>1.3958700688108536E-2</c:v>
                </c:pt>
                <c:pt idx="209">
                  <c:v>1.402261203703495E-2</c:v>
                </c:pt>
                <c:pt idx="210">
                  <c:v>1.408641715852847E-2</c:v>
                </c:pt>
                <c:pt idx="211">
                  <c:v>1.4150118515283883E-2</c:v>
                </c:pt>
                <c:pt idx="212">
                  <c:v>1.4213718275968883E-2</c:v>
                </c:pt>
                <c:pt idx="213">
                  <c:v>1.4277218312705764E-2</c:v>
                </c:pt>
                <c:pt idx="214">
                  <c:v>1.4340620200860431E-2</c:v>
                </c:pt>
                <c:pt idx="215">
                  <c:v>1.4403925221006192E-2</c:v>
                </c:pt>
                <c:pt idx="216">
                  <c:v>1.4467134362907816E-2</c:v>
                </c:pt>
                <c:pt idx="217">
                  <c:v>1.4530248331351935E-2</c:v>
                </c:pt>
                <c:pt idx="218">
                  <c:v>1.4593267553632256E-2</c:v>
                </c:pt>
                <c:pt idx="219">
                  <c:v>1.4656192188483212E-2</c:v>
                </c:pt>
                <c:pt idx="220">
                  <c:v>1.4719022136243437E-2</c:v>
                </c:pt>
                <c:pt idx="221">
                  <c:v>1.4781757050021055E-2</c:v>
                </c:pt>
                <c:pt idx="222">
                  <c:v>1.4844396347626115E-2</c:v>
                </c:pt>
                <c:pt idx="223">
                  <c:v>1.4906939224032193E-2</c:v>
                </c:pt>
                <c:pt idx="224">
                  <c:v>1.4969384664128704E-2</c:v>
                </c:pt>
                <c:pt idx="225">
                  <c:v>1.5031731455528075E-2</c:v>
                </c:pt>
                <c:pt idx="226">
                  <c:v>1.5093978201197737E-2</c:v>
                </c:pt>
                <c:pt idx="227">
                  <c:v>1.5156123331695642E-2</c:v>
                </c:pt>
                <c:pt idx="228">
                  <c:v>1.5218165116799588E-2</c:v>
                </c:pt>
                <c:pt idx="229">
                  <c:v>1.5280101676335247E-2</c:v>
                </c:pt>
                <c:pt idx="230">
                  <c:v>1.5341930990024772E-2</c:v>
                </c:pt>
                <c:pt idx="231">
                  <c:v>1.5403650906197313E-2</c:v>
                </c:pt>
                <c:pt idx="232">
                  <c:v>1.5465259149225008E-2</c:v>
                </c:pt>
                <c:pt idx="233">
                  <c:v>1.5526753325571024E-2</c:v>
                </c:pt>
                <c:pt idx="234">
                  <c:v>1.5588130928362481E-2</c:v>
                </c:pt>
                <c:pt idx="235">
                  <c:v>1.5649389340427308E-2</c:v>
                </c:pt>
                <c:pt idx="236">
                  <c:v>1.5710525835762521E-2</c:v>
                </c:pt>
                <c:pt idx="237">
                  <c:v>1.5771537579429819E-2</c:v>
                </c:pt>
                <c:pt idx="238">
                  <c:v>1.5832421625903755E-2</c:v>
                </c:pt>
                <c:pt idx="239">
                  <c:v>1.5893174915926723E-2</c:v>
                </c:pt>
                <c:pt idx="240">
                  <c:v>1.5953794271954255E-2</c:v>
                </c:pt>
                <c:pt idx="241">
                  <c:v>1.6014276392301942E-2</c:v>
                </c:pt>
                <c:pt idx="242">
                  <c:v>1.6074617844132888E-2</c:v>
                </c:pt>
                <c:pt idx="243">
                  <c:v>1.6134815055450308E-2</c:v>
                </c:pt>
                <c:pt idx="244">
                  <c:v>1.619486430628423E-2</c:v>
                </c:pt>
                <c:pt idx="245">
                  <c:v>1.6254761719283074E-2</c:v>
                </c:pt>
                <c:pt idx="246">
                  <c:v>1.6314503249941194E-2</c:v>
                </c:pt>
                <c:pt idx="247">
                  <c:v>1.6374084676710272E-2</c:v>
                </c:pt>
                <c:pt idx="248">
                  <c:v>1.6433501591257126E-2</c:v>
                </c:pt>
                <c:pt idx="249">
                  <c:v>1.6492749389141397E-2</c:v>
                </c:pt>
                <c:pt idx="250">
                  <c:v>1.6551823261195042E-2</c:v>
                </c:pt>
                <c:pt idx="251">
                  <c:v>1.6610718185889616E-2</c:v>
                </c:pt>
                <c:pt idx="252">
                  <c:v>1.6669428922978548E-2</c:v>
                </c:pt>
                <c:pt idx="253">
                  <c:v>1.6727950008698853E-2</c:v>
                </c:pt>
                <c:pt idx="254">
                  <c:v>1.6786275752810359E-2</c:v>
                </c:pt>
                <c:pt idx="255">
                  <c:v>1.684440023774026E-2</c:v>
                </c:pt>
                <c:pt idx="256">
                  <c:v>1.6902317320087217E-2</c:v>
                </c:pt>
                <c:pt idx="257">
                  <c:v>1.6960020634721788E-2</c:v>
                </c:pt>
                <c:pt idx="258">
                  <c:v>1.7017503601699069E-2</c:v>
                </c:pt>
                <c:pt idx="259">
                  <c:v>1.7074759436175334E-2</c:v>
                </c:pt>
                <c:pt idx="260">
                  <c:v>1.7131781161493269E-2</c:v>
                </c:pt>
                <c:pt idx="261">
                  <c:v>1.7188561625570076E-2</c:v>
                </c:pt>
                <c:pt idx="262">
                  <c:v>1.7245093520690386E-2</c:v>
                </c:pt>
                <c:pt idx="263">
                  <c:v>1.7301369406770326E-2</c:v>
                </c:pt>
                <c:pt idx="264">
                  <c:v>1.7357381738122839E-2</c:v>
                </c:pt>
                <c:pt idx="265">
                  <c:v>1.7413122893715278E-2</c:v>
                </c:pt>
                <c:pt idx="266">
                  <c:v>1.746858521087084E-2</c:v>
                </c:pt>
                <c:pt idx="267">
                  <c:v>1.752376102232479E-2</c:v>
                </c:pt>
                <c:pt idx="268">
                  <c:v>1.7578642696505675E-2</c:v>
                </c:pt>
                <c:pt idx="269">
                  <c:v>1.763322268087093E-2</c:v>
                </c:pt>
                <c:pt idx="270">
                  <c:v>1.7687493548085631E-2</c:v>
                </c:pt>
                <c:pt idx="271">
                  <c:v>1.7741448044794567E-2</c:v>
                </c:pt>
                <c:pt idx="272">
                  <c:v>1.7795079142699094E-2</c:v>
                </c:pt>
                <c:pt idx="273">
                  <c:v>1.784838009161473E-2</c:v>
                </c:pt>
                <c:pt idx="274">
                  <c:v>1.7901344474151325E-2</c:v>
                </c:pt>
                <c:pt idx="275">
                  <c:v>1.7953966261626535E-2</c:v>
                </c:pt>
                <c:pt idx="276">
                  <c:v>1.8006239870795183E-2</c:v>
                </c:pt>
                <c:pt idx="277">
                  <c:v>1.8058160220952548E-2</c:v>
                </c:pt>
                <c:pt idx="278">
                  <c:v>1.8109722790948298E-2</c:v>
                </c:pt>
                <c:pt idx="279">
                  <c:v>1.8160923675631036E-2</c:v>
                </c:pt>
                <c:pt idx="280">
                  <c:v>1.8211759641230774E-2</c:v>
                </c:pt>
                <c:pt idx="281">
                  <c:v>1.8262228179178292E-2</c:v>
                </c:pt>
                <c:pt idx="282">
                  <c:v>1.8312327557856892E-2</c:v>
                </c:pt>
                <c:pt idx="283">
                  <c:v>1.8362056871783487E-2</c:v>
                </c:pt>
                <c:pt idx="284">
                  <c:v>1.8411416087721875E-2</c:v>
                </c:pt>
                <c:pt idx="285">
                  <c:v>1.8460406087242396E-2</c:v>
                </c:pt>
                <c:pt idx="286">
                  <c:v>1.8509028705258026E-2</c:v>
                </c:pt>
                <c:pt idx="287">
                  <c:v>1.8557286764087931E-2</c:v>
                </c:pt>
                <c:pt idx="288">
                  <c:v>1.8605184102624815E-2</c:v>
                </c:pt>
                <c:pt idx="289">
                  <c:v>1.8652725600212992E-2</c:v>
                </c:pt>
                <c:pt idx="290">
                  <c:v>1.869991719487802E-2</c:v>
                </c:pt>
                <c:pt idx="291">
                  <c:v>1.8746765895587852E-2</c:v>
                </c:pt>
                <c:pt idx="292">
                  <c:v>1.8793279788267277E-2</c:v>
                </c:pt>
                <c:pt idx="293">
                  <c:v>1.883946803533379E-2</c:v>
                </c:pt>
                <c:pt idx="294">
                  <c:v>1.888534086857125E-2</c:v>
                </c:pt>
                <c:pt idx="295">
                  <c:v>1.8930909575209799E-2</c:v>
                </c:pt>
                <c:pt idx="296">
                  <c:v>1.8976186477133585E-2</c:v>
                </c:pt>
                <c:pt idx="297">
                  <c:v>1.9021184903193693E-2</c:v>
                </c:pt>
                <c:pt idx="298">
                  <c:v>1.9065919154659942E-2</c:v>
                </c:pt>
                <c:pt idx="299">
                  <c:v>1.9110404463902591E-2</c:v>
                </c:pt>
                <c:pt idx="300">
                  <c:v>1.9154656946452502E-2</c:v>
                </c:pt>
                <c:pt idx="301">
                  <c:v>1.919869354664511E-2</c:v>
                </c:pt>
                <c:pt idx="302">
                  <c:v>1.9242531977109994E-2</c:v>
                </c:pt>
                <c:pt idx="303">
                  <c:v>1.9286190652422121E-2</c:v>
                </c:pt>
                <c:pt idx="304">
                  <c:v>1.9329688617283809E-2</c:v>
                </c:pt>
                <c:pt idx="305">
                  <c:v>1.9373045469656638E-2</c:v>
                </c:pt>
                <c:pt idx="306">
                  <c:v>1.9416281279309139E-2</c:v>
                </c:pt>
                <c:pt idx="307">
                  <c:v>1.9459416502290782E-2</c:v>
                </c:pt>
                <c:pt idx="308">
                  <c:v>1.9502471891881472E-2</c:v>
                </c:pt>
                <c:pt idx="309">
                  <c:v>1.9545468406602016E-2</c:v>
                </c:pt>
                <c:pt idx="310">
                  <c:v>1.9588427115901343E-2</c:v>
                </c:pt>
                <c:pt idx="311">
                  <c:v>1.9631369104162178E-2</c:v>
                </c:pt>
                <c:pt idx="312">
                  <c:v>1.9674315373687225E-2</c:v>
                </c:pt>
                <c:pt idx="313">
                  <c:v>1.9717286747342772E-2</c:v>
                </c:pt>
                <c:pt idx="314">
                  <c:v>1.9760303771545831E-2</c:v>
                </c:pt>
                <c:pt idx="315">
                  <c:v>1.9803386620284264E-2</c:v>
                </c:pt>
                <c:pt idx="316">
                  <c:v>1.9846555000856577E-2</c:v>
                </c:pt>
                <c:pt idx="317">
                  <c:v>1.9889828062009687E-2</c:v>
                </c:pt>
                <c:pt idx="318">
                  <c:v>1.9933224305138202E-2</c:v>
                </c:pt>
                <c:pt idx="319">
                  <c:v>1.9976761499188828E-2</c:v>
                </c:pt>
                <c:pt idx="320">
                  <c:v>2.002045659988717E-2</c:v>
                </c:pt>
                <c:pt idx="321">
                  <c:v>2.0064325673873021E-2</c:v>
                </c:pt>
                <c:pt idx="322">
                  <c:v>2.0108383828293528E-2</c:v>
                </c:pt>
                <c:pt idx="323">
                  <c:v>2.0152645146361999E-2</c:v>
                </c:pt>
                <c:pt idx="324">
                  <c:v>2.0197122629344279E-2</c:v>
                </c:pt>
                <c:pt idx="325">
                  <c:v>2.0241828145384312E-2</c:v>
                </c:pt>
                <c:pt idx="326">
                  <c:v>2.0286772385526428E-2</c:v>
                </c:pt>
                <c:pt idx="327">
                  <c:v>2.0331964827235288E-2</c:v>
                </c:pt>
                <c:pt idx="328">
                  <c:v>2.0377413705654077E-2</c:v>
                </c:pt>
                <c:pt idx="329">
                  <c:v>2.0423125992779952E-2</c:v>
                </c:pt>
                <c:pt idx="330">
                  <c:v>2.0469107384672065E-2</c:v>
                </c:pt>
                <c:pt idx="331">
                  <c:v>2.0515362296742778E-2</c:v>
                </c:pt>
                <c:pt idx="332">
                  <c:v>2.0561893867117875E-2</c:v>
                </c:pt>
                <c:pt idx="333">
                  <c:v>2.0608703967986614E-2</c:v>
                </c:pt>
                <c:pt idx="334">
                  <c:v>2.0655793224798064E-2</c:v>
                </c:pt>
                <c:pt idx="335">
                  <c:v>2.0703161043097964E-2</c:v>
                </c:pt>
                <c:pt idx="336">
                  <c:v>2.0750805642738793E-2</c:v>
                </c:pt>
                <c:pt idx="337">
                  <c:v>2.0798724099137765E-2</c:v>
                </c:pt>
                <c:pt idx="338">
                  <c:v>2.0846912391201816E-2</c:v>
                </c:pt>
                <c:pt idx="339">
                  <c:v>2.0895365455486824E-2</c:v>
                </c:pt>
                <c:pt idx="340">
                  <c:v>2.0944077246110228E-2</c:v>
                </c:pt>
                <c:pt idx="341">
                  <c:v>2.0993040799892677E-2</c:v>
                </c:pt>
                <c:pt idx="342">
                  <c:v>2.1042248306165742E-2</c:v>
                </c:pt>
                <c:pt idx="343">
                  <c:v>2.1091691180648769E-2</c:v>
                </c:pt>
                <c:pt idx="344">
                  <c:v>2.1141360142770165E-2</c:v>
                </c:pt>
                <c:pt idx="345">
                  <c:v>2.1191245295785439E-2</c:v>
                </c:pt>
                <c:pt idx="346">
                  <c:v>2.1241336209028152E-2</c:v>
                </c:pt>
                <c:pt idx="347">
                  <c:v>2.1291622001618833E-2</c:v>
                </c:pt>
                <c:pt idx="348">
                  <c:v>2.1342091426952814E-2</c:v>
                </c:pt>
                <c:pt idx="349">
                  <c:v>2.1392732957288826E-2</c:v>
                </c:pt>
                <c:pt idx="350">
                  <c:v>2.1443534867768545E-2</c:v>
                </c:pt>
                <c:pt idx="351">
                  <c:v>2.149448531920994E-2</c:v>
                </c:pt>
                <c:pt idx="352">
                  <c:v>2.1545572439037295E-2</c:v>
                </c:pt>
                <c:pt idx="353">
                  <c:v>2.1596784399735051E-2</c:v>
                </c:pt>
                <c:pt idx="354">
                  <c:v>2.1648109494243322E-2</c:v>
                </c:pt>
                <c:pt idx="355">
                  <c:v>2.169953620774746E-2</c:v>
                </c:pt>
                <c:pt idx="356">
                  <c:v>2.1751053285354559E-2</c:v>
                </c:pt>
                <c:pt idx="357">
                  <c:v>2.180264979519311E-2</c:v>
                </c:pt>
                <c:pt idx="358">
                  <c:v>2.1854315186520375E-2</c:v>
                </c:pt>
                <c:pt idx="359">
                  <c:v>2.1906039342472712E-2</c:v>
                </c:pt>
                <c:pt idx="360">
                  <c:v>2.1957812627148191E-2</c:v>
                </c:pt>
                <c:pt idx="361">
                  <c:v>2.2009625926766967E-2</c:v>
                </c:pt>
                <c:pt idx="362">
                  <c:v>2.2061470684712613E-2</c:v>
                </c:pt>
                <c:pt idx="363">
                  <c:v>2.2113338930316633E-2</c:v>
                </c:pt>
                <c:pt idx="364">
                  <c:v>2.2165223301308018E-2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9.6669413030882533E-9</c:v>
                </c:pt>
                <c:pt idx="1">
                  <c:v>2.4626643516926819E-7</c:v>
                </c:pt>
                <c:pt idx="2">
                  <c:v>4.938192831428394E-7</c:v>
                </c:pt>
                <c:pt idx="3">
                  <c:v>7.5333189023342609E-7</c:v>
                </c:pt>
                <c:pt idx="4">
                  <c:v>1.0259004228352463E-6</c:v>
                </c:pt>
                <c:pt idx="5">
                  <c:v>1.3127155568060396E-6</c:v>
                </c:pt>
                <c:pt idx="6">
                  <c:v>1.6150678986476713E-6</c:v>
                </c:pt>
                <c:pt idx="7">
                  <c:v>1.9343541733011517E-6</c:v>
                </c:pt>
                <c:pt idx="8">
                  <c:v>2.2715916601840389E-6</c:v>
                </c:pt>
                <c:pt idx="9">
                  <c:v>2.6273386126231889E-6</c:v>
                </c:pt>
                <c:pt idx="10">
                  <c:v>3.0015978205331906E-6</c:v>
                </c:pt>
                <c:pt idx="11">
                  <c:v>3.395259285416284E-6</c:v>
                </c:pt>
                <c:pt idx="12">
                  <c:v>3.8092998916911732E-6</c:v>
                </c:pt>
                <c:pt idx="13">
                  <c:v>4.2447893967482974E-6</c:v>
                </c:pt>
                <c:pt idx="14">
                  <c:v>4.7028966839982786E-6</c:v>
                </c:pt>
                <c:pt idx="15">
                  <c:v>5.1814321081578167E-6</c:v>
                </c:pt>
                <c:pt idx="16">
                  <c:v>5.6779646395578075E-6</c:v>
                </c:pt>
                <c:pt idx="17">
                  <c:v>6.1924586006007922E-6</c:v>
                </c:pt>
                <c:pt idx="18">
                  <c:v>6.724930233688734E-6</c:v>
                </c:pt>
                <c:pt idx="19">
                  <c:v>7.2754896380794906E-6</c:v>
                </c:pt>
                <c:pt idx="20">
                  <c:v>7.8443336226707982E-6</c:v>
                </c:pt>
                <c:pt idx="21">
                  <c:v>8.4316971683245584E-6</c:v>
                </c:pt>
                <c:pt idx="22">
                  <c:v>9.036523070956965E-6</c:v>
                </c:pt>
                <c:pt idx="23">
                  <c:v>9.649744433603122E-6</c:v>
                </c:pt>
                <c:pt idx="24">
                  <c:v>1.0270758035724972E-5</c:v>
                </c:pt>
                <c:pt idx="25">
                  <c:v>1.0898126780139407E-5</c:v>
                </c:pt>
                <c:pt idx="26">
                  <c:v>1.1530369266741E-5</c:v>
                </c:pt>
                <c:pt idx="27">
                  <c:v>1.2165952930372279E-5</c:v>
                </c:pt>
                <c:pt idx="28">
                  <c:v>1.2803286182472642E-5</c:v>
                </c:pt>
                <c:pt idx="29">
                  <c:v>1.3416226652473682E-5</c:v>
                </c:pt>
                <c:pt idx="30">
                  <c:v>1.4007854491972776E-5</c:v>
                </c:pt>
                <c:pt idx="31">
                  <c:v>1.4573742982372419E-5</c:v>
                </c:pt>
                <c:pt idx="32">
                  <c:v>1.5109207838721255E-5</c:v>
                </c:pt>
                <c:pt idx="33">
                  <c:v>1.5609279539114115E-5</c:v>
                </c:pt>
                <c:pt idx="34">
                  <c:v>1.6068673089579542E-5</c:v>
                </c:pt>
                <c:pt idx="35">
                  <c:v>1.6481755055203125E-5</c:v>
                </c:pt>
                <c:pt idx="36">
                  <c:v>1.6841551068401963E-5</c:v>
                </c:pt>
                <c:pt idx="37">
                  <c:v>1.7114331404420371E-5</c:v>
                </c:pt>
                <c:pt idx="38">
                  <c:v>1.7305166912145398E-5</c:v>
                </c:pt>
                <c:pt idx="39">
                  <c:v>1.7404784532590295E-5</c:v>
                </c:pt>
                <c:pt idx="40">
                  <c:v>1.7403325259541376E-5</c:v>
                </c:pt>
                <c:pt idx="41">
                  <c:v>1.72903062287934E-5</c:v>
                </c:pt>
                <c:pt idx="42">
                  <c:v>1.7054580591854134E-5</c:v>
                </c:pt>
                <c:pt idx="43">
                  <c:v>1.6718808217024046E-5</c:v>
                </c:pt>
                <c:pt idx="44">
                  <c:v>1.6321639754423437E-5</c:v>
                </c:pt>
                <c:pt idx="45">
                  <c:v>1.5859929117834243E-5</c:v>
                </c:pt>
                <c:pt idx="46">
                  <c:v>1.5330353971873162E-5</c:v>
                </c:pt>
                <c:pt idx="47">
                  <c:v>1.4729406705478727E-5</c:v>
                </c:pt>
                <c:pt idx="48">
                  <c:v>1.4053384897448648E-5</c:v>
                </c:pt>
                <c:pt idx="49">
                  <c:v>1.3298381237242425E-5</c:v>
                </c:pt>
                <c:pt idx="50">
                  <c:v>1.2460193384992797E-5</c:v>
                </c:pt>
                <c:pt idx="51">
                  <c:v>1.1603681895517359E-5</c:v>
                </c:pt>
                <c:pt idx="52">
                  <c:v>1.077993282519797E-5</c:v>
                </c:pt>
                <c:pt idx="53">
                  <c:v>9.9982682208881962E-6</c:v>
                </c:pt>
                <c:pt idx="54">
                  <c:v>9.2687868234893888E-6</c:v>
                </c:pt>
                <c:pt idx="55">
                  <c:v>8.6023481712409632E-6</c:v>
                </c:pt>
                <c:pt idx="56">
                  <c:v>8.0106207614286506E-6</c:v>
                </c:pt>
                <c:pt idx="57">
                  <c:v>7.5377351519864952E-6</c:v>
                </c:pt>
                <c:pt idx="58">
                  <c:v>7.1392441535569646E-6</c:v>
                </c:pt>
                <c:pt idx="59">
                  <c:v>6.8264347146940807E-6</c:v>
                </c:pt>
                <c:pt idx="60">
                  <c:v>6.6114074313865929E-6</c:v>
                </c:pt>
                <c:pt idx="61">
                  <c:v>6.5071257648568888E-6</c:v>
                </c:pt>
                <c:pt idx="62">
                  <c:v>6.5274677883741245E-6</c:v>
                </c:pt>
                <c:pt idx="63">
                  <c:v>6.6872805954239412E-6</c:v>
                </c:pt>
                <c:pt idx="64">
                  <c:v>7.0022638059966212E-6</c:v>
                </c:pt>
                <c:pt idx="65">
                  <c:v>7.4789813314802084E-6</c:v>
                </c:pt>
                <c:pt idx="66">
                  <c:v>8.0136164343517439E-6</c:v>
                </c:pt>
                <c:pt idx="67">
                  <c:v>8.6110061225250514E-6</c:v>
                </c:pt>
                <c:pt idx="68">
                  <c:v>9.2763008165724122E-6</c:v>
                </c:pt>
                <c:pt idx="69">
                  <c:v>1.0014986569535438E-5</c:v>
                </c:pt>
                <c:pt idx="70">
                  <c:v>1.0832908948421903E-5</c:v>
                </c:pt>
                <c:pt idx="71">
                  <c:v>1.1704163346605412E-5</c:v>
                </c:pt>
                <c:pt idx="72">
                  <c:v>1.2577439804660384E-5</c:v>
                </c:pt>
                <c:pt idx="73">
                  <c:v>1.3450159808923985E-5</c:v>
                </c:pt>
                <c:pt idx="74">
                  <c:v>1.431952810681433E-5</c:v>
                </c:pt>
                <c:pt idx="75">
                  <c:v>1.5182513993826449E-5</c:v>
                </c:pt>
                <c:pt idx="76">
                  <c:v>1.6035831012512213E-5</c:v>
                </c:pt>
                <c:pt idx="77">
                  <c:v>1.6875914943037654E-5</c:v>
                </c:pt>
                <c:pt idx="78">
                  <c:v>1.7697801422352916E-5</c:v>
                </c:pt>
                <c:pt idx="79">
                  <c:v>1.8499733834897092E-5</c:v>
                </c:pt>
                <c:pt idx="80">
                  <c:v>1.9294980938070625E-5</c:v>
                </c:pt>
                <c:pt idx="81">
                  <c:v>2.0080860096482369E-5</c:v>
                </c:pt>
                <c:pt idx="82">
                  <c:v>2.0854478800908335E-5</c:v>
                </c:pt>
                <c:pt idx="83">
                  <c:v>2.1612714947091186E-5</c:v>
                </c:pt>
                <c:pt idx="84">
                  <c:v>2.235219535623425E-5</c:v>
                </c:pt>
                <c:pt idx="85">
                  <c:v>2.3060699011573701E-5</c:v>
                </c:pt>
                <c:pt idx="86">
                  <c:v>2.3788099128537579E-5</c:v>
                </c:pt>
                <c:pt idx="87">
                  <c:v>2.4535070488448803E-5</c:v>
                </c:pt>
                <c:pt idx="88">
                  <c:v>2.5302312671178587E-5</c:v>
                </c:pt>
                <c:pt idx="89">
                  <c:v>2.6090550446592135E-5</c:v>
                </c:pt>
                <c:pt idx="90">
                  <c:v>2.6900534203015872E-5</c:v>
                </c:pt>
                <c:pt idx="91">
                  <c:v>2.7733040420535314E-5</c:v>
                </c:pt>
                <c:pt idx="92">
                  <c:v>2.8588246836898799E-5</c:v>
                </c:pt>
                <c:pt idx="93">
                  <c:v>2.9432142644961498E-5</c:v>
                </c:pt>
                <c:pt idx="94">
                  <c:v>3.0254937281217204E-5</c:v>
                </c:pt>
                <c:pt idx="95">
                  <c:v>3.1051899200368941E-5</c:v>
                </c:pt>
                <c:pt idx="96">
                  <c:v>3.1817879341811454E-5</c:v>
                </c:pt>
                <c:pt idx="97">
                  <c:v>3.2547286710227579E-5</c:v>
                </c:pt>
                <c:pt idx="98">
                  <c:v>3.3234063358820686E-5</c:v>
                </c:pt>
                <c:pt idx="99">
                  <c:v>3.3897099166783655E-5</c:v>
                </c:pt>
                <c:pt idx="100">
                  <c:v>3.4546896961152262E-5</c:v>
                </c:pt>
                <c:pt idx="101">
                  <c:v>3.5180535239593924E-5</c:v>
                </c:pt>
                <c:pt idx="102">
                  <c:v>3.5794864423202218E-5</c:v>
                </c:pt>
                <c:pt idx="103">
                  <c:v>3.6386496212338235E-5</c:v>
                </c:pt>
                <c:pt idx="104">
                  <c:v>3.6951793024949215E-5</c:v>
                </c:pt>
                <c:pt idx="105">
                  <c:v>3.7486857609648241E-5</c:v>
                </c:pt>
                <c:pt idx="106">
                  <c:v>3.7988525741034525E-5</c:v>
                </c:pt>
                <c:pt idx="107">
                  <c:v>3.8441716264851596E-5</c:v>
                </c:pt>
                <c:pt idx="108">
                  <c:v>3.8898765423530682E-5</c:v>
                </c:pt>
                <c:pt idx="109">
                  <c:v>3.9359875822384492E-5</c:v>
                </c:pt>
                <c:pt idx="110">
                  <c:v>3.9825406551743841E-5</c:v>
                </c:pt>
                <c:pt idx="111">
                  <c:v>4.0295772152199208E-5</c:v>
                </c:pt>
                <c:pt idx="112">
                  <c:v>4.0771329786213745E-5</c:v>
                </c:pt>
                <c:pt idx="113">
                  <c:v>4.1203047579033729E-5</c:v>
                </c:pt>
                <c:pt idx="114">
                  <c:v>4.1542068385747826E-5</c:v>
                </c:pt>
                <c:pt idx="115">
                  <c:v>4.1778284038246711E-5</c:v>
                </c:pt>
                <c:pt idx="116">
                  <c:v>4.1900939367606401E-5</c:v>
                </c:pt>
                <c:pt idx="117">
                  <c:v>4.1898611773214442E-5</c:v>
                </c:pt>
                <c:pt idx="118">
                  <c:v>4.1759192194542153E-5</c:v>
                </c:pt>
                <c:pt idx="119">
                  <c:v>4.1469867801745806E-5</c:v>
                </c:pt>
                <c:pt idx="120">
                  <c:v>0</c:v>
                </c:pt>
                <c:pt idx="121">
                  <c:v>1.3742377836530252E-6</c:v>
                </c:pt>
                <c:pt idx="122">
                  <c:v>2.6390776397109166E-6</c:v>
                </c:pt>
                <c:pt idx="123">
                  <c:v>3.7819503236821447E-6</c:v>
                </c:pt>
                <c:pt idx="124">
                  <c:v>4.7896261375144761E-6</c:v>
                </c:pt>
                <c:pt idx="125">
                  <c:v>5.6482084568832781E-6</c:v>
                </c:pt>
                <c:pt idx="126">
                  <c:v>6.3431304393908044E-6</c:v>
                </c:pt>
                <c:pt idx="127">
                  <c:v>6.8823407044939375E-6</c:v>
                </c:pt>
                <c:pt idx="128">
                  <c:v>7.2808840170999041E-6</c:v>
                </c:pt>
                <c:pt idx="129">
                  <c:v>7.5423340544290898E-6</c:v>
                </c:pt>
                <c:pt idx="130">
                  <c:v>7.6706980141703467E-6</c:v>
                </c:pt>
                <c:pt idx="131">
                  <c:v>7.6704490852779297E-6</c:v>
                </c:pt>
                <c:pt idx="132">
                  <c:v>7.5465580868098648E-6</c:v>
                </c:pt>
                <c:pt idx="133">
                  <c:v>7.3045239779434915E-6</c:v>
                </c:pt>
                <c:pt idx="134">
                  <c:v>6.9504641507113852E-6</c:v>
                </c:pt>
                <c:pt idx="135">
                  <c:v>6.5397979737885993E-6</c:v>
                </c:pt>
                <c:pt idx="136">
                  <c:v>6.0916656411948962E-6</c:v>
                </c:pt>
                <c:pt idx="137">
                  <c:v>5.6263786712289236E-6</c:v>
                </c:pt>
                <c:pt idx="138">
                  <c:v>5.1654337997199077E-6</c:v>
                </c:pt>
                <c:pt idx="139">
                  <c:v>4.7315225286829151E-6</c:v>
                </c:pt>
                <c:pt idx="140">
                  <c:v>4.3485344780397604E-6</c:v>
                </c:pt>
                <c:pt idx="141">
                  <c:v>4.0434927969578562E-6</c:v>
                </c:pt>
                <c:pt idx="142">
                  <c:v>3.7533407622293003E-6</c:v>
                </c:pt>
                <c:pt idx="143">
                  <c:v>3.4900821449584092E-6</c:v>
                </c:pt>
                <c:pt idx="144">
                  <c:v>3.2663102634372312E-6</c:v>
                </c:pt>
                <c:pt idx="145">
                  <c:v>3.0951703024653164E-6</c:v>
                </c:pt>
                <c:pt idx="146">
                  <c:v>2.9903443788369696E-6</c:v>
                </c:pt>
                <c:pt idx="147">
                  <c:v>2.9660331316548688E-6</c:v>
                </c:pt>
                <c:pt idx="148">
                  <c:v>3.0369338363437493E-6</c:v>
                </c:pt>
                <c:pt idx="149">
                  <c:v>3.2151928807499174E-6</c:v>
                </c:pt>
                <c:pt idx="150">
                  <c:v>3.398503508120685E-6</c:v>
                </c:pt>
                <c:pt idx="151">
                  <c:v>3.5868227644781633E-6</c:v>
                </c:pt>
                <c:pt idx="152">
                  <c:v>3.780097623293552E-6</c:v>
                </c:pt>
                <c:pt idx="153">
                  <c:v>3.9782650371245755E-6</c:v>
                </c:pt>
                <c:pt idx="154">
                  <c:v>4.1812520559779456E-6</c:v>
                </c:pt>
                <c:pt idx="155">
                  <c:v>4.3856591101587106E-6</c:v>
                </c:pt>
                <c:pt idx="156">
                  <c:v>4.5870903328825174E-6</c:v>
                </c:pt>
                <c:pt idx="157">
                  <c:v>4.7846245717485274E-6</c:v>
                </c:pt>
                <c:pt idx="158">
                  <c:v>4.9773210166775389E-6</c:v>
                </c:pt>
                <c:pt idx="159">
                  <c:v>5.1642218744582431E-6</c:v>
                </c:pt>
                <c:pt idx="160">
                  <c:v>5.3443551566579392E-6</c:v>
                </c:pt>
                <c:pt idx="161">
                  <c:v>5.5167375554766255E-6</c:v>
                </c:pt>
                <c:pt idx="162">
                  <c:v>5.6803773825702575E-6</c:v>
                </c:pt>
                <c:pt idx="163">
                  <c:v>5.8375164576142898E-6</c:v>
                </c:pt>
                <c:pt idx="164">
                  <c:v>5.9926858323343905E-6</c:v>
                </c:pt>
                <c:pt idx="165">
                  <c:v>6.145641091044001E-6</c:v>
                </c:pt>
                <c:pt idx="166">
                  <c:v>6.296141410687528E-6</c:v>
                </c:pt>
                <c:pt idx="167">
                  <c:v>6.4439504459748707E-6</c:v>
                </c:pt>
                <c:pt idx="168">
                  <c:v>6.5888371781577263E-6</c:v>
                </c:pt>
                <c:pt idx="169">
                  <c:v>6.7344021147353501E-6</c:v>
                </c:pt>
                <c:pt idx="170">
                  <c:v>6.8859858512675246E-6</c:v>
                </c:pt>
                <c:pt idx="171">
                  <c:v>7.0440581153119155E-6</c:v>
                </c:pt>
                <c:pt idx="172">
                  <c:v>7.2090910589796331E-6</c:v>
                </c:pt>
                <c:pt idx="173">
                  <c:v>7.3814829362021473E-6</c:v>
                </c:pt>
                <c:pt idx="174">
                  <c:v>7.5616213356223699E-6</c:v>
                </c:pt>
                <c:pt idx="175">
                  <c:v>7.7499624572758676E-6</c:v>
                </c:pt>
                <c:pt idx="176">
                  <c:v>7.9470522776633743E-6</c:v>
                </c:pt>
                <c:pt idx="177">
                  <c:v>8.2719030768921087E-6</c:v>
                </c:pt>
                <c:pt idx="178">
                  <c:v>8.7435925548624798E-6</c:v>
                </c:pt>
                <c:pt idx="179">
                  <c:v>9.2108677158318804E-6</c:v>
                </c:pt>
                <c:pt idx="180">
                  <c:v>9.6732353849975435E-6</c:v>
                </c:pt>
                <c:pt idx="181">
                  <c:v>1.0130215064717931E-5</c:v>
                </c:pt>
                <c:pt idx="182">
                  <c:v>1.0581339972341717E-5</c:v>
                </c:pt>
                <c:pt idx="183">
                  <c:v>1.1018572801864619E-5</c:v>
                </c:pt>
                <c:pt idx="184">
                  <c:v>1.1435934709916953E-5</c:v>
                </c:pt>
                <c:pt idx="185">
                  <c:v>1.1832506653711242E-5</c:v>
                </c:pt>
                <c:pt idx="186">
                  <c:v>1.2207400654321301E-5</c:v>
                </c:pt>
                <c:pt idx="187">
                  <c:v>1.2559761170173896E-5</c:v>
                </c:pt>
                <c:pt idx="188">
                  <c:v>1.2888766280113497E-5</c:v>
                </c:pt>
                <c:pt idx="189">
                  <c:v>1.3193628685843435E-5</c:v>
                </c:pt>
                <c:pt idx="190">
                  <c:v>1.3473834316116625E-5</c:v>
                </c:pt>
                <c:pt idx="191">
                  <c:v>1.3784397164062972E-5</c:v>
                </c:pt>
                <c:pt idx="192">
                  <c:v>1.4142163924430207E-5</c:v>
                </c:pt>
                <c:pt idx="193">
                  <c:v>1.4555539574020549E-5</c:v>
                </c:pt>
                <c:pt idx="194">
                  <c:v>1.5032613671595405E-5</c:v>
                </c:pt>
                <c:pt idx="195">
                  <c:v>1.558115863680492E-5</c:v>
                </c:pt>
                <c:pt idx="196">
                  <c:v>1.620862962851419E-5</c:v>
                </c:pt>
                <c:pt idx="197">
                  <c:v>1.7338146870620252E-5</c:v>
                </c:pt>
                <c:pt idx="198">
                  <c:v>1.9003428458058635E-5</c:v>
                </c:pt>
                <c:pt idx="199">
                  <c:v>2.1228864099769545E-5</c:v>
                </c:pt>
                <c:pt idx="200">
                  <c:v>2.4037853846413695E-5</c:v>
                </c:pt>
                <c:pt idx="201">
                  <c:v>2.7452826347299541E-5</c:v>
                </c:pt>
                <c:pt idx="202">
                  <c:v>3.1495259680531624E-5</c:v>
                </c:pt>
                <c:pt idx="203">
                  <c:v>3.6185704267021769E-5</c:v>
                </c:pt>
                <c:pt idx="204">
                  <c:v>4.1544104681982904E-5</c:v>
                </c:pt>
                <c:pt idx="205">
                  <c:v>4.8075013399782372E-5</c:v>
                </c:pt>
                <c:pt idx="206">
                  <c:v>5.5717257460934539E-5</c:v>
                </c:pt>
                <c:pt idx="207">
                  <c:v>6.4495971437469743E-5</c:v>
                </c:pt>
                <c:pt idx="208">
                  <c:v>7.4435307562071272E-5</c:v>
                </c:pt>
                <c:pt idx="209">
                  <c:v>8.5558463331860112E-5</c:v>
                </c:pt>
                <c:pt idx="210">
                  <c:v>9.7887707625633646E-5</c:v>
                </c:pt>
                <c:pt idx="211">
                  <c:v>1.1131319408155762E-4</c:v>
                </c:pt>
                <c:pt idx="212">
                  <c:v>1.2535091216947855E-4</c:v>
                </c:pt>
                <c:pt idx="213">
                  <c:v>1.3999927617349718E-4</c:v>
                </c:pt>
                <c:pt idx="214">
                  <c:v>1.552567320120776E-4</c:v>
                </c:pt>
                <c:pt idx="215">
                  <c:v>1.7112174820379253E-4</c:v>
                </c:pt>
                <c:pt idx="216">
                  <c:v>1.8759280528345159E-4</c:v>
                </c:pt>
                <c:pt idx="217">
                  <c:v>2.0466838379528144E-4</c:v>
                </c:pt>
                <c:pt idx="218">
                  <c:v>2.2234522267930825E-4</c:v>
                </c:pt>
                <c:pt idx="219">
                  <c:v>2.3985827468307519E-4</c:v>
                </c:pt>
                <c:pt idx="220">
                  <c:v>2.5663329088437717E-4</c:v>
                </c:pt>
                <c:pt idx="221">
                  <c:v>2.7263685178942598E-4</c:v>
                </c:pt>
                <c:pt idx="222">
                  <c:v>2.8783744127359551E-4</c:v>
                </c:pt>
                <c:pt idx="223">
                  <c:v>3.022053413889418E-4</c:v>
                </c:pt>
                <c:pt idx="224">
                  <c:v>3.1571252449294387E-4</c:v>
                </c:pt>
                <c:pt idx="225">
                  <c:v>3.2844484137650628E-4</c:v>
                </c:pt>
                <c:pt idx="226">
                  <c:v>3.4054722801946021E-4</c:v>
                </c:pt>
                <c:pt idx="227">
                  <c:v>3.5200705384950823E-4</c:v>
                </c:pt>
                <c:pt idx="228">
                  <c:v>3.6281246334467459E-4</c:v>
                </c:pt>
                <c:pt idx="229">
                  <c:v>3.7295230733290003E-4</c:v>
                </c:pt>
                <c:pt idx="230">
                  <c:v>3.8241607391276404E-4</c:v>
                </c:pt>
                <c:pt idx="231">
                  <c:v>3.9119381906408768E-4</c:v>
                </c:pt>
                <c:pt idx="232">
                  <c:v>3.9926483011238191E-4</c:v>
                </c:pt>
                <c:pt idx="233">
                  <c:v>4.073577243357284E-4</c:v>
                </c:pt>
                <c:pt idx="234">
                  <c:v>4.1634509467591721E-4</c:v>
                </c:pt>
                <c:pt idx="235">
                  <c:v>4.2625186235379958E-4</c:v>
                </c:pt>
                <c:pt idx="236">
                  <c:v>4.3710268770644385E-4</c:v>
                </c:pt>
                <c:pt idx="237">
                  <c:v>4.4892166605011715E-4</c:v>
                </c:pt>
                <c:pt idx="238">
                  <c:v>4.6173270153788341E-4</c:v>
                </c:pt>
                <c:pt idx="239">
                  <c:v>4.7514261873238061E-4</c:v>
                </c:pt>
                <c:pt idx="240">
                  <c:v>4.8903343128686683E-4</c:v>
                </c:pt>
                <c:pt idx="241">
                  <c:v>5.034202614843475E-4</c:v>
                </c:pt>
                <c:pt idx="242">
                  <c:v>5.1831846087150506E-4</c:v>
                </c:pt>
                <c:pt idx="243">
                  <c:v>5.3374367886936333E-4</c:v>
                </c:pt>
                <c:pt idx="244">
                  <c:v>5.4971193339661535E-4</c:v>
                </c:pt>
                <c:pt idx="245">
                  <c:v>5.6623968372980114E-4</c:v>
                </c:pt>
                <c:pt idx="246">
                  <c:v>5.8333733977050054E-4</c:v>
                </c:pt>
                <c:pt idx="247">
                  <c:v>6.006065794876451E-4</c:v>
                </c:pt>
                <c:pt idx="248">
                  <c:v>6.1722476004332145E-4</c:v>
                </c:pt>
                <c:pt idx="249">
                  <c:v>6.3318051068724879E-4</c:v>
                </c:pt>
                <c:pt idx="250">
                  <c:v>6.4846225656273128E-4</c:v>
                </c:pt>
                <c:pt idx="251">
                  <c:v>6.6305820152435559E-4</c:v>
                </c:pt>
                <c:pt idx="252">
                  <c:v>6.7695631243161957E-4</c:v>
                </c:pt>
                <c:pt idx="253">
                  <c:v>6.8928506315614317E-4</c:v>
                </c:pt>
                <c:pt idx="254">
                  <c:v>7.0045678147636725E-4</c:v>
                </c:pt>
                <c:pt idx="255">
                  <c:v>7.1044673803451132E-4</c:v>
                </c:pt>
                <c:pt idx="256">
                  <c:v>7.1923013598372413E-4</c:v>
                </c:pt>
                <c:pt idx="257">
                  <c:v>7.2678208527289447E-4</c:v>
                </c:pt>
                <c:pt idx="258">
                  <c:v>7.3307758133014564E-4</c:v>
                </c:pt>
                <c:pt idx="259">
                  <c:v>7.3809148796701843E-4</c:v>
                </c:pt>
                <c:pt idx="260">
                  <c:v>7.4180991471855726E-4</c:v>
                </c:pt>
                <c:pt idx="261">
                  <c:v>7.4281740180045987E-4</c:v>
                </c:pt>
                <c:pt idx="262">
                  <c:v>7.4150705190863155E-4</c:v>
                </c:pt>
                <c:pt idx="263">
                  <c:v>7.3783648055331509E-4</c:v>
                </c:pt>
                <c:pt idx="264">
                  <c:v>7.3176255640754109E-4</c:v>
                </c:pt>
                <c:pt idx="265">
                  <c:v>7.2324529598322401E-4</c:v>
                </c:pt>
                <c:pt idx="266">
                  <c:v>7.122419412999751E-4</c:v>
                </c:pt>
                <c:pt idx="267">
                  <c:v>6.9984319404907294E-4</c:v>
                </c:pt>
                <c:pt idx="268">
                  <c:v>6.8697437496369749E-4</c:v>
                </c:pt>
                <c:pt idx="269">
                  <c:v>6.7362980362579224E-4</c:v>
                </c:pt>
                <c:pt idx="270">
                  <c:v>6.598035972874885E-4</c:v>
                </c:pt>
                <c:pt idx="271">
                  <c:v>6.4548972301755702E-4</c:v>
                </c:pt>
                <c:pt idx="272">
                  <c:v>6.3068204949493975E-4</c:v>
                </c:pt>
                <c:pt idx="273">
                  <c:v>6.153743983681743E-4</c:v>
                </c:pt>
                <c:pt idx="274">
                  <c:v>5.9958053843662098E-4</c:v>
                </c:pt>
                <c:pt idx="275">
                  <c:v>5.8791383200457409E-4</c:v>
                </c:pt>
                <c:pt idx="276">
                  <c:v>5.8196548962003976E-4</c:v>
                </c:pt>
                <c:pt idx="277">
                  <c:v>5.818338001639244E-4</c:v>
                </c:pt>
                <c:pt idx="278">
                  <c:v>5.8761891171700532E-4</c:v>
                </c:pt>
                <c:pt idx="279">
                  <c:v>5.9942234102330666E-4</c:v>
                </c:pt>
                <c:pt idx="280">
                  <c:v>6.1734645309173368E-4</c:v>
                </c:pt>
                <c:pt idx="281">
                  <c:v>6.474430156238343E-4</c:v>
                </c:pt>
                <c:pt idx="282">
                  <c:v>6.8865919444755332E-4</c:v>
                </c:pt>
                <c:pt idx="283">
                  <c:v>7.4117284550989399E-4</c:v>
                </c:pt>
                <c:pt idx="284">
                  <c:v>8.0516013049670174E-4</c:v>
                </c:pt>
                <c:pt idx="285">
                  <c:v>8.8079430797938566E-4</c:v>
                </c:pt>
                <c:pt idx="286">
                  <c:v>9.6824447089852064E-4</c:v>
                </c:pt>
                <c:pt idx="287">
                  <c:v>1.0676742305442378E-3</c:v>
                </c:pt>
                <c:pt idx="288">
                  <c:v>1.1792924785856613E-3</c:v>
                </c:pt>
                <c:pt idx="289">
                  <c:v>1.3051786545355956E-3</c:v>
                </c:pt>
                <c:pt idx="290">
                  <c:v>1.4405221372641439E-3</c:v>
                </c:pt>
                <c:pt idx="291">
                  <c:v>1.5854495608007076E-3</c:v>
                </c:pt>
                <c:pt idx="292">
                  <c:v>1.7400855337640652E-3</c:v>
                </c:pt>
                <c:pt idx="293">
                  <c:v>1.9045520384585839E-3</c:v>
                </c:pt>
                <c:pt idx="294">
                  <c:v>2.0789678066141211E-3</c:v>
                </c:pt>
                <c:pt idx="295">
                  <c:v>2.257121758816772E-3</c:v>
                </c:pt>
                <c:pt idx="296">
                  <c:v>2.4326028192337094E-3</c:v>
                </c:pt>
                <c:pt idx="297">
                  <c:v>2.6053432479003404E-3</c:v>
                </c:pt>
                <c:pt idx="298">
                  <c:v>2.7752538316583226E-3</c:v>
                </c:pt>
                <c:pt idx="299">
                  <c:v>2.9422411666903303E-3</c:v>
                </c:pt>
                <c:pt idx="300">
                  <c:v>3.1062077337747325E-3</c:v>
                </c:pt>
                <c:pt idx="301">
                  <c:v>3.2670519701751663E-3</c:v>
                </c:pt>
                <c:pt idx="302">
                  <c:v>3.4247227234844497E-3</c:v>
                </c:pt>
                <c:pt idx="303">
                  <c:v>3.5716849918808477E-3</c:v>
                </c:pt>
                <c:pt idx="304">
                  <c:v>3.7057875690688843E-3</c:v>
                </c:pt>
                <c:pt idx="305">
                  <c:v>3.8268455871276153E-3</c:v>
                </c:pt>
                <c:pt idx="306">
                  <c:v>3.9346768996719626E-3</c:v>
                </c:pt>
                <c:pt idx="307">
                  <c:v>4.0291012230140458E-3</c:v>
                </c:pt>
                <c:pt idx="308">
                  <c:v>4.1099391992090928E-3</c:v>
                </c:pt>
                <c:pt idx="309">
                  <c:v>4.1749480302924113E-3</c:v>
                </c:pt>
                <c:pt idx="310">
                  <c:v>4.2307497120335803E-3</c:v>
                </c:pt>
                <c:pt idx="311">
                  <c:v>4.2772352703551834E-3</c:v>
                </c:pt>
                <c:pt idx="312">
                  <c:v>4.3142940689424765E-3</c:v>
                </c:pt>
                <c:pt idx="313">
                  <c:v>4.3418129563681761E-3</c:v>
                </c:pt>
                <c:pt idx="314">
                  <c:v>4.3596753773842301E-3</c:v>
                </c:pt>
                <c:pt idx="315">
                  <c:v>4.367760452430659E-3</c:v>
                </c:pt>
                <c:pt idx="316">
                  <c:v>4.3660314007660864E-3</c:v>
                </c:pt>
                <c:pt idx="317">
                  <c:v>4.3539784647912807E-3</c:v>
                </c:pt>
                <c:pt idx="318">
                  <c:v>4.3395140129956393E-3</c:v>
                </c:pt>
                <c:pt idx="319">
                  <c:v>4.3225493521318248E-3</c:v>
                </c:pt>
                <c:pt idx="320">
                  <c:v>4.302991534010427E-3</c:v>
                </c:pt>
                <c:pt idx="321">
                  <c:v>4.2807434561936315E-3</c:v>
                </c:pt>
                <c:pt idx="322">
                  <c:v>4.2557040154286227E-3</c:v>
                </c:pt>
                <c:pt idx="323">
                  <c:v>4.2282082776285632E-3</c:v>
                </c:pt>
                <c:pt idx="324">
                  <c:v>4.2003967057512937E-3</c:v>
                </c:pt>
                <c:pt idx="325">
                  <c:v>4.1722066212410832E-3</c:v>
                </c:pt>
                <c:pt idx="326">
                  <c:v>4.1435476266129647E-3</c:v>
                </c:pt>
                <c:pt idx="327">
                  <c:v>4.1143452811351032E-3</c:v>
                </c:pt>
                <c:pt idx="328">
                  <c:v>4.0845446619933376E-3</c:v>
                </c:pt>
                <c:pt idx="329">
                  <c:v>4.0540889912304848E-3</c:v>
                </c:pt>
                <c:pt idx="330">
                  <c:v>4.0235564671897931E-3</c:v>
                </c:pt>
                <c:pt idx="331">
                  <c:v>3.9951873719317509E-3</c:v>
                </c:pt>
                <c:pt idx="332">
                  <c:v>3.9692478328521531E-3</c:v>
                </c:pt>
                <c:pt idx="333">
                  <c:v>3.9455549696414049E-3</c:v>
                </c:pt>
                <c:pt idx="334">
                  <c:v>3.923924543581145E-3</c:v>
                </c:pt>
                <c:pt idx="335">
                  <c:v>3.9041698876580611E-3</c:v>
                </c:pt>
                <c:pt idx="336">
                  <c:v>3.8861009954766295E-3</c:v>
                </c:pt>
                <c:pt idx="337">
                  <c:v>3.870552220561335E-3</c:v>
                </c:pt>
                <c:pt idx="338">
                  <c:v>3.8568598355566363E-3</c:v>
                </c:pt>
                <c:pt idx="339">
                  <c:v>3.8448296090818524E-3</c:v>
                </c:pt>
                <c:pt idx="340">
                  <c:v>3.8342610996854373E-3</c:v>
                </c:pt>
                <c:pt idx="341">
                  <c:v>3.8249474073309359E-3</c:v>
                </c:pt>
                <c:pt idx="342">
                  <c:v>3.8166751951623228E-3</c:v>
                </c:pt>
                <c:pt idx="343">
                  <c:v>3.8092250081945798E-3</c:v>
                </c:pt>
                <c:pt idx="344">
                  <c:v>3.803308786971982E-3</c:v>
                </c:pt>
                <c:pt idx="345">
                  <c:v>3.7996962570930703E-3</c:v>
                </c:pt>
                <c:pt idx="346">
                  <c:v>3.7971588512581886E-3</c:v>
                </c:pt>
                <c:pt idx="347">
                  <c:v>3.7955393900714401E-3</c:v>
                </c:pt>
                <c:pt idx="348">
                  <c:v>3.7946770303079755E-3</c:v>
                </c:pt>
                <c:pt idx="349">
                  <c:v>3.7944074773129041E-3</c:v>
                </c:pt>
                <c:pt idx="350">
                  <c:v>3.7945633507280186E-3</c:v>
                </c:pt>
                <c:pt idx="351">
                  <c:v>3.7958296351756223E-3</c:v>
                </c:pt>
                <c:pt idx="352">
                  <c:v>3.7969450308348554E-3</c:v>
                </c:pt>
                <c:pt idx="353">
                  <c:v>3.7977346782348677E-3</c:v>
                </c:pt>
                <c:pt idx="354">
                  <c:v>3.7980244647713326E-3</c:v>
                </c:pt>
                <c:pt idx="355">
                  <c:v>3.7976423477761915E-3</c:v>
                </c:pt>
                <c:pt idx="356">
                  <c:v>3.7963524736010228E-3</c:v>
                </c:pt>
                <c:pt idx="357">
                  <c:v>3.7940558811295358E-3</c:v>
                </c:pt>
                <c:pt idx="358">
                  <c:v>3.7905608239132073E-3</c:v>
                </c:pt>
                <c:pt idx="359">
                  <c:v>3.7859154744869913E-3</c:v>
                </c:pt>
                <c:pt idx="360">
                  <c:v>3.7813890611534651E-3</c:v>
                </c:pt>
                <c:pt idx="361">
                  <c:v>3.7763110818455231E-3</c:v>
                </c:pt>
                <c:pt idx="362">
                  <c:v>3.7708639928560376E-3</c:v>
                </c:pt>
                <c:pt idx="363">
                  <c:v>3.7652280162485318E-3</c:v>
                </c:pt>
                <c:pt idx="364">
                  <c:v>3.7595798748875876E-3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816432"/>
        <c:axId val="320816824"/>
      </c:lineChart>
      <c:dateAx>
        <c:axId val="3208164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0816824"/>
        <c:crosses val="autoZero"/>
        <c:auto val="1"/>
        <c:lblOffset val="100"/>
        <c:baseTimeUnit val="days"/>
        <c:majorUnit val="1"/>
        <c:majorTimeUnit val="months"/>
      </c:dateAx>
      <c:valAx>
        <c:axId val="32081682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08164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6.7995022213517275E-3</c:v>
                </c:pt>
                <c:pt idx="1">
                  <c:v>6.8185366823062532E-3</c:v>
                </c:pt>
                <c:pt idx="2">
                  <c:v>6.8375707784696926E-3</c:v>
                </c:pt>
                <c:pt idx="3">
                  <c:v>6.8566045098489292E-3</c:v>
                </c:pt>
                <c:pt idx="4">
                  <c:v>6.8756378764510684E-3</c:v>
                </c:pt>
                <c:pt idx="5">
                  <c:v>6.8946708782831045E-3</c:v>
                </c:pt>
                <c:pt idx="6">
                  <c:v>6.9137035153519211E-3</c:v>
                </c:pt>
                <c:pt idx="7">
                  <c:v>6.9327357876647344E-3</c:v>
                </c:pt>
                <c:pt idx="8">
                  <c:v>6.9517676952283169E-3</c:v>
                </c:pt>
                <c:pt idx="9">
                  <c:v>6.9707992380496631E-3</c:v>
                </c:pt>
                <c:pt idx="10">
                  <c:v>6.9898304161358782E-3</c:v>
                </c:pt>
                <c:pt idx="11">
                  <c:v>7.0088612294939567E-3</c:v>
                </c:pt>
                <c:pt idx="12">
                  <c:v>7.0278916781307821E-3</c:v>
                </c:pt>
                <c:pt idx="13">
                  <c:v>7.0469217620534597E-3</c:v>
                </c:pt>
                <c:pt idx="14">
                  <c:v>7.0659514812688728E-3</c:v>
                </c:pt>
                <c:pt idx="15">
                  <c:v>7.0849808357841271E-3</c:v>
                </c:pt>
                <c:pt idx="16">
                  <c:v>7.1040098256061057E-3</c:v>
                </c:pt>
                <c:pt idx="17">
                  <c:v>7.1230384507418032E-3</c:v>
                </c:pt>
                <c:pt idx="18">
                  <c:v>7.1420667111982139E-3</c:v>
                </c:pt>
                <c:pt idx="19">
                  <c:v>7.1610946069824433E-3</c:v>
                </c:pt>
                <c:pt idx="20">
                  <c:v>7.1801221381013747E-3</c:v>
                </c:pt>
                <c:pt idx="21">
                  <c:v>7.1991493045618915E-3</c:v>
                </c:pt>
                <c:pt idx="22">
                  <c:v>7.2181761063712102E-3</c:v>
                </c:pt>
                <c:pt idx="23">
                  <c:v>7.2372025435362142E-3</c:v>
                </c:pt>
                <c:pt idx="24">
                  <c:v>7.2562286160638978E-3</c:v>
                </c:pt>
                <c:pt idx="25">
                  <c:v>7.2752543239612555E-3</c:v>
                </c:pt>
                <c:pt idx="26">
                  <c:v>7.2942796672351706E-3</c:v>
                </c:pt>
                <c:pt idx="27">
                  <c:v>7.3133046458927486E-3</c:v>
                </c:pt>
                <c:pt idx="28">
                  <c:v>7.3323292599409839E-3</c:v>
                </c:pt>
                <c:pt idx="29">
                  <c:v>7.3513535093868709E-3</c:v>
                </c:pt>
                <c:pt idx="30">
                  <c:v>7.370377394237293E-3</c:v>
                </c:pt>
                <c:pt idx="31">
                  <c:v>7.3894009144993555E-3</c:v>
                </c:pt>
                <c:pt idx="32">
                  <c:v>7.408424070179942E-3</c:v>
                </c:pt>
                <c:pt idx="33">
                  <c:v>7.4274468612861577E-3</c:v>
                </c:pt>
                <c:pt idx="34">
                  <c:v>7.4464692878248862E-3</c:v>
                </c:pt>
                <c:pt idx="35">
                  <c:v>7.4654913498031217E-3</c:v>
                </c:pt>
                <c:pt idx="36">
                  <c:v>7.4845130472278587E-3</c:v>
                </c:pt>
                <c:pt idx="37">
                  <c:v>7.5035343801060916E-3</c:v>
                </c:pt>
                <c:pt idx="38">
                  <c:v>7.5225553484449259E-3</c:v>
                </c:pt>
                <c:pt idx="39">
                  <c:v>7.5415759522511339E-3</c:v>
                </c:pt>
                <c:pt idx="40">
                  <c:v>7.560596191531932E-3</c:v>
                </c:pt>
                <c:pt idx="41">
                  <c:v>7.5796160662940926E-3</c:v>
                </c:pt>
                <c:pt idx="42">
                  <c:v>7.5986355765447211E-3</c:v>
                </c:pt>
                <c:pt idx="43">
                  <c:v>7.617654722290701E-3</c:v>
                </c:pt>
                <c:pt idx="44">
                  <c:v>7.6366735035391375E-3</c:v>
                </c:pt>
                <c:pt idx="45">
                  <c:v>7.6556919202970253E-3</c:v>
                </c:pt>
                <c:pt idx="46">
                  <c:v>7.6747099725712475E-3</c:v>
                </c:pt>
                <c:pt idx="47">
                  <c:v>7.6937276603687987E-3</c:v>
                </c:pt>
                <c:pt idx="48">
                  <c:v>7.7127449836967843E-3</c:v>
                </c:pt>
                <c:pt idx="49">
                  <c:v>7.7317619425620876E-3</c:v>
                </c:pt>
                <c:pt idx="50">
                  <c:v>7.750778536971703E-3</c:v>
                </c:pt>
                <c:pt idx="51">
                  <c:v>7.7697947669326251E-3</c:v>
                </c:pt>
                <c:pt idx="52">
                  <c:v>7.788810632451848E-3</c:v>
                </c:pt>
                <c:pt idx="53">
                  <c:v>7.8078261335362553E-3</c:v>
                </c:pt>
                <c:pt idx="54">
                  <c:v>7.8268412701930634E-3</c:v>
                </c:pt>
                <c:pt idx="55">
                  <c:v>7.8458560424290447E-3</c:v>
                </c:pt>
                <c:pt idx="56">
                  <c:v>7.8648704502511935E-3</c:v>
                </c:pt>
                <c:pt idx="57">
                  <c:v>7.8838844936666153E-3</c:v>
                </c:pt>
                <c:pt idx="58">
                  <c:v>7.9028981726823044E-3</c:v>
                </c:pt>
                <c:pt idx="59">
                  <c:v>7.9219114873050334E-3</c:v>
                </c:pt>
                <c:pt idx="60">
                  <c:v>7.9409244375420185E-3</c:v>
                </c:pt>
                <c:pt idx="61">
                  <c:v>7.9599370234001432E-3</c:v>
                </c:pt>
                <c:pt idx="62">
                  <c:v>7.9789492448864019E-3</c:v>
                </c:pt>
                <c:pt idx="63">
                  <c:v>7.997961102007678E-3</c:v>
                </c:pt>
                <c:pt idx="64">
                  <c:v>8.0169725947711878E-3</c:v>
                </c:pt>
                <c:pt idx="65">
                  <c:v>8.0359837231837039E-3</c:v>
                </c:pt>
                <c:pt idx="66">
                  <c:v>8.0549944872523316E-3</c:v>
                </c:pt>
                <c:pt idx="67">
                  <c:v>8.0740048869839542E-3</c:v>
                </c:pt>
                <c:pt idx="68">
                  <c:v>8.0930149223855663E-3</c:v>
                </c:pt>
                <c:pt idx="69">
                  <c:v>8.1120245934642732E-3</c:v>
                </c:pt>
                <c:pt idx="70">
                  <c:v>8.1310339002268472E-3</c:v>
                </c:pt>
                <c:pt idx="71">
                  <c:v>8.1500428426805049E-3</c:v>
                </c:pt>
                <c:pt idx="72">
                  <c:v>8.1690514208321297E-3</c:v>
                </c:pt>
                <c:pt idx="73">
                  <c:v>8.1880596346886048E-3</c:v>
                </c:pt>
                <c:pt idx="74">
                  <c:v>8.2070674842570357E-3</c:v>
                </c:pt>
                <c:pt idx="75">
                  <c:v>8.2260749695444169E-3</c:v>
                </c:pt>
                <c:pt idx="76">
                  <c:v>8.2450820905576316E-3</c:v>
                </c:pt>
                <c:pt idx="77">
                  <c:v>8.2640888473036744E-3</c:v>
                </c:pt>
                <c:pt idx="78">
                  <c:v>8.2830952397896507E-3</c:v>
                </c:pt>
                <c:pt idx="79">
                  <c:v>8.3021012680223327E-3</c:v>
                </c:pt>
                <c:pt idx="80">
                  <c:v>8.321106932008937E-3</c:v>
                </c:pt>
                <c:pt idx="81">
                  <c:v>8.3401122317562359E-3</c:v>
                </c:pt>
                <c:pt idx="82">
                  <c:v>8.3591171672713349E-3</c:v>
                </c:pt>
                <c:pt idx="83">
                  <c:v>8.3781217385612283E-3</c:v>
                </c:pt>
                <c:pt idx="84">
                  <c:v>8.3971259456327996E-3</c:v>
                </c:pt>
                <c:pt idx="85">
                  <c:v>8.4161297884930431E-3</c:v>
                </c:pt>
                <c:pt idx="86">
                  <c:v>8.4351332671490642E-3</c:v>
                </c:pt>
                <c:pt idx="87">
                  <c:v>8.4541363816076354E-3</c:v>
                </c:pt>
                <c:pt idx="88">
                  <c:v>8.473139131875973E-3</c:v>
                </c:pt>
                <c:pt idx="89">
                  <c:v>8.4921415179608495E-3</c:v>
                </c:pt>
                <c:pt idx="90">
                  <c:v>8.5111435398693702E-3</c:v>
                </c:pt>
                <c:pt idx="91">
                  <c:v>8.5301451976084186E-3</c:v>
                </c:pt>
                <c:pt idx="92">
                  <c:v>8.5491464911851001E-3</c:v>
                </c:pt>
                <c:pt idx="93">
                  <c:v>8.568147420606298E-3</c:v>
                </c:pt>
                <c:pt idx="94">
                  <c:v>8.5871479858790067E-3</c:v>
                </c:pt>
                <c:pt idx="95">
                  <c:v>8.6061481870103318E-3</c:v>
                </c:pt>
                <c:pt idx="96">
                  <c:v>8.6251480240070455E-3</c:v>
                </c:pt>
                <c:pt idx="97">
                  <c:v>8.6441474968761423E-3</c:v>
                </c:pt>
                <c:pt idx="98">
                  <c:v>8.6631466056247275E-3</c:v>
                </c:pt>
                <c:pt idx="99">
                  <c:v>8.6821453502597956E-3</c:v>
                </c:pt>
                <c:pt idx="100">
                  <c:v>8.70114373078823E-3</c:v>
                </c:pt>
                <c:pt idx="101">
                  <c:v>8.7201417472170251E-3</c:v>
                </c:pt>
                <c:pt idx="102">
                  <c:v>8.7391393995531752E-3</c:v>
                </c:pt>
                <c:pt idx="103">
                  <c:v>8.7581366878035638E-3</c:v>
                </c:pt>
                <c:pt idx="104">
                  <c:v>8.7771336119754073E-3</c:v>
                </c:pt>
                <c:pt idx="105">
                  <c:v>8.7961301720754781E-3</c:v>
                </c:pt>
                <c:pt idx="106">
                  <c:v>8.8151263681107705E-3</c:v>
                </c:pt>
                <c:pt idx="107">
                  <c:v>8.8341222000882791E-3</c:v>
                </c:pt>
                <c:pt idx="108">
                  <c:v>8.8531176680149981E-3</c:v>
                </c:pt>
                <c:pt idx="109">
                  <c:v>8.872112771898033E-3</c:v>
                </c:pt>
                <c:pt idx="110">
                  <c:v>8.8911075117441563E-3</c:v>
                </c:pt>
                <c:pt idx="111">
                  <c:v>8.9101018875603621E-3</c:v>
                </c:pt>
                <c:pt idx="112">
                  <c:v>8.9290958993537561E-3</c:v>
                </c:pt>
                <c:pt idx="113">
                  <c:v>8.9480895471312216E-3</c:v>
                </c:pt>
                <c:pt idx="114">
                  <c:v>8.967082830899753E-3</c:v>
                </c:pt>
                <c:pt idx="115">
                  <c:v>8.9860757506663447E-3</c:v>
                </c:pt>
                <c:pt idx="116">
                  <c:v>9.0050683064379911E-3</c:v>
                </c:pt>
                <c:pt idx="117">
                  <c:v>9.0240604982216865E-3</c:v>
                </c:pt>
                <c:pt idx="118">
                  <c:v>9.0430523260243145E-3</c:v>
                </c:pt>
                <c:pt idx="119">
                  <c:v>9.0620437898528694E-3</c:v>
                </c:pt>
                <c:pt idx="120">
                  <c:v>9.0810348897143456E-3</c:v>
                </c:pt>
                <c:pt idx="121">
                  <c:v>9.1000256256157375E-3</c:v>
                </c:pt>
                <c:pt idx="122">
                  <c:v>9.1190159975640395E-3</c:v>
                </c:pt>
                <c:pt idx="123">
                  <c:v>9.138006005566135E-3</c:v>
                </c:pt>
                <c:pt idx="124">
                  <c:v>9.1569956496290184E-3</c:v>
                </c:pt>
                <c:pt idx="125">
                  <c:v>9.1759849297597951E-3</c:v>
                </c:pt>
                <c:pt idx="126">
                  <c:v>9.1949738459653485E-3</c:v>
                </c:pt>
                <c:pt idx="127">
                  <c:v>9.213962398252673E-3</c:v>
                </c:pt>
                <c:pt idx="128">
                  <c:v>9.2329505866286521E-3</c:v>
                </c:pt>
                <c:pt idx="129">
                  <c:v>9.2519384111003911E-3</c:v>
                </c:pt>
                <c:pt idx="130">
                  <c:v>9.2709258716747733E-3</c:v>
                </c:pt>
                <c:pt idx="131">
                  <c:v>9.2899129683587933E-3</c:v>
                </c:pt>
                <c:pt idx="132">
                  <c:v>9.3088997011595565E-3</c:v>
                </c:pt>
                <c:pt idx="133">
                  <c:v>9.3278860700837241E-3</c:v>
                </c:pt>
                <c:pt idx="134">
                  <c:v>9.3468720751386236E-3</c:v>
                </c:pt>
                <c:pt idx="135">
                  <c:v>9.3658577163310275E-3</c:v>
                </c:pt>
                <c:pt idx="136">
                  <c:v>9.3848429936679301E-3</c:v>
                </c:pt>
                <c:pt idx="137">
                  <c:v>9.4038279071563258E-3</c:v>
                </c:pt>
                <c:pt idx="138">
                  <c:v>9.422812456803098E-3</c:v>
                </c:pt>
                <c:pt idx="139">
                  <c:v>9.4417966426154631E-3</c:v>
                </c:pt>
                <c:pt idx="140">
                  <c:v>9.4607804646000826E-3</c:v>
                </c:pt>
                <c:pt idx="141">
                  <c:v>9.4797639227641728E-3</c:v>
                </c:pt>
                <c:pt idx="142">
                  <c:v>9.4987470171146171E-3</c:v>
                </c:pt>
                <c:pt idx="143">
                  <c:v>9.51772974765841E-3</c:v>
                </c:pt>
                <c:pt idx="144">
                  <c:v>9.5367121144025457E-3</c:v>
                </c:pt>
                <c:pt idx="145">
                  <c:v>9.5556941173537968E-3</c:v>
                </c:pt>
                <c:pt idx="146">
                  <c:v>9.5746757565193796E-3</c:v>
                </c:pt>
                <c:pt idx="147">
                  <c:v>9.5936570319061776E-3</c:v>
                </c:pt>
                <c:pt idx="148">
                  <c:v>9.6126379435211851E-3</c:v>
                </c:pt>
                <c:pt idx="149">
                  <c:v>9.6316184913713965E-3</c:v>
                </c:pt>
                <c:pt idx="150">
                  <c:v>9.6505986754635842E-3</c:v>
                </c:pt>
                <c:pt idx="151">
                  <c:v>9.6695784958049646E-3</c:v>
                </c:pt>
                <c:pt idx="152">
                  <c:v>9.6885579524024212E-3</c:v>
                </c:pt>
                <c:pt idx="153">
                  <c:v>9.7075370452629484E-3</c:v>
                </c:pt>
                <c:pt idx="154">
                  <c:v>9.7265157743934294E-3</c:v>
                </c:pt>
                <c:pt idx="155">
                  <c:v>9.7454941398009698E-3</c:v>
                </c:pt>
                <c:pt idx="156">
                  <c:v>9.7644721414924529E-3</c:v>
                </c:pt>
                <c:pt idx="157">
                  <c:v>9.7834497794747621E-3</c:v>
                </c:pt>
                <c:pt idx="158">
                  <c:v>9.8024270537551139E-3</c:v>
                </c:pt>
                <c:pt idx="159">
                  <c:v>9.8214039643401696E-3</c:v>
                </c:pt>
                <c:pt idx="160">
                  <c:v>9.8403805112371456E-3</c:v>
                </c:pt>
                <c:pt idx="161">
                  <c:v>9.8593566944530364E-3</c:v>
                </c:pt>
                <c:pt idx="162">
                  <c:v>9.8783325139945033E-3</c:v>
                </c:pt>
                <c:pt idx="163">
                  <c:v>9.8973079698688737E-3</c:v>
                </c:pt>
                <c:pt idx="164">
                  <c:v>9.9162830620829201E-3</c:v>
                </c:pt>
                <c:pt idx="165">
                  <c:v>9.9352577906436368E-3</c:v>
                </c:pt>
                <c:pt idx="166">
                  <c:v>9.9542321555580182E-3</c:v>
                </c:pt>
                <c:pt idx="167">
                  <c:v>9.9732061568330588E-3</c:v>
                </c:pt>
                <c:pt idx="168">
                  <c:v>9.9921797944756419E-3</c:v>
                </c:pt>
                <c:pt idx="169">
                  <c:v>1.0011153068492762E-2</c:v>
                </c:pt>
                <c:pt idx="170">
                  <c:v>1.0030125978891413E-2</c:v>
                </c:pt>
                <c:pt idx="171">
                  <c:v>1.0049098525678701E-2</c:v>
                </c:pt>
                <c:pt idx="172">
                  <c:v>1.0068070708861288E-2</c:v>
                </c:pt>
                <c:pt idx="173">
                  <c:v>1.0087042528446388E-2</c:v>
                </c:pt>
                <c:pt idx="174">
                  <c:v>1.0106013984440887E-2</c:v>
                </c:pt>
                <c:pt idx="175">
                  <c:v>1.0124985076851778E-2</c:v>
                </c:pt>
                <c:pt idx="176">
                  <c:v>1.0143955805686056E-2</c:v>
                </c:pt>
                <c:pt idx="177">
                  <c:v>1.0162926170950493E-2</c:v>
                </c:pt>
                <c:pt idx="178">
                  <c:v>1.0181896172652305E-2</c:v>
                </c:pt>
                <c:pt idx="179">
                  <c:v>1.0200865810798376E-2</c:v>
                </c:pt>
                <c:pt idx="180">
                  <c:v>1.0219835085395701E-2</c:v>
                </c:pt>
                <c:pt idx="181">
                  <c:v>1.0238803996451162E-2</c:v>
                </c:pt>
                <c:pt idx="182">
                  <c:v>1.0257772543971755E-2</c:v>
                </c:pt>
                <c:pt idx="183">
                  <c:v>1.0276740727964362E-2</c:v>
                </c:pt>
                <c:pt idx="184">
                  <c:v>1.02957085484362E-2</c:v>
                </c:pt>
                <c:pt idx="185">
                  <c:v>1.0314676005394041E-2</c:v>
                </c:pt>
                <c:pt idx="186">
                  <c:v>1.033364309884488E-2</c:v>
                </c:pt>
                <c:pt idx="187">
                  <c:v>1.0352609828795711E-2</c:v>
                </c:pt>
                <c:pt idx="188">
                  <c:v>1.0371576195253529E-2</c:v>
                </c:pt>
                <c:pt idx="189">
                  <c:v>1.0390542198225217E-2</c:v>
                </c:pt>
                <c:pt idx="190">
                  <c:v>1.0409507837717769E-2</c:v>
                </c:pt>
                <c:pt idx="191">
                  <c:v>1.0428473113738179E-2</c:v>
                </c:pt>
                <c:pt idx="192">
                  <c:v>1.0447438026293443E-2</c:v>
                </c:pt>
                <c:pt idx="193">
                  <c:v>1.0466402575390443E-2</c:v>
                </c:pt>
                <c:pt idx="194">
                  <c:v>1.0485366761036174E-2</c:v>
                </c:pt>
                <c:pt idx="195">
                  <c:v>1.0504330583237631E-2</c:v>
                </c:pt>
                <c:pt idx="196">
                  <c:v>1.0523294042001807E-2</c:v>
                </c:pt>
                <c:pt idx="197">
                  <c:v>1.0542257137335587E-2</c:v>
                </c:pt>
                <c:pt idx="198">
                  <c:v>1.0561219869245964E-2</c:v>
                </c:pt>
                <c:pt idx="199">
                  <c:v>1.0580182237739821E-2</c:v>
                </c:pt>
                <c:pt idx="200">
                  <c:v>1.0599144242824377E-2</c:v>
                </c:pt>
                <c:pt idx="201">
                  <c:v>1.061810588450629E-2</c:v>
                </c:pt>
                <c:pt idx="202">
                  <c:v>1.0637067162792779E-2</c:v>
                </c:pt>
                <c:pt idx="203">
                  <c:v>1.0656028077690616E-2</c:v>
                </c:pt>
                <c:pt idx="204">
                  <c:v>1.0674988629206905E-2</c:v>
                </c:pt>
                <c:pt idx="205">
                  <c:v>1.0693948817348531E-2</c:v>
                </c:pt>
                <c:pt idx="206">
                  <c:v>1.0712908642122487E-2</c:v>
                </c:pt>
                <c:pt idx="207">
                  <c:v>1.0731868103535658E-2</c:v>
                </c:pt>
                <c:pt idx="208">
                  <c:v>1.0750827201595148E-2</c:v>
                </c:pt>
                <c:pt idx="209">
                  <c:v>1.0769785936307841E-2</c:v>
                </c:pt>
                <c:pt idx="210">
                  <c:v>1.078874430768062E-2</c:v>
                </c:pt>
                <c:pt idx="211">
                  <c:v>1.0807702315720591E-2</c:v>
                </c:pt>
                <c:pt idx="212">
                  <c:v>1.0826659960434748E-2</c:v>
                </c:pt>
                <c:pt idx="213">
                  <c:v>1.0845617241829864E-2</c:v>
                </c:pt>
                <c:pt idx="214">
                  <c:v>1.0864574159913043E-2</c:v>
                </c:pt>
                <c:pt idx="215">
                  <c:v>1.0883530714691281E-2</c:v>
                </c:pt>
                <c:pt idx="216">
                  <c:v>1.0902486906171349E-2</c:v>
                </c:pt>
                <c:pt idx="217">
                  <c:v>1.0921442734360354E-2</c:v>
                </c:pt>
                <c:pt idx="218">
                  <c:v>1.0940398199265289E-2</c:v>
                </c:pt>
                <c:pt idx="219">
                  <c:v>1.0959353300893038E-2</c:v>
                </c:pt>
                <c:pt idx="220">
                  <c:v>1.0978308039250595E-2</c:v>
                </c:pt>
                <c:pt idx="221">
                  <c:v>1.0997262414344955E-2</c:v>
                </c:pt>
                <c:pt idx="222">
                  <c:v>1.1016216426183001E-2</c:v>
                </c:pt>
                <c:pt idx="223">
                  <c:v>1.1035170074771727E-2</c:v>
                </c:pt>
                <c:pt idx="224">
                  <c:v>1.1054123360118129E-2</c:v>
                </c:pt>
                <c:pt idx="225">
                  <c:v>1.1073076282229088E-2</c:v>
                </c:pt>
                <c:pt idx="226">
                  <c:v>1.1092028841111712E-2</c:v>
                </c:pt>
                <c:pt idx="227">
                  <c:v>1.1110981036772771E-2</c:v>
                </c:pt>
                <c:pt idx="228">
                  <c:v>1.1129932869219372E-2</c:v>
                </c:pt>
                <c:pt idx="229">
                  <c:v>1.1148884338458398E-2</c:v>
                </c:pt>
                <c:pt idx="230">
                  <c:v>1.1167835444496843E-2</c:v>
                </c:pt>
                <c:pt idx="231">
                  <c:v>1.1186786187341702E-2</c:v>
                </c:pt>
                <c:pt idx="232">
                  <c:v>1.1205736566999858E-2</c:v>
                </c:pt>
                <c:pt idx="233">
                  <c:v>1.1224686583478305E-2</c:v>
                </c:pt>
                <c:pt idx="234">
                  <c:v>1.1243636236784038E-2</c:v>
                </c:pt>
                <c:pt idx="235">
                  <c:v>1.1262585526924052E-2</c:v>
                </c:pt>
                <c:pt idx="236">
                  <c:v>1.1281534453905118E-2</c:v>
                </c:pt>
                <c:pt idx="237">
                  <c:v>1.1300483017734342E-2</c:v>
                </c:pt>
                <c:pt idx="238">
                  <c:v>1.1319431218418718E-2</c:v>
                </c:pt>
                <c:pt idx="239">
                  <c:v>1.1338379055965131E-2</c:v>
                </c:pt>
                <c:pt idx="240">
                  <c:v>1.1357326530380574E-2</c:v>
                </c:pt>
                <c:pt idx="241">
                  <c:v>1.1376273641672041E-2</c:v>
                </c:pt>
                <c:pt idx="242">
                  <c:v>1.1395220389846306E-2</c:v>
                </c:pt>
                <c:pt idx="243">
                  <c:v>1.1414166774910584E-2</c:v>
                </c:pt>
                <c:pt idx="244">
                  <c:v>1.1433112796871647E-2</c:v>
                </c:pt>
                <c:pt idx="245">
                  <c:v>1.1452058455736602E-2</c:v>
                </c:pt>
                <c:pt idx="246">
                  <c:v>1.1471003751512221E-2</c:v>
                </c:pt>
                <c:pt idx="247">
                  <c:v>1.1489948684205609E-2</c:v>
                </c:pt>
                <c:pt idx="248">
                  <c:v>1.150889325382376E-2</c:v>
                </c:pt>
                <c:pt idx="249">
                  <c:v>1.1527837460373447E-2</c:v>
                </c:pt>
                <c:pt idx="250">
                  <c:v>1.1546781303861775E-2</c:v>
                </c:pt>
                <c:pt idx="251">
                  <c:v>1.1565724784295628E-2</c:v>
                </c:pt>
                <c:pt idx="252">
                  <c:v>1.1584667901682111E-2</c:v>
                </c:pt>
                <c:pt idx="253">
                  <c:v>1.1603610656027996E-2</c:v>
                </c:pt>
                <c:pt idx="254">
                  <c:v>1.1622553047340278E-2</c:v>
                </c:pt>
                <c:pt idx="255">
                  <c:v>1.1641495075626063E-2</c:v>
                </c:pt>
                <c:pt idx="256">
                  <c:v>1.1660436740892122E-2</c:v>
                </c:pt>
                <c:pt idx="257">
                  <c:v>1.167937804314545E-2</c:v>
                </c:pt>
                <c:pt idx="258">
                  <c:v>1.1698318982393041E-2</c:v>
                </c:pt>
                <c:pt idx="259">
                  <c:v>1.171725955864189E-2</c:v>
                </c:pt>
                <c:pt idx="260">
                  <c:v>1.1736199771898992E-2</c:v>
                </c:pt>
                <c:pt idx="261">
                  <c:v>1.1755139622171118E-2</c:v>
                </c:pt>
                <c:pt idx="262">
                  <c:v>1.1774079109465374E-2</c:v>
                </c:pt>
                <c:pt idx="263">
                  <c:v>1.1793018233788755E-2</c:v>
                </c:pt>
                <c:pt idx="264">
                  <c:v>1.1811956995148032E-2</c:v>
                </c:pt>
                <c:pt idx="265">
                  <c:v>1.1830895393550311E-2</c:v>
                </c:pt>
                <c:pt idx="266">
                  <c:v>1.1849833429002476E-2</c:v>
                </c:pt>
                <c:pt idx="267">
                  <c:v>1.1868771101511522E-2</c:v>
                </c:pt>
                <c:pt idx="268">
                  <c:v>1.1887708411084441E-2</c:v>
                </c:pt>
                <c:pt idx="269">
                  <c:v>1.1906645357728007E-2</c:v>
                </c:pt>
                <c:pt idx="270">
                  <c:v>1.1925581941449437E-2</c:v>
                </c:pt>
                <c:pt idx="271">
                  <c:v>1.1944518162255502E-2</c:v>
                </c:pt>
                <c:pt idx="272">
                  <c:v>1.1963454020153308E-2</c:v>
                </c:pt>
                <c:pt idx="273">
                  <c:v>1.1982389515149627E-2</c:v>
                </c:pt>
                <c:pt idx="274">
                  <c:v>1.2001324647251566E-2</c:v>
                </c:pt>
                <c:pt idx="275">
                  <c:v>1.2020259416465895E-2</c:v>
                </c:pt>
                <c:pt idx="276">
                  <c:v>1.2039193822799832E-2</c:v>
                </c:pt>
                <c:pt idx="277">
                  <c:v>1.2058127866260149E-2</c:v>
                </c:pt>
                <c:pt idx="278">
                  <c:v>1.207706154685384E-2</c:v>
                </c:pt>
                <c:pt idx="279">
                  <c:v>1.2095994864587789E-2</c:v>
                </c:pt>
                <c:pt idx="280">
                  <c:v>1.2114927819469101E-2</c:v>
                </c:pt>
                <c:pt idx="281">
                  <c:v>1.213386041150466E-2</c:v>
                </c:pt>
                <c:pt idx="282">
                  <c:v>1.2152792640701349E-2</c:v>
                </c:pt>
                <c:pt idx="283">
                  <c:v>1.2171724507066273E-2</c:v>
                </c:pt>
                <c:pt idx="284">
                  <c:v>1.2190656010606205E-2</c:v>
                </c:pt>
                <c:pt idx="285">
                  <c:v>1.2209587151328249E-2</c:v>
                </c:pt>
                <c:pt idx="286">
                  <c:v>1.2228517929239291E-2</c:v>
                </c:pt>
                <c:pt idx="287">
                  <c:v>1.2247448344346323E-2</c:v>
                </c:pt>
                <c:pt idx="288">
                  <c:v>1.226637839665623E-2</c:v>
                </c:pt>
                <c:pt idx="289">
                  <c:v>1.2285308086176006E-2</c:v>
                </c:pt>
                <c:pt idx="290">
                  <c:v>1.2304237412912644E-2</c:v>
                </c:pt>
                <c:pt idx="291">
                  <c:v>1.2323166376872918E-2</c:v>
                </c:pt>
                <c:pt idx="292">
                  <c:v>1.2342094978064044E-2</c:v>
                </c:pt>
                <c:pt idx="293">
                  <c:v>1.2361023216492795E-2</c:v>
                </c:pt>
                <c:pt idx="294">
                  <c:v>1.2379951092166164E-2</c:v>
                </c:pt>
                <c:pt idx="295">
                  <c:v>1.2398878605091146E-2</c:v>
                </c:pt>
                <c:pt idx="296">
                  <c:v>1.2417805755274736E-2</c:v>
                </c:pt>
                <c:pt idx="297">
                  <c:v>1.2436732542723705E-2</c:v>
                </c:pt>
                <c:pt idx="298">
                  <c:v>1.245565896744516E-2</c:v>
                </c:pt>
                <c:pt idx="299">
                  <c:v>1.2474585029445984E-2</c:v>
                </c:pt>
                <c:pt idx="300">
                  <c:v>1.2493510728733059E-2</c:v>
                </c:pt>
                <c:pt idx="301">
                  <c:v>1.2512436065313604E-2</c:v>
                </c:pt>
                <c:pt idx="302">
                  <c:v>1.2531361039194278E-2</c:v>
                </c:pt>
                <c:pt idx="303">
                  <c:v>1.2550285650382187E-2</c:v>
                </c:pt>
                <c:pt idx="304">
                  <c:v>1.2569209898884215E-2</c:v>
                </c:pt>
                <c:pt idx="305">
                  <c:v>1.2588133784707245E-2</c:v>
                </c:pt>
                <c:pt idx="306">
                  <c:v>1.2607057307858494E-2</c:v>
                </c:pt>
                <c:pt idx="307">
                  <c:v>1.2625980468344622E-2</c:v>
                </c:pt>
                <c:pt idx="308">
                  <c:v>1.2644903266172736E-2</c:v>
                </c:pt>
                <c:pt idx="309">
                  <c:v>1.2663825701349718E-2</c:v>
                </c:pt>
                <c:pt idx="310">
                  <c:v>1.2682747773882563E-2</c:v>
                </c:pt>
                <c:pt idx="311">
                  <c:v>1.2701669483778266E-2</c:v>
                </c:pt>
                <c:pt idx="312">
                  <c:v>1.2720590831043599E-2</c:v>
                </c:pt>
                <c:pt idx="313">
                  <c:v>1.2739511815685778E-2</c:v>
                </c:pt>
                <c:pt idx="314">
                  <c:v>1.2758432437711464E-2</c:v>
                </c:pt>
                <c:pt idx="315">
                  <c:v>1.2777352697127764E-2</c:v>
                </c:pt>
                <c:pt idx="316">
                  <c:v>1.2796272593941671E-2</c:v>
                </c:pt>
                <c:pt idx="317">
                  <c:v>1.2815192128160069E-2</c:v>
                </c:pt>
                <c:pt idx="318">
                  <c:v>1.2834111299789841E-2</c:v>
                </c:pt>
                <c:pt idx="319">
                  <c:v>1.2853030108838093E-2</c:v>
                </c:pt>
                <c:pt idx="320">
                  <c:v>1.2871948555311596E-2</c:v>
                </c:pt>
                <c:pt idx="321">
                  <c:v>1.2890866639217458E-2</c:v>
                </c:pt>
                <c:pt idx="322">
                  <c:v>1.290978436056256E-2</c:v>
                </c:pt>
                <c:pt idx="323">
                  <c:v>1.2928701719353786E-2</c:v>
                </c:pt>
                <c:pt idx="324">
                  <c:v>1.2947618715598241E-2</c:v>
                </c:pt>
                <c:pt idx="325">
                  <c:v>1.2966535349302699E-2</c:v>
                </c:pt>
                <c:pt idx="326">
                  <c:v>1.2985451620474264E-2</c:v>
                </c:pt>
                <c:pt idx="327">
                  <c:v>1.3004367529119709E-2</c:v>
                </c:pt>
                <c:pt idx="328">
                  <c:v>1.3023283075246139E-2</c:v>
                </c:pt>
                <c:pt idx="329">
                  <c:v>1.3042198258860438E-2</c:v>
                </c:pt>
                <c:pt idx="330">
                  <c:v>1.3061113079969489E-2</c:v>
                </c:pt>
                <c:pt idx="331">
                  <c:v>1.3080027538580397E-2</c:v>
                </c:pt>
                <c:pt idx="332">
                  <c:v>1.3098941634700045E-2</c:v>
                </c:pt>
                <c:pt idx="333">
                  <c:v>1.3117855368335207E-2</c:v>
                </c:pt>
                <c:pt idx="334">
                  <c:v>1.3136768739493099E-2</c:v>
                </c:pt>
                <c:pt idx="335">
                  <c:v>1.3155681748180492E-2</c:v>
                </c:pt>
                <c:pt idx="336">
                  <c:v>1.3174594394404493E-2</c:v>
                </c:pt>
                <c:pt idx="337">
                  <c:v>1.3193506678171874E-2</c:v>
                </c:pt>
                <c:pt idx="338">
                  <c:v>1.3212418599489628E-2</c:v>
                </c:pt>
                <c:pt idx="339">
                  <c:v>1.3231330158364751E-2</c:v>
                </c:pt>
                <c:pt idx="340">
                  <c:v>1.3250241354804126E-2</c:v>
                </c:pt>
                <c:pt idx="341">
                  <c:v>1.3269152188814748E-2</c:v>
                </c:pt>
                <c:pt idx="342">
                  <c:v>1.328806266040361E-2</c:v>
                </c:pt>
                <c:pt idx="343">
                  <c:v>1.3306972769577596E-2</c:v>
                </c:pt>
                <c:pt idx="344">
                  <c:v>1.332588251634359E-2</c:v>
                </c:pt>
                <c:pt idx="345">
                  <c:v>1.3344791900708586E-2</c:v>
                </c:pt>
                <c:pt idx="346">
                  <c:v>1.3363700922679578E-2</c:v>
                </c:pt>
                <c:pt idx="347">
                  <c:v>1.3382609582263449E-2</c:v>
                </c:pt>
                <c:pt idx="348">
                  <c:v>1.3401517879467306E-2</c:v>
                </c:pt>
                <c:pt idx="349">
                  <c:v>1.3420425814297809E-2</c:v>
                </c:pt>
                <c:pt idx="350">
                  <c:v>1.3439333386762065E-2</c:v>
                </c:pt>
                <c:pt idx="351">
                  <c:v>1.3458240596867066E-2</c:v>
                </c:pt>
                <c:pt idx="352">
                  <c:v>1.3477147444619697E-2</c:v>
                </c:pt>
                <c:pt idx="353">
                  <c:v>1.3496053930026952E-2</c:v>
                </c:pt>
                <c:pt idx="354">
                  <c:v>1.3514960053095604E-2</c:v>
                </c:pt>
                <c:pt idx="355">
                  <c:v>1.3533865813832757E-2</c:v>
                </c:pt>
                <c:pt idx="356">
                  <c:v>1.3552771212245407E-2</c:v>
                </c:pt>
                <c:pt idx="357">
                  <c:v>1.3571676248340325E-2</c:v>
                </c:pt>
                <c:pt idx="358">
                  <c:v>1.3590580922124507E-2</c:v>
                </c:pt>
                <c:pt idx="359">
                  <c:v>1.3609485233605056E-2</c:v>
                </c:pt>
                <c:pt idx="360">
                  <c:v>1.3628389182788747E-2</c:v>
                </c:pt>
                <c:pt idx="361">
                  <c:v>1.3647292769682462E-2</c:v>
                </c:pt>
                <c:pt idx="362">
                  <c:v>1.3666195994293306E-2</c:v>
                </c:pt>
                <c:pt idx="363">
                  <c:v>1.3685098856628164E-2</c:v>
                </c:pt>
                <c:pt idx="364">
                  <c:v>1.3704001356694029E-2</c:v>
                </c:pt>
                <c:pt idx="365">
                  <c:v>1.3722903494497785E-2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'2020'!Psa</c:f>
              <c:numCache>
                <c:formatCode>0.00%</c:formatCode>
                <c:ptCount val="366"/>
                <c:pt idx="0">
                  <c:v>2.2217117059909103E-2</c:v>
                </c:pt>
                <c:pt idx="1">
                  <c:v>2.2269014102617952E-2</c:v>
                </c:pt>
                <c:pt idx="2">
                  <c:v>2.2320908963775494E-2</c:v>
                </c:pt>
                <c:pt idx="3">
                  <c:v>2.2372796813071541E-2</c:v>
                </c:pt>
                <c:pt idx="4">
                  <c:v>2.2424673447197781E-2</c:v>
                </c:pt>
                <c:pt idx="5">
                  <c:v>2.2476535275907147E-2</c:v>
                </c:pt>
                <c:pt idx="6">
                  <c:v>2.2528379302786838E-2</c:v>
                </c:pt>
                <c:pt idx="7">
                  <c:v>2.258020310109685E-2</c:v>
                </c:pt>
                <c:pt idx="8">
                  <c:v>2.2632004785065916E-2</c:v>
                </c:pt>
                <c:pt idx="9">
                  <c:v>2.2683782977073318E-2</c:v>
                </c:pt>
                <c:pt idx="10">
                  <c:v>2.2735536771175728E-2</c:v>
                </c:pt>
                <c:pt idx="11">
                  <c:v>2.2787265693465276E-2</c:v>
                </c:pt>
                <c:pt idx="12">
                  <c:v>2.2838969659766048E-2</c:v>
                </c:pt>
                <c:pt idx="13">
                  <c:v>2.2890648931192026E-2</c:v>
                </c:pt>
                <c:pt idx="14">
                  <c:v>2.2942304068100796E-2</c:v>
                </c:pt>
                <c:pt idx="15">
                  <c:v>2.2993935882981775E-2</c:v>
                </c:pt>
                <c:pt idx="16">
                  <c:v>2.3045545392818161E-2</c:v>
                </c:pt>
                <c:pt idx="17">
                  <c:v>2.3097133771456026E-2</c:v>
                </c:pt>
                <c:pt idx="18">
                  <c:v>2.3148702302503217E-2</c:v>
                </c:pt>
                <c:pt idx="19">
                  <c:v>2.3200252333265232E-2</c:v>
                </c:pt>
                <c:pt idx="20">
                  <c:v>2.3251785230204346E-2</c:v>
                </c:pt>
                <c:pt idx="21">
                  <c:v>2.3303302336383298E-2</c:v>
                </c:pt>
                <c:pt idx="22">
                  <c:v>2.3354804931325718E-2</c:v>
                </c:pt>
                <c:pt idx="23">
                  <c:v>2.3406294193691734E-2</c:v>
                </c:pt>
                <c:pt idx="24">
                  <c:v>2.3457771167130995E-2</c:v>
                </c:pt>
                <c:pt idx="25">
                  <c:v>2.3509236729635258E-2</c:v>
                </c:pt>
                <c:pt idx="26">
                  <c:v>2.35606915666705E-2</c:v>
                </c:pt>
                <c:pt idx="27">
                  <c:v>2.3612136148323654E-2</c:v>
                </c:pt>
                <c:pt idx="28">
                  <c:v>2.3663570710653219E-2</c:v>
                </c:pt>
                <c:pt idx="29">
                  <c:v>2.3714995241385511E-2</c:v>
                </c:pt>
                <c:pt idx="30">
                  <c:v>2.3766409470049994E-2</c:v>
                </c:pt>
                <c:pt idx="31">
                  <c:v>2.3817812862599451E-2</c:v>
                </c:pt>
                <c:pt idx="32">
                  <c:v>2.3869204620512605E-2</c:v>
                </c:pt>
                <c:pt idx="33">
                  <c:v>2.3920583684329769E-2</c:v>
                </c:pt>
                <c:pt idx="34">
                  <c:v>2.3971948741526725E-2</c:v>
                </c:pt>
                <c:pt idx="35">
                  <c:v>2.402329823858779E-2</c:v>
                </c:pt>
                <c:pt idx="36">
                  <c:v>2.4074630397097604E-2</c:v>
                </c:pt>
                <c:pt idx="37">
                  <c:v>2.4125943233631975E-2</c:v>
                </c:pt>
                <c:pt idx="38">
                  <c:v>2.4177234583191945E-2</c:v>
                </c:pt>
                <c:pt idx="39">
                  <c:v>2.4228502125892636E-2</c:v>
                </c:pt>
                <c:pt idx="40">
                  <c:v>2.4279743416589016E-2</c:v>
                </c:pt>
                <c:pt idx="41">
                  <c:v>2.4330955917095658E-2</c:v>
                </c:pt>
                <c:pt idx="42">
                  <c:v>2.4382137030635912E-2</c:v>
                </c:pt>
                <c:pt idx="43">
                  <c:v>2.4433284138139343E-2</c:v>
                </c:pt>
                <c:pt idx="44">
                  <c:v>2.4484394635993011E-2</c:v>
                </c:pt>
                <c:pt idx="45">
                  <c:v>2.4535465974844302E-2</c:v>
                </c:pt>
                <c:pt idx="46">
                  <c:v>2.4586495699048718E-2</c:v>
                </c:pt>
                <c:pt idx="47">
                  <c:v>2.4637481486356694E-2</c:v>
                </c:pt>
                <c:pt idx="48">
                  <c:v>2.4688421187438081E-2</c:v>
                </c:pt>
                <c:pt idx="49">
                  <c:v>2.4739312864851749E-2</c:v>
                </c:pt>
                <c:pt idx="50">
                  <c:v>2.4790154831080768E-2</c:v>
                </c:pt>
                <c:pt idx="51">
                  <c:v>2.484094568527E-2</c:v>
                </c:pt>
                <c:pt idx="52">
                  <c:v>2.4891684348323138E-2</c:v>
                </c:pt>
                <c:pt idx="53">
                  <c:v>2.4942370096039519E-2</c:v>
                </c:pt>
                <c:pt idx="54">
                  <c:v>2.4993002589997173E-2</c:v>
                </c:pt>
                <c:pt idx="55">
                  <c:v>2.5043581905917451E-2</c:v>
                </c:pt>
                <c:pt idx="56">
                  <c:v>2.5094108559277104E-2</c:v>
                </c:pt>
                <c:pt idx="57">
                  <c:v>2.5144583527966943E-2</c:v>
                </c:pt>
                <c:pt idx="58">
                  <c:v>2.5195008271829605E-2</c:v>
                </c:pt>
                <c:pt idx="59">
                  <c:v>2.5245384748944305E-2</c:v>
                </c:pt>
                <c:pt idx="60">
                  <c:v>2.5295715428561981E-2</c:v>
                </c:pt>
                <c:pt idx="61">
                  <c:v>2.5346003300629399E-2</c:v>
                </c:pt>
                <c:pt idx="62">
                  <c:v>2.5396251881876709E-2</c:v>
                </c:pt>
                <c:pt idx="63">
                  <c:v>2.5446465218476801E-2</c:v>
                </c:pt>
                <c:pt idx="64">
                  <c:v>2.5496647885318909E-2</c:v>
                </c:pt>
                <c:pt idx="65">
                  <c:v>2.554680498197023E-2</c:v>
                </c:pt>
                <c:pt idx="66">
                  <c:v>2.5596942125429872E-2</c:v>
                </c:pt>
                <c:pt idx="67">
                  <c:v>2.5647065439807274E-2</c:v>
                </c:pt>
                <c:pt idx="68">
                  <c:v>2.5697181543082495E-2</c:v>
                </c:pt>
                <c:pt idx="69">
                  <c:v>2.5747297531128924E-2</c:v>
                </c:pt>
                <c:pt idx="70">
                  <c:v>2.5797420959198472E-2</c:v>
                </c:pt>
                <c:pt idx="71">
                  <c:v>2.5847559821086219E-2</c:v>
                </c:pt>
                <c:pt idx="72">
                  <c:v>2.5897722526204932E-2</c:v>
                </c:pt>
                <c:pt idx="73">
                  <c:v>2.5947917874809778E-2</c:v>
                </c:pt>
                <c:pt idx="74">
                  <c:v>2.5998155031620833E-2</c:v>
                </c:pt>
                <c:pt idx="75">
                  <c:v>2.6048443498093474E-2</c:v>
                </c:pt>
                <c:pt idx="76">
                  <c:v>2.6098793083587417E-2</c:v>
                </c:pt>
                <c:pt idx="77">
                  <c:v>2.6149213875681282E-2</c:v>
                </c:pt>
                <c:pt idx="78">
                  <c:v>2.6199716209873224E-2</c:v>
                </c:pt>
                <c:pt idx="79">
                  <c:v>2.6250310638898478E-2</c:v>
                </c:pt>
                <c:pt idx="80">
                  <c:v>2.6301007901882167E-2</c:v>
                </c:pt>
                <c:pt idx="81">
                  <c:v>2.6351818893530728E-2</c:v>
                </c:pt>
                <c:pt idx="82">
                  <c:v>2.6402754633548006E-2</c:v>
                </c:pt>
                <c:pt idx="83">
                  <c:v>2.6453826236442345E-2</c:v>
                </c:pt>
                <c:pt idx="84">
                  <c:v>2.6505044881869992E-2</c:v>
                </c:pt>
                <c:pt idx="85">
                  <c:v>2.6556421785637673E-2</c:v>
                </c:pt>
                <c:pt idx="86">
                  <c:v>2.6607968171463089E-2</c:v>
                </c:pt>
                <c:pt idx="87">
                  <c:v>2.6659695243568357E-2</c:v>
                </c:pt>
                <c:pt idx="88">
                  <c:v>2.6711614160156286E-2</c:v>
                </c:pt>
                <c:pt idx="89">
                  <c:v>2.6763736007795146E-2</c:v>
                </c:pt>
                <c:pt idx="90">
                  <c:v>2.6816071776713142E-2</c:v>
                </c:pt>
                <c:pt idx="91">
                  <c:v>2.6868632336980901E-2</c:v>
                </c:pt>
                <c:pt idx="92">
                  <c:v>2.6921428415537744E-2</c:v>
                </c:pt>
                <c:pt idx="93">
                  <c:v>2.697447057399693E-2</c:v>
                </c:pt>
                <c:pt idx="94">
                  <c:v>2.7027769187146614E-2</c:v>
                </c:pt>
                <c:pt idx="95">
                  <c:v>2.7081334422045713E-2</c:v>
                </c:pt>
                <c:pt idx="96">
                  <c:v>2.7135176217600573E-2</c:v>
                </c:pt>
                <c:pt idx="97">
                  <c:v>2.7189304264495655E-2</c:v>
                </c:pt>
                <c:pt idx="98">
                  <c:v>2.7243727985343111E-2</c:v>
                </c:pt>
                <c:pt idx="99">
                  <c:v>2.7298456514910061E-2</c:v>
                </c:pt>
                <c:pt idx="100">
                  <c:v>2.7353498680279309E-2</c:v>
                </c:pt>
                <c:pt idx="101">
                  <c:v>2.740886298079994E-2</c:v>
                </c:pt>
                <c:pt idx="102">
                  <c:v>2.7464557567687405E-2</c:v>
                </c:pt>
                <c:pt idx="103">
                  <c:v>2.7520590223139726E-2</c:v>
                </c:pt>
                <c:pt idx="104">
                  <c:v>2.7576968338846201E-2</c:v>
                </c:pt>
                <c:pt idx="105">
                  <c:v>2.7633698893777918E-2</c:v>
                </c:pt>
                <c:pt idx="106">
                  <c:v>2.7690788431165549E-2</c:v>
                </c:pt>
                <c:pt idx="107">
                  <c:v>2.7748243034587977E-2</c:v>
                </c:pt>
                <c:pt idx="108">
                  <c:v>2.7806068303117135E-2</c:v>
                </c:pt>
                <c:pt idx="109">
                  <c:v>2.7864269325487235E-2</c:v>
                </c:pt>
                <c:pt idx="110">
                  <c:v>2.7922850653282354E-2</c:v>
                </c:pt>
                <c:pt idx="111">
                  <c:v>2.7981816273163301E-2</c:v>
                </c:pt>
                <c:pt idx="112">
                  <c:v>2.8041169578182954E-2</c:v>
                </c:pt>
                <c:pt idx="113">
                  <c:v>2.8100913338268637E-2</c:v>
                </c:pt>
                <c:pt idx="114">
                  <c:v>2.8161049669980023E-2</c:v>
                </c:pt>
                <c:pt idx="115">
                  <c:v>2.8221580005680848E-2</c:v>
                </c:pt>
                <c:pt idx="116">
                  <c:v>2.8282505062292611E-2</c:v>
                </c:pt>
                <c:pt idx="117">
                  <c:v>2.83438248098274E-2</c:v>
                </c:pt>
                <c:pt idx="118">
                  <c:v>2.8405538439924626E-2</c:v>
                </c:pt>
                <c:pt idx="119">
                  <c:v>2.846764433464331E-2</c:v>
                </c:pt>
                <c:pt idx="120">
                  <c:v>2.8530140035785627E-2</c:v>
                </c:pt>
                <c:pt idx="121">
                  <c:v>2.8593022215049349E-2</c:v>
                </c:pt>
                <c:pt idx="122">
                  <c:v>2.8656286645326781E-2</c:v>
                </c:pt>
                <c:pt idx="123">
                  <c:v>2.871992817348374E-2</c:v>
                </c:pt>
                <c:pt idx="124">
                  <c:v>2.878394069496517E-2</c:v>
                </c:pt>
                <c:pt idx="125">
                  <c:v>2.8848317130583546E-2</c:v>
                </c:pt>
                <c:pt idx="126">
                  <c:v>2.8913049405851633E-2</c:v>
                </c:pt>
                <c:pt idx="127">
                  <c:v>2.8978128433222776E-2</c:v>
                </c:pt>
                <c:pt idx="128">
                  <c:v>2.9043544097598694E-2</c:v>
                </c:pt>
                <c:pt idx="129">
                  <c:v>2.9109285245458451E-2</c:v>
                </c:pt>
                <c:pt idx="130">
                  <c:v>2.9175339677949826E-2</c:v>
                </c:pt>
                <c:pt idx="131">
                  <c:v>2.9241694148269274E-2</c:v>
                </c:pt>
                <c:pt idx="132">
                  <c:v>2.9308334363635752E-2</c:v>
                </c:pt>
                <c:pt idx="133">
                  <c:v>2.937524499213965E-2</c:v>
                </c:pt>
                <c:pt idx="134">
                  <c:v>2.9442409674719113E-2</c:v>
                </c:pt>
                <c:pt idx="135">
                  <c:v>2.9509811042483493E-2</c:v>
                </c:pt>
                <c:pt idx="136">
                  <c:v>2.9577430739567541E-2</c:v>
                </c:pt>
                <c:pt idx="137">
                  <c:v>2.9645249451660267E-2</c:v>
                </c:pt>
                <c:pt idx="138">
                  <c:v>2.9713246940309249E-2</c:v>
                </c:pt>
                <c:pt idx="139">
                  <c:v>2.9781402083056505E-2</c:v>
                </c:pt>
                <c:pt idx="140">
                  <c:v>2.9849692919413511E-2</c:v>
                </c:pt>
                <c:pt idx="141">
                  <c:v>2.9918096702633977E-2</c:v>
                </c:pt>
                <c:pt idx="142">
                  <c:v>2.9986589957191948E-2</c:v>
                </c:pt>
                <c:pt idx="143">
                  <c:v>3.0055148541820727E-2</c:v>
                </c:pt>
                <c:pt idx="144">
                  <c:v>3.0123747717916684E-2</c:v>
                </c:pt>
                <c:pt idx="145">
                  <c:v>3.0192362223059325E-2</c:v>
                </c:pt>
                <c:pt idx="146">
                  <c:v>3.0260966349348464E-2</c:v>
                </c:pt>
                <c:pt idx="147">
                  <c:v>3.0329534026209238E-2</c:v>
                </c:pt>
                <c:pt idx="148">
                  <c:v>3.0398038907267402E-2</c:v>
                </c:pt>
                <c:pt idx="149">
                  <c:v>3.0466454460852051E-2</c:v>
                </c:pt>
                <c:pt idx="150">
                  <c:v>3.0534754063639782E-2</c:v>
                </c:pt>
                <c:pt idx="151">
                  <c:v>3.0602911096914747E-2</c:v>
                </c:pt>
                <c:pt idx="152">
                  <c:v>3.0670899044883675E-2</c:v>
                </c:pt>
                <c:pt idx="153">
                  <c:v>3.0738691594453148E-2</c:v>
                </c:pt>
                <c:pt idx="154">
                  <c:v>3.0806262735849858E-2</c:v>
                </c:pt>
                <c:pt idx="155">
                  <c:v>3.0873586863442787E-2</c:v>
                </c:pt>
                <c:pt idx="156">
                  <c:v>3.0940638876109573E-2</c:v>
                </c:pt>
                <c:pt idx="157">
                  <c:v>3.1007394276478799E-2</c:v>
                </c:pt>
                <c:pt idx="158">
                  <c:v>3.1073829268374379E-2</c:v>
                </c:pt>
                <c:pt idx="159">
                  <c:v>3.1139920851789377E-2</c:v>
                </c:pt>
                <c:pt idx="160">
                  <c:v>3.120564691472311E-2</c:v>
                </c:pt>
                <c:pt idx="161">
                  <c:v>3.1270986321228517E-2</c:v>
                </c:pt>
                <c:pt idx="162">
                  <c:v>3.1335918995035218E-2</c:v>
                </c:pt>
                <c:pt idx="163">
                  <c:v>3.1400425998138845E-2</c:v>
                </c:pt>
                <c:pt idx="164">
                  <c:v>3.1464489603777415E-2</c:v>
                </c:pt>
                <c:pt idx="165">
                  <c:v>3.1528093363251679E-2</c:v>
                </c:pt>
                <c:pt idx="166">
                  <c:v>3.159122216608768E-2</c:v>
                </c:pt>
                <c:pt idx="167">
                  <c:v>3.1653862293085727E-2</c:v>
                </c:pt>
                <c:pt idx="168">
                  <c:v>3.1716001461851294E-2</c:v>
                </c:pt>
                <c:pt idx="169">
                  <c:v>3.1777628864457515E-2</c:v>
                </c:pt>
                <c:pt idx="170">
                  <c:v>3.1838735196947916E-2</c:v>
                </c:pt>
                <c:pt idx="171">
                  <c:v>3.1899312680449453E-2</c:v>
                </c:pt>
                <c:pt idx="172">
                  <c:v>3.1959355073730086E-2</c:v>
                </c:pt>
                <c:pt idx="173">
                  <c:v>3.2018857677101151E-2</c:v>
                </c:pt>
                <c:pt idx="174">
                  <c:v>3.207781732763218E-2</c:v>
                </c:pt>
                <c:pt idx="175">
                  <c:v>3.213623238571419E-2</c:v>
                </c:pt>
                <c:pt idx="176">
                  <c:v>3.2194102713075247E-2</c:v>
                </c:pt>
                <c:pt idx="177">
                  <c:v>3.2251429642420094E-2</c:v>
                </c:pt>
                <c:pt idx="178">
                  <c:v>3.2308215938931836E-2</c:v>
                </c:pt>
                <c:pt idx="179">
                  <c:v>3.2364465753937956E-2</c:v>
                </c:pt>
                <c:pt idx="180">
                  <c:v>3.2420184571105397E-2</c:v>
                </c:pt>
                <c:pt idx="181">
                  <c:v>3.2475379145587645E-2</c:v>
                </c:pt>
                <c:pt idx="182">
                  <c:v>3.2530057436602623E-2</c:v>
                </c:pt>
                <c:pt idx="183">
                  <c:v>3.2584228533970361E-2</c:v>
                </c:pt>
                <c:pt idx="184">
                  <c:v>3.2637902579186355E-2</c:v>
                </c:pt>
                <c:pt idx="185">
                  <c:v>3.2691090681646807E-2</c:v>
                </c:pt>
                <c:pt idx="186">
                  <c:v>3.2743804830677771E-2</c:v>
                </c:pt>
                <c:pt idx="187">
                  <c:v>3.2796057804049455E-2</c:v>
                </c:pt>
                <c:pt idx="188">
                  <c:v>3.2847863073679949E-2</c:v>
                </c:pt>
                <c:pt idx="189">
                  <c:v>3.2899234709249534E-2</c:v>
                </c:pt>
                <c:pt idx="190">
                  <c:v>3.2950187280456414E-2</c:v>
                </c:pt>
                <c:pt idx="191">
                  <c:v>3.3000735758648252E-2</c:v>
                </c:pt>
                <c:pt idx="192">
                  <c:v>3.3050895418559871E-2</c:v>
                </c:pt>
                <c:pt idx="193">
                  <c:v>3.3100681740877561E-2</c:v>
                </c:pt>
                <c:pt idx="194">
                  <c:v>3.3150110316333248E-2</c:v>
                </c:pt>
                <c:pt idx="195">
                  <c:v>3.3199196752008171E-2</c:v>
                </c:pt>
                <c:pt idx="196">
                  <c:v>3.324795658049616E-2</c:v>
                </c:pt>
                <c:pt idx="197">
                  <c:v>3.3296405172541232E-2</c:v>
                </c:pt>
                <c:pt idx="198">
                  <c:v>3.3344557653722177E-2</c:v>
                </c:pt>
                <c:pt idx="199">
                  <c:v>3.3392428825711605E-2</c:v>
                </c:pt>
                <c:pt idx="200">
                  <c:v>3.3440033092584941E-2</c:v>
                </c:pt>
                <c:pt idx="201">
                  <c:v>3.3487384392600371E-2</c:v>
                </c:pt>
                <c:pt idx="202">
                  <c:v>3.353449613581181E-2</c:v>
                </c:pt>
                <c:pt idx="203">
                  <c:v>3.358138114781551E-2</c:v>
                </c:pt>
                <c:pt idx="204">
                  <c:v>3.3628051619866685E-2</c:v>
                </c:pt>
                <c:pt idx="205">
                  <c:v>3.3674519065537728E-2</c:v>
                </c:pt>
                <c:pt idx="206">
                  <c:v>3.3720794284022214E-2</c:v>
                </c:pt>
                <c:pt idx="207">
                  <c:v>3.3766887330122966E-2</c:v>
                </c:pt>
                <c:pt idx="208">
                  <c:v>3.3812807490895803E-2</c:v>
                </c:pt>
                <c:pt idx="209">
                  <c:v>3.3858563268855467E-2</c:v>
                </c:pt>
                <c:pt idx="210">
                  <c:v>3.3904162371587214E-2</c:v>
                </c:pt>
                <c:pt idx="211">
                  <c:v>3.394961170754663E-2</c:v>
                </c:pt>
                <c:pt idx="212">
                  <c:v>3.3994917387772543E-2</c:v>
                </c:pt>
                <c:pt idx="213">
                  <c:v>3.4040084733184164E-2</c:v>
                </c:pt>
                <c:pt idx="214">
                  <c:v>3.4085118287084055E-2</c:v>
                </c:pt>
                <c:pt idx="215">
                  <c:v>3.4130021832443569E-2</c:v>
                </c:pt>
                <c:pt idx="216">
                  <c:v>3.4174798413508248E-2</c:v>
                </c:pt>
                <c:pt idx="217">
                  <c:v>3.4219450361226839E-2</c:v>
                </c:pt>
                <c:pt idx="218">
                  <c:v>3.4263979321979998E-2</c:v>
                </c:pt>
                <c:pt idx="219">
                  <c:v>3.4308386289063415E-2</c:v>
                </c:pt>
                <c:pt idx="220">
                  <c:v>3.4352671636365371E-2</c:v>
                </c:pt>
                <c:pt idx="221">
                  <c:v>3.4396835153671139E-2</c:v>
                </c:pt>
                <c:pt idx="222">
                  <c:v>3.4440876083024735E-2</c:v>
                </c:pt>
                <c:pt idx="223">
                  <c:v>3.4484793155584809E-2</c:v>
                </c:pt>
                <c:pt idx="224">
                  <c:v>3.4528584628423585E-2</c:v>
                </c:pt>
                <c:pt idx="225">
                  <c:v>3.4572248320736354E-2</c:v>
                </c:pt>
                <c:pt idx="226">
                  <c:v>3.4615781648954687E-2</c:v>
                </c:pt>
                <c:pt idx="227">
                  <c:v>3.4659181660287634E-2</c:v>
                </c:pt>
                <c:pt idx="228">
                  <c:v>3.4702445064252005E-2</c:v>
                </c:pt>
                <c:pt idx="229">
                  <c:v>3.4745568261795291E-2</c:v>
                </c:pt>
                <c:pt idx="230">
                  <c:v>3.4788547371661684E-2</c:v>
                </c:pt>
                <c:pt idx="231">
                  <c:v>3.4831378253702742E-2</c:v>
                </c:pt>
                <c:pt idx="232">
                  <c:v>3.4874056528889412E-2</c:v>
                </c:pt>
                <c:pt idx="233">
                  <c:v>3.4916577595839784E-2</c:v>
                </c:pt>
                <c:pt idx="234">
                  <c:v>3.4958936643737032E-2</c:v>
                </c:pt>
                <c:pt idx="235">
                  <c:v>3.5001128661574336E-2</c:v>
                </c:pt>
                <c:pt idx="236">
                  <c:v>3.5043148443725705E-2</c:v>
                </c:pt>
                <c:pt idx="237">
                  <c:v>3.5084990591905035E-2</c:v>
                </c:pt>
                <c:pt idx="238">
                  <c:v>3.5126649513637857E-2</c:v>
                </c:pt>
                <c:pt idx="239">
                  <c:v>3.5168119417431316E-2</c:v>
                </c:pt>
                <c:pt idx="240">
                  <c:v>3.5209394304887003E-2</c:v>
                </c:pt>
                <c:pt idx="241">
                  <c:v>3.5250467960057395E-2</c:v>
                </c:pt>
                <c:pt idx="242">
                  <c:v>3.5291333936399535E-2</c:v>
                </c:pt>
                <c:pt idx="243">
                  <c:v>3.533198554172829E-2</c:v>
                </c:pt>
                <c:pt idx="244">
                  <c:v>3.5372415821615481E-2</c:v>
                </c:pt>
                <c:pt idx="245">
                  <c:v>3.5412617541719843E-2</c:v>
                </c:pt>
                <c:pt idx="246">
                  <c:v>3.5452583169565788E-2</c:v>
                </c:pt>
                <c:pt idx="247">
                  <c:v>3.54923048563155E-2</c:v>
                </c:pt>
                <c:pt idx="248">
                  <c:v>3.5531774419098973E-2</c:v>
                </c:pt>
                <c:pt idx="249">
                  <c:v>3.557098332447961E-2</c:v>
                </c:pt>
                <c:pt idx="250">
                  <c:v>3.5609922673639001E-2</c:v>
                </c:pt>
                <c:pt idx="251">
                  <c:v>3.564858318986288E-2</c:v>
                </c:pt>
                <c:pt idx="252">
                  <c:v>3.5686955208901368E-2</c:v>
                </c:pt>
                <c:pt idx="253">
                  <c:v>3.5725028672760346E-2</c:v>
                </c:pt>
                <c:pt idx="254">
                  <c:v>3.5762793127456838E-2</c:v>
                </c:pt>
                <c:pt idx="255">
                  <c:v>3.5800237725240561E-2</c:v>
                </c:pt>
                <c:pt idx="256">
                  <c:v>3.5837351231745564E-2</c:v>
                </c:pt>
                <c:pt idx="257">
                  <c:v>3.5874122038491801E-2</c:v>
                </c:pt>
                <c:pt idx="258">
                  <c:v>3.5910538181105039E-2</c:v>
                </c:pt>
                <c:pt idx="259">
                  <c:v>3.5946587363567192E-2</c:v>
                </c:pt>
                <c:pt idx="260">
                  <c:v>3.5982256988747616E-2</c:v>
                </c:pt>
                <c:pt idx="261">
                  <c:v>3.6017534195398625E-2</c:v>
                </c:pt>
                <c:pt idx="262">
                  <c:v>3.6052405901728889E-2</c:v>
                </c:pt>
                <c:pt idx="263">
                  <c:v>3.6086858855593748E-2</c:v>
                </c:pt>
                <c:pt idx="264">
                  <c:v>3.6120879691265984E-2</c:v>
                </c:pt>
                <c:pt idx="265">
                  <c:v>3.6154454992671996E-2</c:v>
                </c:pt>
                <c:pt idx="266">
                  <c:v>3.6187571362899573E-2</c:v>
                </c:pt>
                <c:pt idx="267">
                  <c:v>3.6220215499704611E-2</c:v>
                </c:pt>
                <c:pt idx="268">
                  <c:v>3.6252374276665646E-2</c:v>
                </c:pt>
                <c:pt idx="269">
                  <c:v>3.6284034829558748E-2</c:v>
                </c:pt>
                <c:pt idx="270">
                  <c:v>3.6315184647450767E-2</c:v>
                </c:pt>
                <c:pt idx="271">
                  <c:v>3.6345811667938703E-2</c:v>
                </c:pt>
                <c:pt idx="272">
                  <c:v>3.6375904375895676E-2</c:v>
                </c:pt>
                <c:pt idx="273">
                  <c:v>3.6405451905022659E-2</c:v>
                </c:pt>
                <c:pt idx="274">
                  <c:v>3.6434444141448523E-2</c:v>
                </c:pt>
                <c:pt idx="275">
                  <c:v>3.6462871828571504E-2</c:v>
                </c:pt>
                <c:pt idx="276">
                  <c:v>3.6490726672291564E-2</c:v>
                </c:pt>
                <c:pt idx="277">
                  <c:v>3.6518001445748662E-2</c:v>
                </c:pt>
                <c:pt idx="278">
                  <c:v>3.6544690092653473E-2</c:v>
                </c:pt>
                <c:pt idx="279">
                  <c:v>3.6570787828278654E-2</c:v>
                </c:pt>
                <c:pt idx="280">
                  <c:v>3.6596291237168267E-2</c:v>
                </c:pt>
                <c:pt idx="281">
                  <c:v>3.6621198366621664E-2</c:v>
                </c:pt>
                <c:pt idx="282">
                  <c:v>3.6645508815015888E-2</c:v>
                </c:pt>
                <c:pt idx="283">
                  <c:v>3.6669223814047955E-2</c:v>
                </c:pt>
                <c:pt idx="284">
                  <c:v>3.669234630400442E-2</c:v>
                </c:pt>
                <c:pt idx="285">
                  <c:v>3.6714881001201224E-2</c:v>
                </c:pt>
                <c:pt idx="286">
                  <c:v>3.6736834456780942E-2</c:v>
                </c:pt>
                <c:pt idx="287">
                  <c:v>3.6758215106107654E-2</c:v>
                </c:pt>
                <c:pt idx="288">
                  <c:v>3.6779033308060566E-2</c:v>
                </c:pt>
                <c:pt idx="289">
                  <c:v>3.6799301373596612E-2</c:v>
                </c:pt>
                <c:pt idx="290">
                  <c:v>3.6819033583027891E-2</c:v>
                </c:pt>
                <c:pt idx="291">
                  <c:v>3.6838246191543134E-2</c:v>
                </c:pt>
                <c:pt idx="292">
                  <c:v>3.6856957422589855E-2</c:v>
                </c:pt>
                <c:pt idx="293">
                  <c:v>3.6875187448828547E-2</c:v>
                </c:pt>
                <c:pt idx="294">
                  <c:v>3.689295836046718E-2</c:v>
                </c:pt>
                <c:pt idx="295">
                  <c:v>3.6910294120885943E-2</c:v>
                </c:pt>
                <c:pt idx="296">
                  <c:v>3.6927220509565914E-2</c:v>
                </c:pt>
                <c:pt idx="297">
                  <c:v>3.6943765052440368E-2</c:v>
                </c:pt>
                <c:pt idx="298">
                  <c:v>3.6959956939893429E-2</c:v>
                </c:pt>
                <c:pt idx="299">
                  <c:v>3.6975826932736003E-2</c:v>
                </c:pt>
                <c:pt idx="300">
                  <c:v>3.6991407256593153E-2</c:v>
                </c:pt>
                <c:pt idx="301">
                  <c:v>3.7006731485238219E-2</c:v>
                </c:pt>
                <c:pt idx="302">
                  <c:v>3.7021834413507697E-2</c:v>
                </c:pt>
                <c:pt idx="303">
                  <c:v>3.703675192052442E-2</c:v>
                </c:pt>
                <c:pt idx="304">
                  <c:v>3.7051520824045274E-2</c:v>
                </c:pt>
                <c:pt idx="305">
                  <c:v>3.7066178726832544E-2</c:v>
                </c:pt>
                <c:pt idx="306">
                  <c:v>3.7080763856023179E-2</c:v>
                </c:pt>
                <c:pt idx="307">
                  <c:v>3.7095314896538729E-2</c:v>
                </c:pt>
                <c:pt idx="308">
                  <c:v>3.7109870819638117E-2</c:v>
                </c:pt>
                <c:pt idx="309">
                  <c:v>3.7124470707766026E-2</c:v>
                </c:pt>
                <c:pt idx="310">
                  <c:v>3.7139153576891099E-2</c:v>
                </c:pt>
                <c:pt idx="311">
                  <c:v>3.7153958197559303E-2</c:v>
                </c:pt>
                <c:pt idx="312">
                  <c:v>3.7168922915908766E-2</c:v>
                </c:pt>
                <c:pt idx="313">
                  <c:v>3.7184085475902774E-2</c:v>
                </c:pt>
                <c:pt idx="314">
                  <c:v>3.7199482844037672E-2</c:v>
                </c:pt>
                <c:pt idx="315">
                  <c:v>3.7215151037770913E-2</c:v>
                </c:pt>
                <c:pt idx="316">
                  <c:v>3.7231124958893108E-2</c:v>
                </c:pt>
                <c:pt idx="317">
                  <c:v>3.7247438233035668E-2</c:v>
                </c:pt>
                <c:pt idx="318">
                  <c:v>3.7264123056462609E-2</c:v>
                </c:pt>
                <c:pt idx="319">
                  <c:v>3.7281210051243067E-2</c:v>
                </c:pt>
                <c:pt idx="320">
                  <c:v>3.7298728129838352E-2</c:v>
                </c:pt>
                <c:pt idx="321">
                  <c:v>3.7316704370066754E-2</c:v>
                </c:pt>
                <c:pt idx="322">
                  <c:v>3.7335163901329287E-2</c:v>
                </c:pt>
                <c:pt idx="323">
                  <c:v>3.7354129802892641E-2</c:v>
                </c:pt>
                <c:pt idx="324">
                  <c:v>3.7373623014931391E-2</c:v>
                </c:pt>
                <c:pt idx="325">
                  <c:v>3.7393662262930984E-2</c:v>
                </c:pt>
                <c:pt idx="326">
                  <c:v>3.7414263995947904E-2</c:v>
                </c:pt>
                <c:pt idx="327">
                  <c:v>3.7435442339113438E-2</c:v>
                </c:pt>
                <c:pt idx="328">
                  <c:v>3.7457209060654507E-2</c:v>
                </c:pt>
                <c:pt idx="329">
                  <c:v>3.7479573553589898E-2</c:v>
                </c:pt>
                <c:pt idx="330">
                  <c:v>3.750254283214341E-2</c:v>
                </c:pt>
                <c:pt idx="331">
                  <c:v>3.7526121542799232E-2</c:v>
                </c:pt>
                <c:pt idx="332">
                  <c:v>3.7550311989808738E-2</c:v>
                </c:pt>
                <c:pt idx="333">
                  <c:v>3.7575114174844042E-2</c:v>
                </c:pt>
                <c:pt idx="334">
                  <c:v>3.7600525850382996E-2</c:v>
                </c:pt>
                <c:pt idx="335">
                  <c:v>3.7626542586303137E-2</c:v>
                </c:pt>
                <c:pt idx="336">
                  <c:v>3.765315784905994E-2</c:v>
                </c:pt>
                <c:pt idx="337">
                  <c:v>3.7680363092728687E-2</c:v>
                </c:pt>
                <c:pt idx="338">
                  <c:v>3.7708147861099488E-2</c:v>
                </c:pt>
                <c:pt idx="339">
                  <c:v>3.7736499899932753E-2</c:v>
                </c:pt>
                <c:pt idx="340">
                  <c:v>3.776540527840859E-2</c:v>
                </c:pt>
                <c:pt idx="341">
                  <c:v>3.7794848518738246E-2</c:v>
                </c:pt>
                <c:pt idx="342">
                  <c:v>3.7824812732849808E-2</c:v>
                </c:pt>
                <c:pt idx="343">
                  <c:v>3.785527976501446E-2</c:v>
                </c:pt>
                <c:pt idx="344">
                  <c:v>3.7886230339243737E-2</c:v>
                </c:pt>
                <c:pt idx="345">
                  <c:v>3.791764421026253E-2</c:v>
                </c:pt>
                <c:pt idx="346">
                  <c:v>3.7949500316848163E-2</c:v>
                </c:pt>
                <c:pt idx="347">
                  <c:v>3.7981776936321807E-2</c:v>
                </c:pt>
                <c:pt idx="348">
                  <c:v>3.8014451838984706E-2</c:v>
                </c:pt>
                <c:pt idx="349">
                  <c:v>3.8047502441309125E-2</c:v>
                </c:pt>
                <c:pt idx="350">
                  <c:v>3.8080905956721596E-2</c:v>
                </c:pt>
                <c:pt idx="351">
                  <c:v>3.8114639542852956E-2</c:v>
                </c:pt>
                <c:pt idx="352">
                  <c:v>3.8148680444177178E-2</c:v>
                </c:pt>
                <c:pt idx="353">
                  <c:v>3.8183006129016699E-2</c:v>
                </c:pt>
                <c:pt idx="354">
                  <c:v>3.8217594419956834E-2</c:v>
                </c:pt>
                <c:pt idx="355">
                  <c:v>3.8252423616784104E-2</c:v>
                </c:pt>
                <c:pt idx="356">
                  <c:v>3.8287472611142334E-2</c:v>
                </c:pt>
                <c:pt idx="357">
                  <c:v>3.8322720992186858E-2</c:v>
                </c:pt>
                <c:pt idx="358">
                  <c:v>3.8358149142607482E-2</c:v>
                </c:pt>
                <c:pt idx="359">
                  <c:v>3.8393738324486906E-2</c:v>
                </c:pt>
                <c:pt idx="360">
                  <c:v>3.8429470754560366E-2</c:v>
                </c:pt>
                <c:pt idx="361">
                  <c:v>3.8465329668544011E-2</c:v>
                </c:pt>
                <c:pt idx="362">
                  <c:v>3.8501299374302994E-2</c:v>
                </c:pt>
                <c:pt idx="363">
                  <c:v>3.8537365293734305E-2</c:v>
                </c:pt>
                <c:pt idx="364">
                  <c:v>3.8573513993342995E-2</c:v>
                </c:pt>
                <c:pt idx="365">
                  <c:v>3.8609733203593122E-2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3.7541039977665321E-3</c:v>
                </c:pt>
                <c:pt idx="1">
                  <c:v>3.7502987669326593E-3</c:v>
                </c:pt>
                <c:pt idx="2">
                  <c:v>3.7480269900128653E-3</c:v>
                </c:pt>
                <c:pt idx="3">
                  <c:v>3.7474197048597861E-3</c:v>
                </c:pt>
                <c:pt idx="4">
                  <c:v>3.7486007257785418E-3</c:v>
                </c:pt>
                <c:pt idx="5">
                  <c:v>3.7516871922217551E-3</c:v>
                </c:pt>
                <c:pt idx="6">
                  <c:v>3.7567902346711739E-3</c:v>
                </c:pt>
                <c:pt idx="7">
                  <c:v>3.7640157300769536E-3</c:v>
                </c:pt>
                <c:pt idx="8">
                  <c:v>3.7726469989997368E-3</c:v>
                </c:pt>
                <c:pt idx="9">
                  <c:v>3.7824509860292293E-3</c:v>
                </c:pt>
                <c:pt idx="10">
                  <c:v>3.7925730555974447E-3</c:v>
                </c:pt>
                <c:pt idx="11">
                  <c:v>3.8031534529351669E-3</c:v>
                </c:pt>
                <c:pt idx="12">
                  <c:v>3.8143276690418169E-3</c:v>
                </c:pt>
                <c:pt idx="13">
                  <c:v>3.8262263169731533E-3</c:v>
                </c:pt>
                <c:pt idx="14">
                  <c:v>3.8389751605295112E-3</c:v>
                </c:pt>
                <c:pt idx="15">
                  <c:v>3.852275379958128E-3</c:v>
                </c:pt>
                <c:pt idx="16">
                  <c:v>3.8646124310496815E-3</c:v>
                </c:pt>
                <c:pt idx="17">
                  <c:v>3.8761638358533082E-3</c:v>
                </c:pt>
                <c:pt idx="18">
                  <c:v>3.8871021333367708E-3</c:v>
                </c:pt>
                <c:pt idx="19">
                  <c:v>3.8976163827911534E-3</c:v>
                </c:pt>
                <c:pt idx="20">
                  <c:v>3.9079004218335392E-3</c:v>
                </c:pt>
                <c:pt idx="21">
                  <c:v>3.9181262625847231E-3</c:v>
                </c:pt>
                <c:pt idx="22">
                  <c:v>3.9278706247995662E-3</c:v>
                </c:pt>
                <c:pt idx="23">
                  <c:v>3.934663497375087E-3</c:v>
                </c:pt>
                <c:pt idx="24">
                  <c:v>3.9382891474159399E-3</c:v>
                </c:pt>
                <c:pt idx="25">
                  <c:v>3.9389393807414217E-3</c:v>
                </c:pt>
                <c:pt idx="26">
                  <c:v>3.9368013255641409E-3</c:v>
                </c:pt>
                <c:pt idx="27">
                  <c:v>3.932056746298318E-3</c:v>
                </c:pt>
                <c:pt idx="28">
                  <c:v>3.9248814945881064E-3</c:v>
                </c:pt>
                <c:pt idx="29">
                  <c:v>3.9082893854029523E-3</c:v>
                </c:pt>
                <c:pt idx="30">
                  <c:v>3.8830113175219471E-3</c:v>
                </c:pt>
                <c:pt idx="31">
                  <c:v>3.849396816732774E-3</c:v>
                </c:pt>
                <c:pt idx="32">
                  <c:v>3.80777902034272E-3</c:v>
                </c:pt>
                <c:pt idx="33">
                  <c:v>3.7584736905471277E-3</c:v>
                </c:pt>
                <c:pt idx="34">
                  <c:v>3.701778424146093E-3</c:v>
                </c:pt>
                <c:pt idx="35">
                  <c:v>3.6379720317484591E-3</c:v>
                </c:pt>
                <c:pt idx="36">
                  <c:v>3.567111451401081E-3</c:v>
                </c:pt>
                <c:pt idx="37">
                  <c:v>3.4833951786345844E-3</c:v>
                </c:pt>
                <c:pt idx="38">
                  <c:v>3.3889208797725748E-3</c:v>
                </c:pt>
                <c:pt idx="39">
                  <c:v>3.2839868442038176E-3</c:v>
                </c:pt>
                <c:pt idx="40">
                  <c:v>3.1688780962244902E-3</c:v>
                </c:pt>
                <c:pt idx="41">
                  <c:v>3.0438665642839938E-3</c:v>
                </c:pt>
                <c:pt idx="42">
                  <c:v>2.9092112520815701E-3</c:v>
                </c:pt>
                <c:pt idx="43">
                  <c:v>2.766768973544791E-3</c:v>
                </c:pt>
                <c:pt idx="44">
                  <c:v>2.6229652041834077E-3</c:v>
                </c:pt>
                <c:pt idx="45">
                  <c:v>2.4778235988752828E-3</c:v>
                </c:pt>
                <c:pt idx="46">
                  <c:v>2.3313637985404477E-3</c:v>
                </c:pt>
                <c:pt idx="47">
                  <c:v>2.1836014676702591E-3</c:v>
                </c:pt>
                <c:pt idx="48">
                  <c:v>2.0345483175636665E-3</c:v>
                </c:pt>
                <c:pt idx="49">
                  <c:v>1.8842121151790674E-3</c:v>
                </c:pt>
                <c:pt idx="50">
                  <c:v>1.7325856262629797E-3</c:v>
                </c:pt>
                <c:pt idx="51">
                  <c:v>1.5848778009873298E-3</c:v>
                </c:pt>
                <c:pt idx="52">
                  <c:v>1.4461151372230951E-3</c:v>
                </c:pt>
                <c:pt idx="53">
                  <c:v>1.3160635079931154E-3</c:v>
                </c:pt>
                <c:pt idx="54">
                  <c:v>1.1945053204963619E-3</c:v>
                </c:pt>
                <c:pt idx="55">
                  <c:v>1.0812305154057078E-3</c:v>
                </c:pt>
                <c:pt idx="56">
                  <c:v>9.7603617808835299E-4</c:v>
                </c:pt>
                <c:pt idx="57">
                  <c:v>8.8281667334549592E-4</c:v>
                </c:pt>
                <c:pt idx="58">
                  <c:v>7.99896117150108E-4</c:v>
                </c:pt>
                <c:pt idx="59">
                  <c:v>7.2705251030997467E-4</c:v>
                </c:pt>
                <c:pt idx="60">
                  <c:v>6.6407262424092732E-4</c:v>
                </c:pt>
                <c:pt idx="61">
                  <c:v>6.1075172589057723E-4</c:v>
                </c:pt>
                <c:pt idx="62">
                  <c:v>5.6689333407482331E-4</c:v>
                </c:pt>
                <c:pt idx="63">
                  <c:v>5.3230900618691309E-4</c:v>
                </c:pt>
                <c:pt idx="64">
                  <c:v>5.0680558224848471E-4</c:v>
                </c:pt>
                <c:pt idx="65">
                  <c:v>4.9126661786613908E-4</c:v>
                </c:pt>
                <c:pt idx="66">
                  <c:v>4.8081965790864396E-4</c:v>
                </c:pt>
                <c:pt idx="67">
                  <c:v>4.7538737678415132E-4</c:v>
                </c:pt>
                <c:pt idx="68">
                  <c:v>4.7489627263459474E-4</c:v>
                </c:pt>
                <c:pt idx="69">
                  <c:v>4.7927726013607079E-4</c:v>
                </c:pt>
                <c:pt idx="70">
                  <c:v>4.8846623635645135E-4</c:v>
                </c:pt>
                <c:pt idx="71">
                  <c:v>5.0119469029705113E-4</c:v>
                </c:pt>
                <c:pt idx="72">
                  <c:v>5.1366995019091555E-4</c:v>
                </c:pt>
                <c:pt idx="73">
                  <c:v>5.2591515495806738E-4</c:v>
                </c:pt>
                <c:pt idx="74">
                  <c:v>5.3795403849746411E-4</c:v>
                </c:pt>
                <c:pt idx="75">
                  <c:v>5.4981093998683801E-4</c:v>
                </c:pt>
                <c:pt idx="76">
                  <c:v>5.6151082074650861E-4</c:v>
                </c:pt>
                <c:pt idx="77">
                  <c:v>5.7307928774920813E-4</c:v>
                </c:pt>
                <c:pt idx="78">
                  <c:v>5.8450634259220769E-4</c:v>
                </c:pt>
                <c:pt idx="79">
                  <c:v>5.9496094405645547E-4</c:v>
                </c:pt>
                <c:pt idx="80">
                  <c:v>6.0345829434791407E-4</c:v>
                </c:pt>
                <c:pt idx="81">
                  <c:v>6.100342461282936E-4</c:v>
                </c:pt>
                <c:pt idx="82">
                  <c:v>6.147226921845697E-4</c:v>
                </c:pt>
                <c:pt idx="83">
                  <c:v>6.1755522516228226E-4</c:v>
                </c:pt>
                <c:pt idx="84">
                  <c:v>6.1856081380011604E-4</c:v>
                </c:pt>
                <c:pt idx="85">
                  <c:v>6.1739099774599899E-4</c:v>
                </c:pt>
                <c:pt idx="86">
                  <c:v>6.152057250319807E-4</c:v>
                </c:pt>
                <c:pt idx="87">
                  <c:v>6.1201643338258519E-4</c:v>
                </c:pt>
                <c:pt idx="88">
                  <c:v>6.0783196678880535E-4</c:v>
                </c:pt>
                <c:pt idx="89">
                  <c:v>6.0265840195020029E-4</c:v>
                </c:pt>
                <c:pt idx="90">
                  <c:v>5.9649887331925588E-4</c:v>
                </c:pt>
                <c:pt idx="91">
                  <c:v>5.8935339482890365E-4</c:v>
                </c:pt>
                <c:pt idx="92">
                  <c:v>5.8120596254375E-4</c:v>
                </c:pt>
                <c:pt idx="93">
                  <c:v>5.716843720829436E-4</c:v>
                </c:pt>
                <c:pt idx="94">
                  <c:v>5.6159983961588254E-4</c:v>
                </c:pt>
                <c:pt idx="95">
                  <c:v>5.5093934936757574E-4</c:v>
                </c:pt>
                <c:pt idx="96">
                  <c:v>5.3968900214856896E-4</c:v>
                </c:pt>
                <c:pt idx="97">
                  <c:v>5.2783401438318814E-4</c:v>
                </c:pt>
                <c:pt idx="98">
                  <c:v>5.1535871726455227E-4</c:v>
                </c:pt>
                <c:pt idx="99">
                  <c:v>5.0302018719349472E-4</c:v>
                </c:pt>
                <c:pt idx="100">
                  <c:v>4.9118775262660863E-4</c:v>
                </c:pt>
                <c:pt idx="101">
                  <c:v>4.7985639277177303E-4</c:v>
                </c:pt>
                <c:pt idx="102">
                  <c:v>4.6902244561053663E-4</c:v>
                </c:pt>
                <c:pt idx="103">
                  <c:v>4.5868359185307424E-4</c:v>
                </c:pt>
                <c:pt idx="104">
                  <c:v>4.4883884240132742E-4</c:v>
                </c:pt>
                <c:pt idx="105">
                  <c:v>4.3948852893842407E-4</c:v>
                </c:pt>
                <c:pt idx="106">
                  <c:v>4.3064566523937331E-4</c:v>
                </c:pt>
                <c:pt idx="107">
                  <c:v>4.2250475737154019E-4</c:v>
                </c:pt>
                <c:pt idx="108">
                  <c:v>4.1541668849402578E-4</c:v>
                </c:pt>
                <c:pt idx="109">
                  <c:v>4.0939425262785488E-4</c:v>
                </c:pt>
                <c:pt idx="110">
                  <c:v>4.0445376826799982E-4</c:v>
                </c:pt>
                <c:pt idx="111">
                  <c:v>4.006139351575243E-4</c:v>
                </c:pt>
                <c:pt idx="112">
                  <c:v>3.9789474288549209E-4</c:v>
                </c:pt>
                <c:pt idx="113">
                  <c:v>3.953635199191954E-4</c:v>
                </c:pt>
                <c:pt idx="114">
                  <c:v>3.9218174130258579E-4</c:v>
                </c:pt>
                <c:pt idx="115">
                  <c:v>3.8833177816081758E-4</c:v>
                </c:pt>
                <c:pt idx="116">
                  <c:v>3.837944929557092E-4</c:v>
                </c:pt>
                <c:pt idx="117">
                  <c:v>3.785492195846533E-4</c:v>
                </c:pt>
                <c:pt idx="118">
                  <c:v>3.7257374567488681E-4</c:v>
                </c:pt>
                <c:pt idx="119">
                  <c:v>3.658442978863975E-4</c:v>
                </c:pt>
                <c:pt idx="120">
                  <c:v>3.583415152883687E-4</c:v>
                </c:pt>
                <c:pt idx="121">
                  <c:v>3.4980394614710856E-4</c:v>
                </c:pt>
                <c:pt idx="122">
                  <c:v>3.399737598001214E-4</c:v>
                </c:pt>
                <c:pt idx="123">
                  <c:v>3.2879959880940647E-4</c:v>
                </c:pt>
                <c:pt idx="124">
                  <c:v>3.1622697023148312E-4</c:v>
                </c:pt>
                <c:pt idx="125">
                  <c:v>3.0219824011315559E-4</c:v>
                </c:pt>
                <c:pt idx="126">
                  <c:v>2.8665263984436188E-4</c:v>
                </c:pt>
                <c:pt idx="127">
                  <c:v>2.7016825774001574E-4</c:v>
                </c:pt>
                <c:pt idx="128">
                  <c:v>2.5380194101233631E-4</c:v>
                </c:pt>
                <c:pt idx="129">
                  <c:v>2.3754164220937332E-4</c:v>
                </c:pt>
                <c:pt idx="130">
                  <c:v>2.2137582860958465E-4</c:v>
                </c:pt>
                <c:pt idx="131">
                  <c:v>2.0529350595929741E-4</c:v>
                </c:pt>
                <c:pt idx="132">
                  <c:v>1.8928424468908899E-4</c:v>
                </c:pt>
                <c:pt idx="133">
                  <c:v>1.7333820847184473E-4</c:v>
                </c:pt>
                <c:pt idx="134">
                  <c:v>1.5744757196057727E-4</c:v>
                </c:pt>
                <c:pt idx="135">
                  <c:v>1.4230564954736423E-4</c:v>
                </c:pt>
                <c:pt idx="136">
                  <c:v>1.282234743868006E-4</c:v>
                </c:pt>
                <c:pt idx="137">
                  <c:v>1.1523123479573462E-4</c:v>
                </c:pt>
                <c:pt idx="138">
                  <c:v>1.0336141426052419E-4</c:v>
                </c:pt>
                <c:pt idx="139">
                  <c:v>9.2648780873678529E-5</c:v>
                </c:pt>
                <c:pt idx="140">
                  <c:v>8.3130366602503182E-5</c:v>
                </c:pt>
                <c:pt idx="141">
                  <c:v>7.5088691910219627E-5</c:v>
                </c:pt>
                <c:pt idx="142">
                  <c:v>6.7831295874933042E-5</c:v>
                </c:pt>
                <c:pt idx="143">
                  <c:v>6.1388934441956934E-5</c:v>
                </c:pt>
                <c:pt idx="144">
                  <c:v>5.5794376472574315E-5</c:v>
                </c:pt>
                <c:pt idx="145">
                  <c:v>5.1081864872460711E-5</c:v>
                </c:pt>
                <c:pt idx="146">
                  <c:v>4.7287069860345376E-5</c:v>
                </c:pt>
                <c:pt idx="147">
                  <c:v>4.4447033893618486E-5</c:v>
                </c:pt>
                <c:pt idx="148">
                  <c:v>4.260010838197951E-5</c:v>
                </c:pt>
                <c:pt idx="149">
                  <c:v>4.177512717579853E-5</c:v>
                </c:pt>
                <c:pt idx="150">
                  <c:v>4.117933368021112E-5</c:v>
                </c:pt>
                <c:pt idx="151">
                  <c:v>4.0824402814356992E-5</c:v>
                </c:pt>
                <c:pt idx="152">
                  <c:v>4.0722346542026175E-5</c:v>
                </c:pt>
                <c:pt idx="153">
                  <c:v>4.0885487966858915E-5</c:v>
                </c:pt>
                <c:pt idx="154">
                  <c:v>4.1326433535494997E-5</c:v>
                </c:pt>
                <c:pt idx="155">
                  <c:v>4.2039214270616341E-5</c:v>
                </c:pt>
                <c:pt idx="156">
                  <c:v>4.2729071528067137E-5</c:v>
                </c:pt>
                <c:pt idx="157">
                  <c:v>4.339470623885111E-5</c:v>
                </c:pt>
                <c:pt idx="158">
                  <c:v>4.4034798996539584E-5</c:v>
                </c:pt>
                <c:pt idx="159">
                  <c:v>4.4648014286488723E-5</c:v>
                </c:pt>
                <c:pt idx="160">
                  <c:v>4.5233004808376122E-5</c:v>
                </c:pt>
                <c:pt idx="161">
                  <c:v>4.5788415844934187E-5</c:v>
                </c:pt>
                <c:pt idx="162">
                  <c:v>4.6312889645719845E-5</c:v>
                </c:pt>
                <c:pt idx="163">
                  <c:v>4.6818655438411077E-5</c:v>
                </c:pt>
                <c:pt idx="164">
                  <c:v>4.7316832838021806E-5</c:v>
                </c:pt>
                <c:pt idx="165">
                  <c:v>4.7806770136226922E-5</c:v>
                </c:pt>
                <c:pt idx="166">
                  <c:v>4.8287828699517699E-5</c:v>
                </c:pt>
                <c:pt idx="167">
                  <c:v>4.8759385452483671E-5</c:v>
                </c:pt>
                <c:pt idx="168">
                  <c:v>4.9220835242065242E-5</c:v>
                </c:pt>
                <c:pt idx="169">
                  <c:v>4.9686025563388034E-5</c:v>
                </c:pt>
                <c:pt idx="170">
                  <c:v>5.0176964986191495E-5</c:v>
                </c:pt>
                <c:pt idx="171">
                  <c:v>5.0694196779524309E-5</c:v>
                </c:pt>
                <c:pt idx="172">
                  <c:v>5.1238282296846001E-5</c:v>
                </c:pt>
                <c:pt idx="173">
                  <c:v>5.1809271189832362E-5</c:v>
                </c:pt>
                <c:pt idx="174">
                  <c:v>5.240717840330938E-5</c:v>
                </c:pt>
                <c:pt idx="175">
                  <c:v>5.3032536410850163E-5</c:v>
                </c:pt>
                <c:pt idx="176">
                  <c:v>5.3686512539528465E-5</c:v>
                </c:pt>
                <c:pt idx="177">
                  <c:v>5.4346454259672207E-5</c:v>
                </c:pt>
                <c:pt idx="178">
                  <c:v>5.4996375883258391E-5</c:v>
                </c:pt>
                <c:pt idx="179">
                  <c:v>5.5635571826603299E-5</c:v>
                </c:pt>
                <c:pt idx="180">
                  <c:v>5.6263351777430021E-5</c:v>
                </c:pt>
                <c:pt idx="181">
                  <c:v>5.6879041604131756E-5</c:v>
                </c:pt>
                <c:pt idx="182">
                  <c:v>5.7481984102427194E-5</c:v>
                </c:pt>
                <c:pt idx="183">
                  <c:v>5.8057865168315438E-5</c:v>
                </c:pt>
                <c:pt idx="184">
                  <c:v>5.8589371092818886E-5</c:v>
                </c:pt>
                <c:pt idx="185">
                  <c:v>5.9075289948034962E-5</c:v>
                </c:pt>
                <c:pt idx="186">
                  <c:v>5.9514445102810952E-5</c:v>
                </c:pt>
                <c:pt idx="187">
                  <c:v>5.9905696706251871E-5</c:v>
                </c:pt>
                <c:pt idx="188">
                  <c:v>6.0247942974705191E-5</c:v>
                </c:pt>
                <c:pt idx="189">
                  <c:v>6.0540121302538733E-5</c:v>
                </c:pt>
                <c:pt idx="190">
                  <c:v>6.0782281834683861E-5</c:v>
                </c:pt>
                <c:pt idx="191">
                  <c:v>6.1439496042698337E-5</c:v>
                </c:pt>
                <c:pt idx="192">
                  <c:v>6.2549019491776019E-5</c:v>
                </c:pt>
                <c:pt idx="193">
                  <c:v>6.4121727359227934E-5</c:v>
                </c:pt>
                <c:pt idx="194">
                  <c:v>6.6168191898853207E-5</c:v>
                </c:pt>
                <c:pt idx="195">
                  <c:v>6.8698684793817773E-5</c:v>
                </c:pt>
                <c:pt idx="196">
                  <c:v>7.1723180913854946E-5</c:v>
                </c:pt>
                <c:pt idx="197">
                  <c:v>7.6551872836895865E-5</c:v>
                </c:pt>
                <c:pt idx="198">
                  <c:v>8.323264744526429E-5</c:v>
                </c:pt>
                <c:pt idx="199">
                  <c:v>9.1797906882180383E-5</c:v>
                </c:pt>
                <c:pt idx="200">
                  <c:v>1.0227915758471774E-4</c:v>
                </c:pt>
                <c:pt idx="201">
                  <c:v>1.1470703697496531E-4</c:v>
                </c:pt>
                <c:pt idx="202">
                  <c:v>1.2911134084868451E-4</c:v>
                </c:pt>
                <c:pt idx="203">
                  <c:v>1.455210507927727E-4</c:v>
                </c:pt>
                <c:pt idx="204">
                  <c:v>1.6396553432282659E-4</c:v>
                </c:pt>
                <c:pt idx="205">
                  <c:v>1.8577417200214827E-4</c:v>
                </c:pt>
                <c:pt idx="206">
                  <c:v>2.1047830949418514E-4</c:v>
                </c:pt>
                <c:pt idx="207">
                  <c:v>2.381151758778665E-4</c:v>
                </c:pt>
                <c:pt idx="208">
                  <c:v>2.6872122975675494E-4</c:v>
                </c:pt>
                <c:pt idx="209">
                  <c:v>3.02332163421382E-4</c:v>
                </c:pt>
                <c:pt idx="210">
                  <c:v>3.3898290207707232E-4</c:v>
                </c:pt>
                <c:pt idx="211">
                  <c:v>3.7799872491994649E-4</c:v>
                </c:pt>
                <c:pt idx="212">
                  <c:v>4.1799189966769027E-4</c:v>
                </c:pt>
                <c:pt idx="213">
                  <c:v>4.5896373179705877E-4</c:v>
                </c:pt>
                <c:pt idx="214">
                  <c:v>5.0091541220252255E-4</c:v>
                </c:pt>
                <c:pt idx="215">
                  <c:v>5.4384798833871358E-4</c:v>
                </c:pt>
                <c:pt idx="216">
                  <c:v>5.8776233368276678E-4</c:v>
                </c:pt>
                <c:pt idx="217">
                  <c:v>6.3265911574254265E-4</c:v>
                </c:pt>
                <c:pt idx="218">
                  <c:v>6.7853348852116638E-4</c:v>
                </c:pt>
                <c:pt idx="219">
                  <c:v>7.2259422845440905E-4</c:v>
                </c:pt>
                <c:pt idx="220">
                  <c:v>7.6341522808038263E-4</c:v>
                </c:pt>
                <c:pt idx="221">
                  <c:v>8.0094848331838499E-4</c:v>
                </c:pt>
                <c:pt idx="222">
                  <c:v>8.3514823398209126E-4</c:v>
                </c:pt>
                <c:pt idx="223">
                  <c:v>8.6597071933575045E-4</c:v>
                </c:pt>
                <c:pt idx="224">
                  <c:v>8.9337393024282812E-4</c:v>
                </c:pt>
                <c:pt idx="225">
                  <c:v>9.1811265804879764E-4</c:v>
                </c:pt>
                <c:pt idx="226">
                  <c:v>9.4092027696604985E-4</c:v>
                </c:pt>
                <c:pt idx="227">
                  <c:v>9.6177894772935674E-4</c:v>
                </c:pt>
                <c:pt idx="228">
                  <c:v>9.8067149602158125E-4</c:v>
                </c:pt>
                <c:pt idx="229">
                  <c:v>9.9758127197292854E-4</c:v>
                </c:pt>
                <c:pt idx="230">
                  <c:v>1.0124920080398486E-3</c:v>
                </c:pt>
                <c:pt idx="231">
                  <c:v>1.0253876751176129E-3</c:v>
                </c:pt>
                <c:pt idx="232">
                  <c:v>1.0362230954523652E-3</c:v>
                </c:pt>
                <c:pt idx="233">
                  <c:v>1.0475430868360067E-3</c:v>
                </c:pt>
                <c:pt idx="234">
                  <c:v>1.0623296773525327E-3</c:v>
                </c:pt>
                <c:pt idx="235">
                  <c:v>1.0806330708644342E-3</c:v>
                </c:pt>
                <c:pt idx="236">
                  <c:v>1.1025041879579765E-3</c:v>
                </c:pt>
                <c:pt idx="237">
                  <c:v>1.1279939027256127E-3</c:v>
                </c:pt>
                <c:pt idx="238">
                  <c:v>1.1571540037569358E-3</c:v>
                </c:pt>
                <c:pt idx="239">
                  <c:v>1.1894424532386124E-3</c:v>
                </c:pt>
                <c:pt idx="240">
                  <c:v>1.2240592987057877E-3</c:v>
                </c:pt>
                <c:pt idx="241">
                  <c:v>1.2610438062539003E-3</c:v>
                </c:pt>
                <c:pt idx="242">
                  <c:v>1.3004369015263578E-3</c:v>
                </c:pt>
                <c:pt idx="243">
                  <c:v>1.3422813847951836E-3</c:v>
                </c:pt>
                <c:pt idx="244">
                  <c:v>1.3866221550197268E-3</c:v>
                </c:pt>
                <c:pt idx="245">
                  <c:v>1.4335064437835474E-3</c:v>
                </c:pt>
                <c:pt idx="246">
                  <c:v>1.4829673677317109E-3</c:v>
                </c:pt>
                <c:pt idx="247">
                  <c:v>1.5337247969804738E-3</c:v>
                </c:pt>
                <c:pt idx="248">
                  <c:v>1.5830430995209248E-3</c:v>
                </c:pt>
                <c:pt idx="249">
                  <c:v>1.6309058189476219E-3</c:v>
                </c:pt>
                <c:pt idx="250">
                  <c:v>1.6772955566314292E-3</c:v>
                </c:pt>
                <c:pt idx="251">
                  <c:v>1.7221939538732318E-3</c:v>
                </c:pt>
                <c:pt idx="252">
                  <c:v>1.765581675781431E-3</c:v>
                </c:pt>
                <c:pt idx="253">
                  <c:v>1.8036441685476794E-3</c:v>
                </c:pt>
                <c:pt idx="254">
                  <c:v>1.8369372104069643E-3</c:v>
                </c:pt>
                <c:pt idx="255">
                  <c:v>1.8653920615682128E-3</c:v>
                </c:pt>
                <c:pt idx="256">
                  <c:v>1.8889379477869965E-3</c:v>
                </c:pt>
                <c:pt idx="257">
                  <c:v>1.907502083305165E-3</c:v>
                </c:pt>
                <c:pt idx="258">
                  <c:v>1.9210097034941815E-3</c:v>
                </c:pt>
                <c:pt idx="259">
                  <c:v>1.9293841069947786E-3</c:v>
                </c:pt>
                <c:pt idx="260">
                  <c:v>1.9325763815695627E-3</c:v>
                </c:pt>
                <c:pt idx="261">
                  <c:v>1.9273408857434771E-3</c:v>
                </c:pt>
                <c:pt idx="262">
                  <c:v>1.9149431313601568E-3</c:v>
                </c:pt>
                <c:pt idx="263">
                  <c:v>1.8952668534288738E-3</c:v>
                </c:pt>
                <c:pt idx="264">
                  <c:v>1.8681926636691722E-3</c:v>
                </c:pt>
                <c:pt idx="265">
                  <c:v>1.8336080202485589E-3</c:v>
                </c:pt>
                <c:pt idx="266">
                  <c:v>1.7913920412762638E-3</c:v>
                </c:pt>
                <c:pt idx="267">
                  <c:v>1.7470852111243858E-3</c:v>
                </c:pt>
                <c:pt idx="268">
                  <c:v>1.7047298895128745E-3</c:v>
                </c:pt>
                <c:pt idx="269">
                  <c:v>1.6643470223823508E-3</c:v>
                </c:pt>
                <c:pt idx="270">
                  <c:v>1.6259590011233299E-3</c:v>
                </c:pt>
                <c:pt idx="271">
                  <c:v>1.5895895917781768E-3</c:v>
                </c:pt>
                <c:pt idx="272">
                  <c:v>1.555263858342865E-3</c:v>
                </c:pt>
                <c:pt idx="273">
                  <c:v>1.5230080799795574E-3</c:v>
                </c:pt>
                <c:pt idx="274">
                  <c:v>1.4928993190798522E-3</c:v>
                </c:pt>
                <c:pt idx="275">
                  <c:v>1.4792421784648913E-3</c:v>
                </c:pt>
                <c:pt idx="276">
                  <c:v>1.4857365751608429E-3</c:v>
                </c:pt>
                <c:pt idx="277">
                  <c:v>1.512698420334864E-3</c:v>
                </c:pt>
                <c:pt idx="278">
                  <c:v>1.5604512985131042E-3</c:v>
                </c:pt>
                <c:pt idx="279">
                  <c:v>1.629324589188835E-3</c:v>
                </c:pt>
                <c:pt idx="280">
                  <c:v>1.7196514969496422E-3</c:v>
                </c:pt>
                <c:pt idx="281">
                  <c:v>1.8433284580837807E-3</c:v>
                </c:pt>
                <c:pt idx="282">
                  <c:v>1.9947277764097221E-3</c:v>
                </c:pt>
                <c:pt idx="283">
                  <c:v>2.1742699220610286E-3</c:v>
                </c:pt>
                <c:pt idx="284">
                  <c:v>2.3823699719405268E-3</c:v>
                </c:pt>
                <c:pt idx="285">
                  <c:v>2.6194345255128567E-3</c:v>
                </c:pt>
                <c:pt idx="286">
                  <c:v>2.8858584942705137E-3</c:v>
                </c:pt>
                <c:pt idx="287">
                  <c:v>3.1820217652621108E-3</c:v>
                </c:pt>
                <c:pt idx="288">
                  <c:v>3.508440831830298E-3</c:v>
                </c:pt>
                <c:pt idx="289">
                  <c:v>3.8643442624486986E-3</c:v>
                </c:pt>
                <c:pt idx="290">
                  <c:v>4.2347120354043052E-3</c:v>
                </c:pt>
                <c:pt idx="291">
                  <c:v>4.6197159227380005E-3</c:v>
                </c:pt>
                <c:pt idx="292">
                  <c:v>5.0195202880291834E-3</c:v>
                </c:pt>
                <c:pt idx="293">
                  <c:v>5.4342811703383112E-3</c:v>
                </c:pt>
                <c:pt idx="294">
                  <c:v>5.8641453239445182E-3</c:v>
                </c:pt>
                <c:pt idx="295">
                  <c:v>6.2926788771869033E-3</c:v>
                </c:pt>
                <c:pt idx="296">
                  <c:v>6.7073148035184755E-3</c:v>
                </c:pt>
                <c:pt idx="297">
                  <c:v>7.1077918708672581E-3</c:v>
                </c:pt>
                <c:pt idx="298">
                  <c:v>7.4937891948266408E-3</c:v>
                </c:pt>
                <c:pt idx="299">
                  <c:v>7.8649754722489845E-3</c:v>
                </c:pt>
                <c:pt idx="300">
                  <c:v>8.2210096983362946E-3</c:v>
                </c:pt>
                <c:pt idx="301">
                  <c:v>8.5615418971678944E-3</c:v>
                </c:pt>
                <c:pt idx="302">
                  <c:v>8.8863549859461832E-3</c:v>
                </c:pt>
                <c:pt idx="303">
                  <c:v>9.1775358956292779E-3</c:v>
                </c:pt>
                <c:pt idx="304">
                  <c:v>9.436059778713481E-3</c:v>
                </c:pt>
                <c:pt idx="305">
                  <c:v>9.6614762717710887E-3</c:v>
                </c:pt>
                <c:pt idx="306">
                  <c:v>9.8533391755900313E-3</c:v>
                </c:pt>
                <c:pt idx="307">
                  <c:v>1.0011204237719125E-2</c:v>
                </c:pt>
                <c:pt idx="308">
                  <c:v>1.0134626745333792E-2</c:v>
                </c:pt>
                <c:pt idx="309">
                  <c:v>1.0220311346337342E-2</c:v>
                </c:pt>
                <c:pt idx="310">
                  <c:v>1.0285630201552314E-2</c:v>
                </c:pt>
                <c:pt idx="311">
                  <c:v>1.033034925685321E-2</c:v>
                </c:pt>
                <c:pt idx="312">
                  <c:v>1.0354229007367759E-2</c:v>
                </c:pt>
                <c:pt idx="313">
                  <c:v>1.035702258303469E-2</c:v>
                </c:pt>
                <c:pt idx="314">
                  <c:v>1.0338473761553297E-2</c:v>
                </c:pt>
                <c:pt idx="315">
                  <c:v>1.0298314917662296E-2</c:v>
                </c:pt>
                <c:pt idx="316">
                  <c:v>1.0236474455120282E-2</c:v>
                </c:pt>
                <c:pt idx="317">
                  <c:v>1.0155375011806521E-2</c:v>
                </c:pt>
                <c:pt idx="318">
                  <c:v>1.0073784744345608E-2</c:v>
                </c:pt>
                <c:pt idx="319">
                  <c:v>9.9915706457907403E-3</c:v>
                </c:pt>
                <c:pt idx="320">
                  <c:v>9.9085957103430319E-3</c:v>
                </c:pt>
                <c:pt idx="321">
                  <c:v>9.8247188787928003E-3</c:v>
                </c:pt>
                <c:pt idx="322">
                  <c:v>9.7397950503500409E-3</c:v>
                </c:pt>
                <c:pt idx="323">
                  <c:v>9.6561025066538592E-3</c:v>
                </c:pt>
                <c:pt idx="324">
                  <c:v>9.5766244060939698E-3</c:v>
                </c:pt>
                <c:pt idx="325">
                  <c:v>9.5013049947076118E-3</c:v>
                </c:pt>
                <c:pt idx="326">
                  <c:v>9.4300282345435929E-3</c:v>
                </c:pt>
                <c:pt idx="327">
                  <c:v>9.3627165724185502E-3</c:v>
                </c:pt>
                <c:pt idx="328">
                  <c:v>9.2993380768466409E-3</c:v>
                </c:pt>
                <c:pt idx="329">
                  <c:v>9.2398570369223061E-3</c:v>
                </c:pt>
                <c:pt idx="330">
                  <c:v>9.1856870715614405E-3</c:v>
                </c:pt>
                <c:pt idx="331">
                  <c:v>9.141323151899812E-3</c:v>
                </c:pt>
                <c:pt idx="332">
                  <c:v>9.1035585061398708E-3</c:v>
                </c:pt>
                <c:pt idx="333">
                  <c:v>9.0720005707986186E-3</c:v>
                </c:pt>
                <c:pt idx="334">
                  <c:v>9.046249935561395E-3</c:v>
                </c:pt>
                <c:pt idx="335">
                  <c:v>9.0258970719457685E-3</c:v>
                </c:pt>
                <c:pt idx="336">
                  <c:v>9.0105193631861841E-3</c:v>
                </c:pt>
                <c:pt idx="337">
                  <c:v>9.0011059060291238E-3</c:v>
                </c:pt>
                <c:pt idx="338">
                  <c:v>8.9945587098593845E-3</c:v>
                </c:pt>
                <c:pt idx="339">
                  <c:v>8.9903780506192833E-3</c:v>
                </c:pt>
                <c:pt idx="340">
                  <c:v>8.988044911168629E-3</c:v>
                </c:pt>
                <c:pt idx="341">
                  <c:v>8.9870213368686558E-3</c:v>
                </c:pt>
                <c:pt idx="342">
                  <c:v>8.9867515628633335E-3</c:v>
                </c:pt>
                <c:pt idx="343">
                  <c:v>8.9866639779733835E-3</c:v>
                </c:pt>
                <c:pt idx="344">
                  <c:v>8.988388099428991E-3</c:v>
                </c:pt>
                <c:pt idx="345">
                  <c:v>8.9937053161529557E-3</c:v>
                </c:pt>
                <c:pt idx="346">
                  <c:v>9.0001090347195858E-3</c:v>
                </c:pt>
                <c:pt idx="347">
                  <c:v>9.0072010337126397E-3</c:v>
                </c:pt>
                <c:pt idx="348">
                  <c:v>9.0145742497820015E-3</c:v>
                </c:pt>
                <c:pt idx="349">
                  <c:v>9.0218140312284898E-3</c:v>
                </c:pt>
                <c:pt idx="350">
                  <c:v>9.0284997944436781E-3</c:v>
                </c:pt>
                <c:pt idx="351">
                  <c:v>9.0357026775619471E-3</c:v>
                </c:pt>
                <c:pt idx="352">
                  <c:v>9.0414862727938271E-3</c:v>
                </c:pt>
                <c:pt idx="353">
                  <c:v>9.0454240260555308E-3</c:v>
                </c:pt>
                <c:pt idx="354">
                  <c:v>9.0470941024762205E-3</c:v>
                </c:pt>
                <c:pt idx="355">
                  <c:v>9.0460830804689994E-3</c:v>
                </c:pt>
                <c:pt idx="356">
                  <c:v>9.0419262251329804E-3</c:v>
                </c:pt>
                <c:pt idx="357">
                  <c:v>9.0342918997640236E-3</c:v>
                </c:pt>
                <c:pt idx="358">
                  <c:v>9.022733213230499E-3</c:v>
                </c:pt>
                <c:pt idx="359">
                  <c:v>9.0073795173511544E-3</c:v>
                </c:pt>
                <c:pt idx="360">
                  <c:v>8.9901960101779702E-3</c:v>
                </c:pt>
                <c:pt idx="361">
                  <c:v>8.9701556377233087E-3</c:v>
                </c:pt>
                <c:pt idx="362">
                  <c:v>8.9477273696919359E-3</c:v>
                </c:pt>
                <c:pt idx="363">
                  <c:v>8.923378249104939E-3</c:v>
                </c:pt>
                <c:pt idx="364">
                  <c:v>8.897569420155101E-3</c:v>
                </c:pt>
                <c:pt idx="365">
                  <c:v>8.8707527606639736E-3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158976"/>
        <c:axId val="358159368"/>
      </c:lineChart>
      <c:dateAx>
        <c:axId val="35815897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159368"/>
        <c:crosses val="autoZero"/>
        <c:auto val="1"/>
        <c:lblOffset val="100"/>
        <c:baseTimeUnit val="days"/>
        <c:majorUnit val="1"/>
        <c:majorTimeUnit val="months"/>
      </c:dateAx>
      <c:valAx>
        <c:axId val="35815936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1589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'2020'!$A$15:$A$380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25.658238936871445</c:v>
                </c:pt>
                <c:pt idx="1">
                  <c:v>25.83966976610856</c:v>
                </c:pt>
                <c:pt idx="2">
                  <c:v>26.031551058245611</c:v>
                </c:pt>
                <c:pt idx="3">
                  <c:v>26.232676526657286</c:v>
                </c:pt>
                <c:pt idx="4">
                  <c:v>26.441840202375843</c:v>
                </c:pt>
                <c:pt idx="5">
                  <c:v>26.657836446071645</c:v>
                </c:pt>
                <c:pt idx="6">
                  <c:v>26.879459938183963</c:v>
                </c:pt>
                <c:pt idx="7">
                  <c:v>27.105505699705908</c:v>
                </c:pt>
                <c:pt idx="8">
                  <c:v>27.340719372415112</c:v>
                </c:pt>
                <c:pt idx="9">
                  <c:v>27.589792063099676</c:v>
                </c:pt>
                <c:pt idx="10">
                  <c:v>27.851483889649366</c:v>
                </c:pt>
                <c:pt idx="11">
                  <c:v>28.124528142978559</c:v>
                </c:pt>
                <c:pt idx="12">
                  <c:v>28.407658462466902</c:v>
                </c:pt>
                <c:pt idx="13">
                  <c:v>28.699608861519014</c:v>
                </c:pt>
                <c:pt idx="14">
                  <c:v>28.999113712226791</c:v>
                </c:pt>
                <c:pt idx="15">
                  <c:v>29.304920112430224</c:v>
                </c:pt>
                <c:pt idx="16">
                  <c:v>29.61581206492491</c:v>
                </c:pt>
                <c:pt idx="17">
                  <c:v>29.930525058757482</c:v>
                </c:pt>
                <c:pt idx="18">
                  <c:v>30.247794945470144</c:v>
                </c:pt>
                <c:pt idx="19">
                  <c:v>30.566357279316644</c:v>
                </c:pt>
                <c:pt idx="20">
                  <c:v>30.88494764108512</c:v>
                </c:pt>
                <c:pt idx="21">
                  <c:v>31.202302460218686</c:v>
                </c:pt>
                <c:pt idx="22">
                  <c:v>31.521914669254954</c:v>
                </c:pt>
                <c:pt idx="23">
                  <c:v>31.847691073465086</c:v>
                </c:pt>
                <c:pt idx="24">
                  <c:v>32.1789055020622</c:v>
                </c:pt>
                <c:pt idx="25">
                  <c:v>32.514819099187733</c:v>
                </c:pt>
                <c:pt idx="26">
                  <c:v>32.854693211135789</c:v>
                </c:pt>
                <c:pt idx="27">
                  <c:v>33.197789390779548</c:v>
                </c:pt>
                <c:pt idx="28">
                  <c:v>33.543369398513228</c:v>
                </c:pt>
                <c:pt idx="29">
                  <c:v>33.890938669968079</c:v>
                </c:pt>
                <c:pt idx="30">
                  <c:v>34.239747360734796</c:v>
                </c:pt>
                <c:pt idx="31">
                  <c:v>34.589058057092402</c:v>
                </c:pt>
                <c:pt idx="32">
                  <c:v>34.938133576966628</c:v>
                </c:pt>
                <c:pt idx="33">
                  <c:v>35.286236973054386</c:v>
                </c:pt>
                <c:pt idx="34">
                  <c:v>35.632631537033433</c:v>
                </c:pt>
                <c:pt idx="35">
                  <c:v>35.976580802409053</c:v>
                </c:pt>
                <c:pt idx="36">
                  <c:v>36.319418727953042</c:v>
                </c:pt>
                <c:pt idx="37">
                  <c:v>36.663114216216812</c:v>
                </c:pt>
                <c:pt idx="38">
                  <c:v>37.007497772396469</c:v>
                </c:pt>
                <c:pt idx="39">
                  <c:v>37.352464482182711</c:v>
                </c:pt>
                <c:pt idx="40">
                  <c:v>37.697909528908887</c:v>
                </c:pt>
                <c:pt idx="41">
                  <c:v>38.04372819796351</c:v>
                </c:pt>
                <c:pt idx="42">
                  <c:v>38.389815880587392</c:v>
                </c:pt>
                <c:pt idx="43">
                  <c:v>38.736005518371421</c:v>
                </c:pt>
                <c:pt idx="44">
                  <c:v>39.081948454053887</c:v>
                </c:pt>
                <c:pt idx="45">
                  <c:v>39.427540258846861</c:v>
                </c:pt>
                <c:pt idx="46">
                  <c:v>39.772676596753115</c:v>
                </c:pt>
                <c:pt idx="47">
                  <c:v>40.117253226275011</c:v>
                </c:pt>
                <c:pt idx="48">
                  <c:v>40.46116600435036</c:v>
                </c:pt>
                <c:pt idx="49">
                  <c:v>40.804310887948574</c:v>
                </c:pt>
                <c:pt idx="50">
                  <c:v>41.146846833287256</c:v>
                </c:pt>
                <c:pt idx="51">
                  <c:v>41.488786074064635</c:v>
                </c:pt>
                <c:pt idx="52">
                  <c:v>41.829914062027449</c:v>
                </c:pt>
                <c:pt idx="53">
                  <c:v>42.17023163979853</c:v>
                </c:pt>
                <c:pt idx="54">
                  <c:v>42.509739272936727</c:v>
                </c:pt>
                <c:pt idx="55">
                  <c:v>42.848437404722894</c:v>
                </c:pt>
                <c:pt idx="56">
                  <c:v>43.18632645803762</c:v>
                </c:pt>
                <c:pt idx="57">
                  <c:v>43.523228646428592</c:v>
                </c:pt>
                <c:pt idx="58">
                  <c:v>43.859205507531186</c:v>
                </c:pt>
                <c:pt idx="59">
                  <c:v>44.194256518520476</c:v>
                </c:pt>
                <c:pt idx="60">
                  <c:v>44.528381067125423</c:v>
                </c:pt>
                <c:pt idx="61">
                  <c:v>44.861578447071132</c:v>
                </c:pt>
                <c:pt idx="62">
                  <c:v>45.19384785246546</c:v>
                </c:pt>
                <c:pt idx="63">
                  <c:v>45.525188372099734</c:v>
                </c:pt>
                <c:pt idx="64">
                  <c:v>45.856737064002658</c:v>
                </c:pt>
                <c:pt idx="65">
                  <c:v>46.189231253098754</c:v>
                </c:pt>
                <c:pt idx="66">
                  <c:v>46.522362385739257</c:v>
                </c:pt>
                <c:pt idx="67">
                  <c:v>46.855603658484171</c:v>
                </c:pt>
                <c:pt idx="68">
                  <c:v>47.188428279166558</c:v>
                </c:pt>
                <c:pt idx="69">
                  <c:v>47.520309458216524</c:v>
                </c:pt>
                <c:pt idx="70">
                  <c:v>47.850720401732538</c:v>
                </c:pt>
                <c:pt idx="71">
                  <c:v>48.179192621226122</c:v>
                </c:pt>
                <c:pt idx="72">
                  <c:v>48.505381979152205</c:v>
                </c:pt>
                <c:pt idx="73">
                  <c:v>48.828763032027936</c:v>
                </c:pt>
                <c:pt idx="74">
                  <c:v>49.148810418162554</c:v>
                </c:pt>
                <c:pt idx="75">
                  <c:v>49.464998856045668</c:v>
                </c:pt>
                <c:pt idx="76">
                  <c:v>49.776803144693048</c:v>
                </c:pt>
                <c:pt idx="77">
                  <c:v>50.083698164452819</c:v>
                </c:pt>
                <c:pt idx="78">
                  <c:v>50.388289870004364</c:v>
                </c:pt>
                <c:pt idx="79">
                  <c:v>50.693015233178969</c:v>
                </c:pt>
                <c:pt idx="80">
                  <c:v>50.997085745629903</c:v>
                </c:pt>
                <c:pt idx="81">
                  <c:v>51.299661950172691</c:v>
                </c:pt>
                <c:pt idx="82">
                  <c:v>51.599904673308416</c:v>
                </c:pt>
                <c:pt idx="83">
                  <c:v>51.896975033130133</c:v>
                </c:pt>
                <c:pt idx="84">
                  <c:v>52.190034451885325</c:v>
                </c:pt>
                <c:pt idx="85">
                  <c:v>52.478264323415708</c:v>
                </c:pt>
                <c:pt idx="86">
                  <c:v>52.760766981923673</c:v>
                </c:pt>
                <c:pt idx="87">
                  <c:v>53.036704581418597</c:v>
                </c:pt>
                <c:pt idx="88">
                  <c:v>53.305239593997406</c:v>
                </c:pt>
                <c:pt idx="89">
                  <c:v>53.56553481556314</c:v>
                </c:pt>
                <c:pt idx="90">
                  <c:v>53.816753376823989</c:v>
                </c:pt>
                <c:pt idx="91">
                  <c:v>54.058058751654848</c:v>
                </c:pt>
                <c:pt idx="92">
                  <c:v>54.289802996009541</c:v>
                </c:pt>
                <c:pt idx="93">
                  <c:v>54.513195682293485</c:v>
                </c:pt>
                <c:pt idx="94">
                  <c:v>54.728613244120339</c:v>
                </c:pt>
                <c:pt idx="95">
                  <c:v>54.936476591543688</c:v>
                </c:pt>
                <c:pt idx="96">
                  <c:v>55.137206576464834</c:v>
                </c:pt>
                <c:pt idx="97">
                  <c:v>55.33122399717994</c:v>
                </c:pt>
                <c:pt idx="98">
                  <c:v>55.518949599974228</c:v>
                </c:pt>
                <c:pt idx="99">
                  <c:v>55.700760971435393</c:v>
                </c:pt>
                <c:pt idx="100">
                  <c:v>55.877056741621203</c:v>
                </c:pt>
                <c:pt idx="101">
                  <c:v>56.048256195221931</c:v>
                </c:pt>
                <c:pt idx="102">
                  <c:v>56.214778480222499</c:v>
                </c:pt>
                <c:pt idx="103">
                  <c:v>56.377042597845893</c:v>
                </c:pt>
                <c:pt idx="104">
                  <c:v>56.535467405474819</c:v>
                </c:pt>
                <c:pt idx="105">
                  <c:v>56.690471612813987</c:v>
                </c:pt>
                <c:pt idx="106">
                  <c:v>56.840972606540397</c:v>
                </c:pt>
                <c:pt idx="107">
                  <c:v>56.985738192333756</c:v>
                </c:pt>
                <c:pt idx="108">
                  <c:v>57.124958050765564</c:v>
                </c:pt>
                <c:pt idx="109">
                  <c:v>57.25884105085435</c:v>
                </c:pt>
                <c:pt idx="110">
                  <c:v>57.387595859689732</c:v>
                </c:pt>
                <c:pt idx="111">
                  <c:v>57.51143101537199</c:v>
                </c:pt>
                <c:pt idx="112">
                  <c:v>57.630554987171223</c:v>
                </c:pt>
                <c:pt idx="113">
                  <c:v>57.745231279246624</c:v>
                </c:pt>
                <c:pt idx="114">
                  <c:v>57.855718371271799</c:v>
                </c:pt>
                <c:pt idx="115">
                  <c:v>57.962227488318796</c:v>
                </c:pt>
                <c:pt idx="116">
                  <c:v>58.064969923950322</c:v>
                </c:pt>
                <c:pt idx="117">
                  <c:v>58.164157038590993</c:v>
                </c:pt>
                <c:pt idx="118">
                  <c:v>58.260000270358361</c:v>
                </c:pt>
                <c:pt idx="119">
                  <c:v>58.352711128897134</c:v>
                </c:pt>
                <c:pt idx="120">
                  <c:v>58.44152481145089</c:v>
                </c:pt>
                <c:pt idx="121">
                  <c:v>58.525690970513544</c:v>
                </c:pt>
                <c:pt idx="122">
                  <c:v>58.605435310856201</c:v>
                </c:pt>
                <c:pt idx="123">
                  <c:v>58.680971468726234</c:v>
                </c:pt>
                <c:pt idx="124">
                  <c:v>58.752513256127379</c:v>
                </c:pt>
                <c:pt idx="125">
                  <c:v>58.820274660151014</c:v>
                </c:pt>
                <c:pt idx="126">
                  <c:v>58.884469844424501</c:v>
                </c:pt>
                <c:pt idx="127">
                  <c:v>58.945275302354844</c:v>
                </c:pt>
                <c:pt idx="128">
                  <c:v>59.002839120570442</c:v>
                </c:pt>
                <c:pt idx="129">
                  <c:v>59.057372297504358</c:v>
                </c:pt>
                <c:pt idx="130">
                  <c:v>59.109085821473059</c:v>
                </c:pt>
                <c:pt idx="131">
                  <c:v>59.158190663097386</c:v>
                </c:pt>
                <c:pt idx="132">
                  <c:v>59.204897776198287</c:v>
                </c:pt>
                <c:pt idx="133">
                  <c:v>59.249418092651744</c:v>
                </c:pt>
                <c:pt idx="134">
                  <c:v>59.291440081278871</c:v>
                </c:pt>
                <c:pt idx="135">
                  <c:v>59.330471479316387</c:v>
                </c:pt>
                <c:pt idx="136">
                  <c:v>59.366495470627427</c:v>
                </c:pt>
                <c:pt idx="137">
                  <c:v>59.399511961050912</c:v>
                </c:pt>
                <c:pt idx="138">
                  <c:v>59.42952079881951</c:v>
                </c:pt>
                <c:pt idx="139">
                  <c:v>59.456521771477796</c:v>
                </c:pt>
                <c:pt idx="140">
                  <c:v>59.480514607471761</c:v>
                </c:pt>
                <c:pt idx="141">
                  <c:v>59.501484496394539</c:v>
                </c:pt>
                <c:pt idx="142">
                  <c:v>59.519474712098678</c:v>
                </c:pt>
                <c:pt idx="143">
                  <c:v>59.534485582846926</c:v>
                </c:pt>
                <c:pt idx="144">
                  <c:v>59.546517367277957</c:v>
                </c:pt>
                <c:pt idx="145">
                  <c:v>59.555570284240851</c:v>
                </c:pt>
                <c:pt idx="146">
                  <c:v>59.561644513194373</c:v>
                </c:pt>
                <c:pt idx="147">
                  <c:v>59.564740186738057</c:v>
                </c:pt>
                <c:pt idx="148">
                  <c:v>59.564857395432497</c:v>
                </c:pt>
                <c:pt idx="149">
                  <c:v>59.561996821991528</c:v>
                </c:pt>
                <c:pt idx="150">
                  <c:v>59.556208108449454</c:v>
                </c:pt>
                <c:pt idx="151">
                  <c:v>59.547492976431315</c:v>
                </c:pt>
                <c:pt idx="152">
                  <c:v>59.535853125873061</c:v>
                </c:pt>
                <c:pt idx="153">
                  <c:v>59.521290224582515</c:v>
                </c:pt>
                <c:pt idx="154">
                  <c:v>59.503805907056623</c:v>
                </c:pt>
                <c:pt idx="155">
                  <c:v>59.483402888230202</c:v>
                </c:pt>
                <c:pt idx="156">
                  <c:v>59.460101021379359</c:v>
                </c:pt>
                <c:pt idx="157">
                  <c:v>59.433902649049422</c:v>
                </c:pt>
                <c:pt idx="158">
                  <c:v>59.4048100628019</c:v>
                </c:pt>
                <c:pt idx="159">
                  <c:v>59.372825498739019</c:v>
                </c:pt>
                <c:pt idx="160">
                  <c:v>59.337951128337373</c:v>
                </c:pt>
                <c:pt idx="161">
                  <c:v>59.300189055182848</c:v>
                </c:pt>
                <c:pt idx="162">
                  <c:v>59.259541307032372</c:v>
                </c:pt>
                <c:pt idx="163">
                  <c:v>59.216009025461048</c:v>
                </c:pt>
                <c:pt idx="164">
                  <c:v>59.169593337750499</c:v>
                </c:pt>
                <c:pt idx="165">
                  <c:v>59.120295975837976</c:v>
                </c:pt>
                <c:pt idx="166">
                  <c:v>59.068118580789516</c:v>
                </c:pt>
                <c:pt idx="167">
                  <c:v>59.013062694544558</c:v>
                </c:pt>
                <c:pt idx="168">
                  <c:v>58.955129759196389</c:v>
                </c:pt>
                <c:pt idx="169">
                  <c:v>58.894320263998488</c:v>
                </c:pt>
                <c:pt idx="170">
                  <c:v>58.830634116664463</c:v>
                </c:pt>
                <c:pt idx="171">
                  <c:v>58.76407239080482</c:v>
                </c:pt>
                <c:pt idx="172">
                  <c:v>58.694636050933056</c:v>
                </c:pt>
                <c:pt idx="173">
                  <c:v>58.622325992037844</c:v>
                </c:pt>
                <c:pt idx="174">
                  <c:v>58.547143003838336</c:v>
                </c:pt>
                <c:pt idx="175">
                  <c:v>58.469087745048164</c:v>
                </c:pt>
                <c:pt idx="176">
                  <c:v>58.387484071708862</c:v>
                </c:pt>
                <c:pt idx="177">
                  <c:v>58.301865533436271</c:v>
                </c:pt>
                <c:pt idx="178">
                  <c:v>58.212545976223709</c:v>
                </c:pt>
                <c:pt idx="179">
                  <c:v>58.119838162287138</c:v>
                </c:pt>
                <c:pt idx="180">
                  <c:v>58.024054662131547</c:v>
                </c:pt>
                <c:pt idx="181">
                  <c:v>57.925507863354689</c:v>
                </c:pt>
                <c:pt idx="182">
                  <c:v>57.824509979666466</c:v>
                </c:pt>
                <c:pt idx="183">
                  <c:v>57.721373842313312</c:v>
                </c:pt>
                <c:pt idx="184">
                  <c:v>57.616412290335788</c:v>
                </c:pt>
                <c:pt idx="185">
                  <c:v>57.509937074248732</c:v>
                </c:pt>
                <c:pt idx="186">
                  <c:v>57.40225979688207</c:v>
                </c:pt>
                <c:pt idx="187">
                  <c:v>57.293691919430444</c:v>
                </c:pt>
                <c:pt idx="188">
                  <c:v>57.184544769857688</c:v>
                </c:pt>
                <c:pt idx="189">
                  <c:v>57.075129551281385</c:v>
                </c:pt>
                <c:pt idx="190">
                  <c:v>56.964752027114884</c:v>
                </c:pt>
                <c:pt idx="191">
                  <c:v>56.852553056670779</c:v>
                </c:pt>
                <c:pt idx="192">
                  <c:v>56.738634005981673</c:v>
                </c:pt>
                <c:pt idx="193">
                  <c:v>56.623097717530385</c:v>
                </c:pt>
                <c:pt idx="194">
                  <c:v>56.506047026908277</c:v>
                </c:pt>
                <c:pt idx="195">
                  <c:v>56.387584769154415</c:v>
                </c:pt>
                <c:pt idx="196">
                  <c:v>56.267813783387147</c:v>
                </c:pt>
                <c:pt idx="197">
                  <c:v>56.146763892303603</c:v>
                </c:pt>
                <c:pt idx="198">
                  <c:v>56.024536276279797</c:v>
                </c:pt>
                <c:pt idx="199">
                  <c:v>55.901233009016096</c:v>
                </c:pt>
                <c:pt idx="200">
                  <c:v>55.776956238244118</c:v>
                </c:pt>
                <c:pt idx="201">
                  <c:v>55.651808185402444</c:v>
                </c:pt>
                <c:pt idx="202">
                  <c:v>55.525891145875846</c:v>
                </c:pt>
                <c:pt idx="203">
                  <c:v>55.399307488492028</c:v>
                </c:pt>
                <c:pt idx="204">
                  <c:v>55.271674811675894</c:v>
                </c:pt>
                <c:pt idx="205">
                  <c:v>55.142539214133592</c:v>
                </c:pt>
                <c:pt idx="206">
                  <c:v>55.01203130096247</c:v>
                </c:pt>
                <c:pt idx="207">
                  <c:v>54.880253695793201</c:v>
                </c:pt>
                <c:pt idx="208">
                  <c:v>54.747309113509132</c:v>
                </c:pt>
                <c:pt idx="209">
                  <c:v>54.613300355592031</c:v>
                </c:pt>
                <c:pt idx="210">
                  <c:v>54.478330308094669</c:v>
                </c:pt>
                <c:pt idx="211">
                  <c:v>54.342540474957673</c:v>
                </c:pt>
                <c:pt idx="212">
                  <c:v>54.20611068062604</c:v>
                </c:pt>
                <c:pt idx="213">
                  <c:v>54.069144874033171</c:v>
                </c:pt>
                <c:pt idx="214">
                  <c:v>53.931747015676613</c:v>
                </c:pt>
                <c:pt idx="215">
                  <c:v>53.794021076426326</c:v>
                </c:pt>
                <c:pt idx="216">
                  <c:v>53.656071037021107</c:v>
                </c:pt>
                <c:pt idx="217">
                  <c:v>53.51800088658463</c:v>
                </c:pt>
                <c:pt idx="218">
                  <c:v>53.380329827795194</c:v>
                </c:pt>
                <c:pt idx="219">
                  <c:v>53.243448743805395</c:v>
                </c:pt>
                <c:pt idx="220">
                  <c:v>53.107121280305975</c:v>
                </c:pt>
                <c:pt idx="221">
                  <c:v>52.971037430309948</c:v>
                </c:pt>
                <c:pt idx="222">
                  <c:v>52.834887203472192</c:v>
                </c:pt>
                <c:pt idx="223">
                  <c:v>52.698360627096726</c:v>
                </c:pt>
                <c:pt idx="224">
                  <c:v>52.561147745876568</c:v>
                </c:pt>
                <c:pt idx="225">
                  <c:v>52.422896894691846</c:v>
                </c:pt>
                <c:pt idx="226">
                  <c:v>52.283258054716264</c:v>
                </c:pt>
                <c:pt idx="227">
                  <c:v>52.141920928073226</c:v>
                </c:pt>
                <c:pt idx="228">
                  <c:v>51.9985752737756</c:v>
                </c:pt>
                <c:pt idx="229">
                  <c:v>51.852910906132422</c:v>
                </c:pt>
                <c:pt idx="230">
                  <c:v>51.704617694596017</c:v>
                </c:pt>
                <c:pt idx="231">
                  <c:v>51.553385559470094</c:v>
                </c:pt>
                <c:pt idx="232">
                  <c:v>51.40035639135705</c:v>
                </c:pt>
                <c:pt idx="233">
                  <c:v>51.246538827325637</c:v>
                </c:pt>
                <c:pt idx="234">
                  <c:v>51.09147017117958</c:v>
                </c:pt>
                <c:pt idx="235">
                  <c:v>50.934839184121444</c:v>
                </c:pt>
                <c:pt idx="236">
                  <c:v>50.776334755407625</c:v>
                </c:pt>
                <c:pt idx="237">
                  <c:v>50.615645952341538</c:v>
                </c:pt>
                <c:pt idx="238">
                  <c:v>50.452461984078191</c:v>
                </c:pt>
                <c:pt idx="239">
                  <c:v>50.28650215718833</c:v>
                </c:pt>
                <c:pt idx="240">
                  <c:v>50.117498532792276</c:v>
                </c:pt>
                <c:pt idx="241">
                  <c:v>49.945140837574542</c:v>
                </c:pt>
                <c:pt idx="242">
                  <c:v>49.76911891251067</c:v>
                </c:pt>
                <c:pt idx="243">
                  <c:v>49.589122712247693</c:v>
                </c:pt>
                <c:pt idx="244">
                  <c:v>49.404842304298782</c:v>
                </c:pt>
                <c:pt idx="245">
                  <c:v>49.215967871042075</c:v>
                </c:pt>
                <c:pt idx="246">
                  <c:v>49.022742335360022</c:v>
                </c:pt>
                <c:pt idx="247">
                  <c:v>48.825748704484006</c:v>
                </c:pt>
                <c:pt idx="248">
                  <c:v>48.625225923050913</c:v>
                </c:pt>
                <c:pt idx="249">
                  <c:v>48.421278831481743</c:v>
                </c:pt>
                <c:pt idx="250">
                  <c:v>48.21401223310383</c:v>
                </c:pt>
                <c:pt idx="251">
                  <c:v>48.003530893933075</c:v>
                </c:pt>
                <c:pt idx="252">
                  <c:v>47.789939542383635</c:v>
                </c:pt>
                <c:pt idx="253">
                  <c:v>47.573523703955146</c:v>
                </c:pt>
                <c:pt idx="254">
                  <c:v>47.354358176193955</c:v>
                </c:pt>
                <c:pt idx="255">
                  <c:v>47.132547608779696</c:v>
                </c:pt>
                <c:pt idx="256">
                  <c:v>46.908196566586696</c:v>
                </c:pt>
                <c:pt idx="257">
                  <c:v>46.681409533051109</c:v>
                </c:pt>
                <c:pt idx="258">
                  <c:v>46.452290904881806</c:v>
                </c:pt>
                <c:pt idx="259">
                  <c:v>46.220944991611127</c:v>
                </c:pt>
                <c:pt idx="260">
                  <c:v>45.986768529627426</c:v>
                </c:pt>
                <c:pt idx="261">
                  <c:v>45.749373675554658</c:v>
                </c:pt>
                <c:pt idx="262">
                  <c:v>45.508904237003208</c:v>
                </c:pt>
                <c:pt idx="263">
                  <c:v>45.265567702942526</c:v>
                </c:pt>
                <c:pt idx="264">
                  <c:v>45.019571400263047</c:v>
                </c:pt>
                <c:pt idx="265">
                  <c:v>44.771122055913409</c:v>
                </c:pt>
                <c:pt idx="266">
                  <c:v>44.520426486627272</c:v>
                </c:pt>
                <c:pt idx="267">
                  <c:v>44.267440181700451</c:v>
                </c:pt>
                <c:pt idx="268">
                  <c:v>44.012190241523783</c:v>
                </c:pt>
                <c:pt idx="269">
                  <c:v>43.754884148431955</c:v>
                </c:pt>
                <c:pt idx="270">
                  <c:v>43.495729320667259</c:v>
                </c:pt>
                <c:pt idx="271">
                  <c:v>43.234933112463835</c:v>
                </c:pt>
                <c:pt idx="272">
                  <c:v>42.972702812558765</c:v>
                </c:pt>
                <c:pt idx="273">
                  <c:v>42.709245641153217</c:v>
                </c:pt>
                <c:pt idx="274">
                  <c:v>42.443354832454126</c:v>
                </c:pt>
                <c:pt idx="275">
                  <c:v>42.17336058759291</c:v>
                </c:pt>
                <c:pt idx="276">
                  <c:v>41.899534450902514</c:v>
                </c:pt>
                <c:pt idx="277">
                  <c:v>41.622293278652691</c:v>
                </c:pt>
                <c:pt idx="278">
                  <c:v>41.342054100379158</c:v>
                </c:pt>
                <c:pt idx="279">
                  <c:v>41.059234124554699</c:v>
                </c:pt>
                <c:pt idx="280">
                  <c:v>40.774250748630102</c:v>
                </c:pt>
                <c:pt idx="281">
                  <c:v>40.48705261235262</c:v>
                </c:pt>
                <c:pt idx="282">
                  <c:v>40.198307482949545</c:v>
                </c:pt>
                <c:pt idx="283">
                  <c:v>39.908434578240751</c:v>
                </c:pt>
                <c:pt idx="284">
                  <c:v>39.617853404174184</c:v>
                </c:pt>
                <c:pt idx="285">
                  <c:v>39.326983755722132</c:v>
                </c:pt>
                <c:pt idx="286">
                  <c:v>39.036245711534953</c:v>
                </c:pt>
                <c:pt idx="287">
                  <c:v>38.746059626860607</c:v>
                </c:pt>
                <c:pt idx="288">
                  <c:v>38.455140145074957</c:v>
                </c:pt>
                <c:pt idx="289">
                  <c:v>38.162184878162563</c:v>
                </c:pt>
                <c:pt idx="290">
                  <c:v>37.868098917372208</c:v>
                </c:pt>
                <c:pt idx="291">
                  <c:v>37.573196551563484</c:v>
                </c:pt>
                <c:pt idx="292">
                  <c:v>37.277792007704527</c:v>
                </c:pt>
                <c:pt idx="293">
                  <c:v>36.98219943441341</c:v>
                </c:pt>
                <c:pt idx="294">
                  <c:v>36.686732886430477</c:v>
                </c:pt>
                <c:pt idx="295">
                  <c:v>36.392313157593513</c:v>
                </c:pt>
                <c:pt idx="296">
                  <c:v>36.099701454683391</c:v>
                </c:pt>
                <c:pt idx="297">
                  <c:v>35.809200600850438</c:v>
                </c:pt>
                <c:pt idx="298">
                  <c:v>35.521114804376296</c:v>
                </c:pt>
                <c:pt idx="299">
                  <c:v>35.23574788595117</c:v>
                </c:pt>
                <c:pt idx="300">
                  <c:v>34.953403293887121</c:v>
                </c:pt>
                <c:pt idx="301">
                  <c:v>34.674384128452374</c:v>
                </c:pt>
                <c:pt idx="302">
                  <c:v>34.398442022753251</c:v>
                </c:pt>
                <c:pt idx="303">
                  <c:v>34.125665415506752</c:v>
                </c:pt>
                <c:pt idx="304">
                  <c:v>33.855888622061634</c:v>
                </c:pt>
                <c:pt idx="305">
                  <c:v>33.588995821707563</c:v>
                </c:pt>
                <c:pt idx="306">
                  <c:v>33.324871043661133</c:v>
                </c:pt>
                <c:pt idx="307">
                  <c:v>33.063398222413795</c:v>
                </c:pt>
                <c:pt idx="308">
                  <c:v>32.804461257839947</c:v>
                </c:pt>
                <c:pt idx="309">
                  <c:v>32.548037715453944</c:v>
                </c:pt>
                <c:pt idx="310">
                  <c:v>32.293427791988776</c:v>
                </c:pt>
                <c:pt idx="311">
                  <c:v>32.04051968328266</c:v>
                </c:pt>
                <c:pt idx="312">
                  <c:v>31.789201737647687</c:v>
                </c:pt>
                <c:pt idx="313">
                  <c:v>31.539362495846746</c:v>
                </c:pt>
                <c:pt idx="314">
                  <c:v>31.290890730059157</c:v>
                </c:pt>
                <c:pt idx="315">
                  <c:v>31.043675479208243</c:v>
                </c:pt>
                <c:pt idx="316">
                  <c:v>30.796969138738628</c:v>
                </c:pt>
                <c:pt idx="317">
                  <c:v>30.550287849040593</c:v>
                </c:pt>
                <c:pt idx="318">
                  <c:v>30.30345068254746</c:v>
                </c:pt>
                <c:pt idx="319">
                  <c:v>30.056869602277242</c:v>
                </c:pt>
                <c:pt idx="320">
                  <c:v>29.810956717231885</c:v>
                </c:pt>
                <c:pt idx="321">
                  <c:v>29.566124282524189</c:v>
                </c:pt>
                <c:pt idx="322">
                  <c:v>29.322784699644824</c:v>
                </c:pt>
                <c:pt idx="323">
                  <c:v>29.081279231215145</c:v>
                </c:pt>
                <c:pt idx="324">
                  <c:v>28.8419310093158</c:v>
                </c:pt>
                <c:pt idx="325">
                  <c:v>28.605153941960499</c:v>
                </c:pt>
                <c:pt idx="326">
                  <c:v>28.371363681022874</c:v>
                </c:pt>
                <c:pt idx="327">
                  <c:v>28.140974722960827</c:v>
                </c:pt>
                <c:pt idx="328">
                  <c:v>27.914400240195743</c:v>
                </c:pt>
                <c:pt idx="329">
                  <c:v>27.692053490525872</c:v>
                </c:pt>
                <c:pt idx="330">
                  <c:v>27.469960449936249</c:v>
                </c:pt>
                <c:pt idx="331">
                  <c:v>27.244813569447278</c:v>
                </c:pt>
                <c:pt idx="332">
                  <c:v>27.018241600470148</c:v>
                </c:pt>
                <c:pt idx="333">
                  <c:v>26.791794385031064</c:v>
                </c:pt>
                <c:pt idx="334">
                  <c:v>26.567021576765523</c:v>
                </c:pt>
                <c:pt idx="335">
                  <c:v>26.345472622611307</c:v>
                </c:pt>
                <c:pt idx="336">
                  <c:v>26.128696735372287</c:v>
                </c:pt>
                <c:pt idx="337">
                  <c:v>25.918205539701813</c:v>
                </c:pt>
                <c:pt idx="338">
                  <c:v>25.715617145162177</c:v>
                </c:pt>
                <c:pt idx="339">
                  <c:v>25.522479792260839</c:v>
                </c:pt>
                <c:pt idx="340">
                  <c:v>25.340341422923387</c:v>
                </c:pt>
                <c:pt idx="341">
                  <c:v>25.170749655461123</c:v>
                </c:pt>
                <c:pt idx="342">
                  <c:v>25.01525176489395</c:v>
                </c:pt>
                <c:pt idx="343">
                  <c:v>24.875394675425653</c:v>
                </c:pt>
                <c:pt idx="344">
                  <c:v>24.74657230878389</c:v>
                </c:pt>
                <c:pt idx="345">
                  <c:v>24.623850641700162</c:v>
                </c:pt>
                <c:pt idx="346">
                  <c:v>24.508337211856752</c:v>
                </c:pt>
                <c:pt idx="347">
                  <c:v>24.401086132981046</c:v>
                </c:pt>
                <c:pt idx="348">
                  <c:v>24.303151266507925</c:v>
                </c:pt>
                <c:pt idx="349">
                  <c:v>24.215586188914671</c:v>
                </c:pt>
                <c:pt idx="350">
                  <c:v>24.139444208884377</c:v>
                </c:pt>
                <c:pt idx="351">
                  <c:v>24.075741999301059</c:v>
                </c:pt>
                <c:pt idx="352">
                  <c:v>24.025569120629175</c:v>
                </c:pt>
                <c:pt idx="353">
                  <c:v>23.989977970483555</c:v>
                </c:pt>
                <c:pt idx="354">
                  <c:v>23.970020636431997</c:v>
                </c:pt>
                <c:pt idx="355">
                  <c:v>23.966748884423655</c:v>
                </c:pt>
                <c:pt idx="356">
                  <c:v>23.981215701774367</c:v>
                </c:pt>
                <c:pt idx="357">
                  <c:v>24.014470930825215</c:v>
                </c:pt>
                <c:pt idx="358">
                  <c:v>24.067678555064212</c:v>
                </c:pt>
                <c:pt idx="359">
                  <c:v>24.140515583234436</c:v>
                </c:pt>
                <c:pt idx="360">
                  <c:v>24.23176686225942</c:v>
                </c:pt>
                <c:pt idx="361">
                  <c:v>24.34029044386601</c:v>
                </c:pt>
                <c:pt idx="362">
                  <c:v>24.464908292309929</c:v>
                </c:pt>
                <c:pt idx="363">
                  <c:v>24.604442567291986</c:v>
                </c:pt>
                <c:pt idx="364">
                  <c:v>24.757715624645527</c:v>
                </c:pt>
                <c:pt idx="365">
                  <c:v>24.923550026029286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'2020'!$A$15:$A$380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14.004</c:v>
                </c:pt>
                <c:pt idx="1">
                  <c:v>25.29</c:v>
                </c:pt>
                <c:pt idx="2">
                  <c:v>10.696</c:v>
                </c:pt>
                <c:pt idx="3">
                  <c:v>4.7830000000000004</c:v>
                </c:pt>
                <c:pt idx="4">
                  <c:v>11.093</c:v>
                </c:pt>
                <c:pt idx="5">
                  <c:v>26.541</c:v>
                </c:pt>
                <c:pt idx="6">
                  <c:v>8.5619999999999994</c:v>
                </c:pt>
                <c:pt idx="7">
                  <c:v>13.704000000000001</c:v>
                </c:pt>
                <c:pt idx="8">
                  <c:v>25.794</c:v>
                </c:pt>
                <c:pt idx="9">
                  <c:v>10.148</c:v>
                </c:pt>
                <c:pt idx="10">
                  <c:v>27.303999999999998</c:v>
                </c:pt>
                <c:pt idx="11">
                  <c:v>28.094999999999999</c:v>
                </c:pt>
                <c:pt idx="12">
                  <c:v>17.838000000000001</c:v>
                </c:pt>
                <c:pt idx="13">
                  <c:v>25.74</c:v>
                </c:pt>
                <c:pt idx="14">
                  <c:v>21.59</c:v>
                </c:pt>
                <c:pt idx="15">
                  <c:v>26.782</c:v>
                </c:pt>
                <c:pt idx="16">
                  <c:v>4.4779999999999998</c:v>
                </c:pt>
                <c:pt idx="17">
                  <c:v>18.972000000000001</c:v>
                </c:pt>
                <c:pt idx="18">
                  <c:v>22.181000000000001</c:v>
                </c:pt>
                <c:pt idx="19">
                  <c:v>10.958</c:v>
                </c:pt>
                <c:pt idx="20">
                  <c:v>3.677</c:v>
                </c:pt>
                <c:pt idx="21">
                  <c:v>2.0059999999999998</c:v>
                </c:pt>
                <c:pt idx="22">
                  <c:v>12.991</c:v>
                </c:pt>
                <c:pt idx="23">
                  <c:v>16.411999999999999</c:v>
                </c:pt>
                <c:pt idx="24">
                  <c:v>16.399000000000001</c:v>
                </c:pt>
                <c:pt idx="25">
                  <c:v>6.9740000000000002</c:v>
                </c:pt>
                <c:pt idx="26">
                  <c:v>11.893000000000001</c:v>
                </c:pt>
                <c:pt idx="27">
                  <c:v>16.370999999999999</c:v>
                </c:pt>
                <c:pt idx="28">
                  <c:v>26.760999999999999</c:v>
                </c:pt>
                <c:pt idx="29">
                  <c:v>10.337999999999999</c:v>
                </c:pt>
                <c:pt idx="30">
                  <c:v>21.135000000000002</c:v>
                </c:pt>
                <c:pt idx="31">
                  <c:v>11.781000000000001</c:v>
                </c:pt>
                <c:pt idx="32">
                  <c:v>28.234000000000002</c:v>
                </c:pt>
                <c:pt idx="33">
                  <c:v>26.494</c:v>
                </c:pt>
                <c:pt idx="34">
                  <c:v>16.218</c:v>
                </c:pt>
                <c:pt idx="35">
                  <c:v>34.643999999999998</c:v>
                </c:pt>
                <c:pt idx="36">
                  <c:v>37.840000000000003</c:v>
                </c:pt>
                <c:pt idx="37">
                  <c:v>26.003</c:v>
                </c:pt>
                <c:pt idx="38">
                  <c:v>32.597000000000001</c:v>
                </c:pt>
                <c:pt idx="39">
                  <c:v>26.629000000000001</c:v>
                </c:pt>
                <c:pt idx="40">
                  <c:v>16.919</c:v>
                </c:pt>
                <c:pt idx="41">
                  <c:v>8.4149999999999991</c:v>
                </c:pt>
                <c:pt idx="42">
                  <c:v>19.815999999999999</c:v>
                </c:pt>
                <c:pt idx="43">
                  <c:v>21.074999999999999</c:v>
                </c:pt>
                <c:pt idx="44">
                  <c:v>28.605</c:v>
                </c:pt>
                <c:pt idx="45">
                  <c:v>39.381</c:v>
                </c:pt>
                <c:pt idx="46">
                  <c:v>26.137</c:v>
                </c:pt>
                <c:pt idx="47">
                  <c:v>7.1340000000000003</c:v>
                </c:pt>
                <c:pt idx="48">
                  <c:v>37.378999999999998</c:v>
                </c:pt>
                <c:pt idx="49">
                  <c:v>32.387999999999998</c:v>
                </c:pt>
                <c:pt idx="50">
                  <c:v>41.08</c:v>
                </c:pt>
                <c:pt idx="51">
                  <c:v>17.199000000000002</c:v>
                </c:pt>
                <c:pt idx="52">
                  <c:v>39.841999999999999</c:v>
                </c:pt>
                <c:pt idx="53">
                  <c:v>40.454999999999998</c:v>
                </c:pt>
                <c:pt idx="54">
                  <c:v>40.593000000000004</c:v>
                </c:pt>
                <c:pt idx="55">
                  <c:v>14.667999999999999</c:v>
                </c:pt>
                <c:pt idx="56">
                  <c:v>15.811999999999999</c:v>
                </c:pt>
                <c:pt idx="57">
                  <c:v>6.5679999999999996</c:v>
                </c:pt>
                <c:pt idx="58">
                  <c:v>19.806000000000001</c:v>
                </c:pt>
                <c:pt idx="59">
                  <c:v>19.306000000000001</c:v>
                </c:pt>
                <c:pt idx="60">
                  <c:v>32.094000000000001</c:v>
                </c:pt>
                <c:pt idx="61">
                  <c:v>22.318000000000001</c:v>
                </c:pt>
                <c:pt idx="62">
                  <c:v>5.1680000000000001</c:v>
                </c:pt>
                <c:pt idx="63">
                  <c:v>7.2350000000000003</c:v>
                </c:pt>
                <c:pt idx="64">
                  <c:v>12.347</c:v>
                </c:pt>
                <c:pt idx="65">
                  <c:v>19.513999999999999</c:v>
                </c:pt>
                <c:pt idx="66">
                  <c:v>32.218000000000004</c:v>
                </c:pt>
                <c:pt idx="67">
                  <c:v>35.015000000000001</c:v>
                </c:pt>
                <c:pt idx="68">
                  <c:v>21.094000000000001</c:v>
                </c:pt>
                <c:pt idx="69">
                  <c:v>32.664000000000001</c:v>
                </c:pt>
                <c:pt idx="70">
                  <c:v>40.204999999999998</c:v>
                </c:pt>
                <c:pt idx="71">
                  <c:v>16.282</c:v>
                </c:pt>
                <c:pt idx="72">
                  <c:v>37.238999999999997</c:v>
                </c:pt>
                <c:pt idx="73">
                  <c:v>32.951000000000001</c:v>
                </c:pt>
                <c:pt idx="74">
                  <c:v>51.286000000000001</c:v>
                </c:pt>
                <c:pt idx="75">
                  <c:v>7.2569999999999997</c:v>
                </c:pt>
                <c:pt idx="76">
                  <c:v>11.275</c:v>
                </c:pt>
                <c:pt idx="77">
                  <c:v>43.811999999999998</c:v>
                </c:pt>
                <c:pt idx="78">
                  <c:v>46.174999999999997</c:v>
                </c:pt>
                <c:pt idx="79">
                  <c:v>49.783000000000001</c:v>
                </c:pt>
                <c:pt idx="80">
                  <c:v>48.311999999999998</c:v>
                </c:pt>
                <c:pt idx="81">
                  <c:v>39.018000000000001</c:v>
                </c:pt>
                <c:pt idx="82">
                  <c:v>33.162999999999997</c:v>
                </c:pt>
                <c:pt idx="83">
                  <c:v>50.212000000000003</c:v>
                </c:pt>
                <c:pt idx="84">
                  <c:v>52.487000000000002</c:v>
                </c:pt>
                <c:pt idx="85">
                  <c:v>33.567</c:v>
                </c:pt>
                <c:pt idx="86">
                  <c:v>45.75</c:v>
                </c:pt>
                <c:pt idx="87">
                  <c:v>48.911000000000001</c:v>
                </c:pt>
                <c:pt idx="88">
                  <c:v>40.576999999999998</c:v>
                </c:pt>
                <c:pt idx="89">
                  <c:v>18.213999999999999</c:v>
                </c:pt>
                <c:pt idx="90">
                  <c:v>42.756999999999998</c:v>
                </c:pt>
                <c:pt idx="91">
                  <c:v>40.999000000000002</c:v>
                </c:pt>
                <c:pt idx="92">
                  <c:v>20.565999999999999</c:v>
                </c:pt>
                <c:pt idx="93">
                  <c:v>52.531999999999996</c:v>
                </c:pt>
                <c:pt idx="94">
                  <c:v>56.365000000000002</c:v>
                </c:pt>
                <c:pt idx="95">
                  <c:v>57.277999999999999</c:v>
                </c:pt>
                <c:pt idx="96">
                  <c:v>30.641999999999999</c:v>
                </c:pt>
                <c:pt idx="97">
                  <c:v>38.957999999999998</c:v>
                </c:pt>
                <c:pt idx="98">
                  <c:v>41.165999999999997</c:v>
                </c:pt>
                <c:pt idx="99">
                  <c:v>55.289000000000001</c:v>
                </c:pt>
                <c:pt idx="100">
                  <c:v>56.098999999999997</c:v>
                </c:pt>
                <c:pt idx="101">
                  <c:v>55.496000000000002</c:v>
                </c:pt>
                <c:pt idx="102">
                  <c:v>42.853999999999999</c:v>
                </c:pt>
                <c:pt idx="103">
                  <c:v>20.120999999999999</c:v>
                </c:pt>
                <c:pt idx="104">
                  <c:v>48.603000000000002</c:v>
                </c:pt>
                <c:pt idx="105">
                  <c:v>55.656999999999996</c:v>
                </c:pt>
                <c:pt idx="106">
                  <c:v>44.582999999999998</c:v>
                </c:pt>
                <c:pt idx="107">
                  <c:v>26.702999999999999</c:v>
                </c:pt>
                <c:pt idx="108">
                  <c:v>41.055</c:v>
                </c:pt>
                <c:pt idx="109">
                  <c:v>19.475000000000001</c:v>
                </c:pt>
                <c:pt idx="110">
                  <c:v>11.715999999999999</c:v>
                </c:pt>
                <c:pt idx="111">
                  <c:v>17.616</c:v>
                </c:pt>
                <c:pt idx="112">
                  <c:v>7.7149999999999999</c:v>
                </c:pt>
                <c:pt idx="113">
                  <c:v>16.045000000000002</c:v>
                </c:pt>
                <c:pt idx="114">
                  <c:v>47.402000000000001</c:v>
                </c:pt>
                <c:pt idx="115">
                  <c:v>46.468000000000004</c:v>
                </c:pt>
                <c:pt idx="116">
                  <c:v>19.02</c:v>
                </c:pt>
                <c:pt idx="117">
                  <c:v>20.132999999999999</c:v>
                </c:pt>
                <c:pt idx="118">
                  <c:v>33.756999999999998</c:v>
                </c:pt>
                <c:pt idx="119">
                  <c:v>54.847000000000001</c:v>
                </c:pt>
                <c:pt idx="120">
                  <c:v>40.588000000000001</c:v>
                </c:pt>
                <c:pt idx="121">
                  <c:v>23.271999999999998</c:v>
                </c:pt>
                <c:pt idx="122">
                  <c:v>34.942</c:v>
                </c:pt>
                <c:pt idx="123">
                  <c:v>54.8</c:v>
                </c:pt>
                <c:pt idx="124">
                  <c:v>59.045000000000002</c:v>
                </c:pt>
                <c:pt idx="125">
                  <c:v>50.018999999999998</c:v>
                </c:pt>
                <c:pt idx="126">
                  <c:v>56.137</c:v>
                </c:pt>
                <c:pt idx="127">
                  <c:v>51.828000000000003</c:v>
                </c:pt>
                <c:pt idx="128">
                  <c:v>51.347000000000001</c:v>
                </c:pt>
                <c:pt idx="129">
                  <c:v>42.326999999999998</c:v>
                </c:pt>
                <c:pt idx="130">
                  <c:v>12.794</c:v>
                </c:pt>
                <c:pt idx="131">
                  <c:v>9.1519999999999992</c:v>
                </c:pt>
                <c:pt idx="132">
                  <c:v>22.417999999999999</c:v>
                </c:pt>
                <c:pt idx="133">
                  <c:v>36.042000000000002</c:v>
                </c:pt>
                <c:pt idx="134">
                  <c:v>17.53</c:v>
                </c:pt>
                <c:pt idx="135">
                  <c:v>19.306000000000001</c:v>
                </c:pt>
                <c:pt idx="136">
                  <c:v>27.986000000000001</c:v>
                </c:pt>
                <c:pt idx="137">
                  <c:v>58.484999999999999</c:v>
                </c:pt>
                <c:pt idx="138">
                  <c:v>58.661999999999999</c:v>
                </c:pt>
                <c:pt idx="139">
                  <c:v>58.131</c:v>
                </c:pt>
                <c:pt idx="140">
                  <c:v>57.453000000000003</c:v>
                </c:pt>
                <c:pt idx="141">
                  <c:v>52.276000000000003</c:v>
                </c:pt>
                <c:pt idx="142">
                  <c:v>56.115000000000002</c:v>
                </c:pt>
                <c:pt idx="143">
                  <c:v>16.178999999999998</c:v>
                </c:pt>
                <c:pt idx="144">
                  <c:v>54.628999999999998</c:v>
                </c:pt>
                <c:pt idx="145">
                  <c:v>58.448999999999998</c:v>
                </c:pt>
                <c:pt idx="146">
                  <c:v>57.865000000000002</c:v>
                </c:pt>
                <c:pt idx="147">
                  <c:v>57.683</c:v>
                </c:pt>
                <c:pt idx="148">
                  <c:v>57.277999999999999</c:v>
                </c:pt>
                <c:pt idx="149">
                  <c:v>55.784999999999997</c:v>
                </c:pt>
                <c:pt idx="150">
                  <c:v>58.965000000000003</c:v>
                </c:pt>
                <c:pt idx="151">
                  <c:v>56.277999999999999</c:v>
                </c:pt>
                <c:pt idx="152">
                  <c:v>27.395</c:v>
                </c:pt>
                <c:pt idx="153">
                  <c:v>54.402999999999999</c:v>
                </c:pt>
                <c:pt idx="154">
                  <c:v>30.951000000000001</c:v>
                </c:pt>
                <c:pt idx="155">
                  <c:v>35.801000000000002</c:v>
                </c:pt>
                <c:pt idx="156">
                  <c:v>23.802</c:v>
                </c:pt>
                <c:pt idx="157">
                  <c:v>26.771000000000001</c:v>
                </c:pt>
                <c:pt idx="158">
                  <c:v>34.466000000000001</c:v>
                </c:pt>
                <c:pt idx="159">
                  <c:v>41.418999999999997</c:v>
                </c:pt>
                <c:pt idx="160">
                  <c:v>23.725000000000001</c:v>
                </c:pt>
                <c:pt idx="161">
                  <c:v>46.826999999999998</c:v>
                </c:pt>
                <c:pt idx="162">
                  <c:v>28.925000000000001</c:v>
                </c:pt>
                <c:pt idx="163">
                  <c:v>50.988999999999997</c:v>
                </c:pt>
                <c:pt idx="164">
                  <c:v>45.453000000000003</c:v>
                </c:pt>
                <c:pt idx="165">
                  <c:v>46.396000000000001</c:v>
                </c:pt>
                <c:pt idx="166">
                  <c:v>48.817999999999998</c:v>
                </c:pt>
                <c:pt idx="167">
                  <c:v>34.445</c:v>
                </c:pt>
                <c:pt idx="168">
                  <c:v>51.878999999999998</c:v>
                </c:pt>
                <c:pt idx="169">
                  <c:v>36.356999999999999</c:v>
                </c:pt>
                <c:pt idx="170">
                  <c:v>53.604999999999997</c:v>
                </c:pt>
                <c:pt idx="171">
                  <c:v>53.915999999999997</c:v>
                </c:pt>
                <c:pt idx="172">
                  <c:v>57.667999999999999</c:v>
                </c:pt>
                <c:pt idx="173">
                  <c:v>43.320999999999998</c:v>
                </c:pt>
                <c:pt idx="174">
                  <c:v>58.082999999999998</c:v>
                </c:pt>
                <c:pt idx="175">
                  <c:v>58.779000000000003</c:v>
                </c:pt>
                <c:pt idx="176">
                  <c:v>52.85</c:v>
                </c:pt>
                <c:pt idx="177">
                  <c:v>53.116999999999997</c:v>
                </c:pt>
                <c:pt idx="178">
                  <c:v>36.140999999999998</c:v>
                </c:pt>
                <c:pt idx="179">
                  <c:v>46.262</c:v>
                </c:pt>
                <c:pt idx="180">
                  <c:v>20.654</c:v>
                </c:pt>
                <c:pt idx="181">
                  <c:v>57.792000000000002</c:v>
                </c:pt>
                <c:pt idx="182">
                  <c:v>49.758000000000003</c:v>
                </c:pt>
                <c:pt idx="183">
                  <c:v>18.911000000000001</c:v>
                </c:pt>
                <c:pt idx="184">
                  <c:v>50.337000000000003</c:v>
                </c:pt>
                <c:pt idx="185">
                  <c:v>56.395000000000003</c:v>
                </c:pt>
                <c:pt idx="186">
                  <c:v>56.055999999999997</c:v>
                </c:pt>
                <c:pt idx="187">
                  <c:v>31.082999999999998</c:v>
                </c:pt>
                <c:pt idx="188">
                  <c:v>59.081000000000003</c:v>
                </c:pt>
                <c:pt idx="189">
                  <c:v>57.222999999999999</c:v>
                </c:pt>
                <c:pt idx="190">
                  <c:v>53.756999999999998</c:v>
                </c:pt>
                <c:pt idx="191">
                  <c:v>45.795999999999999</c:v>
                </c:pt>
                <c:pt idx="192">
                  <c:v>36.046999999999997</c:v>
                </c:pt>
                <c:pt idx="193">
                  <c:v>39.826000000000001</c:v>
                </c:pt>
                <c:pt idx="194">
                  <c:v>55.406999999999996</c:v>
                </c:pt>
                <c:pt idx="195">
                  <c:v>46.722999999999999</c:v>
                </c:pt>
                <c:pt idx="196">
                  <c:v>20.6</c:v>
                </c:pt>
                <c:pt idx="197">
                  <c:v>23.827999999999999</c:v>
                </c:pt>
                <c:pt idx="198">
                  <c:v>25.207999999999998</c:v>
                </c:pt>
                <c:pt idx="199">
                  <c:v>56.250999999999998</c:v>
                </c:pt>
                <c:pt idx="200">
                  <c:v>55.429000000000002</c:v>
                </c:pt>
                <c:pt idx="201">
                  <c:v>49.69</c:v>
                </c:pt>
                <c:pt idx="202">
                  <c:v>52.408999999999999</c:v>
                </c:pt>
                <c:pt idx="203">
                  <c:v>45.911999999999999</c:v>
                </c:pt>
                <c:pt idx="204">
                  <c:v>50.003</c:v>
                </c:pt>
                <c:pt idx="205">
                  <c:v>49.805</c:v>
                </c:pt>
                <c:pt idx="206">
                  <c:v>54.447000000000003</c:v>
                </c:pt>
                <c:pt idx="207">
                  <c:v>39.436</c:v>
                </c:pt>
                <c:pt idx="208">
                  <c:v>52.780999999999999</c:v>
                </c:pt>
                <c:pt idx="209">
                  <c:v>29.492000000000001</c:v>
                </c:pt>
                <c:pt idx="210">
                  <c:v>46.508000000000003</c:v>
                </c:pt>
                <c:pt idx="211">
                  <c:v>51.868000000000002</c:v>
                </c:pt>
                <c:pt idx="212">
                  <c:v>51.427</c:v>
                </c:pt>
                <c:pt idx="213">
                  <c:v>35.595999999999997</c:v>
                </c:pt>
                <c:pt idx="214">
                  <c:v>31.611000000000001</c:v>
                </c:pt>
                <c:pt idx="215">
                  <c:v>49.326999999999998</c:v>
                </c:pt>
                <c:pt idx="216">
                  <c:v>48.404000000000003</c:v>
                </c:pt>
                <c:pt idx="217">
                  <c:v>54.075000000000003</c:v>
                </c:pt>
                <c:pt idx="218">
                  <c:v>52.835000000000001</c:v>
                </c:pt>
                <c:pt idx="219">
                  <c:v>51.881999999999998</c:v>
                </c:pt>
                <c:pt idx="220">
                  <c:v>49.68</c:v>
                </c:pt>
                <c:pt idx="221">
                  <c:v>42.253</c:v>
                </c:pt>
                <c:pt idx="222">
                  <c:v>41.481999999999999</c:v>
                </c:pt>
                <c:pt idx="223">
                  <c:v>45.851999999999997</c:v>
                </c:pt>
                <c:pt idx="224">
                  <c:v>31.888000000000002</c:v>
                </c:pt>
                <c:pt idx="225">
                  <c:v>16.521000000000001</c:v>
                </c:pt>
                <c:pt idx="226">
                  <c:v>45.802</c:v>
                </c:pt>
                <c:pt idx="227">
                  <c:v>48.857999999999997</c:v>
                </c:pt>
                <c:pt idx="228">
                  <c:v>16.067</c:v>
                </c:pt>
                <c:pt idx="229">
                  <c:v>42.59</c:v>
                </c:pt>
                <c:pt idx="230">
                  <c:v>35.029000000000003</c:v>
                </c:pt>
                <c:pt idx="231">
                  <c:v>49.976999999999997</c:v>
                </c:pt>
                <c:pt idx="232">
                  <c:v>51.463000000000001</c:v>
                </c:pt>
                <c:pt idx="233">
                  <c:v>40.396999999999998</c:v>
                </c:pt>
                <c:pt idx="234">
                  <c:v>32.052</c:v>
                </c:pt>
                <c:pt idx="235">
                  <c:v>42.792000000000002</c:v>
                </c:pt>
                <c:pt idx="236">
                  <c:v>43.518000000000001</c:v>
                </c:pt>
                <c:pt idx="237">
                  <c:v>50.081000000000003</c:v>
                </c:pt>
                <c:pt idx="238">
                  <c:v>20.927</c:v>
                </c:pt>
                <c:pt idx="239">
                  <c:v>48.41</c:v>
                </c:pt>
                <c:pt idx="240">
                  <c:v>7.7549999999999999</c:v>
                </c:pt>
                <c:pt idx="241">
                  <c:v>20.404</c:v>
                </c:pt>
                <c:pt idx="242">
                  <c:v>24.387</c:v>
                </c:pt>
                <c:pt idx="243">
                  <c:v>43.88</c:v>
                </c:pt>
                <c:pt idx="244">
                  <c:v>41.46</c:v>
                </c:pt>
                <c:pt idx="245">
                  <c:v>50.548999999999999</c:v>
                </c:pt>
                <c:pt idx="246">
                  <c:v>49.113999999999997</c:v>
                </c:pt>
                <c:pt idx="247">
                  <c:v>49.844999999999999</c:v>
                </c:pt>
                <c:pt idx="248">
                  <c:v>41.268999999999998</c:v>
                </c:pt>
                <c:pt idx="249">
                  <c:v>23.001000000000001</c:v>
                </c:pt>
                <c:pt idx="250">
                  <c:v>45.901000000000003</c:v>
                </c:pt>
                <c:pt idx="251">
                  <c:v>47.14</c:v>
                </c:pt>
                <c:pt idx="252">
                  <c:v>22.149000000000001</c:v>
                </c:pt>
                <c:pt idx="253">
                  <c:v>39.405999999999999</c:v>
                </c:pt>
                <c:pt idx="254">
                  <c:v>44.353999999999999</c:v>
                </c:pt>
                <c:pt idx="255">
                  <c:v>45.811</c:v>
                </c:pt>
                <c:pt idx="256">
                  <c:v>45.53</c:v>
                </c:pt>
                <c:pt idx="257">
                  <c:v>46.895000000000003</c:v>
                </c:pt>
                <c:pt idx="258">
                  <c:v>38.533999999999999</c:v>
                </c:pt>
                <c:pt idx="259">
                  <c:v>39.393000000000001</c:v>
                </c:pt>
                <c:pt idx="260">
                  <c:v>42.07</c:v>
                </c:pt>
                <c:pt idx="261">
                  <c:v>21.417999999999999</c:v>
                </c:pt>
                <c:pt idx="262">
                  <c:v>30.026</c:v>
                </c:pt>
                <c:pt idx="263">
                  <c:v>34.427</c:v>
                </c:pt>
                <c:pt idx="264">
                  <c:v>23.132999999999999</c:v>
                </c:pt>
                <c:pt idx="265">
                  <c:v>22.77</c:v>
                </c:pt>
                <c:pt idx="266">
                  <c:v>38.058999999999997</c:v>
                </c:pt>
                <c:pt idx="267">
                  <c:v>23.501999999999999</c:v>
                </c:pt>
                <c:pt idx="268">
                  <c:v>18.227</c:v>
                </c:pt>
                <c:pt idx="269">
                  <c:v>15.138</c:v>
                </c:pt>
                <c:pt idx="270">
                  <c:v>14.151999999999999</c:v>
                </c:pt>
                <c:pt idx="271">
                  <c:v>25.152000000000001</c:v>
                </c:pt>
                <c:pt idx="272">
                  <c:v>35.881</c:v>
                </c:pt>
                <c:pt idx="273">
                  <c:v>42.033000000000001</c:v>
                </c:pt>
                <c:pt idx="274">
                  <c:v>7.907</c:v>
                </c:pt>
                <c:pt idx="275">
                  <c:v>4.67</c:v>
                </c:pt>
                <c:pt idx="276">
                  <c:v>20.228000000000002</c:v>
                </c:pt>
                <c:pt idx="277">
                  <c:v>19.518000000000001</c:v>
                </c:pt>
                <c:pt idx="278">
                  <c:v>32.149000000000001</c:v>
                </c:pt>
                <c:pt idx="279">
                  <c:v>7.4039999999999999</c:v>
                </c:pt>
                <c:pt idx="280">
                  <c:v>28.649000000000001</c:v>
                </c:pt>
                <c:pt idx="281">
                  <c:v>32.098999999999997</c:v>
                </c:pt>
                <c:pt idx="282">
                  <c:v>26.991</c:v>
                </c:pt>
                <c:pt idx="283">
                  <c:v>14.736000000000001</c:v>
                </c:pt>
                <c:pt idx="284">
                  <c:v>13.385</c:v>
                </c:pt>
                <c:pt idx="285">
                  <c:v>22.236999999999998</c:v>
                </c:pt>
                <c:pt idx="286">
                  <c:v>24.178999999999998</c:v>
                </c:pt>
                <c:pt idx="287">
                  <c:v>14.257</c:v>
                </c:pt>
                <c:pt idx="288">
                  <c:v>14.212</c:v>
                </c:pt>
                <c:pt idx="289">
                  <c:v>9.9779999999999998</c:v>
                </c:pt>
                <c:pt idx="290">
                  <c:v>36.715000000000003</c:v>
                </c:pt>
                <c:pt idx="291">
                  <c:v>37.253</c:v>
                </c:pt>
                <c:pt idx="292">
                  <c:v>34.716999999999999</c:v>
                </c:pt>
                <c:pt idx="293">
                  <c:v>5.61</c:v>
                </c:pt>
                <c:pt idx="294">
                  <c:v>24.984999999999999</c:v>
                </c:pt>
                <c:pt idx="295">
                  <c:v>8.0250000000000004</c:v>
                </c:pt>
                <c:pt idx="296">
                  <c:v>10.704000000000001</c:v>
                </c:pt>
                <c:pt idx="297">
                  <c:v>33.192</c:v>
                </c:pt>
                <c:pt idx="298">
                  <c:v>26.091999999999999</c:v>
                </c:pt>
                <c:pt idx="299">
                  <c:v>23.565000000000001</c:v>
                </c:pt>
                <c:pt idx="300">
                  <c:v>21.628</c:v>
                </c:pt>
                <c:pt idx="301">
                  <c:v>11.622999999999999</c:v>
                </c:pt>
                <c:pt idx="302">
                  <c:v>29.733000000000001</c:v>
                </c:pt>
                <c:pt idx="303">
                  <c:v>33.497</c:v>
                </c:pt>
                <c:pt idx="304">
                  <c:v>27.228999999999999</c:v>
                </c:pt>
                <c:pt idx="305">
                  <c:v>30.231999999999999</c:v>
                </c:pt>
                <c:pt idx="306">
                  <c:v>26.483000000000001</c:v>
                </c:pt>
                <c:pt idx="307">
                  <c:v>5.4349999999999996</c:v>
                </c:pt>
                <c:pt idx="308">
                  <c:v>13.195</c:v>
                </c:pt>
                <c:pt idx="309">
                  <c:v>20.559000000000001</c:v>
                </c:pt>
                <c:pt idx="310">
                  <c:v>16.684000000000001</c:v>
                </c:pt>
                <c:pt idx="311">
                  <c:v>4.2839999999999998</c:v>
                </c:pt>
                <c:pt idx="312">
                  <c:v>27.277999999999999</c:v>
                </c:pt>
                <c:pt idx="313">
                  <c:v>21.561</c:v>
                </c:pt>
                <c:pt idx="314">
                  <c:v>13.29</c:v>
                </c:pt>
                <c:pt idx="315">
                  <c:v>31.257999999999999</c:v>
                </c:pt>
                <c:pt idx="316">
                  <c:v>28.943000000000001</c:v>
                </c:pt>
                <c:pt idx="317">
                  <c:v>17.975999999999999</c:v>
                </c:pt>
                <c:pt idx="318">
                  <c:v>29.832999999999998</c:v>
                </c:pt>
                <c:pt idx="319">
                  <c:v>21.882999999999999</c:v>
                </c:pt>
                <c:pt idx="320">
                  <c:v>18.263999999999999</c:v>
                </c:pt>
                <c:pt idx="321">
                  <c:v>27.298999999999999</c:v>
                </c:pt>
                <c:pt idx="322">
                  <c:v>29.25</c:v>
                </c:pt>
                <c:pt idx="323">
                  <c:v>4.7709999999999999</c:v>
                </c:pt>
                <c:pt idx="324">
                  <c:v>22.26</c:v>
                </c:pt>
                <c:pt idx="325">
                  <c:v>29.664000000000001</c:v>
                </c:pt>
                <c:pt idx="326">
                  <c:v>29.568999999999999</c:v>
                </c:pt>
                <c:pt idx="327">
                  <c:v>27.61</c:v>
                </c:pt>
                <c:pt idx="328">
                  <c:v>26.184999999999999</c:v>
                </c:pt>
                <c:pt idx="329">
                  <c:v>26.402000000000001</c:v>
                </c:pt>
                <c:pt idx="330">
                  <c:v>21.811</c:v>
                </c:pt>
                <c:pt idx="331">
                  <c:v>16.390999999999998</c:v>
                </c:pt>
                <c:pt idx="332">
                  <c:v>7.8170000000000002</c:v>
                </c:pt>
                <c:pt idx="333">
                  <c:v>25.466000000000001</c:v>
                </c:pt>
                <c:pt idx="334">
                  <c:v>26.233000000000001</c:v>
                </c:pt>
                <c:pt idx="335">
                  <c:v>4.6689999999999996</c:v>
                </c:pt>
                <c:pt idx="336">
                  <c:v>1.1319999999999999</c:v>
                </c:pt>
                <c:pt idx="337">
                  <c:v>14.135</c:v>
                </c:pt>
                <c:pt idx="338">
                  <c:v>7.3579999999999997</c:v>
                </c:pt>
                <c:pt idx="339">
                  <c:v>22.937999999999999</c:v>
                </c:pt>
                <c:pt idx="340">
                  <c:v>15.007</c:v>
                </c:pt>
                <c:pt idx="341">
                  <c:v>2.536</c:v>
                </c:pt>
                <c:pt idx="342">
                  <c:v>8.52</c:v>
                </c:pt>
                <c:pt idx="343">
                  <c:v>8.8219999999999992</c:v>
                </c:pt>
                <c:pt idx="344">
                  <c:v>5.0129999999999999</c:v>
                </c:pt>
                <c:pt idx="345">
                  <c:v>8.0990000000000002</c:v>
                </c:pt>
                <c:pt idx="346">
                  <c:v>9.8919999999999995</c:v>
                </c:pt>
                <c:pt idx="347">
                  <c:v>10.606999999999999</c:v>
                </c:pt>
                <c:pt idx="348">
                  <c:v>2.8540000000000001</c:v>
                </c:pt>
                <c:pt idx="349">
                  <c:v>2.1509999999999998</c:v>
                </c:pt>
                <c:pt idx="350">
                  <c:v>15.442</c:v>
                </c:pt>
                <c:pt idx="351">
                  <c:v>9.5879999999999992</c:v>
                </c:pt>
                <c:pt idx="352">
                  <c:v>8.8079999999999998</c:v>
                </c:pt>
                <c:pt idx="353">
                  <c:v>9.5890000000000004</c:v>
                </c:pt>
                <c:pt idx="354">
                  <c:v>7.8739999999999997</c:v>
                </c:pt>
                <c:pt idx="355">
                  <c:v>10.010999999999999</c:v>
                </c:pt>
                <c:pt idx="356">
                  <c:v>20.888000000000002</c:v>
                </c:pt>
                <c:pt idx="357">
                  <c:v>13.006</c:v>
                </c:pt>
                <c:pt idx="358">
                  <c:v>11.752000000000001</c:v>
                </c:pt>
                <c:pt idx="359">
                  <c:v>3.7810000000000001</c:v>
                </c:pt>
                <c:pt idx="360">
                  <c:v>16.925999999999998</c:v>
                </c:pt>
                <c:pt idx="361">
                  <c:v>6.3049999999999997</c:v>
                </c:pt>
                <c:pt idx="362">
                  <c:v>7.8129999999999997</c:v>
                </c:pt>
                <c:pt idx="363">
                  <c:v>5.7690000000000001</c:v>
                </c:pt>
                <c:pt idx="364">
                  <c:v>10.487</c:v>
                </c:pt>
                <c:pt idx="365">
                  <c:v>15.91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160152"/>
        <c:axId val="373522624"/>
      </c:lineChart>
      <c:dateAx>
        <c:axId val="358160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3522624"/>
        <c:crosses val="autoZero"/>
        <c:auto val="1"/>
        <c:lblOffset val="100"/>
        <c:baseTimeUnit val="days"/>
        <c:majorUnit val="1"/>
        <c:majorTimeUnit val="months"/>
      </c:dateAx>
      <c:valAx>
        <c:axId val="37352262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16015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'2021'!Ppv</c:f>
              <c:numCache>
                <c:formatCode>0.00%</c:formatCode>
                <c:ptCount val="366"/>
                <c:pt idx="0">
                  <c:v>1.3741805270046314E-2</c:v>
                </c:pt>
                <c:pt idx="1">
                  <c:v>1.3760706683346613E-2</c:v>
                </c:pt>
                <c:pt idx="2">
                  <c:v>1.3779607734405785E-2</c:v>
                </c:pt>
                <c:pt idx="3">
                  <c:v>1.3798508423230493E-2</c:v>
                </c:pt>
                <c:pt idx="4">
                  <c:v>1.3817408749827842E-2</c:v>
                </c:pt>
                <c:pt idx="5">
                  <c:v>1.3836308714204715E-2</c:v>
                </c:pt>
                <c:pt idx="6">
                  <c:v>1.3855208316368106E-2</c:v>
                </c:pt>
                <c:pt idx="7">
                  <c:v>1.387410755632501E-2</c:v>
                </c:pt>
                <c:pt idx="8">
                  <c:v>1.38930064340822E-2</c:v>
                </c:pt>
                <c:pt idx="9">
                  <c:v>1.391190494964667E-2</c:v>
                </c:pt>
                <c:pt idx="10">
                  <c:v>1.3930803103025524E-2</c:v>
                </c:pt>
                <c:pt idx="11">
                  <c:v>1.3949700894225536E-2</c:v>
                </c:pt>
                <c:pt idx="12">
                  <c:v>1.3968598323253589E-2</c:v>
                </c:pt>
                <c:pt idx="13">
                  <c:v>1.39874953901169E-2</c:v>
                </c:pt>
                <c:pt idx="14">
                  <c:v>1.4006392094822129E-2</c:v>
                </c:pt>
                <c:pt idx="15">
                  <c:v>1.4025288437376271E-2</c:v>
                </c:pt>
                <c:pt idx="16">
                  <c:v>1.4044184417786432E-2</c:v>
                </c:pt>
                <c:pt idx="17">
                  <c:v>1.4063080036059383E-2</c:v>
                </c:pt>
                <c:pt idx="18">
                  <c:v>1.408197529220212E-2</c:v>
                </c:pt>
                <c:pt idx="19">
                  <c:v>1.4100870186221637E-2</c:v>
                </c:pt>
                <c:pt idx="20">
                  <c:v>1.4119764718124816E-2</c:v>
                </c:pt>
                <c:pt idx="21">
                  <c:v>1.4138658887918543E-2</c:v>
                </c:pt>
                <c:pt idx="22">
                  <c:v>1.415755269560981E-2</c:v>
                </c:pt>
                <c:pt idx="23">
                  <c:v>1.4176446141205612E-2</c:v>
                </c:pt>
                <c:pt idx="24">
                  <c:v>1.4195339224712833E-2</c:v>
                </c:pt>
                <c:pt idx="25">
                  <c:v>1.4214231946138356E-2</c:v>
                </c:pt>
                <c:pt idx="26">
                  <c:v>1.4233124305489286E-2</c:v>
                </c:pt>
                <c:pt idx="27">
                  <c:v>1.4252016302772397E-2</c:v>
                </c:pt>
                <c:pt idx="28">
                  <c:v>1.4270907937994681E-2</c:v>
                </c:pt>
                <c:pt idx="29">
                  <c:v>1.4289799211163134E-2</c:v>
                </c:pt>
                <c:pt idx="30">
                  <c:v>1.430869012228464E-2</c:v>
                </c:pt>
                <c:pt idx="31">
                  <c:v>1.432758067136608E-2</c:v>
                </c:pt>
                <c:pt idx="32">
                  <c:v>1.4346470858414451E-2</c:v>
                </c:pt>
                <c:pt idx="33">
                  <c:v>1.4365360683436745E-2</c:v>
                </c:pt>
                <c:pt idx="34">
                  <c:v>1.4384250146439848E-2</c:v>
                </c:pt>
                <c:pt idx="35">
                  <c:v>1.4403139247430752E-2</c:v>
                </c:pt>
                <c:pt idx="36">
                  <c:v>1.4422027986416341E-2</c:v>
                </c:pt>
                <c:pt idx="37">
                  <c:v>1.44409163634035E-2</c:v>
                </c:pt>
                <c:pt idx="38">
                  <c:v>1.4459804378399221E-2</c:v>
                </c:pt>
                <c:pt idx="39">
                  <c:v>1.447869203141039E-2</c:v>
                </c:pt>
                <c:pt idx="40">
                  <c:v>1.449757932244411E-2</c:v>
                </c:pt>
                <c:pt idx="41">
                  <c:v>1.4516466251507154E-2</c:v>
                </c:pt>
                <c:pt idx="42">
                  <c:v>1.4535352818606517E-2</c:v>
                </c:pt>
                <c:pt idx="43">
                  <c:v>1.4554239023749194E-2</c:v>
                </c:pt>
                <c:pt idx="44">
                  <c:v>1.4573124866941956E-2</c:v>
                </c:pt>
                <c:pt idx="45">
                  <c:v>1.4592010348191908E-2</c:v>
                </c:pt>
                <c:pt idx="46">
                  <c:v>1.4610895467505824E-2</c:v>
                </c:pt>
                <c:pt idx="47">
                  <c:v>1.4629780224890809E-2</c:v>
                </c:pt>
                <c:pt idx="48">
                  <c:v>1.4648664620353746E-2</c:v>
                </c:pt>
                <c:pt idx="49">
                  <c:v>1.4667548653901519E-2</c:v>
                </c:pt>
                <c:pt idx="50">
                  <c:v>1.4686432325541121E-2</c:v>
                </c:pt>
                <c:pt idx="51">
                  <c:v>1.4705315635279437E-2</c:v>
                </c:pt>
                <c:pt idx="52">
                  <c:v>1.472419858312346E-2</c:v>
                </c:pt>
                <c:pt idx="53">
                  <c:v>1.4743081169080074E-2</c:v>
                </c:pt>
                <c:pt idx="54">
                  <c:v>1.4761963393156274E-2</c:v>
                </c:pt>
                <c:pt idx="55">
                  <c:v>1.4780845255358943E-2</c:v>
                </c:pt>
                <c:pt idx="56">
                  <c:v>1.4799726755694964E-2</c:v>
                </c:pt>
                <c:pt idx="57">
                  <c:v>1.4818607894171443E-2</c:v>
                </c:pt>
                <c:pt idx="58">
                  <c:v>1.4837488670795151E-2</c:v>
                </c:pt>
                <c:pt idx="59">
                  <c:v>1.4856369085573085E-2</c:v>
                </c:pt>
                <c:pt idx="60">
                  <c:v>1.4875249138512237E-2</c:v>
                </c:pt>
                <c:pt idx="61">
                  <c:v>1.489412882961938E-2</c:v>
                </c:pt>
                <c:pt idx="62">
                  <c:v>1.4913008158901619E-2</c:v>
                </c:pt>
                <c:pt idx="63">
                  <c:v>1.4931887126365728E-2</c:v>
                </c:pt>
                <c:pt idx="64">
                  <c:v>1.4950765732018811E-2</c:v>
                </c:pt>
                <c:pt idx="65">
                  <c:v>1.4969643975867752E-2</c:v>
                </c:pt>
                <c:pt idx="66">
                  <c:v>1.4988521857919435E-2</c:v>
                </c:pt>
                <c:pt idx="67">
                  <c:v>1.5007399378180741E-2</c:v>
                </c:pt>
                <c:pt idx="68">
                  <c:v>1.5026276536658778E-2</c:v>
                </c:pt>
                <c:pt idx="69">
                  <c:v>1.5045153333360317E-2</c:v>
                </c:pt>
                <c:pt idx="70">
                  <c:v>1.5064029768292353E-2</c:v>
                </c:pt>
                <c:pt idx="71">
                  <c:v>1.508290584146188E-2</c:v>
                </c:pt>
                <c:pt idx="72">
                  <c:v>1.510178155287567E-2</c:v>
                </c:pt>
                <c:pt idx="73">
                  <c:v>1.512065690254083E-2</c:v>
                </c:pt>
                <c:pt idx="74">
                  <c:v>1.5139531890464242E-2</c:v>
                </c:pt>
                <c:pt idx="75">
                  <c:v>1.5158406516652789E-2</c:v>
                </c:pt>
                <c:pt idx="76">
                  <c:v>1.5177280781113356E-2</c:v>
                </c:pt>
                <c:pt idx="77">
                  <c:v>1.5196154683853047E-2</c:v>
                </c:pt>
                <c:pt idx="78">
                  <c:v>1.5215028224878746E-2</c:v>
                </c:pt>
                <c:pt idx="79">
                  <c:v>1.5233901404197225E-2</c:v>
                </c:pt>
                <c:pt idx="80">
                  <c:v>1.525277422181559E-2</c:v>
                </c:pt>
                <c:pt idx="81">
                  <c:v>1.5271646677740613E-2</c:v>
                </c:pt>
                <c:pt idx="82">
                  <c:v>1.52905187719794E-2</c:v>
                </c:pt>
                <c:pt idx="83">
                  <c:v>1.5309390504538833E-2</c:v>
                </c:pt>
                <c:pt idx="84">
                  <c:v>1.5328261875425797E-2</c:v>
                </c:pt>
                <c:pt idx="85">
                  <c:v>1.5347132884647174E-2</c:v>
                </c:pt>
                <c:pt idx="86">
                  <c:v>1.5366003532210071E-2</c:v>
                </c:pt>
                <c:pt idx="87">
                  <c:v>1.5384873818121259E-2</c:v>
                </c:pt>
                <c:pt idx="88">
                  <c:v>1.5403743742387732E-2</c:v>
                </c:pt>
                <c:pt idx="89">
                  <c:v>1.5422613305016375E-2</c:v>
                </c:pt>
                <c:pt idx="90">
                  <c:v>1.5441482506014181E-2</c:v>
                </c:pt>
                <c:pt idx="91">
                  <c:v>1.5460351345388035E-2</c:v>
                </c:pt>
                <c:pt idx="92">
                  <c:v>1.547921982314493E-2</c:v>
                </c:pt>
                <c:pt idx="93">
                  <c:v>1.5498087939291749E-2</c:v>
                </c:pt>
                <c:pt idx="94">
                  <c:v>1.5516955693835377E-2</c:v>
                </c:pt>
                <c:pt idx="95">
                  <c:v>1.5535823086782918E-2</c:v>
                </c:pt>
                <c:pt idx="96">
                  <c:v>1.5554690118141035E-2</c:v>
                </c:pt>
                <c:pt idx="97">
                  <c:v>1.5573556787916831E-2</c:v>
                </c:pt>
                <c:pt idx="98">
                  <c:v>1.5592423096117303E-2</c:v>
                </c:pt>
                <c:pt idx="99">
                  <c:v>1.5611289042749221E-2</c:v>
                </c:pt>
                <c:pt idx="100">
                  <c:v>1.563015462781947E-2</c:v>
                </c:pt>
                <c:pt idx="101">
                  <c:v>1.5649019851335266E-2</c:v>
                </c:pt>
                <c:pt idx="102">
                  <c:v>1.5667884713303271E-2</c:v>
                </c:pt>
                <c:pt idx="103">
                  <c:v>1.5686749213730478E-2</c:v>
                </c:pt>
                <c:pt idx="104">
                  <c:v>1.5705613352623771E-2</c:v>
                </c:pt>
                <c:pt idx="105">
                  <c:v>1.5724477129990255E-2</c:v>
                </c:pt>
                <c:pt idx="106">
                  <c:v>1.5743340545836704E-2</c:v>
                </c:pt>
                <c:pt idx="107">
                  <c:v>1.576220360017011E-2</c:v>
                </c:pt>
                <c:pt idx="108">
                  <c:v>1.578106629299747E-2</c:v>
                </c:pt>
                <c:pt idx="109">
                  <c:v>1.5799928624325554E-2</c:v>
                </c:pt>
                <c:pt idx="110">
                  <c:v>1.5818790594161358E-2</c:v>
                </c:pt>
                <c:pt idx="111">
                  <c:v>1.5837652202511765E-2</c:v>
                </c:pt>
                <c:pt idx="112">
                  <c:v>1.5856513449383769E-2</c:v>
                </c:pt>
                <c:pt idx="113">
                  <c:v>1.5875374334784365E-2</c:v>
                </c:pt>
                <c:pt idx="114">
                  <c:v>1.5894234858720324E-2</c:v>
                </c:pt>
                <c:pt idx="115">
                  <c:v>1.5913095021198642E-2</c:v>
                </c:pt>
                <c:pt idx="116">
                  <c:v>1.5931954822226202E-2</c:v>
                </c:pt>
                <c:pt idx="117">
                  <c:v>1.5950814261810109E-2</c:v>
                </c:pt>
                <c:pt idx="118">
                  <c:v>1.5969673339957025E-2</c:v>
                </c:pt>
                <c:pt idx="119">
                  <c:v>1.5988532056674054E-2</c:v>
                </c:pt>
                <c:pt idx="120">
                  <c:v>1.6007390411968081E-2</c:v>
                </c:pt>
                <c:pt idx="121">
                  <c:v>1.60262484058461E-2</c:v>
                </c:pt>
                <c:pt idx="122">
                  <c:v>1.6045106038314882E-2</c:v>
                </c:pt>
                <c:pt idx="123">
                  <c:v>1.6063963309381535E-2</c:v>
                </c:pt>
                <c:pt idx="124">
                  <c:v>1.6082820219052829E-2</c:v>
                </c:pt>
                <c:pt idx="125">
                  <c:v>1.610167676733576E-2</c:v>
                </c:pt>
                <c:pt idx="126">
                  <c:v>1.612053295423721E-2</c:v>
                </c:pt>
                <c:pt idx="127">
                  <c:v>1.6139388779764174E-2</c:v>
                </c:pt>
                <c:pt idx="128">
                  <c:v>1.6158244243923536E-2</c:v>
                </c:pt>
                <c:pt idx="129">
                  <c:v>1.6177099346722179E-2</c:v>
                </c:pt>
                <c:pt idx="130">
                  <c:v>1.6195954088167097E-2</c:v>
                </c:pt>
                <c:pt idx="131">
                  <c:v>1.6214808468265285E-2</c:v>
                </c:pt>
                <c:pt idx="132">
                  <c:v>1.6233662487023515E-2</c:v>
                </c:pt>
                <c:pt idx="133">
                  <c:v>1.6252516144448781E-2</c:v>
                </c:pt>
                <c:pt idx="134">
                  <c:v>1.6271369440547967E-2</c:v>
                </c:pt>
                <c:pt idx="135">
                  <c:v>1.6290222375328067E-2</c:v>
                </c:pt>
                <c:pt idx="136">
                  <c:v>1.6309074948795965E-2</c:v>
                </c:pt>
                <c:pt idx="137">
                  <c:v>1.6327927160958655E-2</c:v>
                </c:pt>
                <c:pt idx="138">
                  <c:v>1.6346779011822909E-2</c:v>
                </c:pt>
                <c:pt idx="139">
                  <c:v>1.6365630501395834E-2</c:v>
                </c:pt>
                <c:pt idx="140">
                  <c:v>1.63844816296842E-2</c:v>
                </c:pt>
                <c:pt idx="141">
                  <c:v>1.6403332396695003E-2</c:v>
                </c:pt>
                <c:pt idx="142">
                  <c:v>1.6422182802435126E-2</c:v>
                </c:pt>
                <c:pt idx="143">
                  <c:v>1.6441032846911563E-2</c:v>
                </c:pt>
                <c:pt idx="144">
                  <c:v>1.6459882530131198E-2</c:v>
                </c:pt>
                <c:pt idx="145">
                  <c:v>1.6478731852101025E-2</c:v>
                </c:pt>
                <c:pt idx="146">
                  <c:v>1.6497580812827817E-2</c:v>
                </c:pt>
                <c:pt idx="147">
                  <c:v>1.6516429412318567E-2</c:v>
                </c:pt>
                <c:pt idx="148">
                  <c:v>1.653527765058016E-2</c:v>
                </c:pt>
                <c:pt idx="149">
                  <c:v>1.6554125527619701E-2</c:v>
                </c:pt>
                <c:pt idx="150">
                  <c:v>1.657297304344385E-2</c:v>
                </c:pt>
                <c:pt idx="151">
                  <c:v>1.6591820198059715E-2</c:v>
                </c:pt>
                <c:pt idx="152">
                  <c:v>1.6610666991474177E-2</c:v>
                </c:pt>
                <c:pt idx="153">
                  <c:v>1.662951342369412E-2</c:v>
                </c:pt>
                <c:pt idx="154">
                  <c:v>1.6648359494726539E-2</c:v>
                </c:pt>
                <c:pt idx="155">
                  <c:v>1.6667205204578206E-2</c:v>
                </c:pt>
                <c:pt idx="156">
                  <c:v>1.6686050553256226E-2</c:v>
                </c:pt>
                <c:pt idx="157">
                  <c:v>1.6704895540767373E-2</c:v>
                </c:pt>
                <c:pt idx="158">
                  <c:v>1.672374016711875E-2</c:v>
                </c:pt>
                <c:pt idx="159">
                  <c:v>1.674258443231702E-2</c:v>
                </c:pt>
                <c:pt idx="160">
                  <c:v>1.6761428336369288E-2</c:v>
                </c:pt>
                <c:pt idx="161">
                  <c:v>1.6780271879282438E-2</c:v>
                </c:pt>
                <c:pt idx="162">
                  <c:v>1.6799115061063463E-2</c:v>
                </c:pt>
                <c:pt idx="163">
                  <c:v>1.6817957881719137E-2</c:v>
                </c:pt>
                <c:pt idx="164">
                  <c:v>1.6836800341256453E-2</c:v>
                </c:pt>
                <c:pt idx="165">
                  <c:v>1.6855642439682406E-2</c:v>
                </c:pt>
                <c:pt idx="166">
                  <c:v>1.6874484177003768E-2</c:v>
                </c:pt>
                <c:pt idx="167">
                  <c:v>1.6893325553227534E-2</c:v>
                </c:pt>
                <c:pt idx="168">
                  <c:v>1.6912166568360587E-2</c:v>
                </c:pt>
                <c:pt idx="169">
                  <c:v>1.6931007222409922E-2</c:v>
                </c:pt>
                <c:pt idx="170">
                  <c:v>1.6949847515382421E-2</c:v>
                </c:pt>
                <c:pt idx="171">
                  <c:v>1.696868744728508E-2</c:v>
                </c:pt>
                <c:pt idx="172">
                  <c:v>1.6987527018124671E-2</c:v>
                </c:pt>
                <c:pt idx="173">
                  <c:v>1.7006366227908187E-2</c:v>
                </c:pt>
                <c:pt idx="174">
                  <c:v>1.7025205076642513E-2</c:v>
                </c:pt>
                <c:pt idx="175">
                  <c:v>1.7044043564334643E-2</c:v>
                </c:pt>
                <c:pt idx="176">
                  <c:v>1.706288169099146E-2</c:v>
                </c:pt>
                <c:pt idx="177">
                  <c:v>1.7081719456619848E-2</c:v>
                </c:pt>
                <c:pt idx="178">
                  <c:v>1.710055686122669E-2</c:v>
                </c:pt>
                <c:pt idx="179">
                  <c:v>1.7119393904819091E-2</c:v>
                </c:pt>
                <c:pt idx="180">
                  <c:v>1.7138230587403824E-2</c:v>
                </c:pt>
                <c:pt idx="181">
                  <c:v>1.7157066908987773E-2</c:v>
                </c:pt>
                <c:pt idx="182">
                  <c:v>1.717590286957793E-2</c:v>
                </c:pt>
                <c:pt idx="183">
                  <c:v>1.7194738469181292E-2</c:v>
                </c:pt>
                <c:pt idx="184">
                  <c:v>1.721357370780463E-2</c:v>
                </c:pt>
                <c:pt idx="185">
                  <c:v>1.7232408585454828E-2</c:v>
                </c:pt>
                <c:pt idx="186">
                  <c:v>1.7251243102138991E-2</c:v>
                </c:pt>
                <c:pt idx="187">
                  <c:v>1.7270077257863892E-2</c:v>
                </c:pt>
                <c:pt idx="188">
                  <c:v>1.7288911052636524E-2</c:v>
                </c:pt>
                <c:pt idx="189">
                  <c:v>1.7307744486463772E-2</c:v>
                </c:pt>
                <c:pt idx="190">
                  <c:v>1.7326577559352629E-2</c:v>
                </c:pt>
                <c:pt idx="191">
                  <c:v>1.7345410271309869E-2</c:v>
                </c:pt>
                <c:pt idx="192">
                  <c:v>1.7364242622342485E-2</c:v>
                </c:pt>
                <c:pt idx="193">
                  <c:v>1.7383074612457361E-2</c:v>
                </c:pt>
                <c:pt idx="194">
                  <c:v>1.7401906241661491E-2</c:v>
                </c:pt>
                <c:pt idx="195">
                  <c:v>1.7420737509961648E-2</c:v>
                </c:pt>
                <c:pt idx="196">
                  <c:v>1.7439568417364937E-2</c:v>
                </c:pt>
                <c:pt idx="197">
                  <c:v>1.745839896387813E-2</c:v>
                </c:pt>
                <c:pt idx="198">
                  <c:v>1.7477229149508333E-2</c:v>
                </c:pt>
                <c:pt idx="199">
                  <c:v>1.7496058974262207E-2</c:v>
                </c:pt>
                <c:pt idx="200">
                  <c:v>1.7514888438146747E-2</c:v>
                </c:pt>
                <c:pt idx="201">
                  <c:v>1.7533717541168947E-2</c:v>
                </c:pt>
                <c:pt idx="202">
                  <c:v>1.755254628333569E-2</c:v>
                </c:pt>
                <c:pt idx="203">
                  <c:v>1.757137466465386E-2</c:v>
                </c:pt>
                <c:pt idx="204">
                  <c:v>1.7590202685130452E-2</c:v>
                </c:pt>
                <c:pt idx="205">
                  <c:v>1.7609030344772347E-2</c:v>
                </c:pt>
                <c:pt idx="206">
                  <c:v>1.762785764358632E-2</c:v>
                </c:pt>
                <c:pt idx="207">
                  <c:v>1.7646684581579475E-2</c:v>
                </c:pt>
                <c:pt idx="208">
                  <c:v>1.7665511158758695E-2</c:v>
                </c:pt>
                <c:pt idx="209">
                  <c:v>1.7684337375130865E-2</c:v>
                </c:pt>
                <c:pt idx="210">
                  <c:v>1.7703163230702867E-2</c:v>
                </c:pt>
                <c:pt idx="211">
                  <c:v>1.7721988725481586E-2</c:v>
                </c:pt>
                <c:pt idx="212">
                  <c:v>1.7740813859474014E-2</c:v>
                </c:pt>
                <c:pt idx="213">
                  <c:v>1.7759638632687147E-2</c:v>
                </c:pt>
                <c:pt idx="214">
                  <c:v>1.7778463045127646E-2</c:v>
                </c:pt>
                <c:pt idx="215">
                  <c:v>1.7797287096802616E-2</c:v>
                </c:pt>
                <c:pt idx="216">
                  <c:v>1.7816110787719053E-2</c:v>
                </c:pt>
                <c:pt idx="217">
                  <c:v>1.7834934117883616E-2</c:v>
                </c:pt>
                <c:pt idx="218">
                  <c:v>1.7853757087303412E-2</c:v>
                </c:pt>
                <c:pt idx="219">
                  <c:v>1.7872579695985213E-2</c:v>
                </c:pt>
                <c:pt idx="220">
                  <c:v>1.7891401943936125E-2</c:v>
                </c:pt>
                <c:pt idx="221">
                  <c:v>1.7910223831162808E-2</c:v>
                </c:pt>
                <c:pt idx="222">
                  <c:v>1.792904535767248E-2</c:v>
                </c:pt>
                <c:pt idx="223">
                  <c:v>1.79478665234718E-2</c:v>
                </c:pt>
                <c:pt idx="224">
                  <c:v>1.7966687328567765E-2</c:v>
                </c:pt>
                <c:pt idx="225">
                  <c:v>1.7985507772967257E-2</c:v>
                </c:pt>
                <c:pt idx="226">
                  <c:v>1.8004327856677271E-2</c:v>
                </c:pt>
                <c:pt idx="227">
                  <c:v>1.802314757970469E-2</c:v>
                </c:pt>
                <c:pt idx="228">
                  <c:v>1.8041966942056398E-2</c:v>
                </c:pt>
                <c:pt idx="229">
                  <c:v>1.8060785943739388E-2</c:v>
                </c:pt>
                <c:pt idx="230">
                  <c:v>1.8079604584760434E-2</c:v>
                </c:pt>
                <c:pt idx="231">
                  <c:v>1.8098422865126529E-2</c:v>
                </c:pt>
                <c:pt idx="232">
                  <c:v>1.8117240784844557E-2</c:v>
                </c:pt>
                <c:pt idx="233">
                  <c:v>1.8136058343921513E-2</c:v>
                </c:pt>
                <c:pt idx="234">
                  <c:v>1.8154875542364168E-2</c:v>
                </c:pt>
                <c:pt idx="235">
                  <c:v>1.8173692380179518E-2</c:v>
                </c:pt>
                <c:pt idx="236">
                  <c:v>1.8192508857374445E-2</c:v>
                </c:pt>
                <c:pt idx="237">
                  <c:v>1.8211324973955945E-2</c:v>
                </c:pt>
                <c:pt idx="238">
                  <c:v>1.8230140729930788E-2</c:v>
                </c:pt>
                <c:pt idx="239">
                  <c:v>1.8248956125305971E-2</c:v>
                </c:pt>
                <c:pt idx="240">
                  <c:v>1.8267771160088486E-2</c:v>
                </c:pt>
                <c:pt idx="241">
                  <c:v>1.8286585834285107E-2</c:v>
                </c:pt>
                <c:pt idx="242">
                  <c:v>1.8305400147902717E-2</c:v>
                </c:pt>
                <c:pt idx="243">
                  <c:v>1.8324214100948422E-2</c:v>
                </c:pt>
                <c:pt idx="244">
                  <c:v>1.8343027693428882E-2</c:v>
                </c:pt>
                <c:pt idx="245">
                  <c:v>1.8361840925351203E-2</c:v>
                </c:pt>
                <c:pt idx="246">
                  <c:v>1.8380653796722268E-2</c:v>
                </c:pt>
                <c:pt idx="247">
                  <c:v>1.8399466307548851E-2</c:v>
                </c:pt>
                <c:pt idx="248">
                  <c:v>1.8418278457837944E-2</c:v>
                </c:pt>
                <c:pt idx="249">
                  <c:v>1.8437090247596544E-2</c:v>
                </c:pt>
                <c:pt idx="250">
                  <c:v>1.8455901676831532E-2</c:v>
                </c:pt>
                <c:pt idx="251">
                  <c:v>1.8474712745549682E-2</c:v>
                </c:pt>
                <c:pt idx="252">
                  <c:v>1.8493523453757987E-2</c:v>
                </c:pt>
                <c:pt idx="253">
                  <c:v>1.8512333801463332E-2</c:v>
                </c:pt>
                <c:pt idx="254">
                  <c:v>1.853114378867271E-2</c:v>
                </c:pt>
                <c:pt idx="255">
                  <c:v>1.8549953415393006E-2</c:v>
                </c:pt>
                <c:pt idx="256">
                  <c:v>1.8568762681631101E-2</c:v>
                </c:pt>
                <c:pt idx="257">
                  <c:v>1.8587571587393881E-2</c:v>
                </c:pt>
                <c:pt idx="258">
                  <c:v>1.8606380132688227E-2</c:v>
                </c:pt>
                <c:pt idx="259">
                  <c:v>1.8625188317521135E-2</c:v>
                </c:pt>
                <c:pt idx="260">
                  <c:v>1.8643996141899377E-2</c:v>
                </c:pt>
                <c:pt idx="261">
                  <c:v>1.8662803605830058E-2</c:v>
                </c:pt>
                <c:pt idx="262">
                  <c:v>1.8681610709319951E-2</c:v>
                </c:pt>
                <c:pt idx="263">
                  <c:v>1.870041745237605E-2</c:v>
                </c:pt>
                <c:pt idx="264">
                  <c:v>1.8719223835005128E-2</c:v>
                </c:pt>
                <c:pt idx="265">
                  <c:v>1.8738029857214289E-2</c:v>
                </c:pt>
                <c:pt idx="266">
                  <c:v>1.8756835519010195E-2</c:v>
                </c:pt>
                <c:pt idx="267">
                  <c:v>1.8775640820399953E-2</c:v>
                </c:pt>
                <c:pt idx="268">
                  <c:v>1.8794445761390333E-2</c:v>
                </c:pt>
                <c:pt idx="269">
                  <c:v>1.881325034198833E-2</c:v>
                </c:pt>
                <c:pt idx="270">
                  <c:v>1.8832054562200939E-2</c:v>
                </c:pt>
                <c:pt idx="271">
                  <c:v>1.8850858422034822E-2</c:v>
                </c:pt>
                <c:pt idx="272">
                  <c:v>1.8869661921497083E-2</c:v>
                </c:pt>
                <c:pt idx="273">
                  <c:v>1.8888465060594606E-2</c:v>
                </c:pt>
                <c:pt idx="274">
                  <c:v>1.8907267839334163E-2</c:v>
                </c:pt>
                <c:pt idx="275">
                  <c:v>1.892607025772286E-2</c:v>
                </c:pt>
                <c:pt idx="276">
                  <c:v>1.8944872315767358E-2</c:v>
                </c:pt>
                <c:pt idx="277">
                  <c:v>1.8963674013474763E-2</c:v>
                </c:pt>
                <c:pt idx="278">
                  <c:v>1.8982475350851957E-2</c:v>
                </c:pt>
                <c:pt idx="279">
                  <c:v>1.9001276327905825E-2</c:v>
                </c:pt>
                <c:pt idx="280">
                  <c:v>1.9020076944643249E-2</c:v>
                </c:pt>
                <c:pt idx="281">
                  <c:v>1.9038877201071114E-2</c:v>
                </c:pt>
                <c:pt idx="282">
                  <c:v>1.9057677097196302E-2</c:v>
                </c:pt>
                <c:pt idx="283">
                  <c:v>1.9076476633025918E-2</c:v>
                </c:pt>
                <c:pt idx="284">
                  <c:v>1.9095275808566625E-2</c:v>
                </c:pt>
                <c:pt idx="285">
                  <c:v>1.9114074623825417E-2</c:v>
                </c:pt>
                <c:pt idx="286">
                  <c:v>1.9132873078809176E-2</c:v>
                </c:pt>
                <c:pt idx="287">
                  <c:v>1.9151671173524898E-2</c:v>
                </c:pt>
                <c:pt idx="288">
                  <c:v>1.9170468907979354E-2</c:v>
                </c:pt>
                <c:pt idx="289">
                  <c:v>1.918926628217954E-2</c:v>
                </c:pt>
                <c:pt idx="290">
                  <c:v>1.9208063296132338E-2</c:v>
                </c:pt>
                <c:pt idx="291">
                  <c:v>1.9226859949844743E-2</c:v>
                </c:pt>
                <c:pt idx="292">
                  <c:v>1.9245656243323417E-2</c:v>
                </c:pt>
                <c:pt idx="293">
                  <c:v>1.9264452176575575E-2</c:v>
                </c:pt>
                <c:pt idx="294">
                  <c:v>1.9283247749607879E-2</c:v>
                </c:pt>
                <c:pt idx="295">
                  <c:v>1.9302042962427324E-2</c:v>
                </c:pt>
                <c:pt idx="296">
                  <c:v>1.9320837815040792E-2</c:v>
                </c:pt>
                <c:pt idx="297">
                  <c:v>1.9339632307455168E-2</c:v>
                </c:pt>
                <c:pt idx="298">
                  <c:v>1.9358426439677334E-2</c:v>
                </c:pt>
                <c:pt idx="299">
                  <c:v>1.9377220211714397E-2</c:v>
                </c:pt>
                <c:pt idx="300">
                  <c:v>1.9396013623573016E-2</c:v>
                </c:pt>
                <c:pt idx="301">
                  <c:v>1.9414806675260188E-2</c:v>
                </c:pt>
                <c:pt idx="302">
                  <c:v>1.9433599366782794E-2</c:v>
                </c:pt>
                <c:pt idx="303">
                  <c:v>1.9452391698147831E-2</c:v>
                </c:pt>
                <c:pt idx="304">
                  <c:v>1.9471183669362069E-2</c:v>
                </c:pt>
                <c:pt idx="305">
                  <c:v>1.9489975280432503E-2</c:v>
                </c:pt>
                <c:pt idx="306">
                  <c:v>1.9508766531365906E-2</c:v>
                </c:pt>
                <c:pt idx="307">
                  <c:v>1.9527557422169384E-2</c:v>
                </c:pt>
                <c:pt idx="308">
                  <c:v>1.9546347952849707E-2</c:v>
                </c:pt>
                <c:pt idx="309">
                  <c:v>1.9565138123413761E-2</c:v>
                </c:pt>
                <c:pt idx="310">
                  <c:v>1.9583927933868428E-2</c:v>
                </c:pt>
                <c:pt idx="311">
                  <c:v>1.9602717384220703E-2</c:v>
                </c:pt>
                <c:pt idx="312">
                  <c:v>1.9621506474477468E-2</c:v>
                </c:pt>
                <c:pt idx="313">
                  <c:v>1.9640295204645608E-2</c:v>
                </c:pt>
                <c:pt idx="314">
                  <c:v>1.9659083574732117E-2</c:v>
                </c:pt>
                <c:pt idx="315">
                  <c:v>1.9677871584743656E-2</c:v>
                </c:pt>
                <c:pt idx="316">
                  <c:v>1.969665923468733E-2</c:v>
                </c:pt>
                <c:pt idx="317">
                  <c:v>1.9715446524569913E-2</c:v>
                </c:pt>
                <c:pt idx="318">
                  <c:v>1.9734233454398509E-2</c:v>
                </c:pt>
                <c:pt idx="319">
                  <c:v>1.9753020024179779E-2</c:v>
                </c:pt>
                <c:pt idx="320">
                  <c:v>1.9771806233920719E-2</c:v>
                </c:pt>
                <c:pt idx="321">
                  <c:v>1.9790592083628211E-2</c:v>
                </c:pt>
                <c:pt idx="322">
                  <c:v>1.980937757330925E-2</c:v>
                </c:pt>
                <c:pt idx="323">
                  <c:v>1.9828162702970609E-2</c:v>
                </c:pt>
                <c:pt idx="324">
                  <c:v>1.9846947472619281E-2</c:v>
                </c:pt>
                <c:pt idx="325">
                  <c:v>1.986573188226215E-2</c:v>
                </c:pt>
                <c:pt idx="326">
                  <c:v>1.9884515931906099E-2</c:v>
                </c:pt>
                <c:pt idx="327">
                  <c:v>1.9903299621558013E-2</c:v>
                </c:pt>
                <c:pt idx="328">
                  <c:v>1.9922082951224773E-2</c:v>
                </c:pt>
                <c:pt idx="329">
                  <c:v>1.9940865920913264E-2</c:v>
                </c:pt>
                <c:pt idx="330">
                  <c:v>1.9959648530630481E-2</c:v>
                </c:pt>
                <c:pt idx="331">
                  <c:v>1.9978430780383305E-2</c:v>
                </c:pt>
                <c:pt idx="332">
                  <c:v>1.999721267017851E-2</c:v>
                </c:pt>
                <c:pt idx="333">
                  <c:v>2.0015994200023091E-2</c:v>
                </c:pt>
                <c:pt idx="334">
                  <c:v>2.0034775369924041E-2</c:v>
                </c:pt>
                <c:pt idx="335">
                  <c:v>2.0053556179888021E-2</c:v>
                </c:pt>
                <c:pt idx="336">
                  <c:v>2.0072336629922138E-2</c:v>
                </c:pt>
                <c:pt idx="337">
                  <c:v>2.0091116720033164E-2</c:v>
                </c:pt>
                <c:pt idx="338">
                  <c:v>2.0109896450228093E-2</c:v>
                </c:pt>
                <c:pt idx="339">
                  <c:v>2.0128675820513808E-2</c:v>
                </c:pt>
                <c:pt idx="340">
                  <c:v>2.0147454830897082E-2</c:v>
                </c:pt>
                <c:pt idx="341">
                  <c:v>2.0166233481385021E-2</c:v>
                </c:pt>
                <c:pt idx="342">
                  <c:v>2.0185011771984285E-2</c:v>
                </c:pt>
                <c:pt idx="343">
                  <c:v>2.020378970270198E-2</c:v>
                </c:pt>
                <c:pt idx="344">
                  <c:v>2.0222567273544878E-2</c:v>
                </c:pt>
                <c:pt idx="345">
                  <c:v>2.0241344484519974E-2</c:v>
                </c:pt>
                <c:pt idx="346">
                  <c:v>2.026012133563404E-2</c:v>
                </c:pt>
                <c:pt idx="347">
                  <c:v>2.0278897826894071E-2</c:v>
                </c:pt>
                <c:pt idx="348">
                  <c:v>2.0297673958306839E-2</c:v>
                </c:pt>
                <c:pt idx="349">
                  <c:v>2.0316449729879449E-2</c:v>
                </c:pt>
                <c:pt idx="350">
                  <c:v>2.0335225141618674E-2</c:v>
                </c:pt>
                <c:pt idx="351">
                  <c:v>2.0354000193531396E-2</c:v>
                </c:pt>
                <c:pt idx="352">
                  <c:v>2.0372774885624501E-2</c:v>
                </c:pt>
                <c:pt idx="353">
                  <c:v>2.039154921790487E-2</c:v>
                </c:pt>
                <c:pt idx="354">
                  <c:v>2.0410323190379498E-2</c:v>
                </c:pt>
                <c:pt idx="355">
                  <c:v>2.0429096803055269E-2</c:v>
                </c:pt>
                <c:pt idx="356">
                  <c:v>2.0447870055939066E-2</c:v>
                </c:pt>
                <c:pt idx="357">
                  <c:v>2.0466642949037661E-2</c:v>
                </c:pt>
                <c:pt idx="358">
                  <c:v>2.0485415482358049E-2</c:v>
                </c:pt>
                <c:pt idx="359">
                  <c:v>2.0504187655907113E-2</c:v>
                </c:pt>
                <c:pt idx="360">
                  <c:v>2.0522959469691848E-2</c:v>
                </c:pt>
                <c:pt idx="361">
                  <c:v>2.0541730923718915E-2</c:v>
                </c:pt>
                <c:pt idx="362">
                  <c:v>2.0560502017995419E-2</c:v>
                </c:pt>
                <c:pt idx="363">
                  <c:v>2.0579272752528244E-2</c:v>
                </c:pt>
                <c:pt idx="364">
                  <c:v>2.0598043127324162E-2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3.8647557071153291E-2</c:v>
                </c:pt>
                <c:pt idx="1">
                  <c:v>3.8683799657267662E-2</c:v>
                </c:pt>
                <c:pt idx="2">
                  <c:v>3.8720091848504834E-2</c:v>
                </c:pt>
                <c:pt idx="3">
                  <c:v>3.8756424865260576E-2</c:v>
                </c:pt>
                <c:pt idx="4">
                  <c:v>3.879279106326159E-2</c:v>
                </c:pt>
                <c:pt idx="5">
                  <c:v>3.8829183901337376E-2</c:v>
                </c:pt>
                <c:pt idx="6">
                  <c:v>3.886559790040562E-2</c:v>
                </c:pt>
                <c:pt idx="7">
                  <c:v>3.8902028594357582E-2</c:v>
                </c:pt>
                <c:pt idx="8">
                  <c:v>3.8938472473590856E-2</c:v>
                </c:pt>
                <c:pt idx="9">
                  <c:v>3.897492692198995E-2</c:v>
                </c:pt>
                <c:pt idx="10">
                  <c:v>3.90113901481998E-2</c:v>
                </c:pt>
                <c:pt idx="11">
                  <c:v>3.9047861112072466E-2</c:v>
                </c:pt>
                <c:pt idx="12">
                  <c:v>3.908433944719459E-2</c:v>
                </c:pt>
                <c:pt idx="13">
                  <c:v>3.9120825380419388E-2</c:v>
                </c:pt>
                <c:pt idx="14">
                  <c:v>3.9157319649336199E-2</c:v>
                </c:pt>
                <c:pt idx="15">
                  <c:v>3.9193823418608692E-2</c:v>
                </c:pt>
                <c:pt idx="16">
                  <c:v>3.9230338196102832E-2</c:v>
                </c:pt>
                <c:pt idx="17">
                  <c:v>3.9266865749706836E-2</c:v>
                </c:pt>
                <c:pt idx="18">
                  <c:v>3.9303408025717711E-2</c:v>
                </c:pt>
                <c:pt idx="19">
                  <c:v>3.9339967069633448E-2</c:v>
                </c:pt>
                <c:pt idx="20">
                  <c:v>3.9376544950146343E-2</c:v>
                </c:pt>
                <c:pt idx="21">
                  <c:v>3.9413143687083194E-2</c:v>
                </c:pt>
                <c:pt idx="22">
                  <c:v>3.9449765183980696E-2</c:v>
                </c:pt>
                <c:pt idx="23">
                  <c:v>3.9486411165922164E-2</c:v>
                </c:pt>
                <c:pt idx="24">
                  <c:v>3.9523083123193754E-2</c:v>
                </c:pt>
                <c:pt idx="25">
                  <c:v>3.9559782261246651E-2</c:v>
                </c:pt>
                <c:pt idx="26">
                  <c:v>3.9596509457375771E-2</c:v>
                </c:pt>
                <c:pt idx="27">
                  <c:v>3.9633265224447635E-2</c:v>
                </c:pt>
                <c:pt idx="28">
                  <c:v>3.9670049681929734E-2</c:v>
                </c:pt>
                <c:pt idx="29">
                  <c:v>3.9706862534392921E-2</c:v>
                </c:pt>
                <c:pt idx="30">
                  <c:v>3.9743703057576546E-2</c:v>
                </c:pt>
                <c:pt idx="31">
                  <c:v>3.9780570092025971E-2</c:v>
                </c:pt>
                <c:pt idx="32">
                  <c:v>3.9817462044232629E-2</c:v>
                </c:pt>
                <c:pt idx="33">
                  <c:v>3.985437689513012E-2</c:v>
                </c:pt>
                <c:pt idx="34">
                  <c:v>3.9891312215725623E-2</c:v>
                </c:pt>
                <c:pt idx="35">
                  <c:v>3.9928265189576199E-2</c:v>
                </c:pt>
                <c:pt idx="36">
                  <c:v>3.996523264175364E-2</c:v>
                </c:pt>
                <c:pt idx="37">
                  <c:v>4.0002211073880557E-2</c:v>
                </c:pt>
                <c:pt idx="38">
                  <c:v>4.0039196704765481E-2</c:v>
                </c:pt>
                <c:pt idx="39">
                  <c:v>4.0076185516115567E-2</c:v>
                </c:pt>
                <c:pt idx="40">
                  <c:v>4.0113173302762276E-2</c:v>
                </c:pt>
                <c:pt idx="41">
                  <c:v>4.0150155726800085E-2</c:v>
                </c:pt>
                <c:pt idx="42">
                  <c:v>4.0187128375008437E-2</c:v>
                </c:pt>
                <c:pt idx="43">
                  <c:v>4.0224086818906102E-2</c:v>
                </c:pt>
                <c:pt idx="44">
                  <c:v>4.0261026676771845E-2</c:v>
                </c:pt>
                <c:pt idx="45">
                  <c:v>4.029794367695836E-2</c:v>
                </c:pt>
                <c:pt idx="46">
                  <c:v>4.0334833721826412E-2</c:v>
                </c:pt>
                <c:pt idx="47">
                  <c:v>4.0371692951632725E-2</c:v>
                </c:pt>
                <c:pt idx="48">
                  <c:v>4.0408517807719507E-2</c:v>
                </c:pt>
                <c:pt idx="49">
                  <c:v>4.044530509437351E-2</c:v>
                </c:pt>
                <c:pt idx="50">
                  <c:v>4.0482052038749237E-2</c:v>
                </c:pt>
                <c:pt idx="51">
                  <c:v>4.0518756348283676E-2</c:v>
                </c:pt>
                <c:pt idx="52">
                  <c:v>4.0555416265066951E-2</c:v>
                </c:pt>
                <c:pt idx="53">
                  <c:v>4.0592030616676635E-2</c:v>
                </c:pt>
                <c:pt idx="54">
                  <c:v>4.0628598863029365E-2</c:v>
                </c:pt>
                <c:pt idx="55">
                  <c:v>4.0665121138854544E-2</c:v>
                </c:pt>
                <c:pt idx="56">
                  <c:v>4.0701598291447316E-2</c:v>
                </c:pt>
                <c:pt idx="57">
                  <c:v>4.0738031913414442E-2</c:v>
                </c:pt>
                <c:pt idx="58">
                  <c:v>4.077442437018327E-2</c:v>
                </c:pt>
                <c:pt idx="59">
                  <c:v>4.0810778822102343E-2</c:v>
                </c:pt>
                <c:pt idx="60">
                  <c:v>4.0847099241020736E-2</c:v>
                </c:pt>
                <c:pt idx="61">
                  <c:v>4.0883390421290723E-2</c:v>
                </c:pt>
                <c:pt idx="62">
                  <c:v>4.0919657985195701E-2</c:v>
                </c:pt>
                <c:pt idx="63">
                  <c:v>4.0955908382860125E-2</c:v>
                </c:pt>
                <c:pt idx="64">
                  <c:v>4.0992148886751088E-2</c:v>
                </c:pt>
                <c:pt idx="65">
                  <c:v>4.1028387580931178E-2</c:v>
                </c:pt>
                <c:pt idx="66">
                  <c:v>4.1064633345268567E-2</c:v>
                </c:pt>
                <c:pt idx="67">
                  <c:v>4.1100895834852956E-2</c:v>
                </c:pt>
                <c:pt idx="68">
                  <c:v>4.1137185454904385E-2</c:v>
                </c:pt>
                <c:pt idx="69">
                  <c:v>4.1173513331495215E-2</c:v>
                </c:pt>
                <c:pt idx="70">
                  <c:v>4.1209891278434781E-2</c:v>
                </c:pt>
                <c:pt idx="71">
                  <c:v>4.1246331760688863E-2</c:v>
                </c:pt>
                <c:pt idx="72">
                  <c:v>4.1282847854724927E-2</c:v>
                </c:pt>
                <c:pt idx="73">
                  <c:v>4.1319453206186102E-2</c:v>
                </c:pt>
                <c:pt idx="74">
                  <c:v>4.1356161985304597E-2</c:v>
                </c:pt>
                <c:pt idx="75">
                  <c:v>4.1392988840465952E-2</c:v>
                </c:pt>
                <c:pt idx="76">
                  <c:v>4.1429948850332923E-2</c:v>
                </c:pt>
                <c:pt idx="77">
                  <c:v>4.1467057474928064E-2</c:v>
                </c:pt>
                <c:pt idx="78">
                  <c:v>4.1504330506060651E-2</c:v>
                </c:pt>
                <c:pt idx="79">
                  <c:v>4.1541784017465312E-2</c:v>
                </c:pt>
                <c:pt idx="80">
                  <c:v>4.1579434314996416E-2</c:v>
                </c:pt>
                <c:pt idx="81">
                  <c:v>4.161729788719646E-2</c:v>
                </c:pt>
                <c:pt idx="82">
                  <c:v>4.165539135652617E-2</c:v>
                </c:pt>
                <c:pt idx="83">
                  <c:v>4.1693731431511158E-2</c:v>
                </c:pt>
                <c:pt idx="84">
                  <c:v>4.173233486002479E-2</c:v>
                </c:pt>
                <c:pt idx="85">
                  <c:v>4.1771218383889676E-2</c:v>
                </c:pt>
                <c:pt idx="86">
                  <c:v>4.181039869494145E-2</c:v>
                </c:pt>
                <c:pt idx="87">
                  <c:v>4.1849892392659675E-2</c:v>
                </c:pt>
                <c:pt idx="88">
                  <c:v>4.1889715943431022E-2</c:v>
                </c:pt>
                <c:pt idx="89">
                  <c:v>4.1929885641471307E-2</c:v>
                </c:pt>
                <c:pt idx="90">
                  <c:v>4.1970417571394789E-2</c:v>
                </c:pt>
                <c:pt idx="91">
                  <c:v>4.2011327572383371E-2</c:v>
                </c:pt>
                <c:pt idx="92">
                  <c:v>4.2052631203873647E-2</c:v>
                </c:pt>
                <c:pt idx="93">
                  <c:v>4.2094343712648877E-2</c:v>
                </c:pt>
                <c:pt idx="94">
                  <c:v>4.2136480001194167E-2</c:v>
                </c:pt>
                <c:pt idx="95">
                  <c:v>4.2179054597148387E-2</c:v>
                </c:pt>
                <c:pt idx="96">
                  <c:v>4.2222081623665877E-2</c:v>
                </c:pt>
                <c:pt idx="97">
                  <c:v>4.2265574770483212E-2</c:v>
                </c:pt>
                <c:pt idx="98">
                  <c:v>4.230954726547563E-2</c:v>
                </c:pt>
                <c:pt idx="99">
                  <c:v>4.2354011846478648E-2</c:v>
                </c:pt>
                <c:pt idx="100">
                  <c:v>4.2398980733148836E-2</c:v>
                </c:pt>
                <c:pt idx="101">
                  <c:v>4.2444465598639576E-2</c:v>
                </c:pt>
                <c:pt idx="102">
                  <c:v>4.2490477540874746E-2</c:v>
                </c:pt>
                <c:pt idx="103">
                  <c:v>4.2537027053215375E-2</c:v>
                </c:pt>
                <c:pt idx="104">
                  <c:v>4.258412399433132E-2</c:v>
                </c:pt>
                <c:pt idx="105">
                  <c:v>4.2631777557111186E-2</c:v>
                </c:pt>
                <c:pt idx="106">
                  <c:v>4.2679996236469335E-2</c:v>
                </c:pt>
                <c:pt idx="107">
                  <c:v>4.2728787795938694E-2</c:v>
                </c:pt>
                <c:pt idx="108">
                  <c:v>4.2778159232971451E-2</c:v>
                </c:pt>
                <c:pt idx="109">
                  <c:v>4.2828116742905722E-2</c:v>
                </c:pt>
                <c:pt idx="110">
                  <c:v>4.2878665681596179E-2</c:v>
                </c:pt>
                <c:pt idx="111">
                  <c:v>4.2929810526747554E-2</c:v>
                </c:pt>
                <c:pt idx="112">
                  <c:v>4.2981554838033502E-2</c:v>
                </c:pt>
                <c:pt idx="113">
                  <c:v>4.303390121612697E-2</c:v>
                </c:pt>
                <c:pt idx="114">
                  <c:v>4.3086851260813339E-2</c:v>
                </c:pt>
                <c:pt idx="115">
                  <c:v>4.3140405528402141E-2</c:v>
                </c:pt>
                <c:pt idx="116">
                  <c:v>4.3194563488696575E-2</c:v>
                </c:pt>
                <c:pt idx="117">
                  <c:v>4.3249323481822734E-2</c:v>
                </c:pt>
                <c:pt idx="118">
                  <c:v>4.3304682675260664E-2</c:v>
                </c:pt>
                <c:pt idx="119">
                  <c:v>4.3360637021457218E-2</c:v>
                </c:pt>
                <c:pt idx="120">
                  <c:v>4.3417181216435091E-2</c:v>
                </c:pt>
                <c:pt idx="121">
                  <c:v>4.3474308659842816E-2</c:v>
                </c:pt>
                <c:pt idx="122">
                  <c:v>4.3532011416917663E-2</c:v>
                </c:pt>
                <c:pt idx="123">
                  <c:v>4.3590280182854275E-2</c:v>
                </c:pt>
                <c:pt idx="124">
                  <c:v>4.3649104250088611E-2</c:v>
                </c:pt>
                <c:pt idx="125">
                  <c:v>4.3708471479017623E-2</c:v>
                </c:pt>
                <c:pt idx="126">
                  <c:v>4.3768368272679999E-2</c:v>
                </c:pt>
                <c:pt idx="127">
                  <c:v>4.3828779555921904E-2</c:v>
                </c:pt>
                <c:pt idx="128">
                  <c:v>4.3889688759564262E-2</c:v>
                </c:pt>
                <c:pt idx="129">
                  <c:v>4.3951077810074381E-2</c:v>
                </c:pt>
                <c:pt idx="130">
                  <c:v>4.4012927125223207E-2</c:v>
                </c:pt>
                <c:pt idx="131">
                  <c:v>4.4075215616184361E-2</c:v>
                </c:pt>
                <c:pt idx="132">
                  <c:v>4.4137920696495588E-2</c:v>
                </c:pt>
                <c:pt idx="133">
                  <c:v>4.4201018298266073E-2</c:v>
                </c:pt>
                <c:pt idx="134">
                  <c:v>4.4264482895966031E-2</c:v>
                </c:pt>
                <c:pt idx="135">
                  <c:v>4.4328287538085431E-2</c:v>
                </c:pt>
                <c:pt idx="136">
                  <c:v>4.4392403886891779E-2</c:v>
                </c:pt>
                <c:pt idx="137">
                  <c:v>4.4456802266457124E-2</c:v>
                </c:pt>
                <c:pt idx="138">
                  <c:v>4.4521451719059149E-2</c:v>
                </c:pt>
                <c:pt idx="139">
                  <c:v>4.4586320069993149E-2</c:v>
                </c:pt>
                <c:pt idx="140">
                  <c:v>4.4651374000760503E-2</c:v>
                </c:pt>
                <c:pt idx="141">
                  <c:v>4.4716579130526027E-2</c:v>
                </c:pt>
                <c:pt idx="142">
                  <c:v>4.4781900105661479E-2</c:v>
                </c:pt>
                <c:pt idx="143">
                  <c:v>4.4847300697117003E-2</c:v>
                </c:pt>
                <c:pt idx="144">
                  <c:v>4.4912743905286975E-2</c:v>
                </c:pt>
                <c:pt idx="145">
                  <c:v>4.4978192071961479E-2</c:v>
                </c:pt>
                <c:pt idx="146">
                  <c:v>4.5043606998882081E-2</c:v>
                </c:pt>
                <c:pt idx="147">
                  <c:v>4.5108950072349455E-2</c:v>
                </c:pt>
                <c:pt idx="148">
                  <c:v>4.5174182393263096E-2</c:v>
                </c:pt>
                <c:pt idx="149">
                  <c:v>4.5239264911909639E-2</c:v>
                </c:pt>
                <c:pt idx="150">
                  <c:v>4.5304158566757451E-2</c:v>
                </c:pt>
                <c:pt idx="151">
                  <c:v>4.5368824426461583E-2</c:v>
                </c:pt>
                <c:pt idx="152">
                  <c:v>4.5433223834235412E-2</c:v>
                </c:pt>
                <c:pt idx="153">
                  <c:v>4.5497318553704501E-2</c:v>
                </c:pt>
                <c:pt idx="154">
                  <c:v>4.5561070915324187E-2</c:v>
                </c:pt>
                <c:pt idx="155">
                  <c:v>4.5624443962415981E-2</c:v>
                </c:pt>
                <c:pt idx="156">
                  <c:v>4.5687401595859836E-2</c:v>
                </c:pt>
                <c:pt idx="157">
                  <c:v>4.5749908716468633E-2</c:v>
                </c:pt>
                <c:pt idx="158">
                  <c:v>4.5811931364070496E-2</c:v>
                </c:pt>
                <c:pt idx="159">
                  <c:v>4.58734368523308E-2</c:v>
                </c:pt>
                <c:pt idx="160">
                  <c:v>4.5934393898362236E-2</c:v>
                </c:pt>
                <c:pt idx="161">
                  <c:v>4.5994772746195414E-2</c:v>
                </c:pt>
                <c:pt idx="162">
                  <c:v>4.6054545283215759E-2</c:v>
                </c:pt>
                <c:pt idx="163">
                  <c:v>4.6113685148713911E-2</c:v>
                </c:pt>
                <c:pt idx="164">
                  <c:v>4.6172167833746551E-2</c:v>
                </c:pt>
                <c:pt idx="165">
                  <c:v>4.6229970771561692E-2</c:v>
                </c:pt>
                <c:pt idx="166">
                  <c:v>4.6287073417907304E-2</c:v>
                </c:pt>
                <c:pt idx="167">
                  <c:v>4.6343457320613103E-2</c:v>
                </c:pt>
                <c:pt idx="168">
                  <c:v>4.6399106177913214E-2</c:v>
                </c:pt>
                <c:pt idx="169">
                  <c:v>4.64540058850599E-2</c:v>
                </c:pt>
                <c:pt idx="170">
                  <c:v>4.6508144568866129E-2</c:v>
                </c:pt>
                <c:pt idx="171">
                  <c:v>4.6561512609906645E-2</c:v>
                </c:pt>
                <c:pt idx="172">
                  <c:v>4.6614102652201159E-2</c:v>
                </c:pt>
                <c:pt idx="173">
                  <c:v>4.6665909600300447E-2</c:v>
                </c:pt>
                <c:pt idx="174">
                  <c:v>4.6716930603794185E-2</c:v>
                </c:pt>
                <c:pt idx="175">
                  <c:v>4.6767165029357231E-2</c:v>
                </c:pt>
                <c:pt idx="176">
                  <c:v>4.6816614420549928E-2</c:v>
                </c:pt>
                <c:pt idx="177">
                  <c:v>4.6865282445683207E-2</c:v>
                </c:pt>
                <c:pt idx="178">
                  <c:v>4.6913174834154102E-2</c:v>
                </c:pt>
                <c:pt idx="179">
                  <c:v>4.6960299301747457E-2</c:v>
                </c:pt>
                <c:pt idx="180">
                  <c:v>4.7006665465485972E-2</c:v>
                </c:pt>
                <c:pt idx="181">
                  <c:v>4.7052284748692601E-2</c:v>
                </c:pt>
                <c:pt idx="182">
                  <c:v>4.7097170277004011E-2</c:v>
                </c:pt>
                <c:pt idx="183">
                  <c:v>4.7141336766143488E-2</c:v>
                </c:pt>
                <c:pt idx="184">
                  <c:v>4.7184800402323084E-2</c:v>
                </c:pt>
                <c:pt idx="185">
                  <c:v>4.7227578716198308E-2</c:v>
                </c:pt>
                <c:pt idx="186">
                  <c:v>4.7269690451344742E-2</c:v>
                </c:pt>
                <c:pt idx="187">
                  <c:v>4.7311155428261885E-2</c:v>
                </c:pt>
                <c:pt idx="188">
                  <c:v>4.7351994404937245E-2</c:v>
                </c:pt>
                <c:pt idx="189">
                  <c:v>4.7392228935021673E-2</c:v>
                </c:pt>
                <c:pt idx="190">
                  <c:v>4.7431881224674843E-2</c:v>
                </c:pt>
                <c:pt idx="191">
                  <c:v>4.7470973989138666E-2</c:v>
                </c:pt>
                <c:pt idx="192">
                  <c:v>4.7509530310085188E-2</c:v>
                </c:pt>
                <c:pt idx="193">
                  <c:v>4.75475734947646E-2</c:v>
                </c:pt>
                <c:pt idx="194">
                  <c:v>4.7585126937949196E-2</c:v>
                </c:pt>
                <c:pt idx="195">
                  <c:v>4.7622213987629732E-2</c:v>
                </c:pt>
                <c:pt idx="196">
                  <c:v>4.7658857815373004E-2</c:v>
                </c:pt>
                <c:pt idx="197">
                  <c:v>4.7695081292193638E-2</c:v>
                </c:pt>
                <c:pt idx="198">
                  <c:v>4.7730906870729367E-2</c:v>
                </c:pt>
                <c:pt idx="199">
                  <c:v>4.7766356474438894E-2</c:v>
                </c:pt>
                <c:pt idx="200">
                  <c:v>4.7801451394464942E-2</c:v>
                </c:pt>
                <c:pt idx="201">
                  <c:v>4.783621219472306E-2</c:v>
                </c:pt>
                <c:pt idx="202">
                  <c:v>4.7870658625690302E-2</c:v>
                </c:pt>
                <c:pt idx="203">
                  <c:v>4.7904809547277834E-2</c:v>
                </c:pt>
                <c:pt idx="204">
                  <c:v>4.7938682861078996E-2</c:v>
                </c:pt>
                <c:pt idx="205">
                  <c:v>4.797229545218943E-2</c:v>
                </c:pt>
                <c:pt idx="206">
                  <c:v>4.8005663140700774E-2</c:v>
                </c:pt>
                <c:pt idx="207">
                  <c:v>4.8038800642874808E-2</c:v>
                </c:pt>
                <c:pt idx="208">
                  <c:v>4.8071721541910375E-2</c:v>
                </c:pt>
                <c:pt idx="209">
                  <c:v>4.8104438268124536E-2</c:v>
                </c:pt>
                <c:pt idx="210">
                  <c:v>4.8136962088280569E-2</c:v>
                </c:pt>
                <c:pt idx="211">
                  <c:v>4.8169303103711002E-2</c:v>
                </c:pt>
                <c:pt idx="212">
                  <c:v>4.820147025680499E-2</c:v>
                </c:pt>
                <c:pt idx="213">
                  <c:v>4.8233471345354627E-2</c:v>
                </c:pt>
                <c:pt idx="214">
                  <c:v>4.8265313044188934E-2</c:v>
                </c:pt>
                <c:pt idx="215">
                  <c:v>4.8297000933463022E-2</c:v>
                </c:pt>
                <c:pt idx="216">
                  <c:v>4.8328539532918914E-2</c:v>
                </c:pt>
                <c:pt idx="217">
                  <c:v>4.8359932341389987E-2</c:v>
                </c:pt>
                <c:pt idx="218">
                  <c:v>4.8391181880786373E-2</c:v>
                </c:pt>
                <c:pt idx="219">
                  <c:v>4.8422289743772814E-2</c:v>
                </c:pt>
                <c:pt idx="220">
                  <c:v>4.8453256644333684E-2</c:v>
                </c:pt>
                <c:pt idx="221">
                  <c:v>4.8484082470413671E-2</c:v>
                </c:pt>
                <c:pt idx="222">
                  <c:v>4.8514766337824304E-2</c:v>
                </c:pt>
                <c:pt idx="223">
                  <c:v>4.8545306644619535E-2</c:v>
                </c:pt>
                <c:pt idx="224">
                  <c:v>4.8575701125164447E-2</c:v>
                </c:pt>
                <c:pt idx="225">
                  <c:v>4.860594690315205E-2</c:v>
                </c:pt>
                <c:pt idx="226">
                  <c:v>4.8636040542862122E-2</c:v>
                </c:pt>
                <c:pt idx="227">
                  <c:v>4.8665978098003826E-2</c:v>
                </c:pt>
                <c:pt idx="228">
                  <c:v>4.8695755157538483E-2</c:v>
                </c:pt>
                <c:pt idx="229">
                  <c:v>4.8725366887941782E-2</c:v>
                </c:pt>
                <c:pt idx="230">
                  <c:v>4.8754808071432142E-2</c:v>
                </c:pt>
                <c:pt idx="231">
                  <c:v>4.8784073139767084E-2</c:v>
                </c:pt>
                <c:pt idx="232">
                  <c:v>4.8813156203287238E-2</c:v>
                </c:pt>
                <c:pt idx="233">
                  <c:v>4.8842051074970277E-2</c:v>
                </c:pt>
                <c:pt idx="234">
                  <c:v>4.8870751289342325E-2</c:v>
                </c:pt>
                <c:pt idx="235">
                  <c:v>4.889925011618123E-2</c:v>
                </c:pt>
                <c:pt idx="236">
                  <c:v>4.8927540569033943E-2</c:v>
                </c:pt>
                <c:pt idx="237">
                  <c:v>4.8955615408657373E-2</c:v>
                </c:pt>
                <c:pt idx="238">
                  <c:v>4.8983467141579008E-2</c:v>
                </c:pt>
                <c:pt idx="239">
                  <c:v>4.9011088014056667E-2</c:v>
                </c:pt>
                <c:pt idx="240">
                  <c:v>4.9038470001798042E-2</c:v>
                </c:pt>
                <c:pt idx="241">
                  <c:v>4.9065604795876662E-2</c:v>
                </c:pt>
                <c:pt idx="242">
                  <c:v>4.9092483785352255E-2</c:v>
                </c:pt>
                <c:pt idx="243">
                  <c:v>4.9119098037168428E-2</c:v>
                </c:pt>
                <c:pt idx="244">
                  <c:v>4.9145438273958862E-2</c:v>
                </c:pt>
                <c:pt idx="245">
                  <c:v>4.9171494850443961E-2</c:v>
                </c:pt>
                <c:pt idx="246">
                  <c:v>4.919725772914179E-2</c:v>
                </c:pt>
                <c:pt idx="247">
                  <c:v>4.9222716456151012E-2</c:v>
                </c:pt>
                <c:pt idx="248">
                  <c:v>4.9247860137787342E-2</c:v>
                </c:pt>
                <c:pt idx="249">
                  <c:v>4.9272677418869537E-2</c:v>
                </c:pt>
                <c:pt idx="250">
                  <c:v>4.9297156463455213E-2</c:v>
                </c:pt>
                <c:pt idx="251">
                  <c:v>4.9321284938821104E-2</c:v>
                </c:pt>
                <c:pt idx="252">
                  <c:v>4.9345050003466243E-2</c:v>
                </c:pt>
                <c:pt idx="253">
                  <c:v>4.936843829989037E-2</c:v>
                </c:pt>
                <c:pt idx="254">
                  <c:v>4.9391435952863758E-2</c:v>
                </c:pt>
                <c:pt idx="255">
                  <c:v>4.9414028573858404E-2</c:v>
                </c:pt>
                <c:pt idx="256">
                  <c:v>4.9436201272256015E-2</c:v>
                </c:pt>
                <c:pt idx="257">
                  <c:v>4.9457938673882776E-2</c:v>
                </c:pt>
                <c:pt idx="258">
                  <c:v>4.9479224947350103E-2</c:v>
                </c:pt>
                <c:pt idx="259">
                  <c:v>4.9500043838599343E-2</c:v>
                </c:pt>
                <c:pt idx="260">
                  <c:v>4.9520378713962344E-2</c:v>
                </c:pt>
                <c:pt idx="261">
                  <c:v>4.9540212611957006E-2</c:v>
                </c:pt>
                <c:pt idx="262">
                  <c:v>4.9559528303939511E-2</c:v>
                </c:pt>
                <c:pt idx="263">
                  <c:v>4.9578308363632556E-2</c:v>
                </c:pt>
                <c:pt idx="264">
                  <c:v>4.9596535245445626E-2</c:v>
                </c:pt>
                <c:pt idx="265">
                  <c:v>4.9614191371395854E-2</c:v>
                </c:pt>
                <c:pt idx="266">
                  <c:v>4.963125922633136E-2</c:v>
                </c:pt>
                <c:pt idx="267">
                  <c:v>4.9647721461052591E-2</c:v>
                </c:pt>
                <c:pt idx="268">
                  <c:v>4.9663561002821308E-2</c:v>
                </c:pt>
                <c:pt idx="269">
                  <c:v>4.9678761172645788E-2</c:v>
                </c:pt>
                <c:pt idx="270">
                  <c:v>4.9693305808630794E-2</c:v>
                </c:pt>
                <c:pt idx="271">
                  <c:v>4.970717939458922E-2</c:v>
                </c:pt>
                <c:pt idx="272">
                  <c:v>4.9720367193023189E-2</c:v>
                </c:pt>
                <c:pt idx="273">
                  <c:v>4.9732855381503481E-2</c:v>
                </c:pt>
                <c:pt idx="274">
                  <c:v>4.974463119140328E-2</c:v>
                </c:pt>
                <c:pt idx="275">
                  <c:v>4.9755683047878675E-2</c:v>
                </c:pt>
                <c:pt idx="276">
                  <c:v>4.9766000709935414E-2</c:v>
                </c:pt>
                <c:pt idx="277">
                  <c:v>4.9775575409377736E-2</c:v>
                </c:pt>
                <c:pt idx="278">
                  <c:v>4.9784399987403083E-2</c:v>
                </c:pt>
                <c:pt idx="279">
                  <c:v>4.979246902758621E-2</c:v>
                </c:pt>
                <c:pt idx="280">
                  <c:v>4.9799778983987124E-2</c:v>
                </c:pt>
                <c:pt idx="281">
                  <c:v>4.9806328303121435E-2</c:v>
                </c:pt>
                <c:pt idx="282">
                  <c:v>4.9812117538547203E-2</c:v>
                </c:pt>
                <c:pt idx="283">
                  <c:v>4.9817149456851353E-2</c:v>
                </c:pt>
                <c:pt idx="284">
                  <c:v>4.982142913385873E-2</c:v>
                </c:pt>
                <c:pt idx="285">
                  <c:v>4.9824964039940557E-2</c:v>
                </c:pt>
                <c:pt idx="286">
                  <c:v>4.9827764113362941E-2</c:v>
                </c:pt>
                <c:pt idx="287">
                  <c:v>4.9829841820692479E-2</c:v>
                </c:pt>
                <c:pt idx="288">
                  <c:v>4.9831212203362368E-2</c:v>
                </c:pt>
                <c:pt idx="289">
                  <c:v>4.9831892909599385E-2</c:v>
                </c:pt>
                <c:pt idx="290">
                  <c:v>4.9831904211017491E-2</c:v>
                </c:pt>
                <c:pt idx="291">
                  <c:v>4.9831269003298893E-2</c:v>
                </c:pt>
                <c:pt idx="292">
                  <c:v>4.9830012790503975E-2</c:v>
                </c:pt>
                <c:pt idx="293">
                  <c:v>4.9828163652680411E-2</c:v>
                </c:pt>
                <c:pt idx="294">
                  <c:v>4.9825752196573848E-2</c:v>
                </c:pt>
                <c:pt idx="295">
                  <c:v>4.9822811489380468E-2</c:v>
                </c:pt>
                <c:pt idx="296">
                  <c:v>4.9819376975620389E-2</c:v>
                </c:pt>
                <c:pt idx="297">
                  <c:v>4.9815486377352919E-2</c:v>
                </c:pt>
                <c:pt idx="298">
                  <c:v>4.9811179578094993E-2</c:v>
                </c:pt>
                <c:pt idx="299">
                  <c:v>4.9806498490944699E-2</c:v>
                </c:pt>
                <c:pt idx="300">
                  <c:v>4.9801486911548884E-2</c:v>
                </c:pt>
                <c:pt idx="301">
                  <c:v>4.9796190356687337E-2</c:v>
                </c:pt>
                <c:pt idx="302">
                  <c:v>4.9790655889374778E-2</c:v>
                </c:pt>
                <c:pt idx="303">
                  <c:v>4.9784931931503629E-2</c:v>
                </c:pt>
                <c:pt idx="304">
                  <c:v>4.9779068065165119E-2</c:v>
                </c:pt>
                <c:pt idx="305">
                  <c:v>4.9999369785077623E-2</c:v>
                </c:pt>
                <c:pt idx="306">
                  <c:v>5.0218641529846231E-2</c:v>
                </c:pt>
                <c:pt idx="307">
                  <c:v>5.0436939496750974E-2</c:v>
                </c:pt>
                <c:pt idx="308">
                  <c:v>5.065432108105488E-2</c:v>
                </c:pt>
                <c:pt idx="309">
                  <c:v>5.0870844632500092E-2</c:v>
                </c:pt>
                <c:pt idx="310">
                  <c:v>5.1086569202815554E-2</c:v>
                </c:pt>
                <c:pt idx="311">
                  <c:v>5.1301554285941887E-2</c:v>
                </c:pt>
                <c:pt idx="312">
                  <c:v>5.1515859552759079E-2</c:v>
                </c:pt>
                <c:pt idx="313">
                  <c:v>5.1729544582168725E-2</c:v>
                </c:pt>
                <c:pt idx="314">
                  <c:v>5.1942668590432069E-2</c:v>
                </c:pt>
                <c:pt idx="315">
                  <c:v>5.2155290160699093E-2</c:v>
                </c:pt>
                <c:pt idx="316">
                  <c:v>5.2367466974680352E-2</c:v>
                </c:pt>
                <c:pt idx="317">
                  <c:v>5.2579255548413265E-2</c:v>
                </c:pt>
                <c:pt idx="318">
                  <c:v>5.2790710974056833E-2</c:v>
                </c:pt>
                <c:pt idx="319">
                  <c:v>5.3001886669614265E-2</c:v>
                </c:pt>
                <c:pt idx="320">
                  <c:v>5.3212834138430885E-2</c:v>
                </c:pt>
                <c:pt idx="321">
                  <c:v>5.3423602740246982E-2</c:v>
                </c:pt>
                <c:pt idx="322">
                  <c:v>5.3634239475500042E-2</c:v>
                </c:pt>
                <c:pt idx="323">
                  <c:v>5.3844788784471506E-2</c:v>
                </c:pt>
                <c:pt idx="324">
                  <c:v>5.4055292362758751E-2</c:v>
                </c:pt>
                <c:pt idx="325">
                  <c:v>5.4265788994424406E-2</c:v>
                </c:pt>
                <c:pt idx="326">
                  <c:v>5.4476314404035588E-2</c:v>
                </c:pt>
                <c:pt idx="327">
                  <c:v>5.4686901128653334E-2</c:v>
                </c:pt>
                <c:pt idx="328">
                  <c:v>5.4897578410671097E-2</c:v>
                </c:pt>
                <c:pt idx="329">
                  <c:v>5.5108372112232289E-2</c:v>
                </c:pt>
                <c:pt idx="330">
                  <c:v>5.5319304651778693E-2</c:v>
                </c:pt>
                <c:pt idx="331">
                  <c:v>5.5530394963101755E-2</c:v>
                </c:pt>
                <c:pt idx="332">
                  <c:v>5.5741658477081964E-2</c:v>
                </c:pt>
                <c:pt idx="333">
                  <c:v>5.5953107126115842E-2</c:v>
                </c:pt>
                <c:pt idx="334">
                  <c:v>5.6164749371042225E-2</c:v>
                </c:pt>
                <c:pt idx="335">
                  <c:v>5.6376590250195195E-2</c:v>
                </c:pt>
                <c:pt idx="336">
                  <c:v>5.658863145002864E-2</c:v>
                </c:pt>
                <c:pt idx="337">
                  <c:v>5.680087139658143E-2</c:v>
                </c:pt>
                <c:pt idx="338">
                  <c:v>5.701330536688233E-2</c:v>
                </c:pt>
                <c:pt idx="339">
                  <c:v>5.7225925619232607E-2</c:v>
                </c:pt>
                <c:pt idx="340">
                  <c:v>5.7438721541152857E-2</c:v>
                </c:pt>
                <c:pt idx="341">
                  <c:v>5.7651679813641173E-2</c:v>
                </c:pt>
                <c:pt idx="342">
                  <c:v>5.7864784590261654E-2</c:v>
                </c:pt>
                <c:pt idx="343">
                  <c:v>5.8078017689469588E-2</c:v>
                </c:pt>
                <c:pt idx="344">
                  <c:v>5.8291358798480714E-2</c:v>
                </c:pt>
                <c:pt idx="345">
                  <c:v>5.8504785686908922E-2</c:v>
                </c:pt>
                <c:pt idx="346">
                  <c:v>5.8718274428331017E-2</c:v>
                </c:pt>
                <c:pt idx="347">
                  <c:v>5.8931799627887284E-2</c:v>
                </c:pt>
                <c:pt idx="348">
                  <c:v>5.9145334653995546E-2</c:v>
                </c:pt>
                <c:pt idx="349">
                  <c:v>5.935885187224138E-2</c:v>
                </c:pt>
                <c:pt idx="350">
                  <c:v>5.9572322879512286E-2</c:v>
                </c:pt>
                <c:pt idx="351">
                  <c:v>5.9785718736463656E-2</c:v>
                </c:pt>
                <c:pt idx="352">
                  <c:v>5.9999010196444269E-2</c:v>
                </c:pt>
                <c:pt idx="353">
                  <c:v>6.0212167929064149E-2</c:v>
                </c:pt>
                <c:pt idx="354">
                  <c:v>6.0425162736660196E-2</c:v>
                </c:pt>
                <c:pt idx="355">
                  <c:v>6.0637965762002179E-2</c:v>
                </c:pt>
                <c:pt idx="356">
                  <c:v>6.0850548685684187E-2</c:v>
                </c:pt>
                <c:pt idx="357">
                  <c:v>6.1062883911762199E-2</c:v>
                </c:pt>
                <c:pt idx="358">
                  <c:v>6.1274944740326832E-2</c:v>
                </c:pt>
                <c:pt idx="359">
                  <c:v>6.1486705525838715E-2</c:v>
                </c:pt>
                <c:pt idx="360">
                  <c:v>6.1698141820203542E-2</c:v>
                </c:pt>
                <c:pt idx="361">
                  <c:v>6.1909230499719851E-2</c:v>
                </c:pt>
                <c:pt idx="362">
                  <c:v>6.2119949875195896E-2</c:v>
                </c:pt>
                <c:pt idx="363">
                  <c:v>6.2330279784700959E-2</c:v>
                </c:pt>
                <c:pt idx="364">
                  <c:v>6.2540201668585996E-2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'2021'!Pvg</c:f>
              <c:numCache>
                <c:formatCode>0.00%</c:formatCode>
                <c:ptCount val="366"/>
                <c:pt idx="0">
                  <c:v>8.8707649942519132E-3</c:v>
                </c:pt>
                <c:pt idx="1">
                  <c:v>8.8457627683246748E-3</c:v>
                </c:pt>
                <c:pt idx="2">
                  <c:v>8.8226682257137035E-3</c:v>
                </c:pt>
                <c:pt idx="3">
                  <c:v>8.8018441466506826E-3</c:v>
                </c:pt>
                <c:pt idx="4">
                  <c:v>8.7836348275030941E-3</c:v>
                </c:pt>
                <c:pt idx="5">
                  <c:v>8.7683665738427473E-3</c:v>
                </c:pt>
                <c:pt idx="6">
                  <c:v>8.7563485588460863E-3</c:v>
                </c:pt>
                <c:pt idx="7">
                  <c:v>8.7478739776623311E-3</c:v>
                </c:pt>
                <c:pt idx="8">
                  <c:v>8.7413258200955517E-3</c:v>
                </c:pt>
                <c:pt idx="9">
                  <c:v>8.7376907554612658E-3</c:v>
                </c:pt>
                <c:pt idx="10">
                  <c:v>8.7359227269625857E-3</c:v>
                </c:pt>
                <c:pt idx="11">
                  <c:v>8.7363444626203084E-3</c:v>
                </c:pt>
                <c:pt idx="12">
                  <c:v>8.7392607179732906E-3</c:v>
                </c:pt>
                <c:pt idx="13">
                  <c:v>8.7449588139973337E-3</c:v>
                </c:pt>
                <c:pt idx="14">
                  <c:v>8.7537095039180567E-3</c:v>
                </c:pt>
                <c:pt idx="15">
                  <c:v>8.7684447789123481E-3</c:v>
                </c:pt>
                <c:pt idx="16">
                  <c:v>8.7862424362887097E-3</c:v>
                </c:pt>
                <c:pt idx="17">
                  <c:v>8.8073456823273295E-3</c:v>
                </c:pt>
                <c:pt idx="18">
                  <c:v>8.8319869431663749E-3</c:v>
                </c:pt>
                <c:pt idx="19">
                  <c:v>8.8604388265654307E-3</c:v>
                </c:pt>
                <c:pt idx="20">
                  <c:v>8.8929894747955349E-3</c:v>
                </c:pt>
                <c:pt idx="21">
                  <c:v>8.9298839301439701E-3</c:v>
                </c:pt>
                <c:pt idx="22">
                  <c:v>8.9700158342262623E-3</c:v>
                </c:pt>
                <c:pt idx="23">
                  <c:v>9.0094245155212926E-3</c:v>
                </c:pt>
                <c:pt idx="24">
                  <c:v>9.046149044654523E-3</c:v>
                </c:pt>
                <c:pt idx="25">
                  <c:v>9.0804700009752617E-3</c:v>
                </c:pt>
                <c:pt idx="26">
                  <c:v>9.1126622609539795E-3</c:v>
                </c:pt>
                <c:pt idx="27">
                  <c:v>9.142994372801732E-3</c:v>
                </c:pt>
                <c:pt idx="28">
                  <c:v>9.1717281065425565E-3</c:v>
                </c:pt>
                <c:pt idx="29">
                  <c:v>9.1822687396758643E-3</c:v>
                </c:pt>
                <c:pt idx="30">
                  <c:v>9.1730799171051043E-3</c:v>
                </c:pt>
                <c:pt idx="31">
                  <c:v>9.1449627977852766E-3</c:v>
                </c:pt>
                <c:pt idx="32">
                  <c:v>9.0986856716879817E-3</c:v>
                </c:pt>
                <c:pt idx="33">
                  <c:v>9.0349815361844051E-3</c:v>
                </c:pt>
                <c:pt idx="34">
                  <c:v>8.9545461380218933E-3</c:v>
                </c:pt>
                <c:pt idx="35">
                  <c:v>8.8580364218815016E-3</c:v>
                </c:pt>
                <c:pt idx="36">
                  <c:v>8.7455725866393622E-3</c:v>
                </c:pt>
                <c:pt idx="37">
                  <c:v>8.6020554064140387E-3</c:v>
                </c:pt>
                <c:pt idx="38">
                  <c:v>8.4307687597786601E-3</c:v>
                </c:pt>
                <c:pt idx="39">
                  <c:v>8.232500895562574E-3</c:v>
                </c:pt>
                <c:pt idx="40">
                  <c:v>8.00800799869982E-3</c:v>
                </c:pt>
                <c:pt idx="41">
                  <c:v>7.7580146567327061E-3</c:v>
                </c:pt>
                <c:pt idx="42">
                  <c:v>7.4832143410437837E-3</c:v>
                </c:pt>
                <c:pt idx="43">
                  <c:v>7.1830489792154241E-3</c:v>
                </c:pt>
                <c:pt idx="44">
                  <c:v>6.8728229423712286E-3</c:v>
                </c:pt>
                <c:pt idx="45">
                  <c:v>6.552794298040422E-3</c:v>
                </c:pt>
                <c:pt idx="46">
                  <c:v>6.2232059159666592E-3</c:v>
                </c:pt>
                <c:pt idx="47">
                  <c:v>5.8842857224345145E-3</c:v>
                </c:pt>
                <c:pt idx="48">
                  <c:v>5.5362469257475505E-3</c:v>
                </c:pt>
                <c:pt idx="49">
                  <c:v>5.1792882113540668E-3</c:v>
                </c:pt>
                <c:pt idx="50">
                  <c:v>4.8135632021443341E-3</c:v>
                </c:pt>
                <c:pt idx="51">
                  <c:v>4.4492810663537882E-3</c:v>
                </c:pt>
                <c:pt idx="52">
                  <c:v>4.0996646157185545E-3</c:v>
                </c:pt>
                <c:pt idx="53">
                  <c:v>3.7643177966848328E-3</c:v>
                </c:pt>
                <c:pt idx="54">
                  <c:v>3.4428819831688316E-3</c:v>
                </c:pt>
                <c:pt idx="55">
                  <c:v>3.1350113976073607E-3</c:v>
                </c:pt>
                <c:pt idx="56">
                  <c:v>2.8403724258817807E-3</c:v>
                </c:pt>
                <c:pt idx="57">
                  <c:v>2.5709248156066712E-3</c:v>
                </c:pt>
                <c:pt idx="58">
                  <c:v>2.3271896170018805E-3</c:v>
                </c:pt>
                <c:pt idx="59">
                  <c:v>2.1085910619116494E-3</c:v>
                </c:pt>
                <c:pt idx="60">
                  <c:v>1.9145739327303603E-3</c:v>
                </c:pt>
                <c:pt idx="61">
                  <c:v>1.744602760800527E-3</c:v>
                </c:pt>
                <c:pt idx="62">
                  <c:v>1.5981610983235926E-3</c:v>
                </c:pt>
                <c:pt idx="63">
                  <c:v>1.4747508610863226E-3</c:v>
                </c:pt>
                <c:pt idx="64">
                  <c:v>1.3738576589375797E-3</c:v>
                </c:pt>
                <c:pt idx="65">
                  <c:v>1.2998499406799095E-3</c:v>
                </c:pt>
                <c:pt idx="66">
                  <c:v>1.2431791510451051E-3</c:v>
                </c:pt>
                <c:pt idx="67">
                  <c:v>1.2035184250104582E-3</c:v>
                </c:pt>
                <c:pt idx="68">
                  <c:v>1.1805496649437727E-3</c:v>
                </c:pt>
                <c:pt idx="69">
                  <c:v>1.1739653589531002E-3</c:v>
                </c:pt>
                <c:pt idx="70">
                  <c:v>1.1834702820451375E-3</c:v>
                </c:pt>
                <c:pt idx="71">
                  <c:v>1.2060989184154128E-3</c:v>
                </c:pt>
                <c:pt idx="72">
                  <c:v>1.2305205676704626E-3</c:v>
                </c:pt>
                <c:pt idx="73">
                  <c:v>1.2567284689757145E-3</c:v>
                </c:pt>
                <c:pt idx="74">
                  <c:v>1.2847187487507374E-3</c:v>
                </c:pt>
                <c:pt idx="75">
                  <c:v>1.314490578629642E-3</c:v>
                </c:pt>
                <c:pt idx="76">
                  <c:v>1.3460463318117517E-3</c:v>
                </c:pt>
                <c:pt idx="77">
                  <c:v>1.3793917391553465E-3</c:v>
                </c:pt>
                <c:pt idx="78">
                  <c:v>1.4144482492141207E-3</c:v>
                </c:pt>
                <c:pt idx="79">
                  <c:v>1.4479456248428545E-3</c:v>
                </c:pt>
                <c:pt idx="80">
                  <c:v>1.4754990405358161E-3</c:v>
                </c:pt>
                <c:pt idx="81">
                  <c:v>1.4972319851421722E-3</c:v>
                </c:pt>
                <c:pt idx="82">
                  <c:v>1.5132638301372191E-3</c:v>
                </c:pt>
                <c:pt idx="83">
                  <c:v>1.5237088988862761E-3</c:v>
                </c:pt>
                <c:pt idx="84">
                  <c:v>1.528675597484099E-3</c:v>
                </c:pt>
                <c:pt idx="85">
                  <c:v>1.5271704224706834E-3</c:v>
                </c:pt>
                <c:pt idx="86">
                  <c:v>1.5217851120961326E-3</c:v>
                </c:pt>
                <c:pt idx="87">
                  <c:v>1.5125882283286731E-3</c:v>
                </c:pt>
                <c:pt idx="88">
                  <c:v>1.4996414664966613E-3</c:v>
                </c:pt>
                <c:pt idx="89">
                  <c:v>1.4829991776652638E-3</c:v>
                </c:pt>
                <c:pt idx="90">
                  <c:v>1.4627079066630224E-3</c:v>
                </c:pt>
                <c:pt idx="91">
                  <c:v>1.4388059402086302E-3</c:v>
                </c:pt>
                <c:pt idx="92">
                  <c:v>1.4112919877252935E-3</c:v>
                </c:pt>
                <c:pt idx="93">
                  <c:v>1.3796512114245046E-3</c:v>
                </c:pt>
                <c:pt idx="94">
                  <c:v>1.3469188373394798E-3</c:v>
                </c:pt>
                <c:pt idx="95">
                  <c:v>1.3130686424527355E-3</c:v>
                </c:pt>
                <c:pt idx="96">
                  <c:v>1.2780735953415714E-3</c:v>
                </c:pt>
                <c:pt idx="97">
                  <c:v>1.2419058715179825E-3</c:v>
                </c:pt>
                <c:pt idx="98">
                  <c:v>1.2045368719137851E-3</c:v>
                </c:pt>
                <c:pt idx="99">
                  <c:v>1.1681747170546985E-3</c:v>
                </c:pt>
                <c:pt idx="100">
                  <c:v>1.1338505274194049E-3</c:v>
                </c:pt>
                <c:pt idx="101">
                  <c:v>1.1015347663647019E-3</c:v>
                </c:pt>
                <c:pt idx="102">
                  <c:v>1.07120133858414E-3</c:v>
                </c:pt>
                <c:pt idx="103">
                  <c:v>1.0428274268944842E-3</c:v>
                </c:pt>
                <c:pt idx="104">
                  <c:v>1.016393339446559E-3</c:v>
                </c:pt>
                <c:pt idx="105">
                  <c:v>9.9188236622211267E-4</c:v>
                </c:pt>
                <c:pt idx="106">
                  <c:v>9.6930623102996444E-4</c:v>
                </c:pt>
                <c:pt idx="107">
                  <c:v>9.4940627717576419E-4</c:v>
                </c:pt>
                <c:pt idx="108">
                  <c:v>9.3265614057874084E-4</c:v>
                </c:pt>
                <c:pt idx="109">
                  <c:v>9.1905581772645187E-4</c:v>
                </c:pt>
                <c:pt idx="110">
                  <c:v>9.0861228519825926E-4</c:v>
                </c:pt>
                <c:pt idx="111">
                  <c:v>9.0133680960486847E-4</c:v>
                </c:pt>
                <c:pt idx="112">
                  <c:v>8.9724236906961029E-4</c:v>
                </c:pt>
                <c:pt idx="113">
                  <c:v>8.937523311811109E-4</c:v>
                </c:pt>
                <c:pt idx="114">
                  <c:v>8.8858589579682149E-4</c:v>
                </c:pt>
                <c:pt idx="115">
                  <c:v>8.8172263848252373E-4</c:v>
                </c:pt>
                <c:pt idx="116">
                  <c:v>8.7313979985934303E-4</c:v>
                </c:pt>
                <c:pt idx="117">
                  <c:v>8.6281231371299874E-4</c:v>
                </c:pt>
                <c:pt idx="118">
                  <c:v>8.5071283840545682E-4</c:v>
                </c:pt>
                <c:pt idx="119">
                  <c:v>8.3681179291596934E-4</c:v>
                </c:pt>
                <c:pt idx="120">
                  <c:v>8.2109111088954812E-4</c:v>
                </c:pt>
                <c:pt idx="121">
                  <c:v>8.0281240924969595E-4</c:v>
                </c:pt>
                <c:pt idx="122">
                  <c:v>7.8116120320944455E-4</c:v>
                </c:pt>
                <c:pt idx="123">
                  <c:v>7.5607356828409221E-4</c:v>
                </c:pt>
                <c:pt idx="124">
                  <c:v>7.2748113264253322E-4</c:v>
                </c:pt>
                <c:pt idx="125">
                  <c:v>6.9531118989221772E-4</c:v>
                </c:pt>
                <c:pt idx="126">
                  <c:v>6.5948682786390062E-4</c:v>
                </c:pt>
                <c:pt idx="127">
                  <c:v>6.212554822838573E-4</c:v>
                </c:pt>
                <c:pt idx="128">
                  <c:v>5.8331609036772704E-4</c:v>
                </c:pt>
                <c:pt idx="129">
                  <c:v>5.4564948366053051E-4</c:v>
                </c:pt>
                <c:pt idx="130">
                  <c:v>5.0823760690183763E-4</c:v>
                </c:pt>
                <c:pt idx="131">
                  <c:v>4.7106354205040285E-4</c:v>
                </c:pt>
                <c:pt idx="132">
                  <c:v>4.3411153515935644E-4</c:v>
                </c:pt>
                <c:pt idx="133">
                  <c:v>3.973670258655922E-4</c:v>
                </c:pt>
                <c:pt idx="134">
                  <c:v>3.6081985779873668E-4</c:v>
                </c:pt>
                <c:pt idx="135">
                  <c:v>3.2592939499028134E-4</c:v>
                </c:pt>
                <c:pt idx="136">
                  <c:v>2.9349604860971171E-4</c:v>
                </c:pt>
                <c:pt idx="137">
                  <c:v>2.6355493007832771E-4</c:v>
                </c:pt>
                <c:pt idx="138">
                  <c:v>2.3614421669338202E-4</c:v>
                </c:pt>
                <c:pt idx="139">
                  <c:v>2.1130509993165392E-4</c:v>
                </c:pt>
                <c:pt idx="140">
                  <c:v>1.8908172105913318E-4</c:v>
                </c:pt>
                <c:pt idx="141">
                  <c:v>1.701288661352108E-4</c:v>
                </c:pt>
                <c:pt idx="142">
                  <c:v>1.5305738746184918E-4</c:v>
                </c:pt>
                <c:pt idx="143">
                  <c:v>1.3790432059808408E-4</c:v>
                </c:pt>
                <c:pt idx="144">
                  <c:v>1.2470963873719825E-4</c:v>
                </c:pt>
                <c:pt idx="145">
                  <c:v>1.1351505171090068E-4</c:v>
                </c:pt>
                <c:pt idx="146">
                  <c:v>1.0436393419683446E-4</c:v>
                </c:pt>
                <c:pt idx="147">
                  <c:v>9.7301244958132401E-5</c:v>
                </c:pt>
                <c:pt idx="148">
                  <c:v>9.2373437496046814E-5</c:v>
                </c:pt>
                <c:pt idx="149">
                  <c:v>8.9611987580015602E-5</c:v>
                </c:pt>
                <c:pt idx="150">
                  <c:v>8.7437110736282784E-5</c:v>
                </c:pt>
                <c:pt idx="151">
                  <c:v>8.5863032930083086E-5</c:v>
                </c:pt>
                <c:pt idx="152">
                  <c:v>8.4904357558687071E-5</c:v>
                </c:pt>
                <c:pt idx="153">
                  <c:v>8.457603208842023E-5</c:v>
                </c:pt>
                <c:pt idx="154">
                  <c:v>8.4893313144357858E-5</c:v>
                </c:pt>
                <c:pt idx="155">
                  <c:v>8.5836299517181642E-5</c:v>
                </c:pt>
                <c:pt idx="156">
                  <c:v>8.6734681504752791E-5</c:v>
                </c:pt>
                <c:pt idx="157">
                  <c:v>8.7586928508029345E-5</c:v>
                </c:pt>
                <c:pt idx="158">
                  <c:v>8.8391495250045239E-5</c:v>
                </c:pt>
                <c:pt idx="159">
                  <c:v>8.9146826854873378E-5</c:v>
                </c:pt>
                <c:pt idx="160">
                  <c:v>8.9851363953244215E-5</c:v>
                </c:pt>
                <c:pt idx="161">
                  <c:v>9.0503547750633043E-5</c:v>
                </c:pt>
                <c:pt idx="162">
                  <c:v>9.1101825027710897E-5</c:v>
                </c:pt>
                <c:pt idx="163">
                  <c:v>9.1668828250225868E-5</c:v>
                </c:pt>
                <c:pt idx="164">
                  <c:v>9.2221406773131248E-5</c:v>
                </c:pt>
                <c:pt idx="165">
                  <c:v>9.2758859515440546E-5</c:v>
                </c:pt>
                <c:pt idx="166">
                  <c:v>9.3280507980098498E-5</c:v>
                </c:pt>
                <c:pt idx="167">
                  <c:v>9.378569889440441E-5</c:v>
                </c:pt>
                <c:pt idx="168">
                  <c:v>9.4273806663796954E-5</c:v>
                </c:pt>
                <c:pt idx="169">
                  <c:v>9.4769409185956399E-5</c:v>
                </c:pt>
                <c:pt idx="170">
                  <c:v>9.5311800624501289E-5</c:v>
                </c:pt>
                <c:pt idx="171">
                  <c:v>9.5901728289259007E-5</c:v>
                </c:pt>
                <c:pt idx="172">
                  <c:v>9.6539967011324617E-5</c:v>
                </c:pt>
                <c:pt idx="173">
                  <c:v>9.722632513841941E-5</c:v>
                </c:pt>
                <c:pt idx="174">
                  <c:v>9.7960555945941007E-5</c:v>
                </c:pt>
                <c:pt idx="175">
                  <c:v>9.8743387350436434E-5</c:v>
                </c:pt>
                <c:pt idx="176">
                  <c:v>9.9576721113990444E-5</c:v>
                </c:pt>
                <c:pt idx="177">
                  <c:v>1.0042100544245227E-4</c:v>
                </c:pt>
                <c:pt idx="178">
                  <c:v>1.012491592116543E-4</c:v>
                </c:pt>
                <c:pt idx="179">
                  <c:v>1.0206027593737472E-4</c:v>
                </c:pt>
                <c:pt idx="180">
                  <c:v>1.0285346816986248E-4</c:v>
                </c:pt>
                <c:pt idx="181">
                  <c:v>1.0362786814354558E-4</c:v>
                </c:pt>
                <c:pt idx="182">
                  <c:v>1.0438262823251267E-4</c:v>
                </c:pt>
                <c:pt idx="183">
                  <c:v>1.0509715753476627E-4</c:v>
                </c:pt>
                <c:pt idx="184">
                  <c:v>1.057428074757208E-4</c:v>
                </c:pt>
                <c:pt idx="185">
                  <c:v>1.0631807324235869E-4</c:v>
                </c:pt>
                <c:pt idx="186">
                  <c:v>1.0682148955130062E-4</c:v>
                </c:pt>
                <c:pt idx="187">
                  <c:v>1.0725163224232985E-4</c:v>
                </c:pt>
                <c:pt idx="188">
                  <c:v>1.0760711966929687E-4</c:v>
                </c:pt>
                <c:pt idx="189">
                  <c:v>1.0788661391923396E-4</c:v>
                </c:pt>
                <c:pt idx="190">
                  <c:v>1.0809072935325107E-4</c:v>
                </c:pt>
                <c:pt idx="191">
                  <c:v>1.0909459492133371E-4</c:v>
                </c:pt>
                <c:pt idx="192">
                  <c:v>1.1095587505912183E-4</c:v>
                </c:pt>
                <c:pt idx="193">
                  <c:v>1.1368791514443527E-4</c:v>
                </c:pt>
                <c:pt idx="194">
                  <c:v>1.1730377012611102E-4</c:v>
                </c:pt>
                <c:pt idx="195">
                  <c:v>1.2181621095083063E-4</c:v>
                </c:pt>
                <c:pt idx="196">
                  <c:v>1.2723773219919574E-4</c:v>
                </c:pt>
                <c:pt idx="197">
                  <c:v>1.3576559880317153E-4</c:v>
                </c:pt>
                <c:pt idx="198">
                  <c:v>1.4746186643246992E-4</c:v>
                </c:pt>
                <c:pt idx="199">
                  <c:v>1.6236694966459113E-4</c:v>
                </c:pt>
                <c:pt idx="200">
                  <c:v>1.8052046132302179E-4</c:v>
                </c:pt>
                <c:pt idx="201">
                  <c:v>2.0196124760263104E-4</c:v>
                </c:pt>
                <c:pt idx="202">
                  <c:v>2.2672742201683733E-4</c:v>
                </c:pt>
                <c:pt idx="203">
                  <c:v>2.548563973185236E-4</c:v>
                </c:pt>
                <c:pt idx="204">
                  <c:v>2.863869639636703E-4</c:v>
                </c:pt>
                <c:pt idx="205">
                  <c:v>3.2347333060451415E-4</c:v>
                </c:pt>
                <c:pt idx="206">
                  <c:v>3.6523936152743554E-4</c:v>
                </c:pt>
                <c:pt idx="207">
                  <c:v>4.1173438031826313E-4</c:v>
                </c:pt>
                <c:pt idx="208">
                  <c:v>4.6300715195143866E-4</c:v>
                </c:pt>
                <c:pt idx="209">
                  <c:v>5.1910586351090391E-4</c:v>
                </c:pt>
                <c:pt idx="210">
                  <c:v>5.8007809652851103E-4</c:v>
                </c:pt>
                <c:pt idx="211">
                  <c:v>6.4468425575833549E-4</c:v>
                </c:pt>
                <c:pt idx="212">
                  <c:v>7.1063288716590193E-4</c:v>
                </c:pt>
                <c:pt idx="213">
                  <c:v>7.7792818742062014E-4</c:v>
                </c:pt>
                <c:pt idx="214">
                  <c:v>8.4657409239296752E-4</c:v>
                </c:pt>
                <c:pt idx="215">
                  <c:v>9.1657422847363462E-4</c:v>
                </c:pt>
                <c:pt idx="216">
                  <c:v>9.879318620820822E-4</c:v>
                </c:pt>
                <c:pt idx="217">
                  <c:v>1.0606498476898041E-3</c:v>
                </c:pt>
                <c:pt idx="218">
                  <c:v>1.1347217543630243E-3</c:v>
                </c:pt>
                <c:pt idx="219">
                  <c:v>1.2053301822257433E-3</c:v>
                </c:pt>
                <c:pt idx="220">
                  <c:v>1.2701971652763883E-3</c:v>
                </c:pt>
                <c:pt idx="221">
                  <c:v>1.3292601148473442E-3</c:v>
                </c:pt>
                <c:pt idx="222">
                  <c:v>1.382459026690587E-3</c:v>
                </c:pt>
                <c:pt idx="223">
                  <c:v>1.4297360972825586E-3</c:v>
                </c:pt>
                <c:pt idx="224">
                  <c:v>1.4710353359927129E-3</c:v>
                </c:pt>
                <c:pt idx="225">
                  <c:v>1.5077804747210886E-3</c:v>
                </c:pt>
                <c:pt idx="226">
                  <c:v>1.5412933259126395E-3</c:v>
                </c:pt>
                <c:pt idx="227">
                  <c:v>1.571550841609205E-3</c:v>
                </c:pt>
                <c:pt idx="228">
                  <c:v>1.5985305286984881E-3</c:v>
                </c:pt>
                <c:pt idx="229">
                  <c:v>1.6222102366129565E-3</c:v>
                </c:pt>
                <c:pt idx="230">
                  <c:v>1.6425679421669338E-3</c:v>
                </c:pt>
                <c:pt idx="231">
                  <c:v>1.6595815311711384E-3</c:v>
                </c:pt>
                <c:pt idx="232">
                  <c:v>1.6731813607923482E-3</c:v>
                </c:pt>
                <c:pt idx="233">
                  <c:v>1.6877284493362846E-3</c:v>
                </c:pt>
                <c:pt idx="234">
                  <c:v>1.7083142600291491E-3</c:v>
                </c:pt>
                <c:pt idx="235">
                  <c:v>1.735014279375068E-3</c:v>
                </c:pt>
                <c:pt idx="236">
                  <c:v>1.7679056882095091E-3</c:v>
                </c:pt>
                <c:pt idx="237">
                  <c:v>1.8070661394011085E-3</c:v>
                </c:pt>
                <c:pt idx="238">
                  <c:v>1.8525753059759878E-3</c:v>
                </c:pt>
                <c:pt idx="239">
                  <c:v>1.9037422877448446E-3</c:v>
                </c:pt>
                <c:pt idx="240">
                  <c:v>1.9590851661247075E-3</c:v>
                </c:pt>
                <c:pt idx="241">
                  <c:v>2.0186673510234538E-3</c:v>
                </c:pt>
                <c:pt idx="242">
                  <c:v>2.0825553421812107E-3</c:v>
                </c:pt>
                <c:pt idx="243">
                  <c:v>2.1508190907210032E-3</c:v>
                </c:pt>
                <c:pt idx="244">
                  <c:v>2.2235323766428387E-3</c:v>
                </c:pt>
                <c:pt idx="245">
                  <c:v>2.3007732038372946E-3</c:v>
                </c:pt>
                <c:pt idx="246">
                  <c:v>2.3825973956929205E-3</c:v>
                </c:pt>
                <c:pt idx="247">
                  <c:v>2.4668430144733021E-3</c:v>
                </c:pt>
                <c:pt idx="248">
                  <c:v>2.5488614389985284E-3</c:v>
                </c:pt>
                <c:pt idx="249">
                  <c:v>2.6286311272079943E-3</c:v>
                </c:pt>
                <c:pt idx="250">
                  <c:v>2.7061288567001279E-3</c:v>
                </c:pt>
                <c:pt idx="251">
                  <c:v>2.7813297062221072E-3</c:v>
                </c:pt>
                <c:pt idx="252">
                  <c:v>2.8542070391312422E-3</c:v>
                </c:pt>
                <c:pt idx="253">
                  <c:v>2.9180032739392157E-3</c:v>
                </c:pt>
                <c:pt idx="254">
                  <c:v>2.9734176393375602E-3</c:v>
                </c:pt>
                <c:pt idx="255">
                  <c:v>3.020337385101914E-3</c:v>
                </c:pt>
                <c:pt idx="256">
                  <c:v>3.0586457595902674E-3</c:v>
                </c:pt>
                <c:pt idx="257">
                  <c:v>3.0882220813374353E-3</c:v>
                </c:pt>
                <c:pt idx="258">
                  <c:v>3.1089418256582189E-3</c:v>
                </c:pt>
                <c:pt idx="259">
                  <c:v>3.1206767260225391E-3</c:v>
                </c:pt>
                <c:pt idx="260">
                  <c:v>3.1233428484205693E-3</c:v>
                </c:pt>
                <c:pt idx="261">
                  <c:v>3.1118643696864947E-3</c:v>
                </c:pt>
                <c:pt idx="262">
                  <c:v>3.0883792108116815E-3</c:v>
                </c:pt>
                <c:pt idx="263">
                  <c:v>3.0526972263044318E-3</c:v>
                </c:pt>
                <c:pt idx="264">
                  <c:v>3.0046227709308033E-3</c:v>
                </c:pt>
                <c:pt idx="265">
                  <c:v>2.9439707445138939E-3</c:v>
                </c:pt>
                <c:pt idx="266">
                  <c:v>2.8705421412525524E-3</c:v>
                </c:pt>
                <c:pt idx="267">
                  <c:v>2.7943272281996992E-3</c:v>
                </c:pt>
                <c:pt idx="268">
                  <c:v>2.7224854040620509E-3</c:v>
                </c:pt>
                <c:pt idx="269">
                  <c:v>2.6550642411389083E-3</c:v>
                </c:pt>
                <c:pt idx="270">
                  <c:v>2.5921144049591716E-3</c:v>
                </c:pt>
                <c:pt idx="271">
                  <c:v>2.5336894605387959E-3</c:v>
                </c:pt>
                <c:pt idx="272">
                  <c:v>2.4798456671907901E-3</c:v>
                </c:pt>
                <c:pt idx="273">
                  <c:v>2.4306417615909399E-3</c:v>
                </c:pt>
                <c:pt idx="274">
                  <c:v>2.3862180997230842E-3</c:v>
                </c:pt>
                <c:pt idx="275">
                  <c:v>2.3705705249252103E-3</c:v>
                </c:pt>
                <c:pt idx="276">
                  <c:v>2.389507660701647E-3</c:v>
                </c:pt>
                <c:pt idx="277">
                  <c:v>2.4435630405058033E-3</c:v>
                </c:pt>
                <c:pt idx="278">
                  <c:v>2.5332836853092047E-3</c:v>
                </c:pt>
                <c:pt idx="279">
                  <c:v>2.6592268373543614E-3</c:v>
                </c:pt>
                <c:pt idx="280">
                  <c:v>2.8219565408075511E-3</c:v>
                </c:pt>
                <c:pt idx="281">
                  <c:v>3.0392139005437262E-3</c:v>
                </c:pt>
                <c:pt idx="282">
                  <c:v>3.3007963583718907E-3</c:v>
                </c:pt>
                <c:pt idx="283">
                  <c:v>3.607366998612162E-3</c:v>
                </c:pt>
                <c:pt idx="284">
                  <c:v>3.9595798133843499E-3</c:v>
                </c:pt>
                <c:pt idx="285">
                  <c:v>4.3580747430463276E-3</c:v>
                </c:pt>
                <c:pt idx="286">
                  <c:v>4.8034725176425092E-3</c:v>
                </c:pt>
                <c:pt idx="287">
                  <c:v>5.296369299979984E-3</c:v>
                </c:pt>
                <c:pt idx="288">
                  <c:v>5.8375891850749343E-3</c:v>
                </c:pt>
                <c:pt idx="289">
                  <c:v>6.4235098703618008E-3</c:v>
                </c:pt>
                <c:pt idx="290">
                  <c:v>7.028901933544468E-3</c:v>
                </c:pt>
                <c:pt idx="291">
                  <c:v>7.653982284675293E-3</c:v>
                </c:pt>
                <c:pt idx="292">
                  <c:v>8.298955042294302E-3</c:v>
                </c:pt>
                <c:pt idx="293">
                  <c:v>8.964010302218035E-3</c:v>
                </c:pt>
                <c:pt idx="294">
                  <c:v>9.6493228412749162E-3</c:v>
                </c:pt>
                <c:pt idx="295">
                  <c:v>1.0328235995557032E-2</c:v>
                </c:pt>
                <c:pt idx="296">
                  <c:v>1.0982026787803242E-2</c:v>
                </c:pt>
                <c:pt idx="297">
                  <c:v>1.1610240493834169E-2</c:v>
                </c:pt>
                <c:pt idx="298">
                  <c:v>1.2212324557994954E-2</c:v>
                </c:pt>
                <c:pt idx="299">
                  <c:v>1.2787709777807641E-2</c:v>
                </c:pt>
                <c:pt idx="300">
                  <c:v>1.3335811662897852E-2</c:v>
                </c:pt>
                <c:pt idx="301">
                  <c:v>1.3856031824160623E-2</c:v>
                </c:pt>
                <c:pt idx="302">
                  <c:v>1.4347987248407914E-2</c:v>
                </c:pt>
                <c:pt idx="303">
                  <c:v>1.4783386799377705E-2</c:v>
                </c:pt>
                <c:pt idx="304">
                  <c:v>1.5166331988358088E-2</c:v>
                </c:pt>
                <c:pt idx="305">
                  <c:v>1.5496106956414561E-2</c:v>
                </c:pt>
                <c:pt idx="306">
                  <c:v>1.5772001451508099E-2</c:v>
                </c:pt>
                <c:pt idx="307">
                  <c:v>1.5993307252424208E-2</c:v>
                </c:pt>
                <c:pt idx="308">
                  <c:v>1.615931429145849E-2</c:v>
                </c:pt>
                <c:pt idx="309">
                  <c:v>1.6265674662382268E-2</c:v>
                </c:pt>
                <c:pt idx="310">
                  <c:v>1.634051069107105E-2</c:v>
                </c:pt>
                <c:pt idx="311">
                  <c:v>1.6383463243351236E-2</c:v>
                </c:pt>
                <c:pt idx="312">
                  <c:v>1.6394163945793041E-2</c:v>
                </c:pt>
                <c:pt idx="313">
                  <c:v>1.6372232209701201E-2</c:v>
                </c:pt>
                <c:pt idx="314">
                  <c:v>1.6317272145722369E-2</c:v>
                </c:pt>
                <c:pt idx="315">
                  <c:v>1.6228869382893939E-2</c:v>
                </c:pt>
                <c:pt idx="316">
                  <c:v>1.6106917509474489E-2</c:v>
                </c:pt>
                <c:pt idx="317">
                  <c:v>1.5956771558821754E-2</c:v>
                </c:pt>
                <c:pt idx="318">
                  <c:v>1.5808055475695578E-2</c:v>
                </c:pt>
                <c:pt idx="319">
                  <c:v>1.5660591939449648E-2</c:v>
                </c:pt>
                <c:pt idx="320">
                  <c:v>1.5514199886675632E-2</c:v>
                </c:pt>
                <c:pt idx="321">
                  <c:v>1.5368694301391967E-2</c:v>
                </c:pt>
                <c:pt idx="322">
                  <c:v>1.5223886085271464E-2</c:v>
                </c:pt>
                <c:pt idx="323">
                  <c:v>1.5083996735679159E-2</c:v>
                </c:pt>
                <c:pt idx="324">
                  <c:v>1.495285210643664E-2</c:v>
                </c:pt>
                <c:pt idx="325">
                  <c:v>1.4830403368174138E-2</c:v>
                </c:pt>
                <c:pt idx="326">
                  <c:v>1.4716508842474227E-2</c:v>
                </c:pt>
                <c:pt idx="327">
                  <c:v>1.4611087863701994E-2</c:v>
                </c:pt>
                <c:pt idx="328">
                  <c:v>1.4514131491699946E-2</c:v>
                </c:pt>
                <c:pt idx="329">
                  <c:v>1.4425625082614127E-2</c:v>
                </c:pt>
                <c:pt idx="330">
                  <c:v>1.4347817675933077E-2</c:v>
                </c:pt>
                <c:pt idx="331">
                  <c:v>1.4287458931867862E-2</c:v>
                </c:pt>
                <c:pt idx="332">
                  <c:v>1.4237869179427586E-2</c:v>
                </c:pt>
                <c:pt idx="333">
                  <c:v>1.4198446171955837E-2</c:v>
                </c:pt>
                <c:pt idx="334">
                  <c:v>1.4168575327541648E-2</c:v>
                </c:pt>
                <c:pt idx="335">
                  <c:v>1.4147624256233473E-2</c:v>
                </c:pt>
                <c:pt idx="336">
                  <c:v>1.4134937730895735E-2</c:v>
                </c:pt>
                <c:pt idx="337">
                  <c:v>1.4131659591496905E-2</c:v>
                </c:pt>
                <c:pt idx="338">
                  <c:v>1.4132257584162122E-2</c:v>
                </c:pt>
                <c:pt idx="339">
                  <c:v>1.413592649215672E-2</c:v>
                </c:pt>
                <c:pt idx="340">
                  <c:v>1.4141828722651807E-2</c:v>
                </c:pt>
                <c:pt idx="341">
                  <c:v>1.4149095266406364E-2</c:v>
                </c:pt>
                <c:pt idx="342">
                  <c:v>1.4156827930564348E-2</c:v>
                </c:pt>
                <c:pt idx="343">
                  <c:v>1.4164102947752187E-2</c:v>
                </c:pt>
                <c:pt idx="344">
                  <c:v>1.4173467411886001E-2</c:v>
                </c:pt>
                <c:pt idx="345">
                  <c:v>1.4187714375212849E-2</c:v>
                </c:pt>
                <c:pt idx="346">
                  <c:v>1.4203059218180981E-2</c:v>
                </c:pt>
                <c:pt idx="347">
                  <c:v>1.421886267735384E-2</c:v>
                </c:pt>
                <c:pt idx="348">
                  <c:v>1.4234471469256025E-2</c:v>
                </c:pt>
                <c:pt idx="349">
                  <c:v>1.4249220585144082E-2</c:v>
                </c:pt>
                <c:pt idx="350">
                  <c:v>1.4262436238159338E-2</c:v>
                </c:pt>
                <c:pt idx="351">
                  <c:v>1.4275575719948273E-2</c:v>
                </c:pt>
                <c:pt idx="352">
                  <c:v>1.4286027514752811E-2</c:v>
                </c:pt>
                <c:pt idx="353">
                  <c:v>1.42931133738762E-2</c:v>
                </c:pt>
                <c:pt idx="354">
                  <c:v>1.4296163740181106E-2</c:v>
                </c:pt>
                <c:pt idx="355">
                  <c:v>1.4294523813161823E-2</c:v>
                </c:pt>
                <c:pt idx="356">
                  <c:v>1.4287499976664942E-2</c:v>
                </c:pt>
                <c:pt idx="357">
                  <c:v>1.4274527918398517E-2</c:v>
                </c:pt>
                <c:pt idx="358">
                  <c:v>1.4254905602547795E-2</c:v>
                </c:pt>
                <c:pt idx="359">
                  <c:v>1.4228843560215313E-2</c:v>
                </c:pt>
                <c:pt idx="360">
                  <c:v>1.4199002959202477E-2</c:v>
                </c:pt>
                <c:pt idx="361">
                  <c:v>1.4164000193601103E-2</c:v>
                </c:pt>
                <c:pt idx="362">
                  <c:v>1.4124590746527841E-2</c:v>
                </c:pt>
                <c:pt idx="363">
                  <c:v>1.4081528481961347E-2</c:v>
                </c:pt>
                <c:pt idx="364">
                  <c:v>1.403555896542262E-2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523408"/>
        <c:axId val="373523800"/>
      </c:lineChart>
      <c:dateAx>
        <c:axId val="37352340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3523800"/>
        <c:crosses val="autoZero"/>
        <c:auto val="1"/>
        <c:lblOffset val="100"/>
        <c:baseTimeUnit val="days"/>
        <c:majorUnit val="1"/>
        <c:majorTimeUnit val="months"/>
      </c:dateAx>
      <c:valAx>
        <c:axId val="37352380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35234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2.0616813142390167E-2</c:v>
                </c:pt>
                <c:pt idx="1">
                  <c:v>2.0635582797733032E-2</c:v>
                </c:pt>
                <c:pt idx="2">
                  <c:v>2.0654352093359751E-2</c:v>
                </c:pt>
                <c:pt idx="3">
                  <c:v>2.0673121029277319E-2</c:v>
                </c:pt>
                <c:pt idx="4">
                  <c:v>2.0691889605492397E-2</c:v>
                </c:pt>
                <c:pt idx="5">
                  <c:v>2.071065782201198E-2</c:v>
                </c:pt>
                <c:pt idx="6">
                  <c:v>2.0729425678843061E-2</c:v>
                </c:pt>
                <c:pt idx="7">
                  <c:v>2.0748193175992413E-2</c:v>
                </c:pt>
                <c:pt idx="8">
                  <c:v>2.076696031346692E-2</c:v>
                </c:pt>
                <c:pt idx="9">
                  <c:v>2.0785727091273576E-2</c:v>
                </c:pt>
                <c:pt idx="10">
                  <c:v>2.0804493509419153E-2</c:v>
                </c:pt>
                <c:pt idx="11">
                  <c:v>2.0823259567910646E-2</c:v>
                </c:pt>
                <c:pt idx="12">
                  <c:v>2.0842025266754938E-2</c:v>
                </c:pt>
                <c:pt idx="13">
                  <c:v>2.0860790605958912E-2</c:v>
                </c:pt>
                <c:pt idx="14">
                  <c:v>2.0879555585529341E-2</c:v>
                </c:pt>
                <c:pt idx="15">
                  <c:v>2.0898320205473331E-2</c:v>
                </c:pt>
                <c:pt idx="16">
                  <c:v>2.0917084465797542E-2</c:v>
                </c:pt>
                <c:pt idx="17">
                  <c:v>2.093584836650908E-2</c:v>
                </c:pt>
                <c:pt idx="18">
                  <c:v>2.0954611907614717E-2</c:v>
                </c:pt>
                <c:pt idx="19">
                  <c:v>2.0973375089121338E-2</c:v>
                </c:pt>
                <c:pt idx="20">
                  <c:v>2.0992137911035935E-2</c:v>
                </c:pt>
                <c:pt idx="21">
                  <c:v>2.1010900373365282E-2</c:v>
                </c:pt>
                <c:pt idx="22">
                  <c:v>2.1029662476116262E-2</c:v>
                </c:pt>
                <c:pt idx="23">
                  <c:v>2.104842421929598E-2</c:v>
                </c:pt>
                <c:pt idx="24">
                  <c:v>2.1067185602910987E-2</c:v>
                </c:pt>
                <c:pt idx="25">
                  <c:v>2.1085946626968499E-2</c:v>
                </c:pt>
                <c:pt idx="26">
                  <c:v>2.1104707291475178E-2</c:v>
                </c:pt>
                <c:pt idx="27">
                  <c:v>2.1123467596438017E-2</c:v>
                </c:pt>
                <c:pt idx="28">
                  <c:v>2.1142227541863901E-2</c:v>
                </c:pt>
                <c:pt idx="29">
                  <c:v>2.1160987127759712E-2</c:v>
                </c:pt>
                <c:pt idx="30">
                  <c:v>2.1179746354132334E-2</c:v>
                </c:pt>
                <c:pt idx="31">
                  <c:v>2.1198505220988761E-2</c:v>
                </c:pt>
                <c:pt idx="32">
                  <c:v>2.1217263728335656E-2</c:v>
                </c:pt>
                <c:pt idx="33">
                  <c:v>2.1236021876180122E-2</c:v>
                </c:pt>
                <c:pt idx="34">
                  <c:v>2.1254779664528822E-2</c:v>
                </c:pt>
                <c:pt idx="35">
                  <c:v>2.1273537093388972E-2</c:v>
                </c:pt>
                <c:pt idx="36">
                  <c:v>2.1292294162767123E-2</c:v>
                </c:pt>
                <c:pt idx="37">
                  <c:v>2.1311050872670378E-2</c:v>
                </c:pt>
                <c:pt idx="38">
                  <c:v>2.1329807223105623E-2</c:v>
                </c:pt>
                <c:pt idx="39">
                  <c:v>2.134856321407963E-2</c:v>
                </c:pt>
                <c:pt idx="40">
                  <c:v>2.1367318845599392E-2</c:v>
                </c:pt>
                <c:pt idx="41">
                  <c:v>2.1386074117671683E-2</c:v>
                </c:pt>
                <c:pt idx="42">
                  <c:v>2.1404829030303496E-2</c:v>
                </c:pt>
                <c:pt idx="43">
                  <c:v>2.1423583583501715E-2</c:v>
                </c:pt>
                <c:pt idx="44">
                  <c:v>2.1442337777273113E-2</c:v>
                </c:pt>
                <c:pt idx="45">
                  <c:v>2.1461091611624794E-2</c:v>
                </c:pt>
                <c:pt idx="46">
                  <c:v>2.1479845086563421E-2</c:v>
                </c:pt>
                <c:pt idx="47">
                  <c:v>2.1498598202096098E-2</c:v>
                </c:pt>
                <c:pt idx="48">
                  <c:v>2.1517350958229486E-2</c:v>
                </c:pt>
                <c:pt idx="49">
                  <c:v>2.1536103354970582E-2</c:v>
                </c:pt>
                <c:pt idx="50">
                  <c:v>2.1554855392326266E-2</c:v>
                </c:pt>
                <c:pt idx="51">
                  <c:v>2.1573607070303535E-2</c:v>
                </c:pt>
                <c:pt idx="52">
                  <c:v>2.159235838890905E-2</c:v>
                </c:pt>
                <c:pt idx="53">
                  <c:v>2.1611109348149915E-2</c:v>
                </c:pt>
                <c:pt idx="54">
                  <c:v>2.1629859948032792E-2</c:v>
                </c:pt>
                <c:pt idx="55">
                  <c:v>2.1648610188564898E-2</c:v>
                </c:pt>
                <c:pt idx="56">
                  <c:v>2.1667360069752784E-2</c:v>
                </c:pt>
                <c:pt idx="57">
                  <c:v>2.1686109591603442E-2</c:v>
                </c:pt>
                <c:pt idx="58">
                  <c:v>2.1704858754123868E-2</c:v>
                </c:pt>
                <c:pt idx="59">
                  <c:v>2.1723607557320834E-2</c:v>
                </c:pt>
                <c:pt idx="60">
                  <c:v>2.1742356001201335E-2</c:v>
                </c:pt>
                <c:pt idx="61">
                  <c:v>2.1761104085772143E-2</c:v>
                </c:pt>
                <c:pt idx="62">
                  <c:v>2.1779851811040141E-2</c:v>
                </c:pt>
                <c:pt idx="63">
                  <c:v>2.1798599177012323E-2</c:v>
                </c:pt>
                <c:pt idx="64">
                  <c:v>2.1817346183695463E-2</c:v>
                </c:pt>
                <c:pt idx="65">
                  <c:v>2.1836092831096554E-2</c:v>
                </c:pt>
                <c:pt idx="66">
                  <c:v>2.1854839119222369E-2</c:v>
                </c:pt>
                <c:pt idx="67">
                  <c:v>2.1873585048079902E-2</c:v>
                </c:pt>
                <c:pt idx="68">
                  <c:v>2.1892330617676037E-2</c:v>
                </c:pt>
                <c:pt idx="69">
                  <c:v>2.1911075828017434E-2</c:v>
                </c:pt>
                <c:pt idx="70">
                  <c:v>2.1929820679111311E-2</c:v>
                </c:pt>
                <c:pt idx="71">
                  <c:v>2.1948565170964329E-2</c:v>
                </c:pt>
                <c:pt idx="72">
                  <c:v>2.1967309303583371E-2</c:v>
                </c:pt>
                <c:pt idx="73">
                  <c:v>2.1986053076975542E-2</c:v>
                </c:pt>
                <c:pt idx="74">
                  <c:v>2.2004796491147394E-2</c:v>
                </c:pt>
                <c:pt idx="75">
                  <c:v>2.2023539546106141E-2</c:v>
                </c:pt>
                <c:pt idx="76">
                  <c:v>2.2042282241858446E-2</c:v>
                </c:pt>
                <c:pt idx="77">
                  <c:v>2.2061024578411303E-2</c:v>
                </c:pt>
                <c:pt idx="78">
                  <c:v>2.2079766555771485E-2</c:v>
                </c:pt>
                <c:pt idx="79">
                  <c:v>2.2098508173945985E-2</c:v>
                </c:pt>
                <c:pt idx="80">
                  <c:v>2.2117249432941688E-2</c:v>
                </c:pt>
                <c:pt idx="81">
                  <c:v>2.2135990332765365E-2</c:v>
                </c:pt>
                <c:pt idx="82">
                  <c:v>2.2154730873424011E-2</c:v>
                </c:pt>
                <c:pt idx="83">
                  <c:v>2.217347105492451E-2</c:v>
                </c:pt>
                <c:pt idx="84">
                  <c:v>2.2192210877273633E-2</c:v>
                </c:pt>
                <c:pt idx="85">
                  <c:v>2.2210950340478375E-2</c:v>
                </c:pt>
                <c:pt idx="86">
                  <c:v>2.2229689444545508E-2</c:v>
                </c:pt>
                <c:pt idx="87">
                  <c:v>2.2248428189482139E-2</c:v>
                </c:pt>
                <c:pt idx="88">
                  <c:v>2.2267166575294817E-2</c:v>
                </c:pt>
                <c:pt idx="89">
                  <c:v>2.2285904601990758E-2</c:v>
                </c:pt>
                <c:pt idx="90">
                  <c:v>2.2304642269576624E-2</c:v>
                </c:pt>
                <c:pt idx="91">
                  <c:v>2.2323379578059299E-2</c:v>
                </c:pt>
                <c:pt idx="92">
                  <c:v>2.2342116527445888E-2</c:v>
                </c:pt>
                <c:pt idx="93">
                  <c:v>2.2360853117743051E-2</c:v>
                </c:pt>
                <c:pt idx="94">
                  <c:v>2.2379589348957674E-2</c:v>
                </c:pt>
                <c:pt idx="95">
                  <c:v>2.2398325221096749E-2</c:v>
                </c:pt>
                <c:pt idx="96">
                  <c:v>2.2417060734167049E-2</c:v>
                </c:pt>
                <c:pt idx="97">
                  <c:v>2.2435795888175569E-2</c:v>
                </c:pt>
                <c:pt idx="98">
                  <c:v>2.2454530683129192E-2</c:v>
                </c:pt>
                <c:pt idx="99">
                  <c:v>2.2473265119034691E-2</c:v>
                </c:pt>
                <c:pt idx="100">
                  <c:v>2.2491999195898948E-2</c:v>
                </c:pt>
                <c:pt idx="101">
                  <c:v>2.2510732913728959E-2</c:v>
                </c:pt>
                <c:pt idx="102">
                  <c:v>2.2529466272531606E-2</c:v>
                </c:pt>
                <c:pt idx="103">
                  <c:v>2.2548199272313552E-2</c:v>
                </c:pt>
                <c:pt idx="104">
                  <c:v>2.25669319130819E-2</c:v>
                </c:pt>
                <c:pt idx="105">
                  <c:v>2.2585664194843535E-2</c:v>
                </c:pt>
                <c:pt idx="106">
                  <c:v>2.2604396117605119E-2</c:v>
                </c:pt>
                <c:pt idx="107">
                  <c:v>2.2623127681373756E-2</c:v>
                </c:pt>
                <c:pt idx="108">
                  <c:v>2.264185888615633E-2</c:v>
                </c:pt>
                <c:pt idx="109">
                  <c:v>2.2660589731959502E-2</c:v>
                </c:pt>
                <c:pt idx="110">
                  <c:v>2.2679320218790378E-2</c:v>
                </c:pt>
                <c:pt idx="111">
                  <c:v>2.2698050346655729E-2</c:v>
                </c:pt>
                <c:pt idx="112">
                  <c:v>2.2716780115562329E-2</c:v>
                </c:pt>
                <c:pt idx="113">
                  <c:v>2.2735509525517283E-2</c:v>
                </c:pt>
                <c:pt idx="114">
                  <c:v>2.2754238576527475E-2</c:v>
                </c:pt>
                <c:pt idx="115">
                  <c:v>2.2772967268599564E-2</c:v>
                </c:pt>
                <c:pt idx="116">
                  <c:v>2.2791695601740547E-2</c:v>
                </c:pt>
                <c:pt idx="117">
                  <c:v>2.2810423575957306E-2</c:v>
                </c:pt>
                <c:pt idx="118">
                  <c:v>2.2829151191256614E-2</c:v>
                </c:pt>
                <c:pt idx="119">
                  <c:v>2.2847878447645575E-2</c:v>
                </c:pt>
                <c:pt idx="120">
                  <c:v>2.2866605345130853E-2</c:v>
                </c:pt>
                <c:pt idx="121">
                  <c:v>2.2885331883719551E-2</c:v>
                </c:pt>
                <c:pt idx="122">
                  <c:v>2.2904058063418331E-2</c:v>
                </c:pt>
                <c:pt idx="123">
                  <c:v>2.2922783884234077E-2</c:v>
                </c:pt>
                <c:pt idx="124">
                  <c:v>2.2941509346173783E-2</c:v>
                </c:pt>
                <c:pt idx="125">
                  <c:v>2.2960234449244332E-2</c:v>
                </c:pt>
                <c:pt idx="126">
                  <c:v>2.2978959193452497E-2</c:v>
                </c:pt>
                <c:pt idx="127">
                  <c:v>2.2997683578805272E-2</c:v>
                </c:pt>
                <c:pt idx="128">
                  <c:v>2.301640760530943E-2</c:v>
                </c:pt>
                <c:pt idx="129">
                  <c:v>2.3035131272971854E-2</c:v>
                </c:pt>
                <c:pt idx="130">
                  <c:v>2.3053854581799538E-2</c:v>
                </c:pt>
                <c:pt idx="131">
                  <c:v>2.3072577531799254E-2</c:v>
                </c:pt>
                <c:pt idx="132">
                  <c:v>2.3091300122977887E-2</c:v>
                </c:pt>
                <c:pt idx="133">
                  <c:v>2.3110022355342319E-2</c:v>
                </c:pt>
                <c:pt idx="134">
                  <c:v>2.3128744228899434E-2</c:v>
                </c:pt>
                <c:pt idx="135">
                  <c:v>2.3147465743656226E-2</c:v>
                </c:pt>
                <c:pt idx="136">
                  <c:v>2.3166186899619357E-2</c:v>
                </c:pt>
                <c:pt idx="137">
                  <c:v>2.318490769679582E-2</c:v>
                </c:pt>
                <c:pt idx="138">
                  <c:v>2.32036281351925E-2</c:v>
                </c:pt>
                <c:pt idx="139">
                  <c:v>2.3222348214816169E-2</c:v>
                </c:pt>
                <c:pt idx="140">
                  <c:v>2.324106793567382E-2</c:v>
                </c:pt>
                <c:pt idx="141">
                  <c:v>2.3259787297772339E-2</c:v>
                </c:pt>
                <c:pt idx="142">
                  <c:v>2.3278506301118496E-2</c:v>
                </c:pt>
                <c:pt idx="143">
                  <c:v>2.3297224945719286E-2</c:v>
                </c:pt>
                <c:pt idx="144">
                  <c:v>2.3315943231581482E-2</c:v>
                </c:pt>
                <c:pt idx="145">
                  <c:v>2.3334661158711967E-2</c:v>
                </c:pt>
                <c:pt idx="146">
                  <c:v>2.3353378727117735E-2</c:v>
                </c:pt>
                <c:pt idx="147">
                  <c:v>2.3372095936805559E-2</c:v>
                </c:pt>
                <c:pt idx="148">
                  <c:v>2.3390812787782322E-2</c:v>
                </c:pt>
                <c:pt idx="149">
                  <c:v>2.3409529280054797E-2</c:v>
                </c:pt>
                <c:pt idx="150">
                  <c:v>2.3428245413630089E-2</c:v>
                </c:pt>
                <c:pt idx="151">
                  <c:v>2.344696118851497E-2</c:v>
                </c:pt>
                <c:pt idx="152">
                  <c:v>2.3465676604716212E-2</c:v>
                </c:pt>
                <c:pt idx="153">
                  <c:v>2.3484391662240811E-2</c:v>
                </c:pt>
                <c:pt idx="154">
                  <c:v>2.3503106361095538E-2</c:v>
                </c:pt>
                <c:pt idx="155">
                  <c:v>2.3521820701287388E-2</c:v>
                </c:pt>
                <c:pt idx="156">
                  <c:v>2.3540534682823244E-2</c:v>
                </c:pt>
                <c:pt idx="157">
                  <c:v>2.3559248305709768E-2</c:v>
                </c:pt>
                <c:pt idx="158">
                  <c:v>2.3577961569954065E-2</c:v>
                </c:pt>
                <c:pt idx="159">
                  <c:v>2.3596674475562907E-2</c:v>
                </c:pt>
                <c:pt idx="160">
                  <c:v>2.3615387022543177E-2</c:v>
                </c:pt>
                <c:pt idx="161">
                  <c:v>2.363409921090176E-2</c:v>
                </c:pt>
                <c:pt idx="162">
                  <c:v>2.3652811040645538E-2</c:v>
                </c:pt>
                <c:pt idx="163">
                  <c:v>2.3671522511781395E-2</c:v>
                </c:pt>
                <c:pt idx="164">
                  <c:v>2.3690233624316104E-2</c:v>
                </c:pt>
                <c:pt idx="165">
                  <c:v>2.3708944378256658E-2</c:v>
                </c:pt>
                <c:pt idx="166">
                  <c:v>2.372765477360983E-2</c:v>
                </c:pt>
                <c:pt idx="167">
                  <c:v>2.3746364810382614E-2</c:v>
                </c:pt>
                <c:pt idx="168">
                  <c:v>2.3765074488581783E-2</c:v>
                </c:pt>
                <c:pt idx="169">
                  <c:v>2.3783783808214221E-2</c:v>
                </c:pt>
                <c:pt idx="170">
                  <c:v>2.3802492769286809E-2</c:v>
                </c:pt>
                <c:pt idx="171">
                  <c:v>2.3821201371806433E-2</c:v>
                </c:pt>
                <c:pt idx="172">
                  <c:v>2.3839909615779975E-2</c:v>
                </c:pt>
                <c:pt idx="173">
                  <c:v>2.3858617501214319E-2</c:v>
                </c:pt>
                <c:pt idx="174">
                  <c:v>2.3877325028116236E-2</c:v>
                </c:pt>
                <c:pt idx="175">
                  <c:v>2.3896032196492722E-2</c:v>
                </c:pt>
                <c:pt idx="176">
                  <c:v>2.3914739006350549E-2</c:v>
                </c:pt>
                <c:pt idx="177">
                  <c:v>2.3933445457696712E-2</c:v>
                </c:pt>
                <c:pt idx="178">
                  <c:v>2.3952151550537981E-2</c:v>
                </c:pt>
                <c:pt idx="179">
                  <c:v>2.3970857284881242E-2</c:v>
                </c:pt>
                <c:pt idx="180">
                  <c:v>2.3989562660733266E-2</c:v>
                </c:pt>
                <c:pt idx="181">
                  <c:v>2.4008267678101158E-2</c:v>
                </c:pt>
                <c:pt idx="182">
                  <c:v>2.4026972336991581E-2</c:v>
                </c:pt>
                <c:pt idx="183">
                  <c:v>2.4045676637411528E-2</c:v>
                </c:pt>
                <c:pt idx="184">
                  <c:v>2.4064380579367772E-2</c:v>
                </c:pt>
                <c:pt idx="185">
                  <c:v>2.4083084162867308E-2</c:v>
                </c:pt>
                <c:pt idx="186">
                  <c:v>2.4101787387916906E-2</c:v>
                </c:pt>
                <c:pt idx="187">
                  <c:v>2.4120490254523452E-2</c:v>
                </c:pt>
                <c:pt idx="188">
                  <c:v>2.4139192762693829E-2</c:v>
                </c:pt>
                <c:pt idx="189">
                  <c:v>2.4157894912434918E-2</c:v>
                </c:pt>
                <c:pt idx="190">
                  <c:v>2.4176596703753495E-2</c:v>
                </c:pt>
                <c:pt idx="191">
                  <c:v>2.4195298136656662E-2</c:v>
                </c:pt>
                <c:pt idx="192">
                  <c:v>2.4213999211150972E-2</c:v>
                </c:pt>
                <c:pt idx="193">
                  <c:v>2.4232699927243528E-2</c:v>
                </c:pt>
                <c:pt idx="194">
                  <c:v>2.4251400284941216E-2</c:v>
                </c:pt>
                <c:pt idx="195">
                  <c:v>2.4270100284250695E-2</c:v>
                </c:pt>
                <c:pt idx="196">
                  <c:v>2.4288799925178961E-2</c:v>
                </c:pt>
                <c:pt idx="197">
                  <c:v>2.4307499207732897E-2</c:v>
                </c:pt>
                <c:pt idx="198">
                  <c:v>2.4326198131919385E-2</c:v>
                </c:pt>
                <c:pt idx="199">
                  <c:v>2.43448966977452E-2</c:v>
                </c:pt>
                <c:pt idx="200">
                  <c:v>2.4363594905217334E-2</c:v>
                </c:pt>
                <c:pt idx="201">
                  <c:v>2.4382292754342449E-2</c:v>
                </c:pt>
                <c:pt idx="202">
                  <c:v>2.4400990245127652E-2</c:v>
                </c:pt>
                <c:pt idx="203">
                  <c:v>2.4419687377579713E-2</c:v>
                </c:pt>
                <c:pt idx="204">
                  <c:v>2.4438384151705517E-2</c:v>
                </c:pt>
                <c:pt idx="205">
                  <c:v>2.4457080567511835E-2</c:v>
                </c:pt>
                <c:pt idx="206">
                  <c:v>2.4475776625005663E-2</c:v>
                </c:pt>
                <c:pt idx="207">
                  <c:v>2.4494472324193883E-2</c:v>
                </c:pt>
                <c:pt idx="208">
                  <c:v>2.4513167665083158E-2</c:v>
                </c:pt>
                <c:pt idx="209">
                  <c:v>2.4531862647680591E-2</c:v>
                </c:pt>
                <c:pt idx="210">
                  <c:v>2.4550557271992846E-2</c:v>
                </c:pt>
                <c:pt idx="211">
                  <c:v>2.4569251538026915E-2</c:v>
                </c:pt>
                <c:pt idx="212">
                  <c:v>2.4587945445789683E-2</c:v>
                </c:pt>
                <c:pt idx="213">
                  <c:v>2.4606638995288033E-2</c:v>
                </c:pt>
                <c:pt idx="214">
                  <c:v>2.4625332186528626E-2</c:v>
                </c:pt>
                <c:pt idx="215">
                  <c:v>2.4644025019518567E-2</c:v>
                </c:pt>
                <c:pt idx="216">
                  <c:v>2.466271749426463E-2</c:v>
                </c:pt>
                <c:pt idx="217">
                  <c:v>2.4681409610773697E-2</c:v>
                </c:pt>
                <c:pt idx="218">
                  <c:v>2.4700101369052541E-2</c:v>
                </c:pt>
                <c:pt idx="219">
                  <c:v>2.4718792769108155E-2</c:v>
                </c:pt>
                <c:pt idx="220">
                  <c:v>2.4737483810947314E-2</c:v>
                </c:pt>
                <c:pt idx="221">
                  <c:v>2.475617449457701E-2</c:v>
                </c:pt>
                <c:pt idx="222">
                  <c:v>2.4774864820003906E-2</c:v>
                </c:pt>
                <c:pt idx="223">
                  <c:v>2.4793554787234995E-2</c:v>
                </c:pt>
                <c:pt idx="224">
                  <c:v>2.4812244396277161E-2</c:v>
                </c:pt>
                <c:pt idx="225">
                  <c:v>2.4830933647137288E-2</c:v>
                </c:pt>
                <c:pt idx="226">
                  <c:v>2.4849622539822036E-2</c:v>
                </c:pt>
                <c:pt idx="227">
                  <c:v>2.4868311074338512E-2</c:v>
                </c:pt>
                <c:pt idx="228">
                  <c:v>2.4886999250693487E-2</c:v>
                </c:pt>
                <c:pt idx="229">
                  <c:v>2.4905687068893845E-2</c:v>
                </c:pt>
                <c:pt idx="230">
                  <c:v>2.4924374528946469E-2</c:v>
                </c:pt>
                <c:pt idx="231">
                  <c:v>2.4943061630858132E-2</c:v>
                </c:pt>
                <c:pt idx="232">
                  <c:v>2.4961748374635717E-2</c:v>
                </c:pt>
                <c:pt idx="233">
                  <c:v>2.4980434760286108E-2</c:v>
                </c:pt>
                <c:pt idx="234">
                  <c:v>2.4999120787816187E-2</c:v>
                </c:pt>
                <c:pt idx="235">
                  <c:v>2.5017806457232838E-2</c:v>
                </c:pt>
                <c:pt idx="236">
                  <c:v>2.5036491768542946E-2</c:v>
                </c:pt>
                <c:pt idx="237">
                  <c:v>2.5055176721753281E-2</c:v>
                </c:pt>
                <c:pt idx="238">
                  <c:v>2.5073861316870727E-2</c:v>
                </c:pt>
                <c:pt idx="239">
                  <c:v>2.5092545553902279E-2</c:v>
                </c:pt>
                <c:pt idx="240">
                  <c:v>2.5111229432854598E-2</c:v>
                </c:pt>
                <c:pt idx="241">
                  <c:v>2.5129912953734568E-2</c:v>
                </c:pt>
                <c:pt idx="242">
                  <c:v>2.5148596116549182E-2</c:v>
                </c:pt>
                <c:pt idx="243">
                  <c:v>2.5167278921305325E-2</c:v>
                </c:pt>
                <c:pt idx="244">
                  <c:v>2.5185961368009657E-2</c:v>
                </c:pt>
                <c:pt idx="245">
                  <c:v>2.5204643456669285E-2</c:v>
                </c:pt>
                <c:pt idx="246">
                  <c:v>2.5223325187290868E-2</c:v>
                </c:pt>
                <c:pt idx="247">
                  <c:v>2.5242006559881403E-2</c:v>
                </c:pt>
                <c:pt idx="248">
                  <c:v>2.5260687574447549E-2</c:v>
                </c:pt>
                <c:pt idx="249">
                  <c:v>2.5279368230996413E-2</c:v>
                </c:pt>
                <c:pt idx="250">
                  <c:v>2.5298048529534767E-2</c:v>
                </c:pt>
                <c:pt idx="251">
                  <c:v>2.5316728470069494E-2</c:v>
                </c:pt>
                <c:pt idx="252">
                  <c:v>2.5335408052607367E-2</c:v>
                </c:pt>
                <c:pt idx="253">
                  <c:v>2.5354087277155268E-2</c:v>
                </c:pt>
                <c:pt idx="254">
                  <c:v>2.5372766143720193E-2</c:v>
                </c:pt>
                <c:pt idx="255">
                  <c:v>2.5391444652308803E-2</c:v>
                </c:pt>
                <c:pt idx="256">
                  <c:v>2.5410122802928092E-2</c:v>
                </c:pt>
                <c:pt idx="257">
                  <c:v>2.5428800595584944E-2</c:v>
                </c:pt>
                <c:pt idx="258">
                  <c:v>2.544747803028613E-2</c:v>
                </c:pt>
                <c:pt idx="259">
                  <c:v>2.5466155107038535E-2</c:v>
                </c:pt>
                <c:pt idx="260">
                  <c:v>2.548483182584893E-2</c:v>
                </c:pt>
                <c:pt idx="261">
                  <c:v>2.5503508186724422E-2</c:v>
                </c:pt>
                <c:pt idx="262">
                  <c:v>2.552218418967156E-2</c:v>
                </c:pt>
                <c:pt idx="263">
                  <c:v>2.5540859834697449E-2</c:v>
                </c:pt>
                <c:pt idx="264">
                  <c:v>2.5559535121808863E-2</c:v>
                </c:pt>
                <c:pt idx="265">
                  <c:v>2.5578210051012684E-2</c:v>
                </c:pt>
                <c:pt idx="266">
                  <c:v>2.5596884622315685E-2</c:v>
                </c:pt>
                <c:pt idx="267">
                  <c:v>2.5615558835724861E-2</c:v>
                </c:pt>
                <c:pt idx="268">
                  <c:v>2.5634232691246983E-2</c:v>
                </c:pt>
                <c:pt idx="269">
                  <c:v>2.5652906188888935E-2</c:v>
                </c:pt>
                <c:pt idx="270">
                  <c:v>2.567157932865749E-2</c:v>
                </c:pt>
                <c:pt idx="271">
                  <c:v>2.5690252110559642E-2</c:v>
                </c:pt>
                <c:pt idx="272">
                  <c:v>2.5708924534602162E-2</c:v>
                </c:pt>
                <c:pt idx="273">
                  <c:v>2.5727596600791935E-2</c:v>
                </c:pt>
                <c:pt idx="274">
                  <c:v>2.5746268309135845E-2</c:v>
                </c:pt>
                <c:pt idx="275">
                  <c:v>2.5764939659640662E-2</c:v>
                </c:pt>
                <c:pt idx="276">
                  <c:v>2.5783610652313382E-2</c:v>
                </c:pt>
                <c:pt idx="277">
                  <c:v>2.5802281287160778E-2</c:v>
                </c:pt>
                <c:pt idx="278">
                  <c:v>2.582095156418962E-2</c:v>
                </c:pt>
                <c:pt idx="279">
                  <c:v>2.5839621483407016E-2</c:v>
                </c:pt>
                <c:pt idx="280">
                  <c:v>2.5858291044819515E-2</c:v>
                </c:pt>
                <c:pt idx="281">
                  <c:v>2.5876960248434222E-2</c:v>
                </c:pt>
                <c:pt idx="282">
                  <c:v>2.589562909425791E-2</c:v>
                </c:pt>
                <c:pt idx="283">
                  <c:v>2.5914297582297352E-2</c:v>
                </c:pt>
                <c:pt idx="284">
                  <c:v>2.5932965712559541E-2</c:v>
                </c:pt>
                <c:pt idx="285">
                  <c:v>2.5951633485051251E-2</c:v>
                </c:pt>
                <c:pt idx="286">
                  <c:v>2.5970300899779364E-2</c:v>
                </c:pt>
                <c:pt idx="287">
                  <c:v>2.5988967956750764E-2</c:v>
                </c:pt>
                <c:pt idx="288">
                  <c:v>2.6007634655972223E-2</c:v>
                </c:pt>
                <c:pt idx="289">
                  <c:v>2.6026300997450735E-2</c:v>
                </c:pt>
                <c:pt idx="290">
                  <c:v>2.6044966981192963E-2</c:v>
                </c:pt>
                <c:pt idx="291">
                  <c:v>2.60636326072059E-2</c:v>
                </c:pt>
                <c:pt idx="292">
                  <c:v>2.608229787549643E-2</c:v>
                </c:pt>
                <c:pt idx="293">
                  <c:v>2.6100962786071324E-2</c:v>
                </c:pt>
                <c:pt idx="294">
                  <c:v>2.6119627338937468E-2</c:v>
                </c:pt>
                <c:pt idx="295">
                  <c:v>2.6138291534101632E-2</c:v>
                </c:pt>
                <c:pt idx="296">
                  <c:v>2.6156955371570811E-2</c:v>
                </c:pt>
                <c:pt idx="297">
                  <c:v>2.6175618851351889E-2</c:v>
                </c:pt>
                <c:pt idx="298">
                  <c:v>2.6194281973451528E-2</c:v>
                </c:pt>
                <c:pt idx="299">
                  <c:v>2.621294473787672E-2</c:v>
                </c:pt>
                <c:pt idx="300">
                  <c:v>2.623160714463435E-2</c:v>
                </c:pt>
                <c:pt idx="301">
                  <c:v>2.6250269193731079E-2</c:v>
                </c:pt>
                <c:pt idx="302">
                  <c:v>2.6268930885174013E-2</c:v>
                </c:pt>
                <c:pt idx="303">
                  <c:v>2.6287592218969813E-2</c:v>
                </c:pt>
                <c:pt idx="304">
                  <c:v>2.6306253195125473E-2</c:v>
                </c:pt>
                <c:pt idx="305">
                  <c:v>2.6324913813647766E-2</c:v>
                </c:pt>
                <c:pt idx="306">
                  <c:v>2.6343574074543463E-2</c:v>
                </c:pt>
                <c:pt idx="307">
                  <c:v>2.6362233977819671E-2</c:v>
                </c:pt>
                <c:pt idx="308">
                  <c:v>2.638089352348294E-2</c:v>
                </c:pt>
                <c:pt idx="309">
                  <c:v>2.6399552711540375E-2</c:v>
                </c:pt>
                <c:pt idx="310">
                  <c:v>2.6418211541998748E-2</c:v>
                </c:pt>
                <c:pt idx="311">
                  <c:v>2.6436870014864833E-2</c:v>
                </c:pt>
                <c:pt idx="312">
                  <c:v>2.6455528130145511E-2</c:v>
                </c:pt>
                <c:pt idx="313">
                  <c:v>2.6474185887847779E-2</c:v>
                </c:pt>
                <c:pt idx="314">
                  <c:v>2.6492843287978296E-2</c:v>
                </c:pt>
                <c:pt idx="315">
                  <c:v>2.6511500330543947E-2</c:v>
                </c:pt>
                <c:pt idx="316">
                  <c:v>2.6530157015551725E-2</c:v>
                </c:pt>
                <c:pt idx="317">
                  <c:v>2.6548813343008404E-2</c:v>
                </c:pt>
                <c:pt idx="318">
                  <c:v>2.6567469312920755E-2</c:v>
                </c:pt>
                <c:pt idx="319">
                  <c:v>2.6586124925295662E-2</c:v>
                </c:pt>
                <c:pt idx="320">
                  <c:v>2.660478018014012E-2</c:v>
                </c:pt>
                <c:pt idx="321">
                  <c:v>2.6623435077460789E-2</c:v>
                </c:pt>
                <c:pt idx="322">
                  <c:v>2.6642089617264664E-2</c:v>
                </c:pt>
                <c:pt idx="323">
                  <c:v>2.6660743799558517E-2</c:v>
                </c:pt>
                <c:pt idx="324">
                  <c:v>2.6679397624349233E-2</c:v>
                </c:pt>
                <c:pt idx="325">
                  <c:v>2.6698051091643693E-2</c:v>
                </c:pt>
                <c:pt idx="326">
                  <c:v>2.6716704201448671E-2</c:v>
                </c:pt>
                <c:pt idx="327">
                  <c:v>2.673535695377105E-2</c:v>
                </c:pt>
                <c:pt idx="328">
                  <c:v>2.6754009348617713E-2</c:v>
                </c:pt>
                <c:pt idx="329">
                  <c:v>2.6772661385995433E-2</c:v>
                </c:pt>
                <c:pt idx="330">
                  <c:v>2.6791313065911093E-2</c:v>
                </c:pt>
                <c:pt idx="331">
                  <c:v>2.6809964388371577E-2</c:v>
                </c:pt>
                <c:pt idx="332">
                  <c:v>2.6828615353383767E-2</c:v>
                </c:pt>
                <c:pt idx="333">
                  <c:v>2.6847265960954436E-2</c:v>
                </c:pt>
                <c:pt idx="334">
                  <c:v>2.6865916211090468E-2</c:v>
                </c:pt>
                <c:pt idx="335">
                  <c:v>2.6884566103798746E-2</c:v>
                </c:pt>
                <c:pt idx="336">
                  <c:v>2.6903215639086042E-2</c:v>
                </c:pt>
                <c:pt idx="337">
                  <c:v>2.6921864816959351E-2</c:v>
                </c:pt>
                <c:pt idx="338">
                  <c:v>2.6940513637425334E-2</c:v>
                </c:pt>
                <c:pt idx="339">
                  <c:v>2.6959162100490874E-2</c:v>
                </c:pt>
                <c:pt idx="340">
                  <c:v>2.6977810206162967E-2</c:v>
                </c:pt>
                <c:pt idx="341">
                  <c:v>2.6996457954448272E-2</c:v>
                </c:pt>
                <c:pt idx="342">
                  <c:v>2.7015105345353785E-2</c:v>
                </c:pt>
                <c:pt idx="343">
                  <c:v>2.7033752378886389E-2</c:v>
                </c:pt>
                <c:pt idx="344">
                  <c:v>2.7052399055052745E-2</c:v>
                </c:pt>
                <c:pt idx="345">
                  <c:v>2.7071045373859848E-2</c:v>
                </c:pt>
                <c:pt idx="346">
                  <c:v>2.708969133531447E-2</c:v>
                </c:pt>
                <c:pt idx="347">
                  <c:v>2.7108336939423494E-2</c:v>
                </c:pt>
                <c:pt idx="348">
                  <c:v>2.7126982186193804E-2</c:v>
                </c:pt>
                <c:pt idx="349">
                  <c:v>2.7145627075632284E-2</c:v>
                </c:pt>
                <c:pt idx="350">
                  <c:v>2.7164271607745594E-2</c:v>
                </c:pt>
                <c:pt idx="351">
                  <c:v>2.7182915782540729E-2</c:v>
                </c:pt>
                <c:pt idx="352">
                  <c:v>2.7201559600024461E-2</c:v>
                </c:pt>
                <c:pt idx="353">
                  <c:v>2.7220203060203785E-2</c:v>
                </c:pt>
                <c:pt idx="354">
                  <c:v>2.7238846163085362E-2</c:v>
                </c:pt>
                <c:pt idx="355">
                  <c:v>2.7257488908676186E-2</c:v>
                </c:pt>
                <c:pt idx="356">
                  <c:v>2.7276131296983031E-2</c:v>
                </c:pt>
                <c:pt idx="357">
                  <c:v>2.7294773328012778E-2</c:v>
                </c:pt>
                <c:pt idx="358">
                  <c:v>2.7313415001772201E-2</c:v>
                </c:pt>
                <c:pt idx="359">
                  <c:v>2.7332056318268183E-2</c:v>
                </c:pt>
                <c:pt idx="360">
                  <c:v>2.7350697277507607E-2</c:v>
                </c:pt>
                <c:pt idx="361">
                  <c:v>2.7369337879497357E-2</c:v>
                </c:pt>
                <c:pt idx="362">
                  <c:v>2.7387978124244206E-2</c:v>
                </c:pt>
                <c:pt idx="363">
                  <c:v>2.7406618011755035E-2</c:v>
                </c:pt>
                <c:pt idx="364">
                  <c:v>2.7425257542036618E-2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6.2749698626583417E-2</c:v>
                </c:pt>
                <c:pt idx="1">
                  <c:v>6.2958755456966303E-2</c:v>
                </c:pt>
                <c:pt idx="2">
                  <c:v>6.316735867791945E-2</c:v>
                </c:pt>
                <c:pt idx="3">
                  <c:v>6.337549653144102E-2</c:v>
                </c:pt>
                <c:pt idx="4">
                  <c:v>6.3583158970255321E-2</c:v>
                </c:pt>
                <c:pt idx="5">
                  <c:v>6.3790337628372759E-2</c:v>
                </c:pt>
                <c:pt idx="6">
                  <c:v>6.3997025776079505E-2</c:v>
                </c:pt>
                <c:pt idx="7">
                  <c:v>6.420321826027714E-2</c:v>
                </c:pt>
                <c:pt idx="8">
                  <c:v>6.4408911431218255E-2</c:v>
                </c:pt>
                <c:pt idx="9">
                  <c:v>6.4614103056799127E-2</c:v>
                </c:pt>
                <c:pt idx="10">
                  <c:v>6.4818792225671898E-2</c:v>
                </c:pt>
                <c:pt idx="11">
                  <c:v>6.5022979240525247E-2</c:v>
                </c:pt>
                <c:pt idx="12">
                  <c:v>6.5226665502956735E-2</c:v>
                </c:pt>
                <c:pt idx="13">
                  <c:v>6.5429853391416368E-2</c:v>
                </c:pt>
                <c:pt idx="14">
                  <c:v>6.5632546133743863E-2</c:v>
                </c:pt>
                <c:pt idx="15">
                  <c:v>6.5834747675847516E-2</c:v>
                </c:pt>
                <c:pt idx="16">
                  <c:v>6.6036462548083041E-2</c:v>
                </c:pt>
                <c:pt idx="17">
                  <c:v>6.6237695730885032E-2</c:v>
                </c:pt>
                <c:pt idx="18">
                  <c:v>6.6438452521182134E-2</c:v>
                </c:pt>
                <c:pt idx="19">
                  <c:v>6.6638738401090664E-2</c:v>
                </c:pt>
                <c:pt idx="20">
                  <c:v>6.6838558910330276E-2</c:v>
                </c:pt>
                <c:pt idx="21">
                  <c:v>6.7037919523739248E-2</c:v>
                </c:pt>
                <c:pt idx="22">
                  <c:v>6.7236825535189892E-2</c:v>
                </c:pt>
                <c:pt idx="23">
                  <c:v>6.7435281949113302E-2</c:v>
                </c:pt>
                <c:pt idx="24">
                  <c:v>6.7633293380741075E-2</c:v>
                </c:pt>
                <c:pt idx="25">
                  <c:v>6.7830863966061014E-2</c:v>
                </c:pt>
                <c:pt idx="26">
                  <c:v>6.8027997282362765E-2</c:v>
                </c:pt>
                <c:pt idx="27">
                  <c:v>6.8224696280123662E-2</c:v>
                </c:pt>
                <c:pt idx="28">
                  <c:v>6.8420963226850207E-2</c:v>
                </c:pt>
                <c:pt idx="29">
                  <c:v>6.8616799663355488E-2</c:v>
                </c:pt>
                <c:pt idx="30">
                  <c:v>6.881220637281088E-2</c:v>
                </c:pt>
                <c:pt idx="31">
                  <c:v>6.9007183362769953E-2</c:v>
                </c:pt>
                <c:pt idx="32">
                  <c:v>6.9201729860221287E-2</c:v>
                </c:pt>
                <c:pt idx="33">
                  <c:v>6.9395844319587022E-2</c:v>
                </c:pt>
                <c:pt idx="34">
                  <c:v>6.9589524443447362E-2</c:v>
                </c:pt>
                <c:pt idx="35">
                  <c:v>6.9782767215640321E-2</c:v>
                </c:pt>
                <c:pt idx="36">
                  <c:v>6.9975568946258573E-2</c:v>
                </c:pt>
                <c:pt idx="37">
                  <c:v>7.0167925327947758E-2</c:v>
                </c:pt>
                <c:pt idx="38">
                  <c:v>7.03598315027988E-2</c:v>
                </c:pt>
                <c:pt idx="39">
                  <c:v>7.0551282139025923E-2</c:v>
                </c:pt>
                <c:pt idx="40">
                  <c:v>7.0742271516531674E-2</c:v>
                </c:pt>
                <c:pt idx="41">
                  <c:v>7.0932793620378562E-2</c:v>
                </c:pt>
                <c:pt idx="42">
                  <c:v>7.112284224112049E-2</c:v>
                </c:pt>
                <c:pt idx="43">
                  <c:v>7.131241108089062E-2</c:v>
                </c:pt>
                <c:pt idx="44">
                  <c:v>7.1501493864098403E-2</c:v>
                </c:pt>
                <c:pt idx="45">
                  <c:v>7.1690084451559638E-2</c:v>
                </c:pt>
                <c:pt idx="46">
                  <c:v>7.1878176956865186E-2</c:v>
                </c:pt>
                <c:pt idx="47">
                  <c:v>7.2065765863790321E-2</c:v>
                </c:pt>
                <c:pt idx="48">
                  <c:v>7.2252846143555802E-2</c:v>
                </c:pt>
                <c:pt idx="49">
                  <c:v>7.2439413370772143E-2</c:v>
                </c:pt>
                <c:pt idx="50">
                  <c:v>7.2625463836932871E-2</c:v>
                </c:pt>
                <c:pt idx="51">
                  <c:v>7.281099466036671E-2</c:v>
                </c:pt>
                <c:pt idx="52">
                  <c:v>7.2996003891614841E-2</c:v>
                </c:pt>
                <c:pt idx="53">
                  <c:v>7.318049061326419E-2</c:v>
                </c:pt>
                <c:pt idx="54">
                  <c:v>7.3364455033342893E-2</c:v>
                </c:pt>
                <c:pt idx="55">
                  <c:v>7.3547898571466222E-2</c:v>
                </c:pt>
                <c:pt idx="56">
                  <c:v>7.3730823937010845E-2</c:v>
                </c:pt>
                <c:pt idx="57">
                  <c:v>7.3913235198690322E-2</c:v>
                </c:pt>
                <c:pt idx="58">
                  <c:v>7.4095137845004599E-2</c:v>
                </c:pt>
                <c:pt idx="59">
                  <c:v>7.4276538835138683E-2</c:v>
                </c:pt>
                <c:pt idx="60">
                  <c:v>7.4457446639991764E-2</c:v>
                </c:pt>
                <c:pt idx="61">
                  <c:v>7.4637871273122047E-2</c:v>
                </c:pt>
                <c:pt idx="62">
                  <c:v>7.4817824311499706E-2</c:v>
                </c:pt>
                <c:pt idx="63">
                  <c:v>7.4997318906061941E-2</c:v>
                </c:pt>
                <c:pt idx="64">
                  <c:v>7.5176369782166089E-2</c:v>
                </c:pt>
                <c:pt idx="65">
                  <c:v>7.5354993230132325E-2</c:v>
                </c:pt>
                <c:pt idx="66">
                  <c:v>7.5533207086158752E-2</c:v>
                </c:pt>
                <c:pt idx="67">
                  <c:v>7.5711030703977458E-2</c:v>
                </c:pt>
                <c:pt idx="68">
                  <c:v>7.5888484917696841E-2</c:v>
                </c:pt>
                <c:pt idx="69">
                  <c:v>7.6065591996347187E-2</c:v>
                </c:pt>
                <c:pt idx="70">
                  <c:v>7.6242375590706804E-2</c:v>
                </c:pt>
                <c:pt idx="71">
                  <c:v>7.6418860673038727E-2</c:v>
                </c:pt>
                <c:pt idx="72">
                  <c:v>7.6595073470411487E-2</c:v>
                </c:pt>
                <c:pt idx="73">
                  <c:v>7.677104139230892E-2</c:v>
                </c:pt>
                <c:pt idx="74">
                  <c:v>7.6946792953258084E-2</c:v>
                </c:pt>
                <c:pt idx="75">
                  <c:v>7.7122357691215643E-2</c:v>
                </c:pt>
                <c:pt idx="76">
                  <c:v>7.7297766082456337E-2</c:v>
                </c:pt>
                <c:pt idx="77">
                  <c:v>7.7473049453698484E-2</c:v>
                </c:pt>
                <c:pt idx="78">
                  <c:v>7.7648239892185084E-2</c:v>
                </c:pt>
                <c:pt idx="79">
                  <c:v>7.7823370154412097E-2</c:v>
                </c:pt>
                <c:pt idx="80">
                  <c:v>7.7998473574160149E-2</c:v>
                </c:pt>
                <c:pt idx="81">
                  <c:v>7.8173583970443106E-2</c:v>
                </c:pt>
                <c:pt idx="82">
                  <c:v>7.8348735555936855E-2</c:v>
                </c:pt>
                <c:pt idx="83">
                  <c:v>7.8523962846393999E-2</c:v>
                </c:pt>
                <c:pt idx="84">
                  <c:v>7.8699300571489203E-2</c:v>
                </c:pt>
                <c:pt idx="85">
                  <c:v>7.8874783587472533E-2</c:v>
                </c:pt>
                <c:pt idx="86">
                  <c:v>7.9050446791938858E-2</c:v>
                </c:pt>
                <c:pt idx="87">
                  <c:v>7.9226325040948772E-2</c:v>
                </c:pt>
                <c:pt idx="88">
                  <c:v>7.9402453068663795E-2</c:v>
                </c:pt>
                <c:pt idx="89">
                  <c:v>7.9578865409584448E-2</c:v>
                </c:pt>
                <c:pt idx="90">
                  <c:v>7.9755596323408895E-2</c:v>
                </c:pt>
                <c:pt idx="91">
                  <c:v>7.9932679722458586E-2</c:v>
                </c:pt>
                <c:pt idx="92">
                  <c:v>8.0110149101551648E-2</c:v>
                </c:pt>
                <c:pt idx="93">
                  <c:v>8.0288037470142196E-2</c:v>
                </c:pt>
                <c:pt idx="94">
                  <c:v>8.0466377286486757E-2</c:v>
                </c:pt>
                <c:pt idx="95">
                  <c:v>8.0645200393548055E-2</c:v>
                </c:pt>
                <c:pt idx="96">
                  <c:v>8.0824537956303635E-2</c:v>
                </c:pt>
                <c:pt idx="97">
                  <c:v>8.1004420400089067E-2</c:v>
                </c:pt>
                <c:pt idx="98">
                  <c:v>8.118487734958027E-2</c:v>
                </c:pt>
                <c:pt idx="99">
                  <c:v>8.136593756799862E-2</c:v>
                </c:pt>
                <c:pt idx="100">
                  <c:v>8.1547628896114457E-2</c:v>
                </c:pt>
                <c:pt idx="101">
                  <c:v>8.1729978190624178E-2</c:v>
                </c:pt>
                <c:pt idx="102">
                  <c:v>8.191301126148616E-2</c:v>
                </c:pt>
                <c:pt idx="103">
                  <c:v>8.2096752807819764E-2</c:v>
                </c:pt>
                <c:pt idx="104">
                  <c:v>8.2281226352000997E-2</c:v>
                </c:pt>
                <c:pt idx="105">
                  <c:v>8.2466454171626596E-2</c:v>
                </c:pt>
                <c:pt idx="106">
                  <c:v>8.2652457229064558E-2</c:v>
                </c:pt>
                <c:pt idx="107">
                  <c:v>8.283925509836601E-2</c:v>
                </c:pt>
                <c:pt idx="108">
                  <c:v>8.3026865889374579E-2</c:v>
                </c:pt>
                <c:pt idx="109">
                  <c:v>8.3215306168940545E-2</c:v>
                </c:pt>
                <c:pt idx="110">
                  <c:v>8.3404590879222612E-2</c:v>
                </c:pt>
                <c:pt idx="111">
                  <c:v>8.3594733253140915E-2</c:v>
                </c:pt>
                <c:pt idx="112">
                  <c:v>8.3785744727130726E-2</c:v>
                </c:pt>
                <c:pt idx="113">
                  <c:v>8.3977634851433114E-2</c:v>
                </c:pt>
                <c:pt idx="114">
                  <c:v>8.4170411198249528E-2</c:v>
                </c:pt>
                <c:pt idx="115">
                  <c:v>8.4364079268176961E-2</c:v>
                </c:pt>
                <c:pt idx="116">
                  <c:v>8.4558642395429831E-2</c:v>
                </c:pt>
                <c:pt idx="117">
                  <c:v>8.4754101652442293E-2</c:v>
                </c:pt>
                <c:pt idx="118">
                  <c:v>8.495045575452824E-2</c:v>
                </c:pt>
                <c:pt idx="119">
                  <c:v>8.5147700965356607E-2</c:v>
                </c:pt>
                <c:pt idx="120">
                  <c:v>8.53458310040726E-2</c:v>
                </c:pt>
                <c:pt idx="121">
                  <c:v>7.0848118984997458E-3</c:v>
                </c:pt>
                <c:pt idx="122">
                  <c:v>7.1468708881465316E-3</c:v>
                </c:pt>
                <c:pt idx="123">
                  <c:v>7.2090321736348294E-3</c:v>
                </c:pt>
                <c:pt idx="124">
                  <c:v>7.271295960764361E-3</c:v>
                </c:pt>
                <c:pt idx="125">
                  <c:v>7.3336621537718307E-3</c:v>
                </c:pt>
                <c:pt idx="126">
                  <c:v>7.3961303428535631E-3</c:v>
                </c:pt>
                <c:pt idx="127">
                  <c:v>7.4586997923308026E-3</c:v>
                </c:pt>
                <c:pt idx="128">
                  <c:v>7.5213694295847584E-3</c:v>
                </c:pt>
                <c:pt idx="129">
                  <c:v>7.5841378348903933E-3</c:v>
                </c:pt>
                <c:pt idx="130">
                  <c:v>7.647003232279021E-3</c:v>
                </c:pt>
                <c:pt idx="131">
                  <c:v>7.7099634815587974E-3</c:v>
                </c:pt>
                <c:pt idx="132">
                  <c:v>7.7730160716205704E-3</c:v>
                </c:pt>
                <c:pt idx="133">
                  <c:v>7.8361581151526298E-3</c:v>
                </c:pt>
                <c:pt idx="134">
                  <c:v>7.8993863448831043E-3</c:v>
                </c:pt>
                <c:pt idx="135">
                  <c:v>7.9626971114621966E-3</c:v>
                </c:pt>
                <c:pt idx="136">
                  <c:v>8.0260863830882035E-3</c:v>
                </c:pt>
                <c:pt idx="137">
                  <c:v>8.0895497469721193E-3</c:v>
                </c:pt>
                <c:pt idx="138">
                  <c:v>8.1530824127243277E-3</c:v>
                </c:pt>
                <c:pt idx="139">
                  <c:v>8.2166792177351036E-3</c:v>
                </c:pt>
                <c:pt idx="140">
                  <c:v>8.2803346346066384E-3</c:v>
                </c:pt>
                <c:pt idx="141">
                  <c:v>8.3440427806801623E-3</c:v>
                </c:pt>
                <c:pt idx="142">
                  <c:v>8.4077974296857139E-3</c:v>
                </c:pt>
                <c:pt idx="143">
                  <c:v>8.4715920255257673E-3</c:v>
                </c:pt>
                <c:pt idx="144">
                  <c:v>8.5354196981864312E-3</c:v>
                </c:pt>
                <c:pt idx="145">
                  <c:v>8.5992732817522372E-3</c:v>
                </c:pt>
                <c:pt idx="146">
                  <c:v>8.6631453344820312E-3</c:v>
                </c:pt>
                <c:pt idx="147">
                  <c:v>8.7270281608850739E-3</c:v>
                </c:pt>
                <c:pt idx="148">
                  <c:v>8.7909138357177685E-3</c:v>
                </c:pt>
                <c:pt idx="149">
                  <c:v>8.8547942298029935E-3</c:v>
                </c:pt>
                <c:pt idx="150">
                  <c:v>8.9186610375559441E-3</c:v>
                </c:pt>
                <c:pt idx="151">
                  <c:v>8.9825058060826659E-3</c:v>
                </c:pt>
                <c:pt idx="152">
                  <c:v>9.0463199657007387E-3</c:v>
                </c:pt>
                <c:pt idx="153">
                  <c:v>9.1100948617155418E-3</c:v>
                </c:pt>
                <c:pt idx="154">
                  <c:v>9.1738217872707195E-3</c:v>
                </c:pt>
                <c:pt idx="155">
                  <c:v>9.2374920170777697E-3</c:v>
                </c:pt>
                <c:pt idx="156">
                  <c:v>9.3010968418178394E-3</c:v>
                </c:pt>
                <c:pt idx="157">
                  <c:v>9.364627602997987E-3</c:v>
                </c:pt>
                <c:pt idx="158">
                  <c:v>9.4280757280355131E-3</c:v>
                </c:pt>
                <c:pt idx="159">
                  <c:v>9.4914327653371384E-3</c:v>
                </c:pt>
                <c:pt idx="160">
                  <c:v>9.5546904191348026E-3</c:v>
                </c:pt>
                <c:pt idx="161">
                  <c:v>9.6178405838368963E-3</c:v>
                </c:pt>
                <c:pt idx="162">
                  <c:v>9.680875377653159E-3</c:v>
                </c:pt>
                <c:pt idx="163">
                  <c:v>9.7437871752528906E-3</c:v>
                </c:pt>
                <c:pt idx="164">
                  <c:v>9.806568639219717E-3</c:v>
                </c:pt>
                <c:pt idx="165">
                  <c:v>9.8692127500720067E-3</c:v>
                </c:pt>
                <c:pt idx="166">
                  <c:v>9.9317128346262089E-3</c:v>
                </c:pt>
                <c:pt idx="167">
                  <c:v>9.994062592490402E-3</c:v>
                </c:pt>
                <c:pt idx="168">
                  <c:v>1.005625612048777E-2</c:v>
                </c:pt>
                <c:pt idx="169">
                  <c:v>1.0118287934823892E-2</c:v>
                </c:pt>
                <c:pt idx="170">
                  <c:v>1.0180152990827781E-2</c:v>
                </c:pt>
                <c:pt idx="171">
                  <c:v>1.0241846700114708E-2</c:v>
                </c:pt>
                <c:pt idx="172">
                  <c:v>1.0303364945038033E-2</c:v>
                </c:pt>
                <c:pt idx="173">
                  <c:v>1.0364704090318283E-2</c:v>
                </c:pt>
                <c:pt idx="174">
                  <c:v>1.0425860991759853E-2</c:v>
                </c:pt>
                <c:pt idx="175">
                  <c:v>1.0486833001988573E-2</c:v>
                </c:pt>
                <c:pt idx="176">
                  <c:v>1.0547617973167637E-2</c:v>
                </c:pt>
                <c:pt idx="177">
                  <c:v>1.0608214256673592E-2</c:v>
                </c:pt>
                <c:pt idx="178">
                  <c:v>1.066862069973906E-2</c:v>
                </c:pt>
                <c:pt idx="179">
                  <c:v>1.0728836639093806E-2</c:v>
                </c:pt>
                <c:pt idx="180">
                  <c:v>1.0788861891660322E-2</c:v>
                </c:pt>
                <c:pt idx="181">
                  <c:v>1.0848696742384886E-2</c:v>
                </c:pt>
                <c:pt idx="182">
                  <c:v>1.0908341929308219E-2</c:v>
                </c:pt>
                <c:pt idx="183">
                  <c:v>1.0967798626003314E-2</c:v>
                </c:pt>
                <c:pt idx="184">
                  <c:v>1.102706842152913E-2</c:v>
                </c:pt>
                <c:pt idx="185">
                  <c:v>1.1086153298069721E-2</c:v>
                </c:pt>
                <c:pt idx="186">
                  <c:v>1.1145055606446901E-2</c:v>
                </c:pt>
                <c:pt idx="187">
                  <c:v>1.1203778039711629E-2</c:v>
                </c:pt>
                <c:pt idx="188">
                  <c:v>1.1262323605034532E-2</c:v>
                </c:pt>
                <c:pt idx="189">
                  <c:v>1.1320695594128922E-2</c:v>
                </c:pt>
                <c:pt idx="190">
                  <c:v>1.137889755245047E-2</c:v>
                </c:pt>
                <c:pt idx="191">
                  <c:v>1.1436933247426099E-2</c:v>
                </c:pt>
                <c:pt idx="192">
                  <c:v>1.1494806635970771E-2</c:v>
                </c:pt>
                <c:pt idx="193">
                  <c:v>1.1552521831554023E-2</c:v>
                </c:pt>
                <c:pt idx="194">
                  <c:v>1.1610083071079386E-2</c:v>
                </c:pt>
                <c:pt idx="195">
                  <c:v>1.166749468183772E-2</c:v>
                </c:pt>
                <c:pt idx="196">
                  <c:v>1.1724761048791676E-2</c:v>
                </c:pt>
                <c:pt idx="197">
                  <c:v>1.1781886582441361E-2</c:v>
                </c:pt>
                <c:pt idx="198">
                  <c:v>1.1838875687512358E-2</c:v>
                </c:pt>
                <c:pt idx="199">
                  <c:v>1.1895732732695435E-2</c:v>
                </c:pt>
                <c:pt idx="200">
                  <c:v>1.19524620216536E-2</c:v>
                </c:pt>
                <c:pt idx="201">
                  <c:v>1.2009067765496246E-2</c:v>
                </c:pt>
                <c:pt idx="202">
                  <c:v>1.2065554056902222E-2</c:v>
                </c:pt>
                <c:pt idx="203">
                  <c:v>1.2121924846053973E-2</c:v>
                </c:pt>
                <c:pt idx="204">
                  <c:v>1.2178183918524189E-2</c:v>
                </c:pt>
                <c:pt idx="205">
                  <c:v>1.2234334875233503E-2</c:v>
                </c:pt>
                <c:pt idx="206">
                  <c:v>1.2290381114574637E-2</c:v>
                </c:pt>
                <c:pt idx="207">
                  <c:v>1.2346325816774133E-2</c:v>
                </c:pt>
                <c:pt idx="208">
                  <c:v>1.2402171930537833E-2</c:v>
                </c:pt>
                <c:pt idx="209">
                  <c:v>1.2457922162001501E-2</c:v>
                </c:pt>
                <c:pt idx="210">
                  <c:v>1.25135789659828E-2</c:v>
                </c:pt>
                <c:pt idx="211">
                  <c:v>1.2569144539506036E-2</c:v>
                </c:pt>
                <c:pt idx="212">
                  <c:v>1.2624620817547387E-2</c:v>
                </c:pt>
                <c:pt idx="213">
                  <c:v>1.2680009470924408E-2</c:v>
                </c:pt>
                <c:pt idx="214">
                  <c:v>1.273531190623204E-2</c:v>
                </c:pt>
                <c:pt idx="215">
                  <c:v>1.2790529267706251E-2</c:v>
                </c:pt>
                <c:pt idx="216">
                  <c:v>1.2845662440877197E-2</c:v>
                </c:pt>
                <c:pt idx="217">
                  <c:v>1.290071205785673E-2</c:v>
                </c:pt>
                <c:pt idx="218">
                  <c:v>1.2955678504089419E-2</c:v>
                </c:pt>
                <c:pt idx="219">
                  <c:v>1.3010561926383406E-2</c:v>
                </c:pt>
                <c:pt idx="220">
                  <c:v>1.3065362242026439E-2</c:v>
                </c:pt>
                <c:pt idx="221">
                  <c:v>1.3120079148784453E-2</c:v>
                </c:pt>
                <c:pt idx="222">
                  <c:v>1.3174712135574166E-2</c:v>
                </c:pt>
                <c:pt idx="223">
                  <c:v>1.3229260493598344E-2</c:v>
                </c:pt>
                <c:pt idx="224">
                  <c:v>1.3283723327732155E-2</c:v>
                </c:pt>
                <c:pt idx="225">
                  <c:v>1.3338099567951399E-2</c:v>
                </c:pt>
                <c:pt idx="226">
                  <c:v>1.3392387980598709E-2</c:v>
                </c:pt>
                <c:pt idx="227">
                  <c:v>1.3446587179291761E-2</c:v>
                </c:pt>
                <c:pt idx="228">
                  <c:v>1.3500695635287616E-2</c:v>
                </c:pt>
                <c:pt idx="229">
                  <c:v>1.3554711687130839E-2</c:v>
                </c:pt>
                <c:pt idx="230">
                  <c:v>1.3608633549427596E-2</c:v>
                </c:pt>
                <c:pt idx="231">
                  <c:v>1.3662459320605953E-2</c:v>
                </c:pt>
                <c:pt idx="232">
                  <c:v>1.3716186989541525E-2</c:v>
                </c:pt>
                <c:pt idx="233">
                  <c:v>1.376981444094902E-2</c:v>
                </c:pt>
                <c:pt idx="234">
                  <c:v>1.3823339459462599E-2</c:v>
                </c:pt>
                <c:pt idx="235">
                  <c:v>1.3876759732352072E-2</c:v>
                </c:pt>
                <c:pt idx="236">
                  <c:v>1.3930072850846518E-2</c:v>
                </c:pt>
                <c:pt idx="237">
                  <c:v>1.3983276310062531E-2</c:v>
                </c:pt>
                <c:pt idx="238">
                  <c:v>1.4036367507560009E-2</c:v>
                </c:pt>
                <c:pt idx="239">
                  <c:v>1.4089343740574307E-2</c:v>
                </c:pt>
                <c:pt idx="240">
                  <c:v>1.4142202201999281E-2</c:v>
                </c:pt>
                <c:pt idx="241">
                  <c:v>1.4194939975220354E-2</c:v>
                </c:pt>
                <c:pt idx="242">
                  <c:v>1.4247554027921359E-2</c:v>
                </c:pt>
                <c:pt idx="243">
                  <c:v>1.4300041205011297E-2</c:v>
                </c:pt>
                <c:pt idx="244">
                  <c:v>1.4352398220838787E-2</c:v>
                </c:pt>
                <c:pt idx="245">
                  <c:v>1.4404621650881412E-2</c:v>
                </c:pt>
                <c:pt idx="246">
                  <c:v>1.4456707923114626E-2</c:v>
                </c:pt>
                <c:pt idx="247">
                  <c:v>1.450865330928016E-2</c:v>
                </c:pt>
                <c:pt idx="248">
                  <c:v>1.4560453916286398E-2</c:v>
                </c:pt>
                <c:pt idx="249">
                  <c:v>1.4612105677982956E-2</c:v>
                </c:pt>
                <c:pt idx="250">
                  <c:v>1.466360434755898E-2</c:v>
                </c:pt>
                <c:pt idx="251">
                  <c:v>1.4714945490818228E-2</c:v>
                </c:pt>
                <c:pt idx="252">
                  <c:v>1.4766124480584919E-2</c:v>
                </c:pt>
                <c:pt idx="253">
                  <c:v>1.481713649249187E-2</c:v>
                </c:pt>
                <c:pt idx="254">
                  <c:v>1.4867976502396602E-2</c:v>
                </c:pt>
                <c:pt idx="255">
                  <c:v>1.4918639285661985E-2</c:v>
                </c:pt>
                <c:pt idx="256">
                  <c:v>1.4969119418525963E-2</c:v>
                </c:pt>
                <c:pt idx="257">
                  <c:v>1.5019411281769042E-2</c:v>
                </c:pt>
                <c:pt idx="258">
                  <c:v>1.5069509066870093E-2</c:v>
                </c:pt>
                <c:pt idx="259">
                  <c:v>1.5119406784819446E-2</c:v>
                </c:pt>
                <c:pt idx="260">
                  <c:v>1.5169098277733823E-2</c:v>
                </c:pt>
                <c:pt idx="261">
                  <c:v>1.5218577233391484E-2</c:v>
                </c:pt>
                <c:pt idx="262">
                  <c:v>1.526783720277651E-2</c:v>
                </c:pt>
                <c:pt idx="263">
                  <c:v>1.5316871620690276E-2</c:v>
                </c:pt>
                <c:pt idx="264">
                  <c:v>1.5365673829455693E-2</c:v>
                </c:pt>
                <c:pt idx="265">
                  <c:v>1.5414237105705376E-2</c:v>
                </c:pt>
                <c:pt idx="266">
                  <c:v>1.5462554690210023E-2</c:v>
                </c:pt>
                <c:pt idx="267">
                  <c:v>1.5510619820667312E-2</c:v>
                </c:pt>
                <c:pt idx="268">
                  <c:v>1.5558425767335626E-2</c:v>
                </c:pt>
                <c:pt idx="269">
                  <c:v>1.560596587136087E-2</c:v>
                </c:pt>
                <c:pt idx="270">
                  <c:v>1.5653233585608963E-2</c:v>
                </c:pt>
                <c:pt idx="271">
                  <c:v>1.5700222517782046E-2</c:v>
                </c:pt>
                <c:pt idx="272">
                  <c:v>1.574692647556292E-2</c:v>
                </c:pt>
                <c:pt idx="273">
                  <c:v>1.579333951350035E-2</c:v>
                </c:pt>
                <c:pt idx="274">
                  <c:v>1.5839455981318189E-2</c:v>
                </c:pt>
                <c:pt idx="275">
                  <c:v>1.5885270573303776E-2</c:v>
                </c:pt>
                <c:pt idx="276">
                  <c:v>1.5930778378406129E-2</c:v>
                </c:pt>
                <c:pt idx="277">
                  <c:v>1.5975974930653152E-2</c:v>
                </c:pt>
                <c:pt idx="278">
                  <c:v>1.6020856259478043E-2</c:v>
                </c:pt>
                <c:pt idx="279">
                  <c:v>1.6065418939530913E-2</c:v>
                </c:pt>
                <c:pt idx="280">
                  <c:v>1.610966013953977E-2</c:v>
                </c:pt>
                <c:pt idx="281">
                  <c:v>1.6153577669778776E-2</c:v>
                </c:pt>
                <c:pt idx="282">
                  <c:v>1.619717002769781E-2</c:v>
                </c:pt>
                <c:pt idx="283">
                  <c:v>1.6240436441269521E-2</c:v>
                </c:pt>
                <c:pt idx="284">
                  <c:v>1.628337690961501E-2</c:v>
                </c:pt>
                <c:pt idx="285">
                  <c:v>1.6325992240479439E-2</c:v>
                </c:pt>
                <c:pt idx="286">
                  <c:v>1.6368284084143373E-2</c:v>
                </c:pt>
                <c:pt idx="287">
                  <c:v>1.641025496337371E-2</c:v>
                </c:pt>
                <c:pt idx="288">
                  <c:v>1.6451908299041224E-2</c:v>
                </c:pt>
                <c:pt idx="289">
                  <c:v>1.6493248431058264E-2</c:v>
                </c:pt>
                <c:pt idx="290">
                  <c:v>1.6534280634320699E-2</c:v>
                </c:pt>
                <c:pt idx="291">
                  <c:v>1.6575011129372444E-2</c:v>
                </c:pt>
                <c:pt idx="292">
                  <c:v>1.6615447087548342E-2</c:v>
                </c:pt>
                <c:pt idx="293">
                  <c:v>1.6655596630391747E-2</c:v>
                </c:pt>
                <c:pt idx="294">
                  <c:v>1.6695468823186298E-2</c:v>
                </c:pt>
                <c:pt idx="295">
                  <c:v>1.6735073662486943E-2</c:v>
                </c:pt>
                <c:pt idx="296">
                  <c:v>1.6774422057582613E-2</c:v>
                </c:pt>
                <c:pt idx="297">
                  <c:v>1.6813525805872059E-2</c:v>
                </c:pt>
                <c:pt idx="298">
                  <c:v>1.6852397562184103E-2</c:v>
                </c:pt>
                <c:pt idx="299">
                  <c:v>1.6891050802124195E-2</c:v>
                </c:pt>
                <c:pt idx="300">
                  <c:v>1.6929499779580116E-2</c:v>
                </c:pt>
                <c:pt idx="301">
                  <c:v>1.6967759478569398E-2</c:v>
                </c:pt>
                <c:pt idx="302">
                  <c:v>1.7005845559661326E-2</c:v>
                </c:pt>
                <c:pt idx="303">
                  <c:v>1.7043774301253731E-2</c:v>
                </c:pt>
                <c:pt idx="304">
                  <c:v>1.7081562536031977E-2</c:v>
                </c:pt>
                <c:pt idx="305">
                  <c:v>1.7119227582981275E-2</c:v>
                </c:pt>
                <c:pt idx="306">
                  <c:v>1.7156787175365E-2</c:v>
                </c:pt>
                <c:pt idx="307">
                  <c:v>1.7194259385120515E-2</c:v>
                </c:pt>
                <c:pt idx="308">
                  <c:v>1.7231662544158508E-2</c:v>
                </c:pt>
                <c:pt idx="309">
                  <c:v>1.7269015163083355E-2</c:v>
                </c:pt>
                <c:pt idx="310">
                  <c:v>1.730633584787895E-2</c:v>
                </c:pt>
                <c:pt idx="311">
                  <c:v>1.7343643215126867E-2</c:v>
                </c:pt>
                <c:pt idx="312">
                  <c:v>1.7380955806341823E-2</c:v>
                </c:pt>
                <c:pt idx="313">
                  <c:v>1.7418292002022103E-2</c:v>
                </c:pt>
                <c:pt idx="314">
                  <c:v>1.7455669936020976E-2</c:v>
                </c:pt>
                <c:pt idx="315">
                  <c:v>1.7493107410847242E-2</c:v>
                </c:pt>
                <c:pt idx="316">
                  <c:v>1.7530621814501206E-2</c:v>
                </c:pt>
                <c:pt idx="317">
                  <c:v>1.7568230039444289E-2</c:v>
                </c:pt>
                <c:pt idx="318">
                  <c:v>1.7605948404287516E-2</c:v>
                </c:pt>
                <c:pt idx="319">
                  <c:v>1.7643792578766363E-2</c:v>
                </c:pt>
                <c:pt idx="320">
                  <c:v>1.7681777512545925E-2</c:v>
                </c:pt>
                <c:pt idx="321">
                  <c:v>1.7719917368372955E-2</c:v>
                </c:pt>
                <c:pt idx="322">
                  <c:v>1.7758225460058563E-2</c:v>
                </c:pt>
                <c:pt idx="323">
                  <c:v>1.7796714195738614E-2</c:v>
                </c:pt>
                <c:pt idx="324">
                  <c:v>1.7835395026818333E-2</c:v>
                </c:pt>
                <c:pt idx="325">
                  <c:v>1.7874278402962997E-2</c:v>
                </c:pt>
                <c:pt idx="326">
                  <c:v>1.7913373733449013E-2</c:v>
                </c:pt>
                <c:pt idx="327">
                  <c:v>1.7952689355139346E-2</c:v>
                </c:pt>
                <c:pt idx="328">
                  <c:v>1.7992232507294273E-2</c:v>
                </c:pt>
                <c:pt idx="329">
                  <c:v>1.803200931337379E-2</c:v>
                </c:pt>
                <c:pt idx="330">
                  <c:v>1.8072024769931961E-2</c:v>
                </c:pt>
                <c:pt idx="331">
                  <c:v>1.811228274264623E-2</c:v>
                </c:pt>
                <c:pt idx="332">
                  <c:v>1.8152785969467674E-2</c:v>
                </c:pt>
                <c:pt idx="333">
                  <c:v>1.8193536070820724E-2</c:v>
                </c:pt>
                <c:pt idx="334">
                  <c:v>1.8234533566724269E-2</c:v>
                </c:pt>
                <c:pt idx="335">
                  <c:v>1.8275777900650929E-2</c:v>
                </c:pt>
                <c:pt idx="336">
                  <c:v>1.8317267469887415E-2</c:v>
                </c:pt>
                <c:pt idx="337">
                  <c:v>1.8358999662107453E-2</c:v>
                </c:pt>
                <c:pt idx="338">
                  <c:v>1.8400970897819915E-2</c:v>
                </c:pt>
                <c:pt idx="339">
                  <c:v>1.8443176678309196E-2</c:v>
                </c:pt>
                <c:pt idx="340">
                  <c:v>1.8485611638642319E-2</c:v>
                </c:pt>
                <c:pt idx="341">
                  <c:v>1.8528269605279455E-2</c:v>
                </c:pt>
                <c:pt idx="342">
                  <c:v>1.8571143657789935E-2</c:v>
                </c:pt>
                <c:pt idx="343">
                  <c:v>1.8614226194146554E-2</c:v>
                </c:pt>
                <c:pt idx="344">
                  <c:v>1.8657508999046352E-2</c:v>
                </c:pt>
                <c:pt idx="345">
                  <c:v>1.8700983314685931E-2</c:v>
                </c:pt>
                <c:pt idx="346">
                  <c:v>1.8744639913405269E-2</c:v>
                </c:pt>
                <c:pt idx="347">
                  <c:v>1.8788469171604403E-2</c:v>
                </c:pt>
                <c:pt idx="348">
                  <c:v>1.8832461144333668E-2</c:v>
                </c:pt>
                <c:pt idx="349">
                  <c:v>1.8876605639959444E-2</c:v>
                </c:pt>
                <c:pt idx="350">
                  <c:v>1.8920892294314422E-2</c:v>
                </c:pt>
                <c:pt idx="351">
                  <c:v>1.8965310643753182E-2</c:v>
                </c:pt>
                <c:pt idx="352">
                  <c:v>1.9009850196551235E-2</c:v>
                </c:pt>
                <c:pt idx="353">
                  <c:v>1.9054500502107479E-2</c:v>
                </c:pt>
                <c:pt idx="354">
                  <c:v>1.9099251217437066E-2</c:v>
                </c:pt>
                <c:pt idx="355">
                  <c:v>1.9144092170472467E-2</c:v>
                </c:pt>
                <c:pt idx="356">
                  <c:v>1.9189013419725943E-2</c:v>
                </c:pt>
                <c:pt idx="357">
                  <c:v>1.9234005309905385E-2</c:v>
                </c:pt>
                <c:pt idx="358">
                  <c:v>1.9279058523117888E-2</c:v>
                </c:pt>
                <c:pt idx="359">
                  <c:v>1.932416412534025E-2</c:v>
                </c:pt>
                <c:pt idx="360">
                  <c:v>1.9369313607883586E-2</c:v>
                </c:pt>
                <c:pt idx="361">
                  <c:v>1.9414498923628343E-2</c:v>
                </c:pt>
                <c:pt idx="362">
                  <c:v>1.9459712517857389E-2</c:v>
                </c:pt>
                <c:pt idx="363">
                  <c:v>1.9504947353566761E-2</c:v>
                </c:pt>
                <c:pt idx="364">
                  <c:v>1.9550196931185999E-2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0.00%</c:formatCode>
                <c:ptCount val="366"/>
                <c:pt idx="0">
                  <c:v>1.3987425990737289E-2</c:v>
                </c:pt>
                <c:pt idx="1">
                  <c:v>1.3941226769716698E-2</c:v>
                </c:pt>
                <c:pt idx="2">
                  <c:v>1.3897309461414542E-2</c:v>
                </c:pt>
                <c:pt idx="3">
                  <c:v>1.385626858844158E-2</c:v>
                </c:pt>
                <c:pt idx="4">
                  <c:v>1.3818668929227639E-2</c:v>
                </c:pt>
                <c:pt idx="5">
                  <c:v>1.3785045955463742E-2</c:v>
                </c:pt>
                <c:pt idx="6">
                  <c:v>1.3755906883021011E-2</c:v>
                </c:pt>
                <c:pt idx="7">
                  <c:v>1.3731732225247701E-2</c:v>
                </c:pt>
                <c:pt idx="8">
                  <c:v>1.3710004641191365E-2</c:v>
                </c:pt>
                <c:pt idx="9">
                  <c:v>1.36929305248933E-2</c:v>
                </c:pt>
                <c:pt idx="10">
                  <c:v>1.3679272398327728E-2</c:v>
                </c:pt>
                <c:pt idx="11">
                  <c:v>1.366953547230546E-2</c:v>
                </c:pt>
                <c:pt idx="12">
                  <c:v>1.3664193766904765E-2</c:v>
                </c:pt>
                <c:pt idx="13">
                  <c:v>1.3663691311021508E-2</c:v>
                </c:pt>
                <c:pt idx="14">
                  <c:v>1.3668443847306595E-2</c:v>
                </c:pt>
                <c:pt idx="15">
                  <c:v>1.3684614177866575E-2</c:v>
                </c:pt>
                <c:pt idx="16">
                  <c:v>1.3707872441527744E-2</c:v>
                </c:pt>
                <c:pt idx="17">
                  <c:v>1.3738527528801347E-2</c:v>
                </c:pt>
                <c:pt idx="18">
                  <c:v>1.3776871752995974E-2</c:v>
                </c:pt>
                <c:pt idx="19">
                  <c:v>1.3823261270339712E-2</c:v>
                </c:pt>
                <c:pt idx="20">
                  <c:v>1.3878078527757532E-2</c:v>
                </c:pt>
                <c:pt idx="21">
                  <c:v>1.3941641597703223E-2</c:v>
                </c:pt>
                <c:pt idx="22">
                  <c:v>1.4012161043652957E-2</c:v>
                </c:pt>
                <c:pt idx="23">
                  <c:v>1.4084185533667496E-2</c:v>
                </c:pt>
                <c:pt idx="24">
                  <c:v>1.4154008941893106E-2</c:v>
                </c:pt>
                <c:pt idx="25">
                  <c:v>1.4222000621209107E-2</c:v>
                </c:pt>
                <c:pt idx="26">
                  <c:v>1.4288523196343824E-2</c:v>
                </c:pt>
                <c:pt idx="27">
                  <c:v>1.4353931999305151E-2</c:v>
                </c:pt>
                <c:pt idx="28">
                  <c:v>1.4418574718497008E-2</c:v>
                </c:pt>
                <c:pt idx="29">
                  <c:v>1.4456248093948777E-2</c:v>
                </c:pt>
                <c:pt idx="30">
                  <c:v>1.446314851668826E-2</c:v>
                </c:pt>
                <c:pt idx="31">
                  <c:v>1.4440528778837787E-2</c:v>
                </c:pt>
                <c:pt idx="32">
                  <c:v>1.4389592323033246E-2</c:v>
                </c:pt>
                <c:pt idx="33">
                  <c:v>1.4311489381821687E-2</c:v>
                </c:pt>
                <c:pt idx="34">
                  <c:v>1.4207313851897692E-2</c:v>
                </c:pt>
                <c:pt idx="35">
                  <c:v>1.4078100812014533E-2</c:v>
                </c:pt>
                <c:pt idx="36">
                  <c:v>1.3924033721877638E-2</c:v>
                </c:pt>
                <c:pt idx="37">
                  <c:v>1.3720715634193493E-2</c:v>
                </c:pt>
                <c:pt idx="38">
                  <c:v>1.3472616639784749E-2</c:v>
                </c:pt>
                <c:pt idx="39">
                  <c:v>1.3181014946921333E-2</c:v>
                </c:pt>
                <c:pt idx="40">
                  <c:v>1.2847137901175143E-2</c:v>
                </c:pt>
                <c:pt idx="41">
                  <c:v>1.247216274918142E-2</c:v>
                </c:pt>
                <c:pt idx="42">
                  <c:v>1.2057217430005993E-2</c:v>
                </c:pt>
                <c:pt idx="43">
                  <c:v>1.159932898488605E-2</c:v>
                </c:pt>
                <c:pt idx="44">
                  <c:v>1.1122680680559046E-2</c:v>
                </c:pt>
                <c:pt idx="45">
                  <c:v>1.0627764997205563E-2</c:v>
                </c:pt>
                <c:pt idx="46">
                  <c:v>1.0115048033392872E-2</c:v>
                </c:pt>
                <c:pt idx="47">
                  <c:v>9.5849699771987703E-3</c:v>
                </c:pt>
                <c:pt idx="48">
                  <c:v>9.0379455339314359E-3</c:v>
                </c:pt>
                <c:pt idx="49">
                  <c:v>8.4743643075290663E-3</c:v>
                </c:pt>
                <c:pt idx="50">
                  <c:v>7.8945407780256875E-3</c:v>
                </c:pt>
                <c:pt idx="51">
                  <c:v>7.3136843317202467E-3</c:v>
                </c:pt>
                <c:pt idx="52">
                  <c:v>6.7532140942140138E-3</c:v>
                </c:pt>
                <c:pt idx="53">
                  <c:v>6.21257208537655E-3</c:v>
                </c:pt>
                <c:pt idx="54">
                  <c:v>5.6912586458413034E-3</c:v>
                </c:pt>
                <c:pt idx="55">
                  <c:v>5.1887922798090139E-3</c:v>
                </c:pt>
                <c:pt idx="56">
                  <c:v>4.7047086736752087E-3</c:v>
                </c:pt>
                <c:pt idx="57">
                  <c:v>4.2590329578678487E-3</c:v>
                </c:pt>
                <c:pt idx="58">
                  <c:v>3.854483116853651E-3</c:v>
                </c:pt>
                <c:pt idx="59">
                  <c:v>3.4901296135133254E-3</c:v>
                </c:pt>
                <c:pt idx="60">
                  <c:v>3.1650752412197931E-3</c:v>
                </c:pt>
                <c:pt idx="61">
                  <c:v>2.8784537957104767E-3</c:v>
                </c:pt>
                <c:pt idx="62">
                  <c:v>2.6294288625723621E-3</c:v>
                </c:pt>
                <c:pt idx="63">
                  <c:v>2.4171927159857328E-3</c:v>
                </c:pt>
                <c:pt idx="64">
                  <c:v>2.2409097356266765E-3</c:v>
                </c:pt>
                <c:pt idx="65">
                  <c:v>2.108433263493679E-3</c:v>
                </c:pt>
                <c:pt idx="66">
                  <c:v>2.0055386441815651E-3</c:v>
                </c:pt>
                <c:pt idx="67">
                  <c:v>1.9316494732367644E-3</c:v>
                </c:pt>
                <c:pt idx="68">
                  <c:v>1.8862030572529499E-3</c:v>
                </c:pt>
                <c:pt idx="69">
                  <c:v>1.8686534577701283E-3</c:v>
                </c:pt>
                <c:pt idx="70">
                  <c:v>1.8784743277338242E-3</c:v>
                </c:pt>
                <c:pt idx="71">
                  <c:v>1.9110031465337737E-3</c:v>
                </c:pt>
                <c:pt idx="72">
                  <c:v>1.9473711851500102E-3</c:v>
                </c:pt>
                <c:pt idx="73">
                  <c:v>1.9875417829933618E-3</c:v>
                </c:pt>
                <c:pt idx="74">
                  <c:v>2.0314834590040107E-3</c:v>
                </c:pt>
                <c:pt idx="75">
                  <c:v>2.0791702172724457E-3</c:v>
                </c:pt>
                <c:pt idx="76">
                  <c:v>2.1305818428769942E-3</c:v>
                </c:pt>
                <c:pt idx="77">
                  <c:v>2.1857041905614842E-3</c:v>
                </c:pt>
                <c:pt idx="78">
                  <c:v>2.2443901558360344E-3</c:v>
                </c:pt>
                <c:pt idx="79">
                  <c:v>2.3009303056292538E-3</c:v>
                </c:pt>
                <c:pt idx="80">
                  <c:v>2.3475397867237192E-3</c:v>
                </c:pt>
                <c:pt idx="81">
                  <c:v>2.3844297241560502E-3</c:v>
                </c:pt>
                <c:pt idx="82">
                  <c:v>2.4118049680898696E-3</c:v>
                </c:pt>
                <c:pt idx="83">
                  <c:v>2.4298625726102696E-3</c:v>
                </c:pt>
                <c:pt idx="84">
                  <c:v>2.4387903811680833E-3</c:v>
                </c:pt>
                <c:pt idx="85">
                  <c:v>2.4369498471953689E-3</c:v>
                </c:pt>
                <c:pt idx="86">
                  <c:v>2.4283644991602835E-3</c:v>
                </c:pt>
                <c:pt idx="87">
                  <c:v>2.4131600232747616E-3</c:v>
                </c:pt>
                <c:pt idx="88">
                  <c:v>2.3914509662045186E-3</c:v>
                </c:pt>
                <c:pt idx="89">
                  <c:v>2.3633399533803268E-3</c:v>
                </c:pt>
                <c:pt idx="90">
                  <c:v>2.3289169400067889E-3</c:v>
                </c:pt>
                <c:pt idx="91">
                  <c:v>2.2882584855883569E-3</c:v>
                </c:pt>
                <c:pt idx="92">
                  <c:v>2.2413780129068375E-3</c:v>
                </c:pt>
                <c:pt idx="93">
                  <c:v>2.1876180507660659E-3</c:v>
                </c:pt>
                <c:pt idx="94">
                  <c:v>2.132237835063075E-3</c:v>
                </c:pt>
                <c:pt idx="95">
                  <c:v>2.0751979355378945E-3</c:v>
                </c:pt>
                <c:pt idx="96">
                  <c:v>2.0164581885345734E-3</c:v>
                </c:pt>
                <c:pt idx="97">
                  <c:v>1.9559777286527772E-3</c:v>
                </c:pt>
                <c:pt idx="98">
                  <c:v>1.8937150265630174E-3</c:v>
                </c:pt>
                <c:pt idx="99">
                  <c:v>1.8333292469159027E-3</c:v>
                </c:pt>
                <c:pt idx="100">
                  <c:v>1.7765133022122012E-3</c:v>
                </c:pt>
                <c:pt idx="101">
                  <c:v>1.7232131399576311E-3</c:v>
                </c:pt>
                <c:pt idx="102">
                  <c:v>1.6733802315577425E-3</c:v>
                </c:pt>
                <c:pt idx="103">
                  <c:v>1.6269712619358943E-3</c:v>
                </c:pt>
                <c:pt idx="104">
                  <c:v>1.5839478364917908E-3</c:v>
                </c:pt>
                <c:pt idx="105">
                  <c:v>1.5442762035058014E-3</c:v>
                </c:pt>
                <c:pt idx="106">
                  <c:v>1.5079667968205556E-3</c:v>
                </c:pt>
                <c:pt idx="107">
                  <c:v>1.4763077969799886E-3</c:v>
                </c:pt>
                <c:pt idx="108">
                  <c:v>1.4498955926634564E-3</c:v>
                </c:pt>
                <c:pt idx="109">
                  <c:v>1.4287173828250494E-3</c:v>
                </c:pt>
                <c:pt idx="110">
                  <c:v>1.4127708021285192E-3</c:v>
                </c:pt>
                <c:pt idx="111">
                  <c:v>1.4020596840522126E-3</c:v>
                </c:pt>
                <c:pt idx="112">
                  <c:v>1.3965899952537292E-3</c:v>
                </c:pt>
                <c:pt idx="113">
                  <c:v>1.3921411424430267E-3</c:v>
                </c:pt>
                <c:pt idx="114">
                  <c:v>1.3849900502910576E-3</c:v>
                </c:pt>
                <c:pt idx="115">
                  <c:v>1.3751134988042298E-3</c:v>
                </c:pt>
                <c:pt idx="116">
                  <c:v>1.3624851067629768E-3</c:v>
                </c:pt>
                <c:pt idx="117">
                  <c:v>1.3470754078413437E-3</c:v>
                </c:pt>
                <c:pt idx="118">
                  <c:v>1.3288519311360262E-3</c:v>
                </c:pt>
                <c:pt idx="119">
                  <c:v>1.3077792879455409E-3</c:v>
                </c:pt>
                <c:pt idx="120">
                  <c:v>1.2838407064907273E-3</c:v>
                </c:pt>
                <c:pt idx="121">
                  <c:v>1.2566635828564713E-3</c:v>
                </c:pt>
                <c:pt idx="122">
                  <c:v>1.2249476777187697E-3</c:v>
                </c:pt>
                <c:pt idx="123">
                  <c:v>1.1879227568399031E-3</c:v>
                </c:pt>
                <c:pt idx="124">
                  <c:v>1.1455214721771726E-3</c:v>
                </c:pt>
                <c:pt idx="125">
                  <c:v>1.0976714644295911E-3</c:v>
                </c:pt>
                <c:pt idx="126">
                  <c:v>1.0442956014443826E-3</c:v>
                </c:pt>
                <c:pt idx="127">
                  <c:v>9.8726847186292994E-4</c:v>
                </c:pt>
                <c:pt idx="128">
                  <c:v>9.3082770341910189E-4</c:v>
                </c:pt>
                <c:pt idx="129">
                  <c:v>8.74892296961112E-4</c:v>
                </c:pt>
                <c:pt idx="130">
                  <c:v>8.1937950895466256E-4</c:v>
                </c:pt>
                <c:pt idx="131">
                  <c:v>7.6420478597168703E-4</c:v>
                </c:pt>
                <c:pt idx="132">
                  <c:v>7.0928171880249656E-4</c:v>
                </c:pt>
                <c:pt idx="133">
                  <c:v>6.5452201784256883E-4</c:v>
                </c:pt>
                <c:pt idx="134">
                  <c:v>5.9984079558445251E-4</c:v>
                </c:pt>
                <c:pt idx="135">
                  <c:v>5.4734725202395553E-4</c:v>
                </c:pt>
                <c:pt idx="136">
                  <c:v>4.9841112445621197E-4</c:v>
                </c:pt>
                <c:pt idx="137">
                  <c:v>4.5301850564844598E-4</c:v>
                </c:pt>
                <c:pt idx="138">
                  <c:v>4.1115700140797052E-4</c:v>
                </c:pt>
                <c:pt idx="139">
                  <c:v>3.7281567578486662E-4</c:v>
                </c:pt>
                <c:pt idx="140">
                  <c:v>3.3798499613333136E-4</c:v>
                </c:pt>
                <c:pt idx="141">
                  <c:v>3.0775855073792059E-4</c:v>
                </c:pt>
                <c:pt idx="142">
                  <c:v>2.8024697656564432E-4</c:v>
                </c:pt>
                <c:pt idx="143">
                  <c:v>2.5549400622398177E-4</c:v>
                </c:pt>
                <c:pt idx="144">
                  <c:v>2.3354813036807905E-4</c:v>
                </c:pt>
                <c:pt idx="145">
                  <c:v>2.1446050617714054E-4</c:v>
                </c:pt>
                <c:pt idx="146">
                  <c:v>1.9828488831998166E-4</c:v>
                </c:pt>
                <c:pt idx="147">
                  <c:v>1.8507754757556537E-4</c:v>
                </c:pt>
                <c:pt idx="148">
                  <c:v>1.7489717737736757E-4</c:v>
                </c:pt>
                <c:pt idx="149">
                  <c:v>1.6797383904514993E-4</c:v>
                </c:pt>
                <c:pt idx="150">
                  <c:v>1.6207152171457507E-4</c:v>
                </c:pt>
                <c:pt idx="151">
                  <c:v>1.5725395434987194E-4</c:v>
                </c:pt>
                <c:pt idx="152">
                  <c:v>1.53587018480898E-4</c:v>
                </c:pt>
                <c:pt idx="153">
                  <c:v>1.5113861333734848E-4</c:v>
                </c:pt>
                <c:pt idx="154">
                  <c:v>1.499785086677983E-4</c:v>
                </c:pt>
                <c:pt idx="155">
                  <c:v>1.50126469767704E-4</c:v>
                </c:pt>
                <c:pt idx="156">
                  <c:v>1.5032683963635068E-4</c:v>
                </c:pt>
                <c:pt idx="157">
                  <c:v>1.5060406808786625E-4</c:v>
                </c:pt>
                <c:pt idx="158">
                  <c:v>1.5098320560743487E-4</c:v>
                </c:pt>
                <c:pt idx="159">
                  <c:v>1.5148984100824708E-4</c:v>
                </c:pt>
                <c:pt idx="160">
                  <c:v>1.5215003583319382E-4</c:v>
                </c:pt>
                <c:pt idx="161">
                  <c:v>1.5299025606165174E-4</c:v>
                </c:pt>
                <c:pt idx="162">
                  <c:v>1.5403730178554229E-4</c:v>
                </c:pt>
                <c:pt idx="163">
                  <c:v>1.5534482864666549E-4</c:v>
                </c:pt>
                <c:pt idx="164">
                  <c:v>1.5663098185232153E-4</c:v>
                </c:pt>
                <c:pt idx="165">
                  <c:v>1.5789385776617511E-4</c:v>
                </c:pt>
                <c:pt idx="166">
                  <c:v>1.5913157942879907E-4</c:v>
                </c:pt>
                <c:pt idx="167">
                  <c:v>1.603423035684558E-4</c:v>
                </c:pt>
                <c:pt idx="168">
                  <c:v>1.615242273233433E-4</c:v>
                </c:pt>
                <c:pt idx="169">
                  <c:v>1.6270184803983658E-4</c:v>
                </c:pt>
                <c:pt idx="170">
                  <c:v>1.6392936270068648E-4</c:v>
                </c:pt>
                <c:pt idx="171">
                  <c:v>1.6520582552943211E-4</c:v>
                </c:pt>
                <c:pt idx="172">
                  <c:v>1.6653035331647519E-4</c:v>
                </c:pt>
                <c:pt idx="173">
                  <c:v>1.6790041397468926E-4</c:v>
                </c:pt>
                <c:pt idx="174">
                  <c:v>1.6931339915151646E-4</c:v>
                </c:pt>
                <c:pt idx="175">
                  <c:v>1.7076841331836932E-4</c:v>
                </c:pt>
                <c:pt idx="176">
                  <c:v>1.7226662996561656E-4</c:v>
                </c:pt>
                <c:pt idx="177">
                  <c:v>1.7375069955992699E-4</c:v>
                </c:pt>
                <c:pt idx="178">
                  <c:v>1.7519252606293514E-4</c:v>
                </c:pt>
                <c:pt idx="179">
                  <c:v>1.7658998661978015E-4</c:v>
                </c:pt>
                <c:pt idx="180">
                  <c:v>1.7794101363356857E-4</c:v>
                </c:pt>
                <c:pt idx="181">
                  <c:v>1.7924359700588802E-4</c:v>
                </c:pt>
                <c:pt idx="182">
                  <c:v>1.8049578591523686E-4</c:v>
                </c:pt>
                <c:pt idx="183">
                  <c:v>1.8218260591362916E-4</c:v>
                </c:pt>
                <c:pt idx="184">
                  <c:v>1.8430253811468444E-4</c:v>
                </c:pt>
                <c:pt idx="185">
                  <c:v>1.8687902615839038E-4</c:v>
                </c:pt>
                <c:pt idx="186">
                  <c:v>1.8993481256332593E-4</c:v>
                </c:pt>
                <c:pt idx="187">
                  <c:v>1.9349189221703962E-4</c:v>
                </c:pt>
                <c:pt idx="188">
                  <c:v>1.975714691867135E-4</c:v>
                </c:pt>
                <c:pt idx="189">
                  <c:v>2.0219391674880532E-4</c:v>
                </c:pt>
                <c:pt idx="190">
                  <c:v>2.0738240014231681E-4</c:v>
                </c:pt>
                <c:pt idx="191">
                  <c:v>2.1504348560087377E-4</c:v>
                </c:pt>
                <c:pt idx="192">
                  <c:v>2.2529850013878444E-4</c:v>
                </c:pt>
                <c:pt idx="193">
                  <c:v>2.3820572521983185E-4</c:v>
                </c:pt>
                <c:pt idx="194">
                  <c:v>2.5382166145542206E-4</c:v>
                </c:pt>
                <c:pt idx="195">
                  <c:v>2.722010548398556E-4</c:v>
                </c:pt>
                <c:pt idx="196">
                  <c:v>2.9339693016964836E-4</c:v>
                </c:pt>
                <c:pt idx="197">
                  <c:v>3.2022296435714546E-4</c:v>
                </c:pt>
                <c:pt idx="198">
                  <c:v>3.5215037549131737E-4</c:v>
                </c:pt>
                <c:pt idx="199">
                  <c:v>3.892310684647808E-4</c:v>
                </c:pt>
                <c:pt idx="200">
                  <c:v>4.3151598296166426E-4</c:v>
                </c:pt>
                <c:pt idx="201">
                  <c:v>4.7905515576361922E-4</c:v>
                </c:pt>
                <c:pt idx="202">
                  <c:v>5.3189777847384347E-4</c:v>
                </c:pt>
                <c:pt idx="203">
                  <c:v>5.9009224951712686E-4</c:v>
                </c:pt>
                <c:pt idx="204">
                  <c:v>6.5369089711780253E-4</c:v>
                </c:pt>
                <c:pt idx="205">
                  <c:v>7.2446855839545642E-4</c:v>
                </c:pt>
                <c:pt idx="206">
                  <c:v>8.0040608695361643E-4</c:v>
                </c:pt>
                <c:pt idx="207">
                  <c:v>8.8151769948533463E-4</c:v>
                </c:pt>
                <c:pt idx="208">
                  <c:v>9.6781875561941584E-4</c:v>
                </c:pt>
                <c:pt idx="209">
                  <c:v>1.059325673868972E-3</c:v>
                </c:pt>
                <c:pt idx="210">
                  <c:v>1.1560558355933612E-3</c:v>
                </c:pt>
                <c:pt idx="211">
                  <c:v>1.2547995347996085E-3</c:v>
                </c:pt>
                <c:pt idx="212">
                  <c:v>1.352642776168482E-3</c:v>
                </c:pt>
                <c:pt idx="213">
                  <c:v>1.4495313749571411E-3</c:v>
                </c:pt>
                <c:pt idx="214">
                  <c:v>1.545412759201773E-3</c:v>
                </c:pt>
                <c:pt idx="215">
                  <c:v>1.6402358535876304E-3</c:v>
                </c:pt>
                <c:pt idx="216">
                  <c:v>1.7339509665061387E-3</c:v>
                </c:pt>
                <c:pt idx="217">
                  <c:v>1.8265096811889312E-3</c:v>
                </c:pt>
                <c:pt idx="218">
                  <c:v>1.9178498440401387E-3</c:v>
                </c:pt>
                <c:pt idx="219">
                  <c:v>2.002849130145843E-3</c:v>
                </c:pt>
                <c:pt idx="220">
                  <c:v>2.0797185398732389E-3</c:v>
                </c:pt>
                <c:pt idx="221">
                  <c:v>2.1483944330375803E-3</c:v>
                </c:pt>
                <c:pt idx="222">
                  <c:v>2.2088154453495669E-3</c:v>
                </c:pt>
                <c:pt idx="223">
                  <c:v>2.2609219839171061E-3</c:v>
                </c:pt>
                <c:pt idx="224">
                  <c:v>2.3046557193535733E-3</c:v>
                </c:pt>
                <c:pt idx="225">
                  <c:v>2.3438749891743185E-3</c:v>
                </c:pt>
                <c:pt idx="226">
                  <c:v>2.3820330391920177E-3</c:v>
                </c:pt>
                <c:pt idx="227">
                  <c:v>2.41916504862103E-3</c:v>
                </c:pt>
                <c:pt idx="228">
                  <c:v>2.4553053338549407E-3</c:v>
                </c:pt>
                <c:pt idx="229">
                  <c:v>2.4904873862821295E-3</c:v>
                </c:pt>
                <c:pt idx="230">
                  <c:v>2.524743912304994E-3</c:v>
                </c:pt>
                <c:pt idx="231">
                  <c:v>2.5581068753345506E-3</c:v>
                </c:pt>
                <c:pt idx="232">
                  <c:v>2.5905344371390995E-3</c:v>
                </c:pt>
                <c:pt idx="233">
                  <c:v>2.6263657908844554E-3</c:v>
                </c:pt>
                <c:pt idx="234">
                  <c:v>2.6709047729821466E-3</c:v>
                </c:pt>
                <c:pt idx="235">
                  <c:v>2.7242519452098223E-3</c:v>
                </c:pt>
                <c:pt idx="236">
                  <c:v>2.7865113037708056E-3</c:v>
                </c:pt>
                <c:pt idx="237">
                  <c:v>2.8577882742470803E-3</c:v>
                </c:pt>
                <c:pt idx="238">
                  <c:v>2.9381920460834704E-3</c:v>
                </c:pt>
                <c:pt idx="239">
                  <c:v>3.0258882719391999E-3</c:v>
                </c:pt>
                <c:pt idx="240">
                  <c:v>3.1168070260726506E-3</c:v>
                </c:pt>
                <c:pt idx="241">
                  <c:v>3.2109976851600044E-3</c:v>
                </c:pt>
                <c:pt idx="242">
                  <c:v>3.308514322825236E-3</c:v>
                </c:pt>
                <c:pt idx="243">
                  <c:v>3.4094159560907711E-3</c:v>
                </c:pt>
                <c:pt idx="244">
                  <c:v>3.5137668087008426E-3</c:v>
                </c:pt>
                <c:pt idx="245">
                  <c:v>3.6216365930137055E-3</c:v>
                </c:pt>
                <c:pt idx="246">
                  <c:v>3.7330587927211943E-3</c:v>
                </c:pt>
                <c:pt idx="247">
                  <c:v>3.8445801166351783E-3</c:v>
                </c:pt>
                <c:pt idx="248">
                  <c:v>3.9516192696857008E-3</c:v>
                </c:pt>
                <c:pt idx="249">
                  <c:v>4.0541278494085663E-3</c:v>
                </c:pt>
                <c:pt idx="250">
                  <c:v>4.1520545780646288E-3</c:v>
                </c:pt>
                <c:pt idx="251">
                  <c:v>4.2453452817157187E-3</c:v>
                </c:pt>
                <c:pt idx="252">
                  <c:v>4.3339428743029299E-3</c:v>
                </c:pt>
                <c:pt idx="253">
                  <c:v>4.4080050744970583E-3</c:v>
                </c:pt>
                <c:pt idx="254">
                  <c:v>4.469421720533804E-3</c:v>
                </c:pt>
                <c:pt idx="255">
                  <c:v>4.5180261109924753E-3</c:v>
                </c:pt>
                <c:pt idx="256">
                  <c:v>4.5536454102168633E-3</c:v>
                </c:pt>
                <c:pt idx="257">
                  <c:v>4.5761007812206364E-3</c:v>
                </c:pt>
                <c:pt idx="258">
                  <c:v>4.585207540225786E-3</c:v>
                </c:pt>
                <c:pt idx="259">
                  <c:v>4.580775332420098E-3</c:v>
                </c:pt>
                <c:pt idx="260">
                  <c:v>4.5626783877857425E-3</c:v>
                </c:pt>
                <c:pt idx="261">
                  <c:v>4.5271322224794547E-3</c:v>
                </c:pt>
                <c:pt idx="262">
                  <c:v>4.4775730660085236E-3</c:v>
                </c:pt>
                <c:pt idx="263">
                  <c:v>4.4137806638416223E-3</c:v>
                </c:pt>
                <c:pt idx="264">
                  <c:v>4.3355281824850904E-3</c:v>
                </c:pt>
                <c:pt idx="265">
                  <c:v>4.2426052581692117E-3</c:v>
                </c:pt>
                <c:pt idx="266">
                  <c:v>4.1347826421516843E-3</c:v>
                </c:pt>
                <c:pt idx="267">
                  <c:v>4.0322773393273326E-3</c:v>
                </c:pt>
                <c:pt idx="268">
                  <c:v>3.9456368464094674E-3</c:v>
                </c:pt>
                <c:pt idx="269">
                  <c:v>3.8750834765893935E-3</c:v>
                </c:pt>
                <c:pt idx="270">
                  <c:v>3.8208465602198711E-3</c:v>
                </c:pt>
                <c:pt idx="271">
                  <c:v>3.7831616716045373E-3</c:v>
                </c:pt>
                <c:pt idx="272">
                  <c:v>3.7622698142631742E-3</c:v>
                </c:pt>
                <c:pt idx="273">
                  <c:v>3.7584165652279982E-3</c:v>
                </c:pt>
                <c:pt idx="274">
                  <c:v>3.7719766434502391E-3</c:v>
                </c:pt>
                <c:pt idx="275">
                  <c:v>3.8384889840364666E-3</c:v>
                </c:pt>
                <c:pt idx="276">
                  <c:v>3.9626728351313161E-3</c:v>
                </c:pt>
                <c:pt idx="277">
                  <c:v>4.1454216434890665E-3</c:v>
                </c:pt>
                <c:pt idx="278">
                  <c:v>4.3876476521209316E-3</c:v>
                </c:pt>
                <c:pt idx="279">
                  <c:v>4.6902764070681424E-3</c:v>
                </c:pt>
                <c:pt idx="280">
                  <c:v>5.0542410092946554E-3</c:v>
                </c:pt>
                <c:pt idx="281">
                  <c:v>5.4973365494107446E-3</c:v>
                </c:pt>
                <c:pt idx="282">
                  <c:v>5.9985871845196336E-3</c:v>
                </c:pt>
                <c:pt idx="283">
                  <c:v>6.5588176431033846E-3</c:v>
                </c:pt>
                <c:pt idx="284">
                  <c:v>7.1788343039405475E-3</c:v>
                </c:pt>
                <c:pt idx="285">
                  <c:v>7.8594186050193558E-3</c:v>
                </c:pt>
                <c:pt idx="286">
                  <c:v>8.6013202021801884E-3</c:v>
                </c:pt>
                <c:pt idx="287">
                  <c:v>9.405249879235229E-3</c:v>
                </c:pt>
                <c:pt idx="288">
                  <c:v>1.0272326305027243E-2</c:v>
                </c:pt>
                <c:pt idx="289">
                  <c:v>1.1185210249822221E-2</c:v>
                </c:pt>
                <c:pt idx="290">
                  <c:v>1.2106394215407199E-2</c:v>
                </c:pt>
                <c:pt idx="291">
                  <c:v>1.3035854747732853E-2</c:v>
                </c:pt>
                <c:pt idx="292">
                  <c:v>1.3973546412481365E-2</c:v>
                </c:pt>
                <c:pt idx="293">
                  <c:v>1.4919401228536111E-2</c:v>
                </c:pt>
                <c:pt idx="294">
                  <c:v>1.587332804331194E-2</c:v>
                </c:pt>
                <c:pt idx="295">
                  <c:v>1.6794293957997735E-2</c:v>
                </c:pt>
                <c:pt idx="296">
                  <c:v>1.7663523239628665E-2</c:v>
                </c:pt>
                <c:pt idx="297">
                  <c:v>1.8480133291083497E-2</c:v>
                </c:pt>
                <c:pt idx="298">
                  <c:v>1.9243085648373192E-2</c:v>
                </c:pt>
                <c:pt idx="299">
                  <c:v>1.9951320257968804E-2</c:v>
                </c:pt>
                <c:pt idx="300">
                  <c:v>2.0603758484924892E-2</c:v>
                </c:pt>
                <c:pt idx="301">
                  <c:v>2.1199306220949943E-2</c:v>
                </c:pt>
                <c:pt idx="302">
                  <c:v>2.173720229894922E-2</c:v>
                </c:pt>
                <c:pt idx="303">
                  <c:v>2.2187281245942891E-2</c:v>
                </c:pt>
                <c:pt idx="304">
                  <c:v>2.2568435105027165E-2</c:v>
                </c:pt>
                <c:pt idx="305">
                  <c:v>2.2879758878146857E-2</c:v>
                </c:pt>
                <c:pt idx="306">
                  <c:v>2.3120352080723515E-2</c:v>
                </c:pt>
                <c:pt idx="307">
                  <c:v>2.3289313902859685E-2</c:v>
                </c:pt>
                <c:pt idx="308">
                  <c:v>2.3385737987241539E-2</c:v>
                </c:pt>
                <c:pt idx="309">
                  <c:v>2.3409647252324264E-2</c:v>
                </c:pt>
                <c:pt idx="310">
                  <c:v>2.3404226345829636E-2</c:v>
                </c:pt>
                <c:pt idx="311">
                  <c:v>2.3369202044997959E-2</c:v>
                </c:pt>
                <c:pt idx="312">
                  <c:v>2.330429076816028E-2</c:v>
                </c:pt>
                <c:pt idx="313">
                  <c:v>2.3209195633239567E-2</c:v>
                </c:pt>
                <c:pt idx="314">
                  <c:v>2.3083603426771473E-2</c:v>
                </c:pt>
                <c:pt idx="315">
                  <c:v>2.2927181498316414E-2</c:v>
                </c:pt>
                <c:pt idx="316">
                  <c:v>2.2740040076591504E-2</c:v>
                </c:pt>
                <c:pt idx="317">
                  <c:v>2.2535511240806071E-2</c:v>
                </c:pt>
                <c:pt idx="318">
                  <c:v>2.2344992114784436E-2</c:v>
                </c:pt>
                <c:pt idx="319">
                  <c:v>2.2168439756316119E-2</c:v>
                </c:pt>
                <c:pt idx="320">
                  <c:v>2.2005814276977592E-2</c:v>
                </c:pt>
                <c:pt idx="321">
                  <c:v>2.1857077467175173E-2</c:v>
                </c:pt>
                <c:pt idx="322">
                  <c:v>2.1722191367776776E-2</c:v>
                </c:pt>
                <c:pt idx="323">
                  <c:v>2.161360882661132E-2</c:v>
                </c:pt>
                <c:pt idx="324">
                  <c:v>2.1530487634724135E-2</c:v>
                </c:pt>
                <c:pt idx="325">
                  <c:v>2.1472992221184196E-2</c:v>
                </c:pt>
                <c:pt idx="326">
                  <c:v>2.1441150414303615E-2</c:v>
                </c:pt>
                <c:pt idx="327">
                  <c:v>2.1435072301114782E-2</c:v>
                </c:pt>
                <c:pt idx="328">
                  <c:v>2.1454966145199643E-2</c:v>
                </c:pt>
                <c:pt idx="329">
                  <c:v>2.1501024555265397E-2</c:v>
                </c:pt>
                <c:pt idx="330">
                  <c:v>2.1576834761827868E-2</c:v>
                </c:pt>
                <c:pt idx="331">
                  <c:v>2.1686693893181508E-2</c:v>
                </c:pt>
                <c:pt idx="332">
                  <c:v>2.181534955379676E-2</c:v>
                </c:pt>
                <c:pt idx="333">
                  <c:v>2.1961997494764282E-2</c:v>
                </c:pt>
                <c:pt idx="334">
                  <c:v>2.212577230093454E-2</c:v>
                </c:pt>
                <c:pt idx="335">
                  <c:v>2.2305735411166282E-2</c:v>
                </c:pt>
                <c:pt idx="336">
                  <c:v>2.2500863638195714E-2</c:v>
                </c:pt>
                <c:pt idx="337">
                  <c:v>2.2705285380978359E-2</c:v>
                </c:pt>
                <c:pt idx="338">
                  <c:v>2.2903948972011298E-2</c:v>
                </c:pt>
                <c:pt idx="339">
                  <c:v>2.3095175958057022E-2</c:v>
                </c:pt>
                <c:pt idx="340">
                  <c:v>2.3277198748624391E-2</c:v>
                </c:pt>
                <c:pt idx="341">
                  <c:v>2.3448169931732328E-2</c:v>
                </c:pt>
                <c:pt idx="342">
                  <c:v>2.3606174777751995E-2</c:v>
                </c:pt>
                <c:pt idx="343">
                  <c:v>2.3749247112782632E-2</c:v>
                </c:pt>
                <c:pt idx="344">
                  <c:v>2.3881271364179169E-2</c:v>
                </c:pt>
                <c:pt idx="345">
                  <c:v>2.40066622060091E-2</c:v>
                </c:pt>
                <c:pt idx="346">
                  <c:v>2.4122981530673417E-2</c:v>
                </c:pt>
                <c:pt idx="347">
                  <c:v>2.4228955154230312E-2</c:v>
                </c:pt>
                <c:pt idx="348">
                  <c:v>2.4323284359004948E-2</c:v>
                </c:pt>
                <c:pt idx="349">
                  <c:v>2.4404655400364517E-2</c:v>
                </c:pt>
                <c:pt idx="350">
                  <c:v>2.4471750409556913E-2</c:v>
                </c:pt>
                <c:pt idx="351">
                  <c:v>2.4523303555262808E-2</c:v>
                </c:pt>
                <c:pt idx="352">
                  <c:v>2.4563084012346071E-2</c:v>
                </c:pt>
                <c:pt idx="353">
                  <c:v>2.4589857519183328E-2</c:v>
                </c:pt>
                <c:pt idx="354">
                  <c:v>2.4602424398587081E-2</c:v>
                </c:pt>
                <c:pt idx="355">
                  <c:v>2.4599633654013797E-2</c:v>
                </c:pt>
                <c:pt idx="356">
                  <c:v>2.4580264214600852E-2</c:v>
                </c:pt>
                <c:pt idx="357">
                  <c:v>2.4543409285972023E-2</c:v>
                </c:pt>
                <c:pt idx="358">
                  <c:v>2.4487926900597246E-2</c:v>
                </c:pt>
                <c:pt idx="359">
                  <c:v>2.4414277436366767E-2</c:v>
                </c:pt>
                <c:pt idx="360">
                  <c:v>2.4318847542882861E-2</c:v>
                </c:pt>
                <c:pt idx="361">
                  <c:v>2.4203098973533586E-2</c:v>
                </c:pt>
                <c:pt idx="362">
                  <c:v>2.4068580544768521E-2</c:v>
                </c:pt>
                <c:pt idx="363">
                  <c:v>2.3916864168489003E-2</c:v>
                </c:pt>
                <c:pt idx="364">
                  <c:v>2.3749526262313116E-2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536592"/>
        <c:axId val="385536984"/>
      </c:lineChart>
      <c:dateAx>
        <c:axId val="38553659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536984"/>
        <c:crosses val="autoZero"/>
        <c:auto val="1"/>
        <c:lblOffset val="100"/>
        <c:baseTimeUnit val="days"/>
        <c:majorUnit val="1"/>
        <c:majorTimeUnit val="months"/>
      </c:dateAx>
      <c:valAx>
        <c:axId val="38553698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5365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24.691237378985214</c:v>
                </c:pt>
                <c:pt idx="1">
                  <c:v>24.870800323886574</c:v>
                </c:pt>
                <c:pt idx="2">
                  <c:v>25.060785409621648</c:v>
                </c:pt>
                <c:pt idx="3">
                  <c:v>25.26001054065933</c:v>
                </c:pt>
                <c:pt idx="4">
                  <c:v>25.467293823799299</c:v>
                </c:pt>
                <c:pt idx="5">
                  <c:v>25.681453578157555</c:v>
                </c:pt>
                <c:pt idx="6">
                  <c:v>25.901308324550367</c:v>
                </c:pt>
                <c:pt idx="7">
                  <c:v>26.125676805771104</c:v>
                </c:pt>
                <c:pt idx="8">
                  <c:v>26.359220531737066</c:v>
                </c:pt>
                <c:pt idx="9">
                  <c:v>26.60620544796318</c:v>
                </c:pt>
                <c:pt idx="10">
                  <c:v>26.865265258650759</c:v>
                </c:pt>
                <c:pt idx="11">
                  <c:v>27.135157456791628</c:v>
                </c:pt>
                <c:pt idx="12">
                  <c:v>27.414639806573277</c:v>
                </c:pt>
                <c:pt idx="13">
                  <c:v>27.702470382774077</c:v>
                </c:pt>
                <c:pt idx="14">
                  <c:v>27.997407569644402</c:v>
                </c:pt>
                <c:pt idx="15">
                  <c:v>28.297812615099101</c:v>
                </c:pt>
                <c:pt idx="16">
                  <c:v>28.602475320188542</c:v>
                </c:pt>
                <c:pt idx="17">
                  <c:v>28.910154898572877</c:v>
                </c:pt>
                <c:pt idx="18">
                  <c:v>29.219610996018346</c:v>
                </c:pt>
                <c:pt idx="19">
                  <c:v>29.529600355363506</c:v>
                </c:pt>
                <c:pt idx="20">
                  <c:v>29.838878547029839</c:v>
                </c:pt>
                <c:pt idx="21">
                  <c:v>30.146204076144965</c:v>
                </c:pt>
                <c:pt idx="22">
                  <c:v>30.455006299623953</c:v>
                </c:pt>
                <c:pt idx="23">
                  <c:v>30.769028286757319</c:v>
                </c:pt>
                <c:pt idx="24">
                  <c:v>31.087899390686815</c:v>
                </c:pt>
                <c:pt idx="25">
                  <c:v>31.410893611166745</c:v>
                </c:pt>
                <c:pt idx="26">
                  <c:v>31.737285134312064</c:v>
                </c:pt>
                <c:pt idx="27">
                  <c:v>32.066348333063203</c:v>
                </c:pt>
                <c:pt idx="28">
                  <c:v>32.39735776419775</c:v>
                </c:pt>
                <c:pt idx="29">
                  <c:v>32.730522469298421</c:v>
                </c:pt>
                <c:pt idx="30">
                  <c:v>33.065515176645469</c:v>
                </c:pt>
                <c:pt idx="31">
                  <c:v>33.401610778136025</c:v>
                </c:pt>
                <c:pt idx="32">
                  <c:v>33.738084327183941</c:v>
                </c:pt>
                <c:pt idx="33">
                  <c:v>34.074211047254394</c:v>
                </c:pt>
                <c:pt idx="34">
                  <c:v>34.409266340315774</c:v>
                </c:pt>
                <c:pt idx="35">
                  <c:v>34.742525792818022</c:v>
                </c:pt>
                <c:pt idx="36">
                  <c:v>35.075298269459424</c:v>
                </c:pt>
                <c:pt idx="37">
                  <c:v>35.410652558809161</c:v>
                </c:pt>
                <c:pt idx="38">
                  <c:v>35.74851415972784</c:v>
                </c:pt>
                <c:pt idx="39">
                  <c:v>36.088778783272637</c:v>
                </c:pt>
                <c:pt idx="40">
                  <c:v>36.431342249960551</c:v>
                </c:pt>
                <c:pt idx="41">
                  <c:v>36.776100501822015</c:v>
                </c:pt>
                <c:pt idx="42">
                  <c:v>37.122949613297742</c:v>
                </c:pt>
                <c:pt idx="43">
                  <c:v>37.472421243627288</c:v>
                </c:pt>
                <c:pt idx="44">
                  <c:v>37.823479121725327</c:v>
                </c:pt>
                <c:pt idx="45">
                  <c:v>38.176020463954636</c:v>
                </c:pt>
                <c:pt idx="46">
                  <c:v>38.529942706046043</c:v>
                </c:pt>
                <c:pt idx="47">
                  <c:v>38.885143518947821</c:v>
                </c:pt>
                <c:pt idx="48">
                  <c:v>39.241520828640539</c:v>
                </c:pt>
                <c:pt idx="49">
                  <c:v>39.598972835741641</c:v>
                </c:pt>
                <c:pt idx="50">
                  <c:v>39.957656249414043</c:v>
                </c:pt>
                <c:pt idx="51">
                  <c:v>40.317203322490442</c:v>
                </c:pt>
                <c:pt idx="52">
                  <c:v>40.676270750185395</c:v>
                </c:pt>
                <c:pt idx="53">
                  <c:v>41.034862879805573</c:v>
                </c:pt>
                <c:pt idx="54">
                  <c:v>41.392981436946449</c:v>
                </c:pt>
                <c:pt idx="55">
                  <c:v>41.750628145145733</c:v>
                </c:pt>
                <c:pt idx="56">
                  <c:v>42.107804741308222</c:v>
                </c:pt>
                <c:pt idx="57">
                  <c:v>42.46322411185789</c:v>
                </c:pt>
                <c:pt idx="58">
                  <c:v>42.81624829253159</c:v>
                </c:pt>
                <c:pt idx="59">
                  <c:v>43.166877293022104</c:v>
                </c:pt>
                <c:pt idx="60">
                  <c:v>43.515111054679032</c:v>
                </c:pt>
                <c:pt idx="61">
                  <c:v>43.860949457043766</c:v>
                </c:pt>
                <c:pt idx="62">
                  <c:v>44.204392321496385</c:v>
                </c:pt>
                <c:pt idx="63">
                  <c:v>44.545439412868767</c:v>
                </c:pt>
                <c:pt idx="64">
                  <c:v>44.885208340473959</c:v>
                </c:pt>
                <c:pt idx="65">
                  <c:v>45.223683945496489</c:v>
                </c:pt>
                <c:pt idx="66">
                  <c:v>45.560941577644805</c:v>
                </c:pt>
                <c:pt idx="67">
                  <c:v>45.89646330959706</c:v>
                </c:pt>
                <c:pt idx="68">
                  <c:v>46.229731144379343</c:v>
                </c:pt>
                <c:pt idx="69">
                  <c:v>46.560226991404676</c:v>
                </c:pt>
                <c:pt idx="70">
                  <c:v>46.887432641604839</c:v>
                </c:pt>
                <c:pt idx="71">
                  <c:v>47.210968713647077</c:v>
                </c:pt>
                <c:pt idx="72">
                  <c:v>47.531610756775336</c:v>
                </c:pt>
                <c:pt idx="73">
                  <c:v>47.84884139538724</c:v>
                </c:pt>
                <c:pt idx="74">
                  <c:v>48.162143187744583</c:v>
                </c:pt>
                <c:pt idx="75">
                  <c:v>48.470998610413623</c:v>
                </c:pt>
                <c:pt idx="76">
                  <c:v>48.774890043822829</c:v>
                </c:pt>
                <c:pt idx="77">
                  <c:v>49.073299757531387</c:v>
                </c:pt>
                <c:pt idx="78">
                  <c:v>49.368785657656744</c:v>
                </c:pt>
                <c:pt idx="79">
                  <c:v>49.664099151140704</c:v>
                </c:pt>
                <c:pt idx="80">
                  <c:v>49.959208342191637</c:v>
                </c:pt>
                <c:pt idx="81">
                  <c:v>50.253287667781507</c:v>
                </c:pt>
                <c:pt idx="82">
                  <c:v>50.545511822951809</c:v>
                </c:pt>
                <c:pt idx="83">
                  <c:v>50.835055772711179</c:v>
                </c:pt>
                <c:pt idx="84">
                  <c:v>51.121094768420257</c:v>
                </c:pt>
                <c:pt idx="85">
                  <c:v>51.402951402224119</c:v>
                </c:pt>
                <c:pt idx="86">
                  <c:v>51.679664243148757</c:v>
                </c:pt>
                <c:pt idx="87">
                  <c:v>51.950410241761816</c:v>
                </c:pt>
                <c:pt idx="88">
                  <c:v>52.214366746381216</c:v>
                </c:pt>
                <c:pt idx="89">
                  <c:v>52.470711516556413</c:v>
                </c:pt>
                <c:pt idx="90">
                  <c:v>52.718622741511822</c:v>
                </c:pt>
                <c:pt idx="91">
                  <c:v>52.957279055729998</c:v>
                </c:pt>
                <c:pt idx="92">
                  <c:v>53.187026939156866</c:v>
                </c:pt>
                <c:pt idx="93">
                  <c:v>53.409125784833861</c:v>
                </c:pt>
                <c:pt idx="94">
                  <c:v>53.623584220852322</c:v>
                </c:pt>
                <c:pt idx="95">
                  <c:v>53.83081657934175</c:v>
                </c:pt>
                <c:pt idx="96">
                  <c:v>54.031237251981793</c:v>
                </c:pt>
                <c:pt idx="97">
                  <c:v>54.225260698370661</c:v>
                </c:pt>
                <c:pt idx="98">
                  <c:v>54.413301451366664</c:v>
                </c:pt>
                <c:pt idx="99">
                  <c:v>54.595586130896187</c:v>
                </c:pt>
                <c:pt idx="100">
                  <c:v>54.77237858435155</c:v>
                </c:pt>
                <c:pt idx="101">
                  <c:v>54.944092204666767</c:v>
                </c:pt>
                <c:pt idx="102">
                  <c:v>55.111140356979718</c:v>
                </c:pt>
                <c:pt idx="103">
                  <c:v>55.273936373198772</c:v>
                </c:pt>
                <c:pt idx="104">
                  <c:v>55.432893559539004</c:v>
                </c:pt>
                <c:pt idx="105">
                  <c:v>55.588425197631622</c:v>
                </c:pt>
                <c:pt idx="106">
                  <c:v>55.739469558719158</c:v>
                </c:pt>
                <c:pt idx="107">
                  <c:v>55.884630608997725</c:v>
                </c:pt>
                <c:pt idx="108">
                  <c:v>56.024021033250435</c:v>
                </c:pt>
                <c:pt idx="109">
                  <c:v>56.157845272618857</c:v>
                </c:pt>
                <c:pt idx="110">
                  <c:v>56.28630719535186</c:v>
                </c:pt>
                <c:pt idx="111">
                  <c:v>56.409610464931504</c:v>
                </c:pt>
                <c:pt idx="112">
                  <c:v>56.527958878418978</c:v>
                </c:pt>
                <c:pt idx="113">
                  <c:v>56.641785698166501</c:v>
                </c:pt>
                <c:pt idx="114">
                  <c:v>56.751485914378549</c:v>
                </c:pt>
                <c:pt idx="115">
                  <c:v>56.85726444177471</c:v>
                </c:pt>
                <c:pt idx="116">
                  <c:v>56.959326074068493</c:v>
                </c:pt>
                <c:pt idx="117">
                  <c:v>57.057875473558809</c:v>
                </c:pt>
                <c:pt idx="118">
                  <c:v>57.153117173093257</c:v>
                </c:pt>
                <c:pt idx="119">
                  <c:v>58.300540763227836</c:v>
                </c:pt>
                <c:pt idx="120">
                  <c:v>58.387246286582922</c:v>
                </c:pt>
                <c:pt idx="121">
                  <c:v>58.469447916671257</c:v>
                </c:pt>
                <c:pt idx="122">
                  <c:v>58.547574297290204</c:v>
                </c:pt>
                <c:pt idx="123">
                  <c:v>58.621841216180414</c:v>
                </c:pt>
                <c:pt idx="124">
                  <c:v>58.692464635452481</c:v>
                </c:pt>
                <c:pt idx="125">
                  <c:v>58.75966068498019</c:v>
                </c:pt>
                <c:pt idx="126">
                  <c:v>58.823645657354149</c:v>
                </c:pt>
                <c:pt idx="127">
                  <c:v>58.884565825770423</c:v>
                </c:pt>
                <c:pt idx="128">
                  <c:v>58.942397959545978</c:v>
                </c:pt>
                <c:pt idx="129">
                  <c:v>58.99735779146701</c:v>
                </c:pt>
                <c:pt idx="130">
                  <c:v>59.049661191637099</c:v>
                </c:pt>
                <c:pt idx="131">
                  <c:v>59.099524159409434</c:v>
                </c:pt>
                <c:pt idx="132">
                  <c:v>59.147162822772543</c:v>
                </c:pt>
                <c:pt idx="133">
                  <c:v>59.192793430593341</c:v>
                </c:pt>
                <c:pt idx="134">
                  <c:v>59.236109853643704</c:v>
                </c:pt>
                <c:pt idx="135">
                  <c:v>59.276515185285007</c:v>
                </c:pt>
                <c:pt idx="136">
                  <c:v>59.313807042563759</c:v>
                </c:pt>
                <c:pt idx="137">
                  <c:v>59.347987265005358</c:v>
                </c:pt>
                <c:pt idx="138">
                  <c:v>59.379057680755572</c:v>
                </c:pt>
                <c:pt idx="139">
                  <c:v>59.407020105495178</c:v>
                </c:pt>
                <c:pt idx="140">
                  <c:v>59.431876345645613</c:v>
                </c:pt>
                <c:pt idx="141">
                  <c:v>59.453489534879459</c:v>
                </c:pt>
                <c:pt idx="142">
                  <c:v>59.471925986898057</c:v>
                </c:pt>
                <c:pt idx="143">
                  <c:v>59.487183698171783</c:v>
                </c:pt>
                <c:pt idx="144">
                  <c:v>59.499260302821035</c:v>
                </c:pt>
                <c:pt idx="145">
                  <c:v>59.508153348022354</c:v>
                </c:pt>
                <c:pt idx="146">
                  <c:v>59.513860302269613</c:v>
                </c:pt>
                <c:pt idx="147">
                  <c:v>59.516378556304062</c:v>
                </c:pt>
                <c:pt idx="148">
                  <c:v>59.51570543680559</c:v>
                </c:pt>
                <c:pt idx="149">
                  <c:v>59.511777855172816</c:v>
                </c:pt>
                <c:pt idx="150">
                  <c:v>59.504751864231046</c:v>
                </c:pt>
                <c:pt idx="151">
                  <c:v>59.49462447505752</c:v>
                </c:pt>
                <c:pt idx="152">
                  <c:v>59.481392629182537</c:v>
                </c:pt>
                <c:pt idx="153">
                  <c:v>59.465053203692115</c:v>
                </c:pt>
                <c:pt idx="154">
                  <c:v>59.445603026095696</c:v>
                </c:pt>
                <c:pt idx="155">
                  <c:v>59.423042879249927</c:v>
                </c:pt>
                <c:pt idx="156">
                  <c:v>59.397524199051681</c:v>
                </c:pt>
                <c:pt idx="157">
                  <c:v>59.36904703342973</c:v>
                </c:pt>
                <c:pt idx="158">
                  <c:v>59.337611406533938</c:v>
                </c:pt>
                <c:pt idx="159">
                  <c:v>59.303217323309525</c:v>
                </c:pt>
                <c:pt idx="160">
                  <c:v>59.265864769251579</c:v>
                </c:pt>
                <c:pt idx="161">
                  <c:v>59.225553715846125</c:v>
                </c:pt>
                <c:pt idx="162">
                  <c:v>59.182284121056341</c:v>
                </c:pt>
                <c:pt idx="163">
                  <c:v>59.1360550498827</c:v>
                </c:pt>
                <c:pt idx="164">
                  <c:v>59.086936516487924</c:v>
                </c:pt>
                <c:pt idx="165">
                  <c:v>59.03493037510875</c:v>
                </c:pt>
                <c:pt idx="166">
                  <c:v>58.980038451358297</c:v>
                </c:pt>
                <c:pt idx="167">
                  <c:v>58.922262534401334</c:v>
                </c:pt>
                <c:pt idx="168">
                  <c:v>58.861604376314297</c:v>
                </c:pt>
                <c:pt idx="169">
                  <c:v>58.798064842037427</c:v>
                </c:pt>
                <c:pt idx="170">
                  <c:v>58.731641379090938</c:v>
                </c:pt>
                <c:pt idx="171">
                  <c:v>58.66233558780425</c:v>
                </c:pt>
                <c:pt idx="172">
                  <c:v>58.590149019482737</c:v>
                </c:pt>
                <c:pt idx="173">
                  <c:v>58.515083343245514</c:v>
                </c:pt>
                <c:pt idx="174">
                  <c:v>58.437140187819544</c:v>
                </c:pt>
                <c:pt idx="175">
                  <c:v>58.356320980147551</c:v>
                </c:pt>
                <c:pt idx="176">
                  <c:v>58.27195158713814</c:v>
                </c:pt>
                <c:pt idx="177">
                  <c:v>58.183570322873408</c:v>
                </c:pt>
                <c:pt idx="178">
                  <c:v>58.091491421933398</c:v>
                </c:pt>
                <c:pt idx="179">
                  <c:v>57.996028097825139</c:v>
                </c:pt>
                <c:pt idx="180">
                  <c:v>57.897493349609071</c:v>
                </c:pt>
                <c:pt idx="181">
                  <c:v>57.796199966342719</c:v>
                </c:pt>
                <c:pt idx="182">
                  <c:v>57.692460531659471</c:v>
                </c:pt>
                <c:pt idx="183">
                  <c:v>57.586506649205674</c:v>
                </c:pt>
                <c:pt idx="184">
                  <c:v>57.478649882392411</c:v>
                </c:pt>
                <c:pt idx="185">
                  <c:v>57.369200890712136</c:v>
                </c:pt>
                <c:pt idx="186">
                  <c:v>57.258470211839196</c:v>
                </c:pt>
                <c:pt idx="187">
                  <c:v>57.146768262849719</c:v>
                </c:pt>
                <c:pt idx="188">
                  <c:v>57.03440534343914</c:v>
                </c:pt>
                <c:pt idx="189">
                  <c:v>56.921691638829557</c:v>
                </c:pt>
                <c:pt idx="190">
                  <c:v>56.807934386921566</c:v>
                </c:pt>
                <c:pt idx="191">
                  <c:v>56.692117831414336</c:v>
                </c:pt>
                <c:pt idx="192">
                  <c:v>56.574339132382036</c:v>
                </c:pt>
                <c:pt idx="193">
                  <c:v>56.454699996972032</c:v>
                </c:pt>
                <c:pt idx="194">
                  <c:v>56.333302233117699</c:v>
                </c:pt>
                <c:pt idx="195">
                  <c:v>56.210247745311634</c:v>
                </c:pt>
                <c:pt idx="196">
                  <c:v>56.085638528561788</c:v>
                </c:pt>
                <c:pt idx="197">
                  <c:v>55.959398646679205</c:v>
                </c:pt>
                <c:pt idx="198">
                  <c:v>55.831716341553303</c:v>
                </c:pt>
                <c:pt idx="199">
                  <c:v>55.702694441721448</c:v>
                </c:pt>
                <c:pt idx="200">
                  <c:v>55.572435819048287</c:v>
                </c:pt>
                <c:pt idx="201">
                  <c:v>55.44104337955639</c:v>
                </c:pt>
                <c:pt idx="202">
                  <c:v>55.308620055544772</c:v>
                </c:pt>
                <c:pt idx="203">
                  <c:v>55.175268797718545</c:v>
                </c:pt>
                <c:pt idx="204">
                  <c:v>55.040609371424409</c:v>
                </c:pt>
                <c:pt idx="205">
                  <c:v>54.904217238635802</c:v>
                </c:pt>
                <c:pt idx="206">
                  <c:v>54.766387910131883</c:v>
                </c:pt>
                <c:pt idx="207">
                  <c:v>54.627226479726744</c:v>
                </c:pt>
                <c:pt idx="208">
                  <c:v>54.486837950083221</c:v>
                </c:pt>
                <c:pt idx="209">
                  <c:v>54.34532723327289</c:v>
                </c:pt>
                <c:pt idx="210">
                  <c:v>54.202799154484261</c:v>
                </c:pt>
                <c:pt idx="211">
                  <c:v>54.059666184316967</c:v>
                </c:pt>
                <c:pt idx="212">
                  <c:v>53.916213258490096</c:v>
                </c:pt>
                <c:pt idx="213">
                  <c:v>53.772546252180625</c:v>
                </c:pt>
                <c:pt idx="214">
                  <c:v>53.628770853383912</c:v>
                </c:pt>
                <c:pt idx="215">
                  <c:v>53.484992571816235</c:v>
                </c:pt>
                <c:pt idx="216">
                  <c:v>53.341316748068245</c:v>
                </c:pt>
                <c:pt idx="217">
                  <c:v>53.197848561303068</c:v>
                </c:pt>
                <c:pt idx="218">
                  <c:v>53.055106594948093</c:v>
                </c:pt>
                <c:pt idx="219">
                  <c:v>52.913585460081315</c:v>
                </c:pt>
                <c:pt idx="220">
                  <c:v>52.77301739556593</c:v>
                </c:pt>
                <c:pt idx="221">
                  <c:v>52.633092696798329</c:v>
                </c:pt>
                <c:pt idx="222">
                  <c:v>52.493501764171995</c:v>
                </c:pt>
                <c:pt idx="223">
                  <c:v>52.353935103223549</c:v>
                </c:pt>
                <c:pt idx="224">
                  <c:v>52.214083323062368</c:v>
                </c:pt>
                <c:pt idx="225">
                  <c:v>52.073278142466137</c:v>
                </c:pt>
                <c:pt idx="226">
                  <c:v>51.930896990109062</c:v>
                </c:pt>
                <c:pt idx="227">
                  <c:v>51.786629424998068</c:v>
                </c:pt>
                <c:pt idx="228">
                  <c:v>51.640165265164512</c:v>
                </c:pt>
                <c:pt idx="229">
                  <c:v>51.491194581620171</c:v>
                </c:pt>
                <c:pt idx="230">
                  <c:v>51.339407693980625</c:v>
                </c:pt>
                <c:pt idx="231">
                  <c:v>51.18449516220101</c:v>
                </c:pt>
                <c:pt idx="232">
                  <c:v>51.027592857650653</c:v>
                </c:pt>
                <c:pt idx="233">
                  <c:v>50.869640395822024</c:v>
                </c:pt>
                <c:pt idx="234">
                  <c:v>50.710078152982341</c:v>
                </c:pt>
                <c:pt idx="235">
                  <c:v>50.548597183519128</c:v>
                </c:pt>
                <c:pt idx="236">
                  <c:v>50.384888700365259</c:v>
                </c:pt>
                <c:pt idx="237">
                  <c:v>50.218644260425215</c:v>
                </c:pt>
                <c:pt idx="238">
                  <c:v>50.049555645483572</c:v>
                </c:pt>
                <c:pt idx="239">
                  <c:v>49.877483823390101</c:v>
                </c:pt>
                <c:pt idx="240">
                  <c:v>49.70248265467248</c:v>
                </c:pt>
                <c:pt idx="241">
                  <c:v>49.524244858336239</c:v>
                </c:pt>
                <c:pt idx="242">
                  <c:v>49.342463273291159</c:v>
                </c:pt>
                <c:pt idx="243">
                  <c:v>49.15683086164141</c:v>
                </c:pt>
                <c:pt idx="244">
                  <c:v>48.96704071167116</c:v>
                </c:pt>
                <c:pt idx="245">
                  <c:v>48.772786043508034</c:v>
                </c:pt>
                <c:pt idx="246">
                  <c:v>48.574309823862301</c:v>
                </c:pt>
                <c:pt idx="247">
                  <c:v>48.372363647389982</c:v>
                </c:pt>
                <c:pt idx="248">
                  <c:v>48.167246622582255</c:v>
                </c:pt>
                <c:pt idx="249">
                  <c:v>47.9590634045001</c:v>
                </c:pt>
                <c:pt idx="250">
                  <c:v>47.747918558683999</c:v>
                </c:pt>
                <c:pt idx="251">
                  <c:v>47.533916560412948</c:v>
                </c:pt>
                <c:pt idx="252">
                  <c:v>47.317161793668838</c:v>
                </c:pt>
                <c:pt idx="253">
                  <c:v>47.098367982236397</c:v>
                </c:pt>
                <c:pt idx="254">
                  <c:v>46.877469675768126</c:v>
                </c:pt>
                <c:pt idx="255">
                  <c:v>46.654570264661132</c:v>
                </c:pt>
                <c:pt idx="256">
                  <c:v>46.429772965370248</c:v>
                </c:pt>
                <c:pt idx="257">
                  <c:v>46.20318081768567</c:v>
                </c:pt>
                <c:pt idx="258">
                  <c:v>45.974896672985409</c:v>
                </c:pt>
                <c:pt idx="259">
                  <c:v>45.745023186901108</c:v>
                </c:pt>
                <c:pt idx="260">
                  <c:v>45.5129597104116</c:v>
                </c:pt>
                <c:pt idx="261">
                  <c:v>45.278248382134301</c:v>
                </c:pt>
                <c:pt idx="262">
                  <c:v>45.040861672401739</c:v>
                </c:pt>
                <c:pt idx="263">
                  <c:v>44.801004729239814</c:v>
                </c:pt>
                <c:pt idx="264">
                  <c:v>44.558882436631727</c:v>
                </c:pt>
                <c:pt idx="265">
                  <c:v>44.3146980870956</c:v>
                </c:pt>
                <c:pt idx="266">
                  <c:v>44.068655496974465</c:v>
                </c:pt>
                <c:pt idx="267">
                  <c:v>43.819551716612494</c:v>
                </c:pt>
                <c:pt idx="268">
                  <c:v>43.566991065555669</c:v>
                </c:pt>
                <c:pt idx="269">
                  <c:v>43.311183090130918</c:v>
                </c:pt>
                <c:pt idx="270">
                  <c:v>43.052337519599526</c:v>
                </c:pt>
                <c:pt idx="271">
                  <c:v>42.790664293584143</c:v>
                </c:pt>
                <c:pt idx="272">
                  <c:v>42.526373587036048</c:v>
                </c:pt>
                <c:pt idx="273">
                  <c:v>42.259675832459905</c:v>
                </c:pt>
                <c:pt idx="274">
                  <c:v>41.989377651903119</c:v>
                </c:pt>
                <c:pt idx="275">
                  <c:v>41.712460066714968</c:v>
                </c:pt>
                <c:pt idx="276">
                  <c:v>41.429275946888282</c:v>
                </c:pt>
                <c:pt idx="277">
                  <c:v>41.140251759500714</c:v>
                </c:pt>
                <c:pt idx="278">
                  <c:v>40.845814949086517</c:v>
                </c:pt>
                <c:pt idx="279">
                  <c:v>40.546393973859509</c:v>
                </c:pt>
                <c:pt idx="280">
                  <c:v>40.242418339460812</c:v>
                </c:pt>
                <c:pt idx="281">
                  <c:v>39.933701250397988</c:v>
                </c:pt>
                <c:pt idx="282">
                  <c:v>39.622059925166553</c:v>
                </c:pt>
                <c:pt idx="283">
                  <c:v>39.307923547877067</c:v>
                </c:pt>
                <c:pt idx="284">
                  <c:v>38.991722059024973</c:v>
                </c:pt>
                <c:pt idx="285">
                  <c:v>38.673886137324047</c:v>
                </c:pt>
                <c:pt idx="286">
                  <c:v>38.354847169408117</c:v>
                </c:pt>
                <c:pt idx="287">
                  <c:v>38.035037211915984</c:v>
                </c:pt>
                <c:pt idx="288">
                  <c:v>37.713196133253675</c:v>
                </c:pt>
                <c:pt idx="289">
                  <c:v>37.389322101561653</c:v>
                </c:pt>
                <c:pt idx="290">
                  <c:v>37.065651668465421</c:v>
                </c:pt>
                <c:pt idx="291">
                  <c:v>36.742495254424803</c:v>
                </c:pt>
                <c:pt idx="292">
                  <c:v>36.420162445788229</c:v>
                </c:pt>
                <c:pt idx="293">
                  <c:v>36.098961958946568</c:v>
                </c:pt>
                <c:pt idx="294">
                  <c:v>35.779201610719291</c:v>
                </c:pt>
                <c:pt idx="295">
                  <c:v>35.463215088362105</c:v>
                </c:pt>
                <c:pt idx="296">
                  <c:v>35.151878933883161</c:v>
                </c:pt>
                <c:pt idx="297">
                  <c:v>34.845468032567574</c:v>
                </c:pt>
                <c:pt idx="298">
                  <c:v>34.544262808923371</c:v>
                </c:pt>
                <c:pt idx="299">
                  <c:v>34.248542462248125</c:v>
                </c:pt>
                <c:pt idx="300">
                  <c:v>33.958585051217064</c:v>
                </c:pt>
                <c:pt idx="301">
                  <c:v>33.674667596613034</c:v>
                </c:pt>
                <c:pt idx="302">
                  <c:v>33.396519730881664</c:v>
                </c:pt>
                <c:pt idx="303">
                  <c:v>33.124602727757001</c:v>
                </c:pt>
                <c:pt idx="304">
                  <c:v>32.857497477935595</c:v>
                </c:pt>
                <c:pt idx="305">
                  <c:v>32.595070925317629</c:v>
                </c:pt>
                <c:pt idx="306">
                  <c:v>32.337189799343328</c:v>
                </c:pt>
                <c:pt idx="307">
                  <c:v>32.083720750248013</c:v>
                </c:pt>
                <c:pt idx="308">
                  <c:v>31.834530490641818</c:v>
                </c:pt>
                <c:pt idx="309">
                  <c:v>31.589271683832855</c:v>
                </c:pt>
                <c:pt idx="310">
                  <c:v>31.345868976103581</c:v>
                </c:pt>
                <c:pt idx="311">
                  <c:v>31.104208427774033</c:v>
                </c:pt>
                <c:pt idx="312">
                  <c:v>30.864176450941734</c:v>
                </c:pt>
                <c:pt idx="313">
                  <c:v>30.62565986168644</c:v>
                </c:pt>
                <c:pt idx="314">
                  <c:v>30.388545929949352</c:v>
                </c:pt>
                <c:pt idx="315">
                  <c:v>30.152722424359926</c:v>
                </c:pt>
                <c:pt idx="316">
                  <c:v>29.91744660324812</c:v>
                </c:pt>
                <c:pt idx="317">
                  <c:v>29.681636300115432</c:v>
                </c:pt>
                <c:pt idx="318">
                  <c:v>29.444734516158015</c:v>
                </c:pt>
                <c:pt idx="319">
                  <c:v>29.207155902127582</c:v>
                </c:pt>
                <c:pt idx="320">
                  <c:v>28.969315101495216</c:v>
                </c:pt>
                <c:pt idx="321">
                  <c:v>28.731626728455755</c:v>
                </c:pt>
                <c:pt idx="322">
                  <c:v>28.494505348089152</c:v>
                </c:pt>
                <c:pt idx="323">
                  <c:v>28.257732399888166</c:v>
                </c:pt>
                <c:pt idx="324">
                  <c:v>28.021932767638024</c:v>
                </c:pt>
                <c:pt idx="325">
                  <c:v>27.787523653163301</c:v>
                </c:pt>
                <c:pt idx="326">
                  <c:v>27.554926989429635</c:v>
                </c:pt>
                <c:pt idx="327">
                  <c:v>27.32456098671955</c:v>
                </c:pt>
                <c:pt idx="328">
                  <c:v>27.096839463502395</c:v>
                </c:pt>
                <c:pt idx="329">
                  <c:v>26.872175984038631</c:v>
                </c:pt>
                <c:pt idx="330">
                  <c:v>26.646640165404914</c:v>
                </c:pt>
                <c:pt idx="331">
                  <c:v>26.417150240369804</c:v>
                </c:pt>
                <c:pt idx="332">
                  <c:v>26.185902436893844</c:v>
                </c:pt>
                <c:pt idx="333">
                  <c:v>25.954430519679235</c:v>
                </c:pt>
                <c:pt idx="334">
                  <c:v>25.724267727416152</c:v>
                </c:pt>
                <c:pt idx="335">
                  <c:v>25.49694675926974</c:v>
                </c:pt>
                <c:pt idx="336">
                  <c:v>25.273999752409793</c:v>
                </c:pt>
                <c:pt idx="337">
                  <c:v>25.057286995135943</c:v>
                </c:pt>
                <c:pt idx="338">
                  <c:v>24.848952527895417</c:v>
                </c:pt>
                <c:pt idx="339">
                  <c:v>24.650522723171061</c:v>
                </c:pt>
                <c:pt idx="340">
                  <c:v>24.463523763802058</c:v>
                </c:pt>
                <c:pt idx="341">
                  <c:v>24.289481619119343</c:v>
                </c:pt>
                <c:pt idx="342">
                  <c:v>24.129922023142672</c:v>
                </c:pt>
                <c:pt idx="343">
                  <c:v>23.986370461863899</c:v>
                </c:pt>
                <c:pt idx="344">
                  <c:v>23.854264816618631</c:v>
                </c:pt>
                <c:pt idx="345">
                  <c:v>23.728719700717782</c:v>
                </c:pt>
                <c:pt idx="346">
                  <c:v>23.610741793981422</c:v>
                </c:pt>
                <c:pt idx="347">
                  <c:v>23.501371304469554</c:v>
                </c:pt>
                <c:pt idx="348">
                  <c:v>23.401648265826584</c:v>
                </c:pt>
                <c:pt idx="349">
                  <c:v>23.312612490134764</c:v>
                </c:pt>
                <c:pt idx="350">
                  <c:v>23.235303569612363</c:v>
                </c:pt>
                <c:pt idx="351">
                  <c:v>23.170822896252776</c:v>
                </c:pt>
                <c:pt idx="352">
                  <c:v>23.119885530895424</c:v>
                </c:pt>
                <c:pt idx="353">
                  <c:v>23.083530562090374</c:v>
                </c:pt>
                <c:pt idx="354">
                  <c:v>23.06279665266845</c:v>
                </c:pt>
                <c:pt idx="355">
                  <c:v>23.058722017479308</c:v>
                </c:pt>
                <c:pt idx="356">
                  <c:v>23.072347421396938</c:v>
                </c:pt>
                <c:pt idx="357">
                  <c:v>23.104708305831302</c:v>
                </c:pt>
                <c:pt idx="358">
                  <c:v>23.156956360906616</c:v>
                </c:pt>
                <c:pt idx="359">
                  <c:v>23.228772850415176</c:v>
                </c:pt>
                <c:pt idx="360">
                  <c:v>23.319316686959176</c:v>
                </c:pt>
                <c:pt idx="361">
                  <c:v>23.427361871388278</c:v>
                </c:pt>
                <c:pt idx="362">
                  <c:v>23.551744732760579</c:v>
                </c:pt>
                <c:pt idx="363">
                  <c:v>23.691301977313763</c:v>
                </c:pt>
                <c:pt idx="364">
                  <c:v>23.844870667043473</c:v>
                </c:pt>
                <c:pt idx="365">
                  <c:v>24.268054023014344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24.420353268352475</c:v>
                </c:pt>
                <c:pt idx="1">
                  <c:v>16.532858710457308</c:v>
                </c:pt>
                <c:pt idx="2">
                  <c:v>18.746401829640732</c:v>
                </c:pt>
                <c:pt idx="3">
                  <c:v>19.053634526339813</c:v>
                </c:pt>
                <c:pt idx="4">
                  <c:v>13.776214916233222</c:v>
                </c:pt>
                <c:pt idx="5">
                  <c:v>25.909763094812277</c:v>
                </c:pt>
                <c:pt idx="6">
                  <c:v>8.9023767297619489</c:v>
                </c:pt>
                <c:pt idx="7">
                  <c:v>6.1967399645597974</c:v>
                </c:pt>
                <c:pt idx="8">
                  <c:v>1.7672180744673924</c:v>
                </c:pt>
                <c:pt idx="9">
                  <c:v>1.4221792712581702</c:v>
                </c:pt>
                <c:pt idx="10">
                  <c:v>24.725454226754476</c:v>
                </c:pt>
                <c:pt idx="11">
                  <c:v>21.132355635852253</c:v>
                </c:pt>
                <c:pt idx="12">
                  <c:v>6.4134018324579394</c:v>
                </c:pt>
                <c:pt idx="13">
                  <c:v>27.523692857523141</c:v>
                </c:pt>
                <c:pt idx="14">
                  <c:v>28.343363315750842</c:v>
                </c:pt>
                <c:pt idx="15">
                  <c:v>28.04501475103276</c:v>
                </c:pt>
                <c:pt idx="16">
                  <c:v>18.16859044840027</c:v>
                </c:pt>
                <c:pt idx="17">
                  <c:v>4.7808447420891333</c:v>
                </c:pt>
                <c:pt idx="18">
                  <c:v>12.079336360136066</c:v>
                </c:pt>
                <c:pt idx="19">
                  <c:v>5.0093254448492024</c:v>
                </c:pt>
                <c:pt idx="20">
                  <c:v>19.124644967420096</c:v>
                </c:pt>
                <c:pt idx="21">
                  <c:v>29.568325951947969</c:v>
                </c:pt>
                <c:pt idx="22">
                  <c:v>29.928307475793691</c:v>
                </c:pt>
                <c:pt idx="23">
                  <c:v>30.448516511243191</c:v>
                </c:pt>
                <c:pt idx="24">
                  <c:v>28.438824666596751</c:v>
                </c:pt>
                <c:pt idx="25">
                  <c:v>30.632940546753716</c:v>
                </c:pt>
                <c:pt idx="26">
                  <c:v>30.420264207165317</c:v>
                </c:pt>
                <c:pt idx="27">
                  <c:v>4.1491942078358717</c:v>
                </c:pt>
                <c:pt idx="28">
                  <c:v>6.386533156872094</c:v>
                </c:pt>
                <c:pt idx="29">
                  <c:v>5.7586176428577742</c:v>
                </c:pt>
                <c:pt idx="30">
                  <c:v>7.2038985313040786</c:v>
                </c:pt>
                <c:pt idx="31">
                  <c:v>18.072293665058432</c:v>
                </c:pt>
                <c:pt idx="32">
                  <c:v>6.6338268607158106</c:v>
                </c:pt>
                <c:pt idx="33">
                  <c:v>15.671542581122491</c:v>
                </c:pt>
                <c:pt idx="34">
                  <c:v>14.154505659951324</c:v>
                </c:pt>
                <c:pt idx="35">
                  <c:v>10.397279710889945</c:v>
                </c:pt>
                <c:pt idx="36">
                  <c:v>27.367602932621089</c:v>
                </c:pt>
                <c:pt idx="37">
                  <c:v>12.358711806912842</c:v>
                </c:pt>
                <c:pt idx="38">
                  <c:v>35.575230554971228</c:v>
                </c:pt>
                <c:pt idx="39">
                  <c:v>36.228119494719557</c:v>
                </c:pt>
                <c:pt idx="40">
                  <c:v>34.177916604270848</c:v>
                </c:pt>
                <c:pt idx="41">
                  <c:v>14.338448980074816</c:v>
                </c:pt>
                <c:pt idx="42">
                  <c:v>27.197102863109386</c:v>
                </c:pt>
                <c:pt idx="43">
                  <c:v>34.426385720626151</c:v>
                </c:pt>
                <c:pt idx="44">
                  <c:v>16.394792972580863</c:v>
                </c:pt>
                <c:pt idx="45">
                  <c:v>21.670389125524487</c:v>
                </c:pt>
                <c:pt idx="46">
                  <c:v>9.2540426734239514</c:v>
                </c:pt>
                <c:pt idx="47">
                  <c:v>10.213547664305413</c:v>
                </c:pt>
                <c:pt idx="48">
                  <c:v>34.037080459942722</c:v>
                </c:pt>
                <c:pt idx="49">
                  <c:v>15.607930811808316</c:v>
                </c:pt>
                <c:pt idx="50">
                  <c:v>27.092747192319152</c:v>
                </c:pt>
                <c:pt idx="51">
                  <c:v>20.312947829504612</c:v>
                </c:pt>
                <c:pt idx="52">
                  <c:v>33.644596127120487</c:v>
                </c:pt>
                <c:pt idx="53">
                  <c:v>38.971732166135673</c:v>
                </c:pt>
                <c:pt idx="54">
                  <c:v>25.051193742194826</c:v>
                </c:pt>
                <c:pt idx="55">
                  <c:v>27.255519785419306</c:v>
                </c:pt>
                <c:pt idx="56">
                  <c:v>42.215423601557411</c:v>
                </c:pt>
                <c:pt idx="57">
                  <c:v>22.364994558970618</c:v>
                </c:pt>
                <c:pt idx="58">
                  <c:v>38.720171763558568</c:v>
                </c:pt>
                <c:pt idx="59">
                  <c:v>42.879361650252108</c:v>
                </c:pt>
                <c:pt idx="60">
                  <c:v>14.864646833187557</c:v>
                </c:pt>
                <c:pt idx="61">
                  <c:v>38.75743836511856</c:v>
                </c:pt>
                <c:pt idx="62">
                  <c:v>5.1630150906362218</c:v>
                </c:pt>
                <c:pt idx="63">
                  <c:v>15.897646730119018</c:v>
                </c:pt>
                <c:pt idx="64">
                  <c:v>22.930287449733601</c:v>
                </c:pt>
                <c:pt idx="65">
                  <c:v>35.744070096749176</c:v>
                </c:pt>
                <c:pt idx="66">
                  <c:v>36.14870937304476</c:v>
                </c:pt>
                <c:pt idx="67">
                  <c:v>32.942239354588274</c:v>
                </c:pt>
                <c:pt idx="68">
                  <c:v>26.496390163673549</c:v>
                </c:pt>
                <c:pt idx="69">
                  <c:v>18.539211057174519</c:v>
                </c:pt>
                <c:pt idx="70">
                  <c:v>13.523830309607106</c:v>
                </c:pt>
                <c:pt idx="71">
                  <c:v>10.044874029046067</c:v>
                </c:pt>
                <c:pt idx="72">
                  <c:v>13.612947995629643</c:v>
                </c:pt>
                <c:pt idx="73">
                  <c:v>16.635112651049049</c:v>
                </c:pt>
                <c:pt idx="74">
                  <c:v>12.126312444759821</c:v>
                </c:pt>
                <c:pt idx="75">
                  <c:v>10.437147855113357</c:v>
                </c:pt>
                <c:pt idx="76">
                  <c:v>13.704608890346059</c:v>
                </c:pt>
                <c:pt idx="77">
                  <c:v>28.557044960558716</c:v>
                </c:pt>
                <c:pt idx="78">
                  <c:v>33.432988827821319</c:v>
                </c:pt>
                <c:pt idx="79">
                  <c:v>46.567729473407383</c:v>
                </c:pt>
                <c:pt idx="80">
                  <c:v>42.801259299740643</c:v>
                </c:pt>
                <c:pt idx="81">
                  <c:v>50.472400071443765</c:v>
                </c:pt>
                <c:pt idx="82">
                  <c:v>49.328523179107492</c:v>
                </c:pt>
                <c:pt idx="83">
                  <c:v>38.915320914580711</c:v>
                </c:pt>
                <c:pt idx="84">
                  <c:v>44.4859472129652</c:v>
                </c:pt>
                <c:pt idx="85">
                  <c:v>47.190203524777033</c:v>
                </c:pt>
                <c:pt idx="86">
                  <c:v>40.271345435293469</c:v>
                </c:pt>
                <c:pt idx="87">
                  <c:v>28.081602302155893</c:v>
                </c:pt>
                <c:pt idx="88">
                  <c:v>6.359869616318135</c:v>
                </c:pt>
                <c:pt idx="89">
                  <c:v>17.607070133005227</c:v>
                </c:pt>
                <c:pt idx="90">
                  <c:v>33.243898582950273</c:v>
                </c:pt>
                <c:pt idx="91">
                  <c:v>17.566959208555048</c:v>
                </c:pt>
                <c:pt idx="92">
                  <c:v>32.683268316989604</c:v>
                </c:pt>
                <c:pt idx="93">
                  <c:v>45.259568553197376</c:v>
                </c:pt>
                <c:pt idx="94">
                  <c:v>53.527720385449292</c:v>
                </c:pt>
                <c:pt idx="95">
                  <c:v>12.319275721743486</c:v>
                </c:pt>
                <c:pt idx="96">
                  <c:v>44.808226646563043</c:v>
                </c:pt>
                <c:pt idx="97">
                  <c:v>39.139060301255476</c:v>
                </c:pt>
                <c:pt idx="98">
                  <c:v>31.553510038165921</c:v>
                </c:pt>
                <c:pt idx="99">
                  <c:v>57.229505560497152</c:v>
                </c:pt>
                <c:pt idx="100">
                  <c:v>45.658111191931539</c:v>
                </c:pt>
                <c:pt idx="101">
                  <c:v>40.050962256768571</c:v>
                </c:pt>
                <c:pt idx="102">
                  <c:v>6.2063840734107041</c:v>
                </c:pt>
                <c:pt idx="103">
                  <c:v>44.822178041408655</c:v>
                </c:pt>
                <c:pt idx="104">
                  <c:v>45.866904066703619</c:v>
                </c:pt>
                <c:pt idx="105">
                  <c:v>37.531136996817644</c:v>
                </c:pt>
                <c:pt idx="106">
                  <c:v>55.269004851321903</c:v>
                </c:pt>
                <c:pt idx="107">
                  <c:v>36.010040958884574</c:v>
                </c:pt>
                <c:pt idx="108">
                  <c:v>9.6487789657739551</c:v>
                </c:pt>
                <c:pt idx="109">
                  <c:v>9.9376311028407258</c:v>
                </c:pt>
                <c:pt idx="110">
                  <c:v>9.1453095438596321</c:v>
                </c:pt>
                <c:pt idx="111">
                  <c:v>28.24118936135622</c:v>
                </c:pt>
                <c:pt idx="112">
                  <c:v>9.6649769631987876</c:v>
                </c:pt>
                <c:pt idx="113">
                  <c:v>27.419389133736473</c:v>
                </c:pt>
                <c:pt idx="114">
                  <c:v>43.255608825106023</c:v>
                </c:pt>
                <c:pt idx="115">
                  <c:v>55.528175569174159</c:v>
                </c:pt>
                <c:pt idx="116">
                  <c:v>42.669525845648948</c:v>
                </c:pt>
                <c:pt idx="117">
                  <c:v>23.939362472765559</c:v>
                </c:pt>
                <c:pt idx="118">
                  <c:v>42.90637738565642</c:v>
                </c:pt>
                <c:pt idx="119">
                  <c:v>41.553492039018735</c:v>
                </c:pt>
                <c:pt idx="120">
                  <c:v>47.363252350836937</c:v>
                </c:pt>
                <c:pt idx="121">
                  <c:v>26.88259347832156</c:v>
                </c:pt>
                <c:pt idx="122">
                  <c:v>33.037807403011605</c:v>
                </c:pt>
                <c:pt idx="123">
                  <c:v>16.715000957583793</c:v>
                </c:pt>
                <c:pt idx="124">
                  <c:v>36.243543416027109</c:v>
                </c:pt>
                <c:pt idx="125">
                  <c:v>41.494963932031162</c:v>
                </c:pt>
                <c:pt idx="126">
                  <c:v>46.24113123944695</c:v>
                </c:pt>
                <c:pt idx="127">
                  <c:v>57.384186865624493</c:v>
                </c:pt>
                <c:pt idx="128">
                  <c:v>55.041378165895175</c:v>
                </c:pt>
                <c:pt idx="129">
                  <c:v>56.213612439275771</c:v>
                </c:pt>
                <c:pt idx="130">
                  <c:v>59.475442872840269</c:v>
                </c:pt>
                <c:pt idx="131">
                  <c:v>45.115195460373428</c:v>
                </c:pt>
                <c:pt idx="132">
                  <c:v>38.961780512032689</c:v>
                </c:pt>
                <c:pt idx="133">
                  <c:v>54.174281513889056</c:v>
                </c:pt>
                <c:pt idx="134">
                  <c:v>56.079949783564764</c:v>
                </c:pt>
                <c:pt idx="135">
                  <c:v>52.265250945244439</c:v>
                </c:pt>
                <c:pt idx="136">
                  <c:v>57.191346620731544</c:v>
                </c:pt>
                <c:pt idx="137">
                  <c:v>54.816546640661457</c:v>
                </c:pt>
                <c:pt idx="138">
                  <c:v>53.187488256395824</c:v>
                </c:pt>
                <c:pt idx="139">
                  <c:v>51.57239556999226</c:v>
                </c:pt>
                <c:pt idx="140">
                  <c:v>56.4843857886598</c:v>
                </c:pt>
                <c:pt idx="141">
                  <c:v>42.970576933793545</c:v>
                </c:pt>
                <c:pt idx="142">
                  <c:v>17.87498717687059</c:v>
                </c:pt>
                <c:pt idx="143">
                  <c:v>15.53483199417202</c:v>
                </c:pt>
                <c:pt idx="144">
                  <c:v>42.928302072053022</c:v>
                </c:pt>
                <c:pt idx="145">
                  <c:v>31.556028517366926</c:v>
                </c:pt>
                <c:pt idx="146">
                  <c:v>47.007700729875076</c:v>
                </c:pt>
                <c:pt idx="147">
                  <c:v>55.464594732437718</c:v>
                </c:pt>
                <c:pt idx="148">
                  <c:v>60.930151321130303</c:v>
                </c:pt>
                <c:pt idx="149">
                  <c:v>47.456755577509981</c:v>
                </c:pt>
                <c:pt idx="150">
                  <c:v>57.184372382434226</c:v>
                </c:pt>
                <c:pt idx="151">
                  <c:v>59.302632836008243</c:v>
                </c:pt>
                <c:pt idx="152">
                  <c:v>41.118226486930105</c:v>
                </c:pt>
                <c:pt idx="153">
                  <c:v>57.803566361709706</c:v>
                </c:pt>
                <c:pt idx="154">
                  <c:v>26.206794071104241</c:v>
                </c:pt>
                <c:pt idx="155">
                  <c:v>30.273995600108424</c:v>
                </c:pt>
                <c:pt idx="156">
                  <c:v>50.998880016953656</c:v>
                </c:pt>
                <c:pt idx="157">
                  <c:v>28.319132486066252</c:v>
                </c:pt>
                <c:pt idx="158">
                  <c:v>21.87977871023552</c:v>
                </c:pt>
                <c:pt idx="159">
                  <c:v>51.766900327840325</c:v>
                </c:pt>
                <c:pt idx="160">
                  <c:v>59.530708761000291</c:v>
                </c:pt>
                <c:pt idx="161">
                  <c:v>57.923802662491653</c:v>
                </c:pt>
                <c:pt idx="162">
                  <c:v>47.88971284120224</c:v>
                </c:pt>
                <c:pt idx="163">
                  <c:v>52.648669707832823</c:v>
                </c:pt>
                <c:pt idx="164">
                  <c:v>51.787209428475997</c:v>
                </c:pt>
                <c:pt idx="165">
                  <c:v>55.223066463571982</c:v>
                </c:pt>
                <c:pt idx="166">
                  <c:v>53.265029930133416</c:v>
                </c:pt>
                <c:pt idx="167">
                  <c:v>54.283656380226688</c:v>
                </c:pt>
                <c:pt idx="168">
                  <c:v>57.350454372807121</c:v>
                </c:pt>
                <c:pt idx="169">
                  <c:v>58.362851768277878</c:v>
                </c:pt>
                <c:pt idx="170">
                  <c:v>30.657637426802484</c:v>
                </c:pt>
                <c:pt idx="171">
                  <c:v>20.281631104085459</c:v>
                </c:pt>
                <c:pt idx="172">
                  <c:v>42.813177949598909</c:v>
                </c:pt>
                <c:pt idx="173">
                  <c:v>44.536085093584795</c:v>
                </c:pt>
                <c:pt idx="174">
                  <c:v>41.675327566339249</c:v>
                </c:pt>
                <c:pt idx="175">
                  <c:v>41.685217780466772</c:v>
                </c:pt>
                <c:pt idx="176">
                  <c:v>10.952231380008122</c:v>
                </c:pt>
                <c:pt idx="177">
                  <c:v>16.362223774895959</c:v>
                </c:pt>
                <c:pt idx="178">
                  <c:v>57.720952999226526</c:v>
                </c:pt>
                <c:pt idx="179">
                  <c:v>58.806160326576219</c:v>
                </c:pt>
                <c:pt idx="180">
                  <c:v>12.974478902216813</c:v>
                </c:pt>
                <c:pt idx="181">
                  <c:v>41.355626203781803</c:v>
                </c:pt>
                <c:pt idx="182">
                  <c:v>58.017890775138206</c:v>
                </c:pt>
                <c:pt idx="183">
                  <c:v>52.695218251208132</c:v>
                </c:pt>
                <c:pt idx="184">
                  <c:v>44.539502538374364</c:v>
                </c:pt>
                <c:pt idx="185">
                  <c:v>57.16031061284346</c:v>
                </c:pt>
                <c:pt idx="186">
                  <c:v>40.681553237247201</c:v>
                </c:pt>
                <c:pt idx="187">
                  <c:v>56.824009599886473</c:v>
                </c:pt>
                <c:pt idx="188">
                  <c:v>58.021324092530733</c:v>
                </c:pt>
                <c:pt idx="189">
                  <c:v>57.652168322485338</c:v>
                </c:pt>
                <c:pt idx="190">
                  <c:v>57.236501389267985</c:v>
                </c:pt>
                <c:pt idx="191">
                  <c:v>56.342900830667695</c:v>
                </c:pt>
                <c:pt idx="192">
                  <c:v>55.13666107326619</c:v>
                </c:pt>
                <c:pt idx="193">
                  <c:v>55.195654045196001</c:v>
                </c:pt>
                <c:pt idx="194">
                  <c:v>54.934024880287886</c:v>
                </c:pt>
                <c:pt idx="195">
                  <c:v>52.331110896133737</c:v>
                </c:pt>
                <c:pt idx="196">
                  <c:v>53.55695366313202</c:v>
                </c:pt>
                <c:pt idx="197">
                  <c:v>54.146578443551292</c:v>
                </c:pt>
                <c:pt idx="198">
                  <c:v>56.323187550310678</c:v>
                </c:pt>
                <c:pt idx="199">
                  <c:v>33.955960024485904</c:v>
                </c:pt>
                <c:pt idx="200">
                  <c:v>41.251296508394702</c:v>
                </c:pt>
                <c:pt idx="201">
                  <c:v>53.829854373608228</c:v>
                </c:pt>
                <c:pt idx="202">
                  <c:v>45.218946500393457</c:v>
                </c:pt>
                <c:pt idx="203">
                  <c:v>39.880302933939795</c:v>
                </c:pt>
                <c:pt idx="204">
                  <c:v>54.19134480919648</c:v>
                </c:pt>
                <c:pt idx="205">
                  <c:v>28.977168456852166</c:v>
                </c:pt>
                <c:pt idx="206">
                  <c:v>45.639735670337259</c:v>
                </c:pt>
                <c:pt idx="207">
                  <c:v>56.204465507182427</c:v>
                </c:pt>
                <c:pt idx="208">
                  <c:v>44.803125764671513</c:v>
                </c:pt>
                <c:pt idx="209">
                  <c:v>26.391772436695064</c:v>
                </c:pt>
                <c:pt idx="210">
                  <c:v>43.800887841146015</c:v>
                </c:pt>
                <c:pt idx="211">
                  <c:v>54.831714286730332</c:v>
                </c:pt>
                <c:pt idx="212">
                  <c:v>54.487742450468943</c:v>
                </c:pt>
                <c:pt idx="213">
                  <c:v>54.715883322540996</c:v>
                </c:pt>
                <c:pt idx="214">
                  <c:v>54.821707254146588</c:v>
                </c:pt>
                <c:pt idx="215">
                  <c:v>52.116086845340376</c:v>
                </c:pt>
                <c:pt idx="216">
                  <c:v>42.076763526855615</c:v>
                </c:pt>
                <c:pt idx="217">
                  <c:v>49.914620824722292</c:v>
                </c:pt>
                <c:pt idx="218">
                  <c:v>52.831557251880987</c:v>
                </c:pt>
                <c:pt idx="219">
                  <c:v>53.794391834667501</c:v>
                </c:pt>
                <c:pt idx="220">
                  <c:v>52.038242001948142</c:v>
                </c:pt>
                <c:pt idx="221">
                  <c:v>50.603237111257222</c:v>
                </c:pt>
                <c:pt idx="222">
                  <c:v>48.426107189596628</c:v>
                </c:pt>
                <c:pt idx="223">
                  <c:v>48.856363421164104</c:v>
                </c:pt>
                <c:pt idx="224">
                  <c:v>36.716761012568064</c:v>
                </c:pt>
                <c:pt idx="225">
                  <c:v>36.584919706176215</c:v>
                </c:pt>
                <c:pt idx="226">
                  <c:v>34.167998205050573</c:v>
                </c:pt>
                <c:pt idx="227">
                  <c:v>39.282847464335667</c:v>
                </c:pt>
                <c:pt idx="228">
                  <c:v>24.539031094459045</c:v>
                </c:pt>
                <c:pt idx="229">
                  <c:v>32.88664203509299</c:v>
                </c:pt>
                <c:pt idx="230">
                  <c:v>34.345203764569426</c:v>
                </c:pt>
                <c:pt idx="231">
                  <c:v>50.136110926286463</c:v>
                </c:pt>
                <c:pt idx="232">
                  <c:v>39.712376745373824</c:v>
                </c:pt>
                <c:pt idx="233">
                  <c:v>27.888915920989565</c:v>
                </c:pt>
                <c:pt idx="234">
                  <c:v>43.393605453032514</c:v>
                </c:pt>
                <c:pt idx="235">
                  <c:v>50.748588668671026</c:v>
                </c:pt>
                <c:pt idx="236">
                  <c:v>28.575227936835088</c:v>
                </c:pt>
                <c:pt idx="237">
                  <c:v>36.517862026937067</c:v>
                </c:pt>
                <c:pt idx="238">
                  <c:v>46.21662165953645</c:v>
                </c:pt>
                <c:pt idx="239">
                  <c:v>49.411926525694611</c:v>
                </c:pt>
                <c:pt idx="240">
                  <c:v>33.151284452048543</c:v>
                </c:pt>
                <c:pt idx="241">
                  <c:v>48.760152012289197</c:v>
                </c:pt>
                <c:pt idx="242">
                  <c:v>20.540936807813662</c:v>
                </c:pt>
                <c:pt idx="243">
                  <c:v>43.594680334253489</c:v>
                </c:pt>
                <c:pt idx="244">
                  <c:v>38.575783364325055</c:v>
                </c:pt>
                <c:pt idx="245">
                  <c:v>32.403414624170601</c:v>
                </c:pt>
                <c:pt idx="246">
                  <c:v>49.211332464472989</c:v>
                </c:pt>
                <c:pt idx="247">
                  <c:v>42.152269069971226</c:v>
                </c:pt>
                <c:pt idx="248">
                  <c:v>45.822577940939688</c:v>
                </c:pt>
                <c:pt idx="249">
                  <c:v>35.699122691766128</c:v>
                </c:pt>
                <c:pt idx="250">
                  <c:v>40.69003058180558</c:v>
                </c:pt>
                <c:pt idx="251">
                  <c:v>17.170577769618681</c:v>
                </c:pt>
                <c:pt idx="252">
                  <c:v>45.064204436890392</c:v>
                </c:pt>
                <c:pt idx="253">
                  <c:v>47.336995440663316</c:v>
                </c:pt>
                <c:pt idx="254">
                  <c:v>36.467213875020661</c:v>
                </c:pt>
                <c:pt idx="255">
                  <c:v>11.509662047374102</c:v>
                </c:pt>
                <c:pt idx="256">
                  <c:v>38.606262143927694</c:v>
                </c:pt>
                <c:pt idx="257">
                  <c:v>43.146461986678098</c:v>
                </c:pt>
                <c:pt idx="258">
                  <c:v>25.671124756469165</c:v>
                </c:pt>
                <c:pt idx="259">
                  <c:v>47.254247315385435</c:v>
                </c:pt>
                <c:pt idx="260">
                  <c:v>46.507884667665373</c:v>
                </c:pt>
                <c:pt idx="261">
                  <c:v>44.842640977310104</c:v>
                </c:pt>
                <c:pt idx="262">
                  <c:v>44.842190246960037</c:v>
                </c:pt>
                <c:pt idx="263">
                  <c:v>46.340016318736438</c:v>
                </c:pt>
                <c:pt idx="264">
                  <c:v>45.128135907395333</c:v>
                </c:pt>
                <c:pt idx="265">
                  <c:v>33.955996130481971</c:v>
                </c:pt>
                <c:pt idx="266">
                  <c:v>22.783027391472416</c:v>
                </c:pt>
                <c:pt idx="267">
                  <c:v>34.484347767371027</c:v>
                </c:pt>
                <c:pt idx="268">
                  <c:v>35.892896102277682</c:v>
                </c:pt>
                <c:pt idx="269">
                  <c:v>15.372620566904262</c:v>
                </c:pt>
                <c:pt idx="270">
                  <c:v>15.44368327012098</c:v>
                </c:pt>
                <c:pt idx="271">
                  <c:v>21.89404994450539</c:v>
                </c:pt>
                <c:pt idx="272">
                  <c:v>30.245613748227672</c:v>
                </c:pt>
                <c:pt idx="273">
                  <c:v>35.433627860787695</c:v>
                </c:pt>
                <c:pt idx="274">
                  <c:v>40.100225183161214</c:v>
                </c:pt>
                <c:pt idx="275">
                  <c:v>35.669924657278415</c:v>
                </c:pt>
                <c:pt idx="276">
                  <c:v>42.543810758552709</c:v>
                </c:pt>
                <c:pt idx="277">
                  <c:v>42.199279534113785</c:v>
                </c:pt>
                <c:pt idx="278">
                  <c:v>15.004284847635777</c:v>
                </c:pt>
                <c:pt idx="279">
                  <c:v>31.766913095295479</c:v>
                </c:pt>
                <c:pt idx="280">
                  <c:v>15.303487672020202</c:v>
                </c:pt>
                <c:pt idx="281">
                  <c:v>40.033232065988585</c:v>
                </c:pt>
                <c:pt idx="282">
                  <c:v>34.915675114516922</c:v>
                </c:pt>
                <c:pt idx="283">
                  <c:v>25.109759857570722</c:v>
                </c:pt>
                <c:pt idx="284">
                  <c:v>23.883587479810974</c:v>
                </c:pt>
                <c:pt idx="285">
                  <c:v>24.546802236418486</c:v>
                </c:pt>
                <c:pt idx="286">
                  <c:v>15.274488978899502</c:v>
                </c:pt>
                <c:pt idx="287">
                  <c:v>38.917411785133567</c:v>
                </c:pt>
                <c:pt idx="288">
                  <c:v>34.73343688564286</c:v>
                </c:pt>
                <c:pt idx="289">
                  <c:v>19.047446893520593</c:v>
                </c:pt>
                <c:pt idx="290">
                  <c:v>36.182485723968554</c:v>
                </c:pt>
                <c:pt idx="291">
                  <c:v>16.165283824306893</c:v>
                </c:pt>
                <c:pt idx="292">
                  <c:v>12.553285638817171</c:v>
                </c:pt>
                <c:pt idx="293">
                  <c:v>17.047995380214822</c:v>
                </c:pt>
                <c:pt idx="294">
                  <c:v>35.490388379711227</c:v>
                </c:pt>
                <c:pt idx="295">
                  <c:v>20.834421809423567</c:v>
                </c:pt>
                <c:pt idx="296">
                  <c:v>29.844581872096196</c:v>
                </c:pt>
                <c:pt idx="297">
                  <c:v>23.206377881957831</c:v>
                </c:pt>
                <c:pt idx="298">
                  <c:v>15.965549858744062</c:v>
                </c:pt>
                <c:pt idx="299">
                  <c:v>16.149689413690925</c:v>
                </c:pt>
                <c:pt idx="300">
                  <c:v>17.651766116795738</c:v>
                </c:pt>
                <c:pt idx="301">
                  <c:v>28.362736491181238</c:v>
                </c:pt>
                <c:pt idx="302">
                  <c:v>25.294629001099139</c:v>
                </c:pt>
                <c:pt idx="303">
                  <c:v>24.607061294168879</c:v>
                </c:pt>
                <c:pt idx="304">
                  <c:v>26.442962912823024</c:v>
                </c:pt>
                <c:pt idx="305">
                  <c:v>29.36300391436712</c:v>
                </c:pt>
                <c:pt idx="306">
                  <c:v>9.2081282371922715</c:v>
                </c:pt>
                <c:pt idx="307">
                  <c:v>12.850713236421281</c:v>
                </c:pt>
                <c:pt idx="308">
                  <c:v>31.149524041377383</c:v>
                </c:pt>
                <c:pt idx="309">
                  <c:v>32.230855935957379</c:v>
                </c:pt>
                <c:pt idx="310">
                  <c:v>32.33865833680229</c:v>
                </c:pt>
                <c:pt idx="311">
                  <c:v>20.939130602075629</c:v>
                </c:pt>
                <c:pt idx="312">
                  <c:v>12.41309541538833</c:v>
                </c:pt>
                <c:pt idx="313">
                  <c:v>21.671796363738718</c:v>
                </c:pt>
                <c:pt idx="314">
                  <c:v>29.414006138834807</c:v>
                </c:pt>
                <c:pt idx="315">
                  <c:v>29.176730567389498</c:v>
                </c:pt>
                <c:pt idx="316">
                  <c:v>29.330366548202711</c:v>
                </c:pt>
                <c:pt idx="317">
                  <c:v>12.458700422060273</c:v>
                </c:pt>
                <c:pt idx="318">
                  <c:v>13.636035767514182</c:v>
                </c:pt>
                <c:pt idx="319">
                  <c:v>28.719932037674148</c:v>
                </c:pt>
                <c:pt idx="320">
                  <c:v>12.620713762816901</c:v>
                </c:pt>
                <c:pt idx="321">
                  <c:v>14.510124149670997</c:v>
                </c:pt>
                <c:pt idx="322">
                  <c:v>6.074148158509205</c:v>
                </c:pt>
                <c:pt idx="323">
                  <c:v>20.148742432887232</c:v>
                </c:pt>
                <c:pt idx="324">
                  <c:v>3.2461902963681797</c:v>
                </c:pt>
                <c:pt idx="325">
                  <c:v>9.9279772021122028</c:v>
                </c:pt>
                <c:pt idx="326">
                  <c:v>13.566708586190838</c:v>
                </c:pt>
                <c:pt idx="327">
                  <c:v>14.201553557949675</c:v>
                </c:pt>
                <c:pt idx="328">
                  <c:v>4.1654178729570397</c:v>
                </c:pt>
                <c:pt idx="329">
                  <c:v>14.724442544420505</c:v>
                </c:pt>
                <c:pt idx="330">
                  <c:v>16.630080788966804</c:v>
                </c:pt>
                <c:pt idx="331">
                  <c:v>9.379512900191088</c:v>
                </c:pt>
                <c:pt idx="332">
                  <c:v>10.430187300689035</c:v>
                </c:pt>
                <c:pt idx="333">
                  <c:v>4.6492641242619293</c:v>
                </c:pt>
                <c:pt idx="334">
                  <c:v>3.4491708227716811</c:v>
                </c:pt>
                <c:pt idx="335">
                  <c:v>6.0158168457703738</c:v>
                </c:pt>
                <c:pt idx="336">
                  <c:v>11.114670552443135</c:v>
                </c:pt>
                <c:pt idx="337">
                  <c:v>21.746313561918711</c:v>
                </c:pt>
                <c:pt idx="338">
                  <c:v>25.763282146083075</c:v>
                </c:pt>
                <c:pt idx="339">
                  <c:v>16.32352385438961</c:v>
                </c:pt>
                <c:pt idx="340">
                  <c:v>19.095812696404835</c:v>
                </c:pt>
                <c:pt idx="341">
                  <c:v>4.6518580348835421</c:v>
                </c:pt>
                <c:pt idx="342">
                  <c:v>9.3999884975004182</c:v>
                </c:pt>
                <c:pt idx="343">
                  <c:v>15.719936746335001</c:v>
                </c:pt>
                <c:pt idx="344">
                  <c:v>14.982404135597944</c:v>
                </c:pt>
                <c:pt idx="345">
                  <c:v>6.9101087641639127</c:v>
                </c:pt>
                <c:pt idx="346">
                  <c:v>6.4713059952328278</c:v>
                </c:pt>
                <c:pt idx="347">
                  <c:v>15.185382409166312</c:v>
                </c:pt>
                <c:pt idx="348">
                  <c:v>7.2250966081397703</c:v>
                </c:pt>
                <c:pt idx="349">
                  <c:v>5.1804660192224459</c:v>
                </c:pt>
                <c:pt idx="350">
                  <c:v>2.8874711281037793</c:v>
                </c:pt>
                <c:pt idx="351">
                  <c:v>19.521422338376528</c:v>
                </c:pt>
                <c:pt idx="352">
                  <c:v>17.453449481515552</c:v>
                </c:pt>
                <c:pt idx="353">
                  <c:v>3.9084520605413728</c:v>
                </c:pt>
                <c:pt idx="354">
                  <c:v>19.920437603486516</c:v>
                </c:pt>
                <c:pt idx="355">
                  <c:v>19.478531553267885</c:v>
                </c:pt>
                <c:pt idx="356">
                  <c:v>19.612285429303256</c:v>
                </c:pt>
                <c:pt idx="357">
                  <c:v>20.825131650079641</c:v>
                </c:pt>
                <c:pt idx="358">
                  <c:v>11.687337728239733</c:v>
                </c:pt>
                <c:pt idx="359">
                  <c:v>19.953990102010877</c:v>
                </c:pt>
                <c:pt idx="360">
                  <c:v>6.7572577745057778</c:v>
                </c:pt>
                <c:pt idx="361">
                  <c:v>21.728238105922753</c:v>
                </c:pt>
                <c:pt idx="362">
                  <c:v>11.057977559459855</c:v>
                </c:pt>
                <c:pt idx="363">
                  <c:v>15.095748867414493</c:v>
                </c:pt>
                <c:pt idx="364">
                  <c:v>12.999169623095673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24.420353268352475</c:v>
                </c:pt>
                <c:pt idx="1">
                  <c:v>16.532858710457308</c:v>
                </c:pt>
                <c:pt idx="2">
                  <c:v>18.746401829640732</c:v>
                </c:pt>
                <c:pt idx="3">
                  <c:v>19.053634526339813</c:v>
                </c:pt>
                <c:pt idx="4">
                  <c:v>13.776214916233222</c:v>
                </c:pt>
                <c:pt idx="5">
                  <c:v>25.909763094812277</c:v>
                </c:pt>
                <c:pt idx="6">
                  <c:v>8.9023767297619489</c:v>
                </c:pt>
                <c:pt idx="7">
                  <c:v>6.1967399645597974</c:v>
                </c:pt>
                <c:pt idx="8">
                  <c:v>1.7672180744673924</c:v>
                </c:pt>
                <c:pt idx="9">
                  <c:v>1.4221792712581702</c:v>
                </c:pt>
                <c:pt idx="10">
                  <c:v>24.725454226754476</c:v>
                </c:pt>
                <c:pt idx="11">
                  <c:v>21.132355635852253</c:v>
                </c:pt>
                <c:pt idx="12">
                  <c:v>6.4134018324579394</c:v>
                </c:pt>
                <c:pt idx="13">
                  <c:v>27.523692857523141</c:v>
                </c:pt>
                <c:pt idx="14">
                  <c:v>28.343363315750842</c:v>
                </c:pt>
                <c:pt idx="15">
                  <c:v>28.04501475103276</c:v>
                </c:pt>
                <c:pt idx="16">
                  <c:v>18.16859044840027</c:v>
                </c:pt>
                <c:pt idx="17">
                  <c:v>4.7808447420891333</c:v>
                </c:pt>
                <c:pt idx="18">
                  <c:v>12.079336360136066</c:v>
                </c:pt>
                <c:pt idx="19">
                  <c:v>5.0093254448492024</c:v>
                </c:pt>
                <c:pt idx="20">
                  <c:v>19.124644967420096</c:v>
                </c:pt>
                <c:pt idx="21">
                  <c:v>29.568325951947969</c:v>
                </c:pt>
                <c:pt idx="22">
                  <c:v>29.928307475793691</c:v>
                </c:pt>
                <c:pt idx="23">
                  <c:v>30.448516511243191</c:v>
                </c:pt>
                <c:pt idx="24">
                  <c:v>28.438824666596751</c:v>
                </c:pt>
                <c:pt idx="25">
                  <c:v>30.632940546753716</c:v>
                </c:pt>
                <c:pt idx="26">
                  <c:v>30.420264207165317</c:v>
                </c:pt>
                <c:pt idx="27">
                  <c:v>4.1491942078358717</c:v>
                </c:pt>
                <c:pt idx="28">
                  <c:v>6.386533156872094</c:v>
                </c:pt>
                <c:pt idx="29">
                  <c:v>5.7586176428577742</c:v>
                </c:pt>
                <c:pt idx="30">
                  <c:v>7.2038985313040786</c:v>
                </c:pt>
                <c:pt idx="31">
                  <c:v>18.072293665058432</c:v>
                </c:pt>
                <c:pt idx="32">
                  <c:v>6.6338268607158106</c:v>
                </c:pt>
                <c:pt idx="33">
                  <c:v>15.671542581122491</c:v>
                </c:pt>
                <c:pt idx="34">
                  <c:v>14.154505659951324</c:v>
                </c:pt>
                <c:pt idx="35">
                  <c:v>10.397279710889945</c:v>
                </c:pt>
                <c:pt idx="36">
                  <c:v>27.367602932621089</c:v>
                </c:pt>
                <c:pt idx="37">
                  <c:v>12.358711806912842</c:v>
                </c:pt>
                <c:pt idx="38">
                  <c:v>35.575230554971228</c:v>
                </c:pt>
                <c:pt idx="39">
                  <c:v>36.228119494719557</c:v>
                </c:pt>
                <c:pt idx="40">
                  <c:v>34.177916604270848</c:v>
                </c:pt>
                <c:pt idx="41">
                  <c:v>14.338448980074816</c:v>
                </c:pt>
                <c:pt idx="42">
                  <c:v>27.197102863109386</c:v>
                </c:pt>
                <c:pt idx="43">
                  <c:v>34.426385720626151</c:v>
                </c:pt>
                <c:pt idx="44">
                  <c:v>16.394792972580863</c:v>
                </c:pt>
                <c:pt idx="45">
                  <c:v>21.670389125524487</c:v>
                </c:pt>
                <c:pt idx="46">
                  <c:v>9.2540426734239514</c:v>
                </c:pt>
                <c:pt idx="47">
                  <c:v>10.213547664305413</c:v>
                </c:pt>
                <c:pt idx="48">
                  <c:v>34.037080459942722</c:v>
                </c:pt>
                <c:pt idx="49">
                  <c:v>15.607930811808316</c:v>
                </c:pt>
                <c:pt idx="50">
                  <c:v>27.092747192319152</c:v>
                </c:pt>
                <c:pt idx="51">
                  <c:v>20.312947829504612</c:v>
                </c:pt>
                <c:pt idx="52">
                  <c:v>33.644596127120487</c:v>
                </c:pt>
                <c:pt idx="53">
                  <c:v>38.971732166135673</c:v>
                </c:pt>
                <c:pt idx="54">
                  <c:v>25.051193742194826</c:v>
                </c:pt>
                <c:pt idx="55">
                  <c:v>27.255519785419306</c:v>
                </c:pt>
                <c:pt idx="56">
                  <c:v>42.215423601557411</c:v>
                </c:pt>
                <c:pt idx="57">
                  <c:v>22.364994558970618</c:v>
                </c:pt>
                <c:pt idx="58">
                  <c:v>38.720171763558568</c:v>
                </c:pt>
                <c:pt idx="59">
                  <c:v>42.879361650252108</c:v>
                </c:pt>
                <c:pt idx="60">
                  <c:v>14.864646833187557</c:v>
                </c:pt>
                <c:pt idx="61">
                  <c:v>38.75743836511856</c:v>
                </c:pt>
                <c:pt idx="62">
                  <c:v>5.1630150906362218</c:v>
                </c:pt>
                <c:pt idx="63">
                  <c:v>15.897646730119018</c:v>
                </c:pt>
                <c:pt idx="64">
                  <c:v>22.930287449733601</c:v>
                </c:pt>
                <c:pt idx="65">
                  <c:v>35.744070096749176</c:v>
                </c:pt>
                <c:pt idx="66">
                  <c:v>36.14870937304476</c:v>
                </c:pt>
                <c:pt idx="67">
                  <c:v>32.942239354588274</c:v>
                </c:pt>
                <c:pt idx="68">
                  <c:v>26.496390163673549</c:v>
                </c:pt>
                <c:pt idx="69">
                  <c:v>18.539211057174519</c:v>
                </c:pt>
                <c:pt idx="70">
                  <c:v>13.523830309607106</c:v>
                </c:pt>
                <c:pt idx="71">
                  <c:v>10.044874029046067</c:v>
                </c:pt>
                <c:pt idx="72">
                  <c:v>13.612947995629643</c:v>
                </c:pt>
                <c:pt idx="73">
                  <c:v>16.635112651049049</c:v>
                </c:pt>
                <c:pt idx="74">
                  <c:v>12.126312444759821</c:v>
                </c:pt>
                <c:pt idx="75">
                  <c:v>10.437147855113357</c:v>
                </c:pt>
                <c:pt idx="76">
                  <c:v>13.704608890346059</c:v>
                </c:pt>
                <c:pt idx="77">
                  <c:v>28.557044960558716</c:v>
                </c:pt>
                <c:pt idx="78">
                  <c:v>33.432988827821319</c:v>
                </c:pt>
                <c:pt idx="79">
                  <c:v>46.567729473407383</c:v>
                </c:pt>
                <c:pt idx="80">
                  <c:v>42.801259299740643</c:v>
                </c:pt>
                <c:pt idx="81">
                  <c:v>50.472400071443765</c:v>
                </c:pt>
                <c:pt idx="82">
                  <c:v>49.328523179107492</c:v>
                </c:pt>
                <c:pt idx="83">
                  <c:v>38.915320914580711</c:v>
                </c:pt>
                <c:pt idx="84">
                  <c:v>44.4859472129652</c:v>
                </c:pt>
                <c:pt idx="85">
                  <c:v>47.190203524777033</c:v>
                </c:pt>
                <c:pt idx="86">
                  <c:v>40.271345435293469</c:v>
                </c:pt>
                <c:pt idx="87">
                  <c:v>28.081602302155893</c:v>
                </c:pt>
                <c:pt idx="88">
                  <c:v>6.359869616318135</c:v>
                </c:pt>
                <c:pt idx="89">
                  <c:v>17.607070133005227</c:v>
                </c:pt>
                <c:pt idx="90">
                  <c:v>33.243898582950273</c:v>
                </c:pt>
                <c:pt idx="91">
                  <c:v>17.566959208555048</c:v>
                </c:pt>
                <c:pt idx="92">
                  <c:v>32.683268316989604</c:v>
                </c:pt>
                <c:pt idx="93">
                  <c:v>45.259568553197376</c:v>
                </c:pt>
                <c:pt idx="94">
                  <c:v>53.527720385449292</c:v>
                </c:pt>
                <c:pt idx="95">
                  <c:v>12.319275721743486</c:v>
                </c:pt>
                <c:pt idx="96">
                  <c:v>44.808226646563043</c:v>
                </c:pt>
                <c:pt idx="97">
                  <c:v>39.139060301255476</c:v>
                </c:pt>
                <c:pt idx="98">
                  <c:v>31.553510038165921</c:v>
                </c:pt>
                <c:pt idx="99">
                  <c:v>57.229505560497152</c:v>
                </c:pt>
                <c:pt idx="100">
                  <c:v>45.658111191931539</c:v>
                </c:pt>
                <c:pt idx="101">
                  <c:v>40.050962256768571</c:v>
                </c:pt>
                <c:pt idx="102">
                  <c:v>6.2063840734107041</c:v>
                </c:pt>
                <c:pt idx="103">
                  <c:v>44.822178041408655</c:v>
                </c:pt>
                <c:pt idx="104">
                  <c:v>45.866904066703619</c:v>
                </c:pt>
                <c:pt idx="105">
                  <c:v>37.531136996817644</c:v>
                </c:pt>
                <c:pt idx="106">
                  <c:v>55.269004851321903</c:v>
                </c:pt>
                <c:pt idx="107">
                  <c:v>36.010040958884574</c:v>
                </c:pt>
                <c:pt idx="108">
                  <c:v>9.6487789657739551</c:v>
                </c:pt>
                <c:pt idx="109">
                  <c:v>9.9376311028407258</c:v>
                </c:pt>
                <c:pt idx="110">
                  <c:v>9.1453095438596321</c:v>
                </c:pt>
                <c:pt idx="111">
                  <c:v>28.24118936135622</c:v>
                </c:pt>
                <c:pt idx="112">
                  <c:v>9.6649769631987876</c:v>
                </c:pt>
                <c:pt idx="113">
                  <c:v>27.419389133736473</c:v>
                </c:pt>
                <c:pt idx="114">
                  <c:v>43.255608825106023</c:v>
                </c:pt>
                <c:pt idx="115">
                  <c:v>55.528175569174159</c:v>
                </c:pt>
                <c:pt idx="116">
                  <c:v>42.669525845648948</c:v>
                </c:pt>
                <c:pt idx="117">
                  <c:v>23.939362472765559</c:v>
                </c:pt>
                <c:pt idx="118">
                  <c:v>42.90637738565642</c:v>
                </c:pt>
                <c:pt idx="119">
                  <c:v>41.553492039018735</c:v>
                </c:pt>
                <c:pt idx="120">
                  <c:v>47.363252350836937</c:v>
                </c:pt>
                <c:pt idx="121">
                  <c:v>26.88259347832156</c:v>
                </c:pt>
                <c:pt idx="122">
                  <c:v>33.037807403011605</c:v>
                </c:pt>
                <c:pt idx="123">
                  <c:v>16.715000957583793</c:v>
                </c:pt>
                <c:pt idx="124">
                  <c:v>36.243543416027109</c:v>
                </c:pt>
                <c:pt idx="125">
                  <c:v>41.494963932031162</c:v>
                </c:pt>
                <c:pt idx="126">
                  <c:v>46.24113123944695</c:v>
                </c:pt>
                <c:pt idx="127">
                  <c:v>57.384186865624493</c:v>
                </c:pt>
                <c:pt idx="128">
                  <c:v>55.041378165895175</c:v>
                </c:pt>
                <c:pt idx="129">
                  <c:v>56.213612439275771</c:v>
                </c:pt>
                <c:pt idx="130">
                  <c:v>59.475442872840269</c:v>
                </c:pt>
                <c:pt idx="131">
                  <c:v>45.115195460373428</c:v>
                </c:pt>
                <c:pt idx="132">
                  <c:v>38.961780512032689</c:v>
                </c:pt>
                <c:pt idx="133">
                  <c:v>54.174281513889056</c:v>
                </c:pt>
                <c:pt idx="134">
                  <c:v>56.079949783564764</c:v>
                </c:pt>
                <c:pt idx="135">
                  <c:v>52.265250945244439</c:v>
                </c:pt>
                <c:pt idx="136">
                  <c:v>57.191346620731544</c:v>
                </c:pt>
                <c:pt idx="137">
                  <c:v>54.816546640661457</c:v>
                </c:pt>
                <c:pt idx="138">
                  <c:v>53.187488256395824</c:v>
                </c:pt>
                <c:pt idx="139">
                  <c:v>51.57239556999226</c:v>
                </c:pt>
                <c:pt idx="140">
                  <c:v>56.4843857886598</c:v>
                </c:pt>
                <c:pt idx="141">
                  <c:v>42.970576933793545</c:v>
                </c:pt>
                <c:pt idx="142">
                  <c:v>17.87498717687059</c:v>
                </c:pt>
                <c:pt idx="143">
                  <c:v>15.53483199417202</c:v>
                </c:pt>
                <c:pt idx="144">
                  <c:v>42.928302072053022</c:v>
                </c:pt>
                <c:pt idx="145">
                  <c:v>31.556028517366926</c:v>
                </c:pt>
                <c:pt idx="146">
                  <c:v>47.007700729875076</c:v>
                </c:pt>
                <c:pt idx="147">
                  <c:v>55.464594732437718</c:v>
                </c:pt>
                <c:pt idx="148">
                  <c:v>60.930151321130303</c:v>
                </c:pt>
                <c:pt idx="149">
                  <c:v>47.456755577509981</c:v>
                </c:pt>
                <c:pt idx="150">
                  <c:v>57.184372382434226</c:v>
                </c:pt>
                <c:pt idx="151">
                  <c:v>59.302632836008243</c:v>
                </c:pt>
                <c:pt idx="152">
                  <c:v>41.118226486930105</c:v>
                </c:pt>
                <c:pt idx="153">
                  <c:v>57.803566361709706</c:v>
                </c:pt>
                <c:pt idx="154">
                  <c:v>26.206794071104241</c:v>
                </c:pt>
                <c:pt idx="155">
                  <c:v>30.273995600108424</c:v>
                </c:pt>
                <c:pt idx="156">
                  <c:v>50.998880016953656</c:v>
                </c:pt>
                <c:pt idx="157">
                  <c:v>28.319132486066252</c:v>
                </c:pt>
                <c:pt idx="158">
                  <c:v>21.87977871023552</c:v>
                </c:pt>
                <c:pt idx="159">
                  <c:v>51.766900327840325</c:v>
                </c:pt>
                <c:pt idx="160">
                  <c:v>59.530708761000291</c:v>
                </c:pt>
                <c:pt idx="161">
                  <c:v>57.923802662491653</c:v>
                </c:pt>
                <c:pt idx="162">
                  <c:v>47.88971284120224</c:v>
                </c:pt>
                <c:pt idx="163">
                  <c:v>52.648669707832823</c:v>
                </c:pt>
                <c:pt idx="164">
                  <c:v>51.787209428475997</c:v>
                </c:pt>
                <c:pt idx="165">
                  <c:v>55.223066463571982</c:v>
                </c:pt>
                <c:pt idx="166">
                  <c:v>53.265029930133416</c:v>
                </c:pt>
                <c:pt idx="167">
                  <c:v>54.283656380226688</c:v>
                </c:pt>
                <c:pt idx="168">
                  <c:v>57.350454372807121</c:v>
                </c:pt>
                <c:pt idx="169">
                  <c:v>58.362851768277878</c:v>
                </c:pt>
                <c:pt idx="170">
                  <c:v>30.657637426802484</c:v>
                </c:pt>
                <c:pt idx="171">
                  <c:v>20.281631104085459</c:v>
                </c:pt>
                <c:pt idx="172">
                  <c:v>42.813177949598909</c:v>
                </c:pt>
                <c:pt idx="173">
                  <c:v>44.536085093584795</c:v>
                </c:pt>
                <c:pt idx="174">
                  <c:v>41.675327566339249</c:v>
                </c:pt>
                <c:pt idx="175">
                  <c:v>41.685217780466772</c:v>
                </c:pt>
                <c:pt idx="176">
                  <c:v>10.952231380008122</c:v>
                </c:pt>
                <c:pt idx="177">
                  <c:v>16.362223774895959</c:v>
                </c:pt>
                <c:pt idx="178">
                  <c:v>57.720952999226526</c:v>
                </c:pt>
                <c:pt idx="179">
                  <c:v>58.806160326576219</c:v>
                </c:pt>
                <c:pt idx="180">
                  <c:v>12.974478902216813</c:v>
                </c:pt>
                <c:pt idx="181">
                  <c:v>41.355626203781803</c:v>
                </c:pt>
                <c:pt idx="182">
                  <c:v>58.017890775138206</c:v>
                </c:pt>
                <c:pt idx="183">
                  <c:v>52.695218251208132</c:v>
                </c:pt>
                <c:pt idx="184">
                  <c:v>44.539502538374364</c:v>
                </c:pt>
                <c:pt idx="185">
                  <c:v>57.16031061284346</c:v>
                </c:pt>
                <c:pt idx="186">
                  <c:v>40.681553237247201</c:v>
                </c:pt>
                <c:pt idx="187">
                  <c:v>56.824009599886473</c:v>
                </c:pt>
                <c:pt idx="188">
                  <c:v>58.021324092530733</c:v>
                </c:pt>
                <c:pt idx="189">
                  <c:v>57.652168322485338</c:v>
                </c:pt>
                <c:pt idx="190">
                  <c:v>57.236501389267985</c:v>
                </c:pt>
                <c:pt idx="191">
                  <c:v>56.342900830667695</c:v>
                </c:pt>
                <c:pt idx="192">
                  <c:v>55.13666107326619</c:v>
                </c:pt>
                <c:pt idx="193">
                  <c:v>55.195654045196001</c:v>
                </c:pt>
                <c:pt idx="194">
                  <c:v>54.934024880287886</c:v>
                </c:pt>
                <c:pt idx="195">
                  <c:v>52.331110896133737</c:v>
                </c:pt>
                <c:pt idx="196">
                  <c:v>53.55695366313202</c:v>
                </c:pt>
                <c:pt idx="197">
                  <c:v>54.146578443551292</c:v>
                </c:pt>
                <c:pt idx="198">
                  <c:v>56.323187550310678</c:v>
                </c:pt>
                <c:pt idx="199">
                  <c:v>33.955960024485904</c:v>
                </c:pt>
                <c:pt idx="200">
                  <c:v>41.251296508394702</c:v>
                </c:pt>
                <c:pt idx="201">
                  <c:v>53.829854373608228</c:v>
                </c:pt>
                <c:pt idx="202">
                  <c:v>45.218946500393457</c:v>
                </c:pt>
                <c:pt idx="203">
                  <c:v>39.880302933939795</c:v>
                </c:pt>
                <c:pt idx="204">
                  <c:v>54.19134480919648</c:v>
                </c:pt>
                <c:pt idx="205">
                  <c:v>28.977168456852166</c:v>
                </c:pt>
                <c:pt idx="206">
                  <c:v>45.639735670337259</c:v>
                </c:pt>
                <c:pt idx="207">
                  <c:v>56.204465507182427</c:v>
                </c:pt>
                <c:pt idx="208">
                  <c:v>44.803125764671513</c:v>
                </c:pt>
                <c:pt idx="209">
                  <c:v>26.391772436695064</c:v>
                </c:pt>
                <c:pt idx="210">
                  <c:v>43.800887841146015</c:v>
                </c:pt>
                <c:pt idx="211">
                  <c:v>54.831714286730332</c:v>
                </c:pt>
                <c:pt idx="212">
                  <c:v>54.487742450468943</c:v>
                </c:pt>
                <c:pt idx="213">
                  <c:v>54.715883322540996</c:v>
                </c:pt>
                <c:pt idx="214">
                  <c:v>54.821707254146588</c:v>
                </c:pt>
                <c:pt idx="215">
                  <c:v>52.116086845340376</c:v>
                </c:pt>
                <c:pt idx="216">
                  <c:v>42.076763526855615</c:v>
                </c:pt>
                <c:pt idx="217">
                  <c:v>49.914620824722292</c:v>
                </c:pt>
                <c:pt idx="218">
                  <c:v>52.831557251880987</c:v>
                </c:pt>
                <c:pt idx="219">
                  <c:v>53.794391834667501</c:v>
                </c:pt>
                <c:pt idx="220">
                  <c:v>52.038242001948142</c:v>
                </c:pt>
                <c:pt idx="221">
                  <c:v>50.603237111257222</c:v>
                </c:pt>
                <c:pt idx="222">
                  <c:v>48.426107189596628</c:v>
                </c:pt>
                <c:pt idx="223">
                  <c:v>48.856363421164104</c:v>
                </c:pt>
                <c:pt idx="224">
                  <c:v>36.716761012568064</c:v>
                </c:pt>
                <c:pt idx="225">
                  <c:v>36.584919706176215</c:v>
                </c:pt>
                <c:pt idx="226">
                  <c:v>34.167998205050573</c:v>
                </c:pt>
                <c:pt idx="227">
                  <c:v>39.282847464335667</c:v>
                </c:pt>
                <c:pt idx="228">
                  <c:v>24.539031094459045</c:v>
                </c:pt>
                <c:pt idx="229">
                  <c:v>32.88664203509299</c:v>
                </c:pt>
                <c:pt idx="230">
                  <c:v>34.345203764569426</c:v>
                </c:pt>
                <c:pt idx="231">
                  <c:v>50.136110926286463</c:v>
                </c:pt>
                <c:pt idx="232">
                  <c:v>39.712376745373824</c:v>
                </c:pt>
                <c:pt idx="233">
                  <c:v>27.888915920989565</c:v>
                </c:pt>
                <c:pt idx="234">
                  <c:v>43.393605453032514</c:v>
                </c:pt>
                <c:pt idx="235">
                  <c:v>50.748588668671026</c:v>
                </c:pt>
                <c:pt idx="236">
                  <c:v>28.575227936835088</c:v>
                </c:pt>
                <c:pt idx="237">
                  <c:v>36.517862026937067</c:v>
                </c:pt>
                <c:pt idx="238">
                  <c:v>46.21662165953645</c:v>
                </c:pt>
                <c:pt idx="239">
                  <c:v>49.411926525694611</c:v>
                </c:pt>
                <c:pt idx="240">
                  <c:v>33.151284452048543</c:v>
                </c:pt>
                <c:pt idx="241">
                  <c:v>48.760152012289197</c:v>
                </c:pt>
                <c:pt idx="242">
                  <c:v>20.540936807813662</c:v>
                </c:pt>
                <c:pt idx="243">
                  <c:v>43.594680334253489</c:v>
                </c:pt>
                <c:pt idx="244">
                  <c:v>38.575783364325055</c:v>
                </c:pt>
                <c:pt idx="245">
                  <c:v>32.403414624170601</c:v>
                </c:pt>
                <c:pt idx="246">
                  <c:v>49.211332464472989</c:v>
                </c:pt>
                <c:pt idx="247">
                  <c:v>42.152269069971226</c:v>
                </c:pt>
                <c:pt idx="248">
                  <c:v>45.822577940939688</c:v>
                </c:pt>
                <c:pt idx="249">
                  <c:v>35.699122691766128</c:v>
                </c:pt>
                <c:pt idx="250">
                  <c:v>40.69003058180558</c:v>
                </c:pt>
                <c:pt idx="251">
                  <c:v>17.170577769618681</c:v>
                </c:pt>
                <c:pt idx="252">
                  <c:v>45.064204436890392</c:v>
                </c:pt>
                <c:pt idx="253">
                  <c:v>47.336995440663316</c:v>
                </c:pt>
                <c:pt idx="254">
                  <c:v>36.467213875020661</c:v>
                </c:pt>
                <c:pt idx="255">
                  <c:v>11.509662047374102</c:v>
                </c:pt>
                <c:pt idx="256">
                  <c:v>38.606262143927694</c:v>
                </c:pt>
                <c:pt idx="257">
                  <c:v>43.146461986678098</c:v>
                </c:pt>
                <c:pt idx="258">
                  <c:v>25.671124756469165</c:v>
                </c:pt>
                <c:pt idx="259">
                  <c:v>47.254247315385435</c:v>
                </c:pt>
                <c:pt idx="260">
                  <c:v>46.507884667665373</c:v>
                </c:pt>
                <c:pt idx="261">
                  <c:v>44.842640977310104</c:v>
                </c:pt>
                <c:pt idx="262">
                  <c:v>44.842190246960037</c:v>
                </c:pt>
                <c:pt idx="263">
                  <c:v>46.340016318736438</c:v>
                </c:pt>
                <c:pt idx="264">
                  <c:v>45.128135907395333</c:v>
                </c:pt>
                <c:pt idx="265">
                  <c:v>33.955996130481971</c:v>
                </c:pt>
                <c:pt idx="266">
                  <c:v>22.783027391472416</c:v>
                </c:pt>
                <c:pt idx="267">
                  <c:v>34.484347767371027</c:v>
                </c:pt>
                <c:pt idx="268">
                  <c:v>35.892896102277682</c:v>
                </c:pt>
                <c:pt idx="269">
                  <c:v>15.372620566904262</c:v>
                </c:pt>
                <c:pt idx="270">
                  <c:v>15.44368327012098</c:v>
                </c:pt>
                <c:pt idx="271">
                  <c:v>21.89404994450539</c:v>
                </c:pt>
                <c:pt idx="272">
                  <c:v>30.245613748227672</c:v>
                </c:pt>
                <c:pt idx="273">
                  <c:v>35.433627860787695</c:v>
                </c:pt>
                <c:pt idx="274">
                  <c:v>40.100225183161214</c:v>
                </c:pt>
                <c:pt idx="275">
                  <c:v>35.669924657278415</c:v>
                </c:pt>
                <c:pt idx="276">
                  <c:v>42.543810758552709</c:v>
                </c:pt>
                <c:pt idx="277">
                  <c:v>42.199279534113785</c:v>
                </c:pt>
                <c:pt idx="278">
                  <c:v>15.004284847635777</c:v>
                </c:pt>
                <c:pt idx="279">
                  <c:v>31.766913095295479</c:v>
                </c:pt>
                <c:pt idx="280">
                  <c:v>15.303487672020202</c:v>
                </c:pt>
                <c:pt idx="281">
                  <c:v>40.033232065988585</c:v>
                </c:pt>
                <c:pt idx="282">
                  <c:v>34.915675114516922</c:v>
                </c:pt>
                <c:pt idx="283">
                  <c:v>25.109759857570722</c:v>
                </c:pt>
                <c:pt idx="284">
                  <c:v>23.883587479810974</c:v>
                </c:pt>
                <c:pt idx="285">
                  <c:v>24.546802236418486</c:v>
                </c:pt>
                <c:pt idx="286">
                  <c:v>15.274488978899502</c:v>
                </c:pt>
                <c:pt idx="287">
                  <c:v>38.917411785133567</c:v>
                </c:pt>
                <c:pt idx="288">
                  <c:v>34.73343688564286</c:v>
                </c:pt>
                <c:pt idx="289">
                  <c:v>19.047446893520593</c:v>
                </c:pt>
                <c:pt idx="290">
                  <c:v>36.182485723968554</c:v>
                </c:pt>
                <c:pt idx="291">
                  <c:v>16.165283824306893</c:v>
                </c:pt>
                <c:pt idx="292">
                  <c:v>12.553285638817171</c:v>
                </c:pt>
                <c:pt idx="293">
                  <c:v>17.047995380214822</c:v>
                </c:pt>
                <c:pt idx="294">
                  <c:v>35.490388379711227</c:v>
                </c:pt>
                <c:pt idx="295">
                  <c:v>20.834421809423567</c:v>
                </c:pt>
                <c:pt idx="296">
                  <c:v>29.844581872096196</c:v>
                </c:pt>
                <c:pt idx="297">
                  <c:v>23.206377881957831</c:v>
                </c:pt>
                <c:pt idx="298">
                  <c:v>15.965549858744062</c:v>
                </c:pt>
                <c:pt idx="299">
                  <c:v>16.149689413690925</c:v>
                </c:pt>
                <c:pt idx="300">
                  <c:v>17.651766116795738</c:v>
                </c:pt>
                <c:pt idx="301">
                  <c:v>28.362736491181238</c:v>
                </c:pt>
                <c:pt idx="302">
                  <c:v>25.294629001099139</c:v>
                </c:pt>
                <c:pt idx="303">
                  <c:v>24.607061294168879</c:v>
                </c:pt>
                <c:pt idx="304">
                  <c:v>26.442962912823024</c:v>
                </c:pt>
                <c:pt idx="305">
                  <c:v>29.36300391436712</c:v>
                </c:pt>
                <c:pt idx="306">
                  <c:v>9.2081282371922715</c:v>
                </c:pt>
                <c:pt idx="307">
                  <c:v>12.850713236421281</c:v>
                </c:pt>
                <c:pt idx="308">
                  <c:v>31.149524041377383</c:v>
                </c:pt>
                <c:pt idx="309">
                  <c:v>32.230855935957379</c:v>
                </c:pt>
                <c:pt idx="310">
                  <c:v>32.33865833680229</c:v>
                </c:pt>
                <c:pt idx="311">
                  <c:v>20.939130602075629</c:v>
                </c:pt>
                <c:pt idx="312">
                  <c:v>12.41309541538833</c:v>
                </c:pt>
                <c:pt idx="313">
                  <c:v>21.671796363738718</c:v>
                </c:pt>
                <c:pt idx="314">
                  <c:v>29.414006138834807</c:v>
                </c:pt>
                <c:pt idx="315">
                  <c:v>29.176730567389498</c:v>
                </c:pt>
                <c:pt idx="316">
                  <c:v>29.330366548202711</c:v>
                </c:pt>
                <c:pt idx="317">
                  <c:v>12.458700422060273</c:v>
                </c:pt>
                <c:pt idx="318">
                  <c:v>13.636035767514182</c:v>
                </c:pt>
                <c:pt idx="319">
                  <c:v>28.719932037674148</c:v>
                </c:pt>
                <c:pt idx="320">
                  <c:v>12.620713762816901</c:v>
                </c:pt>
                <c:pt idx="321">
                  <c:v>14.510124149670997</c:v>
                </c:pt>
                <c:pt idx="322">
                  <c:v>6.074148158509205</c:v>
                </c:pt>
                <c:pt idx="323">
                  <c:v>20.148742432887232</c:v>
                </c:pt>
                <c:pt idx="324">
                  <c:v>3.2461902963681797</c:v>
                </c:pt>
                <c:pt idx="325">
                  <c:v>9.9279772021122028</c:v>
                </c:pt>
                <c:pt idx="326">
                  <c:v>13.566708586190838</c:v>
                </c:pt>
                <c:pt idx="327">
                  <c:v>14.201553557949675</c:v>
                </c:pt>
                <c:pt idx="328">
                  <c:v>4.1654178729570397</c:v>
                </c:pt>
                <c:pt idx="329">
                  <c:v>14.724442544420505</c:v>
                </c:pt>
                <c:pt idx="330">
                  <c:v>16.630080788966804</c:v>
                </c:pt>
                <c:pt idx="331">
                  <c:v>9.379512900191088</c:v>
                </c:pt>
                <c:pt idx="332">
                  <c:v>10.430187300689035</c:v>
                </c:pt>
                <c:pt idx="333">
                  <c:v>4.6492641242619293</c:v>
                </c:pt>
                <c:pt idx="334">
                  <c:v>3.4491708227716811</c:v>
                </c:pt>
                <c:pt idx="335">
                  <c:v>6.0158168457703738</c:v>
                </c:pt>
                <c:pt idx="336">
                  <c:v>11.114670552443135</c:v>
                </c:pt>
                <c:pt idx="337">
                  <c:v>21.746313561918711</c:v>
                </c:pt>
                <c:pt idx="338">
                  <c:v>25.763282146083075</c:v>
                </c:pt>
                <c:pt idx="339">
                  <c:v>16.32352385438961</c:v>
                </c:pt>
                <c:pt idx="340">
                  <c:v>19.095812696404835</c:v>
                </c:pt>
                <c:pt idx="341">
                  <c:v>4.6518580348835421</c:v>
                </c:pt>
                <c:pt idx="342">
                  <c:v>9.3999884975004182</c:v>
                </c:pt>
                <c:pt idx="343">
                  <c:v>15.719936746335001</c:v>
                </c:pt>
                <c:pt idx="344">
                  <c:v>14.982404135597944</c:v>
                </c:pt>
                <c:pt idx="345">
                  <c:v>6.9101087641639127</c:v>
                </c:pt>
                <c:pt idx="346">
                  <c:v>6.4713059952328278</c:v>
                </c:pt>
                <c:pt idx="347">
                  <c:v>15.185382409166312</c:v>
                </c:pt>
                <c:pt idx="348">
                  <c:v>7.2250966081397703</c:v>
                </c:pt>
                <c:pt idx="349">
                  <c:v>5.1804660192224459</c:v>
                </c:pt>
                <c:pt idx="350">
                  <c:v>2.8874711281037793</c:v>
                </c:pt>
                <c:pt idx="351">
                  <c:v>19.521422338376528</c:v>
                </c:pt>
                <c:pt idx="352">
                  <c:v>17.453449481515552</c:v>
                </c:pt>
                <c:pt idx="353">
                  <c:v>3.9084520605413728</c:v>
                </c:pt>
                <c:pt idx="354">
                  <c:v>19.920437603486516</c:v>
                </c:pt>
                <c:pt idx="355">
                  <c:v>19.478531553267885</c:v>
                </c:pt>
                <c:pt idx="356">
                  <c:v>19.612285429303256</c:v>
                </c:pt>
                <c:pt idx="357">
                  <c:v>20.825131650079641</c:v>
                </c:pt>
                <c:pt idx="358">
                  <c:v>11.687337728239733</c:v>
                </c:pt>
                <c:pt idx="359">
                  <c:v>19.953990102010877</c:v>
                </c:pt>
                <c:pt idx="360">
                  <c:v>6.7572577745057778</c:v>
                </c:pt>
                <c:pt idx="361">
                  <c:v>21.728238105922753</c:v>
                </c:pt>
                <c:pt idx="362">
                  <c:v>11.057977559459855</c:v>
                </c:pt>
                <c:pt idx="363">
                  <c:v>15.095748867414493</c:v>
                </c:pt>
                <c:pt idx="364">
                  <c:v>12.999169623095673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537768"/>
        <c:axId val="385538160"/>
      </c:lineChart>
      <c:dateAx>
        <c:axId val="385537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538160"/>
        <c:crosses val="autoZero"/>
        <c:auto val="1"/>
        <c:lblOffset val="100"/>
        <c:baseTimeUnit val="days"/>
        <c:majorUnit val="1"/>
        <c:majorTimeUnit val="months"/>
      </c:dateAx>
      <c:valAx>
        <c:axId val="38553816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53776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2.7443896715095839E-2</c:v>
                </c:pt>
                <c:pt idx="1">
                  <c:v>2.746253553093958E-2</c:v>
                </c:pt>
                <c:pt idx="2">
                  <c:v>2.7481173989574725E-2</c:v>
                </c:pt>
                <c:pt idx="3">
                  <c:v>2.7499812091007936E-2</c:v>
                </c:pt>
                <c:pt idx="4">
                  <c:v>2.7518449835246317E-2</c:v>
                </c:pt>
                <c:pt idx="5">
                  <c:v>2.753708722229653E-2</c:v>
                </c:pt>
                <c:pt idx="6">
                  <c:v>2.7555724252165459E-2</c:v>
                </c:pt>
                <c:pt idx="7">
                  <c:v>2.7574360924859986E-2</c:v>
                </c:pt>
                <c:pt idx="8">
                  <c:v>2.7592997240386885E-2</c:v>
                </c:pt>
                <c:pt idx="9">
                  <c:v>2.7611633198753149E-2</c:v>
                </c:pt>
                <c:pt idx="10">
                  <c:v>2.7630268799965441E-2</c:v>
                </c:pt>
                <c:pt idx="11">
                  <c:v>2.7648904044030642E-2</c:v>
                </c:pt>
                <c:pt idx="12">
                  <c:v>2.7667538930955748E-2</c:v>
                </c:pt>
                <c:pt idx="13">
                  <c:v>2.7686173460747421E-2</c:v>
                </c:pt>
                <c:pt idx="14">
                  <c:v>2.7704807633412654E-2</c:v>
                </c:pt>
                <c:pt idx="15">
                  <c:v>2.7723441448958219E-2</c:v>
                </c:pt>
                <c:pt idx="16">
                  <c:v>2.774207490739089E-2</c:v>
                </c:pt>
                <c:pt idx="17">
                  <c:v>2.776070800871755E-2</c:v>
                </c:pt>
                <c:pt idx="18">
                  <c:v>2.7779340752945192E-2</c:v>
                </c:pt>
                <c:pt idx="19">
                  <c:v>2.7797973140080479E-2</c:v>
                </c:pt>
                <c:pt idx="20">
                  <c:v>2.7816605170130293E-2</c:v>
                </c:pt>
                <c:pt idx="21">
                  <c:v>2.7835236843101518E-2</c:v>
                </c:pt>
                <c:pt idx="22">
                  <c:v>2.7853868159001038E-2</c:v>
                </c:pt>
                <c:pt idx="23">
                  <c:v>2.7872499117835625E-2</c:v>
                </c:pt>
                <c:pt idx="24">
                  <c:v>2.7891129719612051E-2</c:v>
                </c:pt>
                <c:pt idx="25">
                  <c:v>2.7909759964337311E-2</c:v>
                </c:pt>
                <c:pt idx="26">
                  <c:v>2.7928389852018176E-2</c:v>
                </c:pt>
                <c:pt idx="27">
                  <c:v>2.7947019382661531E-2</c:v>
                </c:pt>
                <c:pt idx="28">
                  <c:v>2.7965648556274147E-2</c:v>
                </c:pt>
                <c:pt idx="29">
                  <c:v>2.7984277372862909E-2</c:v>
                </c:pt>
                <c:pt idx="30">
                  <c:v>2.8002905832434588E-2</c:v>
                </c:pt>
                <c:pt idx="31">
                  <c:v>2.8021533934996179E-2</c:v>
                </c:pt>
                <c:pt idx="32">
                  <c:v>2.8040161680554343E-2</c:v>
                </c:pt>
                <c:pt idx="33">
                  <c:v>2.8058789069116075E-2</c:v>
                </c:pt>
                <c:pt idx="34">
                  <c:v>2.8077416100688146E-2</c:v>
                </c:pt>
                <c:pt idx="35">
                  <c:v>2.8096042775277441E-2</c:v>
                </c:pt>
                <c:pt idx="36">
                  <c:v>2.8114669092890732E-2</c:v>
                </c:pt>
                <c:pt idx="37">
                  <c:v>2.813329505353479E-2</c:v>
                </c:pt>
                <c:pt idx="38">
                  <c:v>2.8151920657216722E-2</c:v>
                </c:pt>
                <c:pt idx="39">
                  <c:v>2.8170545903943189E-2</c:v>
                </c:pt>
                <c:pt idx="40">
                  <c:v>2.8189170793720963E-2</c:v>
                </c:pt>
                <c:pt idx="41">
                  <c:v>2.8207795326557039E-2</c:v>
                </c:pt>
                <c:pt idx="42">
                  <c:v>2.8226419502458189E-2</c:v>
                </c:pt>
                <c:pt idx="43">
                  <c:v>2.8245043321431185E-2</c:v>
                </c:pt>
                <c:pt idx="44">
                  <c:v>2.8263666783483021E-2</c:v>
                </c:pt>
                <c:pt idx="45">
                  <c:v>2.8282289888620471E-2</c:v>
                </c:pt>
                <c:pt idx="46">
                  <c:v>2.8300912636850306E-2</c:v>
                </c:pt>
                <c:pt idx="47">
                  <c:v>2.831953502817941E-2</c:v>
                </c:pt>
                <c:pt idx="48">
                  <c:v>2.8338157062614666E-2</c:v>
                </c:pt>
                <c:pt idx="49">
                  <c:v>2.8356778740162847E-2</c:v>
                </c:pt>
                <c:pt idx="50">
                  <c:v>2.8375400060830835E-2</c:v>
                </c:pt>
                <c:pt idx="51">
                  <c:v>2.8394021024625515E-2</c:v>
                </c:pt>
                <c:pt idx="52">
                  <c:v>2.8412641631553659E-2</c:v>
                </c:pt>
                <c:pt idx="53">
                  <c:v>2.8431261881622039E-2</c:v>
                </c:pt>
                <c:pt idx="54">
                  <c:v>2.8449881774837649E-2</c:v>
                </c:pt>
                <c:pt idx="55">
                  <c:v>2.8468501311207262E-2</c:v>
                </c:pt>
                <c:pt idx="56">
                  <c:v>2.848712049073765E-2</c:v>
                </c:pt>
                <c:pt idx="57">
                  <c:v>2.8505739313435807E-2</c:v>
                </c:pt>
                <c:pt idx="58">
                  <c:v>2.8524357779308396E-2</c:v>
                </c:pt>
                <c:pt idx="59">
                  <c:v>2.8542975888362299E-2</c:v>
                </c:pt>
                <c:pt idx="60">
                  <c:v>2.8561593640604399E-2</c:v>
                </c:pt>
                <c:pt idx="61">
                  <c:v>2.8580211036041581E-2</c:v>
                </c:pt>
                <c:pt idx="62">
                  <c:v>2.8598828074680616E-2</c:v>
                </c:pt>
                <c:pt idx="63">
                  <c:v>2.8617444756528387E-2</c:v>
                </c:pt>
                <c:pt idx="64">
                  <c:v>2.8636061081591668E-2</c:v>
                </c:pt>
                <c:pt idx="65">
                  <c:v>2.8654677049877231E-2</c:v>
                </c:pt>
                <c:pt idx="66">
                  <c:v>2.867329266139218E-2</c:v>
                </c:pt>
                <c:pt idx="67">
                  <c:v>2.8691907916143067E-2</c:v>
                </c:pt>
                <c:pt idx="68">
                  <c:v>2.8710522814136885E-2</c:v>
                </c:pt>
                <c:pt idx="69">
                  <c:v>2.8729137355380407E-2</c:v>
                </c:pt>
                <c:pt idx="70">
                  <c:v>2.8747751539880406E-2</c:v>
                </c:pt>
                <c:pt idx="71">
                  <c:v>2.8766365367643987E-2</c:v>
                </c:pt>
                <c:pt idx="72">
                  <c:v>2.8784978838677699E-2</c:v>
                </c:pt>
                <c:pt idx="73">
                  <c:v>2.8803591952988539E-2</c:v>
                </c:pt>
                <c:pt idx="74">
                  <c:v>2.8822204710583166E-2</c:v>
                </c:pt>
                <c:pt idx="75">
                  <c:v>2.8840817111468686E-2</c:v>
                </c:pt>
                <c:pt idx="76">
                  <c:v>2.8859429155651761E-2</c:v>
                </c:pt>
                <c:pt idx="77">
                  <c:v>2.8878040843139163E-2</c:v>
                </c:pt>
                <c:pt idx="78">
                  <c:v>2.8896652173937887E-2</c:v>
                </c:pt>
                <c:pt idx="79">
                  <c:v>2.8915263148054704E-2</c:v>
                </c:pt>
                <c:pt idx="80">
                  <c:v>2.8933873765496387E-2</c:v>
                </c:pt>
                <c:pt idx="81">
                  <c:v>2.8952484026269931E-2</c:v>
                </c:pt>
                <c:pt idx="82">
                  <c:v>2.8971093930381997E-2</c:v>
                </c:pt>
                <c:pt idx="83">
                  <c:v>2.8989703477839579E-2</c:v>
                </c:pt>
                <c:pt idx="84">
                  <c:v>2.9008312668649339E-2</c:v>
                </c:pt>
                <c:pt idx="85">
                  <c:v>2.902692150281827E-2</c:v>
                </c:pt>
                <c:pt idx="86">
                  <c:v>2.9045529980353146E-2</c:v>
                </c:pt>
                <c:pt idx="87">
                  <c:v>2.9064138101260739E-2</c:v>
                </c:pt>
                <c:pt idx="88">
                  <c:v>2.9082745865547932E-2</c:v>
                </c:pt>
                <c:pt idx="89">
                  <c:v>2.9101353273221608E-2</c:v>
                </c:pt>
                <c:pt idx="90">
                  <c:v>2.9119960324288541E-2</c:v>
                </c:pt>
                <c:pt idx="91">
                  <c:v>2.9138567018755612E-2</c:v>
                </c:pt>
                <c:pt idx="92">
                  <c:v>2.9157173356629595E-2</c:v>
                </c:pt>
                <c:pt idx="93">
                  <c:v>2.9175779337917374E-2</c:v>
                </c:pt>
                <c:pt idx="94">
                  <c:v>2.919438496262583E-2</c:v>
                </c:pt>
                <c:pt idx="95">
                  <c:v>2.9212990230761626E-2</c:v>
                </c:pt>
                <c:pt idx="96">
                  <c:v>2.9231595142331757E-2</c:v>
                </c:pt>
                <c:pt idx="97">
                  <c:v>2.9250199697342993E-2</c:v>
                </c:pt>
                <c:pt idx="98">
                  <c:v>2.9268803895802109E-2</c:v>
                </c:pt>
                <c:pt idx="99">
                  <c:v>2.9287407737716098E-2</c:v>
                </c:pt>
                <c:pt idx="100">
                  <c:v>2.9306011223091732E-2</c:v>
                </c:pt>
                <c:pt idx="101">
                  <c:v>2.9324614351935674E-2</c:v>
                </c:pt>
                <c:pt idx="102">
                  <c:v>2.9343217124255028E-2</c:v>
                </c:pt>
                <c:pt idx="103">
                  <c:v>2.9361819540056455E-2</c:v>
                </c:pt>
                <c:pt idx="104">
                  <c:v>2.938042159934684E-2</c:v>
                </c:pt>
                <c:pt idx="105">
                  <c:v>2.9399023302132954E-2</c:v>
                </c:pt>
                <c:pt idx="106">
                  <c:v>2.9417624648421681E-2</c:v>
                </c:pt>
                <c:pt idx="107">
                  <c:v>2.9436225638219904E-2</c:v>
                </c:pt>
                <c:pt idx="108">
                  <c:v>2.9454826271534285E-2</c:v>
                </c:pt>
                <c:pt idx="109">
                  <c:v>2.9473426548371928E-2</c:v>
                </c:pt>
                <c:pt idx="110">
                  <c:v>2.9492026468739385E-2</c:v>
                </c:pt>
                <c:pt idx="111">
                  <c:v>2.951062603264365E-2</c:v>
                </c:pt>
                <c:pt idx="112">
                  <c:v>2.9529225240091606E-2</c:v>
                </c:pt>
                <c:pt idx="113">
                  <c:v>2.9547824091089914E-2</c:v>
                </c:pt>
                <c:pt idx="114">
                  <c:v>2.9566422585645458E-2</c:v>
                </c:pt>
                <c:pt idx="115">
                  <c:v>2.9585020723765121E-2</c:v>
                </c:pt>
                <c:pt idx="116">
                  <c:v>2.9603618505455676E-2</c:v>
                </c:pt>
                <c:pt idx="117">
                  <c:v>2.9622215930724116E-2</c:v>
                </c:pt>
                <c:pt idx="118">
                  <c:v>2.9640812999576993E-2</c:v>
                </c:pt>
                <c:pt idx="119">
                  <c:v>2.9659409712021412E-2</c:v>
                </c:pt>
                <c:pt idx="120">
                  <c:v>2.9678006068063922E-2</c:v>
                </c:pt>
                <c:pt idx="121">
                  <c:v>2.969660206771163E-2</c:v>
                </c:pt>
                <c:pt idx="122">
                  <c:v>2.9715197710971197E-2</c:v>
                </c:pt>
                <c:pt idx="123">
                  <c:v>2.9733792997849617E-2</c:v>
                </c:pt>
                <c:pt idx="124">
                  <c:v>2.9752387928353441E-2</c:v>
                </c:pt>
                <c:pt idx="125">
                  <c:v>2.9770982502489773E-2</c:v>
                </c:pt>
                <c:pt idx="126">
                  <c:v>2.9789576720265276E-2</c:v>
                </c:pt>
                <c:pt idx="127">
                  <c:v>2.9808170581686944E-2</c:v>
                </c:pt>
                <c:pt idx="128">
                  <c:v>2.9826764086761326E-2</c:v>
                </c:pt>
                <c:pt idx="129">
                  <c:v>2.9845357235495529E-2</c:v>
                </c:pt>
                <c:pt idx="130">
                  <c:v>2.9863950027896324E-2</c:v>
                </c:pt>
                <c:pt idx="131">
                  <c:v>2.9882542463970485E-2</c:v>
                </c:pt>
                <c:pt idx="132">
                  <c:v>2.9901134543724783E-2</c:v>
                </c:pt>
                <c:pt idx="133">
                  <c:v>2.9919726267166102E-2</c:v>
                </c:pt>
                <c:pt idx="134">
                  <c:v>2.9938317634301326E-2</c:v>
                </c:pt>
                <c:pt idx="135">
                  <c:v>2.9956908645137226E-2</c:v>
                </c:pt>
                <c:pt idx="136">
                  <c:v>2.9975499299680686E-2</c:v>
                </c:pt>
                <c:pt idx="137">
                  <c:v>2.9994089597938367E-2</c:v>
                </c:pt>
                <c:pt idx="138">
                  <c:v>3.0012679539917375E-2</c:v>
                </c:pt>
                <c:pt idx="139">
                  <c:v>3.003126912562426E-2</c:v>
                </c:pt>
                <c:pt idx="140">
                  <c:v>3.0049858355066128E-2</c:v>
                </c:pt>
                <c:pt idx="141">
                  <c:v>3.0068447228249529E-2</c:v>
                </c:pt>
                <c:pt idx="142">
                  <c:v>3.0087035745181456E-2</c:v>
                </c:pt>
                <c:pt idx="143">
                  <c:v>3.0105623905868684E-2</c:v>
                </c:pt>
                <c:pt idx="144">
                  <c:v>3.0124211710318094E-2</c:v>
                </c:pt>
                <c:pt idx="145">
                  <c:v>3.014279915853646E-2</c:v>
                </c:pt>
                <c:pt idx="146">
                  <c:v>3.0161386250530553E-2</c:v>
                </c:pt>
                <c:pt idx="147">
                  <c:v>3.0179972986307368E-2</c:v>
                </c:pt>
                <c:pt idx="148">
                  <c:v>3.0198559365873567E-2</c:v>
                </c:pt>
                <c:pt idx="149">
                  <c:v>3.0217145389236033E-2</c:v>
                </c:pt>
                <c:pt idx="150">
                  <c:v>3.0235731056401649E-2</c:v>
                </c:pt>
                <c:pt idx="151">
                  <c:v>3.0254316367377188E-2</c:v>
                </c:pt>
                <c:pt idx="152">
                  <c:v>3.0272901322169421E-2</c:v>
                </c:pt>
                <c:pt idx="153">
                  <c:v>3.0291485920785233E-2</c:v>
                </c:pt>
                <c:pt idx="154">
                  <c:v>3.0310070163231506E-2</c:v>
                </c:pt>
                <c:pt idx="155">
                  <c:v>3.0328654049515014E-2</c:v>
                </c:pt>
                <c:pt idx="156">
                  <c:v>3.0347237579642639E-2</c:v>
                </c:pt>
                <c:pt idx="157">
                  <c:v>3.0365820753621042E-2</c:v>
                </c:pt>
                <c:pt idx="158">
                  <c:v>3.0384403571457219E-2</c:v>
                </c:pt>
                <c:pt idx="159">
                  <c:v>3.0402986033157831E-2</c:v>
                </c:pt>
                <c:pt idx="160">
                  <c:v>3.0421568138729871E-2</c:v>
                </c:pt>
                <c:pt idx="161">
                  <c:v>3.0440149888180112E-2</c:v>
                </c:pt>
                <c:pt idx="162">
                  <c:v>3.0458731281515439E-2</c:v>
                </c:pt>
                <c:pt idx="163">
                  <c:v>3.0477312318742511E-2</c:v>
                </c:pt>
                <c:pt idx="164">
                  <c:v>3.0495892999868213E-2</c:v>
                </c:pt>
                <c:pt idx="165">
                  <c:v>3.0514473324899427E-2</c:v>
                </c:pt>
                <c:pt idx="166">
                  <c:v>3.0533053293842927E-2</c:v>
                </c:pt>
                <c:pt idx="167">
                  <c:v>3.0551632906705706E-2</c:v>
                </c:pt>
                <c:pt idx="168">
                  <c:v>3.0570212163494315E-2</c:v>
                </c:pt>
                <c:pt idx="169">
                  <c:v>3.0588791064215637E-2</c:v>
                </c:pt>
                <c:pt idx="170">
                  <c:v>3.0607369608876667E-2</c:v>
                </c:pt>
                <c:pt idx="171">
                  <c:v>3.0625947797484177E-2</c:v>
                </c:pt>
                <c:pt idx="172">
                  <c:v>3.0644525630044828E-2</c:v>
                </c:pt>
                <c:pt idx="173">
                  <c:v>3.0663103106565615E-2</c:v>
                </c:pt>
                <c:pt idx="174">
                  <c:v>3.068168022705331E-2</c:v>
                </c:pt>
                <c:pt idx="175">
                  <c:v>3.0700256991514685E-2</c:v>
                </c:pt>
                <c:pt idx="176">
                  <c:v>3.0718833399956624E-2</c:v>
                </c:pt>
                <c:pt idx="177">
                  <c:v>3.0737409452386011E-2</c:v>
                </c:pt>
                <c:pt idx="178">
                  <c:v>3.0755985148809506E-2</c:v>
                </c:pt>
                <c:pt idx="179">
                  <c:v>3.0774560489233993E-2</c:v>
                </c:pt>
                <c:pt idx="180">
                  <c:v>3.0793135473666355E-2</c:v>
                </c:pt>
                <c:pt idx="181">
                  <c:v>3.0811710102113476E-2</c:v>
                </c:pt>
                <c:pt idx="182">
                  <c:v>3.0830284374581907E-2</c:v>
                </c:pt>
                <c:pt idx="183">
                  <c:v>3.0848858291078751E-2</c:v>
                </c:pt>
                <c:pt idx="184">
                  <c:v>3.0867431851610672E-2</c:v>
                </c:pt>
                <c:pt idx="185">
                  <c:v>3.0886005056184551E-2</c:v>
                </c:pt>
                <c:pt idx="186">
                  <c:v>3.0904577904807273E-2</c:v>
                </c:pt>
                <c:pt idx="187">
                  <c:v>3.0923150397485499E-2</c:v>
                </c:pt>
                <c:pt idx="188">
                  <c:v>3.0941722534226224E-2</c:v>
                </c:pt>
                <c:pt idx="189">
                  <c:v>3.0960294315036108E-2</c:v>
                </c:pt>
                <c:pt idx="190">
                  <c:v>3.0978865739922035E-2</c:v>
                </c:pt>
                <c:pt idx="191">
                  <c:v>3.0997436808890888E-2</c:v>
                </c:pt>
                <c:pt idx="192">
                  <c:v>3.101600752194944E-2</c:v>
                </c:pt>
                <c:pt idx="193">
                  <c:v>3.1034577879104575E-2</c:v>
                </c:pt>
                <c:pt idx="194">
                  <c:v>3.1053147880362952E-2</c:v>
                </c:pt>
                <c:pt idx="195">
                  <c:v>3.1071717525731568E-2</c:v>
                </c:pt>
                <c:pt idx="196">
                  <c:v>3.1090286815217083E-2</c:v>
                </c:pt>
                <c:pt idx="197">
                  <c:v>3.1108855748826381E-2</c:v>
                </c:pt>
                <c:pt idx="198">
                  <c:v>3.1127424326566455E-2</c:v>
                </c:pt>
                <c:pt idx="199">
                  <c:v>3.1145992548443857E-2</c:v>
                </c:pt>
                <c:pt idx="200">
                  <c:v>3.1164560414465581E-2</c:v>
                </c:pt>
                <c:pt idx="201">
                  <c:v>3.1183127924638288E-2</c:v>
                </c:pt>
                <c:pt idx="202">
                  <c:v>3.1201695078968972E-2</c:v>
                </c:pt>
                <c:pt idx="203">
                  <c:v>3.1220261877464406E-2</c:v>
                </c:pt>
                <c:pt idx="204">
                  <c:v>3.1238828320131362E-2</c:v>
                </c:pt>
                <c:pt idx="205">
                  <c:v>3.1257394406976613E-2</c:v>
                </c:pt>
                <c:pt idx="206">
                  <c:v>3.1275960138007153E-2</c:v>
                </c:pt>
                <c:pt idx="207">
                  <c:v>3.1294525513229643E-2</c:v>
                </c:pt>
                <c:pt idx="208">
                  <c:v>3.1313090532650856E-2</c:v>
                </c:pt>
                <c:pt idx="209">
                  <c:v>3.1331655196277897E-2</c:v>
                </c:pt>
                <c:pt idx="210">
                  <c:v>3.1350219504117205E-2</c:v>
                </c:pt>
                <c:pt idx="211">
                  <c:v>3.1368783456175886E-2</c:v>
                </c:pt>
                <c:pt idx="212">
                  <c:v>3.1387347052460712E-2</c:v>
                </c:pt>
                <c:pt idx="213">
                  <c:v>3.1405910292978345E-2</c:v>
                </c:pt>
                <c:pt idx="214">
                  <c:v>3.1424473177735779E-2</c:v>
                </c:pt>
                <c:pt idx="215">
                  <c:v>3.1443035706739786E-2</c:v>
                </c:pt>
                <c:pt idx="216">
                  <c:v>3.1461597879997028E-2</c:v>
                </c:pt>
                <c:pt idx="217">
                  <c:v>3.1480159697514609E-2</c:v>
                </c:pt>
                <c:pt idx="218">
                  <c:v>3.1498721159299081E-2</c:v>
                </c:pt>
                <c:pt idx="219">
                  <c:v>3.1517282265357438E-2</c:v>
                </c:pt>
                <c:pt idx="220">
                  <c:v>3.1535843015696452E-2</c:v>
                </c:pt>
                <c:pt idx="221">
                  <c:v>3.1554403410322784E-2</c:v>
                </c:pt>
                <c:pt idx="222">
                  <c:v>3.1572963449243541E-2</c:v>
                </c:pt>
                <c:pt idx="223">
                  <c:v>3.1591523132465271E-2</c:v>
                </c:pt>
                <c:pt idx="224">
                  <c:v>3.161008245999497E-2</c:v>
                </c:pt>
                <c:pt idx="225">
                  <c:v>3.162864143183941E-2</c:v>
                </c:pt>
                <c:pt idx="226">
                  <c:v>3.1647200048005364E-2</c:v>
                </c:pt>
                <c:pt idx="227">
                  <c:v>3.1665758308499714E-2</c:v>
                </c:pt>
                <c:pt idx="228">
                  <c:v>3.1684316213329122E-2</c:v>
                </c:pt>
                <c:pt idx="229">
                  <c:v>3.1702873762500583E-2</c:v>
                </c:pt>
                <c:pt idx="230">
                  <c:v>3.1721430956020868E-2</c:v>
                </c:pt>
                <c:pt idx="231">
                  <c:v>3.1739987793896751E-2</c:v>
                </c:pt>
                <c:pt idx="232">
                  <c:v>3.1758544276135114E-2</c:v>
                </c:pt>
                <c:pt idx="233">
                  <c:v>3.177710040274262E-2</c:v>
                </c:pt>
                <c:pt idx="234">
                  <c:v>3.1795656173726261E-2</c:v>
                </c:pt>
                <c:pt idx="235">
                  <c:v>3.1814211589092811E-2</c:v>
                </c:pt>
                <c:pt idx="236">
                  <c:v>3.1832766648849042E-2</c:v>
                </c:pt>
                <c:pt idx="237">
                  <c:v>3.1851321353001727E-2</c:v>
                </c:pt>
                <c:pt idx="238">
                  <c:v>3.1869875701557859E-2</c:v>
                </c:pt>
                <c:pt idx="239">
                  <c:v>3.188842969452399E-2</c:v>
                </c:pt>
                <c:pt idx="240">
                  <c:v>3.1906983331907224E-2</c:v>
                </c:pt>
                <c:pt idx="241">
                  <c:v>3.1925536613714112E-2</c:v>
                </c:pt>
                <c:pt idx="242">
                  <c:v>3.1944089539951648E-2</c:v>
                </c:pt>
                <c:pt idx="243">
                  <c:v>3.1962642110626605E-2</c:v>
                </c:pt>
                <c:pt idx="244">
                  <c:v>3.1981194325745754E-2</c:v>
                </c:pt>
                <c:pt idx="245">
                  <c:v>3.1999746185315869E-2</c:v>
                </c:pt>
                <c:pt idx="246">
                  <c:v>3.2018297689343944E-2</c:v>
                </c:pt>
                <c:pt idx="247">
                  <c:v>3.2036848837836529E-2</c:v>
                </c:pt>
                <c:pt idx="248">
                  <c:v>3.2055399630800729E-2</c:v>
                </c:pt>
                <c:pt idx="249">
                  <c:v>3.2073950068243096E-2</c:v>
                </c:pt>
                <c:pt idx="250">
                  <c:v>3.2092500150170622E-2</c:v>
                </c:pt>
                <c:pt idx="251">
                  <c:v>3.2111049876590081E-2</c:v>
                </c:pt>
                <c:pt idx="252">
                  <c:v>3.2129599247508245E-2</c:v>
                </c:pt>
                <c:pt idx="253">
                  <c:v>3.2148148262931997E-2</c:v>
                </c:pt>
                <c:pt idx="254">
                  <c:v>3.2166696922867999E-2</c:v>
                </c:pt>
                <c:pt idx="255">
                  <c:v>3.2185245227323245E-2</c:v>
                </c:pt>
                <c:pt idx="256">
                  <c:v>3.2203793176304396E-2</c:v>
                </c:pt>
                <c:pt idx="257">
                  <c:v>3.2222340769818447E-2</c:v>
                </c:pt>
                <c:pt idx="258">
                  <c:v>3.2240888007871948E-2</c:v>
                </c:pt>
                <c:pt idx="259">
                  <c:v>3.2259434890472005E-2</c:v>
                </c:pt>
                <c:pt idx="260">
                  <c:v>3.2277981417625168E-2</c:v>
                </c:pt>
                <c:pt idx="261">
                  <c:v>3.2296527589338431E-2</c:v>
                </c:pt>
                <c:pt idx="262">
                  <c:v>3.2315073405618566E-2</c:v>
                </c:pt>
                <c:pt idx="263">
                  <c:v>3.2333618866472347E-2</c:v>
                </c:pt>
                <c:pt idx="264">
                  <c:v>3.2352163971906545E-2</c:v>
                </c:pt>
                <c:pt idx="265">
                  <c:v>3.2370708721928154E-2</c:v>
                </c:pt>
                <c:pt idx="266">
                  <c:v>3.2389253116543726E-2</c:v>
                </c:pt>
                <c:pt idx="267">
                  <c:v>3.2407797155760254E-2</c:v>
                </c:pt>
                <c:pt idx="268">
                  <c:v>3.2426340839584511E-2</c:v>
                </c:pt>
                <c:pt idx="269">
                  <c:v>3.2444884168023269E-2</c:v>
                </c:pt>
                <c:pt idx="270">
                  <c:v>3.2463427141083412E-2</c:v>
                </c:pt>
                <c:pt idx="271">
                  <c:v>3.2481969758771712E-2</c:v>
                </c:pt>
                <c:pt idx="272">
                  <c:v>3.2500512021094941E-2</c:v>
                </c:pt>
                <c:pt idx="273">
                  <c:v>3.2519053928059982E-2</c:v>
                </c:pt>
                <c:pt idx="274">
                  <c:v>3.2537595479673609E-2</c:v>
                </c:pt>
                <c:pt idx="275">
                  <c:v>3.2556136675942593E-2</c:v>
                </c:pt>
                <c:pt idx="276">
                  <c:v>3.2574677516873707E-2</c:v>
                </c:pt>
                <c:pt idx="277">
                  <c:v>3.2593218002473945E-2</c:v>
                </c:pt>
                <c:pt idx="278">
                  <c:v>3.2611758132749968E-2</c:v>
                </c:pt>
                <c:pt idx="279">
                  <c:v>3.2630297907708661E-2</c:v>
                </c:pt>
                <c:pt idx="280">
                  <c:v>3.2648837327356794E-2</c:v>
                </c:pt>
                <c:pt idx="281">
                  <c:v>3.2667376391701142E-2</c:v>
                </c:pt>
                <c:pt idx="282">
                  <c:v>3.2685915100748475E-2</c:v>
                </c:pt>
                <c:pt idx="283">
                  <c:v>3.2704453454505789E-2</c:v>
                </c:pt>
                <c:pt idx="284">
                  <c:v>3.2722991452979744E-2</c:v>
                </c:pt>
                <c:pt idx="285">
                  <c:v>3.2741529096177224E-2</c:v>
                </c:pt>
                <c:pt idx="286">
                  <c:v>3.2760066384105002E-2</c:v>
                </c:pt>
                <c:pt idx="287">
                  <c:v>3.277860331676985E-2</c:v>
                </c:pt>
                <c:pt idx="288">
                  <c:v>3.2797139894178651E-2</c:v>
                </c:pt>
                <c:pt idx="289">
                  <c:v>3.2815676116338066E-2</c:v>
                </c:pt>
                <c:pt idx="290">
                  <c:v>3.283421198325509E-2</c:v>
                </c:pt>
                <c:pt idx="291">
                  <c:v>3.2852747494936496E-2</c:v>
                </c:pt>
                <c:pt idx="292">
                  <c:v>3.2871282651389055E-2</c:v>
                </c:pt>
                <c:pt idx="293">
                  <c:v>3.2889817452619541E-2</c:v>
                </c:pt>
                <c:pt idx="294">
                  <c:v>3.2908351898634725E-2</c:v>
                </c:pt>
                <c:pt idx="295">
                  <c:v>3.292688598944149E-2</c:v>
                </c:pt>
                <c:pt idx="296">
                  <c:v>3.2945419725046721E-2</c:v>
                </c:pt>
                <c:pt idx="297">
                  <c:v>3.2963953105457078E-2</c:v>
                </c:pt>
                <c:pt idx="298">
                  <c:v>3.2982486130679445E-2</c:v>
                </c:pt>
                <c:pt idx="299">
                  <c:v>3.3001018800720594E-2</c:v>
                </c:pt>
                <c:pt idx="300">
                  <c:v>3.3019551115587298E-2</c:v>
                </c:pt>
                <c:pt idx="301">
                  <c:v>3.3038083075286551E-2</c:v>
                </c:pt>
                <c:pt idx="302">
                  <c:v>3.3056614679824903E-2</c:v>
                </c:pt>
                <c:pt idx="303">
                  <c:v>3.3075145929209349E-2</c:v>
                </c:pt>
                <c:pt idx="304">
                  <c:v>3.3093676823446661E-2</c:v>
                </c:pt>
                <c:pt idx="305">
                  <c:v>3.31122073625435E-2</c:v>
                </c:pt>
                <c:pt idx="306">
                  <c:v>3.3130737546506861E-2</c:v>
                </c:pt>
                <c:pt idx="307">
                  <c:v>3.3149267375343405E-2</c:v>
                </c:pt>
                <c:pt idx="308">
                  <c:v>3.3167796849060127E-2</c:v>
                </c:pt>
                <c:pt idx="309">
                  <c:v>3.3186325967663577E-2</c:v>
                </c:pt>
                <c:pt idx="310">
                  <c:v>3.3204854731160749E-2</c:v>
                </c:pt>
                <c:pt idx="311">
                  <c:v>3.3223383139558416E-2</c:v>
                </c:pt>
                <c:pt idx="312">
                  <c:v>3.3241911192863349E-2</c:v>
                </c:pt>
                <c:pt idx="313">
                  <c:v>3.3260438891082433E-2</c:v>
                </c:pt>
                <c:pt idx="314">
                  <c:v>3.3278966234222329E-2</c:v>
                </c:pt>
                <c:pt idx="315">
                  <c:v>3.329749322228992E-2</c:v>
                </c:pt>
                <c:pt idx="316">
                  <c:v>3.3316019855292089E-2</c:v>
                </c:pt>
                <c:pt idx="317">
                  <c:v>3.3334546133235499E-2</c:v>
                </c:pt>
                <c:pt idx="318">
                  <c:v>3.3353072056127031E-2</c:v>
                </c:pt>
                <c:pt idx="319">
                  <c:v>3.3371597623973459E-2</c:v>
                </c:pt>
                <c:pt idx="320">
                  <c:v>3.3390122836781555E-2</c:v>
                </c:pt>
                <c:pt idx="321">
                  <c:v>3.3408647694558313E-2</c:v>
                </c:pt>
                <c:pt idx="322">
                  <c:v>3.3427172197310284E-2</c:v>
                </c:pt>
                <c:pt idx="323">
                  <c:v>3.3445696345044462E-2</c:v>
                </c:pt>
                <c:pt idx="324">
                  <c:v>3.3464220137767509E-2</c:v>
                </c:pt>
                <c:pt idx="325">
                  <c:v>3.3482743575486307E-2</c:v>
                </c:pt>
                <c:pt idx="326">
                  <c:v>3.3501266658207629E-2</c:v>
                </c:pt>
                <c:pt idx="327">
                  <c:v>3.3519789385938359E-2</c:v>
                </c:pt>
                <c:pt idx="328">
                  <c:v>3.3538311758685269E-2</c:v>
                </c:pt>
                <c:pt idx="329">
                  <c:v>3.355683377645502E-2</c:v>
                </c:pt>
                <c:pt idx="330">
                  <c:v>3.3575355439254606E-2</c:v>
                </c:pt>
                <c:pt idx="331">
                  <c:v>3.359387674709069E-2</c:v>
                </c:pt>
                <c:pt idx="332">
                  <c:v>3.3612397699970153E-2</c:v>
                </c:pt>
                <c:pt idx="333">
                  <c:v>3.363091829789977E-2</c:v>
                </c:pt>
                <c:pt idx="334">
                  <c:v>3.3649438540886423E-2</c:v>
                </c:pt>
                <c:pt idx="335">
                  <c:v>3.3667958428936773E-2</c:v>
                </c:pt>
                <c:pt idx="336">
                  <c:v>3.3686477962057704E-2</c:v>
                </c:pt>
                <c:pt idx="337">
                  <c:v>3.3704997140256099E-2</c:v>
                </c:pt>
                <c:pt idx="338">
                  <c:v>3.3723515963538508E-2</c:v>
                </c:pt>
                <c:pt idx="339">
                  <c:v>3.3742034431912038E-2</c:v>
                </c:pt>
                <c:pt idx="340">
                  <c:v>3.3760552545383238E-2</c:v>
                </c:pt>
                <c:pt idx="341">
                  <c:v>3.3779070303959102E-2</c:v>
                </c:pt>
                <c:pt idx="342">
                  <c:v>3.3797587707646293E-2</c:v>
                </c:pt>
                <c:pt idx="343">
                  <c:v>3.3816104756451693E-2</c:v>
                </c:pt>
                <c:pt idx="344">
                  <c:v>3.3834621450382074E-2</c:v>
                </c:pt>
                <c:pt idx="345">
                  <c:v>3.385313778944421E-2</c:v>
                </c:pt>
                <c:pt idx="346">
                  <c:v>3.3871653773644983E-2</c:v>
                </c:pt>
                <c:pt idx="347">
                  <c:v>3.3890169402991055E-2</c:v>
                </c:pt>
                <c:pt idx="348">
                  <c:v>3.390868467748942E-2</c:v>
                </c:pt>
                <c:pt idx="349">
                  <c:v>3.392719959714674E-2</c:v>
                </c:pt>
                <c:pt idx="350">
                  <c:v>3.3945714161969787E-2</c:v>
                </c:pt>
                <c:pt idx="351">
                  <c:v>3.3964228371965555E-2</c:v>
                </c:pt>
                <c:pt idx="352">
                  <c:v>3.3982742227140594E-2</c:v>
                </c:pt>
                <c:pt idx="353">
                  <c:v>3.4001255727501789E-2</c:v>
                </c:pt>
                <c:pt idx="354">
                  <c:v>3.4019768873056133E-2</c:v>
                </c:pt>
                <c:pt idx="355">
                  <c:v>3.4038281663810177E-2</c:v>
                </c:pt>
                <c:pt idx="356">
                  <c:v>3.4056794099770804E-2</c:v>
                </c:pt>
                <c:pt idx="357">
                  <c:v>3.4075306180944787E-2</c:v>
                </c:pt>
                <c:pt idx="358">
                  <c:v>3.4093817907339008E-2</c:v>
                </c:pt>
                <c:pt idx="359">
                  <c:v>3.411232927896013E-2</c:v>
                </c:pt>
                <c:pt idx="360">
                  <c:v>3.4130840295815146E-2</c:v>
                </c:pt>
                <c:pt idx="361">
                  <c:v>3.4149350957910718E-2</c:v>
                </c:pt>
                <c:pt idx="362">
                  <c:v>3.4167861265253729E-2</c:v>
                </c:pt>
                <c:pt idx="363">
                  <c:v>3.4186371217850842E-2</c:v>
                </c:pt>
                <c:pt idx="364">
                  <c:v>3.4204880815708938E-2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1.9595455302692973E-2</c:v>
                </c:pt>
                <c:pt idx="1">
                  <c:v>1.9640717080159444E-2</c:v>
                </c:pt>
                <c:pt idx="2">
                  <c:v>1.9685977438815179E-2</c:v>
                </c:pt>
                <c:pt idx="3">
                  <c:v>1.9731232114767395E-2</c:v>
                </c:pt>
                <c:pt idx="4">
                  <c:v>1.977647739756018E-2</c:v>
                </c:pt>
                <c:pt idx="5">
                  <c:v>1.9821710117803357E-2</c:v>
                </c:pt>
                <c:pt idx="6">
                  <c:v>1.986692763014275E-2</c:v>
                </c:pt>
                <c:pt idx="7">
                  <c:v>1.9912127791882721E-2</c:v>
                </c:pt>
                <c:pt idx="8">
                  <c:v>1.995730893760744E-2</c:v>
                </c:pt>
                <c:pt idx="9">
                  <c:v>2.0002469850179134E-2</c:v>
                </c:pt>
                <c:pt idx="10">
                  <c:v>2.0047609728518937E-2</c:v>
                </c:pt>
                <c:pt idx="11">
                  <c:v>2.0092728152599257E-2</c:v>
                </c:pt>
                <c:pt idx="12">
                  <c:v>2.0137825046095386E-2</c:v>
                </c:pt>
                <c:pt idx="13">
                  <c:v>2.0182900637157903E-2</c:v>
                </c:pt>
                <c:pt idx="14">
                  <c:v>2.0227955417776763E-2</c:v>
                </c:pt>
                <c:pt idx="15">
                  <c:v>2.0272990102212764E-2</c:v>
                </c:pt>
                <c:pt idx="16">
                  <c:v>2.0318005584971346E-2</c:v>
                </c:pt>
                <c:pt idx="17">
                  <c:v>2.0363002898789097E-2</c:v>
                </c:pt>
                <c:pt idx="18">
                  <c:v>2.0407983173093804E-2</c:v>
                </c:pt>
                <c:pt idx="19">
                  <c:v>2.0452947593384611E-2</c:v>
                </c:pt>
                <c:pt idx="20">
                  <c:v>2.0497897361961046E-2</c:v>
                </c:pt>
                <c:pt idx="21">
                  <c:v>2.0542833660407125E-2</c:v>
                </c:pt>
                <c:pt idx="22">
                  <c:v>2.0587757614210909E-2</c:v>
                </c:pt>
                <c:pt idx="23">
                  <c:v>2.0632670259870714E-2</c:v>
                </c:pt>
                <c:pt idx="24">
                  <c:v>2.0677572514806383E-2</c:v>
                </c:pt>
                <c:pt idx="25">
                  <c:v>2.0722465150359425E-2</c:v>
                </c:pt>
                <c:pt idx="26">
                  <c:v>2.0767348768127778E-2</c:v>
                </c:pt>
                <c:pt idx="27">
                  <c:v>2.0812223779842324E-2</c:v>
                </c:pt>
                <c:pt idx="28">
                  <c:v>2.0857090390950996E-2</c:v>
                </c:pt>
                <c:pt idx="29">
                  <c:v>2.0901948588034857E-2</c:v>
                </c:pt>
                <c:pt idx="30">
                  <c:v>2.094679813013807E-2</c:v>
                </c:pt>
                <c:pt idx="31">
                  <c:v>2.0991638544051228E-2</c:v>
                </c:pt>
                <c:pt idx="32">
                  <c:v>2.1036469123545395E-2</c:v>
                </c:pt>
                <c:pt idx="33">
                  <c:v>2.10812889325128E-2</c:v>
                </c:pt>
                <c:pt idx="34">
                  <c:v>2.1126096811929829E-2</c:v>
                </c:pt>
                <c:pt idx="35">
                  <c:v>2.1170891390519444E-2</c:v>
                </c:pt>
                <c:pt idx="36">
                  <c:v>2.1215671098953292E-2</c:v>
                </c:pt>
                <c:pt idx="37">
                  <c:v>2.1260434187399504E-2</c:v>
                </c:pt>
                <c:pt idx="38">
                  <c:v>2.1305178746190319E-2</c:v>
                </c:pt>
                <c:pt idx="39">
                  <c:v>2.1349902729354747E-2</c:v>
                </c:pt>
                <c:pt idx="40">
                  <c:v>2.1394603980736178E-2</c:v>
                </c:pt>
                <c:pt idx="41">
                  <c:v>2.143928026239196E-2</c:v>
                </c:pt>
                <c:pt idx="42">
                  <c:v>2.1483929284953903E-2</c:v>
                </c:pt>
                <c:pt idx="43">
                  <c:v>2.1528548739613289E-2</c:v>
                </c:pt>
                <c:pt idx="44">
                  <c:v>2.1573136331382914E-2</c:v>
                </c:pt>
                <c:pt idx="45">
                  <c:v>2.1617689813281531E-2</c:v>
                </c:pt>
                <c:pt idx="46">
                  <c:v>2.1662207021082347E-2</c:v>
                </c:pt>
                <c:pt idx="47">
                  <c:v>2.1706685908268006E-2</c:v>
                </c:pt>
                <c:pt idx="48">
                  <c:v>2.1751124580838433E-2</c:v>
                </c:pt>
                <c:pt idx="49">
                  <c:v>2.1795521331625881E-2</c:v>
                </c:pt>
                <c:pt idx="50">
                  <c:v>2.1839874673782809E-2</c:v>
                </c:pt>
                <c:pt idx="51">
                  <c:v>2.1884183373122899E-2</c:v>
                </c:pt>
                <c:pt idx="52">
                  <c:v>2.192844647901343E-2</c:v>
                </c:pt>
                <c:pt idx="53">
                  <c:v>2.1972663353537369E-2</c:v>
                </c:pt>
                <c:pt idx="54">
                  <c:v>2.2016833698667235E-2</c:v>
                </c:pt>
                <c:pt idx="55">
                  <c:v>2.2060957581217573E-2</c:v>
                </c:pt>
                <c:pt idx="56">
                  <c:v>2.2105035455370479E-2</c:v>
                </c:pt>
                <c:pt idx="57">
                  <c:v>2.2149068182597341E-2</c:v>
                </c:pt>
                <c:pt idx="58">
                  <c:v>2.2193057048829824E-2</c:v>
                </c:pt>
                <c:pt idx="59">
                  <c:v>2.2237003778764079E-2</c:v>
                </c:pt>
                <c:pt idx="60">
                  <c:v>2.2280910547213446E-2</c:v>
                </c:pt>
                <c:pt idx="61">
                  <c:v>2.2324779987456068E-2</c:v>
                </c:pt>
                <c:pt idx="62">
                  <c:v>2.2368615196555235E-2</c:v>
                </c:pt>
                <c:pt idx="63">
                  <c:v>2.2412419737660335E-2</c:v>
                </c:pt>
                <c:pt idx="64">
                  <c:v>2.2456197639326072E-2</c:v>
                </c:pt>
                <c:pt idx="65">
                  <c:v>2.2499953391915406E-2</c:v>
                </c:pt>
                <c:pt idx="66">
                  <c:v>2.2543691941178411E-2</c:v>
                </c:pt>
                <c:pt idx="67">
                  <c:v>2.258741867912379E-2</c:v>
                </c:pt>
                <c:pt idx="68">
                  <c:v>2.2631139432321961E-2</c:v>
                </c:pt>
                <c:pt idx="69">
                  <c:v>2.2674860447799098E-2</c:v>
                </c:pt>
                <c:pt idx="70">
                  <c:v>2.2718588376698476E-2</c:v>
                </c:pt>
                <c:pt idx="71">
                  <c:v>2.2762330255900552E-2</c:v>
                </c:pt>
                <c:pt idx="72">
                  <c:v>2.2806093487804869E-2</c:v>
                </c:pt>
                <c:pt idx="73">
                  <c:v>2.284988581848562E-2</c:v>
                </c:pt>
                <c:pt idx="74">
                  <c:v>2.2893715314439001E-2</c:v>
                </c:pt>
                <c:pt idx="75">
                  <c:v>2.2937590338142806E-2</c:v>
                </c:pt>
                <c:pt idx="76">
                  <c:v>2.2981519522649107E-2</c:v>
                </c:pt>
                <c:pt idx="77">
                  <c:v>2.3025511745427548E-2</c:v>
                </c:pt>
                <c:pt idx="78">
                  <c:v>2.3069576101670965E-2</c:v>
                </c:pt>
                <c:pt idx="79">
                  <c:v>2.3113721877266753E-2</c:v>
                </c:pt>
                <c:pt idx="80">
                  <c:v>2.3157958521626221E-2</c:v>
                </c:pt>
                <c:pt idx="81">
                  <c:v>2.3202295620550817E-2</c:v>
                </c:pt>
                <c:pt idx="82">
                  <c:v>2.3246742869299147E-2</c:v>
                </c:pt>
                <c:pt idx="83">
                  <c:v>2.3291310046001039E-2</c:v>
                </c:pt>
                <c:pt idx="84">
                  <c:v>2.3336006985546619E-2</c:v>
                </c:pt>
                <c:pt idx="85">
                  <c:v>2.3380843554058305E-2</c:v>
                </c:pt>
                <c:pt idx="86">
                  <c:v>2.3425829624032758E-2</c:v>
                </c:pt>
                <c:pt idx="87">
                  <c:v>2.347097505021857E-2</c:v>
                </c:pt>
                <c:pt idx="88">
                  <c:v>2.3516289646273433E-2</c:v>
                </c:pt>
                <c:pt idx="89">
                  <c:v>2.3561783162223477E-2</c:v>
                </c:pt>
                <c:pt idx="90">
                  <c:v>2.3607465262725513E-2</c:v>
                </c:pt>
                <c:pt idx="91">
                  <c:v>2.3653345506113022E-2</c:v>
                </c:pt>
                <c:pt idx="92">
                  <c:v>2.3699433324186826E-2</c:v>
                </c:pt>
                <c:pt idx="93">
                  <c:v>2.3745738002693355E-2</c:v>
                </c:pt>
                <c:pt idx="94">
                  <c:v>2.379226866241688E-2</c:v>
                </c:pt>
                <c:pt idx="95">
                  <c:v>2.3839034240797235E-2</c:v>
                </c:pt>
                <c:pt idx="96">
                  <c:v>2.3886043473972156E-2</c:v>
                </c:pt>
                <c:pt idx="97">
                  <c:v>2.3933304879132745E-2</c:v>
                </c:pt>
                <c:pt idx="98">
                  <c:v>2.3980826737073059E-2</c:v>
                </c:pt>
                <c:pt idx="99">
                  <c:v>2.4028617074809435E-2</c:v>
                </c:pt>
                <c:pt idx="100">
                  <c:v>2.4076683648142545E-2</c:v>
                </c:pt>
                <c:pt idx="101">
                  <c:v>2.412503392403589E-2</c:v>
                </c:pt>
                <c:pt idx="102">
                  <c:v>2.4173675062687101E-2</c:v>
                </c:pt>
                <c:pt idx="103">
                  <c:v>2.4222613899174617E-2</c:v>
                </c:pt>
                <c:pt idx="104">
                  <c:v>2.4271856924571095E-2</c:v>
                </c:pt>
                <c:pt idx="105">
                  <c:v>2.4321410266426098E-2</c:v>
                </c:pt>
                <c:pt idx="106">
                  <c:v>2.4371279668534831E-2</c:v>
                </c:pt>
                <c:pt idx="107">
                  <c:v>2.4421470469925897E-2</c:v>
                </c:pt>
                <c:pt idx="108">
                  <c:v>2.4471987583019796E-2</c:v>
                </c:pt>
                <c:pt idx="109">
                  <c:v>2.4522835470930551E-2</c:v>
                </c:pt>
                <c:pt idx="110">
                  <c:v>2.4574018123904862E-2</c:v>
                </c:pt>
                <c:pt idx="111">
                  <c:v>2.4625539034917595E-2</c:v>
                </c:pt>
                <c:pt idx="112">
                  <c:v>2.467740117446671E-2</c:v>
                </c:pt>
                <c:pt idx="113">
                  <c:v>2.4729606964637E-2</c:v>
                </c:pt>
                <c:pt idx="114">
                  <c:v>2.4782158252528042E-2</c:v>
                </c:pt>
                <c:pt idx="115">
                  <c:v>2.4835056283168185E-2</c:v>
                </c:pt>
                <c:pt idx="116">
                  <c:v>2.4888301672062536E-2</c:v>
                </c:pt>
                <c:pt idx="117">
                  <c:v>2.4941894377548377E-2</c:v>
                </c:pt>
                <c:pt idx="118">
                  <c:v>2.4995833673155981E-2</c:v>
                </c:pt>
                <c:pt idx="119">
                  <c:v>7.0774464523533078E-3</c:v>
                </c:pt>
                <c:pt idx="120">
                  <c:v>7.1875227395148556E-3</c:v>
                </c:pt>
                <c:pt idx="121">
                  <c:v>7.297680604619888E-3</c:v>
                </c:pt>
                <c:pt idx="122">
                  <c:v>7.4079226698999558E-3</c:v>
                </c:pt>
                <c:pt idx="123">
                  <c:v>7.5182512263322985E-3</c:v>
                </c:pt>
                <c:pt idx="124">
                  <c:v>7.6286682128218312E-3</c:v>
                </c:pt>
                <c:pt idx="125">
                  <c:v>7.739175195667033E-3</c:v>
                </c:pt>
                <c:pt idx="126">
                  <c:v>7.8497733484624663E-3</c:v>
                </c:pt>
                <c:pt idx="127">
                  <c:v>7.9604634325987026E-3</c:v>
                </c:pt>
                <c:pt idx="128">
                  <c:v>8.0712457785284443E-3</c:v>
                </c:pt>
                <c:pt idx="129">
                  <c:v>8.1821202679733199E-3</c:v>
                </c:pt>
                <c:pt idx="130">
                  <c:v>8.293086317250049E-3</c:v>
                </c:pt>
                <c:pt idx="131">
                  <c:v>8.4041428618975619E-3</c:v>
                </c:pt>
                <c:pt idx="132">
                  <c:v>8.5152883427871903E-3</c:v>
                </c:pt>
                <c:pt idx="133">
                  <c:v>8.6265206938967633E-3</c:v>
                </c:pt>
                <c:pt idx="134">
                  <c:v>8.7378373319264568E-3</c:v>
                </c:pt>
                <c:pt idx="135">
                  <c:v>8.849235147928524E-3</c:v>
                </c:pt>
                <c:pt idx="136">
                  <c:v>8.9607105011158487E-3</c:v>
                </c:pt>
                <c:pt idx="137">
                  <c:v>9.0722592150046747E-3</c:v>
                </c:pt>
                <c:pt idx="138">
                  <c:v>9.1838765760349442E-3</c:v>
                </c:pt>
                <c:pt idx="139">
                  <c:v>9.2955573347982996E-3</c:v>
                </c:pt>
                <c:pt idx="140">
                  <c:v>9.4072957099878337E-3</c:v>
                </c:pt>
                <c:pt idx="141">
                  <c:v>9.5190853951663754E-3</c:v>
                </c:pt>
                <c:pt idx="142">
                  <c:v>9.6309195684305994E-3</c:v>
                </c:pt>
                <c:pt idx="143">
                  <c:v>9.7427909050273719E-3</c:v>
                </c:pt>
                <c:pt idx="144">
                  <c:v>9.8546915929566686E-3</c:v>
                </c:pt>
                <c:pt idx="145">
                  <c:v>9.9666133515715957E-3</c:v>
                </c:pt>
                <c:pt idx="146">
                  <c:v>1.0078547453161685E-2</c:v>
                </c:pt>
                <c:pt idx="147">
                  <c:v>1.0190484747480149E-2</c:v>
                </c:pt>
                <c:pt idx="148">
                  <c:v>1.030241568915017E-2</c:v>
                </c:pt>
                <c:pt idx="149">
                  <c:v>1.0414330367858925E-2</c:v>
                </c:pt>
                <c:pt idx="150">
                  <c:v>1.0526218541222177E-2</c:v>
                </c:pt>
                <c:pt idx="151">
                  <c:v>1.0638069670176017E-2</c:v>
                </c:pt>
                <c:pt idx="152">
                  <c:v>1.0749872956727601E-2</c:v>
                </c:pt>
                <c:pt idx="153">
                  <c:v>1.0861617383871635E-2</c:v>
                </c:pt>
                <c:pt idx="154">
                  <c:v>1.097329175745651E-2</c:v>
                </c:pt>
                <c:pt idx="155">
                  <c:v>1.1084884749761671E-2</c:v>
                </c:pt>
                <c:pt idx="156">
                  <c:v>1.1196384944527626E-2</c:v>
                </c:pt>
                <c:pt idx="157">
                  <c:v>1.1307780883161428E-2</c:v>
                </c:pt>
                <c:pt idx="158">
                  <c:v>1.1419061111824282E-2</c:v>
                </c:pt>
                <c:pt idx="159">
                  <c:v>1.153021422909379E-2</c:v>
                </c:pt>
                <c:pt idx="160">
                  <c:v>1.1641228933881994E-2</c:v>
                </c:pt>
                <c:pt idx="161">
                  <c:v>1.1752094073281543E-2</c:v>
                </c:pt>
                <c:pt idx="162">
                  <c:v>1.1862798690006565E-2</c:v>
                </c:pt>
                <c:pt idx="163">
                  <c:v>1.1973332069091673E-2</c:v>
                </c:pt>
                <c:pt idx="164">
                  <c:v>1.2083683783512897E-2</c:v>
                </c:pt>
                <c:pt idx="165">
                  <c:v>1.2193843738397426E-2</c:v>
                </c:pt>
                <c:pt idx="166">
                  <c:v>1.2303802213495337E-2</c:v>
                </c:pt>
                <c:pt idx="167">
                  <c:v>1.2413549903596333E-2</c:v>
                </c:pt>
                <c:pt idx="168">
                  <c:v>1.2523077956586574E-2</c:v>
                </c:pt>
                <c:pt idx="169">
                  <c:v>1.2632378008856648E-2</c:v>
                </c:pt>
                <c:pt idx="170">
                  <c:v>1.2741442217790059E-2</c:v>
                </c:pt>
                <c:pt idx="171">
                  <c:v>1.285026329108266E-2</c:v>
                </c:pt>
                <c:pt idx="172">
                  <c:v>1.2958834512667484E-2</c:v>
                </c:pt>
                <c:pt idx="173">
                  <c:v>1.3067149765045354E-2</c:v>
                </c:pt>
                <c:pt idx="174">
                  <c:v>1.3175203547849899E-2</c:v>
                </c:pt>
                <c:pt idx="175">
                  <c:v>1.3282990992505871E-2</c:v>
                </c:pt>
                <c:pt idx="176">
                  <c:v>1.3390507872871254E-2</c:v>
                </c:pt>
                <c:pt idx="177">
                  <c:v>1.3497750611786551E-2</c:v>
                </c:pt>
                <c:pt idx="178">
                  <c:v>1.3604716283488855E-2</c:v>
                </c:pt>
                <c:pt idx="179">
                  <c:v>1.3711402611882546E-2</c:v>
                </c:pt>
                <c:pt idx="180">
                  <c:v>1.3817807964693587E-2</c:v>
                </c:pt>
                <c:pt idx="181">
                  <c:v>1.392393134356892E-2</c:v>
                </c:pt>
                <c:pt idx="182">
                  <c:v>1.4029772370217252E-2</c:v>
                </c:pt>
                <c:pt idx="183">
                  <c:v>1.4135331268720323E-2</c:v>
                </c:pt>
                <c:pt idx="184">
                  <c:v>1.4240608844177259E-2</c:v>
                </c:pt>
                <c:pt idx="185">
                  <c:v>1.4345606457874506E-2</c:v>
                </c:pt>
                <c:pt idx="186">
                  <c:v>1.4450325999203879E-2</c:v>
                </c:pt>
                <c:pt idx="187">
                  <c:v>1.4554769854577841E-2</c:v>
                </c:pt>
                <c:pt idx="188">
                  <c:v>1.4658940873616052E-2</c:v>
                </c:pt>
                <c:pt idx="189">
                  <c:v>1.4762842332899108E-2</c:v>
                </c:pt>
                <c:pt idx="190">
                  <c:v>1.4866477897604626E-2</c:v>
                </c:pt>
                <c:pt idx="191">
                  <c:v>1.4969851581356762E-2</c:v>
                </c:pt>
                <c:pt idx="192">
                  <c:v>1.5072967704632938E-2</c:v>
                </c:pt>
                <c:pt idx="193">
                  <c:v>1.5175830852080893E-2</c:v>
                </c:pt>
                <c:pt idx="194">
                  <c:v>1.5278445829104849E-2</c:v>
                </c:pt>
                <c:pt idx="195">
                  <c:v>1.5380817618081702E-2</c:v>
                </c:pt>
                <c:pt idx="196">
                  <c:v>1.5482951334566586E-2</c:v>
                </c:pt>
                <c:pt idx="197">
                  <c:v>1.5584852183842014E-2</c:v>
                </c:pt>
                <c:pt idx="198">
                  <c:v>1.5686525418156107E-2</c:v>
                </c:pt>
                <c:pt idx="199">
                  <c:v>1.5787976294982957E-2</c:v>
                </c:pt>
                <c:pt idx="200">
                  <c:v>1.5889210036622768E-2</c:v>
                </c:pt>
                <c:pt idx="201">
                  <c:v>1.5990231791440494E-2</c:v>
                </c:pt>
                <c:pt idx="202">
                  <c:v>1.6091046597019924E-2</c:v>
                </c:pt>
                <c:pt idx="203">
                  <c:v>1.6191659345485335E-2</c:v>
                </c:pt>
                <c:pt idx="204">
                  <c:v>1.6292074751216159E-2</c:v>
                </c:pt>
                <c:pt idx="205">
                  <c:v>1.6392297321150624E-2</c:v>
                </c:pt>
                <c:pt idx="206">
                  <c:v>1.6492331327843047E-2</c:v>
                </c:pt>
                <c:pt idx="207">
                  <c:v>1.659218078540704E-2</c:v>
                </c:pt>
                <c:pt idx="208">
                  <c:v>1.6691849428443123E-2</c:v>
                </c:pt>
                <c:pt idx="209">
                  <c:v>1.6791340694014383E-2</c:v>
                </c:pt>
                <c:pt idx="210">
                  <c:v>1.6890657706699164E-2</c:v>
                </c:pt>
                <c:pt idx="211">
                  <c:v>1.6989803266714683E-2</c:v>
                </c:pt>
                <c:pt idx="212">
                  <c:v>1.7088779841071169E-2</c:v>
                </c:pt>
                <c:pt idx="213">
                  <c:v>1.7187589557682136E-2</c:v>
                </c:pt>
                <c:pt idx="214">
                  <c:v>1.7286234202324363E-2</c:v>
                </c:pt>
                <c:pt idx="215">
                  <c:v>1.7384715218309987E-2</c:v>
                </c:pt>
                <c:pt idx="216">
                  <c:v>1.7483033708704465E-2</c:v>
                </c:pt>
                <c:pt idx="217">
                  <c:v>1.7581190440897444E-2</c:v>
                </c:pt>
                <c:pt idx="218">
                  <c:v>1.7679185853309732E-2</c:v>
                </c:pt>
                <c:pt idx="219">
                  <c:v>1.7777020063998464E-2</c:v>
                </c:pt>
                <c:pt idx="220">
                  <c:v>1.7874692880904878E-2</c:v>
                </c:pt>
                <c:pt idx="221">
                  <c:v>1.7972203813474422E-2</c:v>
                </c:pt>
                <c:pt idx="222">
                  <c:v>1.8069552085368389E-2</c:v>
                </c:pt>
                <c:pt idx="223">
                  <c:v>1.8166736647978722E-2</c:v>
                </c:pt>
                <c:pt idx="224">
                  <c:v>1.8263756194454948E-2</c:v>
                </c:pt>
                <c:pt idx="225">
                  <c:v>1.8360609173952186E-2</c:v>
                </c:pt>
                <c:pt idx="226">
                  <c:v>1.8457293805814099E-2</c:v>
                </c:pt>
                <c:pt idx="227">
                  <c:v>1.8553808093412932E-2</c:v>
                </c:pt>
                <c:pt idx="228">
                  <c:v>1.8650149837381017E-2</c:v>
                </c:pt>
                <c:pt idx="229">
                  <c:v>1.8746316647983791E-2</c:v>
                </c:pt>
                <c:pt idx="230">
                  <c:v>1.884230595640398E-2</c:v>
                </c:pt>
                <c:pt idx="231">
                  <c:v>1.89381150247292E-2</c:v>
                </c:pt>
                <c:pt idx="232">
                  <c:v>1.9033740954460629E-2</c:v>
                </c:pt>
                <c:pt idx="233">
                  <c:v>1.9129180693389331E-2</c:v>
                </c:pt>
                <c:pt idx="234">
                  <c:v>1.9224431040717107E-2</c:v>
                </c:pt>
                <c:pt idx="235">
                  <c:v>1.9319488650332065E-2</c:v>
                </c:pt>
                <c:pt idx="236">
                  <c:v>1.9414350032183499E-2</c:v>
                </c:pt>
                <c:pt idx="237">
                  <c:v>1.9509011551736264E-2</c:v>
                </c:pt>
                <c:pt idx="238">
                  <c:v>1.9603469427522016E-2</c:v>
                </c:pt>
                <c:pt idx="239">
                  <c:v>1.9697719726841072E-2</c:v>
                </c:pt>
                <c:pt idx="240">
                  <c:v>1.9791758359705935E-2</c:v>
                </c:pt>
                <c:pt idx="241">
                  <c:v>1.9885581071153773E-2</c:v>
                </c:pt>
                <c:pt idx="242">
                  <c:v>1.9979183432090569E-2</c:v>
                </c:pt>
                <c:pt idx="243">
                  <c:v>2.0072560828863335E-2</c:v>
                </c:pt>
                <c:pt idx="244">
                  <c:v>2.0165708451788968E-2</c:v>
                </c:pt>
                <c:pt idx="245">
                  <c:v>2.0258621282897696E-2</c:v>
                </c:pt>
                <c:pt idx="246">
                  <c:v>2.0351294083176184E-2</c:v>
                </c:pt>
                <c:pt idx="247">
                  <c:v>2.0443721379618578E-2</c:v>
                </c:pt>
                <c:pt idx="248">
                  <c:v>2.053589745241444E-2</c:v>
                </c:pt>
                <c:pt idx="249">
                  <c:v>2.0627816322618599E-2</c:v>
                </c:pt>
                <c:pt idx="250">
                  <c:v>2.0719471740660078E-2</c:v>
                </c:pt>
                <c:pt idx="251">
                  <c:v>2.0810857176055481E-2</c:v>
                </c:pt>
                <c:pt idx="252">
                  <c:v>2.090196580869522E-2</c:v>
                </c:pt>
                <c:pt idx="253">
                  <c:v>2.0992790522069985E-2</c:v>
                </c:pt>
                <c:pt idx="254">
                  <c:v>2.1083323898798505E-2</c:v>
                </c:pt>
                <c:pt idx="255">
                  <c:v>2.1173558218806874E-2</c:v>
                </c:pt>
                <c:pt idx="256">
                  <c:v>2.1263485460494013E-2</c:v>
                </c:pt>
                <c:pt idx="257">
                  <c:v>2.1353097305197598E-2</c:v>
                </c:pt>
                <c:pt idx="258">
                  <c:v>2.1442385145249408E-2</c:v>
                </c:pt>
                <c:pt idx="259">
                  <c:v>2.153134009588014E-2</c:v>
                </c:pt>
                <c:pt idx="260">
                  <c:v>2.1619953011199691E-2</c:v>
                </c:pt>
                <c:pt idx="261">
                  <c:v>2.170821450444186E-2</c:v>
                </c:pt>
                <c:pt idx="262">
                  <c:v>2.1796114972620944E-2</c:v>
                </c:pt>
                <c:pt idx="263">
                  <c:v>2.1883644625703767E-2</c:v>
                </c:pt>
                <c:pt idx="264">
                  <c:v>2.197079352035379E-2</c:v>
                </c:pt>
                <c:pt idx="265">
                  <c:v>2.2057551598253979E-2</c:v>
                </c:pt>
                <c:pt idx="266">
                  <c:v>2.2143908728965073E-2</c:v>
                </c:pt>
                <c:pt idx="267">
                  <c:v>2.2229854757222313E-2</c:v>
                </c:pt>
                <c:pt idx="268">
                  <c:v>2.2315379554521418E-2</c:v>
                </c:pt>
                <c:pt idx="269">
                  <c:v>2.2400473074790827E-2</c:v>
                </c:pt>
                <c:pt idx="270">
                  <c:v>2.2485125413894153E-2</c:v>
                </c:pt>
                <c:pt idx="271">
                  <c:v>2.2569326872655369E-2</c:v>
                </c:pt>
                <c:pt idx="272">
                  <c:v>2.2653068023047968E-2</c:v>
                </c:pt>
                <c:pt idx="273">
                  <c:v>2.2736339777141776E-2</c:v>
                </c:pt>
                <c:pt idx="274">
                  <c:v>2.2819133458355186E-2</c:v>
                </c:pt>
                <c:pt idx="275">
                  <c:v>2.2901440874517912E-2</c:v>
                </c:pt>
                <c:pt idx="276">
                  <c:v>2.2983254392211327E-2</c:v>
                </c:pt>
                <c:pt idx="277">
                  <c:v>2.3064567011818461E-2</c:v>
                </c:pt>
                <c:pt idx="278">
                  <c:v>2.3145372442686496E-2</c:v>
                </c:pt>
                <c:pt idx="279">
                  <c:v>2.3225665177779759E-2</c:v>
                </c:pt>
                <c:pt idx="280">
                  <c:v>2.3305440567182041E-2</c:v>
                </c:pt>
                <c:pt idx="281">
                  <c:v>2.3384694889794236E-2</c:v>
                </c:pt>
                <c:pt idx="282">
                  <c:v>2.3463425422565139E-2</c:v>
                </c:pt>
                <c:pt idx="283">
                  <c:v>2.3541630506593275E-2</c:v>
                </c:pt>
                <c:pt idx="284">
                  <c:v>2.3619309609442158E-2</c:v>
                </c:pt>
                <c:pt idx="285">
                  <c:v>2.3696463383023458E-2</c:v>
                </c:pt>
                <c:pt idx="286">
                  <c:v>2.3773093716421289E-2</c:v>
                </c:pt>
                <c:pt idx="287">
                  <c:v>2.3849203783054818E-2</c:v>
                </c:pt>
                <c:pt idx="288">
                  <c:v>2.3924798081608009E-2</c:v>
                </c:pt>
                <c:pt idx="289">
                  <c:v>2.399988247019242E-2</c:v>
                </c:pt>
                <c:pt idx="290">
                  <c:v>2.4074464193251557E-2</c:v>
                </c:pt>
                <c:pt idx="291">
                  <c:v>2.4148551900764589E-2</c:v>
                </c:pt>
                <c:pt idx="292">
                  <c:v>2.4222155659360249E-2</c:v>
                </c:pt>
                <c:pt idx="293">
                  <c:v>2.4295286955010865E-2</c:v>
                </c:pt>
                <c:pt idx="294">
                  <c:v>2.4367958687038931E-2</c:v>
                </c:pt>
                <c:pt idx="295">
                  <c:v>2.4440185153235108E-2</c:v>
                </c:pt>
                <c:pt idx="296">
                  <c:v>2.4511982025956502E-2</c:v>
                </c:pt>
                <c:pt idx="297">
                  <c:v>2.4583366319145962E-2</c:v>
                </c:pt>
                <c:pt idx="298">
                  <c:v>2.46543563462873E-2</c:v>
                </c:pt>
                <c:pt idx="299">
                  <c:v>2.4724971669386923E-2</c:v>
                </c:pt>
                <c:pt idx="300">
                  <c:v>2.4795233039147643E-2</c:v>
                </c:pt>
                <c:pt idx="301">
                  <c:v>2.4865162326576665E-2</c:v>
                </c:pt>
                <c:pt idx="302">
                  <c:v>2.4934782446343822E-2</c:v>
                </c:pt>
                <c:pt idx="303">
                  <c:v>2.5004117272279837E-2</c:v>
                </c:pt>
                <c:pt idx="304">
                  <c:v>2.5073191545474618E-2</c:v>
                </c:pt>
                <c:pt idx="305">
                  <c:v>2.5142030775503515E-2</c:v>
                </c:pt>
                <c:pt idx="306">
                  <c:v>2.5210661135373499E-2</c:v>
                </c:pt>
                <c:pt idx="307">
                  <c:v>2.5279109350840882E-2</c:v>
                </c:pt>
                <c:pt idx="308">
                  <c:v>2.5347402584806673E-2</c:v>
                </c:pt>
                <c:pt idx="309">
                  <c:v>2.5415568317545378E-2</c:v>
                </c:pt>
                <c:pt idx="310">
                  <c:v>2.548363422356555E-2</c:v>
                </c:pt>
                <c:pt idx="311">
                  <c:v>2.5551628045937809E-2</c:v>
                </c:pt>
                <c:pt idx="312">
                  <c:v>2.5619577468955268E-2</c:v>
                </c:pt>
                <c:pt idx="313">
                  <c:v>2.5687509990014127E-2</c:v>
                </c:pt>
                <c:pt idx="314">
                  <c:v>2.575545279161744E-2</c:v>
                </c:pt>
                <c:pt idx="315">
                  <c:v>2.5823432614411904E-2</c:v>
                </c:pt>
                <c:pt idx="316">
                  <c:v>2.5891475632167715E-2</c:v>
                </c:pt>
                <c:pt idx="317">
                  <c:v>2.5959607329602535E-2</c:v>
                </c:pt>
                <c:pt idx="318">
                  <c:v>2.6027852383934947E-2</c:v>
                </c:pt>
                <c:pt idx="319">
                  <c:v>2.6096234551028209E-2</c:v>
                </c:pt>
                <c:pt idx="320">
                  <c:v>2.6164776556954008E-2</c:v>
                </c:pt>
                <c:pt idx="321">
                  <c:v>2.6233499995766591E-2</c:v>
                </c:pt>
                <c:pt idx="322">
                  <c:v>2.6302425234231729E-2</c:v>
                </c:pt>
                <c:pt idx="323">
                  <c:v>2.6371571324202335E-2</c:v>
                </c:pt>
                <c:pt idx="324">
                  <c:v>2.6440955923273484E-2</c:v>
                </c:pt>
                <c:pt idx="325">
                  <c:v>2.6510595224285251E-2</c:v>
                </c:pt>
                <c:pt idx="326">
                  <c:v>2.6580503894171624E-2</c:v>
                </c:pt>
                <c:pt idx="327">
                  <c:v>2.6650695022580041E-2</c:v>
                </c:pt>
                <c:pt idx="328">
                  <c:v>2.6721180080607417E-2</c:v>
                </c:pt>
                <c:pt idx="329">
                  <c:v>2.679196888991774E-2</c:v>
                </c:pt>
                <c:pt idx="330">
                  <c:v>2.6863069602422376E-2</c:v>
                </c:pt>
                <c:pt idx="331">
                  <c:v>2.6934488690619127E-2</c:v>
                </c:pt>
                <c:pt idx="332">
                  <c:v>2.7006230948599663E-2</c:v>
                </c:pt>
                <c:pt idx="333">
                  <c:v>2.7078299503649015E-2</c:v>
                </c:pt>
                <c:pt idx="334">
                  <c:v>2.7150695838274945E-2</c:v>
                </c:pt>
                <c:pt idx="335">
                  <c:v>2.7223419822421255E-2</c:v>
                </c:pt>
                <c:pt idx="336">
                  <c:v>2.7296469755537144E-2</c:v>
                </c:pt>
                <c:pt idx="337">
                  <c:v>2.7369842418096067E-2</c:v>
                </c:pt>
                <c:pt idx="338">
                  <c:v>2.7443533132082421E-2</c:v>
                </c:pt>
                <c:pt idx="339">
                  <c:v>2.751753582989408E-2</c:v>
                </c:pt>
                <c:pt idx="340">
                  <c:v>2.7591843131042949E-2</c:v>
                </c:pt>
                <c:pt idx="341">
                  <c:v>2.7666446425976189E-2</c:v>
                </c:pt>
                <c:pt idx="342">
                  <c:v>2.7741335966287025E-2</c:v>
                </c:pt>
                <c:pt idx="343">
                  <c:v>2.7816500960537151E-2</c:v>
                </c:pt>
                <c:pt idx="344">
                  <c:v>2.7891929674873039E-2</c:v>
                </c:pt>
                <c:pt idx="345">
                  <c:v>2.7967609537586074E-2</c:v>
                </c:pt>
                <c:pt idx="346">
                  <c:v>2.804352724674191E-2</c:v>
                </c:pt>
                <c:pt idx="347">
                  <c:v>2.8119668879987795E-2</c:v>
                </c:pt>
                <c:pt idx="348">
                  <c:v>2.819602000563811E-2</c:v>
                </c:pt>
                <c:pt idx="349">
                  <c:v>2.8272565794137765E-2</c:v>
                </c:pt>
                <c:pt idx="350">
                  <c:v>2.8349291129011113E-2</c:v>
                </c:pt>
                <c:pt idx="351">
                  <c:v>2.8426180716419166E-2</c:v>
                </c:pt>
                <c:pt idx="352">
                  <c:v>2.8503219192471875E-2</c:v>
                </c:pt>
                <c:pt idx="353">
                  <c:v>2.8580391227472472E-2</c:v>
                </c:pt>
                <c:pt idx="354">
                  <c:v>2.8657681626309994E-2</c:v>
                </c:pt>
                <c:pt idx="355">
                  <c:v>2.8735075424259977E-2</c:v>
                </c:pt>
                <c:pt idx="356">
                  <c:v>2.8812557977505395E-2</c:v>
                </c:pt>
                <c:pt idx="357">
                  <c:v>2.8890115047746627E-2</c:v>
                </c:pt>
                <c:pt idx="358">
                  <c:v>2.8967732880331509E-2</c:v>
                </c:pt>
                <c:pt idx="359">
                  <c:v>2.9045398275403551E-2</c:v>
                </c:pt>
                <c:pt idx="360">
                  <c:v>2.9123098651637213E-2</c:v>
                </c:pt>
                <c:pt idx="361">
                  <c:v>2.9200822102203105E-2</c:v>
                </c:pt>
                <c:pt idx="362">
                  <c:v>2.9278557442682412E-2</c:v>
                </c:pt>
                <c:pt idx="363">
                  <c:v>2.9356294250728401E-2</c:v>
                </c:pt>
                <c:pt idx="364">
                  <c:v>2.9434022897351749E-2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0.0%</c:formatCode>
                <c:ptCount val="366"/>
                <c:pt idx="0">
                  <c:v>2.3568156120451648E-2</c:v>
                </c:pt>
                <c:pt idx="1">
                  <c:v>2.3376018821779261E-2</c:v>
                </c:pt>
                <c:pt idx="2">
                  <c:v>2.3174015354835643E-2</c:v>
                </c:pt>
                <c:pt idx="3">
                  <c:v>2.2963565332090034E-2</c:v>
                </c:pt>
                <c:pt idx="4">
                  <c:v>2.2746029802464474E-2</c:v>
                </c:pt>
                <c:pt idx="5">
                  <c:v>2.2522705488852081E-2</c:v>
                </c:pt>
                <c:pt idx="6">
                  <c:v>2.2294820755024272E-2</c:v>
                </c:pt>
                <c:pt idx="7">
                  <c:v>2.2063533087306221E-2</c:v>
                </c:pt>
                <c:pt idx="8">
                  <c:v>2.1825194939918809E-2</c:v>
                </c:pt>
                <c:pt idx="9">
                  <c:v>2.1589533628673538E-2</c:v>
                </c:pt>
                <c:pt idx="10">
                  <c:v>2.1362249701065091E-2</c:v>
                </c:pt>
                <c:pt idx="11">
                  <c:v>2.1144318504060778E-2</c:v>
                </c:pt>
                <c:pt idx="12">
                  <c:v>2.0936617614528703E-2</c:v>
                </c:pt>
                <c:pt idx="13">
                  <c:v>2.0739931913882976E-2</c:v>
                </c:pt>
                <c:pt idx="14">
                  <c:v>2.0554959619109303E-2</c:v>
                </c:pt>
                <c:pt idx="15">
                  <c:v>2.0396078589752332E-2</c:v>
                </c:pt>
                <c:pt idx="16">
                  <c:v>2.0262347414297284E-2</c:v>
                </c:pt>
                <c:pt idx="17">
                  <c:v>2.0153860629252226E-2</c:v>
                </c:pt>
                <c:pt idx="18">
                  <c:v>2.0070665532258305E-2</c:v>
                </c:pt>
                <c:pt idx="19">
                  <c:v>2.0012885862136419E-2</c:v>
                </c:pt>
                <c:pt idx="20">
                  <c:v>1.9980671184119361E-2</c:v>
                </c:pt>
                <c:pt idx="21">
                  <c:v>1.9974072362744007E-2</c:v>
                </c:pt>
                <c:pt idx="22">
                  <c:v>1.9990134823891146E-2</c:v>
                </c:pt>
                <c:pt idx="23">
                  <c:v>2.0026731546972893E-2</c:v>
                </c:pt>
                <c:pt idx="24">
                  <c:v>2.0072494285611215E-2</c:v>
                </c:pt>
                <c:pt idx="25">
                  <c:v>2.0127600169722246E-2</c:v>
                </c:pt>
                <c:pt idx="26">
                  <c:v>2.0192215848033861E-2</c:v>
                </c:pt>
                <c:pt idx="27">
                  <c:v>2.0266499959875676E-2</c:v>
                </c:pt>
                <c:pt idx="28">
                  <c:v>2.0350605550499046E-2</c:v>
                </c:pt>
                <c:pt idx="29">
                  <c:v>2.0416719935316904E-2</c:v>
                </c:pt>
                <c:pt idx="30">
                  <c:v>2.0454060145309406E-2</c:v>
                </c:pt>
                <c:pt idx="31">
                  <c:v>2.0463958003654425E-2</c:v>
                </c:pt>
                <c:pt idx="32">
                  <c:v>2.0447696140795894E-2</c:v>
                </c:pt>
                <c:pt idx="33">
                  <c:v>2.0406504633158896E-2</c:v>
                </c:pt>
                <c:pt idx="34">
                  <c:v>2.0341558387366392E-2</c:v>
                </c:pt>
                <c:pt idx="35">
                  <c:v>2.0253975179951748E-2</c:v>
                </c:pt>
                <c:pt idx="36">
                  <c:v>2.0143670120675757E-2</c:v>
                </c:pt>
                <c:pt idx="37">
                  <c:v>1.9973068452737532E-2</c:v>
                </c:pt>
                <c:pt idx="38">
                  <c:v>1.974310625295431E-2</c:v>
                </c:pt>
                <c:pt idx="39">
                  <c:v>1.9455495681993843E-2</c:v>
                </c:pt>
                <c:pt idx="40">
                  <c:v>1.9111883174387213E-2</c:v>
                </c:pt>
                <c:pt idx="41">
                  <c:v>1.8713850449614572E-2</c:v>
                </c:pt>
                <c:pt idx="42">
                  <c:v>1.8262915569626507E-2</c:v>
                </c:pt>
                <c:pt idx="43">
                  <c:v>1.7743877349322909E-2</c:v>
                </c:pt>
                <c:pt idx="44">
                  <c:v>1.7182799437095424E-2</c:v>
                </c:pt>
                <c:pt idx="45">
                  <c:v>1.6580789998634191E-2</c:v>
                </c:pt>
                <c:pt idx="46">
                  <c:v>1.5938905123163052E-2</c:v>
                </c:pt>
                <c:pt idx="47">
                  <c:v>1.5258149669570091E-2</c:v>
                </c:pt>
                <c:pt idx="48">
                  <c:v>1.4539478054634184E-2</c:v>
                </c:pt>
                <c:pt idx="49">
                  <c:v>1.3783794975552724E-2</c:v>
                </c:pt>
                <c:pt idx="50">
                  <c:v>1.2991873191678794E-2</c:v>
                </c:pt>
                <c:pt idx="51">
                  <c:v>1.2178983211006035E-2</c:v>
                </c:pt>
                <c:pt idx="52">
                  <c:v>1.1378252449713673E-2</c:v>
                </c:pt>
                <c:pt idx="53">
                  <c:v>1.0589259453372373E-2</c:v>
                </c:pt>
                <c:pt idx="54">
                  <c:v>9.8116593578171304E-3</c:v>
                </c:pt>
                <c:pt idx="55">
                  <c:v>9.0451186211993849E-3</c:v>
                </c:pt>
                <c:pt idx="56">
                  <c:v>8.2893141574582486E-3</c:v>
                </c:pt>
                <c:pt idx="57">
                  <c:v>7.5740554178918623E-3</c:v>
                </c:pt>
                <c:pt idx="58">
                  <c:v>6.9131913399529954E-3</c:v>
                </c:pt>
                <c:pt idx="59">
                  <c:v>6.305470901359053E-3</c:v>
                </c:pt>
                <c:pt idx="60">
                  <c:v>5.7496852937481586E-3</c:v>
                </c:pt>
                <c:pt idx="61">
                  <c:v>5.2446660436844018E-3</c:v>
                </c:pt>
                <c:pt idx="62">
                  <c:v>4.7892832829592629E-3</c:v>
                </c:pt>
                <c:pt idx="63">
                  <c:v>4.382444162837144E-3</c:v>
                </c:pt>
                <c:pt idx="64">
                  <c:v>4.0229916113896438E-3</c:v>
                </c:pt>
                <c:pt idx="65">
                  <c:v>3.7272345846528477E-3</c:v>
                </c:pt>
                <c:pt idx="66">
                  <c:v>3.4809329525513446E-3</c:v>
                </c:pt>
                <c:pt idx="67">
                  <c:v>3.2831190954291331E-3</c:v>
                </c:pt>
                <c:pt idx="68">
                  <c:v>3.1328444287585019E-3</c:v>
                </c:pt>
                <c:pt idx="69">
                  <c:v>3.0291845675650664E-3</c:v>
                </c:pt>
                <c:pt idx="70">
                  <c:v>2.9712441381806909E-3</c:v>
                </c:pt>
                <c:pt idx="71">
                  <c:v>2.955226163750168E-3</c:v>
                </c:pt>
                <c:pt idx="72">
                  <c:v>2.9532203378043937E-3</c:v>
                </c:pt>
                <c:pt idx="73">
                  <c:v>2.9650128841587115E-3</c:v>
                </c:pt>
                <c:pt idx="74">
                  <c:v>2.9904041988404956E-3</c:v>
                </c:pt>
                <c:pt idx="75">
                  <c:v>3.0292100375449672E-3</c:v>
                </c:pt>
                <c:pt idx="76">
                  <c:v>3.0812626486184927E-3</c:v>
                </c:pt>
                <c:pt idx="77">
                  <c:v>3.1464118604721297E-3</c:v>
                </c:pt>
                <c:pt idx="78">
                  <c:v>3.2243259930576779E-3</c:v>
                </c:pt>
                <c:pt idx="79">
                  <c:v>3.3066492637368605E-3</c:v>
                </c:pt>
                <c:pt idx="80">
                  <c:v>3.3775310442445286E-3</c:v>
                </c:pt>
                <c:pt idx="81">
                  <c:v>3.4372443466211852E-3</c:v>
                </c:pt>
                <c:pt idx="82">
                  <c:v>3.4860566980830618E-3</c:v>
                </c:pt>
                <c:pt idx="83">
                  <c:v>3.5242284290821851E-3</c:v>
                </c:pt>
                <c:pt idx="84">
                  <c:v>3.5520110976844815E-3</c:v>
                </c:pt>
                <c:pt idx="85">
                  <c:v>3.5667955492813246E-3</c:v>
                </c:pt>
                <c:pt idx="86">
                  <c:v>3.5715043831901494E-3</c:v>
                </c:pt>
                <c:pt idx="87">
                  <c:v>3.5663410922010755E-3</c:v>
                </c:pt>
                <c:pt idx="88">
                  <c:v>3.5514940419621908E-3</c:v>
                </c:pt>
                <c:pt idx="89">
                  <c:v>3.527135324084751E-3</c:v>
                </c:pt>
                <c:pt idx="90">
                  <c:v>3.4934196671459368E-3</c:v>
                </c:pt>
                <c:pt idx="91">
                  <c:v>3.4504833924957176E-3</c:v>
                </c:pt>
                <c:pt idx="92">
                  <c:v>3.3983690629078864E-3</c:v>
                </c:pt>
                <c:pt idx="93">
                  <c:v>3.3353976662793415E-3</c:v>
                </c:pt>
                <c:pt idx="94">
                  <c:v>3.2691634809217524E-3</c:v>
                </c:pt>
                <c:pt idx="95">
                  <c:v>3.1996242592479914E-3</c:v>
                </c:pt>
                <c:pt idx="96">
                  <c:v>3.1267348527181248E-3</c:v>
                </c:pt>
                <c:pt idx="97">
                  <c:v>3.0504473409372888E-3</c:v>
                </c:pt>
                <c:pt idx="98">
                  <c:v>2.9707111618132646E-3</c:v>
                </c:pt>
                <c:pt idx="99">
                  <c:v>2.8909067095359781E-3</c:v>
                </c:pt>
                <c:pt idx="100">
                  <c:v>2.8136926475173145E-3</c:v>
                </c:pt>
                <c:pt idx="101">
                  <c:v>2.7389814368194401E-3</c:v>
                </c:pt>
                <c:pt idx="102">
                  <c:v>2.6666891648209762E-3</c:v>
                </c:pt>
                <c:pt idx="103">
                  <c:v>2.5967351979421828E-3</c:v>
                </c:pt>
                <c:pt idx="104">
                  <c:v>2.529041853643184E-3</c:v>
                </c:pt>
                <c:pt idx="105">
                  <c:v>2.4635340908505548E-3</c:v>
                </c:pt>
                <c:pt idx="106">
                  <c:v>2.4002025775456785E-3</c:v>
                </c:pt>
                <c:pt idx="107">
                  <c:v>2.342564604009144E-3</c:v>
                </c:pt>
                <c:pt idx="108">
                  <c:v>2.2922225252359984E-3</c:v>
                </c:pt>
                <c:pt idx="109">
                  <c:v>2.249137223761237E-3</c:v>
                </c:pt>
                <c:pt idx="110">
                  <c:v>2.2132842662855225E-3</c:v>
                </c:pt>
                <c:pt idx="111">
                  <c:v>2.1846471205931579E-3</c:v>
                </c:pt>
                <c:pt idx="112">
                  <c:v>2.1632108161085705E-3</c:v>
                </c:pt>
                <c:pt idx="113">
                  <c:v>2.1449214911665416E-3</c:v>
                </c:pt>
                <c:pt idx="114">
                  <c:v>2.1264325339847095E-3</c:v>
                </c:pt>
                <c:pt idx="115">
                  <c:v>2.1077592766835605E-3</c:v>
                </c:pt>
                <c:pt idx="116">
                  <c:v>2.0889190204643146E-3</c:v>
                </c:pt>
                <c:pt idx="117">
                  <c:v>2.0699311411448477E-3</c:v>
                </c:pt>
                <c:pt idx="118">
                  <c:v>2.0508171937486186E-3</c:v>
                </c:pt>
                <c:pt idx="119">
                  <c:v>2.03160101640698E-3</c:v>
                </c:pt>
                <c:pt idx="120">
                  <c:v>2.0123424394522782E-3</c:v>
                </c:pt>
                <c:pt idx="121">
                  <c:v>1.9898781430707614E-3</c:v>
                </c:pt>
                <c:pt idx="122">
                  <c:v>1.9604984604396497E-3</c:v>
                </c:pt>
                <c:pt idx="123">
                  <c:v>1.9241333253720377E-3</c:v>
                </c:pt>
                <c:pt idx="124">
                  <c:v>1.8807060564095589E-3</c:v>
                </c:pt>
                <c:pt idx="125">
                  <c:v>1.8301336685318025E-3</c:v>
                </c:pt>
                <c:pt idx="126">
                  <c:v>1.7723272043123032E-3</c:v>
                </c:pt>
                <c:pt idx="127">
                  <c:v>1.7083818697454596E-3</c:v>
                </c:pt>
                <c:pt idx="128">
                  <c:v>1.6422567999302023E-3</c:v>
                </c:pt>
                <c:pt idx="129">
                  <c:v>1.5738510153502276E-3</c:v>
                </c:pt>
                <c:pt idx="130">
                  <c:v>1.5030605156836452E-3</c:v>
                </c:pt>
                <c:pt idx="131">
                  <c:v>1.4297783918595314E-3</c:v>
                </c:pt>
                <c:pt idx="132">
                  <c:v>1.3538949642983036E-3</c:v>
                </c:pt>
                <c:pt idx="133">
                  <c:v>1.2752979492369272E-3</c:v>
                </c:pt>
                <c:pt idx="134">
                  <c:v>1.1938831722959036E-3</c:v>
                </c:pt>
                <c:pt idx="135">
                  <c:v>1.1121025968443958E-3</c:v>
                </c:pt>
                <c:pt idx="136">
                  <c:v>1.0333762127129502E-3</c:v>
                </c:pt>
                <c:pt idx="137">
                  <c:v>9.5767981663112472E-4</c:v>
                </c:pt>
                <c:pt idx="138">
                  <c:v>8.8499093286529846E-4</c:v>
                </c:pt>
                <c:pt idx="139">
                  <c:v>8.1528879041090606E-4</c:v>
                </c:pt>
                <c:pt idx="140">
                  <c:v>7.4855429965653311E-4</c:v>
                </c:pt>
                <c:pt idx="141">
                  <c:v>6.871006713109033E-4</c:v>
                </c:pt>
                <c:pt idx="142">
                  <c:v>6.2982594876959314E-4</c:v>
                </c:pt>
                <c:pt idx="143">
                  <c:v>5.7677897898025007E-4</c:v>
                </c:pt>
                <c:pt idx="144">
                  <c:v>5.2801638385387248E-4</c:v>
                </c:pt>
                <c:pt idx="145">
                  <c:v>4.8359796756353965E-4</c:v>
                </c:pt>
                <c:pt idx="146">
                  <c:v>4.4358661614516082E-4</c:v>
                </c:pt>
                <c:pt idx="147">
                  <c:v>4.0804818278145289E-4</c:v>
                </c:pt>
                <c:pt idx="148">
                  <c:v>3.7705135926002922E-4</c:v>
                </c:pt>
                <c:pt idx="149">
                  <c:v>3.5168133128058083E-4</c:v>
                </c:pt>
                <c:pt idx="150">
                  <c:v>3.2934409322597996E-4</c:v>
                </c:pt>
                <c:pt idx="151">
                  <c:v>3.1011793336987813E-4</c:v>
                </c:pt>
                <c:pt idx="152">
                  <c:v>2.9408357749583311E-4</c:v>
                </c:pt>
                <c:pt idx="153">
                  <c:v>2.8132400729134673E-4</c:v>
                </c:pt>
                <c:pt idx="154">
                  <c:v>2.7192426786969376E-4</c:v>
                </c:pt>
                <c:pt idx="155">
                  <c:v>2.6590405740232906E-4</c:v>
                </c:pt>
                <c:pt idx="156">
                  <c:v>2.6074843968932292E-4</c:v>
                </c:pt>
                <c:pt idx="157">
                  <c:v>2.564879215293227E-4</c:v>
                </c:pt>
                <c:pt idx="158">
                  <c:v>2.5315365728720572E-4</c:v>
                </c:pt>
                <c:pt idx="159">
                  <c:v>2.5077737270272793E-4</c:v>
                </c:pt>
                <c:pt idx="160">
                  <c:v>2.493912870349775E-4</c:v>
                </c:pt>
                <c:pt idx="161">
                  <c:v>2.4902803427801309E-4</c:v>
                </c:pt>
                <c:pt idx="162">
                  <c:v>2.4972058431535818E-4</c:v>
                </c:pt>
                <c:pt idx="163">
                  <c:v>2.5151707031774125E-4</c:v>
                </c:pt>
                <c:pt idx="164">
                  <c:v>2.5326531994674739E-4</c:v>
                </c:pt>
                <c:pt idx="165">
                  <c:v>2.5496321775417139E-4</c:v>
                </c:pt>
                <c:pt idx="166">
                  <c:v>2.5660869591087468E-4</c:v>
                </c:pt>
                <c:pt idx="167">
                  <c:v>2.5819974188969147E-4</c:v>
                </c:pt>
                <c:pt idx="168">
                  <c:v>2.5973440567875385E-4</c:v>
                </c:pt>
                <c:pt idx="169">
                  <c:v>2.6122520505610184E-4</c:v>
                </c:pt>
                <c:pt idx="170">
                  <c:v>2.6274221287897226E-4</c:v>
                </c:pt>
                <c:pt idx="171">
                  <c:v>2.6428443294270159E-4</c:v>
                </c:pt>
                <c:pt idx="172">
                  <c:v>2.6585095379542424E-4</c:v>
                </c:pt>
                <c:pt idx="173">
                  <c:v>2.6743821902096504E-4</c:v>
                </c:pt>
                <c:pt idx="174">
                  <c:v>2.6904255528063163E-4</c:v>
                </c:pt>
                <c:pt idx="175">
                  <c:v>2.7066301138894706E-4</c:v>
                </c:pt>
                <c:pt idx="176">
                  <c:v>2.7230188683417816E-4</c:v>
                </c:pt>
                <c:pt idx="177">
                  <c:v>2.7388631373503197E-4</c:v>
                </c:pt>
                <c:pt idx="178">
                  <c:v>2.7539967131885674E-4</c:v>
                </c:pt>
                <c:pt idx="179">
                  <c:v>2.7683930490282534E-4</c:v>
                </c:pt>
                <c:pt idx="180">
                  <c:v>2.7820262764712093E-4</c:v>
                </c:pt>
                <c:pt idx="181">
                  <c:v>2.7948712254707273E-4</c:v>
                </c:pt>
                <c:pt idx="182">
                  <c:v>2.8069034389827216E-4</c:v>
                </c:pt>
                <c:pt idx="183">
                  <c:v>2.8321214413060201E-4</c:v>
                </c:pt>
                <c:pt idx="184">
                  <c:v>2.8706873660821374E-4</c:v>
                </c:pt>
                <c:pt idx="185">
                  <c:v>2.9228901516567529E-4</c:v>
                </c:pt>
                <c:pt idx="186">
                  <c:v>2.9890104556033785E-4</c:v>
                </c:pt>
                <c:pt idx="187">
                  <c:v>3.0693199189827129E-4</c:v>
                </c:pt>
                <c:pt idx="188">
                  <c:v>3.1640804639991078E-4</c:v>
                </c:pt>
                <c:pt idx="189">
                  <c:v>3.273543621816772E-4</c:v>
                </c:pt>
                <c:pt idx="190">
                  <c:v>3.3980098511118606E-4</c:v>
                </c:pt>
                <c:pt idx="191">
                  <c:v>3.5704212503576724E-4</c:v>
                </c:pt>
                <c:pt idx="192">
                  <c:v>3.7922985100872125E-4</c:v>
                </c:pt>
                <c:pt idx="193">
                  <c:v>4.0643652331983916E-4</c:v>
                </c:pt>
                <c:pt idx="194">
                  <c:v>4.3873283121240663E-4</c:v>
                </c:pt>
                <c:pt idx="195">
                  <c:v>4.7618784330381002E-4</c:v>
                </c:pt>
                <c:pt idx="196">
                  <c:v>5.1886906348731581E-4</c:v>
                </c:pt>
                <c:pt idx="197">
                  <c:v>5.7002183233177748E-4</c:v>
                </c:pt>
                <c:pt idx="198">
                  <c:v>6.2819108966823275E-4</c:v>
                </c:pt>
                <c:pt idx="199">
                  <c:v>6.9344064014777607E-4</c:v>
                </c:pt>
                <c:pt idx="200">
                  <c:v>7.6583351009812709E-4</c:v>
                </c:pt>
                <c:pt idx="201">
                  <c:v>8.4543201266371927E-4</c:v>
                </c:pt>
                <c:pt idx="202">
                  <c:v>9.3229780492042644E-4</c:v>
                </c:pt>
                <c:pt idx="203">
                  <c:v>1.0264919356800985E-3</c:v>
                </c:pt>
                <c:pt idx="204">
                  <c:v>1.1280829552630359E-3</c:v>
                </c:pt>
                <c:pt idx="205">
                  <c:v>1.2379530156235994E-3</c:v>
                </c:pt>
                <c:pt idx="206">
                  <c:v>1.3526691539909855E-3</c:v>
                </c:pt>
                <c:pt idx="207">
                  <c:v>1.4722452643408672E-3</c:v>
                </c:pt>
                <c:pt idx="208">
                  <c:v>1.5966961480277713E-3</c:v>
                </c:pt>
                <c:pt idx="209">
                  <c:v>1.7260374079465144E-3</c:v>
                </c:pt>
                <c:pt idx="210">
                  <c:v>1.8602853314432276E-3</c:v>
                </c:pt>
                <c:pt idx="211">
                  <c:v>1.9937757108182044E-3</c:v>
                </c:pt>
                <c:pt idx="212">
                  <c:v>2.1231461638993895E-3</c:v>
                </c:pt>
                <c:pt idx="213">
                  <c:v>2.2483209074485051E-3</c:v>
                </c:pt>
                <c:pt idx="214">
                  <c:v>2.3692251048690071E-3</c:v>
                </c:pt>
                <c:pt idx="215">
                  <c:v>2.4857847818059876E-3</c:v>
                </c:pt>
                <c:pt idx="216">
                  <c:v>2.5979267520598853E-3</c:v>
                </c:pt>
                <c:pt idx="217">
                  <c:v>2.7055785546796001E-3</c:v>
                </c:pt>
                <c:pt idx="218">
                  <c:v>2.8086465710103056E-3</c:v>
                </c:pt>
                <c:pt idx="219">
                  <c:v>2.9023001426282799E-3</c:v>
                </c:pt>
                <c:pt idx="220">
                  <c:v>2.9856747631722882E-3</c:v>
                </c:pt>
                <c:pt idx="221">
                  <c:v>3.0586970360448966E-3</c:v>
                </c:pt>
                <c:pt idx="222">
                  <c:v>3.1212958161810191E-3</c:v>
                </c:pt>
                <c:pt idx="223">
                  <c:v>3.1734015893184354E-3</c:v>
                </c:pt>
                <c:pt idx="224">
                  <c:v>3.2149458469997371E-3</c:v>
                </c:pt>
                <c:pt idx="225">
                  <c:v>3.2527320705665569E-3</c:v>
                </c:pt>
                <c:pt idx="226">
                  <c:v>3.2927623794717343E-3</c:v>
                </c:pt>
                <c:pt idx="227">
                  <c:v>3.3351007887764163E-3</c:v>
                </c:pt>
                <c:pt idx="228">
                  <c:v>3.3798114381001919E-3</c:v>
                </c:pt>
                <c:pt idx="229">
                  <c:v>3.426958835196624E-3</c:v>
                </c:pt>
                <c:pt idx="230">
                  <c:v>3.4766081073991334E-3</c:v>
                </c:pt>
                <c:pt idx="231">
                  <c:v>3.5288252615716482E-3</c:v>
                </c:pt>
                <c:pt idx="232">
                  <c:v>3.5835763281664907E-3</c:v>
                </c:pt>
                <c:pt idx="233">
                  <c:v>3.6446564360830278E-3</c:v>
                </c:pt>
                <c:pt idx="234">
                  <c:v>3.717068136385704E-3</c:v>
                </c:pt>
                <c:pt idx="235">
                  <c:v>3.8009412267178372E-3</c:v>
                </c:pt>
                <c:pt idx="236">
                  <c:v>3.8964106472817979E-3</c:v>
                </c:pt>
                <c:pt idx="237">
                  <c:v>4.0036136120849726E-3</c:v>
                </c:pt>
                <c:pt idx="238">
                  <c:v>4.1226927867468168E-3</c:v>
                </c:pt>
                <c:pt idx="239">
                  <c:v>4.2504240243386188E-3</c:v>
                </c:pt>
                <c:pt idx="240">
                  <c:v>4.3796851563215273E-3</c:v>
                </c:pt>
                <c:pt idx="241">
                  <c:v>4.5105237978505189E-3</c:v>
                </c:pt>
                <c:pt idx="242">
                  <c:v>4.6429925291862758E-3</c:v>
                </c:pt>
                <c:pt idx="243">
                  <c:v>4.7771490438658038E-3</c:v>
                </c:pt>
                <c:pt idx="244">
                  <c:v>4.9130563119703999E-3</c:v>
                </c:pt>
                <c:pt idx="245">
                  <c:v>5.0507827600431519E-3</c:v>
                </c:pt>
                <c:pt idx="246">
                  <c:v>5.1903440464193254E-3</c:v>
                </c:pt>
                <c:pt idx="247">
                  <c:v>5.3269133244557114E-3</c:v>
                </c:pt>
                <c:pt idx="248">
                  <c:v>5.4564542047493879E-3</c:v>
                </c:pt>
                <c:pt idx="249">
                  <c:v>5.5788907363348199E-3</c:v>
                </c:pt>
                <c:pt idx="250">
                  <c:v>5.6941424850500437E-3</c:v>
                </c:pt>
                <c:pt idx="251">
                  <c:v>5.802124532228628E-3</c:v>
                </c:pt>
                <c:pt idx="252">
                  <c:v>5.9027474806526738E-3</c:v>
                </c:pt>
                <c:pt idx="253">
                  <c:v>5.9830554060807664E-3</c:v>
                </c:pt>
                <c:pt idx="254">
                  <c:v>6.0463678347360108E-3</c:v>
                </c:pt>
                <c:pt idx="255">
                  <c:v>6.0924610153274602E-3</c:v>
                </c:pt>
                <c:pt idx="256">
                  <c:v>6.1211029120952836E-3</c:v>
                </c:pt>
                <c:pt idx="257">
                  <c:v>6.1320534029130225E-3</c:v>
                </c:pt>
                <c:pt idx="258">
                  <c:v>6.1250645057251887E-3</c:v>
                </c:pt>
                <c:pt idx="259">
                  <c:v>6.0998806327084536E-3</c:v>
                </c:pt>
                <c:pt idx="260">
                  <c:v>6.0563318656757749E-3</c:v>
                </c:pt>
                <c:pt idx="261">
                  <c:v>5.992603391257444E-3</c:v>
                </c:pt>
                <c:pt idx="262">
                  <c:v>5.9135126363372521E-3</c:v>
                </c:pt>
                <c:pt idx="263">
                  <c:v>5.8188088579037289E-3</c:v>
                </c:pt>
                <c:pt idx="264">
                  <c:v>5.7082345137583123E-3</c:v>
                </c:pt>
                <c:pt idx="265">
                  <c:v>5.5815554764749985E-3</c:v>
                </c:pt>
                <c:pt idx="266">
                  <c:v>5.4385143859661022E-3</c:v>
                </c:pt>
                <c:pt idx="267">
                  <c:v>5.3107757061570896E-3</c:v>
                </c:pt>
                <c:pt idx="268">
                  <c:v>5.2123131393197082E-3</c:v>
                </c:pt>
                <c:pt idx="269">
                  <c:v>5.143536683768748E-3</c:v>
                </c:pt>
                <c:pt idx="270">
                  <c:v>5.1048688569464724E-3</c:v>
                </c:pt>
                <c:pt idx="271">
                  <c:v>5.0967431781616538E-3</c:v>
                </c:pt>
                <c:pt idx="272">
                  <c:v>5.1196025801285034E-3</c:v>
                </c:pt>
                <c:pt idx="273">
                  <c:v>5.1738977505632871E-3</c:v>
                </c:pt>
                <c:pt idx="274">
                  <c:v>5.2602603734922372E-3</c:v>
                </c:pt>
                <c:pt idx="275">
                  <c:v>5.4261448901061467E-3</c:v>
                </c:pt>
                <c:pt idx="276">
                  <c:v>5.6745047675456541E-3</c:v>
                </c:pt>
                <c:pt idx="277">
                  <c:v>6.0066148061645582E-3</c:v>
                </c:pt>
                <c:pt idx="278">
                  <c:v>6.4237743046605669E-3</c:v>
                </c:pt>
                <c:pt idx="279">
                  <c:v>6.9272991395426262E-3</c:v>
                </c:pt>
                <c:pt idx="280">
                  <c:v>7.5185134831172555E-3</c:v>
                </c:pt>
                <c:pt idx="281">
                  <c:v>8.2140740985551224E-3</c:v>
                </c:pt>
                <c:pt idx="282">
                  <c:v>8.9809660479531189E-3</c:v>
                </c:pt>
                <c:pt idx="283">
                  <c:v>9.8201680054887334E-3</c:v>
                </c:pt>
                <c:pt idx="284">
                  <c:v>1.0732629452980985E-2</c:v>
                </c:pt>
                <c:pt idx="285">
                  <c:v>1.1719262538310014E-2</c:v>
                </c:pt>
                <c:pt idx="286">
                  <c:v>1.2780933634044559E-2</c:v>
                </c:pt>
                <c:pt idx="287">
                  <c:v>1.3918454599503367E-2</c:v>
                </c:pt>
                <c:pt idx="288">
                  <c:v>1.5133242722159277E-2</c:v>
                </c:pt>
                <c:pt idx="289">
                  <c:v>1.6392052009440966E-2</c:v>
                </c:pt>
                <c:pt idx="290">
                  <c:v>1.7644694582378686E-2</c:v>
                </c:pt>
                <c:pt idx="291">
                  <c:v>1.8890864825530405E-2</c:v>
                </c:pt>
                <c:pt idx="292">
                  <c:v>2.0130224270125764E-2</c:v>
                </c:pt>
                <c:pt idx="293">
                  <c:v>2.1362401943805179E-2</c:v>
                </c:pt>
                <c:pt idx="294">
                  <c:v>2.2586994670346802E-2</c:v>
                </c:pt>
                <c:pt idx="295">
                  <c:v>2.3747772458425201E-2</c:v>
                </c:pt>
                <c:pt idx="296">
                  <c:v>2.4827143299090349E-2</c:v>
                </c:pt>
                <c:pt idx="297">
                  <c:v>2.5823758621082597E-2</c:v>
                </c:pt>
                <c:pt idx="298">
                  <c:v>2.6736051422775957E-2</c:v>
                </c:pt>
                <c:pt idx="299">
                  <c:v>2.756242791613581E-2</c:v>
                </c:pt>
                <c:pt idx="300">
                  <c:v>2.8301272412903981E-2</c:v>
                </c:pt>
                <c:pt idx="301">
                  <c:v>2.8950952388618337E-2</c:v>
                </c:pt>
                <c:pt idx="302">
                  <c:v>2.9510292379602569E-2</c:v>
                </c:pt>
                <c:pt idx="303">
                  <c:v>2.9948950303150819E-2</c:v>
                </c:pt>
                <c:pt idx="304">
                  <c:v>3.0302928774954812E-2</c:v>
                </c:pt>
                <c:pt idx="305">
                  <c:v>3.0571144218465296E-2</c:v>
                </c:pt>
                <c:pt idx="306">
                  <c:v>3.0752516210632009E-2</c:v>
                </c:pt>
                <c:pt idx="307">
                  <c:v>3.0845961389658484E-2</c:v>
                </c:pt>
                <c:pt idx="308">
                  <c:v>3.0850386903457552E-2</c:v>
                </c:pt>
                <c:pt idx="309">
                  <c:v>3.07712572007795E-2</c:v>
                </c:pt>
                <c:pt idx="310">
                  <c:v>3.0667667452919677E-2</c:v>
                </c:pt>
                <c:pt idx="311">
                  <c:v>3.0539465406915149E-2</c:v>
                </c:pt>
                <c:pt idx="312">
                  <c:v>3.038648824715973E-2</c:v>
                </c:pt>
                <c:pt idx="313">
                  <c:v>3.0208559882436328E-2</c:v>
                </c:pt>
                <c:pt idx="314">
                  <c:v>3.000548817506199E-2</c:v>
                </c:pt>
                <c:pt idx="315">
                  <c:v>2.9777062127304903E-2</c:v>
                </c:pt>
                <c:pt idx="316">
                  <c:v>2.952365338013772E-2</c:v>
                </c:pt>
                <c:pt idx="317">
                  <c:v>2.9267561440111108E-2</c:v>
                </c:pt>
                <c:pt idx="318">
                  <c:v>2.9040160565141446E-2</c:v>
                </c:pt>
                <c:pt idx="319">
                  <c:v>2.8841574656253467E-2</c:v>
                </c:pt>
                <c:pt idx="320">
                  <c:v>2.8671938914017588E-2</c:v>
                </c:pt>
                <c:pt idx="321">
                  <c:v>2.8531397088162786E-2</c:v>
                </c:pt>
                <c:pt idx="322">
                  <c:v>2.8420098512578797E-2</c:v>
                </c:pt>
                <c:pt idx="323">
                  <c:v>2.8359962348727227E-2</c:v>
                </c:pt>
                <c:pt idx="324">
                  <c:v>2.8344391317814292E-2</c:v>
                </c:pt>
                <c:pt idx="325">
                  <c:v>2.8373801808030303E-2</c:v>
                </c:pt>
                <c:pt idx="326">
                  <c:v>2.8448427767956506E-2</c:v>
                </c:pt>
                <c:pt idx="327">
                  <c:v>2.8568606506873356E-2</c:v>
                </c:pt>
                <c:pt idx="328">
                  <c:v>2.8734800131916621E-2</c:v>
                </c:pt>
                <c:pt idx="329">
                  <c:v>2.8947443664132926E-2</c:v>
                </c:pt>
                <c:pt idx="330">
                  <c:v>2.9211559919283911E-2</c:v>
                </c:pt>
                <c:pt idx="331">
                  <c:v>2.9528068518101105E-2</c:v>
                </c:pt>
                <c:pt idx="332">
                  <c:v>2.9872143427674996E-2</c:v>
                </c:pt>
                <c:pt idx="333">
                  <c:v>3.024278030704319E-2</c:v>
                </c:pt>
                <c:pt idx="334">
                  <c:v>3.0638856308727248E-2</c:v>
                </c:pt>
                <c:pt idx="335">
                  <c:v>3.1059110757635431E-2</c:v>
                </c:pt>
                <c:pt idx="336">
                  <c:v>3.1502126368593654E-2</c:v>
                </c:pt>
                <c:pt idx="337">
                  <c:v>3.1953611435983013E-2</c:v>
                </c:pt>
                <c:pt idx="338">
                  <c:v>3.2387608008410944E-2</c:v>
                </c:pt>
                <c:pt idx="339">
                  <c:v>3.2801455164122646E-2</c:v>
                </c:pt>
                <c:pt idx="340">
                  <c:v>3.319233747038855E-2</c:v>
                </c:pt>
                <c:pt idx="341">
                  <c:v>3.3557304181448061E-2</c:v>
                </c:pt>
                <c:pt idx="342">
                  <c:v>3.389329381388826E-2</c:v>
                </c:pt>
                <c:pt idx="343">
                  <c:v>3.4197164366980393E-2</c:v>
                </c:pt>
                <c:pt idx="344">
                  <c:v>3.4474221379494407E-2</c:v>
                </c:pt>
                <c:pt idx="345">
                  <c:v>3.4730621968640532E-2</c:v>
                </c:pt>
                <c:pt idx="346">
                  <c:v>3.4965789332661451E-2</c:v>
                </c:pt>
                <c:pt idx="347">
                  <c:v>3.5177738292780841E-2</c:v>
                </c:pt>
                <c:pt idx="348">
                  <c:v>3.5364447542802491E-2</c:v>
                </c:pt>
                <c:pt idx="349">
                  <c:v>3.5523877576369649E-2</c:v>
                </c:pt>
                <c:pt idx="350">
                  <c:v>3.5653990849646808E-2</c:v>
                </c:pt>
                <c:pt idx="351">
                  <c:v>3.5750191267191554E-2</c:v>
                </c:pt>
                <c:pt idx="352">
                  <c:v>3.5824009060989176E-2</c:v>
                </c:pt>
                <c:pt idx="353">
                  <c:v>3.5873594872960747E-2</c:v>
                </c:pt>
                <c:pt idx="354">
                  <c:v>3.5897164094274327E-2</c:v>
                </c:pt>
                <c:pt idx="355">
                  <c:v>3.5893020096859123E-2</c:v>
                </c:pt>
                <c:pt idx="356">
                  <c:v>3.5859452550460844E-2</c:v>
                </c:pt>
                <c:pt idx="357">
                  <c:v>3.579509028543372E-2</c:v>
                </c:pt>
                <c:pt idx="358">
                  <c:v>3.5698315287711245E-2</c:v>
                </c:pt>
                <c:pt idx="359">
                  <c:v>3.5569870746388031E-2</c:v>
                </c:pt>
                <c:pt idx="360">
                  <c:v>3.5398506479060232E-2</c:v>
                </c:pt>
                <c:pt idx="361">
                  <c:v>3.5189155380694712E-2</c:v>
                </c:pt>
                <c:pt idx="362">
                  <c:v>3.4944258654078825E-2</c:v>
                </c:pt>
                <c:pt idx="363">
                  <c:v>3.4666310082159799E-2</c:v>
                </c:pt>
                <c:pt idx="364">
                  <c:v>3.4357823729211028E-2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185000"/>
        <c:axId val="473185392"/>
      </c:lineChart>
      <c:dateAx>
        <c:axId val="47318500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3185392"/>
        <c:crosses val="autoZero"/>
        <c:auto val="1"/>
        <c:lblOffset val="100"/>
        <c:baseTimeUnit val="days"/>
        <c:majorUnit val="1"/>
        <c:majorTimeUnit val="months"/>
      </c:dateAx>
      <c:valAx>
        <c:axId val="47318539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31850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Noueilles salle des fêtes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10214.933669134727</c:v>
                </c:pt>
                <c:pt idx="1">
                  <c:v>11811.632476276383</c:v>
                </c:pt>
                <c:pt idx="2">
                  <c:v>11456.837997941082</c:v>
                </c:pt>
                <c:pt idx="3">
                  <c:v>12157.416985828029</c:v>
                </c:pt>
                <c:pt idx="4">
                  <c:v>12147.923276565743</c:v>
                </c:pt>
                <c:pt idx="5">
                  <c:v>12154.073421345838</c:v>
                </c:pt>
                <c:pt idx="6">
                  <c:v>12123.469238279462</c:v>
                </c:pt>
                <c:pt idx="7">
                  <c:v>12155.909300061356</c:v>
                </c:pt>
                <c:pt idx="8">
                  <c:v>12170.614601993953</c:v>
                </c:pt>
                <c:pt idx="9">
                  <c:v>12181.90699209215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10178.65992231989</c:v>
                </c:pt>
                <c:pt idx="1">
                  <c:v>11691.840875109565</c:v>
                </c:pt>
                <c:pt idx="2">
                  <c:v>11260.462378828966</c:v>
                </c:pt>
                <c:pt idx="3">
                  <c:v>11871.891699916443</c:v>
                </c:pt>
                <c:pt idx="4">
                  <c:v>11773.379599848859</c:v>
                </c:pt>
                <c:pt idx="5">
                  <c:v>11695.077041412613</c:v>
                </c:pt>
                <c:pt idx="6">
                  <c:v>11584.377624668456</c:v>
                </c:pt>
                <c:pt idx="7">
                  <c:v>11535.292384786942</c:v>
                </c:pt>
                <c:pt idx="8">
                  <c:v>11470.045585252485</c:v>
                </c:pt>
                <c:pt idx="9">
                  <c:v>11400.231481635001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10045.735000000006</c:v>
                </c:pt>
                <c:pt idx="1">
                  <c:v>11311.726999999995</c:v>
                </c:pt>
                <c:pt idx="2">
                  <c:v>10718.309999999998</c:v>
                </c:pt>
                <c:pt idx="3">
                  <c:v>11479.140999999998</c:v>
                </c:pt>
                <c:pt idx="4">
                  <c:v>11499.916904492684</c:v>
                </c:pt>
                <c:pt idx="5">
                  <c:v>11122.117525236359</c:v>
                </c:pt>
                <c:pt idx="6">
                  <c:v>11173.071401952695</c:v>
                </c:pt>
                <c:pt idx="7">
                  <c:v>10998.068647841646</c:v>
                </c:pt>
                <c:pt idx="8">
                  <c:v>11139.910585533496</c:v>
                </c:pt>
                <c:pt idx="9">
                  <c:v>10885.804006832943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10044.946077858784</c:v>
                </c:pt>
                <c:pt idx="1">
                  <c:v>11310.035745729834</c:v>
                </c:pt>
                <c:pt idx="2">
                  <c:v>10716.814326947509</c:v>
                </c:pt>
                <c:pt idx="3">
                  <c:v>10836.731652455055</c:v>
                </c:pt>
                <c:pt idx="4">
                  <c:v>11173.617099385094</c:v>
                </c:pt>
                <c:pt idx="5">
                  <c:v>10988.964392107959</c:v>
                </c:pt>
                <c:pt idx="6">
                  <c:v>10740.433286547934</c:v>
                </c:pt>
                <c:pt idx="7">
                  <c:v>10550.632583040553</c:v>
                </c:pt>
                <c:pt idx="8">
                  <c:v>10538.208714075527</c:v>
                </c:pt>
                <c:pt idx="9">
                  <c:v>10367.292961181081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-1.4928542681474255E-2</c:v>
                </c:pt>
                <c:pt idx="1">
                  <c:v>-5.5208746789844554E-2</c:v>
                </c:pt>
                <c:pt idx="2">
                  <c:v>-7.5616765177528578E-2</c:v>
                </c:pt>
                <c:pt idx="3">
                  <c:v>633.22426340792936</c:v>
                </c:pt>
                <c:pt idx="4">
                  <c:v>323.1504031080409</c:v>
                </c:pt>
                <c:pt idx="5">
                  <c:v>129.5170918236015</c:v>
                </c:pt>
                <c:pt idx="6">
                  <c:v>428.70205468710157</c:v>
                </c:pt>
                <c:pt idx="7">
                  <c:v>365.80316152224435</c:v>
                </c:pt>
                <c:pt idx="8">
                  <c:v>463.31533831056186</c:v>
                </c:pt>
                <c:pt idx="9">
                  <c:v>356.00670789473099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0.79507472943753799</c:v>
                </c:pt>
                <c:pt idx="1">
                  <c:v>1.6921195803502957</c:v>
                </c:pt>
                <c:pt idx="2">
                  <c:v>1.4992375156399085</c:v>
                </c:pt>
                <c:pt idx="3">
                  <c:v>0.17860601135433996</c:v>
                </c:pt>
                <c:pt idx="4">
                  <c:v>1.1547476358521536</c:v>
                </c:pt>
                <c:pt idx="5">
                  <c:v>2.5812891357517458</c:v>
                </c:pt>
                <c:pt idx="6">
                  <c:v>0.23767508376685953</c:v>
                </c:pt>
                <c:pt idx="7">
                  <c:v>74.158758690165115</c:v>
                </c:pt>
                <c:pt idx="8">
                  <c:v>128.42458774110102</c:v>
                </c:pt>
                <c:pt idx="9">
                  <c:v>149.43432047069047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9191496"/>
        <c:axId val="359191888"/>
      </c:lineChart>
      <c:catAx>
        <c:axId val="35919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9191888"/>
        <c:crosses val="autoZero"/>
        <c:auto val="1"/>
        <c:lblAlgn val="ctr"/>
        <c:lblOffset val="100"/>
        <c:noMultiLvlLbl val="0"/>
      </c:catAx>
      <c:valAx>
        <c:axId val="359191888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91914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24.011287588912932</c:v>
                </c:pt>
                <c:pt idx="1">
                  <c:v>24.189410116577772</c:v>
                </c:pt>
                <c:pt idx="2">
                  <c:v>24.378090424130558</c:v>
                </c:pt>
                <c:pt idx="3">
                  <c:v>24.576166938924011</c:v>
                </c:pt>
                <c:pt idx="4">
                  <c:v>24.782478385208499</c:v>
                </c:pt>
                <c:pt idx="5">
                  <c:v>24.995863785446396</c:v>
                </c:pt>
                <c:pt idx="6">
                  <c:v>25.215162442249877</c:v>
                </c:pt>
                <c:pt idx="7">
                  <c:v>25.439213951488743</c:v>
                </c:pt>
                <c:pt idx="8">
                  <c:v>25.6725997801184</c:v>
                </c:pt>
                <c:pt idx="9">
                  <c:v>25.919253509237208</c:v>
                </c:pt>
                <c:pt idx="10">
                  <c:v>26.177629016659679</c:v>
                </c:pt>
                <c:pt idx="11">
                  <c:v>26.446504603576123</c:v>
                </c:pt>
                <c:pt idx="12">
                  <c:v>26.724658939605412</c:v>
                </c:pt>
                <c:pt idx="13">
                  <c:v>27.010871108956874</c:v>
                </c:pt>
                <c:pt idx="14">
                  <c:v>27.303920616425472</c:v>
                </c:pt>
                <c:pt idx="15">
                  <c:v>27.601943358550063</c:v>
                </c:pt>
                <c:pt idx="16">
                  <c:v>27.903623646716529</c:v>
                </c:pt>
                <c:pt idx="17">
                  <c:v>28.207742162096469</c:v>
                </c:pt>
                <c:pt idx="18">
                  <c:v>28.513080218505973</c:v>
                </c:pt>
                <c:pt idx="19">
                  <c:v>28.818415439161278</c:v>
                </c:pt>
                <c:pt idx="20">
                  <c:v>29.122524083992101</c:v>
                </c:pt>
                <c:pt idx="21">
                  <c:v>29.424186365954874</c:v>
                </c:pt>
                <c:pt idx="22">
                  <c:v>29.726770716001347</c:v>
                </c:pt>
                <c:pt idx="23">
                  <c:v>30.033783741238956</c:v>
                </c:pt>
                <c:pt idx="24">
                  <c:v>30.345119485788864</c:v>
                </c:pt>
                <c:pt idx="25">
                  <c:v>30.66006428886482</c:v>
                </c:pt>
                <c:pt idx="26">
                  <c:v>30.977904802595333</c:v>
                </c:pt>
                <c:pt idx="27">
                  <c:v>31.297927988156442</c:v>
                </c:pt>
                <c:pt idx="28">
                  <c:v>31.619421108630085</c:v>
                </c:pt>
                <c:pt idx="29">
                  <c:v>31.942583980423368</c:v>
                </c:pt>
                <c:pt idx="30">
                  <c:v>32.267348436520145</c:v>
                </c:pt>
                <c:pt idx="31">
                  <c:v>32.593002192201709</c:v>
                </c:pt>
                <c:pt idx="32">
                  <c:v>32.918833222007507</c:v>
                </c:pt>
                <c:pt idx="33">
                  <c:v>33.244129766850463</c:v>
                </c:pt>
                <c:pt idx="34">
                  <c:v>33.568180340886741</c:v>
                </c:pt>
                <c:pt idx="35">
                  <c:v>33.890273735767863</c:v>
                </c:pt>
                <c:pt idx="36">
                  <c:v>34.21169512559171</c:v>
                </c:pt>
                <c:pt idx="37">
                  <c:v>34.535936623683298</c:v>
                </c:pt>
                <c:pt idx="38">
                  <c:v>34.863093901639253</c:v>
                </c:pt>
                <c:pt idx="39">
                  <c:v>35.193064042341341</c:v>
                </c:pt>
                <c:pt idx="40">
                  <c:v>35.525744255933432</c:v>
                </c:pt>
                <c:pt idx="41">
                  <c:v>35.861031893208811</c:v>
                </c:pt>
                <c:pt idx="42">
                  <c:v>36.198824457490524</c:v>
                </c:pt>
                <c:pt idx="43">
                  <c:v>36.540183382399377</c:v>
                </c:pt>
                <c:pt idx="44">
                  <c:v>36.884096099718469</c:v>
                </c:pt>
                <c:pt idx="45">
                  <c:v>37.230461191158248</c:v>
                </c:pt>
                <c:pt idx="46">
                  <c:v>37.57917750433657</c:v>
                </c:pt>
                <c:pt idx="47">
                  <c:v>37.930144173362848</c:v>
                </c:pt>
                <c:pt idx="48">
                  <c:v>38.283260643876709</c:v>
                </c:pt>
                <c:pt idx="49">
                  <c:v>38.638426698619526</c:v>
                </c:pt>
                <c:pt idx="50">
                  <c:v>38.995795885472006</c:v>
                </c:pt>
                <c:pt idx="51">
                  <c:v>39.35505998790854</c:v>
                </c:pt>
                <c:pt idx="52">
                  <c:v>39.714423221477048</c:v>
                </c:pt>
                <c:pt idx="53">
                  <c:v>40.073891135381999</c:v>
                </c:pt>
                <c:pt idx="54">
                  <c:v>40.433465596437841</c:v>
                </c:pt>
                <c:pt idx="55">
                  <c:v>40.793148435057155</c:v>
                </c:pt>
                <c:pt idx="56">
                  <c:v>41.152941460617612</c:v>
                </c:pt>
                <c:pt idx="57">
                  <c:v>41.511165953758528</c:v>
                </c:pt>
                <c:pt idx="58">
                  <c:v>41.866656586581051</c:v>
                </c:pt>
                <c:pt idx="59">
                  <c:v>42.219413637465664</c:v>
                </c:pt>
                <c:pt idx="60">
                  <c:v>42.569437292885098</c:v>
                </c:pt>
                <c:pt idx="61">
                  <c:v>42.91672765757815</c:v>
                </c:pt>
                <c:pt idx="62">
                  <c:v>43.261284761548971</c:v>
                </c:pt>
                <c:pt idx="63">
                  <c:v>43.603108564685876</c:v>
                </c:pt>
                <c:pt idx="64">
                  <c:v>43.94329553546681</c:v>
                </c:pt>
                <c:pt idx="65">
                  <c:v>44.281404306980505</c:v>
                </c:pt>
                <c:pt idx="66">
                  <c:v>44.617456033832106</c:v>
                </c:pt>
                <c:pt idx="67">
                  <c:v>44.950942771443408</c:v>
                </c:pt>
                <c:pt idx="68">
                  <c:v>45.281356549256877</c:v>
                </c:pt>
                <c:pt idx="69">
                  <c:v>45.608189342536427</c:v>
                </c:pt>
                <c:pt idx="70">
                  <c:v>45.930933042261742</c:v>
                </c:pt>
                <c:pt idx="71">
                  <c:v>46.249138566954088</c:v>
                </c:pt>
                <c:pt idx="72">
                  <c:v>46.563982471571478</c:v>
                </c:pt>
                <c:pt idx="73">
                  <c:v>46.874957416358797</c:v>
                </c:pt>
                <c:pt idx="74">
                  <c:v>47.181556019834048</c:v>
                </c:pt>
                <c:pt idx="75">
                  <c:v>47.483270838240536</c:v>
                </c:pt>
                <c:pt idx="76">
                  <c:v>47.779594345798941</c:v>
                </c:pt>
                <c:pt idx="77">
                  <c:v>48.070018914438172</c:v>
                </c:pt>
                <c:pt idx="78">
                  <c:v>48.357052554708602</c:v>
                </c:pt>
                <c:pt idx="79">
                  <c:v>48.643514193678648</c:v>
                </c:pt>
                <c:pt idx="80">
                  <c:v>48.929798673099008</c:v>
                </c:pt>
                <c:pt idx="81">
                  <c:v>49.215096144316306</c:v>
                </c:pt>
                <c:pt idx="82">
                  <c:v>49.498597101614358</c:v>
                </c:pt>
                <c:pt idx="83">
                  <c:v>49.779492395840393</c:v>
                </c:pt>
                <c:pt idx="84">
                  <c:v>50.056973252579425</c:v>
                </c:pt>
                <c:pt idx="85">
                  <c:v>50.330429933584234</c:v>
                </c:pt>
                <c:pt idx="86">
                  <c:v>50.598997243601794</c:v>
                </c:pt>
                <c:pt idx="87">
                  <c:v>50.86186852719996</c:v>
                </c:pt>
                <c:pt idx="88">
                  <c:v>51.11823765369116</c:v>
                </c:pt>
                <c:pt idx="89">
                  <c:v>51.367299034956282</c:v>
                </c:pt>
                <c:pt idx="90">
                  <c:v>51.608247648151753</c:v>
                </c:pt>
                <c:pt idx="91">
                  <c:v>51.840279055611454</c:v>
                </c:pt>
                <c:pt idx="92">
                  <c:v>52.063733527825157</c:v>
                </c:pt>
                <c:pt idx="93">
                  <c:v>52.279905497570418</c:v>
                </c:pt>
                <c:pt idx="94">
                  <c:v>52.488681694344336</c:v>
                </c:pt>
                <c:pt idx="95">
                  <c:v>52.690468735028517</c:v>
                </c:pt>
                <c:pt idx="96">
                  <c:v>52.885673286540943</c:v>
                </c:pt>
                <c:pt idx="97">
                  <c:v>53.074702075956708</c:v>
                </c:pt>
                <c:pt idx="98">
                  <c:v>53.257961897499413</c:v>
                </c:pt>
                <c:pt idx="99">
                  <c:v>53.435698907030392</c:v>
                </c:pt>
                <c:pt idx="100">
                  <c:v>53.608117302468656</c:v>
                </c:pt>
                <c:pt idx="101">
                  <c:v>53.775622695158084</c:v>
                </c:pt>
                <c:pt idx="102">
                  <c:v>53.938620660169562</c:v>
                </c:pt>
                <c:pt idx="103">
                  <c:v>54.097516731712503</c:v>
                </c:pt>
                <c:pt idx="104">
                  <c:v>54.25271641111685</c:v>
                </c:pt>
                <c:pt idx="105">
                  <c:v>54.404625168383035</c:v>
                </c:pt>
                <c:pt idx="106">
                  <c:v>54.552203545433628</c:v>
                </c:pt>
                <c:pt idx="107">
                  <c:v>54.69395494211804</c:v>
                </c:pt>
                <c:pt idx="108">
                  <c:v>54.829929732474845</c:v>
                </c:pt>
                <c:pt idx="109">
                  <c:v>54.960328304384909</c:v>
                </c:pt>
                <c:pt idx="110">
                  <c:v>55.085350316497177</c:v>
                </c:pt>
                <c:pt idx="111">
                  <c:v>55.205195196061425</c:v>
                </c:pt>
                <c:pt idx="112">
                  <c:v>55.320062592613404</c:v>
                </c:pt>
                <c:pt idx="113">
                  <c:v>55.430362488965017</c:v>
                </c:pt>
                <c:pt idx="114">
                  <c:v>55.536457617760078</c:v>
                </c:pt>
                <c:pt idx="115">
                  <c:v>55.638548343200625</c:v>
                </c:pt>
                <c:pt idx="116">
                  <c:v>55.736834857307258</c:v>
                </c:pt>
                <c:pt idx="117">
                  <c:v>55.83151717114027</c:v>
                </c:pt>
                <c:pt idx="118">
                  <c:v>55.922795118391974</c:v>
                </c:pt>
                <c:pt idx="119">
                  <c:v>56.010868343077</c:v>
                </c:pt>
                <c:pt idx="120">
                  <c:v>56.094996873618307</c:v>
                </c:pt>
                <c:pt idx="121">
                  <c:v>56.174736676803995</c:v>
                </c:pt>
                <c:pt idx="122">
                  <c:v>56.250633272470935</c:v>
                </c:pt>
                <c:pt idx="123">
                  <c:v>56.322895065440719</c:v>
                </c:pt>
                <c:pt idx="124">
                  <c:v>56.3917307485561</c:v>
                </c:pt>
                <c:pt idx="125">
                  <c:v>56.457349294659757</c:v>
                </c:pt>
                <c:pt idx="126">
                  <c:v>56.519959949642526</c:v>
                </c:pt>
                <c:pt idx="127">
                  <c:v>56.579748217439501</c:v>
                </c:pt>
                <c:pt idx="128">
                  <c:v>56.636708388751693</c:v>
                </c:pt>
                <c:pt idx="129">
                  <c:v>56.691049930936714</c:v>
                </c:pt>
                <c:pt idx="130">
                  <c:v>56.742982559813647</c:v>
                </c:pt>
                <c:pt idx="131">
                  <c:v>56.79271622573588</c:v>
                </c:pt>
                <c:pt idx="132">
                  <c:v>56.840461106184414</c:v>
                </c:pt>
                <c:pt idx="133">
                  <c:v>56.88642759085031</c:v>
                </c:pt>
                <c:pt idx="134">
                  <c:v>56.930323814185158</c:v>
                </c:pt>
                <c:pt idx="135">
                  <c:v>56.971557671018914</c:v>
                </c:pt>
                <c:pt idx="136">
                  <c:v>57.00981861576286</c:v>
                </c:pt>
                <c:pt idx="137">
                  <c:v>57.045109978251638</c:v>
                </c:pt>
                <c:pt idx="138">
                  <c:v>57.077435109702598</c:v>
                </c:pt>
                <c:pt idx="139">
                  <c:v>57.106797375830872</c:v>
                </c:pt>
                <c:pt idx="140">
                  <c:v>57.133200153753727</c:v>
                </c:pt>
                <c:pt idx="141">
                  <c:v>57.156443155957447</c:v>
                </c:pt>
                <c:pt idx="142">
                  <c:v>57.17654618398219</c:v>
                </c:pt>
                <c:pt idx="143">
                  <c:v>57.19350812302666</c:v>
                </c:pt>
                <c:pt idx="144">
                  <c:v>57.2073273860669</c:v>
                </c:pt>
                <c:pt idx="145">
                  <c:v>57.218002316252232</c:v>
                </c:pt>
                <c:pt idx="146">
                  <c:v>57.225531190885654</c:v>
                </c:pt>
                <c:pt idx="147">
                  <c:v>57.229912218271188</c:v>
                </c:pt>
                <c:pt idx="148">
                  <c:v>57.231143546767562</c:v>
                </c:pt>
                <c:pt idx="149">
                  <c:v>57.229116843601851</c:v>
                </c:pt>
                <c:pt idx="150">
                  <c:v>57.224004042114842</c:v>
                </c:pt>
                <c:pt idx="151">
                  <c:v>57.215802789691779</c:v>
                </c:pt>
                <c:pt idx="152">
                  <c:v>57.204510658840668</c:v>
                </c:pt>
                <c:pt idx="153">
                  <c:v>57.19012514849986</c:v>
                </c:pt>
                <c:pt idx="154">
                  <c:v>57.172643694723519</c:v>
                </c:pt>
                <c:pt idx="155">
                  <c:v>57.152068405122222</c:v>
                </c:pt>
                <c:pt idx="156">
                  <c:v>57.12861824788753</c:v>
                </c:pt>
                <c:pt idx="157">
                  <c:v>57.102294137496237</c:v>
                </c:pt>
                <c:pt idx="158">
                  <c:v>57.073096913350263</c:v>
                </c:pt>
                <c:pt idx="159">
                  <c:v>57.041027339572636</c:v>
                </c:pt>
                <c:pt idx="160">
                  <c:v>57.00608610040068</c:v>
                </c:pt>
                <c:pt idx="161">
                  <c:v>56.968273801309834</c:v>
                </c:pt>
                <c:pt idx="162">
                  <c:v>56.92759096565765</c:v>
                </c:pt>
                <c:pt idx="163">
                  <c:v>56.884037850211541</c:v>
                </c:pt>
                <c:pt idx="164">
                  <c:v>56.837732058424592</c:v>
                </c:pt>
                <c:pt idx="165">
                  <c:v>56.788675945045867</c:v>
                </c:pt>
                <c:pt idx="166">
                  <c:v>56.736871738805469</c:v>
                </c:pt>
                <c:pt idx="167">
                  <c:v>56.682321532837321</c:v>
                </c:pt>
                <c:pt idx="168">
                  <c:v>56.62502728257072</c:v>
                </c:pt>
                <c:pt idx="169">
                  <c:v>56.564990657772114</c:v>
                </c:pt>
                <c:pt idx="170">
                  <c:v>56.502208360666692</c:v>
                </c:pt>
                <c:pt idx="171">
                  <c:v>56.436681890137613</c:v>
                </c:pt>
                <c:pt idx="172">
                  <c:v>56.368412595701265</c:v>
                </c:pt>
                <c:pt idx="173">
                  <c:v>56.297401896731294</c:v>
                </c:pt>
                <c:pt idx="174">
                  <c:v>56.223651078028631</c:v>
                </c:pt>
                <c:pt idx="175">
                  <c:v>56.147161077920131</c:v>
                </c:pt>
                <c:pt idx="176">
                  <c:v>56.067282675213058</c:v>
                </c:pt>
                <c:pt idx="177">
                  <c:v>55.9835579049656</c:v>
                </c:pt>
                <c:pt idx="178">
                  <c:v>55.89628484465576</c:v>
                </c:pt>
                <c:pt idx="179">
                  <c:v>55.805780813788679</c:v>
                </c:pt>
                <c:pt idx="180">
                  <c:v>55.712346070216903</c:v>
                </c:pt>
                <c:pt idx="181">
                  <c:v>55.616280628638847</c:v>
                </c:pt>
                <c:pt idx="182">
                  <c:v>55.517884272024077</c:v>
                </c:pt>
                <c:pt idx="183">
                  <c:v>55.4173253192997</c:v>
                </c:pt>
                <c:pt idx="184">
                  <c:v>55.31490070422533</c:v>
                </c:pt>
                <c:pt idx="185">
                  <c:v>55.210907143295209</c:v>
                </c:pt>
                <c:pt idx="186">
                  <c:v>55.105641290632484</c:v>
                </c:pt>
                <c:pt idx="187">
                  <c:v>54.999399746619403</c:v>
                </c:pt>
                <c:pt idx="188">
                  <c:v>54.892479067989896</c:v>
                </c:pt>
                <c:pt idx="189">
                  <c:v>54.785175777138974</c:v>
                </c:pt>
                <c:pt idx="190">
                  <c:v>54.676821017097723</c:v>
                </c:pt>
                <c:pt idx="191">
                  <c:v>54.566355571935524</c:v>
                </c:pt>
                <c:pt idx="192">
                  <c:v>54.453869487883715</c:v>
                </c:pt>
                <c:pt idx="193">
                  <c:v>54.339458083385452</c:v>
                </c:pt>
                <c:pt idx="194">
                  <c:v>54.223216891780069</c:v>
                </c:pt>
                <c:pt idx="195">
                  <c:v>54.105241658243806</c:v>
                </c:pt>
                <c:pt idx="196">
                  <c:v>53.985628334388394</c:v>
                </c:pt>
                <c:pt idx="197">
                  <c:v>53.864296859313136</c:v>
                </c:pt>
                <c:pt idx="198">
                  <c:v>53.741487186936055</c:v>
                </c:pt>
                <c:pt idx="199">
                  <c:v>53.61729914437354</c:v>
                </c:pt>
                <c:pt idx="200">
                  <c:v>53.491832558236496</c:v>
                </c:pt>
                <c:pt idx="201">
                  <c:v>53.365187247868775</c:v>
                </c:pt>
                <c:pt idx="202">
                  <c:v>53.237463019928057</c:v>
                </c:pt>
                <c:pt idx="203">
                  <c:v>53.108759663041639</c:v>
                </c:pt>
                <c:pt idx="204">
                  <c:v>52.978711646380347</c:v>
                </c:pt>
                <c:pt idx="205">
                  <c:v>52.846969904077547</c:v>
                </c:pt>
                <c:pt idx="206">
                  <c:v>52.713902467062489</c:v>
                </c:pt>
                <c:pt idx="207">
                  <c:v>52.579612153907902</c:v>
                </c:pt>
                <c:pt idx="208">
                  <c:v>52.444201604066237</c:v>
                </c:pt>
                <c:pt idx="209">
                  <c:v>52.3077732846534</c:v>
                </c:pt>
                <c:pt idx="210">
                  <c:v>52.170429499996956</c:v>
                </c:pt>
                <c:pt idx="211">
                  <c:v>52.032659721719384</c:v>
                </c:pt>
                <c:pt idx="212">
                  <c:v>51.894734147273859</c:v>
                </c:pt>
                <c:pt idx="213">
                  <c:v>51.756752769674712</c:v>
                </c:pt>
                <c:pt idx="214">
                  <c:v>51.618815548720804</c:v>
                </c:pt>
                <c:pt idx="215">
                  <c:v>51.481022415716041</c:v>
                </c:pt>
                <c:pt idx="216">
                  <c:v>51.343473277929917</c:v>
                </c:pt>
                <c:pt idx="217">
                  <c:v>51.206268021220467</c:v>
                </c:pt>
                <c:pt idx="218">
                  <c:v>51.06990497538974</c:v>
                </c:pt>
                <c:pt idx="219">
                  <c:v>50.934824033905706</c:v>
                </c:pt>
                <c:pt idx="220">
                  <c:v>50.800703414561987</c:v>
                </c:pt>
                <c:pt idx="221">
                  <c:v>50.66724271221139</c:v>
                </c:pt>
                <c:pt idx="222">
                  <c:v>50.534141753294456</c:v>
                </c:pt>
                <c:pt idx="223">
                  <c:v>50.401100586536138</c:v>
                </c:pt>
                <c:pt idx="224">
                  <c:v>50.267819472140047</c:v>
                </c:pt>
                <c:pt idx="225">
                  <c:v>50.1335361784204</c:v>
                </c:pt>
                <c:pt idx="226">
                  <c:v>49.997567431120963</c:v>
                </c:pt>
                <c:pt idx="227">
                  <c:v>49.859614815994938</c:v>
                </c:pt>
                <c:pt idx="228">
                  <c:v>49.719380107460587</c:v>
                </c:pt>
                <c:pt idx="229">
                  <c:v>49.576565263532061</c:v>
                </c:pt>
                <c:pt idx="230">
                  <c:v>49.430872422557478</c:v>
                </c:pt>
                <c:pt idx="231">
                  <c:v>49.282003896405662</c:v>
                </c:pt>
                <c:pt idx="232">
                  <c:v>49.131055161472034</c:v>
                </c:pt>
                <c:pt idx="233">
                  <c:v>48.978963614331697</c:v>
                </c:pt>
                <c:pt idx="234">
                  <c:v>48.825228571045493</c:v>
                </c:pt>
                <c:pt idx="235">
                  <c:v>48.669553190669596</c:v>
                </c:pt>
                <c:pt idx="236">
                  <c:v>48.511640670962684</c:v>
                </c:pt>
                <c:pt idx="237">
                  <c:v>48.351194490941658</c:v>
                </c:pt>
                <c:pt idx="238">
                  <c:v>48.187918261304503</c:v>
                </c:pt>
                <c:pt idx="239">
                  <c:v>48.02176410759877</c:v>
                </c:pt>
                <c:pt idx="240">
                  <c:v>47.852897563645911</c:v>
                </c:pt>
                <c:pt idx="241">
                  <c:v>47.681022461341236</c:v>
                </c:pt>
                <c:pt idx="242">
                  <c:v>47.505842683771441</c:v>
                </c:pt>
                <c:pt idx="243">
                  <c:v>47.32706216944765</c:v>
                </c:pt>
                <c:pt idx="244">
                  <c:v>47.14438491617485</c:v>
                </c:pt>
                <c:pt idx="245">
                  <c:v>46.95751498740357</c:v>
                </c:pt>
                <c:pt idx="246">
                  <c:v>46.766686578398492</c:v>
                </c:pt>
                <c:pt idx="247">
                  <c:v>46.572746946354776</c:v>
                </c:pt>
                <c:pt idx="248">
                  <c:v>46.375953885568521</c:v>
                </c:pt>
                <c:pt idx="249">
                  <c:v>46.176408679254969</c:v>
                </c:pt>
                <c:pt idx="250">
                  <c:v>45.974212472119994</c:v>
                </c:pt>
                <c:pt idx="251">
                  <c:v>45.769466271637228</c:v>
                </c:pt>
                <c:pt idx="252">
                  <c:v>45.562270948587091</c:v>
                </c:pt>
                <c:pt idx="253">
                  <c:v>45.353390316817531</c:v>
                </c:pt>
                <c:pt idx="254">
                  <c:v>45.142674913000199</c:v>
                </c:pt>
                <c:pt idx="255">
                  <c:v>44.930223949699389</c:v>
                </c:pt>
                <c:pt idx="256">
                  <c:v>44.716136476048099</c:v>
                </c:pt>
                <c:pt idx="257">
                  <c:v>44.500511371262952</c:v>
                </c:pt>
                <c:pt idx="258">
                  <c:v>44.283447329130048</c:v>
                </c:pt>
                <c:pt idx="259">
                  <c:v>44.06504284643735</c:v>
                </c:pt>
                <c:pt idx="260">
                  <c:v>43.844717769467245</c:v>
                </c:pt>
                <c:pt idx="261">
                  <c:v>43.621811650875287</c:v>
                </c:pt>
                <c:pt idx="262">
                  <c:v>43.396173221840449</c:v>
                </c:pt>
                <c:pt idx="263">
                  <c:v>43.167999490762988</c:v>
                </c:pt>
                <c:pt idx="264">
                  <c:v>42.937487338697586</c:v>
                </c:pt>
                <c:pt idx="265">
                  <c:v>42.704831893084972</c:v>
                </c:pt>
                <c:pt idx="266">
                  <c:v>42.470229095583157</c:v>
                </c:pt>
                <c:pt idx="267">
                  <c:v>42.232022033675698</c:v>
                </c:pt>
                <c:pt idx="268">
                  <c:v>41.98975740668201</c:v>
                </c:pt>
                <c:pt idx="269">
                  <c:v>41.743639035740934</c:v>
                </c:pt>
                <c:pt idx="270">
                  <c:v>41.493871114757091</c:v>
                </c:pt>
                <c:pt idx="271">
                  <c:v>41.240658249023738</c:v>
                </c:pt>
                <c:pt idx="272">
                  <c:v>40.984205490991386</c:v>
                </c:pt>
                <c:pt idx="273">
                  <c:v>40.72471837275657</c:v>
                </c:pt>
                <c:pt idx="274">
                  <c:v>40.461047334901075</c:v>
                </c:pt>
                <c:pt idx="275">
                  <c:v>40.189914435006827</c:v>
                </c:pt>
                <c:pt idx="276">
                  <c:v>39.911882127220856</c:v>
                </c:pt>
                <c:pt idx="277">
                  <c:v>39.627366377562254</c:v>
                </c:pt>
                <c:pt idx="278">
                  <c:v>39.336784383599195</c:v>
                </c:pt>
                <c:pt idx="279">
                  <c:v>39.040554619887814</c:v>
                </c:pt>
                <c:pt idx="280">
                  <c:v>38.739096878765949</c:v>
                </c:pt>
                <c:pt idx="281">
                  <c:v>38.432446429765157</c:v>
                </c:pt>
                <c:pt idx="282">
                  <c:v>38.122849190050665</c:v>
                </c:pt>
                <c:pt idx="283">
                  <c:v>37.810722360506965</c:v>
                </c:pt>
                <c:pt idx="284">
                  <c:v>37.496483895992689</c:v>
                </c:pt>
                <c:pt idx="285">
                  <c:v>37.180552481920706</c:v>
                </c:pt>
                <c:pt idx="286">
                  <c:v>36.863347498456093</c:v>
                </c:pt>
                <c:pt idx="287">
                  <c:v>36.545288976765384</c:v>
                </c:pt>
                <c:pt idx="288">
                  <c:v>36.225162172890514</c:v>
                </c:pt>
                <c:pt idx="289">
                  <c:v>35.903567824478621</c:v>
                </c:pt>
                <c:pt idx="290">
                  <c:v>35.583020079506042</c:v>
                </c:pt>
                <c:pt idx="291">
                  <c:v>35.263814530703129</c:v>
                </c:pt>
                <c:pt idx="292">
                  <c:v>34.946245580506996</c:v>
                </c:pt>
                <c:pt idx="293">
                  <c:v>34.630606410881448</c:v>
                </c:pt>
                <c:pt idx="294">
                  <c:v>34.317188962676603</c:v>
                </c:pt>
                <c:pt idx="295">
                  <c:v>34.008632269293734</c:v>
                </c:pt>
                <c:pt idx="296">
                  <c:v>33.705565940682995</c:v>
                </c:pt>
                <c:pt idx="297">
                  <c:v>33.408245171786227</c:v>
                </c:pt>
                <c:pt idx="298">
                  <c:v>33.116932443528562</c:v>
                </c:pt>
                <c:pt idx="299">
                  <c:v>32.831888878783793</c:v>
                </c:pt>
                <c:pt idx="300">
                  <c:v>32.553374354304552</c:v>
                </c:pt>
                <c:pt idx="301">
                  <c:v>32.281647633255233</c:v>
                </c:pt>
                <c:pt idx="302">
                  <c:v>32.016438231303901</c:v>
                </c:pt>
                <c:pt idx="303">
                  <c:v>31.758046046289401</c:v>
                </c:pt>
                <c:pt idx="304">
                  <c:v>31.504513408321682</c:v>
                </c:pt>
                <c:pt idx="305">
                  <c:v>31.255708136676258</c:v>
                </c:pt>
                <c:pt idx="306">
                  <c:v>31.011497872551786</c:v>
                </c:pt>
                <c:pt idx="307">
                  <c:v>30.771750226528884</c:v>
                </c:pt>
                <c:pt idx="308">
                  <c:v>30.536332932224113</c:v>
                </c:pt>
                <c:pt idx="309">
                  <c:v>30.304632027825523</c:v>
                </c:pt>
                <c:pt idx="310">
                  <c:v>30.07426621203166</c:v>
                </c:pt>
                <c:pt idx="311">
                  <c:v>29.845127381936457</c:v>
                </c:pt>
                <c:pt idx="312">
                  <c:v>29.617107817130094</c:v>
                </c:pt>
                <c:pt idx="313">
                  <c:v>29.390100221068622</c:v>
                </c:pt>
                <c:pt idx="314">
                  <c:v>29.163997760157276</c:v>
                </c:pt>
                <c:pt idx="315">
                  <c:v>28.938694098038855</c:v>
                </c:pt>
                <c:pt idx="316">
                  <c:v>28.713472963637688</c:v>
                </c:pt>
                <c:pt idx="317">
                  <c:v>28.487088084882345</c:v>
                </c:pt>
                <c:pt idx="318">
                  <c:v>28.259135945682669</c:v>
                </c:pt>
                <c:pt idx="319">
                  <c:v>28.030020290094072</c:v>
                </c:pt>
                <c:pt idx="320">
                  <c:v>27.800144895478521</c:v>
                </c:pt>
                <c:pt idx="321">
                  <c:v>27.569913542435611</c:v>
                </c:pt>
                <c:pt idx="322">
                  <c:v>27.339729987754076</c:v>
                </c:pt>
                <c:pt idx="323">
                  <c:v>27.109261875193688</c:v>
                </c:pt>
                <c:pt idx="324">
                  <c:v>26.879381763862213</c:v>
                </c:pt>
                <c:pt idx="325">
                  <c:v>26.65049505891713</c:v>
                </c:pt>
                <c:pt idx="326">
                  <c:v>26.423013315355689</c:v>
                </c:pt>
                <c:pt idx="327">
                  <c:v>26.19734359920497</c:v>
                </c:pt>
                <c:pt idx="328">
                  <c:v>25.973887527082752</c:v>
                </c:pt>
                <c:pt idx="329">
                  <c:v>25.753046483903351</c:v>
                </c:pt>
                <c:pt idx="330">
                  <c:v>25.531017090373687</c:v>
                </c:pt>
                <c:pt idx="331">
                  <c:v>25.305012903125668</c:v>
                </c:pt>
                <c:pt idx="332">
                  <c:v>25.077353589466952</c:v>
                </c:pt>
                <c:pt idx="333">
                  <c:v>24.849522199226019</c:v>
                </c:pt>
                <c:pt idx="334">
                  <c:v>24.62300161204351</c:v>
                </c:pt>
                <c:pt idx="335">
                  <c:v>24.399274519527619</c:v>
                </c:pt>
                <c:pt idx="336">
                  <c:v>24.179823397616879</c:v>
                </c:pt>
                <c:pt idx="337">
                  <c:v>23.966647972974709</c:v>
                </c:pt>
                <c:pt idx="338">
                  <c:v>23.761942655511323</c:v>
                </c:pt>
                <c:pt idx="339">
                  <c:v>23.567184041574539</c:v>
                </c:pt>
                <c:pt idx="340">
                  <c:v>23.383848986083688</c:v>
                </c:pt>
                <c:pt idx="341">
                  <c:v>23.213414568795777</c:v>
                </c:pt>
                <c:pt idx="342">
                  <c:v>23.057358061278268</c:v>
                </c:pt>
                <c:pt idx="343">
                  <c:v>22.917156901643065</c:v>
                </c:pt>
                <c:pt idx="344">
                  <c:v>22.788393382745205</c:v>
                </c:pt>
                <c:pt idx="345">
                  <c:v>22.666336327509288</c:v>
                </c:pt>
                <c:pt idx="346">
                  <c:v>22.551791017533002</c:v>
                </c:pt>
                <c:pt idx="347">
                  <c:v>22.445765573922028</c:v>
                </c:pt>
                <c:pt idx="348">
                  <c:v>22.349268177346204</c:v>
                </c:pt>
                <c:pt idx="349">
                  <c:v>22.263307009201899</c:v>
                </c:pt>
                <c:pt idx="350">
                  <c:v>22.188890240512581</c:v>
                </c:pt>
                <c:pt idx="351">
                  <c:v>22.127108475708962</c:v>
                </c:pt>
                <c:pt idx="352">
                  <c:v>22.07845951975488</c:v>
                </c:pt>
                <c:pt idx="353">
                  <c:v>22.043951780124857</c:v>
                </c:pt>
                <c:pt idx="354">
                  <c:v>22.024593342071558</c:v>
                </c:pt>
                <c:pt idx="355">
                  <c:v>22.021391939716501</c:v>
                </c:pt>
                <c:pt idx="356">
                  <c:v>22.03535984745934</c:v>
                </c:pt>
                <c:pt idx="357">
                  <c:v>22.067500676384494</c:v>
                </c:pt>
                <c:pt idx="358">
                  <c:v>22.118933796151303</c:v>
                </c:pt>
                <c:pt idx="359">
                  <c:v>22.189353958410607</c:v>
                </c:pt>
                <c:pt idx="360">
                  <c:v>22.27814574165409</c:v>
                </c:pt>
                <c:pt idx="361">
                  <c:v>22.384102260287076</c:v>
                </c:pt>
                <c:pt idx="362">
                  <c:v>22.506099187326502</c:v>
                </c:pt>
                <c:pt idx="363">
                  <c:v>22.643012393749135</c:v>
                </c:pt>
                <c:pt idx="364">
                  <c:v>22.793717920037246</c:v>
                </c:pt>
                <c:pt idx="365">
                  <c:v>22.957091959042689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23.747863112292517</c:v>
                </c:pt>
                <c:pt idx="1">
                  <c:v>16.079904729185298</c:v>
                </c:pt>
                <c:pt idx="2">
                  <c:v>18.235720527522279</c:v>
                </c:pt>
                <c:pt idx="3">
                  <c:v>18.537811065392813</c:v>
                </c:pt>
                <c:pt idx="4">
                  <c:v>13.405772547081101</c:v>
                </c:pt>
                <c:pt idx="5">
                  <c:v>25.218078371620607</c:v>
                </c:pt>
                <c:pt idx="6">
                  <c:v>8.6665458188567985</c:v>
                </c:pt>
                <c:pt idx="7">
                  <c:v>6.0339180849605816</c:v>
                </c:pt>
                <c:pt idx="8">
                  <c:v>1.7211845204363116</c:v>
                </c:pt>
                <c:pt idx="9">
                  <c:v>1.3854596868169593</c:v>
                </c:pt>
                <c:pt idx="10">
                  <c:v>24.092588023412855</c:v>
                </c:pt>
                <c:pt idx="11">
                  <c:v>20.596045609755389</c:v>
                </c:pt>
                <c:pt idx="12">
                  <c:v>6.251987180002371</c:v>
                </c:pt>
                <c:pt idx="13">
                  <c:v>26.836556810448172</c:v>
                </c:pt>
                <c:pt idx="14">
                  <c:v>27.641307147838759</c:v>
                </c:pt>
                <c:pt idx="15">
                  <c:v>27.355362026627663</c:v>
                </c:pt>
                <c:pt idx="16">
                  <c:v>17.724672581245251</c:v>
                </c:pt>
                <c:pt idx="17">
                  <c:v>4.6646874177945667</c:v>
                </c:pt>
                <c:pt idx="18">
                  <c:v>11.787257765676907</c:v>
                </c:pt>
                <c:pt idx="19">
                  <c:v>4.8886818650563022</c:v>
                </c:pt>
                <c:pt idx="20">
                  <c:v>18.665511600365747</c:v>
                </c:pt>
                <c:pt idx="21">
                  <c:v>28.860148731888831</c:v>
                </c:pt>
                <c:pt idx="22">
                  <c:v>29.212666236154856</c:v>
                </c:pt>
                <c:pt idx="23">
                  <c:v>29.72093078850353</c:v>
                </c:pt>
                <c:pt idx="24">
                  <c:v>27.759338824990085</c:v>
                </c:pt>
                <c:pt idx="25">
                  <c:v>29.900707001425427</c:v>
                </c:pt>
                <c:pt idx="26">
                  <c:v>29.692396331044648</c:v>
                </c:pt>
                <c:pt idx="27">
                  <c:v>4.0497651986093066</c:v>
                </c:pt>
                <c:pt idx="28">
                  <c:v>6.2331774949415539</c:v>
                </c:pt>
                <c:pt idx="29">
                  <c:v>5.6199875159547057</c:v>
                </c:pt>
                <c:pt idx="30">
                  <c:v>7.0300040017252439</c:v>
                </c:pt>
                <c:pt idx="31">
                  <c:v>17.6347874644695</c:v>
                </c:pt>
                <c:pt idx="32">
                  <c:v>6.472739765951169</c:v>
                </c:pt>
                <c:pt idx="33">
                  <c:v>15.289768396722376</c:v>
                </c:pt>
                <c:pt idx="34">
                  <c:v>13.808518726615425</c:v>
                </c:pt>
                <c:pt idx="35">
                  <c:v>10.142229082902398</c:v>
                </c:pt>
                <c:pt idx="36">
                  <c:v>26.693774081582809</c:v>
                </c:pt>
                <c:pt idx="37">
                  <c:v>12.053426211365535</c:v>
                </c:pt>
                <c:pt idx="38">
                  <c:v>34.694102190340381</c:v>
                </c:pt>
                <c:pt idx="39">
                  <c:v>35.328946351108456</c:v>
                </c:pt>
                <c:pt idx="40">
                  <c:v>33.328333503420723</c:v>
                </c:pt>
                <c:pt idx="41">
                  <c:v>13.981677479593996</c:v>
                </c:pt>
                <c:pt idx="42">
                  <c:v>26.520068112835318</c:v>
                </c:pt>
                <c:pt idx="43">
                  <c:v>33.569927047050008</c:v>
                </c:pt>
                <c:pt idx="44">
                  <c:v>15.987612286790547</c:v>
                </c:pt>
                <c:pt idx="45">
                  <c:v>21.133648073583444</c:v>
                </c:pt>
                <c:pt idx="46">
                  <c:v>9.0256898358360207</c:v>
                </c:pt>
                <c:pt idx="47">
                  <c:v>9.9627081288730768</c:v>
                </c:pt>
                <c:pt idx="48">
                  <c:v>33.205910354360043</c:v>
                </c:pt>
                <c:pt idx="49">
                  <c:v>15.229331656927714</c:v>
                </c:pt>
                <c:pt idx="50">
                  <c:v>26.440570810603173</c:v>
                </c:pt>
                <c:pt idx="51">
                  <c:v>19.828192793210576</c:v>
                </c:pt>
                <c:pt idx="52">
                  <c:v>32.84902241688517</c:v>
                </c:pt>
                <c:pt idx="53">
                  <c:v>38.059075687848029</c:v>
                </c:pt>
                <c:pt idx="54">
                  <c:v>24.47049101470704</c:v>
                </c:pt>
                <c:pt idx="55">
                  <c:v>26.630460754169953</c:v>
                </c:pt>
                <c:pt idx="56">
                  <c:v>41.258119887351135</c:v>
                </c:pt>
                <c:pt idx="57">
                  <c:v>21.863554172116672</c:v>
                </c:pt>
                <c:pt idx="58">
                  <c:v>37.861424081873693</c:v>
                </c:pt>
                <c:pt idx="59">
                  <c:v>41.938208634681956</c:v>
                </c:pt>
                <c:pt idx="60">
                  <c:v>14.541607177588029</c:v>
                </c:pt>
                <c:pt idx="61">
                  <c:v>37.923083006905657</c:v>
                </c:pt>
                <c:pt idx="62">
                  <c:v>5.0528613636335393</c:v>
                </c:pt>
                <c:pt idx="63">
                  <c:v>15.561341978728976</c:v>
                </c:pt>
                <c:pt idx="64">
                  <c:v>22.449097049377965</c:v>
                </c:pt>
                <c:pt idx="65">
                  <c:v>34.999307474348775</c:v>
                </c:pt>
                <c:pt idx="66">
                  <c:v>35.400134309844375</c:v>
                </c:pt>
                <c:pt idx="67">
                  <c:v>32.263590900296073</c:v>
                </c:pt>
                <c:pt idx="68">
                  <c:v>25.952832962027657</c:v>
                </c:pt>
                <c:pt idx="69">
                  <c:v>18.160131571372119</c:v>
                </c:pt>
                <c:pt idx="70">
                  <c:v>13.247945332675247</c:v>
                </c:pt>
                <c:pt idx="71">
                  <c:v>9.8402295804334887</c:v>
                </c:pt>
                <c:pt idx="72">
                  <c:v>13.335821398910999</c:v>
                </c:pt>
                <c:pt idx="73">
                  <c:v>16.29653246336342</c:v>
                </c:pt>
                <c:pt idx="74">
                  <c:v>11.879419229666537</c:v>
                </c:pt>
                <c:pt idx="75">
                  <c:v>10.224462721851889</c:v>
                </c:pt>
                <c:pt idx="76">
                  <c:v>13.424953964227187</c:v>
                </c:pt>
                <c:pt idx="77">
                  <c:v>27.973209427064088</c:v>
                </c:pt>
                <c:pt idx="78">
                  <c:v>32.74783400626746</c:v>
                </c:pt>
                <c:pt idx="79">
                  <c:v>45.610774147205113</c:v>
                </c:pt>
                <c:pt idx="80">
                  <c:v>41.919339196629558</c:v>
                </c:pt>
                <c:pt idx="81">
                  <c:v>49.429681866228464</c:v>
                </c:pt>
                <c:pt idx="82">
                  <c:v>48.306815113731972</c:v>
                </c:pt>
                <c:pt idx="83">
                  <c:v>38.107264605165668</c:v>
                </c:pt>
                <c:pt idx="84">
                  <c:v>43.559940956715799</c:v>
                </c:pt>
                <c:pt idx="85">
                  <c:v>46.205580949435593</c:v>
                </c:pt>
                <c:pt idx="86">
                  <c:v>39.429236364411736</c:v>
                </c:pt>
                <c:pt idx="87">
                  <c:v>27.493195100453757</c:v>
                </c:pt>
                <c:pt idx="88">
                  <c:v>6.2263577392896732</c:v>
                </c:pt>
                <c:pt idx="89">
                  <c:v>17.236809079025871</c:v>
                </c:pt>
                <c:pt idx="90">
                  <c:v>32.543705841313461</c:v>
                </c:pt>
                <c:pt idx="91">
                  <c:v>17.196428588630472</c:v>
                </c:pt>
                <c:pt idx="92">
                  <c:v>31.993007889324446</c:v>
                </c:pt>
                <c:pt idx="93">
                  <c:v>44.302653002679719</c:v>
                </c:pt>
                <c:pt idx="94">
                  <c:v>52.394846744376331</c:v>
                </c:pt>
                <c:pt idx="95">
                  <c:v>12.058305140104906</c:v>
                </c:pt>
                <c:pt idx="96">
                  <c:v>43.85820787201191</c:v>
                </c:pt>
                <c:pt idx="97">
                  <c:v>38.308602637745487</c:v>
                </c:pt>
                <c:pt idx="98">
                  <c:v>30.883544841457116</c:v>
                </c:pt>
                <c:pt idx="99">
                  <c:v>56.013660525540892</c:v>
                </c:pt>
                <c:pt idx="100">
                  <c:v>44.687586039681584</c:v>
                </c:pt>
                <c:pt idx="101">
                  <c:v>39.199217758939881</c:v>
                </c:pt>
                <c:pt idx="102">
                  <c:v>6.0743398528609971</c:v>
                </c:pt>
                <c:pt idx="103">
                  <c:v>43.868207796443883</c:v>
                </c:pt>
                <c:pt idx="104">
                  <c:v>44.890388706013418</c:v>
                </c:pt>
                <c:pt idx="105">
                  <c:v>36.731881379904458</c:v>
                </c:pt>
                <c:pt idx="106">
                  <c:v>54.091759865541036</c:v>
                </c:pt>
                <c:pt idx="107">
                  <c:v>35.24281249077368</c:v>
                </c:pt>
                <c:pt idx="108">
                  <c:v>9.4431256975214115</c:v>
                </c:pt>
                <c:pt idx="109">
                  <c:v>9.7257198051060971</c:v>
                </c:pt>
                <c:pt idx="110">
                  <c:v>8.9501799829908624</c:v>
                </c:pt>
                <c:pt idx="111">
                  <c:v>27.638204880564345</c:v>
                </c:pt>
                <c:pt idx="112">
                  <c:v>9.4584545624633662</c:v>
                </c:pt>
                <c:pt idx="113">
                  <c:v>26.832958392379911</c:v>
                </c:pt>
                <c:pt idx="114">
                  <c:v>42.329522259033439</c:v>
                </c:pt>
                <c:pt idx="115">
                  <c:v>54.337948037916441</c:v>
                </c:pt>
                <c:pt idx="116">
                  <c:v>41.753729887988904</c:v>
                </c:pt>
                <c:pt idx="117">
                  <c:v>23.424828139346719</c:v>
                </c:pt>
                <c:pt idx="118">
                  <c:v>41.982741633208583</c:v>
                </c:pt>
                <c:pt idx="119">
                  <c:v>39.921536598517754</c:v>
                </c:pt>
                <c:pt idx="120">
                  <c:v>45.503798543674783</c:v>
                </c:pt>
                <c:pt idx="121">
                  <c:v>25.827550347088266</c:v>
                </c:pt>
                <c:pt idx="122">
                  <c:v>31.741666681472484</c:v>
                </c:pt>
                <c:pt idx="123">
                  <c:v>16.059496348485279</c:v>
                </c:pt>
                <c:pt idx="124">
                  <c:v>34.822803138099083</c:v>
                </c:pt>
                <c:pt idx="125">
                  <c:v>39.869115059046251</c:v>
                </c:pt>
                <c:pt idx="126">
                  <c:v>44.430209254685309</c:v>
                </c:pt>
                <c:pt idx="127">
                  <c:v>55.138096018678645</c:v>
                </c:pt>
                <c:pt idx="128">
                  <c:v>52.888287419801848</c:v>
                </c:pt>
                <c:pt idx="129">
                  <c:v>54.016125956986961</c:v>
                </c:pt>
                <c:pt idx="130">
                  <c:v>57.15213177461424</c:v>
                </c:pt>
                <c:pt idx="131">
                  <c:v>43.354232198867152</c:v>
                </c:pt>
                <c:pt idx="132">
                  <c:v>37.442295862232491</c:v>
                </c:pt>
                <c:pt idx="133">
                  <c:v>52.063455093393095</c:v>
                </c:pt>
                <c:pt idx="134">
                  <c:v>53.897018365145058</c:v>
                </c:pt>
                <c:pt idx="135">
                  <c:v>50.232925284319791</c:v>
                </c:pt>
                <c:pt idx="136">
                  <c:v>54.969803150544799</c:v>
                </c:pt>
                <c:pt idx="137">
                  <c:v>52.689502641117258</c:v>
                </c:pt>
                <c:pt idx="138">
                  <c:v>51.125860331501848</c:v>
                </c:pt>
                <c:pt idx="139">
                  <c:v>49.575527248661295</c:v>
                </c:pt>
                <c:pt idx="140">
                  <c:v>54.299711152595719</c:v>
                </c:pt>
                <c:pt idx="141">
                  <c:v>41.310364742412368</c:v>
                </c:pt>
                <c:pt idx="142">
                  <c:v>17.185083766777431</c:v>
                </c:pt>
                <c:pt idx="143">
                  <c:v>14.935848103964583</c:v>
                </c:pt>
                <c:pt idx="144">
                  <c:v>41.274688429151347</c:v>
                </c:pt>
                <c:pt idx="145">
                  <c:v>30.341605497970423</c:v>
                </c:pt>
                <c:pt idx="146">
                  <c:v>45.200237905365675</c:v>
                </c:pt>
                <c:pt idx="147">
                  <c:v>53.333787517943286</c:v>
                </c:pt>
                <c:pt idx="148">
                  <c:v>58.591294701001573</c:v>
                </c:pt>
                <c:pt idx="149">
                  <c:v>45.636482522383645</c:v>
                </c:pt>
                <c:pt idx="150">
                  <c:v>54.992562002854811</c:v>
                </c:pt>
                <c:pt idx="151">
                  <c:v>57.031165003437351</c:v>
                </c:pt>
                <c:pt idx="152">
                  <c:v>39.54426622133618</c:v>
                </c:pt>
                <c:pt idx="153">
                  <c:v>55.592201068619275</c:v>
                </c:pt>
                <c:pt idx="154">
                  <c:v>25.204752303555569</c:v>
                </c:pt>
                <c:pt idx="155">
                  <c:v>29.117012249770635</c:v>
                </c:pt>
                <c:pt idx="156">
                  <c:v>49.050791036251326</c:v>
                </c:pt>
                <c:pt idx="157">
                  <c:v>27.237887649224433</c:v>
                </c:pt>
                <c:pt idx="158">
                  <c:v>21.044775837310237</c:v>
                </c:pt>
                <c:pt idx="159">
                  <c:v>49.792191893855971</c:v>
                </c:pt>
                <c:pt idx="160">
                  <c:v>57.260831719241864</c:v>
                </c:pt>
                <c:pt idx="161">
                  <c:v>55.716136746003592</c:v>
                </c:pt>
                <c:pt idx="162">
                  <c:v>46.065237673325939</c:v>
                </c:pt>
                <c:pt idx="163">
                  <c:v>50.643704892005452</c:v>
                </c:pt>
                <c:pt idx="164">
                  <c:v>49.81587652167206</c:v>
                </c:pt>
                <c:pt idx="165">
                  <c:v>53.121851862364331</c:v>
                </c:pt>
                <c:pt idx="166">
                  <c:v>51.239220093116373</c:v>
                </c:pt>
                <c:pt idx="167">
                  <c:v>52.220052872640892</c:v>
                </c:pt>
                <c:pt idx="168">
                  <c:v>55.171296772107716</c:v>
                </c:pt>
                <c:pt idx="169">
                  <c:v>56.146306411658138</c:v>
                </c:pt>
                <c:pt idx="170">
                  <c:v>29.493883996091704</c:v>
                </c:pt>
                <c:pt idx="171">
                  <c:v>19.512144400066418</c:v>
                </c:pt>
                <c:pt idx="172">
                  <c:v>41.189703722953197</c:v>
                </c:pt>
                <c:pt idx="173">
                  <c:v>42.848198074214729</c:v>
                </c:pt>
                <c:pt idx="174">
                  <c:v>40.096744435498621</c:v>
                </c:pt>
                <c:pt idx="175">
                  <c:v>40.10716573589815</c:v>
                </c:pt>
                <c:pt idx="176">
                  <c:v>10.537863174000691</c:v>
                </c:pt>
                <c:pt idx="177">
                  <c:v>15.743542327717629</c:v>
                </c:pt>
                <c:pt idx="178">
                  <c:v>55.539748616809959</c:v>
                </c:pt>
                <c:pt idx="179">
                  <c:v>56.585318017812554</c:v>
                </c:pt>
                <c:pt idx="180">
                  <c:v>12.484800582233007</c:v>
                </c:pt>
                <c:pt idx="181">
                  <c:v>39.795801693918243</c:v>
                </c:pt>
                <c:pt idx="182">
                  <c:v>55.831048218050519</c:v>
                </c:pt>
                <c:pt idx="183">
                  <c:v>50.71028305966847</c:v>
                </c:pt>
                <c:pt idx="184">
                  <c:v>42.862839773842374</c:v>
                </c:pt>
                <c:pt idx="185">
                  <c:v>55.009875552206552</c:v>
                </c:pt>
                <c:pt idx="186">
                  <c:v>39.151990466101985</c:v>
                </c:pt>
                <c:pt idx="187">
                  <c:v>54.688769184898902</c:v>
                </c:pt>
                <c:pt idx="188">
                  <c:v>55.842334097600521</c:v>
                </c:pt>
                <c:pt idx="189">
                  <c:v>55.488234529663536</c:v>
                </c:pt>
                <c:pt idx="190">
                  <c:v>55.089310602118161</c:v>
                </c:pt>
                <c:pt idx="191">
                  <c:v>54.230233025038061</c:v>
                </c:pt>
                <c:pt idx="192">
                  <c:v>53.070077213907716</c:v>
                </c:pt>
                <c:pt idx="193">
                  <c:v>53.12758600319976</c:v>
                </c:pt>
                <c:pt idx="194">
                  <c:v>52.876352490324095</c:v>
                </c:pt>
                <c:pt idx="195">
                  <c:v>50.371373812630651</c:v>
                </c:pt>
                <c:pt idx="196">
                  <c:v>51.551624819382234</c:v>
                </c:pt>
                <c:pt idx="197">
                  <c:v>52.119348058301725</c:v>
                </c:pt>
                <c:pt idx="198">
                  <c:v>54.214558684623917</c:v>
                </c:pt>
                <c:pt idx="199">
                  <c:v>32.684718120270972</c:v>
                </c:pt>
                <c:pt idx="200">
                  <c:v>39.706869297977889</c:v>
                </c:pt>
                <c:pt idx="201">
                  <c:v>51.814325327657578</c:v>
                </c:pt>
                <c:pt idx="202">
                  <c:v>43.52562023238297</c:v>
                </c:pt>
                <c:pt idx="203">
                  <c:v>38.386644414417063</c:v>
                </c:pt>
                <c:pt idx="204">
                  <c:v>52.161261715000734</c:v>
                </c:pt>
                <c:pt idx="205">
                  <c:v>27.891401177595604</c:v>
                </c:pt>
                <c:pt idx="206">
                  <c:v>43.929290693710051</c:v>
                </c:pt>
                <c:pt idx="207">
                  <c:v>54.0977308958214</c:v>
                </c:pt>
                <c:pt idx="208">
                  <c:v>43.123518421960078</c:v>
                </c:pt>
                <c:pt idx="209">
                  <c:v>25.402273194034667</c:v>
                </c:pt>
                <c:pt idx="210">
                  <c:v>42.15854470247838</c:v>
                </c:pt>
                <c:pt idx="211">
                  <c:v>52.775759319573133</c:v>
                </c:pt>
                <c:pt idx="212">
                  <c:v>52.444835010866647</c:v>
                </c:pt>
                <c:pt idx="213">
                  <c:v>52.664726576608409</c:v>
                </c:pt>
                <c:pt idx="214">
                  <c:v>52.767041828242888</c:v>
                </c:pt>
                <c:pt idx="215">
                  <c:v>50.163406707065064</c:v>
                </c:pt>
                <c:pt idx="216">
                  <c:v>40.50082216692045</c:v>
                </c:pt>
                <c:pt idx="217">
                  <c:v>48.045955264205048</c:v>
                </c:pt>
                <c:pt idx="218">
                  <c:v>50.854720341139377</c:v>
                </c:pt>
                <c:pt idx="219">
                  <c:v>51.782691690338389</c:v>
                </c:pt>
                <c:pt idx="220">
                  <c:v>50.093389171608891</c:v>
                </c:pt>
                <c:pt idx="221">
                  <c:v>48.713202385988922</c:v>
                </c:pt>
                <c:pt idx="222">
                  <c:v>46.618565785023662</c:v>
                </c:pt>
                <c:pt idx="223">
                  <c:v>47.033990515277246</c:v>
                </c:pt>
                <c:pt idx="224">
                  <c:v>35.348155070765543</c:v>
                </c:pt>
                <c:pt idx="225">
                  <c:v>35.22212276815435</c:v>
                </c:pt>
                <c:pt idx="226">
                  <c:v>32.895961619318996</c:v>
                </c:pt>
                <c:pt idx="227">
                  <c:v>37.821106822252567</c:v>
                </c:pt>
                <c:pt idx="228">
                  <c:v>23.626287952204468</c:v>
                </c:pt>
                <c:pt idx="229">
                  <c:v>31.663797439517545</c:v>
                </c:pt>
                <c:pt idx="230">
                  <c:v>33.068425637723585</c:v>
                </c:pt>
                <c:pt idx="231">
                  <c:v>48.272587356581589</c:v>
                </c:pt>
                <c:pt idx="232">
                  <c:v>38.236390611507893</c:v>
                </c:pt>
                <c:pt idx="233">
                  <c:v>26.852365920194167</c:v>
                </c:pt>
                <c:pt idx="234">
                  <c:v>41.780702809693352</c:v>
                </c:pt>
                <c:pt idx="235">
                  <c:v>48.862110388428093</c:v>
                </c:pt>
                <c:pt idx="236">
                  <c:v>27.512836199885243</c:v>
                </c:pt>
                <c:pt idx="237">
                  <c:v>35.159894801247205</c:v>
                </c:pt>
                <c:pt idx="238">
                  <c:v>44.497553637009112</c:v>
                </c:pt>
                <c:pt idx="239">
                  <c:v>47.573528129864471</c:v>
                </c:pt>
                <c:pt idx="240">
                  <c:v>31.917621298903704</c:v>
                </c:pt>
                <c:pt idx="241">
                  <c:v>46.945368071069673</c:v>
                </c:pt>
                <c:pt idx="242">
                  <c:v>19.776363963926581</c:v>
                </c:pt>
                <c:pt idx="243">
                  <c:v>41.971952021146194</c:v>
                </c:pt>
                <c:pt idx="244">
                  <c:v>37.139911927274156</c:v>
                </c:pt>
                <c:pt idx="245">
                  <c:v>31.197394106217466</c:v>
                </c:pt>
                <c:pt idx="246">
                  <c:v>47.380003335441707</c:v>
                </c:pt>
                <c:pt idx="247">
                  <c:v>40.584061075054628</c:v>
                </c:pt>
                <c:pt idx="248">
                  <c:v>44.118481136320412</c:v>
                </c:pt>
                <c:pt idx="249">
                  <c:v>34.372174139480364</c:v>
                </c:pt>
                <c:pt idx="250">
                  <c:v>39.178505952376518</c:v>
                </c:pt>
                <c:pt idx="251">
                  <c:v>16.533209063306753</c:v>
                </c:pt>
                <c:pt idx="252">
                  <c:v>43.39287089089202</c:v>
                </c:pt>
                <c:pt idx="253">
                  <c:v>45.583176713374378</c:v>
                </c:pt>
                <c:pt idx="254">
                  <c:v>35.117671502518725</c:v>
                </c:pt>
                <c:pt idx="255">
                  <c:v>11.084266566818631</c:v>
                </c:pt>
                <c:pt idx="256">
                  <c:v>37.181376875255062</c:v>
                </c:pt>
                <c:pt idx="257">
                  <c:v>41.556438069583727</c:v>
                </c:pt>
                <c:pt idx="258">
                  <c:v>24.726665708867369</c:v>
                </c:pt>
                <c:pt idx="259">
                  <c:v>45.51884090474902</c:v>
                </c:pt>
                <c:pt idx="260">
                  <c:v>44.803174530577678</c:v>
                </c:pt>
                <c:pt idx="261">
                  <c:v>43.202140288887144</c:v>
                </c:pt>
                <c:pt idx="262">
                  <c:v>43.204756377833206</c:v>
                </c:pt>
                <c:pt idx="263">
                  <c:v>44.650913811840894</c:v>
                </c:pt>
                <c:pt idx="264">
                  <c:v>43.486026986840287</c:v>
                </c:pt>
                <c:pt idx="265">
                  <c:v>32.722441291701813</c:v>
                </c:pt>
                <c:pt idx="266">
                  <c:v>21.956657898791818</c:v>
                </c:pt>
                <c:pt idx="267">
                  <c:v>33.235021301608434</c:v>
                </c:pt>
                <c:pt idx="268">
                  <c:v>34.593483807272413</c:v>
                </c:pt>
                <c:pt idx="269">
                  <c:v>14.816245555861563</c:v>
                </c:pt>
                <c:pt idx="270">
                  <c:v>14.884632056408053</c:v>
                </c:pt>
                <c:pt idx="271">
                  <c:v>21.100981869631426</c:v>
                </c:pt>
                <c:pt idx="272">
                  <c:v>29.148792725566437</c:v>
                </c:pt>
                <c:pt idx="273">
                  <c:v>34.146606360081073</c:v>
                </c:pt>
                <c:pt idx="274">
                  <c:v>38.64065628042335</c:v>
                </c:pt>
                <c:pt idx="275">
                  <c:v>34.367937484058814</c:v>
                </c:pt>
                <c:pt idx="276">
                  <c:v>40.98559584808968</c:v>
                </c:pt>
                <c:pt idx="277">
                  <c:v>40.647449625324953</c:v>
                </c:pt>
                <c:pt idx="278">
                  <c:v>14.449958180960541</c:v>
                </c:pt>
                <c:pt idx="279">
                  <c:v>30.587132029587519</c:v>
                </c:pt>
                <c:pt idx="280">
                  <c:v>14.731800820430868</c:v>
                </c:pt>
                <c:pt idx="281">
                  <c:v>38.528235515638045</c:v>
                </c:pt>
                <c:pt idx="282">
                  <c:v>33.594543526346918</c:v>
                </c:pt>
                <c:pt idx="283">
                  <c:v>24.15335313647941</c:v>
                </c:pt>
                <c:pt idx="284">
                  <c:v>22.967709709245369</c:v>
                </c:pt>
                <c:pt idx="285">
                  <c:v>23.598964571953822</c:v>
                </c:pt>
                <c:pt idx="286">
                  <c:v>14.680512025077618</c:v>
                </c:pt>
                <c:pt idx="287">
                  <c:v>37.393102890665908</c:v>
                </c:pt>
                <c:pt idx="288">
                  <c:v>33.362974051802212</c:v>
                </c:pt>
                <c:pt idx="289">
                  <c:v>18.290550964445213</c:v>
                </c:pt>
                <c:pt idx="290">
                  <c:v>34.735180904367404</c:v>
                </c:pt>
                <c:pt idx="291">
                  <c:v>15.5147212150183</c:v>
                </c:pt>
                <c:pt idx="292">
                  <c:v>12.045256619306715</c:v>
                </c:pt>
                <c:pt idx="293">
                  <c:v>16.354553872716764</c:v>
                </c:pt>
                <c:pt idx="294">
                  <c:v>34.040177241418533</c:v>
                </c:pt>
                <c:pt idx="295">
                  <c:v>19.979863306092714</c:v>
                </c:pt>
                <c:pt idx="296">
                  <c:v>28.616635945807968</c:v>
                </c:pt>
                <c:pt idx="297">
                  <c:v>22.249216486487178</c:v>
                </c:pt>
                <c:pt idx="298">
                  <c:v>15.305871166520713</c:v>
                </c:pt>
                <c:pt idx="299">
                  <c:v>15.481675135274259</c:v>
                </c:pt>
                <c:pt idx="300">
                  <c:v>16.92133372306353</c:v>
                </c:pt>
                <c:pt idx="301">
                  <c:v>27.18945518010911</c:v>
                </c:pt>
                <c:pt idx="302">
                  <c:v>24.249350936067106</c:v>
                </c:pt>
                <c:pt idx="303">
                  <c:v>23.591896092062129</c:v>
                </c:pt>
                <c:pt idx="304">
                  <c:v>25.354112260138173</c:v>
                </c:pt>
                <c:pt idx="305">
                  <c:v>28.156449865267408</c:v>
                </c:pt>
                <c:pt idx="306">
                  <c:v>8.8306328103894476</c:v>
                </c:pt>
                <c:pt idx="307">
                  <c:v>12.325220663218978</c:v>
                </c:pt>
                <c:pt idx="308">
                  <c:v>29.879260731909788</c:v>
                </c:pt>
                <c:pt idx="309">
                  <c:v>30.920124998669547</c:v>
                </c:pt>
                <c:pt idx="310">
                  <c:v>31.026781248347529</c:v>
                </c:pt>
                <c:pt idx="311">
                  <c:v>20.091526249159525</c:v>
                </c:pt>
                <c:pt idx="312">
                  <c:v>11.911543657943996</c:v>
                </c:pt>
                <c:pt idx="313">
                  <c:v>20.797470812953701</c:v>
                </c:pt>
                <c:pt idx="314">
                  <c:v>28.228728387586276</c:v>
                </c:pt>
                <c:pt idx="315">
                  <c:v>28.001998253678671</c:v>
                </c:pt>
                <c:pt idx="316">
                  <c:v>28.150018885768386</c:v>
                </c:pt>
                <c:pt idx="317">
                  <c:v>11.957295506144707</c:v>
                </c:pt>
                <c:pt idx="318">
                  <c:v>13.086977853473767</c:v>
                </c:pt>
                <c:pt idx="319">
                  <c:v>27.562433002505657</c:v>
                </c:pt>
                <c:pt idx="320">
                  <c:v>12.11135541387241</c:v>
                </c:pt>
                <c:pt idx="321">
                  <c:v>13.923432601894227</c:v>
                </c:pt>
                <c:pt idx="322">
                  <c:v>5.8279857302520854</c:v>
                </c:pt>
                <c:pt idx="323">
                  <c:v>19.329843150157686</c:v>
                </c:pt>
                <c:pt idx="324">
                  <c:v>3.1138319036649418</c:v>
                </c:pt>
                <c:pt idx="325">
                  <c:v>9.5217375492836709</c:v>
                </c:pt>
                <c:pt idx="326">
                  <c:v>13.009409233999607</c:v>
                </c:pt>
                <c:pt idx="327">
                  <c:v>13.615698286275929</c:v>
                </c:pt>
                <c:pt idx="328">
                  <c:v>3.9927939006028299</c:v>
                </c:pt>
                <c:pt idx="329">
                  <c:v>14.111222460036723</c:v>
                </c:pt>
                <c:pt idx="330">
                  <c:v>15.933824084457697</c:v>
                </c:pt>
                <c:pt idx="331">
                  <c:v>8.9846441726201345</c:v>
                </c:pt>
                <c:pt idx="332">
                  <c:v>9.9886378013548054</c:v>
                </c:pt>
                <c:pt idx="333">
                  <c:v>4.4513398966050497</c:v>
                </c:pt>
                <c:pt idx="334">
                  <c:v>3.3015104503365835</c:v>
                </c:pt>
                <c:pt idx="335">
                  <c:v>5.7568291633109281</c:v>
                </c:pt>
                <c:pt idx="336">
                  <c:v>10.63348792092725</c:v>
                </c:pt>
                <c:pt idx="337">
                  <c:v>20.799787381195852</c:v>
                </c:pt>
                <c:pt idx="338">
                  <c:v>24.636275202576268</c:v>
                </c:pt>
                <c:pt idx="339">
                  <c:v>15.606139277599226</c:v>
                </c:pt>
                <c:pt idx="340">
                  <c:v>18.253036834374306</c:v>
                </c:pt>
                <c:pt idx="341">
                  <c:v>4.4457724858950902</c:v>
                </c:pt>
                <c:pt idx="342">
                  <c:v>8.982163321990555</c:v>
                </c:pt>
                <c:pt idx="343">
                  <c:v>15.019206739612297</c:v>
                </c:pt>
                <c:pt idx="344">
                  <c:v>14.312950823930359</c:v>
                </c:pt>
                <c:pt idx="345">
                  <c:v>6.6007290441157229</c:v>
                </c:pt>
                <c:pt idx="346">
                  <c:v>6.1810654526830824</c:v>
                </c:pt>
                <c:pt idx="347">
                  <c:v>14.503304053652522</c:v>
                </c:pt>
                <c:pt idx="348">
                  <c:v>6.9001815542349183</c:v>
                </c:pt>
                <c:pt idx="349">
                  <c:v>4.9472921786648119</c:v>
                </c:pt>
                <c:pt idx="350">
                  <c:v>2.7574324450804961</c:v>
                </c:pt>
                <c:pt idx="351">
                  <c:v>18.642092756716103</c:v>
                </c:pt>
                <c:pt idx="352">
                  <c:v>16.667265819408392</c:v>
                </c:pt>
                <c:pt idx="353">
                  <c:v>3.7324328930427479</c:v>
                </c:pt>
                <c:pt idx="354">
                  <c:v>19.023691880062483</c:v>
                </c:pt>
                <c:pt idx="355">
                  <c:v>18.602261539884662</c:v>
                </c:pt>
                <c:pt idx="356">
                  <c:v>18.73081047943127</c:v>
                </c:pt>
                <c:pt idx="357">
                  <c:v>19.890257894229396</c:v>
                </c:pt>
                <c:pt idx="358">
                  <c:v>11.163446760240605</c:v>
                </c:pt>
                <c:pt idx="359">
                  <c:v>19.061108053679529</c:v>
                </c:pt>
                <c:pt idx="360">
                  <c:v>6.4555568044817822</c:v>
                </c:pt>
                <c:pt idx="361">
                  <c:v>20.760643318223508</c:v>
                </c:pt>
                <c:pt idx="362">
                  <c:v>10.567027733544183</c:v>
                </c:pt>
                <c:pt idx="363">
                  <c:v>14.427794176322736</c:v>
                </c:pt>
                <c:pt idx="364">
                  <c:v>12.426127602909654</c:v>
                </c:pt>
                <c:pt idx="365">
                  <c:v>15.010751265155504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23.747863112292517</c:v>
                </c:pt>
                <c:pt idx="1">
                  <c:v>16.079904729185298</c:v>
                </c:pt>
                <c:pt idx="2">
                  <c:v>18.235720527522279</c:v>
                </c:pt>
                <c:pt idx="3">
                  <c:v>18.537811065392813</c:v>
                </c:pt>
                <c:pt idx="4">
                  <c:v>13.405772547081101</c:v>
                </c:pt>
                <c:pt idx="5">
                  <c:v>25.218078371620607</c:v>
                </c:pt>
                <c:pt idx="6">
                  <c:v>8.6665458188567985</c:v>
                </c:pt>
                <c:pt idx="7">
                  <c:v>6.0339180849605816</c:v>
                </c:pt>
                <c:pt idx="8">
                  <c:v>1.7211845204363116</c:v>
                </c:pt>
                <c:pt idx="9">
                  <c:v>1.3854596868169593</c:v>
                </c:pt>
                <c:pt idx="10">
                  <c:v>24.092588023412855</c:v>
                </c:pt>
                <c:pt idx="11">
                  <c:v>20.596045609755389</c:v>
                </c:pt>
                <c:pt idx="12">
                  <c:v>6.251987180002371</c:v>
                </c:pt>
                <c:pt idx="13">
                  <c:v>26.836556810448172</c:v>
                </c:pt>
                <c:pt idx="14">
                  <c:v>27.641307147838759</c:v>
                </c:pt>
                <c:pt idx="15">
                  <c:v>27.355362026627663</c:v>
                </c:pt>
                <c:pt idx="16">
                  <c:v>17.724672581245251</c:v>
                </c:pt>
                <c:pt idx="17">
                  <c:v>4.6646874177945667</c:v>
                </c:pt>
                <c:pt idx="18">
                  <c:v>11.787257765676907</c:v>
                </c:pt>
                <c:pt idx="19">
                  <c:v>4.8886818650563022</c:v>
                </c:pt>
                <c:pt idx="20">
                  <c:v>18.665511600365747</c:v>
                </c:pt>
                <c:pt idx="21">
                  <c:v>28.860148731888831</c:v>
                </c:pt>
                <c:pt idx="22">
                  <c:v>29.212666236154856</c:v>
                </c:pt>
                <c:pt idx="23">
                  <c:v>29.72093078850353</c:v>
                </c:pt>
                <c:pt idx="24">
                  <c:v>27.759338824990085</c:v>
                </c:pt>
                <c:pt idx="25">
                  <c:v>29.900707001425427</c:v>
                </c:pt>
                <c:pt idx="26">
                  <c:v>29.692396331044648</c:v>
                </c:pt>
                <c:pt idx="27">
                  <c:v>4.0497651986093066</c:v>
                </c:pt>
                <c:pt idx="28">
                  <c:v>6.2331774949415539</c:v>
                </c:pt>
                <c:pt idx="29">
                  <c:v>5.6199875159547057</c:v>
                </c:pt>
                <c:pt idx="30">
                  <c:v>7.0300040017252439</c:v>
                </c:pt>
                <c:pt idx="31">
                  <c:v>17.6347874644695</c:v>
                </c:pt>
                <c:pt idx="32">
                  <c:v>6.472739765951169</c:v>
                </c:pt>
                <c:pt idx="33">
                  <c:v>15.289768396722376</c:v>
                </c:pt>
                <c:pt idx="34">
                  <c:v>13.808518726615425</c:v>
                </c:pt>
                <c:pt idx="35">
                  <c:v>10.142229082902398</c:v>
                </c:pt>
                <c:pt idx="36">
                  <c:v>26.693774081582809</c:v>
                </c:pt>
                <c:pt idx="37">
                  <c:v>12.053426211365535</c:v>
                </c:pt>
                <c:pt idx="38">
                  <c:v>34.694102190340381</c:v>
                </c:pt>
                <c:pt idx="39">
                  <c:v>35.328946351108456</c:v>
                </c:pt>
                <c:pt idx="40">
                  <c:v>33.328333503420723</c:v>
                </c:pt>
                <c:pt idx="41">
                  <c:v>13.981677479593996</c:v>
                </c:pt>
                <c:pt idx="42">
                  <c:v>26.520068112835318</c:v>
                </c:pt>
                <c:pt idx="43">
                  <c:v>33.569927047050008</c:v>
                </c:pt>
                <c:pt idx="44">
                  <c:v>15.987612286790547</c:v>
                </c:pt>
                <c:pt idx="45">
                  <c:v>21.133648073583444</c:v>
                </c:pt>
                <c:pt idx="46">
                  <c:v>9.0256898358360207</c:v>
                </c:pt>
                <c:pt idx="47">
                  <c:v>9.9627081288730768</c:v>
                </c:pt>
                <c:pt idx="48">
                  <c:v>33.205910354360043</c:v>
                </c:pt>
                <c:pt idx="49">
                  <c:v>15.229331656927714</c:v>
                </c:pt>
                <c:pt idx="50">
                  <c:v>26.440570810603173</c:v>
                </c:pt>
                <c:pt idx="51">
                  <c:v>19.828192793210576</c:v>
                </c:pt>
                <c:pt idx="52">
                  <c:v>32.84902241688517</c:v>
                </c:pt>
                <c:pt idx="53">
                  <c:v>38.059075687848029</c:v>
                </c:pt>
                <c:pt idx="54">
                  <c:v>24.47049101470704</c:v>
                </c:pt>
                <c:pt idx="55">
                  <c:v>26.630460754169953</c:v>
                </c:pt>
                <c:pt idx="56">
                  <c:v>41.258119887351135</c:v>
                </c:pt>
                <c:pt idx="57">
                  <c:v>21.863554172116672</c:v>
                </c:pt>
                <c:pt idx="58">
                  <c:v>37.861424081873693</c:v>
                </c:pt>
                <c:pt idx="59">
                  <c:v>41.938208634681956</c:v>
                </c:pt>
                <c:pt idx="60">
                  <c:v>14.541607177588029</c:v>
                </c:pt>
                <c:pt idx="61">
                  <c:v>37.923083006905657</c:v>
                </c:pt>
                <c:pt idx="62">
                  <c:v>5.0528613636335393</c:v>
                </c:pt>
                <c:pt idx="63">
                  <c:v>15.561341978728976</c:v>
                </c:pt>
                <c:pt idx="64">
                  <c:v>22.449097049377965</c:v>
                </c:pt>
                <c:pt idx="65">
                  <c:v>34.999307474348775</c:v>
                </c:pt>
                <c:pt idx="66">
                  <c:v>35.400134309844375</c:v>
                </c:pt>
                <c:pt idx="67">
                  <c:v>32.263590900296073</c:v>
                </c:pt>
                <c:pt idx="68">
                  <c:v>25.952832962027657</c:v>
                </c:pt>
                <c:pt idx="69">
                  <c:v>18.160131571372119</c:v>
                </c:pt>
                <c:pt idx="70">
                  <c:v>13.247945332675247</c:v>
                </c:pt>
                <c:pt idx="71">
                  <c:v>9.8402295804334887</c:v>
                </c:pt>
                <c:pt idx="72">
                  <c:v>13.335821398910999</c:v>
                </c:pt>
                <c:pt idx="73">
                  <c:v>16.29653246336342</c:v>
                </c:pt>
                <c:pt idx="74">
                  <c:v>11.879419229666537</c:v>
                </c:pt>
                <c:pt idx="75">
                  <c:v>10.224462721851889</c:v>
                </c:pt>
                <c:pt idx="76">
                  <c:v>13.424953964227187</c:v>
                </c:pt>
                <c:pt idx="77">
                  <c:v>27.973209427064088</c:v>
                </c:pt>
                <c:pt idx="78">
                  <c:v>32.74783400626746</c:v>
                </c:pt>
                <c:pt idx="79">
                  <c:v>45.610774147205113</c:v>
                </c:pt>
                <c:pt idx="80">
                  <c:v>41.919339196629558</c:v>
                </c:pt>
                <c:pt idx="81">
                  <c:v>49.429681866228464</c:v>
                </c:pt>
                <c:pt idx="82">
                  <c:v>48.306815113731972</c:v>
                </c:pt>
                <c:pt idx="83">
                  <c:v>38.107264605165668</c:v>
                </c:pt>
                <c:pt idx="84">
                  <c:v>43.559940956715799</c:v>
                </c:pt>
                <c:pt idx="85">
                  <c:v>46.205580949435593</c:v>
                </c:pt>
                <c:pt idx="86">
                  <c:v>39.429236364411736</c:v>
                </c:pt>
                <c:pt idx="87">
                  <c:v>27.493195100453757</c:v>
                </c:pt>
                <c:pt idx="88">
                  <c:v>6.2263577392896732</c:v>
                </c:pt>
                <c:pt idx="89">
                  <c:v>17.236809079025871</c:v>
                </c:pt>
                <c:pt idx="90">
                  <c:v>32.543705841313461</c:v>
                </c:pt>
                <c:pt idx="91">
                  <c:v>17.196428588630472</c:v>
                </c:pt>
                <c:pt idx="92">
                  <c:v>31.993007889324446</c:v>
                </c:pt>
                <c:pt idx="93">
                  <c:v>44.302653002679719</c:v>
                </c:pt>
                <c:pt idx="94">
                  <c:v>52.394846744376331</c:v>
                </c:pt>
                <c:pt idx="95">
                  <c:v>12.058305140104906</c:v>
                </c:pt>
                <c:pt idx="96">
                  <c:v>43.85820787201191</c:v>
                </c:pt>
                <c:pt idx="97">
                  <c:v>38.308602637745487</c:v>
                </c:pt>
                <c:pt idx="98">
                  <c:v>30.883544841457116</c:v>
                </c:pt>
                <c:pt idx="99">
                  <c:v>56.013660525540892</c:v>
                </c:pt>
                <c:pt idx="100">
                  <c:v>44.687586039681584</c:v>
                </c:pt>
                <c:pt idx="101">
                  <c:v>39.199217758939881</c:v>
                </c:pt>
                <c:pt idx="102">
                  <c:v>6.0743398528609971</c:v>
                </c:pt>
                <c:pt idx="103">
                  <c:v>43.868207796443883</c:v>
                </c:pt>
                <c:pt idx="104">
                  <c:v>44.890388706013418</c:v>
                </c:pt>
                <c:pt idx="105">
                  <c:v>36.731881379904458</c:v>
                </c:pt>
                <c:pt idx="106">
                  <c:v>54.091759865541036</c:v>
                </c:pt>
                <c:pt idx="107">
                  <c:v>35.24281249077368</c:v>
                </c:pt>
                <c:pt idx="108">
                  <c:v>9.4431256975214115</c:v>
                </c:pt>
                <c:pt idx="109">
                  <c:v>9.7257198051060971</c:v>
                </c:pt>
                <c:pt idx="110">
                  <c:v>8.9501799829908624</c:v>
                </c:pt>
                <c:pt idx="111">
                  <c:v>27.638204880564345</c:v>
                </c:pt>
                <c:pt idx="112">
                  <c:v>9.4584545624633662</c:v>
                </c:pt>
                <c:pt idx="113">
                  <c:v>26.832958392379911</c:v>
                </c:pt>
                <c:pt idx="114">
                  <c:v>42.329522259033439</c:v>
                </c:pt>
                <c:pt idx="115">
                  <c:v>54.337948037916441</c:v>
                </c:pt>
                <c:pt idx="116">
                  <c:v>41.753729887988904</c:v>
                </c:pt>
                <c:pt idx="117">
                  <c:v>23.424828139346719</c:v>
                </c:pt>
                <c:pt idx="118">
                  <c:v>41.982741633208583</c:v>
                </c:pt>
                <c:pt idx="119">
                  <c:v>39.921536598517754</c:v>
                </c:pt>
                <c:pt idx="120">
                  <c:v>45.503798543674783</c:v>
                </c:pt>
                <c:pt idx="121">
                  <c:v>25.827550347088266</c:v>
                </c:pt>
                <c:pt idx="122">
                  <c:v>31.741666681472484</c:v>
                </c:pt>
                <c:pt idx="123">
                  <c:v>16.059496348485279</c:v>
                </c:pt>
                <c:pt idx="124">
                  <c:v>34.822803138099083</c:v>
                </c:pt>
                <c:pt idx="125">
                  <c:v>39.869115059046251</c:v>
                </c:pt>
                <c:pt idx="126">
                  <c:v>44.430209254685309</c:v>
                </c:pt>
                <c:pt idx="127">
                  <c:v>55.138096018678645</c:v>
                </c:pt>
                <c:pt idx="128">
                  <c:v>52.888287419801848</c:v>
                </c:pt>
                <c:pt idx="129">
                  <c:v>54.016125956986961</c:v>
                </c:pt>
                <c:pt idx="130">
                  <c:v>57.15213177461424</c:v>
                </c:pt>
                <c:pt idx="131">
                  <c:v>43.354232198867152</c:v>
                </c:pt>
                <c:pt idx="132">
                  <c:v>37.442295862232491</c:v>
                </c:pt>
                <c:pt idx="133">
                  <c:v>52.063455093393095</c:v>
                </c:pt>
                <c:pt idx="134">
                  <c:v>53.897018365145058</c:v>
                </c:pt>
                <c:pt idx="135">
                  <c:v>50.232925284319791</c:v>
                </c:pt>
                <c:pt idx="136">
                  <c:v>54.969803150544799</c:v>
                </c:pt>
                <c:pt idx="137">
                  <c:v>52.689502641117258</c:v>
                </c:pt>
                <c:pt idx="138">
                  <c:v>51.125860331501848</c:v>
                </c:pt>
                <c:pt idx="139">
                  <c:v>49.575527248661295</c:v>
                </c:pt>
                <c:pt idx="140">
                  <c:v>54.299711152595719</c:v>
                </c:pt>
                <c:pt idx="141">
                  <c:v>41.310364742412368</c:v>
                </c:pt>
                <c:pt idx="142">
                  <c:v>17.185083766777431</c:v>
                </c:pt>
                <c:pt idx="143">
                  <c:v>14.935848103964583</c:v>
                </c:pt>
                <c:pt idx="144">
                  <c:v>41.274688429151347</c:v>
                </c:pt>
                <c:pt idx="145">
                  <c:v>30.341605497970423</c:v>
                </c:pt>
                <c:pt idx="146">
                  <c:v>45.200237905365675</c:v>
                </c:pt>
                <c:pt idx="147">
                  <c:v>53.333787517943286</c:v>
                </c:pt>
                <c:pt idx="148">
                  <c:v>58.591294701001573</c:v>
                </c:pt>
                <c:pt idx="149">
                  <c:v>45.636482522383645</c:v>
                </c:pt>
                <c:pt idx="150">
                  <c:v>54.992562002854811</c:v>
                </c:pt>
                <c:pt idx="151">
                  <c:v>57.031165003437351</c:v>
                </c:pt>
                <c:pt idx="152">
                  <c:v>39.54426622133618</c:v>
                </c:pt>
                <c:pt idx="153">
                  <c:v>55.592201068619275</c:v>
                </c:pt>
                <c:pt idx="154">
                  <c:v>25.204752303555569</c:v>
                </c:pt>
                <c:pt idx="155">
                  <c:v>29.117012249770635</c:v>
                </c:pt>
                <c:pt idx="156">
                  <c:v>49.050791036251326</c:v>
                </c:pt>
                <c:pt idx="157">
                  <c:v>27.237887649224433</c:v>
                </c:pt>
                <c:pt idx="158">
                  <c:v>21.044775837310237</c:v>
                </c:pt>
                <c:pt idx="159">
                  <c:v>49.792191893855971</c:v>
                </c:pt>
                <c:pt idx="160">
                  <c:v>57.260831719241864</c:v>
                </c:pt>
                <c:pt idx="161">
                  <c:v>55.716136746003592</c:v>
                </c:pt>
                <c:pt idx="162">
                  <c:v>46.065237673325939</c:v>
                </c:pt>
                <c:pt idx="163">
                  <c:v>50.643704892005452</c:v>
                </c:pt>
                <c:pt idx="164">
                  <c:v>49.81587652167206</c:v>
                </c:pt>
                <c:pt idx="165">
                  <c:v>53.121851862364331</c:v>
                </c:pt>
                <c:pt idx="166">
                  <c:v>51.239220093116373</c:v>
                </c:pt>
                <c:pt idx="167">
                  <c:v>52.220052872640892</c:v>
                </c:pt>
                <c:pt idx="168">
                  <c:v>55.171296772107716</c:v>
                </c:pt>
                <c:pt idx="169">
                  <c:v>56.146306411658138</c:v>
                </c:pt>
                <c:pt idx="170">
                  <c:v>29.493883996091704</c:v>
                </c:pt>
                <c:pt idx="171">
                  <c:v>19.512144400066418</c:v>
                </c:pt>
                <c:pt idx="172">
                  <c:v>41.189703722953197</c:v>
                </c:pt>
                <c:pt idx="173">
                  <c:v>42.848198074214729</c:v>
                </c:pt>
                <c:pt idx="174">
                  <c:v>40.096744435498621</c:v>
                </c:pt>
                <c:pt idx="175">
                  <c:v>40.10716573589815</c:v>
                </c:pt>
                <c:pt idx="176">
                  <c:v>10.537863174000691</c:v>
                </c:pt>
                <c:pt idx="177">
                  <c:v>15.743542327717629</c:v>
                </c:pt>
                <c:pt idx="178">
                  <c:v>55.539748616809959</c:v>
                </c:pt>
                <c:pt idx="179">
                  <c:v>56.585318017812554</c:v>
                </c:pt>
                <c:pt idx="180">
                  <c:v>12.484800582233007</c:v>
                </c:pt>
                <c:pt idx="181">
                  <c:v>39.795801693918243</c:v>
                </c:pt>
                <c:pt idx="182">
                  <c:v>55.831048218050519</c:v>
                </c:pt>
                <c:pt idx="183">
                  <c:v>50.71028305966847</c:v>
                </c:pt>
                <c:pt idx="184">
                  <c:v>42.862839773842374</c:v>
                </c:pt>
                <c:pt idx="185">
                  <c:v>55.009875552206552</c:v>
                </c:pt>
                <c:pt idx="186">
                  <c:v>39.151990466101985</c:v>
                </c:pt>
                <c:pt idx="187">
                  <c:v>54.688769184898902</c:v>
                </c:pt>
                <c:pt idx="188">
                  <c:v>55.842334097600521</c:v>
                </c:pt>
                <c:pt idx="189">
                  <c:v>55.488234529663536</c:v>
                </c:pt>
                <c:pt idx="190">
                  <c:v>55.089310602118161</c:v>
                </c:pt>
                <c:pt idx="191">
                  <c:v>54.230233025038061</c:v>
                </c:pt>
                <c:pt idx="192">
                  <c:v>53.070077213907716</c:v>
                </c:pt>
                <c:pt idx="193">
                  <c:v>53.12758600319976</c:v>
                </c:pt>
                <c:pt idx="194">
                  <c:v>52.876352490324095</c:v>
                </c:pt>
                <c:pt idx="195">
                  <c:v>50.371373812630651</c:v>
                </c:pt>
                <c:pt idx="196">
                  <c:v>51.551624819382234</c:v>
                </c:pt>
                <c:pt idx="197">
                  <c:v>52.119348058301725</c:v>
                </c:pt>
                <c:pt idx="198">
                  <c:v>54.214558684623917</c:v>
                </c:pt>
                <c:pt idx="199">
                  <c:v>32.684718120270972</c:v>
                </c:pt>
                <c:pt idx="200">
                  <c:v>39.706869297977889</c:v>
                </c:pt>
                <c:pt idx="201">
                  <c:v>51.814325327657578</c:v>
                </c:pt>
                <c:pt idx="202">
                  <c:v>43.52562023238297</c:v>
                </c:pt>
                <c:pt idx="203">
                  <c:v>38.386644414417063</c:v>
                </c:pt>
                <c:pt idx="204">
                  <c:v>52.161261715000734</c:v>
                </c:pt>
                <c:pt idx="205">
                  <c:v>27.891401177595604</c:v>
                </c:pt>
                <c:pt idx="206">
                  <c:v>43.929290693710051</c:v>
                </c:pt>
                <c:pt idx="207">
                  <c:v>54.0977308958214</c:v>
                </c:pt>
                <c:pt idx="208">
                  <c:v>43.123518421960078</c:v>
                </c:pt>
                <c:pt idx="209">
                  <c:v>25.402273194034667</c:v>
                </c:pt>
                <c:pt idx="210">
                  <c:v>42.15854470247838</c:v>
                </c:pt>
                <c:pt idx="211">
                  <c:v>52.775759319573133</c:v>
                </c:pt>
                <c:pt idx="212">
                  <c:v>52.444835010866647</c:v>
                </c:pt>
                <c:pt idx="213">
                  <c:v>52.664726576608409</c:v>
                </c:pt>
                <c:pt idx="214">
                  <c:v>52.767041828242888</c:v>
                </c:pt>
                <c:pt idx="215">
                  <c:v>50.163406707065064</c:v>
                </c:pt>
                <c:pt idx="216">
                  <c:v>40.50082216692045</c:v>
                </c:pt>
                <c:pt idx="217">
                  <c:v>48.045955264205048</c:v>
                </c:pt>
                <c:pt idx="218">
                  <c:v>50.854720341139377</c:v>
                </c:pt>
                <c:pt idx="219">
                  <c:v>51.782691690338389</c:v>
                </c:pt>
                <c:pt idx="220">
                  <c:v>50.093389171608891</c:v>
                </c:pt>
                <c:pt idx="221">
                  <c:v>48.713202385988922</c:v>
                </c:pt>
                <c:pt idx="222">
                  <c:v>46.618565785023662</c:v>
                </c:pt>
                <c:pt idx="223">
                  <c:v>47.033990515277246</c:v>
                </c:pt>
                <c:pt idx="224">
                  <c:v>35.348155070765543</c:v>
                </c:pt>
                <c:pt idx="225">
                  <c:v>35.22212276815435</c:v>
                </c:pt>
                <c:pt idx="226">
                  <c:v>32.895961619318996</c:v>
                </c:pt>
                <c:pt idx="227">
                  <c:v>37.821106822252567</c:v>
                </c:pt>
                <c:pt idx="228">
                  <c:v>23.626287952204468</c:v>
                </c:pt>
                <c:pt idx="229">
                  <c:v>31.663797439517545</c:v>
                </c:pt>
                <c:pt idx="230">
                  <c:v>33.068425637723585</c:v>
                </c:pt>
                <c:pt idx="231">
                  <c:v>48.272587356581589</c:v>
                </c:pt>
                <c:pt idx="232">
                  <c:v>38.236390611507893</c:v>
                </c:pt>
                <c:pt idx="233">
                  <c:v>26.852365920194167</c:v>
                </c:pt>
                <c:pt idx="234">
                  <c:v>41.780702809693352</c:v>
                </c:pt>
                <c:pt idx="235">
                  <c:v>48.862110388428093</c:v>
                </c:pt>
                <c:pt idx="236">
                  <c:v>27.512836199885243</c:v>
                </c:pt>
                <c:pt idx="237">
                  <c:v>35.159894801247205</c:v>
                </c:pt>
                <c:pt idx="238">
                  <c:v>44.497553637009112</c:v>
                </c:pt>
                <c:pt idx="239">
                  <c:v>47.573528129864471</c:v>
                </c:pt>
                <c:pt idx="240">
                  <c:v>31.917621298903704</c:v>
                </c:pt>
                <c:pt idx="241">
                  <c:v>46.945368071069673</c:v>
                </c:pt>
                <c:pt idx="242">
                  <c:v>19.776363963926581</c:v>
                </c:pt>
                <c:pt idx="243">
                  <c:v>41.971952021146194</c:v>
                </c:pt>
                <c:pt idx="244">
                  <c:v>37.139911927274156</c:v>
                </c:pt>
                <c:pt idx="245">
                  <c:v>31.197394106217466</c:v>
                </c:pt>
                <c:pt idx="246">
                  <c:v>47.380003335441707</c:v>
                </c:pt>
                <c:pt idx="247">
                  <c:v>40.584061075054628</c:v>
                </c:pt>
                <c:pt idx="248">
                  <c:v>44.118481136320412</c:v>
                </c:pt>
                <c:pt idx="249">
                  <c:v>34.372174139480364</c:v>
                </c:pt>
                <c:pt idx="250">
                  <c:v>39.178505952376518</c:v>
                </c:pt>
                <c:pt idx="251">
                  <c:v>16.533209063306753</c:v>
                </c:pt>
                <c:pt idx="252">
                  <c:v>43.39287089089202</c:v>
                </c:pt>
                <c:pt idx="253">
                  <c:v>45.583176713374378</c:v>
                </c:pt>
                <c:pt idx="254">
                  <c:v>35.117671502518725</c:v>
                </c:pt>
                <c:pt idx="255">
                  <c:v>11.084266566818631</c:v>
                </c:pt>
                <c:pt idx="256">
                  <c:v>37.181376875255062</c:v>
                </c:pt>
                <c:pt idx="257">
                  <c:v>41.556438069583727</c:v>
                </c:pt>
                <c:pt idx="258">
                  <c:v>24.726665708867369</c:v>
                </c:pt>
                <c:pt idx="259">
                  <c:v>45.51884090474902</c:v>
                </c:pt>
                <c:pt idx="260">
                  <c:v>44.803174530577678</c:v>
                </c:pt>
                <c:pt idx="261">
                  <c:v>43.202140288887144</c:v>
                </c:pt>
                <c:pt idx="262">
                  <c:v>43.204756377833206</c:v>
                </c:pt>
                <c:pt idx="263">
                  <c:v>44.650913811840894</c:v>
                </c:pt>
                <c:pt idx="264">
                  <c:v>43.486026986840287</c:v>
                </c:pt>
                <c:pt idx="265">
                  <c:v>32.722441291701813</c:v>
                </c:pt>
                <c:pt idx="266">
                  <c:v>21.956657898791818</c:v>
                </c:pt>
                <c:pt idx="267">
                  <c:v>33.235021301608434</c:v>
                </c:pt>
                <c:pt idx="268">
                  <c:v>34.593483807272413</c:v>
                </c:pt>
                <c:pt idx="269">
                  <c:v>14.816245555861563</c:v>
                </c:pt>
                <c:pt idx="270">
                  <c:v>14.884632056408053</c:v>
                </c:pt>
                <c:pt idx="271">
                  <c:v>21.100981869631426</c:v>
                </c:pt>
                <c:pt idx="272">
                  <c:v>29.148792725566437</c:v>
                </c:pt>
                <c:pt idx="273">
                  <c:v>34.146606360081073</c:v>
                </c:pt>
                <c:pt idx="274">
                  <c:v>38.64065628042335</c:v>
                </c:pt>
                <c:pt idx="275">
                  <c:v>34.367937484058814</c:v>
                </c:pt>
                <c:pt idx="276">
                  <c:v>40.98559584808968</c:v>
                </c:pt>
                <c:pt idx="277">
                  <c:v>40.647449625324953</c:v>
                </c:pt>
                <c:pt idx="278">
                  <c:v>14.449958180960541</c:v>
                </c:pt>
                <c:pt idx="279">
                  <c:v>30.587132029587519</c:v>
                </c:pt>
                <c:pt idx="280">
                  <c:v>14.731800820430868</c:v>
                </c:pt>
                <c:pt idx="281">
                  <c:v>38.528235515638045</c:v>
                </c:pt>
                <c:pt idx="282">
                  <c:v>33.594543526346918</c:v>
                </c:pt>
                <c:pt idx="283">
                  <c:v>24.15335313647941</c:v>
                </c:pt>
                <c:pt idx="284">
                  <c:v>22.967709709245369</c:v>
                </c:pt>
                <c:pt idx="285">
                  <c:v>23.598964571953822</c:v>
                </c:pt>
                <c:pt idx="286">
                  <c:v>14.680512025077618</c:v>
                </c:pt>
                <c:pt idx="287">
                  <c:v>37.393102890665908</c:v>
                </c:pt>
                <c:pt idx="288">
                  <c:v>33.362974051802212</c:v>
                </c:pt>
                <c:pt idx="289">
                  <c:v>18.290550964445213</c:v>
                </c:pt>
                <c:pt idx="290">
                  <c:v>34.735180904367404</c:v>
                </c:pt>
                <c:pt idx="291">
                  <c:v>15.5147212150183</c:v>
                </c:pt>
                <c:pt idx="292">
                  <c:v>12.045256619306715</c:v>
                </c:pt>
                <c:pt idx="293">
                  <c:v>16.354553872716764</c:v>
                </c:pt>
                <c:pt idx="294">
                  <c:v>34.040177241418533</c:v>
                </c:pt>
                <c:pt idx="295">
                  <c:v>19.979863306092714</c:v>
                </c:pt>
                <c:pt idx="296">
                  <c:v>28.616635945807968</c:v>
                </c:pt>
                <c:pt idx="297">
                  <c:v>22.249216486487178</c:v>
                </c:pt>
                <c:pt idx="298">
                  <c:v>15.305871166520713</c:v>
                </c:pt>
                <c:pt idx="299">
                  <c:v>15.481675135274259</c:v>
                </c:pt>
                <c:pt idx="300">
                  <c:v>16.92133372306353</c:v>
                </c:pt>
                <c:pt idx="301">
                  <c:v>27.18945518010911</c:v>
                </c:pt>
                <c:pt idx="302">
                  <c:v>24.249350936067106</c:v>
                </c:pt>
                <c:pt idx="303">
                  <c:v>23.591896092062129</c:v>
                </c:pt>
                <c:pt idx="304">
                  <c:v>25.354112260138173</c:v>
                </c:pt>
                <c:pt idx="305">
                  <c:v>28.156449865267408</c:v>
                </c:pt>
                <c:pt idx="306">
                  <c:v>8.8306328103894476</c:v>
                </c:pt>
                <c:pt idx="307">
                  <c:v>12.325220663218978</c:v>
                </c:pt>
                <c:pt idx="308">
                  <c:v>29.879260731909788</c:v>
                </c:pt>
                <c:pt idx="309">
                  <c:v>30.920124998669547</c:v>
                </c:pt>
                <c:pt idx="310">
                  <c:v>31.026781248347529</c:v>
                </c:pt>
                <c:pt idx="311">
                  <c:v>20.091526249159525</c:v>
                </c:pt>
                <c:pt idx="312">
                  <c:v>11.911543657943996</c:v>
                </c:pt>
                <c:pt idx="313">
                  <c:v>20.797470812953701</c:v>
                </c:pt>
                <c:pt idx="314">
                  <c:v>28.228728387586276</c:v>
                </c:pt>
                <c:pt idx="315">
                  <c:v>28.001998253678671</c:v>
                </c:pt>
                <c:pt idx="316">
                  <c:v>28.150018885768386</c:v>
                </c:pt>
                <c:pt idx="317">
                  <c:v>11.957295506144707</c:v>
                </c:pt>
                <c:pt idx="318">
                  <c:v>13.086977853473767</c:v>
                </c:pt>
                <c:pt idx="319">
                  <c:v>27.562433002505657</c:v>
                </c:pt>
                <c:pt idx="320">
                  <c:v>12.11135541387241</c:v>
                </c:pt>
                <c:pt idx="321">
                  <c:v>13.923432601894227</c:v>
                </c:pt>
                <c:pt idx="322">
                  <c:v>5.8279857302520854</c:v>
                </c:pt>
                <c:pt idx="323">
                  <c:v>19.329843150157686</c:v>
                </c:pt>
                <c:pt idx="324">
                  <c:v>3.1138319036649418</c:v>
                </c:pt>
                <c:pt idx="325">
                  <c:v>9.5217375492836709</c:v>
                </c:pt>
                <c:pt idx="326">
                  <c:v>13.009409233999607</c:v>
                </c:pt>
                <c:pt idx="327">
                  <c:v>13.615698286275929</c:v>
                </c:pt>
                <c:pt idx="328">
                  <c:v>3.9927939006028299</c:v>
                </c:pt>
                <c:pt idx="329">
                  <c:v>14.111222460036723</c:v>
                </c:pt>
                <c:pt idx="330">
                  <c:v>15.933824084457697</c:v>
                </c:pt>
                <c:pt idx="331">
                  <c:v>8.9846441726201345</c:v>
                </c:pt>
                <c:pt idx="332">
                  <c:v>9.9886378013548054</c:v>
                </c:pt>
                <c:pt idx="333">
                  <c:v>4.4513398966050497</c:v>
                </c:pt>
                <c:pt idx="334">
                  <c:v>3.3015104503365835</c:v>
                </c:pt>
                <c:pt idx="335">
                  <c:v>5.7568291633109281</c:v>
                </c:pt>
                <c:pt idx="336">
                  <c:v>10.63348792092725</c:v>
                </c:pt>
                <c:pt idx="337">
                  <c:v>20.799787381195852</c:v>
                </c:pt>
                <c:pt idx="338">
                  <c:v>24.636275202576268</c:v>
                </c:pt>
                <c:pt idx="339">
                  <c:v>15.606139277599226</c:v>
                </c:pt>
                <c:pt idx="340">
                  <c:v>18.253036834374306</c:v>
                </c:pt>
                <c:pt idx="341">
                  <c:v>4.4457724858950902</c:v>
                </c:pt>
                <c:pt idx="342">
                  <c:v>8.982163321990555</c:v>
                </c:pt>
                <c:pt idx="343">
                  <c:v>15.019206739612297</c:v>
                </c:pt>
                <c:pt idx="344">
                  <c:v>14.312950823930359</c:v>
                </c:pt>
                <c:pt idx="345">
                  <c:v>6.6007290441157229</c:v>
                </c:pt>
                <c:pt idx="346">
                  <c:v>6.1810654526830824</c:v>
                </c:pt>
                <c:pt idx="347">
                  <c:v>14.503304053652522</c:v>
                </c:pt>
                <c:pt idx="348">
                  <c:v>6.9001815542349183</c:v>
                </c:pt>
                <c:pt idx="349">
                  <c:v>4.9472921786648119</c:v>
                </c:pt>
                <c:pt idx="350">
                  <c:v>2.7574324450804961</c:v>
                </c:pt>
                <c:pt idx="351">
                  <c:v>18.642092756716103</c:v>
                </c:pt>
                <c:pt idx="352">
                  <c:v>16.667265819408392</c:v>
                </c:pt>
                <c:pt idx="353">
                  <c:v>3.7324328930427479</c:v>
                </c:pt>
                <c:pt idx="354">
                  <c:v>19.023691880062483</c:v>
                </c:pt>
                <c:pt idx="355">
                  <c:v>18.602261539884662</c:v>
                </c:pt>
                <c:pt idx="356">
                  <c:v>18.73081047943127</c:v>
                </c:pt>
                <c:pt idx="357">
                  <c:v>19.890257894229396</c:v>
                </c:pt>
                <c:pt idx="358">
                  <c:v>11.163446760240605</c:v>
                </c:pt>
                <c:pt idx="359">
                  <c:v>19.061108053679529</c:v>
                </c:pt>
                <c:pt idx="360">
                  <c:v>6.4555568044817822</c:v>
                </c:pt>
                <c:pt idx="361">
                  <c:v>20.760643318223508</c:v>
                </c:pt>
                <c:pt idx="362">
                  <c:v>10.567027733544183</c:v>
                </c:pt>
                <c:pt idx="363">
                  <c:v>14.427794176322736</c:v>
                </c:pt>
                <c:pt idx="364">
                  <c:v>12.426127602909654</c:v>
                </c:pt>
                <c:pt idx="365">
                  <c:v>15.010751265155504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186176"/>
        <c:axId val="471418056"/>
      </c:lineChart>
      <c:dateAx>
        <c:axId val="473186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1418056"/>
        <c:crosses val="autoZero"/>
        <c:auto val="1"/>
        <c:lblOffset val="100"/>
        <c:baseTimeUnit val="days"/>
        <c:majorUnit val="1"/>
        <c:majorTimeUnit val="months"/>
      </c:dateAx>
      <c:valAx>
        <c:axId val="47141805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318617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3.4223390058834791E-2</c:v>
                </c:pt>
                <c:pt idx="1">
                  <c:v>3.4241898947235283E-2</c:v>
                </c:pt>
                <c:pt idx="2">
                  <c:v>3.4260407480917188E-2</c:v>
                </c:pt>
                <c:pt idx="3">
                  <c:v>3.4278915659887166E-2</c:v>
                </c:pt>
                <c:pt idx="4">
                  <c:v>3.4297423484152101E-2</c:v>
                </c:pt>
                <c:pt idx="5">
                  <c:v>3.4315930953718876E-2</c:v>
                </c:pt>
                <c:pt idx="6">
                  <c:v>3.4334438068594264E-2</c:v>
                </c:pt>
                <c:pt idx="7">
                  <c:v>3.4352944828784926E-2</c:v>
                </c:pt>
                <c:pt idx="8">
                  <c:v>3.4371451234297856E-2</c:v>
                </c:pt>
                <c:pt idx="9">
                  <c:v>3.4389957285139605E-2</c:v>
                </c:pt>
                <c:pt idx="10">
                  <c:v>3.4408462981317167E-2</c:v>
                </c:pt>
                <c:pt idx="11">
                  <c:v>3.4426968322837315E-2</c:v>
                </c:pt>
                <c:pt idx="12">
                  <c:v>3.444547330970682E-2</c:v>
                </c:pt>
                <c:pt idx="13">
                  <c:v>3.4463977941932455E-2</c:v>
                </c:pt>
                <c:pt idx="14">
                  <c:v>3.4482482219520993E-2</c:v>
                </c:pt>
                <c:pt idx="15">
                  <c:v>3.4500986142479317E-2</c:v>
                </c:pt>
                <c:pt idx="16">
                  <c:v>3.45194897108142E-2</c:v>
                </c:pt>
                <c:pt idx="17">
                  <c:v>3.4537992924532412E-2</c:v>
                </c:pt>
                <c:pt idx="18">
                  <c:v>3.4556495783640728E-2</c:v>
                </c:pt>
                <c:pt idx="19">
                  <c:v>3.4574998288145919E-2</c:v>
                </c:pt>
                <c:pt idx="20">
                  <c:v>3.459350043805498E-2</c:v>
                </c:pt>
                <c:pt idx="21">
                  <c:v>3.4612002233374461E-2</c:v>
                </c:pt>
                <c:pt idx="22">
                  <c:v>3.4630503674111246E-2</c:v>
                </c:pt>
                <c:pt idx="23">
                  <c:v>3.4649004760272106E-2</c:v>
                </c:pt>
                <c:pt idx="24">
                  <c:v>3.4667505491863926E-2</c:v>
                </c:pt>
                <c:pt idx="25">
                  <c:v>3.4686005868893477E-2</c:v>
                </c:pt>
                <c:pt idx="26">
                  <c:v>3.4704505891367532E-2</c:v>
                </c:pt>
                <c:pt idx="27">
                  <c:v>3.4723005559292752E-2</c:v>
                </c:pt>
                <c:pt idx="28">
                  <c:v>3.4741504872676132E-2</c:v>
                </c:pt>
                <c:pt idx="29">
                  <c:v>3.4760003831524444E-2</c:v>
                </c:pt>
                <c:pt idx="30">
                  <c:v>3.477850243584435E-2</c:v>
                </c:pt>
                <c:pt idx="31">
                  <c:v>3.4797000685642732E-2</c:v>
                </c:pt>
                <c:pt idx="32">
                  <c:v>3.4815498580926474E-2</c:v>
                </c:pt>
                <c:pt idx="33">
                  <c:v>3.4833996121702127E-2</c:v>
                </c:pt>
                <c:pt idx="34">
                  <c:v>3.4852493307976795E-2</c:v>
                </c:pt>
                <c:pt idx="35">
                  <c:v>3.4870990139756919E-2</c:v>
                </c:pt>
                <c:pt idx="36">
                  <c:v>3.4889486617049603E-2</c:v>
                </c:pt>
                <c:pt idx="37">
                  <c:v>3.4907982739861509E-2</c:v>
                </c:pt>
                <c:pt idx="38">
                  <c:v>3.492647850819941E-2</c:v>
                </c:pt>
                <c:pt idx="39">
                  <c:v>3.4944973922070188E-2</c:v>
                </c:pt>
                <c:pt idx="40">
                  <c:v>3.4963468981480506E-2</c:v>
                </c:pt>
                <c:pt idx="41">
                  <c:v>3.4981963686437245E-2</c:v>
                </c:pt>
                <c:pt idx="42">
                  <c:v>3.5000458036947291E-2</c:v>
                </c:pt>
                <c:pt idx="43">
                  <c:v>3.5018952033017192E-2</c:v>
                </c:pt>
                <c:pt idx="44">
                  <c:v>3.5037445674653944E-2</c:v>
                </c:pt>
                <c:pt idx="45">
                  <c:v>3.5055938961864208E-2</c:v>
                </c:pt>
                <c:pt idx="46">
                  <c:v>3.5074431894654867E-2</c:v>
                </c:pt>
                <c:pt idx="47">
                  <c:v>3.5092924473032805E-2</c:v>
                </c:pt>
                <c:pt idx="48">
                  <c:v>3.5111416697004572E-2</c:v>
                </c:pt>
                <c:pt idx="49">
                  <c:v>3.5129908566577051E-2</c:v>
                </c:pt>
                <c:pt idx="50">
                  <c:v>3.5148400081757125E-2</c:v>
                </c:pt>
                <c:pt idx="51">
                  <c:v>3.5166891242551568E-2</c:v>
                </c:pt>
                <c:pt idx="52">
                  <c:v>3.5185382048967151E-2</c:v>
                </c:pt>
                <c:pt idx="53">
                  <c:v>3.5203872501010536E-2</c:v>
                </c:pt>
                <c:pt idx="54">
                  <c:v>3.5222362598688717E-2</c:v>
                </c:pt>
                <c:pt idx="55">
                  <c:v>3.5240852342008355E-2</c:v>
                </c:pt>
                <c:pt idx="56">
                  <c:v>3.5259341730976335E-2</c:v>
                </c:pt>
                <c:pt idx="57">
                  <c:v>3.5277830765599316E-2</c:v>
                </c:pt>
                <c:pt idx="58">
                  <c:v>3.5296319445884183E-2</c:v>
                </c:pt>
                <c:pt idx="59">
                  <c:v>3.5314807771837708E-2</c:v>
                </c:pt>
                <c:pt idx="60">
                  <c:v>3.5333295743466664E-2</c:v>
                </c:pt>
                <c:pt idx="61">
                  <c:v>3.5351783360777933E-2</c:v>
                </c:pt>
                <c:pt idx="62">
                  <c:v>3.5370270623778177E-2</c:v>
                </c:pt>
                <c:pt idx="63">
                  <c:v>3.538875753247428E-2</c:v>
                </c:pt>
                <c:pt idx="64">
                  <c:v>3.5407244086873013E-2</c:v>
                </c:pt>
                <c:pt idx="65">
                  <c:v>3.542573028698115E-2</c:v>
                </c:pt>
                <c:pt idx="66">
                  <c:v>3.5444216132805351E-2</c:v>
                </c:pt>
                <c:pt idx="67">
                  <c:v>3.5462701624352722E-2</c:v>
                </c:pt>
                <c:pt idx="68">
                  <c:v>3.5481186761629702E-2</c:v>
                </c:pt>
                <c:pt idx="69">
                  <c:v>3.5499671544643396E-2</c:v>
                </c:pt>
                <c:pt idx="70">
                  <c:v>3.5518155973400356E-2</c:v>
                </c:pt>
                <c:pt idx="71">
                  <c:v>3.5536640047907353E-2</c:v>
                </c:pt>
                <c:pt idx="72">
                  <c:v>3.5555123768171493E-2</c:v>
                </c:pt>
                <c:pt idx="73">
                  <c:v>3.5573607134199214E-2</c:v>
                </c:pt>
                <c:pt idx="74">
                  <c:v>3.5592090145997402E-2</c:v>
                </c:pt>
                <c:pt idx="75">
                  <c:v>3.5610572803572937E-2</c:v>
                </c:pt>
                <c:pt idx="76">
                  <c:v>3.5629055106932594E-2</c:v>
                </c:pt>
                <c:pt idx="77">
                  <c:v>3.5647537056083145E-2</c:v>
                </c:pt>
                <c:pt idx="78">
                  <c:v>3.566601865103125E-2</c:v>
                </c:pt>
                <c:pt idx="79">
                  <c:v>3.5684499891783905E-2</c:v>
                </c:pt>
                <c:pt idx="80">
                  <c:v>3.570298077834777E-2</c:v>
                </c:pt>
                <c:pt idx="81">
                  <c:v>3.5721461310729619E-2</c:v>
                </c:pt>
                <c:pt idx="82">
                  <c:v>3.5739941488936333E-2</c:v>
                </c:pt>
                <c:pt idx="83">
                  <c:v>3.5758421312974686E-2</c:v>
                </c:pt>
                <c:pt idx="84">
                  <c:v>3.577690078285134E-2</c:v>
                </c:pt>
                <c:pt idx="85">
                  <c:v>3.5795379898573176E-2</c:v>
                </c:pt>
                <c:pt idx="86">
                  <c:v>3.5813858660146969E-2</c:v>
                </c:pt>
                <c:pt idx="87">
                  <c:v>3.58323370675796E-2</c:v>
                </c:pt>
                <c:pt idx="88">
                  <c:v>3.5850815120877733E-2</c:v>
                </c:pt>
                <c:pt idx="89">
                  <c:v>3.5869292820048138E-2</c:v>
                </c:pt>
                <c:pt idx="90">
                  <c:v>3.5887770165097699E-2</c:v>
                </c:pt>
                <c:pt idx="91">
                  <c:v>3.5906247156033078E-2</c:v>
                </c:pt>
                <c:pt idx="92">
                  <c:v>3.5924723792861268E-2</c:v>
                </c:pt>
                <c:pt idx="93">
                  <c:v>3.5943200075588821E-2</c:v>
                </c:pt>
                <c:pt idx="94">
                  <c:v>3.596167600422262E-2</c:v>
                </c:pt>
                <c:pt idx="95">
                  <c:v>3.5980151578769548E-2</c:v>
                </c:pt>
                <c:pt idx="96">
                  <c:v>3.5998626799236266E-2</c:v>
                </c:pt>
                <c:pt idx="97">
                  <c:v>3.6017101665629658E-2</c:v>
                </c:pt>
                <c:pt idx="98">
                  <c:v>3.6035576177956385E-2</c:v>
                </c:pt>
                <c:pt idx="99">
                  <c:v>3.6054050336223331E-2</c:v>
                </c:pt>
                <c:pt idx="100">
                  <c:v>3.6072524140437157E-2</c:v>
                </c:pt>
                <c:pt idx="101">
                  <c:v>3.6090997590604856E-2</c:v>
                </c:pt>
                <c:pt idx="102">
                  <c:v>3.6109470686732981E-2</c:v>
                </c:pt>
                <c:pt idx="103">
                  <c:v>3.6127943428828524E-2</c:v>
                </c:pt>
                <c:pt idx="104">
                  <c:v>3.6146415816898148E-2</c:v>
                </c:pt>
                <c:pt idx="105">
                  <c:v>3.6164887850948735E-2</c:v>
                </c:pt>
                <c:pt idx="106">
                  <c:v>3.6183359530986947E-2</c:v>
                </c:pt>
                <c:pt idx="107">
                  <c:v>3.6201830857019557E-2</c:v>
                </c:pt>
                <c:pt idx="108">
                  <c:v>3.6220301829053558E-2</c:v>
                </c:pt>
                <c:pt idx="109">
                  <c:v>3.6238772447095502E-2</c:v>
                </c:pt>
                <c:pt idx="110">
                  <c:v>3.6257242711152271E-2</c:v>
                </c:pt>
                <c:pt idx="111">
                  <c:v>3.6275712621230638E-2</c:v>
                </c:pt>
                <c:pt idx="112">
                  <c:v>3.6294182177337375E-2</c:v>
                </c:pt>
                <c:pt idx="113">
                  <c:v>3.6312651379479366E-2</c:v>
                </c:pt>
                <c:pt idx="114">
                  <c:v>3.6331120227663272E-2</c:v>
                </c:pt>
                <c:pt idx="115">
                  <c:v>3.6349588721895865E-2</c:v>
                </c:pt>
                <c:pt idx="116">
                  <c:v>3.6368056862184028E-2</c:v>
                </c:pt>
                <c:pt idx="117">
                  <c:v>3.6386524648534535E-2</c:v>
                </c:pt>
                <c:pt idx="118">
                  <c:v>3.6404992080954046E-2</c:v>
                </c:pt>
                <c:pt idx="119">
                  <c:v>3.6423459159449445E-2</c:v>
                </c:pt>
                <c:pt idx="120">
                  <c:v>3.6441925884027615E-2</c:v>
                </c:pt>
                <c:pt idx="121">
                  <c:v>3.6460392254695106E-2</c:v>
                </c:pt>
                <c:pt idx="122">
                  <c:v>3.6478858271458803E-2</c:v>
                </c:pt>
                <c:pt idx="123">
                  <c:v>3.6497323934325476E-2</c:v>
                </c:pt>
                <c:pt idx="124">
                  <c:v>3.651578924330201E-2</c:v>
                </c:pt>
                <c:pt idx="125">
                  <c:v>3.6534254198395177E-2</c:v>
                </c:pt>
                <c:pt idx="126">
                  <c:v>3.6552718799611528E-2</c:v>
                </c:pt>
                <c:pt idx="127">
                  <c:v>3.6571183046958056E-2</c:v>
                </c:pt>
                <c:pt idx="128">
                  <c:v>3.6589646940441534E-2</c:v>
                </c:pt>
                <c:pt idx="129">
                  <c:v>3.6608110480068734E-2</c:v>
                </c:pt>
                <c:pt idx="130">
                  <c:v>3.6626573665846429E-2</c:v>
                </c:pt>
                <c:pt idx="131">
                  <c:v>3.664503649778128E-2</c:v>
                </c:pt>
                <c:pt idx="132">
                  <c:v>3.6663498975880171E-2</c:v>
                </c:pt>
                <c:pt idx="133">
                  <c:v>3.6681961100149985E-2</c:v>
                </c:pt>
                <c:pt idx="134">
                  <c:v>3.6700422870597382E-2</c:v>
                </c:pt>
                <c:pt idx="135">
                  <c:v>3.6718884287229026E-2</c:v>
                </c:pt>
                <c:pt idx="136">
                  <c:v>3.6737345350051909E-2</c:v>
                </c:pt>
                <c:pt idx="137">
                  <c:v>3.6755806059072804E-2</c:v>
                </c:pt>
                <c:pt idx="138">
                  <c:v>3.6774266414298373E-2</c:v>
                </c:pt>
                <c:pt idx="139">
                  <c:v>3.6792726415735388E-2</c:v>
                </c:pt>
                <c:pt idx="140">
                  <c:v>3.6811186063390733E-2</c:v>
                </c:pt>
                <c:pt idx="141">
                  <c:v>3.6829645357271179E-2</c:v>
                </c:pt>
                <c:pt idx="142">
                  <c:v>3.6848104297383499E-2</c:v>
                </c:pt>
                <c:pt idx="143">
                  <c:v>3.6866562883734355E-2</c:v>
                </c:pt>
                <c:pt idx="144">
                  <c:v>3.688502111633063E-2</c:v>
                </c:pt>
                <c:pt idx="145">
                  <c:v>3.6903478995179095E-2</c:v>
                </c:pt>
                <c:pt idx="146">
                  <c:v>3.6921936520286525E-2</c:v>
                </c:pt>
                <c:pt idx="147">
                  <c:v>3.694039369165969E-2</c:v>
                </c:pt>
                <c:pt idx="148">
                  <c:v>3.6958850509305363E-2</c:v>
                </c:pt>
                <c:pt idx="149">
                  <c:v>3.6977306973230428E-2</c:v>
                </c:pt>
                <c:pt idx="150">
                  <c:v>3.6995763083441435E-2</c:v>
                </c:pt>
                <c:pt idx="151">
                  <c:v>3.7014218839945379E-2</c:v>
                </c:pt>
                <c:pt idx="152">
                  <c:v>3.703267424274892E-2</c:v>
                </c:pt>
                <c:pt idx="153">
                  <c:v>3.7051129291858942E-2</c:v>
                </c:pt>
                <c:pt idx="154">
                  <c:v>3.7069583987282106E-2</c:v>
                </c:pt>
                <c:pt idx="155">
                  <c:v>3.7088038329025297E-2</c:v>
                </c:pt>
                <c:pt idx="156">
                  <c:v>3.7106492317095174E-2</c:v>
                </c:pt>
                <c:pt idx="157">
                  <c:v>3.7124945951498622E-2</c:v>
                </c:pt>
                <c:pt idx="158">
                  <c:v>3.7143399232242413E-2</c:v>
                </c:pt>
                <c:pt idx="159">
                  <c:v>3.7161852159333209E-2</c:v>
                </c:pt>
                <c:pt idx="160">
                  <c:v>3.7180304732777891E-2</c:v>
                </c:pt>
                <c:pt idx="161">
                  <c:v>3.7198756952583234E-2</c:v>
                </c:pt>
                <c:pt idx="162">
                  <c:v>3.7217208818755898E-2</c:v>
                </c:pt>
                <c:pt idx="163">
                  <c:v>3.7235660331302878E-2</c:v>
                </c:pt>
                <c:pt idx="164">
                  <c:v>3.7254111490230724E-2</c:v>
                </c:pt>
                <c:pt idx="165">
                  <c:v>3.727256229554643E-2</c:v>
                </c:pt>
                <c:pt idx="166">
                  <c:v>3.7291012747256658E-2</c:v>
                </c:pt>
                <c:pt idx="167">
                  <c:v>3.7309462845368069E-2</c:v>
                </c:pt>
                <c:pt idx="168">
                  <c:v>3.7327912589887657E-2</c:v>
                </c:pt>
                <c:pt idx="169">
                  <c:v>3.7346361980822085E-2</c:v>
                </c:pt>
                <c:pt idx="170">
                  <c:v>3.7364811018178123E-2</c:v>
                </c:pt>
                <c:pt idx="171">
                  <c:v>3.7383259701962546E-2</c:v>
                </c:pt>
                <c:pt idx="172">
                  <c:v>3.7401708032182235E-2</c:v>
                </c:pt>
                <c:pt idx="173">
                  <c:v>3.7420156008843852E-2</c:v>
                </c:pt>
                <c:pt idx="174">
                  <c:v>3.743860363195417E-2</c:v>
                </c:pt>
                <c:pt idx="175">
                  <c:v>3.7457050901520073E-2</c:v>
                </c:pt>
                <c:pt idx="176">
                  <c:v>3.7475497817548109E-2</c:v>
                </c:pt>
                <c:pt idx="177">
                  <c:v>3.7493944380045385E-2</c:v>
                </c:pt>
                <c:pt idx="178">
                  <c:v>3.7512390589018452E-2</c:v>
                </c:pt>
                <c:pt idx="179">
                  <c:v>3.7530836444474081E-2</c:v>
                </c:pt>
                <c:pt idx="180">
                  <c:v>3.7549281946419044E-2</c:v>
                </c:pt>
                <c:pt idx="181">
                  <c:v>3.7567727094860337E-2</c:v>
                </c:pt>
                <c:pt idx="182">
                  <c:v>3.7586171889804398E-2</c:v>
                </c:pt>
                <c:pt idx="183">
                  <c:v>3.7604616331258334E-2</c:v>
                </c:pt>
                <c:pt idx="184">
                  <c:v>3.7623060419228582E-2</c:v>
                </c:pt>
                <c:pt idx="185">
                  <c:v>3.7641504153722249E-2</c:v>
                </c:pt>
                <c:pt idx="186">
                  <c:v>3.7659947534745886E-2</c:v>
                </c:pt>
                <c:pt idx="187">
                  <c:v>3.7678390562306263E-2</c:v>
                </c:pt>
                <c:pt idx="188">
                  <c:v>3.7696833236410376E-2</c:v>
                </c:pt>
                <c:pt idx="189">
                  <c:v>3.7715275557064776E-2</c:v>
                </c:pt>
                <c:pt idx="190">
                  <c:v>3.7733717524276233E-2</c:v>
                </c:pt>
                <c:pt idx="191">
                  <c:v>3.7752159138051744E-2</c:v>
                </c:pt>
                <c:pt idx="192">
                  <c:v>3.7770600398397858E-2</c:v>
                </c:pt>
                <c:pt idx="193">
                  <c:v>3.7789041305321347E-2</c:v>
                </c:pt>
                <c:pt idx="194">
                  <c:v>3.7807481858829206E-2</c:v>
                </c:pt>
                <c:pt idx="195">
                  <c:v>3.7825922058927985E-2</c:v>
                </c:pt>
                <c:pt idx="196">
                  <c:v>3.7844361905624457E-2</c:v>
                </c:pt>
                <c:pt idx="197">
                  <c:v>3.7862801398925616E-2</c:v>
                </c:pt>
                <c:pt idx="198">
                  <c:v>3.7881240538838012E-2</c:v>
                </c:pt>
                <c:pt idx="199">
                  <c:v>3.7899679325368529E-2</c:v>
                </c:pt>
                <c:pt idx="200">
                  <c:v>3.7918117758523939E-2</c:v>
                </c:pt>
                <c:pt idx="201">
                  <c:v>3.7936555838310904E-2</c:v>
                </c:pt>
                <c:pt idx="202">
                  <c:v>3.7954993564736306E-2</c:v>
                </c:pt>
                <c:pt idx="203">
                  <c:v>3.7973430937806918E-2</c:v>
                </c:pt>
                <c:pt idx="204">
                  <c:v>3.7991867957529513E-2</c:v>
                </c:pt>
                <c:pt idx="205">
                  <c:v>3.8010304623910751E-2</c:v>
                </c:pt>
                <c:pt idx="206">
                  <c:v>3.8028740936957517E-2</c:v>
                </c:pt>
                <c:pt idx="207">
                  <c:v>3.8047176896676582E-2</c:v>
                </c:pt>
                <c:pt idx="208">
                  <c:v>3.8065612503074608E-2</c:v>
                </c:pt>
                <c:pt idx="209">
                  <c:v>3.8084047756158479E-2</c:v>
                </c:pt>
                <c:pt idx="210">
                  <c:v>3.8102482655934966E-2</c:v>
                </c:pt>
                <c:pt idx="211">
                  <c:v>3.8120917202410731E-2</c:v>
                </c:pt>
                <c:pt idx="212">
                  <c:v>3.8139351395592658E-2</c:v>
                </c:pt>
                <c:pt idx="213">
                  <c:v>3.8157785235487518E-2</c:v>
                </c:pt>
                <c:pt idx="214">
                  <c:v>3.8176218722101973E-2</c:v>
                </c:pt>
                <c:pt idx="215">
                  <c:v>3.8194651855442907E-2</c:v>
                </c:pt>
                <c:pt idx="216">
                  <c:v>3.8213084635517092E-2</c:v>
                </c:pt>
                <c:pt idx="217">
                  <c:v>3.8231517062331188E-2</c:v>
                </c:pt>
                <c:pt idx="218">
                  <c:v>3.824994913589197E-2</c:v>
                </c:pt>
                <c:pt idx="219">
                  <c:v>3.8268380856206319E-2</c:v>
                </c:pt>
                <c:pt idx="220">
                  <c:v>3.8286812223281008E-2</c:v>
                </c:pt>
                <c:pt idx="221">
                  <c:v>3.8305243237122699E-2</c:v>
                </c:pt>
                <c:pt idx="222">
                  <c:v>3.8323673897738275E-2</c:v>
                </c:pt>
                <c:pt idx="223">
                  <c:v>3.8342104205134397E-2</c:v>
                </c:pt>
                <c:pt idx="224">
                  <c:v>3.8360534159317838E-2</c:v>
                </c:pt>
                <c:pt idx="225">
                  <c:v>3.8378963760295481E-2</c:v>
                </c:pt>
                <c:pt idx="226">
                  <c:v>3.8397393008073988E-2</c:v>
                </c:pt>
                <c:pt idx="227">
                  <c:v>3.8415821902660241E-2</c:v>
                </c:pt>
                <c:pt idx="228">
                  <c:v>3.8434250444060791E-2</c:v>
                </c:pt>
                <c:pt idx="229">
                  <c:v>3.8452678632282633E-2</c:v>
                </c:pt>
                <c:pt idx="230">
                  <c:v>3.8471106467332539E-2</c:v>
                </c:pt>
                <c:pt idx="231">
                  <c:v>3.8489533949217059E-2</c:v>
                </c:pt>
                <c:pt idx="232">
                  <c:v>3.8507961077943076E-2</c:v>
                </c:pt>
                <c:pt idx="233">
                  <c:v>3.8526387853517474E-2</c:v>
                </c:pt>
                <c:pt idx="234">
                  <c:v>3.8544814275946915E-2</c:v>
                </c:pt>
                <c:pt idx="235">
                  <c:v>3.8563240345238059E-2</c:v>
                </c:pt>
                <c:pt idx="236">
                  <c:v>3.8581666061397901E-2</c:v>
                </c:pt>
                <c:pt idx="237">
                  <c:v>3.8600091424433103E-2</c:v>
                </c:pt>
                <c:pt idx="238">
                  <c:v>3.8618516434350325E-2</c:v>
                </c:pt>
                <c:pt idx="239">
                  <c:v>3.8636941091156562E-2</c:v>
                </c:pt>
                <c:pt idx="240">
                  <c:v>3.8655365394858365E-2</c:v>
                </c:pt>
                <c:pt idx="241">
                  <c:v>3.8673789345462617E-2</c:v>
                </c:pt>
                <c:pt idx="242">
                  <c:v>3.869221294297609E-2</c:v>
                </c:pt>
                <c:pt idx="243">
                  <c:v>3.8710636187405445E-2</c:v>
                </c:pt>
                <c:pt idx="244">
                  <c:v>3.8729059078757566E-2</c:v>
                </c:pt>
                <c:pt idx="245">
                  <c:v>3.8747481617039226E-2</c:v>
                </c:pt>
                <c:pt idx="246">
                  <c:v>3.8765903802257085E-2</c:v>
                </c:pt>
                <c:pt idx="247">
                  <c:v>3.8784325634417915E-2</c:v>
                </c:pt>
                <c:pt idx="248">
                  <c:v>3.8802747113528602E-2</c:v>
                </c:pt>
                <c:pt idx="249">
                  <c:v>3.8821168239595916E-2</c:v>
                </c:pt>
                <c:pt idx="250">
                  <c:v>3.8839589012626408E-2</c:v>
                </c:pt>
                <c:pt idx="251">
                  <c:v>3.8858009432627072E-2</c:v>
                </c:pt>
                <c:pt idx="252">
                  <c:v>3.887642949960457E-2</c:v>
                </c:pt>
                <c:pt idx="253">
                  <c:v>3.8894849213565674E-2</c:v>
                </c:pt>
                <c:pt idx="254">
                  <c:v>3.8913268574517157E-2</c:v>
                </c:pt>
                <c:pt idx="255">
                  <c:v>3.893168758246579E-2</c:v>
                </c:pt>
                <c:pt idx="256">
                  <c:v>3.8950106237418458E-2</c:v>
                </c:pt>
                <c:pt idx="257">
                  <c:v>3.8968524539381599E-2</c:v>
                </c:pt>
                <c:pt idx="258">
                  <c:v>3.8986942488362319E-2</c:v>
                </c:pt>
                <c:pt idx="259">
                  <c:v>3.900536008436728E-2</c:v>
                </c:pt>
                <c:pt idx="260">
                  <c:v>3.9023777327403142E-2</c:v>
                </c:pt>
                <c:pt idx="261">
                  <c:v>3.9042194217476678E-2</c:v>
                </c:pt>
                <c:pt idx="262">
                  <c:v>3.9060610754594882E-2</c:v>
                </c:pt>
                <c:pt idx="263">
                  <c:v>3.9079026938764194E-2</c:v>
                </c:pt>
                <c:pt idx="264">
                  <c:v>3.9097442769991608E-2</c:v>
                </c:pt>
                <c:pt idx="265">
                  <c:v>3.9115858248283897E-2</c:v>
                </c:pt>
                <c:pt idx="266">
                  <c:v>3.913427337364761E-2</c:v>
                </c:pt>
                <c:pt idx="267">
                  <c:v>3.9152688146089742E-2</c:v>
                </c:pt>
                <c:pt idx="268">
                  <c:v>3.9171102565616955E-2</c:v>
                </c:pt>
                <c:pt idx="269">
                  <c:v>3.918951663223591E-2</c:v>
                </c:pt>
                <c:pt idx="270">
                  <c:v>3.9207930345953601E-2</c:v>
                </c:pt>
                <c:pt idx="271">
                  <c:v>3.9226343706776579E-2</c:v>
                </c:pt>
                <c:pt idx="272">
                  <c:v>3.9244756714711726E-2</c:v>
                </c:pt>
                <c:pt idx="273">
                  <c:v>3.9263169369765816E-2</c:v>
                </c:pt>
                <c:pt idx="274">
                  <c:v>3.928158167194562E-2</c:v>
                </c:pt>
                <c:pt idx="275">
                  <c:v>3.9299993621257689E-2</c:v>
                </c:pt>
                <c:pt idx="276">
                  <c:v>3.9318405217709129E-2</c:v>
                </c:pt>
                <c:pt idx="277">
                  <c:v>3.9336816461306379E-2</c:v>
                </c:pt>
                <c:pt idx="278">
                  <c:v>3.9355227352056432E-2</c:v>
                </c:pt>
                <c:pt idx="279">
                  <c:v>3.9373637889965951E-2</c:v>
                </c:pt>
                <c:pt idx="280">
                  <c:v>3.9392048075041708E-2</c:v>
                </c:pt>
                <c:pt idx="281">
                  <c:v>3.9410457907290475E-2</c:v>
                </c:pt>
                <c:pt idx="282">
                  <c:v>3.9428867386718913E-2</c:v>
                </c:pt>
                <c:pt idx="283">
                  <c:v>3.9447276513334018E-2</c:v>
                </c:pt>
                <c:pt idx="284">
                  <c:v>3.9465685287142338E-2</c:v>
                </c:pt>
                <c:pt idx="285">
                  <c:v>3.9484093708150647E-2</c:v>
                </c:pt>
                <c:pt idx="286">
                  <c:v>3.9502501776365939E-2</c:v>
                </c:pt>
                <c:pt idx="287">
                  <c:v>3.9520909491794654E-2</c:v>
                </c:pt>
                <c:pt idx="288">
                  <c:v>3.9539316854443785E-2</c:v>
                </c:pt>
                <c:pt idx="289">
                  <c:v>3.9557723864319994E-2</c:v>
                </c:pt>
                <c:pt idx="290">
                  <c:v>3.9576130521429942E-2</c:v>
                </c:pt>
                <c:pt idx="291">
                  <c:v>3.9594536825780624E-2</c:v>
                </c:pt>
                <c:pt idx="292">
                  <c:v>3.9612942777378701E-2</c:v>
                </c:pt>
                <c:pt idx="293">
                  <c:v>3.9631348376230835E-2</c:v>
                </c:pt>
                <c:pt idx="294">
                  <c:v>3.9649753622343908E-2</c:v>
                </c:pt>
                <c:pt idx="295">
                  <c:v>3.9668158515724694E-2</c:v>
                </c:pt>
                <c:pt idx="296">
                  <c:v>3.9686563056379853E-2</c:v>
                </c:pt>
                <c:pt idx="297">
                  <c:v>3.9704967244316158E-2</c:v>
                </c:pt>
                <c:pt idx="298">
                  <c:v>3.9723371079540382E-2</c:v>
                </c:pt>
                <c:pt idx="299">
                  <c:v>3.9741774562059295E-2</c:v>
                </c:pt>
                <c:pt idx="300">
                  <c:v>3.9760177691879783E-2</c:v>
                </c:pt>
                <c:pt idx="301">
                  <c:v>3.9778580469008396E-2</c:v>
                </c:pt>
                <c:pt idx="302">
                  <c:v>3.9796982893452015E-2</c:v>
                </c:pt>
                <c:pt idx="303">
                  <c:v>3.9815384965217304E-2</c:v>
                </c:pt>
                <c:pt idx="304">
                  <c:v>3.9833786684311145E-2</c:v>
                </c:pt>
                <c:pt idx="305">
                  <c:v>3.98521880507402E-2</c:v>
                </c:pt>
                <c:pt idx="306">
                  <c:v>3.9870589064511353E-2</c:v>
                </c:pt>
                <c:pt idx="307">
                  <c:v>3.9888989725631152E-2</c:v>
                </c:pt>
                <c:pt idx="308">
                  <c:v>3.9907390034106593E-2</c:v>
                </c:pt>
                <c:pt idx="309">
                  <c:v>3.9925789989944227E-2</c:v>
                </c:pt>
                <c:pt idx="310">
                  <c:v>3.9944189593150936E-2</c:v>
                </c:pt>
                <c:pt idx="311">
                  <c:v>3.9962588843733493E-2</c:v>
                </c:pt>
                <c:pt idx="312">
                  <c:v>3.9980987741698559E-2</c:v>
                </c:pt>
                <c:pt idx="313">
                  <c:v>3.9999386287052907E-2</c:v>
                </c:pt>
                <c:pt idx="314">
                  <c:v>4.001778447980342E-2</c:v>
                </c:pt>
                <c:pt idx="315">
                  <c:v>4.0036182319956759E-2</c:v>
                </c:pt>
                <c:pt idx="316">
                  <c:v>4.0054579807519586E-2</c:v>
                </c:pt>
                <c:pt idx="317">
                  <c:v>4.0072976942498895E-2</c:v>
                </c:pt>
                <c:pt idx="318">
                  <c:v>4.0091373724901236E-2</c:v>
                </c:pt>
                <c:pt idx="319">
                  <c:v>4.0109770154733382E-2</c:v>
                </c:pt>
                <c:pt idx="320">
                  <c:v>4.0128166232002327E-2</c:v>
                </c:pt>
                <c:pt idx="321">
                  <c:v>4.014656195671451E-2</c:v>
                </c:pt>
                <c:pt idx="322">
                  <c:v>4.0164957328876816E-2</c:v>
                </c:pt>
                <c:pt idx="323">
                  <c:v>4.0183352348496015E-2</c:v>
                </c:pt>
                <c:pt idx="324">
                  <c:v>4.0201747015578881E-2</c:v>
                </c:pt>
                <c:pt idx="325">
                  <c:v>4.0220141330132186E-2</c:v>
                </c:pt>
                <c:pt idx="326">
                  <c:v>4.0238535292162592E-2</c:v>
                </c:pt>
                <c:pt idx="327">
                  <c:v>4.025692890167698E-2</c:v>
                </c:pt>
                <c:pt idx="328">
                  <c:v>4.0275322158682014E-2</c:v>
                </c:pt>
                <c:pt idx="329">
                  <c:v>4.0293715063184465E-2</c:v>
                </c:pt>
                <c:pt idx="330">
                  <c:v>4.0312107615191106E-2</c:v>
                </c:pt>
                <c:pt idx="331">
                  <c:v>4.0330499814708598E-2</c:v>
                </c:pt>
                <c:pt idx="332">
                  <c:v>4.0348891661743935E-2</c:v>
                </c:pt>
                <c:pt idx="333">
                  <c:v>4.0367283156303557E-2</c:v>
                </c:pt>
                <c:pt idx="334">
                  <c:v>4.0385674298394458E-2</c:v>
                </c:pt>
                <c:pt idx="335">
                  <c:v>4.0404065088023411E-2</c:v>
                </c:pt>
                <c:pt idx="336">
                  <c:v>4.0422455525196965E-2</c:v>
                </c:pt>
                <c:pt idx="337">
                  <c:v>4.0440845609922005E-2</c:v>
                </c:pt>
                <c:pt idx="338">
                  <c:v>4.0459235342205191E-2</c:v>
                </c:pt>
                <c:pt idx="339">
                  <c:v>4.0477624722053518E-2</c:v>
                </c:pt>
                <c:pt idx="340">
                  <c:v>4.0496013749473425E-2</c:v>
                </c:pt>
                <c:pt idx="341">
                  <c:v>4.0514402424471907E-2</c:v>
                </c:pt>
                <c:pt idx="342">
                  <c:v>4.0532790747055625E-2</c:v>
                </c:pt>
                <c:pt idx="343">
                  <c:v>4.055117871723124E-2</c:v>
                </c:pt>
                <c:pt idx="344">
                  <c:v>4.0569566335005747E-2</c:v>
                </c:pt>
                <c:pt idx="345">
                  <c:v>4.0587953600385696E-2</c:v>
                </c:pt>
                <c:pt idx="346">
                  <c:v>4.0606340513377859E-2</c:v>
                </c:pt>
                <c:pt idx="347">
                  <c:v>4.0624727073989009E-2</c:v>
                </c:pt>
                <c:pt idx="348">
                  <c:v>4.0643113282226029E-2</c:v>
                </c:pt>
                <c:pt idx="349">
                  <c:v>4.0661499138095469E-2</c:v>
                </c:pt>
                <c:pt idx="350">
                  <c:v>4.0679884641604214E-2</c:v>
                </c:pt>
                <c:pt idx="351">
                  <c:v>4.0698269792758923E-2</c:v>
                </c:pt>
                <c:pt idx="352">
                  <c:v>4.0716654591566481E-2</c:v>
                </c:pt>
                <c:pt idx="353">
                  <c:v>4.0735039038033549E-2</c:v>
                </c:pt>
                <c:pt idx="354">
                  <c:v>4.0753423132166899E-2</c:v>
                </c:pt>
                <c:pt idx="355">
                  <c:v>4.0771806873973193E-2</c:v>
                </c:pt>
                <c:pt idx="356">
                  <c:v>4.0790190263459314E-2</c:v>
                </c:pt>
                <c:pt idx="357">
                  <c:v>4.0808573300632034E-2</c:v>
                </c:pt>
                <c:pt idx="358">
                  <c:v>4.0826955985498015E-2</c:v>
                </c:pt>
                <c:pt idx="359">
                  <c:v>4.0845338318064028E-2</c:v>
                </c:pt>
                <c:pt idx="360">
                  <c:v>4.0863720298336736E-2</c:v>
                </c:pt>
                <c:pt idx="361">
                  <c:v>4.0882101926323133E-2</c:v>
                </c:pt>
                <c:pt idx="362">
                  <c:v>4.0900483202029769E-2</c:v>
                </c:pt>
                <c:pt idx="363">
                  <c:v>4.0918864125463417E-2</c:v>
                </c:pt>
                <c:pt idx="364">
                  <c:v>4.0937244696630848E-2</c:v>
                </c:pt>
                <c:pt idx="365">
                  <c:v>4.0955624915538946E-2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2.9511734569786206E-2</c:v>
                </c:pt>
                <c:pt idx="1">
                  <c:v>2.9589421285969652E-2</c:v>
                </c:pt>
                <c:pt idx="2">
                  <c:v>2.9667075900753435E-2</c:v>
                </c:pt>
                <c:pt idx="3">
                  <c:v>2.9744692104028091E-2</c:v>
                </c:pt>
                <c:pt idx="4">
                  <c:v>2.9822264411026582E-2</c:v>
                </c:pt>
                <c:pt idx="5">
                  <c:v>2.9899788145135074E-2</c:v>
                </c:pt>
                <c:pt idx="6">
                  <c:v>2.997725941360669E-2</c:v>
                </c:pt>
                <c:pt idx="7">
                  <c:v>3.0054675076634028E-2</c:v>
                </c:pt>
                <c:pt idx="8">
                  <c:v>3.0132032710291547E-2</c:v>
                </c:pt>
                <c:pt idx="9">
                  <c:v>3.0209330563908159E-2</c:v>
                </c:pt>
                <c:pt idx="10">
                  <c:v>3.0286567512474258E-2</c:v>
                </c:pt>
                <c:pt idx="11">
                  <c:v>3.0363743004723352E-2</c:v>
                </c:pt>
                <c:pt idx="12">
                  <c:v>3.044085700755975E-2</c:v>
                </c:pt>
                <c:pt idx="13">
                  <c:v>3.051790994752537E-2</c:v>
                </c:pt>
                <c:pt idx="14">
                  <c:v>3.0594902650015687E-2</c:v>
                </c:pt>
                <c:pt idx="15">
                  <c:v>3.0671836276962922E-2</c:v>
                </c:pt>
                <c:pt idx="16">
                  <c:v>3.074871226370577E-2</c:v>
                </c:pt>
                <c:pt idx="17">
                  <c:v>3.0825532255759628E-2</c:v>
                </c:pt>
                <c:pt idx="18">
                  <c:v>3.0902298046187878E-2</c:v>
                </c:pt>
                <c:pt idx="19">
                  <c:v>3.0979011514255538E-2</c:v>
                </c:pt>
                <c:pt idx="20">
                  <c:v>3.1055674566020063E-2</c:v>
                </c:pt>
                <c:pt idx="21">
                  <c:v>3.1132289077481921E-2</c:v>
                </c:pt>
                <c:pt idx="22">
                  <c:v>3.120885684087921E-2</c:v>
                </c:pt>
                <c:pt idx="23">
                  <c:v>3.1285379514667366E-2</c:v>
                </c:pt>
                <c:pt idx="24">
                  <c:v>3.1361858577676406E-2</c:v>
                </c:pt>
                <c:pt idx="25">
                  <c:v>3.1438295287885956E-2</c:v>
                </c:pt>
                <c:pt idx="26">
                  <c:v>3.1514690646202034E-2</c:v>
                </c:pt>
                <c:pt idx="27">
                  <c:v>3.1591045365560275E-2</c:v>
                </c:pt>
                <c:pt idx="28">
                  <c:v>3.1667359845618949E-2</c:v>
                </c:pt>
                <c:pt idx="29">
                  <c:v>3.174363415324169E-2</c:v>
                </c:pt>
                <c:pt idx="30">
                  <c:v>3.1819868008905849E-2</c:v>
                </c:pt>
                <c:pt idx="31">
                  <c:v>3.1896060779107366E-2</c:v>
                </c:pt>
                <c:pt idx="32">
                  <c:v>3.1972211474769231E-2</c:v>
                </c:pt>
                <c:pt idx="33">
                  <c:v>3.2048318755597029E-2</c:v>
                </c:pt>
                <c:pt idx="34">
                  <c:v>3.2124380940263521E-2</c:v>
                </c:pt>
                <c:pt idx="35">
                  <c:v>3.2200396022245018E-2</c:v>
                </c:pt>
                <c:pt idx="36">
                  <c:v>3.2276361691075353E-2</c:v>
                </c:pt>
                <c:pt idx="37">
                  <c:v>3.2352275358730836E-2</c:v>
                </c:pt>
                <c:pt idx="38">
                  <c:v>3.2428134190809664E-2</c:v>
                </c:pt>
                <c:pt idx="39">
                  <c:v>3.2503935142124928E-2</c:v>
                </c:pt>
                <c:pt idx="40">
                  <c:v>3.2579674996290255E-2</c:v>
                </c:pt>
                <c:pt idx="41">
                  <c:v>3.2655350408841995E-2</c:v>
                </c:pt>
                <c:pt idx="42">
                  <c:v>3.2730957953412493E-2</c:v>
                </c:pt>
                <c:pt idx="43">
                  <c:v>3.2806494170445295E-2</c:v>
                </c:pt>
                <c:pt idx="44">
                  <c:v>3.2881955617924639E-2</c:v>
                </c:pt>
                <c:pt idx="45">
                  <c:v>3.2957338923580083E-2</c:v>
                </c:pt>
                <c:pt idx="46">
                  <c:v>3.3032640838019996E-2</c:v>
                </c:pt>
                <c:pt idx="47">
                  <c:v>3.3107858288248214E-2</c:v>
                </c:pt>
                <c:pt idx="48">
                  <c:v>3.318298843102295E-2</c:v>
                </c:pt>
                <c:pt idx="49">
                  <c:v>3.3258028705528291E-2</c:v>
                </c:pt>
                <c:pt idx="50">
                  <c:v>3.3332976884845204E-2</c:v>
                </c:pt>
                <c:pt idx="51">
                  <c:v>3.3407831125730314E-2</c:v>
                </c:pt>
                <c:pt idx="52">
                  <c:v>3.3482590016237275E-2</c:v>
                </c:pt>
                <c:pt idx="53">
                  <c:v>3.3557252620746082E-2</c:v>
                </c:pt>
                <c:pt idx="54">
                  <c:v>3.3631818522000576E-2</c:v>
                </c:pt>
                <c:pt idx="55">
                  <c:v>3.3706287859792516E-2</c:v>
                </c:pt>
                <c:pt idx="56">
                  <c:v>3.3780661365971673E-2</c:v>
                </c:pt>
                <c:pt idx="57">
                  <c:v>3.3854940395505365E-2</c:v>
                </c:pt>
                <c:pt idx="58">
                  <c:v>3.3929126953356155E-2</c:v>
                </c:pt>
                <c:pt idx="59">
                  <c:v>3.4003223716993526E-2</c:v>
                </c:pt>
                <c:pt idx="60">
                  <c:v>3.4077234054403084E-2</c:v>
                </c:pt>
                <c:pt idx="61">
                  <c:v>3.4151162037504748E-2</c:v>
                </c:pt>
                <c:pt idx="62">
                  <c:v>3.4225012450939056E-2</c:v>
                </c:pt>
                <c:pt idx="63">
                  <c:v>3.4298790796227309E-2</c:v>
                </c:pt>
                <c:pt idx="64">
                  <c:v>3.4372503291356771E-2</c:v>
                </c:pt>
                <c:pt idx="65">
                  <c:v>3.4446156865885147E-2</c:v>
                </c:pt>
                <c:pt idx="66">
                  <c:v>3.4519759151699712E-2</c:v>
                </c:pt>
                <c:pt idx="67">
                  <c:v>3.4593318469604652E-2</c:v>
                </c:pt>
                <c:pt idx="68">
                  <c:v>3.4666843811944299E-2</c:v>
                </c:pt>
                <c:pt idx="69">
                  <c:v>3.4740344821501956E-2</c:v>
                </c:pt>
                <c:pt idx="70">
                  <c:v>3.4813831766940778E-2</c:v>
                </c:pt>
                <c:pt idx="71">
                  <c:v>3.488731551507606E-2</c:v>
                </c:pt>
                <c:pt idx="72">
                  <c:v>3.4960807500287558E-2</c:v>
                </c:pt>
                <c:pt idx="73">
                  <c:v>3.5034319691393902E-2</c:v>
                </c:pt>
                <c:pt idx="74">
                  <c:v>3.510786455632163E-2</c:v>
                </c:pt>
                <c:pt idx="75">
                  <c:v>3.5181455024905266E-2</c:v>
                </c:pt>
                <c:pt idx="76">
                  <c:v>3.5255104450156227E-2</c:v>
                </c:pt>
                <c:pt idx="77">
                  <c:v>3.5328826568333707E-2</c:v>
                </c:pt>
                <c:pt idx="78">
                  <c:v>3.540263545814213E-2</c:v>
                </c:pt>
                <c:pt idx="79">
                  <c:v>3.5476545499367879E-2</c:v>
                </c:pt>
                <c:pt idx="80">
                  <c:v>3.5550571331250481E-2</c:v>
                </c:pt>
                <c:pt idx="81">
                  <c:v>3.562472781086478E-2</c:v>
                </c:pt>
                <c:pt idx="82">
                  <c:v>3.5699029971766001E-2</c:v>
                </c:pt>
                <c:pt idx="83">
                  <c:v>3.5773492983124829E-2</c:v>
                </c:pt>
                <c:pt idx="84">
                  <c:v>3.5848132109550283E-2</c:v>
                </c:pt>
                <c:pt idx="85">
                  <c:v>3.5922962671768366E-2</c:v>
                </c:pt>
                <c:pt idx="86">
                  <c:v>3.5998000008292272E-2</c:v>
                </c:pt>
                <c:pt idx="87">
                  <c:v>3.6073259438187434E-2</c:v>
                </c:pt>
                <c:pt idx="88">
                  <c:v>3.6148756225001154E-2</c:v>
                </c:pt>
                <c:pt idx="89">
                  <c:v>3.6224505541893506E-2</c:v>
                </c:pt>
                <c:pt idx="90">
                  <c:v>3.6300522437973409E-2</c:v>
                </c:pt>
                <c:pt idx="91">
                  <c:v>3.6376821805812296E-2</c:v>
                </c:pt>
                <c:pt idx="92">
                  <c:v>3.6453418350077545E-2</c:v>
                </c:pt>
                <c:pt idx="93">
                  <c:v>3.6530326557199698E-2</c:v>
                </c:pt>
                <c:pt idx="94">
                  <c:v>3.6607560665962276E-2</c:v>
                </c:pt>
                <c:pt idx="95">
                  <c:v>3.6685134638879478E-2</c:v>
                </c:pt>
                <c:pt idx="96">
                  <c:v>3.6763062134208054E-2</c:v>
                </c:pt>
                <c:pt idx="97">
                  <c:v>3.6841356478423085E-2</c:v>
                </c:pt>
                <c:pt idx="98">
                  <c:v>3.6920030638975553E-2</c:v>
                </c:pt>
                <c:pt idx="99">
                  <c:v>3.6999097197140778E-2</c:v>
                </c:pt>
                <c:pt idx="100">
                  <c:v>3.7078568320763235E-2</c:v>
                </c:pt>
                <c:pt idx="101">
                  <c:v>3.7158455736703115E-2</c:v>
                </c:pt>
                <c:pt idx="102">
                  <c:v>3.7238770702794799E-2</c:v>
                </c:pt>
                <c:pt idx="103">
                  <c:v>3.7319523979136231E-2</c:v>
                </c:pt>
                <c:pt idx="104">
                  <c:v>3.7400725798541562E-2</c:v>
                </c:pt>
                <c:pt idx="105">
                  <c:v>3.7482385836006667E-2</c:v>
                </c:pt>
                <c:pt idx="106">
                  <c:v>3.7564513177058785E-2</c:v>
                </c:pt>
                <c:pt idx="107">
                  <c:v>3.7647116284886435E-2</c:v>
                </c:pt>
                <c:pt idx="108">
                  <c:v>3.7730202966174513E-2</c:v>
                </c:pt>
                <c:pt idx="109">
                  <c:v>3.7813780335601344E-2</c:v>
                </c:pt>
                <c:pt idx="110">
                  <c:v>3.7897854778988542E-2</c:v>
                </c:pt>
                <c:pt idx="111">
                  <c:v>3.7982431915131724E-2</c:v>
                </c:pt>
                <c:pt idx="112">
                  <c:v>3.806751655637821E-2</c:v>
                </c:pt>
                <c:pt idx="113">
                  <c:v>3.8153112668058306E-2</c:v>
                </c:pt>
                <c:pt idx="114">
                  <c:v>3.8239223326916615E-2</c:v>
                </c:pt>
                <c:pt idx="115">
                  <c:v>3.8325850678731614E-2</c:v>
                </c:pt>
                <c:pt idx="116">
                  <c:v>3.8412995895351458E-2</c:v>
                </c:pt>
                <c:pt idx="117">
                  <c:v>3.8500659131414212E-2</c:v>
                </c:pt>
                <c:pt idx="118">
                  <c:v>3.85888394810582E-2</c:v>
                </c:pt>
                <c:pt idx="119">
                  <c:v>3.867753493496514E-2</c:v>
                </c:pt>
                <c:pt idx="120">
                  <c:v>3.8766742338111185E-2</c:v>
                </c:pt>
                <c:pt idx="121">
                  <c:v>3.8856457348632252E-2</c:v>
                </c:pt>
                <c:pt idx="122">
                  <c:v>3.8946674398235882E-2</c:v>
                </c:pt>
                <c:pt idx="123">
                  <c:v>3.9037386654615362E-2</c:v>
                </c:pt>
                <c:pt idx="124">
                  <c:v>3.9128585986338907E-2</c:v>
                </c:pt>
                <c:pt idx="125">
                  <c:v>3.922026293070071E-2</c:v>
                </c:pt>
                <c:pt idx="126">
                  <c:v>3.9312406665027805E-2</c:v>
                </c:pt>
                <c:pt idx="127">
                  <c:v>3.9405004981939523E-2</c:v>
                </c:pt>
                <c:pt idx="128">
                  <c:v>3.9498044269052492E-2</c:v>
                </c:pt>
                <c:pt idx="129">
                  <c:v>3.9591509493615118E-2</c:v>
                </c:pt>
                <c:pt idx="130">
                  <c:v>3.9685384192539717E-2</c:v>
                </c:pt>
                <c:pt idx="131">
                  <c:v>3.9779650468279637E-2</c:v>
                </c:pt>
                <c:pt idx="132">
                  <c:v>3.9874288990970876E-2</c:v>
                </c:pt>
                <c:pt idx="133">
                  <c:v>3.9969279007224676E-2</c:v>
                </c:pt>
                <c:pt idx="134">
                  <c:v>4.0064598355919002E-2</c:v>
                </c:pt>
                <c:pt idx="135">
                  <c:v>4.0160223491292203E-2</c:v>
                </c:pt>
                <c:pt idx="136">
                  <c:v>4.0256129513593003E-2</c:v>
                </c:pt>
                <c:pt idx="137">
                  <c:v>4.0352290207487131E-2</c:v>
                </c:pt>
                <c:pt idx="138">
                  <c:v>4.0448678088362437E-2</c:v>
                </c:pt>
                <c:pt idx="139">
                  <c:v>4.0545264456612669E-2</c:v>
                </c:pt>
                <c:pt idx="140">
                  <c:v>4.0642019459914865E-2</c:v>
                </c:pt>
                <c:pt idx="141">
                  <c:v>4.0738912163447723E-2</c:v>
                </c:pt>
                <c:pt idx="142">
                  <c:v>4.083591062792883E-2</c:v>
                </c:pt>
                <c:pt idx="143">
                  <c:v>4.0932981995277937E-2</c:v>
                </c:pt>
                <c:pt idx="144">
                  <c:v>4.1030092581641912E-2</c:v>
                </c:pt>
                <c:pt idx="145">
                  <c:v>4.1127207977446664E-2</c:v>
                </c:pt>
                <c:pt idx="146">
                  <c:v>4.1224293154070245E-2</c:v>
                </c:pt>
                <c:pt idx="147">
                  <c:v>4.1321312576664063E-2</c:v>
                </c:pt>
                <c:pt idx="148">
                  <c:v>4.1418230322582246E-2</c:v>
                </c:pt>
                <c:pt idx="149">
                  <c:v>4.1515010204817078E-2</c:v>
                </c:pt>
                <c:pt idx="150">
                  <c:v>4.1611615899779221E-2</c:v>
                </c:pt>
                <c:pt idx="151">
                  <c:v>4.1708011078707141E-2</c:v>
                </c:pt>
                <c:pt idx="152">
                  <c:v>4.1804159541940951E-2</c:v>
                </c:pt>
                <c:pt idx="153">
                  <c:v>4.1900025355252488E-2</c:v>
                </c:pt>
                <c:pt idx="154">
                  <c:v>4.1995572987386695E-2</c:v>
                </c:pt>
                <c:pt idx="155">
                  <c:v>4.2090767447938222E-2</c:v>
                </c:pt>
                <c:pt idx="156">
                  <c:v>4.218557442466566E-2</c:v>
                </c:pt>
                <c:pt idx="157">
                  <c:v>4.2279960419328612E-2</c:v>
                </c:pt>
                <c:pt idx="158">
                  <c:v>4.2373892881126911E-2</c:v>
                </c:pt>
                <c:pt idx="159">
                  <c:v>4.2467340336820855E-2</c:v>
                </c:pt>
                <c:pt idx="160">
                  <c:v>4.2560272516620271E-2</c:v>
                </c:pt>
                <c:pt idx="161">
                  <c:v>4.2652660474947902E-2</c:v>
                </c:pt>
                <c:pt idx="162">
                  <c:v>4.2744476705206806E-2</c:v>
                </c:pt>
                <c:pt idx="163">
                  <c:v>4.2835695247715765E-2</c:v>
                </c:pt>
                <c:pt idx="164">
                  <c:v>4.2926291790017515E-2</c:v>
                </c:pt>
                <c:pt idx="165">
                  <c:v>4.3016243758813445E-2</c:v>
                </c:pt>
                <c:pt idx="166">
                  <c:v>4.3105530402834574E-2</c:v>
                </c:pt>
                <c:pt idx="167">
                  <c:v>4.3194132866021584E-2</c:v>
                </c:pt>
                <c:pt idx="168">
                  <c:v>4.3282034250455306E-2</c:v>
                </c:pt>
                <c:pt idx="169">
                  <c:v>4.3369219668554684E-2</c:v>
                </c:pt>
                <c:pt idx="170">
                  <c:v>4.3455676284137858E-2</c:v>
                </c:pt>
                <c:pt idx="171">
                  <c:v>4.3541393342027189E-2</c:v>
                </c:pt>
                <c:pt idx="172">
                  <c:v>4.3626362185965752E-2</c:v>
                </c:pt>
                <c:pt idx="173">
                  <c:v>4.3710576264703704E-2</c:v>
                </c:pt>
                <c:pt idx="174">
                  <c:v>4.3794031126204891E-2</c:v>
                </c:pt>
                <c:pt idx="175">
                  <c:v>4.3876724400017129E-2</c:v>
                </c:pt>
                <c:pt idx="176">
                  <c:v>4.395865576794334E-2</c:v>
                </c:pt>
                <c:pt idx="177">
                  <c:v>4.4039826923243E-2</c:v>
                </c:pt>
                <c:pt idx="178">
                  <c:v>4.4120241518684163E-2</c:v>
                </c:pt>
                <c:pt idx="179">
                  <c:v>4.419990510385538E-2</c:v>
                </c:pt>
                <c:pt idx="180">
                  <c:v>4.4278825052231116E-2</c:v>
                </c:pt>
                <c:pt idx="181">
                  <c:v>4.4357010478565509E-2</c:v>
                </c:pt>
                <c:pt idx="182">
                  <c:v>4.4434472147264981E-2</c:v>
                </c:pt>
                <c:pt idx="183">
                  <c:v>4.4511222372460364E-2</c:v>
                </c:pt>
                <c:pt idx="184">
                  <c:v>4.458727491056251E-2</c:v>
                </c:pt>
                <c:pt idx="185">
                  <c:v>4.466264484614213E-2</c:v>
                </c:pt>
                <c:pt idx="186">
                  <c:v>4.4737348472023208E-2</c:v>
                </c:pt>
                <c:pt idx="187">
                  <c:v>4.4811403164520119E-2</c:v>
                </c:pt>
                <c:pt idx="188">
                  <c:v>4.4884827254780664E-2</c:v>
                </c:pt>
                <c:pt idx="189">
                  <c:v>4.4957639897220472E-2</c:v>
                </c:pt>
                <c:pt idx="190">
                  <c:v>4.5029860936048285E-2</c:v>
                </c:pt>
                <c:pt idx="191">
                  <c:v>4.5101510770886623E-2</c:v>
                </c:pt>
                <c:pt idx="192">
                  <c:v>4.517261022248769E-2</c:v>
                </c:pt>
                <c:pt idx="193">
                  <c:v>4.5243180399530944E-2</c:v>
                </c:pt>
                <c:pt idx="194">
                  <c:v>4.5313242567465627E-2</c:v>
                </c:pt>
                <c:pt idx="195">
                  <c:v>4.5382818020329944E-2</c:v>
                </c:pt>
                <c:pt idx="196">
                  <c:v>4.5451927956438459E-2</c:v>
                </c:pt>
                <c:pt idx="197">
                  <c:v>4.5520593358780628E-2</c:v>
                </c:pt>
                <c:pt idx="198">
                  <c:v>4.5588834880917424E-2</c:v>
                </c:pt>
                <c:pt idx="199">
                  <c:v>4.5656672739099909E-2</c:v>
                </c:pt>
                <c:pt idx="200">
                  <c:v>4.5724126611264015E-2</c:v>
                </c:pt>
                <c:pt idx="201">
                  <c:v>4.5791215543480666E-2</c:v>
                </c:pt>
                <c:pt idx="202">
                  <c:v>4.5857957864360213E-2</c:v>
                </c:pt>
                <c:pt idx="203">
                  <c:v>4.5924371107825934E-2</c:v>
                </c:pt>
                <c:pt idx="204">
                  <c:v>4.599047194458409E-2</c:v>
                </c:pt>
                <c:pt idx="205">
                  <c:v>4.6056276122528397E-2</c:v>
                </c:pt>
                <c:pt idx="206">
                  <c:v>4.6121798416225615E-2</c:v>
                </c:pt>
                <c:pt idx="207">
                  <c:v>4.6187052585537985E-2</c:v>
                </c:pt>
                <c:pt idx="208">
                  <c:v>4.6252051343347131E-2</c:v>
                </c:pt>
                <c:pt idx="209">
                  <c:v>4.6316806332255087E-2</c:v>
                </c:pt>
                <c:pt idx="210">
                  <c:v>4.6381328110051252E-2</c:v>
                </c:pt>
                <c:pt idx="211">
                  <c:v>4.6445626143650678E-2</c:v>
                </c:pt>
                <c:pt idx="212">
                  <c:v>4.6509708811130271E-2</c:v>
                </c:pt>
                <c:pt idx="213">
                  <c:v>4.6573583411415161E-2</c:v>
                </c:pt>
                <c:pt idx="214">
                  <c:v>4.6637256181099804E-2</c:v>
                </c:pt>
                <c:pt idx="215">
                  <c:v>4.6700732317826413E-2</c:v>
                </c:pt>
                <c:pt idx="216">
                  <c:v>4.6764016009589564E-2</c:v>
                </c:pt>
                <c:pt idx="217">
                  <c:v>4.6827110469289196E-2</c:v>
                </c:pt>
                <c:pt idx="218">
                  <c:v>4.6890017973815833E-2</c:v>
                </c:pt>
                <c:pt idx="219">
                  <c:v>4.6952739906923155E-2</c:v>
                </c:pt>
                <c:pt idx="220">
                  <c:v>4.7015276805121527E-2</c:v>
                </c:pt>
                <c:pt idx="221">
                  <c:v>4.7077628405816321E-2</c:v>
                </c:pt>
                <c:pt idx="222">
                  <c:v>4.7139793696911472E-2</c:v>
                </c:pt>
                <c:pt idx="223">
                  <c:v>4.7201770967107252E-2</c:v>
                </c:pt>
                <c:pt idx="224">
                  <c:v>4.7263557856137318E-2</c:v>
                </c:pt>
                <c:pt idx="225">
                  <c:v>4.7325151404215712E-2</c:v>
                </c:pt>
                <c:pt idx="226">
                  <c:v>4.7386548099999162E-2</c:v>
                </c:pt>
                <c:pt idx="227">
                  <c:v>4.7447743926412288E-2</c:v>
                </c:pt>
                <c:pt idx="228">
                  <c:v>4.7508734403733925E-2</c:v>
                </c:pt>
                <c:pt idx="229">
                  <c:v>4.7569514629400629E-2</c:v>
                </c:pt>
                <c:pt idx="230">
                  <c:v>4.7630079314047065E-2</c:v>
                </c:pt>
                <c:pt idx="231">
                  <c:v>4.7690422813373955E-2</c:v>
                </c:pt>
                <c:pt idx="232">
                  <c:v>4.7750539155508344E-2</c:v>
                </c:pt>
                <c:pt idx="233">
                  <c:v>4.7810422063601074E-2</c:v>
                </c:pt>
                <c:pt idx="234">
                  <c:v>4.7870064973487871E-2</c:v>
                </c:pt>
                <c:pt idx="235">
                  <c:v>4.7929461046326061E-2</c:v>
                </c:pt>
                <c:pt idx="236">
                  <c:v>4.7988603176204223E-2</c:v>
                </c:pt>
                <c:pt idx="237">
                  <c:v>4.8047483992808726E-2</c:v>
                </c:pt>
                <c:pt idx="238">
                  <c:v>4.810609585931637E-2</c:v>
                </c:pt>
                <c:pt idx="239">
                  <c:v>4.8164430865766147E-2</c:v>
                </c:pt>
                <c:pt idx="240">
                  <c:v>4.8222480818244207E-2</c:v>
                </c:pt>
                <c:pt idx="241">
                  <c:v>4.8280237224292977E-2</c:v>
                </c:pt>
                <c:pt idx="242">
                  <c:v>4.8337691275028176E-2</c:v>
                </c:pt>
                <c:pt idx="243">
                  <c:v>4.8394833824514101E-2</c:v>
                </c:pt>
                <c:pt idx="244">
                  <c:v>4.8451655367008274E-2</c:v>
                </c:pt>
                <c:pt idx="245">
                  <c:v>4.8508146012739159E-2</c:v>
                </c:pt>
                <c:pt idx="246">
                  <c:v>4.856429546292676E-2</c:v>
                </c:pt>
                <c:pt idx="247">
                  <c:v>4.8620092984791759E-2</c:v>
                </c:pt>
                <c:pt idx="248">
                  <c:v>4.8675527387326986E-2</c:v>
                </c:pt>
                <c:pt idx="249">
                  <c:v>4.8730586998622955E-2</c:v>
                </c:pt>
                <c:pt idx="250">
                  <c:v>4.8785259645547308E-2</c:v>
                </c:pt>
                <c:pt idx="251">
                  <c:v>4.8839532636576248E-2</c:v>
                </c:pt>
                <c:pt idx="252">
                  <c:v>4.8893392748563955E-2</c:v>
                </c:pt>
                <c:pt idx="253">
                  <c:v>4.894682621821355E-2</c:v>
                </c:pt>
                <c:pt idx="254">
                  <c:v>4.8999818738980801E-2</c:v>
                </c:pt>
                <c:pt idx="255">
                  <c:v>4.9052355464099508E-2</c:v>
                </c:pt>
                <c:pt idx="256">
                  <c:v>4.9104421016365481E-2</c:v>
                </c:pt>
                <c:pt idx="257">
                  <c:v>4.9155999505255094E-2</c:v>
                </c:pt>
                <c:pt idx="258">
                  <c:v>4.9207074551884673E-2</c:v>
                </c:pt>
                <c:pt idx="259">
                  <c:v>4.9257629322239559E-2</c:v>
                </c:pt>
                <c:pt idx="260">
                  <c:v>4.9307646569016671E-2</c:v>
                </c:pt>
                <c:pt idx="261">
                  <c:v>4.9357108682333603E-2</c:v>
                </c:pt>
                <c:pt idx="262">
                  <c:v>4.9405997749460293E-2</c:v>
                </c:pt>
                <c:pt idx="263">
                  <c:v>4.9454295623628082E-2</c:v>
                </c:pt>
                <c:pt idx="264">
                  <c:v>4.9501984001867061E-2</c:v>
                </c:pt>
                <c:pt idx="265">
                  <c:v>4.9549044511714449E-2</c:v>
                </c:pt>
                <c:pt idx="266">
                  <c:v>4.9595458806529519E-2</c:v>
                </c:pt>
                <c:pt idx="267">
                  <c:v>4.9641208669041592E-2</c:v>
                </c:pt>
                <c:pt idx="268">
                  <c:v>4.9686276122650148E-2</c:v>
                </c:pt>
                <c:pt idx="269">
                  <c:v>4.973064354989188E-2</c:v>
                </c:pt>
                <c:pt idx="270">
                  <c:v>4.9774293817386142E-2</c:v>
                </c:pt>
                <c:pt idx="271">
                  <c:v>4.9817210406474945E-2</c:v>
                </c:pt>
                <c:pt idx="272">
                  <c:v>4.9859377548680368E-2</c:v>
                </c:pt>
                <c:pt idx="273">
                  <c:v>4.99007803650185E-2</c:v>
                </c:pt>
                <c:pt idx="274">
                  <c:v>4.9941405008131108E-2</c:v>
                </c:pt>
                <c:pt idx="275">
                  <c:v>4.9981238806128321E-2</c:v>
                </c:pt>
                <c:pt idx="276">
                  <c:v>5.0020270406975709E-2</c:v>
                </c:pt>
                <c:pt idx="277">
                  <c:v>5.0058489922211596E-2</c:v>
                </c:pt>
                <c:pt idx="278">
                  <c:v>5.0095889068741184E-2</c:v>
                </c:pt>
                <c:pt idx="279">
                  <c:v>5.0132461307429224E-2</c:v>
                </c:pt>
                <c:pt idx="280">
                  <c:v>5.0168201977197534E-2</c:v>
                </c:pt>
                <c:pt idx="281">
                  <c:v>5.0203108423332726E-2</c:v>
                </c:pt>
                <c:pt idx="282">
                  <c:v>5.0237180118719152E-2</c:v>
                </c:pt>
                <c:pt idx="283">
                  <c:v>5.0270418776736686E-2</c:v>
                </c:pt>
                <c:pt idx="284">
                  <c:v>5.0302828454597416E-2</c:v>
                </c:pt>
                <c:pt idx="285">
                  <c:v>5.0334415645945305E-2</c:v>
                </c:pt>
                <c:pt idx="286">
                  <c:v>5.0365189361602503E-2</c:v>
                </c:pt>
                <c:pt idx="287">
                  <c:v>5.0395161197419096E-2</c:v>
                </c:pt>
                <c:pt idx="288">
                  <c:v>5.0424345388266477E-2</c:v>
                </c:pt>
                <c:pt idx="289">
                  <c:v>5.045275884730957E-2</c:v>
                </c:pt>
                <c:pt idx="290">
                  <c:v>5.0480421189796558E-2</c:v>
                </c:pt>
                <c:pt idx="291">
                  <c:v>5.0507354740719108E-2</c:v>
                </c:pt>
                <c:pt idx="292">
                  <c:v>5.0533584525816674E-2</c:v>
                </c:pt>
                <c:pt idx="293">
                  <c:v>5.0559138245527241E-2</c:v>
                </c:pt>
                <c:pt idx="294">
                  <c:v>5.0584046231621174E-2</c:v>
                </c:pt>
                <c:pt idx="295">
                  <c:v>5.0608341386393557E-2</c:v>
                </c:pt>
                <c:pt idx="296">
                  <c:v>5.0632059104432817E-2</c:v>
                </c:pt>
                <c:pt idx="297">
                  <c:v>5.0655237177128158E-2</c:v>
                </c:pt>
                <c:pt idx="298">
                  <c:v>5.0677915680223083E-2</c:v>
                </c:pt>
                <c:pt idx="299">
                  <c:v>5.0700136844867488E-2</c:v>
                </c:pt>
                <c:pt idx="300">
                  <c:v>5.0721944912763058E-2</c:v>
                </c:pt>
                <c:pt idx="301">
                  <c:v>5.07433859761365E-2</c:v>
                </c:pt>
                <c:pt idx="302">
                  <c:v>5.0764507803409867E-2</c:v>
                </c:pt>
                <c:pt idx="303">
                  <c:v>5.0785359651566109E-2</c:v>
                </c:pt>
                <c:pt idx="304">
                  <c:v>5.0805992066329554E-2</c:v>
                </c:pt>
                <c:pt idx="305">
                  <c:v>5.0826456671395001E-2</c:v>
                </c:pt>
                <c:pt idx="306">
                  <c:v>5.0846805948042154E-2</c:v>
                </c:pt>
                <c:pt idx="307">
                  <c:v>5.0867093006566465E-2</c:v>
                </c:pt>
                <c:pt idx="308">
                  <c:v>5.0887371351038373E-2</c:v>
                </c:pt>
                <c:pt idx="309">
                  <c:v>5.0907694638973586E-2</c:v>
                </c:pt>
                <c:pt idx="310">
                  <c:v>5.0928116437552871E-2</c:v>
                </c:pt>
                <c:pt idx="311">
                  <c:v>5.0948689978073024E-2</c:v>
                </c:pt>
                <c:pt idx="312">
                  <c:v>5.0969467910339926E-2</c:v>
                </c:pt>
                <c:pt idx="313">
                  <c:v>5.0990502058728113E-2</c:v>
                </c:pt>
                <c:pt idx="314">
                  <c:v>5.1011843181631995E-2</c:v>
                </c:pt>
                <c:pt idx="315">
                  <c:v>5.1033540736017791E-2</c:v>
                </c:pt>
                <c:pt idx="316">
                  <c:v>5.1055642648756228E-2</c:v>
                </c:pt>
                <c:pt idx="317">
                  <c:v>5.1078195096371334E-2</c:v>
                </c:pt>
                <c:pt idx="318">
                  <c:v>5.1101242294782127E-2</c:v>
                </c:pt>
                <c:pt idx="319">
                  <c:v>5.1124826300542318E-2</c:v>
                </c:pt>
                <c:pt idx="320">
                  <c:v>5.1148986824996939E-2</c:v>
                </c:pt>
                <c:pt idx="321">
                  <c:v>5.1173761062678472E-2</c:v>
                </c:pt>
                <c:pt idx="322">
                  <c:v>5.1199183535154451E-2</c:v>
                </c:pt>
                <c:pt idx="323">
                  <c:v>5.1225285951419848E-2</c:v>
                </c:pt>
                <c:pt idx="324">
                  <c:v>5.1252097085797664E-2</c:v>
                </c:pt>
                <c:pt idx="325">
                  <c:v>5.1279642674173898E-2</c:v>
                </c:pt>
                <c:pt idx="326">
                  <c:v>5.1307945329247741E-2</c:v>
                </c:pt>
                <c:pt idx="327">
                  <c:v>5.1337024475328091E-2</c:v>
                </c:pt>
                <c:pt idx="328">
                  <c:v>5.1366896303051211E-2</c:v>
                </c:pt>
                <c:pt idx="329">
                  <c:v>5.1397573744237209E-2</c:v>
                </c:pt>
                <c:pt idx="330">
                  <c:v>5.1429066466942439E-2</c:v>
                </c:pt>
                <c:pt idx="331">
                  <c:v>5.1461380890605014E-2</c:v>
                </c:pt>
                <c:pt idx="332">
                  <c:v>5.1494520221021689E-2</c:v>
                </c:pt>
                <c:pt idx="333">
                  <c:v>5.152848450473814E-2</c:v>
                </c:pt>
                <c:pt idx="334">
                  <c:v>5.1563270702282171E-2</c:v>
                </c:pt>
                <c:pt idx="335">
                  <c:v>5.1598872779522957E-2</c:v>
                </c:pt>
                <c:pt idx="336">
                  <c:v>5.1635281816298985E-2</c:v>
                </c:pt>
                <c:pt idx="337">
                  <c:v>5.1672486131325156E-2</c:v>
                </c:pt>
                <c:pt idx="338">
                  <c:v>5.1710471422267056E-2</c:v>
                </c:pt>
                <c:pt idx="339">
                  <c:v>5.1749220919756818E-2</c:v>
                </c:pt>
                <c:pt idx="340">
                  <c:v>5.1788715554024048E-2</c:v>
                </c:pt>
                <c:pt idx="341">
                  <c:v>5.1828934132725712E-2</c:v>
                </c:pt>
                <c:pt idx="342">
                  <c:v>5.1869853528481731E-2</c:v>
                </c:pt>
                <c:pt idx="343">
                  <c:v>5.1911448874560673E-2</c:v>
                </c:pt>
                <c:pt idx="344">
                  <c:v>5.1953693767109926E-2</c:v>
                </c:pt>
                <c:pt idx="345">
                  <c:v>5.1996560472290537E-2</c:v>
                </c:pt>
                <c:pt idx="346">
                  <c:v>5.2040020136656366E-2</c:v>
                </c:pt>
                <c:pt idx="347">
                  <c:v>5.2084042999111541E-2</c:v>
                </c:pt>
                <c:pt idx="348">
                  <c:v>5.2128598602789893E-2</c:v>
                </c:pt>
                <c:pt idx="349">
                  <c:v>5.2173656005222682E-2</c:v>
                </c:pt>
                <c:pt idx="350">
                  <c:v>5.2219183985199785E-2</c:v>
                </c:pt>
                <c:pt idx="351">
                  <c:v>5.2265151244779956E-2</c:v>
                </c:pt>
                <c:pt idx="352">
                  <c:v>5.2311526604971133E-2</c:v>
                </c:pt>
                <c:pt idx="353">
                  <c:v>5.235827919367813E-2</c:v>
                </c:pt>
                <c:pt idx="354">
                  <c:v>5.2405378624604301E-2</c:v>
                </c:pt>
                <c:pt idx="355">
                  <c:v>5.2452795165892671E-2</c:v>
                </c:pt>
                <c:pt idx="356">
                  <c:v>5.2500499897401187E-2</c:v>
                </c:pt>
                <c:pt idx="357">
                  <c:v>5.2548464855624442E-2</c:v>
                </c:pt>
                <c:pt idx="358">
                  <c:v>5.2596663165399377E-2</c:v>
                </c:pt>
                <c:pt idx="359">
                  <c:v>5.2645069157663156E-2</c:v>
                </c:pt>
                <c:pt idx="360">
                  <c:v>5.2693658472668402E-2</c:v>
                </c:pt>
                <c:pt idx="361">
                  <c:v>5.2742408148200075E-2</c:v>
                </c:pt>
                <c:pt idx="362">
                  <c:v>5.2791296692480005E-2</c:v>
                </c:pt>
                <c:pt idx="363">
                  <c:v>5.2840304141589002E-2</c:v>
                </c:pt>
                <c:pt idx="364">
                  <c:v>5.2889412101377084E-2</c:v>
                </c:pt>
                <c:pt idx="365">
                  <c:v>5.2938603773974718E-2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3.4021329720104673E-2</c:v>
                </c:pt>
                <c:pt idx="1">
                  <c:v>3.3658513037362774E-2</c:v>
                </c:pt>
                <c:pt idx="2">
                  <c:v>3.327124308312808E-2</c:v>
                </c:pt>
                <c:pt idx="3">
                  <c:v>3.2861884483378234E-2</c:v>
                </c:pt>
                <c:pt idx="4">
                  <c:v>3.2432711163870843E-2</c:v>
                </c:pt>
                <c:pt idx="5">
                  <c:v>3.1985893197328294E-2</c:v>
                </c:pt>
                <c:pt idx="6">
                  <c:v>3.1523486669295726E-2</c:v>
                </c:pt>
                <c:pt idx="7">
                  <c:v>3.1047426232435883E-2</c:v>
                </c:pt>
                <c:pt idx="8">
                  <c:v>3.0552894413769082E-2</c:v>
                </c:pt>
                <c:pt idx="9">
                  <c:v>3.0058370814428921E-2</c:v>
                </c:pt>
                <c:pt idx="10">
                  <c:v>2.9577883775798623E-2</c:v>
                </c:pt>
                <c:pt idx="11">
                  <c:v>2.9112935846546215E-2</c:v>
                </c:pt>
                <c:pt idx="12">
                  <c:v>2.8664854751469102E-2</c:v>
                </c:pt>
                <c:pt idx="13">
                  <c:v>2.8234802985701482E-2</c:v>
                </c:pt>
                <c:pt idx="14">
                  <c:v>2.7823788869943238E-2</c:v>
                </c:pt>
                <c:pt idx="15">
                  <c:v>2.7455371915687948E-2</c:v>
                </c:pt>
                <c:pt idx="16">
                  <c:v>2.7132926271771177E-2</c:v>
                </c:pt>
                <c:pt idx="17">
                  <c:v>2.6856274087511185E-2</c:v>
                </c:pt>
                <c:pt idx="18">
                  <c:v>2.6625154598643973E-2</c:v>
                </c:pt>
                <c:pt idx="19">
                  <c:v>2.643939374353154E-2</c:v>
                </c:pt>
                <c:pt idx="20">
                  <c:v>2.6298840456664332E-2</c:v>
                </c:pt>
                <c:pt idx="21">
                  <c:v>2.6203207929116533E-2</c:v>
                </c:pt>
                <c:pt idx="22">
                  <c:v>2.614827848129896E-2</c:v>
                </c:pt>
                <c:pt idx="23">
                  <c:v>2.6136170073191477E-2</c:v>
                </c:pt>
                <c:pt idx="24">
                  <c:v>2.6146706740227871E-2</c:v>
                </c:pt>
                <c:pt idx="25">
                  <c:v>2.617981370777276E-2</c:v>
                </c:pt>
                <c:pt idx="26">
                  <c:v>2.6235401191307538E-2</c:v>
                </c:pt>
                <c:pt idx="27">
                  <c:v>2.6313370468170269E-2</c:v>
                </c:pt>
                <c:pt idx="28">
                  <c:v>2.6413619559658194E-2</c:v>
                </c:pt>
                <c:pt idx="29">
                  <c:v>2.6508246322657514E-2</c:v>
                </c:pt>
                <c:pt idx="30">
                  <c:v>2.6578575943303543E-2</c:v>
                </c:pt>
                <c:pt idx="31">
                  <c:v>2.6625936971556557E-2</c:v>
                </c:pt>
                <c:pt idx="32">
                  <c:v>2.6651611601770764E-2</c:v>
                </c:pt>
                <c:pt idx="33">
                  <c:v>2.6656833136609069E-2</c:v>
                </c:pt>
                <c:pt idx="34">
                  <c:v>2.6642784151443114E-2</c:v>
                </c:pt>
                <c:pt idx="35">
                  <c:v>2.6610595276545263E-2</c:v>
                </c:pt>
                <c:pt idx="36">
                  <c:v>2.6559835939214793E-2</c:v>
                </c:pt>
                <c:pt idx="37">
                  <c:v>2.6439007078492456E-2</c:v>
                </c:pt>
                <c:pt idx="38">
                  <c:v>2.6244610941742925E-2</c:v>
                </c:pt>
                <c:pt idx="39">
                  <c:v>2.5978775472633452E-2</c:v>
                </c:pt>
                <c:pt idx="40">
                  <c:v>2.5643548377945562E-2</c:v>
                </c:pt>
                <c:pt idx="41">
                  <c:v>2.5240898351617941E-2</c:v>
                </c:pt>
                <c:pt idx="42">
                  <c:v>2.4772716363806034E-2</c:v>
                </c:pt>
                <c:pt idx="43">
                  <c:v>2.4209739113791675E-2</c:v>
                </c:pt>
                <c:pt idx="44">
                  <c:v>2.3578616784138036E-2</c:v>
                </c:pt>
                <c:pt idx="45">
                  <c:v>2.2881158608859694E-2</c:v>
                </c:pt>
                <c:pt idx="46">
                  <c:v>2.211909400399259E-2</c:v>
                </c:pt>
                <c:pt idx="47">
                  <c:v>2.1294073876009467E-2</c:v>
                </c:pt>
                <c:pt idx="48">
                  <c:v>2.0407671861373725E-2</c:v>
                </c:pt>
                <c:pt idx="49">
                  <c:v>1.9461385484116519E-2</c:v>
                </c:pt>
                <c:pt idx="50">
                  <c:v>1.8456519495619078E-2</c:v>
                </c:pt>
                <c:pt idx="51">
                  <c:v>1.7407529537943858E-2</c:v>
                </c:pt>
                <c:pt idx="52">
                  <c:v>1.6359918664346999E-2</c:v>
                </c:pt>
                <c:pt idx="53">
                  <c:v>1.5313483309628974E-2</c:v>
                </c:pt>
                <c:pt idx="54">
                  <c:v>1.4268115701123419E-2</c:v>
                </c:pt>
                <c:pt idx="55">
                  <c:v>1.3223711842946568E-2</c:v>
                </c:pt>
                <c:pt idx="56">
                  <c:v>1.2180170942655721E-2</c:v>
                </c:pt>
                <c:pt idx="57">
                  <c:v>1.1177425966429819E-2</c:v>
                </c:pt>
                <c:pt idx="58">
                  <c:v>1.0242065841587411E-2</c:v>
                </c:pt>
                <c:pt idx="59">
                  <c:v>9.3725362684376427E-3</c:v>
                </c:pt>
                <c:pt idx="60">
                  <c:v>8.5673354042180971E-3</c:v>
                </c:pt>
                <c:pt idx="61">
                  <c:v>7.8250114676621206E-3</c:v>
                </c:pt>
                <c:pt idx="62">
                  <c:v>7.1441605268595561E-3</c:v>
                </c:pt>
                <c:pt idx="63">
                  <c:v>6.5234244642812427E-3</c:v>
                </c:pt>
                <c:pt idx="64">
                  <c:v>5.9613412341743546E-3</c:v>
                </c:pt>
                <c:pt idx="65">
                  <c:v>5.4835364836496149E-3</c:v>
                </c:pt>
                <c:pt idx="66">
                  <c:v>5.0765423338384186E-3</c:v>
                </c:pt>
                <c:pt idx="67">
                  <c:v>4.7389618668964607E-3</c:v>
                </c:pt>
                <c:pt idx="68">
                  <c:v>4.4694218314849082E-3</c:v>
                </c:pt>
                <c:pt idx="69">
                  <c:v>4.2665800429172868E-3</c:v>
                </c:pt>
                <c:pt idx="70">
                  <c:v>4.1291322694108961E-3</c:v>
                </c:pt>
                <c:pt idx="71">
                  <c:v>4.0545448565000993E-3</c:v>
                </c:pt>
                <c:pt idx="72">
                  <c:v>4.0055932290125771E-3</c:v>
                </c:pt>
                <c:pt idx="73">
                  <c:v>3.9818363006257967E-3</c:v>
                </c:pt>
                <c:pt idx="74">
                  <c:v>3.9828558630002073E-3</c:v>
                </c:pt>
                <c:pt idx="75">
                  <c:v>4.0082586719460168E-3</c:v>
                </c:pt>
                <c:pt idx="76">
                  <c:v>4.0576784170486477E-3</c:v>
                </c:pt>
                <c:pt idx="77">
                  <c:v>4.1307775901400501E-3</c:v>
                </c:pt>
                <c:pt idx="78">
                  <c:v>4.2269868918600089E-3</c:v>
                </c:pt>
                <c:pt idx="79">
                  <c:v>4.3352356883271737E-3</c:v>
                </c:pt>
                <c:pt idx="80">
                  <c:v>4.4308785803326154E-3</c:v>
                </c:pt>
                <c:pt idx="81">
                  <c:v>4.5142316680491816E-3</c:v>
                </c:pt>
                <c:pt idx="82">
                  <c:v>4.5856059604148366E-3</c:v>
                </c:pt>
                <c:pt idx="83">
                  <c:v>4.6453054708849714E-3</c:v>
                </c:pt>
                <c:pt idx="84">
                  <c:v>4.6936254694123431E-3</c:v>
                </c:pt>
                <c:pt idx="85">
                  <c:v>4.7269225609977913E-3</c:v>
                </c:pt>
                <c:pt idx="86">
                  <c:v>4.7466578771505922E-3</c:v>
                </c:pt>
                <c:pt idx="87">
                  <c:v>4.7531144573544001E-3</c:v>
                </c:pt>
                <c:pt idx="88">
                  <c:v>4.7465561561567627E-3</c:v>
                </c:pt>
                <c:pt idx="89">
                  <c:v>4.7272261134516198E-3</c:v>
                </c:pt>
                <c:pt idx="90">
                  <c:v>4.6953453091947341E-3</c:v>
                </c:pt>
                <c:pt idx="91">
                  <c:v>4.6511111854501928E-3</c:v>
                </c:pt>
                <c:pt idx="92">
                  <c:v>4.5945958125439791E-3</c:v>
                </c:pt>
                <c:pt idx="93">
                  <c:v>4.5229942588784723E-3</c:v>
                </c:pt>
                <c:pt idx="94">
                  <c:v>4.4462549780910224E-3</c:v>
                </c:pt>
                <c:pt idx="95">
                  <c:v>4.3643400898624955E-3</c:v>
                </c:pt>
                <c:pt idx="96">
                  <c:v>4.277206826516655E-3</c:v>
                </c:pt>
                <c:pt idx="97">
                  <c:v>4.1848078182678264E-3</c:v>
                </c:pt>
                <c:pt idx="98">
                  <c:v>4.0870913744850031E-3</c:v>
                </c:pt>
                <c:pt idx="99">
                  <c:v>3.9869974288142106E-3</c:v>
                </c:pt>
                <c:pt idx="100">
                  <c:v>3.8882060799922979E-3</c:v>
                </c:pt>
                <c:pt idx="101">
                  <c:v>3.7906208041431819E-3</c:v>
                </c:pt>
                <c:pt idx="102">
                  <c:v>3.6941481368036023E-3</c:v>
                </c:pt>
                <c:pt idx="103">
                  <c:v>3.5986974157800554E-3</c:v>
                </c:pt>
                <c:pt idx="104">
                  <c:v>3.5041805444211475E-3</c:v>
                </c:pt>
                <c:pt idx="105">
                  <c:v>3.4105117751259133E-3</c:v>
                </c:pt>
                <c:pt idx="106">
                  <c:v>3.3176950919525982E-3</c:v>
                </c:pt>
                <c:pt idx="107">
                  <c:v>3.2316262963154934E-3</c:v>
                </c:pt>
                <c:pt idx="108">
                  <c:v>3.1549854256649832E-3</c:v>
                </c:pt>
                <c:pt idx="109">
                  <c:v>3.0877113411128063E-3</c:v>
                </c:pt>
                <c:pt idx="110">
                  <c:v>3.0297622193272374E-3</c:v>
                </c:pt>
                <c:pt idx="111">
                  <c:v>2.9811061600427645E-3</c:v>
                </c:pt>
                <c:pt idx="112">
                  <c:v>2.9417125452936657E-3</c:v>
                </c:pt>
                <c:pt idx="113">
                  <c:v>2.9077721210943749E-3</c:v>
                </c:pt>
                <c:pt idx="114">
                  <c:v>2.8763569722409692E-3</c:v>
                </c:pt>
                <c:pt idx="115">
                  <c:v>2.8474727385991677E-3</c:v>
                </c:pt>
                <c:pt idx="116">
                  <c:v>2.8211292810412566E-3</c:v>
                </c:pt>
                <c:pt idx="117">
                  <c:v>2.797340652803616E-3</c:v>
                </c:pt>
                <c:pt idx="118">
                  <c:v>2.7761250689913547E-3</c:v>
                </c:pt>
                <c:pt idx="119">
                  <c:v>2.7575048742413569E-3</c:v>
                </c:pt>
                <c:pt idx="120">
                  <c:v>2.7415522918937522E-3</c:v>
                </c:pt>
                <c:pt idx="121">
                  <c:v>2.7230927032850507E-3</c:v>
                </c:pt>
                <c:pt idx="122">
                  <c:v>2.6960492431605302E-3</c:v>
                </c:pt>
                <c:pt idx="123">
                  <c:v>2.6603438939041719E-3</c:v>
                </c:pt>
                <c:pt idx="124">
                  <c:v>2.6158906406419449E-3</c:v>
                </c:pt>
                <c:pt idx="125">
                  <c:v>2.5625958726340141E-3</c:v>
                </c:pt>
                <c:pt idx="126">
                  <c:v>2.5003588071802248E-3</c:v>
                </c:pt>
                <c:pt idx="127">
                  <c:v>2.4294952676279886E-3</c:v>
                </c:pt>
                <c:pt idx="128">
                  <c:v>2.3536858964413026E-3</c:v>
                </c:pt>
                <c:pt idx="129">
                  <c:v>2.2728097337393421E-3</c:v>
                </c:pt>
                <c:pt idx="130">
                  <c:v>2.1867415224126269E-3</c:v>
                </c:pt>
                <c:pt idx="131">
                  <c:v>2.0953519977473757E-3</c:v>
                </c:pt>
                <c:pt idx="132">
                  <c:v>1.9985082097941104E-3</c:v>
                </c:pt>
                <c:pt idx="133">
                  <c:v>1.8960738806312861E-3</c:v>
                </c:pt>
                <c:pt idx="134">
                  <c:v>1.7879255490073542E-3</c:v>
                </c:pt>
                <c:pt idx="135">
                  <c:v>1.6768579416648363E-3</c:v>
                </c:pt>
                <c:pt idx="136">
                  <c:v>1.5683413009696886E-3</c:v>
                </c:pt>
                <c:pt idx="137">
                  <c:v>1.4623411276138032E-3</c:v>
                </c:pt>
                <c:pt idx="138">
                  <c:v>1.3588248643226259E-3</c:v>
                </c:pt>
                <c:pt idx="139">
                  <c:v>1.2577619050369452E-3</c:v>
                </c:pt>
                <c:pt idx="140">
                  <c:v>1.1591236031797351E-3</c:v>
                </c:pt>
                <c:pt idx="141">
                  <c:v>1.0664427918838863E-3</c:v>
                </c:pt>
                <c:pt idx="142">
                  <c:v>9.794049209735417E-4</c:v>
                </c:pt>
                <c:pt idx="143">
                  <c:v>8.9806395173651831E-4</c:v>
                </c:pt>
                <c:pt idx="144">
                  <c:v>8.2248463733966602E-4</c:v>
                </c:pt>
                <c:pt idx="145">
                  <c:v>7.5273542894993897E-4</c:v>
                </c:pt>
                <c:pt idx="146">
                  <c:v>6.8888834397033997E-4</c:v>
                </c:pt>
                <c:pt idx="147">
                  <c:v>6.3101881798734041E-4</c:v>
                </c:pt>
                <c:pt idx="148">
                  <c:v>5.7920554114269094E-4</c:v>
                </c:pt>
                <c:pt idx="149">
                  <c:v>5.3538882351601182E-4</c:v>
                </c:pt>
                <c:pt idx="150">
                  <c:v>4.9661666473738467E-4</c:v>
                </c:pt>
                <c:pt idx="151">
                  <c:v>4.6298191238988424E-4</c:v>
                </c:pt>
                <c:pt idx="152">
                  <c:v>4.3458013651076835E-4</c:v>
                </c:pt>
                <c:pt idx="153">
                  <c:v>4.1150940124534501E-4</c:v>
                </c:pt>
                <c:pt idx="154">
                  <c:v>3.9387002707158921E-4</c:v>
                </c:pt>
                <c:pt idx="155">
                  <c:v>3.8168164503695411E-4</c:v>
                </c:pt>
                <c:pt idx="156">
                  <c:v>3.71170039742295E-4</c:v>
                </c:pt>
                <c:pt idx="157">
                  <c:v>3.6237177497077901E-4</c:v>
                </c:pt>
                <c:pt idx="158">
                  <c:v>3.5532410896697662E-4</c:v>
                </c:pt>
                <c:pt idx="159">
                  <c:v>3.5006490439720879E-4</c:v>
                </c:pt>
                <c:pt idx="160">
                  <c:v>3.4663253823676113E-4</c:v>
                </c:pt>
                <c:pt idx="161">
                  <c:v>3.4506581249437433E-4</c:v>
                </c:pt>
                <c:pt idx="162">
                  <c:v>3.4540386684517419E-4</c:v>
                </c:pt>
                <c:pt idx="163">
                  <c:v>3.4768931198881714E-4</c:v>
                </c:pt>
                <c:pt idx="164">
                  <c:v>3.4989965804117329E-4</c:v>
                </c:pt>
                <c:pt idx="165">
                  <c:v>3.5203257774216775E-4</c:v>
                </c:pt>
                <c:pt idx="166">
                  <c:v>3.540858123929503E-4</c:v>
                </c:pt>
                <c:pt idx="167">
                  <c:v>3.5605718021092735E-4</c:v>
                </c:pt>
                <c:pt idx="168">
                  <c:v>3.5794458403416431E-4</c:v>
                </c:pt>
                <c:pt idx="169">
                  <c:v>3.5974856207236696E-4</c:v>
                </c:pt>
                <c:pt idx="170">
                  <c:v>3.6155506305725809E-4</c:v>
                </c:pt>
                <c:pt idx="171">
                  <c:v>3.6336304035597102E-4</c:v>
                </c:pt>
                <c:pt idx="172">
                  <c:v>3.6517155427437338E-4</c:v>
                </c:pt>
                <c:pt idx="173">
                  <c:v>3.6697602406724085E-4</c:v>
                </c:pt>
                <c:pt idx="174">
                  <c:v>3.6877171140974676E-4</c:v>
                </c:pt>
                <c:pt idx="175">
                  <c:v>3.7055760945952488E-4</c:v>
                </c:pt>
                <c:pt idx="176">
                  <c:v>3.7233714370273979E-4</c:v>
                </c:pt>
                <c:pt idx="177">
                  <c:v>3.7427084352309995E-4</c:v>
                </c:pt>
                <c:pt idx="178">
                  <c:v>3.7640573945737571E-4</c:v>
                </c:pt>
                <c:pt idx="179">
                  <c:v>3.7844007214943217E-4</c:v>
                </c:pt>
                <c:pt idx="180">
                  <c:v>3.8037179616276929E-4</c:v>
                </c:pt>
                <c:pt idx="181">
                  <c:v>3.8219891870975561E-4</c:v>
                </c:pt>
                <c:pt idx="182">
                  <c:v>3.8391949915251119E-4</c:v>
                </c:pt>
                <c:pt idx="183">
                  <c:v>3.8789889168001852E-4</c:v>
                </c:pt>
                <c:pt idx="184">
                  <c:v>3.9419190658772428E-4</c:v>
                </c:pt>
                <c:pt idx="185">
                  <c:v>4.028544063434242E-4</c:v>
                </c:pt>
                <c:pt idx="186">
                  <c:v>4.1394061970279457E-4</c:v>
                </c:pt>
                <c:pt idx="187">
                  <c:v>4.2750300844924725E-4</c:v>
                </c:pt>
                <c:pt idx="188">
                  <c:v>4.4359214091945365E-4</c:v>
                </c:pt>
                <c:pt idx="189">
                  <c:v>4.622565717310666E-4</c:v>
                </c:pt>
                <c:pt idx="190">
                  <c:v>4.8355126021234048E-4</c:v>
                </c:pt>
                <c:pt idx="191">
                  <c:v>5.1224971356961019E-4</c:v>
                </c:pt>
                <c:pt idx="192">
                  <c:v>5.4856177324572649E-4</c:v>
                </c:pt>
                <c:pt idx="193">
                  <c:v>5.926022075542892E-4</c:v>
                </c:pt>
                <c:pt idx="194">
                  <c:v>6.4448298847152679E-4</c:v>
                </c:pt>
                <c:pt idx="195">
                  <c:v>7.0431337361610618E-4</c:v>
                </c:pt>
                <c:pt idx="196">
                  <c:v>7.7219999729738172E-4</c:v>
                </c:pt>
                <c:pt idx="197">
                  <c:v>8.5151560429146535E-4</c:v>
                </c:pt>
                <c:pt idx="198">
                  <c:v>9.3971373987710187E-4</c:v>
                </c:pt>
                <c:pt idx="199">
                  <c:v>1.0368366826112069E-3</c:v>
                </c:pt>
                <c:pt idx="200">
                  <c:v>1.1429273665796147E-3</c:v>
                </c:pt>
                <c:pt idx="201">
                  <c:v>1.2580294467016714E-3</c:v>
                </c:pt>
                <c:pt idx="202">
                  <c:v>1.3821873471575937E-3</c:v>
                </c:pt>
                <c:pt idx="203">
                  <c:v>1.5154462920686331E-3</c:v>
                </c:pt>
                <c:pt idx="204">
                  <c:v>1.6578641811993671E-3</c:v>
                </c:pt>
                <c:pt idx="205">
                  <c:v>1.8091967323652812E-3</c:v>
                </c:pt>
                <c:pt idx="206">
                  <c:v>1.964422723476971E-3</c:v>
                </c:pt>
                <c:pt idx="207">
                  <c:v>2.1235066336638651E-3</c:v>
                </c:pt>
                <c:pt idx="208">
                  <c:v>2.2864158443151139E-3</c:v>
                </c:pt>
                <c:pt idx="209">
                  <c:v>2.4531204482281907E-3</c:v>
                </c:pt>
                <c:pt idx="210">
                  <c:v>2.6235930468848537E-3</c:v>
                </c:pt>
                <c:pt idx="211">
                  <c:v>2.7903854928723651E-3</c:v>
                </c:pt>
                <c:pt idx="212">
                  <c:v>2.9501876681908993E-3</c:v>
                </c:pt>
                <c:pt idx="213">
                  <c:v>3.1029335652004008E-3</c:v>
                </c:pt>
                <c:pt idx="214">
                  <c:v>3.2485560870563206E-3</c:v>
                </c:pt>
                <c:pt idx="215">
                  <c:v>3.3869870337183468E-3</c:v>
                </c:pt>
                <c:pt idx="216">
                  <c:v>3.5181571052245331E-3</c:v>
                </c:pt>
                <c:pt idx="217">
                  <c:v>3.6419959227304093E-3</c:v>
                </c:pt>
                <c:pt idx="218">
                  <c:v>3.758402853141541E-3</c:v>
                </c:pt>
                <c:pt idx="219">
                  <c:v>3.8632377743834522E-3</c:v>
                </c:pt>
                <c:pt idx="220">
                  <c:v>3.9568766501122546E-3</c:v>
                </c:pt>
                <c:pt idx="221">
                  <c:v>4.0392847261659735E-3</c:v>
                </c:pt>
                <c:pt idx="222">
                  <c:v>4.1104272640250673E-3</c:v>
                </c:pt>
                <c:pt idx="223">
                  <c:v>4.1702689806160818E-3</c:v>
                </c:pt>
                <c:pt idx="224">
                  <c:v>4.2187734870389624E-3</c:v>
                </c:pt>
                <c:pt idx="225">
                  <c:v>4.2650926220899775E-3</c:v>
                </c:pt>
                <c:pt idx="226">
                  <c:v>4.3169054463866215E-3</c:v>
                </c:pt>
                <c:pt idx="227">
                  <c:v>4.3742922562104705E-3</c:v>
                </c:pt>
                <c:pt idx="228">
                  <c:v>4.4373352932298629E-3</c:v>
                </c:pt>
                <c:pt idx="229">
                  <c:v>4.5061191646981295E-3</c:v>
                </c:pt>
                <c:pt idx="230">
                  <c:v>4.5807312766070135E-3</c:v>
                </c:pt>
                <c:pt idx="231">
                  <c:v>4.6612622814815718E-3</c:v>
                </c:pt>
                <c:pt idx="232">
                  <c:v>4.7476725678239325E-3</c:v>
                </c:pt>
                <c:pt idx="233">
                  <c:v>4.8431207198356297E-3</c:v>
                </c:pt>
                <c:pt idx="234">
                  <c:v>4.9518528633098061E-3</c:v>
                </c:pt>
                <c:pt idx="235">
                  <c:v>5.0740060835269508E-3</c:v>
                </c:pt>
                <c:pt idx="236">
                  <c:v>5.2097254938390219E-3</c:v>
                </c:pt>
                <c:pt idx="237">
                  <c:v>5.3591602117674421E-3</c:v>
                </c:pt>
                <c:pt idx="238">
                  <c:v>5.5224673988124705E-3</c:v>
                </c:pt>
                <c:pt idx="239">
                  <c:v>5.6946704363797654E-3</c:v>
                </c:pt>
                <c:pt idx="240">
                  <c:v>5.8663030010209999E-3</c:v>
                </c:pt>
                <c:pt idx="241">
                  <c:v>6.0374031164082279E-3</c:v>
                </c:pt>
                <c:pt idx="242">
                  <c:v>6.208014374680805E-3</c:v>
                </c:pt>
                <c:pt idx="243">
                  <c:v>6.3781859336265647E-3</c:v>
                </c:pt>
                <c:pt idx="244">
                  <c:v>6.5479725268806441E-3</c:v>
                </c:pt>
                <c:pt idx="245">
                  <c:v>6.7174344885073808E-3</c:v>
                </c:pt>
                <c:pt idx="246">
                  <c:v>6.8865602777435277E-3</c:v>
                </c:pt>
                <c:pt idx="247">
                  <c:v>7.0478728036060543E-3</c:v>
                </c:pt>
                <c:pt idx="248">
                  <c:v>7.1979332624851414E-3</c:v>
                </c:pt>
                <c:pt idx="249">
                  <c:v>7.3366045114004897E-3</c:v>
                </c:pt>
                <c:pt idx="250">
                  <c:v>7.4637434100049208E-3</c:v>
                </c:pt>
                <c:pt idx="251">
                  <c:v>7.5792007940237351E-3</c:v>
                </c:pt>
                <c:pt idx="252">
                  <c:v>7.6828214636231957E-3</c:v>
                </c:pt>
                <c:pt idx="253">
                  <c:v>7.7599374297476409E-3</c:v>
                </c:pt>
                <c:pt idx="254">
                  <c:v>7.8156768976120235E-3</c:v>
                </c:pt>
                <c:pt idx="255">
                  <c:v>7.8497619704625439E-3</c:v>
                </c:pt>
                <c:pt idx="256">
                  <c:v>7.8619041954414645E-3</c:v>
                </c:pt>
                <c:pt idx="257">
                  <c:v>7.8518048402277801E-3</c:v>
                </c:pt>
                <c:pt idx="258">
                  <c:v>7.8191552043833153E-3</c:v>
                </c:pt>
                <c:pt idx="259">
                  <c:v>7.7636369645187825E-3</c:v>
                </c:pt>
                <c:pt idx="260">
                  <c:v>7.6850405551691032E-3</c:v>
                </c:pt>
                <c:pt idx="261">
                  <c:v>7.5864639670177132E-3</c:v>
                </c:pt>
                <c:pt idx="262">
                  <c:v>7.475563196734065E-3</c:v>
                </c:pt>
                <c:pt idx="263">
                  <c:v>7.35214265251081E-3</c:v>
                </c:pt>
                <c:pt idx="264">
                  <c:v>7.216000496637536E-3</c:v>
                </c:pt>
                <c:pt idx="265">
                  <c:v>7.0669667465534571E-3</c:v>
                </c:pt>
                <c:pt idx="266">
                  <c:v>6.9048443951776695E-3</c:v>
                </c:pt>
                <c:pt idx="267">
                  <c:v>6.77300438828639E-3</c:v>
                </c:pt>
                <c:pt idx="268">
                  <c:v>6.6873576921314421E-3</c:v>
                </c:pt>
                <c:pt idx="269">
                  <c:v>6.6485646699359037E-3</c:v>
                </c:pt>
                <c:pt idx="270">
                  <c:v>6.6573037175868535E-3</c:v>
                </c:pt>
                <c:pt idx="271">
                  <c:v>6.714268846894595E-3</c:v>
                </c:pt>
                <c:pt idx="272">
                  <c:v>6.8201671573928204E-3</c:v>
                </c:pt>
                <c:pt idx="273">
                  <c:v>6.9757161992437906E-3</c:v>
                </c:pt>
                <c:pt idx="274">
                  <c:v>7.1818801158286894E-3</c:v>
                </c:pt>
                <c:pt idx="275">
                  <c:v>7.4954927574006434E-3</c:v>
                </c:pt>
                <c:pt idx="276">
                  <c:v>7.9145285864309564E-3</c:v>
                </c:pt>
                <c:pt idx="277">
                  <c:v>8.4406003080967126E-3</c:v>
                </c:pt>
                <c:pt idx="278">
                  <c:v>9.075348633221493E-3</c:v>
                </c:pt>
                <c:pt idx="279">
                  <c:v>9.8204320528956397E-3</c:v>
                </c:pt>
                <c:pt idx="280">
                  <c:v>1.0677516157550856E-2</c:v>
                </c:pt>
                <c:pt idx="281">
                  <c:v>1.1658185639751427E-2</c:v>
                </c:pt>
                <c:pt idx="282">
                  <c:v>1.2717074200630349E-2</c:v>
                </c:pt>
                <c:pt idx="283">
                  <c:v>1.385518465098365E-2</c:v>
                </c:pt>
                <c:pt idx="284">
                  <c:v>1.5073479123693015E-2</c:v>
                </c:pt>
                <c:pt idx="285">
                  <c:v>1.6372870016516515E-2</c:v>
                </c:pt>
                <c:pt idx="286">
                  <c:v>1.7754210622791981E-2</c:v>
                </c:pt>
                <c:pt idx="287">
                  <c:v>1.9218285454722355E-2</c:v>
                </c:pt>
                <c:pt idx="288">
                  <c:v>2.0766718266664218E-2</c:v>
                </c:pt>
                <c:pt idx="289">
                  <c:v>2.2350190235514534E-2</c:v>
                </c:pt>
                <c:pt idx="290">
                  <c:v>2.3908572090320698E-2</c:v>
                </c:pt>
                <c:pt idx="291">
                  <c:v>2.5441199022309565E-2</c:v>
                </c:pt>
                <c:pt idx="292">
                  <c:v>2.6947362867074064E-2</c:v>
                </c:pt>
                <c:pt idx="293">
                  <c:v>2.8426313624913328E-2</c:v>
                </c:pt>
                <c:pt idx="294">
                  <c:v>2.9877260949459999E-2</c:v>
                </c:pt>
                <c:pt idx="295">
                  <c:v>3.1232480721958219E-2</c:v>
                </c:pt>
                <c:pt idx="296">
                  <c:v>3.2479797514570641E-2</c:v>
                </c:pt>
                <c:pt idx="297">
                  <c:v>3.3617460591546293E-2</c:v>
                </c:pt>
                <c:pt idx="298">
                  <c:v>3.4643434267292675E-2</c:v>
                </c:pt>
                <c:pt idx="299">
                  <c:v>3.55556515011375E-2</c:v>
                </c:pt>
                <c:pt idx="300">
                  <c:v>3.6352020465794152E-2</c:v>
                </c:pt>
                <c:pt idx="301">
                  <c:v>3.7030431362053133E-2</c:v>
                </c:pt>
                <c:pt idx="302">
                  <c:v>3.7589360441345782E-2</c:v>
                </c:pt>
                <c:pt idx="303">
                  <c:v>3.8002330454729741E-2</c:v>
                </c:pt>
                <c:pt idx="304">
                  <c:v>3.8322661275229555E-2</c:v>
                </c:pt>
                <c:pt idx="305">
                  <c:v>3.8549216859542768E-2</c:v>
                </c:pt>
                <c:pt idx="306">
                  <c:v>3.8680863486810851E-2</c:v>
                </c:pt>
                <c:pt idx="307">
                  <c:v>3.8716462977249233E-2</c:v>
                </c:pt>
                <c:pt idx="308">
                  <c:v>3.865486541274666E-2</c:v>
                </c:pt>
                <c:pt idx="309">
                  <c:v>3.8510193162885703E-2</c:v>
                </c:pt>
                <c:pt idx="310">
                  <c:v>3.8353545302559494E-2</c:v>
                </c:pt>
                <c:pt idx="311">
                  <c:v>3.8185013883706417E-2</c:v>
                </c:pt>
                <c:pt idx="312">
                  <c:v>3.8004684343449564E-2</c:v>
                </c:pt>
                <c:pt idx="313">
                  <c:v>3.7812633692843448E-2</c:v>
                </c:pt>
                <c:pt idx="314">
                  <c:v>3.7608928700182759E-2</c:v>
                </c:pt>
                <c:pt idx="315">
                  <c:v>3.7393624082572491E-2</c:v>
                </c:pt>
                <c:pt idx="316">
                  <c:v>3.7167521527221761E-2</c:v>
                </c:pt>
                <c:pt idx="317">
                  <c:v>3.6960094915450173E-2</c:v>
                </c:pt>
                <c:pt idx="318">
                  <c:v>3.6798515963092929E-2</c:v>
                </c:pt>
                <c:pt idx="319">
                  <c:v>3.6683127215030441E-2</c:v>
                </c:pt>
                <c:pt idx="320">
                  <c:v>3.6614287967502893E-2</c:v>
                </c:pt>
                <c:pt idx="321">
                  <c:v>3.6592369563080464E-2</c:v>
                </c:pt>
                <c:pt idx="322">
                  <c:v>3.6617750256037626E-2</c:v>
                </c:pt>
                <c:pt idx="323">
                  <c:v>3.6716964247743671E-2</c:v>
                </c:pt>
                <c:pt idx="324">
                  <c:v>3.687424188838144E-2</c:v>
                </c:pt>
                <c:pt idx="325">
                  <c:v>3.7090122215959143E-2</c:v>
                </c:pt>
                <c:pt idx="326">
                  <c:v>3.736489492493443E-2</c:v>
                </c:pt>
                <c:pt idx="327">
                  <c:v>3.7698971433606017E-2</c:v>
                </c:pt>
                <c:pt idx="328">
                  <c:v>3.8092916405993396E-2</c:v>
                </c:pt>
                <c:pt idx="329">
                  <c:v>3.854724941523216E-2</c:v>
                </c:pt>
                <c:pt idx="330">
                  <c:v>3.9068616578603652E-2</c:v>
                </c:pt>
                <c:pt idx="331">
                  <c:v>3.965203834038325E-2</c:v>
                </c:pt>
                <c:pt idx="332">
                  <c:v>4.0265009753058398E-2</c:v>
                </c:pt>
                <c:pt idx="333">
                  <c:v>4.090607963412702E-2</c:v>
                </c:pt>
                <c:pt idx="334">
                  <c:v>4.1573597839678685E-2</c:v>
                </c:pt>
                <c:pt idx="335">
                  <c:v>4.2265691732292887E-2</c:v>
                </c:pt>
                <c:pt idx="336">
                  <c:v>4.2980243781696202E-2</c:v>
                </c:pt>
                <c:pt idx="337">
                  <c:v>4.3694222256846695E-2</c:v>
                </c:pt>
                <c:pt idx="338">
                  <c:v>4.437581948460264E-2</c:v>
                </c:pt>
                <c:pt idx="339">
                  <c:v>4.50211662665592E-2</c:v>
                </c:pt>
                <c:pt idx="340">
                  <c:v>4.5626169740517634E-2</c:v>
                </c:pt>
                <c:pt idx="341">
                  <c:v>4.618654544298291E-2</c:v>
                </c:pt>
                <c:pt idx="342">
                  <c:v>4.6697857367302087E-2</c:v>
                </c:pt>
                <c:pt idx="343">
                  <c:v>4.7155566354079186E-2</c:v>
                </c:pt>
                <c:pt idx="344">
                  <c:v>4.7566804096198151E-2</c:v>
                </c:pt>
                <c:pt idx="345">
                  <c:v>4.7939919333419199E-2</c:v>
                </c:pt>
                <c:pt idx="346">
                  <c:v>4.8280626989733684E-2</c:v>
                </c:pt>
                <c:pt idx="347">
                  <c:v>4.8586140414587163E-2</c:v>
                </c:pt>
                <c:pt idx="348">
                  <c:v>4.8853624613074235E-2</c:v>
                </c:pt>
                <c:pt idx="349">
                  <c:v>4.9080222589595317E-2</c:v>
                </c:pt>
                <c:pt idx="350">
                  <c:v>4.9263084838987427E-2</c:v>
                </c:pt>
                <c:pt idx="351">
                  <c:v>4.9395857606894605E-2</c:v>
                </c:pt>
                <c:pt idx="352">
                  <c:v>4.9497749564087562E-2</c:v>
                </c:pt>
                <c:pt idx="353">
                  <c:v>4.9566206548791937E-2</c:v>
                </c:pt>
                <c:pt idx="354">
                  <c:v>4.9598763682410389E-2</c:v>
                </c:pt>
                <c:pt idx="355">
                  <c:v>4.9593077444452363E-2</c:v>
                </c:pt>
                <c:pt idx="356">
                  <c:v>4.9546747131796964E-2</c:v>
                </c:pt>
                <c:pt idx="357">
                  <c:v>4.9457917474272917E-2</c:v>
                </c:pt>
                <c:pt idx="358">
                  <c:v>4.9324352424303324E-2</c:v>
                </c:pt>
                <c:pt idx="359">
                  <c:v>4.9147078170828924E-2</c:v>
                </c:pt>
                <c:pt idx="360">
                  <c:v>4.8907285325104265E-2</c:v>
                </c:pt>
                <c:pt idx="361">
                  <c:v>4.86118069393527E-2</c:v>
                </c:pt>
                <c:pt idx="362">
                  <c:v>4.8264069261984947E-2</c:v>
                </c:pt>
                <c:pt idx="363">
                  <c:v>4.7867580425640384E-2</c:v>
                </c:pt>
                <c:pt idx="364">
                  <c:v>4.7425883866592695E-2</c:v>
                </c:pt>
                <c:pt idx="365">
                  <c:v>4.6942516058825018E-2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418840"/>
        <c:axId val="471419232"/>
      </c:lineChart>
      <c:dateAx>
        <c:axId val="47141884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1419232"/>
        <c:crosses val="autoZero"/>
        <c:auto val="1"/>
        <c:lblOffset val="100"/>
        <c:baseTimeUnit val="days"/>
        <c:majorUnit val="1"/>
        <c:majorTimeUnit val="months"/>
      </c:dateAx>
      <c:valAx>
        <c:axId val="47141923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14188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22.955405550115039</c:v>
                </c:pt>
                <c:pt idx="1">
                  <c:v>23.130489380838497</c:v>
                </c:pt>
                <c:pt idx="2">
                  <c:v>23.3161942938967</c:v>
                </c:pt>
                <c:pt idx="3">
                  <c:v>23.511397109030771</c:v>
                </c:pt>
                <c:pt idx="4">
                  <c:v>23.714974739834439</c:v>
                </c:pt>
                <c:pt idx="5">
                  <c:v>23.925804186216368</c:v>
                </c:pt>
                <c:pt idx="6">
                  <c:v>24.14276250912275</c:v>
                </c:pt>
                <c:pt idx="7">
                  <c:v>24.364726836452572</c:v>
                </c:pt>
                <c:pt idx="8">
                  <c:v>24.596139110633175</c:v>
                </c:pt>
                <c:pt idx="9">
                  <c:v>24.840695820793428</c:v>
                </c:pt>
                <c:pt idx="10">
                  <c:v>25.096703819624537</c:v>
                </c:pt>
                <c:pt idx="11">
                  <c:v>25.36298063683769</c:v>
                </c:pt>
                <c:pt idx="12">
                  <c:v>25.63834394624724</c:v>
                </c:pt>
                <c:pt idx="13">
                  <c:v>25.921611616094424</c:v>
                </c:pt>
                <c:pt idx="14">
                  <c:v>26.211601720365984</c:v>
                </c:pt>
                <c:pt idx="15">
                  <c:v>26.506317923455111</c:v>
                </c:pt>
                <c:pt idx="16">
                  <c:v>26.804293399668552</c:v>
                </c:pt>
                <c:pt idx="17">
                  <c:v>27.10434661921343</c:v>
                </c:pt>
                <c:pt idx="18">
                  <c:v>27.405296549882966</c:v>
                </c:pt>
                <c:pt idx="19">
                  <c:v>27.705957177509234</c:v>
                </c:pt>
                <c:pt idx="20">
                  <c:v>28.005140577336157</c:v>
                </c:pt>
                <c:pt idx="21">
                  <c:v>28.301663653532039</c:v>
                </c:pt>
                <c:pt idx="22">
                  <c:v>28.598791869620943</c:v>
                </c:pt>
                <c:pt idx="23">
                  <c:v>28.899669560518003</c:v>
                </c:pt>
                <c:pt idx="24">
                  <c:v>29.204311506956458</c:v>
                </c:pt>
                <c:pt idx="25">
                  <c:v>29.512025715501995</c:v>
                </c:pt>
                <c:pt idx="26">
                  <c:v>29.822120481181535</c:v>
                </c:pt>
                <c:pt idx="27">
                  <c:v>30.13390437991816</c:v>
                </c:pt>
                <c:pt idx="28">
                  <c:v>30.4466862577668</c:v>
                </c:pt>
                <c:pt idx="29">
                  <c:v>30.760533348743124</c:v>
                </c:pt>
                <c:pt idx="30">
                  <c:v>31.075569357194247</c:v>
                </c:pt>
                <c:pt idx="31">
                  <c:v>31.391103259221488</c:v>
                </c:pt>
                <c:pt idx="32">
                  <c:v>31.706444215657875</c:v>
                </c:pt>
                <c:pt idx="33">
                  <c:v>32.020901574033722</c:v>
                </c:pt>
                <c:pt idx="34">
                  <c:v>32.333784870113249</c:v>
                </c:pt>
                <c:pt idx="35">
                  <c:v>32.644403826670732</c:v>
                </c:pt>
                <c:pt idx="36">
                  <c:v>32.954004425640299</c:v>
                </c:pt>
                <c:pt idx="37">
                  <c:v>33.266317212622859</c:v>
                </c:pt>
                <c:pt idx="38">
                  <c:v>33.581690398006565</c:v>
                </c:pt>
                <c:pt idx="39">
                  <c:v>33.900023629420325</c:v>
                </c:pt>
                <c:pt idx="40">
                  <c:v>34.221216628215011</c:v>
                </c:pt>
                <c:pt idx="41">
                  <c:v>34.54516919859703</c:v>
                </c:pt>
                <c:pt idx="42">
                  <c:v>34.871781234748205</c:v>
                </c:pt>
                <c:pt idx="43">
                  <c:v>35.202608091360368</c:v>
                </c:pt>
                <c:pt idx="44">
                  <c:v>35.536794361291783</c:v>
                </c:pt>
                <c:pt idx="45">
                  <c:v>35.874241058122699</c:v>
                </c:pt>
                <c:pt idx="46">
                  <c:v>36.21484943466853</c:v>
                </c:pt>
                <c:pt idx="47">
                  <c:v>36.558521003826961</c:v>
                </c:pt>
                <c:pt idx="48">
                  <c:v>36.905157564042405</c:v>
                </c:pt>
                <c:pt idx="49">
                  <c:v>37.254661225737848</c:v>
                </c:pt>
                <c:pt idx="50">
                  <c:v>37.607180308369003</c:v>
                </c:pt>
                <c:pt idx="51">
                  <c:v>37.96260318749448</c:v>
                </c:pt>
                <c:pt idx="52">
                  <c:v>38.318846823494283</c:v>
                </c:pt>
                <c:pt idx="53">
                  <c:v>38.675918178318447</c:v>
                </c:pt>
                <c:pt idx="54">
                  <c:v>39.03381949968896</c:v>
                </c:pt>
                <c:pt idx="55">
                  <c:v>39.392552995747224</c:v>
                </c:pt>
                <c:pt idx="56">
                  <c:v>39.752120851169735</c:v>
                </c:pt>
                <c:pt idx="57">
                  <c:v>40.110587302615798</c:v>
                </c:pt>
                <c:pt idx="58">
                  <c:v>40.466295998850903</c:v>
                </c:pt>
                <c:pt idx="59">
                  <c:v>40.819247961369456</c:v>
                </c:pt>
                <c:pt idx="60">
                  <c:v>41.169444178820967</c:v>
                </c:pt>
                <c:pt idx="61">
                  <c:v>41.516885626640153</c:v>
                </c:pt>
                <c:pt idx="62">
                  <c:v>41.861573284062956</c:v>
                </c:pt>
                <c:pt idx="63">
                  <c:v>42.203508149275528</c:v>
                </c:pt>
                <c:pt idx="64">
                  <c:v>42.543755608537587</c:v>
                </c:pt>
                <c:pt idx="65">
                  <c:v>42.881467821553528</c:v>
                </c:pt>
                <c:pt idx="66">
                  <c:v>43.216474880796284</c:v>
                </c:pt>
                <c:pt idx="67">
                  <c:v>43.548284195031968</c:v>
                </c:pt>
                <c:pt idx="68">
                  <c:v>43.876403141608606</c:v>
                </c:pt>
                <c:pt idx="69">
                  <c:v>44.200339040973439</c:v>
                </c:pt>
                <c:pt idx="70">
                  <c:v>44.519599128746037</c:v>
                </c:pt>
                <c:pt idx="71">
                  <c:v>44.833550786806299</c:v>
                </c:pt>
                <c:pt idx="72">
                  <c:v>45.143639521807906</c:v>
                </c:pt>
                <c:pt idx="73">
                  <c:v>45.44937142806657</c:v>
                </c:pt>
                <c:pt idx="74">
                  <c:v>45.750252402906504</c:v>
                </c:pt>
                <c:pt idx="75">
                  <c:v>46.045788117138855</c:v>
                </c:pt>
                <c:pt idx="76">
                  <c:v>46.335483985668908</c:v>
                </c:pt>
                <c:pt idx="77">
                  <c:v>46.61884513700015</c:v>
                </c:pt>
                <c:pt idx="78">
                  <c:v>46.898304533906611</c:v>
                </c:pt>
                <c:pt idx="79">
                  <c:v>47.176650527495461</c:v>
                </c:pt>
                <c:pt idx="80">
                  <c:v>47.454684975093819</c:v>
                </c:pt>
                <c:pt idx="81">
                  <c:v>47.731618699680659</c:v>
                </c:pt>
                <c:pt idx="82">
                  <c:v>48.006662578811031</c:v>
                </c:pt>
                <c:pt idx="83">
                  <c:v>48.279027548005132</c:v>
                </c:pt>
                <c:pt idx="84">
                  <c:v>48.547924608142765</c:v>
                </c:pt>
                <c:pt idx="85">
                  <c:v>48.812871640091522</c:v>
                </c:pt>
                <c:pt idx="86">
                  <c:v>49.073229857830739</c:v>
                </c:pt>
                <c:pt idx="87">
                  <c:v>49.328214548082236</c:v>
                </c:pt>
                <c:pt idx="88">
                  <c:v>49.577041452811358</c:v>
                </c:pt>
                <c:pt idx="89">
                  <c:v>49.818926791982769</c:v>
                </c:pt>
                <c:pt idx="90">
                  <c:v>50.053087291069353</c:v>
                </c:pt>
                <c:pt idx="91">
                  <c:v>50.278740205825564</c:v>
                </c:pt>
                <c:pt idx="92">
                  <c:v>50.496214563829994</c:v>
                </c:pt>
                <c:pt idx="93">
                  <c:v>50.706842411673335</c:v>
                </c:pt>
                <c:pt idx="94">
                  <c:v>50.910463823171312</c:v>
                </c:pt>
                <c:pt idx="95">
                  <c:v>51.107474219957481</c:v>
                </c:pt>
                <c:pt idx="96">
                  <c:v>51.298269281484473</c:v>
                </c:pt>
                <c:pt idx="97">
                  <c:v>51.483244963915304</c:v>
                </c:pt>
                <c:pt idx="98">
                  <c:v>51.662797515999678</c:v>
                </c:pt>
                <c:pt idx="99">
                  <c:v>51.837194814417821</c:v>
                </c:pt>
                <c:pt idx="100">
                  <c:v>52.00651629888835</c:v>
                </c:pt>
                <c:pt idx="101">
                  <c:v>52.171156126288892</c:v>
                </c:pt>
                <c:pt idx="102">
                  <c:v>52.331508550168337</c:v>
                </c:pt>
                <c:pt idx="103">
                  <c:v>52.487967919089378</c:v>
                </c:pt>
                <c:pt idx="104">
                  <c:v>52.640928687090103</c:v>
                </c:pt>
                <c:pt idx="105">
                  <c:v>52.790785417805623</c:v>
                </c:pt>
                <c:pt idx="106">
                  <c:v>52.936529049878025</c:v>
                </c:pt>
                <c:pt idx="107">
                  <c:v>53.076623992707695</c:v>
                </c:pt>
                <c:pt idx="108">
                  <c:v>53.211041299302096</c:v>
                </c:pt>
                <c:pt idx="109">
                  <c:v>53.339976629926582</c:v>
                </c:pt>
                <c:pt idx="110">
                  <c:v>53.463624914425537</c:v>
                </c:pt>
                <c:pt idx="111">
                  <c:v>53.582181011164081</c:v>
                </c:pt>
                <c:pt idx="112">
                  <c:v>53.69584030607983</c:v>
                </c:pt>
                <c:pt idx="113">
                  <c:v>53.804959091998867</c:v>
                </c:pt>
                <c:pt idx="114">
                  <c:v>53.909861751609149</c:v>
                </c:pt>
                <c:pt idx="115">
                  <c:v>54.010743324676845</c:v>
                </c:pt>
                <c:pt idx="116">
                  <c:v>54.107798748138357</c:v>
                </c:pt>
                <c:pt idx="117">
                  <c:v>54.201222849904404</c:v>
                </c:pt>
                <c:pt idx="118">
                  <c:v>54.291210354749118</c:v>
                </c:pt>
                <c:pt idx="119">
                  <c:v>57.397225762533864</c:v>
                </c:pt>
                <c:pt idx="120">
                  <c:v>57.482853337278321</c:v>
                </c:pt>
                <c:pt idx="121">
                  <c:v>57.563925953546708</c:v>
                </c:pt>
                <c:pt idx="122">
                  <c:v>57.641083028183978</c:v>
                </c:pt>
                <c:pt idx="123">
                  <c:v>57.714534945712714</c:v>
                </c:pt>
                <c:pt idx="124">
                  <c:v>57.78449207777637</c:v>
                </c:pt>
                <c:pt idx="125">
                  <c:v>57.85116476719277</c:v>
                </c:pt>
                <c:pt idx="126">
                  <c:v>57.91476331380121</c:v>
                </c:pt>
                <c:pt idx="127">
                  <c:v>57.975545376349537</c:v>
                </c:pt>
                <c:pt idx="128">
                  <c:v>58.033555203774377</c:v>
                </c:pt>
                <c:pt idx="129">
                  <c:v>58.089005830449608</c:v>
                </c:pt>
                <c:pt idx="130">
                  <c:v>58.142110374728013</c:v>
                </c:pt>
                <c:pt idx="131">
                  <c:v>58.193082021250319</c:v>
                </c:pt>
                <c:pt idx="132">
                  <c:v>58.242134010445184</c:v>
                </c:pt>
                <c:pt idx="133">
                  <c:v>58.289479620898199</c:v>
                </c:pt>
                <c:pt idx="134">
                  <c:v>58.33481692934258</c:v>
                </c:pt>
                <c:pt idx="135">
                  <c:v>58.377578288486283</c:v>
                </c:pt>
                <c:pt idx="136">
                  <c:v>58.417417901262894</c:v>
                </c:pt>
                <c:pt idx="137">
                  <c:v>58.45434271981123</c:v>
                </c:pt>
                <c:pt idx="138">
                  <c:v>58.488359850824992</c:v>
                </c:pt>
                <c:pt idx="139">
                  <c:v>58.519476545574761</c:v>
                </c:pt>
                <c:pt idx="140">
                  <c:v>58.547700192841006</c:v>
                </c:pt>
                <c:pt idx="141">
                  <c:v>58.572736000663696</c:v>
                </c:pt>
                <c:pt idx="142">
                  <c:v>58.594525868318385</c:v>
                </c:pt>
                <c:pt idx="143">
                  <c:v>58.613069305994266</c:v>
                </c:pt>
                <c:pt idx="144">
                  <c:v>58.628365178387426</c:v>
                </c:pt>
                <c:pt idx="145">
                  <c:v>58.640412319401527</c:v>
                </c:pt>
                <c:pt idx="146">
                  <c:v>58.649209537703285</c:v>
                </c:pt>
                <c:pt idx="147">
                  <c:v>58.654755614727804</c:v>
                </c:pt>
                <c:pt idx="148">
                  <c:v>58.657049314940984</c:v>
                </c:pt>
                <c:pt idx="149">
                  <c:v>58.655896154799834</c:v>
                </c:pt>
                <c:pt idx="150">
                  <c:v>58.651412333648736</c:v>
                </c:pt>
                <c:pt idx="151">
                  <c:v>58.643590539807946</c:v>
                </c:pt>
                <c:pt idx="152">
                  <c:v>58.632423354837115</c:v>
                </c:pt>
                <c:pt idx="153">
                  <c:v>58.617903271218111</c:v>
                </c:pt>
                <c:pt idx="154">
                  <c:v>58.600022720070065</c:v>
                </c:pt>
                <c:pt idx="155">
                  <c:v>58.578778807503582</c:v>
                </c:pt>
                <c:pt idx="156">
                  <c:v>58.554492860036504</c:v>
                </c:pt>
                <c:pt idx="157">
                  <c:v>58.527162589067892</c:v>
                </c:pt>
                <c:pt idx="158">
                  <c:v>58.496785680802581</c:v>
                </c:pt>
                <c:pt idx="159">
                  <c:v>58.463359807890278</c:v>
                </c:pt>
                <c:pt idx="160">
                  <c:v>58.426882636284766</c:v>
                </c:pt>
                <c:pt idx="161">
                  <c:v>58.387351837612897</c:v>
                </c:pt>
                <c:pt idx="162">
                  <c:v>58.34476509648885</c:v>
                </c:pt>
                <c:pt idx="163">
                  <c:v>58.299119026228851</c:v>
                </c:pt>
                <c:pt idx="164">
                  <c:v>58.250625608723226</c:v>
                </c:pt>
                <c:pt idx="165">
                  <c:v>58.199286619193678</c:v>
                </c:pt>
                <c:pt idx="166">
                  <c:v>58.145103800141889</c:v>
                </c:pt>
                <c:pt idx="167">
                  <c:v>58.088078853767001</c:v>
                </c:pt>
                <c:pt idx="168">
                  <c:v>58.028213441488695</c:v>
                </c:pt>
                <c:pt idx="169">
                  <c:v>57.965508008145761</c:v>
                </c:pt>
                <c:pt idx="170">
                  <c:v>57.899959321462461</c:v>
                </c:pt>
                <c:pt idx="171">
                  <c:v>57.831568864474171</c:v>
                </c:pt>
                <c:pt idx="172">
                  <c:v>57.760338069047855</c:v>
                </c:pt>
                <c:pt idx="173">
                  <c:v>57.686268631585463</c:v>
                </c:pt>
                <c:pt idx="174">
                  <c:v>57.609362216346042</c:v>
                </c:pt>
                <c:pt idx="175">
                  <c:v>57.529620140759356</c:v>
                </c:pt>
                <c:pt idx="176">
                  <c:v>57.446377558945862</c:v>
                </c:pt>
                <c:pt idx="177">
                  <c:v>57.359179612850824</c:v>
                </c:pt>
                <c:pt idx="178">
                  <c:v>57.268336535705735</c:v>
                </c:pt>
                <c:pt idx="179">
                  <c:v>57.174157104618615</c:v>
                </c:pt>
                <c:pt idx="180">
                  <c:v>57.076949884052461</c:v>
                </c:pt>
                <c:pt idx="181">
                  <c:v>56.977023230465342</c:v>
                </c:pt>
                <c:pt idx="182">
                  <c:v>56.874685297081193</c:v>
                </c:pt>
                <c:pt idx="183">
                  <c:v>56.770007614291458</c:v>
                </c:pt>
                <c:pt idx="184">
                  <c:v>56.66329655704137</c:v>
                </c:pt>
                <c:pt idx="185">
                  <c:v>56.554857152736616</c:v>
                </c:pt>
                <c:pt idx="186">
                  <c:v>56.444994400778306</c:v>
                </c:pt>
                <c:pt idx="187">
                  <c:v>56.334013271330313</c:v>
                </c:pt>
                <c:pt idx="188">
                  <c:v>56.222218705553729</c:v>
                </c:pt>
                <c:pt idx="189">
                  <c:v>56.109915615086429</c:v>
                </c:pt>
                <c:pt idx="190">
                  <c:v>55.996419996728882</c:v>
                </c:pt>
                <c:pt idx="191">
                  <c:v>55.880535679366098</c:v>
                </c:pt>
                <c:pt idx="192">
                  <c:v>55.762356711627326</c:v>
                </c:pt>
                <c:pt idx="193">
                  <c:v>55.641982126522244</c:v>
                </c:pt>
                <c:pt idx="194">
                  <c:v>55.51951118405384</c:v>
                </c:pt>
                <c:pt idx="195">
                  <c:v>55.395043356705933</c:v>
                </c:pt>
                <c:pt idx="196">
                  <c:v>55.268678313014348</c:v>
                </c:pt>
                <c:pt idx="197">
                  <c:v>55.140427542998644</c:v>
                </c:pt>
                <c:pt idx="198">
                  <c:v>55.010640027562978</c:v>
                </c:pt>
                <c:pt idx="199">
                  <c:v>54.879419158012517</c:v>
                </c:pt>
                <c:pt idx="200">
                  <c:v>54.74686825708919</c:v>
                </c:pt>
                <c:pt idx="201">
                  <c:v>54.613090569277681</c:v>
                </c:pt>
                <c:pt idx="202">
                  <c:v>54.47818925302353</c:v>
                </c:pt>
                <c:pt idx="203">
                  <c:v>54.342267373556908</c:v>
                </c:pt>
                <c:pt idx="204">
                  <c:v>54.204951535485563</c:v>
                </c:pt>
                <c:pt idx="205">
                  <c:v>54.065990775524078</c:v>
                </c:pt>
                <c:pt idx="206">
                  <c:v>53.925874684467708</c:v>
                </c:pt>
                <c:pt idx="207">
                  <c:v>53.784709071879661</c:v>
                </c:pt>
                <c:pt idx="208">
                  <c:v>53.642599494113867</c:v>
                </c:pt>
                <c:pt idx="209">
                  <c:v>53.49965126416852</c:v>
                </c:pt>
                <c:pt idx="210">
                  <c:v>53.355969464384877</c:v>
                </c:pt>
                <c:pt idx="211">
                  <c:v>53.212019270912293</c:v>
                </c:pt>
                <c:pt idx="212">
                  <c:v>53.067985781574684</c:v>
                </c:pt>
                <c:pt idx="213">
                  <c:v>52.923971598230153</c:v>
                </c:pt>
                <c:pt idx="214">
                  <c:v>52.780079235583848</c:v>
                </c:pt>
                <c:pt idx="215">
                  <c:v>52.636411128356166</c:v>
                </c:pt>
                <c:pt idx="216">
                  <c:v>52.493069638216035</c:v>
                </c:pt>
                <c:pt idx="217">
                  <c:v>52.350157058836714</c:v>
                </c:pt>
                <c:pt idx="218">
                  <c:v>52.208183425166702</c:v>
                </c:pt>
                <c:pt idx="219">
                  <c:v>52.067505256694943</c:v>
                </c:pt>
                <c:pt idx="220">
                  <c:v>51.927688140102866</c:v>
                </c:pt>
                <c:pt idx="221">
                  <c:v>51.788424720855893</c:v>
                </c:pt>
                <c:pt idx="222">
                  <c:v>51.649407902320135</c:v>
                </c:pt>
                <c:pt idx="223">
                  <c:v>51.510330839136905</c:v>
                </c:pt>
                <c:pt idx="224">
                  <c:v>51.370886929095519</c:v>
                </c:pt>
                <c:pt idx="225">
                  <c:v>51.230264818740814</c:v>
                </c:pt>
                <c:pt idx="226">
                  <c:v>51.087801643723857</c:v>
                </c:pt>
                <c:pt idx="227">
                  <c:v>50.943192340647272</c:v>
                </c:pt>
                <c:pt idx="228">
                  <c:v>50.796132077580793</c:v>
                </c:pt>
                <c:pt idx="229">
                  <c:v>50.646316251609022</c:v>
                </c:pt>
                <c:pt idx="230">
                  <c:v>50.493440488136578</c:v>
                </c:pt>
                <c:pt idx="231">
                  <c:v>50.337200636460565</c:v>
                </c:pt>
                <c:pt idx="232">
                  <c:v>50.178717740969475</c:v>
                </c:pt>
                <c:pt idx="233">
                  <c:v>50.018992394638062</c:v>
                </c:pt>
                <c:pt idx="234">
                  <c:v>49.857605805104434</c:v>
                </c:pt>
                <c:pt idx="235">
                  <c:v>49.694254420910909</c:v>
                </c:pt>
                <c:pt idx="236">
                  <c:v>49.528634741504412</c:v>
                </c:pt>
                <c:pt idx="237">
                  <c:v>49.360443651605031</c:v>
                </c:pt>
                <c:pt idx="238">
                  <c:v>49.189378215583751</c:v>
                </c:pt>
                <c:pt idx="239">
                  <c:v>49.01551694232068</c:v>
                </c:pt>
                <c:pt idx="240">
                  <c:v>48.839060594202031</c:v>
                </c:pt>
                <c:pt idx="241">
                  <c:v>48.659706319886538</c:v>
                </c:pt>
                <c:pt idx="242">
                  <c:v>48.477151356196401</c:v>
                </c:pt>
                <c:pt idx="243">
                  <c:v>48.291093031994485</c:v>
                </c:pt>
                <c:pt idx="244">
                  <c:v>48.101228771651719</c:v>
                </c:pt>
                <c:pt idx="245">
                  <c:v>47.907256101029539</c:v>
                </c:pt>
                <c:pt idx="246">
                  <c:v>47.709414616281315</c:v>
                </c:pt>
                <c:pt idx="247">
                  <c:v>47.508831321710488</c:v>
                </c:pt>
                <c:pt idx="248">
                  <c:v>47.305728250166233</c:v>
                </c:pt>
                <c:pt idx="249">
                  <c:v>47.100208549702785</c:v>
                </c:pt>
                <c:pt idx="250">
                  <c:v>46.892375175394641</c:v>
                </c:pt>
                <c:pt idx="251">
                  <c:v>46.682330887582047</c:v>
                </c:pt>
                <c:pt idx="252">
                  <c:v>46.470178249208438</c:v>
                </c:pt>
                <c:pt idx="253">
                  <c:v>46.256628717657719</c:v>
                </c:pt>
                <c:pt idx="254">
                  <c:v>46.04140261905571</c:v>
                </c:pt>
                <c:pt idx="255">
                  <c:v>45.82460096086615</c:v>
                </c:pt>
                <c:pt idx="256">
                  <c:v>45.606324537674325</c:v>
                </c:pt>
                <c:pt idx="257">
                  <c:v>45.386673922808406</c:v>
                </c:pt>
                <c:pt idx="258">
                  <c:v>45.165749450753545</c:v>
                </c:pt>
                <c:pt idx="259">
                  <c:v>44.943651203637053</c:v>
                </c:pt>
                <c:pt idx="260">
                  <c:v>44.719785677387058</c:v>
                </c:pt>
                <c:pt idx="261">
                  <c:v>44.492975750245833</c:v>
                </c:pt>
                <c:pt idx="262">
                  <c:v>44.262809432112654</c:v>
                </c:pt>
                <c:pt idx="263">
                  <c:v>44.029489454181331</c:v>
                </c:pt>
                <c:pt idx="264">
                  <c:v>43.793218492681504</c:v>
                </c:pt>
                <c:pt idx="265">
                  <c:v>43.554197098152827</c:v>
                </c:pt>
                <c:pt idx="266">
                  <c:v>43.312626954015599</c:v>
                </c:pt>
                <c:pt idx="267">
                  <c:v>43.066295625247989</c:v>
                </c:pt>
                <c:pt idx="268">
                  <c:v>42.814811709762957</c:v>
                </c:pt>
                <c:pt idx="269">
                  <c:v>42.55838733905086</c:v>
                </c:pt>
                <c:pt idx="270">
                  <c:v>42.297235260420962</c:v>
                </c:pt>
                <c:pt idx="271">
                  <c:v>42.031568902410456</c:v>
                </c:pt>
                <c:pt idx="272">
                  <c:v>41.761602435976144</c:v>
                </c:pt>
                <c:pt idx="273">
                  <c:v>41.487550830754358</c:v>
                </c:pt>
                <c:pt idx="274">
                  <c:v>41.208245351972643</c:v>
                </c:pt>
                <c:pt idx="275">
                  <c:v>40.920192167872948</c:v>
                </c:pt>
                <c:pt idx="276">
                  <c:v>40.624466684025009</c:v>
                </c:pt>
                <c:pt idx="277">
                  <c:v>40.321499354397972</c:v>
                </c:pt>
                <c:pt idx="278">
                  <c:v>40.011722142480409</c:v>
                </c:pt>
                <c:pt idx="279">
                  <c:v>39.695568569019713</c:v>
                </c:pt>
                <c:pt idx="280">
                  <c:v>39.373473752323584</c:v>
                </c:pt>
                <c:pt idx="281">
                  <c:v>39.046008258833268</c:v>
                </c:pt>
                <c:pt idx="282">
                  <c:v>38.71598066904388</c:v>
                </c:pt>
                <c:pt idx="283">
                  <c:v>38.383818300167491</c:v>
                </c:pt>
                <c:pt idx="284">
                  <c:v>38.049949067522221</c:v>
                </c:pt>
                <c:pt idx="285">
                  <c:v>37.714801441190282</c:v>
                </c:pt>
                <c:pt idx="286">
                  <c:v>37.378804390626144</c:v>
                </c:pt>
                <c:pt idx="287">
                  <c:v>37.04238732193253</c:v>
                </c:pt>
                <c:pt idx="288">
                  <c:v>36.704310745606271</c:v>
                </c:pt>
                <c:pt idx="289">
                  <c:v>36.3658064737836</c:v>
                </c:pt>
                <c:pt idx="290">
                  <c:v>36.029584342753161</c:v>
                </c:pt>
                <c:pt idx="291">
                  <c:v>35.695940154892156</c:v>
                </c:pt>
                <c:pt idx="292">
                  <c:v>35.365167950171887</c:v>
                </c:pt>
                <c:pt idx="293">
                  <c:v>35.037559978611625</c:v>
                </c:pt>
                <c:pt idx="294">
                  <c:v>34.713406687029405</c:v>
                </c:pt>
                <c:pt idx="295">
                  <c:v>34.395519489639867</c:v>
                </c:pt>
                <c:pt idx="296">
                  <c:v>34.084016512056643</c:v>
                </c:pt>
                <c:pt idx="297">
                  <c:v>33.779149305949737</c:v>
                </c:pt>
                <c:pt idx="298">
                  <c:v>33.481179127574535</c:v>
                </c:pt>
                <c:pt idx="299">
                  <c:v>33.190365613118665</c:v>
                </c:pt>
                <c:pt idx="300">
                  <c:v>32.906966914510072</c:v>
                </c:pt>
                <c:pt idx="301">
                  <c:v>32.631239858663392</c:v>
                </c:pt>
                <c:pt idx="302">
                  <c:v>32.362901260744685</c:v>
                </c:pt>
                <c:pt idx="303">
                  <c:v>32.101843344932654</c:v>
                </c:pt>
                <c:pt idx="304">
                  <c:v>31.845471068348612</c:v>
                </c:pt>
                <c:pt idx="305">
                  <c:v>31.593651048376934</c:v>
                </c:pt>
                <c:pt idx="306">
                  <c:v>31.346249755881587</c:v>
                </c:pt>
                <c:pt idx="307">
                  <c:v>31.103133658758349</c:v>
                </c:pt>
                <c:pt idx="308">
                  <c:v>30.864169371441772</c:v>
                </c:pt>
                <c:pt idx="309">
                  <c:v>30.628255060500297</c:v>
                </c:pt>
                <c:pt idx="310">
                  <c:v>30.392846959849727</c:v>
                </c:pt>
                <c:pt idx="311">
                  <c:v>30.15784183233075</c:v>
                </c:pt>
                <c:pt idx="312">
                  <c:v>29.92313672540191</c:v>
                </c:pt>
                <c:pt idx="313">
                  <c:v>29.688628982904667</c:v>
                </c:pt>
                <c:pt idx="314">
                  <c:v>29.454216255777183</c:v>
                </c:pt>
                <c:pt idx="315">
                  <c:v>29.219796509530884</c:v>
                </c:pt>
                <c:pt idx="316">
                  <c:v>28.984645759330981</c:v>
                </c:pt>
                <c:pt idx="317">
                  <c:v>28.747411888244311</c:v>
                </c:pt>
                <c:pt idx="318">
                  <c:v>28.5080796798728</c:v>
                </c:pt>
                <c:pt idx="319">
                  <c:v>28.26706385685263</c:v>
                </c:pt>
                <c:pt idx="320">
                  <c:v>28.024778873227067</c:v>
                </c:pt>
                <c:pt idx="321">
                  <c:v>27.781638882759445</c:v>
                </c:pt>
                <c:pt idx="322">
                  <c:v>27.538057713035546</c:v>
                </c:pt>
                <c:pt idx="323">
                  <c:v>27.293850477578523</c:v>
                </c:pt>
                <c:pt idx="324">
                  <c:v>27.050365559629064</c:v>
                </c:pt>
                <c:pt idx="325">
                  <c:v>26.808013393006728</c:v>
                </c:pt>
                <c:pt idx="326">
                  <c:v>26.56721284338807</c:v>
                </c:pt>
                <c:pt idx="327">
                  <c:v>26.32837686829361</c:v>
                </c:pt>
                <c:pt idx="328">
                  <c:v>26.091911031310584</c:v>
                </c:pt>
                <c:pt idx="329">
                  <c:v>25.858220580287824</c:v>
                </c:pt>
                <c:pt idx="330">
                  <c:v>25.62342719676278</c:v>
                </c:pt>
                <c:pt idx="331">
                  <c:v>25.385031778328372</c:v>
                </c:pt>
                <c:pt idx="332">
                  <c:v>25.145477122951981</c:v>
                </c:pt>
                <c:pt idx="333">
                  <c:v>24.906268431259594</c:v>
                </c:pt>
                <c:pt idx="334">
                  <c:v>24.668910745549553</c:v>
                </c:pt>
                <c:pt idx="335">
                  <c:v>24.43490895663448</c:v>
                </c:pt>
                <c:pt idx="336">
                  <c:v>24.205767797254268</c:v>
                </c:pt>
                <c:pt idx="337">
                  <c:v>23.983721852049392</c:v>
                </c:pt>
                <c:pt idx="338">
                  <c:v>23.770852862731324</c:v>
                </c:pt>
                <c:pt idx="339">
                  <c:v>23.568659529281025</c:v>
                </c:pt>
                <c:pt idx="340">
                  <c:v>23.378640959095385</c:v>
                </c:pt>
                <c:pt idx="341">
                  <c:v>23.202296637326153</c:v>
                </c:pt>
                <c:pt idx="342">
                  <c:v>23.041126394996308</c:v>
                </c:pt>
                <c:pt idx="343">
                  <c:v>22.896630382325423</c:v>
                </c:pt>
                <c:pt idx="344">
                  <c:v>22.764306381440903</c:v>
                </c:pt>
                <c:pt idx="345">
                  <c:v>22.639333930022502</c:v>
                </c:pt>
                <c:pt idx="346">
                  <c:v>22.522139888513458</c:v>
                </c:pt>
                <c:pt idx="347">
                  <c:v>22.41374935390057</c:v>
                </c:pt>
                <c:pt idx="348">
                  <c:v>22.315187463108582</c:v>
                </c:pt>
                <c:pt idx="349">
                  <c:v>22.227479326993368</c:v>
                </c:pt>
                <c:pt idx="350">
                  <c:v>22.151650012605636</c:v>
                </c:pt>
                <c:pt idx="351">
                  <c:v>22.088753422730878</c:v>
                </c:pt>
                <c:pt idx="352">
                  <c:v>22.039095135791143</c:v>
                </c:pt>
                <c:pt idx="353">
                  <c:v>22.00370067899382</c:v>
                </c:pt>
                <c:pt idx="354">
                  <c:v>21.983595089718907</c:v>
                </c:pt>
                <c:pt idx="355">
                  <c:v>21.979802882288084</c:v>
                </c:pt>
                <c:pt idx="356">
                  <c:v>21.993352722213441</c:v>
                </c:pt>
                <c:pt idx="357">
                  <c:v>22.02526555375524</c:v>
                </c:pt>
                <c:pt idx="358">
                  <c:v>22.076681010497275</c:v>
                </c:pt>
                <c:pt idx="359">
                  <c:v>22.147288637490721</c:v>
                </c:pt>
                <c:pt idx="360">
                  <c:v>22.23666189875059</c:v>
                </c:pt>
                <c:pt idx="361">
                  <c:v>22.343627680727039</c:v>
                </c:pt>
                <c:pt idx="362">
                  <c:v>22.467042108454699</c:v>
                </c:pt>
                <c:pt idx="363">
                  <c:v>22.60576163351832</c:v>
                </c:pt>
                <c:pt idx="364">
                  <c:v>22.758642995095624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22.703565007609498</c:v>
                </c:pt>
                <c:pt idx="1">
                  <c:v>15.375987417254779</c:v>
                </c:pt>
                <c:pt idx="2">
                  <c:v>17.441382631349974</c:v>
                </c:pt>
                <c:pt idx="3">
                  <c:v>17.734654821225654</c:v>
                </c:pt>
                <c:pt idx="4">
                  <c:v>12.828319766103151</c:v>
                </c:pt>
                <c:pt idx="5">
                  <c:v>24.138505884455775</c:v>
                </c:pt>
                <c:pt idx="6">
                  <c:v>8.2979579432929906</c:v>
                </c:pt>
                <c:pt idx="7">
                  <c:v>5.779060869331305</c:v>
                </c:pt>
                <c:pt idx="8">
                  <c:v>1.649014679553608</c:v>
                </c:pt>
                <c:pt idx="9">
                  <c:v>1.3278076330372159</c:v>
                </c:pt>
                <c:pt idx="10">
                  <c:v>23.097758222756713</c:v>
                </c:pt>
                <c:pt idx="11">
                  <c:v>19.75221730908876</c:v>
                </c:pt>
                <c:pt idx="12">
                  <c:v>5.9978538184777976</c:v>
                </c:pt>
                <c:pt idx="13">
                  <c:v>25.754326839278168</c:v>
                </c:pt>
                <c:pt idx="14">
                  <c:v>26.535490787853998</c:v>
                </c:pt>
                <c:pt idx="15">
                  <c:v>26.269524336386919</c:v>
                </c:pt>
                <c:pt idx="16">
                  <c:v>17.026366549946779</c:v>
                </c:pt>
                <c:pt idx="17">
                  <c:v>4.4822199492478187</c:v>
                </c:pt>
                <c:pt idx="18">
                  <c:v>11.329301923985989</c:v>
                </c:pt>
                <c:pt idx="19">
                  <c:v>4.6999673071427495</c:v>
                </c:pt>
                <c:pt idx="20">
                  <c:v>17.949346519846223</c:v>
                </c:pt>
                <c:pt idx="21">
                  <c:v>27.759143863562883</c:v>
                </c:pt>
                <c:pt idx="22">
                  <c:v>28.104195024277924</c:v>
                </c:pt>
                <c:pt idx="23">
                  <c:v>28.598630336390155</c:v>
                </c:pt>
                <c:pt idx="24">
                  <c:v>26.715741839534431</c:v>
                </c:pt>
                <c:pt idx="25">
                  <c:v>28.781101879758307</c:v>
                </c:pt>
                <c:pt idx="26">
                  <c:v>28.584574276476555</c:v>
                </c:pt>
                <c:pt idx="27">
                  <c:v>3.8991474867663096</c:v>
                </c:pt>
                <c:pt idx="28">
                  <c:v>6.0019947527015463</c:v>
                </c:pt>
                <c:pt idx="29">
                  <c:v>5.4120171840197342</c:v>
                </c:pt>
                <c:pt idx="30">
                  <c:v>6.7703541667437293</c:v>
                </c:pt>
                <c:pt idx="31">
                  <c:v>16.984487375146951</c:v>
                </c:pt>
                <c:pt idx="32">
                  <c:v>6.2343510454191504</c:v>
                </c:pt>
                <c:pt idx="33">
                  <c:v>14.727176567858837</c:v>
                </c:pt>
                <c:pt idx="34">
                  <c:v>13.300741039498329</c:v>
                </c:pt>
                <c:pt idx="35">
                  <c:v>9.7693817543716186</c:v>
                </c:pt>
                <c:pt idx="36">
                  <c:v>25.712457274983038</c:v>
                </c:pt>
                <c:pt idx="37">
                  <c:v>11.610314908073414</c:v>
                </c:pt>
                <c:pt idx="38">
                  <c:v>33.418910027891414</c:v>
                </c:pt>
                <c:pt idx="39">
                  <c:v>34.03091343976714</c:v>
                </c:pt>
                <c:pt idx="40">
                  <c:v>32.104496177795539</c:v>
                </c:pt>
                <c:pt idx="41">
                  <c:v>13.468642387400356</c:v>
                </c:pt>
                <c:pt idx="42">
                  <c:v>25.547846578483245</c:v>
                </c:pt>
                <c:pt idx="43">
                  <c:v>32.341079767598622</c:v>
                </c:pt>
                <c:pt idx="44">
                  <c:v>15.403617012267629</c:v>
                </c:pt>
                <c:pt idx="45">
                  <c:v>20.363797846514846</c:v>
                </c:pt>
                <c:pt idx="46">
                  <c:v>8.6980083162038362</c:v>
                </c:pt>
                <c:pt idx="47">
                  <c:v>9.6024384384013377</c:v>
                </c:pt>
                <c:pt idx="48">
                  <c:v>32.010579377886266</c:v>
                </c:pt>
                <c:pt idx="49">
                  <c:v>14.683920647149892</c:v>
                </c:pt>
                <c:pt idx="50">
                  <c:v>25.499038841287039</c:v>
                </c:pt>
                <c:pt idx="51">
                  <c:v>19.126633656893418</c:v>
                </c:pt>
                <c:pt idx="52">
                  <c:v>31.694698202577552</c:v>
                </c:pt>
                <c:pt idx="53">
                  <c:v>36.731389329597924</c:v>
                </c:pt>
                <c:pt idx="54">
                  <c:v>23.623419740230862</c:v>
                </c:pt>
                <c:pt idx="55">
                  <c:v>25.716128242219032</c:v>
                </c:pt>
                <c:pt idx="56">
                  <c:v>39.853719069475666</c:v>
                </c:pt>
                <c:pt idx="57">
                  <c:v>21.125882114297813</c:v>
                </c:pt>
                <c:pt idx="58">
                  <c:v>36.595030956596361</c:v>
                </c:pt>
                <c:pt idx="59">
                  <c:v>40.547368848239863</c:v>
                </c:pt>
                <c:pt idx="60">
                  <c:v>14.063373232986384</c:v>
                </c:pt>
                <c:pt idx="61">
                  <c:v>36.686121839703446</c:v>
                </c:pt>
                <c:pt idx="62">
                  <c:v>4.8893768974692415</c:v>
                </c:pt>
                <c:pt idx="63">
                  <c:v>15.061844089364939</c:v>
                </c:pt>
                <c:pt idx="64">
                  <c:v>21.734120913399373</c:v>
                </c:pt>
                <c:pt idx="65">
                  <c:v>33.892820264540617</c:v>
                </c:pt>
                <c:pt idx="66">
                  <c:v>34.288575619778712</c:v>
                </c:pt>
                <c:pt idx="67">
                  <c:v>31.256831093005001</c:v>
                </c:pt>
                <c:pt idx="68">
                  <c:v>25.147589394104433</c:v>
                </c:pt>
                <c:pt idx="69">
                  <c:v>17.599557975319819</c:v>
                </c:pt>
                <c:pt idx="70">
                  <c:v>12.840871639763261</c:v>
                </c:pt>
                <c:pt idx="71">
                  <c:v>9.5390410787764335</c:v>
                </c:pt>
                <c:pt idx="72">
                  <c:v>12.929038325431113</c:v>
                </c:pt>
                <c:pt idx="73">
                  <c:v>15.80091370191762</c:v>
                </c:pt>
                <c:pt idx="74">
                  <c:v>11.519044177532338</c:v>
                </c:pt>
                <c:pt idx="75">
                  <c:v>9.9149328972262918</c:v>
                </c:pt>
                <c:pt idx="76">
                  <c:v>13.01919256400061</c:v>
                </c:pt>
                <c:pt idx="77">
                  <c:v>27.128733204502318</c:v>
                </c:pt>
                <c:pt idx="78">
                  <c:v>31.7599566333</c:v>
                </c:pt>
                <c:pt idx="79">
                  <c:v>44.235363910258933</c:v>
                </c:pt>
                <c:pt idx="80">
                  <c:v>40.655573697135061</c:v>
                </c:pt>
                <c:pt idx="81">
                  <c:v>47.939736221724552</c:v>
                </c:pt>
                <c:pt idx="82">
                  <c:v>46.850802026999382</c:v>
                </c:pt>
                <c:pt idx="83">
                  <c:v>36.95862671764904</c:v>
                </c:pt>
                <c:pt idx="84">
                  <c:v>42.246755888158226</c:v>
                </c:pt>
                <c:pt idx="85">
                  <c:v>44.812394706679584</c:v>
                </c:pt>
                <c:pt idx="86">
                  <c:v>38.240283101147519</c:v>
                </c:pt>
                <c:pt idx="87">
                  <c:v>26.664184108812314</c:v>
                </c:pt>
                <c:pt idx="88">
                  <c:v>6.0386353268285529</c:v>
                </c:pt>
                <c:pt idx="89">
                  <c:v>16.717237342983545</c:v>
                </c:pt>
                <c:pt idx="90">
                  <c:v>31.563035434869729</c:v>
                </c:pt>
                <c:pt idx="91">
                  <c:v>16.67843578828484</c:v>
                </c:pt>
                <c:pt idx="92">
                  <c:v>31.029772193694576</c:v>
                </c:pt>
                <c:pt idx="93">
                  <c:v>42.969619452168388</c:v>
                </c:pt>
                <c:pt idx="94">
                  <c:v>50.819450281365981</c:v>
                </c:pt>
                <c:pt idx="95">
                  <c:v>11.696034100273577</c:v>
                </c:pt>
                <c:pt idx="96">
                  <c:v>42.54177015827765</c:v>
                </c:pt>
                <c:pt idx="97">
                  <c:v>37.159910403299079</c:v>
                </c:pt>
                <c:pt idx="98">
                  <c:v>29.958531398390015</c:v>
                </c:pt>
                <c:pt idx="99">
                  <c:v>54.338037909505303</c:v>
                </c:pt>
                <c:pt idx="100">
                  <c:v>43.352495641992142</c:v>
                </c:pt>
                <c:pt idx="101">
                  <c:v>38.029657440195201</c:v>
                </c:pt>
                <c:pt idx="102">
                  <c:v>5.8933536685960979</c:v>
                </c:pt>
                <c:pt idx="103">
                  <c:v>42.56300885134555</c:v>
                </c:pt>
                <c:pt idx="104">
                  <c:v>43.556745301048068</c:v>
                </c:pt>
                <c:pt idx="105">
                  <c:v>35.642279712749989</c:v>
                </c:pt>
                <c:pt idx="106">
                  <c:v>52.489722346347399</c:v>
                </c:pt>
                <c:pt idx="107">
                  <c:v>34.200662742306676</c:v>
                </c:pt>
                <c:pt idx="108">
                  <c:v>9.1643114251102737</c:v>
                </c:pt>
                <c:pt idx="109">
                  <c:v>9.4389841385315059</c:v>
                </c:pt>
                <c:pt idx="110">
                  <c:v>8.6866846226430763</c:v>
                </c:pt>
                <c:pt idx="111">
                  <c:v>26.825650945976406</c:v>
                </c:pt>
                <c:pt idx="112">
                  <c:v>9.1807500195446199</c:v>
                </c:pt>
                <c:pt idx="113">
                  <c:v>26.046126415044235</c:v>
                </c:pt>
                <c:pt idx="114">
                  <c:v>41.089741601855387</c:v>
                </c:pt>
                <c:pt idx="115">
                  <c:v>52.748194402239243</c:v>
                </c:pt>
                <c:pt idx="116">
                  <c:v>40.533381910674557</c:v>
                </c:pt>
                <c:pt idx="117">
                  <c:v>22.740817275474953</c:v>
                </c:pt>
                <c:pt idx="118">
                  <c:v>40.757867206962857</c:v>
                </c:pt>
                <c:pt idx="119">
                  <c:v>40.909657656032387</c:v>
                </c:pt>
                <c:pt idx="120">
                  <c:v>46.629616253803277</c:v>
                </c:pt>
                <c:pt idx="121">
                  <c:v>26.466260167716996</c:v>
                </c:pt>
                <c:pt idx="122">
                  <c:v>32.526283495818255</c:v>
                </c:pt>
                <c:pt idx="123">
                  <c:v>16.456298315956367</c:v>
                </c:pt>
                <c:pt idx="124">
                  <c:v>35.682855719248785</c:v>
                </c:pt>
                <c:pt idx="125">
                  <c:v>40.8534012527793</c:v>
                </c:pt>
                <c:pt idx="126">
                  <c:v>45.5266609399647</c:v>
                </c:pt>
                <c:pt idx="127">
                  <c:v>56.498328260695914</c:v>
                </c:pt>
                <c:pt idx="128">
                  <c:v>54.192685890971241</c:v>
                </c:pt>
                <c:pt idx="129">
                  <c:v>55.348120373078977</c:v>
                </c:pt>
                <c:pt idx="130">
                  <c:v>58.561348097764395</c:v>
                </c:pt>
                <c:pt idx="131">
                  <c:v>44.423238717604015</c:v>
                </c:pt>
                <c:pt idx="132">
                  <c:v>38.365614402618093</c:v>
                </c:pt>
                <c:pt idx="133">
                  <c:v>53.347552890594926</c:v>
                </c:pt>
                <c:pt idx="134">
                  <c:v>55.226678661271777</c:v>
                </c:pt>
                <c:pt idx="135">
                  <c:v>51.472640881237375</c:v>
                </c:pt>
                <c:pt idx="136">
                  <c:v>56.32703349292288</c:v>
                </c:pt>
                <c:pt idx="137">
                  <c:v>53.991135196241814</c:v>
                </c:pt>
                <c:pt idx="138">
                  <c:v>52.3896652154151</c:v>
                </c:pt>
                <c:pt idx="139">
                  <c:v>50.801901654011765</c:v>
                </c:pt>
                <c:pt idx="140">
                  <c:v>55.644059855995422</c:v>
                </c:pt>
                <c:pt idx="141">
                  <c:v>42.334003911792443</c:v>
                </c:pt>
                <c:pt idx="142">
                  <c:v>17.611274246637734</c:v>
                </c:pt>
                <c:pt idx="143">
                  <c:v>15.306560635839372</c:v>
                </c:pt>
                <c:pt idx="144">
                  <c:v>42.29995730298382</c:v>
                </c:pt>
                <c:pt idx="145">
                  <c:v>31.095882149108665</c:v>
                </c:pt>
                <c:pt idx="146">
                  <c:v>46.324746470646126</c:v>
                </c:pt>
                <c:pt idx="147">
                  <c:v>54.661629760006001</c:v>
                </c:pt>
                <c:pt idx="148">
                  <c:v>60.051088440936823</c:v>
                </c:pt>
                <c:pt idx="149">
                  <c:v>46.774245826974372</c:v>
                </c:pt>
                <c:pt idx="150">
                  <c:v>56.364308707573272</c:v>
                </c:pt>
                <c:pt idx="151">
                  <c:v>58.454345222826532</c:v>
                </c:pt>
                <c:pt idx="152">
                  <c:v>40.531352014763605</c:v>
                </c:pt>
                <c:pt idx="153">
                  <c:v>56.980086272112501</c:v>
                </c:pt>
                <c:pt idx="154">
                  <c:v>25.834017148631652</c:v>
                </c:pt>
                <c:pt idx="155">
                  <c:v>29.843872106679857</c:v>
                </c:pt>
                <c:pt idx="156">
                  <c:v>50.275050956926044</c:v>
                </c:pt>
                <c:pt idx="157">
                  <c:v>27.917552229869511</c:v>
                </c:pt>
                <c:pt idx="158">
                  <c:v>21.569737905140872</c:v>
                </c:pt>
                <c:pt idx="159">
                  <c:v>51.033772813809023</c:v>
                </c:pt>
                <c:pt idx="160">
                  <c:v>58.687977431460276</c:v>
                </c:pt>
                <c:pt idx="161">
                  <c:v>57.104024084834876</c:v>
                </c:pt>
                <c:pt idx="162">
                  <c:v>47.212000816712958</c:v>
                </c:pt>
                <c:pt idx="163">
                  <c:v>51.903547831867819</c:v>
                </c:pt>
                <c:pt idx="164">
                  <c:v>51.05421816710566</c:v>
                </c:pt>
                <c:pt idx="165">
                  <c:v>54.441379920036667</c:v>
                </c:pt>
                <c:pt idx="166">
                  <c:v>52.510998221194725</c:v>
                </c:pt>
                <c:pt idx="167">
                  <c:v>53.515143116651501</c:v>
                </c:pt>
                <c:pt idx="168">
                  <c:v>56.538459027303766</c:v>
                </c:pt>
                <c:pt idx="169">
                  <c:v>57.536457375611633</c:v>
                </c:pt>
                <c:pt idx="170">
                  <c:v>30.223503348843131</c:v>
                </c:pt>
                <c:pt idx="171">
                  <c:v>19.994405850482817</c:v>
                </c:pt>
                <c:pt idx="172">
                  <c:v>42.206815882254091</c:v>
                </c:pt>
                <c:pt idx="173">
                  <c:v>43.905270602408514</c:v>
                </c:pt>
                <c:pt idx="174">
                  <c:v>41.084985225792124</c:v>
                </c:pt>
                <c:pt idx="175">
                  <c:v>41.094686987051695</c:v>
                </c:pt>
                <c:pt idx="176">
                  <c:v>10.797064485270329</c:v>
                </c:pt>
                <c:pt idx="177">
                  <c:v>16.130390884606101</c:v>
                </c:pt>
                <c:pt idx="178">
                  <c:v>56.903048632579626</c:v>
                </c:pt>
                <c:pt idx="179">
                  <c:v>57.972808819939544</c:v>
                </c:pt>
                <c:pt idx="180">
                  <c:v>12.790600062800909</c:v>
                </c:pt>
                <c:pt idx="181">
                  <c:v>40.769470593144646</c:v>
                </c:pt>
                <c:pt idx="182">
                  <c:v>57.195502653689665</c:v>
                </c:pt>
                <c:pt idx="183">
                  <c:v>51.948071092086288</c:v>
                </c:pt>
                <c:pt idx="184">
                  <c:v>43.907695222467503</c:v>
                </c:pt>
                <c:pt idx="185">
                  <c:v>56.348932028418368</c:v>
                </c:pt>
                <c:pt idx="186">
                  <c:v>40.103587053511404</c:v>
                </c:pt>
                <c:pt idx="187">
                  <c:v>56.015844959183973</c:v>
                </c:pt>
                <c:pt idx="188">
                  <c:v>57.195083442582529</c:v>
                </c:pt>
                <c:pt idx="189">
                  <c:v>56.829974768260904</c:v>
                </c:pt>
                <c:pt idx="190">
                  <c:v>56.418864821014807</c:v>
                </c:pt>
                <c:pt idx="191">
                  <c:v>55.536317932410618</c:v>
                </c:pt>
                <c:pt idx="192">
                  <c:v>54.34531290699168</c:v>
                </c:pt>
                <c:pt idx="193">
                  <c:v>54.401061311267718</c:v>
                </c:pt>
                <c:pt idx="194">
                  <c:v>54.140447795961592</c:v>
                </c:pt>
                <c:pt idx="195">
                  <c:v>51.572164743531204</c:v>
                </c:pt>
                <c:pt idx="196">
                  <c:v>52.776827028995285</c:v>
                </c:pt>
                <c:pt idx="197">
                  <c:v>53.354138135383813</c:v>
                </c:pt>
                <c:pt idx="198">
                  <c:v>55.494883527860701</c:v>
                </c:pt>
                <c:pt idx="199">
                  <c:v>33.454097360517004</c:v>
                </c:pt>
                <c:pt idx="200">
                  <c:v>40.638479528462824</c:v>
                </c:pt>
                <c:pt idx="201">
                  <c:v>53.025962951500595</c:v>
                </c:pt>
                <c:pt idx="202">
                  <c:v>44.540007015123798</c:v>
                </c:pt>
                <c:pt idx="203">
                  <c:v>39.278215261983711</c:v>
                </c:pt>
                <c:pt idx="204">
                  <c:v>53.368580990862377</c:v>
                </c:pt>
                <c:pt idx="205">
                  <c:v>28.534772031801459</c:v>
                </c:pt>
                <c:pt idx="206">
                  <c:v>44.939291421399702</c:v>
                </c:pt>
                <c:pt idx="207">
                  <c:v>55.337622292908755</c:v>
                </c:pt>
                <c:pt idx="208">
                  <c:v>44.108930191186062</c:v>
                </c:pt>
                <c:pt idx="209">
                  <c:v>25.981086019517335</c:v>
                </c:pt>
                <c:pt idx="210">
                  <c:v>43.116570926610301</c:v>
                </c:pt>
                <c:pt idx="211">
                  <c:v>53.971961782647774</c:v>
                </c:pt>
                <c:pt idx="212">
                  <c:v>53.630523489634371</c:v>
                </c:pt>
                <c:pt idx="213">
                  <c:v>53.85242203993274</c:v>
                </c:pt>
                <c:pt idx="214">
                  <c:v>53.954137054798124</c:v>
                </c:pt>
                <c:pt idx="215">
                  <c:v>51.289224167116629</c:v>
                </c:pt>
                <c:pt idx="216">
                  <c:v>41.407648191323844</c:v>
                </c:pt>
                <c:pt idx="217">
                  <c:v>49.119246555531902</c:v>
                </c:pt>
                <c:pt idx="218">
                  <c:v>51.98820261923737</c:v>
                </c:pt>
                <c:pt idx="219">
                  <c:v>52.934227670988619</c:v>
                </c:pt>
                <c:pt idx="220">
                  <c:v>51.204682532771201</c:v>
                </c:pt>
                <c:pt idx="221">
                  <c:v>49.791144724569463</c:v>
                </c:pt>
                <c:pt idx="222">
                  <c:v>47.647416904925663</c:v>
                </c:pt>
                <c:pt idx="223">
                  <c:v>48.069117220308364</c:v>
                </c:pt>
                <c:pt idx="224">
                  <c:v>36.123828253557711</c:v>
                </c:pt>
                <c:pt idx="225">
                  <c:v>35.992647126843892</c:v>
                </c:pt>
                <c:pt idx="226">
                  <c:v>33.613282574248686</c:v>
                </c:pt>
                <c:pt idx="227">
                  <c:v>38.643056639982028</c:v>
                </c:pt>
                <c:pt idx="228">
                  <c:v>24.137952660094626</c:v>
                </c:pt>
                <c:pt idx="229">
                  <c:v>32.347031108835672</c:v>
                </c:pt>
                <c:pt idx="230">
                  <c:v>33.779265874595218</c:v>
                </c:pt>
                <c:pt idx="231">
                  <c:v>49.306171074478975</c:v>
                </c:pt>
                <c:pt idx="232">
                  <c:v>39.051737147157667</c:v>
                </c:pt>
                <c:pt idx="233">
                  <c:v>27.422554248314444</c:v>
                </c:pt>
                <c:pt idx="234">
                  <c:v>42.664128195832539</c:v>
                </c:pt>
                <c:pt idx="235">
                  <c:v>49.890865767197582</c:v>
                </c:pt>
                <c:pt idx="236">
                  <c:v>28.089613049566541</c:v>
                </c:pt>
                <c:pt idx="237">
                  <c:v>35.893797958982411</c:v>
                </c:pt>
                <c:pt idx="238">
                  <c:v>45.422319006395107</c:v>
                </c:pt>
                <c:pt idx="239">
                  <c:v>48.55800525841908</c:v>
                </c:pt>
                <c:pt idx="240">
                  <c:v>32.575386653789593</c:v>
                </c:pt>
                <c:pt idx="241">
                  <c:v>47.908952146932876</c:v>
                </c:pt>
                <c:pt idx="242">
                  <c:v>20.180713255340297</c:v>
                </c:pt>
                <c:pt idx="243">
                  <c:v>42.826901710709656</c:v>
                </c:pt>
                <c:pt idx="244">
                  <c:v>37.893704697797119</c:v>
                </c:pt>
                <c:pt idx="245">
                  <c:v>31.828378259203742</c:v>
                </c:pt>
                <c:pt idx="246">
                  <c:v>48.335094680312267</c:v>
                </c:pt>
                <c:pt idx="247">
                  <c:v>41.399776444057871</c:v>
                </c:pt>
                <c:pt idx="248">
                  <c:v>45.002996263852985</c:v>
                </c:pt>
                <c:pt idx="249">
                  <c:v>35.059819864327018</c:v>
                </c:pt>
                <c:pt idx="250">
                  <c:v>39.96094987041667</c:v>
                </c:pt>
                <c:pt idx="251">
                  <c:v>16.862961249018028</c:v>
                </c:pt>
                <c:pt idx="252">
                  <c:v>44.257549131386575</c:v>
                </c:pt>
                <c:pt idx="253">
                  <c:v>46.490991440171918</c:v>
                </c:pt>
                <c:pt idx="254">
                  <c:v>35.816815370539281</c:v>
                </c:pt>
                <c:pt idx="255">
                  <c:v>11.304908983693858</c:v>
                </c:pt>
                <c:pt idx="256">
                  <c:v>37.921566444783423</c:v>
                </c:pt>
                <c:pt idx="257">
                  <c:v>42.383973710368835</c:v>
                </c:pt>
                <c:pt idx="258">
                  <c:v>25.219319080079902</c:v>
                </c:pt>
                <c:pt idx="259">
                  <c:v>46.426436391909419</c:v>
                </c:pt>
                <c:pt idx="260">
                  <c:v>45.697371647110181</c:v>
                </c:pt>
                <c:pt idx="261">
                  <c:v>44.064923199804902</c:v>
                </c:pt>
                <c:pt idx="262">
                  <c:v>44.067569929194342</c:v>
                </c:pt>
                <c:pt idx="263">
                  <c:v>45.541997822221994</c:v>
                </c:pt>
                <c:pt idx="264">
                  <c:v>44.352690370332844</c:v>
                </c:pt>
                <c:pt idx="265">
                  <c:v>33.373264672241746</c:v>
                </c:pt>
                <c:pt idx="266">
                  <c:v>22.392168655059425</c:v>
                </c:pt>
                <c:pt idx="267">
                  <c:v>33.891563405255873</c:v>
                </c:pt>
                <c:pt idx="268">
                  <c:v>35.273209160227395</c:v>
                </c:pt>
                <c:pt idx="269">
                  <c:v>15.105427601483552</c:v>
                </c:pt>
                <c:pt idx="270">
                  <c:v>15.17281388650162</c:v>
                </c:pt>
                <c:pt idx="271">
                  <c:v>21.505655123313222</c:v>
                </c:pt>
                <c:pt idx="272">
                  <c:v>29.701693096413695</c:v>
                </c:pt>
                <c:pt idx="273">
                  <c:v>34.786221333560398</c:v>
                </c:pt>
                <c:pt idx="274">
                  <c:v>39.354236962408606</c:v>
                </c:pt>
                <c:pt idx="275">
                  <c:v>34.992425986260791</c:v>
                </c:pt>
                <c:pt idx="276">
                  <c:v>41.717350430839517</c:v>
                </c:pt>
                <c:pt idx="277">
                  <c:v>41.359450895870715</c:v>
                </c:pt>
                <c:pt idx="278">
                  <c:v>14.697889539443697</c:v>
                </c:pt>
                <c:pt idx="279">
                  <c:v>31.10031628986216</c:v>
                </c:pt>
                <c:pt idx="280">
                  <c:v>14.973043247315148</c:v>
                </c:pt>
                <c:pt idx="281">
                  <c:v>39.143326587109193</c:v>
                </c:pt>
                <c:pt idx="282">
                  <c:v>34.117221702591003</c:v>
                </c:pt>
                <c:pt idx="283">
                  <c:v>24.519444756727356</c:v>
                </c:pt>
                <c:pt idx="284">
                  <c:v>23.306723559960759</c:v>
                </c:pt>
                <c:pt idx="285">
                  <c:v>23.938059109845277</c:v>
                </c:pt>
                <c:pt idx="286">
                  <c:v>14.885788312160024</c:v>
                </c:pt>
                <c:pt idx="287">
                  <c:v>37.901733417009062</c:v>
                </c:pt>
                <c:pt idx="288">
                  <c:v>33.804264592398802</c:v>
                </c:pt>
                <c:pt idx="289">
                  <c:v>18.526031728200532</c:v>
                </c:pt>
                <c:pt idx="290">
                  <c:v>35.171104848840237</c:v>
                </c:pt>
                <c:pt idx="291">
                  <c:v>15.704839858686906</c:v>
                </c:pt>
                <c:pt idx="292">
                  <c:v>12.1896505981837</c:v>
                </c:pt>
                <c:pt idx="293">
                  <c:v>16.546740632837899</c:v>
                </c:pt>
                <c:pt idx="294">
                  <c:v>34.433196657368647</c:v>
                </c:pt>
                <c:pt idx="295">
                  <c:v>20.207157180076859</c:v>
                </c:pt>
                <c:pt idx="296">
                  <c:v>28.937947335254503</c:v>
                </c:pt>
                <c:pt idx="297">
                  <c:v>22.496231148116465</c:v>
                </c:pt>
                <c:pt idx="298">
                  <c:v>15.474217459715193</c:v>
                </c:pt>
                <c:pt idx="299">
                  <c:v>15.650712633086723</c:v>
                </c:pt>
                <c:pt idx="300">
                  <c:v>17.105132110539724</c:v>
                </c:pt>
                <c:pt idx="301">
                  <c:v>27.483901803529218</c:v>
                </c:pt>
                <c:pt idx="302">
                  <c:v>24.511763123412418</c:v>
                </c:pt>
                <c:pt idx="303">
                  <c:v>23.847290587507509</c:v>
                </c:pt>
                <c:pt idx="304">
                  <c:v>25.62850719130995</c:v>
                </c:pt>
                <c:pt idx="305">
                  <c:v>28.46088298222044</c:v>
                </c:pt>
                <c:pt idx="306">
                  <c:v>8.9259545835079344</c:v>
                </c:pt>
                <c:pt idx="307">
                  <c:v>12.457951947474685</c:v>
                </c:pt>
                <c:pt idx="308">
                  <c:v>30.200042879083341</c:v>
                </c:pt>
                <c:pt idx="309">
                  <c:v>31.250320878083777</c:v>
                </c:pt>
                <c:pt idx="310">
                  <c:v>31.355452116085331</c:v>
                </c:pt>
                <c:pt idx="311">
                  <c:v>20.302043380086268</c:v>
                </c:pt>
                <c:pt idx="312">
                  <c:v>12.034623761645557</c:v>
                </c:pt>
                <c:pt idx="313">
                  <c:v>21.008720286906215</c:v>
                </c:pt>
                <c:pt idx="314">
                  <c:v>28.509639775431072</c:v>
                </c:pt>
                <c:pt idx="315">
                  <c:v>28.274001862723285</c:v>
                </c:pt>
                <c:pt idx="316">
                  <c:v>28.415870367048264</c:v>
                </c:pt>
                <c:pt idx="317">
                  <c:v>12.066564963058221</c:v>
                </c:pt>
                <c:pt idx="318">
                  <c:v>13.202265211953851</c:v>
                </c:pt>
                <c:pt idx="319">
                  <c:v>27.795522288915009</c:v>
                </c:pt>
                <c:pt idx="320">
                  <c:v>12.209219002453453</c:v>
                </c:pt>
                <c:pt idx="321">
                  <c:v>14.030358708193926</c:v>
                </c:pt>
                <c:pt idx="322">
                  <c:v>5.8702630736410466</c:v>
                </c:pt>
                <c:pt idx="323">
                  <c:v>19.461461220315126</c:v>
                </c:pt>
                <c:pt idx="324">
                  <c:v>3.1336394573857032</c:v>
                </c:pt>
                <c:pt idx="325">
                  <c:v>9.5780159873796915</c:v>
                </c:pt>
                <c:pt idx="326">
                  <c:v>13.080406082433718</c:v>
                </c:pt>
                <c:pt idx="327">
                  <c:v>13.683800971978362</c:v>
                </c:pt>
                <c:pt idx="328">
                  <c:v>4.0109368731292685</c:v>
                </c:pt>
                <c:pt idx="329">
                  <c:v>14.168851955329341</c:v>
                </c:pt>
                <c:pt idx="330">
                  <c:v>15.991496928967482</c:v>
                </c:pt>
                <c:pt idx="331">
                  <c:v>9.0130551883956223</c:v>
                </c:pt>
                <c:pt idx="332">
                  <c:v>10.015772295403501</c:v>
                </c:pt>
                <c:pt idx="333">
                  <c:v>4.4615049518768544</c:v>
                </c:pt>
                <c:pt idx="334">
                  <c:v>3.3076660558319739</c:v>
                </c:pt>
                <c:pt idx="335">
                  <c:v>5.7652368463586665</c:v>
                </c:pt>
                <c:pt idx="336">
                  <c:v>10.644897411212735</c:v>
                </c:pt>
                <c:pt idx="337">
                  <c:v>20.814605183623879</c:v>
                </c:pt>
                <c:pt idx="338">
                  <c:v>24.645513265320812</c:v>
                </c:pt>
                <c:pt idx="339">
                  <c:v>15.607116342428405</c:v>
                </c:pt>
                <c:pt idx="340">
                  <c:v>18.248971536633608</c:v>
                </c:pt>
                <c:pt idx="341">
                  <c:v>4.4436432087186866</c:v>
                </c:pt>
                <c:pt idx="342">
                  <c:v>8.975840157075254</c:v>
                </c:pt>
                <c:pt idx="343">
                  <c:v>15.005754283943409</c:v>
                </c:pt>
                <c:pt idx="344">
                  <c:v>14.297822242490938</c:v>
                </c:pt>
                <c:pt idx="345">
                  <c:v>6.5928655982206106</c:v>
                </c:pt>
                <c:pt idx="346">
                  <c:v>6.172938578455077</c:v>
                </c:pt>
                <c:pt idx="347">
                  <c:v>14.482616812128477</c:v>
                </c:pt>
                <c:pt idx="348">
                  <c:v>6.8896593700689079</c:v>
                </c:pt>
                <c:pt idx="349">
                  <c:v>4.9393306475276502</c:v>
                </c:pt>
                <c:pt idx="350">
                  <c:v>2.752804569978148</c:v>
                </c:pt>
                <c:pt idx="351">
                  <c:v>18.609778617880874</c:v>
                </c:pt>
                <c:pt idx="352">
                  <c:v>16.637549223884424</c:v>
                </c:pt>
                <c:pt idx="353">
                  <c:v>3.7256176661115163</c:v>
                </c:pt>
                <c:pt idx="354">
                  <c:v>18.988279733819216</c:v>
                </c:pt>
                <c:pt idx="355">
                  <c:v>18.567129767760601</c:v>
                </c:pt>
                <c:pt idx="356">
                  <c:v>18.695102984422633</c:v>
                </c:pt>
                <c:pt idx="357">
                  <c:v>19.852189809691428</c:v>
                </c:pt>
                <c:pt idx="358">
                  <c:v>11.142121739447663</c:v>
                </c:pt>
                <c:pt idx="359">
                  <c:v>19.024973084231139</c:v>
                </c:pt>
                <c:pt idx="360">
                  <c:v>6.4435359968509651</c:v>
                </c:pt>
                <c:pt idx="361">
                  <c:v>20.723104251437174</c:v>
                </c:pt>
                <c:pt idx="362">
                  <c:v>10.548689716271872</c:v>
                </c:pt>
                <c:pt idx="363">
                  <c:v>14.404058540260896</c:v>
                </c:pt>
                <c:pt idx="364">
                  <c:v>12.407006304027389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22.703565007609498</c:v>
                </c:pt>
                <c:pt idx="1">
                  <c:v>15.375987417254779</c:v>
                </c:pt>
                <c:pt idx="2">
                  <c:v>17.441382631349974</c:v>
                </c:pt>
                <c:pt idx="3">
                  <c:v>17.734654821225654</c:v>
                </c:pt>
                <c:pt idx="4">
                  <c:v>12.828319766103151</c:v>
                </c:pt>
                <c:pt idx="5">
                  <c:v>24.138505884455775</c:v>
                </c:pt>
                <c:pt idx="6">
                  <c:v>8.2979579432929906</c:v>
                </c:pt>
                <c:pt idx="7">
                  <c:v>5.779060869331305</c:v>
                </c:pt>
                <c:pt idx="8">
                  <c:v>1.649014679553608</c:v>
                </c:pt>
                <c:pt idx="9">
                  <c:v>1.3278076330372159</c:v>
                </c:pt>
                <c:pt idx="10">
                  <c:v>23.097758222756713</c:v>
                </c:pt>
                <c:pt idx="11">
                  <c:v>19.75221730908876</c:v>
                </c:pt>
                <c:pt idx="12">
                  <c:v>5.9978538184777976</c:v>
                </c:pt>
                <c:pt idx="13">
                  <c:v>25.754326839278168</c:v>
                </c:pt>
                <c:pt idx="14">
                  <c:v>26.535490787853998</c:v>
                </c:pt>
                <c:pt idx="15">
                  <c:v>26.269524336386919</c:v>
                </c:pt>
                <c:pt idx="16">
                  <c:v>17.026366549946779</c:v>
                </c:pt>
                <c:pt idx="17">
                  <c:v>4.4822199492478187</c:v>
                </c:pt>
                <c:pt idx="18">
                  <c:v>11.329301923985989</c:v>
                </c:pt>
                <c:pt idx="19">
                  <c:v>4.6999673071427495</c:v>
                </c:pt>
                <c:pt idx="20">
                  <c:v>17.949346519846223</c:v>
                </c:pt>
                <c:pt idx="21">
                  <c:v>27.759143863562883</c:v>
                </c:pt>
                <c:pt idx="22">
                  <c:v>28.104195024277924</c:v>
                </c:pt>
                <c:pt idx="23">
                  <c:v>28.598630336390155</c:v>
                </c:pt>
                <c:pt idx="24">
                  <c:v>26.715741839534431</c:v>
                </c:pt>
                <c:pt idx="25">
                  <c:v>28.781101879758307</c:v>
                </c:pt>
                <c:pt idx="26">
                  <c:v>28.584574276476555</c:v>
                </c:pt>
                <c:pt idx="27">
                  <c:v>3.8991474867663096</c:v>
                </c:pt>
                <c:pt idx="28">
                  <c:v>6.0019947527015463</c:v>
                </c:pt>
                <c:pt idx="29">
                  <c:v>5.4120171840197342</c:v>
                </c:pt>
                <c:pt idx="30">
                  <c:v>6.7703541667437293</c:v>
                </c:pt>
                <c:pt idx="31">
                  <c:v>16.984487375146951</c:v>
                </c:pt>
                <c:pt idx="32">
                  <c:v>6.2343510454191504</c:v>
                </c:pt>
                <c:pt idx="33">
                  <c:v>14.727176567858837</c:v>
                </c:pt>
                <c:pt idx="34">
                  <c:v>13.300741039498329</c:v>
                </c:pt>
                <c:pt idx="35">
                  <c:v>9.7693817543716186</c:v>
                </c:pt>
                <c:pt idx="36">
                  <c:v>25.712457274983038</c:v>
                </c:pt>
                <c:pt idx="37">
                  <c:v>11.610314908073414</c:v>
                </c:pt>
                <c:pt idx="38">
                  <c:v>33.418910027891414</c:v>
                </c:pt>
                <c:pt idx="39">
                  <c:v>34.03091343976714</c:v>
                </c:pt>
                <c:pt idx="40">
                  <c:v>32.104496177795539</c:v>
                </c:pt>
                <c:pt idx="41">
                  <c:v>13.468642387400356</c:v>
                </c:pt>
                <c:pt idx="42">
                  <c:v>25.547846578483245</c:v>
                </c:pt>
                <c:pt idx="43">
                  <c:v>32.341079767598622</c:v>
                </c:pt>
                <c:pt idx="44">
                  <c:v>15.403617012267629</c:v>
                </c:pt>
                <c:pt idx="45">
                  <c:v>20.363797846514846</c:v>
                </c:pt>
                <c:pt idx="46">
                  <c:v>8.6980083162038362</c:v>
                </c:pt>
                <c:pt idx="47">
                  <c:v>9.6024384384013377</c:v>
                </c:pt>
                <c:pt idx="48">
                  <c:v>32.010579377886266</c:v>
                </c:pt>
                <c:pt idx="49">
                  <c:v>14.683920647149892</c:v>
                </c:pt>
                <c:pt idx="50">
                  <c:v>25.499038841287039</c:v>
                </c:pt>
                <c:pt idx="51">
                  <c:v>19.126633656893418</c:v>
                </c:pt>
                <c:pt idx="52">
                  <c:v>31.694698202577552</c:v>
                </c:pt>
                <c:pt idx="53">
                  <c:v>36.731389329597924</c:v>
                </c:pt>
                <c:pt idx="54">
                  <c:v>23.623419740230862</c:v>
                </c:pt>
                <c:pt idx="55">
                  <c:v>25.716128242219032</c:v>
                </c:pt>
                <c:pt idx="56">
                  <c:v>39.853719069475666</c:v>
                </c:pt>
                <c:pt idx="57">
                  <c:v>21.125882114297813</c:v>
                </c:pt>
                <c:pt idx="58">
                  <c:v>36.595030956596361</c:v>
                </c:pt>
                <c:pt idx="59">
                  <c:v>40.547368848239863</c:v>
                </c:pt>
                <c:pt idx="60">
                  <c:v>14.063373232986384</c:v>
                </c:pt>
                <c:pt idx="61">
                  <c:v>36.686121839703446</c:v>
                </c:pt>
                <c:pt idx="62">
                  <c:v>4.8893768974692415</c:v>
                </c:pt>
                <c:pt idx="63">
                  <c:v>15.061844089364939</c:v>
                </c:pt>
                <c:pt idx="64">
                  <c:v>21.734120913399373</c:v>
                </c:pt>
                <c:pt idx="65">
                  <c:v>33.892820264540617</c:v>
                </c:pt>
                <c:pt idx="66">
                  <c:v>34.288575619778712</c:v>
                </c:pt>
                <c:pt idx="67">
                  <c:v>31.256831093005001</c:v>
                </c:pt>
                <c:pt idx="68">
                  <c:v>25.147589394104433</c:v>
                </c:pt>
                <c:pt idx="69">
                  <c:v>17.599557975319819</c:v>
                </c:pt>
                <c:pt idx="70">
                  <c:v>12.840871639763261</c:v>
                </c:pt>
                <c:pt idx="71">
                  <c:v>9.5390410787764335</c:v>
                </c:pt>
                <c:pt idx="72">
                  <c:v>12.929038325431113</c:v>
                </c:pt>
                <c:pt idx="73">
                  <c:v>15.80091370191762</c:v>
                </c:pt>
                <c:pt idx="74">
                  <c:v>11.519044177532338</c:v>
                </c:pt>
                <c:pt idx="75">
                  <c:v>9.9149328972262918</c:v>
                </c:pt>
                <c:pt idx="76">
                  <c:v>13.01919256400061</c:v>
                </c:pt>
                <c:pt idx="77">
                  <c:v>27.128733204502318</c:v>
                </c:pt>
                <c:pt idx="78">
                  <c:v>31.7599566333</c:v>
                </c:pt>
                <c:pt idx="79">
                  <c:v>44.235363910258933</c:v>
                </c:pt>
                <c:pt idx="80">
                  <c:v>40.655573697135061</c:v>
                </c:pt>
                <c:pt idx="81">
                  <c:v>47.939736221724552</c:v>
                </c:pt>
                <c:pt idx="82">
                  <c:v>46.850802026999382</c:v>
                </c:pt>
                <c:pt idx="83">
                  <c:v>36.95862671764904</c:v>
                </c:pt>
                <c:pt idx="84">
                  <c:v>42.246755888158226</c:v>
                </c:pt>
                <c:pt idx="85">
                  <c:v>44.812394706679584</c:v>
                </c:pt>
                <c:pt idx="86">
                  <c:v>38.240283101147519</c:v>
                </c:pt>
                <c:pt idx="87">
                  <c:v>26.664184108812314</c:v>
                </c:pt>
                <c:pt idx="88">
                  <c:v>6.0386353268285529</c:v>
                </c:pt>
                <c:pt idx="89">
                  <c:v>16.717237342983545</c:v>
                </c:pt>
                <c:pt idx="90">
                  <c:v>31.563035434869729</c:v>
                </c:pt>
                <c:pt idx="91">
                  <c:v>16.67843578828484</c:v>
                </c:pt>
                <c:pt idx="92">
                  <c:v>31.029772193694576</c:v>
                </c:pt>
                <c:pt idx="93">
                  <c:v>42.969619452168388</c:v>
                </c:pt>
                <c:pt idx="94">
                  <c:v>50.819450281365981</c:v>
                </c:pt>
                <c:pt idx="95">
                  <c:v>11.696034100273577</c:v>
                </c:pt>
                <c:pt idx="96">
                  <c:v>42.54177015827765</c:v>
                </c:pt>
                <c:pt idx="97">
                  <c:v>37.159910403299079</c:v>
                </c:pt>
                <c:pt idx="98">
                  <c:v>29.958531398390015</c:v>
                </c:pt>
                <c:pt idx="99">
                  <c:v>54.338037909505303</c:v>
                </c:pt>
                <c:pt idx="100">
                  <c:v>43.352495641992142</c:v>
                </c:pt>
                <c:pt idx="101">
                  <c:v>38.029657440195201</c:v>
                </c:pt>
                <c:pt idx="102">
                  <c:v>5.8933536685960979</c:v>
                </c:pt>
                <c:pt idx="103">
                  <c:v>42.56300885134555</c:v>
                </c:pt>
                <c:pt idx="104">
                  <c:v>43.556745301048068</c:v>
                </c:pt>
                <c:pt idx="105">
                  <c:v>35.642279712749989</c:v>
                </c:pt>
                <c:pt idx="106">
                  <c:v>52.489722346347399</c:v>
                </c:pt>
                <c:pt idx="107">
                  <c:v>34.200662742306676</c:v>
                </c:pt>
                <c:pt idx="108">
                  <c:v>9.1643114251102737</c:v>
                </c:pt>
                <c:pt idx="109">
                  <c:v>9.4389841385315059</c:v>
                </c:pt>
                <c:pt idx="110">
                  <c:v>8.6866846226430763</c:v>
                </c:pt>
                <c:pt idx="111">
                  <c:v>26.825650945976406</c:v>
                </c:pt>
                <c:pt idx="112">
                  <c:v>9.1807500195446199</c:v>
                </c:pt>
                <c:pt idx="113">
                  <c:v>26.046126415044235</c:v>
                </c:pt>
                <c:pt idx="114">
                  <c:v>41.089741601855387</c:v>
                </c:pt>
                <c:pt idx="115">
                  <c:v>52.748194402239243</c:v>
                </c:pt>
                <c:pt idx="116">
                  <c:v>40.533381910674557</c:v>
                </c:pt>
                <c:pt idx="117">
                  <c:v>22.740817275474953</c:v>
                </c:pt>
                <c:pt idx="118">
                  <c:v>40.757867206962857</c:v>
                </c:pt>
                <c:pt idx="119">
                  <c:v>40.909657656032387</c:v>
                </c:pt>
                <c:pt idx="120">
                  <c:v>46.629616253803277</c:v>
                </c:pt>
                <c:pt idx="121">
                  <c:v>26.466260167716996</c:v>
                </c:pt>
                <c:pt idx="122">
                  <c:v>32.526283495818255</c:v>
                </c:pt>
                <c:pt idx="123">
                  <c:v>16.456298315956367</c:v>
                </c:pt>
                <c:pt idx="124">
                  <c:v>35.682855719248785</c:v>
                </c:pt>
                <c:pt idx="125">
                  <c:v>40.8534012527793</c:v>
                </c:pt>
                <c:pt idx="126">
                  <c:v>45.5266609399647</c:v>
                </c:pt>
                <c:pt idx="127">
                  <c:v>56.498328260695914</c:v>
                </c:pt>
                <c:pt idx="128">
                  <c:v>54.192685890971241</c:v>
                </c:pt>
                <c:pt idx="129">
                  <c:v>55.348120373078977</c:v>
                </c:pt>
                <c:pt idx="130">
                  <c:v>58.561348097764395</c:v>
                </c:pt>
                <c:pt idx="131">
                  <c:v>44.423238717604015</c:v>
                </c:pt>
                <c:pt idx="132">
                  <c:v>38.365614402618093</c:v>
                </c:pt>
                <c:pt idx="133">
                  <c:v>53.347552890594926</c:v>
                </c:pt>
                <c:pt idx="134">
                  <c:v>55.226678661271777</c:v>
                </c:pt>
                <c:pt idx="135">
                  <c:v>51.472640881237375</c:v>
                </c:pt>
                <c:pt idx="136">
                  <c:v>56.32703349292288</c:v>
                </c:pt>
                <c:pt idx="137">
                  <c:v>53.991135196241814</c:v>
                </c:pt>
                <c:pt idx="138">
                  <c:v>52.3896652154151</c:v>
                </c:pt>
                <c:pt idx="139">
                  <c:v>50.801901654011765</c:v>
                </c:pt>
                <c:pt idx="140">
                  <c:v>55.644059855995422</c:v>
                </c:pt>
                <c:pt idx="141">
                  <c:v>42.334003911792443</c:v>
                </c:pt>
                <c:pt idx="142">
                  <c:v>17.611274246637734</c:v>
                </c:pt>
                <c:pt idx="143">
                  <c:v>15.306560635839372</c:v>
                </c:pt>
                <c:pt idx="144">
                  <c:v>42.29995730298382</c:v>
                </c:pt>
                <c:pt idx="145">
                  <c:v>31.095882149108665</c:v>
                </c:pt>
                <c:pt idx="146">
                  <c:v>46.324746470646126</c:v>
                </c:pt>
                <c:pt idx="147">
                  <c:v>54.661629760006001</c:v>
                </c:pt>
                <c:pt idx="148">
                  <c:v>60.051088440936823</c:v>
                </c:pt>
                <c:pt idx="149">
                  <c:v>46.774245826974372</c:v>
                </c:pt>
                <c:pt idx="150">
                  <c:v>56.364308707573272</c:v>
                </c:pt>
                <c:pt idx="151">
                  <c:v>58.454345222826532</c:v>
                </c:pt>
                <c:pt idx="152">
                  <c:v>40.531352014763605</c:v>
                </c:pt>
                <c:pt idx="153">
                  <c:v>56.980086272112501</c:v>
                </c:pt>
                <c:pt idx="154">
                  <c:v>25.834017148631652</c:v>
                </c:pt>
                <c:pt idx="155">
                  <c:v>29.843872106679857</c:v>
                </c:pt>
                <c:pt idx="156">
                  <c:v>50.275050956926044</c:v>
                </c:pt>
                <c:pt idx="157">
                  <c:v>27.917552229869511</c:v>
                </c:pt>
                <c:pt idx="158">
                  <c:v>21.569737905140872</c:v>
                </c:pt>
                <c:pt idx="159">
                  <c:v>51.033772813809023</c:v>
                </c:pt>
                <c:pt idx="160">
                  <c:v>58.687977431460276</c:v>
                </c:pt>
                <c:pt idx="161">
                  <c:v>57.104024084834876</c:v>
                </c:pt>
                <c:pt idx="162">
                  <c:v>47.212000816712958</c:v>
                </c:pt>
                <c:pt idx="163">
                  <c:v>51.903547831867819</c:v>
                </c:pt>
                <c:pt idx="164">
                  <c:v>51.05421816710566</c:v>
                </c:pt>
                <c:pt idx="165">
                  <c:v>54.441379920036667</c:v>
                </c:pt>
                <c:pt idx="166">
                  <c:v>52.510998221194725</c:v>
                </c:pt>
                <c:pt idx="167">
                  <c:v>53.515143116651501</c:v>
                </c:pt>
                <c:pt idx="168">
                  <c:v>56.538459027303766</c:v>
                </c:pt>
                <c:pt idx="169">
                  <c:v>57.536457375611633</c:v>
                </c:pt>
                <c:pt idx="170">
                  <c:v>30.223503348843131</c:v>
                </c:pt>
                <c:pt idx="171">
                  <c:v>19.994405850482817</c:v>
                </c:pt>
                <c:pt idx="172">
                  <c:v>42.206815882254091</c:v>
                </c:pt>
                <c:pt idx="173">
                  <c:v>43.905270602408514</c:v>
                </c:pt>
                <c:pt idx="174">
                  <c:v>41.084985225792124</c:v>
                </c:pt>
                <c:pt idx="175">
                  <c:v>41.094686987051695</c:v>
                </c:pt>
                <c:pt idx="176">
                  <c:v>10.797064485270329</c:v>
                </c:pt>
                <c:pt idx="177">
                  <c:v>16.130390884606101</c:v>
                </c:pt>
                <c:pt idx="178">
                  <c:v>56.903048632579626</c:v>
                </c:pt>
                <c:pt idx="179">
                  <c:v>57.972808819939544</c:v>
                </c:pt>
                <c:pt idx="180">
                  <c:v>12.790600062800909</c:v>
                </c:pt>
                <c:pt idx="181">
                  <c:v>40.769470593144646</c:v>
                </c:pt>
                <c:pt idx="182">
                  <c:v>57.195502653689665</c:v>
                </c:pt>
                <c:pt idx="183">
                  <c:v>51.948071092086288</c:v>
                </c:pt>
                <c:pt idx="184">
                  <c:v>43.907695222467503</c:v>
                </c:pt>
                <c:pt idx="185">
                  <c:v>56.348932028418368</c:v>
                </c:pt>
                <c:pt idx="186">
                  <c:v>40.103587053511404</c:v>
                </c:pt>
                <c:pt idx="187">
                  <c:v>56.015844959183973</c:v>
                </c:pt>
                <c:pt idx="188">
                  <c:v>57.195083442582529</c:v>
                </c:pt>
                <c:pt idx="189">
                  <c:v>56.829974768260904</c:v>
                </c:pt>
                <c:pt idx="190">
                  <c:v>56.418864821014807</c:v>
                </c:pt>
                <c:pt idx="191">
                  <c:v>55.536317932410618</c:v>
                </c:pt>
                <c:pt idx="192">
                  <c:v>54.34531290699168</c:v>
                </c:pt>
                <c:pt idx="193">
                  <c:v>54.401061311267718</c:v>
                </c:pt>
                <c:pt idx="194">
                  <c:v>54.140447795961592</c:v>
                </c:pt>
                <c:pt idx="195">
                  <c:v>51.572164743531204</c:v>
                </c:pt>
                <c:pt idx="196">
                  <c:v>52.776827028995285</c:v>
                </c:pt>
                <c:pt idx="197">
                  <c:v>53.354138135383813</c:v>
                </c:pt>
                <c:pt idx="198">
                  <c:v>55.494883527860701</c:v>
                </c:pt>
                <c:pt idx="199">
                  <c:v>33.454097360517004</c:v>
                </c:pt>
                <c:pt idx="200">
                  <c:v>40.638479528462824</c:v>
                </c:pt>
                <c:pt idx="201">
                  <c:v>53.025962951500595</c:v>
                </c:pt>
                <c:pt idx="202">
                  <c:v>44.540007015123798</c:v>
                </c:pt>
                <c:pt idx="203">
                  <c:v>39.278215261983711</c:v>
                </c:pt>
                <c:pt idx="204">
                  <c:v>53.368580990862377</c:v>
                </c:pt>
                <c:pt idx="205">
                  <c:v>28.534772031801459</c:v>
                </c:pt>
                <c:pt idx="206">
                  <c:v>44.939291421399702</c:v>
                </c:pt>
                <c:pt idx="207">
                  <c:v>55.337622292908755</c:v>
                </c:pt>
                <c:pt idx="208">
                  <c:v>44.108930191186062</c:v>
                </c:pt>
                <c:pt idx="209">
                  <c:v>25.981086019517335</c:v>
                </c:pt>
                <c:pt idx="210">
                  <c:v>43.116570926610301</c:v>
                </c:pt>
                <c:pt idx="211">
                  <c:v>53.971961782647774</c:v>
                </c:pt>
                <c:pt idx="212">
                  <c:v>53.630523489634371</c:v>
                </c:pt>
                <c:pt idx="213">
                  <c:v>53.85242203993274</c:v>
                </c:pt>
                <c:pt idx="214">
                  <c:v>53.954137054798124</c:v>
                </c:pt>
                <c:pt idx="215">
                  <c:v>51.289224167116629</c:v>
                </c:pt>
                <c:pt idx="216">
                  <c:v>41.407648191323844</c:v>
                </c:pt>
                <c:pt idx="217">
                  <c:v>49.119246555531902</c:v>
                </c:pt>
                <c:pt idx="218">
                  <c:v>51.98820261923737</c:v>
                </c:pt>
                <c:pt idx="219">
                  <c:v>52.934227670988619</c:v>
                </c:pt>
                <c:pt idx="220">
                  <c:v>51.204682532771201</c:v>
                </c:pt>
                <c:pt idx="221">
                  <c:v>49.791144724569463</c:v>
                </c:pt>
                <c:pt idx="222">
                  <c:v>47.647416904925663</c:v>
                </c:pt>
                <c:pt idx="223">
                  <c:v>48.069117220308364</c:v>
                </c:pt>
                <c:pt idx="224">
                  <c:v>36.123828253557711</c:v>
                </c:pt>
                <c:pt idx="225">
                  <c:v>35.992647126843892</c:v>
                </c:pt>
                <c:pt idx="226">
                  <c:v>33.613282574248686</c:v>
                </c:pt>
                <c:pt idx="227">
                  <c:v>38.643056639982028</c:v>
                </c:pt>
                <c:pt idx="228">
                  <c:v>24.137952660094626</c:v>
                </c:pt>
                <c:pt idx="229">
                  <c:v>32.347031108835672</c:v>
                </c:pt>
                <c:pt idx="230">
                  <c:v>33.779265874595218</c:v>
                </c:pt>
                <c:pt idx="231">
                  <c:v>49.306171074478975</c:v>
                </c:pt>
                <c:pt idx="232">
                  <c:v>39.051737147157667</c:v>
                </c:pt>
                <c:pt idx="233">
                  <c:v>27.422554248314444</c:v>
                </c:pt>
                <c:pt idx="234">
                  <c:v>42.664128195832539</c:v>
                </c:pt>
                <c:pt idx="235">
                  <c:v>49.890865767197582</c:v>
                </c:pt>
                <c:pt idx="236">
                  <c:v>28.089613049566541</c:v>
                </c:pt>
                <c:pt idx="237">
                  <c:v>35.893797958982411</c:v>
                </c:pt>
                <c:pt idx="238">
                  <c:v>45.422319006395107</c:v>
                </c:pt>
                <c:pt idx="239">
                  <c:v>48.55800525841908</c:v>
                </c:pt>
                <c:pt idx="240">
                  <c:v>32.575386653789593</c:v>
                </c:pt>
                <c:pt idx="241">
                  <c:v>47.908952146932876</c:v>
                </c:pt>
                <c:pt idx="242">
                  <c:v>20.180713255340297</c:v>
                </c:pt>
                <c:pt idx="243">
                  <c:v>42.826901710709656</c:v>
                </c:pt>
                <c:pt idx="244">
                  <c:v>37.893704697797119</c:v>
                </c:pt>
                <c:pt idx="245">
                  <c:v>31.828378259203742</c:v>
                </c:pt>
                <c:pt idx="246">
                  <c:v>48.335094680312267</c:v>
                </c:pt>
                <c:pt idx="247">
                  <c:v>41.399776444057871</c:v>
                </c:pt>
                <c:pt idx="248">
                  <c:v>45.002996263852985</c:v>
                </c:pt>
                <c:pt idx="249">
                  <c:v>35.059819864327018</c:v>
                </c:pt>
                <c:pt idx="250">
                  <c:v>39.96094987041667</c:v>
                </c:pt>
                <c:pt idx="251">
                  <c:v>16.862961249018028</c:v>
                </c:pt>
                <c:pt idx="252">
                  <c:v>44.257549131386575</c:v>
                </c:pt>
                <c:pt idx="253">
                  <c:v>46.490991440171918</c:v>
                </c:pt>
                <c:pt idx="254">
                  <c:v>35.816815370539281</c:v>
                </c:pt>
                <c:pt idx="255">
                  <c:v>11.304908983693858</c:v>
                </c:pt>
                <c:pt idx="256">
                  <c:v>37.921566444783423</c:v>
                </c:pt>
                <c:pt idx="257">
                  <c:v>42.383973710368835</c:v>
                </c:pt>
                <c:pt idx="258">
                  <c:v>25.219319080079902</c:v>
                </c:pt>
                <c:pt idx="259">
                  <c:v>46.426436391909419</c:v>
                </c:pt>
                <c:pt idx="260">
                  <c:v>45.697371647110181</c:v>
                </c:pt>
                <c:pt idx="261">
                  <c:v>44.064923199804902</c:v>
                </c:pt>
                <c:pt idx="262">
                  <c:v>44.067569929194342</c:v>
                </c:pt>
                <c:pt idx="263">
                  <c:v>45.541997822221994</c:v>
                </c:pt>
                <c:pt idx="264">
                  <c:v>44.352690370332844</c:v>
                </c:pt>
                <c:pt idx="265">
                  <c:v>33.373264672241746</c:v>
                </c:pt>
                <c:pt idx="266">
                  <c:v>22.392168655059425</c:v>
                </c:pt>
                <c:pt idx="267">
                  <c:v>33.891563405255873</c:v>
                </c:pt>
                <c:pt idx="268">
                  <c:v>35.273209160227395</c:v>
                </c:pt>
                <c:pt idx="269">
                  <c:v>15.105427601483552</c:v>
                </c:pt>
                <c:pt idx="270">
                  <c:v>15.17281388650162</c:v>
                </c:pt>
                <c:pt idx="271">
                  <c:v>21.505655123313222</c:v>
                </c:pt>
                <c:pt idx="272">
                  <c:v>29.701693096413695</c:v>
                </c:pt>
                <c:pt idx="273">
                  <c:v>34.786221333560398</c:v>
                </c:pt>
                <c:pt idx="274">
                  <c:v>39.354236962408606</c:v>
                </c:pt>
                <c:pt idx="275">
                  <c:v>34.992425986260791</c:v>
                </c:pt>
                <c:pt idx="276">
                  <c:v>41.717350430839517</c:v>
                </c:pt>
                <c:pt idx="277">
                  <c:v>41.359450895870715</c:v>
                </c:pt>
                <c:pt idx="278">
                  <c:v>14.697889539443697</c:v>
                </c:pt>
                <c:pt idx="279">
                  <c:v>31.10031628986216</c:v>
                </c:pt>
                <c:pt idx="280">
                  <c:v>14.973043247315148</c:v>
                </c:pt>
                <c:pt idx="281">
                  <c:v>39.143326587109193</c:v>
                </c:pt>
                <c:pt idx="282">
                  <c:v>34.117221702591003</c:v>
                </c:pt>
                <c:pt idx="283">
                  <c:v>24.519444756727356</c:v>
                </c:pt>
                <c:pt idx="284">
                  <c:v>23.306723559960759</c:v>
                </c:pt>
                <c:pt idx="285">
                  <c:v>23.938059109845277</c:v>
                </c:pt>
                <c:pt idx="286">
                  <c:v>14.885788312160024</c:v>
                </c:pt>
                <c:pt idx="287">
                  <c:v>37.901733417009062</c:v>
                </c:pt>
                <c:pt idx="288">
                  <c:v>33.804264592398802</c:v>
                </c:pt>
                <c:pt idx="289">
                  <c:v>18.526031728200532</c:v>
                </c:pt>
                <c:pt idx="290">
                  <c:v>35.171104848840237</c:v>
                </c:pt>
                <c:pt idx="291">
                  <c:v>15.704839858686906</c:v>
                </c:pt>
                <c:pt idx="292">
                  <c:v>12.1896505981837</c:v>
                </c:pt>
                <c:pt idx="293">
                  <c:v>16.546740632837899</c:v>
                </c:pt>
                <c:pt idx="294">
                  <c:v>34.433196657368647</c:v>
                </c:pt>
                <c:pt idx="295">
                  <c:v>20.207157180076859</c:v>
                </c:pt>
                <c:pt idx="296">
                  <c:v>28.937947335254503</c:v>
                </c:pt>
                <c:pt idx="297">
                  <c:v>22.496231148116465</c:v>
                </c:pt>
                <c:pt idx="298">
                  <c:v>15.474217459715193</c:v>
                </c:pt>
                <c:pt idx="299">
                  <c:v>15.650712633086723</c:v>
                </c:pt>
                <c:pt idx="300">
                  <c:v>17.105132110539724</c:v>
                </c:pt>
                <c:pt idx="301">
                  <c:v>27.483901803529218</c:v>
                </c:pt>
                <c:pt idx="302">
                  <c:v>24.511763123412418</c:v>
                </c:pt>
                <c:pt idx="303">
                  <c:v>23.847290587507509</c:v>
                </c:pt>
                <c:pt idx="304">
                  <c:v>25.62850719130995</c:v>
                </c:pt>
                <c:pt idx="305">
                  <c:v>28.46088298222044</c:v>
                </c:pt>
                <c:pt idx="306">
                  <c:v>8.9259545835079344</c:v>
                </c:pt>
                <c:pt idx="307">
                  <c:v>12.457951947474685</c:v>
                </c:pt>
                <c:pt idx="308">
                  <c:v>30.200042879083341</c:v>
                </c:pt>
                <c:pt idx="309">
                  <c:v>31.250320878083777</c:v>
                </c:pt>
                <c:pt idx="310">
                  <c:v>31.355452116085331</c:v>
                </c:pt>
                <c:pt idx="311">
                  <c:v>20.302043380086268</c:v>
                </c:pt>
                <c:pt idx="312">
                  <c:v>12.034623761645557</c:v>
                </c:pt>
                <c:pt idx="313">
                  <c:v>21.008720286906215</c:v>
                </c:pt>
                <c:pt idx="314">
                  <c:v>28.509639775431072</c:v>
                </c:pt>
                <c:pt idx="315">
                  <c:v>28.274001862723285</c:v>
                </c:pt>
                <c:pt idx="316">
                  <c:v>28.415870367048264</c:v>
                </c:pt>
                <c:pt idx="317">
                  <c:v>12.066564963058221</c:v>
                </c:pt>
                <c:pt idx="318">
                  <c:v>13.202265211953851</c:v>
                </c:pt>
                <c:pt idx="319">
                  <c:v>27.795522288915009</c:v>
                </c:pt>
                <c:pt idx="320">
                  <c:v>12.209219002453453</c:v>
                </c:pt>
                <c:pt idx="321">
                  <c:v>14.030358708193926</c:v>
                </c:pt>
                <c:pt idx="322">
                  <c:v>5.8702630736410466</c:v>
                </c:pt>
                <c:pt idx="323">
                  <c:v>19.461461220315126</c:v>
                </c:pt>
                <c:pt idx="324">
                  <c:v>3.1336394573857032</c:v>
                </c:pt>
                <c:pt idx="325">
                  <c:v>9.5780159873796915</c:v>
                </c:pt>
                <c:pt idx="326">
                  <c:v>13.080406082433718</c:v>
                </c:pt>
                <c:pt idx="327">
                  <c:v>13.683800971978362</c:v>
                </c:pt>
                <c:pt idx="328">
                  <c:v>4.0109368731292685</c:v>
                </c:pt>
                <c:pt idx="329">
                  <c:v>14.168851955329341</c:v>
                </c:pt>
                <c:pt idx="330">
                  <c:v>15.991496928967482</c:v>
                </c:pt>
                <c:pt idx="331">
                  <c:v>9.0130551883956223</c:v>
                </c:pt>
                <c:pt idx="332">
                  <c:v>10.015772295403501</c:v>
                </c:pt>
                <c:pt idx="333">
                  <c:v>4.4615049518768544</c:v>
                </c:pt>
                <c:pt idx="334">
                  <c:v>3.3076660558319739</c:v>
                </c:pt>
                <c:pt idx="335">
                  <c:v>5.7652368463586665</c:v>
                </c:pt>
                <c:pt idx="336">
                  <c:v>10.644897411212735</c:v>
                </c:pt>
                <c:pt idx="337">
                  <c:v>20.814605183623879</c:v>
                </c:pt>
                <c:pt idx="338">
                  <c:v>24.645513265320812</c:v>
                </c:pt>
                <c:pt idx="339">
                  <c:v>15.607116342428405</c:v>
                </c:pt>
                <c:pt idx="340">
                  <c:v>18.248971536633608</c:v>
                </c:pt>
                <c:pt idx="341">
                  <c:v>4.4436432087186866</c:v>
                </c:pt>
                <c:pt idx="342">
                  <c:v>8.975840157075254</c:v>
                </c:pt>
                <c:pt idx="343">
                  <c:v>15.005754283943409</c:v>
                </c:pt>
                <c:pt idx="344">
                  <c:v>14.297822242490938</c:v>
                </c:pt>
                <c:pt idx="345">
                  <c:v>6.5928655982206106</c:v>
                </c:pt>
                <c:pt idx="346">
                  <c:v>6.172938578455077</c:v>
                </c:pt>
                <c:pt idx="347">
                  <c:v>14.482616812128477</c:v>
                </c:pt>
                <c:pt idx="348">
                  <c:v>6.8896593700689079</c:v>
                </c:pt>
                <c:pt idx="349">
                  <c:v>4.9393306475276502</c:v>
                </c:pt>
                <c:pt idx="350">
                  <c:v>2.752804569978148</c:v>
                </c:pt>
                <c:pt idx="351">
                  <c:v>18.609778617880874</c:v>
                </c:pt>
                <c:pt idx="352">
                  <c:v>16.637549223884424</c:v>
                </c:pt>
                <c:pt idx="353">
                  <c:v>3.7256176661115163</c:v>
                </c:pt>
                <c:pt idx="354">
                  <c:v>18.988279733819216</c:v>
                </c:pt>
                <c:pt idx="355">
                  <c:v>18.567129767760601</c:v>
                </c:pt>
                <c:pt idx="356">
                  <c:v>18.695102984422633</c:v>
                </c:pt>
                <c:pt idx="357">
                  <c:v>19.852189809691428</c:v>
                </c:pt>
                <c:pt idx="358">
                  <c:v>11.142121739447663</c:v>
                </c:pt>
                <c:pt idx="359">
                  <c:v>19.024973084231139</c:v>
                </c:pt>
                <c:pt idx="360">
                  <c:v>6.4435359968509651</c:v>
                </c:pt>
                <c:pt idx="361">
                  <c:v>20.723104251437174</c:v>
                </c:pt>
                <c:pt idx="362">
                  <c:v>10.548689716271872</c:v>
                </c:pt>
                <c:pt idx="363">
                  <c:v>14.404058540260896</c:v>
                </c:pt>
                <c:pt idx="364">
                  <c:v>12.407006304027389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156536"/>
        <c:axId val="358156928"/>
      </c:lineChart>
      <c:dateAx>
        <c:axId val="358156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156928"/>
        <c:crosses val="autoZero"/>
        <c:auto val="1"/>
        <c:lblOffset val="100"/>
        <c:baseTimeUnit val="days"/>
        <c:majorUnit val="1"/>
        <c:majorTimeUnit val="months"/>
      </c:dateAx>
      <c:valAx>
        <c:axId val="35815692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15653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4.0974004782194262E-2</c:v>
                </c:pt>
                <c:pt idx="1">
                  <c:v>4.0992384296603568E-2</c:v>
                </c:pt>
                <c:pt idx="2">
                  <c:v>4.1010763458773747E-2</c:v>
                </c:pt>
                <c:pt idx="3">
                  <c:v>4.102914226871146E-2</c:v>
                </c:pt>
                <c:pt idx="4">
                  <c:v>4.1047520726423481E-2</c:v>
                </c:pt>
                <c:pt idx="5">
                  <c:v>4.106589883191647E-2</c:v>
                </c:pt>
                <c:pt idx="6">
                  <c:v>4.1084276585197421E-2</c:v>
                </c:pt>
                <c:pt idx="7">
                  <c:v>4.1102653986272775E-2</c:v>
                </c:pt>
                <c:pt idx="8">
                  <c:v>4.1121031035149525E-2</c:v>
                </c:pt>
                <c:pt idx="9">
                  <c:v>4.1139407731834221E-2</c:v>
                </c:pt>
                <c:pt idx="10">
                  <c:v>4.1157784076333859E-2</c:v>
                </c:pt>
                <c:pt idx="11">
                  <c:v>4.1176160068654988E-2</c:v>
                </c:pt>
                <c:pt idx="12">
                  <c:v>4.1194535708804381E-2</c:v>
                </c:pt>
                <c:pt idx="13">
                  <c:v>4.121291099678881E-2</c:v>
                </c:pt>
                <c:pt idx="14">
                  <c:v>4.1231285932615047E-2</c:v>
                </c:pt>
                <c:pt idx="15">
                  <c:v>4.1249660516289866E-2</c:v>
                </c:pt>
                <c:pt idx="16">
                  <c:v>4.1268034747820037E-2</c:v>
                </c:pt>
                <c:pt idx="17">
                  <c:v>4.1286408627212112E-2</c:v>
                </c:pt>
                <c:pt idx="18">
                  <c:v>4.1304782154473085E-2</c:v>
                </c:pt>
                <c:pt idx="19">
                  <c:v>4.1323155329609507E-2</c:v>
                </c:pt>
                <c:pt idx="20">
                  <c:v>4.1341528152628371E-2</c:v>
                </c:pt>
                <c:pt idx="21">
                  <c:v>4.1359900623536117E-2</c:v>
                </c:pt>
                <c:pt idx="22">
                  <c:v>4.1378272742339739E-2</c:v>
                </c:pt>
                <c:pt idx="23">
                  <c:v>4.1396644509045899E-2</c:v>
                </c:pt>
                <c:pt idx="24">
                  <c:v>4.1415015923661258E-2</c:v>
                </c:pt>
                <c:pt idx="25">
                  <c:v>4.14333869861927E-2</c:v>
                </c:pt>
                <c:pt idx="26">
                  <c:v>4.1451757696646996E-2</c:v>
                </c:pt>
                <c:pt idx="27">
                  <c:v>4.1470128055030697E-2</c:v>
                </c:pt>
                <c:pt idx="28">
                  <c:v>4.1488498061350687E-2</c:v>
                </c:pt>
                <c:pt idx="29">
                  <c:v>4.1506867715613738E-2</c:v>
                </c:pt>
                <c:pt idx="30">
                  <c:v>4.1525237017826622E-2</c:v>
                </c:pt>
                <c:pt idx="31">
                  <c:v>4.1543605967995889E-2</c:v>
                </c:pt>
                <c:pt idx="32">
                  <c:v>4.1561974566128423E-2</c:v>
                </c:pt>
                <c:pt idx="33">
                  <c:v>4.1580342812231108E-2</c:v>
                </c:pt>
                <c:pt idx="34">
                  <c:v>4.1598710706310382E-2</c:v>
                </c:pt>
                <c:pt idx="35">
                  <c:v>4.161707824837324E-2</c:v>
                </c:pt>
                <c:pt idx="36">
                  <c:v>4.1635445438426344E-2</c:v>
                </c:pt>
                <c:pt idx="37">
                  <c:v>4.1653812276476465E-2</c:v>
                </c:pt>
                <c:pt idx="38">
                  <c:v>4.1672178762530265E-2</c:v>
                </c:pt>
                <c:pt idx="39">
                  <c:v>4.1690544896594517E-2</c:v>
                </c:pt>
                <c:pt idx="40">
                  <c:v>4.1708910678676103E-2</c:v>
                </c:pt>
                <c:pt idx="41">
                  <c:v>4.1727276108781575E-2</c:v>
                </c:pt>
                <c:pt idx="42">
                  <c:v>4.1745641186917815E-2</c:v>
                </c:pt>
                <c:pt idx="43">
                  <c:v>4.1764005913091484E-2</c:v>
                </c:pt>
                <c:pt idx="44">
                  <c:v>4.1782370287309467E-2</c:v>
                </c:pt>
                <c:pt idx="45">
                  <c:v>4.1800734309578313E-2</c:v>
                </c:pt>
                <c:pt idx="46">
                  <c:v>4.1819097979904907E-2</c:v>
                </c:pt>
                <c:pt idx="47">
                  <c:v>4.1837461298295908E-2</c:v>
                </c:pt>
                <c:pt idx="48">
                  <c:v>4.185582426475809E-2</c:v>
                </c:pt>
                <c:pt idx="49">
                  <c:v>4.1874186879298336E-2</c:v>
                </c:pt>
                <c:pt idx="50">
                  <c:v>4.1892549141923086E-2</c:v>
                </c:pt>
                <c:pt idx="51">
                  <c:v>4.1910911052639332E-2</c:v>
                </c:pt>
                <c:pt idx="52">
                  <c:v>4.1929272611453849E-2</c:v>
                </c:pt>
                <c:pt idx="53">
                  <c:v>4.1947633818373187E-2</c:v>
                </c:pt>
                <c:pt idx="54">
                  <c:v>4.1965994673404117E-2</c:v>
                </c:pt>
                <c:pt idx="55">
                  <c:v>4.1984355176553523E-2</c:v>
                </c:pt>
                <c:pt idx="56">
                  <c:v>4.2002715327828066E-2</c:v>
                </c:pt>
                <c:pt idx="57">
                  <c:v>4.202107512723452E-2</c:v>
                </c:pt>
                <c:pt idx="58">
                  <c:v>4.2039434574779655E-2</c:v>
                </c:pt>
                <c:pt idx="59">
                  <c:v>4.2057793670470023E-2</c:v>
                </c:pt>
                <c:pt idx="60">
                  <c:v>4.2076152414312618E-2</c:v>
                </c:pt>
                <c:pt idx="61">
                  <c:v>4.20945108063141E-2</c:v>
                </c:pt>
                <c:pt idx="62">
                  <c:v>4.2112868846481133E-2</c:v>
                </c:pt>
                <c:pt idx="63">
                  <c:v>4.2131226534820487E-2</c:v>
                </c:pt>
                <c:pt idx="64">
                  <c:v>4.2149583871338936E-2</c:v>
                </c:pt>
                <c:pt idx="65">
                  <c:v>4.2167940856043251E-2</c:v>
                </c:pt>
                <c:pt idx="66">
                  <c:v>4.2186297488940205E-2</c:v>
                </c:pt>
                <c:pt idx="67">
                  <c:v>4.2204653770036349E-2</c:v>
                </c:pt>
                <c:pt idx="68">
                  <c:v>4.2223009699338676E-2</c:v>
                </c:pt>
                <c:pt idx="69">
                  <c:v>4.2241365276853737E-2</c:v>
                </c:pt>
                <c:pt idx="70">
                  <c:v>4.2259720502588305E-2</c:v>
                </c:pt>
                <c:pt idx="71">
                  <c:v>4.2278075376549151E-2</c:v>
                </c:pt>
                <c:pt idx="72">
                  <c:v>4.229642989874316E-2</c:v>
                </c:pt>
                <c:pt idx="73">
                  <c:v>4.231478406917677E-2</c:v>
                </c:pt>
                <c:pt idx="74">
                  <c:v>4.2333137887856975E-2</c:v>
                </c:pt>
                <c:pt idx="75">
                  <c:v>4.2351491354790438E-2</c:v>
                </c:pt>
                <c:pt idx="76">
                  <c:v>4.2369844469983931E-2</c:v>
                </c:pt>
                <c:pt idx="77">
                  <c:v>4.2388197233444114E-2</c:v>
                </c:pt>
                <c:pt idx="78">
                  <c:v>4.240654964517776E-2</c:v>
                </c:pt>
                <c:pt idx="79">
                  <c:v>4.2424901705191642E-2</c:v>
                </c:pt>
                <c:pt idx="80">
                  <c:v>4.2443253413492532E-2</c:v>
                </c:pt>
                <c:pt idx="81">
                  <c:v>4.246160477008698E-2</c:v>
                </c:pt>
                <c:pt idx="82">
                  <c:v>4.2479955774981981E-2</c:v>
                </c:pt>
                <c:pt idx="83">
                  <c:v>4.2498306428184085E-2</c:v>
                </c:pt>
                <c:pt idx="84">
                  <c:v>4.2516656729700175E-2</c:v>
                </c:pt>
                <c:pt idx="85">
                  <c:v>4.2535006679536913E-2</c:v>
                </c:pt>
                <c:pt idx="86">
                  <c:v>4.2553356277701071E-2</c:v>
                </c:pt>
                <c:pt idx="87">
                  <c:v>4.257170552419931E-2</c:v>
                </c:pt>
                <c:pt idx="88">
                  <c:v>4.2590054419038403E-2</c:v>
                </c:pt>
                <c:pt idx="89">
                  <c:v>4.2608402962225123E-2</c:v>
                </c:pt>
                <c:pt idx="90">
                  <c:v>4.262675115376624E-2</c:v>
                </c:pt>
                <c:pt idx="91">
                  <c:v>4.2645098993668529E-2</c:v>
                </c:pt>
                <c:pt idx="92">
                  <c:v>4.2663446481938538E-2</c:v>
                </c:pt>
                <c:pt idx="93">
                  <c:v>4.2681793618583153E-2</c:v>
                </c:pt>
                <c:pt idx="94">
                  <c:v>4.2700140403609033E-2</c:v>
                </c:pt>
                <c:pt idx="95">
                  <c:v>4.2718486837023062E-2</c:v>
                </c:pt>
                <c:pt idx="96">
                  <c:v>4.2736832918831791E-2</c:v>
                </c:pt>
                <c:pt idx="97">
                  <c:v>4.2755178649042103E-2</c:v>
                </c:pt>
                <c:pt idx="98">
                  <c:v>4.2773524027660659E-2</c:v>
                </c:pt>
                <c:pt idx="99">
                  <c:v>4.279186905469412E-2</c:v>
                </c:pt>
                <c:pt idx="100">
                  <c:v>4.2810213730149482E-2</c:v>
                </c:pt>
                <c:pt idx="101">
                  <c:v>4.2828558054033294E-2</c:v>
                </c:pt>
                <c:pt idx="102">
                  <c:v>4.2846902026352218E-2</c:v>
                </c:pt>
                <c:pt idx="103">
                  <c:v>4.2865245647113248E-2</c:v>
                </c:pt>
                <c:pt idx="104">
                  <c:v>4.2883588916322823E-2</c:v>
                </c:pt>
                <c:pt idx="105">
                  <c:v>4.2901931833987939E-2</c:v>
                </c:pt>
                <c:pt idx="106">
                  <c:v>4.2920274400115144E-2</c:v>
                </c:pt>
                <c:pt idx="107">
                  <c:v>4.2938616614711322E-2</c:v>
                </c:pt>
                <c:pt idx="108">
                  <c:v>4.2956958477783136E-2</c:v>
                </c:pt>
                <c:pt idx="109">
                  <c:v>4.2975299989337246E-2</c:v>
                </c:pt>
                <c:pt idx="110">
                  <c:v>4.2993641149380535E-2</c:v>
                </c:pt>
                <c:pt idx="111">
                  <c:v>4.3011981957919665E-2</c:v>
                </c:pt>
                <c:pt idx="112">
                  <c:v>4.3030322414961408E-2</c:v>
                </c:pt>
                <c:pt idx="113">
                  <c:v>4.3048662520512426E-2</c:v>
                </c:pt>
                <c:pt idx="114">
                  <c:v>4.3067002274579602E-2</c:v>
                </c:pt>
                <c:pt idx="115">
                  <c:v>4.3085341677169486E-2</c:v>
                </c:pt>
                <c:pt idx="116">
                  <c:v>4.3103680728288962E-2</c:v>
                </c:pt>
                <c:pt idx="117">
                  <c:v>4.312201942794458E-2</c:v>
                </c:pt>
                <c:pt idx="118">
                  <c:v>4.3140357776143334E-2</c:v>
                </c:pt>
                <c:pt idx="119">
                  <c:v>4.3158695772891775E-2</c:v>
                </c:pt>
                <c:pt idx="120">
                  <c:v>4.3177033418196786E-2</c:v>
                </c:pt>
                <c:pt idx="121">
                  <c:v>4.3195370712064918E-2</c:v>
                </c:pt>
                <c:pt idx="122">
                  <c:v>4.3213707654502942E-2</c:v>
                </c:pt>
                <c:pt idx="123">
                  <c:v>4.3232044245517742E-2</c:v>
                </c:pt>
                <c:pt idx="124">
                  <c:v>4.3250380485115869E-2</c:v>
                </c:pt>
                <c:pt idx="125">
                  <c:v>4.3268716373304317E-2</c:v>
                </c:pt>
                <c:pt idx="126">
                  <c:v>4.3287051910089525E-2</c:v>
                </c:pt>
                <c:pt idx="127">
                  <c:v>4.3305387095478376E-2</c:v>
                </c:pt>
                <c:pt idx="128">
                  <c:v>4.3323721929477532E-2</c:v>
                </c:pt>
                <c:pt idx="129">
                  <c:v>4.3342056412093766E-2</c:v>
                </c:pt>
                <c:pt idx="130">
                  <c:v>4.336039054333396E-2</c:v>
                </c:pt>
                <c:pt idx="131">
                  <c:v>4.3378724323204554E-2</c:v>
                </c:pt>
                <c:pt idx="132">
                  <c:v>4.3397057751712542E-2</c:v>
                </c:pt>
                <c:pt idx="133">
                  <c:v>4.3415390828864586E-2</c:v>
                </c:pt>
                <c:pt idx="134">
                  <c:v>4.3433723554667347E-2</c:v>
                </c:pt>
                <c:pt idx="135">
                  <c:v>4.3452055929127487E-2</c:v>
                </c:pt>
                <c:pt idx="136">
                  <c:v>4.3470387952251999E-2</c:v>
                </c:pt>
                <c:pt idx="137">
                  <c:v>4.3488719624047434E-2</c:v>
                </c:pt>
                <c:pt idx="138">
                  <c:v>4.3507050944520564E-2</c:v>
                </c:pt>
                <c:pt idx="139">
                  <c:v>4.3525381913678052E-2</c:v>
                </c:pt>
                <c:pt idx="140">
                  <c:v>4.3543712531526779E-2</c:v>
                </c:pt>
                <c:pt idx="141">
                  <c:v>4.3562042798073408E-2</c:v>
                </c:pt>
                <c:pt idx="142">
                  <c:v>4.35803727133246E-2</c:v>
                </c:pt>
                <c:pt idx="143">
                  <c:v>4.3598702277287127E-2</c:v>
                </c:pt>
                <c:pt idx="144">
                  <c:v>4.3617031489967761E-2</c:v>
                </c:pt>
                <c:pt idx="145">
                  <c:v>4.3635360351373276E-2</c:v>
                </c:pt>
                <c:pt idx="146">
                  <c:v>4.3653688861510331E-2</c:v>
                </c:pt>
                <c:pt idx="147">
                  <c:v>4.367201702038559E-2</c:v>
                </c:pt>
                <c:pt idx="148">
                  <c:v>4.3690344828005934E-2</c:v>
                </c:pt>
                <c:pt idx="149">
                  <c:v>4.3708672284378025E-2</c:v>
                </c:pt>
                <c:pt idx="150">
                  <c:v>4.3726999389508636E-2</c:v>
                </c:pt>
                <c:pt idx="151">
                  <c:v>4.3745326143404317E-2</c:v>
                </c:pt>
                <c:pt idx="152">
                  <c:v>4.3763652546072063E-2</c:v>
                </c:pt>
                <c:pt idx="153">
                  <c:v>4.3781978597518423E-2</c:v>
                </c:pt>
                <c:pt idx="154">
                  <c:v>4.3800304297750281E-2</c:v>
                </c:pt>
                <c:pt idx="155">
                  <c:v>4.3818629646774188E-2</c:v>
                </c:pt>
                <c:pt idx="156">
                  <c:v>4.3836954644596915E-2</c:v>
                </c:pt>
                <c:pt idx="157">
                  <c:v>4.3855279291225346E-2</c:v>
                </c:pt>
                <c:pt idx="158">
                  <c:v>4.3873603586666032E-2</c:v>
                </c:pt>
                <c:pt idx="159">
                  <c:v>4.3891927530925856E-2</c:v>
                </c:pt>
                <c:pt idx="160">
                  <c:v>4.3910251124011368E-2</c:v>
                </c:pt>
                <c:pt idx="161">
                  <c:v>4.3928574365929451E-2</c:v>
                </c:pt>
                <c:pt idx="162">
                  <c:v>4.3946897256686879E-2</c:v>
                </c:pt>
                <c:pt idx="163">
                  <c:v>4.39652197962902E-2</c:v>
                </c:pt>
                <c:pt idx="164">
                  <c:v>4.3983541984746188E-2</c:v>
                </c:pt>
                <c:pt idx="165">
                  <c:v>4.4001863822061615E-2</c:v>
                </c:pt>
                <c:pt idx="166">
                  <c:v>4.4020185308243254E-2</c:v>
                </c:pt>
                <c:pt idx="167">
                  <c:v>4.4038506443297765E-2</c:v>
                </c:pt>
                <c:pt idx="168">
                  <c:v>4.4056827227231921E-2</c:v>
                </c:pt>
                <c:pt idx="169">
                  <c:v>4.4075147660052383E-2</c:v>
                </c:pt>
                <c:pt idx="170">
                  <c:v>4.4093467741766035E-2</c:v>
                </c:pt>
                <c:pt idx="171">
                  <c:v>4.4111787472379427E-2</c:v>
                </c:pt>
                <c:pt idx="172">
                  <c:v>4.4130106851899331E-2</c:v>
                </c:pt>
                <c:pt idx="173">
                  <c:v>4.4148425880332631E-2</c:v>
                </c:pt>
                <c:pt idx="174">
                  <c:v>4.4166744557685766E-2</c:v>
                </c:pt>
                <c:pt idx="175">
                  <c:v>4.4185062883965731E-2</c:v>
                </c:pt>
                <c:pt idx="176">
                  <c:v>4.4203380859179187E-2</c:v>
                </c:pt>
                <c:pt idx="177">
                  <c:v>4.4221698483332683E-2</c:v>
                </c:pt>
                <c:pt idx="178">
                  <c:v>4.4240015756433215E-2</c:v>
                </c:pt>
                <c:pt idx="179">
                  <c:v>4.4258332678487333E-2</c:v>
                </c:pt>
                <c:pt idx="180">
                  <c:v>4.4276649249501809E-2</c:v>
                </c:pt>
                <c:pt idx="181">
                  <c:v>4.4294965469483416E-2</c:v>
                </c:pt>
                <c:pt idx="182">
                  <c:v>4.4313281338438926E-2</c:v>
                </c:pt>
                <c:pt idx="183">
                  <c:v>4.4331596856374889E-2</c:v>
                </c:pt>
                <c:pt idx="184">
                  <c:v>4.4349912023298077E-2</c:v>
                </c:pt>
                <c:pt idx="185">
                  <c:v>4.4368226839215374E-2</c:v>
                </c:pt>
                <c:pt idx="186">
                  <c:v>4.4386541304133331E-2</c:v>
                </c:pt>
                <c:pt idx="187">
                  <c:v>4.4404855418058831E-2</c:v>
                </c:pt>
                <c:pt idx="188">
                  <c:v>4.4423169180998423E-2</c:v>
                </c:pt>
                <c:pt idx="189">
                  <c:v>4.4441482592958992E-2</c:v>
                </c:pt>
                <c:pt idx="190">
                  <c:v>4.4459795653947087E-2</c:v>
                </c:pt>
                <c:pt idx="191">
                  <c:v>4.4478108363969704E-2</c:v>
                </c:pt>
                <c:pt idx="192">
                  <c:v>4.4496420723033281E-2</c:v>
                </c:pt>
                <c:pt idx="193">
                  <c:v>4.4514732731144702E-2</c:v>
                </c:pt>
                <c:pt idx="194">
                  <c:v>4.4533044388310739E-2</c:v>
                </c:pt>
                <c:pt idx="195">
                  <c:v>4.4551355694537942E-2</c:v>
                </c:pt>
                <c:pt idx="196">
                  <c:v>4.4569666649833195E-2</c:v>
                </c:pt>
                <c:pt idx="197">
                  <c:v>4.4587977254203159E-2</c:v>
                </c:pt>
                <c:pt idx="198">
                  <c:v>4.4606287507654607E-2</c:v>
                </c:pt>
                <c:pt idx="199">
                  <c:v>4.46245974101942E-2</c:v>
                </c:pt>
                <c:pt idx="200">
                  <c:v>4.464290696182871E-2</c:v>
                </c:pt>
                <c:pt idx="201">
                  <c:v>4.4661216162564799E-2</c:v>
                </c:pt>
                <c:pt idx="202">
                  <c:v>4.4679525012409238E-2</c:v>
                </c:pt>
                <c:pt idx="203">
                  <c:v>4.469783351136869E-2</c:v>
                </c:pt>
                <c:pt idx="204">
                  <c:v>4.4716141659450037E-2</c:v>
                </c:pt>
                <c:pt idx="205">
                  <c:v>4.4734449456659831E-2</c:v>
                </c:pt>
                <c:pt idx="206">
                  <c:v>4.4752756903004953E-2</c:v>
                </c:pt>
                <c:pt idx="207">
                  <c:v>4.4771063998491956E-2</c:v>
                </c:pt>
                <c:pt idx="208">
                  <c:v>4.4789370743127721E-2</c:v>
                </c:pt>
                <c:pt idx="209">
                  <c:v>4.48076771369188E-2</c:v>
                </c:pt>
                <c:pt idx="210">
                  <c:v>4.4825983179872075E-2</c:v>
                </c:pt>
                <c:pt idx="211">
                  <c:v>4.484428887199432E-2</c:v>
                </c:pt>
                <c:pt idx="212">
                  <c:v>4.4862594213291973E-2</c:v>
                </c:pt>
                <c:pt idx="213">
                  <c:v>4.4880899203772029E-2</c:v>
                </c:pt>
                <c:pt idx="214">
                  <c:v>4.4899203843441149E-2</c:v>
                </c:pt>
                <c:pt idx="215">
                  <c:v>4.4917508132305994E-2</c:v>
                </c:pt>
                <c:pt idx="216">
                  <c:v>4.4935812070373227E-2</c:v>
                </c:pt>
                <c:pt idx="217">
                  <c:v>4.4954115657649729E-2</c:v>
                </c:pt>
                <c:pt idx="218">
                  <c:v>4.4972418894142274E-2</c:v>
                </c:pt>
                <c:pt idx="219">
                  <c:v>4.4990721779857301E-2</c:v>
                </c:pt>
                <c:pt idx="220">
                  <c:v>4.5009024314801804E-2</c:v>
                </c:pt>
                <c:pt idx="221">
                  <c:v>4.5027326498982334E-2</c:v>
                </c:pt>
                <c:pt idx="222">
                  <c:v>4.5045628332405663E-2</c:v>
                </c:pt>
                <c:pt idx="223">
                  <c:v>4.5063929815078563E-2</c:v>
                </c:pt>
                <c:pt idx="224">
                  <c:v>4.5082230947007806E-2</c:v>
                </c:pt>
                <c:pt idx="225">
                  <c:v>4.5100531728199944E-2</c:v>
                </c:pt>
                <c:pt idx="226">
                  <c:v>4.5118832158661748E-2</c:v>
                </c:pt>
                <c:pt idx="227">
                  <c:v>4.5137132238399991E-2</c:v>
                </c:pt>
                <c:pt idx="228">
                  <c:v>4.5155431967421444E-2</c:v>
                </c:pt>
                <c:pt idx="229">
                  <c:v>4.517373134573277E-2</c:v>
                </c:pt>
                <c:pt idx="230">
                  <c:v>4.519203037334063E-2</c:v>
                </c:pt>
                <c:pt idx="231">
                  <c:v>4.5210329050251796E-2</c:v>
                </c:pt>
                <c:pt idx="232">
                  <c:v>4.5228627376473041E-2</c:v>
                </c:pt>
                <c:pt idx="233">
                  <c:v>4.5246925352011025E-2</c:v>
                </c:pt>
                <c:pt idx="234">
                  <c:v>4.5265222976872521E-2</c:v>
                </c:pt>
                <c:pt idx="235">
                  <c:v>4.528352025106408E-2</c:v>
                </c:pt>
                <c:pt idx="236">
                  <c:v>4.5301817174592696E-2</c:v>
                </c:pt>
                <c:pt idx="237">
                  <c:v>4.5320113747464918E-2</c:v>
                </c:pt>
                <c:pt idx="238">
                  <c:v>4.533840996968741E-2</c:v>
                </c:pt>
                <c:pt idx="239">
                  <c:v>4.5356705841267053E-2</c:v>
                </c:pt>
                <c:pt idx="240">
                  <c:v>4.537500136221051E-2</c:v>
                </c:pt>
                <c:pt idx="241">
                  <c:v>4.5393296532524441E-2</c:v>
                </c:pt>
                <c:pt idx="242">
                  <c:v>4.5411591352215619E-2</c:v>
                </c:pt>
                <c:pt idx="243">
                  <c:v>4.5429885821290705E-2</c:v>
                </c:pt>
                <c:pt idx="244">
                  <c:v>4.5448179939756472E-2</c:v>
                </c:pt>
                <c:pt idx="245">
                  <c:v>4.5466473707619692E-2</c:v>
                </c:pt>
                <c:pt idx="246">
                  <c:v>4.5484767124887027E-2</c:v>
                </c:pt>
                <c:pt idx="247">
                  <c:v>4.5503060191565137E-2</c:v>
                </c:pt>
                <c:pt idx="248">
                  <c:v>4.5521352907660795E-2</c:v>
                </c:pt>
                <c:pt idx="249">
                  <c:v>4.5539645273180773E-2</c:v>
                </c:pt>
                <c:pt idx="250">
                  <c:v>4.5557937288131733E-2</c:v>
                </c:pt>
                <c:pt idx="251">
                  <c:v>4.5576228952520337E-2</c:v>
                </c:pt>
                <c:pt idx="252">
                  <c:v>4.5594520266353356E-2</c:v>
                </c:pt>
                <c:pt idx="253">
                  <c:v>4.5612811229637562E-2</c:v>
                </c:pt>
                <c:pt idx="254">
                  <c:v>4.5631101842379729E-2</c:v>
                </c:pt>
                <c:pt idx="255">
                  <c:v>4.5649392104586295E-2</c:v>
                </c:pt>
                <c:pt idx="256">
                  <c:v>4.5667682016264255E-2</c:v>
                </c:pt>
                <c:pt idx="257">
                  <c:v>4.568597157742027E-2</c:v>
                </c:pt>
                <c:pt idx="258">
                  <c:v>4.5704260788061002E-2</c:v>
                </c:pt>
                <c:pt idx="259">
                  <c:v>4.5722549648193112E-2</c:v>
                </c:pt>
                <c:pt idx="260">
                  <c:v>4.5740838157823482E-2</c:v>
                </c:pt>
                <c:pt idx="261">
                  <c:v>4.5759126316958665E-2</c:v>
                </c:pt>
                <c:pt idx="262">
                  <c:v>4.5777414125605431E-2</c:v>
                </c:pt>
                <c:pt idx="263">
                  <c:v>4.5795701583770554E-2</c:v>
                </c:pt>
                <c:pt idx="264">
                  <c:v>4.5813988691460694E-2</c:v>
                </c:pt>
                <c:pt idx="265">
                  <c:v>4.5832275448682624E-2</c:v>
                </c:pt>
                <c:pt idx="266">
                  <c:v>4.5850561855443006E-2</c:v>
                </c:pt>
                <c:pt idx="267">
                  <c:v>4.5868847911748611E-2</c:v>
                </c:pt>
                <c:pt idx="268">
                  <c:v>4.5887133617606102E-2</c:v>
                </c:pt>
                <c:pt idx="269">
                  <c:v>4.5905418973022138E-2</c:v>
                </c:pt>
                <c:pt idx="270">
                  <c:v>4.5923703978003605E-2</c:v>
                </c:pt>
                <c:pt idx="271">
                  <c:v>4.5941988632557051E-2</c:v>
                </c:pt>
                <c:pt idx="272">
                  <c:v>4.5960272936689361E-2</c:v>
                </c:pt>
                <c:pt idx="273">
                  <c:v>4.5978556890407085E-2</c:v>
                </c:pt>
                <c:pt idx="274">
                  <c:v>4.5996840493716995E-2</c:v>
                </c:pt>
                <c:pt idx="275">
                  <c:v>4.6015123746625863E-2</c:v>
                </c:pt>
                <c:pt idx="276">
                  <c:v>4.6033406649140352E-2</c:v>
                </c:pt>
                <c:pt idx="277">
                  <c:v>4.6051689201267121E-2</c:v>
                </c:pt>
                <c:pt idx="278">
                  <c:v>4.6069971403013055E-2</c:v>
                </c:pt>
                <c:pt idx="279">
                  <c:v>4.6088253254384703E-2</c:v>
                </c:pt>
                <c:pt idx="280">
                  <c:v>4.6106534755388839E-2</c:v>
                </c:pt>
                <c:pt idx="281">
                  <c:v>4.6124815906032124E-2</c:v>
                </c:pt>
                <c:pt idx="282">
                  <c:v>4.614309670632144E-2</c:v>
                </c:pt>
                <c:pt idx="283">
                  <c:v>4.6161377156263339E-2</c:v>
                </c:pt>
                <c:pt idx="284">
                  <c:v>4.6179657255864481E-2</c:v>
                </c:pt>
                <c:pt idx="285">
                  <c:v>4.6197937005131862E-2</c:v>
                </c:pt>
                <c:pt idx="286">
                  <c:v>4.6216216404071919E-2</c:v>
                </c:pt>
                <c:pt idx="287">
                  <c:v>4.6234495452691426E-2</c:v>
                </c:pt>
                <c:pt idx="288">
                  <c:v>4.6252774150997267E-2</c:v>
                </c:pt>
                <c:pt idx="289">
                  <c:v>4.627105249899599E-2</c:v>
                </c:pt>
                <c:pt idx="290">
                  <c:v>4.6289330496694259E-2</c:v>
                </c:pt>
                <c:pt idx="291">
                  <c:v>4.6307608144098955E-2</c:v>
                </c:pt>
                <c:pt idx="292">
                  <c:v>4.632588544121663E-2</c:v>
                </c:pt>
                <c:pt idx="293">
                  <c:v>4.6344162388054166E-2</c:v>
                </c:pt>
                <c:pt idx="294">
                  <c:v>4.6362438984618115E-2</c:v>
                </c:pt>
                <c:pt idx="295">
                  <c:v>4.6380715230915248E-2</c:v>
                </c:pt>
                <c:pt idx="296">
                  <c:v>4.6398991126952338E-2</c:v>
                </c:pt>
                <c:pt idx="297">
                  <c:v>4.6417266672736046E-2</c:v>
                </c:pt>
                <c:pt idx="298">
                  <c:v>4.6435541868273034E-2</c:v>
                </c:pt>
                <c:pt idx="299">
                  <c:v>4.6453816713570184E-2</c:v>
                </c:pt>
                <c:pt idx="300">
                  <c:v>4.6472091208634048E-2</c:v>
                </c:pt>
                <c:pt idx="301">
                  <c:v>4.6490365353471286E-2</c:v>
                </c:pt>
                <c:pt idx="302">
                  <c:v>4.6508639148088782E-2</c:v>
                </c:pt>
                <c:pt idx="303">
                  <c:v>4.6526912592493197E-2</c:v>
                </c:pt>
                <c:pt idx="304">
                  <c:v>4.6545185686691193E-2</c:v>
                </c:pt>
                <c:pt idx="305">
                  <c:v>4.6563458430689542E-2</c:v>
                </c:pt>
                <c:pt idx="306">
                  <c:v>4.6581730824494905E-2</c:v>
                </c:pt>
                <c:pt idx="307">
                  <c:v>4.6600002868113943E-2</c:v>
                </c:pt>
                <c:pt idx="308">
                  <c:v>4.6618274561553541E-2</c:v>
                </c:pt>
                <c:pt idx="309">
                  <c:v>4.6636545904820248E-2</c:v>
                </c:pt>
                <c:pt idx="310">
                  <c:v>4.6654816897920726E-2</c:v>
                </c:pt>
                <c:pt idx="311">
                  <c:v>4.6673087540861968E-2</c:v>
                </c:pt>
                <c:pt idx="312">
                  <c:v>4.6691357833650415E-2</c:v>
                </c:pt>
                <c:pt idx="313">
                  <c:v>4.6709627776292839E-2</c:v>
                </c:pt>
                <c:pt idx="314">
                  <c:v>4.6727897368796012E-2</c:v>
                </c:pt>
                <c:pt idx="315">
                  <c:v>4.6746166611166706E-2</c:v>
                </c:pt>
                <c:pt idx="316">
                  <c:v>4.6764435503411361E-2</c:v>
                </c:pt>
                <c:pt idx="317">
                  <c:v>4.6782704045536971E-2</c:v>
                </c:pt>
                <c:pt idx="318">
                  <c:v>4.6800972237550198E-2</c:v>
                </c:pt>
                <c:pt idx="319">
                  <c:v>4.6819240079457591E-2</c:v>
                </c:pt>
                <c:pt idx="320">
                  <c:v>4.6837507571266035E-2</c:v>
                </c:pt>
                <c:pt idx="321">
                  <c:v>4.6855774712982079E-2</c:v>
                </c:pt>
                <c:pt idx="322">
                  <c:v>4.6874041504612607E-2</c:v>
                </c:pt>
                <c:pt idx="323">
                  <c:v>4.6892307946164169E-2</c:v>
                </c:pt>
                <c:pt idx="324">
                  <c:v>4.6910574037643538E-2</c:v>
                </c:pt>
                <c:pt idx="325">
                  <c:v>4.6928839779057485E-2</c:v>
                </c:pt>
                <c:pt idx="326">
                  <c:v>4.6947105170412673E-2</c:v>
                </c:pt>
                <c:pt idx="327">
                  <c:v>4.6965370211715762E-2</c:v>
                </c:pt>
                <c:pt idx="328">
                  <c:v>4.6983634902973526E-2</c:v>
                </c:pt>
                <c:pt idx="329">
                  <c:v>4.7001899244192624E-2</c:v>
                </c:pt>
                <c:pt idx="330">
                  <c:v>4.702016323537983E-2</c:v>
                </c:pt>
                <c:pt idx="331">
                  <c:v>4.7038426876541695E-2</c:v>
                </c:pt>
                <c:pt idx="332">
                  <c:v>4.7056690167685211E-2</c:v>
                </c:pt>
                <c:pt idx="333">
                  <c:v>4.7074953108816819E-2</c:v>
                </c:pt>
                <c:pt idx="334">
                  <c:v>4.7093215699943292E-2</c:v>
                </c:pt>
                <c:pt idx="335">
                  <c:v>4.7111477941071511E-2</c:v>
                </c:pt>
                <c:pt idx="336">
                  <c:v>4.7129739832207918E-2</c:v>
                </c:pt>
                <c:pt idx="337">
                  <c:v>4.7148001373359394E-2</c:v>
                </c:pt>
                <c:pt idx="338">
                  <c:v>4.7166262564532602E-2</c:v>
                </c:pt>
                <c:pt idx="339">
                  <c:v>4.7184523405734313E-2</c:v>
                </c:pt>
                <c:pt idx="340">
                  <c:v>4.7202783896971079E-2</c:v>
                </c:pt>
                <c:pt idx="341">
                  <c:v>4.7221044038249671E-2</c:v>
                </c:pt>
                <c:pt idx="342">
                  <c:v>4.7239303829576862E-2</c:v>
                </c:pt>
                <c:pt idx="343">
                  <c:v>4.7257563270959313E-2</c:v>
                </c:pt>
                <c:pt idx="344">
                  <c:v>4.7275822362403797E-2</c:v>
                </c:pt>
                <c:pt idx="345">
                  <c:v>4.7294081103916863E-2</c:v>
                </c:pt>
                <c:pt idx="346">
                  <c:v>4.7312339495505396E-2</c:v>
                </c:pt>
                <c:pt idx="347">
                  <c:v>4.7330597537175945E-2</c:v>
                </c:pt>
                <c:pt idx="348">
                  <c:v>4.7348855228935394E-2</c:v>
                </c:pt>
                <c:pt idx="349">
                  <c:v>4.7367112570790182E-2</c:v>
                </c:pt>
                <c:pt idx="350">
                  <c:v>4.7385369562747304E-2</c:v>
                </c:pt>
                <c:pt idx="351">
                  <c:v>4.7403626204813309E-2</c:v>
                </c:pt>
                <c:pt idx="352">
                  <c:v>4.7421882496994971E-2</c:v>
                </c:pt>
                <c:pt idx="353">
                  <c:v>4.7440138439298951E-2</c:v>
                </c:pt>
                <c:pt idx="354">
                  <c:v>4.745839403173191E-2</c:v>
                </c:pt>
                <c:pt idx="355">
                  <c:v>4.747664927430062E-2</c:v>
                </c:pt>
                <c:pt idx="356">
                  <c:v>4.7494904167011742E-2</c:v>
                </c:pt>
                <c:pt idx="357">
                  <c:v>4.751315870987205E-2</c:v>
                </c:pt>
                <c:pt idx="358">
                  <c:v>4.7531412902888204E-2</c:v>
                </c:pt>
                <c:pt idx="359">
                  <c:v>4.7549666746066976E-2</c:v>
                </c:pt>
                <c:pt idx="360">
                  <c:v>4.7567920239414918E-2</c:v>
                </c:pt>
                <c:pt idx="361">
                  <c:v>4.7586173382938912E-2</c:v>
                </c:pt>
                <c:pt idx="362">
                  <c:v>4.7604426176645509E-2</c:v>
                </c:pt>
                <c:pt idx="363">
                  <c:v>4.7622678620541481E-2</c:v>
                </c:pt>
                <c:pt idx="364">
                  <c:v>4.7640930714633489E-2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5.2989982665799677E-2</c:v>
                </c:pt>
                <c:pt idx="1">
                  <c:v>5.3039180517046293E-2</c:v>
                </c:pt>
                <c:pt idx="2">
                  <c:v>5.3088433495768701E-2</c:v>
                </c:pt>
                <c:pt idx="3">
                  <c:v>5.313772959006486E-2</c:v>
                </c:pt>
                <c:pt idx="4">
                  <c:v>5.3187058344909784E-2</c:v>
                </c:pt>
                <c:pt idx="5">
                  <c:v>5.3236410817918134E-2</c:v>
                </c:pt>
                <c:pt idx="6">
                  <c:v>5.3285779523057727E-2</c:v>
                </c:pt>
                <c:pt idx="7">
                  <c:v>5.3335158363256009E-2</c:v>
                </c:pt>
                <c:pt idx="8">
                  <c:v>5.3384542552925691E-2</c:v>
                </c:pt>
                <c:pt idx="9">
                  <c:v>5.3433928531507843E-2</c:v>
                </c:pt>
                <c:pt idx="10">
                  <c:v>5.3483313869192237E-2</c:v>
                </c:pt>
                <c:pt idx="11">
                  <c:v>5.3532697166022908E-2</c:v>
                </c:pt>
                <c:pt idx="12">
                  <c:v>5.3582077945633862E-2</c:v>
                </c:pt>
                <c:pt idx="13">
                  <c:v>5.3631456544882869E-2</c:v>
                </c:pt>
                <c:pt idx="14">
                  <c:v>5.3680834000662564E-2</c:v>
                </c:pt>
                <c:pt idx="15">
                  <c:v>5.3730211935166639E-2</c:v>
                </c:pt>
                <c:pt idx="16">
                  <c:v>5.3779592440874248E-2</c:v>
                </c:pt>
                <c:pt idx="17">
                  <c:v>5.3828977966489971E-2</c:v>
                </c:pt>
                <c:pt idx="18">
                  <c:v>5.3878371205038883E-2</c:v>
                </c:pt>
                <c:pt idx="19">
                  <c:v>5.3927774985266942E-2</c:v>
                </c:pt>
                <c:pt idx="20">
                  <c:v>5.397719216743771E-2</c:v>
                </c:pt>
                <c:pt idx="21">
                  <c:v>5.4026625544547353E-2</c:v>
                </c:pt>
                <c:pt idx="22">
                  <c:v>5.4076077749901599E-2</c:v>
                </c:pt>
                <c:pt idx="23">
                  <c:v>5.4125551171912631E-2</c:v>
                </c:pt>
                <c:pt idx="24">
                  <c:v>5.4175047876880635E-2</c:v>
                </c:pt>
                <c:pt idx="25">
                  <c:v>5.4224569540426461E-2</c:v>
                </c:pt>
                <c:pt idx="26">
                  <c:v>5.4274117388137463E-2</c:v>
                </c:pt>
                <c:pt idx="27">
                  <c:v>5.4323692145881793E-2</c:v>
                </c:pt>
                <c:pt idx="28">
                  <c:v>5.4373294000136442E-2</c:v>
                </c:pt>
                <c:pt idx="29">
                  <c:v>5.4422922568562654E-2</c:v>
                </c:pt>
                <c:pt idx="30">
                  <c:v>5.447257688095155E-2</c:v>
                </c:pt>
                <c:pt idx="31">
                  <c:v>5.4522255370551449E-2</c:v>
                </c:pt>
                <c:pt idx="32">
                  <c:v>5.457195587568045E-2</c:v>
                </c:pt>
                <c:pt idx="33">
                  <c:v>5.462167565142214E-2</c:v>
                </c:pt>
                <c:pt idx="34">
                  <c:v>5.4671411391101023E-2</c:v>
                </c:pt>
                <c:pt idx="35">
                  <c:v>5.4721159257138142E-2</c:v>
                </c:pt>
                <c:pt idx="36">
                  <c:v>5.4770914920797518E-2</c:v>
                </c:pt>
                <c:pt idx="37">
                  <c:v>5.4820673610250378E-2</c:v>
                </c:pt>
                <c:pt idx="38">
                  <c:v>5.4870430166308777E-2</c:v>
                </c:pt>
                <c:pt idx="39">
                  <c:v>5.4920179105112758E-2</c:v>
                </c:pt>
                <c:pt idx="40">
                  <c:v>5.4969914686996899E-2</c:v>
                </c:pt>
                <c:pt idx="41">
                  <c:v>5.5019630990712096E-2</c:v>
                </c:pt>
                <c:pt idx="42">
                  <c:v>5.5069321992139562E-2</c:v>
                </c:pt>
                <c:pt idx="43">
                  <c:v>5.5118981646603803E-2</c:v>
                </c:pt>
                <c:pt idx="44">
                  <c:v>5.5168603973871098E-2</c:v>
                </c:pt>
                <c:pt idx="45">
                  <c:v>5.5218183144911163E-2</c:v>
                </c:pt>
                <c:pt idx="46">
                  <c:v>5.5267713569498104E-2</c:v>
                </c:pt>
                <c:pt idx="47">
                  <c:v>5.531718998373833E-2</c:v>
                </c:pt>
                <c:pt idx="48">
                  <c:v>5.5366607536630551E-2</c:v>
                </c:pt>
                <c:pt idx="49">
                  <c:v>5.5415961874792183E-2</c:v>
                </c:pt>
                <c:pt idx="50">
                  <c:v>5.5465249224522645E-2</c:v>
                </c:pt>
                <c:pt idx="51">
                  <c:v>5.5514466470418473E-2</c:v>
                </c:pt>
                <c:pt idx="52">
                  <c:v>5.556361122980754E-2</c:v>
                </c:pt>
                <c:pt idx="53">
                  <c:v>5.5612681922327399E-2</c:v>
                </c:pt>
                <c:pt idx="54">
                  <c:v>5.5661677834037269E-2</c:v>
                </c:pt>
                <c:pt idx="55">
                  <c:v>5.5710599175522374E-2</c:v>
                </c:pt>
                <c:pt idx="56">
                  <c:v>5.5759447133521899E-2</c:v>
                </c:pt>
                <c:pt idx="57">
                  <c:v>5.5808223915688814E-2</c:v>
                </c:pt>
                <c:pt idx="58">
                  <c:v>5.5856932788167682E-2</c:v>
                </c:pt>
                <c:pt idx="59">
                  <c:v>5.5905578105756443E-2</c:v>
                </c:pt>
                <c:pt idx="60">
                  <c:v>5.5954165334498443E-2</c:v>
                </c:pt>
                <c:pt idx="61">
                  <c:v>5.6002701066629947E-2</c:v>
                </c:pt>
                <c:pt idx="62">
                  <c:v>5.6051193027887011E-2</c:v>
                </c:pt>
                <c:pt idx="63">
                  <c:v>5.6099650077249937E-2</c:v>
                </c:pt>
                <c:pt idx="64">
                  <c:v>5.6148082199277624E-2</c:v>
                </c:pt>
                <c:pt idx="65">
                  <c:v>5.6196500489250567E-2</c:v>
                </c:pt>
                <c:pt idx="66">
                  <c:v>5.6244917131406641E-2</c:v>
                </c:pt>
                <c:pt idx="67">
                  <c:v>5.6293345370610676E-2</c:v>
                </c:pt>
                <c:pt idx="68">
                  <c:v>5.6341799477852506E-2</c:v>
                </c:pt>
                <c:pt idx="69">
                  <c:v>5.6390294710013035E-2</c:v>
                </c:pt>
                <c:pt idx="70">
                  <c:v>5.6438847264377909E-2</c:v>
                </c:pt>
                <c:pt idx="71">
                  <c:v>5.6487474228409773E-2</c:v>
                </c:pt>
                <c:pt idx="72">
                  <c:v>5.6536193525315213E-2</c:v>
                </c:pt>
                <c:pt idx="73">
                  <c:v>5.6585023855959239E-2</c:v>
                </c:pt>
                <c:pt idx="74">
                  <c:v>5.6633984637690191E-2</c:v>
                </c:pt>
                <c:pt idx="75">
                  <c:v>5.6683095940639715E-2</c:v>
                </c:pt>
                <c:pt idx="76">
                  <c:v>5.6732378422057736E-2</c:v>
                </c:pt>
                <c:pt idx="77">
                  <c:v>5.6781853259229638E-2</c:v>
                </c:pt>
                <c:pt idx="78">
                  <c:v>5.6831542081504177E-2</c:v>
                </c:pt>
                <c:pt idx="79">
                  <c:v>5.6881466901935386E-2</c:v>
                </c:pt>
                <c:pt idx="80">
                  <c:v>5.6931650049010109E-2</c:v>
                </c:pt>
                <c:pt idx="81">
                  <c:v>5.6982114098896842E-2</c:v>
                </c:pt>
                <c:pt idx="82">
                  <c:v>5.7032881808610061E-2</c:v>
                </c:pt>
                <c:pt idx="83">
                  <c:v>5.7083976050439057E-2</c:v>
                </c:pt>
                <c:pt idx="84">
                  <c:v>5.7135419747941972E-2</c:v>
                </c:pt>
                <c:pt idx="85">
                  <c:v>5.7187235813754539E-2</c:v>
                </c:pt>
                <c:pt idx="86">
                  <c:v>5.723944708941045E-2</c:v>
                </c:pt>
                <c:pt idx="87">
                  <c:v>5.7292076287316265E-2</c:v>
                </c:pt>
                <c:pt idx="88">
                  <c:v>5.7345145934970365E-2</c:v>
                </c:pt>
                <c:pt idx="89">
                  <c:v>5.739867832146154E-2</c:v>
                </c:pt>
                <c:pt idx="90">
                  <c:v>5.7452695446231584E-2</c:v>
                </c:pt>
                <c:pt idx="91">
                  <c:v>5.7507218970036564E-2</c:v>
                </c:pt>
                <c:pt idx="92">
                  <c:v>5.7562270167994249E-2</c:v>
                </c:pt>
                <c:pt idx="93">
                  <c:v>5.7617869884562904E-2</c:v>
                </c:pt>
                <c:pt idx="94">
                  <c:v>5.7674038490257228E-2</c:v>
                </c:pt>
                <c:pt idx="95">
                  <c:v>5.7730795839873492E-2</c:v>
                </c:pt>
                <c:pt idx="96">
                  <c:v>5.7788161231967602E-2</c:v>
                </c:pt>
                <c:pt idx="97">
                  <c:v>5.7846153369306118E-2</c:v>
                </c:pt>
                <c:pt idx="98">
                  <c:v>5.7904790319994917E-2</c:v>
                </c:pt>
                <c:pt idx="99">
                  <c:v>5.7964089478978804E-2</c:v>
                </c:pt>
                <c:pt idx="100">
                  <c:v>5.8024067529602291E-2</c:v>
                </c:pt>
                <c:pt idx="101">
                  <c:v>5.8084740404925055E-2</c:v>
                </c:pt>
                <c:pt idx="102">
                  <c:v>5.8146123248495205E-2</c:v>
                </c:pt>
                <c:pt idx="103">
                  <c:v>5.8208230374300063E-2</c:v>
                </c:pt>
                <c:pt idx="104">
                  <c:v>5.827107522563757E-2</c:v>
                </c:pt>
                <c:pt idx="105">
                  <c:v>5.8334670332680069E-2</c:v>
                </c:pt>
                <c:pt idx="106">
                  <c:v>5.8399027268538448E-2</c:v>
                </c:pt>
                <c:pt idx="107">
                  <c:v>5.8464156603673913E-2</c:v>
                </c:pt>
                <c:pt idx="108">
                  <c:v>5.8530067858551568E-2</c:v>
                </c:pt>
                <c:pt idx="109">
                  <c:v>5.8596769454479225E-2</c:v>
                </c:pt>
                <c:pt idx="110">
                  <c:v>5.8664268662628527E-2</c:v>
                </c:pt>
                <c:pt idx="111">
                  <c:v>5.8732571551292675E-2</c:v>
                </c:pt>
                <c:pt idx="112">
                  <c:v>5.8801682931493592E-2</c:v>
                </c:pt>
                <c:pt idx="113">
                  <c:v>5.8871606301111989E-2</c:v>
                </c:pt>
                <c:pt idx="114">
                  <c:v>5.8942343787774756E-2</c:v>
                </c:pt>
                <c:pt idx="115">
                  <c:v>5.901389609079525E-2</c:v>
                </c:pt>
                <c:pt idx="116">
                  <c:v>5.9086262422521588E-2</c:v>
                </c:pt>
                <c:pt idx="117">
                  <c:v>5.91594404495061E-2</c:v>
                </c:pt>
                <c:pt idx="118">
                  <c:v>5.9233426233963861E-2</c:v>
                </c:pt>
                <c:pt idx="119">
                  <c:v>7.0774464523533078E-3</c:v>
                </c:pt>
                <c:pt idx="120">
                  <c:v>7.1875227395148556E-3</c:v>
                </c:pt>
                <c:pt idx="121">
                  <c:v>7.297680604619888E-3</c:v>
                </c:pt>
                <c:pt idx="122">
                  <c:v>7.4079226698999558E-3</c:v>
                </c:pt>
                <c:pt idx="123">
                  <c:v>7.5182512263322985E-3</c:v>
                </c:pt>
                <c:pt idx="124">
                  <c:v>7.6286682128218312E-3</c:v>
                </c:pt>
                <c:pt idx="125">
                  <c:v>7.739175195667033E-3</c:v>
                </c:pt>
                <c:pt idx="126">
                  <c:v>7.8497733484624663E-3</c:v>
                </c:pt>
                <c:pt idx="127">
                  <c:v>7.9604634325987026E-3</c:v>
                </c:pt>
                <c:pt idx="128">
                  <c:v>8.0712457785284443E-3</c:v>
                </c:pt>
                <c:pt idx="129">
                  <c:v>8.1821202679733199E-3</c:v>
                </c:pt>
                <c:pt idx="130">
                  <c:v>8.293086317250049E-3</c:v>
                </c:pt>
                <c:pt idx="131">
                  <c:v>8.4041428618975619E-3</c:v>
                </c:pt>
                <c:pt idx="132">
                  <c:v>8.5152883427871903E-3</c:v>
                </c:pt>
                <c:pt idx="133">
                  <c:v>8.6265206938967633E-3</c:v>
                </c:pt>
                <c:pt idx="134">
                  <c:v>8.7378373319264568E-3</c:v>
                </c:pt>
                <c:pt idx="135">
                  <c:v>8.849235147928524E-3</c:v>
                </c:pt>
                <c:pt idx="136">
                  <c:v>8.9607105011158487E-3</c:v>
                </c:pt>
                <c:pt idx="137">
                  <c:v>9.0722592150046747E-3</c:v>
                </c:pt>
                <c:pt idx="138">
                  <c:v>9.1838765760349442E-3</c:v>
                </c:pt>
                <c:pt idx="139">
                  <c:v>9.2955573347982996E-3</c:v>
                </c:pt>
                <c:pt idx="140">
                  <c:v>9.4072957099878337E-3</c:v>
                </c:pt>
                <c:pt idx="141">
                  <c:v>9.5190853951663754E-3</c:v>
                </c:pt>
                <c:pt idx="142">
                  <c:v>9.6309195684305994E-3</c:v>
                </c:pt>
                <c:pt idx="143">
                  <c:v>9.7427909050273719E-3</c:v>
                </c:pt>
                <c:pt idx="144">
                  <c:v>9.8546915929566686E-3</c:v>
                </c:pt>
                <c:pt idx="145">
                  <c:v>9.9666133515715957E-3</c:v>
                </c:pt>
                <c:pt idx="146">
                  <c:v>1.0078547453161685E-2</c:v>
                </c:pt>
                <c:pt idx="147">
                  <c:v>1.0190484747480149E-2</c:v>
                </c:pt>
                <c:pt idx="148">
                  <c:v>1.030241568915017E-2</c:v>
                </c:pt>
                <c:pt idx="149">
                  <c:v>1.0414330367858925E-2</c:v>
                </c:pt>
                <c:pt idx="150">
                  <c:v>1.0526218541222177E-2</c:v>
                </c:pt>
                <c:pt idx="151">
                  <c:v>1.0638069670176017E-2</c:v>
                </c:pt>
                <c:pt idx="152">
                  <c:v>1.0749872956727601E-2</c:v>
                </c:pt>
                <c:pt idx="153">
                  <c:v>1.0861617383871635E-2</c:v>
                </c:pt>
                <c:pt idx="154">
                  <c:v>1.097329175745651E-2</c:v>
                </c:pt>
                <c:pt idx="155">
                  <c:v>1.1084884749761671E-2</c:v>
                </c:pt>
                <c:pt idx="156">
                  <c:v>1.1196384944527626E-2</c:v>
                </c:pt>
                <c:pt idx="157">
                  <c:v>1.1307780883161428E-2</c:v>
                </c:pt>
                <c:pt idx="158">
                  <c:v>1.1419061111824282E-2</c:v>
                </c:pt>
                <c:pt idx="159">
                  <c:v>1.153021422909379E-2</c:v>
                </c:pt>
                <c:pt idx="160">
                  <c:v>1.1641228933881994E-2</c:v>
                </c:pt>
                <c:pt idx="161">
                  <c:v>1.1752094073281543E-2</c:v>
                </c:pt>
                <c:pt idx="162">
                  <c:v>1.1862798690006565E-2</c:v>
                </c:pt>
                <c:pt idx="163">
                  <c:v>1.1973332069091673E-2</c:v>
                </c:pt>
                <c:pt idx="164">
                  <c:v>1.2083683783512897E-2</c:v>
                </c:pt>
                <c:pt idx="165">
                  <c:v>1.2193843738397426E-2</c:v>
                </c:pt>
                <c:pt idx="166">
                  <c:v>1.2303802213495337E-2</c:v>
                </c:pt>
                <c:pt idx="167">
                  <c:v>1.2413549903596333E-2</c:v>
                </c:pt>
                <c:pt idx="168">
                  <c:v>1.2523077956586574E-2</c:v>
                </c:pt>
                <c:pt idx="169">
                  <c:v>1.2632378008856648E-2</c:v>
                </c:pt>
                <c:pt idx="170">
                  <c:v>1.2741442217790059E-2</c:v>
                </c:pt>
                <c:pt idx="171">
                  <c:v>1.285026329108266E-2</c:v>
                </c:pt>
                <c:pt idx="172">
                  <c:v>1.2958834512667484E-2</c:v>
                </c:pt>
                <c:pt idx="173">
                  <c:v>1.3067149765045354E-2</c:v>
                </c:pt>
                <c:pt idx="174">
                  <c:v>1.3175203547849899E-2</c:v>
                </c:pt>
                <c:pt idx="175">
                  <c:v>1.3282990992505871E-2</c:v>
                </c:pt>
                <c:pt idx="176">
                  <c:v>1.3390507872871254E-2</c:v>
                </c:pt>
                <c:pt idx="177">
                  <c:v>1.3497750611786551E-2</c:v>
                </c:pt>
                <c:pt idx="178">
                  <c:v>1.3604716283488855E-2</c:v>
                </c:pt>
                <c:pt idx="179">
                  <c:v>1.3711402611882546E-2</c:v>
                </c:pt>
                <c:pt idx="180">
                  <c:v>1.3817807964693587E-2</c:v>
                </c:pt>
                <c:pt idx="181">
                  <c:v>1.392393134356892E-2</c:v>
                </c:pt>
                <c:pt idx="182">
                  <c:v>1.4029772370217252E-2</c:v>
                </c:pt>
                <c:pt idx="183">
                  <c:v>1.4135331268720323E-2</c:v>
                </c:pt>
                <c:pt idx="184">
                  <c:v>1.4240608844177259E-2</c:v>
                </c:pt>
                <c:pt idx="185">
                  <c:v>1.4345606457874506E-2</c:v>
                </c:pt>
                <c:pt idx="186">
                  <c:v>1.4450325999203879E-2</c:v>
                </c:pt>
                <c:pt idx="187">
                  <c:v>1.4554769854577841E-2</c:v>
                </c:pt>
                <c:pt idx="188">
                  <c:v>1.4658940873616052E-2</c:v>
                </c:pt>
                <c:pt idx="189">
                  <c:v>1.4762842332899108E-2</c:v>
                </c:pt>
                <c:pt idx="190">
                  <c:v>1.4866477897604626E-2</c:v>
                </c:pt>
                <c:pt idx="191">
                  <c:v>1.4969851581356762E-2</c:v>
                </c:pt>
                <c:pt idx="192">
                  <c:v>1.5072967704632938E-2</c:v>
                </c:pt>
                <c:pt idx="193">
                  <c:v>1.5175830852080893E-2</c:v>
                </c:pt>
                <c:pt idx="194">
                  <c:v>1.5278445829104849E-2</c:v>
                </c:pt>
                <c:pt idx="195">
                  <c:v>1.5380817618081702E-2</c:v>
                </c:pt>
                <c:pt idx="196">
                  <c:v>1.5482951334566586E-2</c:v>
                </c:pt>
                <c:pt idx="197">
                  <c:v>1.5584852183842014E-2</c:v>
                </c:pt>
                <c:pt idx="198">
                  <c:v>1.5686525418156107E-2</c:v>
                </c:pt>
                <c:pt idx="199">
                  <c:v>1.5787976294982957E-2</c:v>
                </c:pt>
                <c:pt idx="200">
                  <c:v>1.5889210036622768E-2</c:v>
                </c:pt>
                <c:pt idx="201">
                  <c:v>1.5990231791440494E-2</c:v>
                </c:pt>
                <c:pt idx="202">
                  <c:v>1.6091046597019924E-2</c:v>
                </c:pt>
                <c:pt idx="203">
                  <c:v>1.6191659345485335E-2</c:v>
                </c:pt>
                <c:pt idx="204">
                  <c:v>1.6292074751216159E-2</c:v>
                </c:pt>
                <c:pt idx="205">
                  <c:v>1.6392297321150624E-2</c:v>
                </c:pt>
                <c:pt idx="206">
                  <c:v>1.6492331327843047E-2</c:v>
                </c:pt>
                <c:pt idx="207">
                  <c:v>1.659218078540704E-2</c:v>
                </c:pt>
                <c:pt idx="208">
                  <c:v>1.6691849428443123E-2</c:v>
                </c:pt>
                <c:pt idx="209">
                  <c:v>1.6791340694014383E-2</c:v>
                </c:pt>
                <c:pt idx="210">
                  <c:v>1.6890657706699164E-2</c:v>
                </c:pt>
                <c:pt idx="211">
                  <c:v>1.6989803266714683E-2</c:v>
                </c:pt>
                <c:pt idx="212">
                  <c:v>1.7088779841071169E-2</c:v>
                </c:pt>
                <c:pt idx="213">
                  <c:v>1.7187589557682136E-2</c:v>
                </c:pt>
                <c:pt idx="214">
                  <c:v>1.7286234202324363E-2</c:v>
                </c:pt>
                <c:pt idx="215">
                  <c:v>1.7384715218309987E-2</c:v>
                </c:pt>
                <c:pt idx="216">
                  <c:v>1.7483033708704465E-2</c:v>
                </c:pt>
                <c:pt idx="217">
                  <c:v>1.7581190440897444E-2</c:v>
                </c:pt>
                <c:pt idx="218">
                  <c:v>1.7679185853309732E-2</c:v>
                </c:pt>
                <c:pt idx="219">
                  <c:v>1.7777020063998464E-2</c:v>
                </c:pt>
                <c:pt idx="220">
                  <c:v>1.7874692880904878E-2</c:v>
                </c:pt>
                <c:pt idx="221">
                  <c:v>1.7972203813474422E-2</c:v>
                </c:pt>
                <c:pt idx="222">
                  <c:v>1.8069552085368389E-2</c:v>
                </c:pt>
                <c:pt idx="223">
                  <c:v>1.8166736647978722E-2</c:v>
                </c:pt>
                <c:pt idx="224">
                  <c:v>1.8263756194454948E-2</c:v>
                </c:pt>
                <c:pt idx="225">
                  <c:v>1.8360609173952186E-2</c:v>
                </c:pt>
                <c:pt idx="226">
                  <c:v>1.8457293805814099E-2</c:v>
                </c:pt>
                <c:pt idx="227">
                  <c:v>1.8553808093412932E-2</c:v>
                </c:pt>
                <c:pt idx="228">
                  <c:v>1.8650149837381017E-2</c:v>
                </c:pt>
                <c:pt idx="229">
                  <c:v>1.8746316647983791E-2</c:v>
                </c:pt>
                <c:pt idx="230">
                  <c:v>1.884230595640398E-2</c:v>
                </c:pt>
                <c:pt idx="231">
                  <c:v>1.89381150247292E-2</c:v>
                </c:pt>
                <c:pt idx="232">
                  <c:v>1.9033740954460629E-2</c:v>
                </c:pt>
                <c:pt idx="233">
                  <c:v>1.9129180693389331E-2</c:v>
                </c:pt>
                <c:pt idx="234">
                  <c:v>1.9224431040717107E-2</c:v>
                </c:pt>
                <c:pt idx="235">
                  <c:v>1.9319488650332065E-2</c:v>
                </c:pt>
                <c:pt idx="236">
                  <c:v>1.9414350032183499E-2</c:v>
                </c:pt>
                <c:pt idx="237">
                  <c:v>1.9509011551736264E-2</c:v>
                </c:pt>
                <c:pt idx="238">
                  <c:v>1.9603469427522016E-2</c:v>
                </c:pt>
                <c:pt idx="239">
                  <c:v>1.9697719726841072E-2</c:v>
                </c:pt>
                <c:pt idx="240">
                  <c:v>1.9791758359705935E-2</c:v>
                </c:pt>
                <c:pt idx="241">
                  <c:v>1.9885581071153773E-2</c:v>
                </c:pt>
                <c:pt idx="242">
                  <c:v>1.9979183432090569E-2</c:v>
                </c:pt>
                <c:pt idx="243">
                  <c:v>2.0072560828863335E-2</c:v>
                </c:pt>
                <c:pt idx="244">
                  <c:v>2.0165708451788968E-2</c:v>
                </c:pt>
                <c:pt idx="245">
                  <c:v>2.0258621282897696E-2</c:v>
                </c:pt>
                <c:pt idx="246">
                  <c:v>2.0351294083176184E-2</c:v>
                </c:pt>
                <c:pt idx="247">
                  <c:v>2.0443721379618578E-2</c:v>
                </c:pt>
                <c:pt idx="248">
                  <c:v>2.053589745241444E-2</c:v>
                </c:pt>
                <c:pt idx="249">
                  <c:v>2.0627816322618599E-2</c:v>
                </c:pt>
                <c:pt idx="250">
                  <c:v>2.0719471740660078E-2</c:v>
                </c:pt>
                <c:pt idx="251">
                  <c:v>2.0810857176055481E-2</c:v>
                </c:pt>
                <c:pt idx="252">
                  <c:v>2.090196580869522E-2</c:v>
                </c:pt>
                <c:pt idx="253">
                  <c:v>2.0992790522069985E-2</c:v>
                </c:pt>
                <c:pt idx="254">
                  <c:v>2.1083323898798505E-2</c:v>
                </c:pt>
                <c:pt idx="255">
                  <c:v>2.1173558218806874E-2</c:v>
                </c:pt>
                <c:pt idx="256">
                  <c:v>2.1263485460494013E-2</c:v>
                </c:pt>
                <c:pt idx="257">
                  <c:v>2.1353097305197598E-2</c:v>
                </c:pt>
                <c:pt idx="258">
                  <c:v>2.1442385145249408E-2</c:v>
                </c:pt>
                <c:pt idx="259">
                  <c:v>2.153134009588014E-2</c:v>
                </c:pt>
                <c:pt idx="260">
                  <c:v>2.1619953011199691E-2</c:v>
                </c:pt>
                <c:pt idx="261">
                  <c:v>2.170821450444186E-2</c:v>
                </c:pt>
                <c:pt idx="262">
                  <c:v>2.1796114972620944E-2</c:v>
                </c:pt>
                <c:pt idx="263">
                  <c:v>2.1883644625703767E-2</c:v>
                </c:pt>
                <c:pt idx="264">
                  <c:v>2.197079352035379E-2</c:v>
                </c:pt>
                <c:pt idx="265">
                  <c:v>2.2057551598253979E-2</c:v>
                </c:pt>
                <c:pt idx="266">
                  <c:v>2.2143908728965073E-2</c:v>
                </c:pt>
                <c:pt idx="267">
                  <c:v>2.2229854757222313E-2</c:v>
                </c:pt>
                <c:pt idx="268">
                  <c:v>2.2315379554521418E-2</c:v>
                </c:pt>
                <c:pt idx="269">
                  <c:v>2.2400473074790827E-2</c:v>
                </c:pt>
                <c:pt idx="270">
                  <c:v>2.2485125413894153E-2</c:v>
                </c:pt>
                <c:pt idx="271">
                  <c:v>2.2569326872655369E-2</c:v>
                </c:pt>
                <c:pt idx="272">
                  <c:v>2.2653068023047968E-2</c:v>
                </c:pt>
                <c:pt idx="273">
                  <c:v>2.2736339777141776E-2</c:v>
                </c:pt>
                <c:pt idx="274">
                  <c:v>2.2819133458355186E-2</c:v>
                </c:pt>
                <c:pt idx="275">
                  <c:v>2.2901440874517912E-2</c:v>
                </c:pt>
                <c:pt idx="276">
                  <c:v>2.2983254392211327E-2</c:v>
                </c:pt>
                <c:pt idx="277">
                  <c:v>2.3064567011818461E-2</c:v>
                </c:pt>
                <c:pt idx="278">
                  <c:v>2.3145372442686496E-2</c:v>
                </c:pt>
                <c:pt idx="279">
                  <c:v>2.3225665177779759E-2</c:v>
                </c:pt>
                <c:pt idx="280">
                  <c:v>2.3305440567182041E-2</c:v>
                </c:pt>
                <c:pt idx="281">
                  <c:v>2.3384694889794236E-2</c:v>
                </c:pt>
                <c:pt idx="282">
                  <c:v>2.3463425422565139E-2</c:v>
                </c:pt>
                <c:pt idx="283">
                  <c:v>2.3541630506593275E-2</c:v>
                </c:pt>
                <c:pt idx="284">
                  <c:v>2.3619309609442158E-2</c:v>
                </c:pt>
                <c:pt idx="285">
                  <c:v>2.3696463383023458E-2</c:v>
                </c:pt>
                <c:pt idx="286">
                  <c:v>2.3773093716421289E-2</c:v>
                </c:pt>
                <c:pt idx="287">
                  <c:v>2.3849203783054818E-2</c:v>
                </c:pt>
                <c:pt idx="288">
                  <c:v>2.3924798081608009E-2</c:v>
                </c:pt>
                <c:pt idx="289">
                  <c:v>2.399988247019242E-2</c:v>
                </c:pt>
                <c:pt idx="290">
                  <c:v>2.4074464193251557E-2</c:v>
                </c:pt>
                <c:pt idx="291">
                  <c:v>2.4148551900764589E-2</c:v>
                </c:pt>
                <c:pt idx="292">
                  <c:v>2.4222155659360249E-2</c:v>
                </c:pt>
                <c:pt idx="293">
                  <c:v>2.4295286955010865E-2</c:v>
                </c:pt>
                <c:pt idx="294">
                  <c:v>2.4367958687038931E-2</c:v>
                </c:pt>
                <c:pt idx="295">
                  <c:v>2.4440185153235108E-2</c:v>
                </c:pt>
                <c:pt idx="296">
                  <c:v>2.4511982025956502E-2</c:v>
                </c:pt>
                <c:pt idx="297">
                  <c:v>2.4583366319145962E-2</c:v>
                </c:pt>
                <c:pt idx="298">
                  <c:v>2.46543563462873E-2</c:v>
                </c:pt>
                <c:pt idx="299">
                  <c:v>2.4724971669386923E-2</c:v>
                </c:pt>
                <c:pt idx="300">
                  <c:v>2.4795233039147643E-2</c:v>
                </c:pt>
                <c:pt idx="301">
                  <c:v>2.4865162326576665E-2</c:v>
                </c:pt>
                <c:pt idx="302">
                  <c:v>2.4934782446343822E-2</c:v>
                </c:pt>
                <c:pt idx="303">
                  <c:v>2.5004117272279837E-2</c:v>
                </c:pt>
                <c:pt idx="304">
                  <c:v>2.5073191545474618E-2</c:v>
                </c:pt>
                <c:pt idx="305">
                  <c:v>2.5142030775503515E-2</c:v>
                </c:pt>
                <c:pt idx="306">
                  <c:v>2.5210661135373499E-2</c:v>
                </c:pt>
                <c:pt idx="307">
                  <c:v>2.5279109350840882E-2</c:v>
                </c:pt>
                <c:pt idx="308">
                  <c:v>2.5347402584806673E-2</c:v>
                </c:pt>
                <c:pt idx="309">
                  <c:v>2.5415568317545378E-2</c:v>
                </c:pt>
                <c:pt idx="310">
                  <c:v>2.548363422356555E-2</c:v>
                </c:pt>
                <c:pt idx="311">
                  <c:v>2.5551628045937809E-2</c:v>
                </c:pt>
                <c:pt idx="312">
                  <c:v>2.5619577468955268E-2</c:v>
                </c:pt>
                <c:pt idx="313">
                  <c:v>2.5687509990014127E-2</c:v>
                </c:pt>
                <c:pt idx="314">
                  <c:v>2.575545279161744E-2</c:v>
                </c:pt>
                <c:pt idx="315">
                  <c:v>2.5823432614411904E-2</c:v>
                </c:pt>
                <c:pt idx="316">
                  <c:v>2.5891475632167715E-2</c:v>
                </c:pt>
                <c:pt idx="317">
                  <c:v>2.5959607329602535E-2</c:v>
                </c:pt>
                <c:pt idx="318">
                  <c:v>2.6027852383934947E-2</c:v>
                </c:pt>
                <c:pt idx="319">
                  <c:v>2.6096234551028209E-2</c:v>
                </c:pt>
                <c:pt idx="320">
                  <c:v>2.6164776556954008E-2</c:v>
                </c:pt>
                <c:pt idx="321">
                  <c:v>2.6233499995766591E-2</c:v>
                </c:pt>
                <c:pt idx="322">
                  <c:v>2.6302425234231729E-2</c:v>
                </c:pt>
                <c:pt idx="323">
                  <c:v>2.6371571324202335E-2</c:v>
                </c:pt>
                <c:pt idx="324">
                  <c:v>2.6440955923273484E-2</c:v>
                </c:pt>
                <c:pt idx="325">
                  <c:v>2.6510595224285251E-2</c:v>
                </c:pt>
                <c:pt idx="326">
                  <c:v>2.6580503894171624E-2</c:v>
                </c:pt>
                <c:pt idx="327">
                  <c:v>2.6650695022580041E-2</c:v>
                </c:pt>
                <c:pt idx="328">
                  <c:v>2.6721180080607417E-2</c:v>
                </c:pt>
                <c:pt idx="329">
                  <c:v>2.679196888991774E-2</c:v>
                </c:pt>
                <c:pt idx="330">
                  <c:v>2.6863069602422376E-2</c:v>
                </c:pt>
                <c:pt idx="331">
                  <c:v>2.6934488690619127E-2</c:v>
                </c:pt>
                <c:pt idx="332">
                  <c:v>2.7006230948599663E-2</c:v>
                </c:pt>
                <c:pt idx="333">
                  <c:v>2.7078299503649015E-2</c:v>
                </c:pt>
                <c:pt idx="334">
                  <c:v>2.7150695838274945E-2</c:v>
                </c:pt>
                <c:pt idx="335">
                  <c:v>2.7223419822421255E-2</c:v>
                </c:pt>
                <c:pt idx="336">
                  <c:v>2.7296469755537144E-2</c:v>
                </c:pt>
                <c:pt idx="337">
                  <c:v>2.7369842418096067E-2</c:v>
                </c:pt>
                <c:pt idx="338">
                  <c:v>2.7443533132082421E-2</c:v>
                </c:pt>
                <c:pt idx="339">
                  <c:v>2.751753582989408E-2</c:v>
                </c:pt>
                <c:pt idx="340">
                  <c:v>2.7591843131042949E-2</c:v>
                </c:pt>
                <c:pt idx="341">
                  <c:v>2.7666446425976189E-2</c:v>
                </c:pt>
                <c:pt idx="342">
                  <c:v>2.7741335966287025E-2</c:v>
                </c:pt>
                <c:pt idx="343">
                  <c:v>2.7816500960537151E-2</c:v>
                </c:pt>
                <c:pt idx="344">
                  <c:v>2.7891929674873039E-2</c:v>
                </c:pt>
                <c:pt idx="345">
                  <c:v>2.7967609537586074E-2</c:v>
                </c:pt>
                <c:pt idx="346">
                  <c:v>2.804352724674191E-2</c:v>
                </c:pt>
                <c:pt idx="347">
                  <c:v>2.8119668879987795E-2</c:v>
                </c:pt>
                <c:pt idx="348">
                  <c:v>2.819602000563811E-2</c:v>
                </c:pt>
                <c:pt idx="349">
                  <c:v>2.8272565794137765E-2</c:v>
                </c:pt>
                <c:pt idx="350">
                  <c:v>2.8349291129011113E-2</c:v>
                </c:pt>
                <c:pt idx="351">
                  <c:v>2.8426180716419166E-2</c:v>
                </c:pt>
                <c:pt idx="352">
                  <c:v>2.8503219192471875E-2</c:v>
                </c:pt>
                <c:pt idx="353">
                  <c:v>2.8580391227472472E-2</c:v>
                </c:pt>
                <c:pt idx="354">
                  <c:v>2.8657681626309994E-2</c:v>
                </c:pt>
                <c:pt idx="355">
                  <c:v>2.8735075424259977E-2</c:v>
                </c:pt>
                <c:pt idx="356">
                  <c:v>2.8812557977505395E-2</c:v>
                </c:pt>
                <c:pt idx="357">
                  <c:v>2.8890115047746627E-2</c:v>
                </c:pt>
                <c:pt idx="358">
                  <c:v>2.8967732880331509E-2</c:v>
                </c:pt>
                <c:pt idx="359">
                  <c:v>2.9045398275403551E-2</c:v>
                </c:pt>
                <c:pt idx="360">
                  <c:v>2.9123098651637213E-2</c:v>
                </c:pt>
                <c:pt idx="361">
                  <c:v>2.9200822102203105E-2</c:v>
                </c:pt>
                <c:pt idx="362">
                  <c:v>2.9278557442682412E-2</c:v>
                </c:pt>
                <c:pt idx="363">
                  <c:v>2.9356294250728401E-2</c:v>
                </c:pt>
                <c:pt idx="364">
                  <c:v>2.9434022897351749E-2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4.6942558586584214E-2</c:v>
                </c:pt>
                <c:pt idx="1">
                  <c:v>4.6413741068020105E-2</c:v>
                </c:pt>
                <c:pt idx="2">
                  <c:v>4.5842058107131628E-2</c:v>
                </c:pt>
                <c:pt idx="3">
                  <c:v>4.5231005018972578E-2</c:v>
                </c:pt>
                <c:pt idx="4">
                  <c:v>4.4583956068069024E-2</c:v>
                </c:pt>
                <c:pt idx="5">
                  <c:v>4.390414173909829E-2</c:v>
                </c:pt>
                <c:pt idx="6">
                  <c:v>4.31946305773502E-2</c:v>
                </c:pt>
                <c:pt idx="7">
                  <c:v>4.2458315143683235E-2</c:v>
                </c:pt>
                <c:pt idx="8">
                  <c:v>4.1688861101021726E-2</c:v>
                </c:pt>
                <c:pt idx="9">
                  <c:v>4.0908066689051642E-2</c:v>
                </c:pt>
                <c:pt idx="10">
                  <c:v>4.0138653368576374E-2</c:v>
                </c:pt>
                <c:pt idx="11">
                  <c:v>3.9383018300951138E-2</c:v>
                </c:pt>
                <c:pt idx="12">
                  <c:v>3.864330538905273E-2</c:v>
                </c:pt>
                <c:pt idx="13">
                  <c:v>3.7921414803122312E-2</c:v>
                </c:pt>
                <c:pt idx="14">
                  <c:v>3.7219015077419801E-2</c:v>
                </c:pt>
                <c:pt idx="15">
                  <c:v>3.6567167534054285E-2</c:v>
                </c:pt>
                <c:pt idx="16">
                  <c:v>3.5976451784410779E-2</c:v>
                </c:pt>
                <c:pt idx="17">
                  <c:v>3.5446703580308804E-2</c:v>
                </c:pt>
                <c:pt idx="18">
                  <c:v>3.4977619610985833E-2</c:v>
                </c:pt>
                <c:pt idx="19">
                  <c:v>3.4568981261034137E-2</c:v>
                </c:pt>
                <c:pt idx="20">
                  <c:v>3.422056915526598E-2</c:v>
                </c:pt>
                <c:pt idx="21">
                  <c:v>3.3931957683465498E-2</c:v>
                </c:pt>
                <c:pt idx="22">
                  <c:v>3.3697629879079906E-2</c:v>
                </c:pt>
                <c:pt idx="23">
                  <c:v>3.3526994706973852E-2</c:v>
                </c:pt>
                <c:pt idx="24">
                  <c:v>3.3395616727310583E-2</c:v>
                </c:pt>
                <c:pt idx="25">
                  <c:v>3.3303152735837463E-2</c:v>
                </c:pt>
                <c:pt idx="26">
                  <c:v>3.3249227882473892E-2</c:v>
                </c:pt>
                <c:pt idx="27">
                  <c:v>3.3233446707965436E-2</c:v>
                </c:pt>
                <c:pt idx="28">
                  <c:v>3.3255403381134051E-2</c:v>
                </c:pt>
                <c:pt idx="29">
                  <c:v>3.3290865555810581E-2</c:v>
                </c:pt>
                <c:pt idx="30">
                  <c:v>3.3314828310358161E-2</c:v>
                </c:pt>
                <c:pt idx="31">
                  <c:v>3.332839051098329E-2</c:v>
                </c:pt>
                <c:pt idx="32">
                  <c:v>3.3332610088327434E-2</c:v>
                </c:pt>
                <c:pt idx="33">
                  <c:v>3.332850398489922E-2</c:v>
                </c:pt>
                <c:pt idx="34">
                  <c:v>3.3317048568006845E-2</c:v>
                </c:pt>
                <c:pt idx="35">
                  <c:v>3.3299180450146126E-2</c:v>
                </c:pt>
                <c:pt idx="36">
                  <c:v>3.3273907729730968E-2</c:v>
                </c:pt>
                <c:pt idx="37">
                  <c:v>3.3179121621428782E-2</c:v>
                </c:pt>
                <c:pt idx="38">
                  <c:v>3.3003979924305663E-2</c:v>
                </c:pt>
                <c:pt idx="39">
                  <c:v>3.2750837441980797E-2</c:v>
                </c:pt>
                <c:pt idx="40">
                  <c:v>3.2421962113707091E-2</c:v>
                </c:pt>
                <c:pt idx="41">
                  <c:v>3.2019536436853055E-2</c:v>
                </c:pt>
                <c:pt idx="42">
                  <c:v>3.1545658967906329E-2</c:v>
                </c:pt>
                <c:pt idx="43">
                  <c:v>3.0956777686222351E-2</c:v>
                </c:pt>
                <c:pt idx="44">
                  <c:v>3.0276634473341758E-2</c:v>
                </c:pt>
                <c:pt idx="45">
                  <c:v>2.9507676324750515E-2</c:v>
                </c:pt>
                <c:pt idx="46">
                  <c:v>2.8652246454514262E-2</c:v>
                </c:pt>
                <c:pt idx="47">
                  <c:v>2.7712586064508205E-2</c:v>
                </c:pt>
                <c:pt idx="48">
                  <c:v>2.6690836038141638E-2</c:v>
                </c:pt>
                <c:pt idx="49">
                  <c:v>2.5589038540942809E-2</c:v>
                </c:pt>
                <c:pt idx="50">
                  <c:v>2.4408982820723561E-2</c:v>
                </c:pt>
                <c:pt idx="51">
                  <c:v>2.3160743803984127E-2</c:v>
                </c:pt>
                <c:pt idx="52">
                  <c:v>2.1899093115294269E-2</c:v>
                </c:pt>
                <c:pt idx="53">
                  <c:v>2.0624132380759483E-2</c:v>
                </c:pt>
                <c:pt idx="54">
                  <c:v>1.9336076636260736E-2</c:v>
                </c:pt>
                <c:pt idx="55">
                  <c:v>1.8035133282026095E-2</c:v>
                </c:pt>
                <c:pt idx="56">
                  <c:v>1.6721501923956276E-2</c:v>
                </c:pt>
                <c:pt idx="57">
                  <c:v>1.5442943004263398E-2</c:v>
                </c:pt>
                <c:pt idx="58">
                  <c:v>1.4238960646138821E-2</c:v>
                </c:pt>
                <c:pt idx="59">
                  <c:v>1.3107803187447272E-2</c:v>
                </c:pt>
                <c:pt idx="60">
                  <c:v>1.2047775956394583E-2</c:v>
                </c:pt>
                <c:pt idx="61">
                  <c:v>1.1057238431949324E-2</c:v>
                </c:pt>
                <c:pt idx="62">
                  <c:v>1.0134601600493887E-2</c:v>
                </c:pt>
                <c:pt idx="63">
                  <c:v>9.2783255023947096E-3</c:v>
                </c:pt>
                <c:pt idx="64">
                  <c:v>8.486706438777877E-3</c:v>
                </c:pt>
                <c:pt idx="65">
                  <c:v>7.7949077104994312E-3</c:v>
                </c:pt>
                <c:pt idx="66">
                  <c:v>7.1935375153729117E-3</c:v>
                </c:pt>
                <c:pt idx="67">
                  <c:v>6.6807931406870236E-3</c:v>
                </c:pt>
                <c:pt idx="68">
                  <c:v>6.2548964141540637E-3</c:v>
                </c:pt>
                <c:pt idx="69">
                  <c:v>5.9141031576487556E-3</c:v>
                </c:pt>
                <c:pt idx="70">
                  <c:v>5.6567119702277324E-3</c:v>
                </c:pt>
                <c:pt idx="71">
                  <c:v>5.4841719631145008E-3</c:v>
                </c:pt>
                <c:pt idx="72">
                  <c:v>5.3521165425773915E-3</c:v>
                </c:pt>
                <c:pt idx="73">
                  <c:v>5.2598240197193943E-3</c:v>
                </c:pt>
                <c:pt idx="74">
                  <c:v>5.2066067334456748E-3</c:v>
                </c:pt>
                <c:pt idx="75">
                  <c:v>5.1918143818568052E-3</c:v>
                </c:pt>
                <c:pt idx="76">
                  <c:v>5.2148371627416118E-3</c:v>
                </c:pt>
                <c:pt idx="77">
                  <c:v>5.27510874718149E-3</c:v>
                </c:pt>
                <c:pt idx="78">
                  <c:v>5.3717756751824643E-3</c:v>
                </c:pt>
                <c:pt idx="79">
                  <c:v>5.4923766943846281E-3</c:v>
                </c:pt>
                <c:pt idx="80">
                  <c:v>5.6032916234643815E-3</c:v>
                </c:pt>
                <c:pt idx="81">
                  <c:v>5.7048516750916713E-3</c:v>
                </c:pt>
                <c:pt idx="82">
                  <c:v>5.7973882965159278E-3</c:v>
                </c:pt>
                <c:pt idx="83">
                  <c:v>5.8812318534862164E-3</c:v>
                </c:pt>
                <c:pt idx="84">
                  <c:v>5.956710472608138E-3</c:v>
                </c:pt>
                <c:pt idx="85">
                  <c:v>6.0179012837726096E-3</c:v>
                </c:pt>
                <c:pt idx="86">
                  <c:v>6.062185614668399E-3</c:v>
                </c:pt>
                <c:pt idx="87">
                  <c:v>6.0899380635071219E-3</c:v>
                </c:pt>
                <c:pt idx="88">
                  <c:v>6.1015109287080914E-3</c:v>
                </c:pt>
                <c:pt idx="89">
                  <c:v>6.0972323318552726E-3</c:v>
                </c:pt>
                <c:pt idx="90">
                  <c:v>6.0774044569275208E-3</c:v>
                </c:pt>
                <c:pt idx="91">
                  <c:v>6.0423018851633262E-3</c:v>
                </c:pt>
                <c:pt idx="92">
                  <c:v>5.9920389300300936E-3</c:v>
                </c:pt>
                <c:pt idx="93">
                  <c:v>5.9223331634027957E-3</c:v>
                </c:pt>
                <c:pt idx="94">
                  <c:v>5.8441323236509378E-3</c:v>
                </c:pt>
                <c:pt idx="95">
                  <c:v>5.7573991795686489E-3</c:v>
                </c:pt>
                <c:pt idx="96">
                  <c:v>5.662085871788335E-3</c:v>
                </c:pt>
                <c:pt idx="97">
                  <c:v>5.5581343842335705E-3</c:v>
                </c:pt>
                <c:pt idx="98">
                  <c:v>5.445476995823607E-3</c:v>
                </c:pt>
                <c:pt idx="99">
                  <c:v>5.3265059626409926E-3</c:v>
                </c:pt>
                <c:pt idx="100">
                  <c:v>5.2071845316005875E-3</c:v>
                </c:pt>
                <c:pt idx="101">
                  <c:v>5.0874001715478078E-3</c:v>
                </c:pt>
                <c:pt idx="102">
                  <c:v>4.9670418433267957E-3</c:v>
                </c:pt>
                <c:pt idx="103">
                  <c:v>4.8459998218328467E-3</c:v>
                </c:pt>
                <c:pt idx="104">
                  <c:v>4.7241655387795737E-3</c:v>
                </c:pt>
                <c:pt idx="105">
                  <c:v>4.6014314471121099E-3</c:v>
                </c:pt>
                <c:pt idx="106">
                  <c:v>4.4778091111401215E-3</c:v>
                </c:pt>
                <c:pt idx="107">
                  <c:v>4.3607464629370719E-3</c:v>
                </c:pt>
                <c:pt idx="108">
                  <c:v>4.2543592844143645E-3</c:v>
                </c:pt>
                <c:pt idx="109">
                  <c:v>4.1585376015800717E-3</c:v>
                </c:pt>
                <c:pt idx="110">
                  <c:v>4.0731935961229185E-3</c:v>
                </c:pt>
                <c:pt idx="111">
                  <c:v>3.9982488478701667E-3</c:v>
                </c:pt>
                <c:pt idx="112">
                  <c:v>3.9336226937064346E-3</c:v>
                </c:pt>
                <c:pt idx="113">
                  <c:v>3.8762625958892872E-3</c:v>
                </c:pt>
                <c:pt idx="114">
                  <c:v>3.8237349089849876E-3</c:v>
                </c:pt>
                <c:pt idx="115">
                  <c:v>3.7760139069798449E-3</c:v>
                </c:pt>
                <c:pt idx="116">
                  <c:v>3.7330792904681212E-3</c:v>
                </c:pt>
                <c:pt idx="117">
                  <c:v>3.6949160117556467E-3</c:v>
                </c:pt>
                <c:pt idx="118">
                  <c:v>3.6615141009222352E-3</c:v>
                </c:pt>
                <c:pt idx="119">
                  <c:v>3.6328684932065876E-3</c:v>
                </c:pt>
                <c:pt idx="120">
                  <c:v>3.6090391283194532E-3</c:v>
                </c:pt>
                <c:pt idx="121">
                  <c:v>3.5841137835047714E-3</c:v>
                </c:pt>
                <c:pt idx="122">
                  <c:v>3.5506209726350537E-3</c:v>
                </c:pt>
                <c:pt idx="123">
                  <c:v>3.5085319156970586E-3</c:v>
                </c:pt>
                <c:pt idx="124">
                  <c:v>3.4578135644973561E-3</c:v>
                </c:pt>
                <c:pt idx="125">
                  <c:v>3.3984291502807537E-3</c:v>
                </c:pt>
                <c:pt idx="126">
                  <c:v>3.3303387440684865E-3</c:v>
                </c:pt>
                <c:pt idx="127">
                  <c:v>3.2526846793212824E-3</c:v>
                </c:pt>
                <c:pt idx="128">
                  <c:v>3.1682746800682101E-3</c:v>
                </c:pt>
                <c:pt idx="129">
                  <c:v>3.0770067704248079E-3</c:v>
                </c:pt>
                <c:pt idx="130">
                  <c:v>2.9787757318714514E-3</c:v>
                </c:pt>
                <c:pt idx="131">
                  <c:v>2.8734735451014094E-3</c:v>
                </c:pt>
                <c:pt idx="132">
                  <c:v>2.7609898589530135E-3</c:v>
                </c:pt>
                <c:pt idx="133">
                  <c:v>2.6412124877579508E-3</c:v>
                </c:pt>
                <c:pt idx="134">
                  <c:v>2.5140500854719775E-3</c:v>
                </c:pt>
                <c:pt idx="135">
                  <c:v>2.3816093116528297E-3</c:v>
                </c:pt>
                <c:pt idx="136">
                  <c:v>2.2498089859391262E-3</c:v>
                </c:pt>
                <c:pt idx="137">
                  <c:v>2.1185332605266507E-3</c:v>
                </c:pt>
                <c:pt idx="138">
                  <c:v>1.987664639732841E-3</c:v>
                </c:pt>
                <c:pt idx="139">
                  <c:v>1.8570840713895793E-3</c:v>
                </c:pt>
                <c:pt idx="140">
                  <c:v>1.7266710574773277E-3</c:v>
                </c:pt>
                <c:pt idx="141">
                  <c:v>1.6014566808929859E-3</c:v>
                </c:pt>
                <c:pt idx="142">
                  <c:v>1.4824340499036762E-3</c:v>
                </c:pt>
                <c:pt idx="143">
                  <c:v>1.3696160238493888E-3</c:v>
                </c:pt>
                <c:pt idx="144">
                  <c:v>1.2630287691384522E-3</c:v>
                </c:pt>
                <c:pt idx="145">
                  <c:v>1.1627013009777791E-3</c:v>
                </c:pt>
                <c:pt idx="146">
                  <c:v>1.0686654118150069E-3</c:v>
                </c:pt>
                <c:pt idx="147">
                  <c:v>9.8095559077030349E-4</c:v>
                </c:pt>
                <c:pt idx="148">
                  <c:v>8.9960893445095768E-4</c:v>
                </c:pt>
                <c:pt idx="149">
                  <c:v>8.2795662571061236E-4</c:v>
                </c:pt>
                <c:pt idx="150">
                  <c:v>7.6404094050937991E-4</c:v>
                </c:pt>
                <c:pt idx="151">
                  <c:v>7.0801038871080347E-4</c:v>
                </c:pt>
                <c:pt idx="152">
                  <c:v>6.6001802361072292E-4</c:v>
                </c:pt>
                <c:pt idx="153">
                  <c:v>6.2022108073445559E-4</c:v>
                </c:pt>
                <c:pt idx="154">
                  <c:v>5.8878059993603944E-4</c:v>
                </c:pt>
                <c:pt idx="155">
                  <c:v>5.6578062349421513E-4</c:v>
                </c:pt>
                <c:pt idx="156">
                  <c:v>5.4577378317735039E-4</c:v>
                </c:pt>
                <c:pt idx="157">
                  <c:v>5.2883106322535985E-4</c:v>
                </c:pt>
                <c:pt idx="158">
                  <c:v>5.1502483858243179E-4</c:v>
                </c:pt>
                <c:pt idx="159">
                  <c:v>5.0442869814423797E-4</c:v>
                </c:pt>
                <c:pt idx="160">
                  <c:v>4.9711726696985848E-4</c:v>
                </c:pt>
                <c:pt idx="161">
                  <c:v>4.9316602925063313E-4</c:v>
                </c:pt>
                <c:pt idx="162">
                  <c:v>4.9265115407973528E-4</c:v>
                </c:pt>
                <c:pt idx="163">
                  <c:v>4.9566806620934844E-4</c:v>
                </c:pt>
                <c:pt idx="164">
                  <c:v>4.9861776492454767E-4</c:v>
                </c:pt>
                <c:pt idx="165">
                  <c:v>5.0149917088884494E-4</c:v>
                </c:pt>
                <c:pt idx="166">
                  <c:v>5.0431132787871649E-4</c:v>
                </c:pt>
                <c:pt idx="167">
                  <c:v>5.0705340909040319E-4</c:v>
                </c:pt>
                <c:pt idx="168">
                  <c:v>5.097247226285756E-4</c:v>
                </c:pt>
                <c:pt idx="169">
                  <c:v>5.1234493859141723E-4</c:v>
                </c:pt>
                <c:pt idx="170">
                  <c:v>5.1499661388691492E-4</c:v>
                </c:pt>
                <c:pt idx="171">
                  <c:v>5.1768057318581648E-4</c:v>
                </c:pt>
                <c:pt idx="172">
                  <c:v>5.2039778540471341E-4</c:v>
                </c:pt>
                <c:pt idx="173">
                  <c:v>5.2314401576618471E-4</c:v>
                </c:pt>
                <c:pt idx="174">
                  <c:v>5.2591477832214734E-4</c:v>
                </c:pt>
                <c:pt idx="175">
                  <c:v>5.2871087596459648E-4</c:v>
                </c:pt>
                <c:pt idx="176">
                  <c:v>5.3153940682121575E-4</c:v>
                </c:pt>
                <c:pt idx="177">
                  <c:v>5.3432281147891298E-4</c:v>
                </c:pt>
                <c:pt idx="178">
                  <c:v>5.3703688758656931E-4</c:v>
                </c:pt>
                <c:pt idx="179">
                  <c:v>5.3967918091289062E-4</c:v>
                </c:pt>
                <c:pt idx="180">
                  <c:v>5.4224730269048968E-4</c:v>
                </c:pt>
                <c:pt idx="181">
                  <c:v>5.4473892705955479E-4</c:v>
                </c:pt>
                <c:pt idx="182">
                  <c:v>5.4715178795583671E-4</c:v>
                </c:pt>
                <c:pt idx="183">
                  <c:v>5.5364584854690642E-4</c:v>
                </c:pt>
                <c:pt idx="184">
                  <c:v>5.6426658072078213E-4</c:v>
                </c:pt>
                <c:pt idx="185">
                  <c:v>5.7908083353144313E-4</c:v>
                </c:pt>
                <c:pt idx="186">
                  <c:v>5.981535558830138E-4</c:v>
                </c:pt>
                <c:pt idx="187">
                  <c:v>6.2154760953488499E-4</c:v>
                </c:pt>
                <c:pt idx="188">
                  <c:v>6.4932358886440108E-4</c:v>
                </c:pt>
                <c:pt idx="189">
                  <c:v>6.8153964635441345E-4</c:v>
                </c:pt>
                <c:pt idx="190">
                  <c:v>7.1826399780628445E-4</c:v>
                </c:pt>
                <c:pt idx="191">
                  <c:v>7.6629481152685748E-4</c:v>
                </c:pt>
                <c:pt idx="192">
                  <c:v>8.2585744422348486E-4</c:v>
                </c:pt>
                <c:pt idx="193">
                  <c:v>8.9709008556406291E-4</c:v>
                </c:pt>
                <c:pt idx="194">
                  <c:v>9.8012832699558364E-4</c:v>
                </c:pt>
                <c:pt idx="195">
                  <c:v>1.0751052833410538E-3</c:v>
                </c:pt>
                <c:pt idx="196">
                  <c:v>1.1821517204090514E-3</c:v>
                </c:pt>
                <c:pt idx="197">
                  <c:v>1.3029965144928408E-3</c:v>
                </c:pt>
                <c:pt idx="198">
                  <c:v>1.4332574724183606E-3</c:v>
                </c:pt>
                <c:pt idx="199">
                  <c:v>1.5729807057574673E-3</c:v>
                </c:pt>
                <c:pt idx="200">
                  <c:v>1.7222131192631677E-3</c:v>
                </c:pt>
                <c:pt idx="201">
                  <c:v>1.8810024590004894E-3</c:v>
                </c:pt>
                <c:pt idx="202">
                  <c:v>2.0493973413914768E-3</c:v>
                </c:pt>
                <c:pt idx="203">
                  <c:v>2.227447262486667E-3</c:v>
                </c:pt>
                <c:pt idx="204">
                  <c:v>2.4152198699479688E-3</c:v>
                </c:pt>
                <c:pt idx="205">
                  <c:v>2.6105344800315222E-3</c:v>
                </c:pt>
                <c:pt idx="206">
                  <c:v>2.806291276854877E-3</c:v>
                </c:pt>
                <c:pt idx="207">
                  <c:v>3.0024344200373738E-3</c:v>
                </c:pt>
                <c:pt idx="208">
                  <c:v>3.1989101979056469E-3</c:v>
                </c:pt>
                <c:pt idx="209">
                  <c:v>3.3956668361845421E-3</c:v>
                </c:pt>
                <c:pt idx="210">
                  <c:v>3.592654301808313E-3</c:v>
                </c:pt>
                <c:pt idx="211">
                  <c:v>3.7830784528438996E-3</c:v>
                </c:pt>
                <c:pt idx="212">
                  <c:v>3.9653311115125595E-3</c:v>
                </c:pt>
                <c:pt idx="213">
                  <c:v>4.13933761073696E-3</c:v>
                </c:pt>
                <c:pt idx="214">
                  <c:v>4.3050217975066189E-3</c:v>
                </c:pt>
                <c:pt idx="215">
                  <c:v>4.4623060260490857E-3</c:v>
                </c:pt>
                <c:pt idx="216">
                  <c:v>4.611111171445849E-3</c:v>
                </c:pt>
                <c:pt idx="217">
                  <c:v>4.7513566642095753E-3</c:v>
                </c:pt>
                <c:pt idx="218">
                  <c:v>4.882922590619336E-3</c:v>
                </c:pt>
                <c:pt idx="219">
                  <c:v>5.0034435639804481E-3</c:v>
                </c:pt>
                <c:pt idx="220">
                  <c:v>5.1153180987087024E-3</c:v>
                </c:pt>
                <c:pt idx="221">
                  <c:v>5.2185351539002891E-3</c:v>
                </c:pt>
                <c:pt idx="222">
                  <c:v>5.3130842851856538E-3</c:v>
                </c:pt>
                <c:pt idx="223">
                  <c:v>5.3989552355473815E-3</c:v>
                </c:pt>
                <c:pt idx="224">
                  <c:v>5.4761375284618661E-3</c:v>
                </c:pt>
                <c:pt idx="225">
                  <c:v>5.5544225558682514E-3</c:v>
                </c:pt>
                <c:pt idx="226">
                  <c:v>5.6408209043641369E-3</c:v>
                </c:pt>
                <c:pt idx="227">
                  <c:v>5.7354418561306846E-3</c:v>
                </c:pt>
                <c:pt idx="228">
                  <c:v>5.8383981741770815E-3</c:v>
                </c:pt>
                <c:pt idx="229">
                  <c:v>5.9498066963262495E-3</c:v>
                </c:pt>
                <c:pt idx="230">
                  <c:v>6.0697889487067247E-3</c:v>
                </c:pt>
                <c:pt idx="231">
                  <c:v>6.1984717812867069E-3</c:v>
                </c:pt>
                <c:pt idx="232">
                  <c:v>6.3358092376634631E-3</c:v>
                </c:pt>
                <c:pt idx="233">
                  <c:v>6.4841271625487229E-3</c:v>
                </c:pt>
                <c:pt idx="234">
                  <c:v>6.6458415726782204E-3</c:v>
                </c:pt>
                <c:pt idx="235">
                  <c:v>6.8211034297924822E-3</c:v>
                </c:pt>
                <c:pt idx="236">
                  <c:v>7.0100737522184224E-3</c:v>
                </c:pt>
                <c:pt idx="237">
                  <c:v>7.2129179108047989E-3</c:v>
                </c:pt>
                <c:pt idx="238">
                  <c:v>7.4298107587716326E-3</c:v>
                </c:pt>
                <c:pt idx="239">
                  <c:v>7.6532187816497847E-3</c:v>
                </c:pt>
                <c:pt idx="240">
                  <c:v>7.8730355753912924E-3</c:v>
                </c:pt>
                <c:pt idx="241">
                  <c:v>8.089291379259584E-3</c:v>
                </c:pt>
                <c:pt idx="242">
                  <c:v>8.3020219501907574E-3</c:v>
                </c:pt>
                <c:pt idx="243">
                  <c:v>8.5112683739262604E-3</c:v>
                </c:pt>
                <c:pt idx="244">
                  <c:v>8.7170768847135375E-3</c:v>
                </c:pt>
                <c:pt idx="245">
                  <c:v>8.9194986945339179E-3</c:v>
                </c:pt>
                <c:pt idx="246">
                  <c:v>9.1184871944129196E-3</c:v>
                </c:pt>
                <c:pt idx="247">
                  <c:v>9.3010795971319605E-3</c:v>
                </c:pt>
                <c:pt idx="248">
                  <c:v>9.4646051406375737E-3</c:v>
                </c:pt>
                <c:pt idx="249">
                  <c:v>9.6088381011854088E-3</c:v>
                </c:pt>
                <c:pt idx="250">
                  <c:v>9.733542429427821E-3</c:v>
                </c:pt>
                <c:pt idx="251">
                  <c:v>9.8384718029453679E-3</c:v>
                </c:pt>
                <c:pt idx="252">
                  <c:v>9.9233697012051578E-3</c:v>
                </c:pt>
                <c:pt idx="253">
                  <c:v>9.9749331937036678E-3</c:v>
                </c:pt>
                <c:pt idx="254">
                  <c:v>1.0000914270282124E-2</c:v>
                </c:pt>
                <c:pt idx="255">
                  <c:v>1.000097354687597E-2</c:v>
                </c:pt>
                <c:pt idx="256">
                  <c:v>9.9747592533977556E-3</c:v>
                </c:pt>
                <c:pt idx="257">
                  <c:v>9.9219075815812092E-3</c:v>
                </c:pt>
                <c:pt idx="258">
                  <c:v>9.8420430747587825E-3</c:v>
                </c:pt>
                <c:pt idx="259">
                  <c:v>9.7347790581937786E-3</c:v>
                </c:pt>
                <c:pt idx="260">
                  <c:v>9.5998655133407596E-3</c:v>
                </c:pt>
                <c:pt idx="261">
                  <c:v>9.4515201564836469E-3</c:v>
                </c:pt>
                <c:pt idx="262">
                  <c:v>9.3032454022133945E-3</c:v>
                </c:pt>
                <c:pt idx="263">
                  <c:v>9.1549989332839199E-3</c:v>
                </c:pt>
                <c:pt idx="264">
                  <c:v>9.0067392683812631E-3</c:v>
                </c:pt>
                <c:pt idx="265">
                  <c:v>8.8584729373177469E-3</c:v>
                </c:pt>
                <c:pt idx="266">
                  <c:v>8.7101810919543547E-3</c:v>
                </c:pt>
                <c:pt idx="267">
                  <c:v>8.6174177595507301E-3</c:v>
                </c:pt>
                <c:pt idx="268">
                  <c:v>8.5948804187656897E-3</c:v>
                </c:pt>
                <c:pt idx="269">
                  <c:v>8.6435741720430233E-3</c:v>
                </c:pt>
                <c:pt idx="270">
                  <c:v>8.7645298784463331E-3</c:v>
                </c:pt>
                <c:pt idx="271">
                  <c:v>8.9588003822751849E-3</c:v>
                </c:pt>
                <c:pt idx="272">
                  <c:v>9.2274565796416734E-3</c:v>
                </c:pt>
                <c:pt idx="273">
                  <c:v>9.5715833273666302E-3</c:v>
                </c:pt>
                <c:pt idx="274">
                  <c:v>9.9926075759875395E-3</c:v>
                </c:pt>
                <c:pt idx="275">
                  <c:v>1.0551524835627065E-2</c:v>
                </c:pt>
                <c:pt idx="276">
                  <c:v>1.1234763410936084E-2</c:v>
                </c:pt>
                <c:pt idx="277">
                  <c:v>1.2044219632953875E-2</c:v>
                </c:pt>
                <c:pt idx="278">
                  <c:v>1.2981814939688389E-2</c:v>
                </c:pt>
                <c:pt idx="279">
                  <c:v>1.4049483733483586E-2</c:v>
                </c:pt>
                <c:pt idx="280">
                  <c:v>1.5249160702535566E-2</c:v>
                </c:pt>
                <c:pt idx="281">
                  <c:v>1.6579397045649445E-2</c:v>
                </c:pt>
                <c:pt idx="282">
                  <c:v>1.7981896569945133E-2</c:v>
                </c:pt>
                <c:pt idx="283">
                  <c:v>1.945747601567193E-2</c:v>
                </c:pt>
                <c:pt idx="284">
                  <c:v>2.1006895655876757E-2</c:v>
                </c:pt>
                <c:pt idx="285">
                  <c:v>2.2630850780235572E-2</c:v>
                </c:pt>
                <c:pt idx="286">
                  <c:v>2.4329962912131981E-2</c:v>
                </c:pt>
                <c:pt idx="287">
                  <c:v>2.6104770766196498E-2</c:v>
                </c:pt>
                <c:pt idx="288">
                  <c:v>2.7956956803221241E-2</c:v>
                </c:pt>
                <c:pt idx="289">
                  <c:v>2.9820830266569461E-2</c:v>
                </c:pt>
                <c:pt idx="290">
                  <c:v>3.1631862725330695E-2</c:v>
                </c:pt>
                <c:pt idx="291">
                  <c:v>3.3388891310404165E-2</c:v>
                </c:pt>
                <c:pt idx="292">
                  <c:v>3.5090699023348756E-2</c:v>
                </c:pt>
                <c:pt idx="293">
                  <c:v>3.673601799499903E-2</c:v>
                </c:pt>
                <c:pt idx="294">
                  <c:v>3.8323532745977058E-2</c:v>
                </c:pt>
                <c:pt idx="295">
                  <c:v>3.9781455285620694E-2</c:v>
                </c:pt>
                <c:pt idx="296">
                  <c:v>4.1111495816842765E-2</c:v>
                </c:pt>
                <c:pt idx="297">
                  <c:v>4.2311607011255553E-2</c:v>
                </c:pt>
                <c:pt idx="298">
                  <c:v>4.3379383372582021E-2</c:v>
                </c:pt>
                <c:pt idx="299">
                  <c:v>4.4312385902222862E-2</c:v>
                </c:pt>
                <c:pt idx="300">
                  <c:v>4.5108149892234266E-2</c:v>
                </c:pt>
                <c:pt idx="301">
                  <c:v>4.5764193018946887E-2</c:v>
                </c:pt>
                <c:pt idx="302">
                  <c:v>4.6278758695050923E-2</c:v>
                </c:pt>
                <c:pt idx="303">
                  <c:v>4.6637276423821372E-2</c:v>
                </c:pt>
                <c:pt idx="304">
                  <c:v>4.6910768839575345E-2</c:v>
                </c:pt>
                <c:pt idx="305">
                  <c:v>4.7098273708213997E-2</c:v>
                </c:pt>
                <c:pt idx="306">
                  <c:v>4.7198832829301256E-2</c:v>
                </c:pt>
                <c:pt idx="307">
                  <c:v>4.7211485601876359E-2</c:v>
                </c:pt>
                <c:pt idx="308">
                  <c:v>4.7135262129316444E-2</c:v>
                </c:pt>
                <c:pt idx="309">
                  <c:v>4.6999318441811683E-2</c:v>
                </c:pt>
                <c:pt idx="310">
                  <c:v>4.6878968545355303E-2</c:v>
                </c:pt>
                <c:pt idx="311">
                  <c:v>4.6774779726908057E-2</c:v>
                </c:pt>
                <c:pt idx="312">
                  <c:v>4.6687325715131456E-2</c:v>
                </c:pt>
                <c:pt idx="313">
                  <c:v>4.6617187043173823E-2</c:v>
                </c:pt>
                <c:pt idx="314">
                  <c:v>4.6564951501403128E-2</c:v>
                </c:pt>
                <c:pt idx="315">
                  <c:v>4.6531214688868498E-2</c:v>
                </c:pt>
                <c:pt idx="316">
                  <c:v>4.6517532872628178E-2</c:v>
                </c:pt>
                <c:pt idx="317">
                  <c:v>4.6556989923101859E-2</c:v>
                </c:pt>
                <c:pt idx="318">
                  <c:v>4.666426492603766E-2</c:v>
                </c:pt>
                <c:pt idx="319">
                  <c:v>4.6840023734015662E-2</c:v>
                </c:pt>
                <c:pt idx="320">
                  <c:v>4.7084948746990103E-2</c:v>
                </c:pt>
                <c:pt idx="321">
                  <c:v>4.7399731118950975E-2</c:v>
                </c:pt>
                <c:pt idx="322">
                  <c:v>4.7785062213890929E-2</c:v>
                </c:pt>
                <c:pt idx="323">
                  <c:v>4.8262489137174694E-2</c:v>
                </c:pt>
                <c:pt idx="324">
                  <c:v>4.8800314402218173E-2</c:v>
                </c:pt>
                <c:pt idx="325">
                  <c:v>4.9398955717866275E-2</c:v>
                </c:pt>
                <c:pt idx="326">
                  <c:v>5.0058472231235593E-2</c:v>
                </c:pt>
                <c:pt idx="327">
                  <c:v>5.0779057184583538E-2</c:v>
                </c:pt>
                <c:pt idx="328">
                  <c:v>5.1561088583125955E-2</c:v>
                </c:pt>
                <c:pt idx="329">
                  <c:v>5.2404867819191001E-2</c:v>
                </c:pt>
                <c:pt idx="330">
                  <c:v>5.3319044270493589E-2</c:v>
                </c:pt>
                <c:pt idx="331">
                  <c:v>5.4287762902444275E-2</c:v>
                </c:pt>
                <c:pt idx="332">
                  <c:v>5.5274594128653196E-2</c:v>
                </c:pt>
                <c:pt idx="333">
                  <c:v>5.6277159649353342E-2</c:v>
                </c:pt>
                <c:pt idx="334">
                  <c:v>5.7292755793689615E-2</c:v>
                </c:pt>
                <c:pt idx="335">
                  <c:v>5.8318332001630099E-2</c:v>
                </c:pt>
                <c:pt idx="336">
                  <c:v>5.9350472120314517E-2</c:v>
                </c:pt>
                <c:pt idx="337">
                  <c:v>6.0356778610972071E-2</c:v>
                </c:pt>
                <c:pt idx="338">
                  <c:v>6.1309584651294054E-2</c:v>
                </c:pt>
                <c:pt idx="339">
                  <c:v>6.2203368602656912E-2</c:v>
                </c:pt>
                <c:pt idx="340">
                  <c:v>6.3032308590689465E-2</c:v>
                </c:pt>
                <c:pt idx="341">
                  <c:v>6.3790333314517736E-2</c:v>
                </c:pt>
                <c:pt idx="342">
                  <c:v>6.4471184312982821E-2</c:v>
                </c:pt>
                <c:pt idx="343">
                  <c:v>6.5068490060014958E-2</c:v>
                </c:pt>
                <c:pt idx="344">
                  <c:v>6.5592009250795294E-2</c:v>
                </c:pt>
                <c:pt idx="345">
                  <c:v>6.605316972194443E-2</c:v>
                </c:pt>
                <c:pt idx="346">
                  <c:v>6.6472720037591568E-2</c:v>
                </c:pt>
                <c:pt idx="347">
                  <c:v>6.6846892014406772E-2</c:v>
                </c:pt>
                <c:pt idx="348">
                  <c:v>6.7171855825528468E-2</c:v>
                </c:pt>
                <c:pt idx="349">
                  <c:v>6.7443754742237613E-2</c:v>
                </c:pt>
                <c:pt idx="350">
                  <c:v>6.7658744079218375E-2</c:v>
                </c:pt>
                <c:pt idx="351">
                  <c:v>6.7811812803082322E-2</c:v>
                </c:pt>
                <c:pt idx="352">
                  <c:v>6.79296834036799E-2</c:v>
                </c:pt>
                <c:pt idx="353">
                  <c:v>6.8008918468768248E-2</c:v>
                </c:pt>
                <c:pt idx="354">
                  <c:v>6.8046183444714373E-2</c:v>
                </c:pt>
                <c:pt idx="355">
                  <c:v>6.8038286972267353E-2</c:v>
                </c:pt>
                <c:pt idx="356">
                  <c:v>6.7982023906453984E-2</c:v>
                </c:pt>
                <c:pt idx="357">
                  <c:v>6.787472061170842E-2</c:v>
                </c:pt>
                <c:pt idx="358">
                  <c:v>6.7713243055996172E-2</c:v>
                </c:pt>
                <c:pt idx="359">
                  <c:v>6.7498900800042685E-2</c:v>
                </c:pt>
                <c:pt idx="360">
                  <c:v>6.7205478300676441E-2</c:v>
                </c:pt>
                <c:pt idx="361">
                  <c:v>6.6838611310359661E-2</c:v>
                </c:pt>
                <c:pt idx="362">
                  <c:v>6.6402893816327427E-2</c:v>
                </c:pt>
                <c:pt idx="363">
                  <c:v>6.590303063795161E-2</c:v>
                </c:pt>
                <c:pt idx="364">
                  <c:v>6.5343775435287854E-2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157712"/>
        <c:axId val="358158104"/>
      </c:lineChart>
      <c:dateAx>
        <c:axId val="35815771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158104"/>
        <c:crosses val="autoZero"/>
        <c:auto val="1"/>
        <c:lblOffset val="100"/>
        <c:baseTimeUnit val="days"/>
        <c:majorUnit val="1"/>
        <c:majorTimeUnit val="months"/>
      </c:dateAx>
      <c:valAx>
        <c:axId val="35815810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1577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22.924542152167419</c:v>
                </c:pt>
                <c:pt idx="1">
                  <c:v>23.102886421974446</c:v>
                </c:pt>
                <c:pt idx="2">
                  <c:v>23.292557050935397</c:v>
                </c:pt>
                <c:pt idx="3">
                  <c:v>23.492412104186151</c:v>
                </c:pt>
                <c:pt idx="4">
                  <c:v>23.701309841799805</c:v>
                </c:pt>
                <c:pt idx="5">
                  <c:v>23.918108694390604</c:v>
                </c:pt>
                <c:pt idx="6">
                  <c:v>24.141667222259194</c:v>
                </c:pt>
                <c:pt idx="7">
                  <c:v>24.370844107735824</c:v>
                </c:pt>
                <c:pt idx="8">
                  <c:v>24.610159838335896</c:v>
                </c:pt>
                <c:pt idx="9">
                  <c:v>24.863521238686008</c:v>
                </c:pt>
                <c:pt idx="10">
                  <c:v>25.129006007635692</c:v>
                </c:pt>
                <c:pt idx="11">
                  <c:v>25.405411443009609</c:v>
                </c:pt>
                <c:pt idx="12">
                  <c:v>25.691535003671987</c:v>
                </c:pt>
                <c:pt idx="13">
                  <c:v>25.986174353473196</c:v>
                </c:pt>
                <c:pt idx="14">
                  <c:v>26.288127365694134</c:v>
                </c:pt>
                <c:pt idx="15">
                  <c:v>26.595280567152486</c:v>
                </c:pt>
                <c:pt idx="16">
                  <c:v>26.905807514463408</c:v>
                </c:pt>
                <c:pt idx="17">
                  <c:v>27.218506447191782</c:v>
                </c:pt>
                <c:pt idx="18">
                  <c:v>27.532176152468061</c:v>
                </c:pt>
                <c:pt idx="19">
                  <c:v>27.845608526218911</c:v>
                </c:pt>
                <c:pt idx="20">
                  <c:v>28.157592930987814</c:v>
                </c:pt>
                <c:pt idx="21">
                  <c:v>28.466925333302026</c:v>
                </c:pt>
                <c:pt idx="22">
                  <c:v>28.776926217469597</c:v>
                </c:pt>
                <c:pt idx="23">
                  <c:v>29.090351763628647</c:v>
                </c:pt>
                <c:pt idx="24">
                  <c:v>29.407070548188166</c:v>
                </c:pt>
                <c:pt idx="25">
                  <c:v>29.726378011646407</c:v>
                </c:pt>
                <c:pt idx="26">
                  <c:v>30.047570048616716</c:v>
                </c:pt>
                <c:pt idx="27">
                  <c:v>30.369942991269944</c:v>
                </c:pt>
                <c:pt idx="28">
                  <c:v>30.692793589560647</c:v>
                </c:pt>
                <c:pt idx="29">
                  <c:v>31.015821203677366</c:v>
                </c:pt>
                <c:pt idx="30">
                  <c:v>31.339234332111484</c:v>
                </c:pt>
                <c:pt idx="31">
                  <c:v>31.66233021646331</c:v>
                </c:pt>
                <c:pt idx="32">
                  <c:v>31.984406401443778</c:v>
                </c:pt>
                <c:pt idx="33">
                  <c:v>32.304760726725853</c:v>
                </c:pt>
                <c:pt idx="34">
                  <c:v>32.622691318979285</c:v>
                </c:pt>
                <c:pt idx="35">
                  <c:v>32.937496581713155</c:v>
                </c:pt>
                <c:pt idx="36">
                  <c:v>33.250443516580695</c:v>
                </c:pt>
                <c:pt idx="37">
                  <c:v>33.565437150113731</c:v>
                </c:pt>
                <c:pt idx="38">
                  <c:v>33.883271383802061</c:v>
                </c:pt>
                <c:pt idx="39">
                  <c:v>34.20384381661335</c:v>
                </c:pt>
                <c:pt idx="40">
                  <c:v>34.527052123077077</c:v>
                </c:pt>
                <c:pt idx="41">
                  <c:v>34.852794060067787</c:v>
                </c:pt>
                <c:pt idx="42">
                  <c:v>35.180967471534544</c:v>
                </c:pt>
                <c:pt idx="43">
                  <c:v>35.513692884299132</c:v>
                </c:pt>
                <c:pt idx="44">
                  <c:v>35.850468136368526</c:v>
                </c:pt>
                <c:pt idx="45">
                  <c:v>36.191191865304361</c:v>
                </c:pt>
                <c:pt idx="46">
                  <c:v>36.535762977851675</c:v>
                </c:pt>
                <c:pt idx="47">
                  <c:v>36.884080675139494</c:v>
                </c:pt>
                <c:pt idx="48">
                  <c:v>37.236044482930545</c:v>
                </c:pt>
                <c:pt idx="49">
                  <c:v>37.591554283313386</c:v>
                </c:pt>
                <c:pt idx="50">
                  <c:v>37.950760224732669</c:v>
                </c:pt>
                <c:pt idx="51">
                  <c:v>38.31400185565861</c:v>
                </c:pt>
                <c:pt idx="52">
                  <c:v>38.679051082671961</c:v>
                </c:pt>
                <c:pt idx="53">
                  <c:v>39.045916310978981</c:v>
                </c:pt>
                <c:pt idx="54">
                  <c:v>39.414599814845232</c:v>
                </c:pt>
                <c:pt idx="55">
                  <c:v>39.785103821343441</c:v>
                </c:pt>
                <c:pt idx="56">
                  <c:v>40.157430526188755</c:v>
                </c:pt>
                <c:pt idx="57">
                  <c:v>40.52948358644263</c:v>
                </c:pt>
                <c:pt idx="58">
                  <c:v>40.899040588382796</c:v>
                </c:pt>
                <c:pt idx="59">
                  <c:v>41.266102862526708</c:v>
                </c:pt>
                <c:pt idx="60">
                  <c:v>41.630671709383705</c:v>
                </c:pt>
                <c:pt idx="61">
                  <c:v>41.992748425036154</c:v>
                </c:pt>
                <c:pt idx="62">
                  <c:v>42.352334324554171</c:v>
                </c:pt>
                <c:pt idx="63">
                  <c:v>42.70943076395038</c:v>
                </c:pt>
                <c:pt idx="64">
                  <c:v>43.065120481598662</c:v>
                </c:pt>
                <c:pt idx="65">
                  <c:v>43.418102616285893</c:v>
                </c:pt>
                <c:pt idx="66">
                  <c:v>43.76775163275849</c:v>
                </c:pt>
                <c:pt idx="67">
                  <c:v>44.113567647077971</c:v>
                </c:pt>
                <c:pt idx="68">
                  <c:v>44.455050824983836</c:v>
                </c:pt>
                <c:pt idx="69">
                  <c:v>44.791701354986294</c:v>
                </c:pt>
                <c:pt idx="70">
                  <c:v>45.123019417885118</c:v>
                </c:pt>
                <c:pt idx="71">
                  <c:v>45.447942466460283</c:v>
                </c:pt>
                <c:pt idx="72">
                  <c:v>45.768068910291483</c:v>
                </c:pt>
                <c:pt idx="73">
                  <c:v>46.082897806745223</c:v>
                </c:pt>
                <c:pt idx="74">
                  <c:v>46.391928051651504</c:v>
                </c:pt>
                <c:pt idx="75">
                  <c:v>46.694658338448171</c:v>
                </c:pt>
                <c:pt idx="76">
                  <c:v>46.990587116474991</c:v>
                </c:pt>
                <c:pt idx="77">
                  <c:v>47.279212547277147</c:v>
                </c:pt>
                <c:pt idx="78">
                  <c:v>47.563006261775016</c:v>
                </c:pt>
                <c:pt idx="79">
                  <c:v>47.844742913310846</c:v>
                </c:pt>
                <c:pt idx="80">
                  <c:v>48.125676973154654</c:v>
                </c:pt>
                <c:pt idx="81">
                  <c:v>48.405007232403719</c:v>
                </c:pt>
                <c:pt idx="82">
                  <c:v>48.681932536758175</c:v>
                </c:pt>
                <c:pt idx="83">
                  <c:v>48.955651780095721</c:v>
                </c:pt>
                <c:pt idx="84">
                  <c:v>49.225363901985723</c:v>
                </c:pt>
                <c:pt idx="85">
                  <c:v>49.490796514771617</c:v>
                </c:pt>
                <c:pt idx="86">
                  <c:v>49.751722924306513</c:v>
                </c:pt>
                <c:pt idx="87">
                  <c:v>50.007347029980167</c:v>
                </c:pt>
                <c:pt idx="88">
                  <c:v>50.256873283819537</c:v>
                </c:pt>
                <c:pt idx="89">
                  <c:v>50.893266029435082</c:v>
                </c:pt>
                <c:pt idx="90">
                  <c:v>51.130299331164011</c:v>
                </c:pt>
                <c:pt idx="91">
                  <c:v>51.357844208827999</c:v>
                </c:pt>
                <c:pt idx="92">
                  <c:v>51.576234263129408</c:v>
                </c:pt>
                <c:pt idx="93">
                  <c:v>51.786599525772516</c:v>
                </c:pt>
                <c:pt idx="94">
                  <c:v>51.989339753100204</c:v>
                </c:pt>
                <c:pt idx="95">
                  <c:v>52.184854562760904</c:v>
                </c:pt>
                <c:pt idx="96">
                  <c:v>52.37354345512378</c:v>
                </c:pt>
                <c:pt idx="97">
                  <c:v>52.555805817207727</c:v>
                </c:pt>
                <c:pt idx="98">
                  <c:v>52.732040923813081</c:v>
                </c:pt>
                <c:pt idx="99">
                  <c:v>52.90264750432101</c:v>
                </c:pt>
                <c:pt idx="100">
                  <c:v>53.068024189656406</c:v>
                </c:pt>
                <c:pt idx="101">
                  <c:v>53.228569671828865</c:v>
                </c:pt>
                <c:pt idx="102">
                  <c:v>53.384682527680233</c:v>
                </c:pt>
                <c:pt idx="103">
                  <c:v>53.536761212721103</c:v>
                </c:pt>
                <c:pt idx="104">
                  <c:v>53.685204067355329</c:v>
                </c:pt>
                <c:pt idx="105">
                  <c:v>53.830409316752458</c:v>
                </c:pt>
                <c:pt idx="106">
                  <c:v>53.971350273715281</c:v>
                </c:pt>
                <c:pt idx="107">
                  <c:v>54.106868536152497</c:v>
                </c:pt>
                <c:pt idx="108">
                  <c:v>54.237162597259719</c:v>
                </c:pt>
                <c:pt idx="109">
                  <c:v>54.362432223450284</c:v>
                </c:pt>
                <c:pt idx="110">
                  <c:v>54.482877137104076</c:v>
                </c:pt>
                <c:pt idx="111">
                  <c:v>54.598697030045933</c:v>
                </c:pt>
                <c:pt idx="112">
                  <c:v>54.710091567777582</c:v>
                </c:pt>
                <c:pt idx="113">
                  <c:v>54.81726201519534</c:v>
                </c:pt>
                <c:pt idx="114">
                  <c:v>54.920409772678987</c:v>
                </c:pt>
                <c:pt idx="115">
                  <c:v>55.019735025217599</c:v>
                </c:pt>
                <c:pt idx="116">
                  <c:v>55.115437977314798</c:v>
                </c:pt>
                <c:pt idx="117">
                  <c:v>55.207718850824676</c:v>
                </c:pt>
                <c:pt idx="118">
                  <c:v>55.296777894665325</c:v>
                </c:pt>
                <c:pt idx="119">
                  <c:v>55.382815378468372</c:v>
                </c:pt>
                <c:pt idx="120">
                  <c:v>55.46510524120449</c:v>
                </c:pt>
                <c:pt idx="121">
                  <c:v>55.54292186766903</c:v>
                </c:pt>
                <c:pt idx="122">
                  <c:v>55.616465461483841</c:v>
                </c:pt>
                <c:pt idx="123">
                  <c:v>55.685936940229816</c:v>
                </c:pt>
                <c:pt idx="124">
                  <c:v>55.751537261226886</c:v>
                </c:pt>
                <c:pt idx="125">
                  <c:v>55.813467419459982</c:v>
                </c:pt>
                <c:pt idx="126">
                  <c:v>55.871928447903613</c:v>
                </c:pt>
                <c:pt idx="127">
                  <c:v>55.927116781221152</c:v>
                </c:pt>
                <c:pt idx="128">
                  <c:v>55.979229296168782</c:v>
                </c:pt>
                <c:pt idx="129">
                  <c:v>56.028465964144694</c:v>
                </c:pt>
                <c:pt idx="130">
                  <c:v>56.075026731739634</c:v>
                </c:pt>
                <c:pt idx="131">
                  <c:v>56.119111513871367</c:v>
                </c:pt>
                <c:pt idx="132">
                  <c:v>56.160920194988826</c:v>
                </c:pt>
                <c:pt idx="133">
                  <c:v>56.200652624581487</c:v>
                </c:pt>
                <c:pt idx="134">
                  <c:v>56.238013152001955</c:v>
                </c:pt>
                <c:pt idx="135">
                  <c:v>56.272568483652186</c:v>
                </c:pt>
                <c:pt idx="136">
                  <c:v>56.304319911688253</c:v>
                </c:pt>
                <c:pt idx="137">
                  <c:v>56.333268742805174</c:v>
                </c:pt>
                <c:pt idx="138">
                  <c:v>56.359416296065781</c:v>
                </c:pt>
                <c:pt idx="139">
                  <c:v>56.382763897925585</c:v>
                </c:pt>
                <c:pt idx="140">
                  <c:v>56.403312881280321</c:v>
                </c:pt>
                <c:pt idx="141">
                  <c:v>56.421064389342945</c:v>
                </c:pt>
                <c:pt idx="142">
                  <c:v>56.43602826731469</c:v>
                </c:pt>
                <c:pt idx="143">
                  <c:v>56.44820673953334</c:v>
                </c:pt>
                <c:pt idx="144">
                  <c:v>56.45760204642783</c:v>
                </c:pt>
                <c:pt idx="145">
                  <c:v>56.464216443421975</c:v>
                </c:pt>
                <c:pt idx="146">
                  <c:v>56.468052197105344</c:v>
                </c:pt>
                <c:pt idx="147">
                  <c:v>56.469111573521097</c:v>
                </c:pt>
                <c:pt idx="148">
                  <c:v>56.467396837700583</c:v>
                </c:pt>
                <c:pt idx="149">
                  <c:v>56.462910496002181</c:v>
                </c:pt>
                <c:pt idx="150">
                  <c:v>56.455664547141311</c:v>
                </c:pt>
                <c:pt idx="151">
                  <c:v>56.44566212940483</c:v>
                </c:pt>
                <c:pt idx="152">
                  <c:v>56.432906372917124</c:v>
                </c:pt>
                <c:pt idx="153">
                  <c:v>56.417400385429154</c:v>
                </c:pt>
                <c:pt idx="154">
                  <c:v>56.399147246741791</c:v>
                </c:pt>
                <c:pt idx="155">
                  <c:v>56.378150257283075</c:v>
                </c:pt>
                <c:pt idx="156">
                  <c:v>56.354412734905694</c:v>
                </c:pt>
                <c:pt idx="157">
                  <c:v>56.327937663650737</c:v>
                </c:pt>
                <c:pt idx="158">
                  <c:v>56.298727961564744</c:v>
                </c:pt>
                <c:pt idx="159">
                  <c:v>56.266786474188329</c:v>
                </c:pt>
                <c:pt idx="160">
                  <c:v>56.232115963682269</c:v>
                </c:pt>
                <c:pt idx="161">
                  <c:v>56.194719103644623</c:v>
                </c:pt>
                <c:pt idx="162">
                  <c:v>56.154598469613276</c:v>
                </c:pt>
                <c:pt idx="163">
                  <c:v>56.111756295426829</c:v>
                </c:pt>
                <c:pt idx="164">
                  <c:v>56.066194547350428</c:v>
                </c:pt>
                <c:pt idx="165">
                  <c:v>56.017915424745688</c:v>
                </c:pt>
                <c:pt idx="166">
                  <c:v>55.966907458435159</c:v>
                </c:pt>
                <c:pt idx="167">
                  <c:v>55.913183112169364</c:v>
                </c:pt>
                <c:pt idx="168">
                  <c:v>55.856747314246647</c:v>
                </c:pt>
                <c:pt idx="169">
                  <c:v>55.797601503276987</c:v>
                </c:pt>
                <c:pt idx="170">
                  <c:v>55.735746852091275</c:v>
                </c:pt>
                <c:pt idx="171">
                  <c:v>55.671184750580366</c:v>
                </c:pt>
                <c:pt idx="172">
                  <c:v>55.603916447163456</c:v>
                </c:pt>
                <c:pt idx="173">
                  <c:v>55.533943063324287</c:v>
                </c:pt>
                <c:pt idx="174">
                  <c:v>55.461265581508549</c:v>
                </c:pt>
                <c:pt idx="175">
                  <c:v>55.3858848446854</c:v>
                </c:pt>
                <c:pt idx="176">
                  <c:v>55.307160588059894</c:v>
                </c:pt>
                <c:pt idx="177">
                  <c:v>55.224650335344705</c:v>
                </c:pt>
                <c:pt idx="178">
                  <c:v>55.138651001299259</c:v>
                </c:pt>
                <c:pt idx="179">
                  <c:v>55.049458945689523</c:v>
                </c:pt>
                <c:pt idx="180">
                  <c:v>54.957370284035356</c:v>
                </c:pt>
                <c:pt idx="181">
                  <c:v>54.862680898187264</c:v>
                </c:pt>
                <c:pt idx="182">
                  <c:v>54.765686447246303</c:v>
                </c:pt>
                <c:pt idx="183">
                  <c:v>54.666682823587578</c:v>
                </c:pt>
                <c:pt idx="184">
                  <c:v>54.565965630566836</c:v>
                </c:pt>
                <c:pt idx="185">
                  <c:v>54.463829929043087</c:v>
                </c:pt>
                <c:pt idx="186">
                  <c:v>54.360570592705777</c:v>
                </c:pt>
                <c:pt idx="187">
                  <c:v>54.256482316557957</c:v>
                </c:pt>
                <c:pt idx="188">
                  <c:v>54.15185962764707</c:v>
                </c:pt>
                <c:pt idx="189">
                  <c:v>54.046996895774733</c:v>
                </c:pt>
                <c:pt idx="190">
                  <c:v>53.941236420483754</c:v>
                </c:pt>
                <c:pt idx="191">
                  <c:v>53.833784008409452</c:v>
                </c:pt>
                <c:pt idx="192">
                  <c:v>53.724736245598997</c:v>
                </c:pt>
                <c:pt idx="193">
                  <c:v>53.614190237009915</c:v>
                </c:pt>
                <c:pt idx="194">
                  <c:v>53.502243067263478</c:v>
                </c:pt>
                <c:pt idx="195">
                  <c:v>53.388991809431126</c:v>
                </c:pt>
                <c:pt idx="196">
                  <c:v>53.274533532102296</c:v>
                </c:pt>
                <c:pt idx="197">
                  <c:v>53.158937980004289</c:v>
                </c:pt>
                <c:pt idx="198">
                  <c:v>53.042300918803889</c:v>
                </c:pt>
                <c:pt idx="199">
                  <c:v>52.924718658628713</c:v>
                </c:pt>
                <c:pt idx="200">
                  <c:v>52.806287577800219</c:v>
                </c:pt>
                <c:pt idx="201">
                  <c:v>52.687104125497235</c:v>
                </c:pt>
                <c:pt idx="202">
                  <c:v>52.567264824720624</c:v>
                </c:pt>
                <c:pt idx="203">
                  <c:v>52.446866274311347</c:v>
                </c:pt>
                <c:pt idx="204">
                  <c:v>52.325546191592721</c:v>
                </c:pt>
                <c:pt idx="205">
                  <c:v>52.202912483884965</c:v>
                </c:pt>
                <c:pt idx="206">
                  <c:v>52.079068984120141</c:v>
                </c:pt>
                <c:pt idx="207">
                  <c:v>51.954112602439338</c:v>
                </c:pt>
                <c:pt idx="208">
                  <c:v>51.828140344905023</c:v>
                </c:pt>
                <c:pt idx="209">
                  <c:v>51.701249309666615</c:v>
                </c:pt>
                <c:pt idx="210">
                  <c:v>51.573536685341487</c:v>
                </c:pt>
                <c:pt idx="211">
                  <c:v>51.445109793954209</c:v>
                </c:pt>
                <c:pt idx="212">
                  <c:v>51.31609702849299</c:v>
                </c:pt>
                <c:pt idx="213">
                  <c:v>51.186596663142886</c:v>
                </c:pt>
                <c:pt idx="214">
                  <c:v>51.056706991926404</c:v>
                </c:pt>
                <c:pt idx="215">
                  <c:v>50.926526326624916</c:v>
                </c:pt>
                <c:pt idx="216">
                  <c:v>50.796152995275598</c:v>
                </c:pt>
                <c:pt idx="217">
                  <c:v>50.665685339681239</c:v>
                </c:pt>
                <c:pt idx="218">
                  <c:v>50.535614633081714</c:v>
                </c:pt>
                <c:pt idx="219">
                  <c:v>50.406219865510828</c:v>
                </c:pt>
                <c:pt idx="220">
                  <c:v>50.277239684639802</c:v>
                </c:pt>
                <c:pt idx="221">
                  <c:v>50.148380776070134</c:v>
                </c:pt>
                <c:pt idx="222">
                  <c:v>50.019349872437651</c:v>
                </c:pt>
                <c:pt idx="223">
                  <c:v>49.889853753562555</c:v>
                </c:pt>
                <c:pt idx="224">
                  <c:v>49.759599245539661</c:v>
                </c:pt>
                <c:pt idx="225">
                  <c:v>49.62828388870355</c:v>
                </c:pt>
                <c:pt idx="226">
                  <c:v>49.49560295772433</c:v>
                </c:pt>
                <c:pt idx="227">
                  <c:v>49.361262998499136</c:v>
                </c:pt>
                <c:pt idx="228">
                  <c:v>49.22497063789595</c:v>
                </c:pt>
                <c:pt idx="229">
                  <c:v>49.086432581790305</c:v>
                </c:pt>
                <c:pt idx="230">
                  <c:v>48.945355614545427</c:v>
                </c:pt>
                <c:pt idx="231">
                  <c:v>48.801446594655005</c:v>
                </c:pt>
                <c:pt idx="232">
                  <c:v>48.655786068615264</c:v>
                </c:pt>
                <c:pt idx="233">
                  <c:v>48.509407907094456</c:v>
                </c:pt>
                <c:pt idx="234">
                  <c:v>48.361964881889961</c:v>
                </c:pt>
                <c:pt idx="235">
                  <c:v>48.213162572643903</c:v>
                </c:pt>
                <c:pt idx="236">
                  <c:v>48.062706707121855</c:v>
                </c:pt>
                <c:pt idx="237">
                  <c:v>47.910303180748564</c:v>
                </c:pt>
                <c:pt idx="238">
                  <c:v>47.755658039328928</c:v>
                </c:pt>
                <c:pt idx="239">
                  <c:v>47.598498275616372</c:v>
                </c:pt>
                <c:pt idx="240">
                  <c:v>47.438540499312339</c:v>
                </c:pt>
                <c:pt idx="241">
                  <c:v>47.275491329104419</c:v>
                </c:pt>
                <c:pt idx="242">
                  <c:v>47.109057507055638</c:v>
                </c:pt>
                <c:pt idx="243">
                  <c:v>46.938945897291049</c:v>
                </c:pt>
                <c:pt idx="244">
                  <c:v>46.764863484467156</c:v>
                </c:pt>
                <c:pt idx="245">
                  <c:v>46.586517374838323</c:v>
                </c:pt>
                <c:pt idx="246">
                  <c:v>46.404137483164398</c:v>
                </c:pt>
                <c:pt idx="247">
                  <c:v>46.218238352305043</c:v>
                </c:pt>
                <c:pt idx="248">
                  <c:v>46.028967116101377</c:v>
                </c:pt>
                <c:pt idx="249">
                  <c:v>45.836423172995964</c:v>
                </c:pt>
                <c:pt idx="250">
                  <c:v>45.640705880141333</c:v>
                </c:pt>
                <c:pt idx="251">
                  <c:v>45.44191455335956</c:v>
                </c:pt>
                <c:pt idx="252">
                  <c:v>45.240148467006563</c:v>
                </c:pt>
                <c:pt idx="253">
                  <c:v>45.035560250020275</c:v>
                </c:pt>
                <c:pt idx="254">
                  <c:v>44.828228543637799</c:v>
                </c:pt>
                <c:pt idx="255">
                  <c:v>44.61825273124439</c:v>
                </c:pt>
                <c:pt idx="256">
                  <c:v>44.405732125742126</c:v>
                </c:pt>
                <c:pt idx="257">
                  <c:v>44.19076597399097</c:v>
                </c:pt>
                <c:pt idx="258">
                  <c:v>43.97345345310211</c:v>
                </c:pt>
                <c:pt idx="259">
                  <c:v>43.75389367134207</c:v>
                </c:pt>
                <c:pt idx="260">
                  <c:v>43.531516666165189</c:v>
                </c:pt>
                <c:pt idx="261">
                  <c:v>43.305887178147927</c:v>
                </c:pt>
                <c:pt idx="262">
                  <c:v>43.07717858916596</c:v>
                </c:pt>
                <c:pt idx="263">
                  <c:v>42.845587772867603</c:v>
                </c:pt>
                <c:pt idx="264">
                  <c:v>42.611311471622734</c:v>
                </c:pt>
                <c:pt idx="265">
                  <c:v>42.374546106448939</c:v>
                </c:pt>
                <c:pt idx="266">
                  <c:v>42.135488069965312</c:v>
                </c:pt>
                <c:pt idx="267">
                  <c:v>41.89426501727047</c:v>
                </c:pt>
                <c:pt idx="268">
                  <c:v>41.651019080806094</c:v>
                </c:pt>
                <c:pt idx="269">
                  <c:v>41.405946319925121</c:v>
                </c:pt>
                <c:pt idx="270">
                  <c:v>41.159242702421288</c:v>
                </c:pt>
                <c:pt idx="271">
                  <c:v>40.911104101137113</c:v>
                </c:pt>
                <c:pt idx="272">
                  <c:v>40.661726289131252</c:v>
                </c:pt>
                <c:pt idx="273">
                  <c:v>40.41130493345883</c:v>
                </c:pt>
                <c:pt idx="274">
                  <c:v>40.158698846682576</c:v>
                </c:pt>
                <c:pt idx="275">
                  <c:v>39.902671028925184</c:v>
                </c:pt>
                <c:pt idx="276">
                  <c:v>39.643544560580942</c:v>
                </c:pt>
                <c:pt idx="277">
                  <c:v>39.381711452573299</c:v>
                </c:pt>
                <c:pt idx="278">
                  <c:v>39.11756367362991</c:v>
                </c:pt>
                <c:pt idx="279">
                  <c:v>38.851493147768736</c:v>
                </c:pt>
                <c:pt idx="280">
                  <c:v>38.583891757317012</c:v>
                </c:pt>
                <c:pt idx="281">
                  <c:v>38.314899371449215</c:v>
                </c:pt>
                <c:pt idx="282">
                  <c:v>38.044977355579455</c:v>
                </c:pt>
                <c:pt idx="283">
                  <c:v>37.774518467577224</c:v>
                </c:pt>
                <c:pt idx="284">
                  <c:v>37.5039154975128</c:v>
                </c:pt>
                <c:pt idx="285">
                  <c:v>37.233561270729759</c:v>
                </c:pt>
                <c:pt idx="286">
                  <c:v>36.963848647046781</c:v>
                </c:pt>
                <c:pt idx="287">
                  <c:v>36.695170520381524</c:v>
                </c:pt>
                <c:pt idx="288">
                  <c:v>36.426307195389292</c:v>
                </c:pt>
                <c:pt idx="289">
                  <c:v>36.155919890323325</c:v>
                </c:pt>
                <c:pt idx="290">
                  <c:v>35.88452681302018</c:v>
                </c:pt>
                <c:pt idx="291">
                  <c:v>35.612422853839981</c:v>
                </c:pt>
                <c:pt idx="292">
                  <c:v>35.339902834696431</c:v>
                </c:pt>
                <c:pt idx="293">
                  <c:v>35.067261505045167</c:v>
                </c:pt>
                <c:pt idx="294">
                  <c:v>34.794793538887014</c:v>
                </c:pt>
                <c:pt idx="295">
                  <c:v>34.523051823023735</c:v>
                </c:pt>
                <c:pt idx="296">
                  <c:v>34.252572473708533</c:v>
                </c:pt>
                <c:pt idx="297">
                  <c:v>33.983645017448175</c:v>
                </c:pt>
                <c:pt idx="298">
                  <c:v>33.716559467486796</c:v>
                </c:pt>
                <c:pt idx="299">
                  <c:v>33.451605615965164</c:v>
                </c:pt>
                <c:pt idx="300">
                  <c:v>33.189073042786326</c:v>
                </c:pt>
                <c:pt idx="301">
                  <c:v>32.929251131344415</c:v>
                </c:pt>
                <c:pt idx="302">
                  <c:v>32.671908154621427</c:v>
                </c:pt>
                <c:pt idx="303">
                  <c:v>32.416833703325096</c:v>
                </c:pt>
                <c:pt idx="304">
                  <c:v>32.16397586946735</c:v>
                </c:pt>
                <c:pt idx="305">
                  <c:v>31.913230204585869</c:v>
                </c:pt>
                <c:pt idx="306">
                  <c:v>31.664492198077873</c:v>
                </c:pt>
                <c:pt idx="307">
                  <c:v>31.417657306188055</c:v>
                </c:pt>
                <c:pt idx="308">
                  <c:v>31.17262098463689</c:v>
                </c:pt>
                <c:pt idx="309">
                  <c:v>30.929345551143012</c:v>
                </c:pt>
                <c:pt idx="310">
                  <c:v>30.687477533993015</c:v>
                </c:pt>
                <c:pt idx="311">
                  <c:v>30.446914036542797</c:v>
                </c:pt>
                <c:pt idx="312">
                  <c:v>30.207552275156228</c:v>
                </c:pt>
                <c:pt idx="313">
                  <c:v>29.969289603374165</c:v>
                </c:pt>
                <c:pt idx="314">
                  <c:v>29.732023535574356</c:v>
                </c:pt>
                <c:pt idx="315">
                  <c:v>29.495651767798321</c:v>
                </c:pt>
                <c:pt idx="316">
                  <c:v>29.259470227060692</c:v>
                </c:pt>
                <c:pt idx="317">
                  <c:v>29.023102956376469</c:v>
                </c:pt>
                <c:pt idx="318">
                  <c:v>28.78666567455442</c:v>
                </c:pt>
                <c:pt idx="319">
                  <c:v>28.55054709325486</c:v>
                </c:pt>
                <c:pt idx="320">
                  <c:v>28.315136037298441</c:v>
                </c:pt>
                <c:pt idx="321">
                  <c:v>28.080821446812124</c:v>
                </c:pt>
                <c:pt idx="322">
                  <c:v>27.847992379463648</c:v>
                </c:pt>
                <c:pt idx="323">
                  <c:v>27.617019682773023</c:v>
                </c:pt>
                <c:pt idx="324">
                  <c:v>27.388228501533479</c:v>
                </c:pt>
                <c:pt idx="325">
                  <c:v>27.162008789469454</c:v>
                </c:pt>
                <c:pt idx="326">
                  <c:v>26.938751369589426</c:v>
                </c:pt>
                <c:pt idx="327">
                  <c:v>26.718846555747053</c:v>
                </c:pt>
                <c:pt idx="328">
                  <c:v>26.502684069304181</c:v>
                </c:pt>
                <c:pt idx="329">
                  <c:v>26.290653701605141</c:v>
                </c:pt>
                <c:pt idx="330">
                  <c:v>26.078999315324314</c:v>
                </c:pt>
                <c:pt idx="331">
                  <c:v>25.864630530985053</c:v>
                </c:pt>
                <c:pt idx="332">
                  <c:v>25.649009504016185</c:v>
                </c:pt>
                <c:pt idx="333">
                  <c:v>25.433600488618179</c:v>
                </c:pt>
                <c:pt idx="334">
                  <c:v>25.219867517381893</c:v>
                </c:pt>
                <c:pt idx="335">
                  <c:v>25.009274383137775</c:v>
                </c:pt>
                <c:pt idx="336">
                  <c:v>24.803284611882937</c:v>
                </c:pt>
                <c:pt idx="337">
                  <c:v>24.603334932113398</c:v>
                </c:pt>
                <c:pt idx="338">
                  <c:v>24.410906215553393</c:v>
                </c:pt>
                <c:pt idx="339">
                  <c:v>24.227461089175666</c:v>
                </c:pt>
                <c:pt idx="340">
                  <c:v>24.054461827922921</c:v>
                </c:pt>
                <c:pt idx="341">
                  <c:v>23.893370329353736</c:v>
                </c:pt>
                <c:pt idx="342">
                  <c:v>23.745648093495962</c:v>
                </c:pt>
                <c:pt idx="343">
                  <c:v>23.612756214358509</c:v>
                </c:pt>
                <c:pt idx="344">
                  <c:v>23.490342103087134</c:v>
                </c:pt>
                <c:pt idx="345">
                  <c:v>23.373743534441704</c:v>
                </c:pt>
                <c:pt idx="346">
                  <c:v>23.263984762002806</c:v>
                </c:pt>
                <c:pt idx="347">
                  <c:v>23.162061502183839</c:v>
                </c:pt>
                <c:pt idx="348">
                  <c:v>23.068969180074347</c:v>
                </c:pt>
                <c:pt idx="349">
                  <c:v>22.985702898356294</c:v>
                </c:pt>
                <c:pt idx="350">
                  <c:v>22.913257453462951</c:v>
                </c:pt>
                <c:pt idx="351">
                  <c:v>22.852606051427596</c:v>
                </c:pt>
                <c:pt idx="352">
                  <c:v>22.804768973490546</c:v>
                </c:pt>
                <c:pt idx="353">
                  <c:v>22.770739994077722</c:v>
                </c:pt>
                <c:pt idx="354">
                  <c:v>22.751512544439535</c:v>
                </c:pt>
                <c:pt idx="355">
                  <c:v>22.748079702330799</c:v>
                </c:pt>
                <c:pt idx="356">
                  <c:v>22.761435724067901</c:v>
                </c:pt>
                <c:pt idx="357">
                  <c:v>22.792571535487475</c:v>
                </c:pt>
                <c:pt idx="358">
                  <c:v>22.842585583021354</c:v>
                </c:pt>
                <c:pt idx="359">
                  <c:v>22.911171588771449</c:v>
                </c:pt>
                <c:pt idx="360">
                  <c:v>22.997189159463872</c:v>
                </c:pt>
                <c:pt idx="361">
                  <c:v>23.099545449468209</c:v>
                </c:pt>
                <c:pt idx="362">
                  <c:v>23.217126642625214</c:v>
                </c:pt>
                <c:pt idx="363">
                  <c:v>23.348819178112283</c:v>
                </c:pt>
                <c:pt idx="364">
                  <c:v>23.493509751165735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22.673040207682536</c:v>
                </c:pt>
                <c:pt idx="1">
                  <c:v>15.357638356792433</c:v>
                </c:pt>
                <c:pt idx="2">
                  <c:v>17.42370109234572</c:v>
                </c:pt>
                <c:pt idx="3">
                  <c:v>17.720334425626138</c:v>
                </c:pt>
                <c:pt idx="4">
                  <c:v>12.820927909966572</c:v>
                </c:pt>
                <c:pt idx="5">
                  <c:v>24.130741979289862</c:v>
                </c:pt>
                <c:pt idx="6">
                  <c:v>8.297581489093675</c:v>
                </c:pt>
                <c:pt idx="7">
                  <c:v>5.7805118227254235</c:v>
                </c:pt>
                <c:pt idx="8">
                  <c:v>1.6499546801649161</c:v>
                </c:pt>
                <c:pt idx="9">
                  <c:v>1.3290277181879573</c:v>
                </c:pt>
                <c:pt idx="10">
                  <c:v>23.127487550325391</c:v>
                </c:pt>
                <c:pt idx="11">
                  <c:v>19.785261631288428</c:v>
                </c:pt>
                <c:pt idx="12">
                  <c:v>6.0102973751892907</c:v>
                </c:pt>
                <c:pt idx="13">
                  <c:v>25.818472921887437</c:v>
                </c:pt>
                <c:pt idx="14">
                  <c:v>26.612962038115747</c:v>
                </c:pt>
                <c:pt idx="15">
                  <c:v>26.357692234334355</c:v>
                </c:pt>
                <c:pt idx="16">
                  <c:v>17.090849373751116</c:v>
                </c:pt>
                <c:pt idx="17">
                  <c:v>4.501098451118974</c:v>
                </c:pt>
                <c:pt idx="18">
                  <c:v>11.381753730995829</c:v>
                </c:pt>
                <c:pt idx="19">
                  <c:v>4.7236574027105966</c:v>
                </c:pt>
                <c:pt idx="20">
                  <c:v>18.047057870942755</c:v>
                </c:pt>
                <c:pt idx="21">
                  <c:v>27.921237611832577</c:v>
                </c:pt>
                <c:pt idx="22">
                  <c:v>28.279248658546269</c:v>
                </c:pt>
                <c:pt idx="23">
                  <c:v>28.787326259956693</c:v>
                </c:pt>
                <c:pt idx="24">
                  <c:v>26.901223294897196</c:v>
                </c:pt>
                <c:pt idx="25">
                  <c:v>28.990145316253141</c:v>
                </c:pt>
                <c:pt idx="26">
                  <c:v>28.800668229621738</c:v>
                </c:pt>
                <c:pt idx="27">
                  <c:v>3.9296894751734097</c:v>
                </c:pt>
                <c:pt idx="28">
                  <c:v>6.0505102102302368</c:v>
                </c:pt>
                <c:pt idx="29">
                  <c:v>5.4569326034668455</c:v>
                </c:pt>
                <c:pt idx="30">
                  <c:v>6.8277981749624246</c:v>
                </c:pt>
                <c:pt idx="31">
                  <c:v>17.131237579911421</c:v>
                </c:pt>
                <c:pt idx="32">
                  <c:v>6.2890059865962362</c:v>
                </c:pt>
                <c:pt idx="33">
                  <c:v>14.857730164310032</c:v>
                </c:pt>
                <c:pt idx="34">
                  <c:v>13.419584839456931</c:v>
                </c:pt>
                <c:pt idx="35">
                  <c:v>9.8570946447234586</c:v>
                </c:pt>
                <c:pt idx="36">
                  <c:v>25.943754733161114</c:v>
                </c:pt>
                <c:pt idx="37">
                  <c:v>11.714711094983894</c:v>
                </c:pt>
                <c:pt idx="38">
                  <c:v>33.719029161591152</c:v>
                </c:pt>
                <c:pt idx="39">
                  <c:v>34.335906693006251</c:v>
                </c:pt>
                <c:pt idx="40">
                  <c:v>32.391414512187488</c:v>
                </c:pt>
                <c:pt idx="41">
                  <c:v>13.588580698450558</c:v>
                </c:pt>
                <c:pt idx="42">
                  <c:v>25.774363328184716</c:v>
                </c:pt>
                <c:pt idx="43">
                  <c:v>32.626877287964412</c:v>
                </c:pt>
                <c:pt idx="44">
                  <c:v>15.53958061801529</c:v>
                </c:pt>
                <c:pt idx="45">
                  <c:v>20.543713071878916</c:v>
                </c:pt>
                <c:pt idx="46">
                  <c:v>8.7750846733049457</c:v>
                </c:pt>
                <c:pt idx="47">
                  <c:v>9.6879497396237682</c:v>
                </c:pt>
                <c:pt idx="48">
                  <c:v>32.297582135259482</c:v>
                </c:pt>
                <c:pt idx="49">
                  <c:v>14.816707008943386</c:v>
                </c:pt>
                <c:pt idx="50">
                  <c:v>25.731998546338193</c:v>
                </c:pt>
                <c:pt idx="51">
                  <c:v>19.303678248917329</c:v>
                </c:pt>
                <c:pt idx="52">
                  <c:v>31.992634237513752</c:v>
                </c:pt>
                <c:pt idx="53">
                  <c:v>37.082784877579954</c:v>
                </c:pt>
                <c:pt idx="54">
                  <c:v>23.853869471490846</c:v>
                </c:pt>
                <c:pt idx="55">
                  <c:v>25.972392094265157</c:v>
                </c:pt>
                <c:pt idx="56">
                  <c:v>40.260064632391035</c:v>
                </c:pt>
                <c:pt idx="57">
                  <c:v>21.34651098326643</c:v>
                </c:pt>
                <c:pt idx="58">
                  <c:v>36.986376427174363</c:v>
                </c:pt>
                <c:pt idx="59">
                  <c:v>40.991247444827778</c:v>
                </c:pt>
                <c:pt idx="60">
                  <c:v>14.220927337420207</c:v>
                </c:pt>
                <c:pt idx="61">
                  <c:v>37.106614859289095</c:v>
                </c:pt>
                <c:pt idx="62">
                  <c:v>4.946697143826758</c:v>
                </c:pt>
                <c:pt idx="63">
                  <c:v>15.242400822150369</c:v>
                </c:pt>
                <c:pt idx="64">
                  <c:v>22.000468043055093</c:v>
                </c:pt>
                <c:pt idx="65">
                  <c:v>34.316967747580385</c:v>
                </c:pt>
                <c:pt idx="66">
                  <c:v>34.725966560368398</c:v>
                </c:pt>
                <c:pt idx="67">
                  <c:v>31.662563941195799</c:v>
                </c:pt>
                <c:pt idx="68">
                  <c:v>25.479239057783694</c:v>
                </c:pt>
                <c:pt idx="69">
                  <c:v>17.835024841767169</c:v>
                </c:pt>
                <c:pt idx="70">
                  <c:v>13.014917287731834</c:v>
                </c:pt>
                <c:pt idx="71">
                  <c:v>9.669762544460621</c:v>
                </c:pt>
                <c:pt idx="72">
                  <c:v>13.107873518622164</c:v>
                </c:pt>
                <c:pt idx="73">
                  <c:v>16.021165276864771</c:v>
                </c:pt>
                <c:pt idx="74">
                  <c:v>11.680605912327724</c:v>
                </c:pt>
                <c:pt idx="75">
                  <c:v>10.054652618972039</c:v>
                </c:pt>
                <c:pt idx="76">
                  <c:v>13.203261296548693</c:v>
                </c:pt>
                <c:pt idx="77">
                  <c:v>27.513018384405544</c:v>
                </c:pt>
                <c:pt idx="78">
                  <c:v>32.210098664253749</c:v>
                </c:pt>
                <c:pt idx="79">
                  <c:v>44.861803250097026</c:v>
                </c:pt>
                <c:pt idx="80">
                  <c:v>41.230428732874266</c:v>
                </c:pt>
                <c:pt idx="81">
                  <c:v>48.61606083657977</c:v>
                </c:pt>
                <c:pt idx="82">
                  <c:v>47.509813451978665</c:v>
                </c:pt>
                <c:pt idx="83">
                  <c:v>37.476597018461064</c:v>
                </c:pt>
                <c:pt idx="84">
                  <c:v>42.836268472002637</c:v>
                </c:pt>
                <c:pt idx="85">
                  <c:v>45.434759997737139</c:v>
                </c:pt>
                <c:pt idx="86">
                  <c:v>38.768998390916835</c:v>
                </c:pt>
                <c:pt idx="87">
                  <c:v>27.031286662543504</c:v>
                </c:pt>
                <c:pt idx="88">
                  <c:v>6.1214409237485716</c:v>
                </c:pt>
                <c:pt idx="89">
                  <c:v>17.077742580167026</c:v>
                </c:pt>
                <c:pt idx="90">
                  <c:v>32.242315847577508</c:v>
                </c:pt>
                <c:pt idx="91">
                  <c:v>17.036395569084437</c:v>
                </c:pt>
                <c:pt idx="92">
                  <c:v>31.693441055280257</c:v>
                </c:pt>
                <c:pt idx="93">
                  <c:v>43.88461928428044</c:v>
                </c:pt>
                <c:pt idx="94">
                  <c:v>51.896397485603188</c:v>
                </c:pt>
                <c:pt idx="95">
                  <c:v>11.94259446000023</c:v>
                </c:pt>
                <c:pt idx="96">
                  <c:v>43.433497450305538</c:v>
                </c:pt>
                <c:pt idx="97">
                  <c:v>37.934070331220632</c:v>
                </c:pt>
                <c:pt idx="98">
                  <c:v>30.57857064801793</c:v>
                </c:pt>
                <c:pt idx="99">
                  <c:v>55.454892493593277</c:v>
                </c:pt>
                <c:pt idx="100">
                  <c:v>44.23736583679591</c:v>
                </c:pt>
                <c:pt idx="101">
                  <c:v>38.800448771944971</c:v>
                </c:pt>
                <c:pt idx="102">
                  <c:v>6.0119576778439781</c:v>
                </c:pt>
                <c:pt idx="103">
                  <c:v>43.413485636975572</c:v>
                </c:pt>
                <c:pt idx="104">
                  <c:v>44.420811302480949</c:v>
                </c:pt>
                <c:pt idx="105">
                  <c:v>36.344193228699019</c:v>
                </c:pt>
                <c:pt idx="106">
                  <c:v>53.515809241204927</c:v>
                </c:pt>
                <c:pt idx="107">
                  <c:v>34.864515179064867</c:v>
                </c:pt>
                <c:pt idx="108">
                  <c:v>9.3410359338739344</c:v>
                </c:pt>
                <c:pt idx="109">
                  <c:v>9.6199167661661473</c:v>
                </c:pt>
                <c:pt idx="110">
                  <c:v>8.8522911003839351</c:v>
                </c:pt>
                <c:pt idx="111">
                  <c:v>27.334564606990625</c:v>
                </c:pt>
                <c:pt idx="112">
                  <c:v>9.3541635882228711</c:v>
                </c:pt>
                <c:pt idx="113">
                  <c:v>26.536166187452778</c:v>
                </c:pt>
                <c:pt idx="114">
                  <c:v>41.859974648516584</c:v>
                </c:pt>
                <c:pt idx="115">
                  <c:v>53.733600028864885</c:v>
                </c:pt>
                <c:pt idx="116">
                  <c:v>41.288227360856389</c:v>
                </c:pt>
                <c:pt idx="117">
                  <c:v>23.163105564224598</c:v>
                </c:pt>
                <c:pt idx="118">
                  <c:v>41.512773719301315</c:v>
                </c:pt>
                <c:pt idx="119">
                  <c:v>39.473894200637851</c:v>
                </c:pt>
                <c:pt idx="120">
                  <c:v>44.992835649599201</c:v>
                </c:pt>
                <c:pt idx="121">
                  <c:v>25.537059821305217</c:v>
                </c:pt>
                <c:pt idx="122">
                  <c:v>31.383812163124816</c:v>
                </c:pt>
                <c:pt idx="123">
                  <c:v>15.877878790046967</c:v>
                </c:pt>
                <c:pt idx="124">
                  <c:v>34.427473335597334</c:v>
                </c:pt>
                <c:pt idx="125">
                  <c:v>39.414417824983893</c:v>
                </c:pt>
                <c:pt idx="126">
                  <c:v>43.920793196154115</c:v>
                </c:pt>
                <c:pt idx="127">
                  <c:v>54.502093633925647</c:v>
                </c:pt>
                <c:pt idx="128">
                  <c:v>52.274322657189664</c:v>
                </c:pt>
                <c:pt idx="129">
                  <c:v>53.384805509563265</c:v>
                </c:pt>
                <c:pt idx="130">
                  <c:v>56.479359604672936</c:v>
                </c:pt>
                <c:pt idx="131">
                  <c:v>42.84001810541988</c:v>
                </c:pt>
                <c:pt idx="132">
                  <c:v>36.99466452089019</c:v>
                </c:pt>
                <c:pt idx="133">
                  <c:v>51.435821830546885</c:v>
                </c:pt>
                <c:pt idx="134">
                  <c:v>53.241594717883515</c:v>
                </c:pt>
                <c:pt idx="135">
                  <c:v>49.616612986413259</c:v>
                </c:pt>
                <c:pt idx="136">
                  <c:v>54.289549716529784</c:v>
                </c:pt>
                <c:pt idx="137">
                  <c:v>52.032013144306539</c:v>
                </c:pt>
                <c:pt idx="138">
                  <c:v>50.4827107311242</c:v>
                </c:pt>
                <c:pt idx="139">
                  <c:v>48.946979631525473</c:v>
                </c:pt>
                <c:pt idx="140">
                  <c:v>53.606022229822187</c:v>
                </c:pt>
                <c:pt idx="141">
                  <c:v>40.778862721025575</c:v>
                </c:pt>
                <c:pt idx="142">
                  <c:v>16.962512393057491</c:v>
                </c:pt>
                <c:pt idx="143">
                  <c:v>14.741215730101699</c:v>
                </c:pt>
                <c:pt idx="144">
                  <c:v>40.733766816222108</c:v>
                </c:pt>
                <c:pt idx="145">
                  <c:v>29.94188735582091</c:v>
                </c:pt>
                <c:pt idx="146">
                  <c:v>44.601934490531839</c:v>
                </c:pt>
                <c:pt idx="147">
                  <c:v>52.624781014912841</c:v>
                </c:pt>
                <c:pt idx="148">
                  <c:v>57.809396843739712</c:v>
                </c:pt>
                <c:pt idx="149">
                  <c:v>45.025483008162041</c:v>
                </c:pt>
                <c:pt idx="150">
                  <c:v>54.254183799094768</c:v>
                </c:pt>
                <c:pt idx="151">
                  <c:v>56.26350961923999</c:v>
                </c:pt>
                <c:pt idx="152">
                  <c:v>39.010872526526747</c:v>
                </c:pt>
                <c:pt idx="153">
                  <c:v>54.841066667570416</c:v>
                </c:pt>
                <c:pt idx="154">
                  <c:v>24.863753792394213</c:v>
                </c:pt>
                <c:pt idx="155">
                  <c:v>28.722727583969586</c:v>
                </c:pt>
                <c:pt idx="156">
                  <c:v>48.386056022503809</c:v>
                </c:pt>
                <c:pt idx="157">
                  <c:v>26.868518345352573</c:v>
                </c:pt>
                <c:pt idx="158">
                  <c:v>20.75923988627466</c:v>
                </c:pt>
                <c:pt idx="159">
                  <c:v>49.116342395007003</c:v>
                </c:pt>
                <c:pt idx="160">
                  <c:v>56.483402907933943</c:v>
                </c:pt>
                <c:pt idx="161">
                  <c:v>54.95958443293987</c:v>
                </c:pt>
                <c:pt idx="162">
                  <c:v>45.439739870837464</c:v>
                </c:pt>
                <c:pt idx="163">
                  <c:v>49.956144714631179</c:v>
                </c:pt>
                <c:pt idx="164">
                  <c:v>49.139656412396747</c:v>
                </c:pt>
                <c:pt idx="165">
                  <c:v>52.400859067597175</c:v>
                </c:pt>
                <c:pt idx="166">
                  <c:v>50.543863299260067</c:v>
                </c:pt>
                <c:pt idx="167">
                  <c:v>51.511464234993227</c:v>
                </c:pt>
                <c:pt idx="168">
                  <c:v>54.422740803649582</c:v>
                </c:pt>
                <c:pt idx="169">
                  <c:v>55.384597338532949</c:v>
                </c:pt>
                <c:pt idx="170">
                  <c:v>29.093794734498704</c:v>
                </c:pt>
                <c:pt idx="171">
                  <c:v>19.247485135477568</c:v>
                </c:pt>
                <c:pt idx="172">
                  <c:v>40.631068693056818</c:v>
                </c:pt>
                <c:pt idx="173">
                  <c:v>42.267126226967875</c:v>
                </c:pt>
                <c:pt idx="174">
                  <c:v>39.553037724369673</c:v>
                </c:pt>
                <c:pt idx="175">
                  <c:v>39.563369193544517</c:v>
                </c:pt>
                <c:pt idx="176">
                  <c:v>10.39499799188804</c:v>
                </c:pt>
                <c:pt idx="177">
                  <c:v>15.530124426243162</c:v>
                </c:pt>
                <c:pt idx="178">
                  <c:v>54.786947364981678</c:v>
                </c:pt>
                <c:pt idx="179">
                  <c:v>55.818431275863368</c:v>
                </c:pt>
                <c:pt idx="180">
                  <c:v>12.315615064125199</c:v>
                </c:pt>
                <c:pt idx="181">
                  <c:v>39.256569204966105</c:v>
                </c:pt>
                <c:pt idx="182">
                  <c:v>55.074607413878113</c:v>
                </c:pt>
                <c:pt idx="183">
                  <c:v>50.023398710507706</c:v>
                </c:pt>
                <c:pt idx="184">
                  <c:v>42.282499148539898</c:v>
                </c:pt>
                <c:pt idx="185">
                  <c:v>54.265518563518874</c:v>
                </c:pt>
                <c:pt idx="186">
                  <c:v>38.622625410572596</c:v>
                </c:pt>
                <c:pt idx="187">
                  <c:v>53.950047670786994</c:v>
                </c:pt>
                <c:pt idx="188">
                  <c:v>55.088899038207849</c:v>
                </c:pt>
                <c:pt idx="189">
                  <c:v>54.74058259074112</c:v>
                </c:pt>
                <c:pt idx="190">
                  <c:v>54.348176652426226</c:v>
                </c:pt>
                <c:pt idx="191">
                  <c:v>53.502174019060249</c:v>
                </c:pt>
                <c:pt idx="192">
                  <c:v>52.359472846739891</c:v>
                </c:pt>
                <c:pt idx="193">
                  <c:v>52.418492993391972</c:v>
                </c:pt>
                <c:pt idx="194">
                  <c:v>52.17328711968181</c:v>
                </c:pt>
                <c:pt idx="195">
                  <c:v>49.704553227932522</c:v>
                </c:pt>
                <c:pt idx="196">
                  <c:v>50.872590535824315</c:v>
                </c:pt>
                <c:pt idx="197">
                  <c:v>51.436839475060935</c:v>
                </c:pt>
                <c:pt idx="198">
                  <c:v>53.509217672506395</c:v>
                </c:pt>
                <c:pt idx="199">
                  <c:v>32.262526060741507</c:v>
                </c:pt>
                <c:pt idx="200">
                  <c:v>39.197990771402218</c:v>
                </c:pt>
                <c:pt idx="201">
                  <c:v>51.155948184922899</c:v>
                </c:pt>
                <c:pt idx="202">
                  <c:v>42.97768292526321</c:v>
                </c:pt>
                <c:pt idx="203">
                  <c:v>37.9082324478291</c:v>
                </c:pt>
                <c:pt idx="204">
                  <c:v>51.518174460297693</c:v>
                </c:pt>
                <c:pt idx="205">
                  <c:v>27.551482655860028</c:v>
                </c:pt>
                <c:pt idx="206">
                  <c:v>43.400250282943652</c:v>
                </c:pt>
                <c:pt idx="207">
                  <c:v>53.454171443314323</c:v>
                </c:pt>
                <c:pt idx="208">
                  <c:v>42.616947090031658</c:v>
                </c:pt>
                <c:pt idx="209">
                  <c:v>25.107726384949476</c:v>
                </c:pt>
                <c:pt idx="210">
                  <c:v>41.676199959480968</c:v>
                </c:pt>
                <c:pt idx="211">
                  <c:v>52.179818352076829</c:v>
                </c:pt>
                <c:pt idx="212">
                  <c:v>51.860064152623032</c:v>
                </c:pt>
                <c:pt idx="213">
                  <c:v>52.084568165393797</c:v>
                </c:pt>
                <c:pt idx="214">
                  <c:v>52.19242953981508</c:v>
                </c:pt>
                <c:pt idx="215">
                  <c:v>49.623102503120911</c:v>
                </c:pt>
                <c:pt idx="216">
                  <c:v>40.069084303840199</c:v>
                </c:pt>
                <c:pt idx="217">
                  <c:v>47.538735887798346</c:v>
                </c:pt>
                <c:pt idx="218">
                  <c:v>50.322681247819347</c:v>
                </c:pt>
                <c:pt idx="219">
                  <c:v>51.245288308714876</c:v>
                </c:pt>
                <c:pt idx="220">
                  <c:v>49.577213792574724</c:v>
                </c:pt>
                <c:pt idx="221">
                  <c:v>48.214350955505545</c:v>
                </c:pt>
                <c:pt idx="222">
                  <c:v>46.14366192140448</c:v>
                </c:pt>
                <c:pt idx="223">
                  <c:v>46.556898181712839</c:v>
                </c:pt>
                <c:pt idx="224">
                  <c:v>34.990776382598519</c:v>
                </c:pt>
                <c:pt idx="225">
                  <c:v>34.867149639708671</c:v>
                </c:pt>
                <c:pt idx="226">
                  <c:v>32.565693470296225</c:v>
                </c:pt>
                <c:pt idx="227">
                  <c:v>37.443081091525784</c:v>
                </c:pt>
                <c:pt idx="228">
                  <c:v>23.391348166773035</c:v>
                </c:pt>
                <c:pt idx="229">
                  <c:v>31.350757157871119</c:v>
                </c:pt>
                <c:pt idx="230">
                  <c:v>32.743623026020444</c:v>
                </c:pt>
                <c:pt idx="231">
                  <c:v>47.801873049237976</c:v>
                </c:pt>
                <c:pt idx="232">
                  <c:v>37.866511018645021</c:v>
                </c:pt>
                <c:pt idx="233">
                  <c:v>26.594935367560737</c:v>
                </c:pt>
                <c:pt idx="234">
                  <c:v>41.38427901229187</c:v>
                </c:pt>
                <c:pt idx="235">
                  <c:v>48.403914097394761</c:v>
                </c:pt>
                <c:pt idx="236">
                  <c:v>27.258228306998387</c:v>
                </c:pt>
                <c:pt idx="237">
                  <c:v>34.839288614608371</c:v>
                </c:pt>
                <c:pt idx="238">
                  <c:v>44.09839710345225</c:v>
                </c:pt>
                <c:pt idx="239">
                  <c:v>47.154213068487152</c:v>
                </c:pt>
                <c:pt idx="240">
                  <c:v>31.641247400241998</c:v>
                </c:pt>
                <c:pt idx="241">
                  <c:v>46.54609374169533</c:v>
                </c:pt>
                <c:pt idx="242">
                  <c:v>19.611184953789724</c:v>
                </c:pt>
                <c:pt idx="243">
                  <c:v>41.627751540346033</c:v>
                </c:pt>
                <c:pt idx="244">
                  <c:v>36.840928441262001</c:v>
                </c:pt>
                <c:pt idx="245">
                  <c:v>30.950912606189867</c:v>
                </c:pt>
                <c:pt idx="246">
                  <c:v>47.012699628503725</c:v>
                </c:pt>
                <c:pt idx="247">
                  <c:v>40.275137952072029</c:v>
                </c:pt>
                <c:pt idx="248">
                  <c:v>43.788384869598602</c:v>
                </c:pt>
                <c:pt idx="249">
                  <c:v>34.119100300256392</c:v>
                </c:pt>
                <c:pt idx="250">
                  <c:v>38.894296842608377</c:v>
                </c:pt>
                <c:pt idx="251">
                  <c:v>16.414888237689304</c:v>
                </c:pt>
                <c:pt idx="252">
                  <c:v>43.086085935637044</c:v>
                </c:pt>
                <c:pt idx="253">
                  <c:v>45.26373633640501</c:v>
                </c:pt>
                <c:pt idx="254">
                  <c:v>34.873055419716586</c:v>
                </c:pt>
                <c:pt idx="255">
                  <c:v>11.007303403883995</c:v>
                </c:pt>
                <c:pt idx="256">
                  <c:v>36.923276286922103</c:v>
                </c:pt>
                <c:pt idx="257">
                  <c:v>41.267184867262465</c:v>
                </c:pt>
                <c:pt idx="258">
                  <c:v>24.553573607717944</c:v>
                </c:pt>
                <c:pt idx="259">
                  <c:v>45.197426266661331</c:v>
                </c:pt>
                <c:pt idx="260">
                  <c:v>44.483126770932081</c:v>
                </c:pt>
                <c:pt idx="261">
                  <c:v>42.889255223482344</c:v>
                </c:pt>
                <c:pt idx="262">
                  <c:v>42.88716880346152</c:v>
                </c:pt>
                <c:pt idx="263">
                  <c:v>44.317426552818041</c:v>
                </c:pt>
                <c:pt idx="264">
                  <c:v>43.155684122429363</c:v>
                </c:pt>
                <c:pt idx="265">
                  <c:v>32.469360860669106</c:v>
                </c:pt>
                <c:pt idx="266">
                  <c:v>21.78360033963337</c:v>
                </c:pt>
                <c:pt idx="267">
                  <c:v>32.969219166298778</c:v>
                </c:pt>
                <c:pt idx="268">
                  <c:v>34.314412445235291</c:v>
                </c:pt>
                <c:pt idx="269">
                  <c:v>14.696386858452144</c:v>
                </c:pt>
                <c:pt idx="270">
                  <c:v>14.764594550640918</c:v>
                </c:pt>
                <c:pt idx="271">
                  <c:v>20.932363899044546</c:v>
                </c:pt>
                <c:pt idx="272">
                  <c:v>28.919439019651772</c:v>
                </c:pt>
                <c:pt idx="273">
                  <c:v>33.883817425810179</c:v>
                </c:pt>
                <c:pt idx="274">
                  <c:v>38.351910813370672</c:v>
                </c:pt>
                <c:pt idx="275">
                  <c:v>34.122304629107447</c:v>
                </c:pt>
                <c:pt idx="276">
                  <c:v>40.710039435537979</c:v>
                </c:pt>
                <c:pt idx="277">
                  <c:v>40.395471078641741</c:v>
                </c:pt>
                <c:pt idx="278">
                  <c:v>14.369429735611119</c:v>
                </c:pt>
                <c:pt idx="279">
                  <c:v>30.43900789903358</c:v>
                </c:pt>
                <c:pt idx="280">
                  <c:v>14.672779027985577</c:v>
                </c:pt>
                <c:pt idx="281">
                  <c:v>38.410395482861482</c:v>
                </c:pt>
                <c:pt idx="282">
                  <c:v>33.525921458789007</c:v>
                </c:pt>
                <c:pt idx="283">
                  <c:v>24.130226220190696</c:v>
                </c:pt>
                <c:pt idx="284">
                  <c:v>22.972261785831062</c:v>
                </c:pt>
                <c:pt idx="285">
                  <c:v>23.632609917318586</c:v>
                </c:pt>
                <c:pt idx="286">
                  <c:v>14.720535745671128</c:v>
                </c:pt>
                <c:pt idx="287">
                  <c:v>37.546461535207293</c:v>
                </c:pt>
                <c:pt idx="288">
                  <c:v>33.548226394752334</c:v>
                </c:pt>
                <c:pt idx="289">
                  <c:v>18.419108057820448</c:v>
                </c:pt>
                <c:pt idx="290">
                  <c:v>35.029503615286771</c:v>
                </c:pt>
                <c:pt idx="291">
                  <c:v>15.668095460507091</c:v>
                </c:pt>
                <c:pt idx="292">
                  <c:v>12.180942229248412</c:v>
                </c:pt>
                <c:pt idx="293">
                  <c:v>16.56076739310874</c:v>
                </c:pt>
                <c:pt idx="294">
                  <c:v>34.513926546561123</c:v>
                </c:pt>
                <c:pt idx="295">
                  <c:v>20.282081645369669</c:v>
                </c:pt>
                <c:pt idx="296">
                  <c:v>29.081054399517313</c:v>
                </c:pt>
                <c:pt idx="297">
                  <c:v>22.632421161458723</c:v>
                </c:pt>
                <c:pt idx="298">
                  <c:v>15.583004744406258</c:v>
                </c:pt>
                <c:pt idx="299">
                  <c:v>15.773898748614215</c:v>
                </c:pt>
                <c:pt idx="300">
                  <c:v>17.251771653646031</c:v>
                </c:pt>
                <c:pt idx="301">
                  <c:v>27.734903990089883</c:v>
                </c:pt>
                <c:pt idx="302">
                  <c:v>24.745805915966233</c:v>
                </c:pt>
                <c:pt idx="303">
                  <c:v>24.081285455906038</c:v>
                </c:pt>
                <c:pt idx="304">
                  <c:v>25.884832574860372</c:v>
                </c:pt>
                <c:pt idx="305">
                  <c:v>28.748773259747782</c:v>
                </c:pt>
                <c:pt idx="306">
                  <c:v>9.0165752353470179</c:v>
                </c:pt>
                <c:pt idx="307">
                  <c:v>12.583930266219438</c:v>
                </c:pt>
                <c:pt idx="308">
                  <c:v>30.501857317453883</c:v>
                </c:pt>
                <c:pt idx="309">
                  <c:v>31.557526575154618</c:v>
                </c:pt>
                <c:pt idx="310">
                  <c:v>31.659414257956698</c:v>
                </c:pt>
                <c:pt idx="311">
                  <c:v>20.496644720013666</c:v>
                </c:pt>
                <c:pt idx="312">
                  <c:v>12.149011306128791</c:v>
                </c:pt>
                <c:pt idx="313">
                  <c:v>21.207325634239311</c:v>
                </c:pt>
                <c:pt idx="314">
                  <c:v>28.778537966618092</c:v>
                </c:pt>
                <c:pt idx="315">
                  <c:v>28.540928159884576</c:v>
                </c:pt>
                <c:pt idx="316">
                  <c:v>28.685301862383564</c:v>
                </c:pt>
                <c:pt idx="317">
                  <c:v>12.182284743199958</c:v>
                </c:pt>
                <c:pt idx="318">
                  <c:v>13.33128008168285</c:v>
                </c:pt>
                <c:pt idx="319">
                  <c:v>28.074276554156526</c:v>
                </c:pt>
                <c:pt idx="320">
                  <c:v>12.335715422679106</c:v>
                </c:pt>
                <c:pt idx="321">
                  <c:v>14.181452699106796</c:v>
                </c:pt>
                <c:pt idx="322">
                  <c:v>5.9363315686138387</c:v>
                </c:pt>
                <c:pt idx="323">
                  <c:v>19.691892062590732</c:v>
                </c:pt>
                <c:pt idx="324">
                  <c:v>3.1727790632297066</c:v>
                </c:pt>
                <c:pt idx="325">
                  <c:v>9.7044921091673384</c:v>
                </c:pt>
                <c:pt idx="326">
                  <c:v>13.263333618966485</c:v>
                </c:pt>
                <c:pt idx="327">
                  <c:v>13.886742061565167</c:v>
                </c:pt>
                <c:pt idx="328">
                  <c:v>4.0740822948118245</c:v>
                </c:pt>
                <c:pt idx="329">
                  <c:v>14.405801008242781</c:v>
                </c:pt>
                <c:pt idx="330">
                  <c:v>16.275817994957453</c:v>
                </c:pt>
                <c:pt idx="331">
                  <c:v>9.1833386083151769</c:v>
                </c:pt>
                <c:pt idx="332">
                  <c:v>10.216335826071132</c:v>
                </c:pt>
                <c:pt idx="333">
                  <c:v>4.555966897940035</c:v>
                </c:pt>
                <c:pt idx="334">
                  <c:v>3.3815396464099186</c:v>
                </c:pt>
                <c:pt idx="335">
                  <c:v>5.9007541395079102</c:v>
                </c:pt>
                <c:pt idx="336">
                  <c:v>10.907665576489372</c:v>
                </c:pt>
                <c:pt idx="337">
                  <c:v>21.352344976792779</c:v>
                </c:pt>
                <c:pt idx="338">
                  <c:v>25.309117700911806</c:v>
                </c:pt>
                <c:pt idx="339">
                  <c:v>16.043373337828374</c:v>
                </c:pt>
                <c:pt idx="340">
                  <c:v>18.776505871100493</c:v>
                </c:pt>
                <c:pt idx="341">
                  <c:v>4.5759958359737967</c:v>
                </c:pt>
                <c:pt idx="342">
                  <c:v>9.2502917634992059</c:v>
                </c:pt>
                <c:pt idx="343">
                  <c:v>15.475081346154631</c:v>
                </c:pt>
                <c:pt idx="344">
                  <c:v>14.753831290860607</c:v>
                </c:pt>
                <c:pt idx="345">
                  <c:v>6.8067351330286678</c:v>
                </c:pt>
                <c:pt idx="346">
                  <c:v>6.3762657428124498</c:v>
                </c:pt>
                <c:pt idx="347">
                  <c:v>14.966137794197513</c:v>
                </c:pt>
                <c:pt idx="348">
                  <c:v>7.1223842475930326</c:v>
                </c:pt>
                <c:pt idx="349">
                  <c:v>5.1078210493683409</c:v>
                </c:pt>
                <c:pt idx="350">
                  <c:v>2.8474501806901409</c:v>
                </c:pt>
                <c:pt idx="351">
                  <c:v>19.253324591014145</c:v>
                </c:pt>
                <c:pt idx="352">
                  <c:v>17.215564613612312</c:v>
                </c:pt>
                <c:pt idx="353">
                  <c:v>3.8554910571637229</c:v>
                </c:pt>
                <c:pt idx="354">
                  <c:v>19.651566670428462</c:v>
                </c:pt>
                <c:pt idx="355">
                  <c:v>19.216120820669016</c:v>
                </c:pt>
                <c:pt idx="356">
                  <c:v>19.347999839286899</c:v>
                </c:pt>
                <c:pt idx="357">
                  <c:v>20.543791186949864</c:v>
                </c:pt>
                <c:pt idx="358">
                  <c:v>11.528674499973812</c:v>
                </c:pt>
                <c:pt idx="359">
                  <c:v>19.681164134318315</c:v>
                </c:pt>
                <c:pt idx="360">
                  <c:v>6.6639146131786173</c:v>
                </c:pt>
                <c:pt idx="361">
                  <c:v>21.424197330456263</c:v>
                </c:pt>
                <c:pt idx="362">
                  <c:v>10.90086820838239</c:v>
                </c:pt>
                <c:pt idx="363">
                  <c:v>14.877523869349574</c:v>
                </c:pt>
                <c:pt idx="364">
                  <c:v>12.807623180751841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22.673040207682536</c:v>
                </c:pt>
                <c:pt idx="1">
                  <c:v>15.357638356792433</c:v>
                </c:pt>
                <c:pt idx="2">
                  <c:v>17.42370109234572</c:v>
                </c:pt>
                <c:pt idx="3">
                  <c:v>17.720334425626138</c:v>
                </c:pt>
                <c:pt idx="4">
                  <c:v>12.820927909966572</c:v>
                </c:pt>
                <c:pt idx="5">
                  <c:v>24.130741979289862</c:v>
                </c:pt>
                <c:pt idx="6">
                  <c:v>8.297581489093675</c:v>
                </c:pt>
                <c:pt idx="7">
                  <c:v>5.7805118227254235</c:v>
                </c:pt>
                <c:pt idx="8">
                  <c:v>1.6499546801649161</c:v>
                </c:pt>
                <c:pt idx="9">
                  <c:v>1.3290277181879573</c:v>
                </c:pt>
                <c:pt idx="10">
                  <c:v>23.127487550325391</c:v>
                </c:pt>
                <c:pt idx="11">
                  <c:v>19.785261631288428</c:v>
                </c:pt>
                <c:pt idx="12">
                  <c:v>6.0102973751892907</c:v>
                </c:pt>
                <c:pt idx="13">
                  <c:v>25.818472921887437</c:v>
                </c:pt>
                <c:pt idx="14">
                  <c:v>26.612962038115747</c:v>
                </c:pt>
                <c:pt idx="15">
                  <c:v>26.357692234334355</c:v>
                </c:pt>
                <c:pt idx="16">
                  <c:v>17.090849373751116</c:v>
                </c:pt>
                <c:pt idx="17">
                  <c:v>4.501098451118974</c:v>
                </c:pt>
                <c:pt idx="18">
                  <c:v>11.381753730995829</c:v>
                </c:pt>
                <c:pt idx="19">
                  <c:v>4.7236574027105966</c:v>
                </c:pt>
                <c:pt idx="20">
                  <c:v>18.047057870942755</c:v>
                </c:pt>
                <c:pt idx="21">
                  <c:v>27.921237611832577</c:v>
                </c:pt>
                <c:pt idx="22">
                  <c:v>28.279248658546269</c:v>
                </c:pt>
                <c:pt idx="23">
                  <c:v>28.787326259956693</c:v>
                </c:pt>
                <c:pt idx="24">
                  <c:v>26.901223294897196</c:v>
                </c:pt>
                <c:pt idx="25">
                  <c:v>28.990145316253141</c:v>
                </c:pt>
                <c:pt idx="26">
                  <c:v>28.800668229621738</c:v>
                </c:pt>
                <c:pt idx="27">
                  <c:v>3.9296894751734097</c:v>
                </c:pt>
                <c:pt idx="28">
                  <c:v>6.0505102102302368</c:v>
                </c:pt>
                <c:pt idx="29">
                  <c:v>5.4569326034668455</c:v>
                </c:pt>
                <c:pt idx="30">
                  <c:v>6.8277981749624246</c:v>
                </c:pt>
                <c:pt idx="31">
                  <c:v>17.131237579911421</c:v>
                </c:pt>
                <c:pt idx="32">
                  <c:v>6.2890059865962362</c:v>
                </c:pt>
                <c:pt idx="33">
                  <c:v>14.857730164310032</c:v>
                </c:pt>
                <c:pt idx="34">
                  <c:v>13.419584839456931</c:v>
                </c:pt>
                <c:pt idx="35">
                  <c:v>9.8570946447234586</c:v>
                </c:pt>
                <c:pt idx="36">
                  <c:v>25.943754733161114</c:v>
                </c:pt>
                <c:pt idx="37">
                  <c:v>11.714711094983894</c:v>
                </c:pt>
                <c:pt idx="38">
                  <c:v>33.719029161591152</c:v>
                </c:pt>
                <c:pt idx="39">
                  <c:v>34.335906693006251</c:v>
                </c:pt>
                <c:pt idx="40">
                  <c:v>32.391414512187488</c:v>
                </c:pt>
                <c:pt idx="41">
                  <c:v>13.588580698450558</c:v>
                </c:pt>
                <c:pt idx="42">
                  <c:v>25.774363328184716</c:v>
                </c:pt>
                <c:pt idx="43">
                  <c:v>32.626877287964412</c:v>
                </c:pt>
                <c:pt idx="44">
                  <c:v>15.53958061801529</c:v>
                </c:pt>
                <c:pt idx="45">
                  <c:v>20.543713071878916</c:v>
                </c:pt>
                <c:pt idx="46">
                  <c:v>8.7750846733049457</c:v>
                </c:pt>
                <c:pt idx="47">
                  <c:v>9.6879497396237682</c:v>
                </c:pt>
                <c:pt idx="48">
                  <c:v>32.297582135259482</c:v>
                </c:pt>
                <c:pt idx="49">
                  <c:v>14.816707008943386</c:v>
                </c:pt>
                <c:pt idx="50">
                  <c:v>25.731998546338193</c:v>
                </c:pt>
                <c:pt idx="51">
                  <c:v>19.303678248917329</c:v>
                </c:pt>
                <c:pt idx="52">
                  <c:v>31.992634237513752</c:v>
                </c:pt>
                <c:pt idx="53">
                  <c:v>37.082784877579954</c:v>
                </c:pt>
                <c:pt idx="54">
                  <c:v>23.853869471490846</c:v>
                </c:pt>
                <c:pt idx="55">
                  <c:v>25.972392094265157</c:v>
                </c:pt>
                <c:pt idx="56">
                  <c:v>40.260064632391035</c:v>
                </c:pt>
                <c:pt idx="57">
                  <c:v>21.34651098326643</c:v>
                </c:pt>
                <c:pt idx="58">
                  <c:v>36.986376427174363</c:v>
                </c:pt>
                <c:pt idx="59">
                  <c:v>40.991247444827778</c:v>
                </c:pt>
                <c:pt idx="60">
                  <c:v>14.220927337420207</c:v>
                </c:pt>
                <c:pt idx="61">
                  <c:v>37.106614859289095</c:v>
                </c:pt>
                <c:pt idx="62">
                  <c:v>4.946697143826758</c:v>
                </c:pt>
                <c:pt idx="63">
                  <c:v>15.242400822150369</c:v>
                </c:pt>
                <c:pt idx="64">
                  <c:v>22.000468043055093</c:v>
                </c:pt>
                <c:pt idx="65">
                  <c:v>34.316967747580385</c:v>
                </c:pt>
                <c:pt idx="66">
                  <c:v>34.725966560368398</c:v>
                </c:pt>
                <c:pt idx="67">
                  <c:v>31.662563941195799</c:v>
                </c:pt>
                <c:pt idx="68">
                  <c:v>25.479239057783694</c:v>
                </c:pt>
                <c:pt idx="69">
                  <c:v>17.835024841767169</c:v>
                </c:pt>
                <c:pt idx="70">
                  <c:v>13.014917287731834</c:v>
                </c:pt>
                <c:pt idx="71">
                  <c:v>9.669762544460621</c:v>
                </c:pt>
                <c:pt idx="72">
                  <c:v>13.107873518622164</c:v>
                </c:pt>
                <c:pt idx="73">
                  <c:v>16.021165276864771</c:v>
                </c:pt>
                <c:pt idx="74">
                  <c:v>11.680605912327724</c:v>
                </c:pt>
                <c:pt idx="75">
                  <c:v>10.054652618972039</c:v>
                </c:pt>
                <c:pt idx="76">
                  <c:v>13.203261296548693</c:v>
                </c:pt>
                <c:pt idx="77">
                  <c:v>27.513018384405544</c:v>
                </c:pt>
                <c:pt idx="78">
                  <c:v>32.210098664253749</c:v>
                </c:pt>
                <c:pt idx="79">
                  <c:v>44.861803250097026</c:v>
                </c:pt>
                <c:pt idx="80">
                  <c:v>41.230428732874266</c:v>
                </c:pt>
                <c:pt idx="81">
                  <c:v>48.61606083657977</c:v>
                </c:pt>
                <c:pt idx="82">
                  <c:v>47.509813451978665</c:v>
                </c:pt>
                <c:pt idx="83">
                  <c:v>37.476597018461064</c:v>
                </c:pt>
                <c:pt idx="84">
                  <c:v>42.836268472002637</c:v>
                </c:pt>
                <c:pt idx="85">
                  <c:v>45.434759997737139</c:v>
                </c:pt>
                <c:pt idx="86">
                  <c:v>38.768998390916835</c:v>
                </c:pt>
                <c:pt idx="87">
                  <c:v>27.031286662543504</c:v>
                </c:pt>
                <c:pt idx="88">
                  <c:v>6.1214409237485716</c:v>
                </c:pt>
                <c:pt idx="89">
                  <c:v>17.077742580167026</c:v>
                </c:pt>
                <c:pt idx="90">
                  <c:v>32.242315847577508</c:v>
                </c:pt>
                <c:pt idx="91">
                  <c:v>17.036395569084437</c:v>
                </c:pt>
                <c:pt idx="92">
                  <c:v>31.693441055280257</c:v>
                </c:pt>
                <c:pt idx="93">
                  <c:v>43.88461928428044</c:v>
                </c:pt>
                <c:pt idx="94">
                  <c:v>51.896397485603188</c:v>
                </c:pt>
                <c:pt idx="95">
                  <c:v>11.94259446000023</c:v>
                </c:pt>
                <c:pt idx="96">
                  <c:v>43.433497450305538</c:v>
                </c:pt>
                <c:pt idx="97">
                  <c:v>37.934070331220632</c:v>
                </c:pt>
                <c:pt idx="98">
                  <c:v>30.57857064801793</c:v>
                </c:pt>
                <c:pt idx="99">
                  <c:v>55.454892493593277</c:v>
                </c:pt>
                <c:pt idx="100">
                  <c:v>44.23736583679591</c:v>
                </c:pt>
                <c:pt idx="101">
                  <c:v>38.800448771944971</c:v>
                </c:pt>
                <c:pt idx="102">
                  <c:v>6.0119576778439781</c:v>
                </c:pt>
                <c:pt idx="103">
                  <c:v>43.413485636975572</c:v>
                </c:pt>
                <c:pt idx="104">
                  <c:v>44.420811302480949</c:v>
                </c:pt>
                <c:pt idx="105">
                  <c:v>36.344193228699019</c:v>
                </c:pt>
                <c:pt idx="106">
                  <c:v>53.515809241204927</c:v>
                </c:pt>
                <c:pt idx="107">
                  <c:v>34.864515179064867</c:v>
                </c:pt>
                <c:pt idx="108">
                  <c:v>9.3410359338739344</c:v>
                </c:pt>
                <c:pt idx="109">
                  <c:v>9.6199167661661473</c:v>
                </c:pt>
                <c:pt idx="110">
                  <c:v>8.8522911003839351</c:v>
                </c:pt>
                <c:pt idx="111">
                  <c:v>27.334564606990625</c:v>
                </c:pt>
                <c:pt idx="112">
                  <c:v>9.3541635882228711</c:v>
                </c:pt>
                <c:pt idx="113">
                  <c:v>26.536166187452778</c:v>
                </c:pt>
                <c:pt idx="114">
                  <c:v>41.859974648516584</c:v>
                </c:pt>
                <c:pt idx="115">
                  <c:v>53.733600028864885</c:v>
                </c:pt>
                <c:pt idx="116">
                  <c:v>41.288227360856389</c:v>
                </c:pt>
                <c:pt idx="117">
                  <c:v>23.163105564224598</c:v>
                </c:pt>
                <c:pt idx="118">
                  <c:v>41.512773719301315</c:v>
                </c:pt>
                <c:pt idx="119">
                  <c:v>39.473894200637851</c:v>
                </c:pt>
                <c:pt idx="120">
                  <c:v>44.992835649599201</c:v>
                </c:pt>
                <c:pt idx="121">
                  <c:v>25.537059821305217</c:v>
                </c:pt>
                <c:pt idx="122">
                  <c:v>31.383812163124816</c:v>
                </c:pt>
                <c:pt idx="123">
                  <c:v>15.877878790046967</c:v>
                </c:pt>
                <c:pt idx="124">
                  <c:v>34.427473335597334</c:v>
                </c:pt>
                <c:pt idx="125">
                  <c:v>39.414417824983893</c:v>
                </c:pt>
                <c:pt idx="126">
                  <c:v>43.920793196154115</c:v>
                </c:pt>
                <c:pt idx="127">
                  <c:v>54.502093633925647</c:v>
                </c:pt>
                <c:pt idx="128">
                  <c:v>52.274322657189664</c:v>
                </c:pt>
                <c:pt idx="129">
                  <c:v>53.384805509563265</c:v>
                </c:pt>
                <c:pt idx="130">
                  <c:v>56.479359604672936</c:v>
                </c:pt>
                <c:pt idx="131">
                  <c:v>42.84001810541988</c:v>
                </c:pt>
                <c:pt idx="132">
                  <c:v>36.99466452089019</c:v>
                </c:pt>
                <c:pt idx="133">
                  <c:v>51.435821830546885</c:v>
                </c:pt>
                <c:pt idx="134">
                  <c:v>53.241594717883515</c:v>
                </c:pt>
                <c:pt idx="135">
                  <c:v>49.616612986413259</c:v>
                </c:pt>
                <c:pt idx="136">
                  <c:v>54.289549716529784</c:v>
                </c:pt>
                <c:pt idx="137">
                  <c:v>52.032013144306539</c:v>
                </c:pt>
                <c:pt idx="138">
                  <c:v>50.4827107311242</c:v>
                </c:pt>
                <c:pt idx="139">
                  <c:v>48.946979631525473</c:v>
                </c:pt>
                <c:pt idx="140">
                  <c:v>53.606022229822187</c:v>
                </c:pt>
                <c:pt idx="141">
                  <c:v>40.778862721025575</c:v>
                </c:pt>
                <c:pt idx="142">
                  <c:v>16.962512393057491</c:v>
                </c:pt>
                <c:pt idx="143">
                  <c:v>14.741215730101699</c:v>
                </c:pt>
                <c:pt idx="144">
                  <c:v>40.733766816222108</c:v>
                </c:pt>
                <c:pt idx="145">
                  <c:v>29.94188735582091</c:v>
                </c:pt>
                <c:pt idx="146">
                  <c:v>44.601934490531839</c:v>
                </c:pt>
                <c:pt idx="147">
                  <c:v>52.624781014912841</c:v>
                </c:pt>
                <c:pt idx="148">
                  <c:v>57.809396843739712</c:v>
                </c:pt>
                <c:pt idx="149">
                  <c:v>45.025483008162041</c:v>
                </c:pt>
                <c:pt idx="150">
                  <c:v>54.254183799094768</c:v>
                </c:pt>
                <c:pt idx="151">
                  <c:v>56.26350961923999</c:v>
                </c:pt>
                <c:pt idx="152">
                  <c:v>39.010872526526747</c:v>
                </c:pt>
                <c:pt idx="153">
                  <c:v>54.841066667570416</c:v>
                </c:pt>
                <c:pt idx="154">
                  <c:v>24.863753792394213</c:v>
                </c:pt>
                <c:pt idx="155">
                  <c:v>28.722727583969586</c:v>
                </c:pt>
                <c:pt idx="156">
                  <c:v>48.386056022503809</c:v>
                </c:pt>
                <c:pt idx="157">
                  <c:v>26.868518345352573</c:v>
                </c:pt>
                <c:pt idx="158">
                  <c:v>20.75923988627466</c:v>
                </c:pt>
                <c:pt idx="159">
                  <c:v>49.116342395007003</c:v>
                </c:pt>
                <c:pt idx="160">
                  <c:v>56.483402907933943</c:v>
                </c:pt>
                <c:pt idx="161">
                  <c:v>54.95958443293987</c:v>
                </c:pt>
                <c:pt idx="162">
                  <c:v>45.439739870837464</c:v>
                </c:pt>
                <c:pt idx="163">
                  <c:v>49.956144714631179</c:v>
                </c:pt>
                <c:pt idx="164">
                  <c:v>49.139656412396747</c:v>
                </c:pt>
                <c:pt idx="165">
                  <c:v>52.400859067597175</c:v>
                </c:pt>
                <c:pt idx="166">
                  <c:v>50.543863299260067</c:v>
                </c:pt>
                <c:pt idx="167">
                  <c:v>51.511464234993227</c:v>
                </c:pt>
                <c:pt idx="168">
                  <c:v>54.422740803649582</c:v>
                </c:pt>
                <c:pt idx="169">
                  <c:v>55.384597338532949</c:v>
                </c:pt>
                <c:pt idx="170">
                  <c:v>29.093794734498704</c:v>
                </c:pt>
                <c:pt idx="171">
                  <c:v>19.247485135477568</c:v>
                </c:pt>
                <c:pt idx="172">
                  <c:v>40.631068693056818</c:v>
                </c:pt>
                <c:pt idx="173">
                  <c:v>42.267126226967875</c:v>
                </c:pt>
                <c:pt idx="174">
                  <c:v>39.553037724369673</c:v>
                </c:pt>
                <c:pt idx="175">
                  <c:v>39.563369193544517</c:v>
                </c:pt>
                <c:pt idx="176">
                  <c:v>10.39499799188804</c:v>
                </c:pt>
                <c:pt idx="177">
                  <c:v>15.530124426243162</c:v>
                </c:pt>
                <c:pt idx="178">
                  <c:v>54.786947364981678</c:v>
                </c:pt>
                <c:pt idx="179">
                  <c:v>55.818431275863368</c:v>
                </c:pt>
                <c:pt idx="180">
                  <c:v>12.315615064125199</c:v>
                </c:pt>
                <c:pt idx="181">
                  <c:v>39.256569204966105</c:v>
                </c:pt>
                <c:pt idx="182">
                  <c:v>55.074607413878113</c:v>
                </c:pt>
                <c:pt idx="183">
                  <c:v>50.023398710507706</c:v>
                </c:pt>
                <c:pt idx="184">
                  <c:v>42.282499148539898</c:v>
                </c:pt>
                <c:pt idx="185">
                  <c:v>54.265518563518874</c:v>
                </c:pt>
                <c:pt idx="186">
                  <c:v>38.622625410572596</c:v>
                </c:pt>
                <c:pt idx="187">
                  <c:v>53.950047670786994</c:v>
                </c:pt>
                <c:pt idx="188">
                  <c:v>55.088899038207849</c:v>
                </c:pt>
                <c:pt idx="189">
                  <c:v>54.74058259074112</c:v>
                </c:pt>
                <c:pt idx="190">
                  <c:v>54.348176652426226</c:v>
                </c:pt>
                <c:pt idx="191">
                  <c:v>53.502174019060249</c:v>
                </c:pt>
                <c:pt idx="192">
                  <c:v>52.359472846739891</c:v>
                </c:pt>
                <c:pt idx="193">
                  <c:v>52.418492993391972</c:v>
                </c:pt>
                <c:pt idx="194">
                  <c:v>52.17328711968181</c:v>
                </c:pt>
                <c:pt idx="195">
                  <c:v>49.704553227932522</c:v>
                </c:pt>
                <c:pt idx="196">
                  <c:v>50.872590535824315</c:v>
                </c:pt>
                <c:pt idx="197">
                  <c:v>51.436839475060935</c:v>
                </c:pt>
                <c:pt idx="198">
                  <c:v>53.509217672506395</c:v>
                </c:pt>
                <c:pt idx="199">
                  <c:v>32.262526060741507</c:v>
                </c:pt>
                <c:pt idx="200">
                  <c:v>39.197990771402218</c:v>
                </c:pt>
                <c:pt idx="201">
                  <c:v>51.155948184922899</c:v>
                </c:pt>
                <c:pt idx="202">
                  <c:v>42.97768292526321</c:v>
                </c:pt>
                <c:pt idx="203">
                  <c:v>37.9082324478291</c:v>
                </c:pt>
                <c:pt idx="204">
                  <c:v>51.518174460297693</c:v>
                </c:pt>
                <c:pt idx="205">
                  <c:v>27.551482655860028</c:v>
                </c:pt>
                <c:pt idx="206">
                  <c:v>43.400250282943652</c:v>
                </c:pt>
                <c:pt idx="207">
                  <c:v>53.454171443314323</c:v>
                </c:pt>
                <c:pt idx="208">
                  <c:v>42.616947090031658</c:v>
                </c:pt>
                <c:pt idx="209">
                  <c:v>25.107726384949476</c:v>
                </c:pt>
                <c:pt idx="210">
                  <c:v>41.676199959480968</c:v>
                </c:pt>
                <c:pt idx="211">
                  <c:v>52.179818352076829</c:v>
                </c:pt>
                <c:pt idx="212">
                  <c:v>51.860064152623032</c:v>
                </c:pt>
                <c:pt idx="213">
                  <c:v>52.084568165393797</c:v>
                </c:pt>
                <c:pt idx="214">
                  <c:v>52.19242953981508</c:v>
                </c:pt>
                <c:pt idx="215">
                  <c:v>49.623102503120911</c:v>
                </c:pt>
                <c:pt idx="216">
                  <c:v>40.069084303840199</c:v>
                </c:pt>
                <c:pt idx="217">
                  <c:v>47.538735887798346</c:v>
                </c:pt>
                <c:pt idx="218">
                  <c:v>50.322681247819347</c:v>
                </c:pt>
                <c:pt idx="219">
                  <c:v>51.245288308714876</c:v>
                </c:pt>
                <c:pt idx="220">
                  <c:v>49.577213792574724</c:v>
                </c:pt>
                <c:pt idx="221">
                  <c:v>48.214350955505545</c:v>
                </c:pt>
                <c:pt idx="222">
                  <c:v>46.14366192140448</c:v>
                </c:pt>
                <c:pt idx="223">
                  <c:v>46.556898181712839</c:v>
                </c:pt>
                <c:pt idx="224">
                  <c:v>34.990776382598519</c:v>
                </c:pt>
                <c:pt idx="225">
                  <c:v>34.867149639708671</c:v>
                </c:pt>
                <c:pt idx="226">
                  <c:v>32.565693470296225</c:v>
                </c:pt>
                <c:pt idx="227">
                  <c:v>37.443081091525784</c:v>
                </c:pt>
                <c:pt idx="228">
                  <c:v>23.391348166773035</c:v>
                </c:pt>
                <c:pt idx="229">
                  <c:v>31.350757157871119</c:v>
                </c:pt>
                <c:pt idx="230">
                  <c:v>32.743623026020444</c:v>
                </c:pt>
                <c:pt idx="231">
                  <c:v>47.801873049237976</c:v>
                </c:pt>
                <c:pt idx="232">
                  <c:v>37.866511018645021</c:v>
                </c:pt>
                <c:pt idx="233">
                  <c:v>26.594935367560737</c:v>
                </c:pt>
                <c:pt idx="234">
                  <c:v>41.38427901229187</c:v>
                </c:pt>
                <c:pt idx="235">
                  <c:v>48.403914097394761</c:v>
                </c:pt>
                <c:pt idx="236">
                  <c:v>27.258228306998387</c:v>
                </c:pt>
                <c:pt idx="237">
                  <c:v>34.839288614608371</c:v>
                </c:pt>
                <c:pt idx="238">
                  <c:v>44.09839710345225</c:v>
                </c:pt>
                <c:pt idx="239">
                  <c:v>47.154213068487152</c:v>
                </c:pt>
                <c:pt idx="240">
                  <c:v>31.641247400241998</c:v>
                </c:pt>
                <c:pt idx="241">
                  <c:v>46.54609374169533</c:v>
                </c:pt>
                <c:pt idx="242">
                  <c:v>19.611184953789724</c:v>
                </c:pt>
                <c:pt idx="243">
                  <c:v>41.627751540346033</c:v>
                </c:pt>
                <c:pt idx="244">
                  <c:v>36.840928441262001</c:v>
                </c:pt>
                <c:pt idx="245">
                  <c:v>30.950912606189867</c:v>
                </c:pt>
                <c:pt idx="246">
                  <c:v>47.012699628503725</c:v>
                </c:pt>
                <c:pt idx="247">
                  <c:v>40.275137952072029</c:v>
                </c:pt>
                <c:pt idx="248">
                  <c:v>43.788384869598602</c:v>
                </c:pt>
                <c:pt idx="249">
                  <c:v>34.119100300256392</c:v>
                </c:pt>
                <c:pt idx="250">
                  <c:v>38.894296842608377</c:v>
                </c:pt>
                <c:pt idx="251">
                  <c:v>16.414888237689304</c:v>
                </c:pt>
                <c:pt idx="252">
                  <c:v>43.086085935637044</c:v>
                </c:pt>
                <c:pt idx="253">
                  <c:v>45.26373633640501</c:v>
                </c:pt>
                <c:pt idx="254">
                  <c:v>34.873055419716586</c:v>
                </c:pt>
                <c:pt idx="255">
                  <c:v>11.007303403883995</c:v>
                </c:pt>
                <c:pt idx="256">
                  <c:v>36.923276286922103</c:v>
                </c:pt>
                <c:pt idx="257">
                  <c:v>41.267184867262465</c:v>
                </c:pt>
                <c:pt idx="258">
                  <c:v>24.553573607717944</c:v>
                </c:pt>
                <c:pt idx="259">
                  <c:v>45.197426266661331</c:v>
                </c:pt>
                <c:pt idx="260">
                  <c:v>44.483126770932081</c:v>
                </c:pt>
                <c:pt idx="261">
                  <c:v>42.889255223482344</c:v>
                </c:pt>
                <c:pt idx="262">
                  <c:v>42.88716880346152</c:v>
                </c:pt>
                <c:pt idx="263">
                  <c:v>44.317426552818041</c:v>
                </c:pt>
                <c:pt idx="264">
                  <c:v>43.155684122429363</c:v>
                </c:pt>
                <c:pt idx="265">
                  <c:v>32.469360860669106</c:v>
                </c:pt>
                <c:pt idx="266">
                  <c:v>21.78360033963337</c:v>
                </c:pt>
                <c:pt idx="267">
                  <c:v>32.969219166298778</c:v>
                </c:pt>
                <c:pt idx="268">
                  <c:v>34.314412445235291</c:v>
                </c:pt>
                <c:pt idx="269">
                  <c:v>14.696386858452144</c:v>
                </c:pt>
                <c:pt idx="270">
                  <c:v>14.764594550640918</c:v>
                </c:pt>
                <c:pt idx="271">
                  <c:v>20.932363899044546</c:v>
                </c:pt>
                <c:pt idx="272">
                  <c:v>28.919439019651772</c:v>
                </c:pt>
                <c:pt idx="273">
                  <c:v>33.883817425810179</c:v>
                </c:pt>
                <c:pt idx="274">
                  <c:v>38.351910813370672</c:v>
                </c:pt>
                <c:pt idx="275">
                  <c:v>34.122304629107447</c:v>
                </c:pt>
                <c:pt idx="276">
                  <c:v>40.710039435537979</c:v>
                </c:pt>
                <c:pt idx="277">
                  <c:v>40.395471078641741</c:v>
                </c:pt>
                <c:pt idx="278">
                  <c:v>14.369429735611119</c:v>
                </c:pt>
                <c:pt idx="279">
                  <c:v>30.43900789903358</c:v>
                </c:pt>
                <c:pt idx="280">
                  <c:v>14.672779027985577</c:v>
                </c:pt>
                <c:pt idx="281">
                  <c:v>38.410395482861482</c:v>
                </c:pt>
                <c:pt idx="282">
                  <c:v>33.525921458789007</c:v>
                </c:pt>
                <c:pt idx="283">
                  <c:v>24.130226220190696</c:v>
                </c:pt>
                <c:pt idx="284">
                  <c:v>22.972261785831062</c:v>
                </c:pt>
                <c:pt idx="285">
                  <c:v>23.632609917318586</c:v>
                </c:pt>
                <c:pt idx="286">
                  <c:v>14.720535745671128</c:v>
                </c:pt>
                <c:pt idx="287">
                  <c:v>37.546461535207293</c:v>
                </c:pt>
                <c:pt idx="288">
                  <c:v>33.548226394752334</c:v>
                </c:pt>
                <c:pt idx="289">
                  <c:v>18.419108057820448</c:v>
                </c:pt>
                <c:pt idx="290">
                  <c:v>35.029503615286771</c:v>
                </c:pt>
                <c:pt idx="291">
                  <c:v>15.668095460507091</c:v>
                </c:pt>
                <c:pt idx="292">
                  <c:v>12.180942229248412</c:v>
                </c:pt>
                <c:pt idx="293">
                  <c:v>16.56076739310874</c:v>
                </c:pt>
                <c:pt idx="294">
                  <c:v>34.513926546561123</c:v>
                </c:pt>
                <c:pt idx="295">
                  <c:v>20.282081645369669</c:v>
                </c:pt>
                <c:pt idx="296">
                  <c:v>29.081054399517313</c:v>
                </c:pt>
                <c:pt idx="297">
                  <c:v>22.632421161458723</c:v>
                </c:pt>
                <c:pt idx="298">
                  <c:v>15.583004744406258</c:v>
                </c:pt>
                <c:pt idx="299">
                  <c:v>15.773898748614215</c:v>
                </c:pt>
                <c:pt idx="300">
                  <c:v>17.251771653646031</c:v>
                </c:pt>
                <c:pt idx="301">
                  <c:v>27.734903990089883</c:v>
                </c:pt>
                <c:pt idx="302">
                  <c:v>24.745805915966233</c:v>
                </c:pt>
                <c:pt idx="303">
                  <c:v>24.081285455906038</c:v>
                </c:pt>
                <c:pt idx="304">
                  <c:v>25.884832574860372</c:v>
                </c:pt>
                <c:pt idx="305">
                  <c:v>28.748773259747782</c:v>
                </c:pt>
                <c:pt idx="306">
                  <c:v>9.0165752353470179</c:v>
                </c:pt>
                <c:pt idx="307">
                  <c:v>12.583930266219438</c:v>
                </c:pt>
                <c:pt idx="308">
                  <c:v>30.501857317453883</c:v>
                </c:pt>
                <c:pt idx="309">
                  <c:v>31.557526575154618</c:v>
                </c:pt>
                <c:pt idx="310">
                  <c:v>31.659414257956698</c:v>
                </c:pt>
                <c:pt idx="311">
                  <c:v>20.496644720013666</c:v>
                </c:pt>
                <c:pt idx="312">
                  <c:v>12.149011306128791</c:v>
                </c:pt>
                <c:pt idx="313">
                  <c:v>21.207325634239311</c:v>
                </c:pt>
                <c:pt idx="314">
                  <c:v>28.778537966618092</c:v>
                </c:pt>
                <c:pt idx="315">
                  <c:v>28.540928159884576</c:v>
                </c:pt>
                <c:pt idx="316">
                  <c:v>28.685301862383564</c:v>
                </c:pt>
                <c:pt idx="317">
                  <c:v>12.182284743199958</c:v>
                </c:pt>
                <c:pt idx="318">
                  <c:v>13.33128008168285</c:v>
                </c:pt>
                <c:pt idx="319">
                  <c:v>28.074276554156526</c:v>
                </c:pt>
                <c:pt idx="320">
                  <c:v>12.335715422679106</c:v>
                </c:pt>
                <c:pt idx="321">
                  <c:v>14.181452699106796</c:v>
                </c:pt>
                <c:pt idx="322">
                  <c:v>5.9363315686138387</c:v>
                </c:pt>
                <c:pt idx="323">
                  <c:v>19.691892062590732</c:v>
                </c:pt>
                <c:pt idx="324">
                  <c:v>3.1727790632297066</c:v>
                </c:pt>
                <c:pt idx="325">
                  <c:v>9.7044921091673384</c:v>
                </c:pt>
                <c:pt idx="326">
                  <c:v>13.263333618966485</c:v>
                </c:pt>
                <c:pt idx="327">
                  <c:v>13.886742061565167</c:v>
                </c:pt>
                <c:pt idx="328">
                  <c:v>4.0740822948118245</c:v>
                </c:pt>
                <c:pt idx="329">
                  <c:v>14.405801008242781</c:v>
                </c:pt>
                <c:pt idx="330">
                  <c:v>16.275817994957453</c:v>
                </c:pt>
                <c:pt idx="331">
                  <c:v>9.1833386083151769</c:v>
                </c:pt>
                <c:pt idx="332">
                  <c:v>10.216335826071132</c:v>
                </c:pt>
                <c:pt idx="333">
                  <c:v>4.555966897940035</c:v>
                </c:pt>
                <c:pt idx="334">
                  <c:v>3.3815396464099186</c:v>
                </c:pt>
                <c:pt idx="335">
                  <c:v>5.9007541395079102</c:v>
                </c:pt>
                <c:pt idx="336">
                  <c:v>10.907665576489372</c:v>
                </c:pt>
                <c:pt idx="337">
                  <c:v>21.352344976792779</c:v>
                </c:pt>
                <c:pt idx="338">
                  <c:v>25.309117700911806</c:v>
                </c:pt>
                <c:pt idx="339">
                  <c:v>16.043373337828374</c:v>
                </c:pt>
                <c:pt idx="340">
                  <c:v>18.776505871100493</c:v>
                </c:pt>
                <c:pt idx="341">
                  <c:v>4.5759958359737967</c:v>
                </c:pt>
                <c:pt idx="342">
                  <c:v>9.2502917634992059</c:v>
                </c:pt>
                <c:pt idx="343">
                  <c:v>15.475081346154631</c:v>
                </c:pt>
                <c:pt idx="344">
                  <c:v>14.753831290860607</c:v>
                </c:pt>
                <c:pt idx="345">
                  <c:v>6.8067351330286678</c:v>
                </c:pt>
                <c:pt idx="346">
                  <c:v>6.3762657428124498</c:v>
                </c:pt>
                <c:pt idx="347">
                  <c:v>14.966137794197513</c:v>
                </c:pt>
                <c:pt idx="348">
                  <c:v>7.1223842475930326</c:v>
                </c:pt>
                <c:pt idx="349">
                  <c:v>5.1078210493683409</c:v>
                </c:pt>
                <c:pt idx="350">
                  <c:v>2.8474501806901409</c:v>
                </c:pt>
                <c:pt idx="351">
                  <c:v>19.253324591014145</c:v>
                </c:pt>
                <c:pt idx="352">
                  <c:v>17.215564613612312</c:v>
                </c:pt>
                <c:pt idx="353">
                  <c:v>3.8554910571637229</c:v>
                </c:pt>
                <c:pt idx="354">
                  <c:v>19.651566670428462</c:v>
                </c:pt>
                <c:pt idx="355">
                  <c:v>19.216120820669016</c:v>
                </c:pt>
                <c:pt idx="356">
                  <c:v>19.347999839286899</c:v>
                </c:pt>
                <c:pt idx="357">
                  <c:v>20.543791186949864</c:v>
                </c:pt>
                <c:pt idx="358">
                  <c:v>11.528674499973812</c:v>
                </c:pt>
                <c:pt idx="359">
                  <c:v>19.681164134318315</c:v>
                </c:pt>
                <c:pt idx="360">
                  <c:v>6.6639146131786173</c:v>
                </c:pt>
                <c:pt idx="361">
                  <c:v>21.424197330456263</c:v>
                </c:pt>
                <c:pt idx="362">
                  <c:v>10.90086820838239</c:v>
                </c:pt>
                <c:pt idx="363">
                  <c:v>14.877523869349574</c:v>
                </c:pt>
                <c:pt idx="364">
                  <c:v>12.807623180751841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870456"/>
        <c:axId val="374870848"/>
      </c:lineChart>
      <c:dateAx>
        <c:axId val="374870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4870848"/>
        <c:crosses val="autoZero"/>
        <c:auto val="1"/>
        <c:lblOffset val="100"/>
        <c:baseTimeUnit val="days"/>
        <c:majorUnit val="1"/>
        <c:majorTimeUnit val="months"/>
      </c:dateAx>
      <c:valAx>
        <c:axId val="37487084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487045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4.7659182458928306E-2</c:v>
                </c:pt>
                <c:pt idx="1">
                  <c:v>4.7677433853432705E-2</c:v>
                </c:pt>
                <c:pt idx="2">
                  <c:v>4.7695684898153123E-2</c:v>
                </c:pt>
                <c:pt idx="3">
                  <c:v>4.7713935593096557E-2</c:v>
                </c:pt>
                <c:pt idx="4">
                  <c:v>4.7732185938269556E-2</c:v>
                </c:pt>
                <c:pt idx="5">
                  <c:v>4.7750435933678892E-2</c:v>
                </c:pt>
                <c:pt idx="6">
                  <c:v>4.7768685579331116E-2</c:v>
                </c:pt>
                <c:pt idx="7">
                  <c:v>4.7786934875233111E-2</c:v>
                </c:pt>
                <c:pt idx="8">
                  <c:v>4.7805183821391539E-2</c:v>
                </c:pt>
                <c:pt idx="9">
                  <c:v>4.7823432417813061E-2</c:v>
                </c:pt>
                <c:pt idx="10">
                  <c:v>4.7841680664504338E-2</c:v>
                </c:pt>
                <c:pt idx="11">
                  <c:v>4.7859928561472254E-2</c:v>
                </c:pt>
                <c:pt idx="12">
                  <c:v>4.7878176108723247E-2</c:v>
                </c:pt>
                <c:pt idx="13">
                  <c:v>4.7896423306264313E-2</c:v>
                </c:pt>
                <c:pt idx="14">
                  <c:v>4.791467015410189E-2</c:v>
                </c:pt>
                <c:pt idx="15">
                  <c:v>4.7932916652242863E-2</c:v>
                </c:pt>
                <c:pt idx="16">
                  <c:v>4.7951162800693781E-2</c:v>
                </c:pt>
                <c:pt idx="17">
                  <c:v>4.7969408599461416E-2</c:v>
                </c:pt>
                <c:pt idx="18">
                  <c:v>4.7987654048552542E-2</c:v>
                </c:pt>
                <c:pt idx="19">
                  <c:v>4.8005899147973818E-2</c:v>
                </c:pt>
                <c:pt idx="20">
                  <c:v>4.8024143897731908E-2</c:v>
                </c:pt>
                <c:pt idx="21">
                  <c:v>4.8042388297833472E-2</c:v>
                </c:pt>
                <c:pt idx="22">
                  <c:v>4.8060632348285282E-2</c:v>
                </c:pt>
                <c:pt idx="23">
                  <c:v>4.807887604909411E-2</c:v>
                </c:pt>
                <c:pt idx="24">
                  <c:v>4.8097119400266508E-2</c:v>
                </c:pt>
                <c:pt idx="25">
                  <c:v>4.8115362401809247E-2</c:v>
                </c:pt>
                <c:pt idx="26">
                  <c:v>4.8133605053728989E-2</c:v>
                </c:pt>
                <c:pt idx="27">
                  <c:v>4.8151847356032507E-2</c:v>
                </c:pt>
                <c:pt idx="28">
                  <c:v>4.8170089308726571E-2</c:v>
                </c:pt>
                <c:pt idx="29">
                  <c:v>4.8188330911817623E-2</c:v>
                </c:pt>
                <c:pt idx="30">
                  <c:v>4.8206572165312545E-2</c:v>
                </c:pt>
                <c:pt idx="31">
                  <c:v>4.8224813069217998E-2</c:v>
                </c:pt>
                <c:pt idx="32">
                  <c:v>4.8243053623540755E-2</c:v>
                </c:pt>
                <c:pt idx="33">
                  <c:v>4.8261293828287366E-2</c:v>
                </c:pt>
                <c:pt idx="34">
                  <c:v>4.8279533683464715E-2</c:v>
                </c:pt>
                <c:pt idx="35">
                  <c:v>4.8297773189079352E-2</c:v>
                </c:pt>
                <c:pt idx="36">
                  <c:v>4.8316012345137938E-2</c:v>
                </c:pt>
                <c:pt idx="37">
                  <c:v>4.8334251151647356E-2</c:v>
                </c:pt>
                <c:pt idx="38">
                  <c:v>4.8352489608614158E-2</c:v>
                </c:pt>
                <c:pt idx="39">
                  <c:v>4.8370727716045225E-2</c:v>
                </c:pt>
                <c:pt idx="40">
                  <c:v>4.8388965473946999E-2</c:v>
                </c:pt>
                <c:pt idx="41">
                  <c:v>4.840720288232625E-2</c:v>
                </c:pt>
                <c:pt idx="42">
                  <c:v>4.8425439941189863E-2</c:v>
                </c:pt>
                <c:pt idx="43">
                  <c:v>4.8443676650544387E-2</c:v>
                </c:pt>
                <c:pt idx="44">
                  <c:v>4.8461913010396485E-2</c:v>
                </c:pt>
                <c:pt idx="45">
                  <c:v>4.8480149020752927E-2</c:v>
                </c:pt>
                <c:pt idx="46">
                  <c:v>4.8498384681620377E-2</c:v>
                </c:pt>
                <c:pt idx="47">
                  <c:v>4.8516619993005494E-2</c:v>
                </c:pt>
                <c:pt idx="48">
                  <c:v>4.8534854954915052E-2</c:v>
                </c:pt>
                <c:pt idx="49">
                  <c:v>4.8553089567355823E-2</c:v>
                </c:pt>
                <c:pt idx="50">
                  <c:v>4.8571323830334356E-2</c:v>
                </c:pt>
                <c:pt idx="51">
                  <c:v>4.8589557743857315E-2</c:v>
                </c:pt>
                <c:pt idx="52">
                  <c:v>4.860779130793158E-2</c:v>
                </c:pt>
                <c:pt idx="53">
                  <c:v>4.8626024522563704E-2</c:v>
                </c:pt>
                <c:pt idx="54">
                  <c:v>4.8644257387760459E-2</c:v>
                </c:pt>
                <c:pt idx="55">
                  <c:v>4.8662489903528505E-2</c:v>
                </c:pt>
                <c:pt idx="56">
                  <c:v>4.8680722069874505E-2</c:v>
                </c:pt>
                <c:pt idx="57">
                  <c:v>4.869895388680523E-2</c:v>
                </c:pt>
                <c:pt idx="58">
                  <c:v>4.8717185354327341E-2</c:v>
                </c:pt>
                <c:pt idx="59">
                  <c:v>4.8735416472447612E-2</c:v>
                </c:pt>
                <c:pt idx="60">
                  <c:v>4.8753647241172593E-2</c:v>
                </c:pt>
                <c:pt idx="61">
                  <c:v>4.8771877660509055E-2</c:v>
                </c:pt>
                <c:pt idx="62">
                  <c:v>4.8790107730463661E-2</c:v>
                </c:pt>
                <c:pt idx="63">
                  <c:v>4.8808337451043182E-2</c:v>
                </c:pt>
                <c:pt idx="64">
                  <c:v>4.8826566822254169E-2</c:v>
                </c:pt>
                <c:pt idx="65">
                  <c:v>4.8844795844103506E-2</c:v>
                </c:pt>
                <c:pt idx="66">
                  <c:v>4.8863024516597853E-2</c:v>
                </c:pt>
                <c:pt idx="67">
                  <c:v>4.8881252839743761E-2</c:v>
                </c:pt>
                <c:pt idx="68">
                  <c:v>4.8899480813548002E-2</c:v>
                </c:pt>
                <c:pt idx="69">
                  <c:v>4.8917708438017349E-2</c:v>
                </c:pt>
                <c:pt idx="70">
                  <c:v>4.8935935713158352E-2</c:v>
                </c:pt>
                <c:pt idx="71">
                  <c:v>4.8954162638977783E-2</c:v>
                </c:pt>
                <c:pt idx="72">
                  <c:v>4.8972389215482415E-2</c:v>
                </c:pt>
                <c:pt idx="73">
                  <c:v>4.8990615442678798E-2</c:v>
                </c:pt>
                <c:pt idx="74">
                  <c:v>4.9008841320573815E-2</c:v>
                </c:pt>
                <c:pt idx="75">
                  <c:v>4.9027066849173906E-2</c:v>
                </c:pt>
                <c:pt idx="76">
                  <c:v>4.9045292028485954E-2</c:v>
                </c:pt>
                <c:pt idx="77">
                  <c:v>4.906351685851662E-2</c:v>
                </c:pt>
                <c:pt idx="78">
                  <c:v>4.9081741339272567E-2</c:v>
                </c:pt>
                <c:pt idx="79">
                  <c:v>4.9099965470760454E-2</c:v>
                </c:pt>
                <c:pt idx="80">
                  <c:v>4.9118189252987055E-2</c:v>
                </c:pt>
                <c:pt idx="81">
                  <c:v>4.913641268595903E-2</c:v>
                </c:pt>
                <c:pt idx="82">
                  <c:v>4.9154635769683042E-2</c:v>
                </c:pt>
                <c:pt idx="83">
                  <c:v>4.9172858504165862E-2</c:v>
                </c:pt>
                <c:pt idx="84">
                  <c:v>4.9191080889414041E-2</c:v>
                </c:pt>
                <c:pt idx="85">
                  <c:v>4.9209302925434462E-2</c:v>
                </c:pt>
                <c:pt idx="86">
                  <c:v>4.9227524612233675E-2</c:v>
                </c:pt>
                <c:pt idx="87">
                  <c:v>4.9245745949818454E-2</c:v>
                </c:pt>
                <c:pt idx="88">
                  <c:v>4.9263966938195347E-2</c:v>
                </c:pt>
                <c:pt idx="89">
                  <c:v>4.9282187577371239E-2</c:v>
                </c:pt>
                <c:pt idx="90">
                  <c:v>4.9300407867352791E-2</c:v>
                </c:pt>
                <c:pt idx="91">
                  <c:v>4.9318627808146553E-2</c:v>
                </c:pt>
                <c:pt idx="92">
                  <c:v>4.9336847399759298E-2</c:v>
                </c:pt>
                <c:pt idx="93">
                  <c:v>4.9355066642197798E-2</c:v>
                </c:pt>
                <c:pt idx="94">
                  <c:v>4.9373285535468603E-2</c:v>
                </c:pt>
                <c:pt idx="95">
                  <c:v>4.9391504079578596E-2</c:v>
                </c:pt>
                <c:pt idx="96">
                  <c:v>4.9409722274534218E-2</c:v>
                </c:pt>
                <c:pt idx="97">
                  <c:v>4.9427940120342351E-2</c:v>
                </c:pt>
                <c:pt idx="98">
                  <c:v>4.9446157617009545E-2</c:v>
                </c:pt>
                <c:pt idx="99">
                  <c:v>4.9464374764542685E-2</c:v>
                </c:pt>
                <c:pt idx="100">
                  <c:v>4.9482591562948319E-2</c:v>
                </c:pt>
                <c:pt idx="101">
                  <c:v>4.9500808012233111E-2</c:v>
                </c:pt>
                <c:pt idx="102">
                  <c:v>4.9519024112403831E-2</c:v>
                </c:pt>
                <c:pt idx="103">
                  <c:v>4.9537239863467142E-2</c:v>
                </c:pt>
                <c:pt idx="104">
                  <c:v>4.9555455265429815E-2</c:v>
                </c:pt>
                <c:pt idx="105">
                  <c:v>4.9573670318298402E-2</c:v>
                </c:pt>
                <c:pt idx="106">
                  <c:v>4.9591885022079674E-2</c:v>
                </c:pt>
                <c:pt idx="107">
                  <c:v>4.9610099376780292E-2</c:v>
                </c:pt>
                <c:pt idx="108">
                  <c:v>4.9628313382406919E-2</c:v>
                </c:pt>
                <c:pt idx="109">
                  <c:v>4.9646527038966326E-2</c:v>
                </c:pt>
                <c:pt idx="110">
                  <c:v>4.9664740346465175E-2</c:v>
                </c:pt>
                <c:pt idx="111">
                  <c:v>4.9682953304910127E-2</c:v>
                </c:pt>
                <c:pt idx="112">
                  <c:v>4.9701165914307843E-2</c:v>
                </c:pt>
                <c:pt idx="113">
                  <c:v>4.9719378174665096E-2</c:v>
                </c:pt>
                <c:pt idx="114">
                  <c:v>4.9737590085988548E-2</c:v>
                </c:pt>
                <c:pt idx="115">
                  <c:v>4.9755801648284859E-2</c:v>
                </c:pt>
                <c:pt idx="116">
                  <c:v>4.977401286156069E-2</c:v>
                </c:pt>
                <c:pt idx="117">
                  <c:v>4.9792223725822815E-2</c:v>
                </c:pt>
                <c:pt idx="118">
                  <c:v>4.9810434241077894E-2</c:v>
                </c:pt>
                <c:pt idx="119">
                  <c:v>4.982864440733259E-2</c:v>
                </c:pt>
                <c:pt idx="120">
                  <c:v>4.9846854224593562E-2</c:v>
                </c:pt>
                <c:pt idx="121">
                  <c:v>4.9865063692867584E-2</c:v>
                </c:pt>
                <c:pt idx="122">
                  <c:v>4.9883272812161317E-2</c:v>
                </c:pt>
                <c:pt idx="123">
                  <c:v>4.9901481582481422E-2</c:v>
                </c:pt>
                <c:pt idx="124">
                  <c:v>4.991969000383456E-2</c:v>
                </c:pt>
                <c:pt idx="125">
                  <c:v>4.9937898076227505E-2</c:v>
                </c:pt>
                <c:pt idx="126">
                  <c:v>4.9956105799666917E-2</c:v>
                </c:pt>
                <c:pt idx="127">
                  <c:v>4.9974313174159457E-2</c:v>
                </c:pt>
                <c:pt idx="128">
                  <c:v>4.9992520199711787E-2</c:v>
                </c:pt>
                <c:pt idx="129">
                  <c:v>5.0010726876330569E-2</c:v>
                </c:pt>
                <c:pt idx="130">
                  <c:v>5.0028933204022574E-2</c:v>
                </c:pt>
                <c:pt idx="131">
                  <c:v>5.0047139182794576E-2</c:v>
                </c:pt>
                <c:pt idx="132">
                  <c:v>5.0065344812653012E-2</c:v>
                </c:pt>
                <c:pt idx="133">
                  <c:v>5.0083550093604767E-2</c:v>
                </c:pt>
                <c:pt idx="134">
                  <c:v>5.0101755025656391E-2</c:v>
                </c:pt>
                <c:pt idx="135">
                  <c:v>5.0119959608814768E-2</c:v>
                </c:pt>
                <c:pt idx="136">
                  <c:v>5.0138163843086447E-2</c:v>
                </c:pt>
                <c:pt idx="137">
                  <c:v>5.0156367728478091E-2</c:v>
                </c:pt>
                <c:pt idx="138">
                  <c:v>5.0174571264996359E-2</c:v>
                </c:pt>
                <c:pt idx="139">
                  <c:v>5.0192774452648026E-2</c:v>
                </c:pt>
                <c:pt idx="140">
                  <c:v>5.0210977291439862E-2</c:v>
                </c:pt>
                <c:pt idx="141">
                  <c:v>5.0229179781378308E-2</c:v>
                </c:pt>
                <c:pt idx="142">
                  <c:v>5.0247381922470247E-2</c:v>
                </c:pt>
                <c:pt idx="143">
                  <c:v>5.0265583714722339E-2</c:v>
                </c:pt>
                <c:pt idx="144">
                  <c:v>5.0283785158141248E-2</c:v>
                </c:pt>
                <c:pt idx="145">
                  <c:v>5.0301986252733633E-2</c:v>
                </c:pt>
                <c:pt idx="146">
                  <c:v>5.0320186998506156E-2</c:v>
                </c:pt>
                <c:pt idx="147">
                  <c:v>5.0338387395465478E-2</c:v>
                </c:pt>
                <c:pt idx="148">
                  <c:v>5.0356587443618483E-2</c:v>
                </c:pt>
                <c:pt idx="149">
                  <c:v>5.0374787142971611E-2</c:v>
                </c:pt>
                <c:pt idx="150">
                  <c:v>5.0392986493531633E-2</c:v>
                </c:pt>
                <c:pt idx="151">
                  <c:v>5.0411185495305322E-2</c:v>
                </c:pt>
                <c:pt idx="152">
                  <c:v>5.0429384148299339E-2</c:v>
                </c:pt>
                <c:pt idx="153">
                  <c:v>5.0447582452520234E-2</c:v>
                </c:pt>
                <c:pt idx="154">
                  <c:v>5.0465780407974781E-2</c:v>
                </c:pt>
                <c:pt idx="155">
                  <c:v>5.048397801466975E-2</c:v>
                </c:pt>
                <c:pt idx="156">
                  <c:v>5.0502175272611693E-2</c:v>
                </c:pt>
                <c:pt idx="157">
                  <c:v>5.0520372181807272E-2</c:v>
                </c:pt>
                <c:pt idx="158">
                  <c:v>5.0538568742263368E-2</c:v>
                </c:pt>
                <c:pt idx="159">
                  <c:v>5.0556764953986422E-2</c:v>
                </c:pt>
                <c:pt idx="160">
                  <c:v>5.0574960816983316E-2</c:v>
                </c:pt>
                <c:pt idx="161">
                  <c:v>5.0593156331260603E-2</c:v>
                </c:pt>
                <c:pt idx="162">
                  <c:v>5.0611351496824941E-2</c:v>
                </c:pt>
                <c:pt idx="163">
                  <c:v>5.0629546313683216E-2</c:v>
                </c:pt>
                <c:pt idx="164">
                  <c:v>5.0647740781841866E-2</c:v>
                </c:pt>
                <c:pt idx="165">
                  <c:v>5.0665934901307774E-2</c:v>
                </c:pt>
                <c:pt idx="166">
                  <c:v>5.0684128672087381E-2</c:v>
                </c:pt>
                <c:pt idx="167">
                  <c:v>5.070232209418768E-2</c:v>
                </c:pt>
                <c:pt idx="168">
                  <c:v>5.072051516761511E-2</c:v>
                </c:pt>
                <c:pt idx="169">
                  <c:v>5.0738707892376445E-2</c:v>
                </c:pt>
                <c:pt idx="170">
                  <c:v>5.0756900268478455E-2</c:v>
                </c:pt>
                <c:pt idx="171">
                  <c:v>5.0775092295927693E-2</c:v>
                </c:pt>
                <c:pt idx="172">
                  <c:v>5.0793283974730818E-2</c:v>
                </c:pt>
                <c:pt idx="173">
                  <c:v>5.0811475304894604E-2</c:v>
                </c:pt>
                <c:pt idx="174">
                  <c:v>5.0829666286425601E-2</c:v>
                </c:pt>
                <c:pt idx="175">
                  <c:v>5.0847856919330692E-2</c:v>
                </c:pt>
                <c:pt idx="176">
                  <c:v>5.0866047203616427E-2</c:v>
                </c:pt>
                <c:pt idx="177">
                  <c:v>5.0884237139289579E-2</c:v>
                </c:pt>
                <c:pt idx="178">
                  <c:v>5.0902426726356698E-2</c:v>
                </c:pt>
                <c:pt idx="179">
                  <c:v>5.0920615964824556E-2</c:v>
                </c:pt>
                <c:pt idx="180">
                  <c:v>5.0938804854699704E-2</c:v>
                </c:pt>
                <c:pt idx="181">
                  <c:v>5.0956993395989025E-2</c:v>
                </c:pt>
                <c:pt idx="182">
                  <c:v>5.097518158869907E-2</c:v>
                </c:pt>
                <c:pt idx="183">
                  <c:v>5.099336943283661E-2</c:v>
                </c:pt>
                <c:pt idx="184">
                  <c:v>5.1011556928408197E-2</c:v>
                </c:pt>
                <c:pt idx="185">
                  <c:v>5.1029744075420602E-2</c:v>
                </c:pt>
                <c:pt idx="186">
                  <c:v>5.1047930873880487E-2</c:v>
                </c:pt>
                <c:pt idx="187">
                  <c:v>5.1066117323794513E-2</c:v>
                </c:pt>
                <c:pt idx="188">
                  <c:v>5.1084303425169453E-2</c:v>
                </c:pt>
                <c:pt idx="189">
                  <c:v>5.1102489178011856E-2</c:v>
                </c:pt>
                <c:pt idx="190">
                  <c:v>5.1120674582328385E-2</c:v>
                </c:pt>
                <c:pt idx="191">
                  <c:v>5.1138859638125922E-2</c:v>
                </c:pt>
                <c:pt idx="192">
                  <c:v>5.1157044345410907E-2</c:v>
                </c:pt>
                <c:pt idx="193">
                  <c:v>5.1175228704190223E-2</c:v>
                </c:pt>
                <c:pt idx="194">
                  <c:v>5.119341271447031E-2</c:v>
                </c:pt>
                <c:pt idx="195">
                  <c:v>5.1211596376258051E-2</c:v>
                </c:pt>
                <c:pt idx="196">
                  <c:v>5.1229779689560107E-2</c:v>
                </c:pt>
                <c:pt idx="197">
                  <c:v>5.1247962654383139E-2</c:v>
                </c:pt>
                <c:pt idx="198">
                  <c:v>5.1266145270733698E-2</c:v>
                </c:pt>
                <c:pt idx="199">
                  <c:v>5.1284327538618668E-2</c:v>
                </c:pt>
                <c:pt idx="200">
                  <c:v>5.1302509458044487E-2</c:v>
                </c:pt>
                <c:pt idx="201">
                  <c:v>5.132069102901804E-2</c:v>
                </c:pt>
                <c:pt idx="202">
                  <c:v>5.1338872251545986E-2</c:v>
                </c:pt>
                <c:pt idx="203">
                  <c:v>5.1357053125634877E-2</c:v>
                </c:pt>
                <c:pt idx="204">
                  <c:v>5.1375233651291485E-2</c:v>
                </c:pt>
                <c:pt idx="205">
                  <c:v>5.1393413828522472E-2</c:v>
                </c:pt>
                <c:pt idx="206">
                  <c:v>5.1411593657334498E-2</c:v>
                </c:pt>
                <c:pt idx="207">
                  <c:v>5.1429773137734336E-2</c:v>
                </c:pt>
                <c:pt idx="208">
                  <c:v>5.1447952269728425E-2</c:v>
                </c:pt>
                <c:pt idx="209">
                  <c:v>5.146613105332376E-2</c:v>
                </c:pt>
                <c:pt idx="210">
                  <c:v>5.148430948852678E-2</c:v>
                </c:pt>
                <c:pt idx="211">
                  <c:v>5.1502487575344147E-2</c:v>
                </c:pt>
                <c:pt idx="212">
                  <c:v>5.1520665313782743E-2</c:v>
                </c:pt>
                <c:pt idx="213">
                  <c:v>5.1538842703849119E-2</c:v>
                </c:pt>
                <c:pt idx="214">
                  <c:v>5.1557019745549937E-2</c:v>
                </c:pt>
                <c:pt idx="215">
                  <c:v>5.1575196438891857E-2</c:v>
                </c:pt>
                <c:pt idx="216">
                  <c:v>5.1593372783881652E-2</c:v>
                </c:pt>
                <c:pt idx="217">
                  <c:v>5.1611548780525984E-2</c:v>
                </c:pt>
                <c:pt idx="218">
                  <c:v>5.1629724428831403E-2</c:v>
                </c:pt>
                <c:pt idx="219">
                  <c:v>5.164789972880468E-2</c:v>
                </c:pt>
                <c:pt idx="220">
                  <c:v>5.1666074680452478E-2</c:v>
                </c:pt>
                <c:pt idx="221">
                  <c:v>5.1684249283781458E-2</c:v>
                </c:pt>
                <c:pt idx="222">
                  <c:v>5.1702423538798392E-2</c:v>
                </c:pt>
                <c:pt idx="223">
                  <c:v>5.1720597445509831E-2</c:v>
                </c:pt>
                <c:pt idx="224">
                  <c:v>5.1738771003922435E-2</c:v>
                </c:pt>
                <c:pt idx="225">
                  <c:v>5.1756944214042977E-2</c:v>
                </c:pt>
                <c:pt idx="226">
                  <c:v>5.1775117075878119E-2</c:v>
                </c:pt>
                <c:pt idx="227">
                  <c:v>5.1793289589434521E-2</c:v>
                </c:pt>
                <c:pt idx="228">
                  <c:v>5.1811461754718846E-2</c:v>
                </c:pt>
                <c:pt idx="229">
                  <c:v>5.1829633571737754E-2</c:v>
                </c:pt>
                <c:pt idx="230">
                  <c:v>5.1847805040497907E-2</c:v>
                </c:pt>
                <c:pt idx="231">
                  <c:v>5.1865976161006078E-2</c:v>
                </c:pt>
                <c:pt idx="232">
                  <c:v>5.1884146933268815E-2</c:v>
                </c:pt>
                <c:pt idx="233">
                  <c:v>5.1902317357292782E-2</c:v>
                </c:pt>
                <c:pt idx="234">
                  <c:v>5.1920487433084861E-2</c:v>
                </c:pt>
                <c:pt idx="235">
                  <c:v>5.1938657160651491E-2</c:v>
                </c:pt>
                <c:pt idx="236">
                  <c:v>5.1956826539999446E-2</c:v>
                </c:pt>
                <c:pt idx="237">
                  <c:v>5.1974995571135385E-2</c:v>
                </c:pt>
                <c:pt idx="238">
                  <c:v>5.1993164254066082E-2</c:v>
                </c:pt>
                <c:pt idx="239">
                  <c:v>5.2011332588797976E-2</c:v>
                </c:pt>
                <c:pt idx="240">
                  <c:v>5.202950057533795E-2</c:v>
                </c:pt>
                <c:pt idx="241">
                  <c:v>5.2047668213692555E-2</c:v>
                </c:pt>
                <c:pt idx="242">
                  <c:v>5.2065835503868563E-2</c:v>
                </c:pt>
                <c:pt idx="243">
                  <c:v>5.2084002445872635E-2</c:v>
                </c:pt>
                <c:pt idx="244">
                  <c:v>5.2102169039711321E-2</c:v>
                </c:pt>
                <c:pt idx="245">
                  <c:v>5.2120335285391506E-2</c:v>
                </c:pt>
                <c:pt idx="246">
                  <c:v>5.2138501182919628E-2</c:v>
                </c:pt>
                <c:pt idx="247">
                  <c:v>5.2156666732302459E-2</c:v>
                </c:pt>
                <c:pt idx="248">
                  <c:v>5.2174831933546773E-2</c:v>
                </c:pt>
                <c:pt idx="249">
                  <c:v>5.2192996786659118E-2</c:v>
                </c:pt>
                <c:pt idx="250">
                  <c:v>5.2211161291646158E-2</c:v>
                </c:pt>
                <c:pt idx="251">
                  <c:v>5.2229325448514663E-2</c:v>
                </c:pt>
                <c:pt idx="252">
                  <c:v>5.2247489257271185E-2</c:v>
                </c:pt>
                <c:pt idx="253">
                  <c:v>5.2265652717922384E-2</c:v>
                </c:pt>
                <c:pt idx="254">
                  <c:v>5.2283815830475144E-2</c:v>
                </c:pt>
                <c:pt idx="255">
                  <c:v>5.2301978594935905E-2</c:v>
                </c:pt>
                <c:pt idx="256">
                  <c:v>5.2320141011311549E-2</c:v>
                </c:pt>
                <c:pt idx="257">
                  <c:v>5.2338303079608517E-2</c:v>
                </c:pt>
                <c:pt idx="258">
                  <c:v>5.235646479983358E-2</c:v>
                </c:pt>
                <c:pt idx="259">
                  <c:v>5.237462617199351E-2</c:v>
                </c:pt>
                <c:pt idx="260">
                  <c:v>5.2392787196094859E-2</c:v>
                </c:pt>
                <c:pt idx="261">
                  <c:v>5.2410947872144287E-2</c:v>
                </c:pt>
                <c:pt idx="262">
                  <c:v>5.2429108200148455E-2</c:v>
                </c:pt>
                <c:pt idx="263">
                  <c:v>5.2447268180114137E-2</c:v>
                </c:pt>
                <c:pt idx="264">
                  <c:v>5.2465427812047993E-2</c:v>
                </c:pt>
                <c:pt idx="265">
                  <c:v>5.2483587095956574E-2</c:v>
                </c:pt>
                <c:pt idx="266">
                  <c:v>5.2501746031846652E-2</c:v>
                </c:pt>
                <c:pt idx="267">
                  <c:v>5.2519904619724889E-2</c:v>
                </c:pt>
                <c:pt idx="268">
                  <c:v>5.2538062859597945E-2</c:v>
                </c:pt>
                <c:pt idx="269">
                  <c:v>5.2556220751472371E-2</c:v>
                </c:pt>
                <c:pt idx="270">
                  <c:v>5.2574378295355051E-2</c:v>
                </c:pt>
                <c:pt idx="271">
                  <c:v>5.2592535491252423E-2</c:v>
                </c:pt>
                <c:pt idx="272">
                  <c:v>5.2610692339171372E-2</c:v>
                </c:pt>
                <c:pt idx="273">
                  <c:v>5.2628848839118447E-2</c:v>
                </c:pt>
                <c:pt idx="274">
                  <c:v>5.2647004991100421E-2</c:v>
                </c:pt>
                <c:pt idx="275">
                  <c:v>5.2665160795123844E-2</c:v>
                </c:pt>
                <c:pt idx="276">
                  <c:v>5.2683316251195378E-2</c:v>
                </c:pt>
                <c:pt idx="277">
                  <c:v>5.2701471359321683E-2</c:v>
                </c:pt>
                <c:pt idx="278">
                  <c:v>5.2719626119509644E-2</c:v>
                </c:pt>
                <c:pt idx="279">
                  <c:v>5.2737780531765588E-2</c:v>
                </c:pt>
                <c:pt idx="280">
                  <c:v>5.275593459609651E-2</c:v>
                </c:pt>
                <c:pt idx="281">
                  <c:v>5.2774088312508849E-2</c:v>
                </c:pt>
                <c:pt idx="282">
                  <c:v>5.2792241681009378E-2</c:v>
                </c:pt>
                <c:pt idx="283">
                  <c:v>5.2810394701604757E-2</c:v>
                </c:pt>
                <c:pt idx="284">
                  <c:v>5.2828547374301649E-2</c:v>
                </c:pt>
                <c:pt idx="285">
                  <c:v>5.2846699699106714E-2</c:v>
                </c:pt>
                <c:pt idx="286">
                  <c:v>5.2864851676026503E-2</c:v>
                </c:pt>
                <c:pt idx="287">
                  <c:v>5.2883003305067899E-2</c:v>
                </c:pt>
                <c:pt idx="288">
                  <c:v>5.2901154586237453E-2</c:v>
                </c:pt>
                <c:pt idx="289">
                  <c:v>5.2919305519541826E-2</c:v>
                </c:pt>
                <c:pt idx="290">
                  <c:v>5.293745610498779E-2</c:v>
                </c:pt>
                <c:pt idx="291">
                  <c:v>5.2955606342581785E-2</c:v>
                </c:pt>
                <c:pt idx="292">
                  <c:v>5.2973756232330693E-2</c:v>
                </c:pt>
                <c:pt idx="293">
                  <c:v>5.2991905774241066E-2</c:v>
                </c:pt>
                <c:pt idx="294">
                  <c:v>5.3010054968319675E-2</c:v>
                </c:pt>
                <c:pt idx="295">
                  <c:v>5.3028203814573072E-2</c:v>
                </c:pt>
                <c:pt idx="296">
                  <c:v>5.3046352313008027E-2</c:v>
                </c:pt>
                <c:pt idx="297">
                  <c:v>5.3064500463631092E-2</c:v>
                </c:pt>
                <c:pt idx="298">
                  <c:v>5.308264826644904E-2</c:v>
                </c:pt>
                <c:pt idx="299">
                  <c:v>5.3100795721468419E-2</c:v>
                </c:pt>
                <c:pt idx="300">
                  <c:v>5.3118942828696003E-2</c:v>
                </c:pt>
                <c:pt idx="301">
                  <c:v>5.3137089588138342E-2</c:v>
                </c:pt>
                <c:pt idx="302">
                  <c:v>5.3155235999802319E-2</c:v>
                </c:pt>
                <c:pt idx="303">
                  <c:v>5.3173382063694374E-2</c:v>
                </c:pt>
                <c:pt idx="304">
                  <c:v>5.3191527779821279E-2</c:v>
                </c:pt>
                <c:pt idx="305">
                  <c:v>5.3209673148189585E-2</c:v>
                </c:pt>
                <c:pt idx="306">
                  <c:v>5.3227818168806174E-2</c:v>
                </c:pt>
                <c:pt idx="307">
                  <c:v>5.3245962841677485E-2</c:v>
                </c:pt>
                <c:pt idx="308">
                  <c:v>5.3264107166810293E-2</c:v>
                </c:pt>
                <c:pt idx="309">
                  <c:v>5.3282251144211257E-2</c:v>
                </c:pt>
                <c:pt idx="310">
                  <c:v>5.3300394773887039E-2</c:v>
                </c:pt>
                <c:pt idx="311">
                  <c:v>5.3318538055844411E-2</c:v>
                </c:pt>
                <c:pt idx="312">
                  <c:v>5.3336680990089813E-2</c:v>
                </c:pt>
                <c:pt idx="313">
                  <c:v>5.3354823576630017E-2</c:v>
                </c:pt>
                <c:pt idx="314">
                  <c:v>5.3372965815471685E-2</c:v>
                </c:pt>
                <c:pt idx="315">
                  <c:v>5.3391107706621477E-2</c:v>
                </c:pt>
                <c:pt idx="316">
                  <c:v>5.3409249250086055E-2</c:v>
                </c:pt>
                <c:pt idx="317">
                  <c:v>5.3427390445872192E-2</c:v>
                </c:pt>
                <c:pt idx="318">
                  <c:v>5.3445531293986326E-2</c:v>
                </c:pt>
                <c:pt idx="319">
                  <c:v>5.3463671794435341E-2</c:v>
                </c:pt>
                <c:pt idx="320">
                  <c:v>5.3481811947225788E-2</c:v>
                </c:pt>
                <c:pt idx="321">
                  <c:v>5.3499951752364328E-2</c:v>
                </c:pt>
                <c:pt idx="322">
                  <c:v>5.3518091209857621E-2</c:v>
                </c:pt>
                <c:pt idx="323">
                  <c:v>5.353623031971233E-2</c:v>
                </c:pt>
                <c:pt idx="324">
                  <c:v>5.3554369081935116E-2</c:v>
                </c:pt>
                <c:pt idx="325">
                  <c:v>5.3572507496532751E-2</c:v>
                </c:pt>
                <c:pt idx="326">
                  <c:v>5.3590645563511785E-2</c:v>
                </c:pt>
                <c:pt idx="327">
                  <c:v>5.360878328287888E-2</c:v>
                </c:pt>
                <c:pt idx="328">
                  <c:v>5.3626920654640697E-2</c:v>
                </c:pt>
                <c:pt idx="329">
                  <c:v>5.3645057678804009E-2</c:v>
                </c:pt>
                <c:pt idx="330">
                  <c:v>5.3663194355375365E-2</c:v>
                </c:pt>
                <c:pt idx="331">
                  <c:v>5.3681330684361428E-2</c:v>
                </c:pt>
                <c:pt idx="332">
                  <c:v>5.3699466665768858E-2</c:v>
                </c:pt>
                <c:pt idx="333">
                  <c:v>5.3717602299604317E-2</c:v>
                </c:pt>
                <c:pt idx="334">
                  <c:v>5.3735737585874577E-2</c:v>
                </c:pt>
                <c:pt idx="335">
                  <c:v>5.3753872524586188E-2</c:v>
                </c:pt>
                <c:pt idx="336">
                  <c:v>5.3772007115745812E-2</c:v>
                </c:pt>
                <c:pt idx="337">
                  <c:v>5.3790141359360111E-2</c:v>
                </c:pt>
                <c:pt idx="338">
                  <c:v>5.3808275255435856E-2</c:v>
                </c:pt>
                <c:pt idx="339">
                  <c:v>5.3826408803979486E-2</c:v>
                </c:pt>
                <c:pt idx="340">
                  <c:v>5.3844542004997886E-2</c:v>
                </c:pt>
                <c:pt idx="341">
                  <c:v>5.3862674858497606E-2</c:v>
                </c:pt>
                <c:pt idx="342">
                  <c:v>5.3880807364485306E-2</c:v>
                </c:pt>
                <c:pt idx="343">
                  <c:v>5.3898939522967759E-2</c:v>
                </c:pt>
                <c:pt idx="344">
                  <c:v>5.3917071333951405E-2</c:v>
                </c:pt>
                <c:pt idx="345">
                  <c:v>5.3935202797443127E-2</c:v>
                </c:pt>
                <c:pt idx="346">
                  <c:v>5.3953333913449475E-2</c:v>
                </c:pt>
                <c:pt idx="347">
                  <c:v>5.397146468197711E-2</c:v>
                </c:pt>
                <c:pt idx="348">
                  <c:v>5.3989595103032695E-2</c:v>
                </c:pt>
                <c:pt idx="349">
                  <c:v>5.4007725176622889E-2</c:v>
                </c:pt>
                <c:pt idx="350">
                  <c:v>5.4025854902754356E-2</c:v>
                </c:pt>
                <c:pt idx="351">
                  <c:v>5.4043984281433755E-2</c:v>
                </c:pt>
                <c:pt idx="352">
                  <c:v>5.4062113312667748E-2</c:v>
                </c:pt>
                <c:pt idx="353">
                  <c:v>5.4080241996462997E-2</c:v>
                </c:pt>
                <c:pt idx="354">
                  <c:v>5.4098370332826162E-2</c:v>
                </c:pt>
                <c:pt idx="355">
                  <c:v>5.4116498321763906E-2</c:v>
                </c:pt>
                <c:pt idx="356">
                  <c:v>5.4134625963282779E-2</c:v>
                </c:pt>
                <c:pt idx="357">
                  <c:v>5.4152753257389663E-2</c:v>
                </c:pt>
                <c:pt idx="358">
                  <c:v>5.4170880204090999E-2</c:v>
                </c:pt>
                <c:pt idx="359">
                  <c:v>5.4189006803393669E-2</c:v>
                </c:pt>
                <c:pt idx="360">
                  <c:v>5.4207133055304113E-2</c:v>
                </c:pt>
                <c:pt idx="361">
                  <c:v>5.4225258959829103E-2</c:v>
                </c:pt>
                <c:pt idx="362">
                  <c:v>5.424338451697519E-2</c:v>
                </c:pt>
                <c:pt idx="363">
                  <c:v>5.4261509726749146E-2</c:v>
                </c:pt>
                <c:pt idx="364">
                  <c:v>5.4279634589157633E-2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2.9511734569786206E-2</c:v>
                </c:pt>
                <c:pt idx="1">
                  <c:v>2.9589421285969652E-2</c:v>
                </c:pt>
                <c:pt idx="2">
                  <c:v>2.9667075900753435E-2</c:v>
                </c:pt>
                <c:pt idx="3">
                  <c:v>2.9744692104028091E-2</c:v>
                </c:pt>
                <c:pt idx="4">
                  <c:v>2.9822264411026582E-2</c:v>
                </c:pt>
                <c:pt idx="5">
                  <c:v>2.9899788145135074E-2</c:v>
                </c:pt>
                <c:pt idx="6">
                  <c:v>2.997725941360669E-2</c:v>
                </c:pt>
                <c:pt idx="7">
                  <c:v>3.0054675076634028E-2</c:v>
                </c:pt>
                <c:pt idx="8">
                  <c:v>3.0132032710291547E-2</c:v>
                </c:pt>
                <c:pt idx="9">
                  <c:v>3.0209330563908159E-2</c:v>
                </c:pt>
                <c:pt idx="10">
                  <c:v>3.0286567512474258E-2</c:v>
                </c:pt>
                <c:pt idx="11">
                  <c:v>3.0363743004723352E-2</c:v>
                </c:pt>
                <c:pt idx="12">
                  <c:v>3.044085700755975E-2</c:v>
                </c:pt>
                <c:pt idx="13">
                  <c:v>3.051790994752537E-2</c:v>
                </c:pt>
                <c:pt idx="14">
                  <c:v>3.0594902650015687E-2</c:v>
                </c:pt>
                <c:pt idx="15">
                  <c:v>3.0671836276962922E-2</c:v>
                </c:pt>
                <c:pt idx="16">
                  <c:v>3.074871226370577E-2</c:v>
                </c:pt>
                <c:pt idx="17">
                  <c:v>3.0825532255759628E-2</c:v>
                </c:pt>
                <c:pt idx="18">
                  <c:v>3.0902298046187878E-2</c:v>
                </c:pt>
                <c:pt idx="19">
                  <c:v>3.0979011514255538E-2</c:v>
                </c:pt>
                <c:pt idx="20">
                  <c:v>3.1055674566020063E-2</c:v>
                </c:pt>
                <c:pt idx="21">
                  <c:v>3.1132289077481921E-2</c:v>
                </c:pt>
                <c:pt idx="22">
                  <c:v>3.120885684087921E-2</c:v>
                </c:pt>
                <c:pt idx="23">
                  <c:v>3.1285379514667366E-2</c:v>
                </c:pt>
                <c:pt idx="24">
                  <c:v>3.1361858577676406E-2</c:v>
                </c:pt>
                <c:pt idx="25">
                  <c:v>3.1438295287885956E-2</c:v>
                </c:pt>
                <c:pt idx="26">
                  <c:v>3.1514690646202034E-2</c:v>
                </c:pt>
                <c:pt idx="27">
                  <c:v>3.1591045365560275E-2</c:v>
                </c:pt>
                <c:pt idx="28">
                  <c:v>3.1667359845618949E-2</c:v>
                </c:pt>
                <c:pt idx="29">
                  <c:v>3.174363415324169E-2</c:v>
                </c:pt>
                <c:pt idx="30">
                  <c:v>3.1819868008905849E-2</c:v>
                </c:pt>
                <c:pt idx="31">
                  <c:v>3.1896060779107366E-2</c:v>
                </c:pt>
                <c:pt idx="32">
                  <c:v>3.1972211474769231E-2</c:v>
                </c:pt>
                <c:pt idx="33">
                  <c:v>3.2048318755597029E-2</c:v>
                </c:pt>
                <c:pt idx="34">
                  <c:v>3.2124380940263521E-2</c:v>
                </c:pt>
                <c:pt idx="35">
                  <c:v>3.2200396022245018E-2</c:v>
                </c:pt>
                <c:pt idx="36">
                  <c:v>3.2276361691075353E-2</c:v>
                </c:pt>
                <c:pt idx="37">
                  <c:v>3.2352275358730836E-2</c:v>
                </c:pt>
                <c:pt idx="38">
                  <c:v>3.2428134190809664E-2</c:v>
                </c:pt>
                <c:pt idx="39">
                  <c:v>3.2503935142124928E-2</c:v>
                </c:pt>
                <c:pt idx="40">
                  <c:v>3.2579674996290255E-2</c:v>
                </c:pt>
                <c:pt idx="41">
                  <c:v>3.2655350408841995E-2</c:v>
                </c:pt>
                <c:pt idx="42">
                  <c:v>3.2730957953412493E-2</c:v>
                </c:pt>
                <c:pt idx="43">
                  <c:v>3.2806494170445295E-2</c:v>
                </c:pt>
                <c:pt idx="44">
                  <c:v>3.2881955617924639E-2</c:v>
                </c:pt>
                <c:pt idx="45">
                  <c:v>3.2957338923580083E-2</c:v>
                </c:pt>
                <c:pt idx="46">
                  <c:v>3.3032640838019996E-2</c:v>
                </c:pt>
                <c:pt idx="47">
                  <c:v>3.3107858288248214E-2</c:v>
                </c:pt>
                <c:pt idx="48">
                  <c:v>3.318298843102295E-2</c:v>
                </c:pt>
                <c:pt idx="49">
                  <c:v>3.3258028705528291E-2</c:v>
                </c:pt>
                <c:pt idx="50">
                  <c:v>3.3332976884845204E-2</c:v>
                </c:pt>
                <c:pt idx="51">
                  <c:v>3.3407831125730314E-2</c:v>
                </c:pt>
                <c:pt idx="52">
                  <c:v>3.3482590016237275E-2</c:v>
                </c:pt>
                <c:pt idx="53">
                  <c:v>3.3557252620746082E-2</c:v>
                </c:pt>
                <c:pt idx="54">
                  <c:v>3.3631818522000576E-2</c:v>
                </c:pt>
                <c:pt idx="55">
                  <c:v>3.3706287859792516E-2</c:v>
                </c:pt>
                <c:pt idx="56">
                  <c:v>3.3780661365971673E-2</c:v>
                </c:pt>
                <c:pt idx="57">
                  <c:v>3.3854940395505365E-2</c:v>
                </c:pt>
                <c:pt idx="58">
                  <c:v>3.3929126953356155E-2</c:v>
                </c:pt>
                <c:pt idx="59">
                  <c:v>3.4003223716993526E-2</c:v>
                </c:pt>
                <c:pt idx="60">
                  <c:v>3.4077234054403084E-2</c:v>
                </c:pt>
                <c:pt idx="61">
                  <c:v>3.4151162037504748E-2</c:v>
                </c:pt>
                <c:pt idx="62">
                  <c:v>3.4225012450939056E-2</c:v>
                </c:pt>
                <c:pt idx="63">
                  <c:v>3.4298790796227309E-2</c:v>
                </c:pt>
                <c:pt idx="64">
                  <c:v>3.4372503291356771E-2</c:v>
                </c:pt>
                <c:pt idx="65">
                  <c:v>3.4446156865885147E-2</c:v>
                </c:pt>
                <c:pt idx="66">
                  <c:v>3.4519759151699712E-2</c:v>
                </c:pt>
                <c:pt idx="67">
                  <c:v>3.4593318469604652E-2</c:v>
                </c:pt>
                <c:pt idx="68">
                  <c:v>3.4666843811944299E-2</c:v>
                </c:pt>
                <c:pt idx="69">
                  <c:v>3.4740344821501956E-2</c:v>
                </c:pt>
                <c:pt idx="70">
                  <c:v>3.4813831766940778E-2</c:v>
                </c:pt>
                <c:pt idx="71">
                  <c:v>3.488731551507606E-2</c:v>
                </c:pt>
                <c:pt idx="72">
                  <c:v>3.4960807500287558E-2</c:v>
                </c:pt>
                <c:pt idx="73">
                  <c:v>3.5034319691393902E-2</c:v>
                </c:pt>
                <c:pt idx="74">
                  <c:v>3.510786455632163E-2</c:v>
                </c:pt>
                <c:pt idx="75">
                  <c:v>3.5181455024905266E-2</c:v>
                </c:pt>
                <c:pt idx="76">
                  <c:v>3.5255104450156227E-2</c:v>
                </c:pt>
                <c:pt idx="77">
                  <c:v>3.5328826568333707E-2</c:v>
                </c:pt>
                <c:pt idx="78">
                  <c:v>3.540263545814213E-2</c:v>
                </c:pt>
                <c:pt idx="79">
                  <c:v>3.5476545499367879E-2</c:v>
                </c:pt>
                <c:pt idx="80">
                  <c:v>3.5550571331250481E-2</c:v>
                </c:pt>
                <c:pt idx="81">
                  <c:v>3.562472781086478E-2</c:v>
                </c:pt>
                <c:pt idx="82">
                  <c:v>3.5699029971766001E-2</c:v>
                </c:pt>
                <c:pt idx="83">
                  <c:v>3.5773492983124829E-2</c:v>
                </c:pt>
                <c:pt idx="84">
                  <c:v>3.5848132109550283E-2</c:v>
                </c:pt>
                <c:pt idx="85">
                  <c:v>3.5922962671768366E-2</c:v>
                </c:pt>
                <c:pt idx="86">
                  <c:v>3.5998000008292272E-2</c:v>
                </c:pt>
                <c:pt idx="87">
                  <c:v>3.6073259438187434E-2</c:v>
                </c:pt>
                <c:pt idx="88">
                  <c:v>3.6148756225001154E-2</c:v>
                </c:pt>
                <c:pt idx="89">
                  <c:v>3.6224505541893506E-2</c:v>
                </c:pt>
                <c:pt idx="90">
                  <c:v>3.6300522437973409E-2</c:v>
                </c:pt>
                <c:pt idx="91">
                  <c:v>3.6376821805812296E-2</c:v>
                </c:pt>
                <c:pt idx="92">
                  <c:v>3.6453418350077545E-2</c:v>
                </c:pt>
                <c:pt idx="93">
                  <c:v>3.6530326557199698E-2</c:v>
                </c:pt>
                <c:pt idx="94">
                  <c:v>3.6607560665962276E-2</c:v>
                </c:pt>
                <c:pt idx="95">
                  <c:v>3.6685134638879478E-2</c:v>
                </c:pt>
                <c:pt idx="96">
                  <c:v>3.6763062134208054E-2</c:v>
                </c:pt>
                <c:pt idx="97">
                  <c:v>3.6841356478423085E-2</c:v>
                </c:pt>
                <c:pt idx="98">
                  <c:v>3.6920030638975553E-2</c:v>
                </c:pt>
                <c:pt idx="99">
                  <c:v>3.6999097197140778E-2</c:v>
                </c:pt>
                <c:pt idx="100">
                  <c:v>3.7078568320763235E-2</c:v>
                </c:pt>
                <c:pt idx="101">
                  <c:v>3.7158455736703115E-2</c:v>
                </c:pt>
                <c:pt idx="102">
                  <c:v>3.7238770702794799E-2</c:v>
                </c:pt>
                <c:pt idx="103">
                  <c:v>3.7319523979136231E-2</c:v>
                </c:pt>
                <c:pt idx="104">
                  <c:v>3.7400725798541562E-2</c:v>
                </c:pt>
                <c:pt idx="105">
                  <c:v>3.7482385836006667E-2</c:v>
                </c:pt>
                <c:pt idx="106">
                  <c:v>3.7564513177058785E-2</c:v>
                </c:pt>
                <c:pt idx="107">
                  <c:v>3.7647116284886435E-2</c:v>
                </c:pt>
                <c:pt idx="108">
                  <c:v>3.7730202966174513E-2</c:v>
                </c:pt>
                <c:pt idx="109">
                  <c:v>3.7813780335601344E-2</c:v>
                </c:pt>
                <c:pt idx="110">
                  <c:v>3.7897854778988542E-2</c:v>
                </c:pt>
                <c:pt idx="111">
                  <c:v>3.7982431915131724E-2</c:v>
                </c:pt>
                <c:pt idx="112">
                  <c:v>3.806751655637821E-2</c:v>
                </c:pt>
                <c:pt idx="113">
                  <c:v>3.8153112668058306E-2</c:v>
                </c:pt>
                <c:pt idx="114">
                  <c:v>3.8239223326916615E-2</c:v>
                </c:pt>
                <c:pt idx="115">
                  <c:v>3.8325850678731614E-2</c:v>
                </c:pt>
                <c:pt idx="116">
                  <c:v>3.8412995895351458E-2</c:v>
                </c:pt>
                <c:pt idx="117">
                  <c:v>3.8500659131414212E-2</c:v>
                </c:pt>
                <c:pt idx="118">
                  <c:v>3.85888394810582E-2</c:v>
                </c:pt>
                <c:pt idx="119">
                  <c:v>3.867753493496514E-2</c:v>
                </c:pt>
                <c:pt idx="120">
                  <c:v>3.8766742338111185E-2</c:v>
                </c:pt>
                <c:pt idx="121">
                  <c:v>3.8856457348632252E-2</c:v>
                </c:pt>
                <c:pt idx="122">
                  <c:v>3.8946674398235882E-2</c:v>
                </c:pt>
                <c:pt idx="123">
                  <c:v>3.9037386654615362E-2</c:v>
                </c:pt>
                <c:pt idx="124">
                  <c:v>3.9128585986338907E-2</c:v>
                </c:pt>
                <c:pt idx="125">
                  <c:v>3.922026293070071E-2</c:v>
                </c:pt>
                <c:pt idx="126">
                  <c:v>3.9312406665027805E-2</c:v>
                </c:pt>
                <c:pt idx="127">
                  <c:v>3.9405004981939523E-2</c:v>
                </c:pt>
                <c:pt idx="128">
                  <c:v>3.9498044269052492E-2</c:v>
                </c:pt>
                <c:pt idx="129">
                  <c:v>3.9591509493615118E-2</c:v>
                </c:pt>
                <c:pt idx="130">
                  <c:v>3.9685384192539717E-2</c:v>
                </c:pt>
                <c:pt idx="131">
                  <c:v>3.9779650468279637E-2</c:v>
                </c:pt>
                <c:pt idx="132">
                  <c:v>3.9874288990970876E-2</c:v>
                </c:pt>
                <c:pt idx="133">
                  <c:v>3.9969279007224676E-2</c:v>
                </c:pt>
                <c:pt idx="134">
                  <c:v>4.0064598355919002E-2</c:v>
                </c:pt>
                <c:pt idx="135">
                  <c:v>4.0160223491292203E-2</c:v>
                </c:pt>
                <c:pt idx="136">
                  <c:v>4.0256129513593003E-2</c:v>
                </c:pt>
                <c:pt idx="137">
                  <c:v>4.0352290207487131E-2</c:v>
                </c:pt>
                <c:pt idx="138">
                  <c:v>4.0448678088362437E-2</c:v>
                </c:pt>
                <c:pt idx="139">
                  <c:v>4.0545264456612669E-2</c:v>
                </c:pt>
                <c:pt idx="140">
                  <c:v>4.0642019459914865E-2</c:v>
                </c:pt>
                <c:pt idx="141">
                  <c:v>4.0738912163447723E-2</c:v>
                </c:pt>
                <c:pt idx="142">
                  <c:v>4.083591062792883E-2</c:v>
                </c:pt>
                <c:pt idx="143">
                  <c:v>4.0932981995277937E-2</c:v>
                </c:pt>
                <c:pt idx="144">
                  <c:v>4.1030092581641912E-2</c:v>
                </c:pt>
                <c:pt idx="145">
                  <c:v>4.1127207977446664E-2</c:v>
                </c:pt>
                <c:pt idx="146">
                  <c:v>4.1224293154070245E-2</c:v>
                </c:pt>
                <c:pt idx="147">
                  <c:v>4.1321312576664063E-2</c:v>
                </c:pt>
                <c:pt idx="148">
                  <c:v>4.1418230322582246E-2</c:v>
                </c:pt>
                <c:pt idx="149">
                  <c:v>4.1515010204817078E-2</c:v>
                </c:pt>
                <c:pt idx="150">
                  <c:v>4.1611615899779221E-2</c:v>
                </c:pt>
                <c:pt idx="151">
                  <c:v>4.1708011078707141E-2</c:v>
                </c:pt>
                <c:pt idx="152">
                  <c:v>4.1804159541940951E-2</c:v>
                </c:pt>
                <c:pt idx="153">
                  <c:v>4.1900025355252488E-2</c:v>
                </c:pt>
                <c:pt idx="154">
                  <c:v>4.1995572987386695E-2</c:v>
                </c:pt>
                <c:pt idx="155">
                  <c:v>4.2090767447938222E-2</c:v>
                </c:pt>
                <c:pt idx="156">
                  <c:v>4.218557442466566E-2</c:v>
                </c:pt>
                <c:pt idx="157">
                  <c:v>4.2279960419328612E-2</c:v>
                </c:pt>
                <c:pt idx="158">
                  <c:v>4.2373892881126911E-2</c:v>
                </c:pt>
                <c:pt idx="159">
                  <c:v>4.2467340336820855E-2</c:v>
                </c:pt>
                <c:pt idx="160">
                  <c:v>4.2560272516620271E-2</c:v>
                </c:pt>
                <c:pt idx="161">
                  <c:v>4.2652660474947902E-2</c:v>
                </c:pt>
                <c:pt idx="162">
                  <c:v>4.2744476705206806E-2</c:v>
                </c:pt>
                <c:pt idx="163">
                  <c:v>4.2835695247715765E-2</c:v>
                </c:pt>
                <c:pt idx="164">
                  <c:v>4.2926291790017515E-2</c:v>
                </c:pt>
                <c:pt idx="165">
                  <c:v>4.3016243758813445E-2</c:v>
                </c:pt>
                <c:pt idx="166">
                  <c:v>4.3105530402834574E-2</c:v>
                </c:pt>
                <c:pt idx="167">
                  <c:v>4.3194132866021584E-2</c:v>
                </c:pt>
                <c:pt idx="168">
                  <c:v>4.3282034250455306E-2</c:v>
                </c:pt>
                <c:pt idx="169">
                  <c:v>4.3369219668554684E-2</c:v>
                </c:pt>
                <c:pt idx="170">
                  <c:v>4.3455676284137858E-2</c:v>
                </c:pt>
                <c:pt idx="171">
                  <c:v>4.3541393342027189E-2</c:v>
                </c:pt>
                <c:pt idx="172">
                  <c:v>4.3626362185965752E-2</c:v>
                </c:pt>
                <c:pt idx="173">
                  <c:v>4.3710576264703704E-2</c:v>
                </c:pt>
                <c:pt idx="174">
                  <c:v>4.3794031126204891E-2</c:v>
                </c:pt>
                <c:pt idx="175">
                  <c:v>4.3876724400017129E-2</c:v>
                </c:pt>
                <c:pt idx="176">
                  <c:v>4.395865576794334E-2</c:v>
                </c:pt>
                <c:pt idx="177">
                  <c:v>4.4039826923243E-2</c:v>
                </c:pt>
                <c:pt idx="178">
                  <c:v>4.4120241518684163E-2</c:v>
                </c:pt>
                <c:pt idx="179">
                  <c:v>4.419990510385538E-2</c:v>
                </c:pt>
                <c:pt idx="180">
                  <c:v>4.4278825052231116E-2</c:v>
                </c:pt>
                <c:pt idx="181">
                  <c:v>4.4357010478565509E-2</c:v>
                </c:pt>
                <c:pt idx="182">
                  <c:v>4.4434472147264981E-2</c:v>
                </c:pt>
                <c:pt idx="183">
                  <c:v>4.4511222372460364E-2</c:v>
                </c:pt>
                <c:pt idx="184">
                  <c:v>4.458727491056251E-2</c:v>
                </c:pt>
                <c:pt idx="185">
                  <c:v>4.466264484614213E-2</c:v>
                </c:pt>
                <c:pt idx="186">
                  <c:v>4.4737348472023208E-2</c:v>
                </c:pt>
                <c:pt idx="187">
                  <c:v>4.4811403164520119E-2</c:v>
                </c:pt>
                <c:pt idx="188">
                  <c:v>4.4884827254780664E-2</c:v>
                </c:pt>
                <c:pt idx="189">
                  <c:v>4.4957639897220472E-2</c:v>
                </c:pt>
                <c:pt idx="190">
                  <c:v>4.5029860936048285E-2</c:v>
                </c:pt>
                <c:pt idx="191">
                  <c:v>4.5101510770886623E-2</c:v>
                </c:pt>
                <c:pt idx="192">
                  <c:v>4.517261022248769E-2</c:v>
                </c:pt>
                <c:pt idx="193">
                  <c:v>4.5243180399530944E-2</c:v>
                </c:pt>
                <c:pt idx="194">
                  <c:v>4.5313242567465627E-2</c:v>
                </c:pt>
                <c:pt idx="195">
                  <c:v>4.5382818020329944E-2</c:v>
                </c:pt>
                <c:pt idx="196">
                  <c:v>4.5451927956438459E-2</c:v>
                </c:pt>
                <c:pt idx="197">
                  <c:v>4.5520593358780628E-2</c:v>
                </c:pt>
                <c:pt idx="198">
                  <c:v>4.5588834880917424E-2</c:v>
                </c:pt>
                <c:pt idx="199">
                  <c:v>4.5656672739099909E-2</c:v>
                </c:pt>
                <c:pt idx="200">
                  <c:v>4.5724126611264015E-2</c:v>
                </c:pt>
                <c:pt idx="201">
                  <c:v>4.5791215543480666E-2</c:v>
                </c:pt>
                <c:pt idx="202">
                  <c:v>4.5857957864360213E-2</c:v>
                </c:pt>
                <c:pt idx="203">
                  <c:v>4.5924371107825934E-2</c:v>
                </c:pt>
                <c:pt idx="204">
                  <c:v>4.599047194458409E-2</c:v>
                </c:pt>
                <c:pt idx="205">
                  <c:v>4.6056276122528397E-2</c:v>
                </c:pt>
                <c:pt idx="206">
                  <c:v>4.6121798416225615E-2</c:v>
                </c:pt>
                <c:pt idx="207">
                  <c:v>4.6187052585537985E-2</c:v>
                </c:pt>
                <c:pt idx="208">
                  <c:v>4.6252051343347131E-2</c:v>
                </c:pt>
                <c:pt idx="209">
                  <c:v>4.6316806332255087E-2</c:v>
                </c:pt>
                <c:pt idx="210">
                  <c:v>4.6381328110051252E-2</c:v>
                </c:pt>
                <c:pt idx="211">
                  <c:v>4.6445626143650678E-2</c:v>
                </c:pt>
                <c:pt idx="212">
                  <c:v>4.6509708811130271E-2</c:v>
                </c:pt>
                <c:pt idx="213">
                  <c:v>4.6573583411415161E-2</c:v>
                </c:pt>
                <c:pt idx="214">
                  <c:v>4.6637256181099804E-2</c:v>
                </c:pt>
                <c:pt idx="215">
                  <c:v>4.6700732317826413E-2</c:v>
                </c:pt>
                <c:pt idx="216">
                  <c:v>4.6764016009589564E-2</c:v>
                </c:pt>
                <c:pt idx="217">
                  <c:v>4.6827110469289196E-2</c:v>
                </c:pt>
                <c:pt idx="218">
                  <c:v>4.6890017973815833E-2</c:v>
                </c:pt>
                <c:pt idx="219">
                  <c:v>4.6952739906923155E-2</c:v>
                </c:pt>
                <c:pt idx="220">
                  <c:v>4.7015276805121527E-2</c:v>
                </c:pt>
                <c:pt idx="221">
                  <c:v>4.7077628405816321E-2</c:v>
                </c:pt>
                <c:pt idx="222">
                  <c:v>4.7139793696911472E-2</c:v>
                </c:pt>
                <c:pt idx="223">
                  <c:v>4.7201770967107252E-2</c:v>
                </c:pt>
                <c:pt idx="224">
                  <c:v>4.7263557856137318E-2</c:v>
                </c:pt>
                <c:pt idx="225">
                  <c:v>4.7325151404215712E-2</c:v>
                </c:pt>
                <c:pt idx="226">
                  <c:v>4.7386548099999162E-2</c:v>
                </c:pt>
                <c:pt idx="227">
                  <c:v>4.7447743926412288E-2</c:v>
                </c:pt>
                <c:pt idx="228">
                  <c:v>4.7508734403733925E-2</c:v>
                </c:pt>
                <c:pt idx="229">
                  <c:v>4.7569514629400629E-2</c:v>
                </c:pt>
                <c:pt idx="230">
                  <c:v>4.7630079314047065E-2</c:v>
                </c:pt>
                <c:pt idx="231">
                  <c:v>4.7690422813373955E-2</c:v>
                </c:pt>
                <c:pt idx="232">
                  <c:v>4.7750539155508344E-2</c:v>
                </c:pt>
                <c:pt idx="233">
                  <c:v>4.7810422063601074E-2</c:v>
                </c:pt>
                <c:pt idx="234">
                  <c:v>4.7870064973487871E-2</c:v>
                </c:pt>
                <c:pt idx="235">
                  <c:v>4.7929461046326061E-2</c:v>
                </c:pt>
                <c:pt idx="236">
                  <c:v>4.7988603176204223E-2</c:v>
                </c:pt>
                <c:pt idx="237">
                  <c:v>4.8047483992808726E-2</c:v>
                </c:pt>
                <c:pt idx="238">
                  <c:v>4.810609585931637E-2</c:v>
                </c:pt>
                <c:pt idx="239">
                  <c:v>4.8164430865766147E-2</c:v>
                </c:pt>
                <c:pt idx="240">
                  <c:v>4.8222480818244207E-2</c:v>
                </c:pt>
                <c:pt idx="241">
                  <c:v>4.8280237224292977E-2</c:v>
                </c:pt>
                <c:pt idx="242">
                  <c:v>4.8337691275028176E-2</c:v>
                </c:pt>
                <c:pt idx="243">
                  <c:v>4.8394833824514101E-2</c:v>
                </c:pt>
                <c:pt idx="244">
                  <c:v>4.8451655367008274E-2</c:v>
                </c:pt>
                <c:pt idx="245">
                  <c:v>4.8508146012739159E-2</c:v>
                </c:pt>
                <c:pt idx="246">
                  <c:v>4.856429546292676E-2</c:v>
                </c:pt>
                <c:pt idx="247">
                  <c:v>4.8620092984791759E-2</c:v>
                </c:pt>
                <c:pt idx="248">
                  <c:v>4.8675527387326986E-2</c:v>
                </c:pt>
                <c:pt idx="249">
                  <c:v>4.8730586998622955E-2</c:v>
                </c:pt>
                <c:pt idx="250">
                  <c:v>4.8785259645547308E-2</c:v>
                </c:pt>
                <c:pt idx="251">
                  <c:v>4.8839532636576248E-2</c:v>
                </c:pt>
                <c:pt idx="252">
                  <c:v>4.8893392748563955E-2</c:v>
                </c:pt>
                <c:pt idx="253">
                  <c:v>4.894682621821355E-2</c:v>
                </c:pt>
                <c:pt idx="254">
                  <c:v>4.8999818738980801E-2</c:v>
                </c:pt>
                <c:pt idx="255">
                  <c:v>4.9052355464099508E-2</c:v>
                </c:pt>
                <c:pt idx="256">
                  <c:v>4.9104421016365481E-2</c:v>
                </c:pt>
                <c:pt idx="257">
                  <c:v>4.9155999505255094E-2</c:v>
                </c:pt>
                <c:pt idx="258">
                  <c:v>4.9207074551884673E-2</c:v>
                </c:pt>
                <c:pt idx="259">
                  <c:v>4.9257629322239559E-2</c:v>
                </c:pt>
                <c:pt idx="260">
                  <c:v>4.9307646569016671E-2</c:v>
                </c:pt>
                <c:pt idx="261">
                  <c:v>4.9357108682333603E-2</c:v>
                </c:pt>
                <c:pt idx="262">
                  <c:v>4.9405997749460293E-2</c:v>
                </c:pt>
                <c:pt idx="263">
                  <c:v>4.9454295623628082E-2</c:v>
                </c:pt>
                <c:pt idx="264">
                  <c:v>4.9501984001867061E-2</c:v>
                </c:pt>
                <c:pt idx="265">
                  <c:v>4.9549044511714449E-2</c:v>
                </c:pt>
                <c:pt idx="266">
                  <c:v>4.9595458806529519E-2</c:v>
                </c:pt>
                <c:pt idx="267">
                  <c:v>4.9641208669041592E-2</c:v>
                </c:pt>
                <c:pt idx="268">
                  <c:v>4.9686276122650148E-2</c:v>
                </c:pt>
                <c:pt idx="269">
                  <c:v>4.973064354989188E-2</c:v>
                </c:pt>
                <c:pt idx="270">
                  <c:v>4.9774293817386142E-2</c:v>
                </c:pt>
                <c:pt idx="271">
                  <c:v>4.9817210406474945E-2</c:v>
                </c:pt>
                <c:pt idx="272">
                  <c:v>4.9859377548680368E-2</c:v>
                </c:pt>
                <c:pt idx="273">
                  <c:v>4.99007803650185E-2</c:v>
                </c:pt>
                <c:pt idx="274">
                  <c:v>4.9941405008131108E-2</c:v>
                </c:pt>
                <c:pt idx="275">
                  <c:v>4.9981238806128321E-2</c:v>
                </c:pt>
                <c:pt idx="276">
                  <c:v>5.0020270406975709E-2</c:v>
                </c:pt>
                <c:pt idx="277">
                  <c:v>5.0058489922211596E-2</c:v>
                </c:pt>
                <c:pt idx="278">
                  <c:v>5.0095889068741184E-2</c:v>
                </c:pt>
                <c:pt idx="279">
                  <c:v>5.0132461307429224E-2</c:v>
                </c:pt>
                <c:pt idx="280">
                  <c:v>5.0168201977197534E-2</c:v>
                </c:pt>
                <c:pt idx="281">
                  <c:v>5.0203108423332726E-2</c:v>
                </c:pt>
                <c:pt idx="282">
                  <c:v>5.0237180118719152E-2</c:v>
                </c:pt>
                <c:pt idx="283">
                  <c:v>5.0270418776736686E-2</c:v>
                </c:pt>
                <c:pt idx="284">
                  <c:v>5.0302828454597416E-2</c:v>
                </c:pt>
                <c:pt idx="285">
                  <c:v>5.0334415645945305E-2</c:v>
                </c:pt>
                <c:pt idx="286">
                  <c:v>5.0365189361602503E-2</c:v>
                </c:pt>
                <c:pt idx="287">
                  <c:v>5.0395161197419096E-2</c:v>
                </c:pt>
                <c:pt idx="288">
                  <c:v>5.0424345388266477E-2</c:v>
                </c:pt>
                <c:pt idx="289">
                  <c:v>5.045275884730957E-2</c:v>
                </c:pt>
                <c:pt idx="290">
                  <c:v>5.0480421189796558E-2</c:v>
                </c:pt>
                <c:pt idx="291">
                  <c:v>5.0507354740719108E-2</c:v>
                </c:pt>
                <c:pt idx="292">
                  <c:v>5.0533584525816674E-2</c:v>
                </c:pt>
                <c:pt idx="293">
                  <c:v>5.0559138245527241E-2</c:v>
                </c:pt>
                <c:pt idx="294">
                  <c:v>5.0584046231621174E-2</c:v>
                </c:pt>
                <c:pt idx="295">
                  <c:v>5.0608341386393557E-2</c:v>
                </c:pt>
                <c:pt idx="296">
                  <c:v>5.0632059104432817E-2</c:v>
                </c:pt>
                <c:pt idx="297">
                  <c:v>5.0655237177128158E-2</c:v>
                </c:pt>
                <c:pt idx="298">
                  <c:v>5.0677915680223083E-2</c:v>
                </c:pt>
                <c:pt idx="299">
                  <c:v>5.0700136844867488E-2</c:v>
                </c:pt>
                <c:pt idx="300">
                  <c:v>5.0721944912763058E-2</c:v>
                </c:pt>
                <c:pt idx="301">
                  <c:v>5.07433859761365E-2</c:v>
                </c:pt>
                <c:pt idx="302">
                  <c:v>5.0764507803409867E-2</c:v>
                </c:pt>
                <c:pt idx="303">
                  <c:v>5.0785359651566109E-2</c:v>
                </c:pt>
                <c:pt idx="304">
                  <c:v>5.0805992066329554E-2</c:v>
                </c:pt>
                <c:pt idx="305">
                  <c:v>5.0826456671395001E-2</c:v>
                </c:pt>
                <c:pt idx="306">
                  <c:v>5.0846805948042154E-2</c:v>
                </c:pt>
                <c:pt idx="307">
                  <c:v>5.0867093006566465E-2</c:v>
                </c:pt>
                <c:pt idx="308">
                  <c:v>5.0887371351038373E-2</c:v>
                </c:pt>
                <c:pt idx="309">
                  <c:v>5.0907694638973586E-2</c:v>
                </c:pt>
                <c:pt idx="310">
                  <c:v>5.0928116437552871E-2</c:v>
                </c:pt>
                <c:pt idx="311">
                  <c:v>5.0948689978073024E-2</c:v>
                </c:pt>
                <c:pt idx="312">
                  <c:v>5.0969467910339926E-2</c:v>
                </c:pt>
                <c:pt idx="313">
                  <c:v>5.0990502058728113E-2</c:v>
                </c:pt>
                <c:pt idx="314">
                  <c:v>5.1011843181631995E-2</c:v>
                </c:pt>
                <c:pt idx="315">
                  <c:v>5.1033540736017791E-2</c:v>
                </c:pt>
                <c:pt idx="316">
                  <c:v>5.1055642648756228E-2</c:v>
                </c:pt>
                <c:pt idx="317">
                  <c:v>5.1078195096371334E-2</c:v>
                </c:pt>
                <c:pt idx="318">
                  <c:v>5.1101242294782127E-2</c:v>
                </c:pt>
                <c:pt idx="319">
                  <c:v>5.1124826300542318E-2</c:v>
                </c:pt>
                <c:pt idx="320">
                  <c:v>5.1148986824996939E-2</c:v>
                </c:pt>
                <c:pt idx="321">
                  <c:v>5.1173761062678472E-2</c:v>
                </c:pt>
                <c:pt idx="322">
                  <c:v>5.1199183535154451E-2</c:v>
                </c:pt>
                <c:pt idx="323">
                  <c:v>5.1225285951419848E-2</c:v>
                </c:pt>
                <c:pt idx="324">
                  <c:v>5.1252097085797664E-2</c:v>
                </c:pt>
                <c:pt idx="325">
                  <c:v>5.1279642674173898E-2</c:v>
                </c:pt>
                <c:pt idx="326">
                  <c:v>5.1307945329247741E-2</c:v>
                </c:pt>
                <c:pt idx="327">
                  <c:v>5.1337024475328091E-2</c:v>
                </c:pt>
                <c:pt idx="328">
                  <c:v>5.1366896303051211E-2</c:v>
                </c:pt>
                <c:pt idx="329">
                  <c:v>5.1397573744237209E-2</c:v>
                </c:pt>
                <c:pt idx="330">
                  <c:v>5.1429066466942439E-2</c:v>
                </c:pt>
                <c:pt idx="331">
                  <c:v>5.1461380890605014E-2</c:v>
                </c:pt>
                <c:pt idx="332">
                  <c:v>5.1494520221021689E-2</c:v>
                </c:pt>
                <c:pt idx="333">
                  <c:v>5.152848450473814E-2</c:v>
                </c:pt>
                <c:pt idx="334">
                  <c:v>5.1563270702282171E-2</c:v>
                </c:pt>
                <c:pt idx="335">
                  <c:v>5.1598872779522957E-2</c:v>
                </c:pt>
                <c:pt idx="336">
                  <c:v>5.1635281816298985E-2</c:v>
                </c:pt>
                <c:pt idx="337">
                  <c:v>5.1672486131325156E-2</c:v>
                </c:pt>
                <c:pt idx="338">
                  <c:v>5.1710471422267056E-2</c:v>
                </c:pt>
                <c:pt idx="339">
                  <c:v>5.1749220919756818E-2</c:v>
                </c:pt>
                <c:pt idx="340">
                  <c:v>5.1788715554024048E-2</c:v>
                </c:pt>
                <c:pt idx="341">
                  <c:v>5.1828934132725712E-2</c:v>
                </c:pt>
                <c:pt idx="342">
                  <c:v>5.1869853528481731E-2</c:v>
                </c:pt>
                <c:pt idx="343">
                  <c:v>5.1911448874560673E-2</c:v>
                </c:pt>
                <c:pt idx="344">
                  <c:v>5.1953693767109926E-2</c:v>
                </c:pt>
                <c:pt idx="345">
                  <c:v>5.1996560472290537E-2</c:v>
                </c:pt>
                <c:pt idx="346">
                  <c:v>5.2040020136656366E-2</c:v>
                </c:pt>
                <c:pt idx="347">
                  <c:v>5.2084042999111541E-2</c:v>
                </c:pt>
                <c:pt idx="348">
                  <c:v>5.2128598602789893E-2</c:v>
                </c:pt>
                <c:pt idx="349">
                  <c:v>5.2173656005222682E-2</c:v>
                </c:pt>
                <c:pt idx="350">
                  <c:v>5.2219183985199785E-2</c:v>
                </c:pt>
                <c:pt idx="351">
                  <c:v>5.2265151244779956E-2</c:v>
                </c:pt>
                <c:pt idx="352">
                  <c:v>5.2311526604971133E-2</c:v>
                </c:pt>
                <c:pt idx="353">
                  <c:v>5.235827919367813E-2</c:v>
                </c:pt>
                <c:pt idx="354">
                  <c:v>5.2405378624604301E-2</c:v>
                </c:pt>
                <c:pt idx="355">
                  <c:v>5.2452795165892671E-2</c:v>
                </c:pt>
                <c:pt idx="356">
                  <c:v>5.2500499897401187E-2</c:v>
                </c:pt>
                <c:pt idx="357">
                  <c:v>5.2548464855624442E-2</c:v>
                </c:pt>
                <c:pt idx="358">
                  <c:v>5.2596663165399377E-2</c:v>
                </c:pt>
                <c:pt idx="359">
                  <c:v>5.2645069157663156E-2</c:v>
                </c:pt>
                <c:pt idx="360">
                  <c:v>5.2693658472668402E-2</c:v>
                </c:pt>
                <c:pt idx="361">
                  <c:v>5.2742408148200075E-2</c:v>
                </c:pt>
                <c:pt idx="362">
                  <c:v>5.2791296692480005E-2</c:v>
                </c:pt>
                <c:pt idx="363">
                  <c:v>5.2840304141589002E-2</c:v>
                </c:pt>
                <c:pt idx="364">
                  <c:v>5.2889412101377084E-2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6.4729917006849297E-2</c:v>
                </c:pt>
                <c:pt idx="1">
                  <c:v>6.4043047455996149E-2</c:v>
                </c:pt>
                <c:pt idx="2">
                  <c:v>6.3287304830682567E-2</c:v>
                </c:pt>
                <c:pt idx="3">
                  <c:v>6.2467684869072344E-2</c:v>
                </c:pt>
                <c:pt idx="4">
                  <c:v>6.1589035422522184E-2</c:v>
                </c:pt>
                <c:pt idx="5">
                  <c:v>6.0656019827449663E-2</c:v>
                </c:pt>
                <c:pt idx="6">
                  <c:v>5.9673086919392049E-2</c:v>
                </c:pt>
                <c:pt idx="7">
                  <c:v>5.8644447090140425E-2</c:v>
                </c:pt>
                <c:pt idx="8">
                  <c:v>5.7561571134833997E-2</c:v>
                </c:pt>
                <c:pt idx="9">
                  <c:v>5.6438898106826306E-2</c:v>
                </c:pt>
                <c:pt idx="10">
                  <c:v>5.5308578814498945E-2</c:v>
                </c:pt>
                <c:pt idx="11">
                  <c:v>5.4174645802693919E-2</c:v>
                </c:pt>
                <c:pt idx="12">
                  <c:v>5.3040797641845737E-2</c:v>
                </c:pt>
                <c:pt idx="13">
                  <c:v>5.1910399373084684E-2</c:v>
                </c:pt>
                <c:pt idx="14">
                  <c:v>5.0786487842637007E-2</c:v>
                </c:pt>
                <c:pt idx="15">
                  <c:v>4.9704353566993945E-2</c:v>
                </c:pt>
                <c:pt idx="16">
                  <c:v>4.8687475027230032E-2</c:v>
                </c:pt>
                <c:pt idx="17">
                  <c:v>4.7736284066481074E-2</c:v>
                </c:pt>
                <c:pt idx="18">
                  <c:v>4.6850977759725319E-2</c:v>
                </c:pt>
                <c:pt idx="19">
                  <c:v>4.6031812471674621E-2</c:v>
                </c:pt>
                <c:pt idx="20">
                  <c:v>4.5278979782064604E-2</c:v>
                </c:pt>
                <c:pt idx="21">
                  <c:v>4.4592329910540511E-2</c:v>
                </c:pt>
                <c:pt idx="22">
                  <c:v>4.3965002928125295E-2</c:v>
                </c:pt>
                <c:pt idx="23">
                  <c:v>4.3419675130696E-2</c:v>
                </c:pt>
                <c:pt idx="24">
                  <c:v>4.2936545164416542E-2</c:v>
                </c:pt>
                <c:pt idx="25">
                  <c:v>4.2514971099850654E-2</c:v>
                </c:pt>
                <c:pt idx="26">
                  <c:v>4.2154239007340513E-2</c:v>
                </c:pt>
                <c:pt idx="27">
                  <c:v>4.1853581685413942E-2</c:v>
                </c:pt>
                <c:pt idx="28">
                  <c:v>4.1612196027814123E-2</c:v>
                </c:pt>
                <c:pt idx="29">
                  <c:v>4.1416828227248736E-2</c:v>
                </c:pt>
                <c:pt idx="30">
                  <c:v>4.1239158912195512E-2</c:v>
                </c:pt>
                <c:pt idx="31">
                  <c:v>4.1079590567864747E-2</c:v>
                </c:pt>
                <c:pt idx="32">
                  <c:v>4.0938494167048069E-2</c:v>
                </c:pt>
                <c:pt idx="33">
                  <c:v>4.081621476730634E-2</c:v>
                </c:pt>
                <c:pt idx="34">
                  <c:v>4.0713076951127504E-2</c:v>
                </c:pt>
                <c:pt idx="35">
                  <c:v>4.0629390109222716E-2</c:v>
                </c:pt>
                <c:pt idx="36">
                  <c:v>4.0563149615213782E-2</c:v>
                </c:pt>
                <c:pt idx="37">
                  <c:v>4.0447992507783678E-2</c:v>
                </c:pt>
                <c:pt idx="38">
                  <c:v>4.0260063084538097E-2</c:v>
                </c:pt>
                <c:pt idx="39">
                  <c:v>4.0001532512169188E-2</c:v>
                </c:pt>
                <c:pt idx="40">
                  <c:v>3.9674491592211196E-2</c:v>
                </c:pt>
                <c:pt idx="41">
                  <c:v>3.9280952191127247E-2</c:v>
                </c:pt>
                <c:pt idx="42">
                  <c:v>3.8822848742626842E-2</c:v>
                </c:pt>
                <c:pt idx="43">
                  <c:v>3.8241849055040855E-2</c:v>
                </c:pt>
                <c:pt idx="44">
                  <c:v>3.7552048977629482E-2</c:v>
                </c:pt>
                <c:pt idx="45">
                  <c:v>3.6756378751062899E-2</c:v>
                </c:pt>
                <c:pt idx="46">
                  <c:v>3.5857646445588587E-2</c:v>
                </c:pt>
                <c:pt idx="47">
                  <c:v>3.4858540068272402E-2</c:v>
                </c:pt>
                <c:pt idx="48">
                  <c:v>3.3761629589250747E-2</c:v>
                </c:pt>
                <c:pt idx="49">
                  <c:v>3.2569368865918949E-2</c:v>
                </c:pt>
                <c:pt idx="50">
                  <c:v>3.1283897903496616E-2</c:v>
                </c:pt>
                <c:pt idx="51">
                  <c:v>2.990413499423893E-2</c:v>
                </c:pt>
                <c:pt idx="52">
                  <c:v>2.8488260770663042E-2</c:v>
                </c:pt>
                <c:pt idx="53">
                  <c:v>2.703687582794528E-2</c:v>
                </c:pt>
                <c:pt idx="54">
                  <c:v>2.5550710235198136E-2</c:v>
                </c:pt>
                <c:pt idx="55">
                  <c:v>2.4030469272064908E-2</c:v>
                </c:pt>
                <c:pt idx="56">
                  <c:v>2.2476834045806939E-2</c:v>
                </c:pt>
                <c:pt idx="57">
                  <c:v>2.0941155448043459E-2</c:v>
                </c:pt>
                <c:pt idx="58">
                  <c:v>1.9476252199985652E-2</c:v>
                </c:pt>
                <c:pt idx="59">
                  <c:v>1.8080448817677047E-2</c:v>
                </c:pt>
                <c:pt idx="60">
                  <c:v>1.6752124700830734E-2</c:v>
                </c:pt>
                <c:pt idx="61">
                  <c:v>1.548971126694099E-2</c:v>
                </c:pt>
                <c:pt idx="62">
                  <c:v>1.4291689267217531E-2</c:v>
                </c:pt>
                <c:pt idx="63">
                  <c:v>1.3156586279770134E-2</c:v>
                </c:pt>
                <c:pt idx="64">
                  <c:v>1.2082674649846251E-2</c:v>
                </c:pt>
                <c:pt idx="65">
                  <c:v>1.1115165207103487E-2</c:v>
                </c:pt>
                <c:pt idx="66">
                  <c:v>1.0254837399889362E-2</c:v>
                </c:pt>
                <c:pt idx="67">
                  <c:v>9.499578020420639E-3</c:v>
                </c:pt>
                <c:pt idx="68">
                  <c:v>8.8472950919377541E-3</c:v>
                </c:pt>
                <c:pt idx="69">
                  <c:v>8.2959292521265927E-3</c:v>
                </c:pt>
                <c:pt idx="70">
                  <c:v>7.8434643350801716E-3</c:v>
                </c:pt>
                <c:pt idx="71">
                  <c:v>7.5002250815913579E-3</c:v>
                </c:pt>
                <c:pt idx="72">
                  <c:v>7.2185462000474397E-3</c:v>
                </c:pt>
                <c:pt idx="73">
                  <c:v>6.9972816596002019E-3</c:v>
                </c:pt>
                <c:pt idx="74">
                  <c:v>6.8353324303727031E-3</c:v>
                </c:pt>
                <c:pt idx="75">
                  <c:v>6.731651498117823E-3</c:v>
                </c:pt>
                <c:pt idx="76">
                  <c:v>6.6852485688359891E-3</c:v>
                </c:pt>
                <c:pt idx="77">
                  <c:v>6.6951944986524993E-3</c:v>
                </c:pt>
                <c:pt idx="78">
                  <c:v>6.7602058669141516E-3</c:v>
                </c:pt>
                <c:pt idx="79">
                  <c:v>6.868618261992197E-3</c:v>
                </c:pt>
                <c:pt idx="80">
                  <c:v>6.9774167586228193E-3</c:v>
                </c:pt>
                <c:pt idx="81">
                  <c:v>7.0867836284540537E-3</c:v>
                </c:pt>
                <c:pt idx="82">
                  <c:v>7.1969086261574064E-3</c:v>
                </c:pt>
                <c:pt idx="83">
                  <c:v>7.3079891450854497E-3</c:v>
                </c:pt>
                <c:pt idx="84">
                  <c:v>7.4202304415636813E-3</c:v>
                </c:pt>
                <c:pt idx="85">
                  <c:v>7.5232447161005965E-3</c:v>
                </c:pt>
                <c:pt idx="86">
                  <c:v>7.6059677983538587E-3</c:v>
                </c:pt>
                <c:pt idx="87">
                  <c:v>7.6688696854076508E-3</c:v>
                </c:pt>
                <c:pt idx="88">
                  <c:v>7.7123954531829256E-3</c:v>
                </c:pt>
                <c:pt idx="89">
                  <c:v>0</c:v>
                </c:pt>
                <c:pt idx="90">
                  <c:v>1.055058305607929E-6</c:v>
                </c:pt>
                <c:pt idx="91">
                  <c:v>2.1294525371211861E-6</c:v>
                </c:pt>
                <c:pt idx="92">
                  <c:v>3.2236920455146784E-6</c:v>
                </c:pt>
                <c:pt idx="93">
                  <c:v>4.3332075190367724E-6</c:v>
                </c:pt>
                <c:pt idx="94">
                  <c:v>5.4532388027354004E-6</c:v>
                </c:pt>
                <c:pt idx="95">
                  <c:v>6.5790827941070975E-6</c:v>
                </c:pt>
                <c:pt idx="96">
                  <c:v>7.705648503877216E-6</c:v>
                </c:pt>
                <c:pt idx="97">
                  <c:v>8.8274302036591974E-6</c:v>
                </c:pt>
                <c:pt idx="98">
                  <c:v>9.9384800309643771E-6</c:v>
                </c:pt>
                <c:pt idx="99">
                  <c:v>1.1040666317374932E-5</c:v>
                </c:pt>
                <c:pt idx="100">
                  <c:v>1.2135195771034132E-5</c:v>
                </c:pt>
                <c:pt idx="101">
                  <c:v>1.3219468034070017E-5</c:v>
                </c:pt>
                <c:pt idx="102">
                  <c:v>1.42906469952177E-5</c:v>
                </c:pt>
                <c:pt idx="103">
                  <c:v>1.5345650082477879E-5</c:v>
                </c:pt>
                <c:pt idx="104">
                  <c:v>1.6381137569223399E-5</c:v>
                </c:pt>
                <c:pt idx="105">
                  <c:v>1.7393501981856155E-5</c:v>
                </c:pt>
                <c:pt idx="106">
                  <c:v>1.8379342878634713E-5</c:v>
                </c:pt>
                <c:pt idx="107">
                  <c:v>1.9329196322301874E-5</c:v>
                </c:pt>
                <c:pt idx="108">
                  <c:v>2.026779824889555E-5</c:v>
                </c:pt>
                <c:pt idx="109">
                  <c:v>2.1195695050267415E-5</c:v>
                </c:pt>
                <c:pt idx="110">
                  <c:v>2.2113519060284486E-5</c:v>
                </c:pt>
                <c:pt idx="111">
                  <c:v>2.3021942631595381E-5</c:v>
                </c:pt>
                <c:pt idx="112">
                  <c:v>2.392161448739238E-5</c:v>
                </c:pt>
                <c:pt idx="113">
                  <c:v>2.4783480764771997E-5</c:v>
                </c:pt>
                <c:pt idx="114">
                  <c:v>2.5575800353381448E-5</c:v>
                </c:pt>
                <c:pt idx="115">
                  <c:v>2.628871489944908E-5</c:v>
                </c:pt>
                <c:pt idx="116">
                  <c:v>2.6911730594890484E-5</c:v>
                </c:pt>
                <c:pt idx="117">
                  <c:v>2.7433696597029713E-5</c:v>
                </c:pt>
                <c:pt idx="118">
                  <c:v>2.7842784795671261E-5</c:v>
                </c:pt>
                <c:pt idx="119">
                  <c:v>2.8126471231213259E-5</c:v>
                </c:pt>
                <c:pt idx="120">
                  <c:v>2.8271991627517662E-5</c:v>
                </c:pt>
                <c:pt idx="121">
                  <c:v>2.8265853357464612E-5</c:v>
                </c:pt>
                <c:pt idx="122">
                  <c:v>2.8107646111194492E-5</c:v>
                </c:pt>
                <c:pt idx="123">
                  <c:v>2.7783999405702501E-5</c:v>
                </c:pt>
                <c:pt idx="124">
                  <c:v>2.7280879828235268E-5</c:v>
                </c:pt>
                <c:pt idx="125">
                  <c:v>2.6583587372226997E-5</c:v>
                </c:pt>
                <c:pt idx="126">
                  <c:v>2.56767551201307E-5</c:v>
                </c:pt>
                <c:pt idx="127">
                  <c:v>2.4627317905913552E-5</c:v>
                </c:pt>
                <c:pt idx="128">
                  <c:v>2.3493999591485705E-5</c:v>
                </c:pt>
                <c:pt idx="129">
                  <c:v>2.2280119422118868E-5</c:v>
                </c:pt>
                <c:pt idx="130">
                  <c:v>2.0989496578022593E-5</c:v>
                </c:pt>
                <c:pt idx="131">
                  <c:v>1.9626479897006802E-5</c:v>
                </c:pt>
                <c:pt idx="132">
                  <c:v>1.8195976693605778E-5</c:v>
                </c:pt>
                <c:pt idx="133">
                  <c:v>1.6703480366611999E-5</c:v>
                </c:pt>
                <c:pt idx="134">
                  <c:v>1.515522997417484E-5</c:v>
                </c:pt>
                <c:pt idx="135">
                  <c:v>1.3659835853991353E-5</c:v>
                </c:pt>
                <c:pt idx="136">
                  <c:v>1.2236872565411138E-5</c:v>
                </c:pt>
                <c:pt idx="137">
                  <c:v>1.0907145242859893E-5</c:v>
                </c:pt>
                <c:pt idx="138">
                  <c:v>9.6926984483798543E-6</c:v>
                </c:pt>
                <c:pt idx="139">
                  <c:v>8.6168222716857911E-6</c:v>
                </c:pt>
                <c:pt idx="140">
                  <c:v>7.7040520518111335E-6</c:v>
                </c:pt>
                <c:pt idx="141">
                  <c:v>6.9835096088474288E-6</c:v>
                </c:pt>
                <c:pt idx="142">
                  <c:v>6.3312801492446635E-6</c:v>
                </c:pt>
                <c:pt idx="143">
                  <c:v>5.7596953432837652E-6</c:v>
                </c:pt>
                <c:pt idx="144">
                  <c:v>5.2817094490763681E-6</c:v>
                </c:pt>
                <c:pt idx="145">
                  <c:v>4.9108402292950078E-6</c:v>
                </c:pt>
                <c:pt idx="146">
                  <c:v>4.661152782703457E-6</c:v>
                </c:pt>
                <c:pt idx="147">
                  <c:v>4.5472398780177236E-6</c:v>
                </c:pt>
                <c:pt idx="148">
                  <c:v>4.5841988018852692E-6</c:v>
                </c:pt>
                <c:pt idx="149">
                  <c:v>4.7831087711707006E-6</c:v>
                </c:pt>
                <c:pt idx="150">
                  <c:v>4.9871373701610903E-6</c:v>
                </c:pt>
                <c:pt idx="151">
                  <c:v>5.196238618369898E-6</c:v>
                </c:pt>
                <c:pt idx="152">
                  <c:v>5.4103564268879226E-6</c:v>
                </c:pt>
                <c:pt idx="153">
                  <c:v>5.6294246780012339E-6</c:v>
                </c:pt>
                <c:pt idx="154">
                  <c:v>5.8533673724002827E-6</c:v>
                </c:pt>
                <c:pt idx="155">
                  <c:v>6.0775023891697487E-6</c:v>
                </c:pt>
                <c:pt idx="156">
                  <c:v>6.2959592658964559E-6</c:v>
                </c:pt>
                <c:pt idx="157">
                  <c:v>6.5077937312225596E-6</c:v>
                </c:pt>
                <c:pt idx="158">
                  <c:v>6.7120420269969214E-6</c:v>
                </c:pt>
                <c:pt idx="159">
                  <c:v>6.9077236471558692E-6</c:v>
                </c:pt>
                <c:pt idx="160">
                  <c:v>7.0938441834090962E-6</c:v>
                </c:pt>
                <c:pt idx="161">
                  <c:v>7.2693982512005129E-6</c:v>
                </c:pt>
                <c:pt idx="162">
                  <c:v>7.4333724705988245E-6</c:v>
                </c:pt>
                <c:pt idx="163">
                  <c:v>7.5889591665635098E-6</c:v>
                </c:pt>
                <c:pt idx="164">
                  <c:v>7.7422045608801873E-6</c:v>
                </c:pt>
                <c:pt idx="165">
                  <c:v>7.8928617655328231E-6</c:v>
                </c:pt>
                <c:pt idx="166">
                  <c:v>8.2827838405682358E-6</c:v>
                </c:pt>
                <c:pt idx="167">
                  <c:v>8.724434925440775E-6</c:v>
                </c:pt>
                <c:pt idx="168">
                  <c:v>9.1621818883572265E-6</c:v>
                </c:pt>
                <c:pt idx="169">
                  <c:v>9.6003313337379303E-6</c:v>
                </c:pt>
                <c:pt idx="170">
                  <c:v>1.0045522420795849E-5</c:v>
                </c:pt>
                <c:pt idx="171">
                  <c:v>1.0498116996609846E-5</c:v>
                </c:pt>
                <c:pt idx="172">
                  <c:v>1.0958486601929351E-5</c:v>
                </c:pt>
                <c:pt idx="173">
                  <c:v>1.1426895442790612E-5</c:v>
                </c:pt>
                <c:pt idx="174">
                  <c:v>1.190359112625231E-5</c:v>
                </c:pt>
                <c:pt idx="175">
                  <c:v>1.2388932348618456E-5</c:v>
                </c:pt>
                <c:pt idx="176">
                  <c:v>1.2883433417270828E-5</c:v>
                </c:pt>
                <c:pt idx="177">
                  <c:v>1.3379467709959705E-5</c:v>
                </c:pt>
                <c:pt idx="178">
                  <c:v>1.3870914997394385E-5</c:v>
                </c:pt>
                <c:pt idx="179">
                  <c:v>1.4357248325729691E-5</c:v>
                </c:pt>
                <c:pt idx="180">
                  <c:v>1.4837952666615412E-5</c:v>
                </c:pt>
                <c:pt idx="181">
                  <c:v>1.5312526057241735E-5</c:v>
                </c:pt>
                <c:pt idx="182">
                  <c:v>1.5780480605890485E-5</c:v>
                </c:pt>
                <c:pt idx="183">
                  <c:v>1.6233083196166714E-5</c:v>
                </c:pt>
                <c:pt idx="184">
                  <c:v>1.6663098465489773E-5</c:v>
                </c:pt>
                <c:pt idx="185">
                  <c:v>1.7069574903481756E-5</c:v>
                </c:pt>
                <c:pt idx="186">
                  <c:v>1.745159253286025E-5</c:v>
                </c:pt>
                <c:pt idx="187">
                  <c:v>1.780826429512563E-5</c:v>
                </c:pt>
                <c:pt idx="188">
                  <c:v>1.8138737245145925E-5</c:v>
                </c:pt>
                <c:pt idx="189">
                  <c:v>1.8442193565607432E-5</c:v>
                </c:pt>
                <c:pt idx="190">
                  <c:v>1.8718181731083445E-5</c:v>
                </c:pt>
                <c:pt idx="191">
                  <c:v>1.906717239180792E-5</c:v>
                </c:pt>
                <c:pt idx="192">
                  <c:v>1.9508274654689275E-5</c:v>
                </c:pt>
                <c:pt idx="193">
                  <c:v>2.0050167329012763E-5</c:v>
                </c:pt>
                <c:pt idx="194">
                  <c:v>2.0701215191095765E-5</c:v>
                </c:pt>
                <c:pt idx="195">
                  <c:v>2.1469467714832302E-5</c:v>
                </c:pt>
                <c:pt idx="196">
                  <c:v>2.2362659380009551E-5</c:v>
                </c:pt>
                <c:pt idx="197">
                  <c:v>2.3902246243780059E-5</c:v>
                </c:pt>
                <c:pt idx="198">
                  <c:v>2.6123517072860217E-5</c:v>
                </c:pt>
                <c:pt idx="199">
                  <c:v>2.9051749789420815E-5</c:v>
                </c:pt>
                <c:pt idx="200">
                  <c:v>3.2711243072356242E-5</c:v>
                </c:pt>
                <c:pt idx="201">
                  <c:v>3.7125335549183099E-5</c:v>
                </c:pt>
                <c:pt idx="202">
                  <c:v>4.23164273532284E-5</c:v>
                </c:pt>
                <c:pt idx="203">
                  <c:v>4.8306003536867395E-5</c:v>
                </c:pt>
                <c:pt idx="204">
                  <c:v>5.5115053249287395E-5</c:v>
                </c:pt>
                <c:pt idx="205">
                  <c:v>6.333956475027855E-5</c:v>
                </c:pt>
                <c:pt idx="206">
                  <c:v>7.2873193995304702E-5</c:v>
                </c:pt>
                <c:pt idx="207">
                  <c:v>8.3742416285152263E-5</c:v>
                </c:pt>
                <c:pt idx="208">
                  <c:v>9.5972748067305361E-5</c:v>
                </c:pt>
                <c:pt idx="209">
                  <c:v>1.095887719411439E-4</c:v>
                </c:pt>
                <c:pt idx="210">
                  <c:v>1.2461415979437331E-4</c:v>
                </c:pt>
                <c:pt idx="211">
                  <c:v>1.4087644647347859E-4</c:v>
                </c:pt>
                <c:pt idx="212">
                  <c:v>1.5779143995676753E-4</c:v>
                </c:pt>
                <c:pt idx="213">
                  <c:v>1.7535787502963594E-4</c:v>
                </c:pt>
                <c:pt idx="214">
                  <c:v>1.9357450190309213E-4</c:v>
                </c:pt>
                <c:pt idx="215">
                  <c:v>2.1244007498200061E-4</c:v>
                </c:pt>
                <c:pt idx="216">
                  <c:v>2.3195334006924823E-4</c:v>
                </c:pt>
                <c:pt idx="217">
                  <c:v>2.5211302014350339E-4</c:v>
                </c:pt>
                <c:pt idx="218">
                  <c:v>2.7291567844763573E-4</c:v>
                </c:pt>
                <c:pt idx="219">
                  <c:v>2.9337165726191856E-4</c:v>
                </c:pt>
                <c:pt idx="220">
                  <c:v>3.1281227543555407E-4</c:v>
                </c:pt>
                <c:pt idx="221">
                  <c:v>3.3120249670978361E-4</c:v>
                </c:pt>
                <c:pt idx="222">
                  <c:v>3.4850922594371647E-4</c:v>
                </c:pt>
                <c:pt idx="223">
                  <c:v>3.6470118848522969E-4</c:v>
                </c:pt>
                <c:pt idx="224">
                  <c:v>3.7974880678230726E-4</c:v>
                </c:pt>
                <c:pt idx="225">
                  <c:v>3.938120865992704E-4</c:v>
                </c:pt>
                <c:pt idx="226">
                  <c:v>4.0710119485642027E-4</c:v>
                </c:pt>
                <c:pt idx="227">
                  <c:v>4.196029235751662E-4</c:v>
                </c:pt>
                <c:pt idx="228">
                  <c:v>4.3130482762192794E-4</c:v>
                </c:pt>
                <c:pt idx="229">
                  <c:v>4.4219514804834929E-4</c:v>
                </c:pt>
                <c:pt idx="230">
                  <c:v>4.522627349150155E-4</c:v>
                </c:pt>
                <c:pt idx="231">
                  <c:v>4.6149696964362883E-4</c:v>
                </c:pt>
                <c:pt idx="232">
                  <c:v>4.6987442749911619E-4</c:v>
                </c:pt>
                <c:pt idx="233">
                  <c:v>4.7832505949527349E-4</c:v>
                </c:pt>
                <c:pt idx="234">
                  <c:v>4.87955298645069E-4</c:v>
                </c:pt>
                <c:pt idx="235">
                  <c:v>4.9879286886027427E-4</c:v>
                </c:pt>
                <c:pt idx="236">
                  <c:v>5.1086534154093236E-4</c:v>
                </c:pt>
                <c:pt idx="237">
                  <c:v>5.2419978054726185E-4</c:v>
                </c:pt>
                <c:pt idx="238">
                  <c:v>5.3882318114353942E-4</c:v>
                </c:pt>
                <c:pt idx="239">
                  <c:v>5.5432586584979598E-4</c:v>
                </c:pt>
                <c:pt idx="240">
                  <c:v>5.7051424940543374E-4</c:v>
                </c:pt>
                <c:pt idx="241">
                  <c:v>5.8740613054020251E-4</c:v>
                </c:pt>
                <c:pt idx="242">
                  <c:v>6.0501969580077045E-4</c:v>
                </c:pt>
                <c:pt idx="243">
                  <c:v>6.2337360439822557E-4</c:v>
                </c:pt>
                <c:pt idx="244">
                  <c:v>6.4248707584038049E-4</c:v>
                </c:pt>
                <c:pt idx="245">
                  <c:v>6.6237998064800946E-4</c:v>
                </c:pt>
                <c:pt idx="246">
                  <c:v>6.8306524586408404E-4</c:v>
                </c:pt>
                <c:pt idx="247">
                  <c:v>7.0404679721718176E-4</c:v>
                </c:pt>
                <c:pt idx="248">
                  <c:v>7.2428992868955573E-4</c:v>
                </c:pt>
                <c:pt idx="249">
                  <c:v>7.4378270576390296E-4</c:v>
                </c:pt>
                <c:pt idx="250">
                  <c:v>7.6251290799299527E-4</c:v>
                </c:pt>
                <c:pt idx="251">
                  <c:v>7.8046801174376187E-4</c:v>
                </c:pt>
                <c:pt idx="252">
                  <c:v>7.9763517444479811E-4</c:v>
                </c:pt>
                <c:pt idx="253">
                  <c:v>8.1281662253380386E-4</c:v>
                </c:pt>
                <c:pt idx="254">
                  <c:v>8.264405858969912E-4</c:v>
                </c:pt>
                <c:pt idx="255">
                  <c:v>8.3847745642840507E-4</c:v>
                </c:pt>
                <c:pt idx="256">
                  <c:v>8.4889734048645906E-4</c:v>
                </c:pt>
                <c:pt idx="257">
                  <c:v>8.5767003857235369E-4</c:v>
                </c:pt>
                <c:pt idx="258">
                  <c:v>8.6476502999524802E-4</c:v>
                </c:pt>
                <c:pt idx="259">
                  <c:v>8.7015146234295298E-4</c:v>
                </c:pt>
                <c:pt idx="260">
                  <c:v>8.7381156283453673E-4</c:v>
                </c:pt>
                <c:pt idx="261">
                  <c:v>8.7412698807563674E-4</c:v>
                </c:pt>
                <c:pt idx="262">
                  <c:v>8.7158755111514565E-4</c:v>
                </c:pt>
                <c:pt idx="263">
                  <c:v>8.6614267748805229E-4</c:v>
                </c:pt>
                <c:pt idx="264">
                  <c:v>8.5774078245203173E-4</c:v>
                </c:pt>
                <c:pt idx="265">
                  <c:v>8.4633383911055817E-4</c:v>
                </c:pt>
                <c:pt idx="266">
                  <c:v>8.3187042910758493E-4</c:v>
                </c:pt>
                <c:pt idx="267">
                  <c:v>8.1593453192140627E-4</c:v>
                </c:pt>
                <c:pt idx="268">
                  <c:v>7.9979700563022566E-4</c:v>
                </c:pt>
                <c:pt idx="269">
                  <c:v>7.8345512146379438E-4</c:v>
                </c:pt>
                <c:pt idx="270">
                  <c:v>7.6690613098560076E-4</c:v>
                </c:pt>
                <c:pt idx="271">
                  <c:v>7.5014730461040184E-4</c:v>
                </c:pt>
                <c:pt idx="272">
                  <c:v>7.3317596915387399E-4</c:v>
                </c:pt>
                <c:pt idx="273">
                  <c:v>7.1598954432127912E-4</c:v>
                </c:pt>
                <c:pt idx="274">
                  <c:v>6.9860881528229304E-4</c:v>
                </c:pt>
                <c:pt idx="275">
                  <c:v>6.8672146055360247E-4</c:v>
                </c:pt>
                <c:pt idx="276">
                  <c:v>6.8215244997880964E-4</c:v>
                </c:pt>
                <c:pt idx="277">
                  <c:v>6.8502419681690154E-4</c:v>
                </c:pt>
                <c:pt idx="278">
                  <c:v>6.9546161805159295E-4</c:v>
                </c:pt>
                <c:pt idx="279">
                  <c:v>7.1359149000490413E-4</c:v>
                </c:pt>
                <c:pt idx="280">
                  <c:v>7.3954176725824232E-4</c:v>
                </c:pt>
                <c:pt idx="281">
                  <c:v>7.800121244769581E-4</c:v>
                </c:pt>
                <c:pt idx="282">
                  <c:v>8.3344258411373112E-4</c:v>
                </c:pt>
                <c:pt idx="283">
                  <c:v>9.0003789695462311E-4</c:v>
                </c:pt>
                <c:pt idx="284">
                  <c:v>9.8000070947764999E-4</c:v>
                </c:pt>
                <c:pt idx="285">
                  <c:v>1.0735301471083371E-3</c:v>
                </c:pt>
                <c:pt idx="286">
                  <c:v>1.1808203357570755E-3</c:v>
                </c:pt>
                <c:pt idx="287">
                  <c:v>1.3020588618236136E-3</c:v>
                </c:pt>
                <c:pt idx="288">
                  <c:v>1.4374887159620559E-3</c:v>
                </c:pt>
                <c:pt idx="289">
                  <c:v>1.5888733062162201E-3</c:v>
                </c:pt>
                <c:pt idx="290">
                  <c:v>1.7502702549441116E-3</c:v>
                </c:pt>
                <c:pt idx="291">
                  <c:v>1.9218111999202596E-3</c:v>
                </c:pt>
                <c:pt idx="292">
                  <c:v>2.1036251567739454E-3</c:v>
                </c:pt>
                <c:pt idx="293">
                  <c:v>2.295837883149248E-3</c:v>
                </c:pt>
                <c:pt idx="294">
                  <c:v>2.4985712171976368E-3</c:v>
                </c:pt>
                <c:pt idx="295">
                  <c:v>2.7044808384688586E-3</c:v>
                </c:pt>
                <c:pt idx="296">
                  <c:v>2.9064732571869511E-3</c:v>
                </c:pt>
                <c:pt idx="297">
                  <c:v>3.1044592839446468E-3</c:v>
                </c:pt>
                <c:pt idx="298">
                  <c:v>3.298324023816906E-3</c:v>
                </c:pt>
                <c:pt idx="299">
                  <c:v>3.4879477008096884E-3</c:v>
                </c:pt>
                <c:pt idx="300">
                  <c:v>3.6732058042649547E-3</c:v>
                </c:pt>
                <c:pt idx="301">
                  <c:v>3.8539692337631248E-3</c:v>
                </c:pt>
                <c:pt idx="302">
                  <c:v>4.0301684427906902E-3</c:v>
                </c:pt>
                <c:pt idx="303">
                  <c:v>4.1931179755826309E-3</c:v>
                </c:pt>
                <c:pt idx="304">
                  <c:v>4.3410131963294556E-3</c:v>
                </c:pt>
                <c:pt idx="305">
                  <c:v>4.4736398057771878E-3</c:v>
                </c:pt>
                <c:pt idx="306">
                  <c:v>4.5907863861350349E-3</c:v>
                </c:pt>
                <c:pt idx="307">
                  <c:v>4.692243391628245E-3</c:v>
                </c:pt>
                <c:pt idx="308">
                  <c:v>4.7778020485681125E-3</c:v>
                </c:pt>
                <c:pt idx="309">
                  <c:v>4.8451028787809929E-3</c:v>
                </c:pt>
                <c:pt idx="310">
                  <c:v>4.9019595806448447E-3</c:v>
                </c:pt>
                <c:pt idx="311">
                  <c:v>4.948249314414262E-3</c:v>
                </c:pt>
                <c:pt idx="312">
                  <c:v>4.9838471581337192E-3</c:v>
                </c:pt>
                <c:pt idx="313">
                  <c:v>5.008625137083068E-3</c:v>
                </c:pt>
                <c:pt idx="314">
                  <c:v>5.0224512133132957E-3</c:v>
                </c:pt>
                <c:pt idx="315">
                  <c:v>5.0251882398644129E-3</c:v>
                </c:pt>
                <c:pt idx="316">
                  <c:v>5.0167955765452465E-3</c:v>
                </c:pt>
                <c:pt idx="317">
                  <c:v>4.9970885345646783E-3</c:v>
                </c:pt>
                <c:pt idx="318">
                  <c:v>4.9751828937990615E-3</c:v>
                </c:pt>
                <c:pt idx="319">
                  <c:v>4.9509850486345189E-3</c:v>
                </c:pt>
                <c:pt idx="320">
                  <c:v>4.9243971669037743E-3</c:v>
                </c:pt>
                <c:pt idx="321">
                  <c:v>4.8953172733694414E-3</c:v>
                </c:pt>
                <c:pt idx="322">
                  <c:v>4.8636393874601181E-3</c:v>
                </c:pt>
                <c:pt idx="323">
                  <c:v>4.8299139890140381E-3</c:v>
                </c:pt>
                <c:pt idx="324">
                  <c:v>4.7963749574472352E-3</c:v>
                </c:pt>
                <c:pt idx="325">
                  <c:v>4.762960381825266E-3</c:v>
                </c:pt>
                <c:pt idx="326">
                  <c:v>4.7295770223058234E-3</c:v>
                </c:pt>
                <c:pt idx="327">
                  <c:v>4.6961500931282643E-3</c:v>
                </c:pt>
                <c:pt idx="328">
                  <c:v>4.6626272201673001E-3</c:v>
                </c:pt>
                <c:pt idx="329">
                  <c:v>4.6289539608401408E-3</c:v>
                </c:pt>
                <c:pt idx="330">
                  <c:v>4.5958011234984233E-3</c:v>
                </c:pt>
                <c:pt idx="331">
                  <c:v>4.565658932304803E-3</c:v>
                </c:pt>
                <c:pt idx="332">
                  <c:v>4.5384085286565429E-3</c:v>
                </c:pt>
                <c:pt idx="333">
                  <c:v>4.5138437879511809E-3</c:v>
                </c:pt>
                <c:pt idx="334">
                  <c:v>4.4917566187619527E-3</c:v>
                </c:pt>
                <c:pt idx="335">
                  <c:v>4.4719356489112214E-3</c:v>
                </c:pt>
                <c:pt idx="336">
                  <c:v>4.454165086131022E-3</c:v>
                </c:pt>
                <c:pt idx="337">
                  <c:v>4.4392964379058467E-3</c:v>
                </c:pt>
                <c:pt idx="338">
                  <c:v>4.4263961281976721E-3</c:v>
                </c:pt>
                <c:pt idx="339">
                  <c:v>4.4152360604322689E-3</c:v>
                </c:pt>
                <c:pt idx="340">
                  <c:v>4.4055804776557605E-3</c:v>
                </c:pt>
                <c:pt idx="341">
                  <c:v>4.3971857809874384E-3</c:v>
                </c:pt>
                <c:pt idx="342">
                  <c:v>4.3898006739363261E-3</c:v>
                </c:pt>
                <c:pt idx="343">
                  <c:v>4.3831666634698094E-3</c:v>
                </c:pt>
                <c:pt idx="344">
                  <c:v>4.3780974075034304E-3</c:v>
                </c:pt>
                <c:pt idx="345">
                  <c:v>4.3754747789205755E-3</c:v>
                </c:pt>
                <c:pt idx="346">
                  <c:v>4.3739285356602766E-3</c:v>
                </c:pt>
                <c:pt idx="347">
                  <c:v>4.3732747777690531E-3</c:v>
                </c:pt>
                <c:pt idx="348">
                  <c:v>4.3733253674489731E-3</c:v>
                </c:pt>
                <c:pt idx="349">
                  <c:v>4.3738882568766062E-3</c:v>
                </c:pt>
                <c:pt idx="350">
                  <c:v>4.3747679970108679E-3</c:v>
                </c:pt>
                <c:pt idx="351">
                  <c:v>4.3766923792723927E-3</c:v>
                </c:pt>
                <c:pt idx="352">
                  <c:v>4.3783252651822214E-3</c:v>
                </c:pt>
                <c:pt idx="353">
                  <c:v>4.3794638938256178E-3</c:v>
                </c:pt>
                <c:pt idx="354">
                  <c:v>4.3799066915063013E-3</c:v>
                </c:pt>
                <c:pt idx="355">
                  <c:v>4.3794548576519595E-3</c:v>
                </c:pt>
                <c:pt idx="356">
                  <c:v>4.3778471661306672E-3</c:v>
                </c:pt>
                <c:pt idx="357">
                  <c:v>4.3749588627240172E-3</c:v>
                </c:pt>
                <c:pt idx="358">
                  <c:v>4.3705699170843056E-3</c:v>
                </c:pt>
                <c:pt idx="359">
                  <c:v>4.3647375008236192E-3</c:v>
                </c:pt>
                <c:pt idx="360">
                  <c:v>4.3588079935218682E-3</c:v>
                </c:pt>
                <c:pt idx="361">
                  <c:v>4.3520713677789582E-3</c:v>
                </c:pt>
                <c:pt idx="362">
                  <c:v>4.3447418411470895E-3</c:v>
                </c:pt>
                <c:pt idx="363">
                  <c:v>4.337031431041926E-3</c:v>
                </c:pt>
                <c:pt idx="364">
                  <c:v>4.3291483896708031E-3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871632"/>
        <c:axId val="361084616"/>
      </c:lineChart>
      <c:dateAx>
        <c:axId val="3748716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61084616"/>
        <c:crosses val="autoZero"/>
        <c:auto val="1"/>
        <c:lblOffset val="100"/>
        <c:baseTimeUnit val="days"/>
        <c:majorUnit val="1"/>
        <c:majorTimeUnit val="months"/>
      </c:dateAx>
      <c:valAx>
        <c:axId val="36108461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48716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23.650085032394291</c:v>
                </c:pt>
                <c:pt idx="1">
                  <c:v>23.817397661683419</c:v>
                </c:pt>
                <c:pt idx="2">
                  <c:v>23.994341591270679</c:v>
                </c:pt>
                <c:pt idx="3">
                  <c:v>24.179804536861422</c:v>
                </c:pt>
                <c:pt idx="4">
                  <c:v>24.372674479481802</c:v>
                </c:pt>
                <c:pt idx="5">
                  <c:v>24.571839677702307</c:v>
                </c:pt>
                <c:pt idx="6">
                  <c:v>24.776188659685118</c:v>
                </c:pt>
                <c:pt idx="7">
                  <c:v>24.984610243514446</c:v>
                </c:pt>
                <c:pt idx="8">
                  <c:v>25.201481280992517</c:v>
                </c:pt>
                <c:pt idx="9">
                  <c:v>25.431122455027385</c:v>
                </c:pt>
                <c:pt idx="10">
                  <c:v>25.672391426800456</c:v>
                </c:pt>
                <c:pt idx="11">
                  <c:v>25.924120017649805</c:v>
                </c:pt>
                <c:pt idx="12">
                  <c:v>26.185140351951478</c:v>
                </c:pt>
                <c:pt idx="13">
                  <c:v>26.454284882527272</c:v>
                </c:pt>
                <c:pt idx="14">
                  <c:v>26.730386378403693</c:v>
                </c:pt>
                <c:pt idx="15">
                  <c:v>27.012280019154282</c:v>
                </c:pt>
                <c:pt idx="16">
                  <c:v>27.2988486841877</c:v>
                </c:pt>
                <c:pt idx="17">
                  <c:v>27.588926140490745</c:v>
                </c:pt>
                <c:pt idx="18">
                  <c:v>27.881346484186768</c:v>
                </c:pt>
                <c:pt idx="19">
                  <c:v>28.174943447644118</c:v>
                </c:pt>
                <c:pt idx="20">
                  <c:v>28.468550742480414</c:v>
                </c:pt>
                <c:pt idx="21">
                  <c:v>28.761002926150265</c:v>
                </c:pt>
                <c:pt idx="22">
                  <c:v>29.055521353884604</c:v>
                </c:pt>
                <c:pt idx="23">
                  <c:v>29.355711595303116</c:v>
                </c:pt>
                <c:pt idx="24">
                  <c:v>29.660909727752635</c:v>
                </c:pt>
                <c:pt idx="25">
                  <c:v>29.970434256125547</c:v>
                </c:pt>
                <c:pt idx="26">
                  <c:v>30.283603876945875</c:v>
                </c:pt>
                <c:pt idx="27">
                  <c:v>30.599737484056917</c:v>
                </c:pt>
                <c:pt idx="28">
                  <c:v>30.918154170973228</c:v>
                </c:pt>
                <c:pt idx="29">
                  <c:v>31.238431496545026</c:v>
                </c:pt>
                <c:pt idx="30">
                  <c:v>31.559887175579011</c:v>
                </c:pt>
                <c:pt idx="31">
                  <c:v>31.88184108307296</c:v>
                </c:pt>
                <c:pt idx="32">
                  <c:v>32.203613319333847</c:v>
                </c:pt>
                <c:pt idx="33">
                  <c:v>32.524524213799928</c:v>
                </c:pt>
                <c:pt idx="34">
                  <c:v>32.843894329583058</c:v>
                </c:pt>
                <c:pt idx="35">
                  <c:v>33.161044466462535</c:v>
                </c:pt>
                <c:pt idx="36">
                  <c:v>33.477204939997428</c:v>
                </c:pt>
                <c:pt idx="37">
                  <c:v>33.794226664823121</c:v>
                </c:pt>
                <c:pt idx="38">
                  <c:v>34.111950873213928</c:v>
                </c:pt>
                <c:pt idx="39">
                  <c:v>34.430280870142546</c:v>
                </c:pt>
                <c:pt idx="40">
                  <c:v>34.749120061691428</c:v>
                </c:pt>
                <c:pt idx="41">
                  <c:v>35.068371958134222</c:v>
                </c:pt>
                <c:pt idx="42">
                  <c:v>35.387940176257061</c:v>
                </c:pt>
                <c:pt idx="43">
                  <c:v>35.707681989292475</c:v>
                </c:pt>
                <c:pt idx="44">
                  <c:v>36.027242272633373</c:v>
                </c:pt>
                <c:pt idx="45">
                  <c:v>36.346524832091013</c:v>
                </c:pt>
                <c:pt idx="46">
                  <c:v>36.665433560889554</c:v>
                </c:pt>
                <c:pt idx="47">
                  <c:v>36.983872439345859</c:v>
                </c:pt>
                <c:pt idx="48">
                  <c:v>37.30174553658081</c:v>
                </c:pt>
                <c:pt idx="49">
                  <c:v>37.618957010080422</c:v>
                </c:pt>
                <c:pt idx="50">
                  <c:v>37.935653568743575</c:v>
                </c:pt>
                <c:pt idx="51">
                  <c:v>38.251825998157969</c:v>
                </c:pt>
                <c:pt idx="52">
                  <c:v>38.567241618292343</c:v>
                </c:pt>
                <c:pt idx="53">
                  <c:v>38.881901339721963</c:v>
                </c:pt>
                <c:pt idx="54">
                  <c:v>39.195805639077292</c:v>
                </c:pt>
                <c:pt idx="55">
                  <c:v>39.508954948803492</c:v>
                </c:pt>
                <c:pt idx="56">
                  <c:v>39.821349657212735</c:v>
                </c:pt>
                <c:pt idx="57">
                  <c:v>40.132789286586046</c:v>
                </c:pt>
                <c:pt idx="58">
                  <c:v>40.443319294490301</c:v>
                </c:pt>
                <c:pt idx="59">
                  <c:v>40.752939112412328</c:v>
                </c:pt>
                <c:pt idx="60">
                  <c:v>41.06164805862489</c:v>
                </c:pt>
                <c:pt idx="61">
                  <c:v>41.369445332972276</c:v>
                </c:pt>
                <c:pt idx="62">
                  <c:v>41.676330010792299</c:v>
                </c:pt>
                <c:pt idx="63">
                  <c:v>41.982301036872734</c:v>
                </c:pt>
                <c:pt idx="64">
                  <c:v>42.288406841292073</c:v>
                </c:pt>
                <c:pt idx="65">
                  <c:v>42.595309279848017</c:v>
                </c:pt>
                <c:pt idx="66">
                  <c:v>42.902744060325155</c:v>
                </c:pt>
                <c:pt idx="67">
                  <c:v>43.210224971461606</c:v>
                </c:pt>
                <c:pt idx="68">
                  <c:v>43.517265776365498</c:v>
                </c:pt>
                <c:pt idx="69">
                  <c:v>43.823380204529258</c:v>
                </c:pt>
                <c:pt idx="70">
                  <c:v>44.128081945653278</c:v>
                </c:pt>
                <c:pt idx="71">
                  <c:v>44.430945692998911</c:v>
                </c:pt>
                <c:pt idx="72">
                  <c:v>44.731690015152118</c:v>
                </c:pt>
                <c:pt idx="73">
                  <c:v>45.02982975086303</c:v>
                </c:pt>
                <c:pt idx="74">
                  <c:v>45.324879784348347</c:v>
                </c:pt>
                <c:pt idx="75">
                  <c:v>45.616355045614377</c:v>
                </c:pt>
                <c:pt idx="76">
                  <c:v>45.903770512820394</c:v>
                </c:pt>
                <c:pt idx="77">
                  <c:v>46.186641215292738</c:v>
                </c:pt>
                <c:pt idx="78">
                  <c:v>46.467369859253999</c:v>
                </c:pt>
                <c:pt idx="79">
                  <c:v>46.748215573785842</c:v>
                </c:pt>
                <c:pt idx="80">
                  <c:v>47.028468283221869</c:v>
                </c:pt>
                <c:pt idx="81">
                  <c:v>47.30735303391549</c:v>
                </c:pt>
                <c:pt idx="82">
                  <c:v>47.584095124486709</c:v>
                </c:pt>
                <c:pt idx="83">
                  <c:v>47.85792011686226</c:v>
                </c:pt>
                <c:pt idx="84">
                  <c:v>48.128053851823076</c:v>
                </c:pt>
                <c:pt idx="85">
                  <c:v>48.393744460666113</c:v>
                </c:pt>
                <c:pt idx="86">
                  <c:v>48.654156018715277</c:v>
                </c:pt>
                <c:pt idx="87">
                  <c:v>48.908515058919178</c:v>
                </c:pt>
                <c:pt idx="88">
                  <c:v>49.156048422930162</c:v>
                </c:pt>
                <c:pt idx="89">
                  <c:v>49.395983271161128</c:v>
                </c:pt>
                <c:pt idx="90">
                  <c:v>49.627547097849025</c:v>
                </c:pt>
                <c:pt idx="91">
                  <c:v>49.849967743810922</c:v>
                </c:pt>
                <c:pt idx="92">
                  <c:v>50.06356924199013</c:v>
                </c:pt>
                <c:pt idx="93">
                  <c:v>50.269467266484128</c:v>
                </c:pt>
                <c:pt idx="94">
                  <c:v>50.467995968785061</c:v>
                </c:pt>
                <c:pt idx="95">
                  <c:v>50.659542907922983</c:v>
                </c:pt>
                <c:pt idx="96">
                  <c:v>50.844495607812874</c:v>
                </c:pt>
                <c:pt idx="97">
                  <c:v>51.023241562228975</c:v>
                </c:pt>
                <c:pt idx="98">
                  <c:v>51.196168236933161</c:v>
                </c:pt>
                <c:pt idx="99">
                  <c:v>51.363614976438484</c:v>
                </c:pt>
                <c:pt idx="100">
                  <c:v>51.525944960148543</c:v>
                </c:pt>
                <c:pt idx="101">
                  <c:v>51.683544329917417</c:v>
                </c:pt>
                <c:pt idx="102">
                  <c:v>51.836799119287534</c:v>
                </c:pt>
                <c:pt idx="103">
                  <c:v>51.986095244371981</c:v>
                </c:pt>
                <c:pt idx="104">
                  <c:v>52.131818506670079</c:v>
                </c:pt>
                <c:pt idx="105">
                  <c:v>52.274354589627826</c:v>
                </c:pt>
                <c:pt idx="106">
                  <c:v>52.412704751645336</c:v>
                </c:pt>
                <c:pt idx="107">
                  <c:v>52.54572920383486</c:v>
                </c:pt>
                <c:pt idx="108">
                  <c:v>52.673601768721525</c:v>
                </c:pt>
                <c:pt idx="109">
                  <c:v>52.796514795505885</c:v>
                </c:pt>
                <c:pt idx="110">
                  <c:v>52.9146604735501</c:v>
                </c:pt>
                <c:pt idx="111">
                  <c:v>53.028230909162794</c:v>
                </c:pt>
                <c:pt idx="112">
                  <c:v>53.137418190391074</c:v>
                </c:pt>
                <c:pt idx="113">
                  <c:v>53.2424748658091</c:v>
                </c:pt>
                <c:pt idx="114">
                  <c:v>53.343647777594526</c:v>
                </c:pt>
                <c:pt idx="115">
                  <c:v>53.441131770204322</c:v>
                </c:pt>
                <c:pt idx="116">
                  <c:v>53.535121798847619</c:v>
                </c:pt>
                <c:pt idx="117">
                  <c:v>53.625812929041494</c:v>
                </c:pt>
                <c:pt idx="118">
                  <c:v>53.71340034760604</c:v>
                </c:pt>
                <c:pt idx="119">
                  <c:v>56.782427102107235</c:v>
                </c:pt>
                <c:pt idx="120">
                  <c:v>56.866256134273613</c:v>
                </c:pt>
                <c:pt idx="121">
                  <c:v>56.945582487492793</c:v>
                </c:pt>
                <c:pt idx="122">
                  <c:v>57.020629613599084</c:v>
                </c:pt>
                <c:pt idx="123">
                  <c:v>57.091605705434482</c:v>
                </c:pt>
                <c:pt idx="124">
                  <c:v>57.158719047578856</c:v>
                </c:pt>
                <c:pt idx="125">
                  <c:v>57.222178015893256</c:v>
                </c:pt>
                <c:pt idx="126">
                  <c:v>57.282191079214741</c:v>
                </c:pt>
                <c:pt idx="127">
                  <c:v>57.338925618418727</c:v>
                </c:pt>
                <c:pt idx="128">
                  <c:v>57.392515098785651</c:v>
                </c:pt>
                <c:pt idx="129">
                  <c:v>57.443164579290439</c:v>
                </c:pt>
                <c:pt idx="130">
                  <c:v>57.491079029791997</c:v>
                </c:pt>
                <c:pt idx="131">
                  <c:v>57.536463324973553</c:v>
                </c:pt>
                <c:pt idx="132">
                  <c:v>57.579522246694488</c:v>
                </c:pt>
                <c:pt idx="133">
                  <c:v>57.620460480637654</c:v>
                </c:pt>
                <c:pt idx="134">
                  <c:v>57.658974549888249</c:v>
                </c:pt>
                <c:pt idx="135">
                  <c:v>57.694580328651888</c:v>
                </c:pt>
                <c:pt idx="136">
                  <c:v>57.727257815986199</c:v>
                </c:pt>
                <c:pt idx="137">
                  <c:v>57.757006340691753</c:v>
                </c:pt>
                <c:pt idx="138">
                  <c:v>57.783825145182362</c:v>
                </c:pt>
                <c:pt idx="139">
                  <c:v>57.807713385492811</c:v>
                </c:pt>
                <c:pt idx="140">
                  <c:v>57.828670136062527</c:v>
                </c:pt>
                <c:pt idx="141">
                  <c:v>57.846677978310673</c:v>
                </c:pt>
                <c:pt idx="142">
                  <c:v>57.861782804568584</c:v>
                </c:pt>
                <c:pt idx="143">
                  <c:v>57.87398423629427</c:v>
                </c:pt>
                <c:pt idx="144">
                  <c:v>57.883281814594149</c:v>
                </c:pt>
                <c:pt idx="145">
                  <c:v>57.889675037308173</c:v>
                </c:pt>
                <c:pt idx="146">
                  <c:v>57.8931633635151</c:v>
                </c:pt>
                <c:pt idx="147">
                  <c:v>57.893746210494641</c:v>
                </c:pt>
                <c:pt idx="148">
                  <c:v>57.891422962714586</c:v>
                </c:pt>
                <c:pt idx="149">
                  <c:v>57.886193628600253</c:v>
                </c:pt>
                <c:pt idx="150">
                  <c:v>57.87811088092441</c:v>
                </c:pt>
                <c:pt idx="151">
                  <c:v>57.86717576851111</c:v>
                </c:pt>
                <c:pt idx="152">
                  <c:v>57.853389342990241</c:v>
                </c:pt>
                <c:pt idx="153">
                  <c:v>57.836752652793237</c:v>
                </c:pt>
                <c:pt idx="154">
                  <c:v>57.817266746057498</c:v>
                </c:pt>
                <c:pt idx="155">
                  <c:v>57.794933863071499</c:v>
                </c:pt>
                <c:pt idx="156">
                  <c:v>57.769775250777364</c:v>
                </c:pt>
                <c:pt idx="157">
                  <c:v>57.741792776968296</c:v>
                </c:pt>
                <c:pt idx="158">
                  <c:v>57.710988305781939</c:v>
                </c:pt>
                <c:pt idx="159">
                  <c:v>57.677363696509474</c:v>
                </c:pt>
                <c:pt idx="160">
                  <c:v>57.640920797606967</c:v>
                </c:pt>
                <c:pt idx="161">
                  <c:v>57.601661446177211</c:v>
                </c:pt>
                <c:pt idx="162">
                  <c:v>57.559587462629366</c:v>
                </c:pt>
                <c:pt idx="163">
                  <c:v>57.514699798154155</c:v>
                </c:pt>
                <c:pt idx="164">
                  <c:v>57.46699948103835</c:v>
                </c:pt>
                <c:pt idx="165">
                  <c:v>57.416488226131122</c:v>
                </c:pt>
                <c:pt idx="166">
                  <c:v>57.363167723356774</c:v>
                </c:pt>
                <c:pt idx="167">
                  <c:v>57.307039630432321</c:v>
                </c:pt>
                <c:pt idx="168">
                  <c:v>57.248105572549903</c:v>
                </c:pt>
                <c:pt idx="169">
                  <c:v>57.186366246044656</c:v>
                </c:pt>
                <c:pt idx="170">
                  <c:v>57.121821805727059</c:v>
                </c:pt>
                <c:pt idx="171">
                  <c:v>57.054473710698673</c:v>
                </c:pt>
                <c:pt idx="172">
                  <c:v>56.984323376596933</c:v>
                </c:pt>
                <c:pt idx="173">
                  <c:v>56.911372215568036</c:v>
                </c:pt>
                <c:pt idx="174">
                  <c:v>56.835621597099546</c:v>
                </c:pt>
                <c:pt idx="175">
                  <c:v>56.757072818014379</c:v>
                </c:pt>
                <c:pt idx="176">
                  <c:v>56.675070273724906</c:v>
                </c:pt>
                <c:pt idx="177">
                  <c:v>56.589162186325481</c:v>
                </c:pt>
                <c:pt idx="178">
                  <c:v>56.499654218187658</c:v>
                </c:pt>
                <c:pt idx="179">
                  <c:v>56.406850898671209</c:v>
                </c:pt>
                <c:pt idx="180">
                  <c:v>56.311056554427118</c:v>
                </c:pt>
                <c:pt idx="181">
                  <c:v>56.212575313623539</c:v>
                </c:pt>
                <c:pt idx="182">
                  <c:v>56.111711110268907</c:v>
                </c:pt>
                <c:pt idx="183">
                  <c:v>56.008768485462312</c:v>
                </c:pt>
                <c:pt idx="184">
                  <c:v>55.904051984299052</c:v>
                </c:pt>
                <c:pt idx="185">
                  <c:v>55.797864987683141</c:v>
                </c:pt>
                <c:pt idx="186">
                  <c:v>55.690510689611628</c:v>
                </c:pt>
                <c:pt idx="187">
                  <c:v>55.582292098579309</c:v>
                </c:pt>
                <c:pt idx="188">
                  <c:v>55.473512041357843</c:v>
                </c:pt>
                <c:pt idx="189">
                  <c:v>55.364473166873893</c:v>
                </c:pt>
                <c:pt idx="190">
                  <c:v>55.254502804633169</c:v>
                </c:pt>
                <c:pt idx="191">
                  <c:v>55.142765976578133</c:v>
                </c:pt>
                <c:pt idx="192">
                  <c:v>55.029361845778638</c:v>
                </c:pt>
                <c:pt idx="193">
                  <c:v>54.914391090486866</c:v>
                </c:pt>
                <c:pt idx="194">
                  <c:v>54.79795435170665</c:v>
                </c:pt>
                <c:pt idx="195">
                  <c:v>54.68015223616456</c:v>
                </c:pt>
                <c:pt idx="196">
                  <c:v>54.561085317848622</c:v>
                </c:pt>
                <c:pt idx="197">
                  <c:v>54.440777994441959</c:v>
                </c:pt>
                <c:pt idx="198">
                  <c:v>54.319329127515942</c:v>
                </c:pt>
                <c:pt idx="199">
                  <c:v>54.196838439386752</c:v>
                </c:pt>
                <c:pt idx="200">
                  <c:v>54.073405678698649</c:v>
                </c:pt>
                <c:pt idx="201">
                  <c:v>53.949130618286389</c:v>
                </c:pt>
                <c:pt idx="202">
                  <c:v>53.824113053862334</c:v>
                </c:pt>
                <c:pt idx="203">
                  <c:v>53.698452802261087</c:v>
                </c:pt>
                <c:pt idx="204">
                  <c:v>53.571779762898032</c:v>
                </c:pt>
                <c:pt idx="205">
                  <c:v>53.443649758543124</c:v>
                </c:pt>
                <c:pt idx="206">
                  <c:v>53.314192479851755</c:v>
                </c:pt>
                <c:pt idx="207">
                  <c:v>53.18350794628887</c:v>
                </c:pt>
                <c:pt idx="208">
                  <c:v>53.051696213937639</c:v>
                </c:pt>
                <c:pt idx="209">
                  <c:v>52.918857371239909</c:v>
                </c:pt>
                <c:pt idx="210">
                  <c:v>52.785091537503384</c:v>
                </c:pt>
                <c:pt idx="211">
                  <c:v>52.650539571153097</c:v>
                </c:pt>
                <c:pt idx="212">
                  <c:v>52.515381339528339</c:v>
                </c:pt>
                <c:pt idx="213">
                  <c:v>52.379717817213027</c:v>
                </c:pt>
                <c:pt idx="214">
                  <c:v>52.243649942540905</c:v>
                </c:pt>
                <c:pt idx="215">
                  <c:v>52.10727861777076</c:v>
                </c:pt>
                <c:pt idx="216">
                  <c:v>51.970704710018012</c:v>
                </c:pt>
                <c:pt idx="217">
                  <c:v>51.834029051306409</c:v>
                </c:pt>
                <c:pt idx="218">
                  <c:v>51.697754578147332</c:v>
                </c:pt>
                <c:pt idx="219">
                  <c:v>51.56227141530799</c:v>
                </c:pt>
                <c:pt idx="220">
                  <c:v>51.427355364907861</c:v>
                </c:pt>
                <c:pt idx="221">
                  <c:v>51.292706128105571</c:v>
                </c:pt>
                <c:pt idx="222">
                  <c:v>51.158023472629857</c:v>
                </c:pt>
                <c:pt idx="223">
                  <c:v>51.023007235048638</c:v>
                </c:pt>
                <c:pt idx="224">
                  <c:v>50.887357321745199</c:v>
                </c:pt>
                <c:pt idx="225">
                  <c:v>50.750729464917981</c:v>
                </c:pt>
                <c:pt idx="226">
                  <c:v>50.612781546732556</c:v>
                </c:pt>
                <c:pt idx="227">
                  <c:v>50.473213326944936</c:v>
                </c:pt>
                <c:pt idx="228">
                  <c:v>50.331724677709531</c:v>
                </c:pt>
                <c:pt idx="229">
                  <c:v>50.188015582878201</c:v>
                </c:pt>
                <c:pt idx="230">
                  <c:v>50.041786138598994</c:v>
                </c:pt>
                <c:pt idx="231">
                  <c:v>49.892736549811978</c:v>
                </c:pt>
                <c:pt idx="232">
                  <c:v>49.741972304758463</c:v>
                </c:pt>
                <c:pt idx="233">
                  <c:v>49.590459561786048</c:v>
                </c:pt>
                <c:pt idx="234">
                  <c:v>49.437739069271181</c:v>
                </c:pt>
                <c:pt idx="235">
                  <c:v>49.283509770416138</c:v>
                </c:pt>
                <c:pt idx="236">
                  <c:v>49.127470794275773</c:v>
                </c:pt>
                <c:pt idx="237">
                  <c:v>48.969321507731784</c:v>
                </c:pt>
                <c:pt idx="238">
                  <c:v>48.80876147829585</c:v>
                </c:pt>
                <c:pt idx="239">
                  <c:v>48.645520415763293</c:v>
                </c:pt>
                <c:pt idx="240">
                  <c:v>48.479343289534334</c:v>
                </c:pt>
                <c:pt idx="241">
                  <c:v>48.309930340841355</c:v>
                </c:pt>
                <c:pt idx="242">
                  <c:v>48.136981984503244</c:v>
                </c:pt>
                <c:pt idx="243">
                  <c:v>47.960198808236399</c:v>
                </c:pt>
                <c:pt idx="244">
                  <c:v>47.779281571787259</c:v>
                </c:pt>
                <c:pt idx="245">
                  <c:v>47.593931208791908</c:v>
                </c:pt>
                <c:pt idx="246">
                  <c:v>47.404383262240131</c:v>
                </c:pt>
                <c:pt idx="247">
                  <c:v>47.211206813616315</c:v>
                </c:pt>
                <c:pt idx="248">
                  <c:v>47.01464346792806</c:v>
                </c:pt>
                <c:pt idx="249">
                  <c:v>46.814795024029806</c:v>
                </c:pt>
                <c:pt idx="250">
                  <c:v>46.611763221126992</c:v>
                </c:pt>
                <c:pt idx="251">
                  <c:v>46.405649738633493</c:v>
                </c:pt>
                <c:pt idx="252">
                  <c:v>46.196556196020495</c:v>
                </c:pt>
                <c:pt idx="253">
                  <c:v>45.984773960553582</c:v>
                </c:pt>
                <c:pt idx="254">
                  <c:v>45.770374661897137</c:v>
                </c:pt>
                <c:pt idx="255">
                  <c:v>45.553459722715985</c:v>
                </c:pt>
                <c:pt idx="256">
                  <c:v>45.334130459354689</c:v>
                </c:pt>
                <c:pt idx="257">
                  <c:v>45.11248808544282</c:v>
                </c:pt>
                <c:pt idx="258">
                  <c:v>44.888633707203304</c:v>
                </c:pt>
                <c:pt idx="259">
                  <c:v>44.662668323508321</c:v>
                </c:pt>
                <c:pt idx="260">
                  <c:v>44.434009138558245</c:v>
                </c:pt>
                <c:pt idx="261">
                  <c:v>44.202290442092426</c:v>
                </c:pt>
                <c:pt idx="262">
                  <c:v>43.967646826806714</c:v>
                </c:pt>
                <c:pt idx="263">
                  <c:v>43.730279067481419</c:v>
                </c:pt>
                <c:pt idx="264">
                  <c:v>43.490387740355139</c:v>
                </c:pt>
                <c:pt idx="265">
                  <c:v>43.248172772574712</c:v>
                </c:pt>
                <c:pt idx="266">
                  <c:v>43.003834155401989</c:v>
                </c:pt>
                <c:pt idx="267">
                  <c:v>42.757307548787843</c:v>
                </c:pt>
                <c:pt idx="268">
                  <c:v>42.508604587803433</c:v>
                </c:pt>
                <c:pt idx="269">
                  <c:v>42.257925998129771</c:v>
                </c:pt>
                <c:pt idx="270">
                  <c:v>42.005472414313367</c:v>
                </c:pt>
                <c:pt idx="271">
                  <c:v>41.751444381216125</c:v>
                </c:pt>
                <c:pt idx="272">
                  <c:v>41.496042353889571</c:v>
                </c:pt>
                <c:pt idx="273">
                  <c:v>41.239466695881141</c:v>
                </c:pt>
                <c:pt idx="274">
                  <c:v>40.98055235793035</c:v>
                </c:pt>
                <c:pt idx="275">
                  <c:v>40.71764393306082</c:v>
                </c:pt>
                <c:pt idx="276">
                  <c:v>40.450995866328839</c:v>
                </c:pt>
                <c:pt idx="277">
                  <c:v>40.181011572666257</c:v>
                </c:pt>
                <c:pt idx="278">
                  <c:v>39.908094588146263</c:v>
                </c:pt>
                <c:pt idx="279">
                  <c:v>39.632648576480925</c:v>
                </c:pt>
                <c:pt idx="280">
                  <c:v>39.355077339422245</c:v>
                </c:pt>
                <c:pt idx="281">
                  <c:v>39.075307803024927</c:v>
                </c:pt>
                <c:pt idx="282">
                  <c:v>38.794006645792471</c:v>
                </c:pt>
                <c:pt idx="283">
                  <c:v>38.511579351253893</c:v>
                </c:pt>
                <c:pt idx="284">
                  <c:v>38.228431637160639</c:v>
                </c:pt>
                <c:pt idx="285">
                  <c:v>37.944969455260498</c:v>
                </c:pt>
                <c:pt idx="286">
                  <c:v>37.66159898467366</c:v>
                </c:pt>
                <c:pt idx="287">
                  <c:v>37.378726623229326</c:v>
                </c:pt>
                <c:pt idx="288">
                  <c:v>37.095112905298386</c:v>
                </c:pt>
                <c:pt idx="289">
                  <c:v>36.809515334336339</c:v>
                </c:pt>
                <c:pt idx="290">
                  <c:v>36.522850655096583</c:v>
                </c:pt>
                <c:pt idx="291">
                  <c:v>36.235422811894693</c:v>
                </c:pt>
                <c:pt idx="292">
                  <c:v>35.947535630688748</c:v>
                </c:pt>
                <c:pt idx="293">
                  <c:v>35.659492800200567</c:v>
                </c:pt>
                <c:pt idx="294">
                  <c:v>35.371597853880978</c:v>
                </c:pt>
                <c:pt idx="295">
                  <c:v>35.084779574497908</c:v>
                </c:pt>
                <c:pt idx="296">
                  <c:v>34.79979556769154</c:v>
                </c:pt>
                <c:pt idx="297">
                  <c:v>34.516937458091583</c:v>
                </c:pt>
                <c:pt idx="298">
                  <c:v>34.23649824413701</c:v>
                </c:pt>
                <c:pt idx="299">
                  <c:v>33.958770463724171</c:v>
                </c:pt>
                <c:pt idx="300">
                  <c:v>33.684046208306988</c:v>
                </c:pt>
                <c:pt idx="301">
                  <c:v>33.412617146082837</c:v>
                </c:pt>
                <c:pt idx="302">
                  <c:v>33.144243172614587</c:v>
                </c:pt>
                <c:pt idx="303">
                  <c:v>32.879046707821324</c:v>
                </c:pt>
                <c:pt idx="304">
                  <c:v>32.616854457722127</c:v>
                </c:pt>
                <c:pt idx="305">
                  <c:v>32.357553897685591</c:v>
                </c:pt>
                <c:pt idx="306">
                  <c:v>32.101032362037778</c:v>
                </c:pt>
                <c:pt idx="307">
                  <c:v>31.847177099049649</c:v>
                </c:pt>
                <c:pt idx="308">
                  <c:v>31.595875330661872</c:v>
                </c:pt>
                <c:pt idx="309">
                  <c:v>31.347107313730284</c:v>
                </c:pt>
                <c:pt idx="310">
                  <c:v>31.100159270263809</c:v>
                </c:pt>
                <c:pt idx="311">
                  <c:v>30.854922978346906</c:v>
                </c:pt>
                <c:pt idx="312">
                  <c:v>30.611290371989355</c:v>
                </c:pt>
                <c:pt idx="313">
                  <c:v>30.36915358039413</c:v>
                </c:pt>
                <c:pt idx="314">
                  <c:v>30.128404966286858</c:v>
                </c:pt>
                <c:pt idx="315">
                  <c:v>29.888937160762044</c:v>
                </c:pt>
                <c:pt idx="316">
                  <c:v>29.650029470234887</c:v>
                </c:pt>
                <c:pt idx="317">
                  <c:v>29.411205389583312</c:v>
                </c:pt>
                <c:pt idx="318">
                  <c:v>29.172254204500646</c:v>
                </c:pt>
                <c:pt idx="319">
                  <c:v>28.933572827825273</c:v>
                </c:pt>
                <c:pt idx="320">
                  <c:v>28.695558207856376</c:v>
                </c:pt>
                <c:pt idx="321">
                  <c:v>28.458607329471448</c:v>
                </c:pt>
                <c:pt idx="322">
                  <c:v>28.223117215555892</c:v>
                </c:pt>
                <c:pt idx="323">
                  <c:v>27.989410047568146</c:v>
                </c:pt>
                <c:pt idx="324">
                  <c:v>27.757794089969625</c:v>
                </c:pt>
                <c:pt idx="325">
                  <c:v>27.528667601756503</c:v>
                </c:pt>
                <c:pt idx="326">
                  <c:v>27.302430521023261</c:v>
                </c:pt>
                <c:pt idx="327">
                  <c:v>27.079481502111605</c:v>
                </c:pt>
                <c:pt idx="328">
                  <c:v>26.860217746075428</c:v>
                </c:pt>
                <c:pt idx="329">
                  <c:v>26.645036445181777</c:v>
                </c:pt>
                <c:pt idx="330">
                  <c:v>26.430111057553528</c:v>
                </c:pt>
                <c:pt idx="331">
                  <c:v>26.212252818738104</c:v>
                </c:pt>
                <c:pt idx="332">
                  <c:v>25.993039547680322</c:v>
                </c:pt>
                <c:pt idx="333">
                  <c:v>25.773963042716236</c:v>
                </c:pt>
                <c:pt idx="334">
                  <c:v>25.556514619323899</c:v>
                </c:pt>
                <c:pt idx="335">
                  <c:v>25.342185098015729</c:v>
                </c:pt>
                <c:pt idx="336">
                  <c:v>25.132464783367965</c:v>
                </c:pt>
                <c:pt idx="337">
                  <c:v>24.928806407386642</c:v>
                </c:pt>
                <c:pt idx="338">
                  <c:v>24.732772067741909</c:v>
                </c:pt>
                <c:pt idx="339">
                  <c:v>24.545850266708861</c:v>
                </c:pt>
                <c:pt idx="340">
                  <c:v>24.369528951162977</c:v>
                </c:pt>
                <c:pt idx="341">
                  <c:v>24.205295492978731</c:v>
                </c:pt>
                <c:pt idx="342">
                  <c:v>24.054636674300482</c:v>
                </c:pt>
                <c:pt idx="343">
                  <c:v>23.919038684209244</c:v>
                </c:pt>
                <c:pt idx="344">
                  <c:v>23.794067855244617</c:v>
                </c:pt>
                <c:pt idx="345">
                  <c:v>23.674975850493741</c:v>
                </c:pt>
                <c:pt idx="346">
                  <c:v>23.562829851536065</c:v>
                </c:pt>
                <c:pt idx="347">
                  <c:v>23.458642676364654</c:v>
                </c:pt>
                <c:pt idx="348">
                  <c:v>23.363426730907193</c:v>
                </c:pt>
                <c:pt idx="349">
                  <c:v>23.278193979757479</c:v>
                </c:pt>
                <c:pt idx="350">
                  <c:v>23.203955964617894</c:v>
                </c:pt>
                <c:pt idx="351">
                  <c:v>23.141687169029243</c:v>
                </c:pt>
                <c:pt idx="352">
                  <c:v>23.092434776923504</c:v>
                </c:pt>
                <c:pt idx="353">
                  <c:v>23.057208967568261</c:v>
                </c:pt>
                <c:pt idx="354">
                  <c:v>23.037019462174033</c:v>
                </c:pt>
                <c:pt idx="355">
                  <c:v>23.032875513741608</c:v>
                </c:pt>
                <c:pt idx="356">
                  <c:v>23.045787382202764</c:v>
                </c:pt>
                <c:pt idx="357">
                  <c:v>23.07676218533236</c:v>
                </c:pt>
                <c:pt idx="358">
                  <c:v>23.126916660650753</c:v>
                </c:pt>
                <c:pt idx="359">
                  <c:v>23.195937743741663</c:v>
                </c:pt>
                <c:pt idx="360">
                  <c:v>23.282653628887712</c:v>
                </c:pt>
                <c:pt idx="361">
                  <c:v>23.385965852863368</c:v>
                </c:pt>
                <c:pt idx="362">
                  <c:v>23.504739808139892</c:v>
                </c:pt>
                <c:pt idx="363">
                  <c:v>23.637841282240061</c:v>
                </c:pt>
                <c:pt idx="364">
                  <c:v>23.784136456872087</c:v>
                </c:pt>
                <c:pt idx="365">
                  <c:v>26.520453176895778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23.390623258484112</c:v>
                </c:pt>
                <c:pt idx="1">
                  <c:v>15.832609536622007</c:v>
                </c:pt>
                <c:pt idx="2">
                  <c:v>17.948662093205012</c:v>
                </c:pt>
                <c:pt idx="3">
                  <c:v>18.23883477095594</c:v>
                </c:pt>
                <c:pt idx="4">
                  <c:v>13.184094236151694</c:v>
                </c:pt>
                <c:pt idx="5">
                  <c:v>24.790284666536774</c:v>
                </c:pt>
                <c:pt idx="6">
                  <c:v>8.5156688848458639</c:v>
                </c:pt>
                <c:pt idx="7">
                  <c:v>5.9260907935880143</c:v>
                </c:pt>
                <c:pt idx="8">
                  <c:v>1.6895990216971217</c:v>
                </c:pt>
                <c:pt idx="9">
                  <c:v>1.359367658462433</c:v>
                </c:pt>
                <c:pt idx="10">
                  <c:v>23.627592469435314</c:v>
                </c:pt>
                <c:pt idx="11">
                  <c:v>20.189222215932801</c:v>
                </c:pt>
                <c:pt idx="12">
                  <c:v>6.125771788404367</c:v>
                </c:pt>
                <c:pt idx="13">
                  <c:v>26.283562505849908</c:v>
                </c:pt>
                <c:pt idx="14">
                  <c:v>27.060685915610865</c:v>
                </c:pt>
                <c:pt idx="15">
                  <c:v>26.770966431235458</c:v>
                </c:pt>
                <c:pt idx="16">
                  <c:v>17.340513221447559</c:v>
                </c:pt>
                <c:pt idx="17">
                  <c:v>4.5623544025065623</c:v>
                </c:pt>
                <c:pt idx="18">
                  <c:v>11.5261001387692</c:v>
                </c:pt>
                <c:pt idx="19">
                  <c:v>4.7795249316280026</c:v>
                </c:pt>
                <c:pt idx="20">
                  <c:v>18.246360191747765</c:v>
                </c:pt>
                <c:pt idx="21">
                  <c:v>28.209677977277515</c:v>
                </c:pt>
                <c:pt idx="22">
                  <c:v>28.553025679698681</c:v>
                </c:pt>
                <c:pt idx="23">
                  <c:v>29.049921917540015</c:v>
                </c:pt>
                <c:pt idx="24">
                  <c:v>27.133432227074497</c:v>
                </c:pt>
                <c:pt idx="25">
                  <c:v>29.228157023902732</c:v>
                </c:pt>
                <c:pt idx="26">
                  <c:v>29.026907222314875</c:v>
                </c:pt>
                <c:pt idx="27">
                  <c:v>3.9594235118825782</c:v>
                </c:pt>
                <c:pt idx="28">
                  <c:v>6.0949358339468089</c:v>
                </c:pt>
                <c:pt idx="29">
                  <c:v>5.496098723139756</c:v>
                </c:pt>
                <c:pt idx="30">
                  <c:v>6.8758712410099934</c:v>
                </c:pt>
                <c:pt idx="31">
                  <c:v>17.250006248596037</c:v>
                </c:pt>
                <c:pt idx="32">
                  <c:v>6.3321080408163741</c:v>
                </c:pt>
                <c:pt idx="33">
                  <c:v>14.958804634990544</c:v>
                </c:pt>
                <c:pt idx="34">
                  <c:v>13.510578330414363</c:v>
                </c:pt>
                <c:pt idx="35">
                  <c:v>9.9239950739086495</c:v>
                </c:pt>
                <c:pt idx="36">
                  <c:v>26.120685989706086</c:v>
                </c:pt>
                <c:pt idx="37">
                  <c:v>11.794561181678594</c:v>
                </c:pt>
                <c:pt idx="38">
                  <c:v>33.946600173988223</c:v>
                </c:pt>
                <c:pt idx="39">
                  <c:v>34.56321803214999</c:v>
                </c:pt>
                <c:pt idx="40">
                  <c:v>32.599746651979892</c:v>
                </c:pt>
                <c:pt idx="41">
                  <c:v>13.67263128158686</c:v>
                </c:pt>
                <c:pt idx="42">
                  <c:v>25.925996159057021</c:v>
                </c:pt>
                <c:pt idx="43">
                  <c:v>32.80509752387286</c:v>
                </c:pt>
                <c:pt idx="44">
                  <c:v>15.616204329907099</c:v>
                </c:pt>
                <c:pt idx="45">
                  <c:v>20.631886899150075</c:v>
                </c:pt>
                <c:pt idx="46">
                  <c:v>8.8062286881838467</c:v>
                </c:pt>
                <c:pt idx="47">
                  <c:v>9.7141609824787718</c:v>
                </c:pt>
                <c:pt idx="48">
                  <c:v>32.354569530298591</c:v>
                </c:pt>
                <c:pt idx="49">
                  <c:v>14.827507790701258</c:v>
                </c:pt>
                <c:pt idx="50">
                  <c:v>25.721755683016102</c:v>
                </c:pt>
                <c:pt idx="51">
                  <c:v>19.27235229261121</c:v>
                </c:pt>
                <c:pt idx="52">
                  <c:v>31.900153186452187</c:v>
                </c:pt>
                <c:pt idx="53">
                  <c:v>36.927016170620035</c:v>
                </c:pt>
                <c:pt idx="54">
                  <c:v>23.721454383315191</c:v>
                </c:pt>
                <c:pt idx="55">
                  <c:v>25.792117415928157</c:v>
                </c:pt>
                <c:pt idx="56">
                  <c:v>39.923124810061999</c:v>
                </c:pt>
                <c:pt idx="57">
                  <c:v>21.137575697653258</c:v>
                </c:pt>
                <c:pt idx="58">
                  <c:v>36.574252350929541</c:v>
                </c:pt>
                <c:pt idx="59">
                  <c:v>40.481501653451964</c:v>
                </c:pt>
                <c:pt idx="60">
                  <c:v>14.02655036346207</c:v>
                </c:pt>
                <c:pt idx="61">
                  <c:v>36.555837197781493</c:v>
                </c:pt>
                <c:pt idx="62">
                  <c:v>4.8677407259236789</c:v>
                </c:pt>
                <c:pt idx="63">
                  <c:v>14.982898352752597</c:v>
                </c:pt>
                <c:pt idx="64">
                  <c:v>21.603672134183281</c:v>
                </c:pt>
                <c:pt idx="65">
                  <c:v>33.666645170405594</c:v>
                </c:pt>
                <c:pt idx="66">
                  <c:v>34.03965705361496</c:v>
                </c:pt>
                <c:pt idx="67">
                  <c:v>31.014188696274783</c:v>
                </c:pt>
                <c:pt idx="68">
                  <c:v>24.941751213429832</c:v>
                </c:pt>
                <c:pt idx="69">
                  <c:v>17.449461640308485</c:v>
                </c:pt>
                <c:pt idx="70">
                  <c:v>12.727945602888646</c:v>
                </c:pt>
                <c:pt idx="71">
                  <c:v>9.4533805307949521</c:v>
                </c:pt>
                <c:pt idx="72">
                  <c:v>12.8110568995622</c:v>
                </c:pt>
                <c:pt idx="73">
                  <c:v>15.655055978751017</c:v>
                </c:pt>
                <c:pt idx="74">
                  <c:v>11.411943435400199</c:v>
                </c:pt>
                <c:pt idx="75">
                  <c:v>9.8224640686510654</c:v>
                </c:pt>
                <c:pt idx="76">
                  <c:v>12.897891126052391</c:v>
                </c:pt>
                <c:pt idx="77">
                  <c:v>26.877222364894795</c:v>
                </c:pt>
                <c:pt idx="78">
                  <c:v>31.468123768236463</c:v>
                </c:pt>
                <c:pt idx="79">
                  <c:v>43.833640263554202</c:v>
                </c:pt>
                <c:pt idx="80">
                  <c:v>40.290423572622728</c:v>
                </c:pt>
                <c:pt idx="81">
                  <c:v>47.513620689530107</c:v>
                </c:pt>
                <c:pt idx="82">
                  <c:v>46.438408765686937</c:v>
                </c:pt>
                <c:pt idx="83">
                  <c:v>36.636259985217194</c:v>
                </c:pt>
                <c:pt idx="84">
                  <c:v>41.881381312623041</c:v>
                </c:pt>
                <c:pt idx="85">
                  <c:v>44.427617250126865</c:v>
                </c:pt>
                <c:pt idx="86">
                  <c:v>37.913720079017381</c:v>
                </c:pt>
                <c:pt idx="87">
                  <c:v>26.437317100712722</c:v>
                </c:pt>
                <c:pt idx="88">
                  <c:v>5.9873570877870215</c:v>
                </c:pt>
                <c:pt idx="89">
                  <c:v>16.575314429834997</c:v>
                </c:pt>
                <c:pt idx="90">
                  <c:v>31.294693541801905</c:v>
                </c:pt>
                <c:pt idx="91">
                  <c:v>16.536203625223056</c:v>
                </c:pt>
                <c:pt idx="92">
                  <c:v>30.763912942791936</c:v>
                </c:pt>
                <c:pt idx="93">
                  <c:v>42.598982223487582</c:v>
                </c:pt>
                <c:pt idx="94">
                  <c:v>50.377773434633923</c:v>
                </c:pt>
                <c:pt idx="95">
                  <c:v>11.593524242760607</c:v>
                </c:pt>
                <c:pt idx="96">
                  <c:v>42.165454629516098</c:v>
                </c:pt>
                <c:pt idx="97">
                  <c:v>36.827886165047239</c:v>
                </c:pt>
                <c:pt idx="98">
                  <c:v>29.687939626738608</c:v>
                </c:pt>
                <c:pt idx="99">
                  <c:v>53.841610599319509</c:v>
                </c:pt>
                <c:pt idx="100">
                  <c:v>42.951892633925844</c:v>
                </c:pt>
                <c:pt idx="101">
                  <c:v>37.674217558147788</c:v>
                </c:pt>
                <c:pt idx="102">
                  <c:v>5.8376415800256822</c:v>
                </c:pt>
                <c:pt idx="103">
                  <c:v>42.156035368790967</c:v>
                </c:pt>
                <c:pt idx="104">
                  <c:v>43.135491667956977</c:v>
                </c:pt>
                <c:pt idx="105">
                  <c:v>35.293605756025869</c:v>
                </c:pt>
                <c:pt idx="106">
                  <c:v>51.970319346830792</c:v>
                </c:pt>
                <c:pt idx="107">
                  <c:v>33.858573282577986</c:v>
                </c:pt>
                <c:pt idx="108">
                  <c:v>9.0717504995929215</c:v>
                </c:pt>
                <c:pt idx="109">
                  <c:v>9.3428137245363079</c:v>
                </c:pt>
                <c:pt idx="110">
                  <c:v>8.5974897546451938</c:v>
                </c:pt>
                <c:pt idx="111">
                  <c:v>26.548318597846002</c:v>
                </c:pt>
                <c:pt idx="112">
                  <c:v>9.0852727196215728</c:v>
                </c:pt>
                <c:pt idx="113">
                  <c:v>25.773836731917505</c:v>
                </c:pt>
                <c:pt idx="114">
                  <c:v>40.658177039682748</c:v>
                </c:pt>
                <c:pt idx="115">
                  <c:v>52.191898021934655</c:v>
                </c:pt>
                <c:pt idx="116">
                  <c:v>40.104376591033088</c:v>
                </c:pt>
                <c:pt idx="117">
                  <c:v>22.499396673119264</c:v>
                </c:pt>
                <c:pt idx="118">
                  <c:v>40.32408974302146</c:v>
                </c:pt>
                <c:pt idx="119">
                  <c:v>40.471462213808451</c:v>
                </c:pt>
                <c:pt idx="120">
                  <c:v>46.12943769115298</c:v>
                </c:pt>
                <c:pt idx="121">
                  <c:v>26.181963383324682</c:v>
                </c:pt>
                <c:pt idx="122">
                  <c:v>32.176167873444037</c:v>
                </c:pt>
                <c:pt idx="123">
                  <c:v>16.278680850661136</c:v>
                </c:pt>
                <c:pt idx="124">
                  <c:v>35.296430781577264</c:v>
                </c:pt>
                <c:pt idx="125">
                  <c:v>40.409222674233312</c:v>
                </c:pt>
                <c:pt idx="126">
                  <c:v>45.029397375439508</c:v>
                </c:pt>
                <c:pt idx="127">
                  <c:v>55.87792957660708</c:v>
                </c:pt>
                <c:pt idx="128">
                  <c:v>53.594072124656442</c:v>
                </c:pt>
                <c:pt idx="129">
                  <c:v>54.732752649014394</c:v>
                </c:pt>
                <c:pt idx="130">
                  <c:v>57.905622446121633</c:v>
                </c:pt>
                <c:pt idx="131">
                  <c:v>43.921991351456725</c:v>
                </c:pt>
                <c:pt idx="132">
                  <c:v>37.929134732725863</c:v>
                </c:pt>
                <c:pt idx="133">
                  <c:v>52.735254853247653</c:v>
                </c:pt>
                <c:pt idx="134">
                  <c:v>54.58684584991655</c:v>
                </c:pt>
                <c:pt idx="135">
                  <c:v>50.870428358212806</c:v>
                </c:pt>
                <c:pt idx="136">
                  <c:v>55.661569806996795</c:v>
                </c:pt>
                <c:pt idx="137">
                  <c:v>53.347043055769639</c:v>
                </c:pt>
                <c:pt idx="138">
                  <c:v>51.758593708958117</c:v>
                </c:pt>
                <c:pt idx="139">
                  <c:v>50.184006139664987</c:v>
                </c:pt>
                <c:pt idx="140">
                  <c:v>54.960689691396993</c:v>
                </c:pt>
                <c:pt idx="141">
                  <c:v>41.809238547269729</c:v>
                </c:pt>
                <c:pt idx="142">
                  <c:v>17.39103969645091</c:v>
                </c:pt>
                <c:pt idx="143">
                  <c:v>15.113551626614024</c:v>
                </c:pt>
                <c:pt idx="144">
                  <c:v>41.76238484330969</c:v>
                </c:pt>
                <c:pt idx="145">
                  <c:v>30.697780615958404</c:v>
                </c:pt>
                <c:pt idx="146">
                  <c:v>45.727574784694347</c:v>
                </c:pt>
                <c:pt idx="147">
                  <c:v>53.952428709518102</c:v>
                </c:pt>
                <c:pt idx="148">
                  <c:v>59.267266269054268</c:v>
                </c:pt>
                <c:pt idx="149">
                  <c:v>46.160458338686944</c:v>
                </c:pt>
                <c:pt idx="150">
                  <c:v>55.621162036911372</c:v>
                </c:pt>
                <c:pt idx="151">
                  <c:v>57.680435974437664</c:v>
                </c:pt>
                <c:pt idx="152">
                  <c:v>39.992822307837642</c:v>
                </c:pt>
                <c:pt idx="153">
                  <c:v>56.220761438820176</c:v>
                </c:pt>
                <c:pt idx="154">
                  <c:v>25.488936544270235</c:v>
                </c:pt>
                <c:pt idx="155">
                  <c:v>29.444530079595776</c:v>
                </c:pt>
                <c:pt idx="156">
                  <c:v>49.601290227982446</c:v>
                </c:pt>
                <c:pt idx="157">
                  <c:v>27.542929545646839</c:v>
                </c:pt>
                <c:pt idx="158">
                  <c:v>21.279987908991846</c:v>
                </c:pt>
                <c:pt idx="159">
                  <c:v>50.347661938338405</c:v>
                </c:pt>
                <c:pt idx="160">
                  <c:v>57.898503330343921</c:v>
                </c:pt>
                <c:pt idx="161">
                  <c:v>56.33560281509569</c:v>
                </c:pt>
                <c:pt idx="162">
                  <c:v>46.576642922483138</c:v>
                </c:pt>
                <c:pt idx="163">
                  <c:v>51.205181516824624</c:v>
                </c:pt>
                <c:pt idx="164">
                  <c:v>50.36740289488862</c:v>
                </c:pt>
                <c:pt idx="165">
                  <c:v>53.709126533558589</c:v>
                </c:pt>
                <c:pt idx="166">
                  <c:v>51.804829666086725</c:v>
                </c:pt>
                <c:pt idx="167">
                  <c:v>52.795590557137587</c:v>
                </c:pt>
                <c:pt idx="168">
                  <c:v>55.778378815126523</c:v>
                </c:pt>
                <c:pt idx="169">
                  <c:v>56.763082685642743</c:v>
                </c:pt>
                <c:pt idx="170">
                  <c:v>29.817319267052738</c:v>
                </c:pt>
                <c:pt idx="171">
                  <c:v>19.725736744765797</c:v>
                </c:pt>
                <c:pt idx="172">
                  <c:v>41.63976398572526</c:v>
                </c:pt>
                <c:pt idx="173">
                  <c:v>43.315493561162114</c:v>
                </c:pt>
                <c:pt idx="174">
                  <c:v>40.533180437692629</c:v>
                </c:pt>
                <c:pt idx="175">
                  <c:v>40.542839254818944</c:v>
                </c:pt>
                <c:pt idx="176">
                  <c:v>10.652097041710565</c:v>
                </c:pt>
                <c:pt idx="177">
                  <c:v>15.91384869969958</c:v>
                </c:pt>
                <c:pt idx="178">
                  <c:v>56.139269379633042</c:v>
                </c:pt>
                <c:pt idx="179">
                  <c:v>57.194784302632776</c:v>
                </c:pt>
                <c:pt idx="180">
                  <c:v>12.618967989084549</c:v>
                </c:pt>
                <c:pt idx="181">
                  <c:v>40.222475767886593</c:v>
                </c:pt>
                <c:pt idx="182">
                  <c:v>56.428224700439024</c:v>
                </c:pt>
                <c:pt idx="183">
                  <c:v>51.251490167680373</c:v>
                </c:pt>
                <c:pt idx="184">
                  <c:v>43.319365892462443</c:v>
                </c:pt>
                <c:pt idx="185">
                  <c:v>55.594696190823662</c:v>
                </c:pt>
                <c:pt idx="186">
                  <c:v>39.56753414904319</c:v>
                </c:pt>
                <c:pt idx="187">
                  <c:v>55.268369424953114</c:v>
                </c:pt>
                <c:pt idx="188">
                  <c:v>56.43342121866764</c:v>
                </c:pt>
                <c:pt idx="189">
                  <c:v>56.074966049058361</c:v>
                </c:pt>
                <c:pt idx="190">
                  <c:v>55.671350501855116</c:v>
                </c:pt>
                <c:pt idx="191">
                  <c:v>54.803092807117814</c:v>
                </c:pt>
                <c:pt idx="192">
                  <c:v>53.630945048585524</c:v>
                </c:pt>
                <c:pt idx="193">
                  <c:v>53.68969692329739</c:v>
                </c:pt>
                <c:pt idx="194">
                  <c:v>53.436813898969852</c:v>
                </c:pt>
                <c:pt idx="195">
                  <c:v>50.906609119631064</c:v>
                </c:pt>
                <c:pt idx="196">
                  <c:v>52.101136669596976</c:v>
                </c:pt>
                <c:pt idx="197">
                  <c:v>52.677153927545696</c:v>
                </c:pt>
                <c:pt idx="198">
                  <c:v>54.797487208522689</c:v>
                </c:pt>
                <c:pt idx="199">
                  <c:v>33.038001086765092</c:v>
                </c:pt>
                <c:pt idx="200">
                  <c:v>40.138569742270334</c:v>
                </c:pt>
                <c:pt idx="201">
                  <c:v>52.381298542371731</c:v>
                </c:pt>
                <c:pt idx="202">
                  <c:v>44.005250649346671</c:v>
                </c:pt>
                <c:pt idx="203">
                  <c:v>38.812870539682628</c:v>
                </c:pt>
                <c:pt idx="204">
                  <c:v>52.745178920216787</c:v>
                </c:pt>
                <c:pt idx="205">
                  <c:v>28.206314922427069</c:v>
                </c:pt>
                <c:pt idx="206">
                  <c:v>44.429544198728543</c:v>
                </c:pt>
                <c:pt idx="207">
                  <c:v>54.71906282899954</c:v>
                </c:pt>
                <c:pt idx="208">
                  <c:v>43.623045618461433</c:v>
                </c:pt>
                <c:pt idx="209">
                  <c:v>25.6990345344099</c:v>
                </c:pt>
                <c:pt idx="210">
                  <c:v>42.655248625246209</c:v>
                </c:pt>
                <c:pt idx="211">
                  <c:v>53.402463362697723</c:v>
                </c:pt>
                <c:pt idx="212">
                  <c:v>53.072061262866896</c:v>
                </c:pt>
                <c:pt idx="213">
                  <c:v>53.298620361278232</c:v>
                </c:pt>
                <c:pt idx="214">
                  <c:v>53.405775248294155</c:v>
                </c:pt>
                <c:pt idx="215">
                  <c:v>50.773634381115748</c:v>
                </c:pt>
                <c:pt idx="216">
                  <c:v>40.995595641846663</c:v>
                </c:pt>
                <c:pt idx="217">
                  <c:v>48.634972576609478</c:v>
                </c:pt>
                <c:pt idx="218">
                  <c:v>51.479924480052873</c:v>
                </c:pt>
                <c:pt idx="219">
                  <c:v>52.420583641853455</c:v>
                </c:pt>
                <c:pt idx="220">
                  <c:v>50.711316048873847</c:v>
                </c:pt>
                <c:pt idx="221">
                  <c:v>49.314544087895705</c:v>
                </c:pt>
                <c:pt idx="222">
                  <c:v>47.194106794840351</c:v>
                </c:pt>
                <c:pt idx="223">
                  <c:v>47.614349893686111</c:v>
                </c:pt>
                <c:pt idx="224">
                  <c:v>35.783811922604698</c:v>
                </c:pt>
                <c:pt idx="225">
                  <c:v>35.65574184563836</c:v>
                </c:pt>
                <c:pt idx="226">
                  <c:v>33.300742511163442</c:v>
                </c:pt>
                <c:pt idx="227">
                  <c:v>38.286553154203979</c:v>
                </c:pt>
                <c:pt idx="228">
                  <c:v>23.917269640057405</c:v>
                </c:pt>
                <c:pt idx="229">
                  <c:v>32.054321449262652</c:v>
                </c:pt>
                <c:pt idx="230">
                  <c:v>33.477116680383901</c:v>
                </c:pt>
                <c:pt idx="231">
                  <c:v>48.870810704500755</c:v>
                </c:pt>
                <c:pt idx="232">
                  <c:v>38.711838705288791</c:v>
                </c:pt>
                <c:pt idx="233">
                  <c:v>27.18761419267814</c:v>
                </c:pt>
                <c:pt idx="234">
                  <c:v>42.304840019966669</c:v>
                </c:pt>
                <c:pt idx="235">
                  <c:v>49.4784960383179</c:v>
                </c:pt>
                <c:pt idx="236">
                  <c:v>27.862097389062249</c:v>
                </c:pt>
                <c:pt idx="237">
                  <c:v>35.609382784180511</c:v>
                </c:pt>
                <c:pt idx="238">
                  <c:v>45.070850956026725</c:v>
                </c:pt>
                <c:pt idx="239">
                  <c:v>48.191462285847507</c:v>
                </c:pt>
                <c:pt idx="240">
                  <c:v>32.335457176378632</c:v>
                </c:pt>
                <c:pt idx="241">
                  <c:v>47.564572743324064</c:v>
                </c:pt>
                <c:pt idx="242">
                  <c:v>20.039103025441516</c:v>
                </c:pt>
                <c:pt idx="243">
                  <c:v>42.533448539373481</c:v>
                </c:pt>
                <c:pt idx="244">
                  <c:v>37.640077660993924</c:v>
                </c:pt>
                <c:pt idx="245">
                  <c:v>31.620213066709045</c:v>
                </c:pt>
                <c:pt idx="246">
                  <c:v>48.026063024891094</c:v>
                </c:pt>
                <c:pt idx="247">
                  <c:v>41.140422809026639</c:v>
                </c:pt>
                <c:pt idx="248">
                  <c:v>44.726080806632794</c:v>
                </c:pt>
                <c:pt idx="249">
                  <c:v>34.847367582159777</c:v>
                </c:pt>
                <c:pt idx="250">
                  <c:v>39.721816744922677</c:v>
                </c:pt>
                <c:pt idx="251">
                  <c:v>16.763016293306865</c:v>
                </c:pt>
                <c:pt idx="252">
                  <c:v>43.996955307161201</c:v>
                </c:pt>
                <c:pt idx="253">
                  <c:v>46.217759310293985</c:v>
                </c:pt>
                <c:pt idx="254">
                  <c:v>35.605975610028047</c:v>
                </c:pt>
                <c:pt idx="255">
                  <c:v>11.238018559014954</c:v>
                </c:pt>
                <c:pt idx="256">
                  <c:v>37.69523762018482</c:v>
                </c:pt>
                <c:pt idx="257">
                  <c:v>42.127927511821149</c:v>
                </c:pt>
                <c:pt idx="258">
                  <c:v>25.064585228794488</c:v>
                </c:pt>
                <c:pt idx="259">
                  <c:v>46.13618329804293</c:v>
                </c:pt>
                <c:pt idx="260">
                  <c:v>45.405347959941913</c:v>
                </c:pt>
                <c:pt idx="261">
                  <c:v>43.777034481122818</c:v>
                </c:pt>
                <c:pt idx="262">
                  <c:v>43.773709261137292</c:v>
                </c:pt>
                <c:pt idx="263">
                  <c:v>45.232508910394976</c:v>
                </c:pt>
                <c:pt idx="264">
                  <c:v>44.045990861713932</c:v>
                </c:pt>
                <c:pt idx="265">
                  <c:v>33.138774508397219</c:v>
                </c:pt>
                <c:pt idx="266">
                  <c:v>22.232526053991499</c:v>
                </c:pt>
                <c:pt idx="267">
                  <c:v>33.648401349342301</c:v>
                </c:pt>
                <c:pt idx="268">
                  <c:v>35.020938802659373</c:v>
                </c:pt>
                <c:pt idx="269">
                  <c:v>14.998783592720473</c:v>
                </c:pt>
                <c:pt idx="270">
                  <c:v>15.068153065629271</c:v>
                </c:pt>
                <c:pt idx="271">
                  <c:v>21.362328059829686</c:v>
                </c:pt>
                <c:pt idx="272">
                  <c:v>29.512821415330908</c:v>
                </c:pt>
                <c:pt idx="273">
                  <c:v>34.578209304596584</c:v>
                </c:pt>
                <c:pt idx="274">
                  <c:v>39.136788149296457</c:v>
                </c:pt>
                <c:pt idx="275">
                  <c:v>34.819219221096198</c:v>
                </c:pt>
                <c:pt idx="276">
                  <c:v>41.539212882655995</c:v>
                </c:pt>
                <c:pt idx="277">
                  <c:v>41.215346693322779</c:v>
                </c:pt>
                <c:pt idx="278">
                  <c:v>14.659823036296888</c:v>
                </c:pt>
                <c:pt idx="279">
                  <c:v>31.051020317050746</c:v>
                </c:pt>
                <c:pt idx="280">
                  <c:v>14.966047413325494</c:v>
                </c:pt>
                <c:pt idx="281">
                  <c:v>39.172699157527788</c:v>
                </c:pt>
                <c:pt idx="282">
                  <c:v>34.185979603108848</c:v>
                </c:pt>
                <c:pt idx="283">
                  <c:v>24.601058055583579</c:v>
                </c:pt>
                <c:pt idx="284">
                  <c:v>23.416049433260934</c:v>
                </c:pt>
                <c:pt idx="285">
                  <c:v>24.084149645005592</c:v>
                </c:pt>
                <c:pt idx="286">
                  <c:v>14.998408834176246</c:v>
                </c:pt>
                <c:pt idx="287">
                  <c:v>38.245875451501163</c:v>
                </c:pt>
                <c:pt idx="288">
                  <c:v>34.164189062880638</c:v>
                </c:pt>
                <c:pt idx="289">
                  <c:v>18.752072760306053</c:v>
                </c:pt>
                <c:pt idx="290">
                  <c:v>35.65261806933124</c:v>
                </c:pt>
                <c:pt idx="291">
                  <c:v>15.942191465004035</c:v>
                </c:pt>
                <c:pt idx="292">
                  <c:v>12.390380835211763</c:v>
                </c:pt>
                <c:pt idx="293">
                  <c:v>16.840452897509394</c:v>
                </c:pt>
                <c:pt idx="294">
                  <c:v>35.086074840448603</c:v>
                </c:pt>
                <c:pt idx="295">
                  <c:v>20.612093261268324</c:v>
                </c:pt>
                <c:pt idx="296">
                  <c:v>29.545656717401819</c:v>
                </c:pt>
                <c:pt idx="297">
                  <c:v>22.987583155196205</c:v>
                </c:pt>
                <c:pt idx="298">
                  <c:v>15.823308279265861</c:v>
                </c:pt>
                <c:pt idx="299">
                  <c:v>16.013049211203334</c:v>
                </c:pt>
                <c:pt idx="300">
                  <c:v>17.509060069482064</c:v>
                </c:pt>
                <c:pt idx="301">
                  <c:v>28.142022571601796</c:v>
                </c:pt>
                <c:pt idx="302">
                  <c:v>25.103553943025371</c:v>
                </c:pt>
                <c:pt idx="303">
                  <c:v>24.424646667694095</c:v>
                </c:pt>
                <c:pt idx="304">
                  <c:v>26.249298910778815</c:v>
                </c:pt>
                <c:pt idx="305">
                  <c:v>29.149038636363343</c:v>
                </c:pt>
                <c:pt idx="306">
                  <c:v>9.1408815784575541</c:v>
                </c:pt>
                <c:pt idx="307">
                  <c:v>12.755968781652184</c:v>
                </c:pt>
                <c:pt idx="308">
                  <c:v>30.916004195825415</c:v>
                </c:pt>
                <c:pt idx="309">
                  <c:v>31.98377316039619</c:v>
                </c:pt>
                <c:pt idx="310">
                  <c:v>32.08516648965503</c:v>
                </c:pt>
                <c:pt idx="311">
                  <c:v>20.771313420845232</c:v>
                </c:pt>
                <c:pt idx="312">
                  <c:v>12.311388537440401</c:v>
                </c:pt>
                <c:pt idx="313">
                  <c:v>21.490283478161963</c:v>
                </c:pt>
                <c:pt idx="314">
                  <c:v>29.162207717160747</c:v>
                </c:pt>
                <c:pt idx="315">
                  <c:v>28.921483579892758</c:v>
                </c:pt>
                <c:pt idx="316">
                  <c:v>29.068197030978737</c:v>
                </c:pt>
                <c:pt idx="317">
                  <c:v>12.345188563579224</c:v>
                </c:pt>
                <c:pt idx="318">
                  <c:v>13.509848476755478</c:v>
                </c:pt>
                <c:pt idx="319">
                  <c:v>28.450912783387636</c:v>
                </c:pt>
                <c:pt idx="320">
                  <c:v>12.501449383141065</c:v>
                </c:pt>
                <c:pt idx="321">
                  <c:v>14.372243151425696</c:v>
                </c:pt>
                <c:pt idx="322">
                  <c:v>6.0162965936081605</c:v>
                </c:pt>
                <c:pt idx="323">
                  <c:v>19.957419297351279</c:v>
                </c:pt>
                <c:pt idx="324">
                  <c:v>3.2155912502762227</c:v>
                </c:pt>
                <c:pt idx="325">
                  <c:v>9.8354926392892423</c:v>
                </c:pt>
                <c:pt idx="326">
                  <c:v>13.442391580842731</c:v>
                </c:pt>
                <c:pt idx="327">
                  <c:v>14.074176967039174</c:v>
                </c:pt>
                <c:pt idx="328">
                  <c:v>4.1290435816959628</c:v>
                </c:pt>
                <c:pt idx="329">
                  <c:v>14.599982839651881</c:v>
                </c:pt>
                <c:pt idx="330">
                  <c:v>16.494945682462593</c:v>
                </c:pt>
                <c:pt idx="331">
                  <c:v>9.3067632662629904</c:v>
                </c:pt>
                <c:pt idx="332">
                  <c:v>10.353367490384734</c:v>
                </c:pt>
                <c:pt idx="333">
                  <c:v>4.6169366584135085</c:v>
                </c:pt>
                <c:pt idx="334">
                  <c:v>3.4266780882070971</c:v>
                </c:pt>
                <c:pt idx="335">
                  <c:v>5.9793019713565272</c:v>
                </c:pt>
                <c:pt idx="336">
                  <c:v>11.052428146493908</c:v>
                </c:pt>
                <c:pt idx="337">
                  <c:v>21.634809904385545</c:v>
                </c:pt>
                <c:pt idx="338">
                  <c:v>25.642826767876027</c:v>
                </c:pt>
                <c:pt idx="339">
                  <c:v>16.254209975769413</c:v>
                </c:pt>
                <c:pt idx="340">
                  <c:v>19.022441936169319</c:v>
                </c:pt>
                <c:pt idx="341">
                  <c:v>4.6357349280402627</c:v>
                </c:pt>
                <c:pt idx="342">
                  <c:v>9.3706605364540394</c:v>
                </c:pt>
                <c:pt idx="343">
                  <c:v>15.675809549707553</c:v>
                </c:pt>
                <c:pt idx="344">
                  <c:v>14.944595583962677</c:v>
                </c:pt>
                <c:pt idx="345">
                  <c:v>6.8944578628452957</c:v>
                </c:pt>
                <c:pt idx="346">
                  <c:v>6.4581741401180963</c:v>
                </c:pt>
                <c:pt idx="347">
                  <c:v>15.15777335822261</c:v>
                </c:pt>
                <c:pt idx="348">
                  <c:v>7.213295974305475</c:v>
                </c:pt>
                <c:pt idx="349">
                  <c:v>5.1728176304578977</c:v>
                </c:pt>
                <c:pt idx="350">
                  <c:v>2.8835755343111029</c:v>
                </c:pt>
                <c:pt idx="351">
                  <c:v>19.496875483100254</c:v>
                </c:pt>
                <c:pt idx="352">
                  <c:v>17.432726613011805</c:v>
                </c:pt>
                <c:pt idx="353">
                  <c:v>3.9039953466920783</c:v>
                </c:pt>
                <c:pt idx="354">
                  <c:v>19.898172614440711</c:v>
                </c:pt>
                <c:pt idx="355">
                  <c:v>19.456698082262214</c:v>
                </c:pt>
                <c:pt idx="356">
                  <c:v>19.589708486429789</c:v>
                </c:pt>
                <c:pt idx="357">
                  <c:v>20.799942773821346</c:v>
                </c:pt>
                <c:pt idx="358">
                  <c:v>11.672176663172561</c:v>
                </c:pt>
                <c:pt idx="359">
                  <c:v>19.925784075038163</c:v>
                </c:pt>
                <c:pt idx="360">
                  <c:v>6.7466338897017639</c:v>
                </c:pt>
                <c:pt idx="361">
                  <c:v>21.689844429669982</c:v>
                </c:pt>
                <c:pt idx="362">
                  <c:v>11.035907882349411</c:v>
                </c:pt>
                <c:pt idx="363">
                  <c:v>15.06168449949234</c:v>
                </c:pt>
                <c:pt idx="364">
                  <c:v>12.966060015961851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23.390623258484112</c:v>
                </c:pt>
                <c:pt idx="1">
                  <c:v>15.832609536622007</c:v>
                </c:pt>
                <c:pt idx="2">
                  <c:v>17.948662093205012</c:v>
                </c:pt>
                <c:pt idx="3">
                  <c:v>18.23883477095594</c:v>
                </c:pt>
                <c:pt idx="4">
                  <c:v>13.184094236151694</c:v>
                </c:pt>
                <c:pt idx="5">
                  <c:v>24.790284666536774</c:v>
                </c:pt>
                <c:pt idx="6">
                  <c:v>8.5156688848458639</c:v>
                </c:pt>
                <c:pt idx="7">
                  <c:v>5.9260907935880143</c:v>
                </c:pt>
                <c:pt idx="8">
                  <c:v>1.6895990216971217</c:v>
                </c:pt>
                <c:pt idx="9">
                  <c:v>1.359367658462433</c:v>
                </c:pt>
                <c:pt idx="10">
                  <c:v>23.627592469435314</c:v>
                </c:pt>
                <c:pt idx="11">
                  <c:v>20.189222215932801</c:v>
                </c:pt>
                <c:pt idx="12">
                  <c:v>6.125771788404367</c:v>
                </c:pt>
                <c:pt idx="13">
                  <c:v>26.283562505849908</c:v>
                </c:pt>
                <c:pt idx="14">
                  <c:v>27.060685915610865</c:v>
                </c:pt>
                <c:pt idx="15">
                  <c:v>26.770966431235458</c:v>
                </c:pt>
                <c:pt idx="16">
                  <c:v>17.340513221447559</c:v>
                </c:pt>
                <c:pt idx="17">
                  <c:v>4.5623544025065623</c:v>
                </c:pt>
                <c:pt idx="18">
                  <c:v>11.5261001387692</c:v>
                </c:pt>
                <c:pt idx="19">
                  <c:v>4.7795249316280026</c:v>
                </c:pt>
                <c:pt idx="20">
                  <c:v>18.246360191747765</c:v>
                </c:pt>
                <c:pt idx="21">
                  <c:v>28.209677977277515</c:v>
                </c:pt>
                <c:pt idx="22">
                  <c:v>28.553025679698681</c:v>
                </c:pt>
                <c:pt idx="23">
                  <c:v>29.049921917540015</c:v>
                </c:pt>
                <c:pt idx="24">
                  <c:v>27.133432227074497</c:v>
                </c:pt>
                <c:pt idx="25">
                  <c:v>29.228157023902732</c:v>
                </c:pt>
                <c:pt idx="26">
                  <c:v>29.026907222314875</c:v>
                </c:pt>
                <c:pt idx="27">
                  <c:v>3.9594235118825782</c:v>
                </c:pt>
                <c:pt idx="28">
                  <c:v>6.0949358339468089</c:v>
                </c:pt>
                <c:pt idx="29">
                  <c:v>5.496098723139756</c:v>
                </c:pt>
                <c:pt idx="30">
                  <c:v>6.8758712410099934</c:v>
                </c:pt>
                <c:pt idx="31">
                  <c:v>17.250006248596037</c:v>
                </c:pt>
                <c:pt idx="32">
                  <c:v>6.3321080408163741</c:v>
                </c:pt>
                <c:pt idx="33">
                  <c:v>14.958804634990544</c:v>
                </c:pt>
                <c:pt idx="34">
                  <c:v>13.510578330414363</c:v>
                </c:pt>
                <c:pt idx="35">
                  <c:v>9.9239950739086495</c:v>
                </c:pt>
                <c:pt idx="36">
                  <c:v>26.120685989706086</c:v>
                </c:pt>
                <c:pt idx="37">
                  <c:v>11.794561181678594</c:v>
                </c:pt>
                <c:pt idx="38">
                  <c:v>33.946600173988223</c:v>
                </c:pt>
                <c:pt idx="39">
                  <c:v>34.56321803214999</c:v>
                </c:pt>
                <c:pt idx="40">
                  <c:v>32.599746651979892</c:v>
                </c:pt>
                <c:pt idx="41">
                  <c:v>13.67263128158686</c:v>
                </c:pt>
                <c:pt idx="42">
                  <c:v>25.925996159057021</c:v>
                </c:pt>
                <c:pt idx="43">
                  <c:v>32.80509752387286</c:v>
                </c:pt>
                <c:pt idx="44">
                  <c:v>15.616204329907099</c:v>
                </c:pt>
                <c:pt idx="45">
                  <c:v>20.631886899150075</c:v>
                </c:pt>
                <c:pt idx="46">
                  <c:v>8.8062286881838467</c:v>
                </c:pt>
                <c:pt idx="47">
                  <c:v>9.7141609824787718</c:v>
                </c:pt>
                <c:pt idx="48">
                  <c:v>32.354569530298591</c:v>
                </c:pt>
                <c:pt idx="49">
                  <c:v>14.827507790701258</c:v>
                </c:pt>
                <c:pt idx="50">
                  <c:v>25.721755683016102</c:v>
                </c:pt>
                <c:pt idx="51">
                  <c:v>19.27235229261121</c:v>
                </c:pt>
                <c:pt idx="52">
                  <c:v>31.900153186452187</c:v>
                </c:pt>
                <c:pt idx="53">
                  <c:v>36.927016170620035</c:v>
                </c:pt>
                <c:pt idx="54">
                  <c:v>23.721454383315191</c:v>
                </c:pt>
                <c:pt idx="55">
                  <c:v>25.792117415928157</c:v>
                </c:pt>
                <c:pt idx="56">
                  <c:v>39.923124810061999</c:v>
                </c:pt>
                <c:pt idx="57">
                  <c:v>21.137575697653258</c:v>
                </c:pt>
                <c:pt idx="58">
                  <c:v>36.574252350929541</c:v>
                </c:pt>
                <c:pt idx="59">
                  <c:v>40.481501653451964</c:v>
                </c:pt>
                <c:pt idx="60">
                  <c:v>14.02655036346207</c:v>
                </c:pt>
                <c:pt idx="61">
                  <c:v>36.555837197781493</c:v>
                </c:pt>
                <c:pt idx="62">
                  <c:v>4.8677407259236789</c:v>
                </c:pt>
                <c:pt idx="63">
                  <c:v>14.982898352752597</c:v>
                </c:pt>
                <c:pt idx="64">
                  <c:v>21.603672134183281</c:v>
                </c:pt>
                <c:pt idx="65">
                  <c:v>33.666645170405594</c:v>
                </c:pt>
                <c:pt idx="66">
                  <c:v>34.03965705361496</c:v>
                </c:pt>
                <c:pt idx="67">
                  <c:v>31.014188696274783</c:v>
                </c:pt>
                <c:pt idx="68">
                  <c:v>24.941751213429832</c:v>
                </c:pt>
                <c:pt idx="69">
                  <c:v>17.449461640308485</c:v>
                </c:pt>
                <c:pt idx="70">
                  <c:v>12.727945602888646</c:v>
                </c:pt>
                <c:pt idx="71">
                  <c:v>9.4533805307949521</c:v>
                </c:pt>
                <c:pt idx="72">
                  <c:v>12.8110568995622</c:v>
                </c:pt>
                <c:pt idx="73">
                  <c:v>15.655055978751017</c:v>
                </c:pt>
                <c:pt idx="74">
                  <c:v>11.411943435400199</c:v>
                </c:pt>
                <c:pt idx="75">
                  <c:v>9.8224640686510654</c:v>
                </c:pt>
                <c:pt idx="76">
                  <c:v>12.897891126052391</c:v>
                </c:pt>
                <c:pt idx="77">
                  <c:v>26.877222364894795</c:v>
                </c:pt>
                <c:pt idx="78">
                  <c:v>31.468123768236463</c:v>
                </c:pt>
                <c:pt idx="79">
                  <c:v>43.833640263554202</c:v>
                </c:pt>
                <c:pt idx="80">
                  <c:v>40.290423572622728</c:v>
                </c:pt>
                <c:pt idx="81">
                  <c:v>47.513620689530107</c:v>
                </c:pt>
                <c:pt idx="82">
                  <c:v>46.438408765686937</c:v>
                </c:pt>
                <c:pt idx="83">
                  <c:v>36.636259985217194</c:v>
                </c:pt>
                <c:pt idx="84">
                  <c:v>41.881381312623041</c:v>
                </c:pt>
                <c:pt idx="85">
                  <c:v>44.427617250126865</c:v>
                </c:pt>
                <c:pt idx="86">
                  <c:v>37.913720079017381</c:v>
                </c:pt>
                <c:pt idx="87">
                  <c:v>26.437317100712722</c:v>
                </c:pt>
                <c:pt idx="88">
                  <c:v>5.9873570877870215</c:v>
                </c:pt>
                <c:pt idx="89">
                  <c:v>16.575314429834997</c:v>
                </c:pt>
                <c:pt idx="90">
                  <c:v>31.294693541801905</c:v>
                </c:pt>
                <c:pt idx="91">
                  <c:v>16.536203625223056</c:v>
                </c:pt>
                <c:pt idx="92">
                  <c:v>30.763912942791936</c:v>
                </c:pt>
                <c:pt idx="93">
                  <c:v>42.598982223487582</c:v>
                </c:pt>
                <c:pt idx="94">
                  <c:v>50.377773434633923</c:v>
                </c:pt>
                <c:pt idx="95">
                  <c:v>11.593524242760607</c:v>
                </c:pt>
                <c:pt idx="96">
                  <c:v>42.165454629516098</c:v>
                </c:pt>
                <c:pt idx="97">
                  <c:v>36.827886165047239</c:v>
                </c:pt>
                <c:pt idx="98">
                  <c:v>29.687939626738608</c:v>
                </c:pt>
                <c:pt idx="99">
                  <c:v>53.841610599319509</c:v>
                </c:pt>
                <c:pt idx="100">
                  <c:v>42.951892633925844</c:v>
                </c:pt>
                <c:pt idx="101">
                  <c:v>37.674217558147788</c:v>
                </c:pt>
                <c:pt idx="102">
                  <c:v>5.8376415800256822</c:v>
                </c:pt>
                <c:pt idx="103">
                  <c:v>42.156035368790967</c:v>
                </c:pt>
                <c:pt idx="104">
                  <c:v>43.135491667956977</c:v>
                </c:pt>
                <c:pt idx="105">
                  <c:v>35.293605756025869</c:v>
                </c:pt>
                <c:pt idx="106">
                  <c:v>51.970319346830792</c:v>
                </c:pt>
                <c:pt idx="107">
                  <c:v>33.858573282577986</c:v>
                </c:pt>
                <c:pt idx="108">
                  <c:v>9.0717504995929215</c:v>
                </c:pt>
                <c:pt idx="109">
                  <c:v>9.3428137245363079</c:v>
                </c:pt>
                <c:pt idx="110">
                  <c:v>8.5974897546451938</c:v>
                </c:pt>
                <c:pt idx="111">
                  <c:v>26.548318597846002</c:v>
                </c:pt>
                <c:pt idx="112">
                  <c:v>9.0852727196215728</c:v>
                </c:pt>
                <c:pt idx="113">
                  <c:v>25.773836731917505</c:v>
                </c:pt>
                <c:pt idx="114">
                  <c:v>40.658177039682748</c:v>
                </c:pt>
                <c:pt idx="115">
                  <c:v>52.191898021934655</c:v>
                </c:pt>
                <c:pt idx="116">
                  <c:v>40.104376591033088</c:v>
                </c:pt>
                <c:pt idx="117">
                  <c:v>22.499396673119264</c:v>
                </c:pt>
                <c:pt idx="118">
                  <c:v>40.32408974302146</c:v>
                </c:pt>
                <c:pt idx="119">
                  <c:v>40.471462213808451</c:v>
                </c:pt>
                <c:pt idx="120">
                  <c:v>46.12943769115298</c:v>
                </c:pt>
                <c:pt idx="121">
                  <c:v>26.181963383324682</c:v>
                </c:pt>
                <c:pt idx="122">
                  <c:v>32.176167873444037</c:v>
                </c:pt>
                <c:pt idx="123">
                  <c:v>16.278680850661136</c:v>
                </c:pt>
                <c:pt idx="124">
                  <c:v>35.296430781577264</c:v>
                </c:pt>
                <c:pt idx="125">
                  <c:v>40.409222674233312</c:v>
                </c:pt>
                <c:pt idx="126">
                  <c:v>45.029397375439508</c:v>
                </c:pt>
                <c:pt idx="127">
                  <c:v>55.87792957660708</c:v>
                </c:pt>
                <c:pt idx="128">
                  <c:v>53.594072124656442</c:v>
                </c:pt>
                <c:pt idx="129">
                  <c:v>54.732752649014394</c:v>
                </c:pt>
                <c:pt idx="130">
                  <c:v>57.905622446121633</c:v>
                </c:pt>
                <c:pt idx="131">
                  <c:v>43.921991351456725</c:v>
                </c:pt>
                <c:pt idx="132">
                  <c:v>37.929134732725863</c:v>
                </c:pt>
                <c:pt idx="133">
                  <c:v>52.735254853247653</c:v>
                </c:pt>
                <c:pt idx="134">
                  <c:v>54.58684584991655</c:v>
                </c:pt>
                <c:pt idx="135">
                  <c:v>50.870428358212806</c:v>
                </c:pt>
                <c:pt idx="136">
                  <c:v>55.661569806996795</c:v>
                </c:pt>
                <c:pt idx="137">
                  <c:v>53.347043055769639</c:v>
                </c:pt>
                <c:pt idx="138">
                  <c:v>51.758593708958117</c:v>
                </c:pt>
                <c:pt idx="139">
                  <c:v>50.184006139664987</c:v>
                </c:pt>
                <c:pt idx="140">
                  <c:v>54.960689691396993</c:v>
                </c:pt>
                <c:pt idx="141">
                  <c:v>41.809238547269729</c:v>
                </c:pt>
                <c:pt idx="142">
                  <c:v>17.39103969645091</c:v>
                </c:pt>
                <c:pt idx="143">
                  <c:v>15.113551626614024</c:v>
                </c:pt>
                <c:pt idx="144">
                  <c:v>41.76238484330969</c:v>
                </c:pt>
                <c:pt idx="145">
                  <c:v>30.697780615958404</c:v>
                </c:pt>
                <c:pt idx="146">
                  <c:v>45.727574784694347</c:v>
                </c:pt>
                <c:pt idx="147">
                  <c:v>53.952428709518102</c:v>
                </c:pt>
                <c:pt idx="148">
                  <c:v>59.267266269054268</c:v>
                </c:pt>
                <c:pt idx="149">
                  <c:v>46.160458338686944</c:v>
                </c:pt>
                <c:pt idx="150">
                  <c:v>55.621162036911372</c:v>
                </c:pt>
                <c:pt idx="151">
                  <c:v>57.680435974437664</c:v>
                </c:pt>
                <c:pt idx="152">
                  <c:v>39.992822307837642</c:v>
                </c:pt>
                <c:pt idx="153">
                  <c:v>56.220761438820176</c:v>
                </c:pt>
                <c:pt idx="154">
                  <c:v>25.488936544270235</c:v>
                </c:pt>
                <c:pt idx="155">
                  <c:v>29.444530079595776</c:v>
                </c:pt>
                <c:pt idx="156">
                  <c:v>49.601290227982446</c:v>
                </c:pt>
                <c:pt idx="157">
                  <c:v>27.542929545646839</c:v>
                </c:pt>
                <c:pt idx="158">
                  <c:v>21.279987908991846</c:v>
                </c:pt>
                <c:pt idx="159">
                  <c:v>50.347661938338405</c:v>
                </c:pt>
                <c:pt idx="160">
                  <c:v>57.898503330343921</c:v>
                </c:pt>
                <c:pt idx="161">
                  <c:v>56.33560281509569</c:v>
                </c:pt>
                <c:pt idx="162">
                  <c:v>46.576642922483138</c:v>
                </c:pt>
                <c:pt idx="163">
                  <c:v>51.205181516824624</c:v>
                </c:pt>
                <c:pt idx="164">
                  <c:v>50.36740289488862</c:v>
                </c:pt>
                <c:pt idx="165">
                  <c:v>53.709126533558589</c:v>
                </c:pt>
                <c:pt idx="166">
                  <c:v>51.804829666086725</c:v>
                </c:pt>
                <c:pt idx="167">
                  <c:v>52.795590557137587</c:v>
                </c:pt>
                <c:pt idx="168">
                  <c:v>55.778378815126523</c:v>
                </c:pt>
                <c:pt idx="169">
                  <c:v>56.763082685642743</c:v>
                </c:pt>
                <c:pt idx="170">
                  <c:v>29.817319267052738</c:v>
                </c:pt>
                <c:pt idx="171">
                  <c:v>19.725736744765797</c:v>
                </c:pt>
                <c:pt idx="172">
                  <c:v>41.63976398572526</c:v>
                </c:pt>
                <c:pt idx="173">
                  <c:v>43.315493561162114</c:v>
                </c:pt>
                <c:pt idx="174">
                  <c:v>40.533180437692629</c:v>
                </c:pt>
                <c:pt idx="175">
                  <c:v>40.542839254818944</c:v>
                </c:pt>
                <c:pt idx="176">
                  <c:v>10.652097041710565</c:v>
                </c:pt>
                <c:pt idx="177">
                  <c:v>15.91384869969958</c:v>
                </c:pt>
                <c:pt idx="178">
                  <c:v>56.139269379633042</c:v>
                </c:pt>
                <c:pt idx="179">
                  <c:v>57.194784302632776</c:v>
                </c:pt>
                <c:pt idx="180">
                  <c:v>12.618967989084549</c:v>
                </c:pt>
                <c:pt idx="181">
                  <c:v>40.222475767886593</c:v>
                </c:pt>
                <c:pt idx="182">
                  <c:v>56.428224700439024</c:v>
                </c:pt>
                <c:pt idx="183">
                  <c:v>51.251490167680373</c:v>
                </c:pt>
                <c:pt idx="184">
                  <c:v>43.319365892462443</c:v>
                </c:pt>
                <c:pt idx="185">
                  <c:v>55.594696190823662</c:v>
                </c:pt>
                <c:pt idx="186">
                  <c:v>39.56753414904319</c:v>
                </c:pt>
                <c:pt idx="187">
                  <c:v>55.268369424953114</c:v>
                </c:pt>
                <c:pt idx="188">
                  <c:v>56.43342121866764</c:v>
                </c:pt>
                <c:pt idx="189">
                  <c:v>56.074966049058361</c:v>
                </c:pt>
                <c:pt idx="190">
                  <c:v>55.671350501855116</c:v>
                </c:pt>
                <c:pt idx="191">
                  <c:v>54.803092807117814</c:v>
                </c:pt>
                <c:pt idx="192">
                  <c:v>53.630945048585524</c:v>
                </c:pt>
                <c:pt idx="193">
                  <c:v>53.68969692329739</c:v>
                </c:pt>
                <c:pt idx="194">
                  <c:v>53.436813898969852</c:v>
                </c:pt>
                <c:pt idx="195">
                  <c:v>50.906609119631064</c:v>
                </c:pt>
                <c:pt idx="196">
                  <c:v>52.101136669596976</c:v>
                </c:pt>
                <c:pt idx="197">
                  <c:v>52.677153927545696</c:v>
                </c:pt>
                <c:pt idx="198">
                  <c:v>54.797487208522689</c:v>
                </c:pt>
                <c:pt idx="199">
                  <c:v>33.038001086765092</c:v>
                </c:pt>
                <c:pt idx="200">
                  <c:v>40.138569742270334</c:v>
                </c:pt>
                <c:pt idx="201">
                  <c:v>52.381298542371731</c:v>
                </c:pt>
                <c:pt idx="202">
                  <c:v>44.005250649346671</c:v>
                </c:pt>
                <c:pt idx="203">
                  <c:v>38.812870539682628</c:v>
                </c:pt>
                <c:pt idx="204">
                  <c:v>52.745178920216787</c:v>
                </c:pt>
                <c:pt idx="205">
                  <c:v>28.206314922427069</c:v>
                </c:pt>
                <c:pt idx="206">
                  <c:v>44.429544198728543</c:v>
                </c:pt>
                <c:pt idx="207">
                  <c:v>54.71906282899954</c:v>
                </c:pt>
                <c:pt idx="208">
                  <c:v>43.623045618461433</c:v>
                </c:pt>
                <c:pt idx="209">
                  <c:v>25.6990345344099</c:v>
                </c:pt>
                <c:pt idx="210">
                  <c:v>42.655248625246209</c:v>
                </c:pt>
                <c:pt idx="211">
                  <c:v>53.402463362697723</c:v>
                </c:pt>
                <c:pt idx="212">
                  <c:v>53.072061262866896</c:v>
                </c:pt>
                <c:pt idx="213">
                  <c:v>53.298620361278232</c:v>
                </c:pt>
                <c:pt idx="214">
                  <c:v>53.405775248294155</c:v>
                </c:pt>
                <c:pt idx="215">
                  <c:v>50.773634381115748</c:v>
                </c:pt>
                <c:pt idx="216">
                  <c:v>40.995595641846663</c:v>
                </c:pt>
                <c:pt idx="217">
                  <c:v>48.634972576609478</c:v>
                </c:pt>
                <c:pt idx="218">
                  <c:v>51.479924480052873</c:v>
                </c:pt>
                <c:pt idx="219">
                  <c:v>52.420583641853455</c:v>
                </c:pt>
                <c:pt idx="220">
                  <c:v>50.711316048873847</c:v>
                </c:pt>
                <c:pt idx="221">
                  <c:v>49.314544087895705</c:v>
                </c:pt>
                <c:pt idx="222">
                  <c:v>47.194106794840351</c:v>
                </c:pt>
                <c:pt idx="223">
                  <c:v>47.614349893686111</c:v>
                </c:pt>
                <c:pt idx="224">
                  <c:v>35.783811922604698</c:v>
                </c:pt>
                <c:pt idx="225">
                  <c:v>35.65574184563836</c:v>
                </c:pt>
                <c:pt idx="226">
                  <c:v>33.300742511163442</c:v>
                </c:pt>
                <c:pt idx="227">
                  <c:v>38.286553154203979</c:v>
                </c:pt>
                <c:pt idx="228">
                  <c:v>23.917269640057405</c:v>
                </c:pt>
                <c:pt idx="229">
                  <c:v>32.054321449262652</c:v>
                </c:pt>
                <c:pt idx="230">
                  <c:v>33.477116680383901</c:v>
                </c:pt>
                <c:pt idx="231">
                  <c:v>48.870810704500755</c:v>
                </c:pt>
                <c:pt idx="232">
                  <c:v>38.711838705288791</c:v>
                </c:pt>
                <c:pt idx="233">
                  <c:v>27.18761419267814</c:v>
                </c:pt>
                <c:pt idx="234">
                  <c:v>42.304840019966669</c:v>
                </c:pt>
                <c:pt idx="235">
                  <c:v>49.4784960383179</c:v>
                </c:pt>
                <c:pt idx="236">
                  <c:v>27.862097389062249</c:v>
                </c:pt>
                <c:pt idx="237">
                  <c:v>35.609382784180511</c:v>
                </c:pt>
                <c:pt idx="238">
                  <c:v>45.070850956026725</c:v>
                </c:pt>
                <c:pt idx="239">
                  <c:v>48.191462285847507</c:v>
                </c:pt>
                <c:pt idx="240">
                  <c:v>32.335457176378632</c:v>
                </c:pt>
                <c:pt idx="241">
                  <c:v>47.564572743324064</c:v>
                </c:pt>
                <c:pt idx="242">
                  <c:v>20.039103025441516</c:v>
                </c:pt>
                <c:pt idx="243">
                  <c:v>42.533448539373481</c:v>
                </c:pt>
                <c:pt idx="244">
                  <c:v>37.640077660993924</c:v>
                </c:pt>
                <c:pt idx="245">
                  <c:v>31.620213066709045</c:v>
                </c:pt>
                <c:pt idx="246">
                  <c:v>48.026063024891094</c:v>
                </c:pt>
                <c:pt idx="247">
                  <c:v>41.140422809026639</c:v>
                </c:pt>
                <c:pt idx="248">
                  <c:v>44.726080806632794</c:v>
                </c:pt>
                <c:pt idx="249">
                  <c:v>34.847367582159777</c:v>
                </c:pt>
                <c:pt idx="250">
                  <c:v>39.721816744922677</c:v>
                </c:pt>
                <c:pt idx="251">
                  <c:v>16.763016293306865</c:v>
                </c:pt>
                <c:pt idx="252">
                  <c:v>43.996955307161201</c:v>
                </c:pt>
                <c:pt idx="253">
                  <c:v>46.217759310293985</c:v>
                </c:pt>
                <c:pt idx="254">
                  <c:v>35.605975610028047</c:v>
                </c:pt>
                <c:pt idx="255">
                  <c:v>11.238018559014954</c:v>
                </c:pt>
                <c:pt idx="256">
                  <c:v>37.69523762018482</c:v>
                </c:pt>
                <c:pt idx="257">
                  <c:v>42.127927511821149</c:v>
                </c:pt>
                <c:pt idx="258">
                  <c:v>25.064585228794488</c:v>
                </c:pt>
                <c:pt idx="259">
                  <c:v>46.13618329804293</c:v>
                </c:pt>
                <c:pt idx="260">
                  <c:v>45.405347959941913</c:v>
                </c:pt>
                <c:pt idx="261">
                  <c:v>43.777034481122818</c:v>
                </c:pt>
                <c:pt idx="262">
                  <c:v>43.773709261137292</c:v>
                </c:pt>
                <c:pt idx="263">
                  <c:v>45.232508910394976</c:v>
                </c:pt>
                <c:pt idx="264">
                  <c:v>44.045990861713932</c:v>
                </c:pt>
                <c:pt idx="265">
                  <c:v>33.138774508397219</c:v>
                </c:pt>
                <c:pt idx="266">
                  <c:v>22.232526053991499</c:v>
                </c:pt>
                <c:pt idx="267">
                  <c:v>33.648401349342301</c:v>
                </c:pt>
                <c:pt idx="268">
                  <c:v>35.020938802659373</c:v>
                </c:pt>
                <c:pt idx="269">
                  <c:v>14.998783592720473</c:v>
                </c:pt>
                <c:pt idx="270">
                  <c:v>15.068153065629271</c:v>
                </c:pt>
                <c:pt idx="271">
                  <c:v>21.362328059829686</c:v>
                </c:pt>
                <c:pt idx="272">
                  <c:v>29.512821415330908</c:v>
                </c:pt>
                <c:pt idx="273">
                  <c:v>34.578209304596584</c:v>
                </c:pt>
                <c:pt idx="274">
                  <c:v>39.136788149296457</c:v>
                </c:pt>
                <c:pt idx="275">
                  <c:v>34.819219221096198</c:v>
                </c:pt>
                <c:pt idx="276">
                  <c:v>41.539212882655995</c:v>
                </c:pt>
                <c:pt idx="277">
                  <c:v>41.215346693322779</c:v>
                </c:pt>
                <c:pt idx="278">
                  <c:v>14.659823036296888</c:v>
                </c:pt>
                <c:pt idx="279">
                  <c:v>31.051020317050746</c:v>
                </c:pt>
                <c:pt idx="280">
                  <c:v>14.966047413325494</c:v>
                </c:pt>
                <c:pt idx="281">
                  <c:v>39.172699157527788</c:v>
                </c:pt>
                <c:pt idx="282">
                  <c:v>34.185979603108848</c:v>
                </c:pt>
                <c:pt idx="283">
                  <c:v>24.601058055583579</c:v>
                </c:pt>
                <c:pt idx="284">
                  <c:v>23.416049433260934</c:v>
                </c:pt>
                <c:pt idx="285">
                  <c:v>24.084149645005592</c:v>
                </c:pt>
                <c:pt idx="286">
                  <c:v>14.998408834176246</c:v>
                </c:pt>
                <c:pt idx="287">
                  <c:v>38.245875451501163</c:v>
                </c:pt>
                <c:pt idx="288">
                  <c:v>34.164189062880638</c:v>
                </c:pt>
                <c:pt idx="289">
                  <c:v>18.752072760306053</c:v>
                </c:pt>
                <c:pt idx="290">
                  <c:v>35.65261806933124</c:v>
                </c:pt>
                <c:pt idx="291">
                  <c:v>15.942191465004035</c:v>
                </c:pt>
                <c:pt idx="292">
                  <c:v>12.390380835211763</c:v>
                </c:pt>
                <c:pt idx="293">
                  <c:v>16.840452897509394</c:v>
                </c:pt>
                <c:pt idx="294">
                  <c:v>35.086074840448603</c:v>
                </c:pt>
                <c:pt idx="295">
                  <c:v>20.612093261268324</c:v>
                </c:pt>
                <c:pt idx="296">
                  <c:v>29.545656717401819</c:v>
                </c:pt>
                <c:pt idx="297">
                  <c:v>22.987583155196205</c:v>
                </c:pt>
                <c:pt idx="298">
                  <c:v>15.823308279265861</c:v>
                </c:pt>
                <c:pt idx="299">
                  <c:v>16.013049211203334</c:v>
                </c:pt>
                <c:pt idx="300">
                  <c:v>17.509060069482064</c:v>
                </c:pt>
                <c:pt idx="301">
                  <c:v>28.142022571601796</c:v>
                </c:pt>
                <c:pt idx="302">
                  <c:v>25.103553943025371</c:v>
                </c:pt>
                <c:pt idx="303">
                  <c:v>24.424646667694095</c:v>
                </c:pt>
                <c:pt idx="304">
                  <c:v>26.249298910778815</c:v>
                </c:pt>
                <c:pt idx="305">
                  <c:v>29.149038636363343</c:v>
                </c:pt>
                <c:pt idx="306">
                  <c:v>9.1408815784575541</c:v>
                </c:pt>
                <c:pt idx="307">
                  <c:v>12.755968781652184</c:v>
                </c:pt>
                <c:pt idx="308">
                  <c:v>30.916004195825415</c:v>
                </c:pt>
                <c:pt idx="309">
                  <c:v>31.98377316039619</c:v>
                </c:pt>
                <c:pt idx="310">
                  <c:v>32.08516648965503</c:v>
                </c:pt>
                <c:pt idx="311">
                  <c:v>20.771313420845232</c:v>
                </c:pt>
                <c:pt idx="312">
                  <c:v>12.311388537440401</c:v>
                </c:pt>
                <c:pt idx="313">
                  <c:v>21.490283478161963</c:v>
                </c:pt>
                <c:pt idx="314">
                  <c:v>29.162207717160747</c:v>
                </c:pt>
                <c:pt idx="315">
                  <c:v>28.921483579892758</c:v>
                </c:pt>
                <c:pt idx="316">
                  <c:v>29.068197030978737</c:v>
                </c:pt>
                <c:pt idx="317">
                  <c:v>12.345188563579224</c:v>
                </c:pt>
                <c:pt idx="318">
                  <c:v>13.509848476755478</c:v>
                </c:pt>
                <c:pt idx="319">
                  <c:v>28.450912783387636</c:v>
                </c:pt>
                <c:pt idx="320">
                  <c:v>12.501449383141065</c:v>
                </c:pt>
                <c:pt idx="321">
                  <c:v>14.372243151425696</c:v>
                </c:pt>
                <c:pt idx="322">
                  <c:v>6.0162965936081605</c:v>
                </c:pt>
                <c:pt idx="323">
                  <c:v>19.957419297351279</c:v>
                </c:pt>
                <c:pt idx="324">
                  <c:v>3.2155912502762227</c:v>
                </c:pt>
                <c:pt idx="325">
                  <c:v>9.8354926392892423</c:v>
                </c:pt>
                <c:pt idx="326">
                  <c:v>13.442391580842731</c:v>
                </c:pt>
                <c:pt idx="327">
                  <c:v>14.074176967039174</c:v>
                </c:pt>
                <c:pt idx="328">
                  <c:v>4.1290435816959628</c:v>
                </c:pt>
                <c:pt idx="329">
                  <c:v>14.599982839651881</c:v>
                </c:pt>
                <c:pt idx="330">
                  <c:v>16.494945682462593</c:v>
                </c:pt>
                <c:pt idx="331">
                  <c:v>9.3067632662629904</c:v>
                </c:pt>
                <c:pt idx="332">
                  <c:v>10.353367490384734</c:v>
                </c:pt>
                <c:pt idx="333">
                  <c:v>4.6169366584135085</c:v>
                </c:pt>
                <c:pt idx="334">
                  <c:v>3.4266780882070971</c:v>
                </c:pt>
                <c:pt idx="335">
                  <c:v>5.9793019713565272</c:v>
                </c:pt>
                <c:pt idx="336">
                  <c:v>11.052428146493908</c:v>
                </c:pt>
                <c:pt idx="337">
                  <c:v>21.634809904385545</c:v>
                </c:pt>
                <c:pt idx="338">
                  <c:v>25.642826767876027</c:v>
                </c:pt>
                <c:pt idx="339">
                  <c:v>16.254209975769413</c:v>
                </c:pt>
                <c:pt idx="340">
                  <c:v>19.022441936169319</c:v>
                </c:pt>
                <c:pt idx="341">
                  <c:v>4.6357349280402627</c:v>
                </c:pt>
                <c:pt idx="342">
                  <c:v>9.3706605364540394</c:v>
                </c:pt>
                <c:pt idx="343">
                  <c:v>15.675809549707553</c:v>
                </c:pt>
                <c:pt idx="344">
                  <c:v>14.944595583962677</c:v>
                </c:pt>
                <c:pt idx="345">
                  <c:v>6.8944578628452957</c:v>
                </c:pt>
                <c:pt idx="346">
                  <c:v>6.4581741401180963</c:v>
                </c:pt>
                <c:pt idx="347">
                  <c:v>15.15777335822261</c:v>
                </c:pt>
                <c:pt idx="348">
                  <c:v>7.213295974305475</c:v>
                </c:pt>
                <c:pt idx="349">
                  <c:v>5.1728176304578977</c:v>
                </c:pt>
                <c:pt idx="350">
                  <c:v>2.8835755343111029</c:v>
                </c:pt>
                <c:pt idx="351">
                  <c:v>19.496875483100254</c:v>
                </c:pt>
                <c:pt idx="352">
                  <c:v>17.432726613011805</c:v>
                </c:pt>
                <c:pt idx="353">
                  <c:v>3.9039953466920783</c:v>
                </c:pt>
                <c:pt idx="354">
                  <c:v>19.898172614440711</c:v>
                </c:pt>
                <c:pt idx="355">
                  <c:v>19.456698082262214</c:v>
                </c:pt>
                <c:pt idx="356">
                  <c:v>19.589708486429789</c:v>
                </c:pt>
                <c:pt idx="357">
                  <c:v>20.799942773821346</c:v>
                </c:pt>
                <c:pt idx="358">
                  <c:v>11.672176663172561</c:v>
                </c:pt>
                <c:pt idx="359">
                  <c:v>19.925784075038163</c:v>
                </c:pt>
                <c:pt idx="360">
                  <c:v>6.7466338897017639</c:v>
                </c:pt>
                <c:pt idx="361">
                  <c:v>21.689844429669982</c:v>
                </c:pt>
                <c:pt idx="362">
                  <c:v>11.035907882349411</c:v>
                </c:pt>
                <c:pt idx="363">
                  <c:v>15.06168449949234</c:v>
                </c:pt>
                <c:pt idx="364">
                  <c:v>12.966060015961851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1085400"/>
        <c:axId val="361085792"/>
      </c:lineChart>
      <c:dateAx>
        <c:axId val="361085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61085792"/>
        <c:crosses val="autoZero"/>
        <c:auto val="1"/>
        <c:lblOffset val="100"/>
        <c:baseTimeUnit val="days"/>
        <c:majorUnit val="1"/>
        <c:majorTimeUnit val="months"/>
      </c:dateAx>
      <c:valAx>
        <c:axId val="36108579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6108540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5.429775910420731E-2</c:v>
                </c:pt>
                <c:pt idx="1">
                  <c:v>5.4315883271904619E-2</c:v>
                </c:pt>
                <c:pt idx="2">
                  <c:v>5.4334007092256553E-2</c:v>
                </c:pt>
                <c:pt idx="3">
                  <c:v>5.4352130565269552E-2</c:v>
                </c:pt>
                <c:pt idx="4">
                  <c:v>5.4370253690950276E-2</c:v>
                </c:pt>
                <c:pt idx="5">
                  <c:v>5.4388376469305499E-2</c:v>
                </c:pt>
                <c:pt idx="6">
                  <c:v>5.4406498900341771E-2</c:v>
                </c:pt>
                <c:pt idx="7">
                  <c:v>5.4424620984065863E-2</c:v>
                </c:pt>
                <c:pt idx="8">
                  <c:v>5.4442742720484216E-2</c:v>
                </c:pt>
                <c:pt idx="9">
                  <c:v>5.4460864109603713E-2</c:v>
                </c:pt>
                <c:pt idx="10">
                  <c:v>5.4478985151430903E-2</c:v>
                </c:pt>
                <c:pt idx="11">
                  <c:v>5.4497105845972449E-2</c:v>
                </c:pt>
                <c:pt idx="12">
                  <c:v>5.4515226193235122E-2</c:v>
                </c:pt>
                <c:pt idx="13">
                  <c:v>5.4533346193225363E-2</c:v>
                </c:pt>
                <c:pt idx="14">
                  <c:v>5.4551465845949942E-2</c:v>
                </c:pt>
                <c:pt idx="15">
                  <c:v>5.4569585151415523E-2</c:v>
                </c:pt>
                <c:pt idx="16">
                  <c:v>5.4587704109628765E-2</c:v>
                </c:pt>
                <c:pt idx="17">
                  <c:v>5.4605822720596331E-2</c:v>
                </c:pt>
                <c:pt idx="18">
                  <c:v>5.462394098432477E-2</c:v>
                </c:pt>
                <c:pt idx="19">
                  <c:v>5.4642058900820856E-2</c:v>
                </c:pt>
                <c:pt idx="20">
                  <c:v>5.4660176470091248E-2</c:v>
                </c:pt>
                <c:pt idx="21">
                  <c:v>5.4678293692142499E-2</c:v>
                </c:pt>
                <c:pt idx="22">
                  <c:v>5.4696410566981379E-2</c:v>
                </c:pt>
                <c:pt idx="23">
                  <c:v>5.471452709461444E-2</c:v>
                </c:pt>
                <c:pt idx="24">
                  <c:v>5.4732643275048454E-2</c:v>
                </c:pt>
                <c:pt idx="25">
                  <c:v>5.475075910828997E-2</c:v>
                </c:pt>
                <c:pt idx="26">
                  <c:v>5.4768874594345651E-2</c:v>
                </c:pt>
                <c:pt idx="27">
                  <c:v>5.4786989733222158E-2</c:v>
                </c:pt>
                <c:pt idx="28">
                  <c:v>5.4805104524926151E-2</c:v>
                </c:pt>
                <c:pt idx="29">
                  <c:v>5.4823218969464294E-2</c:v>
                </c:pt>
                <c:pt idx="30">
                  <c:v>5.4841333066843245E-2</c:v>
                </c:pt>
                <c:pt idx="31">
                  <c:v>5.4859446817069779E-2</c:v>
                </c:pt>
                <c:pt idx="32">
                  <c:v>5.4877560220150223E-2</c:v>
                </c:pt>
                <c:pt idx="33">
                  <c:v>5.4895673276091572E-2</c:v>
                </c:pt>
                <c:pt idx="34">
                  <c:v>5.4913785984900265E-2</c:v>
                </c:pt>
                <c:pt idx="35">
                  <c:v>5.4931898346583075E-2</c:v>
                </c:pt>
                <c:pt idx="36">
                  <c:v>5.4950010361146551E-2</c:v>
                </c:pt>
                <c:pt idx="37">
                  <c:v>5.4968122028597466E-2</c:v>
                </c:pt>
                <c:pt idx="38">
                  <c:v>5.498623334894237E-2</c:v>
                </c:pt>
                <c:pt idx="39">
                  <c:v>5.5004344322187926E-2</c:v>
                </c:pt>
                <c:pt idx="40">
                  <c:v>5.5022454948340904E-2</c:v>
                </c:pt>
                <c:pt idx="41">
                  <c:v>5.5040565227407745E-2</c:v>
                </c:pt>
                <c:pt idx="42">
                  <c:v>5.5058675159395221E-2</c:v>
                </c:pt>
                <c:pt idx="43">
                  <c:v>5.5076784744310103E-2</c:v>
                </c:pt>
                <c:pt idx="44">
                  <c:v>5.5094893982158832E-2</c:v>
                </c:pt>
                <c:pt idx="45">
                  <c:v>5.511300287294818E-2</c:v>
                </c:pt>
                <c:pt idx="46">
                  <c:v>5.5131111416684697E-2</c:v>
                </c:pt>
                <c:pt idx="47">
                  <c:v>5.5149219613375156E-2</c:v>
                </c:pt>
                <c:pt idx="48">
                  <c:v>5.5167327463026217E-2</c:v>
                </c:pt>
                <c:pt idx="49">
                  <c:v>5.5185434965644431E-2</c:v>
                </c:pt>
                <c:pt idx="50">
                  <c:v>5.520354212123646E-2</c:v>
                </c:pt>
                <c:pt idx="51">
                  <c:v>5.5221648929808964E-2</c:v>
                </c:pt>
                <c:pt idx="52">
                  <c:v>5.5239755391368717E-2</c:v>
                </c:pt>
                <c:pt idx="53">
                  <c:v>5.5257861505922157E-2</c:v>
                </c:pt>
                <c:pt idx="54">
                  <c:v>5.5275967273476057E-2</c:v>
                </c:pt>
                <c:pt idx="55">
                  <c:v>5.5294072694037077E-2</c:v>
                </c:pt>
                <c:pt idx="56">
                  <c:v>5.5312177767611881E-2</c:v>
                </c:pt>
                <c:pt idx="57">
                  <c:v>5.5330282494207017E-2</c:v>
                </c:pt>
                <c:pt idx="58">
                  <c:v>5.5348386873829258E-2</c:v>
                </c:pt>
                <c:pt idx="59">
                  <c:v>5.5366490906485155E-2</c:v>
                </c:pt>
                <c:pt idx="60">
                  <c:v>5.5384594592181369E-2</c:v>
                </c:pt>
                <c:pt idx="61">
                  <c:v>5.540269793092456E-2</c:v>
                </c:pt>
                <c:pt idx="62">
                  <c:v>5.5420800922721503E-2</c:v>
                </c:pt>
                <c:pt idx="63">
                  <c:v>5.5438903567578635E-2</c:v>
                </c:pt>
                <c:pt idx="64">
                  <c:v>5.5457005865502729E-2</c:v>
                </c:pt>
                <c:pt idx="65">
                  <c:v>5.5475107816500446E-2</c:v>
                </c:pt>
                <c:pt idx="66">
                  <c:v>5.5493209420578338E-2</c:v>
                </c:pt>
                <c:pt idx="67">
                  <c:v>5.5511310677743175E-2</c:v>
                </c:pt>
                <c:pt idx="68">
                  <c:v>5.552941158800162E-2</c:v>
                </c:pt>
                <c:pt idx="69">
                  <c:v>5.5547512151360112E-2</c:v>
                </c:pt>
                <c:pt idx="70">
                  <c:v>5.5565612367825534E-2</c:v>
                </c:pt>
                <c:pt idx="71">
                  <c:v>5.5583712237404326E-2</c:v>
                </c:pt>
                <c:pt idx="72">
                  <c:v>5.560181176010337E-2</c:v>
                </c:pt>
                <c:pt idx="73">
                  <c:v>5.5619910935929107E-2</c:v>
                </c:pt>
                <c:pt idx="74">
                  <c:v>5.5638009764888308E-2</c:v>
                </c:pt>
                <c:pt idx="75">
                  <c:v>5.5656108246987523E-2</c:v>
                </c:pt>
                <c:pt idx="76">
                  <c:v>5.5674206382233526E-2</c:v>
                </c:pt>
                <c:pt idx="77">
                  <c:v>5.5692304170632867E-2</c:v>
                </c:pt>
                <c:pt idx="78">
                  <c:v>5.5710401612192317E-2</c:v>
                </c:pt>
                <c:pt idx="79">
                  <c:v>5.5728498706918317E-2</c:v>
                </c:pt>
                <c:pt idx="80">
                  <c:v>5.5746595454817638E-2</c:v>
                </c:pt>
                <c:pt idx="81">
                  <c:v>5.5764691855896942E-2</c:v>
                </c:pt>
                <c:pt idx="82">
                  <c:v>5.5782787910162779E-2</c:v>
                </c:pt>
                <c:pt idx="83">
                  <c:v>5.5800883617621921E-2</c:v>
                </c:pt>
                <c:pt idx="84">
                  <c:v>5.5818978978281031E-2</c:v>
                </c:pt>
                <c:pt idx="85">
                  <c:v>5.5837073992146546E-2</c:v>
                </c:pt>
                <c:pt idx="86">
                  <c:v>5.5855168659225352E-2</c:v>
                </c:pt>
                <c:pt idx="87">
                  <c:v>5.5873262979523886E-2</c:v>
                </c:pt>
                <c:pt idx="88">
                  <c:v>5.5891356953049032E-2</c:v>
                </c:pt>
                <c:pt idx="89">
                  <c:v>5.5909450579807229E-2</c:v>
                </c:pt>
                <c:pt idx="90">
                  <c:v>5.592754385980514E-2</c:v>
                </c:pt>
                <c:pt idx="91">
                  <c:v>5.5945636793049536E-2</c:v>
                </c:pt>
                <c:pt idx="92">
                  <c:v>5.5963729379546967E-2</c:v>
                </c:pt>
                <c:pt idx="93">
                  <c:v>5.5981821619304206E-2</c:v>
                </c:pt>
                <c:pt idx="94">
                  <c:v>5.5999913512327693E-2</c:v>
                </c:pt>
                <c:pt idx="95">
                  <c:v>5.6018005058624198E-2</c:v>
                </c:pt>
                <c:pt idx="96">
                  <c:v>5.6036096258200385E-2</c:v>
                </c:pt>
                <c:pt idx="97">
                  <c:v>5.6054187111062803E-2</c:v>
                </c:pt>
                <c:pt idx="98">
                  <c:v>5.6072277617218114E-2</c:v>
                </c:pt>
                <c:pt idx="99">
                  <c:v>5.6090367776673089E-2</c:v>
                </c:pt>
                <c:pt idx="100">
                  <c:v>5.610845758943428E-2</c:v>
                </c:pt>
                <c:pt idx="101">
                  <c:v>5.6126547055508236E-2</c:v>
                </c:pt>
                <c:pt idx="102">
                  <c:v>5.6144636174901841E-2</c:v>
                </c:pt>
                <c:pt idx="103">
                  <c:v>5.6162724947621534E-2</c:v>
                </c:pt>
                <c:pt idx="104">
                  <c:v>5.6180813373673977E-2</c:v>
                </c:pt>
                <c:pt idx="105">
                  <c:v>5.6198901453065941E-2</c:v>
                </c:pt>
                <c:pt idx="106">
                  <c:v>5.6216989185803978E-2</c:v>
                </c:pt>
                <c:pt idx="107">
                  <c:v>5.6235076571894749E-2</c:v>
                </c:pt>
                <c:pt idx="108">
                  <c:v>5.6253163611344803E-2</c:v>
                </c:pt>
                <c:pt idx="109">
                  <c:v>5.6271250304161025E-2</c:v>
                </c:pt>
                <c:pt idx="110">
                  <c:v>5.6289336650349742E-2</c:v>
                </c:pt>
                <c:pt idx="111">
                  <c:v>5.6307422649917838E-2</c:v>
                </c:pt>
                <c:pt idx="112">
                  <c:v>5.6325508302871863E-2</c:v>
                </c:pt>
                <c:pt idx="113">
                  <c:v>5.6343593609218479E-2</c:v>
                </c:pt>
                <c:pt idx="114">
                  <c:v>5.6361678568964346E-2</c:v>
                </c:pt>
                <c:pt idx="115">
                  <c:v>5.6379763182116127E-2</c:v>
                </c:pt>
                <c:pt idx="116">
                  <c:v>5.6397847448680372E-2</c:v>
                </c:pt>
                <c:pt idx="117">
                  <c:v>5.6415931368663741E-2</c:v>
                </c:pt>
                <c:pt idx="118">
                  <c:v>5.6434014942073008E-2</c:v>
                </c:pt>
                <c:pt idx="119">
                  <c:v>5.6452098168914611E-2</c:v>
                </c:pt>
                <c:pt idx="120">
                  <c:v>5.6470181049195323E-2</c:v>
                </c:pt>
                <c:pt idx="121">
                  <c:v>5.6488263582921805E-2</c:v>
                </c:pt>
                <c:pt idx="122">
                  <c:v>5.6506345770100608E-2</c:v>
                </c:pt>
                <c:pt idx="123">
                  <c:v>5.6524427610738393E-2</c:v>
                </c:pt>
                <c:pt idx="124">
                  <c:v>5.6542509104841931E-2</c:v>
                </c:pt>
                <c:pt idx="125">
                  <c:v>5.6560590252417664E-2</c:v>
                </c:pt>
                <c:pt idx="126">
                  <c:v>5.6578671053472362E-2</c:v>
                </c:pt>
                <c:pt idx="127">
                  <c:v>5.6596751508012577E-2</c:v>
                </c:pt>
                <c:pt idx="128">
                  <c:v>5.661483161604508E-2</c:v>
                </c:pt>
                <c:pt idx="129">
                  <c:v>5.6632911377576423E-2</c:v>
                </c:pt>
                <c:pt idx="130">
                  <c:v>5.6650990792613265E-2</c:v>
                </c:pt>
                <c:pt idx="131">
                  <c:v>5.6669069861162269E-2</c:v>
                </c:pt>
                <c:pt idx="132">
                  <c:v>5.6687148583229985E-2</c:v>
                </c:pt>
                <c:pt idx="133">
                  <c:v>5.6705226958823074E-2</c:v>
                </c:pt>
                <c:pt idx="134">
                  <c:v>5.6723304987948309E-2</c:v>
                </c:pt>
                <c:pt idx="135">
                  <c:v>5.6741382670612239E-2</c:v>
                </c:pt>
                <c:pt idx="136">
                  <c:v>5.6759460006821527E-2</c:v>
                </c:pt>
                <c:pt idx="137">
                  <c:v>5.6777536996582723E-2</c:v>
                </c:pt>
                <c:pt idx="138">
                  <c:v>5.6795613639902598E-2</c:v>
                </c:pt>
                <c:pt idx="139">
                  <c:v>5.6813689936787592E-2</c:v>
                </c:pt>
                <c:pt idx="140">
                  <c:v>5.683176588724459E-2</c:v>
                </c:pt>
                <c:pt idx="141">
                  <c:v>5.684984149128014E-2</c:v>
                </c:pt>
                <c:pt idx="142">
                  <c:v>5.6867916748900793E-2</c:v>
                </c:pt>
                <c:pt idx="143">
                  <c:v>5.6885991660113322E-2</c:v>
                </c:pt>
                <c:pt idx="144">
                  <c:v>5.6904066224924277E-2</c:v>
                </c:pt>
                <c:pt idx="145">
                  <c:v>5.6922140443340319E-2</c:v>
                </c:pt>
                <c:pt idx="146">
                  <c:v>5.694021431536811E-2</c:v>
                </c:pt>
                <c:pt idx="147">
                  <c:v>5.6958287841014199E-2</c:v>
                </c:pt>
                <c:pt idx="148">
                  <c:v>5.697636102028536E-2</c:v>
                </c:pt>
                <c:pt idx="149">
                  <c:v>5.6994433853188142E-2</c:v>
                </c:pt>
                <c:pt idx="150">
                  <c:v>5.7012506339729208E-2</c:v>
                </c:pt>
                <c:pt idx="151">
                  <c:v>5.7030578479915217E-2</c:v>
                </c:pt>
                <c:pt idx="152">
                  <c:v>5.7048650273752721E-2</c:v>
                </c:pt>
                <c:pt idx="153">
                  <c:v>5.7066721721248492E-2</c:v>
                </c:pt>
                <c:pt idx="154">
                  <c:v>5.708479282240897E-2</c:v>
                </c:pt>
                <c:pt idx="155">
                  <c:v>5.7102863577241036E-2</c:v>
                </c:pt>
                <c:pt idx="156">
                  <c:v>5.7120933985751132E-2</c:v>
                </c:pt>
                <c:pt idx="157">
                  <c:v>5.7139004047946029E-2</c:v>
                </c:pt>
                <c:pt idx="158">
                  <c:v>5.7157073763832278E-2</c:v>
                </c:pt>
                <c:pt idx="159">
                  <c:v>5.717514313341665E-2</c:v>
                </c:pt>
                <c:pt idx="160">
                  <c:v>5.7193212156705586E-2</c:v>
                </c:pt>
                <c:pt idx="161">
                  <c:v>5.7211280833705747E-2</c:v>
                </c:pt>
                <c:pt idx="162">
                  <c:v>5.7229349164423904E-2</c:v>
                </c:pt>
                <c:pt idx="163">
                  <c:v>5.7247417148866608E-2</c:v>
                </c:pt>
                <c:pt idx="164">
                  <c:v>5.7265484787040521E-2</c:v>
                </c:pt>
                <c:pt idx="165">
                  <c:v>5.7283552078952304E-2</c:v>
                </c:pt>
                <c:pt idx="166">
                  <c:v>5.7301619024608508E-2</c:v>
                </c:pt>
                <c:pt idx="167">
                  <c:v>5.7319685624015904E-2</c:v>
                </c:pt>
                <c:pt idx="168">
                  <c:v>5.7337751877180931E-2</c:v>
                </c:pt>
                <c:pt idx="169">
                  <c:v>5.7355817784110363E-2</c:v>
                </c:pt>
                <c:pt idx="170">
                  <c:v>5.7373883344810861E-2</c:v>
                </c:pt>
                <c:pt idx="171">
                  <c:v>5.7391948559288974E-2</c:v>
                </c:pt>
                <c:pt idx="172">
                  <c:v>5.7410013427551365E-2</c:v>
                </c:pt>
                <c:pt idx="173">
                  <c:v>5.7428077949604694E-2</c:v>
                </c:pt>
                <c:pt idx="174">
                  <c:v>5.7446142125455624E-2</c:v>
                </c:pt>
                <c:pt idx="175">
                  <c:v>5.7464205955110703E-2</c:v>
                </c:pt>
                <c:pt idx="176">
                  <c:v>5.7482269438576594E-2</c:v>
                </c:pt>
                <c:pt idx="177">
                  <c:v>5.7500332575859958E-2</c:v>
                </c:pt>
                <c:pt idx="178">
                  <c:v>5.7518395366967345E-2</c:v>
                </c:pt>
                <c:pt idx="179">
                  <c:v>5.7536457811905528E-2</c:v>
                </c:pt>
                <c:pt idx="180">
                  <c:v>5.7554519910681168E-2</c:v>
                </c:pt>
                <c:pt idx="181">
                  <c:v>5.7572581663300704E-2</c:v>
                </c:pt>
                <c:pt idx="182">
                  <c:v>5.7590643069770797E-2</c:v>
                </c:pt>
                <c:pt idx="183">
                  <c:v>5.7608704130098332E-2</c:v>
                </c:pt>
                <c:pt idx="184">
                  <c:v>5.7626764844289635E-2</c:v>
                </c:pt>
                <c:pt idx="185">
                  <c:v>5.764482521235148E-2</c:v>
                </c:pt>
                <c:pt idx="186">
                  <c:v>5.7662885234290528E-2</c:v>
                </c:pt>
                <c:pt idx="187">
                  <c:v>5.768094491011333E-2</c:v>
                </c:pt>
                <c:pt idx="188">
                  <c:v>5.7699004239826657E-2</c:v>
                </c:pt>
                <c:pt idx="189">
                  <c:v>5.7717063223436949E-2</c:v>
                </c:pt>
                <c:pt idx="190">
                  <c:v>5.7735121860951089E-2</c:v>
                </c:pt>
                <c:pt idx="191">
                  <c:v>5.7753180152375405E-2</c:v>
                </c:pt>
                <c:pt idx="192">
                  <c:v>5.7771238097716782E-2</c:v>
                </c:pt>
                <c:pt idx="193">
                  <c:v>5.7789295696981657E-2</c:v>
                </c:pt>
                <c:pt idx="194">
                  <c:v>5.7807352950176805E-2</c:v>
                </c:pt>
                <c:pt idx="195">
                  <c:v>5.7825409857308885E-2</c:v>
                </c:pt>
                <c:pt idx="196">
                  <c:v>5.7843466418384337E-2</c:v>
                </c:pt>
                <c:pt idx="197">
                  <c:v>5.7861522633410045E-2</c:v>
                </c:pt>
                <c:pt idx="198">
                  <c:v>5.7879578502392448E-2</c:v>
                </c:pt>
                <c:pt idx="199">
                  <c:v>5.7897634025338207E-2</c:v>
                </c:pt>
                <c:pt idx="200">
                  <c:v>5.7915689202254095E-2</c:v>
                </c:pt>
                <c:pt idx="201">
                  <c:v>5.793374403314655E-2</c:v>
                </c:pt>
                <c:pt idx="202">
                  <c:v>5.7951798518022235E-2</c:v>
                </c:pt>
                <c:pt idx="203">
                  <c:v>5.7969852656887921E-2</c:v>
                </c:pt>
                <c:pt idx="204">
                  <c:v>5.798790644975016E-2</c:v>
                </c:pt>
                <c:pt idx="205">
                  <c:v>5.80059598966155E-2</c:v>
                </c:pt>
                <c:pt idx="206">
                  <c:v>5.8024012997490715E-2</c:v>
                </c:pt>
                <c:pt idx="207">
                  <c:v>5.8042065752382355E-2</c:v>
                </c:pt>
                <c:pt idx="208">
                  <c:v>5.8060118161297081E-2</c:v>
                </c:pt>
                <c:pt idx="209">
                  <c:v>5.8078170224241554E-2</c:v>
                </c:pt>
                <c:pt idx="210">
                  <c:v>5.8096221941222326E-2</c:v>
                </c:pt>
                <c:pt idx="211">
                  <c:v>5.8114273312245945E-2</c:v>
                </c:pt>
                <c:pt idx="212">
                  <c:v>5.8132324337319297E-2</c:v>
                </c:pt>
                <c:pt idx="213">
                  <c:v>5.8150375016448819E-2</c:v>
                </c:pt>
                <c:pt idx="214">
                  <c:v>5.8168425349641173E-2</c:v>
                </c:pt>
                <c:pt idx="215">
                  <c:v>5.8186475336903021E-2</c:v>
                </c:pt>
                <c:pt idx="216">
                  <c:v>5.8204524978241023E-2</c:v>
                </c:pt>
                <c:pt idx="217">
                  <c:v>5.8222574273661731E-2</c:v>
                </c:pt>
                <c:pt idx="218">
                  <c:v>5.8240623223171806E-2</c:v>
                </c:pt>
                <c:pt idx="219">
                  <c:v>5.8258671826777908E-2</c:v>
                </c:pt>
                <c:pt idx="220">
                  <c:v>5.8276720084486699E-2</c:v>
                </c:pt>
                <c:pt idx="221">
                  <c:v>5.8294767996304619E-2</c:v>
                </c:pt>
                <c:pt idx="222">
                  <c:v>5.831281556223844E-2</c:v>
                </c:pt>
                <c:pt idx="223">
                  <c:v>5.8330862782294823E-2</c:v>
                </c:pt>
                <c:pt idx="224">
                  <c:v>5.834890965648043E-2</c:v>
                </c:pt>
                <c:pt idx="225">
                  <c:v>5.8366956184801699E-2</c:v>
                </c:pt>
                <c:pt idx="226">
                  <c:v>5.8385002367265404E-2</c:v>
                </c:pt>
                <c:pt idx="227">
                  <c:v>5.8403048203878094E-2</c:v>
                </c:pt>
                <c:pt idx="228">
                  <c:v>5.8421093694646542E-2</c:v>
                </c:pt>
                <c:pt idx="229">
                  <c:v>5.8439138839577187E-2</c:v>
                </c:pt>
                <c:pt idx="230">
                  <c:v>5.8457183638676802E-2</c:v>
                </c:pt>
                <c:pt idx="231">
                  <c:v>5.8475228091951936E-2</c:v>
                </c:pt>
                <c:pt idx="232">
                  <c:v>5.8493272199409141E-2</c:v>
                </c:pt>
                <c:pt idx="233">
                  <c:v>5.8511315961055299E-2</c:v>
                </c:pt>
                <c:pt idx="234">
                  <c:v>5.852935937689685E-2</c:v>
                </c:pt>
                <c:pt idx="235">
                  <c:v>5.8547402446940344E-2</c:v>
                </c:pt>
                <c:pt idx="236">
                  <c:v>5.8565445171192665E-2</c:v>
                </c:pt>
                <c:pt idx="237">
                  <c:v>5.858348754966014E-2</c:v>
                </c:pt>
                <c:pt idx="238">
                  <c:v>5.8601529582349654E-2</c:v>
                </c:pt>
                <c:pt idx="239">
                  <c:v>5.8619571269267756E-2</c:v>
                </c:pt>
                <c:pt idx="240">
                  <c:v>5.8637612610420997E-2</c:v>
                </c:pt>
                <c:pt idx="241">
                  <c:v>5.8655653605816038E-2</c:v>
                </c:pt>
                <c:pt idx="242">
                  <c:v>5.8673694255459541E-2</c:v>
                </c:pt>
                <c:pt idx="243">
                  <c:v>5.8691734559358055E-2</c:v>
                </c:pt>
                <c:pt idx="244">
                  <c:v>5.8709774517518354E-2</c:v>
                </c:pt>
                <c:pt idx="245">
                  <c:v>5.8727814129946876E-2</c:v>
                </c:pt>
                <c:pt idx="246">
                  <c:v>5.8745853396650394E-2</c:v>
                </c:pt>
                <c:pt idx="247">
                  <c:v>5.8763892317635458E-2</c:v>
                </c:pt>
                <c:pt idx="248">
                  <c:v>5.8781930892908729E-2</c:v>
                </c:pt>
                <c:pt idx="249">
                  <c:v>5.8799969122476758E-2</c:v>
                </c:pt>
                <c:pt idx="250">
                  <c:v>5.8818007006346318E-2</c:v>
                </c:pt>
                <c:pt idx="251">
                  <c:v>5.8836044544523958E-2</c:v>
                </c:pt>
                <c:pt idx="252">
                  <c:v>5.8854081737016228E-2</c:v>
                </c:pt>
                <c:pt idx="253">
                  <c:v>5.8872118583829902E-2</c:v>
                </c:pt>
                <c:pt idx="254">
                  <c:v>5.8890155084971418E-2</c:v>
                </c:pt>
                <c:pt idx="255">
                  <c:v>5.8908191240447549E-2</c:v>
                </c:pt>
                <c:pt idx="256">
                  <c:v>5.8926227050264846E-2</c:v>
                </c:pt>
                <c:pt idx="257">
                  <c:v>5.8944262514430079E-2</c:v>
                </c:pt>
                <c:pt idx="258">
                  <c:v>5.896229763294969E-2</c:v>
                </c:pt>
                <c:pt idx="259">
                  <c:v>5.8980332405830338E-2</c:v>
                </c:pt>
                <c:pt idx="260">
                  <c:v>5.8998366833078686E-2</c:v>
                </c:pt>
                <c:pt idx="261">
                  <c:v>5.9016400914701395E-2</c:v>
                </c:pt>
                <c:pt idx="262">
                  <c:v>5.9034434650704903E-2</c:v>
                </c:pt>
                <c:pt idx="263">
                  <c:v>5.9052468041096096E-2</c:v>
                </c:pt>
                <c:pt idx="264">
                  <c:v>5.9070501085881522E-2</c:v>
                </c:pt>
                <c:pt idx="265">
                  <c:v>5.9088533785067621E-2</c:v>
                </c:pt>
                <c:pt idx="266">
                  <c:v>5.9106566138661276E-2</c:v>
                </c:pt>
                <c:pt idx="267">
                  <c:v>5.9124598146668927E-2</c:v>
                </c:pt>
                <c:pt idx="268">
                  <c:v>5.9142629809097236E-2</c:v>
                </c:pt>
                <c:pt idx="269">
                  <c:v>5.9160661125952974E-2</c:v>
                </c:pt>
                <c:pt idx="270">
                  <c:v>5.9178692097242469E-2</c:v>
                </c:pt>
                <c:pt idx="271">
                  <c:v>5.9196722722972606E-2</c:v>
                </c:pt>
                <c:pt idx="272">
                  <c:v>5.9214753003149934E-2</c:v>
                </c:pt>
                <c:pt idx="273">
                  <c:v>5.9232782937781003E-2</c:v>
                </c:pt>
                <c:pt idx="274">
                  <c:v>5.9250812526872476E-2</c:v>
                </c:pt>
                <c:pt idx="275">
                  <c:v>5.9268841770431013E-2</c:v>
                </c:pt>
                <c:pt idx="276">
                  <c:v>5.9286870668463276E-2</c:v>
                </c:pt>
                <c:pt idx="277">
                  <c:v>5.9304899220975704E-2</c:v>
                </c:pt>
                <c:pt idx="278">
                  <c:v>5.9322927427975181E-2</c:v>
                </c:pt>
                <c:pt idx="279">
                  <c:v>5.9340955289468034E-2</c:v>
                </c:pt>
                <c:pt idx="280">
                  <c:v>5.9358982805461147E-2</c:v>
                </c:pt>
                <c:pt idx="281">
                  <c:v>5.9377009975960959E-2</c:v>
                </c:pt>
                <c:pt idx="282">
                  <c:v>5.9395036800974133E-2</c:v>
                </c:pt>
                <c:pt idx="283">
                  <c:v>5.9413063280507439E-2</c:v>
                </c:pt>
                <c:pt idx="284">
                  <c:v>5.9431089414567317E-2</c:v>
                </c:pt>
                <c:pt idx="285">
                  <c:v>5.944911520316043E-2</c:v>
                </c:pt>
                <c:pt idx="286">
                  <c:v>5.9467140646293437E-2</c:v>
                </c:pt>
                <c:pt idx="287">
                  <c:v>5.948516574397289E-2</c:v>
                </c:pt>
                <c:pt idx="288">
                  <c:v>5.9503190496205449E-2</c:v>
                </c:pt>
                <c:pt idx="289">
                  <c:v>5.9521214902997777E-2</c:v>
                </c:pt>
                <c:pt idx="290">
                  <c:v>5.9539238964356533E-2</c:v>
                </c:pt>
                <c:pt idx="291">
                  <c:v>5.9557262680288159E-2</c:v>
                </c:pt>
                <c:pt idx="292">
                  <c:v>5.9575286050799425E-2</c:v>
                </c:pt>
                <c:pt idx="293">
                  <c:v>5.9593309075896883E-2</c:v>
                </c:pt>
                <c:pt idx="294">
                  <c:v>5.9611331755587194E-2</c:v>
                </c:pt>
                <c:pt idx="295">
                  <c:v>5.9629354089877018E-2</c:v>
                </c:pt>
                <c:pt idx="296">
                  <c:v>5.9647376078772907E-2</c:v>
                </c:pt>
                <c:pt idx="297">
                  <c:v>5.966539772228141E-2</c:v>
                </c:pt>
                <c:pt idx="298">
                  <c:v>5.9683419020409301E-2</c:v>
                </c:pt>
                <c:pt idx="299">
                  <c:v>5.9701439973163017E-2</c:v>
                </c:pt>
                <c:pt idx="300">
                  <c:v>5.9719460580549333E-2</c:v>
                </c:pt>
                <c:pt idx="301">
                  <c:v>5.9737480842574908E-2</c:v>
                </c:pt>
                <c:pt idx="302">
                  <c:v>5.9755500759246183E-2</c:v>
                </c:pt>
                <c:pt idx="303">
                  <c:v>5.9773520330569929E-2</c:v>
                </c:pt>
                <c:pt idx="304">
                  <c:v>5.9791539556552586E-2</c:v>
                </c:pt>
                <c:pt idx="305">
                  <c:v>5.9809558437201038E-2</c:v>
                </c:pt>
                <c:pt idx="306">
                  <c:v>5.9827576972521612E-2</c:v>
                </c:pt>
                <c:pt idx="307">
                  <c:v>5.9845595162521192E-2</c:v>
                </c:pt>
                <c:pt idx="308">
                  <c:v>5.9863613007206218E-2</c:v>
                </c:pt>
                <c:pt idx="309">
                  <c:v>5.988163050658335E-2</c:v>
                </c:pt>
                <c:pt idx="310">
                  <c:v>5.989964766065925E-2</c:v>
                </c:pt>
                <c:pt idx="311">
                  <c:v>5.9917664469440468E-2</c:v>
                </c:pt>
                <c:pt idx="312">
                  <c:v>5.9935680932933666E-2</c:v>
                </c:pt>
                <c:pt idx="313">
                  <c:v>5.9953697051145394E-2</c:v>
                </c:pt>
                <c:pt idx="314">
                  <c:v>5.9971712824082424E-2</c:v>
                </c:pt>
                <c:pt idx="315">
                  <c:v>5.9989728251751195E-2</c:v>
                </c:pt>
                <c:pt idx="316">
                  <c:v>6.0007743334158481E-2</c:v>
                </c:pt>
                <c:pt idx="317">
                  <c:v>6.0025758071310831E-2</c:v>
                </c:pt>
                <c:pt idx="318">
                  <c:v>6.0043772463214795E-2</c:v>
                </c:pt>
                <c:pt idx="319">
                  <c:v>6.0061786509877035E-2</c:v>
                </c:pt>
                <c:pt idx="320">
                  <c:v>6.0079800211304213E-2</c:v>
                </c:pt>
                <c:pt idx="321">
                  <c:v>6.0097813567502878E-2</c:v>
                </c:pt>
                <c:pt idx="322">
                  <c:v>6.0115826578479692E-2</c:v>
                </c:pt>
                <c:pt idx="323">
                  <c:v>6.0133839244241316E-2</c:v>
                </c:pt>
                <c:pt idx="324">
                  <c:v>6.0151851564794301E-2</c:v>
                </c:pt>
                <c:pt idx="325">
                  <c:v>6.0169863540145196E-2</c:v>
                </c:pt>
                <c:pt idx="326">
                  <c:v>6.0187875170300775E-2</c:v>
                </c:pt>
                <c:pt idx="327">
                  <c:v>6.0205886455267477E-2</c:v>
                </c:pt>
                <c:pt idx="328">
                  <c:v>6.0223897395052073E-2</c:v>
                </c:pt>
                <c:pt idx="329">
                  <c:v>6.0241907989661114E-2</c:v>
                </c:pt>
                <c:pt idx="330">
                  <c:v>6.0259918239101262E-2</c:v>
                </c:pt>
                <c:pt idx="331">
                  <c:v>6.0277928143379067E-2</c:v>
                </c:pt>
                <c:pt idx="332">
                  <c:v>6.0295937702501079E-2</c:v>
                </c:pt>
                <c:pt idx="333">
                  <c:v>6.031394691647407E-2</c:v>
                </c:pt>
                <c:pt idx="334">
                  <c:v>6.0331955785304592E-2</c:v>
                </c:pt>
                <c:pt idx="335">
                  <c:v>6.0349964308999193E-2</c:v>
                </c:pt>
                <c:pt idx="336">
                  <c:v>6.0367972487564647E-2</c:v>
                </c:pt>
                <c:pt idx="337">
                  <c:v>6.0385980321007393E-2</c:v>
                </c:pt>
                <c:pt idx="338">
                  <c:v>6.0403987809334092E-2</c:v>
                </c:pt>
                <c:pt idx="339">
                  <c:v>6.0421994952551517E-2</c:v>
                </c:pt>
                <c:pt idx="340">
                  <c:v>6.0440001750665995E-2</c:v>
                </c:pt>
                <c:pt idx="341">
                  <c:v>6.045800820368441E-2</c:v>
                </c:pt>
                <c:pt idx="342">
                  <c:v>6.0476014311613202E-2</c:v>
                </c:pt>
                <c:pt idx="343">
                  <c:v>6.0494020074459032E-2</c:v>
                </c:pt>
                <c:pt idx="344">
                  <c:v>6.0512025492228561E-2</c:v>
                </c:pt>
                <c:pt idx="345">
                  <c:v>6.0530030564928339E-2</c:v>
                </c:pt>
                <c:pt idx="346">
                  <c:v>6.0548035292565028E-2</c:v>
                </c:pt>
                <c:pt idx="347">
                  <c:v>6.0566039675145178E-2</c:v>
                </c:pt>
                <c:pt idx="348">
                  <c:v>6.0584043712675451E-2</c:v>
                </c:pt>
                <c:pt idx="349">
                  <c:v>6.0602047405162507E-2</c:v>
                </c:pt>
                <c:pt idx="350">
                  <c:v>6.0620050752612897E-2</c:v>
                </c:pt>
                <c:pt idx="351">
                  <c:v>6.0638053755033172E-2</c:v>
                </c:pt>
                <c:pt idx="352">
                  <c:v>6.0656056412430104E-2</c:v>
                </c:pt>
                <c:pt idx="353">
                  <c:v>6.0674058724810132E-2</c:v>
                </c:pt>
                <c:pt idx="354">
                  <c:v>6.0692060692180028E-2</c:v>
                </c:pt>
                <c:pt idx="355">
                  <c:v>6.0710062314546231E-2</c:v>
                </c:pt>
                <c:pt idx="356">
                  <c:v>6.0728063591915515E-2</c:v>
                </c:pt>
                <c:pt idx="357">
                  <c:v>6.074606452429443E-2</c:v>
                </c:pt>
                <c:pt idx="358">
                  <c:v>6.0764065111689525E-2</c:v>
                </c:pt>
                <c:pt idx="359">
                  <c:v>6.0782065354107573E-2</c:v>
                </c:pt>
                <c:pt idx="360">
                  <c:v>6.0800065251555013E-2</c:v>
                </c:pt>
                <c:pt idx="361">
                  <c:v>6.0818064804038507E-2</c:v>
                </c:pt>
                <c:pt idx="362">
                  <c:v>6.0836064011564717E-2</c:v>
                </c:pt>
                <c:pt idx="363">
                  <c:v>6.0854062874140191E-2</c:v>
                </c:pt>
                <c:pt idx="364">
                  <c:v>6.0872061391771592E-2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5.2938603773974718E-2</c:v>
                </c:pt>
                <c:pt idx="1">
                  <c:v>5.2987863969153642E-2</c:v>
                </c:pt>
                <c:pt idx="2">
                  <c:v>5.303717910092004E-2</c:v>
                </c:pt>
                <c:pt idx="3">
                  <c:v>5.3086537169849471E-2</c:v>
                </c:pt>
                <c:pt idx="4">
                  <c:v>5.3135927731793667E-2</c:v>
                </c:pt>
                <c:pt idx="5">
                  <c:v>5.3185341853702356E-2</c:v>
                </c:pt>
                <c:pt idx="6">
                  <c:v>5.3234772057406711E-2</c:v>
                </c:pt>
                <c:pt idx="7">
                  <c:v>5.3284212252305799E-2</c:v>
                </c:pt>
                <c:pt idx="8">
                  <c:v>5.3333657657980482E-2</c:v>
                </c:pt>
                <c:pt idx="9">
                  <c:v>5.3383104717832496E-2</c:v>
                </c:pt>
                <c:pt idx="10">
                  <c:v>5.3432551004907007E-2</c:v>
                </c:pt>
                <c:pt idx="11">
                  <c:v>5.3481995121105297E-2</c:v>
                </c:pt>
                <c:pt idx="12">
                  <c:v>5.3531436591031413E-2</c:v>
                </c:pt>
                <c:pt idx="13">
                  <c:v>5.3580875751739351E-2</c:v>
                </c:pt>
                <c:pt idx="14">
                  <c:v>5.3630313639658943E-2</c:v>
                </c:pt>
                <c:pt idx="15">
                  <c:v>5.3679751875976657E-2</c:v>
                </c:pt>
                <c:pt idx="16">
                  <c:v>5.3729192551733577E-2</c:v>
                </c:pt>
                <c:pt idx="17">
                  <c:v>5.3778638113876627E-2</c:v>
                </c:pt>
                <c:pt idx="18">
                  <c:v>5.3828091253461441E-2</c:v>
                </c:pt>
                <c:pt idx="19">
                  <c:v>5.3877554797156148E-2</c:v>
                </c:pt>
                <c:pt idx="20">
                  <c:v>5.3927031603136187E-2</c:v>
                </c:pt>
                <c:pt idx="21">
                  <c:v>5.3976524462391019E-2</c:v>
                </c:pt>
                <c:pt idx="22">
                  <c:v>5.4026036006385759E-2</c:v>
                </c:pt>
                <c:pt idx="23">
                  <c:v>5.4075568621935216E-2</c:v>
                </c:pt>
                <c:pt idx="24">
                  <c:v>5.4125124374053993E-2</c:v>
                </c:pt>
                <c:pt idx="25">
                  <c:v>5.4174704937448956E-2</c:v>
                </c:pt>
                <c:pt idx="26">
                  <c:v>5.4224311537215797E-2</c:v>
                </c:pt>
                <c:pt idx="27">
                  <c:v>5.4273944899194376E-2</c:v>
                </c:pt>
                <c:pt idx="28">
                  <c:v>5.4323605210328162E-2</c:v>
                </c:pt>
                <c:pt idx="29">
                  <c:v>5.4373292089261456E-2</c:v>
                </c:pt>
                <c:pt idx="30">
                  <c:v>5.4423004567296825E-2</c:v>
                </c:pt>
                <c:pt idx="31">
                  <c:v>5.4472741079724878E-2</c:v>
                </c:pt>
                <c:pt idx="32">
                  <c:v>5.4522499467429812E-2</c:v>
                </c:pt>
                <c:pt idx="33">
                  <c:v>5.4572276988569035E-2</c:v>
                </c:pt>
                <c:pt idx="34">
                  <c:v>5.4622070340023858E-2</c:v>
                </c:pt>
                <c:pt idx="35">
                  <c:v>5.4671875688222397E-2</c:v>
                </c:pt>
                <c:pt idx="36">
                  <c:v>5.4721688708845327E-2</c:v>
                </c:pt>
                <c:pt idx="37">
                  <c:v>5.4771504634842851E-2</c:v>
                </c:pt>
                <c:pt idx="38">
                  <c:v>5.4821318312114481E-2</c:v>
                </c:pt>
                <c:pt idx="39">
                  <c:v>5.4871124262136993E-2</c:v>
                </c:pt>
                <c:pt idx="40">
                  <c:v>5.4920916750766768E-2</c:v>
                </c:pt>
                <c:pt idx="41">
                  <c:v>5.4970689862393673E-2</c:v>
                </c:pt>
                <c:pt idx="42">
                  <c:v>5.5020437578583714E-2</c:v>
                </c:pt>
                <c:pt idx="43">
                  <c:v>5.5070153860318591E-2</c:v>
                </c:pt>
                <c:pt idx="44">
                  <c:v>5.5119832732919136E-2</c:v>
                </c:pt>
                <c:pt idx="45">
                  <c:v>5.5169468372731276E-2</c:v>
                </c:pt>
                <c:pt idx="46">
                  <c:v>5.5219055194651798E-2</c:v>
                </c:pt>
                <c:pt idx="47">
                  <c:v>5.5268587939581511E-2</c:v>
                </c:pt>
                <c:pt idx="48">
                  <c:v>5.5318061760912869E-2</c:v>
                </c:pt>
                <c:pt idx="49">
                  <c:v>5.536747230918608E-2</c:v>
                </c:pt>
                <c:pt idx="50">
                  <c:v>5.5416815814085432E-2</c:v>
                </c:pt>
                <c:pt idx="51">
                  <c:v>5.5466089162991464E-2</c:v>
                </c:pt>
                <c:pt idx="52">
                  <c:v>5.5515289975356312E-2</c:v>
                </c:pt>
                <c:pt idx="53">
                  <c:v>5.5564416672228466E-2</c:v>
                </c:pt>
                <c:pt idx="54">
                  <c:v>5.5613468540316402E-2</c:v>
                </c:pt>
                <c:pt idx="55">
                  <c:v>5.5662445790050419E-2</c:v>
                </c:pt>
                <c:pt idx="56">
                  <c:v>5.5711349607174235E-2</c:v>
                </c:pt>
                <c:pt idx="57">
                  <c:v>5.5760182197474861E-2</c:v>
                </c:pt>
                <c:pt idx="58">
                  <c:v>5.5808946824336909E-2</c:v>
                </c:pt>
                <c:pt idx="59">
                  <c:v>5.5857647838887713E-2</c:v>
                </c:pt>
                <c:pt idx="60">
                  <c:v>5.5906290702579325E-2</c:v>
                </c:pt>
                <c:pt idx="61">
                  <c:v>5.5954882002132694E-2</c:v>
                </c:pt>
                <c:pt idx="62">
                  <c:v>5.6003429456847588E-2</c:v>
                </c:pt>
                <c:pt idx="63">
                  <c:v>5.6051941918357079E-2</c:v>
                </c:pt>
                <c:pt idx="64">
                  <c:v>5.6100429362977371E-2</c:v>
                </c:pt>
                <c:pt idx="65">
                  <c:v>5.6148902876872922E-2</c:v>
                </c:pt>
                <c:pt idx="66">
                  <c:v>5.6197374634319334E-2</c:v>
                </c:pt>
                <c:pt idx="67">
                  <c:v>5.6245857869405905E-2</c:v>
                </c:pt>
                <c:pt idx="68">
                  <c:v>5.6294366841570811E-2</c:v>
                </c:pt>
                <c:pt idx="69">
                  <c:v>5.6342916795409329E-2</c:v>
                </c:pt>
                <c:pt idx="70">
                  <c:v>5.639152391523311E-2</c:v>
                </c:pt>
                <c:pt idx="71">
                  <c:v>5.644020527489179E-2</c:v>
                </c:pt>
                <c:pt idx="72">
                  <c:v>5.6488978783392048E-2</c:v>
                </c:pt>
                <c:pt idx="73">
                  <c:v>5.6537863126866733E-2</c:v>
                </c:pt>
                <c:pt idx="74">
                  <c:v>5.6586877707456351E-2</c:v>
                </c:pt>
                <c:pt idx="75">
                  <c:v>5.6636042579666999E-2</c:v>
                </c:pt>
                <c:pt idx="76">
                  <c:v>5.6685378384764298E-2</c:v>
                </c:pt>
                <c:pt idx="77">
                  <c:v>5.6734906283749956E-2</c:v>
                </c:pt>
                <c:pt idx="78">
                  <c:v>5.6784647889449209E-2</c:v>
                </c:pt>
                <c:pt idx="79">
                  <c:v>5.6834625198211718E-2</c:v>
                </c:pt>
                <c:pt idx="80">
                  <c:v>5.68848605216975E-2</c:v>
                </c:pt>
                <c:pt idx="81">
                  <c:v>5.6935376419182872E-2</c:v>
                </c:pt>
                <c:pt idx="82">
                  <c:v>5.6986195630780598E-2</c:v>
                </c:pt>
                <c:pt idx="83">
                  <c:v>5.7037341011922753E-2</c:v>
                </c:pt>
                <c:pt idx="84">
                  <c:v>5.7088835469406921E-2</c:v>
                </c:pt>
                <c:pt idx="85">
                  <c:v>5.7140701899255027E-2</c:v>
                </c:pt>
                <c:pt idx="86">
                  <c:v>5.7192963126581391E-2</c:v>
                </c:pt>
                <c:pt idx="87">
                  <c:v>5.7245641847613341E-2</c:v>
                </c:pt>
                <c:pt idx="88">
                  <c:v>5.7298760573953042E-2</c:v>
                </c:pt>
                <c:pt idx="89">
                  <c:v>5.7352341579117068E-2</c:v>
                </c:pt>
                <c:pt idx="90">
                  <c:v>5.7406406847337429E-2</c:v>
                </c:pt>
                <c:pt idx="91">
                  <c:v>5.7460978024558886E-2</c:v>
                </c:pt>
                <c:pt idx="92">
                  <c:v>5.7516076371520751E-2</c:v>
                </c:pt>
                <c:pt idx="93">
                  <c:v>5.7571722718767572E-2</c:v>
                </c:pt>
                <c:pt idx="94">
                  <c:v>5.7627937423395635E-2</c:v>
                </c:pt>
                <c:pt idx="95">
                  <c:v>5.7684740327306784E-2</c:v>
                </c:pt>
                <c:pt idx="96">
                  <c:v>5.7742150716713854E-2</c:v>
                </c:pt>
                <c:pt idx="97">
                  <c:v>5.7800187282618196E-2</c:v>
                </c:pt>
                <c:pt idx="98">
                  <c:v>5.7858868081963589E-2</c:v>
                </c:pt>
                <c:pt idx="99">
                  <c:v>5.791821049916078E-2</c:v>
                </c:pt>
                <c:pt idx="100">
                  <c:v>5.7978231207672745E-2</c:v>
                </c:pt>
                <c:pt idx="101">
                  <c:v>5.8038946131354477E-2</c:v>
                </c:pt>
                <c:pt idx="102">
                  <c:v>5.8100370405250734E-2</c:v>
                </c:pt>
                <c:pt idx="103">
                  <c:v>5.816251833557165E-2</c:v>
                </c:pt>
                <c:pt idx="104">
                  <c:v>5.8225403358589438E-2</c:v>
                </c:pt>
                <c:pt idx="105">
                  <c:v>5.8289037998228356E-2</c:v>
                </c:pt>
                <c:pt idx="106">
                  <c:v>5.8353433822155479E-2</c:v>
                </c:pt>
                <c:pt idx="107">
                  <c:v>5.8418601396220571E-2</c:v>
                </c:pt>
                <c:pt idx="108">
                  <c:v>5.8484550237138382E-2</c:v>
                </c:pt>
                <c:pt idx="109">
                  <c:v>5.8551288763357336E-2</c:v>
                </c:pt>
                <c:pt idx="110">
                  <c:v>5.8618824244111585E-2</c:v>
                </c:pt>
                <c:pt idx="111">
                  <c:v>5.8687162746710694E-2</c:v>
                </c:pt>
                <c:pt idx="112">
                  <c:v>5.8756309082179492E-2</c:v>
                </c:pt>
                <c:pt idx="113">
                  <c:v>5.882626674942161E-2</c:v>
                </c:pt>
                <c:pt idx="114">
                  <c:v>5.8897037878140976E-2</c:v>
                </c:pt>
                <c:pt idx="115">
                  <c:v>5.8968623170816324E-2</c:v>
                </c:pt>
                <c:pt idx="116">
                  <c:v>5.9041021844083871E-2</c:v>
                </c:pt>
                <c:pt idx="117">
                  <c:v>5.9114231569940758E-2</c:v>
                </c:pt>
                <c:pt idx="118">
                  <c:v>5.9188248417237049E-2</c:v>
                </c:pt>
                <c:pt idx="119">
                  <c:v>7.0774464523533078E-3</c:v>
                </c:pt>
                <c:pt idx="120">
                  <c:v>7.1875227395148556E-3</c:v>
                </c:pt>
                <c:pt idx="121">
                  <c:v>7.297680604619888E-3</c:v>
                </c:pt>
                <c:pt idx="122">
                  <c:v>7.4079226698999558E-3</c:v>
                </c:pt>
                <c:pt idx="123">
                  <c:v>7.5182512263322985E-3</c:v>
                </c:pt>
                <c:pt idx="124">
                  <c:v>7.6286682128218312E-3</c:v>
                </c:pt>
                <c:pt idx="125">
                  <c:v>7.739175195667033E-3</c:v>
                </c:pt>
                <c:pt idx="126">
                  <c:v>7.8497733484624663E-3</c:v>
                </c:pt>
                <c:pt idx="127">
                  <c:v>7.9604634325987026E-3</c:v>
                </c:pt>
                <c:pt idx="128">
                  <c:v>8.0712457785284443E-3</c:v>
                </c:pt>
                <c:pt idx="129">
                  <c:v>8.1821202679733199E-3</c:v>
                </c:pt>
                <c:pt idx="130">
                  <c:v>8.293086317250049E-3</c:v>
                </c:pt>
                <c:pt idx="131">
                  <c:v>8.4041428618975619E-3</c:v>
                </c:pt>
                <c:pt idx="132">
                  <c:v>8.5152883427871903E-3</c:v>
                </c:pt>
                <c:pt idx="133">
                  <c:v>8.6265206938967633E-3</c:v>
                </c:pt>
                <c:pt idx="134">
                  <c:v>8.7378373319264568E-3</c:v>
                </c:pt>
                <c:pt idx="135">
                  <c:v>8.849235147928524E-3</c:v>
                </c:pt>
                <c:pt idx="136">
                  <c:v>8.9607105011158487E-3</c:v>
                </c:pt>
                <c:pt idx="137">
                  <c:v>9.0722592150046747E-3</c:v>
                </c:pt>
                <c:pt idx="138">
                  <c:v>9.1838765760349442E-3</c:v>
                </c:pt>
                <c:pt idx="139">
                  <c:v>9.2955573347982996E-3</c:v>
                </c:pt>
                <c:pt idx="140">
                  <c:v>9.4072957099878337E-3</c:v>
                </c:pt>
                <c:pt idx="141">
                  <c:v>9.5190853951663754E-3</c:v>
                </c:pt>
                <c:pt idx="142">
                  <c:v>9.6309195684305994E-3</c:v>
                </c:pt>
                <c:pt idx="143">
                  <c:v>9.7427909050273719E-3</c:v>
                </c:pt>
                <c:pt idx="144">
                  <c:v>9.8546915929566686E-3</c:v>
                </c:pt>
                <c:pt idx="145">
                  <c:v>9.9666133515715957E-3</c:v>
                </c:pt>
                <c:pt idx="146">
                  <c:v>1.0078547453161685E-2</c:v>
                </c:pt>
                <c:pt idx="147">
                  <c:v>1.0190484747480149E-2</c:v>
                </c:pt>
                <c:pt idx="148">
                  <c:v>1.030241568915017E-2</c:v>
                </c:pt>
                <c:pt idx="149">
                  <c:v>1.0414330367858925E-2</c:v>
                </c:pt>
                <c:pt idx="150">
                  <c:v>1.0526218541222177E-2</c:v>
                </c:pt>
                <c:pt idx="151">
                  <c:v>1.0638069670176017E-2</c:v>
                </c:pt>
                <c:pt idx="152">
                  <c:v>1.0749872956727601E-2</c:v>
                </c:pt>
                <c:pt idx="153">
                  <c:v>1.0861617383871635E-2</c:v>
                </c:pt>
                <c:pt idx="154">
                  <c:v>1.097329175745651E-2</c:v>
                </c:pt>
                <c:pt idx="155">
                  <c:v>1.1084884749761671E-2</c:v>
                </c:pt>
                <c:pt idx="156">
                  <c:v>1.1196384944527626E-2</c:v>
                </c:pt>
                <c:pt idx="157">
                  <c:v>1.1307780883161428E-2</c:v>
                </c:pt>
                <c:pt idx="158">
                  <c:v>1.1419061111824282E-2</c:v>
                </c:pt>
                <c:pt idx="159">
                  <c:v>1.153021422909379E-2</c:v>
                </c:pt>
                <c:pt idx="160">
                  <c:v>1.1641228933881994E-2</c:v>
                </c:pt>
                <c:pt idx="161">
                  <c:v>1.1752094073281543E-2</c:v>
                </c:pt>
                <c:pt idx="162">
                  <c:v>1.1862798690006565E-2</c:v>
                </c:pt>
                <c:pt idx="163">
                  <c:v>1.1973332069091673E-2</c:v>
                </c:pt>
                <c:pt idx="164">
                  <c:v>1.2083683783512897E-2</c:v>
                </c:pt>
                <c:pt idx="165">
                  <c:v>1.2193843738397426E-2</c:v>
                </c:pt>
                <c:pt idx="166">
                  <c:v>1.2303802213495337E-2</c:v>
                </c:pt>
                <c:pt idx="167">
                  <c:v>1.2413549903596333E-2</c:v>
                </c:pt>
                <c:pt idx="168">
                  <c:v>1.2523077956586574E-2</c:v>
                </c:pt>
                <c:pt idx="169">
                  <c:v>1.2632378008856648E-2</c:v>
                </c:pt>
                <c:pt idx="170">
                  <c:v>1.2741442217790059E-2</c:v>
                </c:pt>
                <c:pt idx="171">
                  <c:v>1.285026329108266E-2</c:v>
                </c:pt>
                <c:pt idx="172">
                  <c:v>1.2958834512667484E-2</c:v>
                </c:pt>
                <c:pt idx="173">
                  <c:v>1.3067149765045354E-2</c:v>
                </c:pt>
                <c:pt idx="174">
                  <c:v>1.3175203547849899E-2</c:v>
                </c:pt>
                <c:pt idx="175">
                  <c:v>1.3282990992505871E-2</c:v>
                </c:pt>
                <c:pt idx="176">
                  <c:v>1.3390507872871254E-2</c:v>
                </c:pt>
                <c:pt idx="177">
                  <c:v>1.3497750611786551E-2</c:v>
                </c:pt>
                <c:pt idx="178">
                  <c:v>1.3604716283488855E-2</c:v>
                </c:pt>
                <c:pt idx="179">
                  <c:v>1.3711402611882546E-2</c:v>
                </c:pt>
                <c:pt idx="180">
                  <c:v>1.3817807964693587E-2</c:v>
                </c:pt>
                <c:pt idx="181">
                  <c:v>1.392393134356892E-2</c:v>
                </c:pt>
                <c:pt idx="182">
                  <c:v>1.4029772370217252E-2</c:v>
                </c:pt>
                <c:pt idx="183">
                  <c:v>1.4135331268720323E-2</c:v>
                </c:pt>
                <c:pt idx="184">
                  <c:v>1.4240608844177259E-2</c:v>
                </c:pt>
                <c:pt idx="185">
                  <c:v>1.4345606457874506E-2</c:v>
                </c:pt>
                <c:pt idx="186">
                  <c:v>1.4450325999203879E-2</c:v>
                </c:pt>
                <c:pt idx="187">
                  <c:v>1.4554769854577841E-2</c:v>
                </c:pt>
                <c:pt idx="188">
                  <c:v>1.4658940873616052E-2</c:v>
                </c:pt>
                <c:pt idx="189">
                  <c:v>1.4762842332899108E-2</c:v>
                </c:pt>
                <c:pt idx="190">
                  <c:v>1.4866477897604626E-2</c:v>
                </c:pt>
                <c:pt idx="191">
                  <c:v>1.4969851581356762E-2</c:v>
                </c:pt>
                <c:pt idx="192">
                  <c:v>1.5072967704632938E-2</c:v>
                </c:pt>
                <c:pt idx="193">
                  <c:v>1.5175830852080893E-2</c:v>
                </c:pt>
                <c:pt idx="194">
                  <c:v>1.5278445829104849E-2</c:v>
                </c:pt>
                <c:pt idx="195">
                  <c:v>1.5380817618081702E-2</c:v>
                </c:pt>
                <c:pt idx="196">
                  <c:v>1.5482951334566586E-2</c:v>
                </c:pt>
                <c:pt idx="197">
                  <c:v>1.5584852183842014E-2</c:v>
                </c:pt>
                <c:pt idx="198">
                  <c:v>1.5686525418156107E-2</c:v>
                </c:pt>
                <c:pt idx="199">
                  <c:v>1.5787976294982957E-2</c:v>
                </c:pt>
                <c:pt idx="200">
                  <c:v>1.5889210036622768E-2</c:v>
                </c:pt>
                <c:pt idx="201">
                  <c:v>1.5990231791440494E-2</c:v>
                </c:pt>
                <c:pt idx="202">
                  <c:v>1.6091046597019924E-2</c:v>
                </c:pt>
                <c:pt idx="203">
                  <c:v>1.6191659345485335E-2</c:v>
                </c:pt>
                <c:pt idx="204">
                  <c:v>1.6292074751216159E-2</c:v>
                </c:pt>
                <c:pt idx="205">
                  <c:v>1.6392297321150624E-2</c:v>
                </c:pt>
                <c:pt idx="206">
                  <c:v>1.6492331327843047E-2</c:v>
                </c:pt>
                <c:pt idx="207">
                  <c:v>1.659218078540704E-2</c:v>
                </c:pt>
                <c:pt idx="208">
                  <c:v>1.6691849428443123E-2</c:v>
                </c:pt>
                <c:pt idx="209">
                  <c:v>1.6791340694014383E-2</c:v>
                </c:pt>
                <c:pt idx="210">
                  <c:v>1.6890657706699164E-2</c:v>
                </c:pt>
                <c:pt idx="211">
                  <c:v>1.6989803266714683E-2</c:v>
                </c:pt>
                <c:pt idx="212">
                  <c:v>1.7088779841071169E-2</c:v>
                </c:pt>
                <c:pt idx="213">
                  <c:v>1.7187589557682136E-2</c:v>
                </c:pt>
                <c:pt idx="214">
                  <c:v>1.7286234202324363E-2</c:v>
                </c:pt>
                <c:pt idx="215">
                  <c:v>1.7384715218309987E-2</c:v>
                </c:pt>
                <c:pt idx="216">
                  <c:v>1.7483033708704465E-2</c:v>
                </c:pt>
                <c:pt idx="217">
                  <c:v>1.7581190440897444E-2</c:v>
                </c:pt>
                <c:pt idx="218">
                  <c:v>1.7679185853309732E-2</c:v>
                </c:pt>
                <c:pt idx="219">
                  <c:v>1.7777020063998464E-2</c:v>
                </c:pt>
                <c:pt idx="220">
                  <c:v>1.7874692880904878E-2</c:v>
                </c:pt>
                <c:pt idx="221">
                  <c:v>1.7972203813474422E-2</c:v>
                </c:pt>
                <c:pt idx="222">
                  <c:v>1.8069552085368389E-2</c:v>
                </c:pt>
                <c:pt idx="223">
                  <c:v>1.8166736647978722E-2</c:v>
                </c:pt>
                <c:pt idx="224">
                  <c:v>1.8263756194454948E-2</c:v>
                </c:pt>
                <c:pt idx="225">
                  <c:v>1.8360609173952186E-2</c:v>
                </c:pt>
                <c:pt idx="226">
                  <c:v>1.8457293805814099E-2</c:v>
                </c:pt>
                <c:pt idx="227">
                  <c:v>1.8553808093412932E-2</c:v>
                </c:pt>
                <c:pt idx="228">
                  <c:v>1.8650149837381017E-2</c:v>
                </c:pt>
                <c:pt idx="229">
                  <c:v>1.8746316647983791E-2</c:v>
                </c:pt>
                <c:pt idx="230">
                  <c:v>1.884230595640398E-2</c:v>
                </c:pt>
                <c:pt idx="231">
                  <c:v>1.89381150247292E-2</c:v>
                </c:pt>
                <c:pt idx="232">
                  <c:v>1.9033740954460629E-2</c:v>
                </c:pt>
                <c:pt idx="233">
                  <c:v>1.9129180693389331E-2</c:v>
                </c:pt>
                <c:pt idx="234">
                  <c:v>1.9224431040717107E-2</c:v>
                </c:pt>
                <c:pt idx="235">
                  <c:v>1.9319488650332065E-2</c:v>
                </c:pt>
                <c:pt idx="236">
                  <c:v>1.9414350032183499E-2</c:v>
                </c:pt>
                <c:pt idx="237">
                  <c:v>1.9509011551736264E-2</c:v>
                </c:pt>
                <c:pt idx="238">
                  <c:v>1.9603469427522016E-2</c:v>
                </c:pt>
                <c:pt idx="239">
                  <c:v>1.9697719726841072E-2</c:v>
                </c:pt>
                <c:pt idx="240">
                  <c:v>1.9791758359705935E-2</c:v>
                </c:pt>
                <c:pt idx="241">
                  <c:v>1.9885581071153773E-2</c:v>
                </c:pt>
                <c:pt idx="242">
                  <c:v>1.9979183432090569E-2</c:v>
                </c:pt>
                <c:pt idx="243">
                  <c:v>2.0072560828863335E-2</c:v>
                </c:pt>
                <c:pt idx="244">
                  <c:v>2.0165708451788968E-2</c:v>
                </c:pt>
                <c:pt idx="245">
                  <c:v>2.0258621282897696E-2</c:v>
                </c:pt>
                <c:pt idx="246">
                  <c:v>2.0351294083176184E-2</c:v>
                </c:pt>
                <c:pt idx="247">
                  <c:v>2.0443721379618578E-2</c:v>
                </c:pt>
                <c:pt idx="248">
                  <c:v>2.053589745241444E-2</c:v>
                </c:pt>
                <c:pt idx="249">
                  <c:v>2.0627816322618599E-2</c:v>
                </c:pt>
                <c:pt idx="250">
                  <c:v>2.0719471740660078E-2</c:v>
                </c:pt>
                <c:pt idx="251">
                  <c:v>2.0810857176055481E-2</c:v>
                </c:pt>
                <c:pt idx="252">
                  <c:v>2.090196580869522E-2</c:v>
                </c:pt>
                <c:pt idx="253">
                  <c:v>2.0992790522069985E-2</c:v>
                </c:pt>
                <c:pt idx="254">
                  <c:v>2.1083323898798505E-2</c:v>
                </c:pt>
                <c:pt idx="255">
                  <c:v>2.1173558218806874E-2</c:v>
                </c:pt>
                <c:pt idx="256">
                  <c:v>2.1263485460494013E-2</c:v>
                </c:pt>
                <c:pt idx="257">
                  <c:v>2.1353097305197598E-2</c:v>
                </c:pt>
                <c:pt idx="258">
                  <c:v>2.1442385145249408E-2</c:v>
                </c:pt>
                <c:pt idx="259">
                  <c:v>2.153134009588014E-2</c:v>
                </c:pt>
                <c:pt idx="260">
                  <c:v>2.1619953011199691E-2</c:v>
                </c:pt>
                <c:pt idx="261">
                  <c:v>2.170821450444186E-2</c:v>
                </c:pt>
                <c:pt idx="262">
                  <c:v>2.1796114972620944E-2</c:v>
                </c:pt>
                <c:pt idx="263">
                  <c:v>2.1883644625703767E-2</c:v>
                </c:pt>
                <c:pt idx="264">
                  <c:v>2.197079352035379E-2</c:v>
                </c:pt>
                <c:pt idx="265">
                  <c:v>2.2057551598253979E-2</c:v>
                </c:pt>
                <c:pt idx="266">
                  <c:v>2.2143908728965073E-2</c:v>
                </c:pt>
                <c:pt idx="267">
                  <c:v>2.2229854757222313E-2</c:v>
                </c:pt>
                <c:pt idx="268">
                  <c:v>2.2315379554521418E-2</c:v>
                </c:pt>
                <c:pt idx="269">
                  <c:v>2.2400473074790827E-2</c:v>
                </c:pt>
                <c:pt idx="270">
                  <c:v>2.2485125413894153E-2</c:v>
                </c:pt>
                <c:pt idx="271">
                  <c:v>2.2569326872655369E-2</c:v>
                </c:pt>
                <c:pt idx="272">
                  <c:v>2.2653068023047968E-2</c:v>
                </c:pt>
                <c:pt idx="273">
                  <c:v>2.2736339777141776E-2</c:v>
                </c:pt>
                <c:pt idx="274">
                  <c:v>2.2819133458355186E-2</c:v>
                </c:pt>
                <c:pt idx="275">
                  <c:v>2.2901440874517912E-2</c:v>
                </c:pt>
                <c:pt idx="276">
                  <c:v>2.2983254392211327E-2</c:v>
                </c:pt>
                <c:pt idx="277">
                  <c:v>2.3064567011818461E-2</c:v>
                </c:pt>
                <c:pt idx="278">
                  <c:v>2.3145372442686496E-2</c:v>
                </c:pt>
                <c:pt idx="279">
                  <c:v>2.3225665177779759E-2</c:v>
                </c:pt>
                <c:pt idx="280">
                  <c:v>2.3305440567182041E-2</c:v>
                </c:pt>
                <c:pt idx="281">
                  <c:v>2.3384694889794236E-2</c:v>
                </c:pt>
                <c:pt idx="282">
                  <c:v>2.3463425422565139E-2</c:v>
                </c:pt>
                <c:pt idx="283">
                  <c:v>2.3541630506593275E-2</c:v>
                </c:pt>
                <c:pt idx="284">
                  <c:v>2.3619309609442158E-2</c:v>
                </c:pt>
                <c:pt idx="285">
                  <c:v>2.3696463383023458E-2</c:v>
                </c:pt>
                <c:pt idx="286">
                  <c:v>2.3773093716421289E-2</c:v>
                </c:pt>
                <c:pt idx="287">
                  <c:v>2.3849203783054818E-2</c:v>
                </c:pt>
                <c:pt idx="288">
                  <c:v>2.3924798081608009E-2</c:v>
                </c:pt>
                <c:pt idx="289">
                  <c:v>2.399988247019242E-2</c:v>
                </c:pt>
                <c:pt idx="290">
                  <c:v>2.4074464193251557E-2</c:v>
                </c:pt>
                <c:pt idx="291">
                  <c:v>2.4148551900764589E-2</c:v>
                </c:pt>
                <c:pt idx="292">
                  <c:v>2.4222155659360249E-2</c:v>
                </c:pt>
                <c:pt idx="293">
                  <c:v>2.4295286955010865E-2</c:v>
                </c:pt>
                <c:pt idx="294">
                  <c:v>2.4367958687038931E-2</c:v>
                </c:pt>
                <c:pt idx="295">
                  <c:v>2.4440185153235108E-2</c:v>
                </c:pt>
                <c:pt idx="296">
                  <c:v>2.4511982025956502E-2</c:v>
                </c:pt>
                <c:pt idx="297">
                  <c:v>2.4583366319145962E-2</c:v>
                </c:pt>
                <c:pt idx="298">
                  <c:v>2.46543563462873E-2</c:v>
                </c:pt>
                <c:pt idx="299">
                  <c:v>2.4724971669386923E-2</c:v>
                </c:pt>
                <c:pt idx="300">
                  <c:v>2.4795233039147643E-2</c:v>
                </c:pt>
                <c:pt idx="301">
                  <c:v>2.4865162326576665E-2</c:v>
                </c:pt>
                <c:pt idx="302">
                  <c:v>2.4934782446343822E-2</c:v>
                </c:pt>
                <c:pt idx="303">
                  <c:v>2.5004117272279837E-2</c:v>
                </c:pt>
                <c:pt idx="304">
                  <c:v>2.5073191545474618E-2</c:v>
                </c:pt>
                <c:pt idx="305">
                  <c:v>2.5142030775503515E-2</c:v>
                </c:pt>
                <c:pt idx="306">
                  <c:v>2.5210661135373499E-2</c:v>
                </c:pt>
                <c:pt idx="307">
                  <c:v>2.5279109350840882E-2</c:v>
                </c:pt>
                <c:pt idx="308">
                  <c:v>2.5347402584806673E-2</c:v>
                </c:pt>
                <c:pt idx="309">
                  <c:v>2.5415568317545378E-2</c:v>
                </c:pt>
                <c:pt idx="310">
                  <c:v>2.548363422356555E-2</c:v>
                </c:pt>
                <c:pt idx="311">
                  <c:v>2.5551628045937809E-2</c:v>
                </c:pt>
                <c:pt idx="312">
                  <c:v>2.5619577468955268E-2</c:v>
                </c:pt>
                <c:pt idx="313">
                  <c:v>2.5687509990014127E-2</c:v>
                </c:pt>
                <c:pt idx="314">
                  <c:v>2.575545279161744E-2</c:v>
                </c:pt>
                <c:pt idx="315">
                  <c:v>2.5823432614411904E-2</c:v>
                </c:pt>
                <c:pt idx="316">
                  <c:v>2.5891475632167715E-2</c:v>
                </c:pt>
                <c:pt idx="317">
                  <c:v>2.5959607329602535E-2</c:v>
                </c:pt>
                <c:pt idx="318">
                  <c:v>2.6027852383934947E-2</c:v>
                </c:pt>
                <c:pt idx="319">
                  <c:v>2.6096234551028209E-2</c:v>
                </c:pt>
                <c:pt idx="320">
                  <c:v>2.6164776556954008E-2</c:v>
                </c:pt>
                <c:pt idx="321">
                  <c:v>2.6233499995766591E-2</c:v>
                </c:pt>
                <c:pt idx="322">
                  <c:v>2.6302425234231729E-2</c:v>
                </c:pt>
                <c:pt idx="323">
                  <c:v>2.6371571324202335E-2</c:v>
                </c:pt>
                <c:pt idx="324">
                  <c:v>2.6440955923273484E-2</c:v>
                </c:pt>
                <c:pt idx="325">
                  <c:v>2.6510595224285251E-2</c:v>
                </c:pt>
                <c:pt idx="326">
                  <c:v>2.6580503894171624E-2</c:v>
                </c:pt>
                <c:pt idx="327">
                  <c:v>2.6650695022580041E-2</c:v>
                </c:pt>
                <c:pt idx="328">
                  <c:v>2.6721180080607417E-2</c:v>
                </c:pt>
                <c:pt idx="329">
                  <c:v>2.679196888991774E-2</c:v>
                </c:pt>
                <c:pt idx="330">
                  <c:v>2.6863069602422376E-2</c:v>
                </c:pt>
                <c:pt idx="331">
                  <c:v>2.6934488690619127E-2</c:v>
                </c:pt>
                <c:pt idx="332">
                  <c:v>2.7006230948599663E-2</c:v>
                </c:pt>
                <c:pt idx="333">
                  <c:v>2.7078299503649015E-2</c:v>
                </c:pt>
                <c:pt idx="334">
                  <c:v>2.7150695838274945E-2</c:v>
                </c:pt>
                <c:pt idx="335">
                  <c:v>2.7223419822421255E-2</c:v>
                </c:pt>
                <c:pt idx="336">
                  <c:v>2.7296469755537144E-2</c:v>
                </c:pt>
                <c:pt idx="337">
                  <c:v>2.7369842418096067E-2</c:v>
                </c:pt>
                <c:pt idx="338">
                  <c:v>2.7443533132082421E-2</c:v>
                </c:pt>
                <c:pt idx="339">
                  <c:v>2.751753582989408E-2</c:v>
                </c:pt>
                <c:pt idx="340">
                  <c:v>2.7591843131042949E-2</c:v>
                </c:pt>
                <c:pt idx="341">
                  <c:v>2.7666446425976189E-2</c:v>
                </c:pt>
                <c:pt idx="342">
                  <c:v>2.7741335966287025E-2</c:v>
                </c:pt>
                <c:pt idx="343">
                  <c:v>2.7816500960537151E-2</c:v>
                </c:pt>
                <c:pt idx="344">
                  <c:v>2.7891929674873039E-2</c:v>
                </c:pt>
                <c:pt idx="345">
                  <c:v>2.7967609537586074E-2</c:v>
                </c:pt>
                <c:pt idx="346">
                  <c:v>2.804352724674191E-2</c:v>
                </c:pt>
                <c:pt idx="347">
                  <c:v>2.8119668879987795E-2</c:v>
                </c:pt>
                <c:pt idx="348">
                  <c:v>2.819602000563811E-2</c:v>
                </c:pt>
                <c:pt idx="349">
                  <c:v>2.8272565794137765E-2</c:v>
                </c:pt>
                <c:pt idx="350">
                  <c:v>2.8349291129011113E-2</c:v>
                </c:pt>
                <c:pt idx="351">
                  <c:v>2.8426180716419166E-2</c:v>
                </c:pt>
                <c:pt idx="352">
                  <c:v>2.8503219192471875E-2</c:v>
                </c:pt>
                <c:pt idx="353">
                  <c:v>2.8580391227472472E-2</c:v>
                </c:pt>
                <c:pt idx="354">
                  <c:v>2.8657681626309994E-2</c:v>
                </c:pt>
                <c:pt idx="355">
                  <c:v>2.8735075424259977E-2</c:v>
                </c:pt>
                <c:pt idx="356">
                  <c:v>2.8812557977505395E-2</c:v>
                </c:pt>
                <c:pt idx="357">
                  <c:v>2.8890115047746627E-2</c:v>
                </c:pt>
                <c:pt idx="358">
                  <c:v>2.8967732880331509E-2</c:v>
                </c:pt>
                <c:pt idx="359">
                  <c:v>2.9045398275403551E-2</c:v>
                </c:pt>
                <c:pt idx="360">
                  <c:v>2.9123098651637213E-2</c:v>
                </c:pt>
                <c:pt idx="361">
                  <c:v>2.9200822102203105E-2</c:v>
                </c:pt>
                <c:pt idx="362">
                  <c:v>2.9278557442682412E-2</c:v>
                </c:pt>
                <c:pt idx="363">
                  <c:v>2.9356294250728401E-2</c:v>
                </c:pt>
                <c:pt idx="364">
                  <c:v>2.9434022897351749E-2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4.3213081500407874E-3</c:v>
                </c:pt>
                <c:pt idx="1">
                  <c:v>4.3151531399971896E-3</c:v>
                </c:pt>
                <c:pt idx="2">
                  <c:v>4.3105730688265207E-3</c:v>
                </c:pt>
                <c:pt idx="3">
                  <c:v>4.3077246640332552E-3</c:v>
                </c:pt>
                <c:pt idx="4">
                  <c:v>4.3067561813192367E-3</c:v>
                </c:pt>
                <c:pt idx="5">
                  <c:v>4.3078079471122119E-3</c:v>
                </c:pt>
                <c:pt idx="6">
                  <c:v>4.3110130457890434E-3</c:v>
                </c:pt>
                <c:pt idx="7">
                  <c:v>4.316498119337926E-3</c:v>
                </c:pt>
                <c:pt idx="8">
                  <c:v>4.3234466827346066E-3</c:v>
                </c:pt>
                <c:pt idx="9">
                  <c:v>4.3317608923659871E-3</c:v>
                </c:pt>
                <c:pt idx="10">
                  <c:v>4.3405648927873275E-3</c:v>
                </c:pt>
                <c:pt idx="11">
                  <c:v>4.3500191582413056E-3</c:v>
                </c:pt>
                <c:pt idx="12">
                  <c:v>4.3602779434386181E-3</c:v>
                </c:pt>
                <c:pt idx="13">
                  <c:v>4.3714892331903421E-3</c:v>
                </c:pt>
                <c:pt idx="14">
                  <c:v>4.3837948640059873E-3</c:v>
                </c:pt>
                <c:pt idx="15">
                  <c:v>4.3972541655930963E-3</c:v>
                </c:pt>
                <c:pt idx="16">
                  <c:v>4.4101965486698655E-3</c:v>
                </c:pt>
                <c:pt idx="17">
                  <c:v>4.4228068166684703E-3</c:v>
                </c:pt>
                <c:pt idx="18">
                  <c:v>4.4352641473102954E-3</c:v>
                </c:pt>
                <c:pt idx="19">
                  <c:v>4.4477668615979741E-3</c:v>
                </c:pt>
                <c:pt idx="20">
                  <c:v>4.4605192512301266E-3</c:v>
                </c:pt>
                <c:pt idx="21">
                  <c:v>4.4737014240395293E-3</c:v>
                </c:pt>
                <c:pt idx="22">
                  <c:v>4.4868143775947944E-3</c:v>
                </c:pt>
                <c:pt idx="23">
                  <c:v>4.4972228545944121E-3</c:v>
                </c:pt>
                <c:pt idx="24">
                  <c:v>4.5045176595137531E-3</c:v>
                </c:pt>
                <c:pt idx="25">
                  <c:v>4.5089004391044843E-3</c:v>
                </c:pt>
                <c:pt idx="26">
                  <c:v>4.5105680488557063E-3</c:v>
                </c:pt>
                <c:pt idx="27">
                  <c:v>4.5097118735434229E-3</c:v>
                </c:pt>
                <c:pt idx="28">
                  <c:v>4.5065172892383432E-3</c:v>
                </c:pt>
                <c:pt idx="29">
                  <c:v>4.4929329626903743E-3</c:v>
                </c:pt>
                <c:pt idx="30">
                  <c:v>4.4694384577136119E-3</c:v>
                </c:pt>
                <c:pt idx="31">
                  <c:v>4.4364333655990025E-3</c:v>
                </c:pt>
                <c:pt idx="32">
                  <c:v>4.3942990622215664E-3</c:v>
                </c:pt>
                <c:pt idx="33">
                  <c:v>4.343397562112764E-3</c:v>
                </c:pt>
                <c:pt idx="34">
                  <c:v>4.2840705987281088E-3</c:v>
                </c:pt>
                <c:pt idx="35">
                  <c:v>4.2166389004849644E-3</c:v>
                </c:pt>
                <c:pt idx="36">
                  <c:v>4.1411664181685804E-3</c:v>
                </c:pt>
                <c:pt idx="37">
                  <c:v>4.0508209544035554E-3</c:v>
                </c:pt>
                <c:pt idx="38">
                  <c:v>3.947831672306789E-3</c:v>
                </c:pt>
                <c:pt idx="39">
                  <c:v>3.8325511754046032E-3</c:v>
                </c:pt>
                <c:pt idx="40">
                  <c:v>3.7053167182015683E-3</c:v>
                </c:pt>
                <c:pt idx="41">
                  <c:v>3.5664504083786704E-3</c:v>
                </c:pt>
                <c:pt idx="42">
                  <c:v>3.4162594122697631E-3</c:v>
                </c:pt>
                <c:pt idx="43">
                  <c:v>3.2563328431352819E-3</c:v>
                </c:pt>
                <c:pt idx="44">
                  <c:v>3.0940804407274679E-3</c:v>
                </c:pt>
                <c:pt idx="45">
                  <c:v>2.9295518455873496E-3</c:v>
                </c:pt>
                <c:pt idx="46">
                  <c:v>2.7627914445221245E-3</c:v>
                </c:pt>
                <c:pt idx="47">
                  <c:v>2.5938384321672306E-3</c:v>
                </c:pt>
                <c:pt idx="48">
                  <c:v>2.4227268566420117E-3</c:v>
                </c:pt>
                <c:pt idx="49">
                  <c:v>2.249485649050839E-3</c:v>
                </c:pt>
                <c:pt idx="50">
                  <c:v>2.0741254068550757E-3</c:v>
                </c:pt>
                <c:pt idx="51">
                  <c:v>1.9024093761727419E-3</c:v>
                </c:pt>
                <c:pt idx="52">
                  <c:v>1.7402726519581229E-3</c:v>
                </c:pt>
                <c:pt idx="53">
                  <c:v>1.5874631569679134E-3</c:v>
                </c:pt>
                <c:pt idx="54">
                  <c:v>1.4437476642475563E-3</c:v>
                </c:pt>
                <c:pt idx="55">
                  <c:v>1.3089010695124619E-3</c:v>
                </c:pt>
                <c:pt idx="56">
                  <c:v>1.1827059695226859E-3</c:v>
                </c:pt>
                <c:pt idx="57">
                  <c:v>1.0699508118854942E-3</c:v>
                </c:pt>
                <c:pt idx="58">
                  <c:v>9.6920325230180973E-4</c:v>
                </c:pt>
                <c:pt idx="59">
                  <c:v>8.8020207474929927E-4</c:v>
                </c:pt>
                <c:pt idx="60">
                  <c:v>8.0269613967155567E-4</c:v>
                </c:pt>
                <c:pt idx="61">
                  <c:v>7.364440505341558E-4</c:v>
                </c:pt>
                <c:pt idx="62">
                  <c:v>6.8121385646047216E-4</c:v>
                </c:pt>
                <c:pt idx="63">
                  <c:v>6.367827897233192E-4</c:v>
                </c:pt>
                <c:pt idx="64">
                  <c:v>6.0292208058086868E-4</c:v>
                </c:pt>
                <c:pt idx="65">
                  <c:v>5.8090160022567199E-4</c:v>
                </c:pt>
                <c:pt idx="66">
                  <c:v>5.6533052746394845E-4</c:v>
                </c:pt>
                <c:pt idx="67">
                  <c:v>5.5610387417130453E-4</c:v>
                </c:pt>
                <c:pt idx="68">
                  <c:v>5.5312102398300379E-4</c:v>
                </c:pt>
                <c:pt idx="69">
                  <c:v>5.5628646095183326E-4</c:v>
                </c:pt>
                <c:pt idx="70">
                  <c:v>5.6551046125874688E-4</c:v>
                </c:pt>
                <c:pt idx="71">
                  <c:v>5.7933639353262734E-4</c:v>
                </c:pt>
                <c:pt idx="72">
                  <c:v>5.9313596270846335E-4</c:v>
                </c:pt>
                <c:pt idx="73">
                  <c:v>6.0692899318828103E-4</c:v>
                </c:pt>
                <c:pt idx="74">
                  <c:v>6.2073615846172929E-4</c:v>
                </c:pt>
                <c:pt idx="75">
                  <c:v>6.3457900777473639E-4</c:v>
                </c:pt>
                <c:pt idx="76">
                  <c:v>6.4847999845604818E-4</c:v>
                </c:pt>
                <c:pt idx="77">
                  <c:v>6.6246253412455692E-4</c:v>
                </c:pt>
                <c:pt idx="78">
                  <c:v>6.7650901697413558E-4</c:v>
                </c:pt>
                <c:pt idx="79">
                  <c:v>6.895180102956881E-4</c:v>
                </c:pt>
                <c:pt idx="80">
                  <c:v>7.0012780841770803E-4</c:v>
                </c:pt>
                <c:pt idx="81">
                  <c:v>7.0838397885490169E-4</c:v>
                </c:pt>
                <c:pt idx="82">
                  <c:v>7.1432989007906567E-4</c:v>
                </c:pt>
                <c:pt idx="83">
                  <c:v>7.1800630579628509E-4</c:v>
                </c:pt>
                <c:pt idx="84">
                  <c:v>7.1945100072207981E-4</c:v>
                </c:pt>
                <c:pt idx="85">
                  <c:v>7.1824400866698362E-4</c:v>
                </c:pt>
                <c:pt idx="86">
                  <c:v>7.1570399784353473E-4</c:v>
                </c:pt>
                <c:pt idx="87">
                  <c:v>7.1184873844742415E-4</c:v>
                </c:pt>
                <c:pt idx="88">
                  <c:v>7.0669293327053526E-4</c:v>
                </c:pt>
                <c:pt idx="89">
                  <c:v>7.0024801043606769E-4</c:v>
                </c:pt>
                <c:pt idx="90">
                  <c:v>6.9252191662572691E-4</c:v>
                </c:pt>
                <c:pt idx="91">
                  <c:v>6.8351890847740684E-4</c:v>
                </c:pt>
                <c:pt idx="92">
                  <c:v>6.7322461309558552E-4</c:v>
                </c:pt>
                <c:pt idx="93">
                  <c:v>6.6125101456506678E-4</c:v>
                </c:pt>
                <c:pt idx="94">
                  <c:v>6.486558702332412E-4</c:v>
                </c:pt>
                <c:pt idx="95">
                  <c:v>6.354247002447734E-4</c:v>
                </c:pt>
                <c:pt idx="96">
                  <c:v>6.2154214964496991E-4</c:v>
                </c:pt>
                <c:pt idx="97">
                  <c:v>6.0699198921623744E-4</c:v>
                </c:pt>
                <c:pt idx="98">
                  <c:v>5.9175711677592481E-4</c:v>
                </c:pt>
                <c:pt idx="99">
                  <c:v>5.7675546328476816E-4</c:v>
                </c:pt>
                <c:pt idx="100">
                  <c:v>5.6242971972682299E-4</c:v>
                </c:pt>
                <c:pt idx="101">
                  <c:v>5.487721476211216E-4</c:v>
                </c:pt>
                <c:pt idx="102">
                  <c:v>5.3577659812154975E-4</c:v>
                </c:pt>
                <c:pt idx="103">
                  <c:v>5.2343847965753872E-4</c:v>
                </c:pt>
                <c:pt idx="104">
                  <c:v>5.1175472984962692E-4</c:v>
                </c:pt>
                <c:pt idx="105">
                  <c:v>5.007237912341341E-4</c:v>
                </c:pt>
                <c:pt idx="106">
                  <c:v>4.9035853458770124E-4</c:v>
                </c:pt>
                <c:pt idx="107">
                  <c:v>4.8091408526679301E-4</c:v>
                </c:pt>
                <c:pt idx="108">
                  <c:v>4.7275493410850548E-4</c:v>
                </c:pt>
                <c:pt idx="109">
                  <c:v>4.6589245647155015E-4</c:v>
                </c:pt>
                <c:pt idx="110">
                  <c:v>4.6034193525887427E-4</c:v>
                </c:pt>
                <c:pt idx="111">
                  <c:v>4.5612124621845186E-4</c:v>
                </c:pt>
                <c:pt idx="112">
                  <c:v>4.5324960168783803E-4</c:v>
                </c:pt>
                <c:pt idx="113">
                  <c:v>4.5061208991219702E-4</c:v>
                </c:pt>
                <c:pt idx="114">
                  <c:v>4.4721030345058055E-4</c:v>
                </c:pt>
                <c:pt idx="115">
                  <c:v>4.4302630352821342E-4</c:v>
                </c:pt>
                <c:pt idx="116">
                  <c:v>4.3804055111010162E-4</c:v>
                </c:pt>
                <c:pt idx="117">
                  <c:v>4.3223189232209804E-4</c:v>
                </c:pt>
                <c:pt idx="118">
                  <c:v>4.2557754619004887E-4</c:v>
                </c:pt>
                <c:pt idx="119">
                  <c:v>4.1805309556724215E-4</c:v>
                </c:pt>
                <c:pt idx="120">
                  <c:v>4.0963932303222938E-4</c:v>
                </c:pt>
                <c:pt idx="121">
                  <c:v>4.0002190693514187E-4</c:v>
                </c:pt>
                <c:pt idx="122">
                  <c:v>3.8888130907980168E-4</c:v>
                </c:pt>
                <c:pt idx="123">
                  <c:v>3.7616477891635742E-4</c:v>
                </c:pt>
                <c:pt idx="124">
                  <c:v>3.6181628496619869E-4</c:v>
                </c:pt>
                <c:pt idx="125">
                  <c:v>3.4577652243059315E-4</c:v>
                </c:pt>
                <c:pt idx="126">
                  <c:v>3.2798293311564567E-4</c:v>
                </c:pt>
                <c:pt idx="127">
                  <c:v>3.0908780541153336E-4</c:v>
                </c:pt>
                <c:pt idx="128">
                  <c:v>2.9033001935793642E-4</c:v>
                </c:pt>
                <c:pt idx="129">
                  <c:v>2.7169673810870961E-4</c:v>
                </c:pt>
                <c:pt idx="130">
                  <c:v>2.5317570589047255E-4</c:v>
                </c:pt>
                <c:pt idx="131">
                  <c:v>2.347552717719042E-4</c:v>
                </c:pt>
                <c:pt idx="132">
                  <c:v>2.1642441595315682E-4</c:v>
                </c:pt>
                <c:pt idx="133">
                  <c:v>1.9817277842715475E-4</c:v>
                </c:pt>
                <c:pt idx="134">
                  <c:v>1.7999227544281785E-4</c:v>
                </c:pt>
                <c:pt idx="135">
                  <c:v>1.6266114133056304E-4</c:v>
                </c:pt>
                <c:pt idx="136">
                  <c:v>1.4654465892896209E-4</c:v>
                </c:pt>
                <c:pt idx="137">
                  <c:v>1.3167356230243E-4</c:v>
                </c:pt>
                <c:pt idx="138">
                  <c:v>1.1808096612105618E-4</c:v>
                </c:pt>
                <c:pt idx="139">
                  <c:v>1.0580235053746727E-4</c:v>
                </c:pt>
                <c:pt idx="140">
                  <c:v>9.4875535615685988E-5</c:v>
                </c:pt>
                <c:pt idx="141">
                  <c:v>8.5624309081322336E-5</c:v>
                </c:pt>
                <c:pt idx="142">
                  <c:v>7.7278979249580893E-5</c:v>
                </c:pt>
                <c:pt idx="143">
                  <c:v>6.9870998188301255E-5</c:v>
                </c:pt>
                <c:pt idx="144">
                  <c:v>6.3433933390340307E-5</c:v>
                </c:pt>
                <c:pt idx="145">
                  <c:v>5.800285550263958E-5</c:v>
                </c:pt>
                <c:pt idx="146">
                  <c:v>5.3614288816748436E-5</c:v>
                </c:pt>
                <c:pt idx="147">
                  <c:v>5.0306153347020672E-5</c:v>
                </c:pt>
                <c:pt idx="148">
                  <c:v>4.8117698655285453E-5</c:v>
                </c:pt>
                <c:pt idx="149">
                  <c:v>4.7078051460145917E-5</c:v>
                </c:pt>
                <c:pt idx="150">
                  <c:v>4.6307209699201385E-5</c:v>
                </c:pt>
                <c:pt idx="151">
                  <c:v>4.5817131086159883E-5</c:v>
                </c:pt>
                <c:pt idx="152">
                  <c:v>4.5620114856497333E-5</c:v>
                </c:pt>
                <c:pt idx="153">
                  <c:v>4.5728775035885574E-5</c:v>
                </c:pt>
                <c:pt idx="154">
                  <c:v>4.6156011854784335E-5</c:v>
                </c:pt>
                <c:pt idx="155">
                  <c:v>4.6894311887289556E-5</c:v>
                </c:pt>
                <c:pt idx="156">
                  <c:v>4.7607285019107925E-5</c:v>
                </c:pt>
                <c:pt idx="157">
                  <c:v>4.8293606515129339E-5</c:v>
                </c:pt>
                <c:pt idx="158">
                  <c:v>4.8951931930192561E-5</c:v>
                </c:pt>
                <c:pt idx="159">
                  <c:v>4.9580901432500248E-5</c:v>
                </c:pt>
                <c:pt idx="160">
                  <c:v>5.0179144212963709E-5</c:v>
                </c:pt>
                <c:pt idx="161">
                  <c:v>5.0745282931462814E-5</c:v>
                </c:pt>
                <c:pt idx="162">
                  <c:v>5.1277938168977194E-5</c:v>
                </c:pt>
                <c:pt idx="163">
                  <c:v>5.1790492397426554E-5</c:v>
                </c:pt>
                <c:pt idx="164">
                  <c:v>5.2294700398447476E-5</c:v>
                </c:pt>
                <c:pt idx="165">
                  <c:v>5.2789904990540473E-5</c:v>
                </c:pt>
                <c:pt idx="166">
                  <c:v>5.3275463121149029E-5</c:v>
                </c:pt>
                <c:pt idx="167">
                  <c:v>5.3750748367361521E-5</c:v>
                </c:pt>
                <c:pt idx="168">
                  <c:v>5.421515331008895E-5</c:v>
                </c:pt>
                <c:pt idx="169">
                  <c:v>5.4683714956306307E-5</c:v>
                </c:pt>
                <c:pt idx="170">
                  <c:v>5.518035805910563E-5</c:v>
                </c:pt>
                <c:pt idx="171">
                  <c:v>5.5705648506344555E-5</c:v>
                </c:pt>
                <c:pt idx="172">
                  <c:v>5.6260171316407973E-5</c:v>
                </c:pt>
                <c:pt idx="173">
                  <c:v>5.6843949391377666E-5</c:v>
                </c:pt>
                <c:pt idx="174">
                  <c:v>5.7456968668883949E-5</c:v>
                </c:pt>
                <c:pt idx="175">
                  <c:v>5.8099783288204711E-5</c:v>
                </c:pt>
                <c:pt idx="176">
                  <c:v>5.8773641991732813E-5</c:v>
                </c:pt>
                <c:pt idx="177">
                  <c:v>5.945401889273978E-5</c:v>
                </c:pt>
                <c:pt idx="178">
                  <c:v>6.0123698325790294E-5</c:v>
                </c:pt>
                <c:pt idx="179">
                  <c:v>6.0781952436501113E-5</c:v>
                </c:pt>
                <c:pt idx="180">
                  <c:v>6.1428069059047877E-5</c:v>
                </c:pt>
                <c:pt idx="181">
                  <c:v>6.2061352596655541E-5</c:v>
                </c:pt>
                <c:pt idx="182">
                  <c:v>6.2681124735975961E-5</c:v>
                </c:pt>
                <c:pt idx="183">
                  <c:v>6.3272375562617558E-5</c:v>
                </c:pt>
                <c:pt idx="184">
                  <c:v>6.3816534848391691E-5</c:v>
                </c:pt>
                <c:pt idx="185">
                  <c:v>6.4312358197805486E-5</c:v>
                </c:pt>
                <c:pt idx="186">
                  <c:v>6.4758636981349888E-5</c:v>
                </c:pt>
                <c:pt idx="187">
                  <c:v>6.515419983120362E-5</c:v>
                </c:pt>
                <c:pt idx="188">
                  <c:v>6.5497913939737638E-5</c:v>
                </c:pt>
                <c:pt idx="189">
                  <c:v>6.5788686182302725E-5</c:v>
                </c:pt>
                <c:pt idx="190">
                  <c:v>6.6026629249650657E-5</c:v>
                </c:pt>
                <c:pt idx="191">
                  <c:v>6.6722271270443299E-5</c:v>
                </c:pt>
                <c:pt idx="192">
                  <c:v>6.7915130222035089E-5</c:v>
                </c:pt>
                <c:pt idx="193">
                  <c:v>6.9616355114220113E-5</c:v>
                </c:pt>
                <c:pt idx="194">
                  <c:v>7.1836793418353527E-5</c:v>
                </c:pt>
                <c:pt idx="195">
                  <c:v>7.4586993871845155E-5</c:v>
                </c:pt>
                <c:pt idx="196">
                  <c:v>7.7877210665350317E-5</c:v>
                </c:pt>
                <c:pt idx="197">
                  <c:v>8.3115972210055713E-5</c:v>
                </c:pt>
                <c:pt idx="198">
                  <c:v>9.0352736060065862E-5</c:v>
                </c:pt>
                <c:pt idx="199">
                  <c:v>9.9620792571831663E-5</c:v>
                </c:pt>
                <c:pt idx="200">
                  <c:v>1.1095254681066023E-4</c:v>
                </c:pt>
                <c:pt idx="201">
                  <c:v>1.2437954617684887E-4</c:v>
                </c:pt>
                <c:pt idx="202">
                  <c:v>1.3993250852138128E-4</c:v>
                </c:pt>
                <c:pt idx="203">
                  <c:v>1.5764135006261836E-4</c:v>
                </c:pt>
                <c:pt idx="204">
                  <c:v>1.7753648289013112E-4</c:v>
                </c:pt>
                <c:pt idx="205">
                  <c:v>2.0103872335264445E-4</c:v>
                </c:pt>
                <c:pt idx="206">
                  <c:v>2.2763424602855519E-4</c:v>
                </c:pt>
                <c:pt idx="207">
                  <c:v>2.5736162072554898E-4</c:v>
                </c:pt>
                <c:pt idx="208">
                  <c:v>2.9025867026198908E-4</c:v>
                </c:pt>
                <c:pt idx="209">
                  <c:v>3.2636247203066571E-4</c:v>
                </c:pt>
                <c:pt idx="210">
                  <c:v>3.6570935424581202E-4</c:v>
                </c:pt>
                <c:pt idx="211">
                  <c:v>4.0756197731186763E-4</c:v>
                </c:pt>
                <c:pt idx="212">
                  <c:v>4.504324274549792E-4</c:v>
                </c:pt>
                <c:pt idx="213">
                  <c:v>4.9432233065319769E-4</c:v>
                </c:pt>
                <c:pt idx="214">
                  <c:v>5.3923318209353737E-4</c:v>
                </c:pt>
                <c:pt idx="215">
                  <c:v>5.8516631511692163E-4</c:v>
                </c:pt>
                <c:pt idx="216">
                  <c:v>6.3212286846856349E-4</c:v>
                </c:pt>
                <c:pt idx="217">
                  <c:v>6.8010375209076493E-4</c:v>
                </c:pt>
                <c:pt idx="218">
                  <c:v>7.2910394428949365E-4</c:v>
                </c:pt>
                <c:pt idx="219">
                  <c:v>7.7610761103325291E-4</c:v>
                </c:pt>
                <c:pt idx="220">
                  <c:v>8.1959421263155937E-4</c:v>
                </c:pt>
                <c:pt idx="221">
                  <c:v>8.5951412823874278E-4</c:v>
                </c:pt>
                <c:pt idx="222">
                  <c:v>8.9582001865221223E-4</c:v>
                </c:pt>
                <c:pt idx="223">
                  <c:v>9.2846656643203796E-4</c:v>
                </c:pt>
                <c:pt idx="224">
                  <c:v>9.574102125321914E-4</c:v>
                </c:pt>
                <c:pt idx="225">
                  <c:v>9.8347990327156149E-4</c:v>
                </c:pt>
                <c:pt idx="226">
                  <c:v>1.0074742438030103E-3</c:v>
                </c:pt>
                <c:pt idx="227">
                  <c:v>1.0293748174550147E-3</c:v>
                </c:pt>
                <c:pt idx="228">
                  <c:v>1.0491638602988346E-3</c:v>
                </c:pt>
                <c:pt idx="229">
                  <c:v>1.0668241126883769E-3</c:v>
                </c:pt>
                <c:pt idx="230">
                  <c:v>1.0823386690421003E-3</c:v>
                </c:pt>
                <c:pt idx="231">
                  <c:v>1.095690825697154E-3</c:v>
                </c:pt>
                <c:pt idx="232">
                  <c:v>1.1068326928390993E-3</c:v>
                </c:pt>
                <c:pt idx="233">
                  <c:v>1.1185104219955516E-3</c:v>
                </c:pt>
                <c:pt idx="234">
                  <c:v>1.1339398813216849E-3</c:v>
                </c:pt>
                <c:pt idx="235">
                  <c:v>1.1531740773709088E-3</c:v>
                </c:pt>
                <c:pt idx="236">
                  <c:v>1.1762668417924654E-3</c:v>
                </c:pt>
                <c:pt idx="237">
                  <c:v>1.2032720172227569E-3</c:v>
                </c:pt>
                <c:pt idx="238">
                  <c:v>1.2342444833625911E-3</c:v>
                </c:pt>
                <c:pt idx="239">
                  <c:v>1.268625700356028E-3</c:v>
                </c:pt>
                <c:pt idx="240">
                  <c:v>1.3055401168243547E-3</c:v>
                </c:pt>
                <c:pt idx="241">
                  <c:v>1.345029675309756E-3</c:v>
                </c:pt>
                <c:pt idx="242">
                  <c:v>1.3871381364556246E-3</c:v>
                </c:pt>
                <c:pt idx="243">
                  <c:v>1.431911310324045E-3</c:v>
                </c:pt>
                <c:pt idx="244">
                  <c:v>1.4793972974634919E-3</c:v>
                </c:pt>
                <c:pt idx="245">
                  <c:v>1.529646740701756E-3</c:v>
                </c:pt>
                <c:pt idx="246">
                  <c:v>1.5826952738252937E-3</c:v>
                </c:pt>
                <c:pt idx="247">
                  <c:v>1.6371650147100104E-3</c:v>
                </c:pt>
                <c:pt idx="248">
                  <c:v>1.6901082681671589E-3</c:v>
                </c:pt>
                <c:pt idx="249">
                  <c:v>1.7415080140242762E-3</c:v>
                </c:pt>
                <c:pt idx="250">
                  <c:v>1.7913462080616934E-3</c:v>
                </c:pt>
                <c:pt idx="251">
                  <c:v>1.8396037640926388E-3</c:v>
                </c:pt>
                <c:pt idx="252">
                  <c:v>1.8862605377946101E-3</c:v>
                </c:pt>
                <c:pt idx="253">
                  <c:v>1.9271757279253402E-3</c:v>
                </c:pt>
                <c:pt idx="254">
                  <c:v>1.9629210148275887E-3</c:v>
                </c:pt>
                <c:pt idx="255">
                  <c:v>1.9934227799621065E-3</c:v>
                </c:pt>
                <c:pt idx="256">
                  <c:v>2.0186051522897313E-3</c:v>
                </c:pt>
                <c:pt idx="257">
                  <c:v>2.0383900366046249E-3</c:v>
                </c:pt>
                <c:pt idx="258">
                  <c:v>2.0526971521592848E-3</c:v>
                </c:pt>
                <c:pt idx="259">
                  <c:v>2.0614440813707139E-3</c:v>
                </c:pt>
                <c:pt idx="260">
                  <c:v>2.0645780296855436E-3</c:v>
                </c:pt>
                <c:pt idx="261">
                  <c:v>2.0586504720186555E-3</c:v>
                </c:pt>
                <c:pt idx="262">
                  <c:v>2.0450236305666709E-3</c:v>
                </c:pt>
                <c:pt idx="263">
                  <c:v>2.0235730503636111E-3</c:v>
                </c:pt>
                <c:pt idx="264">
                  <c:v>1.9941708897136634E-3</c:v>
                </c:pt>
                <c:pt idx="265">
                  <c:v>1.9566965633758932E-3</c:v>
                </c:pt>
                <c:pt idx="266">
                  <c:v>1.9110205290838729E-3</c:v>
                </c:pt>
                <c:pt idx="267">
                  <c:v>1.863176548996719E-3</c:v>
                </c:pt>
                <c:pt idx="268">
                  <c:v>1.8175525201794029E-3</c:v>
                </c:pt>
                <c:pt idx="269">
                  <c:v>1.774172340220352E-3</c:v>
                </c:pt>
                <c:pt idx="270">
                  <c:v>1.7330615348214421E-3</c:v>
                </c:pt>
                <c:pt idx="271">
                  <c:v>1.6942471733710207E-3</c:v>
                </c:pt>
                <c:pt idx="272">
                  <c:v>1.6577577780017986E-3</c:v>
                </c:pt>
                <c:pt idx="273">
                  <c:v>1.6236232259326617E-3</c:v>
                </c:pt>
                <c:pt idx="274">
                  <c:v>1.5919275959255248E-3</c:v>
                </c:pt>
                <c:pt idx="275">
                  <c:v>1.5780498070139216E-3</c:v>
                </c:pt>
                <c:pt idx="276">
                  <c:v>1.5859235355196134E-3</c:v>
                </c:pt>
                <c:pt idx="277">
                  <c:v>1.6158888169878411E-3</c:v>
                </c:pt>
                <c:pt idx="278">
                  <c:v>1.6682940048476928E-3</c:v>
                </c:pt>
                <c:pt idx="279">
                  <c:v>1.7434937381704313E-3</c:v>
                </c:pt>
                <c:pt idx="280">
                  <c:v>1.8418468111161504E-3</c:v>
                </c:pt>
                <c:pt idx="281">
                  <c:v>1.9758975669369053E-3</c:v>
                </c:pt>
                <c:pt idx="282">
                  <c:v>2.1395111660759002E-3</c:v>
                </c:pt>
                <c:pt idx="283">
                  <c:v>2.3331349735057571E-3</c:v>
                </c:pt>
                <c:pt idx="284">
                  <c:v>2.5572105509214745E-3</c:v>
                </c:pt>
                <c:pt idx="285">
                  <c:v>2.8121703646418069E-3</c:v>
                </c:pt>
                <c:pt idx="286">
                  <c:v>3.09843435912907E-3</c:v>
                </c:pt>
                <c:pt idx="287">
                  <c:v>3.416406396541487E-3</c:v>
                </c:pt>
                <c:pt idx="288">
                  <c:v>3.7666370692066918E-3</c:v>
                </c:pt>
                <c:pt idx="289">
                  <c:v>4.1480389141293232E-3</c:v>
                </c:pt>
                <c:pt idx="290">
                  <c:v>4.5444601530842755E-3</c:v>
                </c:pt>
                <c:pt idx="291">
                  <c:v>4.9560775618575524E-3</c:v>
                </c:pt>
                <c:pt idx="292">
                  <c:v>5.383059911039061E-3</c:v>
                </c:pt>
                <c:pt idx="293">
                  <c:v>5.8255670150289722E-3</c:v>
                </c:pt>
                <c:pt idx="294">
                  <c:v>6.2837487345280369E-3</c:v>
                </c:pt>
                <c:pt idx="295">
                  <c:v>6.7400379568389882E-3</c:v>
                </c:pt>
                <c:pt idx="296">
                  <c:v>7.1811852414717199E-3</c:v>
                </c:pt>
                <c:pt idx="297">
                  <c:v>7.6069079069115628E-3</c:v>
                </c:pt>
                <c:pt idx="298">
                  <c:v>8.0168593869852246E-3</c:v>
                </c:pt>
                <c:pt idx="299">
                  <c:v>8.4106820063683443E-3</c:v>
                </c:pt>
                <c:pt idx="300">
                  <c:v>8.7880077688265151E-3</c:v>
                </c:pt>
                <c:pt idx="301">
                  <c:v>9.1484591607558594E-3</c:v>
                </c:pt>
                <c:pt idx="302">
                  <c:v>9.4918007052524223E-3</c:v>
                </c:pt>
                <c:pt idx="303">
                  <c:v>9.798968879331061E-3</c:v>
                </c:pt>
                <c:pt idx="304">
                  <c:v>1.0071285405974056E-2</c:v>
                </c:pt>
                <c:pt idx="305">
                  <c:v>1.030827049042066E-2</c:v>
                </c:pt>
                <c:pt idx="306">
                  <c:v>1.0509448662053106E-2</c:v>
                </c:pt>
                <c:pt idx="307">
                  <c:v>1.0674346406333324E-2</c:v>
                </c:pt>
                <c:pt idx="308">
                  <c:v>1.0802489594692807E-2</c:v>
                </c:pt>
                <c:pt idx="309">
                  <c:v>1.0890466194825919E-2</c:v>
                </c:pt>
                <c:pt idx="310">
                  <c:v>1.095684007016358E-2</c:v>
                </c:pt>
                <c:pt idx="311">
                  <c:v>1.1001363300912293E-2</c:v>
                </c:pt>
                <c:pt idx="312">
                  <c:v>1.1023782096559003E-2</c:v>
                </c:pt>
                <c:pt idx="313">
                  <c:v>1.1023834763749582E-2</c:v>
                </c:pt>
                <c:pt idx="314">
                  <c:v>1.1001249597482367E-2</c:v>
                </c:pt>
                <c:pt idx="315">
                  <c:v>1.095574270509605E-2</c:v>
                </c:pt>
                <c:pt idx="316">
                  <c:v>1.0887238630899451E-2</c:v>
                </c:pt>
                <c:pt idx="317">
                  <c:v>1.0798485081579913E-2</c:v>
                </c:pt>
                <c:pt idx="318">
                  <c:v>1.070945362514903E-2</c:v>
                </c:pt>
                <c:pt idx="319">
                  <c:v>1.0620006342293424E-2</c:v>
                </c:pt>
                <c:pt idx="320">
                  <c:v>1.0530001343236377E-2</c:v>
                </c:pt>
                <c:pt idx="321">
                  <c:v>1.0439292695968608E-2</c:v>
                </c:pt>
                <c:pt idx="322">
                  <c:v>1.0347730422381537E-2</c:v>
                </c:pt>
                <c:pt idx="323">
                  <c:v>1.0257808218039339E-2</c:v>
                </c:pt>
                <c:pt idx="324">
                  <c:v>1.0172602657789912E-2</c:v>
                </c:pt>
                <c:pt idx="325">
                  <c:v>1.0092058755291792E-2</c:v>
                </c:pt>
                <c:pt idx="326">
                  <c:v>1.0016057630236459E-2</c:v>
                </c:pt>
                <c:pt idx="327">
                  <c:v>9.9445213844117104E-3</c:v>
                </c:pt>
                <c:pt idx="328">
                  <c:v>9.8774206350206051E-3</c:v>
                </c:pt>
                <c:pt idx="329">
                  <c:v>9.8147220065319622E-3</c:v>
                </c:pt>
                <c:pt idx="330">
                  <c:v>9.7579317278700638E-3</c:v>
                </c:pt>
                <c:pt idx="331">
                  <c:v>9.711794712272858E-3</c:v>
                </c:pt>
                <c:pt idx="332">
                  <c:v>9.6727192019442562E-3</c:v>
                </c:pt>
                <c:pt idx="333">
                  <c:v>9.6402893891083981E-3</c:v>
                </c:pt>
                <c:pt idx="334">
                  <c:v>9.6140820107422018E-3</c:v>
                </c:pt>
                <c:pt idx="335">
                  <c:v>9.5936628331989224E-3</c:v>
                </c:pt>
                <c:pt idx="336">
                  <c:v>9.5785834538405796E-3</c:v>
                </c:pt>
                <c:pt idx="337">
                  <c:v>9.5698501233736372E-3</c:v>
                </c:pt>
                <c:pt idx="338">
                  <c:v>9.5640950025004095E-3</c:v>
                </c:pt>
                <c:pt idx="339">
                  <c:v>9.5607845019696994E-3</c:v>
                </c:pt>
                <c:pt idx="340">
                  <c:v>9.5593642891389514E-3</c:v>
                </c:pt>
                <c:pt idx="341">
                  <c:v>9.5592597105251514E-3</c:v>
                </c:pt>
                <c:pt idx="342">
                  <c:v>9.559877041637339E-3</c:v>
                </c:pt>
                <c:pt idx="343">
                  <c:v>9.5606056332486165E-3</c:v>
                </c:pt>
                <c:pt idx="344">
                  <c:v>9.5631767199604381E-3</c:v>
                </c:pt>
                <c:pt idx="345">
                  <c:v>9.5694838379804664E-3</c:v>
                </c:pt>
                <c:pt idx="346">
                  <c:v>9.5768787191216724E-3</c:v>
                </c:pt>
                <c:pt idx="347">
                  <c:v>9.5849364214102475E-3</c:v>
                </c:pt>
                <c:pt idx="348">
                  <c:v>9.5932225869229983E-3</c:v>
                </c:pt>
                <c:pt idx="349">
                  <c:v>9.6012948107921919E-3</c:v>
                </c:pt>
                <c:pt idx="350">
                  <c:v>9.6087044407265204E-3</c:v>
                </c:pt>
                <c:pt idx="351">
                  <c:v>9.6165654216587189E-3</c:v>
                </c:pt>
                <c:pt idx="352">
                  <c:v>9.6228665071411926E-3</c:v>
                </c:pt>
                <c:pt idx="353">
                  <c:v>9.6271532416462805E-3</c:v>
                </c:pt>
                <c:pt idx="354">
                  <c:v>9.6289763292111922E-3</c:v>
                </c:pt>
                <c:pt idx="355">
                  <c:v>9.6278955903447844E-3</c:v>
                </c:pt>
                <c:pt idx="356">
                  <c:v>9.6234209176626288E-3</c:v>
                </c:pt>
                <c:pt idx="357">
                  <c:v>9.6151948813585058E-3</c:v>
                </c:pt>
                <c:pt idx="358">
                  <c:v>9.6027423064016099E-3</c:v>
                </c:pt>
                <c:pt idx="359">
                  <c:v>9.5862015436877779E-3</c:v>
                </c:pt>
                <c:pt idx="360">
                  <c:v>9.5676149425463746E-3</c:v>
                </c:pt>
                <c:pt idx="361">
                  <c:v>9.5459159236567417E-3</c:v>
                </c:pt>
                <c:pt idx="362">
                  <c:v>9.5216052179829935E-3</c:v>
                </c:pt>
                <c:pt idx="363">
                  <c:v>9.4951816638983322E-3</c:v>
                </c:pt>
                <c:pt idx="364">
                  <c:v>9.4671379349383251E-3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206384"/>
        <c:axId val="471206776"/>
      </c:lineChart>
      <c:dateAx>
        <c:axId val="47120638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1206776"/>
        <c:crosses val="autoZero"/>
        <c:auto val="1"/>
        <c:lblOffset val="100"/>
        <c:baseTimeUnit val="days"/>
        <c:majorUnit val="1"/>
        <c:majorTimeUnit val="months"/>
      </c:dateAx>
      <c:valAx>
        <c:axId val="47120677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1206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'2028'!$V$14</c:f>
              <c:strCache>
                <c:ptCount val="1"/>
                <c:pt idx="0">
                  <c:v>Enveloppe 2028</c:v>
                </c:pt>
              </c:strCache>
            </c:strRef>
          </c:tx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'2028'!Env_an</c:f>
              <c:numCache>
                <c:formatCode>0.00</c:formatCode>
                <c:ptCount val="366"/>
                <c:pt idx="0">
                  <c:v>23.942491621039132</c:v>
                </c:pt>
                <c:pt idx="1">
                  <c:v>24.111713582644274</c:v>
                </c:pt>
                <c:pt idx="2">
                  <c:v>24.290676290857839</c:v>
                </c:pt>
                <c:pt idx="3">
                  <c:v>24.478247476614015</c:v>
                </c:pt>
                <c:pt idx="4">
                  <c:v>24.673295269641237</c:v>
                </c:pt>
                <c:pt idx="5">
                  <c:v>24.874688211601129</c:v>
                </c:pt>
                <c:pt idx="6">
                  <c:v>25.081295248763414</c:v>
                </c:pt>
                <c:pt idx="7">
                  <c:v>25.291985753498356</c:v>
                </c:pt>
                <c:pt idx="8">
                  <c:v>25.511212575206077</c:v>
                </c:pt>
                <c:pt idx="9">
                  <c:v>25.743317090034761</c:v>
                </c:pt>
                <c:pt idx="10">
                  <c:v>25.987146327983488</c:v>
                </c:pt>
                <c:pt idx="11">
                  <c:v>26.241511282676917</c:v>
                </c:pt>
                <c:pt idx="12">
                  <c:v>26.505223405509561</c:v>
                </c:pt>
                <c:pt idx="13">
                  <c:v>26.777094633181967</c:v>
                </c:pt>
                <c:pt idx="14">
                  <c:v>27.055937376883133</c:v>
                </c:pt>
                <c:pt idx="15">
                  <c:v>27.340481196466861</c:v>
                </c:pt>
                <c:pt idx="16">
                  <c:v>27.629629800061586</c:v>
                </c:pt>
                <c:pt idx="17">
                  <c:v>27.922197074233132</c:v>
                </c:pt>
                <c:pt idx="18">
                  <c:v>28.216997407673137</c:v>
                </c:pt>
                <c:pt idx="19">
                  <c:v>28.512844192113761</c:v>
                </c:pt>
                <c:pt idx="20">
                  <c:v>28.808550557564203</c:v>
                </c:pt>
                <c:pt idx="21">
                  <c:v>29.102931226782506</c:v>
                </c:pt>
                <c:pt idx="22">
                  <c:v>29.399262343620165</c:v>
                </c:pt>
                <c:pt idx="23">
                  <c:v>29.701233386786509</c:v>
                </c:pt>
                <c:pt idx="24">
                  <c:v>30.008222631256707</c:v>
                </c:pt>
                <c:pt idx="25">
                  <c:v>30.319536632271401</c:v>
                </c:pt>
                <c:pt idx="26">
                  <c:v>30.634482206245575</c:v>
                </c:pt>
                <c:pt idx="27">
                  <c:v>30.952366435530823</c:v>
                </c:pt>
                <c:pt idx="28">
                  <c:v>31.272496669834073</c:v>
                </c:pt>
                <c:pt idx="29">
                  <c:v>31.594752419703418</c:v>
                </c:pt>
                <c:pt idx="30">
                  <c:v>31.918525048095614</c:v>
                </c:pt>
                <c:pt idx="31">
                  <c:v>32.243122722245289</c:v>
                </c:pt>
                <c:pt idx="32">
                  <c:v>32.567853892283857</c:v>
                </c:pt>
                <c:pt idx="33">
                  <c:v>32.892027298158439</c:v>
                </c:pt>
                <c:pt idx="34">
                  <c:v>33.214951977026438</c:v>
                </c:pt>
                <c:pt idx="35">
                  <c:v>33.53593726884295</c:v>
                </c:pt>
                <c:pt idx="36">
                  <c:v>33.856233807802631</c:v>
                </c:pt>
                <c:pt idx="37">
                  <c:v>34.17804389155377</c:v>
                </c:pt>
                <c:pt idx="38">
                  <c:v>34.501182723799346</c:v>
                </c:pt>
                <c:pt idx="39">
                  <c:v>34.825551555084679</c:v>
                </c:pt>
                <c:pt idx="40">
                  <c:v>35.151051758490503</c:v>
                </c:pt>
                <c:pt idx="41">
                  <c:v>35.477584836899915</c:v>
                </c:pt>
                <c:pt idx="42">
                  <c:v>35.805052429511164</c:v>
                </c:pt>
                <c:pt idx="43">
                  <c:v>36.133412205139948</c:v>
                </c:pt>
                <c:pt idx="44">
                  <c:v>36.461994120283322</c:v>
                </c:pt>
                <c:pt idx="45">
                  <c:v>36.790700200803926</c:v>
                </c:pt>
                <c:pt idx="46">
                  <c:v>37.119432599653116</c:v>
                </c:pt>
                <c:pt idx="47">
                  <c:v>37.448093600779572</c:v>
                </c:pt>
                <c:pt idx="48">
                  <c:v>37.776585625613116</c:v>
                </c:pt>
                <c:pt idx="49">
                  <c:v>38.104811237923812</c:v>
                </c:pt>
                <c:pt idx="50">
                  <c:v>38.4329195517629</c:v>
                </c:pt>
                <c:pt idx="51">
                  <c:v>38.760712449033875</c:v>
                </c:pt>
                <c:pt idx="52">
                  <c:v>39.087633709254774</c:v>
                </c:pt>
                <c:pt idx="53">
                  <c:v>39.413685002272345</c:v>
                </c:pt>
                <c:pt idx="54">
                  <c:v>39.738866958285016</c:v>
                </c:pt>
                <c:pt idx="55">
                  <c:v>40.063180158148491</c:v>
                </c:pt>
                <c:pt idx="56">
                  <c:v>40.386625137777088</c:v>
                </c:pt>
                <c:pt idx="57">
                  <c:v>40.708663963067735</c:v>
                </c:pt>
                <c:pt idx="58">
                  <c:v>41.029239994045703</c:v>
                </c:pt>
                <c:pt idx="59">
                  <c:v>41.34835286533422</c:v>
                </c:pt>
                <c:pt idx="60">
                  <c:v>41.666002112183527</c:v>
                </c:pt>
                <c:pt idx="61">
                  <c:v>41.982187168050928</c:v>
                </c:pt>
                <c:pt idx="62">
                  <c:v>42.296907360451492</c:v>
                </c:pt>
                <c:pt idx="63">
                  <c:v>42.610161905960936</c:v>
                </c:pt>
                <c:pt idx="64">
                  <c:v>42.923016202654587</c:v>
                </c:pt>
                <c:pt idx="65">
                  <c:v>43.235979036584673</c:v>
                </c:pt>
                <c:pt idx="66">
                  <c:v>43.548970908958275</c:v>
                </c:pt>
                <c:pt idx="67">
                  <c:v>43.861498176986231</c:v>
                </c:pt>
                <c:pt idx="68">
                  <c:v>44.173067235226441</c:v>
                </c:pt>
                <c:pt idx="69">
                  <c:v>44.48318450323633</c:v>
                </c:pt>
                <c:pt idx="70">
                  <c:v>44.791356414253151</c:v>
                </c:pt>
                <c:pt idx="71">
                  <c:v>45.097217981404079</c:v>
                </c:pt>
                <c:pt idx="72">
                  <c:v>45.40081814459468</c:v>
                </c:pt>
                <c:pt idx="73">
                  <c:v>45.701664651611779</c:v>
                </c:pt>
                <c:pt idx="74">
                  <c:v>45.999265351305283</c:v>
                </c:pt>
                <c:pt idx="75">
                  <c:v>46.293128190959003</c:v>
                </c:pt>
                <c:pt idx="76">
                  <c:v>46.582761215537211</c:v>
                </c:pt>
                <c:pt idx="77">
                  <c:v>46.867672567415276</c:v>
                </c:pt>
                <c:pt idx="78">
                  <c:v>47.150302982346034</c:v>
                </c:pt>
                <c:pt idx="79">
                  <c:v>47.433059841361462</c:v>
                </c:pt>
                <c:pt idx="80">
                  <c:v>47.715386261210462</c:v>
                </c:pt>
                <c:pt idx="81">
                  <c:v>47.996495806058114</c:v>
                </c:pt>
                <c:pt idx="82">
                  <c:v>48.275602402199297</c:v>
                </c:pt>
                <c:pt idx="83">
                  <c:v>48.551920349518305</c:v>
                </c:pt>
                <c:pt idx="84">
                  <c:v>48.824664337421261</c:v>
                </c:pt>
                <c:pt idx="85">
                  <c:v>49.093107233256347</c:v>
                </c:pt>
                <c:pt idx="86">
                  <c:v>49.356334539200553</c:v>
                </c:pt>
                <c:pt idx="87">
                  <c:v>49.613561936918501</c:v>
                </c:pt>
                <c:pt idx="88">
                  <c:v>49.8640055200351</c:v>
                </c:pt>
                <c:pt idx="89">
                  <c:v>50.106881803313762</c:v>
                </c:pt>
                <c:pt idx="90">
                  <c:v>50.341407736758072</c:v>
                </c:pt>
                <c:pt idx="91">
                  <c:v>50.566800717204806</c:v>
                </c:pt>
                <c:pt idx="92">
                  <c:v>50.783391112696059</c:v>
                </c:pt>
                <c:pt idx="93">
                  <c:v>50.992320189512533</c:v>
                </c:pt>
                <c:pt idx="94">
                  <c:v>51.193815030069331</c:v>
                </c:pt>
                <c:pt idx="95">
                  <c:v>51.388270211320055</c:v>
                </c:pt>
                <c:pt idx="96">
                  <c:v>51.576080241733614</c:v>
                </c:pt>
                <c:pt idx="97">
                  <c:v>51.757639566342647</c:v>
                </c:pt>
                <c:pt idx="98">
                  <c:v>51.933342568924083</c:v>
                </c:pt>
                <c:pt idx="99">
                  <c:v>52.10345838752221</c:v>
                </c:pt>
                <c:pt idx="100">
                  <c:v>52.268320680647285</c:v>
                </c:pt>
                <c:pt idx="101">
                  <c:v>52.428322032162392</c:v>
                </c:pt>
                <c:pt idx="102">
                  <c:v>52.583854846228824</c:v>
                </c:pt>
                <c:pt idx="103">
                  <c:v>52.735311337310762</c:v>
                </c:pt>
                <c:pt idx="104">
                  <c:v>52.883083532385371</c:v>
                </c:pt>
                <c:pt idx="105">
                  <c:v>53.027563266893722</c:v>
                </c:pt>
                <c:pt idx="106">
                  <c:v>53.167737178416992</c:v>
                </c:pt>
                <c:pt idx="107">
                  <c:v>53.302419592050491</c:v>
                </c:pt>
                <c:pt idx="108">
                  <c:v>53.431779784214385</c:v>
                </c:pt>
                <c:pt idx="109">
                  <c:v>53.556013064949781</c:v>
                </c:pt>
                <c:pt idx="110">
                  <c:v>53.675314425199993</c:v>
                </c:pt>
                <c:pt idx="111">
                  <c:v>53.789878690753461</c:v>
                </c:pt>
                <c:pt idx="112">
                  <c:v>53.899900662089976</c:v>
                </c:pt>
                <c:pt idx="113">
                  <c:v>54.005724996968716</c:v>
                </c:pt>
                <c:pt idx="114">
                  <c:v>54.107680307772199</c:v>
                </c:pt>
                <c:pt idx="115">
                  <c:v>54.205964860917035</c:v>
                </c:pt>
                <c:pt idx="116">
                  <c:v>54.300777010118786</c:v>
                </c:pt>
                <c:pt idx="117">
                  <c:v>54.392315195099471</c:v>
                </c:pt>
                <c:pt idx="118">
                  <c:v>54.480777951811675</c:v>
                </c:pt>
                <c:pt idx="119">
                  <c:v>54.566363906606192</c:v>
                </c:pt>
                <c:pt idx="120">
                  <c:v>54.648358294857871</c:v>
                </c:pt>
                <c:pt idx="121">
                  <c:v>54.726089025062279</c:v>
                </c:pt>
                <c:pt idx="122">
                  <c:v>54.799801729768092</c:v>
                </c:pt>
                <c:pt idx="123">
                  <c:v>54.869697696636194</c:v>
                </c:pt>
                <c:pt idx="124">
                  <c:v>54.935978418033251</c:v>
                </c:pt>
                <c:pt idx="125">
                  <c:v>54.998845587982167</c:v>
                </c:pt>
                <c:pt idx="126">
                  <c:v>55.058501100711382</c:v>
                </c:pt>
                <c:pt idx="127">
                  <c:v>55.115069591504955</c:v>
                </c:pt>
                <c:pt idx="128">
                  <c:v>55.168589300426788</c:v>
                </c:pt>
                <c:pt idx="129">
                  <c:v>55.219258178638064</c:v>
                </c:pt>
                <c:pt idx="130">
                  <c:v>55.267274157048305</c:v>
                </c:pt>
                <c:pt idx="131">
                  <c:v>55.31283513836545</c:v>
                </c:pt>
                <c:pt idx="132">
                  <c:v>55.356138997004898</c:v>
                </c:pt>
                <c:pt idx="133">
                  <c:v>55.397383573282418</c:v>
                </c:pt>
                <c:pt idx="134">
                  <c:v>55.436278090257552</c:v>
                </c:pt>
                <c:pt idx="135">
                  <c:v>55.472315454211284</c:v>
                </c:pt>
                <c:pt idx="136">
                  <c:v>55.505450103510924</c:v>
                </c:pt>
                <c:pt idx="137">
                  <c:v>55.535681989323244</c:v>
                </c:pt>
                <c:pt idx="138">
                  <c:v>55.563011009554081</c:v>
                </c:pt>
                <c:pt idx="139">
                  <c:v>55.587437007547585</c:v>
                </c:pt>
                <c:pt idx="140">
                  <c:v>55.608959775200461</c:v>
                </c:pt>
                <c:pt idx="141">
                  <c:v>55.627542987138106</c:v>
                </c:pt>
                <c:pt idx="142">
                  <c:v>55.64327073056468</c:v>
                </c:pt>
                <c:pt idx="143">
                  <c:v>55.656143555022098</c:v>
                </c:pt>
                <c:pt idx="144">
                  <c:v>55.666161922404427</c:v>
                </c:pt>
                <c:pt idx="145">
                  <c:v>55.673326274109591</c:v>
                </c:pt>
                <c:pt idx="146">
                  <c:v>55.677637031198287</c:v>
                </c:pt>
                <c:pt idx="147">
                  <c:v>55.679094587134855</c:v>
                </c:pt>
                <c:pt idx="148">
                  <c:v>55.677699311947144</c:v>
                </c:pt>
                <c:pt idx="149">
                  <c:v>55.673452492213308</c:v>
                </c:pt>
                <c:pt idx="150">
                  <c:v>55.666450037060557</c:v>
                </c:pt>
                <c:pt idx="151">
                  <c:v>55.656694223212689</c:v>
                </c:pt>
                <c:pt idx="152">
                  <c:v>55.64418730841718</c:v>
                </c:pt>
                <c:pt idx="153">
                  <c:v>55.628931519744711</c:v>
                </c:pt>
                <c:pt idx="154">
                  <c:v>55.610929050501618</c:v>
                </c:pt>
                <c:pt idx="155">
                  <c:v>55.590184124404651</c:v>
                </c:pt>
                <c:pt idx="156">
                  <c:v>55.56673929790859</c:v>
                </c:pt>
                <c:pt idx="157">
                  <c:v>55.540597550142238</c:v>
                </c:pt>
                <c:pt idx="158">
                  <c:v>55.511761794112694</c:v>
                </c:pt>
                <c:pt idx="159">
                  <c:v>55.480234870135739</c:v>
                </c:pt>
                <c:pt idx="160">
                  <c:v>55.446019534970119</c:v>
                </c:pt>
                <c:pt idx="161">
                  <c:v>55.409118456571328</c:v>
                </c:pt>
                <c:pt idx="162">
                  <c:v>55.369534204599226</c:v>
                </c:pt>
                <c:pt idx="163">
                  <c:v>55.327267840401561</c:v>
                </c:pt>
                <c:pt idx="164">
                  <c:v>55.282320670616684</c:v>
                </c:pt>
                <c:pt idx="165">
                  <c:v>55.234694890779878</c:v>
                </c:pt>
                <c:pt idx="166">
                  <c:v>55.184392577639699</c:v>
                </c:pt>
                <c:pt idx="167">
                  <c:v>55.131415680186379</c:v>
                </c:pt>
                <c:pt idx="168">
                  <c:v>55.075766017915797</c:v>
                </c:pt>
                <c:pt idx="169">
                  <c:v>55.017443826565149</c:v>
                </c:pt>
                <c:pt idx="170">
                  <c:v>54.956448364234802</c:v>
                </c:pt>
                <c:pt idx="171">
                  <c:v>54.892780987499073</c:v>
                </c:pt>
                <c:pt idx="172">
                  <c:v>54.82644291318536</c:v>
                </c:pt>
                <c:pt idx="173">
                  <c:v>54.757435283568682</c:v>
                </c:pt>
                <c:pt idx="174">
                  <c:v>54.685759106605381</c:v>
                </c:pt>
                <c:pt idx="175">
                  <c:v>54.611415203315033</c:v>
                </c:pt>
                <c:pt idx="176">
                  <c:v>54.533772193887245</c:v>
                </c:pt>
                <c:pt idx="177">
                  <c:v>54.452395643964827</c:v>
                </c:pt>
                <c:pt idx="178">
                  <c:v>54.367579529362921</c:v>
                </c:pt>
                <c:pt idx="179">
                  <c:v>54.279616087770798</c:v>
                </c:pt>
                <c:pt idx="180">
                  <c:v>54.188797314853062</c:v>
                </c:pt>
                <c:pt idx="181">
                  <c:v>54.095414974735888</c:v>
                </c:pt>
                <c:pt idx="182">
                  <c:v>53.999760610837164</c:v>
                </c:pt>
                <c:pt idx="183">
                  <c:v>53.902126652143885</c:v>
                </c:pt>
                <c:pt idx="184">
                  <c:v>53.802805781498904</c:v>
                </c:pt>
                <c:pt idx="185">
                  <c:v>53.702088951010602</c:v>
                </c:pt>
                <c:pt idx="186">
                  <c:v>53.600266926894093</c:v>
                </c:pt>
                <c:pt idx="187">
                  <c:v>53.497630297966246</c:v>
                </c:pt>
                <c:pt idx="188">
                  <c:v>53.394469486360848</c:v>
                </c:pt>
                <c:pt idx="189">
                  <c:v>53.291074758226138</c:v>
                </c:pt>
                <c:pt idx="190">
                  <c:v>53.186797535783171</c:v>
                </c:pt>
                <c:pt idx="191">
                  <c:v>53.08081117948138</c:v>
                </c:pt>
                <c:pt idx="192">
                  <c:v>52.973209009684048</c:v>
                </c:pt>
                <c:pt idx="193">
                  <c:v>52.864086779928542</c:v>
                </c:pt>
                <c:pt idx="194">
                  <c:v>52.75354023098776</c:v>
                </c:pt>
                <c:pt idx="195">
                  <c:v>52.641665098403209</c:v>
                </c:pt>
                <c:pt idx="196">
                  <c:v>52.528557118340863</c:v>
                </c:pt>
                <c:pt idx="197">
                  <c:v>52.414192349768079</c:v>
                </c:pt>
                <c:pt idx="198">
                  <c:v>52.298664647417887</c:v>
                </c:pt>
                <c:pt idx="199">
                  <c:v>52.182069070812311</c:v>
                </c:pt>
                <c:pt idx="200">
                  <c:v>52.064500754197162</c:v>
                </c:pt>
                <c:pt idx="201">
                  <c:v>51.946054905985257</c:v>
                </c:pt>
                <c:pt idx="202">
                  <c:v>51.826826808673481</c:v>
                </c:pt>
                <c:pt idx="203">
                  <c:v>51.706911818017524</c:v>
                </c:pt>
                <c:pt idx="204">
                  <c:v>51.585952799762957</c:v>
                </c:pt>
                <c:pt idx="205">
                  <c:v>51.46347932672068</c:v>
                </c:pt>
                <c:pt idx="206">
                  <c:v>51.339637312206257</c:v>
                </c:pt>
                <c:pt idx="207">
                  <c:v>51.214522464767882</c:v>
                </c:pt>
                <c:pt idx="208">
                  <c:v>51.088230586066487</c:v>
                </c:pt>
                <c:pt idx="209">
                  <c:v>50.960857566505311</c:v>
                </c:pt>
                <c:pt idx="210">
                  <c:v>50.832499383314932</c:v>
                </c:pt>
                <c:pt idx="211">
                  <c:v>50.703320622194816</c:v>
                </c:pt>
                <c:pt idx="212">
                  <c:v>50.573540369547402</c:v>
                </c:pt>
                <c:pt idx="213">
                  <c:v>50.443255543045773</c:v>
                </c:pt>
                <c:pt idx="214">
                  <c:v>50.31256307935994</c:v>
                </c:pt>
                <c:pt idx="215">
                  <c:v>50.181559933216384</c:v>
                </c:pt>
                <c:pt idx="216">
                  <c:v>50.050343076995908</c:v>
                </c:pt>
                <c:pt idx="217">
                  <c:v>49.919009499320786</c:v>
                </c:pt>
                <c:pt idx="218">
                  <c:v>49.788043664917708</c:v>
                </c:pt>
                <c:pt idx="219">
                  <c:v>49.657922170537006</c:v>
                </c:pt>
                <c:pt idx="220">
                  <c:v>49.528470728656359</c:v>
                </c:pt>
                <c:pt idx="221">
                  <c:v>49.39939990377276</c:v>
                </c:pt>
                <c:pt idx="222">
                  <c:v>49.270420313147575</c:v>
                </c:pt>
                <c:pt idx="223">
                  <c:v>49.141242626380539</c:v>
                </c:pt>
                <c:pt idx="224">
                  <c:v>49.011577563647741</c:v>
                </c:pt>
                <c:pt idx="225">
                  <c:v>48.881059815276956</c:v>
                </c:pt>
                <c:pt idx="226">
                  <c:v>48.749330391308412</c:v>
                </c:pt>
                <c:pt idx="227">
                  <c:v>48.616099847823882</c:v>
                </c:pt>
                <c:pt idx="228">
                  <c:v>48.481078822831371</c:v>
                </c:pt>
                <c:pt idx="229">
                  <c:v>48.343978033350425</c:v>
                </c:pt>
                <c:pt idx="230">
                  <c:v>48.204508273855488</c:v>
                </c:pt>
                <c:pt idx="231">
                  <c:v>48.062380410883364</c:v>
                </c:pt>
                <c:pt idx="232">
                  <c:v>47.918659912144477</c:v>
                </c:pt>
                <c:pt idx="233">
                  <c:v>47.774189950086772</c:v>
                </c:pt>
                <c:pt idx="234">
                  <c:v>47.628427610766302</c:v>
                </c:pt>
                <c:pt idx="235">
                  <c:v>47.481082810594486</c:v>
                </c:pt>
                <c:pt idx="236">
                  <c:v>47.331865605232416</c:v>
                </c:pt>
                <c:pt idx="237">
                  <c:v>47.180486269554009</c:v>
                </c:pt>
                <c:pt idx="238">
                  <c:v>47.026655242225601</c:v>
                </c:pt>
                <c:pt idx="239">
                  <c:v>46.870120356594612</c:v>
                </c:pt>
                <c:pt idx="240">
                  <c:v>46.710669044610597</c:v>
                </c:pt>
                <c:pt idx="241">
                  <c:v>46.548012267503651</c:v>
                </c:pt>
                <c:pt idx="242">
                  <c:v>46.381861123688168</c:v>
                </c:pt>
                <c:pt idx="243">
                  <c:v>46.211926848684548</c:v>
                </c:pt>
                <c:pt idx="244">
                  <c:v>46.037920814925172</c:v>
                </c:pt>
                <c:pt idx="245">
                  <c:v>45.859554534224706</c:v>
                </c:pt>
                <c:pt idx="246">
                  <c:v>45.677055084520056</c:v>
                </c:pt>
                <c:pt idx="247">
                  <c:v>45.491012313260072</c:v>
                </c:pt>
                <c:pt idx="248">
                  <c:v>45.301746834203833</c:v>
                </c:pt>
                <c:pt idx="249">
                  <c:v>45.109356712052652</c:v>
                </c:pt>
                <c:pt idx="250">
                  <c:v>44.913939973304537</c:v>
                </c:pt>
                <c:pt idx="251">
                  <c:v>44.715594606068407</c:v>
                </c:pt>
                <c:pt idx="252">
                  <c:v>44.514418559714365</c:v>
                </c:pt>
                <c:pt idx="253">
                  <c:v>44.310823295670303</c:v>
                </c:pt>
                <c:pt idx="254">
                  <c:v>44.104869357565399</c:v>
                </c:pt>
                <c:pt idx="255">
                  <c:v>43.896654346005619</c:v>
                </c:pt>
                <c:pt idx="256">
                  <c:v>43.686275758617789</c:v>
                </c:pt>
                <c:pt idx="257">
                  <c:v>43.473830990876451</c:v>
                </c:pt>
                <c:pt idx="258">
                  <c:v>43.259417328606808</c:v>
                </c:pt>
                <c:pt idx="259">
                  <c:v>43.043131944752488</c:v>
                </c:pt>
                <c:pt idx="260">
                  <c:v>42.824412187470458</c:v>
                </c:pt>
                <c:pt idx="261">
                  <c:v>42.602981351551719</c:v>
                </c:pt>
                <c:pt idx="262">
                  <c:v>42.378928008708542</c:v>
                </c:pt>
                <c:pt idx="263">
                  <c:v>42.152445321840979</c:v>
                </c:pt>
                <c:pt idx="264">
                  <c:v>41.923726236114625</c:v>
                </c:pt>
                <c:pt idx="265">
                  <c:v>41.6929627928074</c:v>
                </c:pt>
                <c:pt idx="266">
                  <c:v>41.460347212883924</c:v>
                </c:pt>
                <c:pt idx="267">
                  <c:v>41.225629263777655</c:v>
                </c:pt>
                <c:pt idx="268">
                  <c:v>40.988691041360916</c:v>
                </c:pt>
                <c:pt idx="269">
                  <c:v>40.749726465762357</c:v>
                </c:pt>
                <c:pt idx="270">
                  <c:v>40.508929381361568</c:v>
                </c:pt>
                <c:pt idx="271">
                  <c:v>40.266493558776801</c:v>
                </c:pt>
                <c:pt idx="272">
                  <c:v>40.022612695377262</c:v>
                </c:pt>
                <c:pt idx="273">
                  <c:v>39.777480414334541</c:v>
                </c:pt>
                <c:pt idx="274">
                  <c:v>39.529972092633983</c:v>
                </c:pt>
                <c:pt idx="275">
                  <c:v>39.27811024510401</c:v>
                </c:pt>
                <c:pt idx="276">
                  <c:v>39.022066463696149</c:v>
                </c:pt>
                <c:pt idx="277">
                  <c:v>38.76223204600052</c:v>
                </c:pt>
                <c:pt idx="278">
                  <c:v>38.498998603931653</c:v>
                </c:pt>
                <c:pt idx="279">
                  <c:v>38.232758078572154</c:v>
                </c:pt>
                <c:pt idx="280">
                  <c:v>37.963902757708944</c:v>
                </c:pt>
                <c:pt idx="281">
                  <c:v>37.692152386083194</c:v>
                </c:pt>
                <c:pt idx="282">
                  <c:v>37.418338466190363</c:v>
                </c:pt>
                <c:pt idx="283">
                  <c:v>37.142855739813434</c:v>
                </c:pt>
                <c:pt idx="284">
                  <c:v>36.866099416005532</c:v>
                </c:pt>
                <c:pt idx="285">
                  <c:v>36.588465171273135</c:v>
                </c:pt>
                <c:pt idx="286">
                  <c:v>36.310349141818492</c:v>
                </c:pt>
                <c:pt idx="287">
                  <c:v>36.032147911994471</c:v>
                </c:pt>
                <c:pt idx="288">
                  <c:v>35.752668279714428</c:v>
                </c:pt>
                <c:pt idx="289">
                  <c:v>35.470828090773466</c:v>
                </c:pt>
                <c:pt idx="290">
                  <c:v>35.187885816138234</c:v>
                </c:pt>
                <c:pt idx="291">
                  <c:v>34.904136218828945</c:v>
                </c:pt>
                <c:pt idx="292">
                  <c:v>34.619873945164166</c:v>
                </c:pt>
                <c:pt idx="293">
                  <c:v>34.335393499845928</c:v>
                </c:pt>
                <c:pt idx="294">
                  <c:v>34.050989222025223</c:v>
                </c:pt>
                <c:pt idx="295">
                  <c:v>33.767909366239785</c:v>
                </c:pt>
                <c:pt idx="296">
                  <c:v>33.487088171875193</c:v>
                </c:pt>
                <c:pt idx="297">
                  <c:v>33.208802571349089</c:v>
                </c:pt>
                <c:pt idx="298">
                  <c:v>32.933331764135943</c:v>
                </c:pt>
                <c:pt idx="299">
                  <c:v>32.660954377517221</c:v>
                </c:pt>
                <c:pt idx="300">
                  <c:v>32.391948492966968</c:v>
                </c:pt>
                <c:pt idx="301">
                  <c:v>32.126591683160022</c:v>
                </c:pt>
                <c:pt idx="302">
                  <c:v>31.864647360293684</c:v>
                </c:pt>
                <c:pt idx="303">
                  <c:v>31.60655879959581</c:v>
                </c:pt>
                <c:pt idx="304">
                  <c:v>31.352041247045445</c:v>
                </c:pt>
                <c:pt idx="305">
                  <c:v>31.100979238970471</c:v>
                </c:pt>
                <c:pt idx="306">
                  <c:v>30.853257098591705</c:v>
                </c:pt>
                <c:pt idx="307">
                  <c:v>30.608759020718811</c:v>
                </c:pt>
                <c:pt idx="308">
                  <c:v>30.367369161905927</c:v>
                </c:pt>
                <c:pt idx="309">
                  <c:v>30.129085704125171</c:v>
                </c:pt>
                <c:pt idx="310">
                  <c:v>29.892875887474261</c:v>
                </c:pt>
                <c:pt idx="311">
                  <c:v>29.658630990273124</c:v>
                </c:pt>
                <c:pt idx="312">
                  <c:v>29.426242521434812</c:v>
                </c:pt>
                <c:pt idx="313">
                  <c:v>29.195602278378445</c:v>
                </c:pt>
                <c:pt idx="314">
                  <c:v>28.96660240323488</c:v>
                </c:pt>
                <c:pt idx="315">
                  <c:v>28.739135434675433</c:v>
                </c:pt>
                <c:pt idx="316">
                  <c:v>28.512500749486858</c:v>
                </c:pt>
                <c:pt idx="317">
                  <c:v>28.286146478613343</c:v>
                </c:pt>
                <c:pt idx="318">
                  <c:v>28.05955013492904</c:v>
                </c:pt>
                <c:pt idx="319">
                  <c:v>27.833095840141223</c:v>
                </c:pt>
                <c:pt idx="320">
                  <c:v>27.607167927040372</c:v>
                </c:pt>
                <c:pt idx="321">
                  <c:v>27.382150937036606</c:v>
                </c:pt>
                <c:pt idx="322">
                  <c:v>27.158429617258953</c:v>
                </c:pt>
                <c:pt idx="323">
                  <c:v>26.936262070548125</c:v>
                </c:pt>
                <c:pt idx="324">
                  <c:v>26.71592474550442</c:v>
                </c:pt>
                <c:pt idx="325">
                  <c:v>26.497804572628315</c:v>
                </c:pt>
                <c:pt idx="326">
                  <c:v>26.28229110238237</c:v>
                </c:pt>
                <c:pt idx="327">
                  <c:v>26.069772122631502</c:v>
                </c:pt>
                <c:pt idx="328">
                  <c:v>25.86063340417822</c:v>
                </c:pt>
                <c:pt idx="329">
                  <c:v>25.655260834822979</c:v>
                </c:pt>
                <c:pt idx="330">
                  <c:v>25.449952005622141</c:v>
                </c:pt>
                <c:pt idx="331">
                  <c:v>25.241581633895407</c:v>
                </c:pt>
                <c:pt idx="332">
                  <c:v>25.031762729892598</c:v>
                </c:pt>
                <c:pt idx="333">
                  <c:v>24.821940249554213</c:v>
                </c:pt>
                <c:pt idx="334">
                  <c:v>24.613558948845746</c:v>
                </c:pt>
                <c:pt idx="335">
                  <c:v>24.408063356532935</c:v>
                </c:pt>
                <c:pt idx="336">
                  <c:v>24.206897738743137</c:v>
                </c:pt>
                <c:pt idx="337">
                  <c:v>24.011460482140865</c:v>
                </c:pt>
                <c:pt idx="338">
                  <c:v>23.823318651622788</c:v>
                </c:pt>
                <c:pt idx="339">
                  <c:v>23.643915212314116</c:v>
                </c:pt>
                <c:pt idx="340">
                  <c:v>23.474692793116677</c:v>
                </c:pt>
                <c:pt idx="341">
                  <c:v>23.317093655617779</c:v>
                </c:pt>
                <c:pt idx="342">
                  <c:v>23.172559668385649</c:v>
                </c:pt>
                <c:pt idx="343">
                  <c:v>23.042532293019796</c:v>
                </c:pt>
                <c:pt idx="344">
                  <c:v>22.922720065872841</c:v>
                </c:pt>
                <c:pt idx="345">
                  <c:v>22.808526171706792</c:v>
                </c:pt>
                <c:pt idx="346">
                  <c:v>22.701009892181016</c:v>
                </c:pt>
                <c:pt idx="347">
                  <c:v>22.601153580400556</c:v>
                </c:pt>
                <c:pt idx="348">
                  <c:v>22.509939292535453</c:v>
                </c:pt>
                <c:pt idx="349">
                  <c:v>22.428348752568809</c:v>
                </c:pt>
                <c:pt idx="350">
                  <c:v>22.357363363839845</c:v>
                </c:pt>
                <c:pt idx="351">
                  <c:v>22.297914215685097</c:v>
                </c:pt>
                <c:pt idx="352">
                  <c:v>22.251026999401216</c:v>
                </c:pt>
                <c:pt idx="353">
                  <c:v>22.217682036563815</c:v>
                </c:pt>
                <c:pt idx="354">
                  <c:v>22.198859272672657</c:v>
                </c:pt>
                <c:pt idx="355">
                  <c:v>22.195538263869356</c:v>
                </c:pt>
                <c:pt idx="356">
                  <c:v>22.208699521386709</c:v>
                </c:pt>
                <c:pt idx="357">
                  <c:v>22.239320916439215</c:v>
                </c:pt>
                <c:pt idx="358">
                  <c:v>22.288486868842416</c:v>
                </c:pt>
                <c:pt idx="359">
                  <c:v>22.355896542194415</c:v>
                </c:pt>
                <c:pt idx="360">
                  <c:v>22.440407388495046</c:v>
                </c:pt>
                <c:pt idx="361">
                  <c:v>22.540971782078955</c:v>
                </c:pt>
                <c:pt idx="362">
                  <c:v>22.656492431296648</c:v>
                </c:pt>
                <c:pt idx="363">
                  <c:v>22.785872255776447</c:v>
                </c:pt>
                <c:pt idx="364">
                  <c:v>22.928014388353578</c:v>
                </c:pt>
                <c:pt idx="365">
                  <c:v>23.08182218537274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'2028'!$B$15:$B$380</c:f>
              <c:numCache>
                <c:formatCode>0.00</c:formatCode>
                <c:ptCount val="366"/>
                <c:pt idx="0">
                  <c:v>23.679821895356731</c:v>
                </c:pt>
                <c:pt idx="1">
                  <c:v>16.028255976387381</c:v>
                </c:pt>
                <c:pt idx="2">
                  <c:v>18.170331496766241</c:v>
                </c:pt>
                <c:pt idx="3">
                  <c:v>18.46395038172971</c:v>
                </c:pt>
                <c:pt idx="4">
                  <c:v>13.34671130265972</c:v>
                </c:pt>
                <c:pt idx="5">
                  <c:v>25.095825540344769</c:v>
                </c:pt>
                <c:pt idx="6">
                  <c:v>8.6205351628219908</c:v>
                </c:pt>
                <c:pt idx="7">
                  <c:v>5.998997081184112</c:v>
                </c:pt>
                <c:pt idx="8">
                  <c:v>1.7103645348769725</c:v>
                </c:pt>
                <c:pt idx="9">
                  <c:v>1.3760553721378714</c:v>
                </c:pt>
                <c:pt idx="10">
                  <c:v>23.917277228804728</c:v>
                </c:pt>
                <c:pt idx="11">
                  <c:v>20.436400626411757</c:v>
                </c:pt>
                <c:pt idx="12">
                  <c:v>6.2006522630964298</c:v>
                </c:pt>
                <c:pt idx="13">
                  <c:v>26.604289008059553</c:v>
                </c:pt>
                <c:pt idx="14">
                  <c:v>27.390259652206126</c:v>
                </c:pt>
                <c:pt idx="15">
                  <c:v>27.09623563081049</c:v>
                </c:pt>
                <c:pt idx="16">
                  <c:v>17.550628833998601</c:v>
                </c:pt>
                <c:pt idx="17">
                  <c:v>4.6174670989574578</c:v>
                </c:pt>
                <c:pt idx="18">
                  <c:v>11.664857646695456</c:v>
                </c:pt>
                <c:pt idx="19">
                  <c:v>4.8368455447326708</c:v>
                </c:pt>
                <c:pt idx="20">
                  <c:v>18.464276416119851</c:v>
                </c:pt>
                <c:pt idx="21">
                  <c:v>28.545051791498128</c:v>
                </c:pt>
                <c:pt idx="22">
                  <c:v>28.890821900511369</c:v>
                </c:pt>
                <c:pt idx="23">
                  <c:v>29.391844511745056</c:v>
                </c:pt>
                <c:pt idx="24">
                  <c:v>27.451149762218023</c:v>
                </c:pt>
                <c:pt idx="25">
                  <c:v>29.568613187474106</c:v>
                </c:pt>
                <c:pt idx="26">
                  <c:v>29.363224945670673</c:v>
                </c:pt>
                <c:pt idx="27">
                  <c:v>4.0050515948739349</c:v>
                </c:pt>
                <c:pt idx="28">
                  <c:v>6.164787830345249</c:v>
                </c:pt>
                <c:pt idx="29">
                  <c:v>5.5587899299954975</c:v>
                </c:pt>
                <c:pt idx="30">
                  <c:v>6.9540067495387454</c:v>
                </c:pt>
                <c:pt idx="31">
                  <c:v>17.445481488466502</c:v>
                </c:pt>
                <c:pt idx="32">
                  <c:v>6.4037276643007868</c:v>
                </c:pt>
                <c:pt idx="33">
                  <c:v>15.127828071137934</c:v>
                </c:pt>
                <c:pt idx="34">
                  <c:v>13.663215632208614</c:v>
                </c:pt>
                <c:pt idx="35">
                  <c:v>10.036187991349163</c:v>
                </c:pt>
                <c:pt idx="36">
                  <c:v>26.416424360179924</c:v>
                </c:pt>
                <c:pt idx="37">
                  <c:v>11.928517665079026</c:v>
                </c:pt>
                <c:pt idx="38">
                  <c:v>34.333945302852726</c:v>
                </c:pt>
                <c:pt idx="39">
                  <c:v>34.960014878417361</c:v>
                </c:pt>
                <c:pt idx="40">
                  <c:v>32.97681725013571</c:v>
                </c:pt>
                <c:pt idx="41">
                  <c:v>13.832177234096989</c:v>
                </c:pt>
                <c:pt idx="42">
                  <c:v>26.231581921378872</c:v>
                </c:pt>
                <c:pt idx="43">
                  <c:v>33.196221239322206</c:v>
                </c:pt>
                <c:pt idx="44">
                  <c:v>15.804649885476678</c:v>
                </c:pt>
                <c:pt idx="45">
                  <c:v>20.884020384070809</c:v>
                </c:pt>
                <c:pt idx="46">
                  <c:v>8.9152692468595856</c:v>
                </c:pt>
                <c:pt idx="47">
                  <c:v>9.8360930246421781</c:v>
                </c:pt>
                <c:pt idx="48">
                  <c:v>32.766433545115341</c:v>
                </c:pt>
                <c:pt idx="49">
                  <c:v>15.019007181462214</c:v>
                </c:pt>
                <c:pt idx="50">
                  <c:v>26.058920142342473</c:v>
                </c:pt>
                <c:pt idx="51">
                  <c:v>19.528743685761679</c:v>
                </c:pt>
                <c:pt idx="52">
                  <c:v>32.330585509899613</c:v>
                </c:pt>
                <c:pt idx="53">
                  <c:v>37.432063074954627</c:v>
                </c:pt>
                <c:pt idx="54">
                  <c:v>24.050117210903196</c:v>
                </c:pt>
                <c:pt idx="55">
                  <c:v>26.153925054039995</c:v>
                </c:pt>
                <c:pt idx="56">
                  <c:v>40.489845018113783</c:v>
                </c:pt>
                <c:pt idx="57">
                  <c:v>21.44088366061515</c:v>
                </c:pt>
                <c:pt idx="58">
                  <c:v>37.104120123827499</c:v>
                </c:pt>
                <c:pt idx="59">
                  <c:v>41.072949616429788</c:v>
                </c:pt>
                <c:pt idx="60">
                  <c:v>14.232996109563146</c:v>
                </c:pt>
                <c:pt idx="61">
                  <c:v>37.097282474292186</c:v>
                </c:pt>
                <c:pt idx="62">
                  <c:v>4.940223347059935</c:v>
                </c:pt>
                <c:pt idx="63">
                  <c:v>15.206973149723758</c:v>
                </c:pt>
                <c:pt idx="64">
                  <c:v>21.927871923208492</c:v>
                </c:pt>
                <c:pt idx="65">
                  <c:v>34.173020208787285</c:v>
                </c:pt>
                <c:pt idx="66">
                  <c:v>34.552382772869173</c:v>
                </c:pt>
                <c:pt idx="67">
                  <c:v>31.481640788975266</c:v>
                </c:pt>
                <c:pt idx="68">
                  <c:v>25.317621262719495</c:v>
                </c:pt>
                <c:pt idx="69">
                  <c:v>17.712180530240435</c:v>
                </c:pt>
                <c:pt idx="70">
                  <c:v>12.919255104319529</c:v>
                </c:pt>
                <c:pt idx="71">
                  <c:v>9.5951404096626689</c:v>
                </c:pt>
                <c:pt idx="72">
                  <c:v>13.002693713116138</c:v>
                </c:pt>
                <c:pt idx="73">
                  <c:v>15.888625882032713</c:v>
                </c:pt>
                <c:pt idx="74">
                  <c:v>11.581740906025161</c:v>
                </c:pt>
                <c:pt idx="75">
                  <c:v>9.9681920623964722</c:v>
                </c:pt>
                <c:pt idx="76">
                  <c:v>13.088671710335712</c:v>
                </c:pt>
                <c:pt idx="77">
                  <c:v>27.273532436526541</c:v>
                </c:pt>
                <c:pt idx="78">
                  <c:v>31.930612265174894</c:v>
                </c:pt>
                <c:pt idx="79">
                  <c:v>44.475787068368291</c:v>
                </c:pt>
                <c:pt idx="80">
                  <c:v>40.878922779659071</c:v>
                </c:pt>
                <c:pt idx="81">
                  <c:v>48.2057682348185</c:v>
                </c:pt>
                <c:pt idx="82">
                  <c:v>47.113266563084444</c:v>
                </c:pt>
                <c:pt idx="83">
                  <c:v>37.167531985573717</c:v>
                </c:pt>
                <c:pt idx="84">
                  <c:v>42.487576806493067</c:v>
                </c:pt>
                <c:pt idx="85">
                  <c:v>45.069663488249248</c:v>
                </c:pt>
                <c:pt idx="86">
                  <c:v>38.460892243733113</c:v>
                </c:pt>
                <c:pt idx="87">
                  <c:v>26.818427585504192</c:v>
                </c:pt>
                <c:pt idx="88">
                  <c:v>6.0735884281651282</c:v>
                </c:pt>
                <c:pt idx="89">
                  <c:v>16.813863516578603</c:v>
                </c:pt>
                <c:pt idx="90">
                  <c:v>31.744847765265064</c:v>
                </c:pt>
                <c:pt idx="91">
                  <c:v>16.773991061199624</c:v>
                </c:pt>
                <c:pt idx="92">
                  <c:v>31.206241320492612</c:v>
                </c:pt>
                <c:pt idx="93">
                  <c:v>43.211536931001127</c:v>
                </c:pt>
                <c:pt idx="94">
                  <c:v>51.102294936270987</c:v>
                </c:pt>
                <c:pt idx="95">
                  <c:v>11.760294749822844</c:v>
                </c:pt>
                <c:pt idx="96">
                  <c:v>42.772159412806268</c:v>
                </c:pt>
                <c:pt idx="97">
                  <c:v>37.357964718804944</c:v>
                </c:pt>
                <c:pt idx="98">
                  <c:v>30.115416678561008</c:v>
                </c:pt>
                <c:pt idx="99">
                  <c:v>54.617147151065623</c:v>
                </c:pt>
                <c:pt idx="100">
                  <c:v>43.570735088257486</c:v>
                </c:pt>
                <c:pt idx="101">
                  <c:v>38.21711602903676</c:v>
                </c:pt>
                <c:pt idx="102">
                  <c:v>5.921771843627667</c:v>
                </c:pt>
                <c:pt idx="103">
                  <c:v>42.763582059195912</c:v>
                </c:pt>
                <c:pt idx="104">
                  <c:v>43.75711176841488</c:v>
                </c:pt>
                <c:pt idx="105">
                  <c:v>35.802142883191372</c:v>
                </c:pt>
                <c:pt idx="106">
                  <c:v>52.718978980453379</c:v>
                </c:pt>
                <c:pt idx="107">
                  <c:v>34.346157285118608</c:v>
                </c:pt>
                <c:pt idx="108">
                  <c:v>9.2023282759338585</c:v>
                </c:pt>
                <c:pt idx="109">
                  <c:v>9.4772137106529293</c:v>
                </c:pt>
                <c:pt idx="110">
                  <c:v>8.7210795971881545</c:v>
                </c:pt>
                <c:pt idx="111">
                  <c:v>26.929633750517212</c:v>
                </c:pt>
                <c:pt idx="112">
                  <c:v>9.2156396330928843</c:v>
                </c:pt>
                <c:pt idx="113">
                  <c:v>26.143314002005024</c:v>
                </c:pt>
                <c:pt idx="114">
                  <c:v>41.240517602622056</c:v>
                </c:pt>
                <c:pt idx="115">
                  <c:v>52.938852462307025</c:v>
                </c:pt>
                <c:pt idx="116">
                  <c:v>40.677946313113495</c:v>
                </c:pt>
                <c:pt idx="117">
                  <c:v>22.820992516481176</c:v>
                </c:pt>
                <c:pt idx="118">
                  <c:v>40.900180684546669</c:v>
                </c:pt>
                <c:pt idx="119">
                  <c:v>38.891971472441327</c:v>
                </c:pt>
                <c:pt idx="120">
                  <c:v>44.330297266872293</c:v>
                </c:pt>
                <c:pt idx="121">
                  <c:v>25.161503252362859</c:v>
                </c:pt>
                <c:pt idx="122">
                  <c:v>30.922977031946751</c:v>
                </c:pt>
                <c:pt idx="123">
                  <c:v>15.64514233115664</c:v>
                </c:pt>
                <c:pt idx="124">
                  <c:v>33.923852597821082</c:v>
                </c:pt>
                <c:pt idx="125">
                  <c:v>38.839147254640764</c:v>
                </c:pt>
                <c:pt idx="126">
                  <c:v>43.281359847626717</c:v>
                </c:pt>
                <c:pt idx="127">
                  <c:v>53.710737409677392</c:v>
                </c:pt>
                <c:pt idx="128">
                  <c:v>51.517333730599709</c:v>
                </c:pt>
                <c:pt idx="129">
                  <c:v>52.613779576535912</c:v>
                </c:pt>
                <c:pt idx="130">
                  <c:v>55.665782673968245</c:v>
                </c:pt>
                <c:pt idx="131">
                  <c:v>42.224525564770722</c:v>
                </c:pt>
                <c:pt idx="132">
                  <c:v>36.4645341325567</c:v>
                </c:pt>
                <c:pt idx="133">
                  <c:v>50.700655922766309</c:v>
                </c:pt>
                <c:pt idx="134">
                  <c:v>52.482576914158116</c:v>
                </c:pt>
                <c:pt idx="135">
                  <c:v>48.911014398630492</c:v>
                </c:pt>
                <c:pt idx="136">
                  <c:v>53.51926633088366</c:v>
                </c:pt>
                <c:pt idx="137">
                  <c:v>51.295325120212482</c:v>
                </c:pt>
                <c:pt idx="138">
                  <c:v>49.769348167315762</c:v>
                </c:pt>
                <c:pt idx="139">
                  <c:v>48.256540809224873</c:v>
                </c:pt>
                <c:pt idx="140">
                  <c:v>52.851064620284724</c:v>
                </c:pt>
                <c:pt idx="141">
                  <c:v>40.205337554903068</c:v>
                </c:pt>
                <c:pt idx="142">
                  <c:v>16.724239786804656</c:v>
                </c:pt>
                <c:pt idx="143">
                  <c:v>14.534371705301627</c:v>
                </c:pt>
                <c:pt idx="144">
                  <c:v>40.162748276779709</c:v>
                </c:pt>
                <c:pt idx="145">
                  <c:v>29.52249351929958</c:v>
                </c:pt>
                <c:pt idx="146">
                  <c:v>43.977616064830649</c:v>
                </c:pt>
                <c:pt idx="147">
                  <c:v>51.888547174001275</c:v>
                </c:pt>
                <c:pt idx="148">
                  <c:v>57.000931424587961</c:v>
                </c:pt>
                <c:pt idx="149">
                  <c:v>44.395941816909236</c:v>
                </c:pt>
                <c:pt idx="150">
                  <c:v>53.495744598523849</c:v>
                </c:pt>
                <c:pt idx="151">
                  <c:v>55.477087745446632</c:v>
                </c:pt>
                <c:pt idx="152">
                  <c:v>38.465647747899794</c:v>
                </c:pt>
                <c:pt idx="153">
                  <c:v>54.074628062939638</c:v>
                </c:pt>
                <c:pt idx="154">
                  <c:v>24.516265148988648</c:v>
                </c:pt>
                <c:pt idx="155">
                  <c:v>28.321285953182183</c:v>
                </c:pt>
                <c:pt idx="156">
                  <c:v>47.709757411616621</c:v>
                </c:pt>
                <c:pt idx="157">
                  <c:v>26.492955824136985</c:v>
                </c:pt>
                <c:pt idx="158">
                  <c:v>20.469058916934245</c:v>
                </c:pt>
                <c:pt idx="159">
                  <c:v>48.429746619474109</c:v>
                </c:pt>
                <c:pt idx="160">
                  <c:v>55.693793615334798</c:v>
                </c:pt>
                <c:pt idx="161">
                  <c:v>54.191250935022332</c:v>
                </c:pt>
                <c:pt idx="162">
                  <c:v>44.804473713544354</c:v>
                </c:pt>
                <c:pt idx="163">
                  <c:v>49.257716767021321</c:v>
                </c:pt>
                <c:pt idx="164">
                  <c:v>48.452623998580634</c:v>
                </c:pt>
                <c:pt idx="165">
                  <c:v>51.668210797699921</c:v>
                </c:pt>
                <c:pt idx="166">
                  <c:v>49.837172024707577</c:v>
                </c:pt>
                <c:pt idx="167">
                  <c:v>50.79124079445171</c:v>
                </c:pt>
                <c:pt idx="168">
                  <c:v>53.661809587522868</c:v>
                </c:pt>
                <c:pt idx="169">
                  <c:v>54.610214253576999</c:v>
                </c:pt>
                <c:pt idx="170">
                  <c:v>28.687004630783594</c:v>
                </c:pt>
                <c:pt idx="171">
                  <c:v>18.978363597532379</c:v>
                </c:pt>
                <c:pt idx="172">
                  <c:v>40.062950787259389</c:v>
                </c:pt>
                <c:pt idx="173">
                  <c:v>41.676122769753825</c:v>
                </c:pt>
                <c:pt idx="174">
                  <c:v>38.999973589685283</c:v>
                </c:pt>
                <c:pt idx="175">
                  <c:v>39.010148306369899</c:v>
                </c:pt>
                <c:pt idx="176">
                  <c:v>10.249639403255129</c:v>
                </c:pt>
                <c:pt idx="177">
                  <c:v>15.312953083861593</c:v>
                </c:pt>
                <c:pt idx="178">
                  <c:v>54.020794196914153</c:v>
                </c:pt>
                <c:pt idx="179">
                  <c:v>55.037834672718816</c:v>
                </c:pt>
                <c:pt idx="180">
                  <c:v>12.143382499353253</c:v>
                </c:pt>
                <c:pt idx="181">
                  <c:v>38.707557976760228</c:v>
                </c:pt>
                <c:pt idx="182">
                  <c:v>54.304361161436574</c:v>
                </c:pt>
                <c:pt idx="183">
                  <c:v>49.323782486780942</c:v>
                </c:pt>
                <c:pt idx="184">
                  <c:v>41.691135918813814</c:v>
                </c:pt>
                <c:pt idx="185">
                  <c:v>53.506551204119646</c:v>
                </c:pt>
                <c:pt idx="186">
                  <c:v>38.082437488283382</c:v>
                </c:pt>
                <c:pt idx="187">
                  <c:v>53.195481564948587</c:v>
                </c:pt>
                <c:pt idx="188">
                  <c:v>54.318403079015553</c:v>
                </c:pt>
                <c:pt idx="189">
                  <c:v>53.97495969623607</c:v>
                </c:pt>
                <c:pt idx="190">
                  <c:v>53.588046175261326</c:v>
                </c:pt>
                <c:pt idx="191">
                  <c:v>52.753839417155973</c:v>
                </c:pt>
                <c:pt idx="192">
                  <c:v>51.627043566443561</c:v>
                </c:pt>
                <c:pt idx="193">
                  <c:v>51.685118253691122</c:v>
                </c:pt>
                <c:pt idx="194">
                  <c:v>51.443181505320489</c:v>
                </c:pt>
                <c:pt idx="195">
                  <c:v>49.008800432683422</c:v>
                </c:pt>
                <c:pt idx="196">
                  <c:v>50.160247317956433</c:v>
                </c:pt>
                <c:pt idx="197">
                  <c:v>50.716220085587388</c:v>
                </c:pt>
                <c:pt idx="198">
                  <c:v>52.75903537600918</c:v>
                </c:pt>
                <c:pt idx="199">
                  <c:v>31.809812238388119</c:v>
                </c:pt>
                <c:pt idx="200">
                  <c:v>38.647364048720725</c:v>
                </c:pt>
                <c:pt idx="201">
                  <c:v>50.436434821927364</c:v>
                </c:pt>
                <c:pt idx="202">
                  <c:v>42.372319294768204</c:v>
                </c:pt>
                <c:pt idx="203">
                  <c:v>37.373398481138274</c:v>
                </c:pt>
                <c:pt idx="204">
                  <c:v>50.789992832714582</c:v>
                </c:pt>
                <c:pt idx="205">
                  <c:v>27.161227039162998</c:v>
                </c:pt>
                <c:pt idx="206">
                  <c:v>42.784042653771493</c:v>
                </c:pt>
                <c:pt idx="207">
                  <c:v>52.693227294014811</c:v>
                </c:pt>
                <c:pt idx="208">
                  <c:v>42.008538321475108</c:v>
                </c:pt>
                <c:pt idx="209">
                  <c:v>24.748169245553736</c:v>
                </c:pt>
                <c:pt idx="210">
                  <c:v>41.077373104438635</c:v>
                </c:pt>
                <c:pt idx="211">
                  <c:v>51.427435387146481</c:v>
                </c:pt>
                <c:pt idx="212">
                  <c:v>51.109636154396789</c:v>
                </c:pt>
                <c:pt idx="213">
                  <c:v>51.328186538878732</c:v>
                </c:pt>
                <c:pt idx="214">
                  <c:v>51.431732639988596</c:v>
                </c:pt>
                <c:pt idx="215">
                  <c:v>48.897202930383614</c:v>
                </c:pt>
                <c:pt idx="216">
                  <c:v>39.480773600607051</c:v>
                </c:pt>
                <c:pt idx="217">
                  <c:v>46.838142866491772</c:v>
                </c:pt>
                <c:pt idx="218">
                  <c:v>49.5782601931991</c:v>
                </c:pt>
                <c:pt idx="219">
                  <c:v>50.484534353707069</c:v>
                </c:pt>
                <c:pt idx="220">
                  <c:v>48.838870183321738</c:v>
                </c:pt>
                <c:pt idx="221">
                  <c:v>47.494255389565794</c:v>
                </c:pt>
                <c:pt idx="222">
                  <c:v>45.452762250078067</c:v>
                </c:pt>
                <c:pt idx="223">
                  <c:v>45.858298979597087</c:v>
                </c:pt>
                <c:pt idx="224">
                  <c:v>34.464770148680515</c:v>
                </c:pt>
                <c:pt idx="225">
                  <c:v>34.342175339952796</c:v>
                </c:pt>
                <c:pt idx="226">
                  <c:v>32.074682507889122</c:v>
                </c:pt>
                <c:pt idx="227">
                  <c:v>36.877836148785995</c:v>
                </c:pt>
                <c:pt idx="228">
                  <c:v>23.037856184571783</c:v>
                </c:pt>
                <c:pt idx="229">
                  <c:v>30.876562741519695</c:v>
                </c:pt>
                <c:pt idx="230">
                  <c:v>32.248008564979074</c:v>
                </c:pt>
                <c:pt idx="231">
                  <c:v>47.077944757007671</c:v>
                </c:pt>
                <c:pt idx="232">
                  <c:v>37.292840382910754</c:v>
                </c:pt>
                <c:pt idx="233">
                  <c:v>26.191857389673693</c:v>
                </c:pt>
                <c:pt idx="234">
                  <c:v>40.756576825909768</c:v>
                </c:pt>
                <c:pt idx="235">
                  <c:v>47.668937920271141</c:v>
                </c:pt>
                <c:pt idx="236">
                  <c:v>26.843739923461541</c:v>
                </c:pt>
                <c:pt idx="237">
                  <c:v>34.308582267186502</c:v>
                </c:pt>
                <c:pt idx="238">
                  <c:v>43.425223365385136</c:v>
                </c:pt>
                <c:pt idx="239">
                  <c:v>46.432633841574273</c:v>
                </c:pt>
                <c:pt idx="240">
                  <c:v>31.155761115643386</c:v>
                </c:pt>
                <c:pt idx="241">
                  <c:v>45.8298387088144</c:v>
                </c:pt>
                <c:pt idx="242">
                  <c:v>19.308457972469615</c:v>
                </c:pt>
                <c:pt idx="243">
                  <c:v>40.982995512234275</c:v>
                </c:pt>
                <c:pt idx="244">
                  <c:v>36.268249706117366</c:v>
                </c:pt>
                <c:pt idx="245">
                  <c:v>30.467936745025106</c:v>
                </c:pt>
                <c:pt idx="246">
                  <c:v>46.276081984763664</c:v>
                </c:pt>
                <c:pt idx="247">
                  <c:v>39.641424290776364</c:v>
                </c:pt>
                <c:pt idx="248">
                  <c:v>43.09656396672267</c:v>
                </c:pt>
                <c:pt idx="249">
                  <c:v>33.577896345221518</c:v>
                </c:pt>
                <c:pt idx="250">
                  <c:v>38.27495828571071</c:v>
                </c:pt>
                <c:pt idx="251">
                  <c:v>16.152521194470012</c:v>
                </c:pt>
                <c:pt idx="252">
                  <c:v>42.394910901707668</c:v>
                </c:pt>
                <c:pt idx="253">
                  <c:v>44.535327447233229</c:v>
                </c:pt>
                <c:pt idx="254">
                  <c:v>34.310335325619896</c:v>
                </c:pt>
                <c:pt idx="255">
                  <c:v>10.829285398339957</c:v>
                </c:pt>
                <c:pt idx="256">
                  <c:v>36.325049775432667</c:v>
                </c:pt>
                <c:pt idx="257">
                  <c:v>40.597681005224686</c:v>
                </c:pt>
                <c:pt idx="258">
                  <c:v>24.154875366742555</c:v>
                </c:pt>
                <c:pt idx="259">
                  <c:v>44.463215022011845</c:v>
                </c:pt>
                <c:pt idx="260">
                  <c:v>43.760564807210763</c:v>
                </c:pt>
                <c:pt idx="261">
                  <c:v>42.1931118268365</c:v>
                </c:pt>
                <c:pt idx="262">
                  <c:v>42.191998147165947</c:v>
                </c:pt>
                <c:pt idx="263">
                  <c:v>43.600473156663085</c:v>
                </c:pt>
                <c:pt idx="264">
                  <c:v>42.459314773398759</c:v>
                </c:pt>
                <c:pt idx="265">
                  <c:v>31.947099819532674</c:v>
                </c:pt>
                <c:pt idx="266">
                  <c:v>21.434559678725449</c:v>
                </c:pt>
                <c:pt idx="267">
                  <c:v>32.443027844163389</c:v>
                </c:pt>
                <c:pt idx="268">
                  <c:v>33.768749985561179</c:v>
                </c:pt>
                <c:pt idx="269">
                  <c:v>14.463471982737007</c:v>
                </c:pt>
                <c:pt idx="270">
                  <c:v>14.531314930173977</c:v>
                </c:pt>
                <c:pt idx="271">
                  <c:v>20.602545803387933</c:v>
                </c:pt>
                <c:pt idx="272">
                  <c:v>28.464888554436047</c:v>
                </c:pt>
                <c:pt idx="273">
                  <c:v>33.352372219539994</c:v>
                </c:pt>
                <c:pt idx="274">
                  <c:v>37.75147123017328</c:v>
                </c:pt>
                <c:pt idx="275">
                  <c:v>33.588218745245399</c:v>
                </c:pt>
                <c:pt idx="276">
                  <c:v>40.071842268434509</c:v>
                </c:pt>
                <c:pt idx="277">
                  <c:v>39.760045102242486</c:v>
                </c:pt>
                <c:pt idx="278">
                  <c:v>14.14220629756443</c:v>
                </c:pt>
                <c:pt idx="279">
                  <c:v>29.954247079493097</c:v>
                </c:pt>
                <c:pt idx="280">
                  <c:v>14.437008057855124</c:v>
                </c:pt>
                <c:pt idx="281">
                  <c:v>37.786096361995384</c:v>
                </c:pt>
                <c:pt idx="282">
                  <c:v>32.973715947077743</c:v>
                </c:pt>
                <c:pt idx="283">
                  <c:v>23.726722346835285</c:v>
                </c:pt>
                <c:pt idx="284">
                  <c:v>22.581580498258045</c:v>
                </c:pt>
                <c:pt idx="285">
                  <c:v>23.223159304555772</c:v>
                </c:pt>
                <c:pt idx="286">
                  <c:v>14.460285171702285</c:v>
                </c:pt>
                <c:pt idx="287">
                  <c:v>36.868057469774477</c:v>
                </c:pt>
                <c:pt idx="288">
                  <c:v>32.927812397523525</c:v>
                </c:pt>
                <c:pt idx="289">
                  <c:v>18.070097994635397</c:v>
                </c:pt>
                <c:pt idx="290">
                  <c:v>34.349461533472869</c:v>
                </c:pt>
                <c:pt idx="291">
                  <c:v>15.356476600529481</c:v>
                </c:pt>
                <c:pt idx="292">
                  <c:v>11.932762986996181</c:v>
                </c:pt>
                <c:pt idx="293">
                  <c:v>16.215137444365258</c:v>
                </c:pt>
                <c:pt idx="294">
                  <c:v>33.77612629123005</c:v>
                </c:pt>
                <c:pt idx="295">
                  <c:v>19.838440073909211</c:v>
                </c:pt>
                <c:pt idx="296">
                  <c:v>28.431144363105336</c:v>
                </c:pt>
                <c:pt idx="297">
                  <c:v>22.116391743046258</c:v>
                </c:pt>
                <c:pt idx="298">
                  <c:v>15.221015229164166</c:v>
                </c:pt>
                <c:pt idx="299">
                  <c:v>15.401072023227016</c:v>
                </c:pt>
                <c:pt idx="300">
                  <c:v>16.837424115368282</c:v>
                </c:pt>
                <c:pt idx="301">
                  <c:v>27.058858165563301</c:v>
                </c:pt>
                <c:pt idx="302">
                  <c:v>24.134384053323132</c:v>
                </c:pt>
                <c:pt idx="303">
                  <c:v>23.479361732169249</c:v>
                </c:pt>
                <c:pt idx="304">
                  <c:v>25.231406149955163</c:v>
                </c:pt>
                <c:pt idx="305">
                  <c:v>28.017063599184098</c:v>
                </c:pt>
                <c:pt idx="306">
                  <c:v>8.7855731948811595</c:v>
                </c:pt>
                <c:pt idx="307">
                  <c:v>12.259936675048511</c:v>
                </c:pt>
                <c:pt idx="308">
                  <c:v>29.713932676350893</c:v>
                </c:pt>
                <c:pt idx="309">
                  <c:v>30.741013294990456</c:v>
                </c:pt>
                <c:pt idx="310">
                  <c:v>30.839645912079288</c:v>
                </c:pt>
                <c:pt idx="311">
                  <c:v>19.965978212438959</c:v>
                </c:pt>
                <c:pt idx="312">
                  <c:v>11.834780581802383</c:v>
                </c:pt>
                <c:pt idx="313">
                  <c:v>20.659837213345259</c:v>
                </c:pt>
                <c:pt idx="314">
                  <c:v>28.037663364150244</c:v>
                </c:pt>
                <c:pt idx="315">
                  <c:v>27.808898961634675</c:v>
                </c:pt>
                <c:pt idx="316">
                  <c:v>27.952990416553778</c:v>
                </c:pt>
                <c:pt idx="317">
                  <c:v>11.872951393525033</c:v>
                </c:pt>
                <c:pt idx="318">
                  <c:v>12.994548449750283</c:v>
                </c:pt>
                <c:pt idx="319">
                  <c:v>27.368793579408312</c:v>
                </c:pt>
                <c:pt idx="320">
                  <c:v>12.027283454527112</c:v>
                </c:pt>
                <c:pt idx="321">
                  <c:v>13.828608221055847</c:v>
                </c:pt>
                <c:pt idx="322">
                  <c:v>5.7893380928171778</c:v>
                </c:pt>
                <c:pt idx="323">
                  <c:v>19.206488294381746</c:v>
                </c:pt>
                <c:pt idx="324">
                  <c:v>3.0948962866514309</c:v>
                </c:pt>
                <c:pt idx="325">
                  <c:v>9.4671840134675271</c:v>
                </c:pt>
                <c:pt idx="326">
                  <c:v>12.940124446718361</c:v>
                </c:pt>
                <c:pt idx="327">
                  <c:v>13.549394818201716</c:v>
                </c:pt>
                <c:pt idx="328">
                  <c:v>3.9753840935156224</c:v>
                </c:pt>
                <c:pt idx="329">
                  <c:v>14.057641418724401</c:v>
                </c:pt>
                <c:pt idx="330">
                  <c:v>15.883231630766934</c:v>
                </c:pt>
                <c:pt idx="331">
                  <c:v>8.9621226514640941</c:v>
                </c:pt>
                <c:pt idx="332">
                  <c:v>9.970478365921716</c:v>
                </c:pt>
                <c:pt idx="333">
                  <c:v>4.4463990920287717</c:v>
                </c:pt>
                <c:pt idx="334">
                  <c:v>3.3002443556614658</c:v>
                </c:pt>
                <c:pt idx="335">
                  <c:v>5.7589028246873477</c:v>
                </c:pt>
                <c:pt idx="336">
                  <c:v>10.645394322169267</c:v>
                </c:pt>
                <c:pt idx="337">
                  <c:v>20.838678537928534</c:v>
                </c:pt>
                <c:pt idx="338">
                  <c:v>24.699909559116708</c:v>
                </c:pt>
                <c:pt idx="339">
                  <c:v>15.656950496087724</c:v>
                </c:pt>
                <c:pt idx="340">
                  <c:v>18.323947972952674</c:v>
                </c:pt>
                <c:pt idx="341">
                  <c:v>4.4656288336198049</c:v>
                </c:pt>
                <c:pt idx="342">
                  <c:v>9.0270409548591726</c:v>
                </c:pt>
                <c:pt idx="343">
                  <c:v>15.101373953077243</c:v>
                </c:pt>
                <c:pt idx="344">
                  <c:v>14.3973188255554</c:v>
                </c:pt>
                <c:pt idx="345">
                  <c:v>6.6421365579199572</c:v>
                </c:pt>
                <c:pt idx="346">
                  <c:v>6.2219638287924575</c:v>
                </c:pt>
                <c:pt idx="347">
                  <c:v>14.603707824547616</c:v>
                </c:pt>
                <c:pt idx="348">
                  <c:v>6.9497876467713606</c:v>
                </c:pt>
                <c:pt idx="349">
                  <c:v>4.9839673107902778</c:v>
                </c:pt>
                <c:pt idx="350">
                  <c:v>2.7783687447940557</c:v>
                </c:pt>
                <c:pt idx="351">
                  <c:v>18.785996622488266</c:v>
                </c:pt>
                <c:pt idx="352">
                  <c:v>16.797538860083048</c:v>
                </c:pt>
                <c:pt idx="353">
                  <c:v>3.761848513713546</c:v>
                </c:pt>
                <c:pt idx="354">
                  <c:v>19.174213677103563</c:v>
                </c:pt>
                <c:pt idx="355">
                  <c:v>18.749369201242718</c:v>
                </c:pt>
                <c:pt idx="356">
                  <c:v>18.878155138351115</c:v>
                </c:pt>
                <c:pt idx="357">
                  <c:v>20.045125857586662</c:v>
                </c:pt>
                <c:pt idx="358">
                  <c:v>11.249020356032631</c:v>
                </c:pt>
                <c:pt idx="359">
                  <c:v>19.204171533174787</c:v>
                </c:pt>
                <c:pt idx="360">
                  <c:v>6.502575496724738</c:v>
                </c:pt>
                <c:pt idx="361">
                  <c:v>20.906135514048547</c:v>
                </c:pt>
                <c:pt idx="362">
                  <c:v>10.637640129177147</c:v>
                </c:pt>
                <c:pt idx="363">
                  <c:v>14.518822377409483</c:v>
                </c:pt>
                <c:pt idx="364">
                  <c:v>12.499340101975104</c:v>
                </c:pt>
                <c:pt idx="365">
                  <c:v>15.122139527079382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'2028'!$W$14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'2028'!$W$15:$W$380</c:f>
              <c:numCache>
                <c:formatCode>0.00</c:formatCode>
                <c:ptCount val="366"/>
                <c:pt idx="0">
                  <c:v>23.679821895356731</c:v>
                </c:pt>
                <c:pt idx="1">
                  <c:v>16.028255976387381</c:v>
                </c:pt>
                <c:pt idx="2">
                  <c:v>18.170331496766241</c:v>
                </c:pt>
                <c:pt idx="3">
                  <c:v>18.46395038172971</c:v>
                </c:pt>
                <c:pt idx="4">
                  <c:v>13.34671130265972</c:v>
                </c:pt>
                <c:pt idx="5">
                  <c:v>25.095825540344769</c:v>
                </c:pt>
                <c:pt idx="6">
                  <c:v>8.6205351628219908</c:v>
                </c:pt>
                <c:pt idx="7">
                  <c:v>5.998997081184112</c:v>
                </c:pt>
                <c:pt idx="8">
                  <c:v>1.7103645348769725</c:v>
                </c:pt>
                <c:pt idx="9">
                  <c:v>1.3760553721378714</c:v>
                </c:pt>
                <c:pt idx="10">
                  <c:v>23.917277228804728</c:v>
                </c:pt>
                <c:pt idx="11">
                  <c:v>20.436400626411757</c:v>
                </c:pt>
                <c:pt idx="12">
                  <c:v>6.2006522630964298</c:v>
                </c:pt>
                <c:pt idx="13">
                  <c:v>26.604289008059553</c:v>
                </c:pt>
                <c:pt idx="14">
                  <c:v>27.390259652206126</c:v>
                </c:pt>
                <c:pt idx="15">
                  <c:v>27.09623563081049</c:v>
                </c:pt>
                <c:pt idx="16">
                  <c:v>17.550628833998601</c:v>
                </c:pt>
                <c:pt idx="17">
                  <c:v>4.6174670989574578</c:v>
                </c:pt>
                <c:pt idx="18">
                  <c:v>11.664857646695456</c:v>
                </c:pt>
                <c:pt idx="19">
                  <c:v>4.8368455447326708</c:v>
                </c:pt>
                <c:pt idx="20">
                  <c:v>18.464276416119851</c:v>
                </c:pt>
                <c:pt idx="21">
                  <c:v>28.545051791498128</c:v>
                </c:pt>
                <c:pt idx="22">
                  <c:v>28.890821900511369</c:v>
                </c:pt>
                <c:pt idx="23">
                  <c:v>29.391844511745056</c:v>
                </c:pt>
                <c:pt idx="24">
                  <c:v>27.451149762218023</c:v>
                </c:pt>
                <c:pt idx="25">
                  <c:v>29.568613187474106</c:v>
                </c:pt>
                <c:pt idx="26">
                  <c:v>29.363224945670673</c:v>
                </c:pt>
                <c:pt idx="27">
                  <c:v>4.0050515948739349</c:v>
                </c:pt>
                <c:pt idx="28">
                  <c:v>6.164787830345249</c:v>
                </c:pt>
                <c:pt idx="29">
                  <c:v>5.5587899299954975</c:v>
                </c:pt>
                <c:pt idx="30">
                  <c:v>6.9540067495387454</c:v>
                </c:pt>
                <c:pt idx="31">
                  <c:v>17.445481488466502</c:v>
                </c:pt>
                <c:pt idx="32">
                  <c:v>6.4037276643007868</c:v>
                </c:pt>
                <c:pt idx="33">
                  <c:v>15.127828071137934</c:v>
                </c:pt>
                <c:pt idx="34">
                  <c:v>13.663215632208614</c:v>
                </c:pt>
                <c:pt idx="35">
                  <c:v>10.036187991349163</c:v>
                </c:pt>
                <c:pt idx="36">
                  <c:v>26.416424360179924</c:v>
                </c:pt>
                <c:pt idx="37">
                  <c:v>11.928517665079026</c:v>
                </c:pt>
                <c:pt idx="38">
                  <c:v>34.333945302852726</c:v>
                </c:pt>
                <c:pt idx="39">
                  <c:v>34.960014878417361</c:v>
                </c:pt>
                <c:pt idx="40">
                  <c:v>32.97681725013571</c:v>
                </c:pt>
                <c:pt idx="41">
                  <c:v>13.832177234096989</c:v>
                </c:pt>
                <c:pt idx="42">
                  <c:v>26.231581921378872</c:v>
                </c:pt>
                <c:pt idx="43">
                  <c:v>33.196221239322206</c:v>
                </c:pt>
                <c:pt idx="44">
                  <c:v>15.804649885476678</c:v>
                </c:pt>
                <c:pt idx="45">
                  <c:v>20.884020384070809</c:v>
                </c:pt>
                <c:pt idx="46">
                  <c:v>8.9152692468595856</c:v>
                </c:pt>
                <c:pt idx="47">
                  <c:v>9.8360930246421781</c:v>
                </c:pt>
                <c:pt idx="48">
                  <c:v>32.766433545115341</c:v>
                </c:pt>
                <c:pt idx="49">
                  <c:v>15.019007181462214</c:v>
                </c:pt>
                <c:pt idx="50">
                  <c:v>26.058920142342473</c:v>
                </c:pt>
                <c:pt idx="51">
                  <c:v>19.528743685761679</c:v>
                </c:pt>
                <c:pt idx="52">
                  <c:v>32.330585509899613</c:v>
                </c:pt>
                <c:pt idx="53">
                  <c:v>37.432063074954627</c:v>
                </c:pt>
                <c:pt idx="54">
                  <c:v>24.050117210903196</c:v>
                </c:pt>
                <c:pt idx="55">
                  <c:v>26.153925054039995</c:v>
                </c:pt>
                <c:pt idx="56">
                  <c:v>40.489845018113783</c:v>
                </c:pt>
                <c:pt idx="57">
                  <c:v>21.44088366061515</c:v>
                </c:pt>
                <c:pt idx="58">
                  <c:v>37.104120123827499</c:v>
                </c:pt>
                <c:pt idx="59">
                  <c:v>41.072949616429788</c:v>
                </c:pt>
                <c:pt idx="60">
                  <c:v>14.232996109563146</c:v>
                </c:pt>
                <c:pt idx="61">
                  <c:v>37.097282474292186</c:v>
                </c:pt>
                <c:pt idx="62">
                  <c:v>4.940223347059935</c:v>
                </c:pt>
                <c:pt idx="63">
                  <c:v>15.206973149723758</c:v>
                </c:pt>
                <c:pt idx="64">
                  <c:v>21.927871923208492</c:v>
                </c:pt>
                <c:pt idx="65">
                  <c:v>34.173020208787285</c:v>
                </c:pt>
                <c:pt idx="66">
                  <c:v>34.552382772869173</c:v>
                </c:pt>
                <c:pt idx="67">
                  <c:v>31.481640788975266</c:v>
                </c:pt>
                <c:pt idx="68">
                  <c:v>25.317621262719495</c:v>
                </c:pt>
                <c:pt idx="69">
                  <c:v>17.712180530240435</c:v>
                </c:pt>
                <c:pt idx="70">
                  <c:v>12.919255104319529</c:v>
                </c:pt>
                <c:pt idx="71">
                  <c:v>9.5951404096626689</c:v>
                </c:pt>
                <c:pt idx="72">
                  <c:v>13.002693713116138</c:v>
                </c:pt>
                <c:pt idx="73">
                  <c:v>15.888625882032713</c:v>
                </c:pt>
                <c:pt idx="74">
                  <c:v>11.581740906025161</c:v>
                </c:pt>
                <c:pt idx="75">
                  <c:v>9.9681920623964722</c:v>
                </c:pt>
                <c:pt idx="76">
                  <c:v>13.088671710335712</c:v>
                </c:pt>
                <c:pt idx="77">
                  <c:v>27.273532436526541</c:v>
                </c:pt>
                <c:pt idx="78">
                  <c:v>31.930612265174894</c:v>
                </c:pt>
                <c:pt idx="79">
                  <c:v>44.475787068368291</c:v>
                </c:pt>
                <c:pt idx="80">
                  <c:v>40.878922779659071</c:v>
                </c:pt>
                <c:pt idx="81">
                  <c:v>48.2057682348185</c:v>
                </c:pt>
                <c:pt idx="82">
                  <c:v>47.113266563084444</c:v>
                </c:pt>
                <c:pt idx="83">
                  <c:v>37.167531985573717</c:v>
                </c:pt>
                <c:pt idx="84">
                  <c:v>42.487576806493067</c:v>
                </c:pt>
                <c:pt idx="85">
                  <c:v>45.069663488249248</c:v>
                </c:pt>
                <c:pt idx="86">
                  <c:v>38.460892243733113</c:v>
                </c:pt>
                <c:pt idx="87">
                  <c:v>26.818427585504192</c:v>
                </c:pt>
                <c:pt idx="88">
                  <c:v>6.0735884281651282</c:v>
                </c:pt>
                <c:pt idx="89">
                  <c:v>16.813863516578603</c:v>
                </c:pt>
                <c:pt idx="90">
                  <c:v>31.744847765265064</c:v>
                </c:pt>
                <c:pt idx="91">
                  <c:v>16.773991061199624</c:v>
                </c:pt>
                <c:pt idx="92">
                  <c:v>31.206241320492612</c:v>
                </c:pt>
                <c:pt idx="93">
                  <c:v>43.211536931001127</c:v>
                </c:pt>
                <c:pt idx="94">
                  <c:v>51.102294936270987</c:v>
                </c:pt>
                <c:pt idx="95">
                  <c:v>11.760294749822844</c:v>
                </c:pt>
                <c:pt idx="96">
                  <c:v>42.772159412806268</c:v>
                </c:pt>
                <c:pt idx="97">
                  <c:v>37.357964718804944</c:v>
                </c:pt>
                <c:pt idx="98">
                  <c:v>30.115416678561008</c:v>
                </c:pt>
                <c:pt idx="99">
                  <c:v>54.617147151065623</c:v>
                </c:pt>
                <c:pt idx="100">
                  <c:v>43.570735088257486</c:v>
                </c:pt>
                <c:pt idx="101">
                  <c:v>38.21711602903676</c:v>
                </c:pt>
                <c:pt idx="102">
                  <c:v>5.921771843627667</c:v>
                </c:pt>
                <c:pt idx="103">
                  <c:v>42.763582059195912</c:v>
                </c:pt>
                <c:pt idx="104">
                  <c:v>43.75711176841488</c:v>
                </c:pt>
                <c:pt idx="105">
                  <c:v>35.802142883191372</c:v>
                </c:pt>
                <c:pt idx="106">
                  <c:v>52.718978980453379</c:v>
                </c:pt>
                <c:pt idx="107">
                  <c:v>34.346157285118608</c:v>
                </c:pt>
                <c:pt idx="108">
                  <c:v>9.2023282759338585</c:v>
                </c:pt>
                <c:pt idx="109">
                  <c:v>9.4772137106529293</c:v>
                </c:pt>
                <c:pt idx="110">
                  <c:v>8.7210795971881545</c:v>
                </c:pt>
                <c:pt idx="111">
                  <c:v>26.929633750517212</c:v>
                </c:pt>
                <c:pt idx="112">
                  <c:v>9.2156396330928843</c:v>
                </c:pt>
                <c:pt idx="113">
                  <c:v>26.143314002005024</c:v>
                </c:pt>
                <c:pt idx="114">
                  <c:v>41.240517602622056</c:v>
                </c:pt>
                <c:pt idx="115">
                  <c:v>52.938852462307025</c:v>
                </c:pt>
                <c:pt idx="116">
                  <c:v>40.677946313113495</c:v>
                </c:pt>
                <c:pt idx="117">
                  <c:v>22.820992516481176</c:v>
                </c:pt>
                <c:pt idx="118">
                  <c:v>40.900180684546669</c:v>
                </c:pt>
                <c:pt idx="119">
                  <c:v>38.891971472441327</c:v>
                </c:pt>
                <c:pt idx="120">
                  <c:v>44.330297266872293</c:v>
                </c:pt>
                <c:pt idx="121">
                  <c:v>25.161503252362859</c:v>
                </c:pt>
                <c:pt idx="122">
                  <c:v>30.922977031946751</c:v>
                </c:pt>
                <c:pt idx="123">
                  <c:v>15.64514233115664</c:v>
                </c:pt>
                <c:pt idx="124">
                  <c:v>33.923852597821082</c:v>
                </c:pt>
                <c:pt idx="125">
                  <c:v>38.839147254640764</c:v>
                </c:pt>
                <c:pt idx="126">
                  <c:v>43.281359847626717</c:v>
                </c:pt>
                <c:pt idx="127">
                  <c:v>53.710737409677392</c:v>
                </c:pt>
                <c:pt idx="128">
                  <c:v>51.517333730599709</c:v>
                </c:pt>
                <c:pt idx="129">
                  <c:v>52.613779576535912</c:v>
                </c:pt>
                <c:pt idx="130">
                  <c:v>55.665782673968245</c:v>
                </c:pt>
                <c:pt idx="131">
                  <c:v>42.224525564770722</c:v>
                </c:pt>
                <c:pt idx="132">
                  <c:v>36.4645341325567</c:v>
                </c:pt>
                <c:pt idx="133">
                  <c:v>50.700655922766309</c:v>
                </c:pt>
                <c:pt idx="134">
                  <c:v>52.482576914158116</c:v>
                </c:pt>
                <c:pt idx="135">
                  <c:v>48.911014398630492</c:v>
                </c:pt>
                <c:pt idx="136">
                  <c:v>53.51926633088366</c:v>
                </c:pt>
                <c:pt idx="137">
                  <c:v>51.295325120212482</c:v>
                </c:pt>
                <c:pt idx="138">
                  <c:v>49.769348167315762</c:v>
                </c:pt>
                <c:pt idx="139">
                  <c:v>48.256540809224873</c:v>
                </c:pt>
                <c:pt idx="140">
                  <c:v>52.851064620284724</c:v>
                </c:pt>
                <c:pt idx="141">
                  <c:v>40.205337554903068</c:v>
                </c:pt>
                <c:pt idx="142">
                  <c:v>16.724239786804656</c:v>
                </c:pt>
                <c:pt idx="143">
                  <c:v>14.534371705301627</c:v>
                </c:pt>
                <c:pt idx="144">
                  <c:v>40.162748276779709</c:v>
                </c:pt>
                <c:pt idx="145">
                  <c:v>29.52249351929958</c:v>
                </c:pt>
                <c:pt idx="146">
                  <c:v>43.977616064830649</c:v>
                </c:pt>
                <c:pt idx="147">
                  <c:v>51.888547174001275</c:v>
                </c:pt>
                <c:pt idx="148">
                  <c:v>57.000931424587961</c:v>
                </c:pt>
                <c:pt idx="149">
                  <c:v>44.395941816909236</c:v>
                </c:pt>
                <c:pt idx="150">
                  <c:v>53.495744598523849</c:v>
                </c:pt>
                <c:pt idx="151">
                  <c:v>55.477087745446632</c:v>
                </c:pt>
                <c:pt idx="152">
                  <c:v>38.465647747899794</c:v>
                </c:pt>
                <c:pt idx="153">
                  <c:v>54.074628062939638</c:v>
                </c:pt>
                <c:pt idx="154">
                  <c:v>24.516265148988648</c:v>
                </c:pt>
                <c:pt idx="155">
                  <c:v>28.321285953182183</c:v>
                </c:pt>
                <c:pt idx="156">
                  <c:v>47.709757411616621</c:v>
                </c:pt>
                <c:pt idx="157">
                  <c:v>26.492955824136985</c:v>
                </c:pt>
                <c:pt idx="158">
                  <c:v>20.469058916934245</c:v>
                </c:pt>
                <c:pt idx="159">
                  <c:v>48.429746619474109</c:v>
                </c:pt>
                <c:pt idx="160">
                  <c:v>55.693793615334798</c:v>
                </c:pt>
                <c:pt idx="161">
                  <c:v>54.191250935022332</c:v>
                </c:pt>
                <c:pt idx="162">
                  <c:v>44.804473713544354</c:v>
                </c:pt>
                <c:pt idx="163">
                  <c:v>49.257716767021321</c:v>
                </c:pt>
                <c:pt idx="164">
                  <c:v>48.452623998580634</c:v>
                </c:pt>
                <c:pt idx="165">
                  <c:v>51.668210797699921</c:v>
                </c:pt>
                <c:pt idx="166">
                  <c:v>49.837172024707577</c:v>
                </c:pt>
                <c:pt idx="167">
                  <c:v>50.79124079445171</c:v>
                </c:pt>
                <c:pt idx="168">
                  <c:v>53.661809587522868</c:v>
                </c:pt>
                <c:pt idx="169">
                  <c:v>54.610214253576999</c:v>
                </c:pt>
                <c:pt idx="170">
                  <c:v>28.687004630783594</c:v>
                </c:pt>
                <c:pt idx="171">
                  <c:v>18.978363597532379</c:v>
                </c:pt>
                <c:pt idx="172">
                  <c:v>40.062950787259389</c:v>
                </c:pt>
                <c:pt idx="173">
                  <c:v>41.676122769753825</c:v>
                </c:pt>
                <c:pt idx="174">
                  <c:v>38.999973589685283</c:v>
                </c:pt>
                <c:pt idx="175">
                  <c:v>39.010148306369899</c:v>
                </c:pt>
                <c:pt idx="176">
                  <c:v>10.249639403255129</c:v>
                </c:pt>
                <c:pt idx="177">
                  <c:v>15.312953083861593</c:v>
                </c:pt>
                <c:pt idx="178">
                  <c:v>54.020794196914153</c:v>
                </c:pt>
                <c:pt idx="179">
                  <c:v>55.037834672718816</c:v>
                </c:pt>
                <c:pt idx="180">
                  <c:v>12.143382499353253</c:v>
                </c:pt>
                <c:pt idx="181">
                  <c:v>38.707557976760228</c:v>
                </c:pt>
                <c:pt idx="182">
                  <c:v>54.304361161436574</c:v>
                </c:pt>
                <c:pt idx="183">
                  <c:v>49.323782486780942</c:v>
                </c:pt>
                <c:pt idx="184">
                  <c:v>41.691135918813814</c:v>
                </c:pt>
                <c:pt idx="185">
                  <c:v>53.506551204119646</c:v>
                </c:pt>
                <c:pt idx="186">
                  <c:v>38.082437488283382</c:v>
                </c:pt>
                <c:pt idx="187">
                  <c:v>53.195481564948587</c:v>
                </c:pt>
                <c:pt idx="188">
                  <c:v>54.318403079015553</c:v>
                </c:pt>
                <c:pt idx="189">
                  <c:v>53.97495969623607</c:v>
                </c:pt>
                <c:pt idx="190">
                  <c:v>53.588046175261326</c:v>
                </c:pt>
                <c:pt idx="191">
                  <c:v>52.753839417155973</c:v>
                </c:pt>
                <c:pt idx="192">
                  <c:v>51.627043566443561</c:v>
                </c:pt>
                <c:pt idx="193">
                  <c:v>51.685118253691122</c:v>
                </c:pt>
                <c:pt idx="194">
                  <c:v>51.443181505320489</c:v>
                </c:pt>
                <c:pt idx="195">
                  <c:v>49.008800432683422</c:v>
                </c:pt>
                <c:pt idx="196">
                  <c:v>50.160247317956433</c:v>
                </c:pt>
                <c:pt idx="197">
                  <c:v>50.716220085587388</c:v>
                </c:pt>
                <c:pt idx="198">
                  <c:v>52.75903537600918</c:v>
                </c:pt>
                <c:pt idx="199">
                  <c:v>31.809812238388119</c:v>
                </c:pt>
                <c:pt idx="200">
                  <c:v>38.647364048720725</c:v>
                </c:pt>
                <c:pt idx="201">
                  <c:v>50.436434821927364</c:v>
                </c:pt>
                <c:pt idx="202">
                  <c:v>42.372319294768204</c:v>
                </c:pt>
                <c:pt idx="203">
                  <c:v>37.373398481138274</c:v>
                </c:pt>
                <c:pt idx="204">
                  <c:v>50.789992832714582</c:v>
                </c:pt>
                <c:pt idx="205">
                  <c:v>27.161227039162998</c:v>
                </c:pt>
                <c:pt idx="206">
                  <c:v>42.784042653771493</c:v>
                </c:pt>
                <c:pt idx="207">
                  <c:v>52.693227294014811</c:v>
                </c:pt>
                <c:pt idx="208">
                  <c:v>42.008538321475108</c:v>
                </c:pt>
                <c:pt idx="209">
                  <c:v>24.748169245553736</c:v>
                </c:pt>
                <c:pt idx="210">
                  <c:v>41.077373104438635</c:v>
                </c:pt>
                <c:pt idx="211">
                  <c:v>51.427435387146481</c:v>
                </c:pt>
                <c:pt idx="212">
                  <c:v>51.109636154396789</c:v>
                </c:pt>
                <c:pt idx="213">
                  <c:v>51.328186538878732</c:v>
                </c:pt>
                <c:pt idx="214">
                  <c:v>51.431732639988596</c:v>
                </c:pt>
                <c:pt idx="215">
                  <c:v>48.897202930383614</c:v>
                </c:pt>
                <c:pt idx="216">
                  <c:v>39.480773600607051</c:v>
                </c:pt>
                <c:pt idx="217">
                  <c:v>46.838142866491772</c:v>
                </c:pt>
                <c:pt idx="218">
                  <c:v>49.5782601931991</c:v>
                </c:pt>
                <c:pt idx="219">
                  <c:v>50.484534353707069</c:v>
                </c:pt>
                <c:pt idx="220">
                  <c:v>48.838870183321738</c:v>
                </c:pt>
                <c:pt idx="221">
                  <c:v>47.494255389565794</c:v>
                </c:pt>
                <c:pt idx="222">
                  <c:v>45.452762250078067</c:v>
                </c:pt>
                <c:pt idx="223">
                  <c:v>45.858298979597087</c:v>
                </c:pt>
                <c:pt idx="224">
                  <c:v>34.464770148680515</c:v>
                </c:pt>
                <c:pt idx="225">
                  <c:v>34.342175339952796</c:v>
                </c:pt>
                <c:pt idx="226">
                  <c:v>32.074682507889122</c:v>
                </c:pt>
                <c:pt idx="227">
                  <c:v>36.877836148785995</c:v>
                </c:pt>
                <c:pt idx="228">
                  <c:v>23.037856184571783</c:v>
                </c:pt>
                <c:pt idx="229">
                  <c:v>30.876562741519695</c:v>
                </c:pt>
                <c:pt idx="230">
                  <c:v>32.248008564979074</c:v>
                </c:pt>
                <c:pt idx="231">
                  <c:v>47.077944757007671</c:v>
                </c:pt>
                <c:pt idx="232">
                  <c:v>37.292840382910754</c:v>
                </c:pt>
                <c:pt idx="233">
                  <c:v>26.191857389673693</c:v>
                </c:pt>
                <c:pt idx="234">
                  <c:v>40.756576825909768</c:v>
                </c:pt>
                <c:pt idx="235">
                  <c:v>47.668937920271141</c:v>
                </c:pt>
                <c:pt idx="236">
                  <c:v>26.843739923461541</c:v>
                </c:pt>
                <c:pt idx="237">
                  <c:v>34.308582267186502</c:v>
                </c:pt>
                <c:pt idx="238">
                  <c:v>43.425223365385136</c:v>
                </c:pt>
                <c:pt idx="239">
                  <c:v>46.432633841574273</c:v>
                </c:pt>
                <c:pt idx="240">
                  <c:v>31.155761115643386</c:v>
                </c:pt>
                <c:pt idx="241">
                  <c:v>45.8298387088144</c:v>
                </c:pt>
                <c:pt idx="242">
                  <c:v>19.308457972469615</c:v>
                </c:pt>
                <c:pt idx="243">
                  <c:v>40.982995512234275</c:v>
                </c:pt>
                <c:pt idx="244">
                  <c:v>36.268249706117366</c:v>
                </c:pt>
                <c:pt idx="245">
                  <c:v>30.467936745025106</c:v>
                </c:pt>
                <c:pt idx="246">
                  <c:v>46.276081984763664</c:v>
                </c:pt>
                <c:pt idx="247">
                  <c:v>39.641424290776364</c:v>
                </c:pt>
                <c:pt idx="248">
                  <c:v>43.09656396672267</c:v>
                </c:pt>
                <c:pt idx="249">
                  <c:v>33.577896345221518</c:v>
                </c:pt>
                <c:pt idx="250">
                  <c:v>38.27495828571071</c:v>
                </c:pt>
                <c:pt idx="251">
                  <c:v>16.152521194470012</c:v>
                </c:pt>
                <c:pt idx="252">
                  <c:v>42.394910901707668</c:v>
                </c:pt>
                <c:pt idx="253">
                  <c:v>44.535327447233229</c:v>
                </c:pt>
                <c:pt idx="254">
                  <c:v>34.310335325619896</c:v>
                </c:pt>
                <c:pt idx="255">
                  <c:v>10.829285398339957</c:v>
                </c:pt>
                <c:pt idx="256">
                  <c:v>36.325049775432667</c:v>
                </c:pt>
                <c:pt idx="257">
                  <c:v>40.597681005224686</c:v>
                </c:pt>
                <c:pt idx="258">
                  <c:v>24.154875366742555</c:v>
                </c:pt>
                <c:pt idx="259">
                  <c:v>44.463215022011845</c:v>
                </c:pt>
                <c:pt idx="260">
                  <c:v>43.760564807210763</c:v>
                </c:pt>
                <c:pt idx="261">
                  <c:v>42.1931118268365</c:v>
                </c:pt>
                <c:pt idx="262">
                  <c:v>42.191998147165947</c:v>
                </c:pt>
                <c:pt idx="263">
                  <c:v>43.600473156663085</c:v>
                </c:pt>
                <c:pt idx="264">
                  <c:v>42.459314773398759</c:v>
                </c:pt>
                <c:pt idx="265">
                  <c:v>31.947099819532674</c:v>
                </c:pt>
                <c:pt idx="266">
                  <c:v>21.434559678725449</c:v>
                </c:pt>
                <c:pt idx="267">
                  <c:v>32.443027844163389</c:v>
                </c:pt>
                <c:pt idx="268">
                  <c:v>33.768749985561179</c:v>
                </c:pt>
                <c:pt idx="269">
                  <c:v>14.463471982737007</c:v>
                </c:pt>
                <c:pt idx="270">
                  <c:v>14.531314930173977</c:v>
                </c:pt>
                <c:pt idx="271">
                  <c:v>20.602545803387933</c:v>
                </c:pt>
                <c:pt idx="272">
                  <c:v>28.464888554436047</c:v>
                </c:pt>
                <c:pt idx="273">
                  <c:v>33.352372219539994</c:v>
                </c:pt>
                <c:pt idx="274">
                  <c:v>37.75147123017328</c:v>
                </c:pt>
                <c:pt idx="275">
                  <c:v>33.588218745245399</c:v>
                </c:pt>
                <c:pt idx="276">
                  <c:v>40.071842268434509</c:v>
                </c:pt>
                <c:pt idx="277">
                  <c:v>39.760045102242486</c:v>
                </c:pt>
                <c:pt idx="278">
                  <c:v>14.14220629756443</c:v>
                </c:pt>
                <c:pt idx="279">
                  <c:v>29.954247079493097</c:v>
                </c:pt>
                <c:pt idx="280">
                  <c:v>14.437008057855124</c:v>
                </c:pt>
                <c:pt idx="281">
                  <c:v>37.786096361995384</c:v>
                </c:pt>
                <c:pt idx="282">
                  <c:v>32.973715947077743</c:v>
                </c:pt>
                <c:pt idx="283">
                  <c:v>23.726722346835285</c:v>
                </c:pt>
                <c:pt idx="284">
                  <c:v>22.581580498258045</c:v>
                </c:pt>
                <c:pt idx="285">
                  <c:v>23.223159304555772</c:v>
                </c:pt>
                <c:pt idx="286">
                  <c:v>14.460285171702285</c:v>
                </c:pt>
                <c:pt idx="287">
                  <c:v>36.868057469774477</c:v>
                </c:pt>
                <c:pt idx="288">
                  <c:v>32.927812397523525</c:v>
                </c:pt>
                <c:pt idx="289">
                  <c:v>18.070097994635397</c:v>
                </c:pt>
                <c:pt idx="290">
                  <c:v>34.349461533472869</c:v>
                </c:pt>
                <c:pt idx="291">
                  <c:v>15.356476600529481</c:v>
                </c:pt>
                <c:pt idx="292">
                  <c:v>11.932762986996181</c:v>
                </c:pt>
                <c:pt idx="293">
                  <c:v>16.215137444365258</c:v>
                </c:pt>
                <c:pt idx="294">
                  <c:v>33.77612629123005</c:v>
                </c:pt>
                <c:pt idx="295">
                  <c:v>19.838440073909211</c:v>
                </c:pt>
                <c:pt idx="296">
                  <c:v>28.431144363105336</c:v>
                </c:pt>
                <c:pt idx="297">
                  <c:v>22.116391743046258</c:v>
                </c:pt>
                <c:pt idx="298">
                  <c:v>15.221015229164166</c:v>
                </c:pt>
                <c:pt idx="299">
                  <c:v>15.401072023227016</c:v>
                </c:pt>
                <c:pt idx="300">
                  <c:v>16.837424115368282</c:v>
                </c:pt>
                <c:pt idx="301">
                  <c:v>27.058858165563301</c:v>
                </c:pt>
                <c:pt idx="302">
                  <c:v>24.134384053323132</c:v>
                </c:pt>
                <c:pt idx="303">
                  <c:v>23.479361732169249</c:v>
                </c:pt>
                <c:pt idx="304">
                  <c:v>25.231406149955163</c:v>
                </c:pt>
                <c:pt idx="305">
                  <c:v>28.017063599184098</c:v>
                </c:pt>
                <c:pt idx="306">
                  <c:v>8.7855731948811595</c:v>
                </c:pt>
                <c:pt idx="307">
                  <c:v>12.259936675048511</c:v>
                </c:pt>
                <c:pt idx="308">
                  <c:v>29.713932676350893</c:v>
                </c:pt>
                <c:pt idx="309">
                  <c:v>30.741013294990456</c:v>
                </c:pt>
                <c:pt idx="310">
                  <c:v>30.839645912079288</c:v>
                </c:pt>
                <c:pt idx="311">
                  <c:v>19.965978212438959</c:v>
                </c:pt>
                <c:pt idx="312">
                  <c:v>11.834780581802383</c:v>
                </c:pt>
                <c:pt idx="313">
                  <c:v>20.659837213345259</c:v>
                </c:pt>
                <c:pt idx="314">
                  <c:v>28.037663364150244</c:v>
                </c:pt>
                <c:pt idx="315">
                  <c:v>27.808898961634675</c:v>
                </c:pt>
                <c:pt idx="316">
                  <c:v>27.952990416553778</c:v>
                </c:pt>
                <c:pt idx="317">
                  <c:v>11.872951393525033</c:v>
                </c:pt>
                <c:pt idx="318">
                  <c:v>12.994548449750283</c:v>
                </c:pt>
                <c:pt idx="319">
                  <c:v>27.368793579408312</c:v>
                </c:pt>
                <c:pt idx="320">
                  <c:v>12.027283454527112</c:v>
                </c:pt>
                <c:pt idx="321">
                  <c:v>13.828608221055847</c:v>
                </c:pt>
                <c:pt idx="322">
                  <c:v>5.7893380928171778</c:v>
                </c:pt>
                <c:pt idx="323">
                  <c:v>19.206488294381746</c:v>
                </c:pt>
                <c:pt idx="324">
                  <c:v>3.0948962866514309</c:v>
                </c:pt>
                <c:pt idx="325">
                  <c:v>9.4671840134675271</c:v>
                </c:pt>
                <c:pt idx="326">
                  <c:v>12.940124446718361</c:v>
                </c:pt>
                <c:pt idx="327">
                  <c:v>13.549394818201716</c:v>
                </c:pt>
                <c:pt idx="328">
                  <c:v>3.9753840935156224</c:v>
                </c:pt>
                <c:pt idx="329">
                  <c:v>14.057641418724401</c:v>
                </c:pt>
                <c:pt idx="330">
                  <c:v>15.883231630766934</c:v>
                </c:pt>
                <c:pt idx="331">
                  <c:v>8.9621226514640941</c:v>
                </c:pt>
                <c:pt idx="332">
                  <c:v>9.970478365921716</c:v>
                </c:pt>
                <c:pt idx="333">
                  <c:v>4.4463990920287717</c:v>
                </c:pt>
                <c:pt idx="334">
                  <c:v>3.3002443556614658</c:v>
                </c:pt>
                <c:pt idx="335">
                  <c:v>5.7589028246873477</c:v>
                </c:pt>
                <c:pt idx="336">
                  <c:v>10.645394322169267</c:v>
                </c:pt>
                <c:pt idx="337">
                  <c:v>20.838678537928534</c:v>
                </c:pt>
                <c:pt idx="338">
                  <c:v>24.699909559116708</c:v>
                </c:pt>
                <c:pt idx="339">
                  <c:v>15.656950496087724</c:v>
                </c:pt>
                <c:pt idx="340">
                  <c:v>18.323947972952674</c:v>
                </c:pt>
                <c:pt idx="341">
                  <c:v>4.4656288336198049</c:v>
                </c:pt>
                <c:pt idx="342">
                  <c:v>9.0270409548591726</c:v>
                </c:pt>
                <c:pt idx="343">
                  <c:v>15.101373953077243</c:v>
                </c:pt>
                <c:pt idx="344">
                  <c:v>14.3973188255554</c:v>
                </c:pt>
                <c:pt idx="345">
                  <c:v>6.6421365579199572</c:v>
                </c:pt>
                <c:pt idx="346">
                  <c:v>6.2219638287924575</c:v>
                </c:pt>
                <c:pt idx="347">
                  <c:v>14.603707824547616</c:v>
                </c:pt>
                <c:pt idx="348">
                  <c:v>6.9497876467713606</c:v>
                </c:pt>
                <c:pt idx="349">
                  <c:v>4.9839673107902778</c:v>
                </c:pt>
                <c:pt idx="350">
                  <c:v>2.7783687447940557</c:v>
                </c:pt>
                <c:pt idx="351">
                  <c:v>18.785996622488266</c:v>
                </c:pt>
                <c:pt idx="352">
                  <c:v>16.797538860083048</c:v>
                </c:pt>
                <c:pt idx="353">
                  <c:v>3.761848513713546</c:v>
                </c:pt>
                <c:pt idx="354">
                  <c:v>19.174213677103563</c:v>
                </c:pt>
                <c:pt idx="355">
                  <c:v>18.749369201242718</c:v>
                </c:pt>
                <c:pt idx="356">
                  <c:v>18.878155138351115</c:v>
                </c:pt>
                <c:pt idx="357">
                  <c:v>20.045125857586662</c:v>
                </c:pt>
                <c:pt idx="358">
                  <c:v>11.249020356032631</c:v>
                </c:pt>
                <c:pt idx="359">
                  <c:v>19.204171533174787</c:v>
                </c:pt>
                <c:pt idx="360">
                  <c:v>6.502575496724738</c:v>
                </c:pt>
                <c:pt idx="361">
                  <c:v>20.906135514048547</c:v>
                </c:pt>
                <c:pt idx="362">
                  <c:v>10.637640129177147</c:v>
                </c:pt>
                <c:pt idx="363">
                  <c:v>14.518822377409483</c:v>
                </c:pt>
                <c:pt idx="364">
                  <c:v>12.499340101975104</c:v>
                </c:pt>
                <c:pt idx="365">
                  <c:v>15.122139527079382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207952"/>
        <c:axId val="320124328"/>
      </c:lineChart>
      <c:dateAx>
        <c:axId val="471207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0124328"/>
        <c:crosses val="autoZero"/>
        <c:auto val="1"/>
        <c:lblOffset val="100"/>
        <c:baseTimeUnit val="days"/>
        <c:majorUnit val="1"/>
        <c:majorTimeUnit val="months"/>
      </c:dateAx>
      <c:valAx>
        <c:axId val="32012432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120795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'2028'!$L$15:$L$380</c:f>
              <c:numCache>
                <c:formatCode>0.00%</c:formatCode>
                <c:ptCount val="366"/>
                <c:pt idx="0">
                  <c:v>6.0890059564465471E-2</c:v>
                </c:pt>
                <c:pt idx="1">
                  <c:v>6.0908057392228598E-2</c:v>
                </c:pt>
                <c:pt idx="2">
                  <c:v>6.0926054875067304E-2</c:v>
                </c:pt>
                <c:pt idx="3">
                  <c:v>6.094405201298847E-2</c:v>
                </c:pt>
                <c:pt idx="4">
                  <c:v>6.0962048805998537E-2</c:v>
                </c:pt>
                <c:pt idx="5">
                  <c:v>6.0980045254104165E-2</c:v>
                </c:pt>
                <c:pt idx="6">
                  <c:v>6.0998041357312016E-2</c:v>
                </c:pt>
                <c:pt idx="7">
                  <c:v>6.1016037115628641E-2</c:v>
                </c:pt>
                <c:pt idx="8">
                  <c:v>6.10340325290607E-2</c:v>
                </c:pt>
                <c:pt idx="9">
                  <c:v>6.1052027597614633E-2</c:v>
                </c:pt>
                <c:pt idx="10">
                  <c:v>6.1070022321297324E-2</c:v>
                </c:pt>
                <c:pt idx="11">
                  <c:v>6.1088016700115211E-2</c:v>
                </c:pt>
                <c:pt idx="12">
                  <c:v>6.1106010734074845E-2</c:v>
                </c:pt>
                <c:pt idx="13">
                  <c:v>6.1124004423182998E-2</c:v>
                </c:pt>
                <c:pt idx="14">
                  <c:v>6.1141997767446221E-2</c:v>
                </c:pt>
                <c:pt idx="15">
                  <c:v>6.1159990766871064E-2</c:v>
                </c:pt>
                <c:pt idx="16">
                  <c:v>6.1177983421464188E-2</c:v>
                </c:pt>
                <c:pt idx="17">
                  <c:v>6.1195975731232144E-2</c:v>
                </c:pt>
                <c:pt idx="18">
                  <c:v>6.1213967696181704E-2</c:v>
                </c:pt>
                <c:pt idx="19">
                  <c:v>6.1231959316319307E-2</c:v>
                </c:pt>
                <c:pt idx="20">
                  <c:v>6.1249950591651614E-2</c:v>
                </c:pt>
                <c:pt idx="21">
                  <c:v>6.1267941522185176E-2</c:v>
                </c:pt>
                <c:pt idx="22">
                  <c:v>6.1285932107926655E-2</c:v>
                </c:pt>
                <c:pt idx="23">
                  <c:v>6.1303922348882822E-2</c:v>
                </c:pt>
                <c:pt idx="24">
                  <c:v>6.1321912245060006E-2</c:v>
                </c:pt>
                <c:pt idx="25">
                  <c:v>6.1339901796464869E-2</c:v>
                </c:pt>
                <c:pt idx="26">
                  <c:v>6.1357891003104181E-2</c:v>
                </c:pt>
                <c:pt idx="27">
                  <c:v>6.1375879864984384E-2</c:v>
                </c:pt>
                <c:pt idx="28">
                  <c:v>6.1393868382112249E-2</c:v>
                </c:pt>
                <c:pt idx="29">
                  <c:v>6.1411856554494215E-2</c:v>
                </c:pt>
                <c:pt idx="30">
                  <c:v>6.1429844382136944E-2</c:v>
                </c:pt>
                <c:pt idx="31">
                  <c:v>6.1447831865047098E-2</c:v>
                </c:pt>
                <c:pt idx="32">
                  <c:v>6.1465819003231337E-2</c:v>
                </c:pt>
                <c:pt idx="33">
                  <c:v>6.14838057966961E-2</c:v>
                </c:pt>
                <c:pt idx="34">
                  <c:v>6.150179224544805E-2</c:v>
                </c:pt>
                <c:pt idx="35">
                  <c:v>6.1519778349493737E-2</c:v>
                </c:pt>
                <c:pt idx="36">
                  <c:v>6.1537764108839932E-2</c:v>
                </c:pt>
                <c:pt idx="37">
                  <c:v>6.1555749523493186E-2</c:v>
                </c:pt>
                <c:pt idx="38">
                  <c:v>6.157373459346005E-2</c:v>
                </c:pt>
                <c:pt idx="39">
                  <c:v>6.1591719318747074E-2</c:v>
                </c:pt>
                <c:pt idx="40">
                  <c:v>6.1609703699361029E-2</c:v>
                </c:pt>
                <c:pt idx="41">
                  <c:v>6.1627687735308356E-2</c:v>
                </c:pt>
                <c:pt idx="42">
                  <c:v>6.1645671426595827E-2</c:v>
                </c:pt>
                <c:pt idx="43">
                  <c:v>6.1663654773229881E-2</c:v>
                </c:pt>
                <c:pt idx="44">
                  <c:v>6.1681637775217291E-2</c:v>
                </c:pt>
                <c:pt idx="45">
                  <c:v>6.1699620432564495E-2</c:v>
                </c:pt>
                <c:pt idx="46">
                  <c:v>6.1717602745278155E-2</c:v>
                </c:pt>
                <c:pt idx="47">
                  <c:v>6.1735584713364933E-2</c:v>
                </c:pt>
                <c:pt idx="48">
                  <c:v>6.1753566336831378E-2</c:v>
                </c:pt>
                <c:pt idx="49">
                  <c:v>6.1771547615684153E-2</c:v>
                </c:pt>
                <c:pt idx="50">
                  <c:v>6.1789528549929806E-2</c:v>
                </c:pt>
                <c:pt idx="51">
                  <c:v>6.180750913957489E-2</c:v>
                </c:pt>
                <c:pt idx="52">
                  <c:v>6.1825489384626175E-2</c:v>
                </c:pt>
                <c:pt idx="53">
                  <c:v>6.1843469285090102E-2</c:v>
                </c:pt>
                <c:pt idx="54">
                  <c:v>6.1861448840973332E-2</c:v>
                </c:pt>
                <c:pt idx="55">
                  <c:v>6.1879428052282526E-2</c:v>
                </c:pt>
                <c:pt idx="56">
                  <c:v>6.1897406919024234E-2</c:v>
                </c:pt>
                <c:pt idx="57">
                  <c:v>6.1915385441205006E-2</c:v>
                </c:pt>
                <c:pt idx="58">
                  <c:v>6.1933363618831505E-2</c:v>
                </c:pt>
                <c:pt idx="59">
                  <c:v>6.1951341451910391E-2</c:v>
                </c:pt>
                <c:pt idx="60">
                  <c:v>6.1969318940448104E-2</c:v>
                </c:pt>
                <c:pt idx="61">
                  <c:v>6.1987296084451526E-2</c:v>
                </c:pt>
                <c:pt idx="62">
                  <c:v>6.2005272883926987E-2</c:v>
                </c:pt>
                <c:pt idx="63">
                  <c:v>6.2023249338881148E-2</c:v>
                </c:pt>
                <c:pt idx="64">
                  <c:v>6.2041225449320669E-2</c:v>
                </c:pt>
                <c:pt idx="65">
                  <c:v>6.2059201215252102E-2</c:v>
                </c:pt>
                <c:pt idx="66">
                  <c:v>6.2077176636682219E-2</c:v>
                </c:pt>
                <c:pt idx="67">
                  <c:v>6.2095151713617347E-2</c:v>
                </c:pt>
                <c:pt idx="68">
                  <c:v>6.211312644606426E-2</c:v>
                </c:pt>
                <c:pt idx="69">
                  <c:v>6.2131100834029507E-2</c:v>
                </c:pt>
                <c:pt idx="70">
                  <c:v>6.214907487751975E-2</c:v>
                </c:pt>
                <c:pt idx="71">
                  <c:v>6.2167048576541539E-2</c:v>
                </c:pt>
                <c:pt idx="72">
                  <c:v>6.2185021931101536E-2</c:v>
                </c:pt>
                <c:pt idx="73">
                  <c:v>6.2202994941206291E-2</c:v>
                </c:pt>
                <c:pt idx="74">
                  <c:v>6.2220967606862354E-2</c:v>
                </c:pt>
                <c:pt idx="75">
                  <c:v>6.2238939928076387E-2</c:v>
                </c:pt>
                <c:pt idx="76">
                  <c:v>6.2256911904854939E-2</c:v>
                </c:pt>
                <c:pt idx="77">
                  <c:v>6.2274883537204673E-2</c:v>
                </c:pt>
                <c:pt idx="78">
                  <c:v>6.2292854825132249E-2</c:v>
                </c:pt>
                <c:pt idx="79">
                  <c:v>6.2310825768644107E-2</c:v>
                </c:pt>
                <c:pt idx="80">
                  <c:v>6.2328796367747019E-2</c:v>
                </c:pt>
                <c:pt idx="81">
                  <c:v>6.2346766622447425E-2</c:v>
                </c:pt>
                <c:pt idx="82">
                  <c:v>6.2364736532752096E-2</c:v>
                </c:pt>
                <c:pt idx="83">
                  <c:v>6.2382706098667473E-2</c:v>
                </c:pt>
                <c:pt idx="84">
                  <c:v>6.2400675320200216E-2</c:v>
                </c:pt>
                <c:pt idx="85">
                  <c:v>6.2418644197356876E-2</c:v>
                </c:pt>
                <c:pt idx="86">
                  <c:v>6.2436612730144114E-2</c:v>
                </c:pt>
                <c:pt idx="87">
                  <c:v>6.2454580918568592E-2</c:v>
                </c:pt>
                <c:pt idx="88">
                  <c:v>6.2472548762636748E-2</c:v>
                </c:pt>
                <c:pt idx="89">
                  <c:v>6.2490516262355356E-2</c:v>
                </c:pt>
                <c:pt idx="90">
                  <c:v>6.2508483417730965E-2</c:v>
                </c:pt>
                <c:pt idx="91">
                  <c:v>6.2526450228770014E-2</c:v>
                </c:pt>
                <c:pt idx="92">
                  <c:v>6.2544416695479277E-2</c:v>
                </c:pt>
                <c:pt idx="93">
                  <c:v>6.2562382817865414E-2</c:v>
                </c:pt>
                <c:pt idx="94">
                  <c:v>6.2580348595934754E-2</c:v>
                </c:pt>
                <c:pt idx="95">
                  <c:v>6.259831402969418E-2</c:v>
                </c:pt>
                <c:pt idx="96">
                  <c:v>6.261627911915002E-2</c:v>
                </c:pt>
                <c:pt idx="97">
                  <c:v>6.2634243864309158E-2</c:v>
                </c:pt>
                <c:pt idx="98">
                  <c:v>6.2652208265178033E-2</c:v>
                </c:pt>
                <c:pt idx="99">
                  <c:v>6.2670172321763196E-2</c:v>
                </c:pt>
                <c:pt idx="100">
                  <c:v>6.2688136034071418E-2</c:v>
                </c:pt>
                <c:pt idx="101">
                  <c:v>6.2706099402109028E-2</c:v>
                </c:pt>
                <c:pt idx="102">
                  <c:v>6.2724062425882909E-2</c:v>
                </c:pt>
                <c:pt idx="103">
                  <c:v>6.2742025105399502E-2</c:v>
                </c:pt>
                <c:pt idx="104">
                  <c:v>6.2759987440665466E-2</c:v>
                </c:pt>
                <c:pt idx="105">
                  <c:v>6.2777949431687352E-2</c:v>
                </c:pt>
                <c:pt idx="106">
                  <c:v>6.2795911078471822E-2</c:v>
                </c:pt>
                <c:pt idx="107">
                  <c:v>6.2813872381025426E-2</c:v>
                </c:pt>
                <c:pt idx="108">
                  <c:v>6.2831833339354715E-2</c:v>
                </c:pt>
                <c:pt idx="109">
                  <c:v>6.2849793953466349E-2</c:v>
                </c:pt>
                <c:pt idx="110">
                  <c:v>6.2867754223366878E-2</c:v>
                </c:pt>
                <c:pt idx="111">
                  <c:v>6.2885714149062966E-2</c:v>
                </c:pt>
                <c:pt idx="112">
                  <c:v>6.290367373056116E-2</c:v>
                </c:pt>
                <c:pt idx="113">
                  <c:v>6.2921632967868124E-2</c:v>
                </c:pt>
                <c:pt idx="114">
                  <c:v>6.2939591860990296E-2</c:v>
                </c:pt>
                <c:pt idx="115">
                  <c:v>6.2957550409934449E-2</c:v>
                </c:pt>
                <c:pt idx="116">
                  <c:v>6.2975508614707132E-2</c:v>
                </c:pt>
                <c:pt idx="117">
                  <c:v>6.2993466475314897E-2</c:v>
                </c:pt>
                <c:pt idx="118">
                  <c:v>6.3011423991764404E-2</c:v>
                </c:pt>
                <c:pt idx="119">
                  <c:v>6.3029381164062093E-2</c:v>
                </c:pt>
                <c:pt idx="120">
                  <c:v>6.3047337992214736E-2</c:v>
                </c:pt>
                <c:pt idx="121">
                  <c:v>6.3065294476228884E-2</c:v>
                </c:pt>
                <c:pt idx="122">
                  <c:v>6.3083250616111086E-2</c:v>
                </c:pt>
                <c:pt idx="123">
                  <c:v>6.3101206411868005E-2</c:v>
                </c:pt>
                <c:pt idx="124">
                  <c:v>6.3119161863506079E-2</c:v>
                </c:pt>
                <c:pt idx="125">
                  <c:v>6.3137116971032192E-2</c:v>
                </c:pt>
                <c:pt idx="126">
                  <c:v>6.3155071734452672E-2</c:v>
                </c:pt>
                <c:pt idx="127">
                  <c:v>6.3173026153774181E-2</c:v>
                </c:pt>
                <c:pt idx="128">
                  <c:v>6.319098022900338E-2</c:v>
                </c:pt>
                <c:pt idx="129">
                  <c:v>6.3208933960146818E-2</c:v>
                </c:pt>
                <c:pt idx="130">
                  <c:v>6.3226887347211047E-2</c:v>
                </c:pt>
                <c:pt idx="131">
                  <c:v>6.3244840390202728E-2</c:v>
                </c:pt>
                <c:pt idx="132">
                  <c:v>6.3262793089128411E-2</c:v>
                </c:pt>
                <c:pt idx="133">
                  <c:v>6.3280745443994757E-2</c:v>
                </c:pt>
                <c:pt idx="134">
                  <c:v>6.3298697454808317E-2</c:v>
                </c:pt>
                <c:pt idx="135">
                  <c:v>6.3316649121575752E-2</c:v>
                </c:pt>
                <c:pt idx="136">
                  <c:v>6.3334600444303502E-2</c:v>
                </c:pt>
                <c:pt idx="137">
                  <c:v>6.3352551422998338E-2</c:v>
                </c:pt>
                <c:pt idx="138">
                  <c:v>6.3370502057666589E-2</c:v>
                </c:pt>
                <c:pt idx="139">
                  <c:v>6.3388452348315139E-2</c:v>
                </c:pt>
                <c:pt idx="140">
                  <c:v>6.3406402294950537E-2</c:v>
                </c:pt>
                <c:pt idx="141">
                  <c:v>6.3424351897579223E-2</c:v>
                </c:pt>
                <c:pt idx="142">
                  <c:v>6.3442301156207859E-2</c:v>
                </c:pt>
                <c:pt idx="143">
                  <c:v>6.3460250070842994E-2</c:v>
                </c:pt>
                <c:pt idx="144">
                  <c:v>6.347819864149129E-2</c:v>
                </c:pt>
                <c:pt idx="145">
                  <c:v>6.3496146868159409E-2</c:v>
                </c:pt>
                <c:pt idx="146">
                  <c:v>6.3514094750853789E-2</c:v>
                </c:pt>
                <c:pt idx="147">
                  <c:v>6.3532042289581203E-2</c:v>
                </c:pt>
                <c:pt idx="148">
                  <c:v>6.354998948434798E-2</c:v>
                </c:pt>
                <c:pt idx="149">
                  <c:v>6.3567936335161002E-2</c:v>
                </c:pt>
                <c:pt idx="150">
                  <c:v>6.3585882842026598E-2</c:v>
                </c:pt>
                <c:pt idx="151">
                  <c:v>6.360382900495154E-2</c:v>
                </c:pt>
                <c:pt idx="152">
                  <c:v>6.3621774823942379E-2</c:v>
                </c:pt>
                <c:pt idx="153">
                  <c:v>6.3639720299005664E-2</c:v>
                </c:pt>
                <c:pt idx="154">
                  <c:v>6.3657665430148058E-2</c:v>
                </c:pt>
                <c:pt idx="155">
                  <c:v>6.3675610217376E-2</c:v>
                </c:pt>
                <c:pt idx="156">
                  <c:v>6.3693554660696372E-2</c:v>
                </c:pt>
                <c:pt idx="157">
                  <c:v>6.3711498760115393E-2</c:v>
                </c:pt>
                <c:pt idx="158">
                  <c:v>6.3729442515639945E-2</c:v>
                </c:pt>
                <c:pt idx="159">
                  <c:v>6.3747385927276468E-2</c:v>
                </c:pt>
                <c:pt idx="160">
                  <c:v>6.3765328995031623E-2</c:v>
                </c:pt>
                <c:pt idx="161">
                  <c:v>6.378327171891196E-2</c:v>
                </c:pt>
                <c:pt idx="162">
                  <c:v>6.3801214098924142E-2</c:v>
                </c:pt>
                <c:pt idx="163">
                  <c:v>6.3819156135074717E-2</c:v>
                </c:pt>
                <c:pt idx="164">
                  <c:v>6.3837097827370126E-2</c:v>
                </c:pt>
                <c:pt idx="165">
                  <c:v>6.3855039175817252E-2</c:v>
                </c:pt>
                <c:pt idx="166">
                  <c:v>6.3872980180422423E-2</c:v>
                </c:pt>
                <c:pt idx="167">
                  <c:v>6.3890920841192411E-2</c:v>
                </c:pt>
                <c:pt idx="168">
                  <c:v>6.3908861158133656E-2</c:v>
                </c:pt>
                <c:pt idx="169">
                  <c:v>6.3926801131252931E-2</c:v>
                </c:pt>
                <c:pt idx="170">
                  <c:v>6.3944740760556562E-2</c:v>
                </c:pt>
                <c:pt idx="171">
                  <c:v>6.3962680046051434E-2</c:v>
                </c:pt>
                <c:pt idx="172">
                  <c:v>6.3980618987743876E-2</c:v>
                </c:pt>
                <c:pt idx="173">
                  <c:v>6.3998557585640659E-2</c:v>
                </c:pt>
                <c:pt idx="174">
                  <c:v>6.4016495839748222E-2</c:v>
                </c:pt>
                <c:pt idx="175">
                  <c:v>6.4034433750073338E-2</c:v>
                </c:pt>
                <c:pt idx="176">
                  <c:v>6.4052371316622447E-2</c:v>
                </c:pt>
                <c:pt idx="177">
                  <c:v>6.407030853940221E-2</c:v>
                </c:pt>
                <c:pt idx="178">
                  <c:v>6.4088245418419176E-2</c:v>
                </c:pt>
                <c:pt idx="179">
                  <c:v>6.4106181953679897E-2</c:v>
                </c:pt>
                <c:pt idx="180">
                  <c:v>6.4124118145191145E-2</c:v>
                </c:pt>
                <c:pt idx="181">
                  <c:v>6.4142053992959247E-2</c:v>
                </c:pt>
                <c:pt idx="182">
                  <c:v>6.4159989496990977E-2</c:v>
                </c:pt>
                <c:pt idx="183">
                  <c:v>6.4177924657292884E-2</c:v>
                </c:pt>
                <c:pt idx="184">
                  <c:v>6.4195859473871408E-2</c:v>
                </c:pt>
                <c:pt idx="185">
                  <c:v>6.4213793946733433E-2</c:v>
                </c:pt>
                <c:pt idx="186">
                  <c:v>6.4231728075885286E-2</c:v>
                </c:pt>
                <c:pt idx="187">
                  <c:v>6.4249661861333629E-2</c:v>
                </c:pt>
                <c:pt idx="188">
                  <c:v>6.4267595303085123E-2</c:v>
                </c:pt>
                <c:pt idx="189">
                  <c:v>6.4285528401146319E-2</c:v>
                </c:pt>
                <c:pt idx="190">
                  <c:v>6.4303461155523656E-2</c:v>
                </c:pt>
                <c:pt idx="191">
                  <c:v>6.4321393566224017E-2</c:v>
                </c:pt>
                <c:pt idx="192">
                  <c:v>6.4339325633253619E-2</c:v>
                </c:pt>
                <c:pt idx="193">
                  <c:v>6.4357257356619457E-2</c:v>
                </c:pt>
                <c:pt idx="194">
                  <c:v>6.4375188736327749E-2</c:v>
                </c:pt>
                <c:pt idx="195">
                  <c:v>6.4393119772385266E-2</c:v>
                </c:pt>
                <c:pt idx="196">
                  <c:v>6.4411050464798669E-2</c:v>
                </c:pt>
                <c:pt idx="197">
                  <c:v>6.4428980813574399E-2</c:v>
                </c:pt>
                <c:pt idx="198">
                  <c:v>6.4446910818719005E-2</c:v>
                </c:pt>
                <c:pt idx="199">
                  <c:v>6.4464840480239149E-2</c:v>
                </c:pt>
                <c:pt idx="200">
                  <c:v>6.4482769798141493E-2</c:v>
                </c:pt>
                <c:pt idx="201">
                  <c:v>6.4500698772432585E-2</c:v>
                </c:pt>
                <c:pt idx="202">
                  <c:v>6.4518627403118867E-2</c:v>
                </c:pt>
                <c:pt idx="203">
                  <c:v>6.4536555690207109E-2</c:v>
                </c:pt>
                <c:pt idx="204">
                  <c:v>6.4554483633703863E-2</c:v>
                </c:pt>
                <c:pt idx="205">
                  <c:v>6.4572411233615568E-2</c:v>
                </c:pt>
                <c:pt idx="206">
                  <c:v>6.4590338489948995E-2</c:v>
                </c:pt>
                <c:pt idx="207">
                  <c:v>6.4608265402710585E-2</c:v>
                </c:pt>
                <c:pt idx="208">
                  <c:v>6.4626191971906999E-2</c:v>
                </c:pt>
                <c:pt idx="209">
                  <c:v>6.4644118197544786E-2</c:v>
                </c:pt>
                <c:pt idx="210">
                  <c:v>6.4662044079630498E-2</c:v>
                </c:pt>
                <c:pt idx="211">
                  <c:v>6.4679969618170907E-2</c:v>
                </c:pt>
                <c:pt idx="212">
                  <c:v>6.4697894813172341E-2</c:v>
                </c:pt>
                <c:pt idx="213">
                  <c:v>6.4715819664641572E-2</c:v>
                </c:pt>
                <c:pt idx="214">
                  <c:v>6.4733744172585039E-2</c:v>
                </c:pt>
                <c:pt idx="215">
                  <c:v>6.4751668337009516E-2</c:v>
                </c:pt>
                <c:pt idx="216">
                  <c:v>6.476959215792133E-2</c:v>
                </c:pt>
                <c:pt idx="217">
                  <c:v>6.4787515635327364E-2</c:v>
                </c:pt>
                <c:pt idx="218">
                  <c:v>6.4805438769233947E-2</c:v>
                </c:pt>
                <c:pt idx="219">
                  <c:v>6.4823361559647741E-2</c:v>
                </c:pt>
                <c:pt idx="220">
                  <c:v>6.4841284006575406E-2</c:v>
                </c:pt>
                <c:pt idx="221">
                  <c:v>6.4859206110023382E-2</c:v>
                </c:pt>
                <c:pt idx="222">
                  <c:v>6.4877127869998441E-2</c:v>
                </c:pt>
                <c:pt idx="223">
                  <c:v>6.4895049286506912E-2</c:v>
                </c:pt>
                <c:pt idx="224">
                  <c:v>6.4912970359555677E-2</c:v>
                </c:pt>
                <c:pt idx="225">
                  <c:v>6.4930891089151066E-2</c:v>
                </c:pt>
                <c:pt idx="226">
                  <c:v>6.494881147529985E-2</c:v>
                </c:pt>
                <c:pt idx="227">
                  <c:v>6.4966731518008469E-2</c:v>
                </c:pt>
                <c:pt idx="228">
                  <c:v>6.4984651217283473E-2</c:v>
                </c:pt>
                <c:pt idx="229">
                  <c:v>6.5002570573131635E-2</c:v>
                </c:pt>
                <c:pt idx="230">
                  <c:v>6.5020489585559393E-2</c:v>
                </c:pt>
                <c:pt idx="231">
                  <c:v>6.503840825457341E-2</c:v>
                </c:pt>
                <c:pt idx="232">
                  <c:v>6.5056326580180235E-2</c:v>
                </c:pt>
                <c:pt idx="233">
                  <c:v>6.5074244562386419E-2</c:v>
                </c:pt>
                <c:pt idx="234">
                  <c:v>6.5092162201198511E-2</c:v>
                </c:pt>
                <c:pt idx="235">
                  <c:v>6.5110079496623174E-2</c:v>
                </c:pt>
                <c:pt idx="236">
                  <c:v>6.5127996448666958E-2</c:v>
                </c:pt>
                <c:pt idx="237">
                  <c:v>6.5145913057336413E-2</c:v>
                </c:pt>
                <c:pt idx="238">
                  <c:v>6.51638293226382E-2</c:v>
                </c:pt>
                <c:pt idx="239">
                  <c:v>6.5181745244578759E-2</c:v>
                </c:pt>
                <c:pt idx="240">
                  <c:v>6.5199660823164862E-2</c:v>
                </c:pt>
                <c:pt idx="241">
                  <c:v>6.5217576058402948E-2</c:v>
                </c:pt>
                <c:pt idx="242">
                  <c:v>6.5235490950299679E-2</c:v>
                </c:pt>
                <c:pt idx="243">
                  <c:v>6.5253405498861605E-2</c:v>
                </c:pt>
                <c:pt idx="244">
                  <c:v>6.5271319704095165E-2</c:v>
                </c:pt>
                <c:pt idx="245">
                  <c:v>6.5289233566007243E-2</c:v>
                </c:pt>
                <c:pt idx="246">
                  <c:v>6.5307147084604056E-2</c:v>
                </c:pt>
                <c:pt idx="247">
                  <c:v>6.5325060259892487E-2</c:v>
                </c:pt>
                <c:pt idx="248">
                  <c:v>6.5342973091878975E-2</c:v>
                </c:pt>
                <c:pt idx="249">
                  <c:v>6.5360885580570183E-2</c:v>
                </c:pt>
                <c:pt idx="250">
                  <c:v>6.5378797725972548E-2</c:v>
                </c:pt>
                <c:pt idx="251">
                  <c:v>6.5396709528092845E-2</c:v>
                </c:pt>
                <c:pt idx="252">
                  <c:v>6.54146209869374E-2</c:v>
                </c:pt>
                <c:pt idx="253">
                  <c:v>6.5432532102512986E-2</c:v>
                </c:pt>
                <c:pt idx="254">
                  <c:v>6.5450442874826154E-2</c:v>
                </c:pt>
                <c:pt idx="255">
                  <c:v>6.5468353303883453E-2</c:v>
                </c:pt>
                <c:pt idx="256">
                  <c:v>6.5486263389691435E-2</c:v>
                </c:pt>
                <c:pt idx="257">
                  <c:v>6.550417313225676E-2</c:v>
                </c:pt>
                <c:pt idx="258">
                  <c:v>6.5522082531585868E-2</c:v>
                </c:pt>
                <c:pt idx="259">
                  <c:v>6.5539991587685531E-2</c:v>
                </c:pt>
                <c:pt idx="260">
                  <c:v>6.5557900300562189E-2</c:v>
                </c:pt>
                <c:pt idx="261">
                  <c:v>6.5575808670222391E-2</c:v>
                </c:pt>
                <c:pt idx="262">
                  <c:v>6.5593716696672799E-2</c:v>
                </c:pt>
                <c:pt idx="263">
                  <c:v>6.5611624379919964E-2</c:v>
                </c:pt>
                <c:pt idx="264">
                  <c:v>6.5629531719970546E-2</c:v>
                </c:pt>
                <c:pt idx="265">
                  <c:v>6.5647438716830986E-2</c:v>
                </c:pt>
                <c:pt idx="266">
                  <c:v>6.5665345370507833E-2</c:v>
                </c:pt>
                <c:pt idx="267">
                  <c:v>6.5683251681007859E-2</c:v>
                </c:pt>
                <c:pt idx="268">
                  <c:v>6.5701157648337505E-2</c:v>
                </c:pt>
                <c:pt idx="269">
                  <c:v>6.571906327250332E-2</c:v>
                </c:pt>
                <c:pt idx="270">
                  <c:v>6.5736968553511965E-2</c:v>
                </c:pt>
                <c:pt idx="271">
                  <c:v>6.5754873491369992E-2</c:v>
                </c:pt>
                <c:pt idx="272">
                  <c:v>6.5772778086083949E-2</c:v>
                </c:pt>
                <c:pt idx="273">
                  <c:v>6.57906823376605E-2</c:v>
                </c:pt>
                <c:pt idx="274">
                  <c:v>6.5808586246106082E-2</c:v>
                </c:pt>
                <c:pt idx="275">
                  <c:v>6.5826489811427358E-2</c:v>
                </c:pt>
                <c:pt idx="276">
                  <c:v>6.5844393033630877E-2</c:v>
                </c:pt>
                <c:pt idx="277">
                  <c:v>6.5862295912723301E-2</c:v>
                </c:pt>
                <c:pt idx="278">
                  <c:v>6.5880198448711069E-2</c:v>
                </c:pt>
                <c:pt idx="279">
                  <c:v>6.5898100641600732E-2</c:v>
                </c:pt>
                <c:pt idx="280">
                  <c:v>6.5916002491399062E-2</c:v>
                </c:pt>
                <c:pt idx="281">
                  <c:v>6.5933903998112497E-2</c:v>
                </c:pt>
                <c:pt idx="282">
                  <c:v>6.5951805161747701E-2</c:v>
                </c:pt>
                <c:pt idx="283">
                  <c:v>6.5969705982311111E-2</c:v>
                </c:pt>
                <c:pt idx="284">
                  <c:v>6.5987606459809389E-2</c:v>
                </c:pt>
                <c:pt idx="285">
                  <c:v>6.6005506594249197E-2</c:v>
                </c:pt>
                <c:pt idx="286">
                  <c:v>6.6023406385636862E-2</c:v>
                </c:pt>
                <c:pt idx="287">
                  <c:v>6.6041305833979158E-2</c:v>
                </c:pt>
                <c:pt idx="288">
                  <c:v>6.6059204939282634E-2</c:v>
                </c:pt>
                <c:pt idx="289">
                  <c:v>6.6077103701553841E-2</c:v>
                </c:pt>
                <c:pt idx="290">
                  <c:v>6.609500212079944E-2</c:v>
                </c:pt>
                <c:pt idx="291">
                  <c:v>6.6112900197025759E-2</c:v>
                </c:pt>
                <c:pt idx="292">
                  <c:v>6.6130797930239571E-2</c:v>
                </c:pt>
                <c:pt idx="293">
                  <c:v>6.6148695320447537E-2</c:v>
                </c:pt>
                <c:pt idx="294">
                  <c:v>6.6166592367655985E-2</c:v>
                </c:pt>
                <c:pt idx="295">
                  <c:v>6.6184489071871577E-2</c:v>
                </c:pt>
                <c:pt idx="296">
                  <c:v>6.6202385433100974E-2</c:v>
                </c:pt>
                <c:pt idx="297">
                  <c:v>6.6220281451350727E-2</c:v>
                </c:pt>
                <c:pt idx="298">
                  <c:v>6.6238177126627273E-2</c:v>
                </c:pt>
                <c:pt idx="299">
                  <c:v>6.6256072458937387E-2</c:v>
                </c:pt>
                <c:pt idx="300">
                  <c:v>6.6273967448287396E-2</c:v>
                </c:pt>
                <c:pt idx="301">
                  <c:v>6.6291862094684184E-2</c:v>
                </c:pt>
                <c:pt idx="302">
                  <c:v>6.6309756398134079E-2</c:v>
                </c:pt>
                <c:pt idx="303">
                  <c:v>6.6327650358643742E-2</c:v>
                </c:pt>
                <c:pt idx="304">
                  <c:v>6.6345543976219723E-2</c:v>
                </c:pt>
                <c:pt idx="305">
                  <c:v>6.6363437250868573E-2</c:v>
                </c:pt>
                <c:pt idx="306">
                  <c:v>6.6381330182596954E-2</c:v>
                </c:pt>
                <c:pt idx="307">
                  <c:v>6.6399222771411304E-2</c:v>
                </c:pt>
                <c:pt idx="308">
                  <c:v>6.6417115017318396E-2</c:v>
                </c:pt>
                <c:pt idx="309">
                  <c:v>6.6435006920324557E-2</c:v>
                </c:pt>
                <c:pt idx="310">
                  <c:v>6.6452898480436562E-2</c:v>
                </c:pt>
                <c:pt idx="311">
                  <c:v>6.6470789697660848E-2</c:v>
                </c:pt>
                <c:pt idx="312">
                  <c:v>6.6488680572004077E-2</c:v>
                </c:pt>
                <c:pt idx="313">
                  <c:v>6.6506571103472689E-2</c:v>
                </c:pt>
                <c:pt idx="314">
                  <c:v>6.6524461292073456E-2</c:v>
                </c:pt>
                <c:pt idx="315">
                  <c:v>6.6542351137812816E-2</c:v>
                </c:pt>
                <c:pt idx="316">
                  <c:v>6.6560240640697321E-2</c:v>
                </c:pt>
                <c:pt idx="317">
                  <c:v>6.6578129800733632E-2</c:v>
                </c:pt>
                <c:pt idx="318">
                  <c:v>6.6596018617928299E-2</c:v>
                </c:pt>
                <c:pt idx="319">
                  <c:v>6.6613907092287761E-2</c:v>
                </c:pt>
                <c:pt idx="320">
                  <c:v>6.663179522381879E-2</c:v>
                </c:pt>
                <c:pt idx="321">
                  <c:v>6.6649683012527827E-2</c:v>
                </c:pt>
                <c:pt idx="322">
                  <c:v>6.6667570458421421E-2</c:v>
                </c:pt>
                <c:pt idx="323">
                  <c:v>6.6685457561506234E-2</c:v>
                </c:pt>
                <c:pt idx="324">
                  <c:v>6.6703344321788816E-2</c:v>
                </c:pt>
                <c:pt idx="325">
                  <c:v>6.6721230739275716E-2</c:v>
                </c:pt>
                <c:pt idx="326">
                  <c:v>6.6739116813973487E-2</c:v>
                </c:pt>
                <c:pt idx="327">
                  <c:v>6.6757002545888677E-2</c:v>
                </c:pt>
                <c:pt idx="328">
                  <c:v>6.6774887935027949E-2</c:v>
                </c:pt>
                <c:pt idx="329">
                  <c:v>6.6792772981397852E-2</c:v>
                </c:pt>
                <c:pt idx="330">
                  <c:v>6.6810657685004826E-2</c:v>
                </c:pt>
                <c:pt idx="331">
                  <c:v>6.6828542045855643E-2</c:v>
                </c:pt>
                <c:pt idx="332">
                  <c:v>6.6846426063956743E-2</c:v>
                </c:pt>
                <c:pt idx="333">
                  <c:v>6.6864309739314676E-2</c:v>
                </c:pt>
                <c:pt idx="334">
                  <c:v>6.6882193071935991E-2</c:v>
                </c:pt>
                <c:pt idx="335">
                  <c:v>6.6900076061827463E-2</c:v>
                </c:pt>
                <c:pt idx="336">
                  <c:v>6.6917958708995418E-2</c:v>
                </c:pt>
                <c:pt idx="337">
                  <c:v>6.6935841013446518E-2</c:v>
                </c:pt>
                <c:pt idx="338">
                  <c:v>6.6953722975187313E-2</c:v>
                </c:pt>
                <c:pt idx="339">
                  <c:v>6.6971604594224465E-2</c:v>
                </c:pt>
                <c:pt idx="340">
                  <c:v>6.6989485870564414E-2</c:v>
                </c:pt>
                <c:pt idx="341">
                  <c:v>6.7007366804213819E-2</c:v>
                </c:pt>
                <c:pt idx="342">
                  <c:v>6.7025247395179233E-2</c:v>
                </c:pt>
                <c:pt idx="343">
                  <c:v>6.7043127643467093E-2</c:v>
                </c:pt>
                <c:pt idx="344">
                  <c:v>6.7061007549084173E-2</c:v>
                </c:pt>
                <c:pt idx="345">
                  <c:v>6.7078887112036911E-2</c:v>
                </c:pt>
                <c:pt idx="346">
                  <c:v>6.7096766332331859E-2</c:v>
                </c:pt>
                <c:pt idx="347">
                  <c:v>6.7114645209975676E-2</c:v>
                </c:pt>
                <c:pt idx="348">
                  <c:v>6.7132523744974915E-2</c:v>
                </c:pt>
                <c:pt idx="349">
                  <c:v>6.7150401937336013E-2</c:v>
                </c:pt>
                <c:pt idx="350">
                  <c:v>6.7168279787065743E-2</c:v>
                </c:pt>
                <c:pt idx="351">
                  <c:v>6.7186157294170545E-2</c:v>
                </c:pt>
                <c:pt idx="352">
                  <c:v>6.7204034458656969E-2</c:v>
                </c:pt>
                <c:pt idx="353">
                  <c:v>6.7221911280531566E-2</c:v>
                </c:pt>
                <c:pt idx="354">
                  <c:v>6.7239787759800995E-2</c:v>
                </c:pt>
                <c:pt idx="355">
                  <c:v>6.7257663896471809E-2</c:v>
                </c:pt>
                <c:pt idx="356">
                  <c:v>6.7275539690550445E-2</c:v>
                </c:pt>
                <c:pt idx="357">
                  <c:v>6.7293415142043678E-2</c:v>
                </c:pt>
                <c:pt idx="358">
                  <c:v>6.7311290250957945E-2</c:v>
                </c:pt>
                <c:pt idx="359">
                  <c:v>6.7329165017299797E-2</c:v>
                </c:pt>
                <c:pt idx="360">
                  <c:v>6.7347039441075784E-2</c:v>
                </c:pt>
                <c:pt idx="361">
                  <c:v>6.7364913522292569E-2</c:v>
                </c:pt>
                <c:pt idx="362">
                  <c:v>6.73827872609567E-2</c:v>
                </c:pt>
                <c:pt idx="363">
                  <c:v>6.7400660657074618E-2</c:v>
                </c:pt>
                <c:pt idx="364">
                  <c:v>6.7418533710652984E-2</c:v>
                </c:pt>
                <c:pt idx="365">
                  <c:v>6.7436406421698458E-2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'2028'!$O$15:$O$380</c:f>
              <c:numCache>
                <c:formatCode>0.00%</c:formatCode>
                <c:ptCount val="366"/>
                <c:pt idx="0">
                  <c:v>2.9511734569786206E-2</c:v>
                </c:pt>
                <c:pt idx="1">
                  <c:v>2.9589421285969652E-2</c:v>
                </c:pt>
                <c:pt idx="2">
                  <c:v>2.9667075900753435E-2</c:v>
                </c:pt>
                <c:pt idx="3">
                  <c:v>2.9744692104028091E-2</c:v>
                </c:pt>
                <c:pt idx="4">
                  <c:v>2.9822264411026582E-2</c:v>
                </c:pt>
                <c:pt idx="5">
                  <c:v>2.9899788145135074E-2</c:v>
                </c:pt>
                <c:pt idx="6">
                  <c:v>2.997725941360669E-2</c:v>
                </c:pt>
                <c:pt idx="7">
                  <c:v>3.0054675076634028E-2</c:v>
                </c:pt>
                <c:pt idx="8">
                  <c:v>3.0132032710291547E-2</c:v>
                </c:pt>
                <c:pt idx="9">
                  <c:v>3.0209330563908159E-2</c:v>
                </c:pt>
                <c:pt idx="10">
                  <c:v>3.0286567512474258E-2</c:v>
                </c:pt>
                <c:pt idx="11">
                  <c:v>3.0363743004723352E-2</c:v>
                </c:pt>
                <c:pt idx="12">
                  <c:v>3.044085700755975E-2</c:v>
                </c:pt>
                <c:pt idx="13">
                  <c:v>3.051790994752537E-2</c:v>
                </c:pt>
                <c:pt idx="14">
                  <c:v>3.0594902650015687E-2</c:v>
                </c:pt>
                <c:pt idx="15">
                  <c:v>3.0671836276962922E-2</c:v>
                </c:pt>
                <c:pt idx="16">
                  <c:v>3.074871226370577E-2</c:v>
                </c:pt>
                <c:pt idx="17">
                  <c:v>3.0825532255759628E-2</c:v>
                </c:pt>
                <c:pt idx="18">
                  <c:v>3.0902298046187878E-2</c:v>
                </c:pt>
                <c:pt idx="19">
                  <c:v>3.0979011514255538E-2</c:v>
                </c:pt>
                <c:pt idx="20">
                  <c:v>3.1055674566020063E-2</c:v>
                </c:pt>
                <c:pt idx="21">
                  <c:v>3.1132289077481921E-2</c:v>
                </c:pt>
                <c:pt idx="22">
                  <c:v>3.120885684087921E-2</c:v>
                </c:pt>
                <c:pt idx="23">
                  <c:v>3.1285379514667366E-2</c:v>
                </c:pt>
                <c:pt idx="24">
                  <c:v>3.1361858577676406E-2</c:v>
                </c:pt>
                <c:pt idx="25">
                  <c:v>3.1438295287885956E-2</c:v>
                </c:pt>
                <c:pt idx="26">
                  <c:v>3.1514690646202034E-2</c:v>
                </c:pt>
                <c:pt idx="27">
                  <c:v>3.1591045365560275E-2</c:v>
                </c:pt>
                <c:pt idx="28">
                  <c:v>3.1667359845618949E-2</c:v>
                </c:pt>
                <c:pt idx="29">
                  <c:v>3.174363415324169E-2</c:v>
                </c:pt>
                <c:pt idx="30">
                  <c:v>3.1819868008905849E-2</c:v>
                </c:pt>
                <c:pt idx="31">
                  <c:v>3.1896060779107366E-2</c:v>
                </c:pt>
                <c:pt idx="32">
                  <c:v>3.1972211474769231E-2</c:v>
                </c:pt>
                <c:pt idx="33">
                  <c:v>3.2048318755597029E-2</c:v>
                </c:pt>
                <c:pt idx="34">
                  <c:v>3.2124380940263521E-2</c:v>
                </c:pt>
                <c:pt idx="35">
                  <c:v>3.2200396022245018E-2</c:v>
                </c:pt>
                <c:pt idx="36">
                  <c:v>3.2276361691075353E-2</c:v>
                </c:pt>
                <c:pt idx="37">
                  <c:v>3.2352275358730836E-2</c:v>
                </c:pt>
                <c:pt idx="38">
                  <c:v>3.2428134190809664E-2</c:v>
                </c:pt>
                <c:pt idx="39">
                  <c:v>3.2503935142124928E-2</c:v>
                </c:pt>
                <c:pt idx="40">
                  <c:v>3.2579674996290255E-2</c:v>
                </c:pt>
                <c:pt idx="41">
                  <c:v>3.2655350408841995E-2</c:v>
                </c:pt>
                <c:pt idx="42">
                  <c:v>3.2730957953412493E-2</c:v>
                </c:pt>
                <c:pt idx="43">
                  <c:v>3.2806494170445295E-2</c:v>
                </c:pt>
                <c:pt idx="44">
                  <c:v>3.2881955617924639E-2</c:v>
                </c:pt>
                <c:pt idx="45">
                  <c:v>3.2957338923580083E-2</c:v>
                </c:pt>
                <c:pt idx="46">
                  <c:v>3.3032640838019996E-2</c:v>
                </c:pt>
                <c:pt idx="47">
                  <c:v>3.3107858288248214E-2</c:v>
                </c:pt>
                <c:pt idx="48">
                  <c:v>3.318298843102295E-2</c:v>
                </c:pt>
                <c:pt idx="49">
                  <c:v>3.3258028705528291E-2</c:v>
                </c:pt>
                <c:pt idx="50">
                  <c:v>3.3332976884845204E-2</c:v>
                </c:pt>
                <c:pt idx="51">
                  <c:v>3.3407831125730314E-2</c:v>
                </c:pt>
                <c:pt idx="52">
                  <c:v>3.3482590016237275E-2</c:v>
                </c:pt>
                <c:pt idx="53">
                  <c:v>3.3557252620746082E-2</c:v>
                </c:pt>
                <c:pt idx="54">
                  <c:v>3.3631818522000576E-2</c:v>
                </c:pt>
                <c:pt idx="55">
                  <c:v>3.3706287859792516E-2</c:v>
                </c:pt>
                <c:pt idx="56">
                  <c:v>3.3780661365971673E-2</c:v>
                </c:pt>
                <c:pt idx="57">
                  <c:v>3.3854940395505365E-2</c:v>
                </c:pt>
                <c:pt idx="58">
                  <c:v>3.3929126953356155E-2</c:v>
                </c:pt>
                <c:pt idx="59">
                  <c:v>3.4003223716993526E-2</c:v>
                </c:pt>
                <c:pt idx="60">
                  <c:v>3.4077234054403084E-2</c:v>
                </c:pt>
                <c:pt idx="61">
                  <c:v>3.4151162037504748E-2</c:v>
                </c:pt>
                <c:pt idx="62">
                  <c:v>3.4225012450939056E-2</c:v>
                </c:pt>
                <c:pt idx="63">
                  <c:v>3.4298790796227309E-2</c:v>
                </c:pt>
                <c:pt idx="64">
                  <c:v>3.4372503291356771E-2</c:v>
                </c:pt>
                <c:pt idx="65">
                  <c:v>3.4446156865885147E-2</c:v>
                </c:pt>
                <c:pt idx="66">
                  <c:v>3.4519759151699712E-2</c:v>
                </c:pt>
                <c:pt idx="67">
                  <c:v>3.4593318469604652E-2</c:v>
                </c:pt>
                <c:pt idx="68">
                  <c:v>3.4666843811944299E-2</c:v>
                </c:pt>
                <c:pt idx="69">
                  <c:v>3.4740344821501956E-2</c:v>
                </c:pt>
                <c:pt idx="70">
                  <c:v>3.4813831766940778E-2</c:v>
                </c:pt>
                <c:pt idx="71">
                  <c:v>3.488731551507606E-2</c:v>
                </c:pt>
                <c:pt idx="72">
                  <c:v>3.4960807500287558E-2</c:v>
                </c:pt>
                <c:pt idx="73">
                  <c:v>3.5034319691393902E-2</c:v>
                </c:pt>
                <c:pt idx="74">
                  <c:v>3.510786455632163E-2</c:v>
                </c:pt>
                <c:pt idx="75">
                  <c:v>3.5181455024905266E-2</c:v>
                </c:pt>
                <c:pt idx="76">
                  <c:v>3.5255104450156227E-2</c:v>
                </c:pt>
                <c:pt idx="77">
                  <c:v>3.5328826568333707E-2</c:v>
                </c:pt>
                <c:pt idx="78">
                  <c:v>3.540263545814213E-2</c:v>
                </c:pt>
                <c:pt idx="79">
                  <c:v>3.5476545499367879E-2</c:v>
                </c:pt>
                <c:pt idx="80">
                  <c:v>3.5550571331250481E-2</c:v>
                </c:pt>
                <c:pt idx="81">
                  <c:v>3.562472781086478E-2</c:v>
                </c:pt>
                <c:pt idx="82">
                  <c:v>3.5699029971766001E-2</c:v>
                </c:pt>
                <c:pt idx="83">
                  <c:v>3.5773492983124829E-2</c:v>
                </c:pt>
                <c:pt idx="84">
                  <c:v>3.5848132109550283E-2</c:v>
                </c:pt>
                <c:pt idx="85">
                  <c:v>3.5922962671768366E-2</c:v>
                </c:pt>
                <c:pt idx="86">
                  <c:v>3.5998000008292272E-2</c:v>
                </c:pt>
                <c:pt idx="87">
                  <c:v>3.6073259438187434E-2</c:v>
                </c:pt>
                <c:pt idx="88">
                  <c:v>3.6148756225001154E-2</c:v>
                </c:pt>
                <c:pt idx="89">
                  <c:v>3.6224505541893506E-2</c:v>
                </c:pt>
                <c:pt idx="90">
                  <c:v>3.6300522437973409E-2</c:v>
                </c:pt>
                <c:pt idx="91">
                  <c:v>3.6376821805812296E-2</c:v>
                </c:pt>
                <c:pt idx="92">
                  <c:v>3.6453418350077545E-2</c:v>
                </c:pt>
                <c:pt idx="93">
                  <c:v>3.6530326557199698E-2</c:v>
                </c:pt>
                <c:pt idx="94">
                  <c:v>3.6607560665962276E-2</c:v>
                </c:pt>
                <c:pt idx="95">
                  <c:v>3.6685134638879478E-2</c:v>
                </c:pt>
                <c:pt idx="96">
                  <c:v>3.6763062134208054E-2</c:v>
                </c:pt>
                <c:pt idx="97">
                  <c:v>3.6841356478423085E-2</c:v>
                </c:pt>
                <c:pt idx="98">
                  <c:v>3.6920030638975553E-2</c:v>
                </c:pt>
                <c:pt idx="99">
                  <c:v>3.6999097197140778E-2</c:v>
                </c:pt>
                <c:pt idx="100">
                  <c:v>3.7078568320763235E-2</c:v>
                </c:pt>
                <c:pt idx="101">
                  <c:v>3.7158455736703115E-2</c:v>
                </c:pt>
                <c:pt idx="102">
                  <c:v>3.7238770702794799E-2</c:v>
                </c:pt>
                <c:pt idx="103">
                  <c:v>3.7319523979136231E-2</c:v>
                </c:pt>
                <c:pt idx="104">
                  <c:v>3.7400725798541562E-2</c:v>
                </c:pt>
                <c:pt idx="105">
                  <c:v>3.7482385836006667E-2</c:v>
                </c:pt>
                <c:pt idx="106">
                  <c:v>3.7564513177058785E-2</c:v>
                </c:pt>
                <c:pt idx="107">
                  <c:v>3.7647116284886435E-2</c:v>
                </c:pt>
                <c:pt idx="108">
                  <c:v>3.7730202966174513E-2</c:v>
                </c:pt>
                <c:pt idx="109">
                  <c:v>3.7813780335601344E-2</c:v>
                </c:pt>
                <c:pt idx="110">
                  <c:v>3.7897854778988542E-2</c:v>
                </c:pt>
                <c:pt idx="111">
                  <c:v>3.7982431915131724E-2</c:v>
                </c:pt>
                <c:pt idx="112">
                  <c:v>3.806751655637821E-2</c:v>
                </c:pt>
                <c:pt idx="113">
                  <c:v>3.8153112668058306E-2</c:v>
                </c:pt>
                <c:pt idx="114">
                  <c:v>3.8239223326916615E-2</c:v>
                </c:pt>
                <c:pt idx="115">
                  <c:v>3.8325850678731614E-2</c:v>
                </c:pt>
                <c:pt idx="116">
                  <c:v>3.8412995895351458E-2</c:v>
                </c:pt>
                <c:pt idx="117">
                  <c:v>3.8500659131414212E-2</c:v>
                </c:pt>
                <c:pt idx="118">
                  <c:v>3.85888394810582E-2</c:v>
                </c:pt>
                <c:pt idx="119">
                  <c:v>3.867753493496514E-2</c:v>
                </c:pt>
                <c:pt idx="120">
                  <c:v>3.8766742338111185E-2</c:v>
                </c:pt>
                <c:pt idx="121">
                  <c:v>3.8856457348632252E-2</c:v>
                </c:pt>
                <c:pt idx="122">
                  <c:v>3.8946674398235882E-2</c:v>
                </c:pt>
                <c:pt idx="123">
                  <c:v>3.9037386654615362E-2</c:v>
                </c:pt>
                <c:pt idx="124">
                  <c:v>3.9128585986338907E-2</c:v>
                </c:pt>
                <c:pt idx="125">
                  <c:v>3.922026293070071E-2</c:v>
                </c:pt>
                <c:pt idx="126">
                  <c:v>3.9312406665027805E-2</c:v>
                </c:pt>
                <c:pt idx="127">
                  <c:v>3.9405004981939523E-2</c:v>
                </c:pt>
                <c:pt idx="128">
                  <c:v>3.9498044269052492E-2</c:v>
                </c:pt>
                <c:pt idx="129">
                  <c:v>3.9591509493615118E-2</c:v>
                </c:pt>
                <c:pt idx="130">
                  <c:v>3.9685384192539717E-2</c:v>
                </c:pt>
                <c:pt idx="131">
                  <c:v>3.9779650468279637E-2</c:v>
                </c:pt>
                <c:pt idx="132">
                  <c:v>3.9874288990970876E-2</c:v>
                </c:pt>
                <c:pt idx="133">
                  <c:v>3.9969279007224676E-2</c:v>
                </c:pt>
                <c:pt idx="134">
                  <c:v>4.0064598355919002E-2</c:v>
                </c:pt>
                <c:pt idx="135">
                  <c:v>4.0160223491292203E-2</c:v>
                </c:pt>
                <c:pt idx="136">
                  <c:v>4.0256129513593003E-2</c:v>
                </c:pt>
                <c:pt idx="137">
                  <c:v>4.0352290207487131E-2</c:v>
                </c:pt>
                <c:pt idx="138">
                  <c:v>4.0448678088362437E-2</c:v>
                </c:pt>
                <c:pt idx="139">
                  <c:v>4.0545264456612669E-2</c:v>
                </c:pt>
                <c:pt idx="140">
                  <c:v>4.0642019459914865E-2</c:v>
                </c:pt>
                <c:pt idx="141">
                  <c:v>4.0738912163447723E-2</c:v>
                </c:pt>
                <c:pt idx="142">
                  <c:v>4.083591062792883E-2</c:v>
                </c:pt>
                <c:pt idx="143">
                  <c:v>4.0932981995277937E-2</c:v>
                </c:pt>
                <c:pt idx="144">
                  <c:v>4.1030092581641912E-2</c:v>
                </c:pt>
                <c:pt idx="145">
                  <c:v>4.1127207977446664E-2</c:v>
                </c:pt>
                <c:pt idx="146">
                  <c:v>4.1224293154070245E-2</c:v>
                </c:pt>
                <c:pt idx="147">
                  <c:v>4.1321312576664063E-2</c:v>
                </c:pt>
                <c:pt idx="148">
                  <c:v>4.1418230322582246E-2</c:v>
                </c:pt>
                <c:pt idx="149">
                  <c:v>4.1515010204817078E-2</c:v>
                </c:pt>
                <c:pt idx="150">
                  <c:v>4.1611615899779221E-2</c:v>
                </c:pt>
                <c:pt idx="151">
                  <c:v>4.1708011078707141E-2</c:v>
                </c:pt>
                <c:pt idx="152">
                  <c:v>4.1804159541940951E-2</c:v>
                </c:pt>
                <c:pt idx="153">
                  <c:v>4.1900025355252488E-2</c:v>
                </c:pt>
                <c:pt idx="154">
                  <c:v>4.1995572987386695E-2</c:v>
                </c:pt>
                <c:pt idx="155">
                  <c:v>4.2090767447938222E-2</c:v>
                </c:pt>
                <c:pt idx="156">
                  <c:v>4.218557442466566E-2</c:v>
                </c:pt>
                <c:pt idx="157">
                  <c:v>4.2279960419328612E-2</c:v>
                </c:pt>
                <c:pt idx="158">
                  <c:v>4.2373892881126911E-2</c:v>
                </c:pt>
                <c:pt idx="159">
                  <c:v>4.2467340336820855E-2</c:v>
                </c:pt>
                <c:pt idx="160">
                  <c:v>4.2560272516620271E-2</c:v>
                </c:pt>
                <c:pt idx="161">
                  <c:v>4.2652660474947902E-2</c:v>
                </c:pt>
                <c:pt idx="162">
                  <c:v>4.2744476705206806E-2</c:v>
                </c:pt>
                <c:pt idx="163">
                  <c:v>4.2835695247715765E-2</c:v>
                </c:pt>
                <c:pt idx="164">
                  <c:v>4.2926291790017515E-2</c:v>
                </c:pt>
                <c:pt idx="165">
                  <c:v>4.3016243758813445E-2</c:v>
                </c:pt>
                <c:pt idx="166">
                  <c:v>4.3105530402834574E-2</c:v>
                </c:pt>
                <c:pt idx="167">
                  <c:v>4.3194132866021584E-2</c:v>
                </c:pt>
                <c:pt idx="168">
                  <c:v>4.3282034250455306E-2</c:v>
                </c:pt>
                <c:pt idx="169">
                  <c:v>4.3369219668554684E-2</c:v>
                </c:pt>
                <c:pt idx="170">
                  <c:v>4.3455676284137858E-2</c:v>
                </c:pt>
                <c:pt idx="171">
                  <c:v>4.3541393342027189E-2</c:v>
                </c:pt>
                <c:pt idx="172">
                  <c:v>4.3626362185965752E-2</c:v>
                </c:pt>
                <c:pt idx="173">
                  <c:v>4.3710576264703704E-2</c:v>
                </c:pt>
                <c:pt idx="174">
                  <c:v>4.3794031126204891E-2</c:v>
                </c:pt>
                <c:pt idx="175">
                  <c:v>4.3876724400017129E-2</c:v>
                </c:pt>
                <c:pt idx="176">
                  <c:v>4.395865576794334E-2</c:v>
                </c:pt>
                <c:pt idx="177">
                  <c:v>4.4039826923243E-2</c:v>
                </c:pt>
                <c:pt idx="178">
                  <c:v>4.4120241518684163E-2</c:v>
                </c:pt>
                <c:pt idx="179">
                  <c:v>4.419990510385538E-2</c:v>
                </c:pt>
                <c:pt idx="180">
                  <c:v>4.4278825052231116E-2</c:v>
                </c:pt>
                <c:pt idx="181">
                  <c:v>4.4357010478565509E-2</c:v>
                </c:pt>
                <c:pt idx="182">
                  <c:v>4.4434472147264981E-2</c:v>
                </c:pt>
                <c:pt idx="183">
                  <c:v>4.4511222372460364E-2</c:v>
                </c:pt>
                <c:pt idx="184">
                  <c:v>4.458727491056251E-2</c:v>
                </c:pt>
                <c:pt idx="185">
                  <c:v>4.466264484614213E-2</c:v>
                </c:pt>
                <c:pt idx="186">
                  <c:v>4.4737348472023208E-2</c:v>
                </c:pt>
                <c:pt idx="187">
                  <c:v>4.4811403164520119E-2</c:v>
                </c:pt>
                <c:pt idx="188">
                  <c:v>4.4884827254780664E-2</c:v>
                </c:pt>
                <c:pt idx="189">
                  <c:v>4.4957639897220472E-2</c:v>
                </c:pt>
                <c:pt idx="190">
                  <c:v>4.5029860936048285E-2</c:v>
                </c:pt>
                <c:pt idx="191">
                  <c:v>4.5101510770886623E-2</c:v>
                </c:pt>
                <c:pt idx="192">
                  <c:v>4.517261022248769E-2</c:v>
                </c:pt>
                <c:pt idx="193">
                  <c:v>4.5243180399530944E-2</c:v>
                </c:pt>
                <c:pt idx="194">
                  <c:v>4.5313242567465627E-2</c:v>
                </c:pt>
                <c:pt idx="195">
                  <c:v>4.5382818020329944E-2</c:v>
                </c:pt>
                <c:pt idx="196">
                  <c:v>4.5451927956438459E-2</c:v>
                </c:pt>
                <c:pt idx="197">
                  <c:v>4.5520593358780628E-2</c:v>
                </c:pt>
                <c:pt idx="198">
                  <c:v>4.5588834880917424E-2</c:v>
                </c:pt>
                <c:pt idx="199">
                  <c:v>4.5656672739099909E-2</c:v>
                </c:pt>
                <c:pt idx="200">
                  <c:v>4.5724126611264015E-2</c:v>
                </c:pt>
                <c:pt idx="201">
                  <c:v>4.5791215543480666E-2</c:v>
                </c:pt>
                <c:pt idx="202">
                  <c:v>4.5857957864360213E-2</c:v>
                </c:pt>
                <c:pt idx="203">
                  <c:v>4.5924371107825934E-2</c:v>
                </c:pt>
                <c:pt idx="204">
                  <c:v>4.599047194458409E-2</c:v>
                </c:pt>
                <c:pt idx="205">
                  <c:v>4.6056276122528397E-2</c:v>
                </c:pt>
                <c:pt idx="206">
                  <c:v>4.6121798416225615E-2</c:v>
                </c:pt>
                <c:pt idx="207">
                  <c:v>4.6187052585537985E-2</c:v>
                </c:pt>
                <c:pt idx="208">
                  <c:v>4.6252051343347131E-2</c:v>
                </c:pt>
                <c:pt idx="209">
                  <c:v>4.6316806332255087E-2</c:v>
                </c:pt>
                <c:pt idx="210">
                  <c:v>4.6381328110051252E-2</c:v>
                </c:pt>
                <c:pt idx="211">
                  <c:v>4.6445626143650678E-2</c:v>
                </c:pt>
                <c:pt idx="212">
                  <c:v>4.6509708811130271E-2</c:v>
                </c:pt>
                <c:pt idx="213">
                  <c:v>4.6573583411415161E-2</c:v>
                </c:pt>
                <c:pt idx="214">
                  <c:v>4.6637256181099804E-2</c:v>
                </c:pt>
                <c:pt idx="215">
                  <c:v>4.6700732317826413E-2</c:v>
                </c:pt>
                <c:pt idx="216">
                  <c:v>4.6764016009589564E-2</c:v>
                </c:pt>
                <c:pt idx="217">
                  <c:v>4.6827110469289196E-2</c:v>
                </c:pt>
                <c:pt idx="218">
                  <c:v>4.6890017973815833E-2</c:v>
                </c:pt>
                <c:pt idx="219">
                  <c:v>4.6952739906923155E-2</c:v>
                </c:pt>
                <c:pt idx="220">
                  <c:v>4.7015276805121527E-2</c:v>
                </c:pt>
                <c:pt idx="221">
                  <c:v>4.7077628405816321E-2</c:v>
                </c:pt>
                <c:pt idx="222">
                  <c:v>4.7139793696911472E-2</c:v>
                </c:pt>
                <c:pt idx="223">
                  <c:v>4.7201770967107252E-2</c:v>
                </c:pt>
                <c:pt idx="224">
                  <c:v>4.7263557856137318E-2</c:v>
                </c:pt>
                <c:pt idx="225">
                  <c:v>4.7325151404215712E-2</c:v>
                </c:pt>
                <c:pt idx="226">
                  <c:v>4.7386548099999162E-2</c:v>
                </c:pt>
                <c:pt idx="227">
                  <c:v>4.7447743926412288E-2</c:v>
                </c:pt>
                <c:pt idx="228">
                  <c:v>4.7508734403733925E-2</c:v>
                </c:pt>
                <c:pt idx="229">
                  <c:v>4.7569514629400629E-2</c:v>
                </c:pt>
                <c:pt idx="230">
                  <c:v>4.7630079314047065E-2</c:v>
                </c:pt>
                <c:pt idx="231">
                  <c:v>4.7690422813373955E-2</c:v>
                </c:pt>
                <c:pt idx="232">
                  <c:v>4.7750539155508344E-2</c:v>
                </c:pt>
                <c:pt idx="233">
                  <c:v>4.7810422063601074E-2</c:v>
                </c:pt>
                <c:pt idx="234">
                  <c:v>4.7870064973487871E-2</c:v>
                </c:pt>
                <c:pt idx="235">
                  <c:v>4.7929461046326061E-2</c:v>
                </c:pt>
                <c:pt idx="236">
                  <c:v>4.7988603176204223E-2</c:v>
                </c:pt>
                <c:pt idx="237">
                  <c:v>4.8047483992808726E-2</c:v>
                </c:pt>
                <c:pt idx="238">
                  <c:v>4.810609585931637E-2</c:v>
                </c:pt>
                <c:pt idx="239">
                  <c:v>4.8164430865766147E-2</c:v>
                </c:pt>
                <c:pt idx="240">
                  <c:v>4.8222480818244207E-2</c:v>
                </c:pt>
                <c:pt idx="241">
                  <c:v>4.8280237224292977E-2</c:v>
                </c:pt>
                <c:pt idx="242">
                  <c:v>4.8337691275028176E-2</c:v>
                </c:pt>
                <c:pt idx="243">
                  <c:v>4.8394833824514101E-2</c:v>
                </c:pt>
                <c:pt idx="244">
                  <c:v>4.8451655367008274E-2</c:v>
                </c:pt>
                <c:pt idx="245">
                  <c:v>4.8508146012739159E-2</c:v>
                </c:pt>
                <c:pt idx="246">
                  <c:v>4.856429546292676E-2</c:v>
                </c:pt>
                <c:pt idx="247">
                  <c:v>4.8620092984791759E-2</c:v>
                </c:pt>
                <c:pt idx="248">
                  <c:v>4.8675527387326986E-2</c:v>
                </c:pt>
                <c:pt idx="249">
                  <c:v>4.8730586998622955E-2</c:v>
                </c:pt>
                <c:pt idx="250">
                  <c:v>4.8785259645547308E-2</c:v>
                </c:pt>
                <c:pt idx="251">
                  <c:v>4.8839532636576248E-2</c:v>
                </c:pt>
                <c:pt idx="252">
                  <c:v>4.8893392748563955E-2</c:v>
                </c:pt>
                <c:pt idx="253">
                  <c:v>4.894682621821355E-2</c:v>
                </c:pt>
                <c:pt idx="254">
                  <c:v>4.8999818738980801E-2</c:v>
                </c:pt>
                <c:pt idx="255">
                  <c:v>4.9052355464099508E-2</c:v>
                </c:pt>
                <c:pt idx="256">
                  <c:v>4.9104421016365481E-2</c:v>
                </c:pt>
                <c:pt idx="257">
                  <c:v>4.9155999505255094E-2</c:v>
                </c:pt>
                <c:pt idx="258">
                  <c:v>4.9207074551884673E-2</c:v>
                </c:pt>
                <c:pt idx="259">
                  <c:v>4.9257629322239559E-2</c:v>
                </c:pt>
                <c:pt idx="260">
                  <c:v>4.9307646569016671E-2</c:v>
                </c:pt>
                <c:pt idx="261">
                  <c:v>4.9357108682333603E-2</c:v>
                </c:pt>
                <c:pt idx="262">
                  <c:v>4.9405997749460293E-2</c:v>
                </c:pt>
                <c:pt idx="263">
                  <c:v>4.9454295623628082E-2</c:v>
                </c:pt>
                <c:pt idx="264">
                  <c:v>4.9501984001867061E-2</c:v>
                </c:pt>
                <c:pt idx="265">
                  <c:v>4.9549044511714449E-2</c:v>
                </c:pt>
                <c:pt idx="266">
                  <c:v>4.9595458806529519E-2</c:v>
                </c:pt>
                <c:pt idx="267">
                  <c:v>4.9641208669041592E-2</c:v>
                </c:pt>
                <c:pt idx="268">
                  <c:v>4.9686276122650148E-2</c:v>
                </c:pt>
                <c:pt idx="269">
                  <c:v>4.973064354989188E-2</c:v>
                </c:pt>
                <c:pt idx="270">
                  <c:v>4.9774293817386142E-2</c:v>
                </c:pt>
                <c:pt idx="271">
                  <c:v>4.9817210406474945E-2</c:v>
                </c:pt>
                <c:pt idx="272">
                  <c:v>4.9859377548680368E-2</c:v>
                </c:pt>
                <c:pt idx="273">
                  <c:v>4.99007803650185E-2</c:v>
                </c:pt>
                <c:pt idx="274">
                  <c:v>4.9941405008131108E-2</c:v>
                </c:pt>
                <c:pt idx="275">
                  <c:v>4.9981238806128321E-2</c:v>
                </c:pt>
                <c:pt idx="276">
                  <c:v>5.0020270406975709E-2</c:v>
                </c:pt>
                <c:pt idx="277">
                  <c:v>5.0058489922211596E-2</c:v>
                </c:pt>
                <c:pt idx="278">
                  <c:v>5.0095889068741184E-2</c:v>
                </c:pt>
                <c:pt idx="279">
                  <c:v>5.0132461307429224E-2</c:v>
                </c:pt>
                <c:pt idx="280">
                  <c:v>5.0168201977197534E-2</c:v>
                </c:pt>
                <c:pt idx="281">
                  <c:v>5.0203108423332726E-2</c:v>
                </c:pt>
                <c:pt idx="282">
                  <c:v>5.0237180118719152E-2</c:v>
                </c:pt>
                <c:pt idx="283">
                  <c:v>5.0270418776736686E-2</c:v>
                </c:pt>
                <c:pt idx="284">
                  <c:v>5.0302828454597416E-2</c:v>
                </c:pt>
                <c:pt idx="285">
                  <c:v>5.0334415645945305E-2</c:v>
                </c:pt>
                <c:pt idx="286">
                  <c:v>5.0365189361602503E-2</c:v>
                </c:pt>
                <c:pt idx="287">
                  <c:v>5.0395161197419096E-2</c:v>
                </c:pt>
                <c:pt idx="288">
                  <c:v>5.0424345388266477E-2</c:v>
                </c:pt>
                <c:pt idx="289">
                  <c:v>5.045275884730957E-2</c:v>
                </c:pt>
                <c:pt idx="290">
                  <c:v>5.0480421189796558E-2</c:v>
                </c:pt>
                <c:pt idx="291">
                  <c:v>5.0507354740719108E-2</c:v>
                </c:pt>
                <c:pt idx="292">
                  <c:v>5.0533584525816674E-2</c:v>
                </c:pt>
                <c:pt idx="293">
                  <c:v>5.0559138245527241E-2</c:v>
                </c:pt>
                <c:pt idx="294">
                  <c:v>5.0584046231621174E-2</c:v>
                </c:pt>
                <c:pt idx="295">
                  <c:v>5.0608341386393557E-2</c:v>
                </c:pt>
                <c:pt idx="296">
                  <c:v>5.0632059104432817E-2</c:v>
                </c:pt>
                <c:pt idx="297">
                  <c:v>5.0655237177128158E-2</c:v>
                </c:pt>
                <c:pt idx="298">
                  <c:v>5.0677915680223083E-2</c:v>
                </c:pt>
                <c:pt idx="299">
                  <c:v>5.0700136844867488E-2</c:v>
                </c:pt>
                <c:pt idx="300">
                  <c:v>5.0721944912763058E-2</c:v>
                </c:pt>
                <c:pt idx="301">
                  <c:v>5.07433859761365E-2</c:v>
                </c:pt>
                <c:pt idx="302">
                  <c:v>5.0764507803409867E-2</c:v>
                </c:pt>
                <c:pt idx="303">
                  <c:v>5.0785359651566109E-2</c:v>
                </c:pt>
                <c:pt idx="304">
                  <c:v>5.0805992066329554E-2</c:v>
                </c:pt>
                <c:pt idx="305">
                  <c:v>5.0826456671395001E-2</c:v>
                </c:pt>
                <c:pt idx="306">
                  <c:v>5.0846805948042154E-2</c:v>
                </c:pt>
                <c:pt idx="307">
                  <c:v>5.0867093006566465E-2</c:v>
                </c:pt>
                <c:pt idx="308">
                  <c:v>5.0887371351038373E-2</c:v>
                </c:pt>
                <c:pt idx="309">
                  <c:v>5.0907694638973586E-2</c:v>
                </c:pt>
                <c:pt idx="310">
                  <c:v>5.0928116437552871E-2</c:v>
                </c:pt>
                <c:pt idx="311">
                  <c:v>5.0948689978073024E-2</c:v>
                </c:pt>
                <c:pt idx="312">
                  <c:v>5.0969467910339926E-2</c:v>
                </c:pt>
                <c:pt idx="313">
                  <c:v>5.0990502058728113E-2</c:v>
                </c:pt>
                <c:pt idx="314">
                  <c:v>5.1011843181631995E-2</c:v>
                </c:pt>
                <c:pt idx="315">
                  <c:v>5.1033540736017791E-2</c:v>
                </c:pt>
                <c:pt idx="316">
                  <c:v>5.1055642648756228E-2</c:v>
                </c:pt>
                <c:pt idx="317">
                  <c:v>5.1078195096371334E-2</c:v>
                </c:pt>
                <c:pt idx="318">
                  <c:v>5.1101242294782127E-2</c:v>
                </c:pt>
                <c:pt idx="319">
                  <c:v>5.1124826300542318E-2</c:v>
                </c:pt>
                <c:pt idx="320">
                  <c:v>5.1148986824996939E-2</c:v>
                </c:pt>
                <c:pt idx="321">
                  <c:v>5.1173761062678472E-2</c:v>
                </c:pt>
                <c:pt idx="322">
                  <c:v>5.1199183535154451E-2</c:v>
                </c:pt>
                <c:pt idx="323">
                  <c:v>5.1225285951419848E-2</c:v>
                </c:pt>
                <c:pt idx="324">
                  <c:v>5.1252097085797664E-2</c:v>
                </c:pt>
                <c:pt idx="325">
                  <c:v>5.1279642674173898E-2</c:v>
                </c:pt>
                <c:pt idx="326">
                  <c:v>5.1307945329247741E-2</c:v>
                </c:pt>
                <c:pt idx="327">
                  <c:v>5.1337024475328091E-2</c:v>
                </c:pt>
                <c:pt idx="328">
                  <c:v>5.1366896303051211E-2</c:v>
                </c:pt>
                <c:pt idx="329">
                  <c:v>5.1397573744237209E-2</c:v>
                </c:pt>
                <c:pt idx="330">
                  <c:v>5.1429066466942439E-2</c:v>
                </c:pt>
                <c:pt idx="331">
                  <c:v>5.1461380890605014E-2</c:v>
                </c:pt>
                <c:pt idx="332">
                  <c:v>5.1494520221021689E-2</c:v>
                </c:pt>
                <c:pt idx="333">
                  <c:v>5.152848450473814E-2</c:v>
                </c:pt>
                <c:pt idx="334">
                  <c:v>5.1563270702282171E-2</c:v>
                </c:pt>
                <c:pt idx="335">
                  <c:v>5.1598872779522957E-2</c:v>
                </c:pt>
                <c:pt idx="336">
                  <c:v>5.1635281816298985E-2</c:v>
                </c:pt>
                <c:pt idx="337">
                  <c:v>5.1672486131325156E-2</c:v>
                </c:pt>
                <c:pt idx="338">
                  <c:v>5.1710471422267056E-2</c:v>
                </c:pt>
                <c:pt idx="339">
                  <c:v>5.1749220919756818E-2</c:v>
                </c:pt>
                <c:pt idx="340">
                  <c:v>5.1788715554024048E-2</c:v>
                </c:pt>
                <c:pt idx="341">
                  <c:v>5.1828934132725712E-2</c:v>
                </c:pt>
                <c:pt idx="342">
                  <c:v>5.1869853528481731E-2</c:v>
                </c:pt>
                <c:pt idx="343">
                  <c:v>5.1911448874560673E-2</c:v>
                </c:pt>
                <c:pt idx="344">
                  <c:v>5.1953693767109926E-2</c:v>
                </c:pt>
                <c:pt idx="345">
                  <c:v>5.1996560472290537E-2</c:v>
                </c:pt>
                <c:pt idx="346">
                  <c:v>5.2040020136656366E-2</c:v>
                </c:pt>
                <c:pt idx="347">
                  <c:v>5.2084042999111541E-2</c:v>
                </c:pt>
                <c:pt idx="348">
                  <c:v>5.2128598602789893E-2</c:v>
                </c:pt>
                <c:pt idx="349">
                  <c:v>5.2173656005222682E-2</c:v>
                </c:pt>
                <c:pt idx="350">
                  <c:v>5.2219183985199785E-2</c:v>
                </c:pt>
                <c:pt idx="351">
                  <c:v>5.2265151244779956E-2</c:v>
                </c:pt>
                <c:pt idx="352">
                  <c:v>5.2311526604971133E-2</c:v>
                </c:pt>
                <c:pt idx="353">
                  <c:v>5.235827919367813E-2</c:v>
                </c:pt>
                <c:pt idx="354">
                  <c:v>5.2405378624604301E-2</c:v>
                </c:pt>
                <c:pt idx="355">
                  <c:v>5.2452795165892671E-2</c:v>
                </c:pt>
                <c:pt idx="356">
                  <c:v>5.2500499897401187E-2</c:v>
                </c:pt>
                <c:pt idx="357">
                  <c:v>5.2548464855624442E-2</c:v>
                </c:pt>
                <c:pt idx="358">
                  <c:v>5.2596663165399377E-2</c:v>
                </c:pt>
                <c:pt idx="359">
                  <c:v>5.2645069157663156E-2</c:v>
                </c:pt>
                <c:pt idx="360">
                  <c:v>5.2693658472668402E-2</c:v>
                </c:pt>
                <c:pt idx="361">
                  <c:v>5.2742408148200075E-2</c:v>
                </c:pt>
                <c:pt idx="362">
                  <c:v>5.2791296692480005E-2</c:v>
                </c:pt>
                <c:pt idx="363">
                  <c:v>5.2840304141589002E-2</c:v>
                </c:pt>
                <c:pt idx="364">
                  <c:v>5.2889412101377084E-2</c:v>
                </c:pt>
                <c:pt idx="365">
                  <c:v>5.2938603773974718E-2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'2028'!$P$15:$P$380</c:f>
              <c:numCache>
                <c:formatCode>0.00%</c:formatCode>
                <c:ptCount val="366"/>
                <c:pt idx="0">
                  <c:v>9.4379691465261636E-3</c:v>
                </c:pt>
                <c:pt idx="1">
                  <c:v>9.4106171413892124E-3</c:v>
                </c:pt>
                <c:pt idx="2">
                  <c:v>9.3852143045273628E-3</c:v>
                </c:pt>
                <c:pt idx="3">
                  <c:v>9.3621491058241517E-3</c:v>
                </c:pt>
                <c:pt idx="4">
                  <c:v>9.3417902830437854E-3</c:v>
                </c:pt>
                <c:pt idx="5">
                  <c:v>9.3244873287332084E-3</c:v>
                </c:pt>
                <c:pt idx="6">
                  <c:v>9.3105713699639572E-3</c:v>
                </c:pt>
                <c:pt idx="7">
                  <c:v>9.3003563669233017E-3</c:v>
                </c:pt>
                <c:pt idx="8">
                  <c:v>9.2921255038304184E-3</c:v>
                </c:pt>
                <c:pt idx="9">
                  <c:v>9.287000661798021E-3</c:v>
                </c:pt>
                <c:pt idx="10">
                  <c:v>9.2839145641524685E-3</c:v>
                </c:pt>
                <c:pt idx="11">
                  <c:v>9.2832101679264523E-3</c:v>
                </c:pt>
                <c:pt idx="12">
                  <c:v>9.2852109923700927E-3</c:v>
                </c:pt>
                <c:pt idx="13">
                  <c:v>9.2902217302145273E-3</c:v>
                </c:pt>
                <c:pt idx="14">
                  <c:v>9.2985292073945267E-3</c:v>
                </c:pt>
                <c:pt idx="15">
                  <c:v>9.3134235645473233E-3</c:v>
                </c:pt>
                <c:pt idx="16">
                  <c:v>9.3318265539088976E-3</c:v>
                </c:pt>
                <c:pt idx="17">
                  <c:v>9.3539886631424912E-3</c:v>
                </c:pt>
                <c:pt idx="18">
                  <c:v>9.380148957139893E-3</c:v>
                </c:pt>
                <c:pt idx="19">
                  <c:v>9.410589305372254E-3</c:v>
                </c:pt>
                <c:pt idx="20">
                  <c:v>9.4456083041921223E-3</c:v>
                </c:pt>
                <c:pt idx="21">
                  <c:v>9.4854590915987875E-3</c:v>
                </c:pt>
                <c:pt idx="22">
                  <c:v>9.528959587021494E-3</c:v>
                </c:pt>
                <c:pt idx="23">
                  <c:v>9.5719838727406168E-3</c:v>
                </c:pt>
                <c:pt idx="24">
                  <c:v>9.6123775567523405E-3</c:v>
                </c:pt>
                <c:pt idx="25">
                  <c:v>9.6504310593383217E-3</c:v>
                </c:pt>
                <c:pt idx="26">
                  <c:v>9.6864289842455483E-3</c:v>
                </c:pt>
                <c:pt idx="27">
                  <c:v>9.7206495000468386E-3</c:v>
                </c:pt>
                <c:pt idx="28">
                  <c:v>9.7533639011927933E-3</c:v>
                </c:pt>
                <c:pt idx="29">
                  <c:v>9.7669123169632915E-3</c:v>
                </c:pt>
                <c:pt idx="30">
                  <c:v>9.7595070572967721E-3</c:v>
                </c:pt>
                <c:pt idx="31">
                  <c:v>9.7319993466515094E-3</c:v>
                </c:pt>
                <c:pt idx="32">
                  <c:v>9.6852057135668277E-3</c:v>
                </c:pt>
                <c:pt idx="33">
                  <c:v>9.6199054077500384E-3</c:v>
                </c:pt>
                <c:pt idx="34">
                  <c:v>9.5368383126039052E-3</c:v>
                </c:pt>
                <c:pt idx="35">
                  <c:v>9.4367032906180048E-3</c:v>
                </c:pt>
                <c:pt idx="36">
                  <c:v>9.3196275534068555E-3</c:v>
                </c:pt>
                <c:pt idx="37">
                  <c:v>9.1694811821830102E-3</c:v>
                </c:pt>
                <c:pt idx="38">
                  <c:v>8.9896795523128799E-3</c:v>
                </c:pt>
                <c:pt idx="39">
                  <c:v>8.7810652267633592E-3</c:v>
                </c:pt>
                <c:pt idx="40">
                  <c:v>8.5444466206768977E-3</c:v>
                </c:pt>
                <c:pt idx="41">
                  <c:v>8.2805985008273832E-3</c:v>
                </c:pt>
                <c:pt idx="42">
                  <c:v>7.990262501231974E-3</c:v>
                </c:pt>
                <c:pt idx="43">
                  <c:v>7.6726128488059115E-3</c:v>
                </c:pt>
                <c:pt idx="44">
                  <c:v>7.3439381789152883E-3</c:v>
                </c:pt>
                <c:pt idx="45">
                  <c:v>7.0045225447524879E-3</c:v>
                </c:pt>
                <c:pt idx="46">
                  <c:v>6.654633561948336E-3</c:v>
                </c:pt>
                <c:pt idx="47">
                  <c:v>6.2945226869314877E-3</c:v>
                </c:pt>
                <c:pt idx="48">
                  <c:v>5.9244254648258979E-3</c:v>
                </c:pt>
                <c:pt idx="49">
                  <c:v>5.5445617452258393E-3</c:v>
                </c:pt>
                <c:pt idx="50">
                  <c:v>5.1551029827364278E-3</c:v>
                </c:pt>
                <c:pt idx="51">
                  <c:v>4.7668126415392007E-3</c:v>
                </c:pt>
                <c:pt idx="52">
                  <c:v>4.3938221304535806E-3</c:v>
                </c:pt>
                <c:pt idx="53">
                  <c:v>4.035717445659631E-3</c:v>
                </c:pt>
                <c:pt idx="54">
                  <c:v>3.6921243269200268E-3</c:v>
                </c:pt>
                <c:pt idx="55">
                  <c:v>3.3626819517141148E-3</c:v>
                </c:pt>
                <c:pt idx="56">
                  <c:v>3.0470422173161137E-3</c:v>
                </c:pt>
                <c:pt idx="57">
                  <c:v>2.7580589541466713E-3</c:v>
                </c:pt>
                <c:pt idx="58">
                  <c:v>2.4964967521535816E-3</c:v>
                </c:pt>
                <c:pt idx="59">
                  <c:v>2.2617406263509749E-3</c:v>
                </c:pt>
                <c:pt idx="60">
                  <c:v>2.0531974481609889E-3</c:v>
                </c:pt>
                <c:pt idx="61">
                  <c:v>1.870295085444105E-3</c:v>
                </c:pt>
                <c:pt idx="62">
                  <c:v>1.712481620709241E-3</c:v>
                </c:pt>
                <c:pt idx="63">
                  <c:v>1.5792246446227295E-3</c:v>
                </c:pt>
                <c:pt idx="64">
                  <c:v>1.469974157269965E-3</c:v>
                </c:pt>
                <c:pt idx="65">
                  <c:v>1.3894849230394425E-3</c:v>
                </c:pt>
                <c:pt idx="66">
                  <c:v>1.327690020600409E-3</c:v>
                </c:pt>
                <c:pt idx="67">
                  <c:v>1.2842349223976114E-3</c:v>
                </c:pt>
                <c:pt idx="68">
                  <c:v>1.258774416292182E-3</c:v>
                </c:pt>
                <c:pt idx="69">
                  <c:v>1.2509745597688621E-3</c:v>
                </c:pt>
                <c:pt idx="70">
                  <c:v>1.2605145069474327E-3</c:v>
                </c:pt>
                <c:pt idx="71">
                  <c:v>1.2842406216509884E-3</c:v>
                </c:pt>
                <c:pt idx="72">
                  <c:v>1.3099865801880104E-3</c:v>
                </c:pt>
                <c:pt idx="73">
                  <c:v>1.3377423072059281E-3</c:v>
                </c:pt>
                <c:pt idx="74">
                  <c:v>1.3675008687150034E-3</c:v>
                </c:pt>
                <c:pt idx="75">
                  <c:v>1.3992586464175406E-3</c:v>
                </c:pt>
                <c:pt idx="76">
                  <c:v>1.4330155095212897E-3</c:v>
                </c:pt>
                <c:pt idx="77">
                  <c:v>1.4687749855306945E-3</c:v>
                </c:pt>
                <c:pt idx="78">
                  <c:v>1.5064509235960483E-3</c:v>
                </c:pt>
                <c:pt idx="79">
                  <c:v>1.5425026910820875E-3</c:v>
                </c:pt>
                <c:pt idx="80">
                  <c:v>1.5721685546056109E-3</c:v>
                </c:pt>
                <c:pt idx="81">
                  <c:v>1.5955817178687796E-3</c:v>
                </c:pt>
                <c:pt idx="82">
                  <c:v>1.6128710280317153E-3</c:v>
                </c:pt>
                <c:pt idx="83">
                  <c:v>1.6241599795202794E-3</c:v>
                </c:pt>
                <c:pt idx="84">
                  <c:v>1.6295657844060637E-3</c:v>
                </c:pt>
                <c:pt idx="85">
                  <c:v>1.6280234333916684E-3</c:v>
                </c:pt>
                <c:pt idx="86">
                  <c:v>1.6222833849076873E-3</c:v>
                </c:pt>
                <c:pt idx="87">
                  <c:v>1.6124205333935119E-3</c:v>
                </c:pt>
                <c:pt idx="88">
                  <c:v>1.5985024329783913E-3</c:v>
                </c:pt>
                <c:pt idx="89">
                  <c:v>1.5805887861511305E-3</c:v>
                </c:pt>
                <c:pt idx="90">
                  <c:v>1.558730949969493E-3</c:v>
                </c:pt>
                <c:pt idx="91">
                  <c:v>1.5329714538571332E-3</c:v>
                </c:pt>
                <c:pt idx="92">
                  <c:v>1.5033106382771298E-3</c:v>
                </c:pt>
                <c:pt idx="93">
                  <c:v>1.469217853906628E-3</c:v>
                </c:pt>
                <c:pt idx="94">
                  <c:v>1.4339748679568379E-3</c:v>
                </c:pt>
                <c:pt idx="95">
                  <c:v>1.3975539933299324E-3</c:v>
                </c:pt>
                <c:pt idx="96">
                  <c:v>1.3599267428379724E-3</c:v>
                </c:pt>
                <c:pt idx="97">
                  <c:v>1.3210638463510324E-3</c:v>
                </c:pt>
                <c:pt idx="98">
                  <c:v>1.2809352714251577E-3</c:v>
                </c:pt>
                <c:pt idx="99">
                  <c:v>1.2419099931459722E-3</c:v>
                </c:pt>
                <c:pt idx="100">
                  <c:v>1.2050924945196195E-3</c:v>
                </c:pt>
                <c:pt idx="101">
                  <c:v>1.1704505212140508E-3</c:v>
                </c:pt>
                <c:pt idx="102">
                  <c:v>1.1379554910951521E-3</c:v>
                </c:pt>
                <c:pt idx="103">
                  <c:v>1.1075823146989487E-3</c:v>
                </c:pt>
                <c:pt idx="104">
                  <c:v>1.079309226894858E-3</c:v>
                </c:pt>
                <c:pt idx="105">
                  <c:v>1.0531176285178228E-3</c:v>
                </c:pt>
                <c:pt idx="106">
                  <c:v>1.0290191003782922E-3</c:v>
                </c:pt>
                <c:pt idx="107">
                  <c:v>1.0078156050710178E-3</c:v>
                </c:pt>
                <c:pt idx="108">
                  <c:v>9.8999438619322075E-4</c:v>
                </c:pt>
                <c:pt idx="109">
                  <c:v>9.7555402157014682E-4</c:v>
                </c:pt>
                <c:pt idx="110">
                  <c:v>9.6450045218913409E-4</c:v>
                </c:pt>
                <c:pt idx="111">
                  <c:v>9.5684412066579625E-4</c:v>
                </c:pt>
                <c:pt idx="112">
                  <c:v>9.5259722787195645E-4</c:v>
                </c:pt>
                <c:pt idx="113">
                  <c:v>9.4900090117411295E-4</c:v>
                </c:pt>
                <c:pt idx="114">
                  <c:v>9.4361445794481635E-4</c:v>
                </c:pt>
                <c:pt idx="115">
                  <c:v>9.3641716384991935E-4</c:v>
                </c:pt>
                <c:pt idx="116">
                  <c:v>9.2738585801373544E-4</c:v>
                </c:pt>
                <c:pt idx="117">
                  <c:v>9.1649498645044304E-4</c:v>
                </c:pt>
                <c:pt idx="118">
                  <c:v>9.0371663892061817E-4</c:v>
                </c:pt>
                <c:pt idx="119">
                  <c:v>8.8902059059681345E-4</c:v>
                </c:pt>
                <c:pt idx="120">
                  <c:v>8.7238891863340869E-4</c:v>
                </c:pt>
                <c:pt idx="121">
                  <c:v>8.5303037003772936E-4</c:v>
                </c:pt>
                <c:pt idx="122">
                  <c:v>8.3006875248912504E-4</c:v>
                </c:pt>
                <c:pt idx="123">
                  <c:v>8.0343874839104311E-4</c:v>
                </c:pt>
                <c:pt idx="124">
                  <c:v>7.7307044737724858E-4</c:v>
                </c:pt>
                <c:pt idx="125">
                  <c:v>7.3888947220965512E-4</c:v>
                </c:pt>
                <c:pt idx="126">
                  <c:v>7.0081712113518441E-4</c:v>
                </c:pt>
                <c:pt idx="127">
                  <c:v>6.6017502995537503E-4</c:v>
                </c:pt>
                <c:pt idx="128">
                  <c:v>6.1984416871332709E-4</c:v>
                </c:pt>
                <c:pt idx="129">
                  <c:v>5.7980457955986685E-4</c:v>
                </c:pt>
                <c:pt idx="130">
                  <c:v>5.4003748418272543E-4</c:v>
                </c:pt>
                <c:pt idx="131">
                  <c:v>5.0052530786300964E-4</c:v>
                </c:pt>
                <c:pt idx="132">
                  <c:v>4.6125170642342413E-4</c:v>
                </c:pt>
                <c:pt idx="133">
                  <c:v>4.2220159582090225E-4</c:v>
                </c:pt>
                <c:pt idx="134">
                  <c:v>3.8336456128097745E-4</c:v>
                </c:pt>
                <c:pt idx="135">
                  <c:v>3.4628488677348015E-4</c:v>
                </c:pt>
                <c:pt idx="136">
                  <c:v>3.1181723315187317E-4</c:v>
                </c:pt>
                <c:pt idx="137">
                  <c:v>2.7999725758502301E-4</c:v>
                </c:pt>
                <c:pt idx="138">
                  <c:v>2.5086376855391402E-4</c:v>
                </c:pt>
                <c:pt idx="139">
                  <c:v>2.244586695954427E-4</c:v>
                </c:pt>
                <c:pt idx="140">
                  <c:v>2.0082689007231599E-4</c:v>
                </c:pt>
                <c:pt idx="141">
                  <c:v>1.8066448330631351E-4</c:v>
                </c:pt>
                <c:pt idx="142">
                  <c:v>1.6250507083649706E-4</c:v>
                </c:pt>
                <c:pt idx="143">
                  <c:v>1.4638638434442839E-4</c:v>
                </c:pt>
                <c:pt idx="144">
                  <c:v>1.3234919565496427E-4</c:v>
                </c:pt>
                <c:pt idx="145">
                  <c:v>1.2043604234107955E-4</c:v>
                </c:pt>
                <c:pt idx="146">
                  <c:v>1.1069115315323752E-4</c:v>
                </c:pt>
                <c:pt idx="147">
                  <c:v>1.0316036441153457E-4</c:v>
                </c:pt>
                <c:pt idx="148">
                  <c:v>9.7891027769352805E-5</c:v>
                </c:pt>
                <c:pt idx="149">
                  <c:v>9.4914911864362996E-5</c:v>
                </c:pt>
                <c:pt idx="150">
                  <c:v>9.2564986755273035E-5</c:v>
                </c:pt>
                <c:pt idx="151">
                  <c:v>9.0855761201885971E-5</c:v>
                </c:pt>
                <c:pt idx="152">
                  <c:v>8.9802125873158229E-5</c:v>
                </c:pt>
                <c:pt idx="153">
                  <c:v>8.9419319157446909E-5</c:v>
                </c:pt>
                <c:pt idx="154">
                  <c:v>8.9722891463647197E-5</c:v>
                </c:pt>
                <c:pt idx="155">
                  <c:v>9.0691397133854844E-5</c:v>
                </c:pt>
                <c:pt idx="156">
                  <c:v>9.1612894995793544E-5</c:v>
                </c:pt>
                <c:pt idx="157">
                  <c:v>9.2485828784307587E-5</c:v>
                </c:pt>
                <c:pt idx="158">
                  <c:v>9.3308628183698224E-5</c:v>
                </c:pt>
                <c:pt idx="159">
                  <c:v>9.4079714000884883E-5</c:v>
                </c:pt>
                <c:pt idx="160">
                  <c:v>9.4797503357831823E-5</c:v>
                </c:pt>
                <c:pt idx="161">
                  <c:v>9.5460414837161635E-5</c:v>
                </c:pt>
                <c:pt idx="162">
                  <c:v>9.6066873550968267E-5</c:v>
                </c:pt>
                <c:pt idx="163">
                  <c:v>9.6640665209241338E-5</c:v>
                </c:pt>
                <c:pt idx="164">
                  <c:v>9.7199274333556986E-5</c:v>
                </c:pt>
                <c:pt idx="165">
                  <c:v>9.7741994369754124E-5</c:v>
                </c:pt>
                <c:pt idx="166">
                  <c:v>9.82681424017298E-5</c:v>
                </c:pt>
                <c:pt idx="167">
                  <c:v>9.8777061809282295E-5</c:v>
                </c:pt>
                <c:pt idx="168">
                  <c:v>9.9268124731820696E-5</c:v>
                </c:pt>
                <c:pt idx="169">
                  <c:v>9.9767098578874659E-5</c:v>
                </c:pt>
                <c:pt idx="170">
                  <c:v>1.0031519369741545E-4</c:v>
                </c:pt>
                <c:pt idx="171">
                  <c:v>1.0091318001607925E-4</c:v>
                </c:pt>
                <c:pt idx="172">
                  <c:v>1.0156185603088662E-4</c:v>
                </c:pt>
                <c:pt idx="173">
                  <c:v>1.0226100333996469E-4</c:v>
                </c:pt>
                <c:pt idx="174">
                  <c:v>1.0301034621151558E-4</c:v>
                </c:pt>
                <c:pt idx="175">
                  <c:v>1.03810634227791E-4</c:v>
                </c:pt>
                <c:pt idx="176">
                  <c:v>1.0466385056619477E-4</c:v>
                </c:pt>
                <c:pt idx="177">
                  <c:v>1.0552857007551987E-4</c:v>
                </c:pt>
                <c:pt idx="178">
                  <c:v>1.0637648165418618E-4</c:v>
                </c:pt>
                <c:pt idx="179">
                  <c:v>1.0720665654727257E-4</c:v>
                </c:pt>
                <c:pt idx="180">
                  <c:v>1.0801818545148035E-4</c:v>
                </c:pt>
                <c:pt idx="181">
                  <c:v>1.0881017913606939E-4</c:v>
                </c:pt>
                <c:pt idx="182">
                  <c:v>1.0958176886606139E-4</c:v>
                </c:pt>
                <c:pt idx="183">
                  <c:v>1.1031166792906839E-4</c:v>
                </c:pt>
                <c:pt idx="184">
                  <c:v>1.1096997123129362E-4</c:v>
                </c:pt>
                <c:pt idx="185">
                  <c:v>1.1155514149212922E-4</c:v>
                </c:pt>
                <c:pt idx="186">
                  <c:v>1.1206568142983956E-4</c:v>
                </c:pt>
                <c:pt idx="187">
                  <c:v>1.1250013536728158E-4</c:v>
                </c:pt>
                <c:pt idx="188">
                  <c:v>1.1285709063432931E-4</c:v>
                </c:pt>
                <c:pt idx="189">
                  <c:v>1.1313517879899801E-4</c:v>
                </c:pt>
                <c:pt idx="190">
                  <c:v>1.1333507676821788E-4</c:v>
                </c:pt>
                <c:pt idx="191">
                  <c:v>1.1437737014907867E-4</c:v>
                </c:pt>
                <c:pt idx="192">
                  <c:v>1.1632198578938091E-4</c:v>
                </c:pt>
                <c:pt idx="193">
                  <c:v>1.1918254289942749E-4</c:v>
                </c:pt>
                <c:pt idx="194">
                  <c:v>1.2297237164561131E-4</c:v>
                </c:pt>
                <c:pt idx="195">
                  <c:v>1.2770452002885802E-4</c:v>
                </c:pt>
                <c:pt idx="196">
                  <c:v>1.3339176195069106E-4</c:v>
                </c:pt>
                <c:pt idx="197">
                  <c:v>1.4232969817633132E-4</c:v>
                </c:pt>
                <c:pt idx="198">
                  <c:v>1.5458195504727151E-4</c:v>
                </c:pt>
                <c:pt idx="199">
                  <c:v>1.7018983535424249E-4</c:v>
                </c:pt>
                <c:pt idx="200">
                  <c:v>1.8919385054896431E-4</c:v>
                </c:pt>
                <c:pt idx="201">
                  <c:v>2.1163375680451459E-4</c:v>
                </c:pt>
                <c:pt idx="202">
                  <c:v>2.3754858968953415E-4</c:v>
                </c:pt>
                <c:pt idx="203">
                  <c:v>2.6697669658836933E-4</c:v>
                </c:pt>
                <c:pt idx="204">
                  <c:v>2.9995791253097488E-4</c:v>
                </c:pt>
                <c:pt idx="205">
                  <c:v>3.387378819550103E-4</c:v>
                </c:pt>
                <c:pt idx="206">
                  <c:v>3.8239529806180576E-4</c:v>
                </c:pt>
                <c:pt idx="207">
                  <c:v>4.3098082516594574E-4</c:v>
                </c:pt>
                <c:pt idx="208">
                  <c:v>4.8454459245667264E-4</c:v>
                </c:pt>
                <c:pt idx="209">
                  <c:v>5.4313617212018751E-4</c:v>
                </c:pt>
                <c:pt idx="210">
                  <c:v>6.0680454869725079E-4</c:v>
                </c:pt>
                <c:pt idx="211">
                  <c:v>6.7424750815025679E-4</c:v>
                </c:pt>
                <c:pt idx="212">
                  <c:v>7.4307341495319097E-4</c:v>
                </c:pt>
                <c:pt idx="213">
                  <c:v>8.132867862767595E-4</c:v>
                </c:pt>
                <c:pt idx="214">
                  <c:v>8.8489186228398245E-4</c:v>
                </c:pt>
                <c:pt idx="215">
                  <c:v>9.5789255525184278E-4</c:v>
                </c:pt>
                <c:pt idx="216">
                  <c:v>1.032292396867879E-3</c:v>
                </c:pt>
                <c:pt idx="217">
                  <c:v>1.1080944840380265E-3</c:v>
                </c:pt>
                <c:pt idx="218">
                  <c:v>1.1852922101313517E-3</c:v>
                </c:pt>
                <c:pt idx="219">
                  <c:v>1.2588435648045869E-3</c:v>
                </c:pt>
                <c:pt idx="220">
                  <c:v>1.3263761498275653E-3</c:v>
                </c:pt>
                <c:pt idx="221">
                  <c:v>1.3878257597677022E-3</c:v>
                </c:pt>
                <c:pt idx="222">
                  <c:v>1.4431308113607084E-3</c:v>
                </c:pt>
                <c:pt idx="223">
                  <c:v>1.4922319443788463E-3</c:v>
                </c:pt>
                <c:pt idx="224">
                  <c:v>1.5350716182820758E-3</c:v>
                </c:pt>
                <c:pt idx="225">
                  <c:v>1.5731477199438528E-3</c:v>
                </c:pt>
                <c:pt idx="226">
                  <c:v>1.6078472927495999E-3</c:v>
                </c:pt>
                <c:pt idx="227">
                  <c:v>1.6391467113348634E-3</c:v>
                </c:pt>
                <c:pt idx="228">
                  <c:v>1.6670228929757417E-3</c:v>
                </c:pt>
                <c:pt idx="229">
                  <c:v>1.6914530773284051E-3</c:v>
                </c:pt>
                <c:pt idx="230">
                  <c:v>1.7124146031691854E-3</c:v>
                </c:pt>
                <c:pt idx="231">
                  <c:v>1.729884681750679E-3</c:v>
                </c:pt>
                <c:pt idx="232">
                  <c:v>1.7437909581790826E-3</c:v>
                </c:pt>
                <c:pt idx="233">
                  <c:v>1.7586957844958303E-3</c:v>
                </c:pt>
                <c:pt idx="234">
                  <c:v>1.7799244639983007E-3</c:v>
                </c:pt>
                <c:pt idx="235">
                  <c:v>1.807555285881543E-3</c:v>
                </c:pt>
                <c:pt idx="236">
                  <c:v>1.8416683420439978E-3</c:v>
                </c:pt>
                <c:pt idx="237">
                  <c:v>1.8823442538982527E-3</c:v>
                </c:pt>
                <c:pt idx="238">
                  <c:v>1.9296657855816439E-3</c:v>
                </c:pt>
                <c:pt idx="239">
                  <c:v>1.9829255348622595E-3</c:v>
                </c:pt>
                <c:pt idx="240">
                  <c:v>2.0405659842432748E-3</c:v>
                </c:pt>
                <c:pt idx="241">
                  <c:v>2.1026532200793106E-3</c:v>
                </c:pt>
                <c:pt idx="242">
                  <c:v>2.1692565771104775E-3</c:v>
                </c:pt>
                <c:pt idx="243">
                  <c:v>2.240449016249865E-3</c:v>
                </c:pt>
                <c:pt idx="244">
                  <c:v>2.3163075190866028E-3</c:v>
                </c:pt>
                <c:pt idx="245">
                  <c:v>2.3969135007555022E-3</c:v>
                </c:pt>
                <c:pt idx="246">
                  <c:v>2.4823253017865043E-3</c:v>
                </c:pt>
                <c:pt idx="247">
                  <c:v>2.5702832322028399E-3</c:v>
                </c:pt>
                <c:pt idx="248">
                  <c:v>2.6559266076447616E-3</c:v>
                </c:pt>
                <c:pt idx="249">
                  <c:v>2.7392333222846493E-3</c:v>
                </c:pt>
                <c:pt idx="250">
                  <c:v>2.8201795081303905E-3</c:v>
                </c:pt>
                <c:pt idx="251">
                  <c:v>2.898739516441515E-3</c:v>
                </c:pt>
                <c:pt idx="252">
                  <c:v>2.9748859011444221E-3</c:v>
                </c:pt>
                <c:pt idx="253">
                  <c:v>3.0415348333168767E-3</c:v>
                </c:pt>
                <c:pt idx="254">
                  <c:v>3.0994014437581855E-3</c:v>
                </c:pt>
                <c:pt idx="255">
                  <c:v>3.1483681034958086E-3</c:v>
                </c:pt>
                <c:pt idx="256">
                  <c:v>3.1883129640930029E-3</c:v>
                </c:pt>
                <c:pt idx="257">
                  <c:v>3.2191100346368952E-3</c:v>
                </c:pt>
                <c:pt idx="258">
                  <c:v>3.2406292743233211E-3</c:v>
                </c:pt>
                <c:pt idx="259">
                  <c:v>3.2527367003984745E-3</c:v>
                </c:pt>
                <c:pt idx="260">
                  <c:v>3.2553444965365491E-3</c:v>
                </c:pt>
                <c:pt idx="261">
                  <c:v>3.2431739559616738E-3</c:v>
                </c:pt>
                <c:pt idx="262">
                  <c:v>3.2184597100181956E-3</c:v>
                </c:pt>
                <c:pt idx="263">
                  <c:v>3.1810034232391715E-3</c:v>
                </c:pt>
                <c:pt idx="264">
                  <c:v>3.1306009969752947E-3</c:v>
                </c:pt>
                <c:pt idx="265">
                  <c:v>3.0670592876412281E-3</c:v>
                </c:pt>
                <c:pt idx="266">
                  <c:v>2.9901706290601615E-3</c:v>
                </c:pt>
                <c:pt idx="267">
                  <c:v>2.9104185660720331E-3</c:v>
                </c:pt>
                <c:pt idx="268">
                  <c:v>2.8353080347285802E-3</c:v>
                </c:pt>
                <c:pt idx="269">
                  <c:v>2.7648895589769094E-3</c:v>
                </c:pt>
                <c:pt idx="270">
                  <c:v>2.6992169386572847E-3</c:v>
                </c:pt>
                <c:pt idx="271">
                  <c:v>2.6383470421316407E-3</c:v>
                </c:pt>
                <c:pt idx="272">
                  <c:v>2.5823395868497245E-3</c:v>
                </c:pt>
                <c:pt idx="273">
                  <c:v>2.5312569075440451E-3</c:v>
                </c:pt>
                <c:pt idx="274">
                  <c:v>2.4852463765687566E-3</c:v>
                </c:pt>
                <c:pt idx="275">
                  <c:v>2.4693781534742385E-3</c:v>
                </c:pt>
                <c:pt idx="276">
                  <c:v>2.4896946210604177E-3</c:v>
                </c:pt>
                <c:pt idx="277">
                  <c:v>2.5467534371587811E-3</c:v>
                </c:pt>
                <c:pt idx="278">
                  <c:v>2.6411263916437935E-3</c:v>
                </c:pt>
                <c:pt idx="279">
                  <c:v>2.7733959863359596E-3</c:v>
                </c:pt>
                <c:pt idx="280">
                  <c:v>2.944151854974058E-3</c:v>
                </c:pt>
                <c:pt idx="281">
                  <c:v>3.1717830093968514E-3</c:v>
                </c:pt>
                <c:pt idx="282">
                  <c:v>3.4455797480380697E-3</c:v>
                </c:pt>
                <c:pt idx="283">
                  <c:v>3.7662320500568909E-3</c:v>
                </c:pt>
                <c:pt idx="284">
                  <c:v>4.1344203923652997E-3</c:v>
                </c:pt>
                <c:pt idx="285">
                  <c:v>4.5508105821752791E-3</c:v>
                </c:pt>
                <c:pt idx="286">
                  <c:v>5.0160483825010633E-3</c:v>
                </c:pt>
                <c:pt idx="287">
                  <c:v>5.5307539312593615E-3</c:v>
                </c:pt>
                <c:pt idx="288">
                  <c:v>6.0957854224513277E-3</c:v>
                </c:pt>
                <c:pt idx="289">
                  <c:v>6.7072045220424271E-3</c:v>
                </c:pt>
                <c:pt idx="290">
                  <c:v>7.3386500512244348E-3</c:v>
                </c:pt>
                <c:pt idx="291">
                  <c:v>7.9903439237948449E-3</c:v>
                </c:pt>
                <c:pt idx="292">
                  <c:v>8.6624946653041796E-3</c:v>
                </c:pt>
                <c:pt idx="293">
                  <c:v>9.3552961469086995E-3</c:v>
                </c:pt>
                <c:pt idx="294">
                  <c:v>1.0068926251858436E-2</c:v>
                </c:pt>
                <c:pt idx="295">
                  <c:v>1.0775595075209123E-2</c:v>
                </c:pt>
                <c:pt idx="296">
                  <c:v>1.1455897225756488E-2</c:v>
                </c:pt>
                <c:pt idx="297">
                  <c:v>1.2109356529878476E-2</c:v>
                </c:pt>
                <c:pt idx="298">
                  <c:v>1.2735394750153542E-2</c:v>
                </c:pt>
                <c:pt idx="299">
                  <c:v>1.3333416311926995E-2</c:v>
                </c:pt>
                <c:pt idx="300">
                  <c:v>1.3902809733388071E-2</c:v>
                </c:pt>
                <c:pt idx="301">
                  <c:v>1.444294908774859E-2</c:v>
                </c:pt>
                <c:pt idx="302">
                  <c:v>1.4953432967714153E-2</c:v>
                </c:pt>
                <c:pt idx="303">
                  <c:v>1.540481978307949E-2</c:v>
                </c:pt>
                <c:pt idx="304">
                  <c:v>1.5801557615618658E-2</c:v>
                </c:pt>
                <c:pt idx="305">
                  <c:v>1.6142901175064131E-2</c:v>
                </c:pt>
                <c:pt idx="306">
                  <c:v>1.6428110937971179E-2</c:v>
                </c:pt>
                <c:pt idx="307">
                  <c:v>1.6656449421038406E-2</c:v>
                </c:pt>
                <c:pt idx="308">
                  <c:v>1.6827177140817506E-2</c:v>
                </c:pt>
                <c:pt idx="309">
                  <c:v>1.6935829510870852E-2</c:v>
                </c:pt>
                <c:pt idx="310">
                  <c:v>1.7011720559682315E-2</c:v>
                </c:pt>
                <c:pt idx="311">
                  <c:v>1.7054477287410313E-2</c:v>
                </c:pt>
                <c:pt idx="312">
                  <c:v>1.7063717034984285E-2</c:v>
                </c:pt>
                <c:pt idx="313">
                  <c:v>1.7039044390416095E-2</c:v>
                </c:pt>
                <c:pt idx="314">
                  <c:v>1.6980047981651435E-2</c:v>
                </c:pt>
                <c:pt idx="315">
                  <c:v>1.6886297170327691E-2</c:v>
                </c:pt>
                <c:pt idx="316">
                  <c:v>1.6757681685253656E-2</c:v>
                </c:pt>
                <c:pt idx="317">
                  <c:v>1.6599881628595149E-2</c:v>
                </c:pt>
                <c:pt idx="318">
                  <c:v>1.6443724356498993E-2</c:v>
                </c:pt>
                <c:pt idx="319">
                  <c:v>1.6289027635952344E-2</c:v>
                </c:pt>
                <c:pt idx="320">
                  <c:v>1.6135605519568972E-2</c:v>
                </c:pt>
                <c:pt idx="321">
                  <c:v>1.5983268118567786E-2</c:v>
                </c:pt>
                <c:pt idx="322">
                  <c:v>1.5831821457302966E-2</c:v>
                </c:pt>
                <c:pt idx="323">
                  <c:v>1.5685702447064642E-2</c:v>
                </c:pt>
                <c:pt idx="324">
                  <c:v>1.5548830358132587E-2</c:v>
                </c:pt>
                <c:pt idx="325">
                  <c:v>1.542115712875832E-2</c:v>
                </c:pt>
                <c:pt idx="326">
                  <c:v>1.5302538238167088E-2</c:v>
                </c:pt>
                <c:pt idx="327">
                  <c:v>1.5192892675695157E-2</c:v>
                </c:pt>
                <c:pt idx="328">
                  <c:v>1.5092214049873903E-2</c:v>
                </c:pt>
                <c:pt idx="329">
                  <c:v>1.500049005222379E-2</c:v>
                </c:pt>
                <c:pt idx="330">
                  <c:v>1.4920062332241709E-2</c:v>
                </c:pt>
                <c:pt idx="331">
                  <c:v>1.4857930492240918E-2</c:v>
                </c:pt>
                <c:pt idx="332">
                  <c:v>1.4807029875231971E-2</c:v>
                </c:pt>
                <c:pt idx="333">
                  <c:v>1.4766734990265611E-2</c:v>
                </c:pt>
                <c:pt idx="334">
                  <c:v>1.4736407402722458E-2</c:v>
                </c:pt>
                <c:pt idx="335">
                  <c:v>1.4715390017486632E-2</c:v>
                </c:pt>
                <c:pt idx="336">
                  <c:v>1.4703001821550127E-2</c:v>
                </c:pt>
                <c:pt idx="337">
                  <c:v>1.470040380884142E-2</c:v>
                </c:pt>
                <c:pt idx="338">
                  <c:v>1.4701793876803157E-2</c:v>
                </c:pt>
                <c:pt idx="339">
                  <c:v>1.4706332943507134E-2</c:v>
                </c:pt>
                <c:pt idx="340">
                  <c:v>1.4713148100622138E-2</c:v>
                </c:pt>
                <c:pt idx="341">
                  <c:v>1.4721333640062863E-2</c:v>
                </c:pt>
                <c:pt idx="342">
                  <c:v>1.4729953409338354E-2</c:v>
                </c:pt>
                <c:pt idx="343">
                  <c:v>1.473804460302742E-2</c:v>
                </c:pt>
                <c:pt idx="344">
                  <c:v>1.4748256032417455E-2</c:v>
                </c:pt>
                <c:pt idx="345">
                  <c:v>1.4763492897040358E-2</c:v>
                </c:pt>
                <c:pt idx="346">
                  <c:v>1.4779828902583074E-2</c:v>
                </c:pt>
                <c:pt idx="347">
                  <c:v>1.4796598065051446E-2</c:v>
                </c:pt>
                <c:pt idx="348">
                  <c:v>1.4813119806397025E-2</c:v>
                </c:pt>
                <c:pt idx="349">
                  <c:v>1.4828701364707786E-2</c:v>
                </c:pt>
                <c:pt idx="350">
                  <c:v>1.484264088444218E-2</c:v>
                </c:pt>
                <c:pt idx="351">
                  <c:v>1.4856438464045043E-2</c:v>
                </c:pt>
                <c:pt idx="352">
                  <c:v>1.486740774910017E-2</c:v>
                </c:pt>
                <c:pt idx="353">
                  <c:v>1.4874842589466952E-2</c:v>
                </c:pt>
                <c:pt idx="354">
                  <c:v>1.487804596691608E-2</c:v>
                </c:pt>
                <c:pt idx="355">
                  <c:v>1.4876336323037601E-2</c:v>
                </c:pt>
                <c:pt idx="356">
                  <c:v>1.4868994669194594E-2</c:v>
                </c:pt>
                <c:pt idx="357">
                  <c:v>1.4855430899992998E-2</c:v>
                </c:pt>
                <c:pt idx="358">
                  <c:v>1.48349146957189E-2</c:v>
                </c:pt>
                <c:pt idx="359">
                  <c:v>1.480766558655194E-2</c:v>
                </c:pt>
                <c:pt idx="360">
                  <c:v>1.4776421891570878E-2</c:v>
                </c:pt>
                <c:pt idx="361">
                  <c:v>1.473976047953454E-2</c:v>
                </c:pt>
                <c:pt idx="362">
                  <c:v>1.4698468594818903E-2</c:v>
                </c:pt>
                <c:pt idx="363">
                  <c:v>1.4653331896754747E-2</c:v>
                </c:pt>
                <c:pt idx="364">
                  <c:v>1.4605127480205839E-2</c:v>
                </c:pt>
                <c:pt idx="365">
                  <c:v>1.4554617909636511E-2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124720"/>
        <c:axId val="320125112"/>
      </c:lineChart>
      <c:dateAx>
        <c:axId val="32012472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0125112"/>
        <c:crosses val="autoZero"/>
        <c:auto val="1"/>
        <c:lblOffset val="100"/>
        <c:baseTimeUnit val="days"/>
        <c:majorUnit val="1"/>
        <c:majorTimeUnit val="months"/>
      </c:dateAx>
      <c:valAx>
        <c:axId val="32012511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01247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Masques Noueilles salle des fêtes</c:v>
            </c:pt>
          </c:strCache>
        </c:strRef>
      </c:tx>
      <c:layout>
        <c:manualLayout>
          <c:xMode val="edge"/>
          <c:yMode val="edge"/>
          <c:x val="2.5483585043672818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Masques!$N$5</c:f>
              <c:numCache>
                <c:formatCode>0.0\°</c:formatCode>
                <c:ptCount val="1"/>
                <c:pt idx="0">
                  <c:v>-39</c:v>
                </c:pt>
              </c:numCache>
            </c:numRef>
          </c:xVal>
          <c:yVal>
            <c:numRef>
              <c:f>Masques!$O$5</c:f>
              <c:numCache>
                <c:formatCode>0.0\°</c:formatCode>
                <c:ptCount val="1"/>
                <c:pt idx="0">
                  <c:v>70.709953780811261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-219</c:v>
                </c:pt>
                <c:pt idx="1">
                  <c:v>-120.52373658347678</c:v>
                </c:pt>
                <c:pt idx="2">
                  <c:v>-96.886872495999768</c:v>
                </c:pt>
                <c:pt idx="3">
                  <c:v>-75.225723401459945</c:v>
                </c:pt>
                <c:pt idx="4">
                  <c:v>-67.72472340145994</c:v>
                </c:pt>
                <c:pt idx="5">
                  <c:v>-40.380909908032649</c:v>
                </c:pt>
                <c:pt idx="6">
                  <c:v>1.107928069302847</c:v>
                </c:pt>
                <c:pt idx="7">
                  <c:v>10.088205078647489</c:v>
                </c:pt>
                <c:pt idx="8">
                  <c:v>18.098193563506722</c:v>
                </c:pt>
                <c:pt idx="9">
                  <c:v>25.698193563506745</c:v>
                </c:pt>
                <c:pt idx="10">
                  <c:v>40.714618506230238</c:v>
                </c:pt>
                <c:pt idx="11">
                  <c:v>59.907799486677639</c:v>
                </c:pt>
                <c:pt idx="12">
                  <c:v>71.383010597950943</c:v>
                </c:pt>
                <c:pt idx="13">
                  <c:v>84.605357645657776</c:v>
                </c:pt>
                <c:pt idx="14">
                  <c:v>141</c:v>
                </c:pt>
                <c:pt idx="15">
                  <c:v>141</c:v>
                </c:pt>
                <c:pt idx="16">
                  <c:v>141</c:v>
                </c:pt>
                <c:pt idx="17">
                  <c:v>141</c:v>
                </c:pt>
                <c:pt idx="18">
                  <c:v>141</c:v>
                </c:pt>
                <c:pt idx="19">
                  <c:v>141</c:v>
                </c:pt>
                <c:pt idx="20">
                  <c:v>141</c:v>
                </c:pt>
                <c:pt idx="21">
                  <c:v>141</c:v>
                </c:pt>
                <c:pt idx="22">
                  <c:v>141</c:v>
                </c:pt>
                <c:pt idx="23">
                  <c:v>141</c:v>
                </c:pt>
              </c:numCache>
            </c:numRef>
          </c:xVal>
          <c:yVal>
            <c:numRef>
              <c:f>Masques!$AA$56:$AA$79</c:f>
              <c:numCache>
                <c:formatCode>0.0</c:formatCode>
                <c:ptCount val="24"/>
                <c:pt idx="0">
                  <c:v>19.290046219188735</c:v>
                </c:pt>
                <c:pt idx="1">
                  <c:v>13.048170073794825</c:v>
                </c:pt>
                <c:pt idx="2">
                  <c:v>13.106181315425182</c:v>
                </c:pt>
                <c:pt idx="3">
                  <c:v>31.316295827962485</c:v>
                </c:pt>
                <c:pt idx="4">
                  <c:v>8.4421264858406655</c:v>
                </c:pt>
                <c:pt idx="5">
                  <c:v>3.5890471436139291</c:v>
                </c:pt>
                <c:pt idx="6">
                  <c:v>30.546063520524555</c:v>
                </c:pt>
                <c:pt idx="7">
                  <c:v>20.161038697343123</c:v>
                </c:pt>
                <c:pt idx="8">
                  <c:v>24.183098124229797</c:v>
                </c:pt>
                <c:pt idx="9">
                  <c:v>22.957832100998512</c:v>
                </c:pt>
                <c:pt idx="10">
                  <c:v>29.220059677662924</c:v>
                </c:pt>
                <c:pt idx="11">
                  <c:v>16.843452283189354</c:v>
                </c:pt>
                <c:pt idx="12">
                  <c:v>29.800670779716938</c:v>
                </c:pt>
                <c:pt idx="13">
                  <c:v>18.501100549944301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-219</c:v>
                </c:pt>
                <c:pt idx="1">
                  <c:v>-120.52373658347678</c:v>
                </c:pt>
                <c:pt idx="2">
                  <c:v>-96.886872495999768</c:v>
                </c:pt>
                <c:pt idx="3">
                  <c:v>-75.225723401459945</c:v>
                </c:pt>
                <c:pt idx="4">
                  <c:v>-67.72472340145994</c:v>
                </c:pt>
                <c:pt idx="5">
                  <c:v>-40.380909908032649</c:v>
                </c:pt>
                <c:pt idx="6">
                  <c:v>1.107928069302847</c:v>
                </c:pt>
                <c:pt idx="7">
                  <c:v>10.088205078647489</c:v>
                </c:pt>
                <c:pt idx="8">
                  <c:v>18.098193563506722</c:v>
                </c:pt>
                <c:pt idx="9">
                  <c:v>25.698193563506745</c:v>
                </c:pt>
                <c:pt idx="10">
                  <c:v>40.714618506230238</c:v>
                </c:pt>
                <c:pt idx="11">
                  <c:v>59.907799486677639</c:v>
                </c:pt>
                <c:pt idx="12">
                  <c:v>71.383010597950943</c:v>
                </c:pt>
                <c:pt idx="13">
                  <c:v>84.605357645657776</c:v>
                </c:pt>
                <c:pt idx="14">
                  <c:v>141</c:v>
                </c:pt>
                <c:pt idx="15">
                  <c:v>141</c:v>
                </c:pt>
                <c:pt idx="16">
                  <c:v>141</c:v>
                </c:pt>
                <c:pt idx="17">
                  <c:v>141</c:v>
                </c:pt>
                <c:pt idx="18">
                  <c:v>141</c:v>
                </c:pt>
                <c:pt idx="19">
                  <c:v>141</c:v>
                </c:pt>
                <c:pt idx="20">
                  <c:v>141</c:v>
                </c:pt>
                <c:pt idx="21">
                  <c:v>141</c:v>
                </c:pt>
                <c:pt idx="22">
                  <c:v>141</c:v>
                </c:pt>
                <c:pt idx="23">
                  <c:v>141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19.290046219188735</c:v>
                </c:pt>
                <c:pt idx="1">
                  <c:v>11.97492249131931</c:v>
                </c:pt>
                <c:pt idx="2">
                  <c:v>11.134699475722488</c:v>
                </c:pt>
                <c:pt idx="3">
                  <c:v>27.983359724092111</c:v>
                </c:pt>
                <c:pt idx="4">
                  <c:v>6.6333221700275118</c:v>
                </c:pt>
                <c:pt idx="5">
                  <c:v>1.5865857666648735</c:v>
                </c:pt>
                <c:pt idx="6">
                  <c:v>27.039458902161694</c:v>
                </c:pt>
                <c:pt idx="7">
                  <c:v>17.012214968537343</c:v>
                </c:pt>
                <c:pt idx="8">
                  <c:v>22.026308568143698</c:v>
                </c:pt>
                <c:pt idx="9">
                  <c:v>20.651007481034224</c:v>
                </c:pt>
                <c:pt idx="10">
                  <c:v>27.097337844941421</c:v>
                </c:pt>
                <c:pt idx="11">
                  <c:v>15.841817789361508</c:v>
                </c:pt>
                <c:pt idx="12">
                  <c:v>27.837044397114781</c:v>
                </c:pt>
                <c:pt idx="13">
                  <c:v>17.400484373609665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-219</c:v>
                </c:pt>
                <c:pt idx="1">
                  <c:v>-120.52373658347678</c:v>
                </c:pt>
                <c:pt idx="2">
                  <c:v>-96.886872495999768</c:v>
                </c:pt>
                <c:pt idx="3">
                  <c:v>-75.225723401459945</c:v>
                </c:pt>
                <c:pt idx="4">
                  <c:v>-67.72472340145994</c:v>
                </c:pt>
                <c:pt idx="5">
                  <c:v>-40.380909908032649</c:v>
                </c:pt>
                <c:pt idx="6">
                  <c:v>1.107928069302847</c:v>
                </c:pt>
                <c:pt idx="7">
                  <c:v>10.088205078647489</c:v>
                </c:pt>
                <c:pt idx="8">
                  <c:v>18.098193563506722</c:v>
                </c:pt>
                <c:pt idx="9">
                  <c:v>25.698193563506745</c:v>
                </c:pt>
                <c:pt idx="10">
                  <c:v>40.714618506230238</c:v>
                </c:pt>
                <c:pt idx="11">
                  <c:v>59.907799486677639</c:v>
                </c:pt>
                <c:pt idx="12">
                  <c:v>71.383010597950943</c:v>
                </c:pt>
                <c:pt idx="13">
                  <c:v>84.605357645657776</c:v>
                </c:pt>
                <c:pt idx="14">
                  <c:v>141</c:v>
                </c:pt>
                <c:pt idx="15">
                  <c:v>141</c:v>
                </c:pt>
                <c:pt idx="16">
                  <c:v>141</c:v>
                </c:pt>
                <c:pt idx="17">
                  <c:v>141</c:v>
                </c:pt>
                <c:pt idx="18">
                  <c:v>141</c:v>
                </c:pt>
                <c:pt idx="19">
                  <c:v>141</c:v>
                </c:pt>
                <c:pt idx="20">
                  <c:v>141</c:v>
                </c:pt>
                <c:pt idx="21">
                  <c:v>141</c:v>
                </c:pt>
                <c:pt idx="22">
                  <c:v>141</c:v>
                </c:pt>
                <c:pt idx="23">
                  <c:v>141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19.290046219188735</c:v>
                </c:pt>
                <c:pt idx="1">
                  <c:v>10.893079645762318</c:v>
                </c:pt>
                <c:pt idx="2">
                  <c:v>9.1361586637458903</c:v>
                </c:pt>
                <c:pt idx="3">
                  <c:v>24.431099181945491</c:v>
                </c:pt>
                <c:pt idx="4">
                  <c:v>4.8111426736510978</c:v>
                </c:pt>
                <c:pt idx="5">
                  <c:v>1</c:v>
                </c:pt>
                <c:pt idx="6">
                  <c:v>23.299516202046441</c:v>
                </c:pt>
                <c:pt idx="7">
                  <c:v>13.753929477942814</c:v>
                </c:pt>
                <c:pt idx="8">
                  <c:v>19.801798320202906</c:v>
                </c:pt>
                <c:pt idx="9">
                  <c:v>18.272024308434911</c:v>
                </c:pt>
                <c:pt idx="10">
                  <c:v>24.891007189401471</c:v>
                </c:pt>
                <c:pt idx="11">
                  <c:v>14.83014726135551</c:v>
                </c:pt>
                <c:pt idx="12">
                  <c:v>25.799705382423852</c:v>
                </c:pt>
                <c:pt idx="13">
                  <c:v>16.286456905283636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-219</c:v>
                </c:pt>
                <c:pt idx="1">
                  <c:v>-120.52373658347678</c:v>
                </c:pt>
                <c:pt idx="2">
                  <c:v>-96.886872495999768</c:v>
                </c:pt>
                <c:pt idx="3">
                  <c:v>-75.225723401459945</c:v>
                </c:pt>
                <c:pt idx="4">
                  <c:v>-67.72472340145994</c:v>
                </c:pt>
                <c:pt idx="5">
                  <c:v>-40.380909908032649</c:v>
                </c:pt>
                <c:pt idx="6">
                  <c:v>1.107928069302847</c:v>
                </c:pt>
                <c:pt idx="7">
                  <c:v>10.088205078647489</c:v>
                </c:pt>
                <c:pt idx="8">
                  <c:v>18.098193563506722</c:v>
                </c:pt>
                <c:pt idx="9">
                  <c:v>25.698193563506745</c:v>
                </c:pt>
                <c:pt idx="10">
                  <c:v>40.714618506230238</c:v>
                </c:pt>
                <c:pt idx="11">
                  <c:v>59.907799486677639</c:v>
                </c:pt>
                <c:pt idx="12">
                  <c:v>71.383010597950943</c:v>
                </c:pt>
                <c:pt idx="13">
                  <c:v>84.605357645657776</c:v>
                </c:pt>
                <c:pt idx="14">
                  <c:v>141</c:v>
                </c:pt>
                <c:pt idx="15">
                  <c:v>141</c:v>
                </c:pt>
                <c:pt idx="16">
                  <c:v>141</c:v>
                </c:pt>
                <c:pt idx="17">
                  <c:v>141</c:v>
                </c:pt>
                <c:pt idx="18">
                  <c:v>141</c:v>
                </c:pt>
                <c:pt idx="19">
                  <c:v>141</c:v>
                </c:pt>
                <c:pt idx="20">
                  <c:v>141</c:v>
                </c:pt>
                <c:pt idx="21">
                  <c:v>141</c:v>
                </c:pt>
                <c:pt idx="22">
                  <c:v>141</c:v>
                </c:pt>
                <c:pt idx="23">
                  <c:v>141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19.290046219188735</c:v>
                </c:pt>
                <c:pt idx="1">
                  <c:v>9.8033180562888766</c:v>
                </c:pt>
                <c:pt idx="2">
                  <c:v>7.1149506940177591</c:v>
                </c:pt>
                <c:pt idx="3">
                  <c:v>20.667104919858172</c:v>
                </c:pt>
                <c:pt idx="4">
                  <c:v>2.9791587781636331</c:v>
                </c:pt>
                <c:pt idx="5">
                  <c:v>1</c:v>
                </c:pt>
                <c:pt idx="6">
                  <c:v>19.337136321348897</c:v>
                </c:pt>
                <c:pt idx="7">
                  <c:v>10.402444755292569</c:v>
                </c:pt>
                <c:pt idx="8">
                  <c:v>17.51333927053356</c:v>
                </c:pt>
                <c:pt idx="9">
                  <c:v>15.826014590109866</c:v>
                </c:pt>
                <c:pt idx="10">
                  <c:v>22.602955601439856</c:v>
                </c:pt>
                <c:pt idx="11">
                  <c:v>13.80892910776878</c:v>
                </c:pt>
                <c:pt idx="12">
                  <c:v>23.689864581499165</c:v>
                </c:pt>
                <c:pt idx="13">
                  <c:v>15.159628783740663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-219</c:v>
                </c:pt>
                <c:pt idx="1">
                  <c:v>-120.52373658347678</c:v>
                </c:pt>
                <c:pt idx="2">
                  <c:v>-96.886872495999768</c:v>
                </c:pt>
                <c:pt idx="3">
                  <c:v>-75.225723401459945</c:v>
                </c:pt>
                <c:pt idx="4">
                  <c:v>-67.72472340145994</c:v>
                </c:pt>
                <c:pt idx="5">
                  <c:v>-40.380909908032649</c:v>
                </c:pt>
                <c:pt idx="6">
                  <c:v>1.107928069302847</c:v>
                </c:pt>
                <c:pt idx="7">
                  <c:v>10.088205078647489</c:v>
                </c:pt>
                <c:pt idx="8">
                  <c:v>18.098193563506722</c:v>
                </c:pt>
                <c:pt idx="9">
                  <c:v>25.698193563506745</c:v>
                </c:pt>
                <c:pt idx="10">
                  <c:v>40.714618506230238</c:v>
                </c:pt>
                <c:pt idx="11">
                  <c:v>59.907799486677639</c:v>
                </c:pt>
                <c:pt idx="12">
                  <c:v>71.383010597950943</c:v>
                </c:pt>
                <c:pt idx="13">
                  <c:v>84.605357645657776</c:v>
                </c:pt>
                <c:pt idx="14">
                  <c:v>141</c:v>
                </c:pt>
                <c:pt idx="15">
                  <c:v>141</c:v>
                </c:pt>
                <c:pt idx="16">
                  <c:v>141</c:v>
                </c:pt>
                <c:pt idx="17">
                  <c:v>141</c:v>
                </c:pt>
                <c:pt idx="18">
                  <c:v>141</c:v>
                </c:pt>
                <c:pt idx="19">
                  <c:v>141</c:v>
                </c:pt>
                <c:pt idx="20">
                  <c:v>141</c:v>
                </c:pt>
                <c:pt idx="21">
                  <c:v>141</c:v>
                </c:pt>
                <c:pt idx="22">
                  <c:v>141</c:v>
                </c:pt>
                <c:pt idx="23">
                  <c:v>141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19.290046219188735</c:v>
                </c:pt>
                <c:pt idx="1">
                  <c:v>8.7063470694383316</c:v>
                </c:pt>
                <c:pt idx="2">
                  <c:v>5.0757921947291109</c:v>
                </c:pt>
                <c:pt idx="3">
                  <c:v>16.707146956005808</c:v>
                </c:pt>
                <c:pt idx="4">
                  <c:v>1.1410596625789826</c:v>
                </c:pt>
                <c:pt idx="5">
                  <c:v>1</c:v>
                </c:pt>
                <c:pt idx="6">
                  <c:v>15.172978086768822</c:v>
                </c:pt>
                <c:pt idx="7">
                  <c:v>6.9774891926505731</c:v>
                </c:pt>
                <c:pt idx="8">
                  <c:v>15.165735899368972</c:v>
                </c:pt>
                <c:pt idx="9">
                  <c:v>13.319375694733321</c:v>
                </c:pt>
                <c:pt idx="10">
                  <c:v>20.236252743430189</c:v>
                </c:pt>
                <c:pt idx="11">
                  <c:v>12.778685238725332</c:v>
                </c:pt>
                <c:pt idx="12">
                  <c:v>21.509605120440156</c:v>
                </c:pt>
                <c:pt idx="13">
                  <c:v>14.020664321801002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Masques!$P$56:$P$79</c:f>
              <c:numCache>
                <c:formatCode>0.0</c:formatCode>
                <c:ptCount val="24"/>
                <c:pt idx="0">
                  <c:v>-219</c:v>
                </c:pt>
                <c:pt idx="1">
                  <c:v>-120.52373658347678</c:v>
                </c:pt>
                <c:pt idx="2">
                  <c:v>-96.886872495999768</c:v>
                </c:pt>
                <c:pt idx="3">
                  <c:v>-75.225723401459945</c:v>
                </c:pt>
                <c:pt idx="4">
                  <c:v>-67.72472340145994</c:v>
                </c:pt>
                <c:pt idx="5">
                  <c:v>-40.380909908032649</c:v>
                </c:pt>
                <c:pt idx="6">
                  <c:v>1.107928069302847</c:v>
                </c:pt>
                <c:pt idx="7">
                  <c:v>10.088205078647489</c:v>
                </c:pt>
                <c:pt idx="8">
                  <c:v>18.098193563506722</c:v>
                </c:pt>
                <c:pt idx="9">
                  <c:v>25.698193563506745</c:v>
                </c:pt>
                <c:pt idx="10">
                  <c:v>40.714618506230238</c:v>
                </c:pt>
                <c:pt idx="11">
                  <c:v>59.907799486677639</c:v>
                </c:pt>
                <c:pt idx="12">
                  <c:v>71.383010597950943</c:v>
                </c:pt>
                <c:pt idx="13">
                  <c:v>84.605357645657776</c:v>
                </c:pt>
                <c:pt idx="14">
                  <c:v>141</c:v>
                </c:pt>
                <c:pt idx="15">
                  <c:v>141</c:v>
                </c:pt>
                <c:pt idx="16">
                  <c:v>141</c:v>
                </c:pt>
                <c:pt idx="17">
                  <c:v>141</c:v>
                </c:pt>
                <c:pt idx="18">
                  <c:v>141</c:v>
                </c:pt>
                <c:pt idx="19">
                  <c:v>141</c:v>
                </c:pt>
                <c:pt idx="20">
                  <c:v>141</c:v>
                </c:pt>
                <c:pt idx="21">
                  <c:v>141</c:v>
                </c:pt>
                <c:pt idx="22">
                  <c:v>141</c:v>
                </c:pt>
                <c:pt idx="23">
                  <c:v>141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19.290046219188735</c:v>
                </c:pt>
                <c:pt idx="1">
                  <c:v>7.602906561084902</c:v>
                </c:pt>
                <c:pt idx="2">
                  <c:v>3.0236649639214628</c:v>
                </c:pt>
                <c:pt idx="3">
                  <c:v>12.576078076409106</c:v>
                </c:pt>
                <c:pt idx="4">
                  <c:v>1</c:v>
                </c:pt>
                <c:pt idx="5">
                  <c:v>1</c:v>
                </c:pt>
                <c:pt idx="6">
                  <c:v>10.838263125291196</c:v>
                </c:pt>
                <c:pt idx="7">
                  <c:v>3.5017391230971406</c:v>
                </c:pt>
                <c:pt idx="8">
                  <c:v>12.764834600370969</c:v>
                </c:pt>
                <c:pt idx="9">
                  <c:v>10.75974880563918</c:v>
                </c:pt>
                <c:pt idx="10">
                  <c:v>17.795252285546006</c:v>
                </c:pt>
                <c:pt idx="11">
                  <c:v>11.739970150616056</c:v>
                </c:pt>
                <c:pt idx="12">
                  <c:v>19.261964687956883</c:v>
                </c:pt>
                <c:pt idx="13">
                  <c:v>12.870280536061024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-219</c:v>
                </c:pt>
                <c:pt idx="1">
                  <c:v>-120.52373658347678</c:v>
                </c:pt>
                <c:pt idx="2">
                  <c:v>-96.886872495999768</c:v>
                </c:pt>
                <c:pt idx="3">
                  <c:v>-75.225723401459945</c:v>
                </c:pt>
                <c:pt idx="4">
                  <c:v>-67.72472340145994</c:v>
                </c:pt>
                <c:pt idx="5">
                  <c:v>-40.380909908032649</c:v>
                </c:pt>
                <c:pt idx="6">
                  <c:v>1.107928069302847</c:v>
                </c:pt>
                <c:pt idx="7">
                  <c:v>10.088205078647489</c:v>
                </c:pt>
                <c:pt idx="8">
                  <c:v>18.098193563506722</c:v>
                </c:pt>
                <c:pt idx="9">
                  <c:v>25.698193563506745</c:v>
                </c:pt>
                <c:pt idx="10">
                  <c:v>40.714618506230238</c:v>
                </c:pt>
                <c:pt idx="11">
                  <c:v>59.907799486677639</c:v>
                </c:pt>
                <c:pt idx="12">
                  <c:v>71.383010597950943</c:v>
                </c:pt>
                <c:pt idx="13">
                  <c:v>84.605357645657776</c:v>
                </c:pt>
                <c:pt idx="14">
                  <c:v>141</c:v>
                </c:pt>
                <c:pt idx="15">
                  <c:v>141</c:v>
                </c:pt>
                <c:pt idx="16">
                  <c:v>141</c:v>
                </c:pt>
                <c:pt idx="17">
                  <c:v>141</c:v>
                </c:pt>
                <c:pt idx="18">
                  <c:v>141</c:v>
                </c:pt>
                <c:pt idx="19">
                  <c:v>141</c:v>
                </c:pt>
                <c:pt idx="20">
                  <c:v>141</c:v>
                </c:pt>
                <c:pt idx="21">
                  <c:v>141</c:v>
                </c:pt>
                <c:pt idx="22">
                  <c:v>141</c:v>
                </c:pt>
                <c:pt idx="23">
                  <c:v>141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19.290046219188735</c:v>
                </c:pt>
                <c:pt idx="1">
                  <c:v>6.4937643293220422</c:v>
                </c:pt>
                <c:pt idx="2">
                  <c:v>1</c:v>
                </c:pt>
                <c:pt idx="3">
                  <c:v>8.3079506895246436</c:v>
                </c:pt>
                <c:pt idx="4">
                  <c:v>1</c:v>
                </c:pt>
                <c:pt idx="5">
                  <c:v>1</c:v>
                </c:pt>
                <c:pt idx="6">
                  <c:v>6.3744924633336835</c:v>
                </c:pt>
                <c:pt idx="7">
                  <c:v>1</c:v>
                </c:pt>
                <c:pt idx="8">
                  <c:v>10.317494698680061</c:v>
                </c:pt>
                <c:pt idx="9">
                  <c:v>8.1559418745389802</c:v>
                </c:pt>
                <c:pt idx="10">
                  <c:v>15.285659187416011</c:v>
                </c:pt>
                <c:pt idx="11">
                  <c:v>10.693369743802268</c:v>
                </c:pt>
                <c:pt idx="12">
                  <c:v>16.950998003031525</c:v>
                </c:pt>
                <c:pt idx="13">
                  <c:v>11.709245670133855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-219</c:v>
                </c:pt>
                <c:pt idx="1">
                  <c:v>-120.52373658347678</c:v>
                </c:pt>
                <c:pt idx="2">
                  <c:v>-96.886872495999768</c:v>
                </c:pt>
                <c:pt idx="3">
                  <c:v>-75.225723401459945</c:v>
                </c:pt>
                <c:pt idx="4">
                  <c:v>-67.72472340145994</c:v>
                </c:pt>
                <c:pt idx="5">
                  <c:v>-40.380909908032649</c:v>
                </c:pt>
                <c:pt idx="6">
                  <c:v>1.107928069302847</c:v>
                </c:pt>
                <c:pt idx="7">
                  <c:v>10.088205078647489</c:v>
                </c:pt>
                <c:pt idx="8">
                  <c:v>18.098193563506722</c:v>
                </c:pt>
                <c:pt idx="9">
                  <c:v>25.698193563506745</c:v>
                </c:pt>
                <c:pt idx="10">
                  <c:v>40.714618506230238</c:v>
                </c:pt>
                <c:pt idx="11">
                  <c:v>59.907799486677639</c:v>
                </c:pt>
                <c:pt idx="12">
                  <c:v>71.383010597950943</c:v>
                </c:pt>
                <c:pt idx="13">
                  <c:v>84.605357645657776</c:v>
                </c:pt>
                <c:pt idx="14">
                  <c:v>141</c:v>
                </c:pt>
                <c:pt idx="15">
                  <c:v>141</c:v>
                </c:pt>
                <c:pt idx="16">
                  <c:v>141</c:v>
                </c:pt>
                <c:pt idx="17">
                  <c:v>141</c:v>
                </c:pt>
                <c:pt idx="18">
                  <c:v>141</c:v>
                </c:pt>
                <c:pt idx="19">
                  <c:v>141</c:v>
                </c:pt>
                <c:pt idx="20">
                  <c:v>141</c:v>
                </c:pt>
                <c:pt idx="21">
                  <c:v>141</c:v>
                </c:pt>
                <c:pt idx="22">
                  <c:v>141</c:v>
                </c:pt>
                <c:pt idx="23">
                  <c:v>141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19.290046219188735</c:v>
                </c:pt>
                <c:pt idx="1">
                  <c:v>5.3797131964048495</c:v>
                </c:pt>
                <c:pt idx="2">
                  <c:v>1</c:v>
                </c:pt>
                <c:pt idx="3">
                  <c:v>3.9450850688042136</c:v>
                </c:pt>
                <c:pt idx="4">
                  <c:v>1</c:v>
                </c:pt>
                <c:pt idx="5">
                  <c:v>1</c:v>
                </c:pt>
                <c:pt idx="6">
                  <c:v>1.8318090136898599</c:v>
                </c:pt>
                <c:pt idx="7">
                  <c:v>1</c:v>
                </c:pt>
                <c:pt idx="8">
                  <c:v>7.8315170059081529</c:v>
                </c:pt>
                <c:pt idx="9">
                  <c:v>5.5177940866872861</c:v>
                </c:pt>
                <c:pt idx="10">
                  <c:v>12.714550347400516</c:v>
                </c:pt>
                <c:pt idx="11">
                  <c:v>9.6394998717444356</c:v>
                </c:pt>
                <c:pt idx="12">
                  <c:v>14.581811927408539</c:v>
                </c:pt>
                <c:pt idx="13">
                  <c:v>10.538377198297088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-219</c:v>
                </c:pt>
                <c:pt idx="1">
                  <c:v>-120.52373658347678</c:v>
                </c:pt>
                <c:pt idx="2">
                  <c:v>-96.886872495999768</c:v>
                </c:pt>
                <c:pt idx="3">
                  <c:v>-75.225723401459945</c:v>
                </c:pt>
                <c:pt idx="4">
                  <c:v>-67.72472340145994</c:v>
                </c:pt>
                <c:pt idx="5">
                  <c:v>-40.380909908032649</c:v>
                </c:pt>
                <c:pt idx="6">
                  <c:v>1.107928069302847</c:v>
                </c:pt>
                <c:pt idx="7">
                  <c:v>10.088205078647489</c:v>
                </c:pt>
                <c:pt idx="8">
                  <c:v>18.098193563506722</c:v>
                </c:pt>
                <c:pt idx="9">
                  <c:v>25.698193563506745</c:v>
                </c:pt>
                <c:pt idx="10">
                  <c:v>40.714618506230238</c:v>
                </c:pt>
                <c:pt idx="11">
                  <c:v>59.907799486677639</c:v>
                </c:pt>
                <c:pt idx="12">
                  <c:v>71.383010597950943</c:v>
                </c:pt>
                <c:pt idx="13">
                  <c:v>84.605357645657776</c:v>
                </c:pt>
                <c:pt idx="14">
                  <c:v>141</c:v>
                </c:pt>
                <c:pt idx="15">
                  <c:v>141</c:v>
                </c:pt>
                <c:pt idx="16">
                  <c:v>141</c:v>
                </c:pt>
                <c:pt idx="17">
                  <c:v>141</c:v>
                </c:pt>
                <c:pt idx="18">
                  <c:v>141</c:v>
                </c:pt>
                <c:pt idx="19">
                  <c:v>141</c:v>
                </c:pt>
                <c:pt idx="20">
                  <c:v>141</c:v>
                </c:pt>
                <c:pt idx="21">
                  <c:v>141</c:v>
                </c:pt>
                <c:pt idx="22">
                  <c:v>141</c:v>
                </c:pt>
                <c:pt idx="23">
                  <c:v>141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19.290046219188735</c:v>
                </c:pt>
                <c:pt idx="1">
                  <c:v>4.2615678433279651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5.3155285419022453</c:v>
                </c:pt>
                <c:pt idx="9">
                  <c:v>2.8559837084254651</c:v>
                </c:pt>
                <c:pt idx="10">
                  <c:v>10.090338457785782</c:v>
                </c:pt>
                <c:pt idx="11">
                  <c:v>8.5790046238899897</c:v>
                </c:pt>
                <c:pt idx="12">
                  <c:v>12.160566093635859</c:v>
                </c:pt>
                <c:pt idx="13">
                  <c:v>9.3585393050361745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-219</c:v>
                </c:pt>
                <c:pt idx="1">
                  <c:v>-120.52373658347678</c:v>
                </c:pt>
                <c:pt idx="2">
                  <c:v>-96.886872495999768</c:v>
                </c:pt>
                <c:pt idx="3">
                  <c:v>-75.225723401459945</c:v>
                </c:pt>
                <c:pt idx="4">
                  <c:v>-67.72472340145994</c:v>
                </c:pt>
                <c:pt idx="5">
                  <c:v>-40.380909908032649</c:v>
                </c:pt>
                <c:pt idx="6">
                  <c:v>1.107928069302847</c:v>
                </c:pt>
                <c:pt idx="7">
                  <c:v>10.088205078647489</c:v>
                </c:pt>
                <c:pt idx="8">
                  <c:v>18.098193563506722</c:v>
                </c:pt>
                <c:pt idx="9">
                  <c:v>25.698193563506745</c:v>
                </c:pt>
                <c:pt idx="10">
                  <c:v>40.714618506230238</c:v>
                </c:pt>
                <c:pt idx="11">
                  <c:v>59.907799486677639</c:v>
                </c:pt>
                <c:pt idx="12">
                  <c:v>71.383010597950943</c:v>
                </c:pt>
                <c:pt idx="13">
                  <c:v>84.605357645657776</c:v>
                </c:pt>
                <c:pt idx="14">
                  <c:v>141</c:v>
                </c:pt>
                <c:pt idx="15">
                  <c:v>141</c:v>
                </c:pt>
                <c:pt idx="16">
                  <c:v>141</c:v>
                </c:pt>
                <c:pt idx="17">
                  <c:v>141</c:v>
                </c:pt>
                <c:pt idx="18">
                  <c:v>141</c:v>
                </c:pt>
                <c:pt idx="19">
                  <c:v>141</c:v>
                </c:pt>
                <c:pt idx="20">
                  <c:v>141</c:v>
                </c:pt>
                <c:pt idx="21">
                  <c:v>141</c:v>
                </c:pt>
                <c:pt idx="22">
                  <c:v>141</c:v>
                </c:pt>
                <c:pt idx="23">
                  <c:v>141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19.290046219188735</c:v>
                </c:pt>
                <c:pt idx="1">
                  <c:v>3.1401614057961185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2.7788254810120239</c:v>
                </c:pt>
                <c:pt idx="9">
                  <c:v>1</c:v>
                </c:pt>
                <c:pt idx="10">
                  <c:v>7.4226720687329717</c:v>
                </c:pt>
                <c:pt idx="11">
                  <c:v>7.5125543487306032</c:v>
                </c:pt>
                <c:pt idx="12">
                  <c:v>9.6944332012725969</c:v>
                </c:pt>
                <c:pt idx="13">
                  <c:v>8.1706398453557352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-219</c:v>
                </c:pt>
                <c:pt idx="1">
                  <c:v>-120.52373658347678</c:v>
                </c:pt>
                <c:pt idx="2">
                  <c:v>-96.886872495999768</c:v>
                </c:pt>
                <c:pt idx="3">
                  <c:v>-75.225723401459945</c:v>
                </c:pt>
                <c:pt idx="4">
                  <c:v>-67.72472340145994</c:v>
                </c:pt>
                <c:pt idx="5">
                  <c:v>-40.380909908032649</c:v>
                </c:pt>
                <c:pt idx="6">
                  <c:v>1.107928069302847</c:v>
                </c:pt>
                <c:pt idx="7">
                  <c:v>10.088205078647489</c:v>
                </c:pt>
                <c:pt idx="8">
                  <c:v>18.098193563506722</c:v>
                </c:pt>
                <c:pt idx="9">
                  <c:v>25.698193563506745</c:v>
                </c:pt>
                <c:pt idx="10">
                  <c:v>40.714618506230238</c:v>
                </c:pt>
                <c:pt idx="11">
                  <c:v>59.907799486677639</c:v>
                </c:pt>
                <c:pt idx="12">
                  <c:v>71.383010597950943</c:v>
                </c:pt>
                <c:pt idx="13">
                  <c:v>84.605357645657776</c:v>
                </c:pt>
                <c:pt idx="14">
                  <c:v>141</c:v>
                </c:pt>
                <c:pt idx="15">
                  <c:v>141</c:v>
                </c:pt>
                <c:pt idx="16">
                  <c:v>141</c:v>
                </c:pt>
                <c:pt idx="17">
                  <c:v>141</c:v>
                </c:pt>
                <c:pt idx="18">
                  <c:v>141</c:v>
                </c:pt>
                <c:pt idx="19">
                  <c:v>141</c:v>
                </c:pt>
                <c:pt idx="20">
                  <c:v>141</c:v>
                </c:pt>
                <c:pt idx="21">
                  <c:v>141</c:v>
                </c:pt>
                <c:pt idx="22">
                  <c:v>141</c:v>
                </c:pt>
                <c:pt idx="23">
                  <c:v>141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19.290046219188735</c:v>
                </c:pt>
                <c:pt idx="1">
                  <c:v>2.0163418651043794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4.7222696126445651</c:v>
                </c:pt>
                <c:pt idx="11">
                  <c:v>6.4408434276298934</c:v>
                </c:pt>
                <c:pt idx="12">
                  <c:v>7.1915153452013758</c:v>
                </c:pt>
                <c:pt idx="13">
                  <c:v>6.9756268006757765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Masques!$AN$54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Masques!$AN$56:$AN$79</c:f>
              <c:numCache>
                <c:formatCode>0.0</c:formatCode>
                <c:ptCount val="24"/>
                <c:pt idx="0">
                  <c:v>-219</c:v>
                </c:pt>
                <c:pt idx="1">
                  <c:v>141</c:v>
                </c:pt>
                <c:pt idx="2">
                  <c:v>142</c:v>
                </c:pt>
                <c:pt idx="3">
                  <c:v>142</c:v>
                </c:pt>
                <c:pt idx="4">
                  <c:v>142</c:v>
                </c:pt>
                <c:pt idx="5">
                  <c:v>142</c:v>
                </c:pt>
                <c:pt idx="6">
                  <c:v>142</c:v>
                </c:pt>
                <c:pt idx="7">
                  <c:v>142</c:v>
                </c:pt>
                <c:pt idx="8">
                  <c:v>142</c:v>
                </c:pt>
                <c:pt idx="9">
                  <c:v>142</c:v>
                </c:pt>
                <c:pt idx="10">
                  <c:v>142</c:v>
                </c:pt>
                <c:pt idx="11">
                  <c:v>142</c:v>
                </c:pt>
                <c:pt idx="12">
                  <c:v>142</c:v>
                </c:pt>
                <c:pt idx="13">
                  <c:v>142</c:v>
                </c:pt>
                <c:pt idx="14">
                  <c:v>142</c:v>
                </c:pt>
                <c:pt idx="15">
                  <c:v>142</c:v>
                </c:pt>
                <c:pt idx="16">
                  <c:v>142</c:v>
                </c:pt>
                <c:pt idx="17">
                  <c:v>142</c:v>
                </c:pt>
                <c:pt idx="18">
                  <c:v>142</c:v>
                </c:pt>
                <c:pt idx="19">
                  <c:v>142</c:v>
                </c:pt>
                <c:pt idx="20">
                  <c:v>142</c:v>
                </c:pt>
                <c:pt idx="21">
                  <c:v>142</c:v>
                </c:pt>
                <c:pt idx="22">
                  <c:v>142</c:v>
                </c:pt>
                <c:pt idx="23">
                  <c:v>142</c:v>
                </c:pt>
              </c:numCache>
            </c:numRef>
          </c:xVal>
          <c:yVal>
            <c:numRef>
              <c:f>Masques!$AO$56:$AO$79</c:f>
              <c:numCache>
                <c:formatCode>0.0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19.290046219188735</c:v>
                </c:pt>
                <c:pt idx="3">
                  <c:v>19.290046219188735</c:v>
                </c:pt>
                <c:pt idx="4">
                  <c:v>19.290046219188735</c:v>
                </c:pt>
                <c:pt idx="5">
                  <c:v>19.290046219188735</c:v>
                </c:pt>
                <c:pt idx="6">
                  <c:v>19.290046219188735</c:v>
                </c:pt>
                <c:pt idx="7">
                  <c:v>19.290046219188735</c:v>
                </c:pt>
                <c:pt idx="8">
                  <c:v>19.290046219188735</c:v>
                </c:pt>
                <c:pt idx="9">
                  <c:v>19.290046219188735</c:v>
                </c:pt>
                <c:pt idx="10">
                  <c:v>19.290046219188735</c:v>
                </c:pt>
                <c:pt idx="11">
                  <c:v>19.290046219188735</c:v>
                </c:pt>
                <c:pt idx="12">
                  <c:v>19.290046219188735</c:v>
                </c:pt>
                <c:pt idx="13">
                  <c:v>19.290046219188735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0094640"/>
        <c:axId val="470095032"/>
      </c:scatterChart>
      <c:valAx>
        <c:axId val="470094640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470095032"/>
        <c:crosses val="autoZero"/>
        <c:crossBetween val="midCat"/>
        <c:majorUnit val="30"/>
      </c:valAx>
      <c:valAx>
        <c:axId val="470095032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0094640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59676147039E-2"/>
          <c:y val="9.2762355556217105E-2"/>
          <c:w val="0.13037603086499433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0.80228914971430698</c:v>
                </c:pt>
                <c:pt idx="1">
                  <c:v>0.80212912632551969</c:v>
                </c:pt>
                <c:pt idx="2">
                  <c:v>0.80197810729214347</c:v>
                </c:pt>
                <c:pt idx="3">
                  <c:v>0.80183515610083267</c:v>
                </c:pt>
                <c:pt idx="4">
                  <c:v>0.80169945704421919</c:v>
                </c:pt>
                <c:pt idx="5">
                  <c:v>0.80157031130564005</c:v>
                </c:pt>
                <c:pt idx="6">
                  <c:v>0.80144713216359986</c:v>
                </c:pt>
                <c:pt idx="7">
                  <c:v>0.80132943939243761</c:v>
                </c:pt>
                <c:pt idx="8">
                  <c:v>0.80121685294133982</c:v>
                </c:pt>
                <c:pt idx="9">
                  <c:v>0.80110908597862929</c:v>
                </c:pt>
                <c:pt idx="10">
                  <c:v>0.80100593739213621</c:v>
                </c:pt>
                <c:pt idx="11">
                  <c:v>0.8009072838393918</c:v>
                </c:pt>
                <c:pt idx="12">
                  <c:v>0.80081307144337421</c:v>
                </c:pt>
                <c:pt idx="13">
                  <c:v>0.80072330723056218</c:v>
                </c:pt>
                <c:pt idx="14">
                  <c:v>0.80063805040813218</c:v>
                </c:pt>
                <c:pt idx="15">
                  <c:v>0.80055740357627303</c:v>
                </c:pt>
                <c:pt idx="16">
                  <c:v>0.80048150396982487</c:v>
                </c:pt>
                <c:pt idx="17">
                  <c:v>0.80041051482079162</c:v>
                </c:pt>
                <c:pt idx="18">
                  <c:v>0.8003446169297862</c:v>
                </c:pt>
                <c:pt idx="19">
                  <c:v>0.80028400053018334</c:v>
                </c:pt>
                <c:pt idx="20">
                  <c:v>0.80022885752373218</c:v>
                </c:pt>
                <c:pt idx="21">
                  <c:v>0.80017937416068796</c:v>
                </c:pt>
                <c:pt idx="22">
                  <c:v>0.80013572423122303</c:v>
                </c:pt>
                <c:pt idx="23">
                  <c:v>0.80009806282804263</c:v>
                </c:pt>
                <c:pt idx="24">
                  <c:v>0.80006652073284723</c:v>
                </c:pt>
                <c:pt idx="25">
                  <c:v>0.80004119947162011</c:v>
                </c:pt>
                <c:pt idx="26">
                  <c:v>0.80002216707577067</c:v>
                </c:pt>
                <c:pt idx="27">
                  <c:v>0.80000945457800687</c:v>
                </c:pt>
                <c:pt idx="28">
                  <c:v>0.80000305326353893</c:v>
                </c:pt>
                <c:pt idx="29">
                  <c:v>0.80000291268890711</c:v>
                </c:pt>
                <c:pt idx="30">
                  <c:v>0.80000893947247598</c:v>
                </c:pt>
                <c:pt idx="31">
                  <c:v>0.80002099685251504</c:v>
                </c:pt>
                <c:pt idx="32">
                  <c:v>0.80003890500088692</c:v>
                </c:pt>
                <c:pt idx="33">
                  <c:v>0.80006244207275168</c:v>
                </c:pt>
                <c:pt idx="34">
                  <c:v>0.80009134596545062</c:v>
                </c:pt>
                <c:pt idx="35">
                  <c:v>0.80012531675292231</c:v>
                </c:pt>
                <c:pt idx="36">
                  <c:v>0.80016401975568541</c:v>
                </c:pt>
                <c:pt idx="37">
                  <c:v>0.80020708920065409</c:v>
                </c:pt>
                <c:pt idx="38">
                  <c:v>0.80025413241988708</c:v>
                </c:pt>
                <c:pt idx="39">
                  <c:v>0.80030473453284146</c:v>
                </c:pt>
                <c:pt idx="40">
                  <c:v>0.80035846355285278</c:v>
                </c:pt>
                <c:pt idx="41">
                  <c:v>0.8004148758554156</c:v>
                </c:pt>
                <c:pt idx="42">
                  <c:v>0.80047352194340737</c:v>
                </c:pt>
                <c:pt idx="43">
                  <c:v>0.80053395244270398</c:v>
                </c:pt>
                <c:pt idx="44">
                  <c:v>0.80059572426067438</c:v>
                </c:pt>
                <c:pt idx="45">
                  <c:v>0.80065840683980449</c:v>
                </c:pt>
                <c:pt idx="46">
                  <c:v>0.80072158843918573</c:v>
                </c:pt>
                <c:pt idx="47">
                  <c:v>0.800784882377781</c:v>
                </c:pt>
                <c:pt idx="48">
                  <c:v>0.80084793317522285</c:v>
                </c:pt>
                <c:pt idx="49">
                  <c:v>0.80091042252837996</c:v>
                </c:pt>
                <c:pt idx="50">
                  <c:v>0.80097207506499557</c:v>
                </c:pt>
                <c:pt idx="51">
                  <c:v>0.80103266381931448</c:v>
                </c:pt>
                <c:pt idx="52">
                  <c:v>0.80109201537872954</c:v>
                </c:pt>
                <c:pt idx="53">
                  <c:v>0.80115001465501567</c:v>
                </c:pt>
                <c:pt idx="54">
                  <c:v>0.80120660923865139</c:v>
                </c:pt>
                <c:pt idx="55">
                  <c:v>0.80126181329995483</c:v>
                </c:pt>
                <c:pt idx="56">
                  <c:v>0.80131571100625376</c:v>
                </c:pt>
                <c:pt idx="57">
                  <c:v>0.80136845942997015</c:v>
                </c:pt>
                <c:pt idx="58">
                  <c:v>0.80142029092827893</c:v>
                </c:pt>
                <c:pt idx="59">
                  <c:v>0.80147151498082458</c:v>
                </c:pt>
                <c:pt idx="60">
                  <c:v>0.80152251947778264</c:v>
                </c:pt>
                <c:pt idx="61">
                  <c:v>0.8015737714562603</c:v>
                </c:pt>
                <c:pt idx="62">
                  <c:v>0.80162581728859983</c:v>
                </c:pt>
                <c:pt idx="63">
                  <c:v>0.80167928233149144</c:v>
                </c:pt>
                <c:pt idx="64">
                  <c:v>0.80173487004988542</c:v>
                </c:pt>
                <c:pt idx="65">
                  <c:v>0.80179336063445283</c:v>
                </c:pt>
                <c:pt idx="66">
                  <c:v>0.80185560913572951</c:v>
                </c:pt>
                <c:pt idx="67">
                  <c:v>0.80192254314205558</c:v>
                </c:pt>
                <c:pt idx="68">
                  <c:v>0.80199516003194948</c:v>
                </c:pt>
                <c:pt idx="69">
                  <c:v>0.8020745238345981</c:v>
                </c:pt>
                <c:pt idx="70">
                  <c:v>0.80216176173468567</c:v>
                </c:pt>
                <c:pt idx="71">
                  <c:v>0.80225806025979984</c:v>
                </c:pt>
                <c:pt idx="72">
                  <c:v>0.80236466119013272</c:v>
                </c:pt>
                <c:pt idx="73">
                  <c:v>0.80248285723113599</c:v>
                </c:pt>
                <c:pt idx="74">
                  <c:v>0.80261398749019375</c:v>
                </c:pt>
                <c:pt idx="75">
                  <c:v>0.80275943279824569</c:v>
                </c:pt>
                <c:pt idx="76">
                  <c:v>0.80292061091665823</c:v>
                </c:pt>
                <c:pt idx="77">
                  <c:v>0.80309897166850319</c:v>
                </c:pt>
                <c:pt idx="78">
                  <c:v>0.80329599203180646</c:v>
                </c:pt>
                <c:pt idx="79">
                  <c:v>0.80351317123029775</c:v>
                </c:pt>
                <c:pt idx="80">
                  <c:v>0.80375202585476069</c:v>
                </c:pt>
                <c:pt idx="81">
                  <c:v>0.80401408504530669</c:v>
                </c:pt>
                <c:pt idx="82">
                  <c:v>0.80430088576180425</c:v>
                </c:pt>
                <c:pt idx="83">
                  <c:v>0.80461396816634967</c:v>
                </c:pt>
                <c:pt idx="84">
                  <c:v>0.80495487113811703</c:v>
                </c:pt>
                <c:pt idx="85">
                  <c:v>0.80532512793722</c:v>
                </c:pt>
                <c:pt idx="86">
                  <c:v>0.80572626203042286</c:v>
                </c:pt>
                <c:pt idx="87">
                  <c:v>0.8061597830877012</c:v>
                </c:pt>
                <c:pt idx="88">
                  <c:v>0.80662718315483395</c:v>
                </c:pt>
                <c:pt idx="89">
                  <c:v>0.80712993300346425</c:v>
                </c:pt>
                <c:pt idx="90">
                  <c:v>0.80766947865644667</c:v>
                </c:pt>
                <c:pt idx="91">
                  <c:v>0.80824723808286036</c:v>
                </c:pt>
                <c:pt idx="92">
                  <c:v>0.80886459805385891</c:v>
                </c:pt>
                <c:pt idx="93">
                  <c:v>0.80952291114759001</c:v>
                </c:pt>
                <c:pt idx="94">
                  <c:v>0.81022349288880224</c:v>
                </c:pt>
                <c:pt idx="95">
                  <c:v>0.8109676190064915</c:v>
                </c:pt>
                <c:pt idx="96">
                  <c:v>0.81175652279106436</c:v>
                </c:pt>
                <c:pt idx="97">
                  <c:v>0.81259139253103185</c:v>
                </c:pt>
                <c:pt idx="98">
                  <c:v>0.81347336900822631</c:v>
                </c:pt>
                <c:pt idx="99">
                  <c:v>0.81440354302995865</c:v>
                </c:pt>
                <c:pt idx="100">
                  <c:v>0.81538295297642405</c:v>
                </c:pt>
                <c:pt idx="101">
                  <c:v>0.81641258234202108</c:v>
                </c:pt>
                <c:pt idx="102">
                  <c:v>0.81749335725006778</c:v>
                </c:pt>
                <c:pt idx="103">
                  <c:v>0.81862614392166877</c:v>
                </c:pt>
                <c:pt idx="104">
                  <c:v>0.81981174608120277</c:v>
                </c:pt>
                <c:pt idx="105">
                  <c:v>0.82105090228302391</c:v>
                </c:pt>
                <c:pt idx="106">
                  <c:v>0.8223442831464931</c:v>
                </c:pt>
                <c:pt idx="107">
                  <c:v>0.82369248848932741</c:v>
                </c:pt>
                <c:pt idx="108">
                  <c:v>0.82509604435245776</c:v>
                </c:pt>
                <c:pt idx="109">
                  <c:v>0.8265553999130506</c:v>
                </c:pt>
                <c:pt idx="110">
                  <c:v>0.8280709242860641</c:v>
                </c:pt>
                <c:pt idx="111">
                  <c:v>0.82964290321858791</c:v>
                </c:pt>
                <c:pt idx="112">
                  <c:v>0.83127153568523371</c:v>
                </c:pt>
                <c:pt idx="113">
                  <c:v>0.83295693039693186</c:v>
                </c:pt>
                <c:pt idx="114">
                  <c:v>0.83469910223959143</c:v>
                </c:pt>
                <c:pt idx="115">
                  <c:v>0.83649796866314208</c:v>
                </c:pt>
                <c:pt idx="116">
                  <c:v>0.83835334604543776</c:v>
                </c:pt>
                <c:pt idx="117">
                  <c:v>0.84026494605930402</c:v>
                </c:pt>
                <c:pt idx="118">
                  <c:v>0.84223237207459767</c:v>
                </c:pt>
                <c:pt idx="119">
                  <c:v>0.84425511563046163</c:v>
                </c:pt>
                <c:pt idx="120">
                  <c:v>0.84633255301595478</c:v>
                </c:pt>
                <c:pt idx="121">
                  <c:v>0.84846394199985486</c:v>
                </c:pt>
                <c:pt idx="122">
                  <c:v>0.85064841875263586</c:v>
                </c:pt>
                <c:pt idx="123">
                  <c:v>0.8528849950053663</c:v>
                </c:pt>
                <c:pt idx="124">
                  <c:v>0.85517255549152238</c:v>
                </c:pt>
                <c:pt idx="125">
                  <c:v>0.85750985571843319</c:v>
                </c:pt>
                <c:pt idx="126">
                  <c:v>0.85989552011524362</c:v>
                </c:pt>
                <c:pt idx="127">
                  <c:v>0.86232804060388435</c:v>
                </c:pt>
                <c:pt idx="128">
                  <c:v>0.86480577563855354</c:v>
                </c:pt>
                <c:pt idx="129">
                  <c:v>0.86732694975764535</c:v>
                </c:pt>
                <c:pt idx="130">
                  <c:v>0.86988965368990123</c:v>
                </c:pt>
                <c:pt idx="131">
                  <c:v>0.8724918450538246</c:v>
                </c:pt>
                <c:pt idx="132">
                  <c:v>0.87513134968609607</c:v>
                </c:pt>
                <c:pt idx="133">
                  <c:v>0.87780586363088453</c:v>
                </c:pt>
                <c:pt idx="134">
                  <c:v>0.88051295581758837</c:v>
                </c:pt>
                <c:pt idx="135">
                  <c:v>0.88325007144970769</c:v>
                </c:pt>
                <c:pt idx="136">
                  <c:v>0.88601453612226877</c:v>
                </c:pt>
                <c:pt idx="137">
                  <c:v>0.88880356067956079</c:v>
                </c:pt>
                <c:pt idx="138">
                  <c:v>0.8916142468189302</c:v>
                </c:pt>
                <c:pt idx="139">
                  <c:v>0.89444359344009583</c:v>
                </c:pt>
                <c:pt idx="140">
                  <c:v>0.89728850373293267</c:v>
                </c:pt>
                <c:pt idx="141">
                  <c:v>0.90014579298999975</c:v>
                </c:pt>
                <c:pt idx="142">
                  <c:v>0.90301219712333258</c:v>
                </c:pt>
                <c:pt idx="143">
                  <c:v>0.90588438185823272</c:v>
                </c:pt>
                <c:pt idx="144">
                  <c:v>0.90875895257005612</c:v>
                </c:pt>
                <c:pt idx="145">
                  <c:v>0.91163246472338955</c:v>
                </c:pt>
                <c:pt idx="146">
                  <c:v>0.91450143486658353</c:v>
                </c:pt>
                <c:pt idx="147">
                  <c:v>0.91736235212844719</c:v>
                </c:pt>
                <c:pt idx="148">
                  <c:v>0.92021169015808968</c:v>
                </c:pt>
                <c:pt idx="149">
                  <c:v>0.92304591944345127</c:v>
                </c:pt>
                <c:pt idx="150">
                  <c:v>0.92586151993910282</c:v>
                </c:pt>
                <c:pt idx="151">
                  <c:v>0.92865499392943418</c:v>
                </c:pt>
                <c:pt idx="152">
                  <c:v>0.93142287904947363</c:v>
                </c:pt>
                <c:pt idx="153">
                  <c:v>0.9341617613823191</c:v>
                </c:pt>
                <c:pt idx="154">
                  <c:v>0.93686828854957138</c:v>
                </c:pt>
                <c:pt idx="155">
                  <c:v>0.93953918270926895</c:v>
                </c:pt>
                <c:pt idx="156">
                  <c:v>0.94217125337466512</c:v>
                </c:pt>
                <c:pt idx="157">
                  <c:v>0.94476140996678681</c:v>
                </c:pt>
                <c:pt idx="158">
                  <c:v>0.94730667401408586</c:v>
                </c:pt>
                <c:pt idx="159">
                  <c:v>0.94980419091364054</c:v>
                </c:pt>
                <c:pt idx="160">
                  <c:v>0.95225124117029591</c:v>
                </c:pt>
                <c:pt idx="161">
                  <c:v>0.95464525103282949</c:v>
                </c:pt>
                <c:pt idx="162">
                  <c:v>0.9569838024496844</c:v>
                </c:pt>
                <c:pt idx="163">
                  <c:v>0.9592646422710025</c:v>
                </c:pt>
                <c:pt idx="164">
                  <c:v>0.96148569062856992</c:v>
                </c:pt>
                <c:pt idx="165">
                  <c:v>0.96364504843084275</c:v>
                </c:pt>
                <c:pt idx="166">
                  <c:v>0.96574100391638185</c:v>
                </c:pt>
                <c:pt idx="167">
                  <c:v>0.96777203821575042</c:v>
                </c:pt>
                <c:pt idx="168">
                  <c:v>0.96973682987916232</c:v>
                </c:pt>
                <c:pt idx="169">
                  <c:v>0.97163425833483785</c:v>
                </c:pt>
                <c:pt idx="170">
                  <c:v>0.97346340625106642</c:v>
                </c:pt>
                <c:pt idx="171">
                  <c:v>0.97522356078331529</c:v>
                </c:pt>
                <c:pt idx="172">
                  <c:v>0.97691421369628162</c:v>
                </c:pt>
                <c:pt idx="173">
                  <c:v>0.97853506035948734</c:v>
                </c:pt>
                <c:pt idx="174">
                  <c:v>0.98008599762377813</c:v>
                </c:pt>
                <c:pt idx="175">
                  <c:v>0.98156712059481777</c:v>
                </c:pt>
                <c:pt idx="176">
                  <c:v>0.98297871832830719</c:v>
                </c:pt>
                <c:pt idx="177">
                  <c:v>0.98432126848009438</c:v>
                </c:pt>
                <c:pt idx="178">
                  <c:v>0.98559543095251079</c:v>
                </c:pt>
                <c:pt idx="179">
                  <c:v>0.98680204058609777</c:v>
                </c:pt>
                <c:pt idx="180">
                  <c:v>0.98794209895328122</c:v>
                </c:pt>
                <c:pt idx="181">
                  <c:v>0.98901676531745952</c:v>
                </c:pt>
                <c:pt idx="182">
                  <c:v>0.99002734682730487</c:v>
                </c:pt>
                <c:pt idx="183">
                  <c:v>0.99097528802180368</c:v>
                </c:pt>
                <c:pt idx="184">
                  <c:v>0.99186215972658798</c:v>
                </c:pt>
                <c:pt idx="185">
                  <c:v>0.9926896474264294</c:v>
                </c:pt>
                <c:pt idx="186">
                  <c:v>0.99345953920229579</c:v>
                </c:pt>
                <c:pt idx="187">
                  <c:v>0.99417371332411075</c:v>
                </c:pt>
                <c:pt idx="188">
                  <c:v>0.99483412559225748</c:v>
                </c:pt>
                <c:pt idx="189">
                  <c:v>0.99544279652192258</c:v>
                </c:pt>
                <c:pt idx="190">
                  <c:v>0.99600179846457615</c:v>
                </c:pt>
                <c:pt idx="191">
                  <c:v>0.99651324276022013</c:v>
                </c:pt>
                <c:pt idx="192">
                  <c:v>0.99697926701252793</c:v>
                </c:pt>
                <c:pt idx="193">
                  <c:v>0.99740202257665411</c:v>
                </c:pt>
                <c:pt idx="194">
                  <c:v>0.99778366234633942</c:v>
                </c:pt>
                <c:pt idx="195">
                  <c:v>0.99812632892300646</c:v>
                </c:pt>
                <c:pt idx="196">
                  <c:v>0.99843214324488216</c:v>
                </c:pt>
                <c:pt idx="197">
                  <c:v>0.99870319374883132</c:v>
                </c:pt>
                <c:pt idx="198">
                  <c:v>0.99894152613161069</c:v>
                </c:pt>
                <c:pt idx="199">
                  <c:v>0.99914913377070502</c:v>
                </c:pt>
                <c:pt idx="200">
                  <c:v>0.99932794885786236</c:v>
                </c:pt>
                <c:pt idx="201">
                  <c:v>0.9994798342909732</c:v>
                </c:pt>
                <c:pt idx="202">
                  <c:v>0.99960657636211303</c:v>
                </c:pt>
                <c:pt idx="203">
                  <c:v>0.99970987827148239</c:v>
                </c:pt>
                <c:pt idx="204">
                  <c:v>0.99979135448869283</c:v>
                </c:pt>
                <c:pt idx="205">
                  <c:v>0.99985252597448171</c:v>
                </c:pt>
                <c:pt idx="206">
                  <c:v>0.99989481626753784</c:v>
                </c:pt>
                <c:pt idx="207">
                  <c:v>0.99991954843281095</c:v>
                </c:pt>
                <c:pt idx="208">
                  <c:v>0.99992794285951137</c:v>
                </c:pt>
                <c:pt idx="209">
                  <c:v>0.99992111588909649</c:v>
                </c:pt>
                <c:pt idx="210">
                  <c:v>0.99990007924593782</c:v>
                </c:pt>
                <c:pt idx="211">
                  <c:v>0.99986574023617636</c:v>
                </c:pt>
                <c:pt idx="212">
                  <c:v>0.99981890267354601</c:v>
                </c:pt>
                <c:pt idx="213">
                  <c:v>0.99976026848477439</c:v>
                </c:pt>
                <c:pt idx="214">
                  <c:v>0.99969043994158979</c:v>
                </c:pt>
                <c:pt idx="215">
                  <c:v>0.99960992246144886</c:v>
                </c:pt>
                <c:pt idx="216">
                  <c:v>0.9995191279149005</c:v>
                </c:pt>
                <c:pt idx="217">
                  <c:v>0.99941837837403535</c:v>
                </c:pt>
                <c:pt idx="218">
                  <c:v>0.99930791023380428</c:v>
                </c:pt>
                <c:pt idx="219">
                  <c:v>0.99918787863611658</c:v>
                </c:pt>
                <c:pt idx="220">
                  <c:v>0.99905836212559096</c:v>
                </c:pt>
                <c:pt idx="221">
                  <c:v>0.99891936746561016</c:v>
                </c:pt>
                <c:pt idx="222">
                  <c:v>0.99877083454395099</c:v>
                </c:pt>
                <c:pt idx="223">
                  <c:v>0.99861264129868688</c:v>
                </c:pt>
                <c:pt idx="224">
                  <c:v>0.9984446085972869</c:v>
                </c:pt>
                <c:pt idx="225">
                  <c:v>0.9982665050048336</c:v>
                </c:pt>
                <c:pt idx="226">
                  <c:v>0.99807805138100247</c:v>
                </c:pt>
                <c:pt idx="227">
                  <c:v>0.99787892524986321</c:v>
                </c:pt>
                <c:pt idx="228">
                  <c:v>0.99766876489160472</c:v>
                </c:pt>
                <c:pt idx="229">
                  <c:v>0.99744717311090825</c:v>
                </c:pt>
                <c:pt idx="230">
                  <c:v>0.99721372064282132</c:v>
                </c:pt>
                <c:pt idx="231">
                  <c:v>0.99696794916354636</c:v>
                </c:pt>
                <c:pt idx="232">
                  <c:v>0.99670937388049308</c:v>
                </c:pt>
                <c:pt idx="233">
                  <c:v>0.99643748568313639</c:v>
                </c:pt>
                <c:pt idx="234">
                  <c:v>0.996151752843635</c:v>
                </c:pt>
                <c:pt idx="235">
                  <c:v>0.99585162226367219</c:v>
                </c:pt>
                <c:pt idx="236">
                  <c:v>0.99553652027151274</c:v>
                </c:pt>
                <c:pt idx="237">
                  <c:v>0.99520585298074637</c:v>
                </c:pt>
                <c:pt idx="238">
                  <c:v>0.99485900622949497</c:v>
                </c:pt>
                <c:pt idx="239">
                  <c:v>0.99449534512594595</c:v>
                </c:pt>
                <c:pt idx="240">
                  <c:v>0.99411421323281979</c:v>
                </c:pt>
                <c:pt idx="241">
                  <c:v>0.99371493142973943</c:v>
                </c:pt>
                <c:pt idx="242">
                  <c:v>0.99329679649832814</c:v>
                </c:pt>
                <c:pt idx="243">
                  <c:v>0.99285907948019281</c:v>
                </c:pt>
                <c:pt idx="244">
                  <c:v>0.99240102386264439</c:v>
                </c:pt>
                <c:pt idx="245">
                  <c:v>0.99192184365103486</c:v>
                </c:pt>
                <c:pt idx="246">
                  <c:v>0.99142072138988702</c:v>
                </c:pt>
                <c:pt idx="247">
                  <c:v>0.99089680619752429</c:v>
                </c:pt>
                <c:pt idx="248">
                  <c:v>0.99034921188061475</c:v>
                </c:pt>
                <c:pt idx="249">
                  <c:v>0.98977701519593753</c:v>
                </c:pt>
                <c:pt idx="250">
                  <c:v>0.98917925432669707</c:v>
                </c:pt>
                <c:pt idx="251">
                  <c:v>0.9885549276398875</c:v>
                </c:pt>
                <c:pt idx="252">
                  <c:v>0.98790299278950333</c:v>
                </c:pt>
                <c:pt idx="253">
                  <c:v>0.98722236622785298</c:v>
                </c:pt>
                <c:pt idx="254">
                  <c:v>0.9865119231838495</c:v>
                </c:pt>
                <c:pt idx="255">
                  <c:v>0.98577049816296836</c:v>
                </c:pt>
                <c:pt idx="256">
                  <c:v>0.98499688601861646</c:v>
                </c:pt>
                <c:pt idx="257">
                  <c:v>0.98418984363898465</c:v>
                </c:pt>
                <c:pt idx="258">
                  <c:v>0.98334809228712805</c:v>
                </c:pt>
                <c:pt idx="259">
                  <c:v>0.98247032062508133</c:v>
                </c:pt>
                <c:pt idx="260">
                  <c:v>0.98155518844534817</c:v>
                </c:pt>
                <c:pt idx="261">
                  <c:v>0.98060133112518399</c:v>
                </c:pt>
                <c:pt idx="262">
                  <c:v>0.97960736481078747</c:v>
                </c:pt>
                <c:pt idx="263">
                  <c:v>0.97857189232993147</c:v>
                </c:pt>
                <c:pt idx="264">
                  <c:v>0.97749350982277661</c:v>
                </c:pt>
                <c:pt idx="265">
                  <c:v>0.97637081407171811</c:v>
                </c:pt>
                <c:pt idx="266">
                  <c:v>0.97520241050221512</c:v>
                </c:pt>
                <c:pt idx="267">
                  <c:v>0.97398692181773572</c:v>
                </c:pt>
                <c:pt idx="268">
                  <c:v>0.97272299722331523</c:v>
                </c:pt>
                <c:pt idx="269">
                  <c:v>0.97140932218387765</c:v>
                </c:pt>
                <c:pt idx="270">
                  <c:v>0.9700446286554737</c:v>
                </c:pt>
                <c:pt idx="271">
                  <c:v>0.96862770572008172</c:v>
                </c:pt>
                <c:pt idx="272">
                  <c:v>0.96715741054763371</c:v>
                </c:pt>
                <c:pt idx="273">
                  <c:v>0.96563267960259114</c:v>
                </c:pt>
                <c:pt idx="274">
                  <c:v>0.96405254000676222</c:v>
                </c:pt>
                <c:pt idx="275">
                  <c:v>0.9624161209651827</c:v>
                </c:pt>
                <c:pt idx="276">
                  <c:v>0.96072266515787474</c:v>
                </c:pt>
                <c:pt idx="277">
                  <c:v>0.95897153999715545</c:v>
                </c:pt>
                <c:pt idx="278">
                  <c:v>0.95716224864798471</c:v>
                </c:pt>
                <c:pt idx="279">
                  <c:v>0.95529444070762437</c:v>
                </c:pt>
                <c:pt idx="280">
                  <c:v>0.9533679224406586</c:v>
                </c:pt>
                <c:pt idx="281">
                  <c:v>0.95138266646623926</c:v>
                </c:pt>
                <c:pt idx="282">
                  <c:v>0.94933882079623833</c:v>
                </c:pt>
                <c:pt idx="283">
                  <c:v>0.94723671712584379</c:v>
                </c:pt>
                <c:pt idx="284">
                  <c:v>0.9450768782819946</c:v>
                </c:pt>
                <c:pt idx="285">
                  <c:v>0.94286002473988373</c:v>
                </c:pt>
                <c:pt idx="286">
                  <c:v>0.9405870801235594</c:v>
                </c:pt>
                <c:pt idx="287">
                  <c:v>0.93825917561333938</c:v>
                </c:pt>
                <c:pt idx="288">
                  <c:v>0.9358776531903088</c:v>
                </c:pt>
                <c:pt idx="289">
                  <c:v>0.93344406765650922</c:v>
                </c:pt>
                <c:pt idx="290">
                  <c:v>0.93096018737847663</c:v>
                </c:pt>
                <c:pt idx="291">
                  <c:v>0.92842799371149387</c:v>
                </c:pt>
                <c:pt idx="292">
                  <c:v>0.92584967907216797</c:v>
                </c:pt>
                <c:pt idx="293">
                  <c:v>0.92322764363766141</c:v>
                </c:pt>
                <c:pt idx="294">
                  <c:v>0.92056449066099522</c:v>
                </c:pt>
                <c:pt idx="295">
                  <c:v>0.91786302040318457</c:v>
                </c:pt>
                <c:pt idx="296">
                  <c:v>0.91512622269448374</c:v>
                </c:pt>
                <c:pt idx="297">
                  <c:v>0.91235726814858187</c:v>
                </c:pt>
                <c:pt idx="298">
                  <c:v>0.90955949806510361</c:v>
                </c:pt>
                <c:pt idx="299">
                  <c:v>0.90673641306712205</c:v>
                </c:pt>
                <c:pt idx="300">
                  <c:v>0.90389166053146663</c:v>
                </c:pt>
                <c:pt idx="301">
                  <c:v>0.90102902088032577</c:v>
                </c:pt>
                <c:pt idx="302">
                  <c:v>0.8981523928128603</c:v>
                </c:pt>
                <c:pt idx="303">
                  <c:v>0.89526577756520931</c:v>
                </c:pt>
                <c:pt idx="304">
                  <c:v>0.89237326229624314</c:v>
                </c:pt>
                <c:pt idx="305">
                  <c:v>0.88947900270464697</c:v>
                </c:pt>
                <c:pt idx="306">
                  <c:v>0.88658720499030574</c:v>
                </c:pt>
                <c:pt idx="307">
                  <c:v>0.88370210727942844</c:v>
                </c:pt>
                <c:pt idx="308">
                  <c:v>0.88082796063835156</c:v>
                </c:pt>
                <c:pt idx="309">
                  <c:v>0.87796900980541837</c:v>
                </c:pt>
                <c:pt idx="310">
                  <c:v>0.8751294737737112</c:v>
                </c:pt>
                <c:pt idx="311">
                  <c:v>0.87231352635968007</c:v>
                </c:pt>
                <c:pt idx="312">
                  <c:v>0.86952527689382553</c:v>
                </c:pt>
                <c:pt idx="313">
                  <c:v>0.86676875116955832</c:v>
                </c:pt>
                <c:pt idx="314">
                  <c:v>0.86404787278515471</c:v>
                </c:pt>
                <c:pt idx="315">
                  <c:v>0.86136644501136117</c:v>
                </c:pt>
                <c:pt idx="316">
                  <c:v>0.8587281333137079</c:v>
                </c:pt>
                <c:pt idx="317">
                  <c:v>0.85613644865397354</c:v>
                </c:pt>
                <c:pt idx="318">
                  <c:v>0.85359473168955746</c:v>
                </c:pt>
                <c:pt idx="319">
                  <c:v>0.85110613798280521</c:v>
                </c:pt>
                <c:pt idx="320">
                  <c:v>0.84867362432465421</c:v>
                </c:pt>
                <c:pt idx="321">
                  <c:v>0.84629993626838529</c:v>
                </c:pt>
                <c:pt idx="322">
                  <c:v>0.84398759695987169</c:v>
                </c:pt>
                <c:pt idx="323">
                  <c:v>0.84173889734056495</c:v>
                </c:pt>
                <c:pt idx="324">
                  <c:v>0.83955588778867762</c:v>
                </c:pt>
                <c:pt idx="325">
                  <c:v>0.8374403712526679</c:v>
                </c:pt>
                <c:pt idx="326">
                  <c:v>0.83539389791934549</c:v>
                </c:pt>
                <c:pt idx="327">
                  <c:v>0.83341776144677304</c:v>
                </c:pt>
                <c:pt idx="328">
                  <c:v>0.83151299677976409</c:v>
                </c:pt>
                <c:pt idx="329">
                  <c:v>0.82968037955327611</c:v>
                </c:pt>
                <c:pt idx="330">
                  <c:v>0.82792042707648716</c:v>
                </c:pt>
                <c:pt idx="331">
                  <c:v>0.8262334008779274</c:v>
                </c:pt>
                <c:pt idx="332">
                  <c:v>0.8246193107798383</c:v>
                </c:pt>
                <c:pt idx="333">
                  <c:v>0.82307792045804407</c:v>
                </c:pt>
                <c:pt idx="334">
                  <c:v>0.82160875443216697</c:v>
                </c:pt>
                <c:pt idx="335">
                  <c:v>0.82021110642007999</c:v>
                </c:pt>
                <c:pt idx="336">
                  <c:v>0.81888404898018519</c:v>
                </c:pt>
                <c:pt idx="337">
                  <c:v>0.81762644435550791</c:v>
                </c:pt>
                <c:pt idx="338">
                  <c:v>0.81643695642479197</c:v>
                </c:pt>
                <c:pt idx="339">
                  <c:v>0.81531406365785486</c:v>
                </c:pt>
                <c:pt idx="340">
                  <c:v>0.81425607296546376</c:v>
                </c:pt>
                <c:pt idx="341">
                  <c:v>0.81326113432799818</c:v>
                </c:pt>
                <c:pt idx="342">
                  <c:v>0.81232725608220924</c:v>
                </c:pt>
                <c:pt idx="343">
                  <c:v>0.81145232074151274</c:v>
                </c:pt>
                <c:pt idx="344">
                  <c:v>0.81063410122249158</c:v>
                </c:pt>
                <c:pt idx="345">
                  <c:v>0.80987027734864592</c:v>
                </c:pt>
                <c:pt idx="346">
                  <c:v>0.80915845250192853</c:v>
                </c:pt>
                <c:pt idx="347">
                  <c:v>0.80849617029323162</c:v>
                </c:pt>
                <c:pt idx="348">
                  <c:v>0.80788093112473136</c:v>
                </c:pt>
                <c:pt idx="349">
                  <c:v>0.80731020851983559</c:v>
                </c:pt>
                <c:pt idx="350">
                  <c:v>0.80678146510036286</c:v>
                </c:pt>
                <c:pt idx="351">
                  <c:v>0.80629216809548476</c:v>
                </c:pt>
                <c:pt idx="352">
                  <c:v>0.80583980427281687</c:v>
                </c:pt>
                <c:pt idx="353">
                  <c:v>0.80542189418879484</c:v>
                </c:pt>
                <c:pt idx="354">
                  <c:v>0.80503600566304356</c:v>
                </c:pt>
                <c:pt idx="355">
                  <c:v>0.80467976638976668</c:v>
                </c:pt>
                <c:pt idx="356">
                  <c:v>0.8043508756081631</c:v>
                </c:pt>
                <c:pt idx="357">
                  <c:v>0.8040471147634275</c:v>
                </c:pt>
                <c:pt idx="358">
                  <c:v>0.80376635709992073</c:v>
                </c:pt>
                <c:pt idx="359">
                  <c:v>0.80350657613850163</c:v>
                </c:pt>
                <c:pt idx="360">
                  <c:v>0.80326585300069508</c:v>
                </c:pt>
                <c:pt idx="361">
                  <c:v>0.80304238255323301</c:v>
                </c:pt>
                <c:pt idx="362">
                  <c:v>0.80283447835743404</c:v>
                </c:pt>
                <c:pt idx="363">
                  <c:v>0.8026405764187875</c:v>
                </c:pt>
                <c:pt idx="364">
                  <c:v>0.80245923774287642</c:v>
                </c:pt>
                <c:pt idx="365">
                  <c:v>0.80228914971430698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0094248"/>
        <c:axId val="470095424"/>
      </c:lineChart>
      <c:dateAx>
        <c:axId val="470094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0095424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470095424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0094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2.2088173512709712E-3</c:v>
                </c:pt>
                <c:pt idx="1">
                  <c:v>2.1913950388607489E-3</c:v>
                </c:pt>
                <c:pt idx="2">
                  <c:v>2.17327915845676E-3</c:v>
                </c:pt>
                <c:pt idx="3">
                  <c:v>2.1544628839920772E-3</c:v>
                </c:pt>
                <c:pt idx="4">
                  <c:v>2.1349395741826539E-3</c:v>
                </c:pt>
                <c:pt idx="5">
                  <c:v>2.1147027901049459E-3</c:v>
                </c:pt>
                <c:pt idx="6">
                  <c:v>2.0937463128005949E-3</c:v>
                </c:pt>
                <c:pt idx="7">
                  <c:v>2.072064160833127E-3</c:v>
                </c:pt>
                <c:pt idx="8">
                  <c:v>2.0496506078748686E-3</c:v>
                </c:pt>
                <c:pt idx="9">
                  <c:v>2.0256006093832078E-3</c:v>
                </c:pt>
                <c:pt idx="10">
                  <c:v>2.0003900766422402E-3</c:v>
                </c:pt>
                <c:pt idx="11">
                  <c:v>1.9740136794693338E-3</c:v>
                </c:pt>
                <c:pt idx="12">
                  <c:v>1.9464664709887575E-3</c:v>
                </c:pt>
                <c:pt idx="13">
                  <c:v>1.9177439158345976E-3</c:v>
                </c:pt>
                <c:pt idx="14">
                  <c:v>1.8878419183210378E-3</c:v>
                </c:pt>
                <c:pt idx="15">
                  <c:v>1.8559509680182854E-3</c:v>
                </c:pt>
                <c:pt idx="16">
                  <c:v>1.8222772070155314E-3</c:v>
                </c:pt>
                <c:pt idx="17">
                  <c:v>1.7868176407526094E-3</c:v>
                </c:pt>
                <c:pt idx="18">
                  <c:v>1.7495699591180917E-3</c:v>
                </c:pt>
                <c:pt idx="19">
                  <c:v>1.7105421209698695E-3</c:v>
                </c:pt>
                <c:pt idx="20">
                  <c:v>1.6697461529958085E-3</c:v>
                </c:pt>
                <c:pt idx="21">
                  <c:v>1.6271864317870183E-3</c:v>
                </c:pt>
                <c:pt idx="22">
                  <c:v>1.5828673777136832E-3</c:v>
                </c:pt>
                <c:pt idx="23">
                  <c:v>1.5379180766559735E-3</c:v>
                </c:pt>
                <c:pt idx="24">
                  <c:v>1.4932462996040355E-3</c:v>
                </c:pt>
                <c:pt idx="25">
                  <c:v>1.4488567467527171E-3</c:v>
                </c:pt>
                <c:pt idx="26">
                  <c:v>1.4047538575502566E-3</c:v>
                </c:pt>
                <c:pt idx="27">
                  <c:v>1.360941814653998E-3</c:v>
                </c:pt>
                <c:pt idx="28">
                  <c:v>1.317424547917204E-3</c:v>
                </c:pt>
                <c:pt idx="29">
                  <c:v>1.2755497354911829E-3</c:v>
                </c:pt>
                <c:pt idx="30">
                  <c:v>1.2361279414128616E-3</c:v>
                </c:pt>
                <c:pt idx="31">
                  <c:v>1.1991620823031701E-3</c:v>
                </c:pt>
                <c:pt idx="32">
                  <c:v>1.1646547031545578E-3</c:v>
                </c:pt>
                <c:pt idx="33">
                  <c:v>1.1326080081924454E-3</c:v>
                </c:pt>
                <c:pt idx="34">
                  <c:v>1.1030238917420405E-3</c:v>
                </c:pt>
                <c:pt idx="35">
                  <c:v>1.0759039690937848E-3</c:v>
                </c:pt>
                <c:pt idx="36">
                  <c:v>1.0512496073664078E-3</c:v>
                </c:pt>
                <c:pt idx="37">
                  <c:v>1.0282235219475388E-3</c:v>
                </c:pt>
                <c:pt idx="38">
                  <c:v>1.0057026523021225E-3</c:v>
                </c:pt>
                <c:pt idx="39">
                  <c:v>9.8368833130806424E-4</c:v>
                </c:pt>
                <c:pt idx="40">
                  <c:v>9.6218177418328583E-4</c:v>
                </c:pt>
                <c:pt idx="41">
                  <c:v>9.4118408480711952E-4</c:v>
                </c:pt>
                <c:pt idx="42">
                  <c:v>9.2069626203456249E-4</c:v>
                </c:pt>
                <c:pt idx="43">
                  <c:v>8.998575035232075E-4</c:v>
                </c:pt>
                <c:pt idx="44">
                  <c:v>8.7732625672258286E-4</c:v>
                </c:pt>
                <c:pt idx="45">
                  <c:v>8.5310372722419115E-4</c:v>
                </c:pt>
                <c:pt idx="46">
                  <c:v>8.2719094988321354E-4</c:v>
                </c:pt>
                <c:pt idx="47">
                  <c:v>7.995887675556493E-4</c:v>
                </c:pt>
                <c:pt idx="48">
                  <c:v>7.7029780982418945E-4</c:v>
                </c:pt>
                <c:pt idx="49">
                  <c:v>7.3931847173174664E-4</c:v>
                </c:pt>
                <c:pt idx="50">
                  <c:v>7.0665089251005985E-4</c:v>
                </c:pt>
                <c:pt idx="51">
                  <c:v>6.7389676665035507E-4</c:v>
                </c:pt>
                <c:pt idx="52">
                  <c:v>6.418897498578043E-4</c:v>
                </c:pt>
                <c:pt idx="53">
                  <c:v>6.1062574789416506E-4</c:v>
                </c:pt>
                <c:pt idx="54">
                  <c:v>5.8010423014008929E-4</c:v>
                </c:pt>
                <c:pt idx="55">
                  <c:v>5.5032472445188903E-4</c:v>
                </c:pt>
                <c:pt idx="56">
                  <c:v>5.2128681442180889E-4</c:v>
                </c:pt>
                <c:pt idx="57">
                  <c:v>4.9466776433870643E-4</c:v>
                </c:pt>
                <c:pt idx="58">
                  <c:v>4.7132861882391602E-4</c:v>
                </c:pt>
                <c:pt idx="59">
                  <c:v>4.5126916554962779E-4</c:v>
                </c:pt>
                <c:pt idx="60">
                  <c:v>4.344892444275003E-4</c:v>
                </c:pt>
                <c:pt idx="61">
                  <c:v>4.2098873547612023E-4</c:v>
                </c:pt>
                <c:pt idx="62">
                  <c:v>4.10767546687824E-4</c:v>
                </c:pt>
                <c:pt idx="63">
                  <c:v>4.0382560189679804E-4</c:v>
                </c:pt>
                <c:pt idx="64">
                  <c:v>4.0016282864550114E-4</c:v>
                </c:pt>
                <c:pt idx="65">
                  <c:v>3.9852077429095115E-4</c:v>
                </c:pt>
                <c:pt idx="66">
                  <c:v>3.9729742430901806E-4</c:v>
                </c:pt>
                <c:pt idx="67">
                  <c:v>3.9649264170558952E-4</c:v>
                </c:pt>
                <c:pt idx="68">
                  <c:v>3.961062861159666E-4</c:v>
                </c:pt>
                <c:pt idx="69">
                  <c:v>3.961382122522707E-4</c:v>
                </c:pt>
                <c:pt idx="70">
                  <c:v>3.9658826835270807E-4</c:v>
                </c:pt>
                <c:pt idx="71">
                  <c:v>3.9637494728436332E-4</c:v>
                </c:pt>
                <c:pt idx="72">
                  <c:v>3.9382046642048553E-4</c:v>
                </c:pt>
                <c:pt idx="73">
                  <c:v>3.8892480943081807E-4</c:v>
                </c:pt>
                <c:pt idx="74">
                  <c:v>3.8168802383894675E-4</c:v>
                </c:pt>
                <c:pt idx="75">
                  <c:v>3.7211022967858576E-4</c:v>
                </c:pt>
                <c:pt idx="76">
                  <c:v>3.6019162814866003E-4</c:v>
                </c:pt>
                <c:pt idx="77">
                  <c:v>3.4593251026962378E-4</c:v>
                </c:pt>
                <c:pt idx="78">
                  <c:v>3.2933327647274516E-4</c:v>
                </c:pt>
                <c:pt idx="79">
                  <c:v>3.1124792312340076E-4</c:v>
                </c:pt>
                <c:pt idx="80">
                  <c:v>2.929354611407035E-4</c:v>
                </c:pt>
                <c:pt idx="81">
                  <c:v>2.7439583785249775E-4</c:v>
                </c:pt>
                <c:pt idx="82">
                  <c:v>2.5562902469471264E-4</c:v>
                </c:pt>
                <c:pt idx="83">
                  <c:v>2.3663501794406077E-4</c:v>
                </c:pt>
                <c:pt idx="84">
                  <c:v>2.1741383945155854E-4</c:v>
                </c:pt>
                <c:pt idx="85">
                  <c:v>1.9825829160316036E-4</c:v>
                </c:pt>
                <c:pt idx="86">
                  <c:v>1.8024910785295229E-4</c:v>
                </c:pt>
                <c:pt idx="87">
                  <c:v>1.6338615695237521E-4</c:v>
                </c:pt>
                <c:pt idx="88">
                  <c:v>1.4766931420924514E-4</c:v>
                </c:pt>
                <c:pt idx="89">
                  <c:v>1.3309845781959336E-4</c:v>
                </c:pt>
                <c:pt idx="90">
                  <c:v>1.1967346519921383E-4</c:v>
                </c:pt>
                <c:pt idx="91">
                  <c:v>1.0739420931573892E-4</c:v>
                </c:pt>
                <c:pt idx="92">
                  <c:v>9.6260555020286705E-5</c:v>
                </c:pt>
                <c:pt idx="93">
                  <c:v>8.645923104780874E-5</c:v>
                </c:pt>
                <c:pt idx="94">
                  <c:v>7.7138505365559898E-5</c:v>
                </c:pt>
                <c:pt idx="95">
                  <c:v>6.8298365856373668E-5</c:v>
                </c:pt>
                <c:pt idx="96">
                  <c:v>5.9938798048806253E-5</c:v>
                </c:pt>
                <c:pt idx="97">
                  <c:v>5.2059783580376797E-5</c:v>
                </c:pt>
                <c:pt idx="98">
                  <c:v>4.4661298660135703E-5</c:v>
                </c:pt>
                <c:pt idx="99">
                  <c:v>3.8111701223080749E-5</c:v>
                </c:pt>
                <c:pt idx="100">
                  <c:v>3.2118420804666814E-5</c:v>
                </c:pt>
                <c:pt idx="101">
                  <c:v>2.6681372735644864E-5</c:v>
                </c:pt>
                <c:pt idx="102">
                  <c:v>2.1800457056200776E-5</c:v>
                </c:pt>
                <c:pt idx="103">
                  <c:v>1.7475556734881593E-5</c:v>
                </c:pt>
                <c:pt idx="104">
                  <c:v>1.3706535888095552E-5</c:v>
                </c:pt>
                <c:pt idx="105">
                  <c:v>1.0493237999071393E-5</c:v>
                </c:pt>
                <c:pt idx="106">
                  <c:v>7.8354841370970947E-6</c:v>
                </c:pt>
                <c:pt idx="107">
                  <c:v>5.742208017065283E-6</c:v>
                </c:pt>
                <c:pt idx="108">
                  <c:v>4.0266509594586417E-6</c:v>
                </c:pt>
                <c:pt idx="109">
                  <c:v>2.6886561181632284E-6</c:v>
                </c:pt>
                <c:pt idx="110">
                  <c:v>1.7280523335770238E-6</c:v>
                </c:pt>
                <c:pt idx="111">
                  <c:v>1.1446414347746552E-6</c:v>
                </c:pt>
                <c:pt idx="112">
                  <c:v>9.3820498660730722E-7</c:v>
                </c:pt>
                <c:pt idx="113">
                  <c:v>1.0942983956626047E-6</c:v>
                </c:pt>
                <c:pt idx="114">
                  <c:v>1.2452311767967242E-6</c:v>
                </c:pt>
                <c:pt idx="115">
                  <c:v>1.3910040634176405E-6</c:v>
                </c:pt>
                <c:pt idx="116">
                  <c:v>1.5316178155405896E-6</c:v>
                </c:pt>
                <c:pt idx="117">
                  <c:v>1.6670732309264177E-6</c:v>
                </c:pt>
                <c:pt idx="118">
                  <c:v>1.7973711562077923E-6</c:v>
                </c:pt>
                <c:pt idx="119">
                  <c:v>1.9225124980185886E-6</c:v>
                </c:pt>
                <c:pt idx="120">
                  <c:v>2.0424982341200314E-6</c:v>
                </c:pt>
                <c:pt idx="121">
                  <c:v>2.1391112685884522E-6</c:v>
                </c:pt>
                <c:pt idx="122">
                  <c:v>2.2032603454959697E-6</c:v>
                </c:pt>
                <c:pt idx="123">
                  <c:v>2.2349690953140256E-6</c:v>
                </c:pt>
                <c:pt idx="124">
                  <c:v>2.2342624457559862E-6</c:v>
                </c:pt>
                <c:pt idx="125">
                  <c:v>2.2011666927855249E-6</c:v>
                </c:pt>
                <c:pt idx="126">
                  <c:v>2.1357095715940516E-6</c:v>
                </c:pt>
                <c:pt idx="127">
                  <c:v>2.0450033687700993E-6</c:v>
                </c:pt>
                <c:pt idx="128">
                  <c:v>1.943234136645772E-6</c:v>
                </c:pt>
                <c:pt idx="129">
                  <c:v>1.8304141135536607E-6</c:v>
                </c:pt>
                <c:pt idx="130">
                  <c:v>1.7065561790693901E-6</c:v>
                </c:pt>
                <c:pt idx="131">
                  <c:v>1.5716738783557369E-6</c:v>
                </c:pt>
                <c:pt idx="132">
                  <c:v>1.4257814465283199E-6</c:v>
                </c:pt>
                <c:pt idx="133">
                  <c:v>1.2688938330304195E-6</c:v>
                </c:pt>
                <c:pt idx="134">
                  <c:v>1.1010267259971863E-6</c:v>
                </c:pt>
                <c:pt idx="135">
                  <c:v>9.3126587963749085E-7</c:v>
                </c:pt>
                <c:pt idx="136">
                  <c:v>7.7774993118607498E-7</c:v>
                </c:pt>
                <c:pt idx="137">
                  <c:v>6.4046486931201135E-7</c:v>
                </c:pt>
                <c:pt idx="138">
                  <c:v>5.1939584238042411E-7</c:v>
                </c:pt>
                <c:pt idx="139">
                  <c:v>4.145271229719272E-7</c:v>
                </c:pt>
                <c:pt idx="140">
                  <c:v>3.2584207236873569E-7</c:v>
                </c:pt>
                <c:pt idx="141">
                  <c:v>2.5332310507163589E-7</c:v>
                </c:pt>
                <c:pt idx="142">
                  <c:v>1.8990695578254857E-7</c:v>
                </c:pt>
                <c:pt idx="143">
                  <c:v>1.355839527519479E-7</c:v>
                </c:pt>
                <c:pt idx="144">
                  <c:v>9.0344913427275905E-8</c:v>
                </c:pt>
                <c:pt idx="145">
                  <c:v>5.4179304000139995E-8</c:v>
                </c:pt>
                <c:pt idx="146">
                  <c:v>2.7075360920673401E-8</c:v>
                </c:pt>
                <c:pt idx="147">
                  <c:v>9.0202124149331352E-9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8.785378002194484E-9</c:v>
                </c:pt>
                <c:pt idx="198">
                  <c:v>2.6347189848531909E-8</c:v>
                </c:pt>
                <c:pt idx="199">
                  <c:v>5.2677257556354654E-8</c:v>
                </c:pt>
                <c:pt idx="200">
                  <c:v>8.7768221352605486E-8</c:v>
                </c:pt>
                <c:pt idx="201">
                  <c:v>1.316135917077382E-7</c:v>
                </c:pt>
                <c:pt idx="202">
                  <c:v>1.8420780136865756E-7</c:v>
                </c:pt>
                <c:pt idx="203">
                  <c:v>2.4554625739548376E-7</c:v>
                </c:pt>
                <c:pt idx="204">
                  <c:v>3.1562488351278569E-7</c:v>
                </c:pt>
                <c:pt idx="205">
                  <c:v>4.0126712922980275E-7</c:v>
                </c:pt>
                <c:pt idx="206">
                  <c:v>5.0246570305656957E-7</c:v>
                </c:pt>
                <c:pt idx="207">
                  <c:v>6.1921450604086991E-7</c:v>
                </c:pt>
                <c:pt idx="208">
                  <c:v>7.51508583407733E-7</c:v>
                </c:pt>
                <c:pt idx="209">
                  <c:v>8.9934407618797675E-7</c:v>
                </c:pt>
                <c:pt idx="210">
                  <c:v>1.0627181728710858E-6</c:v>
                </c:pt>
                <c:pt idx="211">
                  <c:v>1.2241177503217779E-6</c:v>
                </c:pt>
                <c:pt idx="212">
                  <c:v>1.3747948656861588E-6</c:v>
                </c:pt>
                <c:pt idx="213">
                  <c:v>1.5147590300532802E-6</c:v>
                </c:pt>
                <c:pt idx="214">
                  <c:v>1.6440188149393878E-6</c:v>
                </c:pt>
                <c:pt idx="215">
                  <c:v>1.7625818854901647E-6</c:v>
                </c:pt>
                <c:pt idx="216">
                  <c:v>1.8704550336789068E-6</c:v>
                </c:pt>
                <c:pt idx="217">
                  <c:v>1.9676442115120699E-6</c:v>
                </c:pt>
                <c:pt idx="218">
                  <c:v>2.0541545642252245E-6</c:v>
                </c:pt>
                <c:pt idx="219">
                  <c:v>2.1163621322863687E-6</c:v>
                </c:pt>
                <c:pt idx="220">
                  <c:v>2.1474589573036709E-6</c:v>
                </c:pt>
                <c:pt idx="221">
                  <c:v>2.1474503193829365E-6</c:v>
                </c:pt>
                <c:pt idx="222">
                  <c:v>2.1163397325807966E-6</c:v>
                </c:pt>
                <c:pt idx="223">
                  <c:v>2.0541290416693845E-6</c:v>
                </c:pt>
                <c:pt idx="224">
                  <c:v>1.9608185188486237E-6</c:v>
                </c:pt>
                <c:pt idx="225">
                  <c:v>1.845153902598174E-6</c:v>
                </c:pt>
                <c:pt idx="226">
                  <c:v>1.724626382813116E-6</c:v>
                </c:pt>
                <c:pt idx="227">
                  <c:v>1.5992326795384484E-6</c:v>
                </c:pt>
                <c:pt idx="228">
                  <c:v>1.4689694464784135E-6</c:v>
                </c:pt>
                <c:pt idx="229">
                  <c:v>1.3338332861418131E-6</c:v>
                </c:pt>
                <c:pt idx="230">
                  <c:v>1.1938207650155608E-6</c:v>
                </c:pt>
                <c:pt idx="231">
                  <c:v>1.0489284287383394E-6</c:v>
                </c:pt>
                <c:pt idx="232">
                  <c:v>8.9915281724802538E-7</c:v>
                </c:pt>
                <c:pt idx="233">
                  <c:v>1.0968201261514745E-6</c:v>
                </c:pt>
                <c:pt idx="234">
                  <c:v>1.6556070992989871E-6</c:v>
                </c:pt>
                <c:pt idx="235">
                  <c:v>2.5755766183922352E-6</c:v>
                </c:pt>
                <c:pt idx="236">
                  <c:v>3.8568068699417163E-6</c:v>
                </c:pt>
                <c:pt idx="237">
                  <c:v>5.499390474030036E-6</c:v>
                </c:pt>
                <c:pt idx="238">
                  <c:v>7.5034358287538203E-6</c:v>
                </c:pt>
                <c:pt idx="239">
                  <c:v>1.0047764968386828E-5</c:v>
                </c:pt>
                <c:pt idx="240">
                  <c:v>1.3123815022882718E-5</c:v>
                </c:pt>
                <c:pt idx="241">
                  <c:v>1.6731798952362916E-5</c:v>
                </c:pt>
                <c:pt idx="242">
                  <c:v>2.0871956008379679E-5</c:v>
                </c:pt>
                <c:pt idx="243">
                  <c:v>2.5544552671391858E-5</c:v>
                </c:pt>
                <c:pt idx="244">
                  <c:v>3.0749883588294077E-5</c:v>
                </c:pt>
                <c:pt idx="245">
                  <c:v>3.6488272509697811E-5</c:v>
                </c:pt>
                <c:pt idx="246">
                  <c:v>4.276007322692751E-5</c:v>
                </c:pt>
                <c:pt idx="247">
                  <c:v>4.984573009597928E-5</c:v>
                </c:pt>
                <c:pt idx="248">
                  <c:v>5.7392938748828972E-5</c:v>
                </c:pt>
                <c:pt idx="249">
                  <c:v>6.5402120617671689E-5</c:v>
                </c:pt>
                <c:pt idx="250">
                  <c:v>7.3873727155152703E-5</c:v>
                </c:pt>
                <c:pt idx="251">
                  <c:v>8.2808240645132901E-5</c:v>
                </c:pt>
                <c:pt idx="252">
                  <c:v>9.2206175010922358E-5</c:v>
                </c:pt>
                <c:pt idx="253">
                  <c:v>1.0288402806388798E-4</c:v>
                </c:pt>
                <c:pt idx="254">
                  <c:v>1.1466380181892234E-4</c:v>
                </c:pt>
                <c:pt idx="255">
                  <c:v>1.2754655485162249E-4</c:v>
                </c:pt>
                <c:pt idx="256">
                  <c:v>1.4153341992518813E-4</c:v>
                </c:pt>
                <c:pt idx="257">
                  <c:v>1.5662560592025353E-4</c:v>
                </c:pt>
                <c:pt idx="258">
                  <c:v>1.7282439976561986E-4</c:v>
                </c:pt>
                <c:pt idx="259">
                  <c:v>1.9013116837164669E-4</c:v>
                </c:pt>
                <c:pt idx="260">
                  <c:v>2.085473605588608E-4</c:v>
                </c:pt>
                <c:pt idx="261">
                  <c:v>2.2703747265224344E-4</c:v>
                </c:pt>
                <c:pt idx="262">
                  <c:v>2.453212159516421E-4</c:v>
                </c:pt>
                <c:pt idx="263">
                  <c:v>2.633990534007235E-4</c:v>
                </c:pt>
                <c:pt idx="264">
                  <c:v>2.8127145923263096E-4</c:v>
                </c:pt>
                <c:pt idx="265">
                  <c:v>2.9894051034498251E-4</c:v>
                </c:pt>
                <c:pt idx="266">
                  <c:v>3.1640782599142705E-4</c:v>
                </c:pt>
                <c:pt idx="267">
                  <c:v>3.3246467842812415E-4</c:v>
                </c:pt>
                <c:pt idx="268">
                  <c:v>3.4629049921728353E-4</c:v>
                </c:pt>
                <c:pt idx="269">
                  <c:v>3.5788299477740451E-4</c:v>
                </c:pt>
                <c:pt idx="270">
                  <c:v>3.6723958983590093E-4</c:v>
                </c:pt>
                <c:pt idx="271">
                  <c:v>3.7435745219203254E-4</c:v>
                </c:pt>
                <c:pt idx="272">
                  <c:v>3.7923351748919161E-4</c:v>
                </c:pt>
                <c:pt idx="273">
                  <c:v>3.8186451398264783E-4</c:v>
                </c:pt>
                <c:pt idx="274">
                  <c:v>3.8224698731223537E-4</c:v>
                </c:pt>
                <c:pt idx="275">
                  <c:v>3.8199513810294899E-4</c:v>
                </c:pt>
                <c:pt idx="276">
                  <c:v>3.8215088135296863E-4</c:v>
                </c:pt>
                <c:pt idx="277">
                  <c:v>3.8271439345847038E-4</c:v>
                </c:pt>
                <c:pt idx="278">
                  <c:v>3.8368586932251473E-4</c:v>
                </c:pt>
                <c:pt idx="279">
                  <c:v>3.8506551791431682E-4</c:v>
                </c:pt>
                <c:pt idx="280">
                  <c:v>3.8685355783213264E-4</c:v>
                </c:pt>
                <c:pt idx="281">
                  <c:v>3.905996279414265E-4</c:v>
                </c:pt>
                <c:pt idx="282">
                  <c:v>3.9752415779374688E-4</c:v>
                </c:pt>
                <c:pt idx="283">
                  <c:v>4.0763171552871575E-4</c:v>
                </c:pt>
                <c:pt idx="284">
                  <c:v>4.2092685851262499E-4</c:v>
                </c:pt>
                <c:pt idx="285">
                  <c:v>4.3741409861705317E-4</c:v>
                </c:pt>
                <c:pt idx="286">
                  <c:v>4.5709786750147886E-4</c:v>
                </c:pt>
                <c:pt idx="287">
                  <c:v>4.7998248189186338E-4</c:v>
                </c:pt>
                <c:pt idx="288">
                  <c:v>5.0607210886076273E-4</c:v>
                </c:pt>
                <c:pt idx="289">
                  <c:v>5.3453412388599145E-4</c:v>
                </c:pt>
                <c:pt idx="290">
                  <c:v>5.6374074079874761E-4</c:v>
                </c:pt>
                <c:pt idx="291">
                  <c:v>5.9369184542785221E-4</c:v>
                </c:pt>
                <c:pt idx="292">
                  <c:v>6.2438716406504281E-4</c:v>
                </c:pt>
                <c:pt idx="293">
                  <c:v>6.5582625562728505E-4</c:v>
                </c:pt>
                <c:pt idx="294">
                  <c:v>6.8800850381708532E-4</c:v>
                </c:pt>
                <c:pt idx="295">
                  <c:v>7.2011726136809973E-4</c:v>
                </c:pt>
                <c:pt idx="296">
                  <c:v>7.5059857791427535E-4</c:v>
                </c:pt>
                <c:pt idx="297">
                  <c:v>7.7945588813223927E-4</c:v>
                </c:pt>
                <c:pt idx="298">
                  <c:v>8.0668675762485644E-4</c:v>
                </c:pt>
                <c:pt idx="299">
                  <c:v>8.3228859169950497E-4</c:v>
                </c:pt>
                <c:pt idx="300">
                  <c:v>8.5625865066325118E-4</c:v>
                </c:pt>
                <c:pt idx="301">
                  <c:v>8.7859406511561506E-4</c:v>
                </c:pt>
                <c:pt idx="302">
                  <c:v>8.9929185124317977E-4</c:v>
                </c:pt>
                <c:pt idx="303">
                  <c:v>9.1966112415840622E-4</c:v>
                </c:pt>
                <c:pt idx="304">
                  <c:v>9.4054313681133175E-4</c:v>
                </c:pt>
                <c:pt idx="305">
                  <c:v>9.6193772805125432E-4</c:v>
                </c:pt>
                <c:pt idx="306">
                  <c:v>9.8384465872819482E-4</c:v>
                </c:pt>
                <c:pt idx="307">
                  <c:v>1.0062636071537661E-3</c:v>
                </c:pt>
                <c:pt idx="308">
                  <c:v>1.0291941645536613E-3</c:v>
                </c:pt>
                <c:pt idx="309">
                  <c:v>1.0537371795517328E-3</c:v>
                </c:pt>
                <c:pt idx="310">
                  <c:v>1.0807152361735298E-3</c:v>
                </c:pt>
                <c:pt idx="311">
                  <c:v>1.1101302222176008E-3</c:v>
                </c:pt>
                <c:pt idx="312">
                  <c:v>1.1419838349082171E-3</c:v>
                </c:pt>
                <c:pt idx="313">
                  <c:v>1.1762775587071922E-3</c:v>
                </c:pt>
                <c:pt idx="314">
                  <c:v>1.2130126431154466E-3</c:v>
                </c:pt>
                <c:pt idx="315">
                  <c:v>1.2521900804892147E-3</c:v>
                </c:pt>
                <c:pt idx="316">
                  <c:v>1.2938105838380201E-3</c:v>
                </c:pt>
                <c:pt idx="317">
                  <c:v>1.3370814725118486E-3</c:v>
                </c:pt>
                <c:pt idx="318">
                  <c:v>1.3806809812413536E-3</c:v>
                </c:pt>
                <c:pt idx="319">
                  <c:v>1.4246065482545198E-3</c:v>
                </c:pt>
                <c:pt idx="320">
                  <c:v>1.4688554284299344E-3</c:v>
                </c:pt>
                <c:pt idx="321">
                  <c:v>1.5134246904451633E-3</c:v>
                </c:pt>
                <c:pt idx="322">
                  <c:v>1.558311213932416E-3</c:v>
                </c:pt>
                <c:pt idx="323">
                  <c:v>1.6026225092401047E-3</c:v>
                </c:pt>
                <c:pt idx="324">
                  <c:v>1.6452465604588561E-3</c:v>
                </c:pt>
                <c:pt idx="325">
                  <c:v>1.6861780095127005E-3</c:v>
                </c:pt>
                <c:pt idx="326">
                  <c:v>1.7254007977199643E-3</c:v>
                </c:pt>
                <c:pt idx="327">
                  <c:v>1.762905293618512E-3</c:v>
                </c:pt>
                <c:pt idx="328">
                  <c:v>1.7986909181393312E-3</c:v>
                </c:pt>
                <c:pt idx="329">
                  <c:v>1.8327576681574E-3</c:v>
                </c:pt>
                <c:pt idx="330">
                  <c:v>1.865106081393584E-3</c:v>
                </c:pt>
                <c:pt idx="331">
                  <c:v>1.895529853482297E-3</c:v>
                </c:pt>
                <c:pt idx="332">
                  <c:v>1.9248265295768255E-3</c:v>
                </c:pt>
                <c:pt idx="333">
                  <c:v>1.952998213225773E-3</c:v>
                </c:pt>
                <c:pt idx="334">
                  <c:v>1.9800473552954467E-3</c:v>
                </c:pt>
                <c:pt idx="335">
                  <c:v>2.005976731147341E-3</c:v>
                </c:pt>
                <c:pt idx="336">
                  <c:v>2.0307894177902189E-3</c:v>
                </c:pt>
                <c:pt idx="337">
                  <c:v>2.0540113703622666E-3</c:v>
                </c:pt>
                <c:pt idx="338">
                  <c:v>2.0765371310942234E-3</c:v>
                </c:pt>
                <c:pt idx="339">
                  <c:v>2.0983705818442048E-3</c:v>
                </c:pt>
                <c:pt idx="340">
                  <c:v>2.1195158056014629E-3</c:v>
                </c:pt>
                <c:pt idx="341">
                  <c:v>2.139977072254903E-3</c:v>
                </c:pt>
                <c:pt idx="342">
                  <c:v>2.1597588243603828E-3</c:v>
                </c:pt>
                <c:pt idx="343">
                  <c:v>2.1788656628820781E-3</c:v>
                </c:pt>
                <c:pt idx="344">
                  <c:v>2.1973023329673268E-3</c:v>
                </c:pt>
                <c:pt idx="345">
                  <c:v>2.2150737096988679E-3</c:v>
                </c:pt>
                <c:pt idx="346">
                  <c:v>2.2314048464410637E-3</c:v>
                </c:pt>
                <c:pt idx="347">
                  <c:v>2.2463006800321761E-3</c:v>
                </c:pt>
                <c:pt idx="348">
                  <c:v>2.2597661665039936E-3</c:v>
                </c:pt>
                <c:pt idx="349">
                  <c:v>2.2718062506108892E-3</c:v>
                </c:pt>
                <c:pt idx="350">
                  <c:v>2.282425835411711E-3</c:v>
                </c:pt>
                <c:pt idx="351">
                  <c:v>2.290641836472563E-3</c:v>
                </c:pt>
                <c:pt idx="352">
                  <c:v>2.2969363601652161E-3</c:v>
                </c:pt>
                <c:pt idx="353">
                  <c:v>2.3013136450580822E-3</c:v>
                </c:pt>
                <c:pt idx="354">
                  <c:v>2.3037776753996489E-3</c:v>
                </c:pt>
                <c:pt idx="355">
                  <c:v>2.3043321399522083E-3</c:v>
                </c:pt>
                <c:pt idx="356">
                  <c:v>2.3029819824346653E-3</c:v>
                </c:pt>
                <c:pt idx="357">
                  <c:v>2.2997250461194167E-3</c:v>
                </c:pt>
                <c:pt idx="358">
                  <c:v>2.2945532749045617E-3</c:v>
                </c:pt>
                <c:pt idx="359">
                  <c:v>2.2874583180508604E-3</c:v>
                </c:pt>
                <c:pt idx="360">
                  <c:v>2.2779526341848914E-3</c:v>
                </c:pt>
                <c:pt idx="361">
                  <c:v>2.2670175921439381E-3</c:v>
                </c:pt>
                <c:pt idx="362">
                  <c:v>2.2546448839085857E-3</c:v>
                </c:pt>
                <c:pt idx="363">
                  <c:v>2.2408261643675374E-3</c:v>
                </c:pt>
                <c:pt idx="364">
                  <c:v>2.2255530889569108E-3</c:v>
                </c:pt>
                <c:pt idx="365" formatCode="0.0000">
                  <c:v>2.2088173512709712E-3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2.3815580668039901E-2</c:v>
                </c:pt>
                <c:pt idx="1">
                  <c:v>2.3593091965633049E-2</c:v>
                </c:pt>
                <c:pt idx="2">
                  <c:v>2.3329910981289836E-2</c:v>
                </c:pt>
                <c:pt idx="3">
                  <c:v>2.3025915882220128E-2</c:v>
                </c:pt>
                <c:pt idx="4">
                  <c:v>2.2680987002125105E-2</c:v>
                </c:pt>
                <c:pt idx="5">
                  <c:v>2.2295007877211725E-2</c:v>
                </c:pt>
                <c:pt idx="6">
                  <c:v>2.1867866282493074E-2</c:v>
                </c:pt>
                <c:pt idx="7">
                  <c:v>2.1399455267579179E-2</c:v>
                </c:pt>
                <c:pt idx="8">
                  <c:v>2.088967419279238E-2</c:v>
                </c:pt>
                <c:pt idx="9">
                  <c:v>2.0333634139030533E-2</c:v>
                </c:pt>
                <c:pt idx="10">
                  <c:v>1.974617105127098E-2</c:v>
                </c:pt>
                <c:pt idx="11">
                  <c:v>1.9127222298186239E-2</c:v>
                </c:pt>
                <c:pt idx="12">
                  <c:v>1.8476734571084962E-2</c:v>
                </c:pt>
                <c:pt idx="13">
                  <c:v>1.7794664662550808E-2</c:v>
                </c:pt>
                <c:pt idx="14">
                  <c:v>1.7080980244781045E-2</c:v>
                </c:pt>
                <c:pt idx="15">
                  <c:v>1.6348266370412964E-2</c:v>
                </c:pt>
                <c:pt idx="16">
                  <c:v>1.5622417864089621E-2</c:v>
                </c:pt>
                <c:pt idx="17">
                  <c:v>1.4903468514046888E-2</c:v>
                </c:pt>
                <c:pt idx="18">
                  <c:v>1.4191457979372348E-2</c:v>
                </c:pt>
                <c:pt idx="19">
                  <c:v>1.3486506818318734E-2</c:v>
                </c:pt>
                <c:pt idx="20">
                  <c:v>1.2788757718056995E-2</c:v>
                </c:pt>
                <c:pt idx="21">
                  <c:v>1.20982842761874E-2</c:v>
                </c:pt>
                <c:pt idx="22">
                  <c:v>1.1415155449696374E-2</c:v>
                </c:pt>
                <c:pt idx="23">
                  <c:v>1.0749986663678527E-2</c:v>
                </c:pt>
                <c:pt idx="24">
                  <c:v>1.0107654471746472E-2</c:v>
                </c:pt>
                <c:pt idx="25">
                  <c:v>9.4882164723850658E-3</c:v>
                </c:pt>
                <c:pt idx="26">
                  <c:v>8.8917243647670969E-3</c:v>
                </c:pt>
                <c:pt idx="27">
                  <c:v>8.3182242384337891E-3</c:v>
                </c:pt>
                <c:pt idx="28">
                  <c:v>7.7677568631780314E-3</c:v>
                </c:pt>
                <c:pt idx="29">
                  <c:v>7.2556674123083354E-3</c:v>
                </c:pt>
                <c:pt idx="30">
                  <c:v>6.7693591418498348E-3</c:v>
                </c:pt>
                <c:pt idx="31">
                  <c:v>6.3088577541812506E-3</c:v>
                </c:pt>
                <c:pt idx="32">
                  <c:v>5.8741846912058185E-3</c:v>
                </c:pt>
                <c:pt idx="33">
                  <c:v>5.4653574576532327E-3</c:v>
                </c:pt>
                <c:pt idx="34">
                  <c:v>5.0823899444092813E-3</c:v>
                </c:pt>
                <c:pt idx="35">
                  <c:v>4.725292751835408E-3</c:v>
                </c:pt>
                <c:pt idx="36">
                  <c:v>4.3940735130759984E-3</c:v>
                </c:pt>
                <c:pt idx="37">
                  <c:v>4.1026429742145529E-3</c:v>
                </c:pt>
                <c:pt idx="38">
                  <c:v>3.8404529833083226E-3</c:v>
                </c:pt>
                <c:pt idx="39">
                  <c:v>3.6075032308857105E-3</c:v>
                </c:pt>
                <c:pt idx="40">
                  <c:v>3.4037917838001461E-3</c:v>
                </c:pt>
                <c:pt idx="41">
                  <c:v>3.2293154505590371E-3</c:v>
                </c:pt>
                <c:pt idx="42">
                  <c:v>3.0840701466245571E-3</c:v>
                </c:pt>
                <c:pt idx="43">
                  <c:v>2.9710456152751484E-3</c:v>
                </c:pt>
                <c:pt idx="44">
                  <c:v>2.8749431980242537E-3</c:v>
                </c:pt>
                <c:pt idx="45">
                  <c:v>2.7957611472852286E-3</c:v>
                </c:pt>
                <c:pt idx="46">
                  <c:v>2.7334978151004022E-3</c:v>
                </c:pt>
                <c:pt idx="47">
                  <c:v>2.6881518645509631E-3</c:v>
                </c:pt>
                <c:pt idx="48">
                  <c:v>2.6597224811298853E-3</c:v>
                </c:pt>
                <c:pt idx="49">
                  <c:v>2.6482095841401372E-3</c:v>
                </c:pt>
                <c:pt idx="50">
                  <c:v>2.6536140380762313E-3</c:v>
                </c:pt>
                <c:pt idx="51">
                  <c:v>2.6763239003631759E-3</c:v>
                </c:pt>
                <c:pt idx="52">
                  <c:v>2.7024351966042511E-3</c:v>
                </c:pt>
                <c:pt idx="53">
                  <c:v>2.7319339598584156E-3</c:v>
                </c:pt>
                <c:pt idx="54">
                  <c:v>2.764819399969377E-3</c:v>
                </c:pt>
                <c:pt idx="55">
                  <c:v>2.8010907388448603E-3</c:v>
                </c:pt>
                <c:pt idx="56">
                  <c:v>2.8407471979542808E-3</c:v>
                </c:pt>
                <c:pt idx="57">
                  <c:v>2.8840736487658588E-3</c:v>
                </c:pt>
                <c:pt idx="58">
                  <c:v>2.928076213875547E-3</c:v>
                </c:pt>
                <c:pt idx="59">
                  <c:v>2.9727539879528561E-3</c:v>
                </c:pt>
                <c:pt idx="60">
                  <c:v>3.0181060041979848E-3</c:v>
                </c:pt>
                <c:pt idx="61">
                  <c:v>3.0641312318578622E-3</c:v>
                </c:pt>
                <c:pt idx="62">
                  <c:v>3.1108285737376142E-3</c:v>
                </c:pt>
                <c:pt idx="63">
                  <c:v>3.1581968637211938E-3</c:v>
                </c:pt>
                <c:pt idx="64">
                  <c:v>3.2062348642797342E-3</c:v>
                </c:pt>
                <c:pt idx="65">
                  <c:v>3.2504110009925844E-3</c:v>
                </c:pt>
                <c:pt idx="66">
                  <c:v>3.2903377906547395E-3</c:v>
                </c:pt>
                <c:pt idx="67">
                  <c:v>3.326013775426245E-3</c:v>
                </c:pt>
                <c:pt idx="68">
                  <c:v>3.3574374908739908E-3</c:v>
                </c:pt>
                <c:pt idx="69">
                  <c:v>3.3846074816637501E-3</c:v>
                </c:pt>
                <c:pt idx="70">
                  <c:v>3.4075223172675621E-3</c:v>
                </c:pt>
                <c:pt idx="71">
                  <c:v>3.4232816126320079E-3</c:v>
                </c:pt>
                <c:pt idx="72">
                  <c:v>3.431598487881373E-3</c:v>
                </c:pt>
                <c:pt idx="73">
                  <c:v>3.4324718911922653E-3</c:v>
                </c:pt>
                <c:pt idx="74">
                  <c:v>3.4259009491376122E-3</c:v>
                </c:pt>
                <c:pt idx="75">
                  <c:v>3.4118849941760245E-3</c:v>
                </c:pt>
                <c:pt idx="76">
                  <c:v>3.3904235921305139E-3</c:v>
                </c:pt>
                <c:pt idx="77">
                  <c:v>3.3615165696783238E-3</c:v>
                </c:pt>
                <c:pt idx="78">
                  <c:v>3.3251641522282524E-3</c:v>
                </c:pt>
                <c:pt idx="79">
                  <c:v>3.2844029939705422E-3</c:v>
                </c:pt>
                <c:pt idx="80">
                  <c:v>3.2437705199622304E-3</c:v>
                </c:pt>
                <c:pt idx="81">
                  <c:v>3.2032656929569347E-3</c:v>
                </c:pt>
                <c:pt idx="82">
                  <c:v>3.1628875272171381E-3</c:v>
                </c:pt>
                <c:pt idx="83">
                  <c:v>3.1226350881108865E-3</c:v>
                </c:pt>
                <c:pt idx="84">
                  <c:v>3.0825074917189815E-3</c:v>
                </c:pt>
                <c:pt idx="85">
                  <c:v>3.0435766770599321E-3</c:v>
                </c:pt>
                <c:pt idx="86">
                  <c:v>3.0087389613752992E-3</c:v>
                </c:pt>
                <c:pt idx="87">
                  <c:v>2.9779929318805684E-3</c:v>
                </c:pt>
                <c:pt idx="88">
                  <c:v>2.9513371611594882E-3</c:v>
                </c:pt>
                <c:pt idx="89">
                  <c:v>2.9287701940432041E-3</c:v>
                </c:pt>
                <c:pt idx="90">
                  <c:v>2.9102905344832852E-3</c:v>
                </c:pt>
                <c:pt idx="91">
                  <c:v>2.8958966324358964E-3</c:v>
                </c:pt>
                <c:pt idx="92">
                  <c:v>2.8855868707380566E-3</c:v>
                </c:pt>
                <c:pt idx="93">
                  <c:v>2.8713938788929613E-3</c:v>
                </c:pt>
                <c:pt idx="94">
                  <c:v>2.8502971641818269E-3</c:v>
                </c:pt>
                <c:pt idx="95">
                  <c:v>2.8222977903547566E-3</c:v>
                </c:pt>
                <c:pt idx="96">
                  <c:v>2.787397053480958E-3</c:v>
                </c:pt>
                <c:pt idx="97">
                  <c:v>2.7455965040649975E-3</c:v>
                </c:pt>
                <c:pt idx="98">
                  <c:v>2.6968979691377589E-3</c:v>
                </c:pt>
                <c:pt idx="99">
                  <c:v>2.6359057239935032E-3</c:v>
                </c:pt>
                <c:pt idx="100">
                  <c:v>2.5615525977902018E-3</c:v>
                </c:pt>
                <c:pt idx="101">
                  <c:v>2.4738438632209057E-3</c:v>
                </c:pt>
                <c:pt idx="102">
                  <c:v>2.3727854408895771E-3</c:v>
                </c:pt>
                <c:pt idx="103">
                  <c:v>2.2583839421394126E-3</c:v>
                </c:pt>
                <c:pt idx="104">
                  <c:v>2.130646711938028E-3</c:v>
                </c:pt>
                <c:pt idx="105">
                  <c:v>1.989581871709771E-3</c:v>
                </c:pt>
                <c:pt idx="106">
                  <c:v>1.8351983621964817E-3</c:v>
                </c:pt>
                <c:pt idx="107">
                  <c:v>1.6748217032856794E-3</c:v>
                </c:pt>
                <c:pt idx="108">
                  <c:v>1.5164093857459289E-3</c:v>
                </c:pt>
                <c:pt idx="109">
                  <c:v>1.3599642312767393E-3</c:v>
                </c:pt>
                <c:pt idx="110">
                  <c:v>1.2054925886330972E-3</c:v>
                </c:pt>
                <c:pt idx="111">
                  <c:v>1.0529992315187768E-3</c:v>
                </c:pt>
                <c:pt idx="112">
                  <c:v>9.0248475334536477E-4</c:v>
                </c:pt>
                <c:pt idx="113">
                  <c:v>7.5996058027796571E-4</c:v>
                </c:pt>
                <c:pt idx="114">
                  <c:v>6.3080786263091531E-4</c:v>
                </c:pt>
                <c:pt idx="115">
                  <c:v>5.1501984674473577E-4</c:v>
                </c:pt>
                <c:pt idx="116">
                  <c:v>4.1258947619574591E-4</c:v>
                </c:pt>
                <c:pt idx="117">
                  <c:v>3.2350936268240839E-4</c:v>
                </c:pt>
                <c:pt idx="118">
                  <c:v>2.4777175690489606E-4</c:v>
                </c:pt>
                <c:pt idx="119">
                  <c:v>1.85368519446757E-4</c:v>
                </c:pt>
                <c:pt idx="120">
                  <c:v>1.3629109165630012E-4</c:v>
                </c:pt>
                <c:pt idx="121">
                  <c:v>1.0048977193635226E-4</c:v>
                </c:pt>
                <c:pt idx="122">
                  <c:v>7.0663526288577725E-5</c:v>
                </c:pt>
                <c:pt idx="123">
                  <c:v>4.6808267842343292E-5</c:v>
                </c:pt>
                <c:pt idx="124">
                  <c:v>2.8919686891989247E-5</c:v>
                </c:pt>
                <c:pt idx="125">
                  <c:v>1.6993237844430991E-5</c:v>
                </c:pt>
                <c:pt idx="126">
                  <c:v>1.1024126165920554E-5</c:v>
                </c:pt>
                <c:pt idx="127">
                  <c:v>1.1035138715794116E-5</c:v>
                </c:pt>
                <c:pt idx="128">
                  <c:v>1.1033275269040912E-5</c:v>
                </c:pt>
                <c:pt idx="129">
                  <c:v>1.1018545125962093E-5</c:v>
                </c:pt>
                <c:pt idx="130">
                  <c:v>1.0990958221541918E-5</c:v>
                </c:pt>
                <c:pt idx="131">
                  <c:v>1.0950525153380163E-5</c:v>
                </c:pt>
                <c:pt idx="132">
                  <c:v>1.0897257209731376E-5</c:v>
                </c:pt>
                <c:pt idx="133">
                  <c:v>1.0831166397612733E-5</c:v>
                </c:pt>
                <c:pt idx="134">
                  <c:v>1.0752265470854322E-5</c:v>
                </c:pt>
                <c:pt idx="135">
                  <c:v>1.0604273841926754E-5</c:v>
                </c:pt>
                <c:pt idx="136">
                  <c:v>1.042777145133636E-5</c:v>
                </c:pt>
                <c:pt idx="137">
                  <c:v>1.0222793584503775E-5</c:v>
                </c:pt>
                <c:pt idx="138">
                  <c:v>9.9893774027963876E-6</c:v>
                </c:pt>
                <c:pt idx="139">
                  <c:v>9.7275620065373809E-6</c:v>
                </c:pt>
                <c:pt idx="140">
                  <c:v>9.437388497443972E-6</c:v>
                </c:pt>
                <c:pt idx="141">
                  <c:v>9.1189000415870833E-6</c:v>
                </c:pt>
                <c:pt idx="142">
                  <c:v>8.7444052452239233E-6</c:v>
                </c:pt>
                <c:pt idx="143">
                  <c:v>8.3139593476948715E-6</c:v>
                </c:pt>
                <c:pt idx="144">
                  <c:v>7.8276794518623385E-6</c:v>
                </c:pt>
                <c:pt idx="145">
                  <c:v>7.2856869452458284E-6</c:v>
                </c:pt>
                <c:pt idx="146">
                  <c:v>6.6881067456284516E-6</c:v>
                </c:pt>
                <c:pt idx="147">
                  <c:v>6.0350665469279742E-6</c:v>
                </c:pt>
                <c:pt idx="148">
                  <c:v>5.3266960648763101E-6</c:v>
                </c:pt>
                <c:pt idx="149">
                  <c:v>4.6138276858865785E-6</c:v>
                </c:pt>
                <c:pt idx="150">
                  <c:v>3.9523973790304461E-6</c:v>
                </c:pt>
                <c:pt idx="151">
                  <c:v>3.3423443774728609E-6</c:v>
                </c:pt>
                <c:pt idx="152">
                  <c:v>2.7836012678731944E-6</c:v>
                </c:pt>
                <c:pt idx="153">
                  <c:v>2.2760946741685168E-6</c:v>
                </c:pt>
                <c:pt idx="154">
                  <c:v>1.819745941379442E-6</c:v>
                </c:pt>
                <c:pt idx="155">
                  <c:v>1.4144718194160917E-6</c:v>
                </c:pt>
                <c:pt idx="156">
                  <c:v>1.0601851468597947E-6</c:v>
                </c:pt>
                <c:pt idx="157">
                  <c:v>7.5679553476548167E-7</c:v>
                </c:pt>
                <c:pt idx="158">
                  <c:v>5.0421005046365187E-7</c:v>
                </c:pt>
                <c:pt idx="159">
                  <c:v>3.0233390135374541E-7</c:v>
                </c:pt>
                <c:pt idx="160">
                  <c:v>1.5107111870585558E-7</c:v>
                </c:pt>
                <c:pt idx="161">
                  <c:v>5.0325241455107841E-8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4.9731262889537042E-8</c:v>
                </c:pt>
                <c:pt idx="184">
                  <c:v>1.4912250115248808E-7</c:v>
                </c:pt>
                <c:pt idx="185">
                  <c:v>2.9810427913894042E-7</c:v>
                </c:pt>
                <c:pt idx="186">
                  <c:v>4.9660930587140454E-7</c:v>
                </c:pt>
                <c:pt idx="187">
                  <c:v>7.4457272785005441E-7</c:v>
                </c:pt>
                <c:pt idx="188">
                  <c:v>1.0419324218675613E-6</c:v>
                </c:pt>
                <c:pt idx="189">
                  <c:v>1.3886292878016516E-6</c:v>
                </c:pt>
                <c:pt idx="190">
                  <c:v>1.7846075414418691E-6</c:v>
                </c:pt>
                <c:pt idx="191">
                  <c:v>2.229815007278782E-6</c:v>
                </c:pt>
                <c:pt idx="192">
                  <c:v>2.7242034113078654E-6</c:v>
                </c:pt>
                <c:pt idx="193">
                  <c:v>3.2677286738723827E-6</c:v>
                </c:pt>
                <c:pt idx="194">
                  <c:v>3.8603512024127703E-6</c:v>
                </c:pt>
                <c:pt idx="195">
                  <c:v>4.5020361843398629E-6</c:v>
                </c:pt>
                <c:pt idx="196">
                  <c:v>5.1927538797923321E-6</c:v>
                </c:pt>
                <c:pt idx="197">
                  <c:v>5.877948150687078E-6</c:v>
                </c:pt>
                <c:pt idx="198">
                  <c:v>6.5082352427580144E-6</c:v>
                </c:pt>
                <c:pt idx="199">
                  <c:v>7.083701327885151E-6</c:v>
                </c:pt>
                <c:pt idx="200">
                  <c:v>7.6044292561232058E-6</c:v>
                </c:pt>
                <c:pt idx="201">
                  <c:v>8.07049823266438E-6</c:v>
                </c:pt>
                <c:pt idx="202">
                  <c:v>8.4819834948208773E-6</c:v>
                </c:pt>
                <c:pt idx="203">
                  <c:v>8.838955989198242E-6</c:v>
                </c:pt>
                <c:pt idx="204">
                  <c:v>9.1414672866426919E-6</c:v>
                </c:pt>
                <c:pt idx="205">
                  <c:v>9.4163944032981872E-6</c:v>
                </c:pt>
                <c:pt idx="206">
                  <c:v>9.6637653408807319E-6</c:v>
                </c:pt>
                <c:pt idx="207">
                  <c:v>9.8836054608054983E-6</c:v>
                </c:pt>
                <c:pt idx="208">
                  <c:v>1.0075937569730888E-5</c:v>
                </c:pt>
                <c:pt idx="209">
                  <c:v>1.0240782004946126E-5</c:v>
                </c:pt>
                <c:pt idx="210">
                  <c:v>1.037815672009434E-5</c:v>
                </c:pt>
                <c:pt idx="211">
                  <c:v>1.0448961685267079E-5</c:v>
                </c:pt>
                <c:pt idx="212">
                  <c:v>1.0507566428556834E-5</c:v>
                </c:pt>
                <c:pt idx="213">
                  <c:v>1.0553975025188874E-5</c:v>
                </c:pt>
                <c:pt idx="214">
                  <c:v>1.058819060986386E-5</c:v>
                </c:pt>
                <c:pt idx="215">
                  <c:v>1.0610215415008805E-5</c:v>
                </c:pt>
                <c:pt idx="216">
                  <c:v>1.0620050808990329E-5</c:v>
                </c:pt>
                <c:pt idx="217">
                  <c:v>1.0617697334368574E-5</c:v>
                </c:pt>
                <c:pt idx="218">
                  <c:v>1.0603154746091465E-5</c:v>
                </c:pt>
                <c:pt idx="219">
                  <c:v>1.6338537738538094E-5</c:v>
                </c:pt>
                <c:pt idx="220">
                  <c:v>2.7796126089209904E-5</c:v>
                </c:pt>
                <c:pt idx="221">
                  <c:v>4.4975310816849908E-5</c:v>
                </c:pt>
                <c:pt idx="222">
                  <c:v>6.7875786279410568E-5</c:v>
                </c:pt>
                <c:pt idx="223">
                  <c:v>9.649753238942315E-5</c:v>
                </c:pt>
                <c:pt idx="224">
                  <c:v>1.308407968288424E-4</c:v>
                </c:pt>
                <c:pt idx="225">
                  <c:v>1.7790960913312206E-4</c:v>
                </c:pt>
                <c:pt idx="226">
                  <c:v>2.3774372221245337E-4</c:v>
                </c:pt>
                <c:pt idx="227">
                  <c:v>3.1034434201241128E-4</c:v>
                </c:pt>
                <c:pt idx="228">
                  <c:v>3.9571316572611492E-4</c:v>
                </c:pt>
                <c:pt idx="229">
                  <c:v>4.9385234211607866E-4</c:v>
                </c:pt>
                <c:pt idx="230">
                  <c:v>6.0476443183915237E-4</c:v>
                </c:pt>
                <c:pt idx="231">
                  <c:v>7.2845236777612844E-4</c:v>
                </c:pt>
                <c:pt idx="232">
                  <c:v>8.6491941534896325E-4</c:v>
                </c:pt>
                <c:pt idx="233">
                  <c:v>1.009006589193763E-3</c:v>
                </c:pt>
                <c:pt idx="234">
                  <c:v>1.1549546556625218E-3</c:v>
                </c:pt>
                <c:pt idx="235">
                  <c:v>1.3027668552566792E-3</c:v>
                </c:pt>
                <c:pt idx="236">
                  <c:v>1.4524472559139547E-3</c:v>
                </c:pt>
                <c:pt idx="237">
                  <c:v>1.6039994534115315E-3</c:v>
                </c:pt>
                <c:pt idx="238">
                  <c:v>1.7574272250236549E-3</c:v>
                </c:pt>
                <c:pt idx="239">
                  <c:v>1.9051174703244166E-3</c:v>
                </c:pt>
                <c:pt idx="240">
                  <c:v>2.0400642113281003E-3</c:v>
                </c:pt>
                <c:pt idx="241">
                  <c:v>2.1622673686668959E-3</c:v>
                </c:pt>
                <c:pt idx="242">
                  <c:v>2.2717263776579652E-3</c:v>
                </c:pt>
                <c:pt idx="243">
                  <c:v>2.3684401657649056E-3</c:v>
                </c:pt>
                <c:pt idx="244">
                  <c:v>2.4524071300509286E-3</c:v>
                </c:pt>
                <c:pt idx="245">
                  <c:v>2.5236251146065363E-3</c:v>
                </c:pt>
                <c:pt idx="246">
                  <c:v>2.582091387969779E-3</c:v>
                </c:pt>
                <c:pt idx="247">
                  <c:v>2.6288288748413892E-3</c:v>
                </c:pt>
                <c:pt idx="248">
                  <c:v>2.6690042771434115E-3</c:v>
                </c:pt>
                <c:pt idx="249">
                  <c:v>2.7026160610041086E-3</c:v>
                </c:pt>
                <c:pt idx="250">
                  <c:v>2.7296623653779491E-3</c:v>
                </c:pt>
                <c:pt idx="251">
                  <c:v>2.7501409904842808E-3</c:v>
                </c:pt>
                <c:pt idx="252">
                  <c:v>2.7640493861314178E-3</c:v>
                </c:pt>
                <c:pt idx="253">
                  <c:v>2.7742791003349679E-3</c:v>
                </c:pt>
                <c:pt idx="254">
                  <c:v>2.7884625595655369E-3</c:v>
                </c:pt>
                <c:pt idx="255">
                  <c:v>2.8066031291561506E-3</c:v>
                </c:pt>
                <c:pt idx="256">
                  <c:v>2.8287044197910049E-3</c:v>
                </c:pt>
                <c:pt idx="257">
                  <c:v>2.8547702943890418E-3</c:v>
                </c:pt>
                <c:pt idx="258">
                  <c:v>2.8848048750139974E-3</c:v>
                </c:pt>
                <c:pt idx="259">
                  <c:v>2.918812549824647E-3</c:v>
                </c:pt>
                <c:pt idx="260">
                  <c:v>2.9567979799378866E-3</c:v>
                </c:pt>
                <c:pt idx="261">
                  <c:v>2.9959859051271287E-3</c:v>
                </c:pt>
                <c:pt idx="262">
                  <c:v>3.0353494288132762E-3</c:v>
                </c:pt>
                <c:pt idx="263">
                  <c:v>3.0748904863834789E-3</c:v>
                </c:pt>
                <c:pt idx="264">
                  <c:v>3.1146111980185605E-3</c:v>
                </c:pt>
                <c:pt idx="265">
                  <c:v>3.154530630576676E-3</c:v>
                </c:pt>
                <c:pt idx="266">
                  <c:v>3.1946603505711556E-3</c:v>
                </c:pt>
                <c:pt idx="267">
                  <c:v>3.2306461294946114E-3</c:v>
                </c:pt>
                <c:pt idx="268">
                  <c:v>3.2595745889806254E-3</c:v>
                </c:pt>
                <c:pt idx="269">
                  <c:v>3.2814352365601526E-3</c:v>
                </c:pt>
                <c:pt idx="270">
                  <c:v>3.2962167550496316E-3</c:v>
                </c:pt>
                <c:pt idx="271">
                  <c:v>3.3039070811348545E-3</c:v>
                </c:pt>
                <c:pt idx="272">
                  <c:v>3.3044934840444594E-3</c:v>
                </c:pt>
                <c:pt idx="273">
                  <c:v>3.2979626441820421E-3</c:v>
                </c:pt>
                <c:pt idx="274">
                  <c:v>3.284300731801611E-3</c:v>
                </c:pt>
                <c:pt idx="275">
                  <c:v>3.2637689634421475E-3</c:v>
                </c:pt>
                <c:pt idx="276">
                  <c:v>3.2391500493616551E-3</c:v>
                </c:pt>
                <c:pt idx="277">
                  <c:v>3.2104337150396798E-3</c:v>
                </c:pt>
                <c:pt idx="278">
                  <c:v>3.177609615183782E-3</c:v>
                </c:pt>
                <c:pt idx="279">
                  <c:v>3.1406673786541963E-3</c:v>
                </c:pt>
                <c:pt idx="280">
                  <c:v>3.0995966534184097E-3</c:v>
                </c:pt>
                <c:pt idx="281">
                  <c:v>3.0547605554006843E-3</c:v>
                </c:pt>
                <c:pt idx="282">
                  <c:v>3.0105336188001827E-3</c:v>
                </c:pt>
                <c:pt idx="283">
                  <c:v>2.9669132815031973E-3</c:v>
                </c:pt>
                <c:pt idx="284">
                  <c:v>2.9238971857153315E-3</c:v>
                </c:pt>
                <c:pt idx="285">
                  <c:v>2.8814831708408564E-3</c:v>
                </c:pt>
                <c:pt idx="286">
                  <c:v>2.8396692663899895E-3</c:v>
                </c:pt>
                <c:pt idx="287">
                  <c:v>2.7984536848568629E-3</c:v>
                </c:pt>
                <c:pt idx="288">
                  <c:v>2.7578348146088862E-3</c:v>
                </c:pt>
                <c:pt idx="289">
                  <c:v>2.7207183640619772E-3</c:v>
                </c:pt>
                <c:pt idx="290">
                  <c:v>2.6868298070108708E-3</c:v>
                </c:pt>
                <c:pt idx="291">
                  <c:v>2.6561718365280566E-3</c:v>
                </c:pt>
                <c:pt idx="292">
                  <c:v>2.6287471467663745E-3</c:v>
                </c:pt>
                <c:pt idx="293">
                  <c:v>2.6045583971938875E-3</c:v>
                </c:pt>
                <c:pt idx="294">
                  <c:v>2.5836081768181602E-3</c:v>
                </c:pt>
                <c:pt idx="295">
                  <c:v>2.5794316065075821E-3</c:v>
                </c:pt>
                <c:pt idx="296">
                  <c:v>2.5917039961964438E-3</c:v>
                </c:pt>
                <c:pt idx="297">
                  <c:v>2.6204667749688947E-3</c:v>
                </c:pt>
                <c:pt idx="298">
                  <c:v>2.6657405883723645E-3</c:v>
                </c:pt>
                <c:pt idx="299">
                  <c:v>2.7275465265793209E-3</c:v>
                </c:pt>
                <c:pt idx="300">
                  <c:v>2.8059059723914612E-3</c:v>
                </c:pt>
                <c:pt idx="301">
                  <c:v>2.9008404492358547E-3</c:v>
                </c:pt>
                <c:pt idx="302">
                  <c:v>3.0123714691672205E-3</c:v>
                </c:pt>
                <c:pt idx="303">
                  <c:v>3.1554675917962022E-3</c:v>
                </c:pt>
                <c:pt idx="304">
                  <c:v>3.3272434453515132E-3</c:v>
                </c:pt>
                <c:pt idx="305">
                  <c:v>3.527736734704634E-3</c:v>
                </c:pt>
                <c:pt idx="306">
                  <c:v>3.7569843791061056E-3</c:v>
                </c:pt>
                <c:pt idx="307">
                  <c:v>4.0150222495180616E-3</c:v>
                </c:pt>
                <c:pt idx="308">
                  <c:v>4.3018849059140536E-3</c:v>
                </c:pt>
                <c:pt idx="309">
                  <c:v>4.6279378084915848E-3</c:v>
                </c:pt>
                <c:pt idx="310">
                  <c:v>4.9795986199569868E-3</c:v>
                </c:pt>
                <c:pt idx="311">
                  <c:v>5.3568917446081615E-3</c:v>
                </c:pt>
                <c:pt idx="312">
                  <c:v>5.7598393261561708E-3</c:v>
                </c:pt>
                <c:pt idx="313">
                  <c:v>6.1884610152667463E-3</c:v>
                </c:pt>
                <c:pt idx="314">
                  <c:v>6.6427737370515711E-3</c:v>
                </c:pt>
                <c:pt idx="315">
                  <c:v>7.1227914586354845E-3</c:v>
                </c:pt>
                <c:pt idx="316">
                  <c:v>7.6285249566275483E-3</c:v>
                </c:pt>
                <c:pt idx="317">
                  <c:v>8.1723872348183103E-3</c:v>
                </c:pt>
                <c:pt idx="318">
                  <c:v>8.7393493563943294E-3</c:v>
                </c:pt>
                <c:pt idx="319">
                  <c:v>9.3294077196461201E-3</c:v>
                </c:pt>
                <c:pt idx="320">
                  <c:v>9.9425547837994309E-3</c:v>
                </c:pt>
                <c:pt idx="321">
                  <c:v>1.0578778860667944E-2</c:v>
                </c:pt>
                <c:pt idx="322">
                  <c:v>1.1238063906362998E-2</c:v>
                </c:pt>
                <c:pt idx="323">
                  <c:v>1.1915649200018259E-2</c:v>
                </c:pt>
                <c:pt idx="324">
                  <c:v>1.260111281611543E-2</c:v>
                </c:pt>
                <c:pt idx="325">
                  <c:v>1.3294411720945113E-2</c:v>
                </c:pt>
                <c:pt idx="326">
                  <c:v>1.399541229592275E-2</c:v>
                </c:pt>
                <c:pt idx="327">
                  <c:v>1.4704020677579446E-2</c:v>
                </c:pt>
                <c:pt idx="328">
                  <c:v>1.5420212151770684E-2</c:v>
                </c:pt>
                <c:pt idx="329">
                  <c:v>1.6143966660631583E-2</c:v>
                </c:pt>
                <c:pt idx="330">
                  <c:v>1.687526896268822E-2</c:v>
                </c:pt>
                <c:pt idx="331">
                  <c:v>1.7588541317776613E-2</c:v>
                </c:pt>
                <c:pt idx="332">
                  <c:v>1.8271318521252369E-2</c:v>
                </c:pt>
                <c:pt idx="333">
                  <c:v>1.8923592759687455E-2</c:v>
                </c:pt>
                <c:pt idx="334">
                  <c:v>1.9545364788506284E-2</c:v>
                </c:pt>
                <c:pt idx="335">
                  <c:v>2.0136643301553198E-2</c:v>
                </c:pt>
                <c:pt idx="336">
                  <c:v>2.0697444300418102E-2</c:v>
                </c:pt>
                <c:pt idx="337">
                  <c:v>2.1213013221315122E-2</c:v>
                </c:pt>
                <c:pt idx="338">
                  <c:v>2.1688127179391004E-2</c:v>
                </c:pt>
                <c:pt idx="339">
                  <c:v>2.2122819750573182E-2</c:v>
                </c:pt>
                <c:pt idx="340">
                  <c:v>2.2517129299104304E-2</c:v>
                </c:pt>
                <c:pt idx="341">
                  <c:v>2.2871098138538319E-2</c:v>
                </c:pt>
                <c:pt idx="342">
                  <c:v>2.3184771692727493E-2</c:v>
                </c:pt>
                <c:pt idx="343">
                  <c:v>2.3458197656530996E-2</c:v>
                </c:pt>
                <c:pt idx="344">
                  <c:v>2.3691425156880684E-2</c:v>
                </c:pt>
                <c:pt idx="345">
                  <c:v>2.3884503913605536E-2</c:v>
                </c:pt>
                <c:pt idx="346">
                  <c:v>2.4056176705031265E-2</c:v>
                </c:pt>
                <c:pt idx="347">
                  <c:v>2.4206495644175121E-2</c:v>
                </c:pt>
                <c:pt idx="348">
                  <c:v>2.4335512550496805E-2</c:v>
                </c:pt>
                <c:pt idx="349">
                  <c:v>2.4443278499186184E-2</c:v>
                </c:pt>
                <c:pt idx="350">
                  <c:v>2.4529843371019808E-2</c:v>
                </c:pt>
                <c:pt idx="351">
                  <c:v>2.4588360780386693E-2</c:v>
                </c:pt>
                <c:pt idx="352">
                  <c:v>2.4633664767082182E-2</c:v>
                </c:pt>
                <c:pt idx="353">
                  <c:v>2.4665802784043303E-2</c:v>
                </c:pt>
                <c:pt idx="354">
                  <c:v>2.4684820509519975E-2</c:v>
                </c:pt>
                <c:pt idx="355">
                  <c:v>2.4690761559346505E-2</c:v>
                </c:pt>
                <c:pt idx="356">
                  <c:v>2.4683684258303192E-2</c:v>
                </c:pt>
                <c:pt idx="357">
                  <c:v>2.4663572236931053E-2</c:v>
                </c:pt>
                <c:pt idx="358">
                  <c:v>2.4630347204368346E-2</c:v>
                </c:pt>
                <c:pt idx="359">
                  <c:v>2.4583928813355083E-2</c:v>
                </c:pt>
                <c:pt idx="360">
                  <c:v>2.4509409915728315E-2</c:v>
                </c:pt>
                <c:pt idx="361">
                  <c:v>2.4413603444274044E-2</c:v>
                </c:pt>
                <c:pt idx="362">
                  <c:v>2.4296414120621265E-2</c:v>
                </c:pt>
                <c:pt idx="363">
                  <c:v>2.4157745404765431E-2</c:v>
                </c:pt>
                <c:pt idx="364">
                  <c:v>2.3997500051749818E-2</c:v>
                </c:pt>
                <c:pt idx="365">
                  <c:v>2.3815580668039901E-2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5.7043863042312667E-2</c:v>
                </c:pt>
                <c:pt idx="1">
                  <c:v>5.6999903527820583E-2</c:v>
                </c:pt>
                <c:pt idx="2">
                  <c:v>5.6912183241736553E-2</c:v>
                </c:pt>
                <c:pt idx="3">
                  <c:v>5.6780492249095288E-2</c:v>
                </c:pt>
                <c:pt idx="4">
                  <c:v>5.6604621100304668E-2</c:v>
                </c:pt>
                <c:pt idx="5">
                  <c:v>5.6384361954427011E-2</c:v>
                </c:pt>
                <c:pt idx="6">
                  <c:v>5.6119509703181719E-2</c:v>
                </c:pt>
                <c:pt idx="7">
                  <c:v>5.5809863093674035E-2</c:v>
                </c:pt>
                <c:pt idx="8">
                  <c:v>5.5455225851920607E-2</c:v>
                </c:pt>
                <c:pt idx="9">
                  <c:v>5.5029060502132424E-2</c:v>
                </c:pt>
                <c:pt idx="10">
                  <c:v>5.4538743386226697E-2</c:v>
                </c:pt>
                <c:pt idx="11">
                  <c:v>5.3984077871101412E-2</c:v>
                </c:pt>
                <c:pt idx="12">
                  <c:v>5.3364879252562419E-2</c:v>
                </c:pt>
                <c:pt idx="13">
                  <c:v>5.2680976355764159E-2</c:v>
                </c:pt>
                <c:pt idx="14">
                  <c:v>5.1932213134753089E-2</c:v>
                </c:pt>
                <c:pt idx="15">
                  <c:v>5.107858629720604E-2</c:v>
                </c:pt>
                <c:pt idx="16">
                  <c:v>5.015662524490986E-2</c:v>
                </c:pt>
                <c:pt idx="17">
                  <c:v>4.9166230273130523E-2</c:v>
                </c:pt>
                <c:pt idx="18">
                  <c:v>4.8107324274376695E-2</c:v>
                </c:pt>
                <c:pt idx="19">
                  <c:v>4.6980116469200972E-2</c:v>
                </c:pt>
                <c:pt idx="20">
                  <c:v>4.5784930727703177E-2</c:v>
                </c:pt>
                <c:pt idx="21">
                  <c:v>4.4521883113153256E-2</c:v>
                </c:pt>
                <c:pt idx="22">
                  <c:v>4.3191093345827443E-2</c:v>
                </c:pt>
                <c:pt idx="23">
                  <c:v>4.174776502572719E-2</c:v>
                </c:pt>
                <c:pt idx="24">
                  <c:v>4.0218461640453604E-2</c:v>
                </c:pt>
                <c:pt idx="25">
                  <c:v>3.8603308426062674E-2</c:v>
                </c:pt>
                <c:pt idx="26">
                  <c:v>3.6902432776565373E-2</c:v>
                </c:pt>
                <c:pt idx="27">
                  <c:v>3.5115963182695213E-2</c:v>
                </c:pt>
                <c:pt idx="28">
                  <c:v>3.3244028171501912E-2</c:v>
                </c:pt>
                <c:pt idx="29">
                  <c:v>3.1343389394028066E-2</c:v>
                </c:pt>
                <c:pt idx="30">
                  <c:v>2.9454098529984731E-2</c:v>
                </c:pt>
                <c:pt idx="31">
                  <c:v>2.7576265478345279E-2</c:v>
                </c:pt>
                <c:pt idx="32">
                  <c:v>2.5709989865981952E-2</c:v>
                </c:pt>
                <c:pt idx="33">
                  <c:v>2.3855361193969152E-2</c:v>
                </c:pt>
                <c:pt idx="34">
                  <c:v>2.2012458984009317E-2</c:v>
                </c:pt>
                <c:pt idx="35">
                  <c:v>2.0181352924814513E-2</c:v>
                </c:pt>
                <c:pt idx="36">
                  <c:v>1.836210301843191E-2</c:v>
                </c:pt>
                <c:pt idx="37">
                  <c:v>1.6634901027755319E-2</c:v>
                </c:pt>
                <c:pt idx="38">
                  <c:v>1.5044670191990869E-2</c:v>
                </c:pt>
                <c:pt idx="39">
                  <c:v>1.3591408700330194E-2</c:v>
                </c:pt>
                <c:pt idx="40">
                  <c:v>1.2275105324401169E-2</c:v>
                </c:pt>
                <c:pt idx="41">
                  <c:v>1.1095741128680755E-2</c:v>
                </c:pt>
                <c:pt idx="42">
                  <c:v>1.005329118079327E-2</c:v>
                </c:pt>
                <c:pt idx="43">
                  <c:v>9.171096651380049E-3</c:v>
                </c:pt>
                <c:pt idx="44">
                  <c:v>8.392546149156084E-3</c:v>
                </c:pt>
                <c:pt idx="45">
                  <c:v>7.7176148812081692E-3</c:v>
                </c:pt>
                <c:pt idx="46">
                  <c:v>7.1462777105633403E-3</c:v>
                </c:pt>
                <c:pt idx="47">
                  <c:v>6.6785104510201972E-3</c:v>
                </c:pt>
                <c:pt idx="48">
                  <c:v>6.3142911618758561E-3</c:v>
                </c:pt>
                <c:pt idx="49">
                  <c:v>6.0536014427222864E-3</c:v>
                </c:pt>
                <c:pt idx="50">
                  <c:v>5.8964277282001747E-3</c:v>
                </c:pt>
                <c:pt idx="51">
                  <c:v>5.8487160683116249E-3</c:v>
                </c:pt>
                <c:pt idx="52">
                  <c:v>5.8303694220487381E-3</c:v>
                </c:pt>
                <c:pt idx="53">
                  <c:v>5.8413554485686973E-3</c:v>
                </c:pt>
                <c:pt idx="54">
                  <c:v>5.881671607425875E-3</c:v>
                </c:pt>
                <c:pt idx="55">
                  <c:v>5.9513158254086507E-3</c:v>
                </c:pt>
                <c:pt idx="56">
                  <c:v>6.0502863880880879E-3</c:v>
                </c:pt>
                <c:pt idx="57">
                  <c:v>6.1766619947674472E-3</c:v>
                </c:pt>
                <c:pt idx="58">
                  <c:v>6.3070809754919603E-3</c:v>
                </c:pt>
                <c:pt idx="59">
                  <c:v>6.4415415560641655E-3</c:v>
                </c:pt>
                <c:pt idx="60">
                  <c:v>6.580041791103072E-3</c:v>
                </c:pt>
                <c:pt idx="61">
                  <c:v>6.7225795491237406E-3</c:v>
                </c:pt>
                <c:pt idx="62">
                  <c:v>6.8691524976068723E-3</c:v>
                </c:pt>
                <c:pt idx="63">
                  <c:v>7.0197580880884463E-3</c:v>
                </c:pt>
                <c:pt idx="64">
                  <c:v>7.174393541222391E-3</c:v>
                </c:pt>
                <c:pt idx="65">
                  <c:v>7.3252722600578623E-3</c:v>
                </c:pt>
                <c:pt idx="66">
                  <c:v>7.4664371439937972E-3</c:v>
                </c:pt>
                <c:pt idx="67">
                  <c:v>7.5978846278634228E-3</c:v>
                </c:pt>
                <c:pt idx="68">
                  <c:v>7.7196110576032186E-3</c:v>
                </c:pt>
                <c:pt idx="69">
                  <c:v>7.8316127261265148E-3</c:v>
                </c:pt>
                <c:pt idx="70">
                  <c:v>7.9338859092318945E-3</c:v>
                </c:pt>
                <c:pt idx="71">
                  <c:v>8.0194062194629163E-3</c:v>
                </c:pt>
                <c:pt idx="72">
                  <c:v>8.090090174182385E-3</c:v>
                </c:pt>
                <c:pt idx="73">
                  <c:v>8.1459345793378699E-3</c:v>
                </c:pt>
                <c:pt idx="74">
                  <c:v>8.1869365162669308E-3</c:v>
                </c:pt>
                <c:pt idx="75">
                  <c:v>8.213093396477085E-3</c:v>
                </c:pt>
                <c:pt idx="76">
                  <c:v>8.2244030164004747E-3</c:v>
                </c:pt>
                <c:pt idx="77">
                  <c:v>8.2208636121751041E-3</c:v>
                </c:pt>
                <c:pt idx="78">
                  <c:v>8.2024741867292774E-3</c:v>
                </c:pt>
                <c:pt idx="79">
                  <c:v>8.1686854386420742E-3</c:v>
                </c:pt>
                <c:pt idx="80">
                  <c:v>8.1273001156118036E-3</c:v>
                </c:pt>
                <c:pt idx="81">
                  <c:v>8.0783167075067479E-3</c:v>
                </c:pt>
                <c:pt idx="82">
                  <c:v>8.0217337786923481E-3</c:v>
                </c:pt>
                <c:pt idx="83">
                  <c:v>7.9575499923688064E-3</c:v>
                </c:pt>
                <c:pt idx="84">
                  <c:v>7.8857641349353372E-3</c:v>
                </c:pt>
                <c:pt idx="85">
                  <c:v>7.8111786517319169E-3</c:v>
                </c:pt>
                <c:pt idx="86">
                  <c:v>7.7408083859154498E-3</c:v>
                </c:pt>
                <c:pt idx="87">
                  <c:v>7.674650608082716E-3</c:v>
                </c:pt>
                <c:pt idx="88">
                  <c:v>7.612702617569066E-3</c:v>
                </c:pt>
                <c:pt idx="89">
                  <c:v>7.5549617289204169E-3</c:v>
                </c:pt>
                <c:pt idx="90">
                  <c:v>7.501425258349485E-3</c:v>
                </c:pt>
                <c:pt idx="91">
                  <c:v>7.4520905102208167E-3</c:v>
                </c:pt>
                <c:pt idx="92">
                  <c:v>7.4069547635153849E-3</c:v>
                </c:pt>
                <c:pt idx="93">
                  <c:v>7.3597832939506407E-3</c:v>
                </c:pt>
                <c:pt idx="94">
                  <c:v>7.3111549613876815E-3</c:v>
                </c:pt>
                <c:pt idx="95">
                  <c:v>7.2610684418217318E-3</c:v>
                </c:pt>
                <c:pt idx="96">
                  <c:v>7.2095225154930609E-3</c:v>
                </c:pt>
                <c:pt idx="97">
                  <c:v>7.1565160715159094E-3</c:v>
                </c:pt>
                <c:pt idx="98">
                  <c:v>7.102048112442509E-3</c:v>
                </c:pt>
                <c:pt idx="99">
                  <c:v>7.0272549877729712E-3</c:v>
                </c:pt>
                <c:pt idx="100">
                  <c:v>6.9273447192109046E-3</c:v>
                </c:pt>
                <c:pt idx="101">
                  <c:v>6.8023257421970795E-3</c:v>
                </c:pt>
                <c:pt idx="102">
                  <c:v>6.6522076577944416E-3</c:v>
                </c:pt>
                <c:pt idx="103">
                  <c:v>6.4770013131074501E-3</c:v>
                </c:pt>
                <c:pt idx="104">
                  <c:v>6.2767188818589371E-3</c:v>
                </c:pt>
                <c:pt idx="105">
                  <c:v>6.0513739448208054E-3</c:v>
                </c:pt>
                <c:pt idx="106">
                  <c:v>5.8009815703244415E-3</c:v>
                </c:pt>
                <c:pt idx="107">
                  <c:v>5.5248765390909522E-3</c:v>
                </c:pt>
                <c:pt idx="108">
                  <c:v>5.2292977614393915E-3</c:v>
                </c:pt>
                <c:pt idx="109">
                  <c:v>4.9142621398097323E-3</c:v>
                </c:pt>
                <c:pt idx="110">
                  <c:v>4.579801108431405E-3</c:v>
                </c:pt>
                <c:pt idx="111">
                  <c:v>4.2259439207174773E-3</c:v>
                </c:pt>
                <c:pt idx="112">
                  <c:v>3.8527059193775937E-3</c:v>
                </c:pt>
                <c:pt idx="113">
                  <c:v>3.477697892877012E-3</c:v>
                </c:pt>
                <c:pt idx="114">
                  <c:v>3.119740883983169E-3</c:v>
                </c:pt>
                <c:pt idx="115">
                  <c:v>2.7788286999060993E-3</c:v>
                </c:pt>
                <c:pt idx="116">
                  <c:v>2.4549549325129441E-3</c:v>
                </c:pt>
                <c:pt idx="117">
                  <c:v>2.1481129213712325E-3</c:v>
                </c:pt>
                <c:pt idx="118">
                  <c:v>1.8582957167594316E-3</c:v>
                </c:pt>
                <c:pt idx="119">
                  <c:v>1.5854960426872748E-3</c:v>
                </c:pt>
                <c:pt idx="120">
                  <c:v>1.3297062599138599E-3</c:v>
                </c:pt>
                <c:pt idx="121">
                  <c:v>1.099809799117348E-3</c:v>
                </c:pt>
                <c:pt idx="122">
                  <c:v>8.9647081666307583E-4</c:v>
                </c:pt>
                <c:pt idx="123">
                  <c:v>7.1967247390355516E-4</c:v>
                </c:pt>
                <c:pt idx="124">
                  <c:v>5.6939700496746765E-4</c:v>
                </c:pt>
                <c:pt idx="125">
                  <c:v>4.4562565882039364E-4</c:v>
                </c:pt>
                <c:pt idx="126">
                  <c:v>3.4833864131413777E-4</c:v>
                </c:pt>
                <c:pt idx="127">
                  <c:v>2.7757647870989342E-4</c:v>
                </c:pt>
                <c:pt idx="128">
                  <c:v>2.1579009933267142E-4</c:v>
                </c:pt>
                <c:pt idx="129">
                  <c:v>1.6297272854436923E-4</c:v>
                </c:pt>
                <c:pt idx="130">
                  <c:v>1.1911720123307506E-4</c:v>
                </c:pt>
                <c:pt idx="131">
                  <c:v>8.421594219867404E-5</c:v>
                </c:pt>
                <c:pt idx="132">
                  <c:v>5.8260946541745782E-5</c:v>
                </c:pt>
                <c:pt idx="133">
                  <c:v>4.124376005249279E-5</c:v>
                </c:pt>
                <c:pt idx="134">
                  <c:v>3.3155459598807597E-5</c:v>
                </c:pt>
                <c:pt idx="135">
                  <c:v>3.3713838100031833E-5</c:v>
                </c:pt>
                <c:pt idx="136">
                  <c:v>3.4060000181265548E-5</c:v>
                </c:pt>
                <c:pt idx="137">
                  <c:v>3.4194168592926015E-5</c:v>
                </c:pt>
                <c:pt idx="138">
                  <c:v>3.4116578555202021E-5</c:v>
                </c:pt>
                <c:pt idx="139">
                  <c:v>3.3827478224305648E-5</c:v>
                </c:pt>
                <c:pt idx="140">
                  <c:v>3.332712915679883E-5</c:v>
                </c:pt>
                <c:pt idx="141">
                  <c:v>3.2615806775676063E-5</c:v>
                </c:pt>
                <c:pt idx="142">
                  <c:v>3.1632546795762773E-5</c:v>
                </c:pt>
                <c:pt idx="143">
                  <c:v>3.0377622090931059E-5</c:v>
                </c:pt>
                <c:pt idx="144">
                  <c:v>2.8851535064374503E-5</c:v>
                </c:pt>
                <c:pt idx="145">
                  <c:v>2.7054813323529811E-5</c:v>
                </c:pt>
                <c:pt idx="146">
                  <c:v>2.4988006024517316E-5</c:v>
                </c:pt>
                <c:pt idx="147">
                  <c:v>2.2651680217556774E-5</c:v>
                </c:pt>
                <c:pt idx="148">
                  <c:v>2.0046417191677601E-5</c:v>
                </c:pt>
                <c:pt idx="149">
                  <c:v>1.736361780648029E-5</c:v>
                </c:pt>
                <c:pt idx="150">
                  <c:v>1.4874399778463279E-5</c:v>
                </c:pt>
                <c:pt idx="151">
                  <c:v>1.2578534418526988E-5</c:v>
                </c:pt>
                <c:pt idx="152">
                  <c:v>1.0475768024201042E-5</c:v>
                </c:pt>
                <c:pt idx="153">
                  <c:v>8.5658244529852098E-6</c:v>
                </c:pt>
                <c:pt idx="154">
                  <c:v>6.8484076957751969E-6</c:v>
                </c:pt>
                <c:pt idx="155">
                  <c:v>5.3232044502889542E-6</c:v>
                </c:pt>
                <c:pt idx="156">
                  <c:v>3.9898866944016155E-6</c:v>
                </c:pt>
                <c:pt idx="157">
                  <c:v>2.8481142595583553E-6</c:v>
                </c:pt>
                <c:pt idx="158">
                  <c:v>1.897537404185626E-6</c:v>
                </c:pt>
                <c:pt idx="159">
                  <c:v>1.1377993870700445E-6</c:v>
                </c:pt>
                <c:pt idx="160">
                  <c:v>5.6853904076867085E-7</c:v>
                </c:pt>
                <c:pt idx="161">
                  <c:v>1.8939334499169065E-7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1.8715797395055678E-7</c:v>
                </c:pt>
                <c:pt idx="184">
                  <c:v>5.6120563936073105E-7</c:v>
                </c:pt>
                <c:pt idx="185">
                  <c:v>1.1218816830282728E-6</c:v>
                </c:pt>
                <c:pt idx="186">
                  <c:v>1.8689328629826321E-6</c:v>
                </c:pt>
                <c:pt idx="187">
                  <c:v>2.8021151104243099E-6</c:v>
                </c:pt>
                <c:pt idx="188">
                  <c:v>3.921194631700312E-6</c:v>
                </c:pt>
                <c:pt idx="189">
                  <c:v>5.2259490101957696E-6</c:v>
                </c:pt>
                <c:pt idx="190">
                  <c:v>6.716168308354291E-6</c:v>
                </c:pt>
                <c:pt idx="191">
                  <c:v>8.3916561695569659E-6</c:v>
                </c:pt>
                <c:pt idx="192">
                  <c:v>1.0252230920056608E-5</c:v>
                </c:pt>
                <c:pt idx="193">
                  <c:v>1.2297726671058771E-5</c:v>
                </c:pt>
                <c:pt idx="194">
                  <c:v>1.4527994420450877E-5</c:v>
                </c:pt>
                <c:pt idx="195">
                  <c:v>1.6942903154997439E-5</c:v>
                </c:pt>
                <c:pt idx="196">
                  <c:v>1.9542340952099504E-5</c:v>
                </c:pt>
                <c:pt idx="197">
                  <c:v>2.206196084325166E-5</c:v>
                </c:pt>
                <c:pt idx="198">
                  <c:v>2.4315972761844996E-5</c:v>
                </c:pt>
                <c:pt idx="199">
                  <c:v>2.6304755955871859E-5</c:v>
                </c:pt>
                <c:pt idx="200">
                  <c:v>2.8028671674259126E-5</c:v>
                </c:pt>
                <c:pt idx="201">
                  <c:v>2.9488061601525553E-5</c:v>
                </c:pt>
                <c:pt idx="202">
                  <c:v>3.0683246292519959E-5</c:v>
                </c:pt>
                <c:pt idx="203">
                  <c:v>3.1614523607851649E-5</c:v>
                </c:pt>
                <c:pt idx="204">
                  <c:v>3.22821150180589E-5</c:v>
                </c:pt>
                <c:pt idx="205">
                  <c:v>3.2745396679555874E-5</c:v>
                </c:pt>
                <c:pt idx="206">
                  <c:v>3.300452031163652E-5</c:v>
                </c:pt>
                <c:pt idx="207">
                  <c:v>3.3059620018646067E-5</c:v>
                </c:pt>
                <c:pt idx="208">
                  <c:v>3.2910812924220129E-5</c:v>
                </c:pt>
                <c:pt idx="209">
                  <c:v>3.255819980500818E-5</c:v>
                </c:pt>
                <c:pt idx="210">
                  <c:v>3.2001865725497347E-5</c:v>
                </c:pt>
                <c:pt idx="211">
                  <c:v>3.9788371143465352E-5</c:v>
                </c:pt>
                <c:pt idx="212">
                  <c:v>5.617750909204087E-5</c:v>
                </c:pt>
                <c:pt idx="213">
                  <c:v>8.1166239813914348E-5</c:v>
                </c:pt>
                <c:pt idx="214">
                  <c:v>1.1475210861026915E-4</c:v>
                </c:pt>
                <c:pt idx="215">
                  <c:v>1.5693321911921005E-4</c:v>
                </c:pt>
                <c:pt idx="216">
                  <c:v>2.0770820659396567E-4</c:v>
                </c:pt>
                <c:pt idx="217">
                  <c:v>2.6707621118194177E-4</c:v>
                </c:pt>
                <c:pt idx="218">
                  <c:v>3.3503685120322025E-4</c:v>
                </c:pt>
                <c:pt idx="219">
                  <c:v>4.2845699628008113E-4</c:v>
                </c:pt>
                <c:pt idx="220">
                  <c:v>5.4727532161761726E-4</c:v>
                </c:pt>
                <c:pt idx="221">
                  <c:v>6.914909414969569E-4</c:v>
                </c:pt>
                <c:pt idx="222">
                  <c:v>8.611042323171936E-4</c:v>
                </c:pt>
                <c:pt idx="223">
                  <c:v>1.0561167536508168E-3</c:v>
                </c:pt>
                <c:pt idx="224">
                  <c:v>1.2765311692870785E-3</c:v>
                </c:pt>
                <c:pt idx="225">
                  <c:v>1.5216984096246436E-3</c:v>
                </c:pt>
                <c:pt idx="226">
                  <c:v>1.7830851514017594E-3</c:v>
                </c:pt>
                <c:pt idx="227">
                  <c:v>2.0606967465290147E-3</c:v>
                </c:pt>
                <c:pt idx="228">
                  <c:v>2.3545389402970288E-3</c:v>
                </c:pt>
                <c:pt idx="229">
                  <c:v>2.6646178209675606E-3</c:v>
                </c:pt>
                <c:pt idx="230">
                  <c:v>2.9909397693911855E-3</c:v>
                </c:pt>
                <c:pt idx="231">
                  <c:v>3.3335114086439992E-3</c:v>
                </c:pt>
                <c:pt idx="232">
                  <c:v>3.6923395536016933E-3</c:v>
                </c:pt>
                <c:pt idx="233">
                  <c:v>4.0493906680417425E-3</c:v>
                </c:pt>
                <c:pt idx="234">
                  <c:v>4.3878018513485257E-3</c:v>
                </c:pt>
                <c:pt idx="235">
                  <c:v>4.7075781013567793E-3</c:v>
                </c:pt>
                <c:pt idx="236">
                  <c:v>5.0087260441371356E-3</c:v>
                </c:pt>
                <c:pt idx="237">
                  <c:v>5.2912491708715821E-3</c:v>
                </c:pt>
                <c:pt idx="238">
                  <c:v>5.5551504151011045E-3</c:v>
                </c:pt>
                <c:pt idx="239">
                  <c:v>5.7944728918528383E-3</c:v>
                </c:pt>
                <c:pt idx="240">
                  <c:v>6.0098699064944699E-3</c:v>
                </c:pt>
                <c:pt idx="241">
                  <c:v>6.2013408459137605E-3</c:v>
                </c:pt>
                <c:pt idx="242">
                  <c:v>6.3688841584447408E-3</c:v>
                </c:pt>
                <c:pt idx="243">
                  <c:v>6.512497311556272E-3</c:v>
                </c:pt>
                <c:pt idx="244">
                  <c:v>6.6321767495109187E-3</c:v>
                </c:pt>
                <c:pt idx="245">
                  <c:v>6.7279178509540771E-3</c:v>
                </c:pt>
                <c:pt idx="246">
                  <c:v>6.7997148864878364E-3</c:v>
                </c:pt>
                <c:pt idx="247">
                  <c:v>6.8521561941871246E-3</c:v>
                </c:pt>
                <c:pt idx="248">
                  <c:v>6.9033029958837783E-3</c:v>
                </c:pt>
                <c:pt idx="249">
                  <c:v>6.9531571962329376E-3</c:v>
                </c:pt>
                <c:pt idx="250">
                  <c:v>7.0017206613875466E-3</c:v>
                </c:pt>
                <c:pt idx="251">
                  <c:v>7.0489952167685872E-3</c:v>
                </c:pt>
                <c:pt idx="252">
                  <c:v>7.0949826445396115E-3</c:v>
                </c:pt>
                <c:pt idx="253">
                  <c:v>7.1391287674933274E-3</c:v>
                </c:pt>
                <c:pt idx="254">
                  <c:v>7.1874073149884371E-3</c:v>
                </c:pt>
                <c:pt idx="255">
                  <c:v>7.2398234836482406E-3</c:v>
                </c:pt>
                <c:pt idx="256">
                  <c:v>7.296382746189563E-3</c:v>
                </c:pt>
                <c:pt idx="257">
                  <c:v>7.3570908584842786E-3</c:v>
                </c:pt>
                <c:pt idx="258">
                  <c:v>7.4219538666892909E-3</c:v>
                </c:pt>
                <c:pt idx="259">
                  <c:v>7.4909781144799244E-3</c:v>
                </c:pt>
                <c:pt idx="260">
                  <c:v>7.5641702500585878E-3</c:v>
                </c:pt>
                <c:pt idx="261">
                  <c:v>7.6348042418572975E-3</c:v>
                </c:pt>
                <c:pt idx="262">
                  <c:v>7.6982709102745772E-3</c:v>
                </c:pt>
                <c:pt idx="263">
                  <c:v>7.754567235718577E-3</c:v>
                </c:pt>
                <c:pt idx="264">
                  <c:v>7.8036901173998002E-3</c:v>
                </c:pt>
                <c:pt idx="265">
                  <c:v>7.8456780349571223E-3</c:v>
                </c:pt>
                <c:pt idx="266">
                  <c:v>7.8805490078941078E-3</c:v>
                </c:pt>
                <c:pt idx="267">
                  <c:v>7.9008092506050297E-3</c:v>
                </c:pt>
                <c:pt idx="268">
                  <c:v>7.9069928442034657E-3</c:v>
                </c:pt>
                <c:pt idx="269">
                  <c:v>7.899074593183366E-3</c:v>
                </c:pt>
                <c:pt idx="270">
                  <c:v>7.8770278878727597E-3</c:v>
                </c:pt>
                <c:pt idx="271">
                  <c:v>7.8408248609975716E-3</c:v>
                </c:pt>
                <c:pt idx="272">
                  <c:v>7.7904365444638095E-3</c:v>
                </c:pt>
                <c:pt idx="273">
                  <c:v>7.7258330260405834E-3</c:v>
                </c:pt>
                <c:pt idx="274">
                  <c:v>7.6469836061457443E-3</c:v>
                </c:pt>
                <c:pt idx="275">
                  <c:v>7.5520055686532977E-3</c:v>
                </c:pt>
                <c:pt idx="276">
                  <c:v>7.4476378506689849E-3</c:v>
                </c:pt>
                <c:pt idx="277">
                  <c:v>7.3338556660512977E-3</c:v>
                </c:pt>
                <c:pt idx="278">
                  <c:v>7.2106342781295225E-3</c:v>
                </c:pt>
                <c:pt idx="279">
                  <c:v>7.0779491024054392E-3</c:v>
                </c:pt>
                <c:pt idx="280">
                  <c:v>6.9357758093230564E-3</c:v>
                </c:pt>
                <c:pt idx="281">
                  <c:v>6.7898490946764999E-3</c:v>
                </c:pt>
                <c:pt idx="282">
                  <c:v>6.6476869543037019E-3</c:v>
                </c:pt>
                <c:pt idx="283">
                  <c:v>6.5092873121376203E-3</c:v>
                </c:pt>
                <c:pt idx="284">
                  <c:v>6.3746487526067201E-3</c:v>
                </c:pt>
                <c:pt idx="285">
                  <c:v>6.2437704779105558E-3</c:v>
                </c:pt>
                <c:pt idx="286">
                  <c:v>6.1166522653562155E-3</c:v>
                </c:pt>
                <c:pt idx="287">
                  <c:v>5.9932944246305474E-3</c:v>
                </c:pt>
                <c:pt idx="288">
                  <c:v>5.8736977550975025E-3</c:v>
                </c:pt>
                <c:pt idx="289">
                  <c:v>5.7805532794697424E-3</c:v>
                </c:pt>
                <c:pt idx="290">
                  <c:v>5.7157623351660573E-3</c:v>
                </c:pt>
                <c:pt idx="291">
                  <c:v>5.6793626996905888E-3</c:v>
                </c:pt>
                <c:pt idx="292">
                  <c:v>5.6713911223710955E-3</c:v>
                </c:pt>
                <c:pt idx="293">
                  <c:v>5.6918830140315641E-3</c:v>
                </c:pt>
                <c:pt idx="294">
                  <c:v>5.7408721366425291E-3</c:v>
                </c:pt>
                <c:pt idx="295">
                  <c:v>5.8963803273251285E-3</c:v>
                </c:pt>
                <c:pt idx="296">
                  <c:v>6.152812465768826E-3</c:v>
                </c:pt>
                <c:pt idx="297">
                  <c:v>6.5103519536848578E-3</c:v>
                </c:pt>
                <c:pt idx="298">
                  <c:v>6.9691376534463077E-3</c:v>
                </c:pt>
                <c:pt idx="299">
                  <c:v>7.5293104645783411E-3</c:v>
                </c:pt>
                <c:pt idx="300">
                  <c:v>8.1910123927566216E-3</c:v>
                </c:pt>
                <c:pt idx="301">
                  <c:v>8.9543856187852423E-3</c:v>
                </c:pt>
                <c:pt idx="302">
                  <c:v>9.819571567591447E-3</c:v>
                </c:pt>
                <c:pt idx="303">
                  <c:v>1.0842004156779186E-2</c:v>
                </c:pt>
                <c:pt idx="304">
                  <c:v>1.199904880374766E-2</c:v>
                </c:pt>
                <c:pt idx="305">
                  <c:v>1.3290885324243247E-2</c:v>
                </c:pt>
                <c:pt idx="306">
                  <c:v>1.4717688550224638E-2</c:v>
                </c:pt>
                <c:pt idx="307">
                  <c:v>1.6279627100078155E-2</c:v>
                </c:pt>
                <c:pt idx="308">
                  <c:v>1.7976862148702262E-2</c:v>
                </c:pt>
                <c:pt idx="309">
                  <c:v>1.9765557634706013E-2</c:v>
                </c:pt>
                <c:pt idx="310">
                  <c:v>2.1567257053782159E-2</c:v>
                </c:pt>
                <c:pt idx="311">
                  <c:v>2.3381926696427132E-2</c:v>
                </c:pt>
                <c:pt idx="312">
                  <c:v>2.5209525830343166E-2</c:v>
                </c:pt>
                <c:pt idx="313">
                  <c:v>2.7050006595295811E-2</c:v>
                </c:pt>
                <c:pt idx="314">
                  <c:v>2.890331389775332E-2</c:v>
                </c:pt>
                <c:pt idx="315">
                  <c:v>3.0769385305857502E-2</c:v>
                </c:pt>
                <c:pt idx="316">
                  <c:v>3.2648150943974691E-2</c:v>
                </c:pt>
                <c:pt idx="317">
                  <c:v>3.4500302110951869E-2</c:v>
                </c:pt>
                <c:pt idx="318">
                  <c:v>3.627004604564224E-2</c:v>
                </c:pt>
                <c:pt idx="319">
                  <c:v>3.7957186651693134E-2</c:v>
                </c:pt>
                <c:pt idx="320">
                  <c:v>3.9561528275239191E-2</c:v>
                </c:pt>
                <c:pt idx="321">
                  <c:v>4.1082876467790026E-2</c:v>
                </c:pt>
                <c:pt idx="322">
                  <c:v>4.2521038749324162E-2</c:v>
                </c:pt>
                <c:pt idx="323">
                  <c:v>4.3849783059299444E-2</c:v>
                </c:pt>
                <c:pt idx="324">
                  <c:v>4.5113144692952453E-2</c:v>
                </c:pt>
                <c:pt idx="325">
                  <c:v>4.6310955049616985E-2</c:v>
                </c:pt>
                <c:pt idx="326">
                  <c:v>4.7442753144334229E-2</c:v>
                </c:pt>
                <c:pt idx="327">
                  <c:v>4.8508256040756786E-2</c:v>
                </c:pt>
                <c:pt idx="328">
                  <c:v>4.9507432768854436E-2</c:v>
                </c:pt>
                <c:pt idx="329">
                  <c:v>5.0440271498552611E-2</c:v>
                </c:pt>
                <c:pt idx="330">
                  <c:v>5.130677817769716E-2</c:v>
                </c:pt>
                <c:pt idx="331">
                  <c:v>5.207074968061514E-2</c:v>
                </c:pt>
                <c:pt idx="332">
                  <c:v>5.2771592454309124E-2</c:v>
                </c:pt>
                <c:pt idx="333">
                  <c:v>5.3409360189056336E-2</c:v>
                </c:pt>
                <c:pt idx="334">
                  <c:v>5.3984118329711429E-2</c:v>
                </c:pt>
                <c:pt idx="335">
                  <c:v>5.4495942780047602E-2</c:v>
                </c:pt>
                <c:pt idx="336">
                  <c:v>5.4944918606401952E-2</c:v>
                </c:pt>
                <c:pt idx="337">
                  <c:v>5.5323621507297492E-2</c:v>
                </c:pt>
                <c:pt idx="338">
                  <c:v>5.5658245206212778E-2</c:v>
                </c:pt>
                <c:pt idx="339">
                  <c:v>5.594889596535392E-2</c:v>
                </c:pt>
                <c:pt idx="340">
                  <c:v>5.6195683729413824E-2</c:v>
                </c:pt>
                <c:pt idx="341">
                  <c:v>5.6398721215964086E-2</c:v>
                </c:pt>
                <c:pt idx="342">
                  <c:v>5.6558123005807662E-2</c:v>
                </c:pt>
                <c:pt idx="343">
                  <c:v>5.6674004632649537E-2</c:v>
                </c:pt>
                <c:pt idx="344">
                  <c:v>5.6746481673651816E-2</c:v>
                </c:pt>
                <c:pt idx="345">
                  <c:v>5.6775668839394285E-2</c:v>
                </c:pt>
                <c:pt idx="346">
                  <c:v>5.6799155376182665E-2</c:v>
                </c:pt>
                <c:pt idx="347">
                  <c:v>5.6817058999158926E-2</c:v>
                </c:pt>
                <c:pt idx="348">
                  <c:v>5.6829497096900473E-2</c:v>
                </c:pt>
                <c:pt idx="349">
                  <c:v>5.6836586600137587E-2</c:v>
                </c:pt>
                <c:pt idx="350">
                  <c:v>5.6838443851801319E-2</c:v>
                </c:pt>
                <c:pt idx="351">
                  <c:v>5.6836411797629688E-2</c:v>
                </c:pt>
                <c:pt idx="352">
                  <c:v>5.683813013684838E-2</c:v>
                </c:pt>
                <c:pt idx="353">
                  <c:v>5.6843717602792471E-2</c:v>
                </c:pt>
                <c:pt idx="354">
                  <c:v>5.6853293246144777E-2</c:v>
                </c:pt>
                <c:pt idx="355">
                  <c:v>5.6866976483089832E-2</c:v>
                </c:pt>
                <c:pt idx="356">
                  <c:v>5.6884926457093726E-2</c:v>
                </c:pt>
                <c:pt idx="357">
                  <c:v>5.6907136704868501E-2</c:v>
                </c:pt>
                <c:pt idx="358">
                  <c:v>5.6933464126763984E-2</c:v>
                </c:pt>
                <c:pt idx="359">
                  <c:v>5.6963765988224155E-2</c:v>
                </c:pt>
                <c:pt idx="360">
                  <c:v>5.6990358279473151E-2</c:v>
                </c:pt>
                <c:pt idx="361">
                  <c:v>5.7011858829039835E-2</c:v>
                </c:pt>
                <c:pt idx="362">
                  <c:v>5.7028114058778195E-2</c:v>
                </c:pt>
                <c:pt idx="363">
                  <c:v>5.7038969725249661E-2</c:v>
                </c:pt>
                <c:pt idx="364">
                  <c:v>5.7044271082196368E-2</c:v>
                </c:pt>
                <c:pt idx="365">
                  <c:v>5.7043863042312667E-2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0.10339696333704998</c:v>
                </c:pt>
                <c:pt idx="1">
                  <c:v>0.103620434326336</c:v>
                </c:pt>
                <c:pt idx="2">
                  <c:v>0.10380912282611392</c:v>
                </c:pt>
                <c:pt idx="3">
                  <c:v>0.10396271529522833</c:v>
                </c:pt>
                <c:pt idx="4">
                  <c:v>0.104080896216697</c:v>
                </c:pt>
                <c:pt idx="5">
                  <c:v>0.10416334900492787</c:v>
                </c:pt>
                <c:pt idx="6">
                  <c:v>0.10420975691426773</c:v>
                </c:pt>
                <c:pt idx="7">
                  <c:v>0.10421980394520713</c:v>
                </c:pt>
                <c:pt idx="8">
                  <c:v>0.10419317575204137</c:v>
                </c:pt>
                <c:pt idx="9">
                  <c:v>0.10410209150036662</c:v>
                </c:pt>
                <c:pt idx="10">
                  <c:v>0.10394640281664011</c:v>
                </c:pt>
                <c:pt idx="11">
                  <c:v>0.10372577317027123</c:v>
                </c:pt>
                <c:pt idx="12">
                  <c:v>0.1034398747757525</c:v>
                </c:pt>
                <c:pt idx="13">
                  <c:v>0.10308839019378478</c:v>
                </c:pt>
                <c:pt idx="14">
                  <c:v>0.10267101393063957</c:v>
                </c:pt>
                <c:pt idx="15">
                  <c:v>0.10211929657275028</c:v>
                </c:pt>
                <c:pt idx="16">
                  <c:v>0.10146848577142771</c:v>
                </c:pt>
                <c:pt idx="17">
                  <c:v>0.1007183026296028</c:v>
                </c:pt>
                <c:pt idx="18">
                  <c:v>9.9868494059341409E-2</c:v>
                </c:pt>
                <c:pt idx="19">
                  <c:v>9.8919386969959527E-2</c:v>
                </c:pt>
                <c:pt idx="20">
                  <c:v>9.7871562145913249E-2</c:v>
                </c:pt>
                <c:pt idx="21">
                  <c:v>9.6725175327257634E-2</c:v>
                </c:pt>
                <c:pt idx="22">
                  <c:v>9.5480390900740675E-2</c:v>
                </c:pt>
                <c:pt idx="23">
                  <c:v>9.3985310763579327E-2</c:v>
                </c:pt>
                <c:pt idx="24">
                  <c:v>9.226765354193095E-2</c:v>
                </c:pt>
                <c:pt idx="25">
                  <c:v>9.0327590271903915E-2</c:v>
                </c:pt>
                <c:pt idx="26">
                  <c:v>8.8165308870556319E-2</c:v>
                </c:pt>
                <c:pt idx="27">
                  <c:v>8.5781011380065733E-2</c:v>
                </c:pt>
                <c:pt idx="28">
                  <c:v>8.317491121383834E-2</c:v>
                </c:pt>
                <c:pt idx="29">
                  <c:v>8.0321167594447865E-2</c:v>
                </c:pt>
                <c:pt idx="30">
                  <c:v>7.7288280979145016E-2</c:v>
                </c:pt>
                <c:pt idx="31">
                  <c:v>7.4076478817288349E-2</c:v>
                </c:pt>
                <c:pt idx="32">
                  <c:v>7.0685986004199425E-2</c:v>
                </c:pt>
                <c:pt idx="33">
                  <c:v>6.7117022653791977E-2</c:v>
                </c:pt>
                <c:pt idx="34">
                  <c:v>6.3369801871535125E-2</c:v>
                </c:pt>
                <c:pt idx="35">
                  <c:v>5.9444527527315411E-2</c:v>
                </c:pt>
                <c:pt idx="36">
                  <c:v>5.5341392028143005E-2</c:v>
                </c:pt>
                <c:pt idx="37">
                  <c:v>5.1213821633705726E-2</c:v>
                </c:pt>
                <c:pt idx="38">
                  <c:v>4.7213955051406881E-2</c:v>
                </c:pt>
                <c:pt idx="39">
                  <c:v>4.3341855114527109E-2</c:v>
                </c:pt>
                <c:pt idx="40">
                  <c:v>3.9597563300187516E-2</c:v>
                </c:pt>
                <c:pt idx="41">
                  <c:v>3.5981101320479103E-2</c:v>
                </c:pt>
                <c:pt idx="42">
                  <c:v>3.249247271323482E-2</c:v>
                </c:pt>
                <c:pt idx="43">
                  <c:v>2.9261331226746273E-2</c:v>
                </c:pt>
                <c:pt idx="44">
                  <c:v>2.6313652591915433E-2</c:v>
                </c:pt>
                <c:pt idx="45">
                  <c:v>2.3649362281460345E-2</c:v>
                </c:pt>
                <c:pt idx="46">
                  <c:v>2.1268380726955027E-2</c:v>
                </c:pt>
                <c:pt idx="47">
                  <c:v>1.9170626858268296E-2</c:v>
                </c:pt>
                <c:pt idx="48">
                  <c:v>1.7356021642679815E-2</c:v>
                </c:pt>
                <c:pt idx="49">
                  <c:v>1.5824491624207342E-2</c:v>
                </c:pt>
                <c:pt idx="50">
                  <c:v>1.457597246281098E-2</c:v>
                </c:pt>
                <c:pt idx="51">
                  <c:v>1.3651482014521991E-2</c:v>
                </c:pt>
                <c:pt idx="52">
                  <c:v>1.2897812011367185E-2</c:v>
                </c:pt>
                <c:pt idx="53">
                  <c:v>1.2314873081012043E-2</c:v>
                </c:pt>
                <c:pt idx="54">
                  <c:v>1.1902652404051169E-2</c:v>
                </c:pt>
                <c:pt idx="55">
                  <c:v>1.166114083905128E-2</c:v>
                </c:pt>
                <c:pt idx="56">
                  <c:v>1.1590332291098781E-2</c:v>
                </c:pt>
                <c:pt idx="57">
                  <c:v>1.1687681022847047E-2</c:v>
                </c:pt>
                <c:pt idx="58">
                  <c:v>1.1823574188568175E-2</c:v>
                </c:pt>
                <c:pt idx="59">
                  <c:v>1.1998008529632325E-2</c:v>
                </c:pt>
                <c:pt idx="60">
                  <c:v>1.2210980794311325E-2</c:v>
                </c:pt>
                <c:pt idx="61">
                  <c:v>1.2462487595247597E-2</c:v>
                </c:pt>
                <c:pt idx="62">
                  <c:v>1.2752525266904548E-2</c:v>
                </c:pt>
                <c:pt idx="63">
                  <c:v>1.3081089723054169E-2</c:v>
                </c:pt>
                <c:pt idx="64">
                  <c:v>1.3448176314214556E-2</c:v>
                </c:pt>
                <c:pt idx="65">
                  <c:v>1.3834304246353298E-2</c:v>
                </c:pt>
                <c:pt idx="66">
                  <c:v>1.4198395824580176E-2</c:v>
                </c:pt>
                <c:pt idx="67">
                  <c:v>1.4540443752181578E-2</c:v>
                </c:pt>
                <c:pt idx="68">
                  <c:v>1.4860440465926649E-2</c:v>
                </c:pt>
                <c:pt idx="69">
                  <c:v>1.5158378217474662E-2</c:v>
                </c:pt>
                <c:pt idx="70">
                  <c:v>1.5434249154848527E-2</c:v>
                </c:pt>
                <c:pt idx="71">
                  <c:v>1.5680180446670539E-2</c:v>
                </c:pt>
                <c:pt idx="72">
                  <c:v>1.5898706714181889E-2</c:v>
                </c:pt>
                <c:pt idx="73">
                  <c:v>1.6089820671971285E-2</c:v>
                </c:pt>
                <c:pt idx="74">
                  <c:v>1.6253515412988927E-2</c:v>
                </c:pt>
                <c:pt idx="75">
                  <c:v>1.6389784509714962E-2</c:v>
                </c:pt>
                <c:pt idx="76">
                  <c:v>1.6498622115277969E-2</c:v>
                </c:pt>
                <c:pt idx="77">
                  <c:v>1.6580023064626172E-2</c:v>
                </c:pt>
                <c:pt idx="78">
                  <c:v>1.6633983527909312E-2</c:v>
                </c:pt>
                <c:pt idx="79">
                  <c:v>1.6654336182512244E-2</c:v>
                </c:pt>
                <c:pt idx="80">
                  <c:v>1.6660594313474726E-2</c:v>
                </c:pt>
                <c:pt idx="81">
                  <c:v>1.6652754571035926E-2</c:v>
                </c:pt>
                <c:pt idx="82">
                  <c:v>1.6630813637130277E-2</c:v>
                </c:pt>
                <c:pt idx="83">
                  <c:v>1.6594768270516251E-2</c:v>
                </c:pt>
                <c:pt idx="84">
                  <c:v>1.654461535196057E-2</c:v>
                </c:pt>
                <c:pt idx="85">
                  <c:v>1.6474900548685011E-2</c:v>
                </c:pt>
                <c:pt idx="86">
                  <c:v>1.6393482295363991E-2</c:v>
                </c:pt>
                <c:pt idx="87">
                  <c:v>1.6300357739790938E-2</c:v>
                </c:pt>
                <c:pt idx="88">
                  <c:v>1.6195524301445063E-2</c:v>
                </c:pt>
                <c:pt idx="89">
                  <c:v>1.6078979708922032E-2</c:v>
                </c:pt>
                <c:pt idx="90">
                  <c:v>1.5950722037331142E-2</c:v>
                </c:pt>
                <c:pt idx="91">
                  <c:v>1.5810749745753857E-2</c:v>
                </c:pt>
                <c:pt idx="92">
                  <c:v>1.5659061714658789E-2</c:v>
                </c:pt>
                <c:pt idx="93">
                  <c:v>1.5501874350631963E-2</c:v>
                </c:pt>
                <c:pt idx="94">
                  <c:v>1.534540969554055E-2</c:v>
                </c:pt>
                <c:pt idx="95">
                  <c:v>1.5189664806385873E-2</c:v>
                </c:pt>
                <c:pt idx="96">
                  <c:v>1.5034636916247117E-2</c:v>
                </c:pt>
                <c:pt idx="97">
                  <c:v>1.4880323431904522E-2</c:v>
                </c:pt>
                <c:pt idx="98">
                  <c:v>1.4726721931326407E-2</c:v>
                </c:pt>
                <c:pt idx="99">
                  <c:v>1.4542575634395911E-2</c:v>
                </c:pt>
                <c:pt idx="100">
                  <c:v>1.4333338134782143E-2</c:v>
                </c:pt>
                <c:pt idx="101">
                  <c:v>1.4099017614788332E-2</c:v>
                </c:pt>
                <c:pt idx="102">
                  <c:v>1.3839623559466382E-2</c:v>
                </c:pt>
                <c:pt idx="103">
                  <c:v>1.3555166836802197E-2</c:v>
                </c:pt>
                <c:pt idx="104">
                  <c:v>1.3245659778227949E-2</c:v>
                </c:pt>
                <c:pt idx="105">
                  <c:v>1.2911116258831228E-2</c:v>
                </c:pt>
                <c:pt idx="106">
                  <c:v>1.2551551777730275E-2</c:v>
                </c:pt>
                <c:pt idx="107">
                  <c:v>1.2140907505768411E-2</c:v>
                </c:pt>
                <c:pt idx="108">
                  <c:v>1.1673011044750844E-2</c:v>
                </c:pt>
                <c:pt idx="109">
                  <c:v>1.1147902224787792E-2</c:v>
                </c:pt>
                <c:pt idx="110">
                  <c:v>1.0565654822839943E-2</c:v>
                </c:pt>
                <c:pt idx="111">
                  <c:v>9.9263400752782893E-3</c:v>
                </c:pt>
                <c:pt idx="112">
                  <c:v>9.2299983784582332E-3</c:v>
                </c:pt>
                <c:pt idx="113">
                  <c:v>8.5125705538968855E-3</c:v>
                </c:pt>
                <c:pt idx="114">
                  <c:v>7.805254140586625E-3</c:v>
                </c:pt>
                <c:pt idx="115">
                  <c:v>7.1080516577732167E-3</c:v>
                </c:pt>
                <c:pt idx="116">
                  <c:v>6.4209659343330526E-3</c:v>
                </c:pt>
                <c:pt idx="117">
                  <c:v>5.7440000872888523E-3</c:v>
                </c:pt>
                <c:pt idx="118">
                  <c:v>5.0771575002439839E-3</c:v>
                </c:pt>
                <c:pt idx="119">
                  <c:v>4.420441801840886E-3</c:v>
                </c:pt>
                <c:pt idx="120">
                  <c:v>3.7738568442133055E-3</c:v>
                </c:pt>
                <c:pt idx="121">
                  <c:v>3.1657178885429386E-3</c:v>
                </c:pt>
                <c:pt idx="122">
                  <c:v>2.6219969707174545E-3</c:v>
                </c:pt>
                <c:pt idx="123">
                  <c:v>2.1426541858741671E-3</c:v>
                </c:pt>
                <c:pt idx="124">
                  <c:v>1.7276474251601709E-3</c:v>
                </c:pt>
                <c:pt idx="125">
                  <c:v>1.3769322352475907E-3</c:v>
                </c:pt>
                <c:pt idx="126">
                  <c:v>1.09046167781524E-3</c:v>
                </c:pt>
                <c:pt idx="127">
                  <c:v>8.680066247977237E-4</c:v>
                </c:pt>
                <c:pt idx="128">
                  <c:v>6.7375461914790128E-4</c:v>
                </c:pt>
                <c:pt idx="129">
                  <c:v>5.0768437785798709E-4</c:v>
                </c:pt>
                <c:pt idx="130">
                  <c:v>3.6977339110597096E-4</c:v>
                </c:pt>
                <c:pt idx="131">
                  <c:v>2.5999786062497746E-4</c:v>
                </c:pt>
                <c:pt idx="132">
                  <c:v>1.783326380829263E-4</c:v>
                </c:pt>
                <c:pt idx="133">
                  <c:v>1.2475116346226053E-4</c:v>
                </c:pt>
                <c:pt idx="134">
                  <c:v>9.9225403436991536E-5</c:v>
                </c:pt>
                <c:pt idx="135">
                  <c:v>1.0135585181362404E-4</c:v>
                </c:pt>
                <c:pt idx="136">
                  <c:v>1.0293487542779074E-4</c:v>
                </c:pt>
                <c:pt idx="137">
                  <c:v>1.0396302891148984E-4</c:v>
                </c:pt>
                <c:pt idx="138">
                  <c:v>1.0444089865615255E-4</c:v>
                </c:pt>
                <c:pt idx="139">
                  <c:v>1.0436910402310861E-4</c:v>
                </c:pt>
                <c:pt idx="140">
                  <c:v>1.0374829854818418E-4</c:v>
                </c:pt>
                <c:pt idx="141">
                  <c:v>1.0272850328275164E-4</c:v>
                </c:pt>
                <c:pt idx="142">
                  <c:v>1.0148825188202225E-4</c:v>
                </c:pt>
                <c:pt idx="143">
                  <c:v>1.0002743149131052E-4</c:v>
                </c:pt>
                <c:pt idx="144">
                  <c:v>9.8346575032472034E-5</c:v>
                </c:pt>
                <c:pt idx="145">
                  <c:v>9.6446233561627346E-5</c:v>
                </c:pt>
                <c:pt idx="146">
                  <c:v>9.4326973316574776E-5</c:v>
                </c:pt>
                <c:pt idx="147">
                  <c:v>9.1989372767529155E-5</c:v>
                </c:pt>
                <c:pt idx="148">
                  <c:v>8.9434019665486197E-5</c:v>
                </c:pt>
                <c:pt idx="149">
                  <c:v>8.6433649239281481E-5</c:v>
                </c:pt>
                <c:pt idx="150">
                  <c:v>8.335656320178895E-5</c:v>
                </c:pt>
                <c:pt idx="151">
                  <c:v>8.0203117295982149E-5</c:v>
                </c:pt>
                <c:pt idx="152">
                  <c:v>7.6973655752547596E-5</c:v>
                </c:pt>
                <c:pt idx="153">
                  <c:v>7.3668510222194857E-5</c:v>
                </c:pt>
                <c:pt idx="154">
                  <c:v>7.0287998708434067E-5</c:v>
                </c:pt>
                <c:pt idx="155">
                  <c:v>6.6832424500579409E-5</c:v>
                </c:pt>
                <c:pt idx="156">
                  <c:v>6.3153992402535444E-5</c:v>
                </c:pt>
                <c:pt idx="157">
                  <c:v>5.9253254407383801E-5</c:v>
                </c:pt>
                <c:pt idx="158">
                  <c:v>5.5130745634698986E-5</c:v>
                </c:pt>
                <c:pt idx="159">
                  <c:v>5.078698125715257E-5</c:v>
                </c:pt>
                <c:pt idx="160">
                  <c:v>4.6222453427830526E-5</c:v>
                </c:pt>
                <c:pt idx="161">
                  <c:v>4.1437628206894588E-5</c:v>
                </c:pt>
                <c:pt idx="162">
                  <c:v>3.6432942488561844E-5</c:v>
                </c:pt>
                <c:pt idx="163">
                  <c:v>3.1555565382802416E-5</c:v>
                </c:pt>
                <c:pt idx="164">
                  <c:v>2.7030972270949579E-5</c:v>
                </c:pt>
                <c:pt idx="165">
                  <c:v>2.2858459258401264E-5</c:v>
                </c:pt>
                <c:pt idx="166">
                  <c:v>1.9037316223508046E-5</c:v>
                </c:pt>
                <c:pt idx="167">
                  <c:v>1.55668315347849E-5</c:v>
                </c:pt>
                <c:pt idx="168">
                  <c:v>1.2446296768852633E-5</c:v>
                </c:pt>
                <c:pt idx="169">
                  <c:v>1.0020547550248292E-5</c:v>
                </c:pt>
                <c:pt idx="170">
                  <c:v>8.2883287507876104E-6</c:v>
                </c:pt>
                <c:pt idx="171">
                  <c:v>7.2484369469505818E-6</c:v>
                </c:pt>
                <c:pt idx="172">
                  <c:v>6.8997298550776032E-6</c:v>
                </c:pt>
                <c:pt idx="173">
                  <c:v>7.24106171852208E-6</c:v>
                </c:pt>
                <c:pt idx="174">
                  <c:v>8.2713201617492045E-6</c:v>
                </c:pt>
                <c:pt idx="175">
                  <c:v>9.9894654719968337E-6</c:v>
                </c:pt>
                <c:pt idx="176">
                  <c:v>1.2394462479888013E-5</c:v>
                </c:pt>
                <c:pt idx="177">
                  <c:v>1.54852845995088E-5</c:v>
                </c:pt>
                <c:pt idx="178">
                  <c:v>1.8916972906768318E-5</c:v>
                </c:pt>
                <c:pt idx="179">
                  <c:v>2.2689044772289746E-5</c:v>
                </c:pt>
                <c:pt idx="180">
                  <c:v>2.6801031555003903E-5</c:v>
                </c:pt>
                <c:pt idx="181">
                  <c:v>3.1252480622142919E-5</c:v>
                </c:pt>
                <c:pt idx="182">
                  <c:v>3.6042957369404854E-5</c:v>
                </c:pt>
                <c:pt idx="183">
                  <c:v>4.0948548328660046E-5</c:v>
                </c:pt>
                <c:pt idx="184">
                  <c:v>4.5626244934236481E-5</c:v>
                </c:pt>
                <c:pt idx="185">
                  <c:v>5.0076476271815836E-5</c:v>
                </c:pt>
                <c:pt idx="186">
                  <c:v>5.4299673909008129E-5</c:v>
                </c:pt>
                <c:pt idx="187">
                  <c:v>5.8296270579570169E-5</c:v>
                </c:pt>
                <c:pt idx="188">
                  <c:v>6.2066698868100054E-5</c:v>
                </c:pt>
                <c:pt idx="189">
                  <c:v>6.5611389892948364E-5</c:v>
                </c:pt>
                <c:pt idx="190">
                  <c:v>6.8930771991634063E-5</c:v>
                </c:pt>
                <c:pt idx="191">
                  <c:v>7.2170613780522591E-5</c:v>
                </c:pt>
                <c:pt idx="192">
                  <c:v>7.5331153927136351E-5</c:v>
                </c:pt>
                <c:pt idx="193">
                  <c:v>7.8412633924990877E-5</c:v>
                </c:pt>
                <c:pt idx="194">
                  <c:v>8.1415297634864473E-5</c:v>
                </c:pt>
                <c:pt idx="195">
                  <c:v>8.4339390829463024E-5</c:v>
                </c:pt>
                <c:pt idx="196">
                  <c:v>8.7185160735120932E-5</c:v>
                </c:pt>
                <c:pt idx="197">
                  <c:v>8.9594498973171886E-5</c:v>
                </c:pt>
                <c:pt idx="198">
                  <c:v>9.1790121693690295E-5</c:v>
                </c:pt>
                <c:pt idx="199">
                  <c:v>9.3772394818011126E-5</c:v>
                </c:pt>
                <c:pt idx="200">
                  <c:v>9.5541670684856162E-5</c:v>
                </c:pt>
                <c:pt idx="201">
                  <c:v>9.7098286785874505E-5</c:v>
                </c:pt>
                <c:pt idx="202">
                  <c:v>9.8442564501651604E-5</c:v>
                </c:pt>
                <c:pt idx="203">
                  <c:v>9.9574807839917362E-5</c:v>
                </c:pt>
                <c:pt idx="204">
                  <c:v>1.0049513988747348E-4</c:v>
                </c:pt>
                <c:pt idx="205">
                  <c:v>1.010305199123862E-4</c:v>
                </c:pt>
                <c:pt idx="206">
                  <c:v>1.0103656072912283E-4</c:v>
                </c:pt>
                <c:pt idx="207">
                  <c:v>1.0051357799389225E-4</c:v>
                </c:pt>
                <c:pt idx="208">
                  <c:v>9.9461844114883137E-5</c:v>
                </c:pt>
                <c:pt idx="209">
                  <c:v>9.7881589896810307E-5</c:v>
                </c:pt>
                <c:pt idx="210">
                  <c:v>9.5773006188793882E-5</c:v>
                </c:pt>
                <c:pt idx="211">
                  <c:v>1.2034900760983191E-4</c:v>
                </c:pt>
                <c:pt idx="212">
                  <c:v>1.7195538335671931E-4</c:v>
                </c:pt>
                <c:pt idx="213">
                  <c:v>2.5058258752015563E-4</c:v>
                </c:pt>
                <c:pt idx="214">
                  <c:v>3.5622291237646903E-4</c:v>
                </c:pt>
                <c:pt idx="215">
                  <c:v>4.8887040442534215E-4</c:v>
                </c:pt>
                <c:pt idx="216">
                  <c:v>6.4852078042684693E-4</c:v>
                </c:pt>
                <c:pt idx="217">
                  <c:v>8.3517134344113513E-4</c:v>
                </c:pt>
                <c:pt idx="218">
                  <c:v>1.0488208988664116E-3</c:v>
                </c:pt>
                <c:pt idx="219">
                  <c:v>1.3238830348258261E-3</c:v>
                </c:pt>
                <c:pt idx="220">
                  <c:v>1.6605264727382991E-3</c:v>
                </c:pt>
                <c:pt idx="221">
                  <c:v>2.0587503538325954E-3</c:v>
                </c:pt>
                <c:pt idx="222">
                  <c:v>2.5185568192971348E-3</c:v>
                </c:pt>
                <c:pt idx="223">
                  <c:v>3.0399508188647742E-3</c:v>
                </c:pt>
                <c:pt idx="224">
                  <c:v>3.6229399193606396E-3</c:v>
                </c:pt>
                <c:pt idx="225">
                  <c:v>4.2425708286843887E-3</c:v>
                </c:pt>
                <c:pt idx="226">
                  <c:v>4.8716703527682363E-3</c:v>
                </c:pt>
                <c:pt idx="227">
                  <c:v>5.5102514277427656E-3</c:v>
                </c:pt>
                <c:pt idx="228">
                  <c:v>6.1583266260746942E-3</c:v>
                </c:pt>
                <c:pt idx="229">
                  <c:v>6.8159081271546339E-3</c:v>
                </c:pt>
                <c:pt idx="230">
                  <c:v>7.4830076879589041E-3</c:v>
                </c:pt>
                <c:pt idx="231">
                  <c:v>8.1596366137562538E-3</c:v>
                </c:pt>
                <c:pt idx="232">
                  <c:v>8.8458057286569438E-3</c:v>
                </c:pt>
                <c:pt idx="233">
                  <c:v>9.5116332877924897E-3</c:v>
                </c:pt>
                <c:pt idx="234">
                  <c:v>1.0122710286920081E-2</c:v>
                </c:pt>
                <c:pt idx="235">
                  <c:v>1.0679043749894344E-2</c:v>
                </c:pt>
                <c:pt idx="236">
                  <c:v>1.1180643577896138E-2</c:v>
                </c:pt>
                <c:pt idx="237">
                  <c:v>1.1627511731528324E-2</c:v>
                </c:pt>
                <c:pt idx="238">
                  <c:v>1.2019648265202409E-2</c:v>
                </c:pt>
                <c:pt idx="239">
                  <c:v>1.2362996213345622E-2</c:v>
                </c:pt>
                <c:pt idx="240">
                  <c:v>1.2682532640247915E-2</c:v>
                </c:pt>
                <c:pt idx="241">
                  <c:v>1.2978260419389629E-2</c:v>
                </c:pt>
                <c:pt idx="242">
                  <c:v>1.3250181560920801E-2</c:v>
                </c:pt>
                <c:pt idx="243">
                  <c:v>1.3498297169496725E-2</c:v>
                </c:pt>
                <c:pt idx="244">
                  <c:v>1.3722607402047803E-2</c:v>
                </c:pt>
                <c:pt idx="245">
                  <c:v>1.3923111425405846E-2</c:v>
                </c:pt>
                <c:pt idx="246">
                  <c:v>1.409980737389966E-2</c:v>
                </c:pt>
                <c:pt idx="247">
                  <c:v>1.424747731389283E-2</c:v>
                </c:pt>
                <c:pt idx="248">
                  <c:v>1.4396051034297301E-2</c:v>
                </c:pt>
                <c:pt idx="249">
                  <c:v>1.4545535275300345E-2</c:v>
                </c:pt>
                <c:pt idx="250">
                  <c:v>1.4695936919702461E-2</c:v>
                </c:pt>
                <c:pt idx="251">
                  <c:v>1.4847262994600501E-2</c:v>
                </c:pt>
                <c:pt idx="252">
                  <c:v>1.4999520672453751E-2</c:v>
                </c:pt>
                <c:pt idx="253">
                  <c:v>1.514675354395347E-2</c:v>
                </c:pt>
                <c:pt idx="254">
                  <c:v>1.5283007202245451E-2</c:v>
                </c:pt>
                <c:pt idx="255">
                  <c:v>1.540828121526326E-2</c:v>
                </c:pt>
                <c:pt idx="256">
                  <c:v>1.5522574572378591E-2</c:v>
                </c:pt>
                <c:pt idx="257">
                  <c:v>1.5625885664572115E-2</c:v>
                </c:pt>
                <c:pt idx="258">
                  <c:v>1.5718212264750436E-2</c:v>
                </c:pt>
                <c:pt idx="259">
                  <c:v>1.57995515082822E-2</c:v>
                </c:pt>
                <c:pt idx="260">
                  <c:v>1.5869899873056367E-2</c:v>
                </c:pt>
                <c:pt idx="261">
                  <c:v>1.5921710489519764E-2</c:v>
                </c:pt>
                <c:pt idx="262">
                  <c:v>1.5960204161473448E-2</c:v>
                </c:pt>
                <c:pt idx="263">
                  <c:v>1.5985372900894041E-2</c:v>
                </c:pt>
                <c:pt idx="264">
                  <c:v>1.5997208586443698E-2</c:v>
                </c:pt>
                <c:pt idx="265">
                  <c:v>1.5995787884769998E-2</c:v>
                </c:pt>
                <c:pt idx="266">
                  <c:v>1.5981144152854999E-2</c:v>
                </c:pt>
                <c:pt idx="267">
                  <c:v>1.5934530212888903E-2</c:v>
                </c:pt>
                <c:pt idx="268">
                  <c:v>1.5861879183762962E-2</c:v>
                </c:pt>
                <c:pt idx="269">
                  <c:v>1.5763138705322886E-2</c:v>
                </c:pt>
                <c:pt idx="270">
                  <c:v>1.5638254178433786E-2</c:v>
                </c:pt>
                <c:pt idx="271">
                  <c:v>1.5487169054092705E-2</c:v>
                </c:pt>
                <c:pt idx="272">
                  <c:v>1.530982512298045E-2</c:v>
                </c:pt>
                <c:pt idx="273">
                  <c:v>1.5106162804816279E-2</c:v>
                </c:pt>
                <c:pt idx="274">
                  <c:v>1.4876121437914891E-2</c:v>
                </c:pt>
                <c:pt idx="275">
                  <c:v>1.4617188146730662E-2</c:v>
                </c:pt>
                <c:pt idx="276">
                  <c:v>1.4336885377488269E-2</c:v>
                </c:pt>
                <c:pt idx="277">
                  <c:v>1.4035158602931332E-2</c:v>
                </c:pt>
                <c:pt idx="278">
                  <c:v>1.3711953593492135E-2</c:v>
                </c:pt>
                <c:pt idx="279">
                  <c:v>1.3367216650334661E-2</c:v>
                </c:pt>
                <c:pt idx="280">
                  <c:v>1.3000894838527143E-2</c:v>
                </c:pt>
                <c:pt idx="281">
                  <c:v>1.2652661829497267E-2</c:v>
                </c:pt>
                <c:pt idx="282">
                  <c:v>1.2341376302355232E-2</c:v>
                </c:pt>
                <c:pt idx="283">
                  <c:v>1.2067081064439256E-2</c:v>
                </c:pt>
                <c:pt idx="284">
                  <c:v>1.1829820533026151E-2</c:v>
                </c:pt>
                <c:pt idx="285">
                  <c:v>1.1629640327401641E-2</c:v>
                </c:pt>
                <c:pt idx="286">
                  <c:v>1.1466586861043383E-2</c:v>
                </c:pt>
                <c:pt idx="287">
                  <c:v>1.1340706933685272E-2</c:v>
                </c:pt>
                <c:pt idx="288">
                  <c:v>1.1252047323428258E-2</c:v>
                </c:pt>
                <c:pt idx="289">
                  <c:v>1.1326544901506351E-2</c:v>
                </c:pt>
                <c:pt idx="290">
                  <c:v>1.1566904247723553E-2</c:v>
                </c:pt>
                <c:pt idx="291">
                  <c:v>1.197335643131613E-2</c:v>
                </c:pt>
                <c:pt idx="292">
                  <c:v>1.2546123794943928E-2</c:v>
                </c:pt>
                <c:pt idx="293">
                  <c:v>1.3285418147721072E-2</c:v>
                </c:pt>
                <c:pt idx="294">
                  <c:v>1.4191438958205032E-2</c:v>
                </c:pt>
                <c:pt idx="295">
                  <c:v>1.5413505825540019E-2</c:v>
                </c:pt>
                <c:pt idx="296">
                  <c:v>1.6912166952958354E-2</c:v>
                </c:pt>
                <c:pt idx="297">
                  <c:v>1.8687928833146475E-2</c:v>
                </c:pt>
                <c:pt idx="298">
                  <c:v>2.0741185685095594E-2</c:v>
                </c:pt>
                <c:pt idx="299">
                  <c:v>2.3072334347749721E-2</c:v>
                </c:pt>
                <c:pt idx="300">
                  <c:v>2.5681771735118184E-2</c:v>
                </c:pt>
                <c:pt idx="301">
                  <c:v>2.8569892291328162E-2</c:v>
                </c:pt>
                <c:pt idx="302">
                  <c:v>3.1737085445728182E-2</c:v>
                </c:pt>
                <c:pt idx="303">
                  <c:v>3.5158286910079523E-2</c:v>
                </c:pt>
                <c:pt idx="304">
                  <c:v>3.8707048289348692E-2</c:v>
                </c:pt>
                <c:pt idx="305">
                  <c:v>4.2383511434922173E-2</c:v>
                </c:pt>
                <c:pt idx="306">
                  <c:v>4.6187804505068902E-2</c:v>
                </c:pt>
                <c:pt idx="307">
                  <c:v>5.0120040821135449E-2</c:v>
                </c:pt>
                <c:pt idx="308">
                  <c:v>5.4180317723333239E-2</c:v>
                </c:pt>
                <c:pt idx="309">
                  <c:v>5.8219795238025146E-2</c:v>
                </c:pt>
                <c:pt idx="310">
                  <c:v>6.2088147780467215E-2</c:v>
                </c:pt>
                <c:pt idx="311">
                  <c:v>6.5785015410713743E-2</c:v>
                </c:pt>
                <c:pt idx="312">
                  <c:v>6.9310030820896304E-2</c:v>
                </c:pt>
                <c:pt idx="313">
                  <c:v>7.2662820936991376E-2</c:v>
                </c:pt>
                <c:pt idx="314">
                  <c:v>7.5843008519980798E-2</c:v>
                </c:pt>
                <c:pt idx="315">
                  <c:v>7.8850213767908864E-2</c:v>
                </c:pt>
                <c:pt idx="316">
                  <c:v>8.1684055916813561E-2</c:v>
                </c:pt>
                <c:pt idx="317">
                  <c:v>8.4277079133448493E-2</c:v>
                </c:pt>
                <c:pt idx="318">
                  <c:v>8.6654444484052087E-2</c:v>
                </c:pt>
                <c:pt idx="319">
                  <c:v>8.8815734804572929E-2</c:v>
                </c:pt>
                <c:pt idx="320">
                  <c:v>9.076054218885099E-2</c:v>
                </c:pt>
                <c:pt idx="321">
                  <c:v>9.2488469969770046E-2</c:v>
                </c:pt>
                <c:pt idx="322">
                  <c:v>9.3999134700840578E-2</c:v>
                </c:pt>
                <c:pt idx="323">
                  <c:v>9.5265017063483226E-2</c:v>
                </c:pt>
                <c:pt idx="324">
                  <c:v>9.6435527459306628E-2</c:v>
                </c:pt>
                <c:pt idx="325">
                  <c:v>9.751042840655133E-2</c:v>
                </c:pt>
                <c:pt idx="326">
                  <c:v>9.8488876320177193E-2</c:v>
                </c:pt>
                <c:pt idx="327">
                  <c:v>9.9370425285935149E-2</c:v>
                </c:pt>
                <c:pt idx="328">
                  <c:v>0.10015514825723296</c:v>
                </c:pt>
                <c:pt idx="329">
                  <c:v>0.10084314030148658</c:v>
                </c:pt>
                <c:pt idx="330">
                  <c:v>0.10143451663324964</c:v>
                </c:pt>
                <c:pt idx="331">
                  <c:v>0.1018942725075522</c:v>
                </c:pt>
                <c:pt idx="332">
                  <c:v>0.1022898766313366</c:v>
                </c:pt>
                <c:pt idx="333">
                  <c:v>0.10262150246165433</c:v>
                </c:pt>
                <c:pt idx="334">
                  <c:v>0.102889332632084</c:v>
                </c:pt>
                <c:pt idx="335">
                  <c:v>0.10309355765700236</c:v>
                </c:pt>
                <c:pt idx="336">
                  <c:v>0.10323437463450841</c:v>
                </c:pt>
                <c:pt idx="337">
                  <c:v>0.10331179235024741</c:v>
                </c:pt>
                <c:pt idx="338">
                  <c:v>0.1033532230393898</c:v>
                </c:pt>
                <c:pt idx="339">
                  <c:v>0.10335887779647011</c:v>
                </c:pt>
                <c:pt idx="340">
                  <c:v>0.10332896877276274</c:v>
                </c:pt>
                <c:pt idx="341">
                  <c:v>0.10326370844176069</c:v>
                </c:pt>
                <c:pt idx="342">
                  <c:v>0.10316330886457131</c:v>
                </c:pt>
                <c:pt idx="343">
                  <c:v>0.10302798095406643</c:v>
                </c:pt>
                <c:pt idx="344">
                  <c:v>0.1028579337406543</c:v>
                </c:pt>
                <c:pt idx="345">
                  <c:v>0.10265337363696284</c:v>
                </c:pt>
                <c:pt idx="346">
                  <c:v>0.10246367961498162</c:v>
                </c:pt>
                <c:pt idx="347">
                  <c:v>0.10228906044541754</c:v>
                </c:pt>
                <c:pt idx="348">
                  <c:v>0.10212972436676854</c:v>
                </c:pt>
                <c:pt idx="349">
                  <c:v>0.10198587937175591</c:v>
                </c:pt>
                <c:pt idx="350">
                  <c:v>0.10185773349614927</c:v>
                </c:pt>
                <c:pt idx="351">
                  <c:v>0.10175951646971308</c:v>
                </c:pt>
                <c:pt idx="352">
                  <c:v>0.10169163777860034</c:v>
                </c:pt>
                <c:pt idx="353">
                  <c:v>0.10165431623300715</c:v>
                </c:pt>
                <c:pt idx="354">
                  <c:v>0.10164777425580529</c:v>
                </c:pt>
                <c:pt idx="355">
                  <c:v>0.10167223846008729</c:v>
                </c:pt>
                <c:pt idx="356">
                  <c:v>0.10172801053175114</c:v>
                </c:pt>
                <c:pt idx="357">
                  <c:v>0.10181510051220102</c:v>
                </c:pt>
                <c:pt idx="358">
                  <c:v>0.10193327828494045</c:v>
                </c:pt>
                <c:pt idx="359">
                  <c:v>0.10208231791310143</c:v>
                </c:pt>
                <c:pt idx="360">
                  <c:v>0.1022618026964594</c:v>
                </c:pt>
                <c:pt idx="361">
                  <c:v>0.10245745124083679</c:v>
                </c:pt>
                <c:pt idx="362">
                  <c:v>0.10266902773219716</c:v>
                </c:pt>
                <c:pt idx="363">
                  <c:v>0.10289629627040779</c:v>
                </c:pt>
                <c:pt idx="364">
                  <c:v>0.10313902051622878</c:v>
                </c:pt>
                <c:pt idx="365">
                  <c:v>0.10339696333704998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0.15643160393245872</c:v>
                </c:pt>
                <c:pt idx="1">
                  <c:v>0.15712405208685121</c:v>
                </c:pt>
                <c:pt idx="2">
                  <c:v>0.15784126086218483</c:v>
                </c:pt>
                <c:pt idx="3">
                  <c:v>0.15858287073070654</c:v>
                </c:pt>
                <c:pt idx="4">
                  <c:v>0.15934851597446523</c:v>
                </c:pt>
                <c:pt idx="5">
                  <c:v>0.16013782409233518</c:v>
                </c:pt>
                <c:pt idx="6">
                  <c:v>0.1609504152090846</c:v>
                </c:pt>
                <c:pt idx="7">
                  <c:v>0.16178590148085409</c:v>
                </c:pt>
                <c:pt idx="8">
                  <c:v>0.16264388650285228</c:v>
                </c:pt>
                <c:pt idx="9">
                  <c:v>0.16348983833222486</c:v>
                </c:pt>
                <c:pt idx="10">
                  <c:v>0.16429947007073564</c:v>
                </c:pt>
                <c:pt idx="11">
                  <c:v>0.16507228560541373</c:v>
                </c:pt>
                <c:pt idx="12">
                  <c:v>0.16580778499922039</c:v>
                </c:pt>
                <c:pt idx="13">
                  <c:v>0.16650546537207822</c:v>
                </c:pt>
                <c:pt idx="14">
                  <c:v>0.1671648217790449</c:v>
                </c:pt>
                <c:pt idx="15">
                  <c:v>0.16767336189460805</c:v>
                </c:pt>
                <c:pt idx="16">
                  <c:v>0.16803099349510511</c:v>
                </c:pt>
                <c:pt idx="17">
                  <c:v>0.16823713457633743</c:v>
                </c:pt>
                <c:pt idx="18">
                  <c:v>0.16829122888380815</c:v>
                </c:pt>
                <c:pt idx="19">
                  <c:v>0.16819368778569202</c:v>
                </c:pt>
                <c:pt idx="20">
                  <c:v>0.16794537341870808</c:v>
                </c:pt>
                <c:pt idx="21">
                  <c:v>0.16754644328574711</c:v>
                </c:pt>
                <c:pt idx="22">
                  <c:v>0.16699707485282428</c:v>
                </c:pt>
                <c:pt idx="23">
                  <c:v>0.16608819580944373</c:v>
                </c:pt>
                <c:pt idx="24">
                  <c:v>0.16485422860697982</c:v>
                </c:pt>
                <c:pt idx="25">
                  <c:v>0.16329538233680843</c:v>
                </c:pt>
                <c:pt idx="26">
                  <c:v>0.16141189706602238</c:v>
                </c:pt>
                <c:pt idx="27">
                  <c:v>0.15920403981684247</c:v>
                </c:pt>
                <c:pt idx="28">
                  <c:v>0.15667210054954189</c:v>
                </c:pt>
                <c:pt idx="29">
                  <c:v>0.15365649771557427</c:v>
                </c:pt>
                <c:pt idx="30">
                  <c:v>0.15026973860217047</c:v>
                </c:pt>
                <c:pt idx="31">
                  <c:v>0.14651216881061521</c:v>
                </c:pt>
                <c:pt idx="32">
                  <c:v>0.14238414314081047</c:v>
                </c:pt>
                <c:pt idx="33">
                  <c:v>0.13788602097556751</c:v>
                </c:pt>
                <c:pt idx="34">
                  <c:v>0.1330181616655641</c:v>
                </c:pt>
                <c:pt idx="35">
                  <c:v>0.12778091991413093</c:v>
                </c:pt>
                <c:pt idx="36">
                  <c:v>0.12217464116172999</c:v>
                </c:pt>
                <c:pt idx="37">
                  <c:v>0.11625370257420263</c:v>
                </c:pt>
                <c:pt idx="38">
                  <c:v>0.1102275962084443</c:v>
                </c:pt>
                <c:pt idx="39">
                  <c:v>0.10409654198097679</c:v>
                </c:pt>
                <c:pt idx="40">
                  <c:v>9.7860730843778457E-2</c:v>
                </c:pt>
                <c:pt idx="41">
                  <c:v>9.1520323462064901E-2</c:v>
                </c:pt>
                <c:pt idx="42">
                  <c:v>8.507544889125368E-2</c:v>
                </c:pt>
                <c:pt idx="43">
                  <c:v>7.8758047741726608E-2</c:v>
                </c:pt>
                <c:pt idx="44">
                  <c:v>7.272784632489912E-2</c:v>
                </c:pt>
                <c:pt idx="45">
                  <c:v>6.6984786219653342E-2</c:v>
                </c:pt>
                <c:pt idx="46">
                  <c:v>6.1528788656833519E-2</c:v>
                </c:pt>
                <c:pt idx="47">
                  <c:v>5.6359758096903446E-2</c:v>
                </c:pt>
                <c:pt idx="48">
                  <c:v>5.1477585806699679E-2</c:v>
                </c:pt>
                <c:pt idx="49">
                  <c:v>4.6882153436782065E-2</c:v>
                </c:pt>
                <c:pt idx="50">
                  <c:v>4.2573336598428532E-2</c:v>
                </c:pt>
                <c:pt idx="51">
                  <c:v>3.8741887614365249E-2</c:v>
                </c:pt>
                <c:pt idx="52">
                  <c:v>3.5333490639787961E-2</c:v>
                </c:pt>
                <c:pt idx="53">
                  <c:v>3.2347874854347154E-2</c:v>
                </c:pt>
                <c:pt idx="54">
                  <c:v>2.9784993398509079E-2</c:v>
                </c:pt>
                <c:pt idx="55">
                  <c:v>2.7644810801992263E-2</c:v>
                </c:pt>
                <c:pt idx="56">
                  <c:v>2.5927301420223165E-2</c:v>
                </c:pt>
                <c:pt idx="57">
                  <c:v>2.4684395496531716E-2</c:v>
                </c:pt>
                <c:pt idx="58">
                  <c:v>2.368433860749973E-2</c:v>
                </c:pt>
                <c:pt idx="59">
                  <c:v>2.2927121953338975E-2</c:v>
                </c:pt>
                <c:pt idx="60">
                  <c:v>2.2412739524774253E-2</c:v>
                </c:pt>
                <c:pt idx="61">
                  <c:v>2.2141187204692141E-2</c:v>
                </c:pt>
                <c:pt idx="62">
                  <c:v>2.2112461869756555E-2</c:v>
                </c:pt>
                <c:pt idx="63">
                  <c:v>2.2326560492090995E-2</c:v>
                </c:pt>
                <c:pt idx="64">
                  <c:v>2.2783479240872106E-2</c:v>
                </c:pt>
                <c:pt idx="65">
                  <c:v>2.3450576161065089E-2</c:v>
                </c:pt>
                <c:pt idx="66">
                  <c:v>2.4136955424384383E-2</c:v>
                </c:pt>
                <c:pt idx="67">
                  <c:v>2.4842604795296857E-2</c:v>
                </c:pt>
                <c:pt idx="68">
                  <c:v>2.5567510784004602E-2</c:v>
                </c:pt>
                <c:pt idx="69">
                  <c:v>2.6311658574917862E-2</c:v>
                </c:pt>
                <c:pt idx="70">
                  <c:v>2.7075031955240296E-2</c:v>
                </c:pt>
                <c:pt idx="71">
                  <c:v>2.7816426594980966E-2</c:v>
                </c:pt>
                <c:pt idx="72">
                  <c:v>2.8483876418510103E-2</c:v>
                </c:pt>
                <c:pt idx="73">
                  <c:v>2.9077366192666258E-2</c:v>
                </c:pt>
                <c:pt idx="74">
                  <c:v>2.9596881591707275E-2</c:v>
                </c:pt>
                <c:pt idx="75">
                  <c:v>3.0042409470459594E-2</c:v>
                </c:pt>
                <c:pt idx="76">
                  <c:v>3.0413938137377226E-2</c:v>
                </c:pt>
                <c:pt idx="77">
                  <c:v>3.0711457627696743E-2</c:v>
                </c:pt>
                <c:pt idx="78">
                  <c:v>3.0934961003564593E-2</c:v>
                </c:pt>
                <c:pt idx="79">
                  <c:v>3.1081109795695276E-2</c:v>
                </c:pt>
                <c:pt idx="80">
                  <c:v>3.1182613703592335E-2</c:v>
                </c:pt>
                <c:pt idx="81">
                  <c:v>3.1239468993401163E-2</c:v>
                </c:pt>
                <c:pt idx="82">
                  <c:v>3.1251671928275174E-2</c:v>
                </c:pt>
                <c:pt idx="83">
                  <c:v>3.1219218911320498E-2</c:v>
                </c:pt>
                <c:pt idx="84">
                  <c:v>3.1142106628644757E-2</c:v>
                </c:pt>
                <c:pt idx="85">
                  <c:v>3.1009477216002994E-2</c:v>
                </c:pt>
                <c:pt idx="86">
                  <c:v>3.0862492325030928E-2</c:v>
                </c:pt>
                <c:pt idx="87">
                  <c:v>3.0701145299285613E-2</c:v>
                </c:pt>
                <c:pt idx="88">
                  <c:v>3.0525429874980779E-2</c:v>
                </c:pt>
                <c:pt idx="89">
                  <c:v>3.0335340226852161E-2</c:v>
                </c:pt>
                <c:pt idx="90">
                  <c:v>3.0130871013959528E-2</c:v>
                </c:pt>
                <c:pt idx="91">
                  <c:v>2.9912017425604565E-2</c:v>
                </c:pt>
                <c:pt idx="92">
                  <c:v>2.9678775227166592E-2</c:v>
                </c:pt>
                <c:pt idx="93">
                  <c:v>2.9421421627356319E-2</c:v>
                </c:pt>
                <c:pt idx="94">
                  <c:v>2.9143407871776064E-2</c:v>
                </c:pt>
                <c:pt idx="95">
                  <c:v>2.8844733493705699E-2</c:v>
                </c:pt>
                <c:pt idx="96">
                  <c:v>2.852539899318933E-2</c:v>
                </c:pt>
                <c:pt idx="97">
                  <c:v>2.8185405903142335E-2</c:v>
                </c:pt>
                <c:pt idx="98">
                  <c:v>2.7824756855199775E-2</c:v>
                </c:pt>
                <c:pt idx="99">
                  <c:v>2.7421867229698457E-2</c:v>
                </c:pt>
                <c:pt idx="100">
                  <c:v>2.6987591507861224E-2</c:v>
                </c:pt>
                <c:pt idx="101">
                  <c:v>2.6521940395167452E-2</c:v>
                </c:pt>
                <c:pt idx="102">
                  <c:v>2.6024926445880767E-2</c:v>
                </c:pt>
                <c:pt idx="103">
                  <c:v>2.5496564163194665E-2</c:v>
                </c:pt>
                <c:pt idx="104">
                  <c:v>2.4936870099992889E-2</c:v>
                </c:pt>
                <c:pt idx="105">
                  <c:v>2.4345862959039788E-2</c:v>
                </c:pt>
                <c:pt idx="106">
                  <c:v>2.3723563693483312E-2</c:v>
                </c:pt>
                <c:pt idx="107">
                  <c:v>2.3040582418354487E-2</c:v>
                </c:pt>
                <c:pt idx="108">
                  <c:v>2.2306661608449591E-2</c:v>
                </c:pt>
                <c:pt idx="109">
                  <c:v>2.1521841536209292E-2</c:v>
                </c:pt>
                <c:pt idx="110">
                  <c:v>2.0686225224795914E-2</c:v>
                </c:pt>
                <c:pt idx="111">
                  <c:v>1.97999110021169E-2</c:v>
                </c:pt>
                <c:pt idx="112">
                  <c:v>1.8862936502764462E-2</c:v>
                </c:pt>
                <c:pt idx="113">
                  <c:v>1.7899974471049868E-2</c:v>
                </c:pt>
                <c:pt idx="114">
                  <c:v>1.6932585214866631E-2</c:v>
                </c:pt>
                <c:pt idx="115">
                  <c:v>1.5960782481372188E-2</c:v>
                </c:pt>
                <c:pt idx="116">
                  <c:v>1.4984581008617584E-2</c:v>
                </c:pt>
                <c:pt idx="117">
                  <c:v>1.4003996536049014E-2</c:v>
                </c:pt>
                <c:pt idx="118">
                  <c:v>1.3019045814834627E-2</c:v>
                </c:pt>
                <c:pt idx="119">
                  <c:v>1.2029746618242222E-2</c:v>
                </c:pt>
                <c:pt idx="120">
                  <c:v>1.1036117751999086E-2</c:v>
                </c:pt>
                <c:pt idx="121">
                  <c:v>1.0066490721494577E-2</c:v>
                </c:pt>
                <c:pt idx="122">
                  <c:v>9.150180376059365E-3</c:v>
                </c:pt>
                <c:pt idx="123">
                  <c:v>8.2871617045862031E-3</c:v>
                </c:pt>
                <c:pt idx="124">
                  <c:v>7.4774082866730712E-3</c:v>
                </c:pt>
                <c:pt idx="125">
                  <c:v>6.7208921768209147E-3</c:v>
                </c:pt>
                <c:pt idx="126">
                  <c:v>6.0175837885091078E-3</c:v>
                </c:pt>
                <c:pt idx="127">
                  <c:v>5.3824807173451974E-3</c:v>
                </c:pt>
                <c:pt idx="128">
                  <c:v>4.7909976799646089E-3</c:v>
                </c:pt>
                <c:pt idx="129">
                  <c:v>4.243108087908184E-3</c:v>
                </c:pt>
                <c:pt idx="130">
                  <c:v>3.7387837168560752E-3</c:v>
                </c:pt>
                <c:pt idx="131">
                  <c:v>3.2779946115790537E-3</c:v>
                </c:pt>
                <c:pt idx="132">
                  <c:v>2.86070899094896E-3</c:v>
                </c:pt>
                <c:pt idx="133">
                  <c:v>2.486893152965121E-3</c:v>
                </c:pt>
                <c:pt idx="134">
                  <c:v>2.1565113797568122E-3</c:v>
                </c:pt>
                <c:pt idx="135">
                  <c:v>1.8824240826712697E-3</c:v>
                </c:pt>
                <c:pt idx="136">
                  <c:v>1.6363992067485158E-3</c:v>
                </c:pt>
                <c:pt idx="137">
                  <c:v>1.4184118941064634E-3</c:v>
                </c:pt>
                <c:pt idx="138">
                  <c:v>1.2284358172676877E-3</c:v>
                </c:pt>
                <c:pt idx="139">
                  <c:v>1.0664431178383576E-3</c:v>
                </c:pt>
                <c:pt idx="140">
                  <c:v>9.3240434511161763E-4</c:v>
                </c:pt>
                <c:pt idx="141">
                  <c:v>8.267848823010096E-4</c:v>
                </c:pt>
                <c:pt idx="142">
                  <c:v>7.3460184251735892E-4</c:v>
                </c:pt>
                <c:pt idx="143">
                  <c:v>6.5583872125030737E-4</c:v>
                </c:pt>
                <c:pt idx="144">
                  <c:v>5.9048246191305764E-4</c:v>
                </c:pt>
                <c:pt idx="145">
                  <c:v>5.385180211147704E-4</c:v>
                </c:pt>
                <c:pt idx="146">
                  <c:v>4.9992854813730569E-4</c:v>
                </c:pt>
                <c:pt idx="147">
                  <c:v>4.74695564431909E-4</c:v>
                </c:pt>
                <c:pt idx="148">
                  <c:v>4.6279914310153557E-4</c:v>
                </c:pt>
                <c:pt idx="149">
                  <c:v>4.6363566871492155E-4</c:v>
                </c:pt>
                <c:pt idx="150">
                  <c:v>4.6437745101372808E-4</c:v>
                </c:pt>
                <c:pt idx="151">
                  <c:v>4.6502523585160473E-4</c:v>
                </c:pt>
                <c:pt idx="152">
                  <c:v>4.6557977991325137E-4</c:v>
                </c:pt>
                <c:pt idx="153">
                  <c:v>4.6604184952602813E-4</c:v>
                </c:pt>
                <c:pt idx="154">
                  <c:v>4.6641221947412082E-4</c:v>
                </c:pt>
                <c:pt idx="155">
                  <c:v>4.6638948403946606E-4</c:v>
                </c:pt>
                <c:pt idx="156">
                  <c:v>4.6548266925893465E-4</c:v>
                </c:pt>
                <c:pt idx="157">
                  <c:v>4.6369407957098051E-4</c:v>
                </c:pt>
                <c:pt idx="158">
                  <c:v>4.6102602708457039E-4</c:v>
                </c:pt>
                <c:pt idx="159">
                  <c:v>4.5748081963128913E-4</c:v>
                </c:pt>
                <c:pt idx="160">
                  <c:v>4.5306074882315076E-4</c:v>
                </c:pt>
                <c:pt idx="161">
                  <c:v>4.4776807810516521E-4</c:v>
                </c:pt>
                <c:pt idx="162">
                  <c:v>4.4160503081040287E-4</c:v>
                </c:pt>
                <c:pt idx="163">
                  <c:v>4.3514447179573989E-4</c:v>
                </c:pt>
                <c:pt idx="164">
                  <c:v>4.2896447478017849E-4</c:v>
                </c:pt>
                <c:pt idx="165">
                  <c:v>4.230649932612892E-4</c:v>
                </c:pt>
                <c:pt idx="166">
                  <c:v>4.1744596280089805E-4</c:v>
                </c:pt>
                <c:pt idx="167">
                  <c:v>4.1210730469197205E-4</c:v>
                </c:pt>
                <c:pt idx="168">
                  <c:v>4.0704892963901824E-4</c:v>
                </c:pt>
                <c:pt idx="169">
                  <c:v>4.0283941345985896E-4</c:v>
                </c:pt>
                <c:pt idx="170">
                  <c:v>3.997771595165872E-4</c:v>
                </c:pt>
                <c:pt idx="171">
                  <c:v>3.9786071473187068E-4</c:v>
                </c:pt>
                <c:pt idx="172">
                  <c:v>3.9708872665126095E-4</c:v>
                </c:pt>
                <c:pt idx="173">
                  <c:v>3.9745589453748245E-4</c:v>
                </c:pt>
                <c:pt idx="174">
                  <c:v>3.989567715206944E-4</c:v>
                </c:pt>
                <c:pt idx="175">
                  <c:v>4.0158987234355296E-4</c:v>
                </c:pt>
                <c:pt idx="176">
                  <c:v>4.0535371922956914E-4</c:v>
                </c:pt>
                <c:pt idx="177">
                  <c:v>4.0994847823923948E-4</c:v>
                </c:pt>
                <c:pt idx="178">
                  <c:v>4.1480710178008686E-4</c:v>
                </c:pt>
                <c:pt idx="179">
                  <c:v>4.199294652882568E-4</c:v>
                </c:pt>
                <c:pt idx="180">
                  <c:v>4.2531546069894173E-4</c:v>
                </c:pt>
                <c:pt idx="181">
                  <c:v>4.3096499801713366E-4</c:v>
                </c:pt>
                <c:pt idx="182">
                  <c:v>4.3687800689200848E-4</c:v>
                </c:pt>
                <c:pt idx="183">
                  <c:v>4.4248316276146931E-4</c:v>
                </c:pt>
                <c:pt idx="184">
                  <c:v>4.4721686459523575E-4</c:v>
                </c:pt>
                <c:pt idx="185">
                  <c:v>4.5108070694496592E-4</c:v>
                </c:pt>
                <c:pt idx="186">
                  <c:v>4.5407626263813366E-4</c:v>
                </c:pt>
                <c:pt idx="187">
                  <c:v>4.5620507766483274E-4</c:v>
                </c:pt>
                <c:pt idx="188">
                  <c:v>4.5746866606732265E-4</c:v>
                </c:pt>
                <c:pt idx="189">
                  <c:v>4.5786850481563976E-4</c:v>
                </c:pt>
                <c:pt idx="190">
                  <c:v>4.5740602870266128E-4</c:v>
                </c:pt>
                <c:pt idx="191">
                  <c:v>4.5656585461354961E-4</c:v>
                </c:pt>
                <c:pt idx="192">
                  <c:v>4.5564500897239256E-4</c:v>
                </c:pt>
                <c:pt idx="193">
                  <c:v>4.5464384445492262E-4</c:v>
                </c:pt>
                <c:pt idx="194">
                  <c:v>4.5356270624639889E-4</c:v>
                </c:pt>
                <c:pt idx="195">
                  <c:v>4.5240193154376471E-4</c:v>
                </c:pt>
                <c:pt idx="196">
                  <c:v>4.5116184904025873E-4</c:v>
                </c:pt>
                <c:pt idx="197">
                  <c:v>4.6233722418723123E-4</c:v>
                </c:pt>
                <c:pt idx="198">
                  <c:v>4.8648335315143481E-4</c:v>
                </c:pt>
                <c:pt idx="199">
                  <c:v>5.2358835205649525E-4</c:v>
                </c:pt>
                <c:pt idx="200">
                  <c:v>5.7364154168717272E-4</c:v>
                </c:pt>
                <c:pt idx="201">
                  <c:v>6.3663352434252573E-4</c:v>
                </c:pt>
                <c:pt idx="202">
                  <c:v>7.125562606902819E-4</c:v>
                </c:pt>
                <c:pt idx="203">
                  <c:v>8.0140314663666094E-4</c:v>
                </c:pt>
                <c:pt idx="204">
                  <c:v>9.03167631709755E-4</c:v>
                </c:pt>
                <c:pt idx="205">
                  <c:v>1.0323294777766772E-3</c:v>
                </c:pt>
                <c:pt idx="206">
                  <c:v>1.1883939304450318E-3</c:v>
                </c:pt>
                <c:pt idx="207">
                  <c:v>1.3713495656914039E-3</c:v>
                </c:pt>
                <c:pt idx="208">
                  <c:v>1.5811869605410424E-3</c:v>
                </c:pt>
                <c:pt idx="209">
                  <c:v>1.817898609452971E-3</c:v>
                </c:pt>
                <c:pt idx="210">
                  <c:v>2.0814788407567866E-3</c:v>
                </c:pt>
                <c:pt idx="211">
                  <c:v>2.3991369273408053E-3</c:v>
                </c:pt>
                <c:pt idx="212">
                  <c:v>2.7584087607221818E-3</c:v>
                </c:pt>
                <c:pt idx="213">
                  <c:v>3.1592889636557859E-3</c:v>
                </c:pt>
                <c:pt idx="214">
                  <c:v>3.6017746446836874E-3</c:v>
                </c:pt>
                <c:pt idx="215">
                  <c:v>4.0858652687090543E-3</c:v>
                </c:pt>
                <c:pt idx="216">
                  <c:v>4.6115625275613952E-3</c:v>
                </c:pt>
                <c:pt idx="217">
                  <c:v>5.1788702105801951E-3</c:v>
                </c:pt>
                <c:pt idx="218">
                  <c:v>5.7877940751783303E-3</c:v>
                </c:pt>
                <c:pt idx="219">
                  <c:v>6.4619557186755107E-3</c:v>
                </c:pt>
                <c:pt idx="220">
                  <c:v>7.1869029679723162E-3</c:v>
                </c:pt>
                <c:pt idx="221">
                  <c:v>7.9626461442372683E-3</c:v>
                </c:pt>
                <c:pt idx="222">
                  <c:v>8.7891974862264171E-3</c:v>
                </c:pt>
                <c:pt idx="223">
                  <c:v>9.6665709925235575E-3</c:v>
                </c:pt>
                <c:pt idx="224">
                  <c:v>1.0594782263612055E-2</c:v>
                </c:pt>
                <c:pt idx="225">
                  <c:v>1.1545690310358757E-2</c:v>
                </c:pt>
                <c:pt idx="226">
                  <c:v>1.2492127635278859E-2</c:v>
                </c:pt>
                <c:pt idx="227">
                  <c:v>1.3434112244815557E-2</c:v>
                </c:pt>
                <c:pt idx="228">
                  <c:v>1.4371660767193904E-2</c:v>
                </c:pt>
                <c:pt idx="229">
                  <c:v>1.5304788466409721E-2</c:v>
                </c:pt>
                <c:pt idx="230">
                  <c:v>1.6233509256412666E-2</c:v>
                </c:pt>
                <c:pt idx="231">
                  <c:v>1.7157835715372556E-2</c:v>
                </c:pt>
                <c:pt idx="232">
                  <c:v>1.8077779099601288E-2</c:v>
                </c:pt>
                <c:pt idx="233">
                  <c:v>1.89727020387002E-2</c:v>
                </c:pt>
                <c:pt idx="234">
                  <c:v>1.9818995451935689E-2</c:v>
                </c:pt>
                <c:pt idx="235">
                  <c:v>2.0616675918849598E-2</c:v>
                </c:pt>
                <c:pt idx="236">
                  <c:v>2.1365766887453303E-2</c:v>
                </c:pt>
                <c:pt idx="237">
                  <c:v>2.2066278179236169E-2</c:v>
                </c:pt>
                <c:pt idx="238">
                  <c:v>2.2718218132894447E-2</c:v>
                </c:pt>
                <c:pt idx="239">
                  <c:v>2.3312299691156765E-2</c:v>
                </c:pt>
                <c:pt idx="240">
                  <c:v>2.3876701824142196E-2</c:v>
                </c:pt>
                <c:pt idx="241">
                  <c:v>2.4411433182159225E-2</c:v>
                </c:pt>
                <c:pt idx="242">
                  <c:v>2.4916501452213292E-2</c:v>
                </c:pt>
                <c:pt idx="243">
                  <c:v>2.5391913305374238E-2</c:v>
                </c:pt>
                <c:pt idx="244">
                  <c:v>2.5837674344019641E-2</c:v>
                </c:pt>
                <c:pt idx="245">
                  <c:v>2.625378904880878E-2</c:v>
                </c:pt>
                <c:pt idx="246">
                  <c:v>2.6640260725597546E-2</c:v>
                </c:pt>
                <c:pt idx="247">
                  <c:v>2.6986707179151994E-2</c:v>
                </c:pt>
                <c:pt idx="248">
                  <c:v>2.7313802253240711E-2</c:v>
                </c:pt>
                <c:pt idx="249">
                  <c:v>2.7621550171597335E-2</c:v>
                </c:pt>
                <c:pt idx="250">
                  <c:v>2.7909954325510397E-2</c:v>
                </c:pt>
                <c:pt idx="251">
                  <c:v>2.8179017239846102E-2</c:v>
                </c:pt>
                <c:pt idx="252">
                  <c:v>2.8428740537899701E-2</c:v>
                </c:pt>
                <c:pt idx="253">
                  <c:v>2.8655817291001678E-2</c:v>
                </c:pt>
                <c:pt idx="254">
                  <c:v>2.8869559486933483E-2</c:v>
                </c:pt>
                <c:pt idx="255">
                  <c:v>2.9069969701912286E-2</c:v>
                </c:pt>
                <c:pt idx="256">
                  <c:v>2.9257049834812952E-2</c:v>
                </c:pt>
                <c:pt idx="257">
                  <c:v>2.9430801082786881E-2</c:v>
                </c:pt>
                <c:pt idx="258">
                  <c:v>2.9591223917157145E-2</c:v>
                </c:pt>
                <c:pt idx="259">
                  <c:v>2.9738318059725599E-2</c:v>
                </c:pt>
                <c:pt idx="260">
                  <c:v>2.9872082458180016E-2</c:v>
                </c:pt>
                <c:pt idx="261">
                  <c:v>2.995301634299484E-2</c:v>
                </c:pt>
                <c:pt idx="262">
                  <c:v>2.9991501032100291E-2</c:v>
                </c:pt>
                <c:pt idx="263">
                  <c:v>2.9987505007369464E-2</c:v>
                </c:pt>
                <c:pt idx="264">
                  <c:v>2.9940995279107027E-2</c:v>
                </c:pt>
                <c:pt idx="265">
                  <c:v>2.9852095818579352E-2</c:v>
                </c:pt>
                <c:pt idx="266">
                  <c:v>2.9720846502668794E-2</c:v>
                </c:pt>
                <c:pt idx="267">
                  <c:v>2.9515800282237117E-2</c:v>
                </c:pt>
                <c:pt idx="268">
                  <c:v>2.9240151623982476E-2</c:v>
                </c:pt>
                <c:pt idx="269">
                  <c:v>2.8893770216701666E-2</c:v>
                </c:pt>
                <c:pt idx="270">
                  <c:v>2.8476520030260466E-2</c:v>
                </c:pt>
                <c:pt idx="271">
                  <c:v>2.798826009652533E-2</c:v>
                </c:pt>
                <c:pt idx="272">
                  <c:v>2.7428845291106823E-2</c:v>
                </c:pt>
                <c:pt idx="273">
                  <c:v>2.6798127114744212E-2</c:v>
                </c:pt>
                <c:pt idx="274">
                  <c:v>2.6095954475054851E-2</c:v>
                </c:pt>
                <c:pt idx="275">
                  <c:v>2.537226993048252E-2</c:v>
                </c:pt>
                <c:pt idx="276">
                  <c:v>2.4666729922201661E-2</c:v>
                </c:pt>
                <c:pt idx="277">
                  <c:v>2.397931619931621E-2</c:v>
                </c:pt>
                <c:pt idx="278">
                  <c:v>2.3310014508426555E-2</c:v>
                </c:pt>
                <c:pt idx="279">
                  <c:v>2.2658814389076368E-2</c:v>
                </c:pt>
                <c:pt idx="280">
                  <c:v>2.2025708969420538E-2</c:v>
                </c:pt>
                <c:pt idx="281">
                  <c:v>2.1595327736677713E-2</c:v>
                </c:pt>
                <c:pt idx="282">
                  <c:v>2.1399543007719006E-2</c:v>
                </c:pt>
                <c:pt idx="283">
                  <c:v>2.1438697436604117E-2</c:v>
                </c:pt>
                <c:pt idx="284">
                  <c:v>2.1713135963252042E-2</c:v>
                </c:pt>
                <c:pt idx="285">
                  <c:v>2.2223203242544898E-2</c:v>
                </c:pt>
                <c:pt idx="286">
                  <c:v>2.2969241073637389E-2</c:v>
                </c:pt>
                <c:pt idx="287">
                  <c:v>2.3951585829055703E-2</c:v>
                </c:pt>
                <c:pt idx="288">
                  <c:v>2.5170565883877935E-2</c:v>
                </c:pt>
                <c:pt idx="289">
                  <c:v>2.6851591552159642E-2</c:v>
                </c:pt>
                <c:pt idx="290">
                  <c:v>2.8944822965877113E-2</c:v>
                </c:pt>
                <c:pt idx="291">
                  <c:v>3.1450802040655472E-2</c:v>
                </c:pt>
                <c:pt idx="292">
                  <c:v>3.4370042553231638E-2</c:v>
                </c:pt>
                <c:pt idx="293">
                  <c:v>3.7703025667201212E-2</c:v>
                </c:pt>
                <c:pt idx="294">
                  <c:v>4.1450195458670541E-2</c:v>
                </c:pt>
                <c:pt idx="295">
                  <c:v>4.5664553545990944E-2</c:v>
                </c:pt>
                <c:pt idx="296">
                  <c:v>5.0161122371343264E-2</c:v>
                </c:pt>
                <c:pt idx="297">
                  <c:v>5.4940673362176291E-2</c:v>
                </c:pt>
                <c:pt idx="298">
                  <c:v>6.0003629185224616E-2</c:v>
                </c:pt>
                <c:pt idx="299">
                  <c:v>6.5350404187598521E-2</c:v>
                </c:pt>
                <c:pt idx="300">
                  <c:v>7.0981401824719209E-2</c:v>
                </c:pt>
                <c:pt idx="301">
                  <c:v>7.6897012088079642E-2</c:v>
                </c:pt>
                <c:pt idx="302">
                  <c:v>8.3097608933148895E-2</c:v>
                </c:pt>
                <c:pt idx="303">
                  <c:v>8.9427440303256264E-2</c:v>
                </c:pt>
                <c:pt idx="304">
                  <c:v>9.5659927498194061E-2</c:v>
                </c:pt>
                <c:pt idx="305">
                  <c:v>0.10179483470950464</c:v>
                </c:pt>
                <c:pt idx="306">
                  <c:v>0.10783190391900019</c:v>
                </c:pt>
                <c:pt idx="307">
                  <c:v>0.11377085585021923</c:v>
                </c:pt>
                <c:pt idx="308">
                  <c:v>0.11961139091894424</c:v>
                </c:pt>
                <c:pt idx="309">
                  <c:v>0.12514825673917107</c:v>
                </c:pt>
                <c:pt idx="310">
                  <c:v>0.13032786966448426</c:v>
                </c:pt>
                <c:pt idx="311">
                  <c:v>0.13514952922732523</c:v>
                </c:pt>
                <c:pt idx="312">
                  <c:v>0.13961253011184127</c:v>
                </c:pt>
                <c:pt idx="313">
                  <c:v>0.14371616547318083</c:v>
                </c:pt>
                <c:pt idx="314">
                  <c:v>0.14745973025554771</c:v>
                </c:pt>
                <c:pt idx="315">
                  <c:v>0.15084252451204072</c:v>
                </c:pt>
                <c:pt idx="316">
                  <c:v>0.15386385672226835</c:v>
                </c:pt>
                <c:pt idx="317">
                  <c:v>0.15641283829776212</c:v>
                </c:pt>
                <c:pt idx="318">
                  <c:v>0.15864582626153859</c:v>
                </c:pt>
                <c:pt idx="319">
                  <c:v>0.16056223052978405</c:v>
                </c:pt>
                <c:pt idx="320">
                  <c:v>0.16216147908968656</c:v>
                </c:pt>
                <c:pt idx="321">
                  <c:v>0.16344302088968282</c:v>
                </c:pt>
                <c:pt idx="322">
                  <c:v>0.16440632873042851</c:v>
                </c:pt>
                <c:pt idx="323">
                  <c:v>0.1650171708093523</c:v>
                </c:pt>
                <c:pt idx="324">
                  <c:v>0.16548117057575351</c:v>
                </c:pt>
                <c:pt idx="325">
                  <c:v>0.16579802052595835</c:v>
                </c:pt>
                <c:pt idx="326">
                  <c:v>0.16596639594324242</c:v>
                </c:pt>
                <c:pt idx="327">
                  <c:v>0.16598567663732766</c:v>
                </c:pt>
                <c:pt idx="328">
                  <c:v>0.16585611717141924</c:v>
                </c:pt>
                <c:pt idx="329">
                  <c:v>0.16557799481427141</c:v>
                </c:pt>
                <c:pt idx="330">
                  <c:v>0.16515160653517777</c:v>
                </c:pt>
                <c:pt idx="331">
                  <c:v>0.164576760105836</c:v>
                </c:pt>
                <c:pt idx="332">
                  <c:v>0.16396440839525417</c:v>
                </c:pt>
                <c:pt idx="333">
                  <c:v>0.16331491630145809</c:v>
                </c:pt>
                <c:pt idx="334">
                  <c:v>0.16262864677676842</c:v>
                </c:pt>
                <c:pt idx="335">
                  <c:v>0.16190596011587197</c:v>
                </c:pt>
                <c:pt idx="336">
                  <c:v>0.16114721324173628</c:v>
                </c:pt>
                <c:pt idx="337">
                  <c:v>0.16037634716502694</c:v>
                </c:pt>
                <c:pt idx="338">
                  <c:v>0.15962751141500262</c:v>
                </c:pt>
                <c:pt idx="339">
                  <c:v>0.15890105252058723</c:v>
                </c:pt>
                <c:pt idx="340">
                  <c:v>0.15819731026172873</c:v>
                </c:pt>
                <c:pt idx="341">
                  <c:v>0.15751661814997556</c:v>
                </c:pt>
                <c:pt idx="342">
                  <c:v>0.15685930390891176</c:v>
                </c:pt>
                <c:pt idx="343">
                  <c:v>0.15622568995269581</c:v>
                </c:pt>
                <c:pt idx="344">
                  <c:v>0.15561609386707725</c:v>
                </c:pt>
                <c:pt idx="345">
                  <c:v>0.15503082888875147</c:v>
                </c:pt>
                <c:pt idx="346">
                  <c:v>0.15450074454719095</c:v>
                </c:pt>
                <c:pt idx="347">
                  <c:v>0.15402615290621149</c:v>
                </c:pt>
                <c:pt idx="348">
                  <c:v>0.15360736578542958</c:v>
                </c:pt>
                <c:pt idx="349">
                  <c:v>0.15324469587375045</c:v>
                </c:pt>
                <c:pt idx="350">
                  <c:v>0.15293845784645713</c:v>
                </c:pt>
                <c:pt idx="351">
                  <c:v>0.15271901836823792</c:v>
                </c:pt>
                <c:pt idx="352">
                  <c:v>0.15256310337309598</c:v>
                </c:pt>
                <c:pt idx="353">
                  <c:v>0.1524710459935944</c:v>
                </c:pt>
                <c:pt idx="354">
                  <c:v>0.15244318710301485</c:v>
                </c:pt>
                <c:pt idx="355">
                  <c:v>0.15247987655635503</c:v>
                </c:pt>
                <c:pt idx="356">
                  <c:v>0.15258157988167353</c:v>
                </c:pt>
                <c:pt idx="357">
                  <c:v>0.15274832861088847</c:v>
                </c:pt>
                <c:pt idx="358">
                  <c:v>0.15297979725921568</c:v>
                </c:pt>
                <c:pt idx="359">
                  <c:v>0.15327566930017858</c:v>
                </c:pt>
                <c:pt idx="360">
                  <c:v>0.15365930019190838</c:v>
                </c:pt>
                <c:pt idx="361">
                  <c:v>0.15410028067514311</c:v>
                </c:pt>
                <c:pt idx="362">
                  <c:v>0.15459830499322871</c:v>
                </c:pt>
                <c:pt idx="363">
                  <c:v>0.15515306930868705</c:v>
                </c:pt>
                <c:pt idx="364">
                  <c:v>0.15576427032932313</c:v>
                </c:pt>
                <c:pt idx="365">
                  <c:v>0.15643160393245872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0.22354916901044591</c:v>
                </c:pt>
                <c:pt idx="1">
                  <c:v>0.22445422790281824</c:v>
                </c:pt>
                <c:pt idx="2">
                  <c:v>0.22541167795416961</c:v>
                </c:pt>
                <c:pt idx="3">
                  <c:v>0.22642102915905937</c:v>
                </c:pt>
                <c:pt idx="4">
                  <c:v>0.22748178362091837</c:v>
                </c:pt>
                <c:pt idx="5">
                  <c:v>0.22859343426872711</c:v>
                </c:pt>
                <c:pt idx="6">
                  <c:v>0.22975546357661505</c:v>
                </c:pt>
                <c:pt idx="7">
                  <c:v>0.23096734227833407</c:v>
                </c:pt>
                <c:pt idx="8">
                  <c:v>0.23222852808489758</c:v>
                </c:pt>
                <c:pt idx="9">
                  <c:v>0.23353363159040963</c:v>
                </c:pt>
                <c:pt idx="10">
                  <c:v>0.23485285972791214</c:v>
                </c:pt>
                <c:pt idx="11">
                  <c:v>0.23618558128102299</c:v>
                </c:pt>
                <c:pt idx="12">
                  <c:v>0.23753115089986432</c:v>
                </c:pt>
                <c:pt idx="13">
                  <c:v>0.23888890868409624</c:v>
                </c:pt>
                <c:pt idx="14">
                  <c:v>0.24025817976185307</c:v>
                </c:pt>
                <c:pt idx="15">
                  <c:v>0.24157283512274855</c:v>
                </c:pt>
                <c:pt idx="16">
                  <c:v>0.24281080897000004</c:v>
                </c:pt>
                <c:pt idx="17">
                  <c:v>0.24397131768112168</c:v>
                </c:pt>
                <c:pt idx="18">
                  <c:v>0.24505357967272859</c:v>
                </c:pt>
                <c:pt idx="19">
                  <c:v>0.2460581896665413</c:v>
                </c:pt>
                <c:pt idx="20">
                  <c:v>0.24698639098577635</c:v>
                </c:pt>
                <c:pt idx="21">
                  <c:v>0.2478383890990225</c:v>
                </c:pt>
                <c:pt idx="22">
                  <c:v>0.2486144041789082</c:v>
                </c:pt>
                <c:pt idx="23">
                  <c:v>0.24909288217476006</c:v>
                </c:pt>
                <c:pt idx="24">
                  <c:v>0.24927887083969782</c:v>
                </c:pt>
                <c:pt idx="25">
                  <c:v>0.2491726055311376</c:v>
                </c:pt>
                <c:pt idx="26">
                  <c:v>0.24877435570499407</c:v>
                </c:pt>
                <c:pt idx="27">
                  <c:v>0.24808442132055347</c:v>
                </c:pt>
                <c:pt idx="28">
                  <c:v>0.24710312925072017</c:v>
                </c:pt>
                <c:pt idx="29">
                  <c:v>0.24550212439458585</c:v>
                </c:pt>
                <c:pt idx="30">
                  <c:v>0.24334734719733048</c:v>
                </c:pt>
                <c:pt idx="31">
                  <c:v>0.24063922381181196</c:v>
                </c:pt>
                <c:pt idx="32">
                  <c:v>0.23737820858848016</c:v>
                </c:pt>
                <c:pt idx="33">
                  <c:v>0.23356477719252774</c:v>
                </c:pt>
                <c:pt idx="34">
                  <c:v>0.22919941972213845</c:v>
                </c:pt>
                <c:pt idx="35">
                  <c:v>0.22428263382649563</c:v>
                </c:pt>
                <c:pt idx="36">
                  <c:v>0.21881491782328605</c:v>
                </c:pt>
                <c:pt idx="37">
                  <c:v>0.21267556260988565</c:v>
                </c:pt>
                <c:pt idx="38">
                  <c:v>0.20608678706063405</c:v>
                </c:pt>
                <c:pt idx="39">
                  <c:v>0.19904902439607705</c:v>
                </c:pt>
                <c:pt idx="40">
                  <c:v>0.19156267979186095</c:v>
                </c:pt>
                <c:pt idx="41">
                  <c:v>0.18362812475488616</c:v>
                </c:pt>
                <c:pt idx="42">
                  <c:v>0.17524569149796887</c:v>
                </c:pt>
                <c:pt idx="43">
                  <c:v>0.16659119793827493</c:v>
                </c:pt>
                <c:pt idx="44">
                  <c:v>0.15799319429885211</c:v>
                </c:pt>
                <c:pt idx="45">
                  <c:v>0.14945175019510706</c:v>
                </c:pt>
                <c:pt idx="46">
                  <c:v>0.14096689413495694</c:v>
                </c:pt>
                <c:pt idx="47">
                  <c:v>0.13253861420061031</c:v>
                </c:pt>
                <c:pt idx="48">
                  <c:v>0.12416685872835265</c:v>
                </c:pt>
                <c:pt idx="49">
                  <c:v>0.11585153698966789</c:v>
                </c:pt>
                <c:pt idx="50">
                  <c:v>0.10759251987153426</c:v>
                </c:pt>
                <c:pt idx="51">
                  <c:v>9.9683667960474856E-2</c:v>
                </c:pt>
                <c:pt idx="52">
                  <c:v>9.2245353290557455E-2</c:v>
                </c:pt>
                <c:pt idx="53">
                  <c:v>8.5276918324596301E-2</c:v>
                </c:pt>
                <c:pt idx="54">
                  <c:v>7.8778258583377475E-2</c:v>
                </c:pt>
                <c:pt idx="55">
                  <c:v>7.2749287643410696E-2</c:v>
                </c:pt>
                <c:pt idx="56">
                  <c:v>6.718993540001221E-2</c:v>
                </c:pt>
                <c:pt idx="57">
                  <c:v>6.2334788096765591E-2</c:v>
                </c:pt>
                <c:pt idx="58">
                  <c:v>5.800835181432519E-2</c:v>
                </c:pt>
                <c:pt idx="59">
                  <c:v>5.4210596825818594E-2</c:v>
                </c:pt>
                <c:pt idx="60">
                  <c:v>5.0941502660221162E-2</c:v>
                </c:pt>
                <c:pt idx="61">
                  <c:v>4.8201056146510296E-2</c:v>
                </c:pt>
                <c:pt idx="62">
                  <c:v>4.5989249457746219E-2</c:v>
                </c:pt>
                <c:pt idx="63">
                  <c:v>4.4306078155300133E-2</c:v>
                </c:pt>
                <c:pt idx="64">
                  <c:v>4.3151539232891008E-2</c:v>
                </c:pt>
                <c:pt idx="65">
                  <c:v>4.2582519646150487E-2</c:v>
                </c:pt>
                <c:pt idx="66">
                  <c:v>4.2304973858139236E-2</c:v>
                </c:pt>
                <c:pt idx="67">
                  <c:v>4.23188902501134E-2</c:v>
                </c:pt>
                <c:pt idx="68">
                  <c:v>4.2624254010516664E-2</c:v>
                </c:pt>
                <c:pt idx="69">
                  <c:v>4.3221046056297896E-2</c:v>
                </c:pt>
                <c:pt idx="70">
                  <c:v>4.4109241954426497E-2</c:v>
                </c:pt>
                <c:pt idx="71">
                  <c:v>4.5211244624689784E-2</c:v>
                </c:pt>
                <c:pt idx="72">
                  <c:v>4.6292372846420217E-2</c:v>
                </c:pt>
                <c:pt idx="73">
                  <c:v>4.7352597683424189E-2</c:v>
                </c:pt>
                <c:pt idx="74">
                  <c:v>4.8391889129628461E-2</c:v>
                </c:pt>
                <c:pt idx="75">
                  <c:v>4.9410216185644257E-2</c:v>
                </c:pt>
                <c:pt idx="76">
                  <c:v>5.0407546935183838E-2</c:v>
                </c:pt>
                <c:pt idx="77">
                  <c:v>5.1383848621634393E-2</c:v>
                </c:pt>
                <c:pt idx="78">
                  <c:v>5.2339089462178398E-2</c:v>
                </c:pt>
                <c:pt idx="79">
                  <c:v>5.320836892593013E-2</c:v>
                </c:pt>
                <c:pt idx="80">
                  <c:v>5.3934947477884E-2</c:v>
                </c:pt>
                <c:pt idx="81">
                  <c:v>5.4518827636543012E-2</c:v>
                </c:pt>
                <c:pt idx="82">
                  <c:v>5.4960011398207526E-2</c:v>
                </c:pt>
                <c:pt idx="83">
                  <c:v>5.5258500693803059E-2</c:v>
                </c:pt>
                <c:pt idx="84">
                  <c:v>5.5414297845891879E-2</c:v>
                </c:pt>
                <c:pt idx="85">
                  <c:v>5.5397232245810432E-2</c:v>
                </c:pt>
                <c:pt idx="86">
                  <c:v>5.5284833457658812E-2</c:v>
                </c:pt>
                <c:pt idx="87">
                  <c:v>5.5077099922853784E-2</c:v>
                </c:pt>
                <c:pt idx="88">
                  <c:v>5.4774031596756145E-2</c:v>
                </c:pt>
                <c:pt idx="89">
                  <c:v>5.4375630253845335E-2</c:v>
                </c:pt>
                <c:pt idx="90">
                  <c:v>5.3881899792780991E-2</c:v>
                </c:pt>
                <c:pt idx="91">
                  <c:v>5.3292846541672385E-2</c:v>
                </c:pt>
                <c:pt idx="92">
                  <c:v>5.2608479563200222E-2</c:v>
                </c:pt>
                <c:pt idx="93">
                  <c:v>5.1815170738805337E-2</c:v>
                </c:pt>
                <c:pt idx="94">
                  <c:v>5.0977956609624432E-2</c:v>
                </c:pt>
                <c:pt idx="95">
                  <c:v>5.0096843167258459E-2</c:v>
                </c:pt>
                <c:pt idx="96">
                  <c:v>4.9171838777577047E-2</c:v>
                </c:pt>
                <c:pt idx="97">
                  <c:v>4.8202954321423082E-2</c:v>
                </c:pt>
                <c:pt idx="98">
                  <c:v>4.7190203334865316E-2</c:v>
                </c:pt>
                <c:pt idx="99">
                  <c:v>4.6153236870416454E-2</c:v>
                </c:pt>
                <c:pt idx="100">
                  <c:v>4.5122205028635988E-2</c:v>
                </c:pt>
                <c:pt idx="101">
                  <c:v>4.4097111492109521E-2</c:v>
                </c:pt>
                <c:pt idx="102">
                  <c:v>4.307796101139158E-2</c:v>
                </c:pt>
                <c:pt idx="103">
                  <c:v>4.2064759385312525E-2</c:v>
                </c:pt>
                <c:pt idx="104">
                  <c:v>4.1057513442305585E-2</c:v>
                </c:pt>
                <c:pt idx="105">
                  <c:v>4.005623102078773E-2</c:v>
                </c:pt>
                <c:pt idx="106">
                  <c:v>3.9060920950059246E-2</c:v>
                </c:pt>
                <c:pt idx="107">
                  <c:v>3.8057766414773514E-2</c:v>
                </c:pt>
                <c:pt idx="108">
                  <c:v>3.7060400194965572E-2</c:v>
                </c:pt>
                <c:pt idx="109">
                  <c:v>3.6068834483801E-2</c:v>
                </c:pt>
                <c:pt idx="110">
                  <c:v>3.5083182336384924E-2</c:v>
                </c:pt>
                <c:pt idx="111">
                  <c:v>3.4103548988482037E-2</c:v>
                </c:pt>
                <c:pt idx="112">
                  <c:v>3.3129936141740805E-2</c:v>
                </c:pt>
                <c:pt idx="113">
                  <c:v>3.2140156824553519E-2</c:v>
                </c:pt>
                <c:pt idx="114">
                  <c:v>3.111464307577548E-2</c:v>
                </c:pt>
                <c:pt idx="115">
                  <c:v>3.005342641577962E-2</c:v>
                </c:pt>
                <c:pt idx="116">
                  <c:v>2.8956540379257004E-2</c:v>
                </c:pt>
                <c:pt idx="117">
                  <c:v>2.7824020594156618E-2</c:v>
                </c:pt>
                <c:pt idx="118">
                  <c:v>2.6655904860306497E-2</c:v>
                </c:pt>
                <c:pt idx="119">
                  <c:v>2.5452233228126484E-2</c:v>
                </c:pt>
                <c:pt idx="120">
                  <c:v>2.4213048077302027E-2</c:v>
                </c:pt>
                <c:pt idx="121">
                  <c:v>2.2953137066006928E-2</c:v>
                </c:pt>
                <c:pt idx="122">
                  <c:v>2.1686316906898803E-2</c:v>
                </c:pt>
                <c:pt idx="123">
                  <c:v>2.0412614173155652E-2</c:v>
                </c:pt>
                <c:pt idx="124">
                  <c:v>1.9132056852262134E-2</c:v>
                </c:pt>
                <c:pt idx="125">
                  <c:v>1.7844674362405329E-2</c:v>
                </c:pt>
                <c:pt idx="126">
                  <c:v>1.6550497568575812E-2</c:v>
                </c:pt>
                <c:pt idx="127">
                  <c:v>1.5283946786440846E-2</c:v>
                </c:pt>
                <c:pt idx="128">
                  <c:v>1.4067128254830216E-2</c:v>
                </c:pt>
                <c:pt idx="129">
                  <c:v>1.2900023076039697E-2</c:v>
                </c:pt>
                <c:pt idx="130">
                  <c:v>1.1782610973742731E-2</c:v>
                </c:pt>
                <c:pt idx="131">
                  <c:v>1.0714870185083837E-2</c:v>
                </c:pt>
                <c:pt idx="132">
                  <c:v>9.6967773529356115E-3</c:v>
                </c:pt>
                <c:pt idx="133">
                  <c:v>8.7283074182136055E-3</c:v>
                </c:pt>
                <c:pt idx="134">
                  <c:v>7.8094335121186055E-3</c:v>
                </c:pt>
                <c:pt idx="135">
                  <c:v>6.9743239220450004E-3</c:v>
                </c:pt>
                <c:pt idx="136">
                  <c:v>6.2082359812331532E-3</c:v>
                </c:pt>
                <c:pt idx="137">
                  <c:v>5.5111129137739067E-3</c:v>
                </c:pt>
                <c:pt idx="138">
                  <c:v>4.8828944759577919E-3</c:v>
                </c:pt>
                <c:pt idx="139">
                  <c:v>4.3235168057127356E-3</c:v>
                </c:pt>
                <c:pt idx="140">
                  <c:v>3.8329122717455613E-3</c:v>
                </c:pt>
                <c:pt idx="141">
                  <c:v>3.4214573987239186E-3</c:v>
                </c:pt>
                <c:pt idx="142">
                  <c:v>3.0548490813146092E-3</c:v>
                </c:pt>
                <c:pt idx="143">
                  <c:v>2.7330326652017403E-3</c:v>
                </c:pt>
                <c:pt idx="144">
                  <c:v>2.4559690344439374E-3</c:v>
                </c:pt>
                <c:pt idx="145">
                  <c:v>2.2236121311791429E-3</c:v>
                </c:pt>
                <c:pt idx="146">
                  <c:v>2.0359095541065257E-3</c:v>
                </c:pt>
                <c:pt idx="147">
                  <c:v>1.8928031570513417E-3</c:v>
                </c:pt>
                <c:pt idx="148">
                  <c:v>1.7942296474698762E-3</c:v>
                </c:pt>
                <c:pt idx="149">
                  <c:v>1.7393888908124608E-3</c:v>
                </c:pt>
                <c:pt idx="150">
                  <c:v>1.6942567328488631E-3</c:v>
                </c:pt>
                <c:pt idx="151">
                  <c:v>1.6588200318217161E-3</c:v>
                </c:pt>
                <c:pt idx="152">
                  <c:v>1.6330648181951328E-3</c:v>
                </c:pt>
                <c:pt idx="153">
                  <c:v>1.6169764251023134E-3</c:v>
                </c:pt>
                <c:pt idx="154">
                  <c:v>1.6105396188024427E-3</c:v>
                </c:pt>
                <c:pt idx="155">
                  <c:v>1.6130019105912664E-3</c:v>
                </c:pt>
                <c:pt idx="156">
                  <c:v>1.6139880586172281E-3</c:v>
                </c:pt>
                <c:pt idx="157">
                  <c:v>1.613502999512955E-3</c:v>
                </c:pt>
                <c:pt idx="158">
                  <c:v>1.6115516990276582E-3</c:v>
                </c:pt>
                <c:pt idx="159">
                  <c:v>1.6081391321684816E-3</c:v>
                </c:pt>
                <c:pt idx="160">
                  <c:v>1.6032702633617417E-3</c:v>
                </c:pt>
                <c:pt idx="161">
                  <c:v>1.5969500265958921E-3</c:v>
                </c:pt>
                <c:pt idx="162">
                  <c:v>1.5891833055731869E-3</c:v>
                </c:pt>
                <c:pt idx="163">
                  <c:v>1.5808161120381523E-3</c:v>
                </c:pt>
                <c:pt idx="164">
                  <c:v>1.5725771214718824E-3</c:v>
                </c:pt>
                <c:pt idx="165">
                  <c:v>1.5644681128742606E-3</c:v>
                </c:pt>
                <c:pt idx="166">
                  <c:v>1.5564908313988048E-3</c:v>
                </c:pt>
                <c:pt idx="167">
                  <c:v>1.5486469897983287E-3</c:v>
                </c:pt>
                <c:pt idx="168">
                  <c:v>1.5409382699205867E-3</c:v>
                </c:pt>
                <c:pt idx="169">
                  <c:v>1.5342045425942911E-3</c:v>
                </c:pt>
                <c:pt idx="170">
                  <c:v>1.5291761661028382E-3</c:v>
                </c:pt>
                <c:pt idx="171">
                  <c:v>1.5258522825715879E-3</c:v>
                </c:pt>
                <c:pt idx="172">
                  <c:v>1.5242321824454992E-3</c:v>
                </c:pt>
                <c:pt idx="173">
                  <c:v>1.5242997396972438E-3</c:v>
                </c:pt>
                <c:pt idx="174">
                  <c:v>1.5260381234698049E-3</c:v>
                </c:pt>
                <c:pt idx="175">
                  <c:v>1.5294456942970759E-3</c:v>
                </c:pt>
                <c:pt idx="176">
                  <c:v>1.5345208237481961E-3</c:v>
                </c:pt>
                <c:pt idx="177">
                  <c:v>1.5405343937597317E-3</c:v>
                </c:pt>
                <c:pt idx="178">
                  <c:v>1.5466515627263532E-3</c:v>
                </c:pt>
                <c:pt idx="179">
                  <c:v>1.5528731248488521E-3</c:v>
                </c:pt>
                <c:pt idx="180">
                  <c:v>1.5591998923597927E-3</c:v>
                </c:pt>
                <c:pt idx="181">
                  <c:v>1.5656326961445842E-3</c:v>
                </c:pt>
                <c:pt idx="182">
                  <c:v>1.5721723863760667E-3</c:v>
                </c:pt>
                <c:pt idx="183">
                  <c:v>1.5781015509868516E-3</c:v>
                </c:pt>
                <c:pt idx="184">
                  <c:v>1.5825901982060599E-3</c:v>
                </c:pt>
                <c:pt idx="185">
                  <c:v>1.5856414203093059E-3</c:v>
                </c:pt>
                <c:pt idx="186">
                  <c:v>1.5872582664587362E-3</c:v>
                </c:pt>
                <c:pt idx="187">
                  <c:v>1.5874437342100474E-3</c:v>
                </c:pt>
                <c:pt idx="188">
                  <c:v>1.5862007610287392E-3</c:v>
                </c:pt>
                <c:pt idx="189">
                  <c:v>1.5835322157578869E-3</c:v>
                </c:pt>
                <c:pt idx="190">
                  <c:v>1.5794408901536035E-3</c:v>
                </c:pt>
                <c:pt idx="191">
                  <c:v>1.5840985614652804E-3</c:v>
                </c:pt>
                <c:pt idx="192">
                  <c:v>1.5982176757711923E-3</c:v>
                </c:pt>
                <c:pt idx="193">
                  <c:v>1.6217879340357513E-3</c:v>
                </c:pt>
                <c:pt idx="194">
                  <c:v>1.6547997047436206E-3</c:v>
                </c:pt>
                <c:pt idx="195">
                  <c:v>1.6972440797974316E-3</c:v>
                </c:pt>
                <c:pt idx="196">
                  <c:v>1.7491129303533817E-3</c:v>
                </c:pt>
                <c:pt idx="197">
                  <c:v>1.843525457439729E-3</c:v>
                </c:pt>
                <c:pt idx="198">
                  <c:v>1.9811553276664674E-3</c:v>
                </c:pt>
                <c:pt idx="199">
                  <c:v>2.1619655531059548E-3</c:v>
                </c:pt>
                <c:pt idx="200">
                  <c:v>2.3859232985345038E-3</c:v>
                </c:pt>
                <c:pt idx="201">
                  <c:v>2.6530001377069725E-3</c:v>
                </c:pt>
                <c:pt idx="202">
                  <c:v>2.9631723096355334E-3</c:v>
                </c:pt>
                <c:pt idx="203">
                  <c:v>3.3164209749330636E-3</c:v>
                </c:pt>
                <c:pt idx="204">
                  <c:v>3.71272647663315E-3</c:v>
                </c:pt>
                <c:pt idx="205">
                  <c:v>4.1852151057498992E-3</c:v>
                </c:pt>
                <c:pt idx="206">
                  <c:v>4.7237324707273083E-3</c:v>
                </c:pt>
                <c:pt idx="207">
                  <c:v>5.3282564339613963E-3</c:v>
                </c:pt>
                <c:pt idx="208">
                  <c:v>5.9987695795774001E-3</c:v>
                </c:pt>
                <c:pt idx="209">
                  <c:v>6.7352590080384574E-3</c:v>
                </c:pt>
                <c:pt idx="210">
                  <c:v>7.5377161309507779E-3</c:v>
                </c:pt>
                <c:pt idx="211">
                  <c:v>8.4203073281422305E-3</c:v>
                </c:pt>
                <c:pt idx="212">
                  <c:v>9.3500162672041833E-3</c:v>
                </c:pt>
                <c:pt idx="213">
                  <c:v>1.0326853803592172E-2</c:v>
                </c:pt>
                <c:pt idx="214">
                  <c:v>1.1350832962620395E-2</c:v>
                </c:pt>
                <c:pt idx="215">
                  <c:v>1.242196879267349E-2</c:v>
                </c:pt>
                <c:pt idx="216">
                  <c:v>1.3540278218388612E-2</c:v>
                </c:pt>
                <c:pt idx="217">
                  <c:v>1.4705779893891078E-2</c:v>
                </c:pt>
                <c:pt idx="218">
                  <c:v>1.5918494055965481E-2</c:v>
                </c:pt>
                <c:pt idx="219">
                  <c:v>1.7157170880041032E-2</c:v>
                </c:pt>
                <c:pt idx="220">
                  <c:v>1.8388755957061145E-2</c:v>
                </c:pt>
                <c:pt idx="221">
                  <c:v>1.9613280075098615E-2</c:v>
                </c:pt>
                <c:pt idx="222">
                  <c:v>2.0830772095195668E-2</c:v>
                </c:pt>
                <c:pt idx="223">
                  <c:v>2.20412589737864E-2</c:v>
                </c:pt>
                <c:pt idx="224">
                  <c:v>2.3244765784681591E-2</c:v>
                </c:pt>
                <c:pt idx="225">
                  <c:v>2.4428079151172535E-2</c:v>
                </c:pt>
                <c:pt idx="226">
                  <c:v>2.5577063825167029E-2</c:v>
                </c:pt>
                <c:pt idx="227">
                  <c:v>2.6691738662013284E-2</c:v>
                </c:pt>
                <c:pt idx="228">
                  <c:v>2.777211955962635E-2</c:v>
                </c:pt>
                <c:pt idx="229">
                  <c:v>2.8818219565434053E-2</c:v>
                </c:pt>
                <c:pt idx="230">
                  <c:v>2.9830048983725481E-2</c:v>
                </c:pt>
                <c:pt idx="231">
                  <c:v>3.0807615483132891E-2</c:v>
                </c:pt>
                <c:pt idx="232">
                  <c:v>3.1750924203477693E-2</c:v>
                </c:pt>
                <c:pt idx="233">
                  <c:v>3.267875665458838E-2</c:v>
                </c:pt>
                <c:pt idx="234">
                  <c:v>3.3612388128250362E-2</c:v>
                </c:pt>
                <c:pt idx="235">
                  <c:v>3.4551851432975844E-2</c:v>
                </c:pt>
                <c:pt idx="236">
                  <c:v>3.5497192956091043E-2</c:v>
                </c:pt>
                <c:pt idx="237">
                  <c:v>3.6448438904035312E-2</c:v>
                </c:pt>
                <c:pt idx="238">
                  <c:v>3.7405616377060309E-2</c:v>
                </c:pt>
                <c:pt idx="239">
                  <c:v>3.8355710110825468E-2</c:v>
                </c:pt>
                <c:pt idx="240">
                  <c:v>3.9311990725849753E-2</c:v>
                </c:pt>
                <c:pt idx="241">
                  <c:v>4.0274487828461131E-2</c:v>
                </c:pt>
                <c:pt idx="242">
                  <c:v>4.1243231958052913E-2</c:v>
                </c:pt>
                <c:pt idx="243">
                  <c:v>4.2218254597581745E-2</c:v>
                </c:pt>
                <c:pt idx="244">
                  <c:v>4.3199588183865191E-2</c:v>
                </c:pt>
                <c:pt idx="245">
                  <c:v>4.4187266117433593E-2</c:v>
                </c:pt>
                <c:pt idx="246">
                  <c:v>4.5181322772272207E-2</c:v>
                </c:pt>
                <c:pt idx="247">
                  <c:v>4.6152928147018685E-2</c:v>
                </c:pt>
                <c:pt idx="248">
                  <c:v>4.7083298681278439E-2</c:v>
                </c:pt>
                <c:pt idx="249">
                  <c:v>4.7972447631905682E-2</c:v>
                </c:pt>
                <c:pt idx="250">
                  <c:v>4.882038664944098E-2</c:v>
                </c:pt>
                <c:pt idx="251">
                  <c:v>4.9627125705467262E-2</c:v>
                </c:pt>
                <c:pt idx="252">
                  <c:v>5.0392673017942508E-2</c:v>
                </c:pt>
                <c:pt idx="253">
                  <c:v>5.1054733343004831E-2</c:v>
                </c:pt>
                <c:pt idx="254">
                  <c:v>5.1626343978439931E-2</c:v>
                </c:pt>
                <c:pt idx="255">
                  <c:v>5.2107473072033346E-2</c:v>
                </c:pt>
                <c:pt idx="256">
                  <c:v>5.2498083684429132E-2</c:v>
                </c:pt>
                <c:pt idx="257">
                  <c:v>5.2798133628063876E-2</c:v>
                </c:pt>
                <c:pt idx="258">
                  <c:v>5.3007575306596152E-2</c:v>
                </c:pt>
                <c:pt idx="259">
                  <c:v>5.3126355555075812E-2</c:v>
                </c:pt>
                <c:pt idx="260">
                  <c:v>5.315441547849669E-2</c:v>
                </c:pt>
                <c:pt idx="261">
                  <c:v>5.3017302549190064E-2</c:v>
                </c:pt>
                <c:pt idx="262">
                  <c:v>5.2743841748903147E-2</c:v>
                </c:pt>
                <c:pt idx="263">
                  <c:v>5.2333911856571241E-2</c:v>
                </c:pt>
                <c:pt idx="264">
                  <c:v>5.1787384571556072E-2</c:v>
                </c:pt>
                <c:pt idx="265">
                  <c:v>5.1104395498360759E-2</c:v>
                </c:pt>
                <c:pt idx="266">
                  <c:v>5.0284920152820267E-2</c:v>
                </c:pt>
                <c:pt idx="267">
                  <c:v>4.9383374505842653E-2</c:v>
                </c:pt>
                <c:pt idx="268">
                  <c:v>4.8462133010207194E-2</c:v>
                </c:pt>
                <c:pt idx="269">
                  <c:v>4.7521069647537766E-2</c:v>
                </c:pt>
                <c:pt idx="270">
                  <c:v>4.6560060587197728E-2</c:v>
                </c:pt>
                <c:pt idx="271">
                  <c:v>4.5578984404167355E-2</c:v>
                </c:pt>
                <c:pt idx="272">
                  <c:v>4.4577722298273843E-2</c:v>
                </c:pt>
                <c:pt idx="273">
                  <c:v>4.3556158312830974E-2</c:v>
                </c:pt>
                <c:pt idx="274">
                  <c:v>4.2514179553871455E-2</c:v>
                </c:pt>
                <c:pt idx="275">
                  <c:v>4.1677952155535318E-2</c:v>
                </c:pt>
                <c:pt idx="276">
                  <c:v>4.1122539096395218E-2</c:v>
                </c:pt>
                <c:pt idx="277">
                  <c:v>4.0848295050917707E-2</c:v>
                </c:pt>
                <c:pt idx="278">
                  <c:v>4.0855589989431444E-2</c:v>
                </c:pt>
                <c:pt idx="279">
                  <c:v>4.1144806091514753E-2</c:v>
                </c:pt>
                <c:pt idx="280">
                  <c:v>4.1716334659772043E-2</c:v>
                </c:pt>
                <c:pt idx="281">
                  <c:v>4.2854978886224047E-2</c:v>
                </c:pt>
                <c:pt idx="282">
                  <c:v>4.4506528827972298E-2</c:v>
                </c:pt>
                <c:pt idx="283">
                  <c:v>4.6671745706156668E-2</c:v>
                </c:pt>
                <c:pt idx="284">
                  <c:v>4.9351386617022173E-2</c:v>
                </c:pt>
                <c:pt idx="285">
                  <c:v>5.2546198934680301E-2</c:v>
                </c:pt>
                <c:pt idx="286">
                  <c:v>5.6256914714337615E-2</c:v>
                </c:pt>
                <c:pt idx="287">
                  <c:v>6.0484245095062499E-2</c:v>
                </c:pt>
                <c:pt idx="288">
                  <c:v>6.5228874702724579E-2</c:v>
                </c:pt>
                <c:pt idx="289">
                  <c:v>7.0661874718660103E-2</c:v>
                </c:pt>
                <c:pt idx="290">
                  <c:v>7.6556093793530594E-2</c:v>
                </c:pt>
                <c:pt idx="291">
                  <c:v>8.2912014744102799E-2</c:v>
                </c:pt>
                <c:pt idx="292">
                  <c:v>8.9730073664563703E-2</c:v>
                </c:pt>
                <c:pt idx="293">
                  <c:v>9.7010654956341494E-2</c:v>
                </c:pt>
                <c:pt idx="294">
                  <c:v>0.10475408635767131</c:v>
                </c:pt>
                <c:pt idx="295">
                  <c:v>0.11284269869095759</c:v>
                </c:pt>
                <c:pt idx="296">
                  <c:v>0.12099147420249813</c:v>
                </c:pt>
                <c:pt idx="297">
                  <c:v>0.12920141882353661</c:v>
                </c:pt>
                <c:pt idx="298">
                  <c:v>0.13747264374474807</c:v>
                </c:pt>
                <c:pt idx="299">
                  <c:v>0.14580523179946633</c:v>
                </c:pt>
                <c:pt idx="300">
                  <c:v>0.15419923697449475</c:v>
                </c:pt>
                <c:pt idx="301">
                  <c:v>0.16265468392051277</c:v>
                </c:pt>
                <c:pt idx="302">
                  <c:v>0.17117156746280296</c:v>
                </c:pt>
                <c:pt idx="303">
                  <c:v>0.17942892401733182</c:v>
                </c:pt>
                <c:pt idx="304">
                  <c:v>0.18725460051491327</c:v>
                </c:pt>
                <c:pt idx="305">
                  <c:v>0.19464779666926535</c:v>
                </c:pt>
                <c:pt idx="306">
                  <c:v>0.20160768614851915</c:v>
                </c:pt>
                <c:pt idx="307">
                  <c:v>0.20813342062038442</c:v>
                </c:pt>
                <c:pt idx="308">
                  <c:v>0.2142241337955825</c:v>
                </c:pt>
                <c:pt idx="309">
                  <c:v>0.21966175121542345</c:v>
                </c:pt>
                <c:pt idx="310">
                  <c:v>0.22456386200723863</c:v>
                </c:pt>
                <c:pt idx="311">
                  <c:v>0.22892944084047911</c:v>
                </c:pt>
                <c:pt idx="312">
                  <c:v>0.23275746556749255</c:v>
                </c:pt>
                <c:pt idx="313">
                  <c:v>0.23604692217326922</c:v>
                </c:pt>
                <c:pt idx="314">
                  <c:v>0.23879680972309331</c:v>
                </c:pt>
                <c:pt idx="315">
                  <c:v>0.24100614531314341</c:v>
                </c:pt>
                <c:pt idx="316">
                  <c:v>0.24267396901744118</c:v>
                </c:pt>
                <c:pt idx="317">
                  <c:v>0.24373494869129894</c:v>
                </c:pt>
                <c:pt idx="318">
                  <c:v>0.24451117873521724</c:v>
                </c:pt>
                <c:pt idx="319">
                  <c:v>0.24500208614888264</c:v>
                </c:pt>
                <c:pt idx="320">
                  <c:v>0.24520711869359246</c:v>
                </c:pt>
                <c:pt idx="321">
                  <c:v>0.24512574747618338</c:v>
                </c:pt>
                <c:pt idx="322">
                  <c:v>0.24475746953399968</c:v>
                </c:pt>
                <c:pt idx="323">
                  <c:v>0.24409703354500983</c:v>
                </c:pt>
                <c:pt idx="324">
                  <c:v>0.24336244735190882</c:v>
                </c:pt>
                <c:pt idx="325">
                  <c:v>0.24255345915772125</c:v>
                </c:pt>
                <c:pt idx="326">
                  <c:v>0.24166832520637704</c:v>
                </c:pt>
                <c:pt idx="327">
                  <c:v>0.24070633601421987</c:v>
                </c:pt>
                <c:pt idx="328">
                  <c:v>0.23966803471996714</c:v>
                </c:pt>
                <c:pt idx="329">
                  <c:v>0.23855396700619014</c:v>
                </c:pt>
                <c:pt idx="330">
                  <c:v>0.23736467965332142</c:v>
                </c:pt>
                <c:pt idx="331">
                  <c:v>0.23612175449371403</c:v>
                </c:pt>
                <c:pt idx="332">
                  <c:v>0.2348903860751968</c:v>
                </c:pt>
                <c:pt idx="333">
                  <c:v>0.23367113563039232</c:v>
                </c:pt>
                <c:pt idx="334">
                  <c:v>0.23246455239789285</c:v>
                </c:pt>
                <c:pt idx="335">
                  <c:v>0.23127117396224697</c:v>
                </c:pt>
                <c:pt idx="336">
                  <c:v>0.23009152659085805</c:v>
                </c:pt>
                <c:pt idx="337">
                  <c:v>0.22895504694763075</c:v>
                </c:pt>
                <c:pt idx="338">
                  <c:v>0.22786702871870101</c:v>
                </c:pt>
                <c:pt idx="339">
                  <c:v>0.22682796841083722</c:v>
                </c:pt>
                <c:pt idx="340">
                  <c:v>0.22583835238312855</c:v>
                </c:pt>
                <c:pt idx="341">
                  <c:v>0.22489865788680152</c:v>
                </c:pt>
                <c:pt idx="342">
                  <c:v>0.22400935410483516</c:v>
                </c:pt>
                <c:pt idx="343">
                  <c:v>0.22317090318886854</c:v>
                </c:pt>
                <c:pt idx="344">
                  <c:v>0.22238376129964602</c:v>
                </c:pt>
                <c:pt idx="345">
                  <c:v>0.22164837964508921</c:v>
                </c:pt>
                <c:pt idx="346">
                  <c:v>0.22098225846716446</c:v>
                </c:pt>
                <c:pt idx="347">
                  <c:v>0.22038584558312213</c:v>
                </c:pt>
                <c:pt idx="348">
                  <c:v>0.21985958846302159</c:v>
                </c:pt>
                <c:pt idx="349">
                  <c:v>0.21940393562127325</c:v>
                </c:pt>
                <c:pt idx="350">
                  <c:v>0.21901933801333331</c:v>
                </c:pt>
                <c:pt idx="351">
                  <c:v>0.21874437174976377</c:v>
                </c:pt>
                <c:pt idx="352">
                  <c:v>0.21855056641622583</c:v>
                </c:pt>
                <c:pt idx="353">
                  <c:v>0.21843839657724298</c:v>
                </c:pt>
                <c:pt idx="354">
                  <c:v>0.21840834661813474</c:v>
                </c:pt>
                <c:pt idx="355">
                  <c:v>0.21846091231814821</c:v>
                </c:pt>
                <c:pt idx="356">
                  <c:v>0.21859675349754942</c:v>
                </c:pt>
                <c:pt idx="357">
                  <c:v>0.21881590632960657</c:v>
                </c:pt>
                <c:pt idx="358">
                  <c:v>0.21911789375954374</c:v>
                </c:pt>
                <c:pt idx="359">
                  <c:v>0.21950225009708621</c:v>
                </c:pt>
                <c:pt idx="360">
                  <c:v>0.21999753410512785</c:v>
                </c:pt>
                <c:pt idx="361">
                  <c:v>0.22056510192746767</c:v>
                </c:pt>
                <c:pt idx="362">
                  <c:v>0.22120450020196608</c:v>
                </c:pt>
                <c:pt idx="363">
                  <c:v>0.22191527791294091</c:v>
                </c:pt>
                <c:pt idx="364">
                  <c:v>0.22269698467437615</c:v>
                </c:pt>
                <c:pt idx="365">
                  <c:v>0.22354916901044591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0.3606681924962955</c:v>
                </c:pt>
                <c:pt idx="1">
                  <c:v>0.360324512370095</c:v>
                </c:pt>
                <c:pt idx="2">
                  <c:v>0.35985938713872784</c:v>
                </c:pt>
                <c:pt idx="3">
                  <c:v>0.35927171285066595</c:v>
                </c:pt>
                <c:pt idx="4">
                  <c:v>0.35856039013453822</c:v>
                </c:pt>
                <c:pt idx="5">
                  <c:v>0.35772432733930465</c:v>
                </c:pt>
                <c:pt idx="6">
                  <c:v>0.356762443679006</c:v>
                </c:pt>
                <c:pt idx="7">
                  <c:v>0.35567367236944214</c:v>
                </c:pt>
                <c:pt idx="8">
                  <c:v>0.35445696376988661</c:v>
                </c:pt>
                <c:pt idx="9">
                  <c:v>0.35324317312169018</c:v>
                </c:pt>
                <c:pt idx="10">
                  <c:v>0.352109552191543</c:v>
                </c:pt>
                <c:pt idx="11">
                  <c:v>0.35105537652905294</c:v>
                </c:pt>
                <c:pt idx="12">
                  <c:v>0.35007992555985329</c:v>
                </c:pt>
                <c:pt idx="13">
                  <c:v>0.34918248038901678</c:v>
                </c:pt>
                <c:pt idx="14">
                  <c:v>0.34836232159849945</c:v>
                </c:pt>
                <c:pt idx="15">
                  <c:v>0.34768757930966415</c:v>
                </c:pt>
                <c:pt idx="16">
                  <c:v>0.34720317869724426</c:v>
                </c:pt>
                <c:pt idx="17">
                  <c:v>0.34690846822540933</c:v>
                </c:pt>
                <c:pt idx="18">
                  <c:v>0.34680276257702708</c:v>
                </c:pt>
                <c:pt idx="19">
                  <c:v>0.34688727244904488</c:v>
                </c:pt>
                <c:pt idx="20">
                  <c:v>0.34716404541829093</c:v>
                </c:pt>
                <c:pt idx="21">
                  <c:v>0.34763360038710228</c:v>
                </c:pt>
                <c:pt idx="22">
                  <c:v>0.34829642800962146</c:v>
                </c:pt>
                <c:pt idx="23">
                  <c:v>0.34902114025896047</c:v>
                </c:pt>
                <c:pt idx="24">
                  <c:v>0.34967575400475276</c:v>
                </c:pt>
                <c:pt idx="25">
                  <c:v>0.35026065327736799</c:v>
                </c:pt>
                <c:pt idx="26">
                  <c:v>0.35077623253084855</c:v>
                </c:pt>
                <c:pt idx="27">
                  <c:v>0.35122289585289879</c:v>
                </c:pt>
                <c:pt idx="28">
                  <c:v>0.35160105618243231</c:v>
                </c:pt>
                <c:pt idx="29">
                  <c:v>0.35158522045823459</c:v>
                </c:pt>
                <c:pt idx="30">
                  <c:v>0.35110687309941241</c:v>
                </c:pt>
                <c:pt idx="31">
                  <c:v>0.35016650291723878</c:v>
                </c:pt>
                <c:pt idx="32">
                  <c:v>0.34876462875558167</c:v>
                </c:pt>
                <c:pt idx="33">
                  <c:v>0.34690179376722791</c:v>
                </c:pt>
                <c:pt idx="34">
                  <c:v>0.34457855969180051</c:v>
                </c:pt>
                <c:pt idx="35">
                  <c:v>0.3417955011333722</c:v>
                </c:pt>
                <c:pt idx="36">
                  <c:v>0.33855319983735022</c:v>
                </c:pt>
                <c:pt idx="37">
                  <c:v>0.33447654205139921</c:v>
                </c:pt>
                <c:pt idx="38">
                  <c:v>0.32969800929930299</c:v>
                </c:pt>
                <c:pt idx="39">
                  <c:v>0.32421823745295653</c:v>
                </c:pt>
                <c:pt idx="40">
                  <c:v>0.31803784615115294</c:v>
                </c:pt>
                <c:pt idx="41">
                  <c:v>0.31115743002840168</c:v>
                </c:pt>
                <c:pt idx="42">
                  <c:v>0.3035775499414089</c:v>
                </c:pt>
                <c:pt idx="43">
                  <c:v>0.295187438842267</c:v>
                </c:pt>
                <c:pt idx="44">
                  <c:v>0.2863131582292146</c:v>
                </c:pt>
                <c:pt idx="45">
                  <c:v>0.2769550648368525</c:v>
                </c:pt>
                <c:pt idx="46">
                  <c:v>0.26711345439540674</c:v>
                </c:pt>
                <c:pt idx="47">
                  <c:v>0.25678855554139557</c:v>
                </c:pt>
                <c:pt idx="48">
                  <c:v>0.24598052372463039</c:v>
                </c:pt>
                <c:pt idx="49">
                  <c:v>0.23468943511770077</c:v>
                </c:pt>
                <c:pt idx="50">
                  <c:v>0.22291528052387458</c:v>
                </c:pt>
                <c:pt idx="51">
                  <c:v>0.21092391322843224</c:v>
                </c:pt>
                <c:pt idx="52">
                  <c:v>0.19908937699421245</c:v>
                </c:pt>
                <c:pt idx="53">
                  <c:v>0.18741036541215891</c:v>
                </c:pt>
                <c:pt idx="54">
                  <c:v>0.17588669732374157</c:v>
                </c:pt>
                <c:pt idx="55">
                  <c:v>0.16451821140413855</c:v>
                </c:pt>
                <c:pt idx="56">
                  <c:v>0.15330476558979184</c:v>
                </c:pt>
                <c:pt idx="57">
                  <c:v>0.14270186437592511</c:v>
                </c:pt>
                <c:pt idx="58">
                  <c:v>0.13282064713873629</c:v>
                </c:pt>
                <c:pt idx="59">
                  <c:v>0.12366103831514108</c:v>
                </c:pt>
                <c:pt idx="60">
                  <c:v>0.11522298085976357</c:v>
                </c:pt>
                <c:pt idx="61">
                  <c:v>0.10750643357540686</c:v>
                </c:pt>
                <c:pt idx="62">
                  <c:v>0.10051136844335853</c:v>
                </c:pt>
                <c:pt idx="63">
                  <c:v>9.4237767954026233E-2</c:v>
                </c:pt>
                <c:pt idx="64">
                  <c:v>8.8685622437149281E-2</c:v>
                </c:pt>
                <c:pt idx="65">
                  <c:v>8.4138495049434062E-2</c:v>
                </c:pt>
                <c:pt idx="66">
                  <c:v>8.0330421056324514E-2</c:v>
                </c:pt>
                <c:pt idx="67">
                  <c:v>7.726139670341127E-2</c:v>
                </c:pt>
                <c:pt idx="68">
                  <c:v>7.4931414734366861E-2</c:v>
                </c:pt>
                <c:pt idx="69">
                  <c:v>7.3340461656000153E-2</c:v>
                </c:pt>
                <c:pt idx="70">
                  <c:v>7.2488515003687928E-2</c:v>
                </c:pt>
                <c:pt idx="71">
                  <c:v>7.2338970426657281E-2</c:v>
                </c:pt>
                <c:pt idx="72">
                  <c:v>7.2436144529012231E-2</c:v>
                </c:pt>
                <c:pt idx="73">
                  <c:v>7.2779998860615411E-2</c:v>
                </c:pt>
                <c:pt idx="74">
                  <c:v>7.3370488483336258E-2</c:v>
                </c:pt>
                <c:pt idx="75">
                  <c:v>7.4207561057412871E-2</c:v>
                </c:pt>
                <c:pt idx="76">
                  <c:v>7.5291155927586464E-2</c:v>
                </c:pt>
                <c:pt idx="77">
                  <c:v>7.6621203209475353E-2</c:v>
                </c:pt>
                <c:pt idx="78">
                  <c:v>7.8197625471941604E-2</c:v>
                </c:pt>
                <c:pt idx="79">
                  <c:v>7.9890909500713397E-2</c:v>
                </c:pt>
                <c:pt idx="80">
                  <c:v>8.1417739797131655E-2</c:v>
                </c:pt>
                <c:pt idx="81">
                  <c:v>8.2778113032723255E-2</c:v>
                </c:pt>
                <c:pt idx="82">
                  <c:v>8.3972024398161149E-2</c:v>
                </c:pt>
                <c:pt idx="83">
                  <c:v>8.4999468135908113E-2</c:v>
                </c:pt>
                <c:pt idx="84">
                  <c:v>8.5860438073142129E-2</c:v>
                </c:pt>
                <c:pt idx="85">
                  <c:v>8.6495861865584125E-2</c:v>
                </c:pt>
                <c:pt idx="86">
                  <c:v>8.6942292166976035E-2</c:v>
                </c:pt>
                <c:pt idx="87">
                  <c:v>8.7199728967846835E-2</c:v>
                </c:pt>
                <c:pt idx="88">
                  <c:v>8.7268174403465321E-2</c:v>
                </c:pt>
                <c:pt idx="89">
                  <c:v>8.7147633358743704E-2</c:v>
                </c:pt>
                <c:pt idx="90">
                  <c:v>8.6838114072960673E-2</c:v>
                </c:pt>
                <c:pt idx="91">
                  <c:v>8.6339628744816543E-2</c:v>
                </c:pt>
                <c:pt idx="92">
                  <c:v>8.5652194137254459E-2</c:v>
                </c:pt>
                <c:pt idx="93">
                  <c:v>8.4730803962007412E-2</c:v>
                </c:pt>
                <c:pt idx="94">
                  <c:v>8.3705118104952528E-2</c:v>
                </c:pt>
                <c:pt idx="95">
                  <c:v>8.2575149401285755E-2</c:v>
                </c:pt>
                <c:pt idx="96">
                  <c:v>8.1340915095842459E-2</c:v>
                </c:pt>
                <c:pt idx="97">
                  <c:v>8.0002437177196406E-2</c:v>
                </c:pt>
                <c:pt idx="98">
                  <c:v>7.8559742711016317E-2</c:v>
                </c:pt>
                <c:pt idx="99">
                  <c:v>7.7020170042840674E-2</c:v>
                </c:pt>
                <c:pt idx="100">
                  <c:v>7.544275039879135E-2</c:v>
                </c:pt>
                <c:pt idx="101">
                  <c:v>7.3827503601739258E-2</c:v>
                </c:pt>
                <c:pt idx="102">
                  <c:v>7.2174453047740658E-2</c:v>
                </c:pt>
                <c:pt idx="103">
                  <c:v>7.0483625826224694E-2</c:v>
                </c:pt>
                <c:pt idx="104">
                  <c:v>6.8755052841889458E-2</c:v>
                </c:pt>
                <c:pt idx="105">
                  <c:v>6.6988768935013501E-2</c:v>
                </c:pt>
                <c:pt idx="106">
                  <c:v>6.5184813002635511E-2</c:v>
                </c:pt>
                <c:pt idx="107">
                  <c:v>6.3396852592571801E-2</c:v>
                </c:pt>
                <c:pt idx="108">
                  <c:v>6.166984992616812E-2</c:v>
                </c:pt>
                <c:pt idx="109">
                  <c:v>6.0003799579288065E-2</c:v>
                </c:pt>
                <c:pt idx="110">
                  <c:v>5.8398861190870295E-2</c:v>
                </c:pt>
                <c:pt idx="111">
                  <c:v>5.685517938649233E-2</c:v>
                </c:pt>
                <c:pt idx="112">
                  <c:v>5.5372725146470951E-2</c:v>
                </c:pt>
                <c:pt idx="113">
                  <c:v>5.3936657534816489E-2</c:v>
                </c:pt>
                <c:pt idx="114">
                  <c:v>5.2539668789945509E-2</c:v>
                </c:pt>
                <c:pt idx="115">
                  <c:v>5.1181743274886844E-2</c:v>
                </c:pt>
                <c:pt idx="116">
                  <c:v>4.9862865355131361E-2</c:v>
                </c:pt>
                <c:pt idx="117">
                  <c:v>4.8583019314294838E-2</c:v>
                </c:pt>
                <c:pt idx="118">
                  <c:v>4.7342189269243953E-2</c:v>
                </c:pt>
                <c:pt idx="119">
                  <c:v>4.6140359085375865E-2</c:v>
                </c:pt>
                <c:pt idx="120">
                  <c:v>4.4977512291825179E-2</c:v>
                </c:pt>
                <c:pt idx="121">
                  <c:v>4.3810753427997451E-2</c:v>
                </c:pt>
                <c:pt idx="122">
                  <c:v>4.2586651164598366E-2</c:v>
                </c:pt>
                <c:pt idx="123">
                  <c:v>4.1305265945436792E-2</c:v>
                </c:pt>
                <c:pt idx="124">
                  <c:v>3.9966661686007522E-2</c:v>
                </c:pt>
                <c:pt idx="125">
                  <c:v>3.8570905900148583E-2</c:v>
                </c:pt>
                <c:pt idx="126">
                  <c:v>3.711806982611169E-2</c:v>
                </c:pt>
                <c:pt idx="127">
                  <c:v>3.562100077745705E-2</c:v>
                </c:pt>
                <c:pt idx="128">
                  <c:v>3.4094520726156485E-2</c:v>
                </c:pt>
                <c:pt idx="129">
                  <c:v>3.253868652845017E-2</c:v>
                </c:pt>
                <c:pt idx="130">
                  <c:v>3.0953557865592261E-2</c:v>
                </c:pt>
                <c:pt idx="131">
                  <c:v>2.9339197309380234E-2</c:v>
                </c:pt>
                <c:pt idx="132">
                  <c:v>2.7695670388050805E-2</c:v>
                </c:pt>
                <c:pt idx="133">
                  <c:v>2.6023045652348475E-2</c:v>
                </c:pt>
                <c:pt idx="134">
                  <c:v>2.4321394741414464E-2</c:v>
                </c:pt>
                <c:pt idx="135">
                  <c:v>2.2635030780192675E-2</c:v>
                </c:pt>
                <c:pt idx="136">
                  <c:v>2.1006656560432487E-2</c:v>
                </c:pt>
                <c:pt idx="137">
                  <c:v>1.9436250486097532E-2</c:v>
                </c:pt>
                <c:pt idx="138">
                  <c:v>1.7923788943228873E-2</c:v>
                </c:pt>
                <c:pt idx="139">
                  <c:v>1.6469246175053305E-2</c:v>
                </c:pt>
                <c:pt idx="140">
                  <c:v>1.5072594156030385E-2</c:v>
                </c:pt>
                <c:pt idx="141">
                  <c:v>1.3777799678171119E-2</c:v>
                </c:pt>
                <c:pt idx="142">
                  <c:v>1.2572000811434706E-2</c:v>
                </c:pt>
                <c:pt idx="143">
                  <c:v>1.1455084963678972E-2</c:v>
                </c:pt>
                <c:pt idx="144">
                  <c:v>1.0427012818693614E-2</c:v>
                </c:pt>
                <c:pt idx="145">
                  <c:v>9.4877287644288509E-3</c:v>
                </c:pt>
                <c:pt idx="146">
                  <c:v>8.6371620764885762E-3</c:v>
                </c:pt>
                <c:pt idx="147">
                  <c:v>7.8752281019757384E-3</c:v>
                </c:pt>
                <c:pt idx="148">
                  <c:v>7.201829443082724E-3</c:v>
                </c:pt>
                <c:pt idx="149">
                  <c:v>6.6386532480976887E-3</c:v>
                </c:pt>
                <c:pt idx="150">
                  <c:v>6.1416185218036556E-3</c:v>
                </c:pt>
                <c:pt idx="151">
                  <c:v>5.7106355994015218E-3</c:v>
                </c:pt>
                <c:pt idx="152">
                  <c:v>5.3456081543997681E-3</c:v>
                </c:pt>
                <c:pt idx="153">
                  <c:v>5.0464340834868622E-3</c:v>
                </c:pt>
                <c:pt idx="154">
                  <c:v>4.8130063914376669E-3</c:v>
                </c:pt>
                <c:pt idx="155">
                  <c:v>4.6440716713001028E-3</c:v>
                </c:pt>
                <c:pt idx="156">
                  <c:v>4.4958888623918888E-3</c:v>
                </c:pt>
                <c:pt idx="157">
                  <c:v>4.3684266696386569E-3</c:v>
                </c:pt>
                <c:pt idx="158">
                  <c:v>4.2616527547911778E-3</c:v>
                </c:pt>
                <c:pt idx="159">
                  <c:v>4.1755340148967347E-3</c:v>
                </c:pt>
                <c:pt idx="160">
                  <c:v>4.1100368608239712E-3</c:v>
                </c:pt>
                <c:pt idx="161">
                  <c:v>4.0651274957387859E-3</c:v>
                </c:pt>
                <c:pt idx="162">
                  <c:v>4.0407721936037066E-3</c:v>
                </c:pt>
                <c:pt idx="163">
                  <c:v>4.0374802217484733E-3</c:v>
                </c:pt>
                <c:pt idx="164">
                  <c:v>4.0336237691734273E-3</c:v>
                </c:pt>
                <c:pt idx="165">
                  <c:v>4.0292093927393642E-3</c:v>
                </c:pt>
                <c:pt idx="166">
                  <c:v>4.02424361051704E-3</c:v>
                </c:pt>
                <c:pt idx="167">
                  <c:v>4.0187328936419275E-3</c:v>
                </c:pt>
                <c:pt idx="168">
                  <c:v>4.0126836582977075E-3</c:v>
                </c:pt>
                <c:pt idx="169">
                  <c:v>4.0066429794836135E-3</c:v>
                </c:pt>
                <c:pt idx="170">
                  <c:v>4.0017482548463778E-3</c:v>
                </c:pt>
                <c:pt idx="171">
                  <c:v>3.9980030500029844E-3</c:v>
                </c:pt>
                <c:pt idx="172">
                  <c:v>3.9954110262561855E-3</c:v>
                </c:pt>
                <c:pt idx="173">
                  <c:v>3.9939351128784129E-3</c:v>
                </c:pt>
                <c:pt idx="174">
                  <c:v>3.9935362143315315E-3</c:v>
                </c:pt>
                <c:pt idx="175">
                  <c:v>3.9942150367998936E-3</c:v>
                </c:pt>
                <c:pt idx="176">
                  <c:v>3.9959722936138489E-3</c:v>
                </c:pt>
                <c:pt idx="177">
                  <c:v>3.9976807385879304E-3</c:v>
                </c:pt>
                <c:pt idx="178">
                  <c:v>3.9988045823592649E-3</c:v>
                </c:pt>
                <c:pt idx="179">
                  <c:v>3.9993470808927884E-3</c:v>
                </c:pt>
                <c:pt idx="180">
                  <c:v>3.9993114873937575E-3</c:v>
                </c:pt>
                <c:pt idx="181">
                  <c:v>3.9987010488250485E-3</c:v>
                </c:pt>
                <c:pt idx="182">
                  <c:v>3.9975190024593597E-3</c:v>
                </c:pt>
                <c:pt idx="183">
                  <c:v>4.0171476246250969E-3</c:v>
                </c:pt>
                <c:pt idx="184">
                  <c:v>4.0570228231932388E-3</c:v>
                </c:pt>
                <c:pt idx="185">
                  <c:v>4.1171186954469417E-3</c:v>
                </c:pt>
                <c:pt idx="186">
                  <c:v>4.1974102151983465E-3</c:v>
                </c:pt>
                <c:pt idx="187">
                  <c:v>4.2978733520589747E-3</c:v>
                </c:pt>
                <c:pt idx="188">
                  <c:v>4.4184851907370405E-3</c:v>
                </c:pt>
                <c:pt idx="189">
                  <c:v>4.5592240502037419E-3</c:v>
                </c:pt>
                <c:pt idx="190">
                  <c:v>4.7200696030438825E-3</c:v>
                </c:pt>
                <c:pt idx="191">
                  <c:v>4.943825307579904E-3</c:v>
                </c:pt>
                <c:pt idx="192">
                  <c:v>5.2315409314558419E-3</c:v>
                </c:pt>
                <c:pt idx="193">
                  <c:v>5.583149306807862E-3</c:v>
                </c:pt>
                <c:pt idx="194">
                  <c:v>5.998588241959933E-3</c:v>
                </c:pt>
                <c:pt idx="195">
                  <c:v>6.4778009004638603E-3</c:v>
                </c:pt>
                <c:pt idx="196">
                  <c:v>7.0207361799304903E-3</c:v>
                </c:pt>
                <c:pt idx="197">
                  <c:v>7.6702024904448263E-3</c:v>
                </c:pt>
                <c:pt idx="198">
                  <c:v>8.4048722249175003E-3</c:v>
                </c:pt>
                <c:pt idx="199">
                  <c:v>9.2246945761311656E-3</c:v>
                </c:pt>
                <c:pt idx="200">
                  <c:v>1.0129628048780237E-2</c:v>
                </c:pt>
                <c:pt idx="201">
                  <c:v>1.1119640966253182E-2</c:v>
                </c:pt>
                <c:pt idx="202">
                  <c:v>1.219471197743343E-2</c:v>
                </c:pt>
                <c:pt idx="203">
                  <c:v>1.3354830563769278E-2</c:v>
                </c:pt>
                <c:pt idx="204">
                  <c:v>1.4599973969442027E-2</c:v>
                </c:pt>
                <c:pt idx="205">
                  <c:v>1.5942423950121347E-2</c:v>
                </c:pt>
                <c:pt idx="206">
                  <c:v>1.7339548140242293E-2</c:v>
                </c:pt>
                <c:pt idx="207">
                  <c:v>1.8791363618372612E-2</c:v>
                </c:pt>
                <c:pt idx="208">
                  <c:v>2.0297890209760042E-2</c:v>
                </c:pt>
                <c:pt idx="209">
                  <c:v>2.1859150315292279E-2</c:v>
                </c:pt>
                <c:pt idx="210">
                  <c:v>2.3475168741125058E-2</c:v>
                </c:pt>
                <c:pt idx="211">
                  <c:v>2.5104757601663013E-2</c:v>
                </c:pt>
                <c:pt idx="212">
                  <c:v>2.6705260854628567E-2</c:v>
                </c:pt>
                <c:pt idx="213">
                  <c:v>2.8276740277310593E-2</c:v>
                </c:pt>
                <c:pt idx="214">
                  <c:v>2.9819253619941675E-2</c:v>
                </c:pt>
                <c:pt idx="215">
                  <c:v>3.133285469556546E-2</c:v>
                </c:pt>
                <c:pt idx="216">
                  <c:v>3.2817593469815685E-2</c:v>
                </c:pt>
                <c:pt idx="217">
                  <c:v>3.4273516150823441E-2</c:v>
                </c:pt>
                <c:pt idx="218">
                  <c:v>3.5700665278954213E-2</c:v>
                </c:pt>
                <c:pt idx="219">
                  <c:v>3.7084880905477659E-2</c:v>
                </c:pt>
                <c:pt idx="220">
                  <c:v>3.8413914083446854E-2</c:v>
                </c:pt>
                <c:pt idx="221">
                  <c:v>3.968780003835462E-2</c:v>
                </c:pt>
                <c:pt idx="222">
                  <c:v>4.0906569267423247E-2</c:v>
                </c:pt>
                <c:pt idx="223">
                  <c:v>4.2070247712383026E-2</c:v>
                </c:pt>
                <c:pt idx="224">
                  <c:v>4.3178856931324824E-2</c:v>
                </c:pt>
                <c:pt idx="225">
                  <c:v>4.4283750415878557E-2</c:v>
                </c:pt>
                <c:pt idx="226">
                  <c:v>4.5426114885550622E-2</c:v>
                </c:pt>
                <c:pt idx="227">
                  <c:v>4.6605962303702363E-2</c:v>
                </c:pt>
                <c:pt idx="228">
                  <c:v>4.7823304859314519E-2</c:v>
                </c:pt>
                <c:pt idx="229">
                  <c:v>4.9078154851019976E-2</c:v>
                </c:pt>
                <c:pt idx="230">
                  <c:v>5.0370524571853093E-2</c:v>
                </c:pt>
                <c:pt idx="231">
                  <c:v>5.1700426194206402E-2</c:v>
                </c:pt>
                <c:pt idx="232">
                  <c:v>5.3067871653712823E-2</c:v>
                </c:pt>
                <c:pt idx="233">
                  <c:v>5.4479859921665312E-2</c:v>
                </c:pt>
                <c:pt idx="234">
                  <c:v>5.5950602478829041E-2</c:v>
                </c:pt>
                <c:pt idx="235">
                  <c:v>5.748015975977102E-2</c:v>
                </c:pt>
                <c:pt idx="236">
                  <c:v>5.9068616390703294E-2</c:v>
                </c:pt>
                <c:pt idx="237">
                  <c:v>6.0716025298097817E-2</c:v>
                </c:pt>
                <c:pt idx="238">
                  <c:v>6.2422442929710255E-2</c:v>
                </c:pt>
                <c:pt idx="239">
                  <c:v>6.4144871758379421E-2</c:v>
                </c:pt>
                <c:pt idx="240">
                  <c:v>6.5831994513593867E-2</c:v>
                </c:pt>
                <c:pt idx="241">
                  <c:v>6.7483850423146891E-2</c:v>
                </c:pt>
                <c:pt idx="242">
                  <c:v>6.9100478263267914E-2</c:v>
                </c:pt>
                <c:pt idx="243">
                  <c:v>7.0681916295579239E-2</c:v>
                </c:pt>
                <c:pt idx="244">
                  <c:v>7.2228202203717451E-2</c:v>
                </c:pt>
                <c:pt idx="245">
                  <c:v>7.3739373029206953E-2</c:v>
                </c:pt>
                <c:pt idx="246">
                  <c:v>7.5215465107154461E-2</c:v>
                </c:pt>
                <c:pt idx="247">
                  <c:v>7.6600008995392904E-2</c:v>
                </c:pt>
                <c:pt idx="248">
                  <c:v>7.7886015566546091E-2</c:v>
                </c:pt>
                <c:pt idx="249">
                  <c:v>7.9073486070255161E-2</c:v>
                </c:pt>
                <c:pt idx="250">
                  <c:v>8.0162417291739521E-2</c:v>
                </c:pt>
                <c:pt idx="251">
                  <c:v>8.1152801378278266E-2</c:v>
                </c:pt>
                <c:pt idx="252">
                  <c:v>8.2044625662347007E-2</c:v>
                </c:pt>
                <c:pt idx="253">
                  <c:v>8.2713666252632378E-2</c:v>
                </c:pt>
                <c:pt idx="254">
                  <c:v>8.3202974743112459E-2</c:v>
                </c:pt>
                <c:pt idx="255">
                  <c:v>8.3512465737554178E-2</c:v>
                </c:pt>
                <c:pt idx="256">
                  <c:v>8.3642043305276789E-2</c:v>
                </c:pt>
                <c:pt idx="257">
                  <c:v>8.3591600662055648E-2</c:v>
                </c:pt>
                <c:pt idx="258">
                  <c:v>8.3361019851831031E-2</c:v>
                </c:pt>
                <c:pt idx="259">
                  <c:v>8.2950171429571201E-2</c:v>
                </c:pt>
                <c:pt idx="260">
                  <c:v>8.2358914141576089E-2</c:v>
                </c:pt>
                <c:pt idx="261">
                  <c:v>8.1552022984710718E-2</c:v>
                </c:pt>
                <c:pt idx="262">
                  <c:v>8.0585994316880627E-2</c:v>
                </c:pt>
                <c:pt idx="263">
                  <c:v>7.9460668156482825E-2</c:v>
                </c:pt>
                <c:pt idx="264">
                  <c:v>7.8175876662341798E-2</c:v>
                </c:pt>
                <c:pt idx="265">
                  <c:v>7.6731850990052392E-2</c:v>
                </c:pt>
                <c:pt idx="266">
                  <c:v>7.5128577768595134E-2</c:v>
                </c:pt>
                <c:pt idx="267">
                  <c:v>7.3638189327622214E-2</c:v>
                </c:pt>
                <c:pt idx="268">
                  <c:v>7.2385391372976116E-2</c:v>
                </c:pt>
                <c:pt idx="269">
                  <c:v>7.1370314676093297E-2</c:v>
                </c:pt>
                <c:pt idx="270">
                  <c:v>7.0593119023428783E-2</c:v>
                </c:pt>
                <c:pt idx="271">
                  <c:v>7.0053990600066063E-2</c:v>
                </c:pt>
                <c:pt idx="272">
                  <c:v>6.975313937534823E-2</c:v>
                </c:pt>
                <c:pt idx="273">
                  <c:v>6.9690796487607259E-2</c:v>
                </c:pt>
                <c:pt idx="274">
                  <c:v>6.9867211629807344E-2</c:v>
                </c:pt>
                <c:pt idx="275">
                  <c:v>7.0722033149825794E-2</c:v>
                </c:pt>
                <c:pt idx="276">
                  <c:v>7.2291471217348247E-2</c:v>
                </c:pt>
                <c:pt idx="277">
                  <c:v>7.4576538040916296E-2</c:v>
                </c:pt>
                <c:pt idx="278">
                  <c:v>7.7578271466634111E-2</c:v>
                </c:pt>
                <c:pt idx="279">
                  <c:v>8.1297727152080251E-2</c:v>
                </c:pt>
                <c:pt idx="280">
                  <c:v>8.573597074095482E-2</c:v>
                </c:pt>
                <c:pt idx="281">
                  <c:v>9.115132108508596E-2</c:v>
                </c:pt>
                <c:pt idx="282">
                  <c:v>9.7270822418472846E-2</c:v>
                </c:pt>
                <c:pt idx="283">
                  <c:v>0.10409549770768819</c:v>
                </c:pt>
                <c:pt idx="284">
                  <c:v>0.11162634745001945</c:v>
                </c:pt>
                <c:pt idx="285">
                  <c:v>0.1198643420336187</c:v>
                </c:pt>
                <c:pt idx="286">
                  <c:v>0.1288104140987123</c:v>
                </c:pt>
                <c:pt idx="287">
                  <c:v>0.13846545089777365</c:v>
                </c:pt>
                <c:pt idx="288">
                  <c:v>0.14883028665607675</c:v>
                </c:pt>
                <c:pt idx="289">
                  <c:v>0.15979765053039979</c:v>
                </c:pt>
                <c:pt idx="290">
                  <c:v>0.17092531289073065</c:v>
                </c:pt>
                <c:pt idx="291">
                  <c:v>0.18221309218873172</c:v>
                </c:pt>
                <c:pt idx="292">
                  <c:v>0.19366075174814712</c:v>
                </c:pt>
                <c:pt idx="293">
                  <c:v>0.20526799812741642</c:v>
                </c:pt>
                <c:pt idx="294">
                  <c:v>0.2170344794816961</c:v>
                </c:pt>
                <c:pt idx="295">
                  <c:v>0.22859419823924826</c:v>
                </c:pt>
                <c:pt idx="296">
                  <c:v>0.23968993413658574</c:v>
                </c:pt>
                <c:pt idx="297">
                  <c:v>0.25032286563203004</c:v>
                </c:pt>
                <c:pt idx="298">
                  <c:v>0.26049231616306678</c:v>
                </c:pt>
                <c:pt idx="299">
                  <c:v>0.27019755455426947</c:v>
                </c:pt>
                <c:pt idx="300">
                  <c:v>0.27943779939781521</c:v>
                </c:pt>
                <c:pt idx="301">
                  <c:v>0.2882122234332245</c:v>
                </c:pt>
                <c:pt idx="302">
                  <c:v>0.29651995792769936</c:v>
                </c:pt>
                <c:pt idx="303">
                  <c:v>0.30404189415166777</c:v>
                </c:pt>
                <c:pt idx="304">
                  <c:v>0.31088544957903586</c:v>
                </c:pt>
                <c:pt idx="305">
                  <c:v>0.31704935882847995</c:v>
                </c:pt>
                <c:pt idx="306">
                  <c:v>0.32253233567588685</c:v>
                </c:pt>
                <c:pt idx="307">
                  <c:v>0.32733307936339118</c:v>
                </c:pt>
                <c:pt idx="308">
                  <c:v>0.3314502809056693</c:v>
                </c:pt>
                <c:pt idx="309">
                  <c:v>0.33475350746322591</c:v>
                </c:pt>
                <c:pt idx="310">
                  <c:v>0.33760945914737128</c:v>
                </c:pt>
                <c:pt idx="311">
                  <c:v>0.34001716623661937</c:v>
                </c:pt>
                <c:pt idx="312">
                  <c:v>0.34197566639095511</c:v>
                </c:pt>
                <c:pt idx="313">
                  <c:v>0.3434840087683747</c:v>
                </c:pt>
                <c:pt idx="314">
                  <c:v>0.34454125813831926</c:v>
                </c:pt>
                <c:pt idx="315">
                  <c:v>0.34514649899941774</c:v>
                </c:pt>
                <c:pt idx="316">
                  <c:v>0.34529883969191583</c:v>
                </c:pt>
                <c:pt idx="317">
                  <c:v>0.34506517597614028</c:v>
                </c:pt>
                <c:pt idx="318">
                  <c:v>0.34476507775634313</c:v>
                </c:pt>
                <c:pt idx="319">
                  <c:v>0.34439817557753905</c:v>
                </c:pt>
                <c:pt idx="320">
                  <c:v>0.34396410665568627</c:v>
                </c:pt>
                <c:pt idx="321">
                  <c:v>0.34346251544411449</c:v>
                </c:pt>
                <c:pt idx="322">
                  <c:v>0.34289305420139471</c:v>
                </c:pt>
                <c:pt idx="323">
                  <c:v>0.34238574146460904</c:v>
                </c:pt>
                <c:pt idx="324">
                  <c:v>0.34207023062436664</c:v>
                </c:pt>
                <c:pt idx="325">
                  <c:v>0.34194638261919963</c:v>
                </c:pt>
                <c:pt idx="326">
                  <c:v>0.34201190988870955</c:v>
                </c:pt>
                <c:pt idx="327">
                  <c:v>0.34226591515968635</c:v>
                </c:pt>
                <c:pt idx="328">
                  <c:v>0.34270922221248956</c:v>
                </c:pt>
                <c:pt idx="329">
                  <c:v>0.34334262493113082</c:v>
                </c:pt>
                <c:pt idx="330">
                  <c:v>0.34416689143103252</c:v>
                </c:pt>
                <c:pt idx="331">
                  <c:v>0.3451377477593649</c:v>
                </c:pt>
                <c:pt idx="332">
                  <c:v>0.34618789392636695</c:v>
                </c:pt>
                <c:pt idx="333">
                  <c:v>0.34731802025244896</c:v>
                </c:pt>
                <c:pt idx="334">
                  <c:v>0.34852881732017232</c:v>
                </c:pt>
                <c:pt idx="335">
                  <c:v>0.34982097775658211</c:v>
                </c:pt>
                <c:pt idx="336">
                  <c:v>0.35119519801097843</c:v>
                </c:pt>
                <c:pt idx="337">
                  <c:v>0.35257487726229392</c:v>
                </c:pt>
                <c:pt idx="338">
                  <c:v>0.35383009715653313</c:v>
                </c:pt>
                <c:pt idx="339">
                  <c:v>0.35496156169612464</c:v>
                </c:pt>
                <c:pt idx="340">
                  <c:v>0.35596998778934125</c:v>
                </c:pt>
                <c:pt idx="341">
                  <c:v>0.35685610270787088</c:v>
                </c:pt>
                <c:pt idx="342">
                  <c:v>0.35762064154412687</c:v>
                </c:pt>
                <c:pt idx="343">
                  <c:v>0.35826434466424711</c:v>
                </c:pt>
                <c:pt idx="344">
                  <c:v>0.35878795516669126</c:v>
                </c:pt>
                <c:pt idx="345">
                  <c:v>0.35919221633707393</c:v>
                </c:pt>
                <c:pt idx="346">
                  <c:v>0.35952793974445524</c:v>
                </c:pt>
                <c:pt idx="347">
                  <c:v>0.35979587139453195</c:v>
                </c:pt>
                <c:pt idx="348">
                  <c:v>0.35999675421861366</c:v>
                </c:pt>
                <c:pt idx="349">
                  <c:v>0.36013132656760494</c:v>
                </c:pt>
                <c:pt idx="350">
                  <c:v>0.36020032071441421</c:v>
                </c:pt>
                <c:pt idx="351">
                  <c:v>0.36020948408332987</c:v>
                </c:pt>
                <c:pt idx="352">
                  <c:v>0.36023691059706242</c:v>
                </c:pt>
                <c:pt idx="353">
                  <c:v>0.36028335129423167</c:v>
                </c:pt>
                <c:pt idx="354">
                  <c:v>0.36034955851517042</c:v>
                </c:pt>
                <c:pt idx="355">
                  <c:v>0.36043628609260137</c:v>
                </c:pt>
                <c:pt idx="356">
                  <c:v>0.36054453871751735</c:v>
                </c:pt>
                <c:pt idx="357">
                  <c:v>0.36067427039082445</c:v>
                </c:pt>
                <c:pt idx="358">
                  <c:v>0.36082456811662572</c:v>
                </c:pt>
                <c:pt idx="359">
                  <c:v>0.36099452039112978</c:v>
                </c:pt>
                <c:pt idx="360">
                  <c:v>0.36110566373632419</c:v>
                </c:pt>
                <c:pt idx="361">
                  <c:v>0.36115195767839287</c:v>
                </c:pt>
                <c:pt idx="362">
                  <c:v>0.36113238441413514</c:v>
                </c:pt>
                <c:pt idx="363">
                  <c:v>0.36104591933887303</c:v>
                </c:pt>
                <c:pt idx="364">
                  <c:v>0.36089153290836973</c:v>
                </c:pt>
                <c:pt idx="365">
                  <c:v>0.3606681924962955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0.59399304774030548</c:v>
                </c:pt>
                <c:pt idx="1">
                  <c:v>0.59327371940829743</c:v>
                </c:pt>
                <c:pt idx="2">
                  <c:v>0.59214824119406684</c:v>
                </c:pt>
                <c:pt idx="3">
                  <c:v>0.59061449617171846</c:v>
                </c:pt>
                <c:pt idx="4">
                  <c:v>0.58867037540937384</c:v>
                </c:pt>
                <c:pt idx="5">
                  <c:v>0.58631378839592918</c:v>
                </c:pt>
                <c:pt idx="6">
                  <c:v>0.5835426734753133</c:v>
                </c:pt>
                <c:pt idx="7">
                  <c:v>0.58035500826749831</c:v>
                </c:pt>
                <c:pt idx="8">
                  <c:v>0.57674882009779682</c:v>
                </c:pt>
                <c:pt idx="9">
                  <c:v>0.57277611109676096</c:v>
                </c:pt>
                <c:pt idx="10">
                  <c:v>0.56862056844763642</c:v>
                </c:pt>
                <c:pt idx="11">
                  <c:v>0.56428072660971873</c:v>
                </c:pt>
                <c:pt idx="12">
                  <c:v>0.55975518299767812</c:v>
                </c:pt>
                <c:pt idx="13">
                  <c:v>0.55504260232595248</c:v>
                </c:pt>
                <c:pt idx="14">
                  <c:v>0.55014172094366998</c:v>
                </c:pt>
                <c:pt idx="15">
                  <c:v>0.54516473047146963</c:v>
                </c:pt>
                <c:pt idx="16">
                  <c:v>0.5403359358495079</c:v>
                </c:pt>
                <c:pt idx="17">
                  <c:v>0.53565456759837582</c:v>
                </c:pt>
                <c:pt idx="18">
                  <c:v>0.53111987375507985</c:v>
                </c:pt>
                <c:pt idx="19">
                  <c:v>0.52673405368548598</c:v>
                </c:pt>
                <c:pt idx="20">
                  <c:v>0.52250053777188243</c:v>
                </c:pt>
                <c:pt idx="21">
                  <c:v>0.51842039535648077</c:v>
                </c:pt>
                <c:pt idx="22">
                  <c:v>0.51449464972901859</c:v>
                </c:pt>
                <c:pt idx="23">
                  <c:v>0.51082951565775336</c:v>
                </c:pt>
                <c:pt idx="24">
                  <c:v>0.50737183143751474</c:v>
                </c:pt>
                <c:pt idx="25">
                  <c:v>0.50412249717240676</c:v>
                </c:pt>
                <c:pt idx="26">
                  <c:v>0.50108237015453005</c:v>
                </c:pt>
                <c:pt idx="27">
                  <c:v>0.49825226759443059</c:v>
                </c:pt>
                <c:pt idx="28">
                  <c:v>0.49563296936241685</c:v>
                </c:pt>
                <c:pt idx="29">
                  <c:v>0.49309774521315652</c:v>
                </c:pt>
                <c:pt idx="30">
                  <c:v>0.49053374975552683</c:v>
                </c:pt>
                <c:pt idx="31">
                  <c:v>0.48794169761594625</c:v>
                </c:pt>
                <c:pt idx="32">
                  <c:v>0.48532229222856516</c:v>
                </c:pt>
                <c:pt idx="33">
                  <c:v>0.48267622555649947</c:v>
                </c:pt>
                <c:pt idx="34">
                  <c:v>0.48000417781527815</c:v>
                </c:pt>
                <c:pt idx="35">
                  <c:v>0.47730681719586077</c:v>
                </c:pt>
                <c:pt idx="36">
                  <c:v>0.47458479958665478</c:v>
                </c:pt>
                <c:pt idx="37">
                  <c:v>0.47140261646005588</c:v>
                </c:pt>
                <c:pt idx="38">
                  <c:v>0.46765581307485848</c:v>
                </c:pt>
                <c:pt idx="39">
                  <c:v>0.46334515292777012</c:v>
                </c:pt>
                <c:pt idx="40">
                  <c:v>0.45847138702213386</c:v>
                </c:pt>
                <c:pt idx="41">
                  <c:v>0.45303524682219493</c:v>
                </c:pt>
                <c:pt idx="42">
                  <c:v>0.44703743720408595</c:v>
                </c:pt>
                <c:pt idx="43">
                  <c:v>0.44007652352629889</c:v>
                </c:pt>
                <c:pt idx="44">
                  <c:v>0.43228057351200394</c:v>
                </c:pt>
                <c:pt idx="45">
                  <c:v>0.42365022560989984</c:v>
                </c:pt>
                <c:pt idx="46">
                  <c:v>0.41418605067060338</c:v>
                </c:pt>
                <c:pt idx="47">
                  <c:v>0.40388854146309072</c:v>
                </c:pt>
                <c:pt idx="48">
                  <c:v>0.39275810218555868</c:v>
                </c:pt>
                <c:pt idx="49">
                  <c:v>0.38079503798009695</c:v>
                </c:pt>
                <c:pt idx="50">
                  <c:v>0.3679995444448767</c:v>
                </c:pt>
                <c:pt idx="51">
                  <c:v>0.35439332958933811</c:v>
                </c:pt>
                <c:pt idx="52">
                  <c:v>0.34041020316469817</c:v>
                </c:pt>
                <c:pt idx="53">
                  <c:v>0.32604807892394849</c:v>
                </c:pt>
                <c:pt idx="54">
                  <c:v>0.31130670812283395</c:v>
                </c:pt>
                <c:pt idx="55">
                  <c:v>0.29618585699510419</c:v>
                </c:pt>
                <c:pt idx="56">
                  <c:v>0.28068530815936366</c:v>
                </c:pt>
                <c:pt idx="57">
                  <c:v>0.26533017942600623</c:v>
                </c:pt>
                <c:pt idx="58">
                  <c:v>0.25052223133305174</c:v>
                </c:pt>
                <c:pt idx="59">
                  <c:v>0.23626132329646829</c:v>
                </c:pt>
                <c:pt idx="60">
                  <c:v>0.22254733959928105</c:v>
                </c:pt>
                <c:pt idx="61">
                  <c:v>0.20938018736814007</c:v>
                </c:pt>
                <c:pt idx="62">
                  <c:v>0.1967597945495666</c:v>
                </c:pt>
                <c:pt idx="63">
                  <c:v>0.18468610788684098</c:v>
                </c:pt>
                <c:pt idx="64">
                  <c:v>0.17315909089606479</c:v>
                </c:pt>
                <c:pt idx="65">
                  <c:v>0.16269932729602038</c:v>
                </c:pt>
                <c:pt idx="66">
                  <c:v>0.15328517958412446</c:v>
                </c:pt>
                <c:pt idx="67">
                  <c:v>0.14491664820510872</c:v>
                </c:pt>
                <c:pt idx="68">
                  <c:v>0.13759373460646065</c:v>
                </c:pt>
                <c:pt idx="69">
                  <c:v>0.13131643736851303</c:v>
                </c:pt>
                <c:pt idx="70">
                  <c:v>0.12608474833525435</c:v>
                </c:pt>
                <c:pt idx="71">
                  <c:v>0.12208881690969392</c:v>
                </c:pt>
                <c:pt idx="72">
                  <c:v>0.11880327469187238</c:v>
                </c:pt>
                <c:pt idx="73">
                  <c:v>0.11622808603304059</c:v>
                </c:pt>
                <c:pt idx="74">
                  <c:v>0.11436320189177657</c:v>
                </c:pt>
                <c:pt idx="75">
                  <c:v>0.11320855720469189</c:v>
                </c:pt>
                <c:pt idx="76">
                  <c:v>0.11276406825677603</c:v>
                </c:pt>
                <c:pt idx="77">
                  <c:v>0.11302963005211329</c:v>
                </c:pt>
                <c:pt idx="78">
                  <c:v>0.1140051174693076</c:v>
                </c:pt>
                <c:pt idx="79">
                  <c:v>0.11559196542610002</c:v>
                </c:pt>
                <c:pt idx="80">
                  <c:v>0.11726991053507065</c:v>
                </c:pt>
                <c:pt idx="81">
                  <c:v>0.11903890152221831</c:v>
                </c:pt>
                <c:pt idx="82">
                  <c:v>0.12089888469285394</c:v>
                </c:pt>
                <c:pt idx="83">
                  <c:v>0.12284980363916904</c:v>
                </c:pt>
                <c:pt idx="84">
                  <c:v>0.1248915989482115</c:v>
                </c:pt>
                <c:pt idx="85">
                  <c:v>0.12684844169497969</c:v>
                </c:pt>
                <c:pt idx="86">
                  <c:v>0.12853023875214536</c:v>
                </c:pt>
                <c:pt idx="87">
                  <c:v>0.1299369829937384</c:v>
                </c:pt>
                <c:pt idx="88">
                  <c:v>0.13106866909045597</c:v>
                </c:pt>
                <c:pt idx="89">
                  <c:v>0.13192529438963393</c:v>
                </c:pt>
                <c:pt idx="90">
                  <c:v>0.13250685979494556</c:v>
                </c:pt>
                <c:pt idx="91">
                  <c:v>0.13281337064660126</c:v>
                </c:pt>
                <c:pt idx="92">
                  <c:v>0.13284483760119975</c:v>
                </c:pt>
                <c:pt idx="93">
                  <c:v>0.13249951353144518</c:v>
                </c:pt>
                <c:pt idx="94">
                  <c:v>0.13187622348363784</c:v>
                </c:pt>
                <c:pt idx="95">
                  <c:v>0.13097500159931932</c:v>
                </c:pt>
                <c:pt idx="96">
                  <c:v>0.12979589107875031</c:v>
                </c:pt>
                <c:pt idx="97">
                  <c:v>0.12833894507111776</c:v>
                </c:pt>
                <c:pt idx="98">
                  <c:v>0.12660422756357134</c:v>
                </c:pt>
                <c:pt idx="99">
                  <c:v>0.12458071371353438</c:v>
                </c:pt>
                <c:pt idx="100">
                  <c:v>0.12244405137375074</c:v>
                </c:pt>
                <c:pt idx="101">
                  <c:v>0.12019428226572572</c:v>
                </c:pt>
                <c:pt idx="102">
                  <c:v>0.1178314555034225</c:v>
                </c:pt>
                <c:pt idx="103">
                  <c:v>0.11535562795392276</c:v>
                </c:pt>
                <c:pt idx="104">
                  <c:v>0.1127668646008721</c:v>
                </c:pt>
                <c:pt idx="105">
                  <c:v>0.11006523890534352</c:v>
                </c:pt>
                <c:pt idx="106">
                  <c:v>0.10725083316811632</c:v>
                </c:pt>
                <c:pt idx="107">
                  <c:v>0.10439134323396325</c:v>
                </c:pt>
                <c:pt idx="108">
                  <c:v>0.10158840670546325</c:v>
                </c:pt>
                <c:pt idx="109">
                  <c:v>9.8842037053626944E-2</c:v>
                </c:pt>
                <c:pt idx="110">
                  <c:v>9.6152521959740375E-2</c:v>
                </c:pt>
                <c:pt idx="111">
                  <c:v>9.3520125923520825E-2</c:v>
                </c:pt>
                <c:pt idx="112">
                  <c:v>9.0944828576436987E-2</c:v>
                </c:pt>
                <c:pt idx="113">
                  <c:v>8.8453143911681867E-2</c:v>
                </c:pt>
                <c:pt idx="114">
                  <c:v>8.6056108507969908E-2</c:v>
                </c:pt>
                <c:pt idx="115">
                  <c:v>8.3753678755822569E-2</c:v>
                </c:pt>
                <c:pt idx="116">
                  <c:v>8.1545810190449611E-2</c:v>
                </c:pt>
                <c:pt idx="117">
                  <c:v>7.9432457286730304E-2</c:v>
                </c:pt>
                <c:pt idx="118">
                  <c:v>7.7413573253315549E-2</c:v>
                </c:pt>
                <c:pt idx="119">
                  <c:v>7.5489109826981454E-2</c:v>
                </c:pt>
                <c:pt idx="120">
                  <c:v>7.3659017066863966E-2</c:v>
                </c:pt>
                <c:pt idx="121">
                  <c:v>7.1896275978757779E-2</c:v>
                </c:pt>
                <c:pt idx="122">
                  <c:v>7.0133472491529084E-2</c:v>
                </c:pt>
                <c:pt idx="123">
                  <c:v>6.8370626911749027E-2</c:v>
                </c:pt>
                <c:pt idx="124">
                  <c:v>6.6607761094374343E-2</c:v>
                </c:pt>
                <c:pt idx="125">
                  <c:v>6.4844898444377491E-2</c:v>
                </c:pt>
                <c:pt idx="126">
                  <c:v>6.3082063917408324E-2</c:v>
                </c:pt>
                <c:pt idx="127">
                  <c:v>6.1285803587944762E-2</c:v>
                </c:pt>
                <c:pt idx="128">
                  <c:v>5.9429744702736952E-2</c:v>
                </c:pt>
                <c:pt idx="129">
                  <c:v>5.7513974284849466E-2</c:v>
                </c:pt>
                <c:pt idx="130">
                  <c:v>5.5538583975754258E-2</c:v>
                </c:pt>
                <c:pt idx="131">
                  <c:v>5.3503670167223717E-2</c:v>
                </c:pt>
                <c:pt idx="132">
                  <c:v>5.1409334133843756E-2</c:v>
                </c:pt>
                <c:pt idx="133">
                  <c:v>4.9255682165848469E-2</c:v>
                </c:pt>
                <c:pt idx="134">
                  <c:v>4.7042825701642518E-2</c:v>
                </c:pt>
                <c:pt idx="135">
                  <c:v>4.4774948120050923E-2</c:v>
                </c:pt>
                <c:pt idx="136">
                  <c:v>4.2479006152877322E-2</c:v>
                </c:pt>
                <c:pt idx="137">
                  <c:v>4.0155091233578438E-2</c:v>
                </c:pt>
                <c:pt idx="138">
                  <c:v>3.7803298574048613E-2</c:v>
                </c:pt>
                <c:pt idx="139">
                  <c:v>3.5423727230098651E-2</c:v>
                </c:pt>
                <c:pt idx="140">
                  <c:v>3.3016480164724207E-2</c:v>
                </c:pt>
                <c:pt idx="141">
                  <c:v>3.0674525287167149E-2</c:v>
                </c:pt>
                <c:pt idx="142">
                  <c:v>2.8430987653493681E-2</c:v>
                </c:pt>
                <c:pt idx="143">
                  <c:v>2.6285724758407528E-2</c:v>
                </c:pt>
                <c:pt idx="144">
                  <c:v>2.4238768779510575E-2</c:v>
                </c:pt>
                <c:pt idx="145">
                  <c:v>2.2290129079474127E-2</c:v>
                </c:pt>
                <c:pt idx="146">
                  <c:v>2.0439793507357019E-2</c:v>
                </c:pt>
                <c:pt idx="147">
                  <c:v>1.8687729700742672E-2</c:v>
                </c:pt>
                <c:pt idx="148">
                  <c:v>1.7033886387283783E-2</c:v>
                </c:pt>
                <c:pt idx="149">
                  <c:v>1.5544169144320366E-2</c:v>
                </c:pt>
                <c:pt idx="150">
                  <c:v>1.4214339359352204E-2</c:v>
                </c:pt>
                <c:pt idx="151">
                  <c:v>1.3044184142195298E-2</c:v>
                </c:pt>
                <c:pt idx="152">
                  <c:v>1.2033473814181536E-2</c:v>
                </c:pt>
                <c:pt idx="153">
                  <c:v>1.1181964045124258E-2</c:v>
                </c:pt>
                <c:pt idx="154">
                  <c:v>1.0489397990362895E-2</c:v>
                </c:pt>
                <c:pt idx="155">
                  <c:v>9.9545537028023698E-3</c:v>
                </c:pt>
                <c:pt idx="156">
                  <c:v>9.4850734981172038E-3</c:v>
                </c:pt>
                <c:pt idx="157">
                  <c:v>9.080852576289794E-3</c:v>
                </c:pt>
                <c:pt idx="158">
                  <c:v>8.7417828210465086E-3</c:v>
                </c:pt>
                <c:pt idx="159">
                  <c:v>8.4677536766664951E-3</c:v>
                </c:pt>
                <c:pt idx="160">
                  <c:v>8.2586530249011882E-3</c:v>
                </c:pt>
                <c:pt idx="161">
                  <c:v>8.114368061792613E-3</c:v>
                </c:pt>
                <c:pt idx="162">
                  <c:v>8.0347861745404606E-3</c:v>
                </c:pt>
                <c:pt idx="163">
                  <c:v>8.0208417680352126E-3</c:v>
                </c:pt>
                <c:pt idx="164">
                  <c:v>8.0070604289023059E-3</c:v>
                </c:pt>
                <c:pt idx="165">
                  <c:v>7.993452682413367E-3</c:v>
                </c:pt>
                <c:pt idx="166">
                  <c:v>7.9800290108135857E-3</c:v>
                </c:pt>
                <c:pt idx="167">
                  <c:v>7.9667998545011817E-3</c:v>
                </c:pt>
                <c:pt idx="168">
                  <c:v>7.9537756134621697E-3</c:v>
                </c:pt>
                <c:pt idx="169">
                  <c:v>7.9420088931459205E-3</c:v>
                </c:pt>
                <c:pt idx="170">
                  <c:v>7.9324543379093674E-3</c:v>
                </c:pt>
                <c:pt idx="171">
                  <c:v>7.925119119746131E-3</c:v>
                </c:pt>
                <c:pt idx="172">
                  <c:v>7.9200105950852345E-3</c:v>
                </c:pt>
                <c:pt idx="173">
                  <c:v>7.9170553724501273E-3</c:v>
                </c:pt>
                <c:pt idx="174">
                  <c:v>7.9161760434598872E-3</c:v>
                </c:pt>
                <c:pt idx="175">
                  <c:v>7.9173740974271527E-3</c:v>
                </c:pt>
                <c:pt idx="176">
                  <c:v>7.9206510374405133E-3</c:v>
                </c:pt>
                <c:pt idx="177">
                  <c:v>7.9250657282828232E-3</c:v>
                </c:pt>
                <c:pt idx="178">
                  <c:v>7.9295837091982943E-3</c:v>
                </c:pt>
                <c:pt idx="179">
                  <c:v>7.9342095521945117E-3</c:v>
                </c:pt>
                <c:pt idx="180">
                  <c:v>7.9389478508867222E-3</c:v>
                </c:pt>
                <c:pt idx="181">
                  <c:v>7.9438032210130856E-3</c:v>
                </c:pt>
                <c:pt idx="182">
                  <c:v>7.948780301019186E-3</c:v>
                </c:pt>
                <c:pt idx="183">
                  <c:v>8.0185958297575924E-3</c:v>
                </c:pt>
                <c:pt idx="184">
                  <c:v>8.1521273276709463E-3</c:v>
                </c:pt>
                <c:pt idx="185">
                  <c:v>8.3492906167848338E-3</c:v>
                </c:pt>
                <c:pt idx="186">
                  <c:v>8.6100042925491681E-3</c:v>
                </c:pt>
                <c:pt idx="187">
                  <c:v>8.9341900993476619E-3</c:v>
                </c:pt>
                <c:pt idx="188">
                  <c:v>9.3217733060657962E-3</c:v>
                </c:pt>
                <c:pt idx="189">
                  <c:v>9.7726830813865909E-3</c:v>
                </c:pt>
                <c:pt idx="190">
                  <c:v>1.0286852869470724E-2</c:v>
                </c:pt>
                <c:pt idx="191">
                  <c:v>1.0954601986307268E-2</c:v>
                </c:pt>
                <c:pt idx="192">
                  <c:v>1.1776697615719929E-2</c:v>
                </c:pt>
                <c:pt idx="193">
                  <c:v>1.2752981062038725E-2</c:v>
                </c:pt>
                <c:pt idx="194">
                  <c:v>1.3883305947044998E-2</c:v>
                </c:pt>
                <c:pt idx="195">
                  <c:v>1.5167539125333045E-2</c:v>
                </c:pt>
                <c:pt idx="196">
                  <c:v>1.6605561599198099E-2</c:v>
                </c:pt>
                <c:pt idx="197">
                  <c:v>1.8201208782185674E-2</c:v>
                </c:pt>
                <c:pt idx="198">
                  <c:v>1.9890080933027552E-2</c:v>
                </c:pt>
                <c:pt idx="199">
                  <c:v>2.1672166007906168E-2</c:v>
                </c:pt>
                <c:pt idx="200">
                  <c:v>2.3547464299328549E-2</c:v>
                </c:pt>
                <c:pt idx="201">
                  <c:v>2.5515988993360657E-2</c:v>
                </c:pt>
                <c:pt idx="202">
                  <c:v>2.7577766726914119E-2</c:v>
                </c:pt>
                <c:pt idx="203">
                  <c:v>2.9732838145644411E-2</c:v>
                </c:pt>
                <c:pt idx="204">
                  <c:v>3.1981206816658919E-2</c:v>
                </c:pt>
                <c:pt idx="205">
                  <c:v>3.4290584486564253E-2</c:v>
                </c:pt>
                <c:pt idx="206">
                  <c:v>3.6571068626217916E-2</c:v>
                </c:pt>
                <c:pt idx="207">
                  <c:v>3.8822761676118089E-2</c:v>
                </c:pt>
                <c:pt idx="208">
                  <c:v>4.1045760929652363E-2</c:v>
                </c:pt>
                <c:pt idx="209">
                  <c:v>4.324015862050775E-2</c:v>
                </c:pt>
                <c:pt idx="210">
                  <c:v>4.540604201143638E-2</c:v>
                </c:pt>
                <c:pt idx="211">
                  <c:v>4.751757260843862E-2</c:v>
                </c:pt>
                <c:pt idx="212">
                  <c:v>4.9570913401662593E-2</c:v>
                </c:pt>
                <c:pt idx="213">
                  <c:v>5.1566147814063518E-2</c:v>
                </c:pt>
                <c:pt idx="214">
                  <c:v>5.350335261803215E-2</c:v>
                </c:pt>
                <c:pt idx="215">
                  <c:v>5.5382598116123498E-2</c:v>
                </c:pt>
                <c:pt idx="216">
                  <c:v>5.7203948321616932E-2</c:v>
                </c:pt>
                <c:pt idx="217">
                  <c:v>5.8967461139298419E-2</c:v>
                </c:pt>
                <c:pt idx="218">
                  <c:v>6.0673188545938631E-2</c:v>
                </c:pt>
                <c:pt idx="219">
                  <c:v>6.2346612816482211E-2</c:v>
                </c:pt>
                <c:pt idx="220">
                  <c:v>6.4019978252670737E-2</c:v>
                </c:pt>
                <c:pt idx="221">
                  <c:v>6.5693313122711275E-2</c:v>
                </c:pt>
                <c:pt idx="222">
                  <c:v>6.7366643583953528E-2</c:v>
                </c:pt>
                <c:pt idx="223">
                  <c:v>6.9039993685460099E-2</c:v>
                </c:pt>
                <c:pt idx="224">
                  <c:v>7.0713385369030324E-2</c:v>
                </c:pt>
                <c:pt idx="225">
                  <c:v>7.2451557919375478E-2</c:v>
                </c:pt>
                <c:pt idx="226">
                  <c:v>7.4280423583847066E-2</c:v>
                </c:pt>
                <c:pt idx="227">
                  <c:v>7.6200000787240776E-2</c:v>
                </c:pt>
                <c:pt idx="228">
                  <c:v>7.8210309675601969E-2</c:v>
                </c:pt>
                <c:pt idx="229">
                  <c:v>8.0311371835154244E-2</c:v>
                </c:pt>
                <c:pt idx="230">
                  <c:v>8.2503210012398867E-2</c:v>
                </c:pt>
                <c:pt idx="231">
                  <c:v>8.4785847834554465E-2</c:v>
                </c:pt>
                <c:pt idx="232">
                  <c:v>8.7159309528237347E-2</c:v>
                </c:pt>
                <c:pt idx="233">
                  <c:v>8.9613002986679138E-2</c:v>
                </c:pt>
                <c:pt idx="234">
                  <c:v>9.2121514423424353E-2</c:v>
                </c:pt>
                <c:pt idx="235">
                  <c:v>9.4684938631532795E-2</c:v>
                </c:pt>
                <c:pt idx="236">
                  <c:v>9.7303408920434403E-2</c:v>
                </c:pt>
                <c:pt idx="237">
                  <c:v>9.9977004811724265E-2</c:v>
                </c:pt>
                <c:pt idx="238">
                  <c:v>0.10270580989976813</c:v>
                </c:pt>
                <c:pt idx="239">
                  <c:v>0.10539260157904602</c:v>
                </c:pt>
                <c:pt idx="240">
                  <c:v>0.10797268425916878</c:v>
                </c:pt>
                <c:pt idx="241">
                  <c:v>0.11044610505003688</c:v>
                </c:pt>
                <c:pt idx="242">
                  <c:v>0.11281290797392958</c:v>
                </c:pt>
                <c:pt idx="243">
                  <c:v>0.11507313377602962</c:v>
                </c:pt>
                <c:pt idx="244">
                  <c:v>0.11722681973438925</c:v>
                </c:pt>
                <c:pt idx="245">
                  <c:v>0.11927399946867648</c:v>
                </c:pt>
                <c:pt idx="246">
                  <c:v>0.12121470274864715</c:v>
                </c:pt>
                <c:pt idx="247">
                  <c:v>0.12288081080746099</c:v>
                </c:pt>
                <c:pt idx="248">
                  <c:v>0.12428289970824261</c:v>
                </c:pt>
                <c:pt idx="249">
                  <c:v>0.12542090495272135</c:v>
                </c:pt>
                <c:pt idx="250">
                  <c:v>0.12629474872132812</c:v>
                </c:pt>
                <c:pt idx="251">
                  <c:v>0.12690433940833706</c:v>
                </c:pt>
                <c:pt idx="252">
                  <c:v>0.12724957115167587</c:v>
                </c:pt>
                <c:pt idx="253">
                  <c:v>0.12723567350536771</c:v>
                </c:pt>
                <c:pt idx="254">
                  <c:v>0.12695997634799983</c:v>
                </c:pt>
                <c:pt idx="255">
                  <c:v>0.12642232729691968</c:v>
                </c:pt>
                <c:pt idx="256">
                  <c:v>0.12562255794815383</c:v>
                </c:pt>
                <c:pt idx="257">
                  <c:v>0.12456048341216645</c:v>
                </c:pt>
                <c:pt idx="258">
                  <c:v>0.12323590185085906</c:v>
                </c:pt>
                <c:pt idx="259">
                  <c:v>0.12164859401625522</c:v>
                </c:pt>
                <c:pt idx="260">
                  <c:v>0.11979832278537415</c:v>
                </c:pt>
                <c:pt idx="261">
                  <c:v>0.11786720822805154</c:v>
                </c:pt>
                <c:pt idx="262">
                  <c:v>0.11602384132814697</c:v>
                </c:pt>
                <c:pt idx="263">
                  <c:v>0.11426825648743646</c:v>
                </c:pt>
                <c:pt idx="264">
                  <c:v>0.11260049818426079</c:v>
                </c:pt>
                <c:pt idx="265">
                  <c:v>0.11102121032485672</c:v>
                </c:pt>
                <c:pt idx="266">
                  <c:v>0.10953072145245581</c:v>
                </c:pt>
                <c:pt idx="267">
                  <c:v>0.10862916462762251</c:v>
                </c:pt>
                <c:pt idx="268">
                  <c:v>0.10841208523118212</c:v>
                </c:pt>
                <c:pt idx="269">
                  <c:v>0.10888014963157525</c:v>
                </c:pt>
                <c:pt idx="270">
                  <c:v>0.11003409258860497</c:v>
                </c:pt>
                <c:pt idx="271">
                  <c:v>0.11187470972644428</c:v>
                </c:pt>
                <c:pt idx="272">
                  <c:v>0.11440285000965056</c:v>
                </c:pt>
                <c:pt idx="273">
                  <c:v>0.11761940821777034</c:v>
                </c:pt>
                <c:pt idx="274">
                  <c:v>0.12152531742141551</c:v>
                </c:pt>
                <c:pt idx="275">
                  <c:v>0.12662812896178727</c:v>
                </c:pt>
                <c:pt idx="276">
                  <c:v>0.13274610575887519</c:v>
                </c:pt>
                <c:pt idx="277">
                  <c:v>0.13988074755000135</c:v>
                </c:pt>
                <c:pt idx="278">
                  <c:v>0.1480335732990998</c:v>
                </c:pt>
                <c:pt idx="279">
                  <c:v>0.1572061101231669</c:v>
                </c:pt>
                <c:pt idx="280">
                  <c:v>0.16739988222010338</c:v>
                </c:pt>
                <c:pt idx="281">
                  <c:v>0.17863732434920246</c:v>
                </c:pt>
                <c:pt idx="282">
                  <c:v>0.19041614228455703</c:v>
                </c:pt>
                <c:pt idx="283">
                  <c:v>0.20273702781636588</c:v>
                </c:pt>
                <c:pt idx="284">
                  <c:v>0.21560062470890148</c:v>
                </c:pt>
                <c:pt idx="285">
                  <c:v>0.22900752290914442</c:v>
                </c:pt>
                <c:pt idx="286">
                  <c:v>0.24295825275746974</c:v>
                </c:pt>
                <c:pt idx="287">
                  <c:v>0.25745327919631084</c:v>
                </c:pt>
                <c:pt idx="288">
                  <c:v>0.27249299597956511</c:v>
                </c:pt>
                <c:pt idx="289">
                  <c:v>0.28768732448643691</c:v>
                </c:pt>
                <c:pt idx="290">
                  <c:v>0.3025254172175324</c:v>
                </c:pt>
                <c:pt idx="291">
                  <c:v>0.3170060979939473</c:v>
                </c:pt>
                <c:pt idx="292">
                  <c:v>0.33112814376595978</c:v>
                </c:pt>
                <c:pt idx="293">
                  <c:v>0.34489028864038307</c:v>
                </c:pt>
                <c:pt idx="294">
                  <c:v>0.35829122790683271</c:v>
                </c:pt>
                <c:pt idx="295">
                  <c:v>0.37090521930349585</c:v>
                </c:pt>
                <c:pt idx="296">
                  <c:v>0.38271389221796581</c:v>
                </c:pt>
                <c:pt idx="297">
                  <c:v>0.39371901478173016</c:v>
                </c:pt>
                <c:pt idx="298">
                  <c:v>0.40391931550518756</c:v>
                </c:pt>
                <c:pt idx="299">
                  <c:v>0.41331345578962619</c:v>
                </c:pt>
                <c:pt idx="300">
                  <c:v>0.42190003746846394</c:v>
                </c:pt>
                <c:pt idx="301">
                  <c:v>0.42967761034727725</c:v>
                </c:pt>
                <c:pt idx="302">
                  <c:v>0.43664467974474924</c:v>
                </c:pt>
                <c:pt idx="303">
                  <c:v>0.44267525460894736</c:v>
                </c:pt>
                <c:pt idx="304">
                  <c:v>0.44816076136347438</c:v>
                </c:pt>
                <c:pt idx="305">
                  <c:v>0.45310000080840279</c:v>
                </c:pt>
                <c:pt idx="306">
                  <c:v>0.4574917573933891</c:v>
                </c:pt>
                <c:pt idx="307">
                  <c:v>0.46133480428686524</c:v>
                </c:pt>
                <c:pt idx="308">
                  <c:v>0.46462790844135898</c:v>
                </c:pt>
                <c:pt idx="309">
                  <c:v>0.46747289142953136</c:v>
                </c:pt>
                <c:pt idx="310">
                  <c:v>0.47029609446867426</c:v>
                </c:pt>
                <c:pt idx="311">
                  <c:v>0.4730970129650931</c:v>
                </c:pt>
                <c:pt idx="312">
                  <c:v>0.47587513358633043</c:v>
                </c:pt>
                <c:pt idx="313">
                  <c:v>0.47862993446287277</c:v>
                </c:pt>
                <c:pt idx="314">
                  <c:v>0.48136088538552596</c:v>
                </c:pt>
                <c:pt idx="315">
                  <c:v>0.48406744800879686</c:v>
                </c:pt>
                <c:pt idx="316">
                  <c:v>0.48674907604686685</c:v>
                </c:pt>
                <c:pt idx="317">
                  <c:v>0.489516795254691</c:v>
                </c:pt>
                <c:pt idx="318">
                  <c:v>0.49249546088749452</c:v>
                </c:pt>
                <c:pt idx="319">
                  <c:v>0.49568476124631355</c:v>
                </c:pt>
                <c:pt idx="320">
                  <c:v>0.4990843567046177</c:v>
                </c:pt>
                <c:pt idx="321">
                  <c:v>0.50269387774257113</c:v>
                </c:pt>
                <c:pt idx="322">
                  <c:v>0.50651292298348394</c:v>
                </c:pt>
                <c:pt idx="323">
                  <c:v>0.51059434777550894</c:v>
                </c:pt>
                <c:pt idx="324">
                  <c:v>0.51483407287074612</c:v>
                </c:pt>
                <c:pt idx="325">
                  <c:v>0.51923151572693327</c:v>
                </c:pt>
                <c:pt idx="326">
                  <c:v>0.52378280107408226</c:v>
                </c:pt>
                <c:pt idx="327">
                  <c:v>0.5284860923873399</c:v>
                </c:pt>
                <c:pt idx="328">
                  <c:v>0.53334220326915527</c:v>
                </c:pt>
                <c:pt idx="329">
                  <c:v>0.53835195939869485</c:v>
                </c:pt>
                <c:pt idx="330">
                  <c:v>0.54351620196722528</c:v>
                </c:pt>
                <c:pt idx="331">
                  <c:v>0.54861330231647454</c:v>
                </c:pt>
                <c:pt idx="332">
                  <c:v>0.55353207587220998</c:v>
                </c:pt>
                <c:pt idx="333">
                  <c:v>0.55827336066018474</c:v>
                </c:pt>
                <c:pt idx="334">
                  <c:v>0.562838051372066</c:v>
                </c:pt>
                <c:pt idx="335">
                  <c:v>0.56722709585233999</c:v>
                </c:pt>
                <c:pt idx="336">
                  <c:v>0.57144149157791779</c:v>
                </c:pt>
                <c:pt idx="337">
                  <c:v>0.5752986844523349</c:v>
                </c:pt>
                <c:pt idx="338">
                  <c:v>0.57874634650873547</c:v>
                </c:pt>
                <c:pt idx="339">
                  <c:v>0.58178558758064991</c:v>
                </c:pt>
                <c:pt idx="340">
                  <c:v>0.58441755450956312</c:v>
                </c:pt>
                <c:pt idx="341">
                  <c:v>0.58664342270168646</c:v>
                </c:pt>
                <c:pt idx="342">
                  <c:v>0.58846438768432685</c:v>
                </c:pt>
                <c:pt idx="343">
                  <c:v>0.58988165665515924</c:v>
                </c:pt>
                <c:pt idx="344">
                  <c:v>0.5908964400407003</c:v>
                </c:pt>
                <c:pt idx="345">
                  <c:v>0.59150994304859361</c:v>
                </c:pt>
                <c:pt idx="346">
                  <c:v>0.59198026862491515</c:v>
                </c:pt>
                <c:pt idx="347">
                  <c:v>0.59230863739344042</c:v>
                </c:pt>
                <c:pt idx="348">
                  <c:v>0.59249626183716098</c:v>
                </c:pt>
                <c:pt idx="349">
                  <c:v>0.59254434318824079</c:v>
                </c:pt>
                <c:pt idx="350">
                  <c:v>0.592454068331841</c:v>
                </c:pt>
                <c:pt idx="351">
                  <c:v>0.59226089827806971</c:v>
                </c:pt>
                <c:pt idx="352">
                  <c:v>0.59214976949932219</c:v>
                </c:pt>
                <c:pt idx="353">
                  <c:v>0.59212193058124019</c:v>
                </c:pt>
                <c:pt idx="354">
                  <c:v>0.5921786389529049</c:v>
                </c:pt>
                <c:pt idx="355">
                  <c:v>0.5923211622821255</c:v>
                </c:pt>
                <c:pt idx="356">
                  <c:v>0.59255118938757656</c:v>
                </c:pt>
                <c:pt idx="357">
                  <c:v>0.59286869222335747</c:v>
                </c:pt>
                <c:pt idx="358">
                  <c:v>0.5932722270691575</c:v>
                </c:pt>
                <c:pt idx="359">
                  <c:v>0.59376036042121172</c:v>
                </c:pt>
                <c:pt idx="360">
                  <c:v>0.59414747497681697</c:v>
                </c:pt>
                <c:pt idx="361">
                  <c:v>0.59439753934469364</c:v>
                </c:pt>
                <c:pt idx="362">
                  <c:v>0.59450885220533245</c:v>
                </c:pt>
                <c:pt idx="363">
                  <c:v>0.5944796959815466</c:v>
                </c:pt>
                <c:pt idx="364">
                  <c:v>0.59430834068248195</c:v>
                </c:pt>
                <c:pt idx="365">
                  <c:v>0.59399304774030548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0.86754186367008357</c:v>
                </c:pt>
                <c:pt idx="1">
                  <c:v>0.86744554658412221</c:v>
                </c:pt>
                <c:pt idx="2">
                  <c:v>0.86683367907972719</c:v>
                </c:pt>
                <c:pt idx="3">
                  <c:v>0.86570328993113721</c:v>
                </c:pt>
                <c:pt idx="4">
                  <c:v>0.86405141026056131</c:v>
                </c:pt>
                <c:pt idx="5">
                  <c:v>0.86187508680923031</c:v>
                </c:pt>
                <c:pt idx="6">
                  <c:v>0.85917139521946928</c:v>
                </c:pt>
                <c:pt idx="7">
                  <c:v>0.85593745329732507</c:v>
                </c:pt>
                <c:pt idx="8">
                  <c:v>0.85217043428732986</c:v>
                </c:pt>
                <c:pt idx="9">
                  <c:v>0.84788015493663371</c:v>
                </c:pt>
                <c:pt idx="10">
                  <c:v>0.84327991172227379</c:v>
                </c:pt>
                <c:pt idx="11">
                  <c:v>0.83836740786309516</c:v>
                </c:pt>
                <c:pt idx="12">
                  <c:v>0.83314042833401425</c:v>
                </c:pt>
                <c:pt idx="13">
                  <c:v>0.82759684733183647</c:v>
                </c:pt>
                <c:pt idx="14">
                  <c:v>0.82173463572694549</c:v>
                </c:pt>
                <c:pt idx="15">
                  <c:v>0.81552624777095961</c:v>
                </c:pt>
                <c:pt idx="16">
                  <c:v>0.80927677089663108</c:v>
                </c:pt>
                <c:pt idx="17">
                  <c:v>0.80298473260584291</c:v>
                </c:pt>
                <c:pt idx="18">
                  <c:v>0.79664872877559256</c:v>
                </c:pt>
                <c:pt idx="19">
                  <c:v>0.79027183203018914</c:v>
                </c:pt>
                <c:pt idx="20">
                  <c:v>0.78385901589855334</c:v>
                </c:pt>
                <c:pt idx="21">
                  <c:v>0.77741175605339119</c:v>
                </c:pt>
                <c:pt idx="22">
                  <c:v>0.77093149733844557</c:v>
                </c:pt>
                <c:pt idx="23">
                  <c:v>0.76443512191038443</c:v>
                </c:pt>
                <c:pt idx="24">
                  <c:v>0.75791139253555373</c:v>
                </c:pt>
                <c:pt idx="25">
                  <c:v>0.75136166009778649</c:v>
                </c:pt>
                <c:pt idx="26">
                  <c:v>0.74478724374729532</c:v>
                </c:pt>
                <c:pt idx="27">
                  <c:v>0.73818943076558474</c:v>
                </c:pt>
                <c:pt idx="28">
                  <c:v>0.73156947644655246</c:v>
                </c:pt>
                <c:pt idx="29">
                  <c:v>0.72493756628063377</c:v>
                </c:pt>
                <c:pt idx="30">
                  <c:v>0.71832055392689576</c:v>
                </c:pt>
                <c:pt idx="31">
                  <c:v>0.71171959391763151</c:v>
                </c:pt>
                <c:pt idx="32">
                  <c:v>0.70513580605203119</c:v>
                </c:pt>
                <c:pt idx="33">
                  <c:v>0.69857027570021202</c:v>
                </c:pt>
                <c:pt idx="34">
                  <c:v>0.69202405411047296</c:v>
                </c:pt>
                <c:pt idx="35">
                  <c:v>0.68549815871589037</c:v>
                </c:pt>
                <c:pt idx="36">
                  <c:v>0.67899357343945732</c:v>
                </c:pt>
                <c:pt idx="37">
                  <c:v>0.6722565987551713</c:v>
                </c:pt>
                <c:pt idx="38">
                  <c:v>0.6652727554119463</c:v>
                </c:pt>
                <c:pt idx="39">
                  <c:v>0.65804300181653708</c:v>
                </c:pt>
                <c:pt idx="40">
                  <c:v>0.65056826435913617</c:v>
                </c:pt>
                <c:pt idx="41">
                  <c:v>0.64284943434450437</c:v>
                </c:pt>
                <c:pt idx="42">
                  <c:v>0.63488736491843334</c:v>
                </c:pt>
                <c:pt idx="43">
                  <c:v>0.62624246909431258</c:v>
                </c:pt>
                <c:pt idx="44">
                  <c:v>0.61690666810633321</c:v>
                </c:pt>
                <c:pt idx="45">
                  <c:v>0.60688077661864925</c:v>
                </c:pt>
                <c:pt idx="46">
                  <c:v>0.59616553897304359</c:v>
                </c:pt>
                <c:pt idx="47">
                  <c:v>0.58476162049757829</c:v>
                </c:pt>
                <c:pt idx="48">
                  <c:v>0.5726695988072632</c:v>
                </c:pt>
                <c:pt idx="49">
                  <c:v>0.55988995511019102</c:v>
                </c:pt>
                <c:pt idx="50">
                  <c:v>0.5464230655100808</c:v>
                </c:pt>
                <c:pt idx="51">
                  <c:v>0.53204247790251735</c:v>
                </c:pt>
                <c:pt idx="52">
                  <c:v>0.51699989976557381</c:v>
                </c:pt>
                <c:pt idx="53">
                  <c:v>0.50129229162457734</c:v>
                </c:pt>
                <c:pt idx="54">
                  <c:v>0.48491933203709636</c:v>
                </c:pt>
                <c:pt idx="55">
                  <c:v>0.46788071180053692</c:v>
                </c:pt>
                <c:pt idx="56">
                  <c:v>0.45017613641931725</c:v>
                </c:pt>
                <c:pt idx="57">
                  <c:v>0.43214957873804322</c:v>
                </c:pt>
                <c:pt idx="58">
                  <c:v>0.41424099564181582</c:v>
                </c:pt>
                <c:pt idx="59">
                  <c:v>0.39645016749722767</c:v>
                </c:pt>
                <c:pt idx="60">
                  <c:v>0.3787769018103726</c:v>
                </c:pt>
                <c:pt idx="61">
                  <c:v>0.36122103279212353</c:v>
                </c:pt>
                <c:pt idx="62">
                  <c:v>0.34378242092286004</c:v>
                </c:pt>
                <c:pt idx="63">
                  <c:v>0.32646095251829466</c:v>
                </c:pt>
                <c:pt idx="64">
                  <c:v>0.3092565392938747</c:v>
                </c:pt>
                <c:pt idx="65">
                  <c:v>0.29274771876995209</c:v>
                </c:pt>
                <c:pt idx="66">
                  <c:v>0.2771611817485769</c:v>
                </c:pt>
                <c:pt idx="67">
                  <c:v>0.26249691304013834</c:v>
                </c:pt>
                <c:pt idx="68">
                  <c:v>0.24875490911374479</c:v>
                </c:pt>
                <c:pt idx="69">
                  <c:v>0.23593517468224448</c:v>
                </c:pt>
                <c:pt idx="70">
                  <c:v>0.22403771928854757</c:v>
                </c:pt>
                <c:pt idx="71">
                  <c:v>0.21356122091681529</c:v>
                </c:pt>
                <c:pt idx="72">
                  <c:v>0.20416141095841742</c:v>
                </c:pt>
                <c:pt idx="73">
                  <c:v>0.1958382783110359</c:v>
                </c:pt>
                <c:pt idx="74">
                  <c:v>0.1885917981143751</c:v>
                </c:pt>
                <c:pt idx="75">
                  <c:v>0.1824219277651504</c:v>
                </c:pt>
                <c:pt idx="76">
                  <c:v>0.17732860293146901</c:v>
                </c:pt>
                <c:pt idx="77">
                  <c:v>0.17331173356782492</c:v>
                </c:pt>
                <c:pt idx="78">
                  <c:v>0.17037120558598184</c:v>
                </c:pt>
                <c:pt idx="79">
                  <c:v>0.16867258795819626</c:v>
                </c:pt>
                <c:pt idx="80">
                  <c:v>0.16763769408225052</c:v>
                </c:pt>
                <c:pt idx="81">
                  <c:v>0.16726637700008742</c:v>
                </c:pt>
                <c:pt idx="82">
                  <c:v>0.16755848915256794</c:v>
                </c:pt>
                <c:pt idx="83">
                  <c:v>0.16851388025355513</c:v>
                </c:pt>
                <c:pt idx="84">
                  <c:v>0.17013239516456274</c:v>
                </c:pt>
                <c:pt idx="85">
                  <c:v>0.1722157858744548</c:v>
                </c:pt>
                <c:pt idx="86">
                  <c:v>0.17426554214115761</c:v>
                </c:pt>
                <c:pt idx="87">
                  <c:v>0.17628160062293624</c:v>
                </c:pt>
                <c:pt idx="88">
                  <c:v>0.17826389581581367</c:v>
                </c:pt>
                <c:pt idx="89">
                  <c:v>0.18021236015963596</c:v>
                </c:pt>
                <c:pt idx="90">
                  <c:v>0.182126924143765</c:v>
                </c:pt>
                <c:pt idx="91">
                  <c:v>0.18400751641345262</c:v>
                </c:pt>
                <c:pt idx="92">
                  <c:v>0.18585406387574369</c:v>
                </c:pt>
                <c:pt idx="93">
                  <c:v>0.18744347705357603</c:v>
                </c:pt>
                <c:pt idx="94">
                  <c:v>0.18861082036920715</c:v>
                </c:pt>
                <c:pt idx="95">
                  <c:v>0.18935611985576337</c:v>
                </c:pt>
                <c:pt idx="96">
                  <c:v>0.18967941258382404</c:v>
                </c:pt>
                <c:pt idx="97">
                  <c:v>0.18958074801219585</c:v>
                </c:pt>
                <c:pt idx="98">
                  <c:v>0.18906018933700924</c:v>
                </c:pt>
                <c:pt idx="99">
                  <c:v>0.18797861413495015</c:v>
                </c:pt>
                <c:pt idx="100">
                  <c:v>0.18653401397936945</c:v>
                </c:pt>
                <c:pt idx="101">
                  <c:v>0.1847264826875836</c:v>
                </c:pt>
                <c:pt idx="102">
                  <c:v>0.1825561308889358</c:v>
                </c:pt>
                <c:pt idx="103">
                  <c:v>0.18002308718444893</c:v>
                </c:pt>
                <c:pt idx="104">
                  <c:v>0.17712749931077382</c:v>
                </c:pt>
                <c:pt idx="105">
                  <c:v>0.17386953530015792</c:v>
                </c:pt>
                <c:pt idx="106">
                  <c:v>0.17024938464260136</c:v>
                </c:pt>
                <c:pt idx="107">
                  <c:v>0.16630172151504669</c:v>
                </c:pt>
                <c:pt idx="108">
                  <c:v>0.16224935917675595</c:v>
                </c:pt>
                <c:pt idx="109">
                  <c:v>0.15809241219355036</c:v>
                </c:pt>
                <c:pt idx="110">
                  <c:v>0.15383144436230758</c:v>
                </c:pt>
                <c:pt idx="111">
                  <c:v>0.14946699179576051</c:v>
                </c:pt>
                <c:pt idx="112">
                  <c:v>0.14499914065822217</c:v>
                </c:pt>
                <c:pt idx="113">
                  <c:v>0.14055543904954074</c:v>
                </c:pt>
                <c:pt idx="114">
                  <c:v>0.1362747549920264</c:v>
                </c:pt>
                <c:pt idx="115">
                  <c:v>0.13215701837934268</c:v>
                </c:pt>
                <c:pt idx="116">
                  <c:v>0.12820215777125862</c:v>
                </c:pt>
                <c:pt idx="117">
                  <c:v>0.12441010004072134</c:v>
                </c:pt>
                <c:pt idx="118">
                  <c:v>0.12078077001953373</c:v>
                </c:pt>
                <c:pt idx="119">
                  <c:v>0.1173140901444325</c:v>
                </c:pt>
                <c:pt idx="120">
                  <c:v>0.1140099801029814</c:v>
                </c:pt>
                <c:pt idx="121">
                  <c:v>0.11087626239603993</c:v>
                </c:pt>
                <c:pt idx="122">
                  <c:v>0.10787849557778448</c:v>
                </c:pt>
                <c:pt idx="123">
                  <c:v>0.10501661009328499</c:v>
                </c:pt>
                <c:pt idx="124">
                  <c:v>0.10229053334380922</c:v>
                </c:pt>
                <c:pt idx="125">
                  <c:v>9.9700189391712865E-2</c:v>
                </c:pt>
                <c:pt idx="126">
                  <c:v>9.7245498663840635E-2</c:v>
                </c:pt>
                <c:pt idx="127">
                  <c:v>9.4889423676381146E-2</c:v>
                </c:pt>
                <c:pt idx="128">
                  <c:v>9.2504945401876856E-2</c:v>
                </c:pt>
                <c:pt idx="129">
                  <c:v>9.0092127324088833E-2</c:v>
                </c:pt>
                <c:pt idx="130">
                  <c:v>8.7651036441183036E-2</c:v>
                </c:pt>
                <c:pt idx="131">
                  <c:v>8.5181743328503562E-2</c:v>
                </c:pt>
                <c:pt idx="132">
                  <c:v>8.2684322202296504E-2</c:v>
                </c:pt>
                <c:pt idx="133">
                  <c:v>8.0158850983949648E-2</c:v>
                </c:pt>
                <c:pt idx="134">
                  <c:v>7.7605411363749432E-2</c:v>
                </c:pt>
                <c:pt idx="135">
                  <c:v>7.5026097483520807E-2</c:v>
                </c:pt>
                <c:pt idx="136">
                  <c:v>7.2413128067725693E-2</c:v>
                </c:pt>
                <c:pt idx="137">
                  <c:v>6.976660328505363E-2</c:v>
                </c:pt>
                <c:pt idx="138">
                  <c:v>6.7086627685178341E-2</c:v>
                </c:pt>
                <c:pt idx="139">
                  <c:v>6.4373310277110407E-2</c:v>
                </c:pt>
                <c:pt idx="140">
                  <c:v>6.1626764603679614E-2</c:v>
                </c:pt>
                <c:pt idx="141">
                  <c:v>5.8896940593642956E-2</c:v>
                </c:pt>
                <c:pt idx="142">
                  <c:v>5.6220333716050092E-2</c:v>
                </c:pt>
                <c:pt idx="143">
                  <c:v>5.3596755268792408E-2</c:v>
                </c:pt>
                <c:pt idx="144">
                  <c:v>5.1026366885473871E-2</c:v>
                </c:pt>
                <c:pt idx="145">
                  <c:v>4.8509310163247742E-2</c:v>
                </c:pt>
                <c:pt idx="146">
                  <c:v>4.6045707358173038E-2</c:v>
                </c:pt>
                <c:pt idx="147">
                  <c:v>4.3635662082295662E-2</c:v>
                </c:pt>
                <c:pt idx="148">
                  <c:v>4.1279259999490295E-2</c:v>
                </c:pt>
                <c:pt idx="149">
                  <c:v>3.9024549675509362E-2</c:v>
                </c:pt>
                <c:pt idx="150">
                  <c:v>3.6869504492339417E-2</c:v>
                </c:pt>
                <c:pt idx="151">
                  <c:v>3.4814076802951129E-2</c:v>
                </c:pt>
                <c:pt idx="152">
                  <c:v>3.2858201500779179E-2</c:v>
                </c:pt>
                <c:pt idx="153">
                  <c:v>3.1001797335978139E-2</c:v>
                </c:pt>
                <c:pt idx="154">
                  <c:v>2.9244768231884995E-2</c:v>
                </c:pt>
                <c:pt idx="155">
                  <c:v>2.7632247582650444E-2</c:v>
                </c:pt>
                <c:pt idx="156">
                  <c:v>2.6114613206400905E-2</c:v>
                </c:pt>
                <c:pt idx="157">
                  <c:v>2.4691740081628562E-2</c:v>
                </c:pt>
                <c:pt idx="158">
                  <c:v>2.3363493900221043E-2</c:v>
                </c:pt>
                <c:pt idx="159">
                  <c:v>2.2129732326834579E-2</c:v>
                </c:pt>
                <c:pt idx="160">
                  <c:v>2.0990306258566047E-2</c:v>
                </c:pt>
                <c:pt idx="161">
                  <c:v>1.9945061084351175E-2</c:v>
                </c:pt>
                <c:pt idx="162">
                  <c:v>1.899383794449528E-2</c:v>
                </c:pt>
                <c:pt idx="163">
                  <c:v>1.8174838419693917E-2</c:v>
                </c:pt>
                <c:pt idx="164">
                  <c:v>1.7440292679336895E-2</c:v>
                </c:pt>
                <c:pt idx="165">
                  <c:v>1.6790054402477196E-2</c:v>
                </c:pt>
                <c:pt idx="166">
                  <c:v>1.6223977730679077E-2</c:v>
                </c:pt>
                <c:pt idx="167">
                  <c:v>1.5741918402078489E-2</c:v>
                </c:pt>
                <c:pt idx="168">
                  <c:v>1.5343734885979879E-2</c:v>
                </c:pt>
                <c:pt idx="169">
                  <c:v>1.5067517053029219E-2</c:v>
                </c:pt>
                <c:pt idx="170">
                  <c:v>1.4868238425316285E-2</c:v>
                </c:pt>
                <c:pt idx="171">
                  <c:v>1.4745784923048282E-2</c:v>
                </c:pt>
                <c:pt idx="172">
                  <c:v>1.4700049230522649E-2</c:v>
                </c:pt>
                <c:pt idx="173">
                  <c:v>1.4730781201147828E-2</c:v>
                </c:pt>
                <c:pt idx="174">
                  <c:v>1.4837727116618836E-2</c:v>
                </c:pt>
                <c:pt idx="175">
                  <c:v>1.5020780111584749E-2</c:v>
                </c:pt>
                <c:pt idx="176">
                  <c:v>1.5279833823467308E-2</c:v>
                </c:pt>
                <c:pt idx="177">
                  <c:v>1.5659454273255144E-2</c:v>
                </c:pt>
                <c:pt idx="178">
                  <c:v>1.6121418773949112E-2</c:v>
                </c:pt>
                <c:pt idx="179">
                  <c:v>1.6665615637544484E-2</c:v>
                </c:pt>
                <c:pt idx="180">
                  <c:v>1.7291935700357683E-2</c:v>
                </c:pt>
                <c:pt idx="181">
                  <c:v>1.8000272808663533E-2</c:v>
                </c:pt>
                <c:pt idx="182">
                  <c:v>1.8790524304474081E-2</c:v>
                </c:pt>
                <c:pt idx="183">
                  <c:v>1.9709653594380698E-2</c:v>
                </c:pt>
                <c:pt idx="184">
                  <c:v>2.0719559079512982E-2</c:v>
                </c:pt>
                <c:pt idx="185">
                  <c:v>2.182013949904333E-2</c:v>
                </c:pt>
                <c:pt idx="186">
                  <c:v>2.3011299512674006E-2</c:v>
                </c:pt>
                <c:pt idx="187">
                  <c:v>2.4292950240040523E-2</c:v>
                </c:pt>
                <c:pt idx="188">
                  <c:v>2.5665009800291301E-2</c:v>
                </c:pt>
                <c:pt idx="189">
                  <c:v>2.7127403850926293E-2</c:v>
                </c:pt>
                <c:pt idx="190">
                  <c:v>2.8680066127681036E-2</c:v>
                </c:pt>
                <c:pt idx="191">
                  <c:v>3.0371440053403205E-2</c:v>
                </c:pt>
                <c:pt idx="192">
                  <c:v>3.2157056993387445E-2</c:v>
                </c:pt>
                <c:pt idx="193">
                  <c:v>3.403687477273503E-2</c:v>
                </c:pt>
                <c:pt idx="194">
                  <c:v>3.6010861851719991E-2</c:v>
                </c:pt>
                <c:pt idx="195">
                  <c:v>3.8078997890219575E-2</c:v>
                </c:pt>
                <c:pt idx="196">
                  <c:v>4.0241274310868186E-2</c:v>
                </c:pt>
                <c:pt idx="197">
                  <c:v>4.2499640599853221E-2</c:v>
                </c:pt>
                <c:pt idx="198">
                  <c:v>4.4807343363958897E-2</c:v>
                </c:pt>
                <c:pt idx="199">
                  <c:v>4.7164456474817207E-2</c:v>
                </c:pt>
                <c:pt idx="200">
                  <c:v>4.9571063756993258E-2</c:v>
                </c:pt>
                <c:pt idx="201">
                  <c:v>5.2027259285705313E-2</c:v>
                </c:pt>
                <c:pt idx="202">
                  <c:v>5.453314768472254E-2</c:v>
                </c:pt>
                <c:pt idx="203">
                  <c:v>5.7088844425476154E-2</c:v>
                </c:pt>
                <c:pt idx="204">
                  <c:v>5.9694379727903271E-2</c:v>
                </c:pt>
                <c:pt idx="205">
                  <c:v>6.2314121278053941E-2</c:v>
                </c:pt>
                <c:pt idx="206">
                  <c:v>6.4899883277921913E-2</c:v>
                </c:pt>
                <c:pt idx="207">
                  <c:v>6.7451775829187738E-2</c:v>
                </c:pt>
                <c:pt idx="208">
                  <c:v>6.9969903065513261E-2</c:v>
                </c:pt>
                <c:pt idx="209">
                  <c:v>7.2454363256142768E-2</c:v>
                </c:pt>
                <c:pt idx="210">
                  <c:v>7.4905248911826636E-2</c:v>
                </c:pt>
                <c:pt idx="211">
                  <c:v>7.7330246062042862E-2</c:v>
                </c:pt>
                <c:pt idx="212">
                  <c:v>7.972749393902244E-2</c:v>
                </c:pt>
                <c:pt idx="213">
                  <c:v>8.2097066496721771E-2</c:v>
                </c:pt>
                <c:pt idx="214">
                  <c:v>8.4439032728956295E-2</c:v>
                </c:pt>
                <c:pt idx="215">
                  <c:v>8.6753456756526071E-2</c:v>
                </c:pt>
                <c:pt idx="216">
                  <c:v>8.9040397914064401E-2</c:v>
                </c:pt>
                <c:pt idx="217">
                  <c:v>9.129991083723131E-2</c:v>
                </c:pt>
                <c:pt idx="218">
                  <c:v>9.3532045549428955E-2</c:v>
                </c:pt>
                <c:pt idx="219">
                  <c:v>9.5859030623156705E-2</c:v>
                </c:pt>
                <c:pt idx="220">
                  <c:v>9.8316436591318654E-2</c:v>
                </c:pt>
                <c:pt idx="221">
                  <c:v>0.10090428246107432</c:v>
                </c:pt>
                <c:pt idx="222">
                  <c:v>0.10362259137873847</c:v>
                </c:pt>
                <c:pt idx="223">
                  <c:v>0.10647139022821854</c:v>
                </c:pt>
                <c:pt idx="224">
                  <c:v>0.10945070922707661</c:v>
                </c:pt>
                <c:pt idx="225">
                  <c:v>0.11259357298475188</c:v>
                </c:pt>
                <c:pt idx="226">
                  <c:v>0.11589242533059196</c:v>
                </c:pt>
                <c:pt idx="227">
                  <c:v>0.11934730518059114</c:v>
                </c:pt>
                <c:pt idx="228">
                  <c:v>0.12295825422487273</c:v>
                </c:pt>
                <c:pt idx="229">
                  <c:v>0.12672531644409515</c:v>
                </c:pt>
                <c:pt idx="230">
                  <c:v>0.13064853762768161</c:v>
                </c:pt>
                <c:pt idx="231">
                  <c:v>0.13472796489260208</c:v>
                </c:pt>
                <c:pt idx="232">
                  <c:v>0.13896364619937074</c:v>
                </c:pt>
                <c:pt idx="233">
                  <c:v>0.14322249729600417</c:v>
                </c:pt>
                <c:pt idx="234">
                  <c:v>0.14738236014789169</c:v>
                </c:pt>
                <c:pt idx="235">
                  <c:v>0.15144336147722109</c:v>
                </c:pt>
                <c:pt idx="236">
                  <c:v>0.15540568313889408</c:v>
                </c:pt>
                <c:pt idx="237">
                  <c:v>0.15926941350725474</c:v>
                </c:pt>
                <c:pt idx="238">
                  <c:v>0.16303463962136999</c:v>
                </c:pt>
                <c:pt idx="239">
                  <c:v>0.1664881923018639</c:v>
                </c:pt>
                <c:pt idx="240">
                  <c:v>0.16959708531747555</c:v>
                </c:pt>
                <c:pt idx="241">
                  <c:v>0.17236132429141235</c:v>
                </c:pt>
                <c:pt idx="242">
                  <c:v>0.17478090129720891</c:v>
                </c:pt>
                <c:pt idx="243">
                  <c:v>0.17685579424891934</c:v>
                </c:pt>
                <c:pt idx="244">
                  <c:v>0.17858596629039133</c:v>
                </c:pt>
                <c:pt idx="245">
                  <c:v>0.17997136518265733</c:v>
                </c:pt>
                <c:pt idx="246">
                  <c:v>0.1810119226909809</c:v>
                </c:pt>
                <c:pt idx="247">
                  <c:v>0.18151805764270862</c:v>
                </c:pt>
                <c:pt idx="248">
                  <c:v>0.18162290974658765</c:v>
                </c:pt>
                <c:pt idx="249">
                  <c:v>0.18132632655580913</c:v>
                </c:pt>
                <c:pt idx="250">
                  <c:v>0.18062813398359137</c:v>
                </c:pt>
                <c:pt idx="251">
                  <c:v>0.17952813559757386</c:v>
                </c:pt>
                <c:pt idx="252">
                  <c:v>0.17802611190644399</c:v>
                </c:pt>
                <c:pt idx="253">
                  <c:v>0.17627984416729189</c:v>
                </c:pt>
                <c:pt idx="254">
                  <c:v>0.17450289001949751</c:v>
                </c:pt>
                <c:pt idx="255">
                  <c:v>0.17269520666570548</c:v>
                </c:pt>
                <c:pt idx="256">
                  <c:v>0.17085674812743154</c:v>
                </c:pt>
                <c:pt idx="257">
                  <c:v>0.16898746518780974</c:v>
                </c:pt>
                <c:pt idx="258">
                  <c:v>0.16708730533604468</c:v>
                </c:pt>
                <c:pt idx="259">
                  <c:v>0.16515621271412925</c:v>
                </c:pt>
                <c:pt idx="260">
                  <c:v>0.16319412805840278</c:v>
                </c:pt>
                <c:pt idx="261">
                  <c:v>0.16167922149474162</c:v>
                </c:pt>
                <c:pt idx="262">
                  <c:v>0.16080197603155122</c:v>
                </c:pt>
                <c:pt idx="263">
                  <c:v>0.16056295063511483</c:v>
                </c:pt>
                <c:pt idx="264">
                  <c:v>0.16096275491296674</c:v>
                </c:pt>
                <c:pt idx="265">
                  <c:v>0.16200291079674398</c:v>
                </c:pt>
                <c:pt idx="266">
                  <c:v>0.16368459133057017</c:v>
                </c:pt>
                <c:pt idx="267">
                  <c:v>0.16656436749335274</c:v>
                </c:pt>
                <c:pt idx="268">
                  <c:v>0.17048483539239156</c:v>
                </c:pt>
                <c:pt idx="269">
                  <c:v>0.17544722131947463</c:v>
                </c:pt>
                <c:pt idx="270">
                  <c:v>0.18145283650597765</c:v>
                </c:pt>
                <c:pt idx="271">
                  <c:v>0.18850306571464573</c:v>
                </c:pt>
                <c:pt idx="272">
                  <c:v>0.19659935583604188</c:v>
                </c:pt>
                <c:pt idx="273">
                  <c:v>0.20574320448268577</c:v>
                </c:pt>
                <c:pt idx="274">
                  <c:v>0.21593614858568932</c:v>
                </c:pt>
                <c:pt idx="275">
                  <c:v>0.22751172911007339</c:v>
                </c:pt>
                <c:pt idx="276">
                  <c:v>0.23999090923506383</c:v>
                </c:pt>
                <c:pt idx="277">
                  <c:v>0.25337505994240783</c:v>
                </c:pt>
                <c:pt idx="278">
                  <c:v>0.26766553834727308</c:v>
                </c:pt>
                <c:pt idx="279">
                  <c:v>0.28286367792733152</c:v>
                </c:pt>
                <c:pt idx="280">
                  <c:v>0.29897077875434797</c:v>
                </c:pt>
                <c:pt idx="281">
                  <c:v>0.31576880215642578</c:v>
                </c:pt>
                <c:pt idx="282">
                  <c:v>0.33269867214100013</c:v>
                </c:pt>
                <c:pt idx="283">
                  <c:v>0.34976030680626141</c:v>
                </c:pt>
                <c:pt idx="284">
                  <c:v>0.36695355155745202</c:v>
                </c:pt>
                <c:pt idx="285">
                  <c:v>0.38427817786125412</c:v>
                </c:pt>
                <c:pt idx="286">
                  <c:v>0.4017338820036776</c:v>
                </c:pt>
                <c:pt idx="287">
                  <c:v>0.41932028384445669</c:v>
                </c:pt>
                <c:pt idx="288">
                  <c:v>0.43703692557273915</c:v>
                </c:pt>
                <c:pt idx="289">
                  <c:v>0.45445569725137502</c:v>
                </c:pt>
                <c:pt idx="290">
                  <c:v>0.47124080340564117</c:v>
                </c:pt>
                <c:pt idx="291">
                  <c:v>0.48739042980044034</c:v>
                </c:pt>
                <c:pt idx="292">
                  <c:v>0.50290272014477344</c:v>
                </c:pt>
                <c:pt idx="293">
                  <c:v>0.51777578315419948</c:v>
                </c:pt>
                <c:pt idx="294">
                  <c:v>0.53200769961156447</c:v>
                </c:pt>
                <c:pt idx="295">
                  <c:v>0.54534877262981551</c:v>
                </c:pt>
                <c:pt idx="296">
                  <c:v>0.55802441730631025</c:v>
                </c:pt>
                <c:pt idx="297">
                  <c:v>0.57003788290318258</c:v>
                </c:pt>
                <c:pt idx="298">
                  <c:v>0.58138794399254212</c:v>
                </c:pt>
                <c:pt idx="299">
                  <c:v>0.59207330923863122</c:v>
                </c:pt>
                <c:pt idx="300">
                  <c:v>0.60209262765165561</c:v>
                </c:pt>
                <c:pt idx="301">
                  <c:v>0.61144449483986751</c:v>
                </c:pt>
                <c:pt idx="302">
                  <c:v>0.62012745926296486</c:v>
                </c:pt>
                <c:pt idx="303">
                  <c:v>0.62814877875354214</c:v>
                </c:pt>
                <c:pt idx="304">
                  <c:v>0.63593754578195461</c:v>
                </c:pt>
                <c:pt idx="305">
                  <c:v>0.64349283200879015</c:v>
                </c:pt>
                <c:pt idx="306">
                  <c:v>0.65081368286260266</c:v>
                </c:pt>
                <c:pt idx="307">
                  <c:v>0.65789911975074888</c:v>
                </c:pt>
                <c:pt idx="308">
                  <c:v>0.66474814226471191</c:v>
                </c:pt>
                <c:pt idx="309">
                  <c:v>0.67137487833751408</c:v>
                </c:pt>
                <c:pt idx="310">
                  <c:v>0.67802786927363035</c:v>
                </c:pt>
                <c:pt idx="311">
                  <c:v>0.68470642074598365</c:v>
                </c:pt>
                <c:pt idx="312">
                  <c:v>0.69140981420957059</c:v>
                </c:pt>
                <c:pt idx="313">
                  <c:v>0.69813730668466178</c:v>
                </c:pt>
                <c:pt idx="314">
                  <c:v>0.70488813053372623</c:v>
                </c:pt>
                <c:pt idx="315">
                  <c:v>0.71166149324710304</c:v>
                </c:pt>
                <c:pt idx="316">
                  <c:v>0.71845657721786615</c:v>
                </c:pt>
                <c:pt idx="317">
                  <c:v>0.72524732538375891</c:v>
                </c:pt>
                <c:pt idx="318">
                  <c:v>0.73202403181602893</c:v>
                </c:pt>
                <c:pt idx="319">
                  <c:v>0.73878576572993804</c:v>
                </c:pt>
                <c:pt idx="320">
                  <c:v>0.74553157338474074</c:v>
                </c:pt>
                <c:pt idx="321">
                  <c:v>0.75226047817723385</c:v>
                </c:pt>
                <c:pt idx="322">
                  <c:v>0.75897148073861842</c:v>
                </c:pt>
                <c:pt idx="323">
                  <c:v>0.76567598823372973</c:v>
                </c:pt>
                <c:pt idx="324">
                  <c:v>0.77235773083107417</c:v>
                </c:pt>
                <c:pt idx="325">
                  <c:v>0.77901559299286716</c:v>
                </c:pt>
                <c:pt idx="326">
                  <c:v>0.78564354912956369</c:v>
                </c:pt>
                <c:pt idx="327">
                  <c:v>0.79223867255387093</c:v>
                </c:pt>
                <c:pt idx="328">
                  <c:v>0.79880205518066816</c:v>
                </c:pt>
                <c:pt idx="329">
                  <c:v>0.80533484447695414</c:v>
                </c:pt>
                <c:pt idx="330">
                  <c:v>0.81183824318781583</c:v>
                </c:pt>
                <c:pt idx="331">
                  <c:v>0.81801043289068009</c:v>
                </c:pt>
                <c:pt idx="332">
                  <c:v>0.82387794663922209</c:v>
                </c:pt>
                <c:pt idx="333">
                  <c:v>0.82944209891367349</c:v>
                </c:pt>
                <c:pt idx="334">
                  <c:v>0.83470428016829723</c:v>
                </c:pt>
                <c:pt idx="335">
                  <c:v>0.83966595079293005</c:v>
                </c:pt>
                <c:pt idx="336">
                  <c:v>0.84432863506366784</c:v>
                </c:pt>
                <c:pt idx="337">
                  <c:v>0.84848012654431293</c:v>
                </c:pt>
                <c:pt idx="338">
                  <c:v>0.85210958617084998</c:v>
                </c:pt>
                <c:pt idx="339">
                  <c:v>0.8552186793564297</c:v>
                </c:pt>
                <c:pt idx="340">
                  <c:v>0.85780911227926482</c:v>
                </c:pt>
                <c:pt idx="341">
                  <c:v>0.85988262113643577</c:v>
                </c:pt>
                <c:pt idx="342">
                  <c:v>0.86144096139707482</c:v>
                </c:pt>
                <c:pt idx="343">
                  <c:v>0.8624858970451571</c:v>
                </c:pt>
                <c:pt idx="344">
                  <c:v>0.86301918983578463</c:v>
                </c:pt>
                <c:pt idx="345">
                  <c:v>0.86304258854240135</c:v>
                </c:pt>
                <c:pt idx="346">
                  <c:v>0.86294758347337774</c:v>
                </c:pt>
                <c:pt idx="347">
                  <c:v>0.86273594285204658</c:v>
                </c:pt>
                <c:pt idx="348">
                  <c:v>0.86240942367685403</c:v>
                </c:pt>
                <c:pt idx="349">
                  <c:v>0.86196976906663714</c:v>
                </c:pt>
                <c:pt idx="350">
                  <c:v>0.86141870562609013</c:v>
                </c:pt>
                <c:pt idx="351">
                  <c:v>0.86084447123058028</c:v>
                </c:pt>
                <c:pt idx="352">
                  <c:v>0.86046278354217731</c:v>
                </c:pt>
                <c:pt idx="353">
                  <c:v>0.86027547669930948</c:v>
                </c:pt>
                <c:pt idx="354">
                  <c:v>0.86028440714086207</c:v>
                </c:pt>
                <c:pt idx="355">
                  <c:v>0.86049145715874031</c:v>
                </c:pt>
                <c:pt idx="356">
                  <c:v>0.86089913342468327</c:v>
                </c:pt>
                <c:pt idx="357">
                  <c:v>0.86150746223689056</c:v>
                </c:pt>
                <c:pt idx="358">
                  <c:v>0.86231442611184173</c:v>
                </c:pt>
                <c:pt idx="359">
                  <c:v>0.86331803335619361</c:v>
                </c:pt>
                <c:pt idx="360">
                  <c:v>0.86430183273996031</c:v>
                </c:pt>
                <c:pt idx="361">
                  <c:v>0.86517683293347425</c:v>
                </c:pt>
                <c:pt idx="362">
                  <c:v>0.86594069841422772</c:v>
                </c:pt>
                <c:pt idx="363">
                  <c:v>0.86659107450135164</c:v>
                </c:pt>
                <c:pt idx="364">
                  <c:v>0.86712559063916161</c:v>
                </c:pt>
                <c:pt idx="365">
                  <c:v>0.86754186367008357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1.1198975928747088</c:v>
                </c:pt>
                <c:pt idx="1">
                  <c:v>1.1229023214474516</c:v>
                </c:pt>
                <c:pt idx="2">
                  <c:v>1.1254757411559053</c:v>
                </c:pt>
                <c:pt idx="3">
                  <c:v>1.1276143825231986</c:v>
                </c:pt>
                <c:pt idx="4">
                  <c:v>1.1293147484085408</c:v>
                </c:pt>
                <c:pt idx="5">
                  <c:v>1.1305733252399228</c:v>
                </c:pt>
                <c:pt idx="6">
                  <c:v>1.1313865942612673</c:v>
                </c:pt>
                <c:pt idx="7">
                  <c:v>1.1317510427541482</c:v>
                </c:pt>
                <c:pt idx="8">
                  <c:v>1.1316631752753055</c:v>
                </c:pt>
                <c:pt idx="9">
                  <c:v>1.1309307525928805</c:v>
                </c:pt>
                <c:pt idx="10">
                  <c:v>1.129649726839977</c:v>
                </c:pt>
                <c:pt idx="11">
                  <c:v>1.1278166202544662</c:v>
                </c:pt>
                <c:pt idx="12">
                  <c:v>1.1254280296193346</c:v>
                </c:pt>
                <c:pt idx="13">
                  <c:v>1.1224806397677691</c:v>
                </c:pt>
                <c:pt idx="14">
                  <c:v>1.1189712370690463</c:v>
                </c:pt>
                <c:pt idx="15">
                  <c:v>1.1147542364377112</c:v>
                </c:pt>
                <c:pt idx="16">
                  <c:v>1.1101697022153092</c:v>
                </c:pt>
                <c:pt idx="17">
                  <c:v>1.1052149765968542</c:v>
                </c:pt>
                <c:pt idx="18">
                  <c:v>1.0998875171058333</c:v>
                </c:pt>
                <c:pt idx="19">
                  <c:v>1.0941910082755766</c:v>
                </c:pt>
                <c:pt idx="20">
                  <c:v>1.0881318731788037</c:v>
                </c:pt>
                <c:pt idx="21">
                  <c:v>1.081711784074318</c:v>
                </c:pt>
                <c:pt idx="22">
                  <c:v>1.0749324304374643</c:v>
                </c:pt>
                <c:pt idx="23">
                  <c:v>1.0677225203180027</c:v>
                </c:pt>
                <c:pt idx="24">
                  <c:v>1.0602732508564228</c:v>
                </c:pt>
                <c:pt idx="25">
                  <c:v>1.0525863622166909</c:v>
                </c:pt>
                <c:pt idx="26">
                  <c:v>1.0446635818764012</c:v>
                </c:pt>
                <c:pt idx="27">
                  <c:v>1.0365066219190897</c:v>
                </c:pt>
                <c:pt idx="28">
                  <c:v>1.0281171763492243</c:v>
                </c:pt>
                <c:pt idx="29">
                  <c:v>1.0193420178033807</c:v>
                </c:pt>
                <c:pt idx="30">
                  <c:v>1.0103255301974114</c:v>
                </c:pt>
                <c:pt idx="31">
                  <c:v>1.0010693440683465</c:v>
                </c:pt>
                <c:pt idx="32">
                  <c:v>0.99157506110595384</c:v>
                </c:pt>
                <c:pt idx="33">
                  <c:v>0.98184425130160102</c:v>
                </c:pt>
                <c:pt idx="34">
                  <c:v>0.97187845010165297</c:v>
                </c:pt>
                <c:pt idx="35">
                  <c:v>0.96167915555994155</c:v>
                </c:pt>
                <c:pt idx="36">
                  <c:v>0.95124782548817655</c:v>
                </c:pt>
                <c:pt idx="37">
                  <c:v>0.94037190748108856</c:v>
                </c:pt>
                <c:pt idx="38">
                  <c:v>0.92912579384157157</c:v>
                </c:pt>
                <c:pt idx="39">
                  <c:v>0.91751084329183874</c:v>
                </c:pt>
                <c:pt idx="40">
                  <c:v>0.90552836264878622</c:v>
                </c:pt>
                <c:pt idx="41">
                  <c:v>0.89317960221704362</c:v>
                </c:pt>
                <c:pt idx="42">
                  <c:v>0.88046575117548809</c:v>
                </c:pt>
                <c:pt idx="43">
                  <c:v>0.86715531162552795</c:v>
                </c:pt>
                <c:pt idx="44">
                  <c:v>0.85340412879256888</c:v>
                </c:pt>
                <c:pt idx="45">
                  <c:v>0.839213194679298</c:v>
                </c:pt>
                <c:pt idx="46">
                  <c:v>0.82458341748247443</c:v>
                </c:pt>
                <c:pt idx="47">
                  <c:v>0.80951561601216171</c:v>
                </c:pt>
                <c:pt idx="48">
                  <c:v>0.79401051409992029</c:v>
                </c:pt>
                <c:pt idx="49">
                  <c:v>0.77806873501456209</c:v>
                </c:pt>
                <c:pt idx="50">
                  <c:v>0.76169079587293131</c:v>
                </c:pt>
                <c:pt idx="51">
                  <c:v>0.74461728446601994</c:v>
                </c:pt>
                <c:pt idx="52">
                  <c:v>0.72705825776714383</c:v>
                </c:pt>
                <c:pt idx="53">
                  <c:v>0.70900950075444946</c:v>
                </c:pt>
                <c:pt idx="54">
                  <c:v>0.69047059036749814</c:v>
                </c:pt>
                <c:pt idx="55">
                  <c:v>0.67144112212841323</c:v>
                </c:pt>
                <c:pt idx="56">
                  <c:v>0.65192071196308754</c:v>
                </c:pt>
                <c:pt idx="57">
                  <c:v>0.63199063551059997</c:v>
                </c:pt>
                <c:pt idx="58">
                  <c:v>0.61188307734494918</c:v>
                </c:pt>
                <c:pt idx="59">
                  <c:v>0.59159773174244634</c:v>
                </c:pt>
                <c:pt idx="60">
                  <c:v>0.57113432177878154</c:v>
                </c:pt>
                <c:pt idx="61">
                  <c:v>0.55049259998840128</c:v>
                </c:pt>
                <c:pt idx="62">
                  <c:v>0.52967234902304883</c:v>
                </c:pt>
                <c:pt idx="63">
                  <c:v>0.50867338231197612</c:v>
                </c:pt>
                <c:pt idx="64">
                  <c:v>0.4874955447199773</c:v>
                </c:pt>
                <c:pt idx="65">
                  <c:v>0.4665448965950369</c:v>
                </c:pt>
                <c:pt idx="66">
                  <c:v>0.44608118023217586</c:v>
                </c:pt>
                <c:pt idx="67">
                  <c:v>0.42610433876940917</c:v>
                </c:pt>
                <c:pt idx="68">
                  <c:v>0.40661433959930604</c:v>
                </c:pt>
                <c:pt idx="69">
                  <c:v>0.3876111725628808</c:v>
                </c:pt>
                <c:pt idx="70">
                  <c:v>0.36909484814557675</c:v>
                </c:pt>
                <c:pt idx="71">
                  <c:v>0.35173589003226646</c:v>
                </c:pt>
                <c:pt idx="72">
                  <c:v>0.33545267732419815</c:v>
                </c:pt>
                <c:pt idx="73">
                  <c:v>0.32024523109214109</c:v>
                </c:pt>
                <c:pt idx="74">
                  <c:v>0.30611356884718943</c:v>
                </c:pt>
                <c:pt idx="75">
                  <c:v>0.29305770055811309</c:v>
                </c:pt>
                <c:pt idx="76">
                  <c:v>0.28107762466771707</c:v>
                </c:pt>
                <c:pt idx="77">
                  <c:v>0.27017332411019557</c:v>
                </c:pt>
                <c:pt idx="78">
                  <c:v>0.26034477097122039</c:v>
                </c:pt>
                <c:pt idx="79">
                  <c:v>0.25218777504494294</c:v>
                </c:pt>
                <c:pt idx="80">
                  <c:v>0.24529668312866681</c:v>
                </c:pt>
                <c:pt idx="81">
                  <c:v>0.23967124122294731</c:v>
                </c:pt>
                <c:pt idx="82">
                  <c:v>0.23531120048844084</c:v>
                </c:pt>
                <c:pt idx="83">
                  <c:v>0.23221631319275726</c:v>
                </c:pt>
                <c:pt idx="84">
                  <c:v>0.2303863286580986</c:v>
                </c:pt>
                <c:pt idx="85">
                  <c:v>0.22981432633098617</c:v>
                </c:pt>
                <c:pt idx="86">
                  <c:v>0.22982994203902057</c:v>
                </c:pt>
                <c:pt idx="87">
                  <c:v>0.23043300641077064</c:v>
                </c:pt>
                <c:pt idx="88">
                  <c:v>0.23162334155608905</c:v>
                </c:pt>
                <c:pt idx="89">
                  <c:v>0.23340075918195119</c:v>
                </c:pt>
                <c:pt idx="90">
                  <c:v>0.23576505870780806</c:v>
                </c:pt>
                <c:pt idx="91">
                  <c:v>0.23871602538182135</c:v>
                </c:pt>
                <c:pt idx="92">
                  <c:v>0.24225342839648592</c:v>
                </c:pt>
                <c:pt idx="93">
                  <c:v>0.24604420108582337</c:v>
                </c:pt>
                <c:pt idx="94">
                  <c:v>0.24949380311068106</c:v>
                </c:pt>
                <c:pt idx="95">
                  <c:v>0.25260218913446109</c:v>
                </c:pt>
                <c:pt idx="96">
                  <c:v>0.25536931949366043</c:v>
                </c:pt>
                <c:pt idx="97">
                  <c:v>0.25779516128763835</c:v>
                </c:pt>
                <c:pt idx="98">
                  <c:v>0.25987968946616347</c:v>
                </c:pt>
                <c:pt idx="99">
                  <c:v>0.26130156242404312</c:v>
                </c:pt>
                <c:pt idx="100">
                  <c:v>0.26206754031466883</c:v>
                </c:pt>
                <c:pt idx="101">
                  <c:v>0.26217775016140499</c:v>
                </c:pt>
                <c:pt idx="102">
                  <c:v>0.26163234503150479</c:v>
                </c:pt>
                <c:pt idx="103">
                  <c:v>0.26043150613121707</c:v>
                </c:pt>
                <c:pt idx="104">
                  <c:v>0.25857544490701562</c:v>
                </c:pt>
                <c:pt idx="105">
                  <c:v>0.25606440514116202</c:v>
                </c:pt>
                <c:pt idx="106">
                  <c:v>0.25289866505039754</c:v>
                </c:pt>
                <c:pt idx="107">
                  <c:v>0.24895613813496936</c:v>
                </c:pt>
                <c:pt idx="108">
                  <c:v>0.24456943631477143</c:v>
                </c:pt>
                <c:pt idx="109">
                  <c:v>0.23973883853886621</c:v>
                </c:pt>
                <c:pt idx="110">
                  <c:v>0.23446532230525202</c:v>
                </c:pt>
                <c:pt idx="111">
                  <c:v>0.22874984841011065</c:v>
                </c:pt>
                <c:pt idx="112">
                  <c:v>0.22259270581527446</c:v>
                </c:pt>
                <c:pt idx="113">
                  <c:v>0.21617130664505477</c:v>
                </c:pt>
                <c:pt idx="114">
                  <c:v>0.20980637746969444</c:v>
                </c:pt>
                <c:pt idx="115">
                  <c:v>0.20349793168516375</c:v>
                </c:pt>
                <c:pt idx="116">
                  <c:v>0.19724598650216149</c:v>
                </c:pt>
                <c:pt idx="117">
                  <c:v>0.19105056282773689</c:v>
                </c:pt>
                <c:pt idx="118">
                  <c:v>0.18491168514476547</c:v>
                </c:pt>
                <c:pt idx="119">
                  <c:v>0.17882938139204049</c:v>
                </c:pt>
                <c:pt idx="120">
                  <c:v>0.1728036828440852</c:v>
                </c:pt>
                <c:pt idx="121">
                  <c:v>0.16696723073852412</c:v>
                </c:pt>
                <c:pt idx="122">
                  <c:v>0.161441956095626</c:v>
                </c:pt>
                <c:pt idx="123">
                  <c:v>0.156227691779006</c:v>
                </c:pt>
                <c:pt idx="124">
                  <c:v>0.15132426253027811</c:v>
                </c:pt>
                <c:pt idx="125">
                  <c:v>0.14673148429266314</c:v>
                </c:pt>
                <c:pt idx="126">
                  <c:v>0.1424491635323735</c:v>
                </c:pt>
                <c:pt idx="127">
                  <c:v>0.13846214697276801</c:v>
                </c:pt>
                <c:pt idx="128">
                  <c:v>0.13459380861802975</c:v>
                </c:pt>
                <c:pt idx="129">
                  <c:v>0.13084410357509466</c:v>
                </c:pt>
                <c:pt idx="130">
                  <c:v>0.12721298446879417</c:v>
                </c:pt>
                <c:pt idx="131">
                  <c:v>0.12370040118273422</c:v>
                </c:pt>
                <c:pt idx="132">
                  <c:v>0.12030630060156169</c:v>
                </c:pt>
                <c:pt idx="133">
                  <c:v>0.11703062635397646</c:v>
                </c:pt>
                <c:pt idx="134">
                  <c:v>0.11387331855504595</c:v>
                </c:pt>
                <c:pt idx="135">
                  <c:v>0.11085847192286413</c:v>
                </c:pt>
                <c:pt idx="136">
                  <c:v>0.10785401365255232</c:v>
                </c:pt>
                <c:pt idx="137">
                  <c:v>0.10485999708065413</c:v>
                </c:pt>
                <c:pt idx="138">
                  <c:v>0.10187647759189106</c:v>
                </c:pt>
                <c:pt idx="139">
                  <c:v>9.8903512601360502E-2</c:v>
                </c:pt>
                <c:pt idx="140">
                  <c:v>9.594116153089452E-2</c:v>
                </c:pt>
                <c:pt idx="141">
                  <c:v>9.3031803459727058E-2</c:v>
                </c:pt>
                <c:pt idx="142">
                  <c:v>9.0189815369070975E-2</c:v>
                </c:pt>
                <c:pt idx="143">
                  <c:v>8.7414837950539892E-2</c:v>
                </c:pt>
                <c:pt idx="144">
                  <c:v>8.4707066214409127E-2</c:v>
                </c:pt>
                <c:pt idx="145">
                  <c:v>8.2066672698775642E-2</c:v>
                </c:pt>
                <c:pt idx="146">
                  <c:v>7.949380836019862E-2</c:v>
                </c:pt>
                <c:pt idx="147">
                  <c:v>7.6988603467203931E-2</c:v>
                </c:pt>
                <c:pt idx="148">
                  <c:v>7.4551168491739983E-2</c:v>
                </c:pt>
                <c:pt idx="149">
                  <c:v>7.215779169774901E-2</c:v>
                </c:pt>
                <c:pt idx="150">
                  <c:v>6.9784601980414626E-2</c:v>
                </c:pt>
                <c:pt idx="151">
                  <c:v>6.7431741896848946E-2</c:v>
                </c:pt>
                <c:pt idx="152">
                  <c:v>6.5099340303842484E-2</c:v>
                </c:pt>
                <c:pt idx="153">
                  <c:v>6.2787512604937326E-2</c:v>
                </c:pt>
                <c:pt idx="154">
                  <c:v>6.049636099789045E-2</c:v>
                </c:pt>
                <c:pt idx="155">
                  <c:v>5.8242645417065336E-2</c:v>
                </c:pt>
                <c:pt idx="156">
                  <c:v>5.5984447258662313E-2</c:v>
                </c:pt>
                <c:pt idx="157">
                  <c:v>5.3721878533704547E-2</c:v>
                </c:pt>
                <c:pt idx="158">
                  <c:v>5.1455039305454524E-2</c:v>
                </c:pt>
                <c:pt idx="159">
                  <c:v>4.9184017593748859E-2</c:v>
                </c:pt>
                <c:pt idx="160">
                  <c:v>4.6908889279985905E-2</c:v>
                </c:pt>
                <c:pt idx="161">
                  <c:v>4.4629718011514025E-2</c:v>
                </c:pt>
                <c:pt idx="162">
                  <c:v>4.2346555106308553E-2</c:v>
                </c:pt>
                <c:pt idx="163">
                  <c:v>4.0203522137216105E-2</c:v>
                </c:pt>
                <c:pt idx="164">
                  <c:v>3.8223961959695872E-2</c:v>
                </c:pt>
                <c:pt idx="165">
                  <c:v>3.6407586377233819E-2</c:v>
                </c:pt>
                <c:pt idx="166">
                  <c:v>3.4754105030348793E-2</c:v>
                </c:pt>
                <c:pt idx="167">
                  <c:v>3.3263227581849041E-2</c:v>
                </c:pt>
                <c:pt idx="168">
                  <c:v>3.1934665903251509E-2</c:v>
                </c:pt>
                <c:pt idx="169">
                  <c:v>3.0911708560564712E-2</c:v>
                </c:pt>
                <c:pt idx="170">
                  <c:v>3.0177323782635219E-2</c:v>
                </c:pt>
                <c:pt idx="171">
                  <c:v>2.9731048058860194E-2</c:v>
                </c:pt>
                <c:pt idx="172">
                  <c:v>2.9572443282672636E-2</c:v>
                </c:pt>
                <c:pt idx="173">
                  <c:v>2.9700796947833414E-2</c:v>
                </c:pt>
                <c:pt idx="174">
                  <c:v>3.0115396497421194E-2</c:v>
                </c:pt>
                <c:pt idx="175">
                  <c:v>3.0815825562200812E-2</c:v>
                </c:pt>
                <c:pt idx="176">
                  <c:v>3.1801669660982856E-2</c:v>
                </c:pt>
                <c:pt idx="177">
                  <c:v>3.3088977975522273E-2</c:v>
                </c:pt>
                <c:pt idx="178">
                  <c:v>3.4534408922947457E-2</c:v>
                </c:pt>
                <c:pt idx="179">
                  <c:v>3.6137753119141719E-2</c:v>
                </c:pt>
                <c:pt idx="180">
                  <c:v>3.7898807352188882E-2</c:v>
                </c:pt>
                <c:pt idx="181">
                  <c:v>3.981737551817096E-2</c:v>
                </c:pt>
                <c:pt idx="182">
                  <c:v>4.189326955726988E-2</c:v>
                </c:pt>
                <c:pt idx="183">
                  <c:v>4.410296254805627E-2</c:v>
                </c:pt>
                <c:pt idx="184">
                  <c:v>4.6303826672103005E-2</c:v>
                </c:pt>
                <c:pt idx="185">
                  <c:v>4.8495937915960845E-2</c:v>
                </c:pt>
                <c:pt idx="186">
                  <c:v>5.0679377234884596E-2</c:v>
                </c:pt>
                <c:pt idx="187">
                  <c:v>5.2854230512162002E-2</c:v>
                </c:pt>
                <c:pt idx="188">
                  <c:v>5.5020588518817422E-2</c:v>
                </c:pt>
                <c:pt idx="189">
                  <c:v>5.717854687170127E-2</c:v>
                </c:pt>
                <c:pt idx="190">
                  <c:v>5.9328205993846188E-2</c:v>
                </c:pt>
                <c:pt idx="191">
                  <c:v>6.1510858693670199E-2</c:v>
                </c:pt>
                <c:pt idx="192">
                  <c:v>6.3710218477202582E-2</c:v>
                </c:pt>
                <c:pt idx="193">
                  <c:v>6.5926371325057825E-2</c:v>
                </c:pt>
                <c:pt idx="194">
                  <c:v>6.8159409677342325E-2</c:v>
                </c:pt>
                <c:pt idx="195">
                  <c:v>7.0409432541020722E-2</c:v>
                </c:pt>
                <c:pt idx="196">
                  <c:v>7.2676545594783093E-2</c:v>
                </c:pt>
                <c:pt idx="197">
                  <c:v>7.4984263363986572E-2</c:v>
                </c:pt>
                <c:pt idx="198">
                  <c:v>7.7355883335603351E-2</c:v>
                </c:pt>
                <c:pt idx="199">
                  <c:v>7.9791487438363756E-2</c:v>
                </c:pt>
                <c:pt idx="200">
                  <c:v>8.2291168983416235E-2</c:v>
                </c:pt>
                <c:pt idx="201">
                  <c:v>8.4855033045606279E-2</c:v>
                </c:pt>
                <c:pt idx="202">
                  <c:v>8.7483196845117517E-2</c:v>
                </c:pt>
                <c:pt idx="203">
                  <c:v>9.0175790131059641E-2</c:v>
                </c:pt>
                <c:pt idx="204">
                  <c:v>9.2932805491128534E-2</c:v>
                </c:pt>
                <c:pt idx="205">
                  <c:v>9.5739763149296359E-2</c:v>
                </c:pt>
                <c:pt idx="206">
                  <c:v>9.8555729101588441E-2</c:v>
                </c:pt>
                <c:pt idx="207">
                  <c:v>0.10138078512486268</c:v>
                </c:pt>
                <c:pt idx="208">
                  <c:v>0.10421501020419385</c:v>
                </c:pt>
                <c:pt idx="209">
                  <c:v>0.10705848050385854</c:v>
                </c:pt>
                <c:pt idx="210">
                  <c:v>0.10991126934178963</c:v>
                </c:pt>
                <c:pt idx="211">
                  <c:v>0.11290090890349831</c:v>
                </c:pt>
                <c:pt idx="212">
                  <c:v>0.11600409360035632</c:v>
                </c:pt>
                <c:pt idx="213">
                  <c:v>0.11922085255294219</c:v>
                </c:pt>
                <c:pt idx="214">
                  <c:v>0.12255121896153286</c:v>
                </c:pt>
                <c:pt idx="215">
                  <c:v>0.12599522975536748</c:v>
                </c:pt>
                <c:pt idx="216">
                  <c:v>0.12955292524150447</c:v>
                </c:pt>
                <c:pt idx="217">
                  <c:v>0.13322434875417991</c:v>
                </c:pt>
                <c:pt idx="218">
                  <c:v>0.1370095463034752</c:v>
                </c:pt>
                <c:pt idx="219">
                  <c:v>0.14107834631015023</c:v>
                </c:pt>
                <c:pt idx="220">
                  <c:v>0.14544515289387303</c:v>
                </c:pt>
                <c:pt idx="221">
                  <c:v>0.15010999808037478</c:v>
                </c:pt>
                <c:pt idx="222">
                  <c:v>0.15507292494470343</c:v>
                </c:pt>
                <c:pt idx="223">
                  <c:v>0.16033398669038595</c:v>
                </c:pt>
                <c:pt idx="224">
                  <c:v>0.1658932457250849</c:v>
                </c:pt>
                <c:pt idx="225">
                  <c:v>0.17163359474376247</c:v>
                </c:pt>
                <c:pt idx="226">
                  <c:v>0.17742777811341851</c:v>
                </c:pt>
                <c:pt idx="227">
                  <c:v>0.18327587405895801</c:v>
                </c:pt>
                <c:pt idx="228">
                  <c:v>0.18917795593145487</c:v>
                </c:pt>
                <c:pt idx="229">
                  <c:v>0.19513409204268323</c:v>
                </c:pt>
                <c:pt idx="230">
                  <c:v>0.20114434550244309</c:v>
                </c:pt>
                <c:pt idx="231">
                  <c:v>0.20720877405674484</c:v>
                </c:pt>
                <c:pt idx="232">
                  <c:v>0.2133274299217055</c:v>
                </c:pt>
                <c:pt idx="233">
                  <c:v>0.21919304156563418</c:v>
                </c:pt>
                <c:pt idx="234">
                  <c:v>0.22463581953242859</c:v>
                </c:pt>
                <c:pt idx="235">
                  <c:v>0.2296559024004306</c:v>
                </c:pt>
                <c:pt idx="236">
                  <c:v>0.23425350040357079</c:v>
                </c:pt>
                <c:pt idx="237">
                  <c:v>0.23842866897923309</c:v>
                </c:pt>
                <c:pt idx="238">
                  <c:v>0.24218144931197505</c:v>
                </c:pt>
                <c:pt idx="239">
                  <c:v>0.2451936151506206</c:v>
                </c:pt>
                <c:pt idx="240">
                  <c:v>0.24758234583302738</c:v>
                </c:pt>
                <c:pt idx="241">
                  <c:v>0.24934756972583058</c:v>
                </c:pt>
                <c:pt idx="242">
                  <c:v>0.25048918845091622</c:v>
                </c:pt>
                <c:pt idx="243">
                  <c:v>0.25100707578354509</c:v>
                </c:pt>
                <c:pt idx="244">
                  <c:v>0.25090107654906002</c:v>
                </c:pt>
                <c:pt idx="245">
                  <c:v>0.25017100551691374</c:v>
                </c:pt>
                <c:pt idx="246">
                  <c:v>0.24881664629432798</c:v>
                </c:pt>
                <c:pt idx="247">
                  <c:v>0.24683137627250312</c:v>
                </c:pt>
                <c:pt idx="248">
                  <c:v>0.24452268295563012</c:v>
                </c:pt>
                <c:pt idx="249">
                  <c:v>0.24189039715535479</c:v>
                </c:pt>
                <c:pt idx="250">
                  <c:v>0.23893433053382404</c:v>
                </c:pt>
                <c:pt idx="251">
                  <c:v>0.23565427503730632</c:v>
                </c:pt>
                <c:pt idx="252">
                  <c:v>0.23205000231937994</c:v>
                </c:pt>
                <c:pt idx="253">
                  <c:v>0.22869078706540419</c:v>
                </c:pt>
                <c:pt idx="254">
                  <c:v>0.22589567305080671</c:v>
                </c:pt>
                <c:pt idx="255">
                  <c:v>0.22366497118818401</c:v>
                </c:pt>
                <c:pt idx="256">
                  <c:v>0.22199902424196954</c:v>
                </c:pt>
                <c:pt idx="257">
                  <c:v>0.22089820781838232</c:v>
                </c:pt>
                <c:pt idx="258">
                  <c:v>0.22036293135755655</c:v>
                </c:pt>
                <c:pt idx="259">
                  <c:v>0.22039363912866863</c:v>
                </c:pt>
                <c:pt idx="260">
                  <c:v>0.2209908112183348</c:v>
                </c:pt>
                <c:pt idx="261">
                  <c:v>0.22279798363726788</c:v>
                </c:pt>
                <c:pt idx="262">
                  <c:v>0.22582267369601616</c:v>
                </c:pt>
                <c:pt idx="263">
                  <c:v>0.23006609196250283</c:v>
                </c:pt>
                <c:pt idx="264">
                  <c:v>0.2355295454495504</c:v>
                </c:pt>
                <c:pt idx="265">
                  <c:v>0.24221572763655441</c:v>
                </c:pt>
                <c:pt idx="266">
                  <c:v>0.2501269348591228</c:v>
                </c:pt>
                <c:pt idx="267">
                  <c:v>0.25965494613427453</c:v>
                </c:pt>
                <c:pt idx="268">
                  <c:v>0.27022979813628417</c:v>
                </c:pt>
                <c:pt idx="269">
                  <c:v>0.28185295418755046</c:v>
                </c:pt>
                <c:pt idx="270">
                  <c:v>0.29452593334204252</c:v>
                </c:pt>
                <c:pt idx="271">
                  <c:v>0.30825029898132006</c:v>
                </c:pt>
                <c:pt idx="272">
                  <c:v>0.32302764741788204</c:v>
                </c:pt>
                <c:pt idx="273">
                  <c:v>0.33885959649479624</c:v>
                </c:pt>
                <c:pt idx="274">
                  <c:v>0.35574777418942349</c:v>
                </c:pt>
                <c:pt idx="275">
                  <c:v>0.37377253396375654</c:v>
                </c:pt>
                <c:pt idx="276">
                  <c:v>0.39228872071759469</c:v>
                </c:pt>
                <c:pt idx="277">
                  <c:v>0.41129707441896779</c:v>
                </c:pt>
                <c:pt idx="278">
                  <c:v>0.43079827593513759</c:v>
                </c:pt>
                <c:pt idx="279">
                  <c:v>0.45079294186679086</c:v>
                </c:pt>
                <c:pt idx="280">
                  <c:v>0.47128161938625612</c:v>
                </c:pt>
                <c:pt idx="281">
                  <c:v>0.49201346556908387</c:v>
                </c:pt>
                <c:pt idx="282">
                  <c:v>0.51259539890585126</c:v>
                </c:pt>
                <c:pt idx="283">
                  <c:v>0.5330267154662709</c:v>
                </c:pt>
                <c:pt idx="284">
                  <c:v>0.55330662136838171</c:v>
                </c:pt>
                <c:pt idx="285">
                  <c:v>0.57343423466311938</c:v>
                </c:pt>
                <c:pt idx="286">
                  <c:v>0.59340858722416867</c:v>
                </c:pt>
                <c:pt idx="287">
                  <c:v>0.61322862663249944</c:v>
                </c:pt>
                <c:pt idx="288">
                  <c:v>0.63289321806288734</c:v>
                </c:pt>
                <c:pt idx="289">
                  <c:v>0.65217529943871377</c:v>
                </c:pt>
                <c:pt idx="290">
                  <c:v>0.67099390400846259</c:v>
                </c:pt>
                <c:pt idx="291">
                  <c:v>0.68934721534498156</c:v>
                </c:pt>
                <c:pt idx="292">
                  <c:v>0.70723335865366821</c:v>
                </c:pt>
                <c:pt idx="293">
                  <c:v>0.72465040598729724</c:v>
                </c:pt>
                <c:pt idx="294">
                  <c:v>0.74159638145835927</c:v>
                </c:pt>
                <c:pt idx="295">
                  <c:v>0.75786112215268286</c:v>
                </c:pt>
                <c:pt idx="296">
                  <c:v>0.77370486470474098</c:v>
                </c:pt>
                <c:pt idx="297">
                  <c:v>0.78913278805127973</c:v>
                </c:pt>
                <c:pt idx="298">
                  <c:v>0.80414386005320015</c:v>
                </c:pt>
                <c:pt idx="299">
                  <c:v>0.81873697845387772</c:v>
                </c:pt>
                <c:pt idx="300">
                  <c:v>0.8329109748979463</c:v>
                </c:pt>
                <c:pt idx="301">
                  <c:v>0.84666461894766143</c:v>
                </c:pt>
                <c:pt idx="302">
                  <c:v>0.85999662210108774</c:v>
                </c:pt>
                <c:pt idx="303">
                  <c:v>0.87275440618890343</c:v>
                </c:pt>
                <c:pt idx="304">
                  <c:v>0.88516381158876589</c:v>
                </c:pt>
                <c:pt idx="305">
                  <c:v>0.89722350867465928</c:v>
                </c:pt>
                <c:pt idx="306">
                  <c:v>0.90893212567864934</c:v>
                </c:pt>
                <c:pt idx="307">
                  <c:v>0.92028825200933972</c:v>
                </c:pt>
                <c:pt idx="308">
                  <c:v>0.93129044156261798</c:v>
                </c:pt>
                <c:pt idx="309">
                  <c:v>0.94186573348823854</c:v>
                </c:pt>
                <c:pt idx="310">
                  <c:v>0.95222221077619851</c:v>
                </c:pt>
                <c:pt idx="311">
                  <c:v>0.96235852916141362</c:v>
                </c:pt>
                <c:pt idx="312">
                  <c:v>0.97227331655814764</c:v>
                </c:pt>
                <c:pt idx="313">
                  <c:v>0.98196517511268533</c:v>
                </c:pt>
                <c:pt idx="314">
                  <c:v>0.9914326832471887</c:v>
                </c:pt>
                <c:pt idx="315">
                  <c:v>1.0006743977158523</c:v>
                </c:pt>
                <c:pt idx="316">
                  <c:v>1.0096888556458607</c:v>
                </c:pt>
                <c:pt idx="317">
                  <c:v>1.0183343515359651</c:v>
                </c:pt>
                <c:pt idx="318">
                  <c:v>1.0267614725098662</c:v>
                </c:pt>
                <c:pt idx="319">
                  <c:v>1.0349687279837274</c:v>
                </c:pt>
                <c:pt idx="320">
                  <c:v>1.0429546154257894</c:v>
                </c:pt>
                <c:pt idx="321">
                  <c:v>1.0507176222983416</c:v>
                </c:pt>
                <c:pt idx="322">
                  <c:v>1.058256228004292</c:v>
                </c:pt>
                <c:pt idx="323">
                  <c:v>1.0653823187081986</c:v>
                </c:pt>
                <c:pt idx="324">
                  <c:v>1.0721661004944218</c:v>
                </c:pt>
                <c:pt idx="325">
                  <c:v>1.0786058956061835</c:v>
                </c:pt>
                <c:pt idx="326">
                  <c:v>1.0846932925009964</c:v>
                </c:pt>
                <c:pt idx="327">
                  <c:v>1.0904242763175267</c:v>
                </c:pt>
                <c:pt idx="328">
                  <c:v>1.0958004376504848</c:v>
                </c:pt>
                <c:pt idx="329">
                  <c:v>1.1008234647080581</c:v>
                </c:pt>
                <c:pt idx="330">
                  <c:v>1.1054951364879453</c:v>
                </c:pt>
                <c:pt idx="331">
                  <c:v>1.1094784580295469</c:v>
                </c:pt>
                <c:pt idx="332">
                  <c:v>1.1129160254377586</c:v>
                </c:pt>
                <c:pt idx="333">
                  <c:v>1.1158098178911429</c:v>
                </c:pt>
                <c:pt idx="334">
                  <c:v>1.1181618926015868</c:v>
                </c:pt>
                <c:pt idx="335">
                  <c:v>1.1199743738875849</c:v>
                </c:pt>
                <c:pt idx="336">
                  <c:v>1.121249442232874</c:v>
                </c:pt>
                <c:pt idx="337">
                  <c:v>1.1218906992251123</c:v>
                </c:pt>
                <c:pt idx="338">
                  <c:v>1.1220873599835712</c:v>
                </c:pt>
                <c:pt idx="339">
                  <c:v>1.121841715725689</c:v>
                </c:pt>
                <c:pt idx="340">
                  <c:v>1.1211560681604371</c:v>
                </c:pt>
                <c:pt idx="341">
                  <c:v>1.1200327203935199</c:v>
                </c:pt>
                <c:pt idx="342">
                  <c:v>1.1184739678316715</c:v>
                </c:pt>
                <c:pt idx="343">
                  <c:v>1.1164820890734422</c:v>
                </c:pt>
                <c:pt idx="344">
                  <c:v>1.1140593368175757</c:v>
                </c:pt>
                <c:pt idx="345">
                  <c:v>1.1112079287595835</c:v>
                </c:pt>
                <c:pt idx="346">
                  <c:v>1.1085019238634908</c:v>
                </c:pt>
                <c:pt idx="347">
                  <c:v>1.105943556470123</c:v>
                </c:pt>
                <c:pt idx="348">
                  <c:v>1.1035350485131192</c:v>
                </c:pt>
                <c:pt idx="349">
                  <c:v>1.1012786122982077</c:v>
                </c:pt>
                <c:pt idx="350">
                  <c:v>1.0991764533083339</c:v>
                </c:pt>
                <c:pt idx="351">
                  <c:v>1.0974636908508133</c:v>
                </c:pt>
                <c:pt idx="352">
                  <c:v>1.0962413540886979</c:v>
                </c:pt>
                <c:pt idx="353">
                  <c:v>1.0955118459155324</c:v>
                </c:pt>
                <c:pt idx="354">
                  <c:v>1.0952776292234518</c:v>
                </c:pt>
                <c:pt idx="355">
                  <c:v>1.0955412365268389</c:v>
                </c:pt>
                <c:pt idx="356">
                  <c:v>1.0963060372518396</c:v>
                </c:pt>
                <c:pt idx="357">
                  <c:v>1.0975722890329909</c:v>
                </c:pt>
                <c:pt idx="358">
                  <c:v>1.0993376903516374</c:v>
                </c:pt>
                <c:pt idx="359">
                  <c:v>1.1016000091289935</c:v>
                </c:pt>
                <c:pt idx="360">
                  <c:v>1.104258127285989</c:v>
                </c:pt>
                <c:pt idx="361">
                  <c:v>1.107076212401658</c:v>
                </c:pt>
                <c:pt idx="362">
                  <c:v>1.1100517413596263</c:v>
                </c:pt>
                <c:pt idx="363">
                  <c:v>1.1131821812643308</c:v>
                </c:pt>
                <c:pt idx="364">
                  <c:v>1.1164649860164273</c:v>
                </c:pt>
                <c:pt idx="365">
                  <c:v>1.1198975928747088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1.3190214598537768</c:v>
                </c:pt>
                <c:pt idx="1">
                  <c:v>1.3252118608977475</c:v>
                </c:pt>
                <c:pt idx="2">
                  <c:v>1.3311515296788785</c:v>
                </c:pt>
                <c:pt idx="3">
                  <c:v>1.3368367748421355</c:v>
                </c:pt>
                <c:pt idx="4">
                  <c:v>1.3422638467585746</c:v>
                </c:pt>
                <c:pt idx="5">
                  <c:v>1.3474289442566938</c:v>
                </c:pt>
                <c:pt idx="6">
                  <c:v>1.3523282213710044</c:v>
                </c:pt>
                <c:pt idx="7">
                  <c:v>1.3569577940603637</c:v>
                </c:pt>
                <c:pt idx="8">
                  <c:v>1.3613137469450134</c:v>
                </c:pt>
                <c:pt idx="9">
                  <c:v>1.3651937319477099</c:v>
                </c:pt>
                <c:pt idx="10">
                  <c:v>1.3685499241499184</c:v>
                </c:pt>
                <c:pt idx="11">
                  <c:v>1.3713780630881158</c:v>
                </c:pt>
                <c:pt idx="12">
                  <c:v>1.373673914152042</c:v>
                </c:pt>
                <c:pt idx="13">
                  <c:v>1.3754332814749037</c:v>
                </c:pt>
                <c:pt idx="14">
                  <c:v>1.376652020800025</c:v>
                </c:pt>
                <c:pt idx="15">
                  <c:v>1.3772939890248093</c:v>
                </c:pt>
                <c:pt idx="16">
                  <c:v>1.3776643920003731</c:v>
                </c:pt>
                <c:pt idx="17">
                  <c:v>1.3777595368803945</c:v>
                </c:pt>
                <c:pt idx="18">
                  <c:v>1.3775757767453662</c:v>
                </c:pt>
                <c:pt idx="19">
                  <c:v>1.3771171978555625</c:v>
                </c:pt>
                <c:pt idx="20">
                  <c:v>1.3763913957655995</c:v>
                </c:pt>
                <c:pt idx="21">
                  <c:v>1.3754000488815816</c:v>
                </c:pt>
                <c:pt idx="22">
                  <c:v>1.3741448645684275</c:v>
                </c:pt>
                <c:pt idx="23">
                  <c:v>1.3723142990543031</c:v>
                </c:pt>
                <c:pt idx="24">
                  <c:v>1.3701092127833376</c:v>
                </c:pt>
                <c:pt idx="25">
                  <c:v>1.3675313817347055</c:v>
                </c:pt>
                <c:pt idx="26">
                  <c:v>1.3645826103270071</c:v>
                </c:pt>
                <c:pt idx="27">
                  <c:v>1.3612647270857423</c:v>
                </c:pt>
                <c:pt idx="28">
                  <c:v>1.3575795803402757</c:v>
                </c:pt>
                <c:pt idx="29">
                  <c:v>1.3528064819038572</c:v>
                </c:pt>
                <c:pt idx="30">
                  <c:v>1.3469794740001511</c:v>
                </c:pt>
                <c:pt idx="31">
                  <c:v>1.3401005385188605</c:v>
                </c:pt>
                <c:pt idx="32">
                  <c:v>1.3321717016461803</c:v>
                </c:pt>
                <c:pt idx="33">
                  <c:v>1.323195020912207</c:v>
                </c:pt>
                <c:pt idx="34">
                  <c:v>1.3131725722444412</c:v>
                </c:pt>
                <c:pt idx="35">
                  <c:v>1.302106437020095</c:v>
                </c:pt>
                <c:pt idx="36">
                  <c:v>1.2899986891156312</c:v>
                </c:pt>
                <c:pt idx="37">
                  <c:v>1.2764358868527299</c:v>
                </c:pt>
                <c:pt idx="38">
                  <c:v>1.2617333224181442</c:v>
                </c:pt>
                <c:pt idx="39">
                  <c:v>1.2458929993094117</c:v>
                </c:pt>
                <c:pt idx="40">
                  <c:v>1.22891686022534</c:v>
                </c:pt>
                <c:pt idx="41">
                  <c:v>1.2108067728442018</c:v>
                </c:pt>
                <c:pt idx="42">
                  <c:v>1.1915645155930485</c:v>
                </c:pt>
                <c:pt idx="43">
                  <c:v>1.1712726578942778</c:v>
                </c:pt>
                <c:pt idx="44">
                  <c:v>1.1506545213724457</c:v>
                </c:pt>
                <c:pt idx="45">
                  <c:v>1.1297113513930339</c:v>
                </c:pt>
                <c:pt idx="46">
                  <c:v>1.108444279107796</c:v>
                </c:pt>
                <c:pt idx="47">
                  <c:v>1.0868543172788387</c:v>
                </c:pt>
                <c:pt idx="48">
                  <c:v>1.0649423560878339</c:v>
                </c:pt>
                <c:pt idx="49">
                  <c:v>1.0427091589554103</c:v>
                </c:pt>
                <c:pt idx="50">
                  <c:v>1.0201553583538583</c:v>
                </c:pt>
                <c:pt idx="51">
                  <c:v>0.9972035376001952</c:v>
                </c:pt>
                <c:pt idx="52">
                  <c:v>0.97426379894590942</c:v>
                </c:pt>
                <c:pt idx="53">
                  <c:v>0.95133048560511824</c:v>
                </c:pt>
                <c:pt idx="54">
                  <c:v>0.9284030310208351</c:v>
                </c:pt>
                <c:pt idx="55">
                  <c:v>0.90548090261492931</c:v>
                </c:pt>
                <c:pt idx="56">
                  <c:v>0.88256360177689797</c:v>
                </c:pt>
                <c:pt idx="57">
                  <c:v>0.85952582015460821</c:v>
                </c:pt>
                <c:pt idx="58">
                  <c:v>0.83628626543840434</c:v>
                </c:pt>
                <c:pt idx="59">
                  <c:v>0.81284453657116151</c:v>
                </c:pt>
                <c:pt idx="60">
                  <c:v>0.7892002657991265</c:v>
                </c:pt>
                <c:pt idx="61">
                  <c:v>0.76535311942230511</c:v>
                </c:pt>
                <c:pt idx="62">
                  <c:v>0.74130279854368519</c:v>
                </c:pt>
                <c:pt idx="63">
                  <c:v>0.71704903982078327</c:v>
                </c:pt>
                <c:pt idx="64">
                  <c:v>0.69259161621415499</c:v>
                </c:pt>
                <c:pt idx="65">
                  <c:v>0.66805419760673823</c:v>
                </c:pt>
                <c:pt idx="66">
                  <c:v>0.64351455035824356</c:v>
                </c:pt>
                <c:pt idx="67">
                  <c:v>0.61897256083964491</c:v>
                </c:pt>
                <c:pt idx="68">
                  <c:v>0.59442815175150554</c:v>
                </c:pt>
                <c:pt idx="69">
                  <c:v>0.5698812821255731</c:v>
                </c:pt>
                <c:pt idx="70">
                  <c:v>0.5453319473293915</c:v>
                </c:pt>
                <c:pt idx="71">
                  <c:v>0.52141446156615656</c:v>
                </c:pt>
                <c:pt idx="72">
                  <c:v>0.49825371217141817</c:v>
                </c:pt>
                <c:pt idx="73">
                  <c:v>0.47584975417443759</c:v>
                </c:pt>
                <c:pt idx="74">
                  <c:v>0.45420265739836374</c:v>
                </c:pt>
                <c:pt idx="75">
                  <c:v>0.43331250365622354</c:v>
                </c:pt>
                <c:pt idx="76">
                  <c:v>0.41317938394544029</c:v>
                </c:pt>
                <c:pt idx="77">
                  <c:v>0.39380339564382627</c:v>
                </c:pt>
                <c:pt idx="78">
                  <c:v>0.37518465216064628</c:v>
                </c:pt>
                <c:pt idx="79">
                  <c:v>0.35840796456298518</c:v>
                </c:pt>
                <c:pt idx="80">
                  <c:v>0.34335018511487525</c:v>
                </c:pt>
                <c:pt idx="81">
                  <c:v>0.33001096846307304</c:v>
                </c:pt>
                <c:pt idx="82">
                  <c:v>0.31838998356650011</c:v>
                </c:pt>
                <c:pt idx="83">
                  <c:v>0.30848690819438424</c:v>
                </c:pt>
                <c:pt idx="84">
                  <c:v>0.30030142342545424</c:v>
                </c:pt>
                <c:pt idx="85">
                  <c:v>0.29428506271114424</c:v>
                </c:pt>
                <c:pt idx="86">
                  <c:v>0.28980351782152319</c:v>
                </c:pt>
                <c:pt idx="87">
                  <c:v>0.28685647442052309</c:v>
                </c:pt>
                <c:pt idx="88">
                  <c:v>0.28544360175545253</c:v>
                </c:pt>
                <c:pt idx="89">
                  <c:v>0.28556454773902934</c:v>
                </c:pt>
                <c:pt idx="90">
                  <c:v>0.28721893403081528</c:v>
                </c:pt>
                <c:pt idx="91">
                  <c:v>0.29040635111973023</c:v>
                </c:pt>
                <c:pt idx="92">
                  <c:v>0.29512635340580967</c:v>
                </c:pt>
                <c:pt idx="93">
                  <c:v>0.30098415309730664</c:v>
                </c:pt>
                <c:pt idx="94">
                  <c:v>0.30689697043845759</c:v>
                </c:pt>
                <c:pt idx="95">
                  <c:v>0.31286461018173356</c:v>
                </c:pt>
                <c:pt idx="96">
                  <c:v>0.31888686775468478</c:v>
                </c:pt>
                <c:pt idx="97">
                  <c:v>0.32496352907792075</c:v>
                </c:pt>
                <c:pt idx="98">
                  <c:v>0.33109437038035333</c:v>
                </c:pt>
                <c:pt idx="99">
                  <c:v>0.33666427303018143</c:v>
                </c:pt>
                <c:pt idx="100">
                  <c:v>0.34122189306780126</c:v>
                </c:pt>
                <c:pt idx="101">
                  <c:v>0.34476738025655579</c:v>
                </c:pt>
                <c:pt idx="102">
                  <c:v>0.34730092021955827</c:v>
                </c:pt>
                <c:pt idx="103">
                  <c:v>0.34882273767274263</c:v>
                </c:pt>
                <c:pt idx="104">
                  <c:v>0.34933309966599618</c:v>
                </c:pt>
                <c:pt idx="105">
                  <c:v>0.3488323188168187</c:v>
                </c:pt>
                <c:pt idx="106">
                  <c:v>0.34732075654812666</c:v>
                </c:pt>
                <c:pt idx="107">
                  <c:v>0.34446044636574985</c:v>
                </c:pt>
                <c:pt idx="108">
                  <c:v>0.34064559932881266</c:v>
                </c:pt>
                <c:pt idx="109">
                  <c:v>0.33587672097799182</c:v>
                </c:pt>
                <c:pt idx="110">
                  <c:v>0.33015531612218274</c:v>
                </c:pt>
                <c:pt idx="111">
                  <c:v>0.3234828985028842</c:v>
                </c:pt>
                <c:pt idx="112">
                  <c:v>0.31586005337243001</c:v>
                </c:pt>
                <c:pt idx="113">
                  <c:v>0.30751334842892031</c:v>
                </c:pt>
                <c:pt idx="114">
                  <c:v>0.2990566257928679</c:v>
                </c:pt>
                <c:pt idx="115">
                  <c:v>0.29049001738612895</c:v>
                </c:pt>
                <c:pt idx="116">
                  <c:v>0.28181366596523855</c:v>
                </c:pt>
                <c:pt idx="117">
                  <c:v>0.27302772536855968</c:v>
                </c:pt>
                <c:pt idx="118">
                  <c:v>0.26413236076037416</c:v>
                </c:pt>
                <c:pt idx="119">
                  <c:v>0.25512774887585027</c:v>
                </c:pt>
                <c:pt idx="120">
                  <c:v>0.24601407826561406</c:v>
                </c:pt>
                <c:pt idx="121">
                  <c:v>0.23705097841099543</c:v>
                </c:pt>
                <c:pt idx="122">
                  <c:v>0.22857572237026966</c:v>
                </c:pt>
                <c:pt idx="123">
                  <c:v>0.2205880498952392</c:v>
                </c:pt>
                <c:pt idx="124">
                  <c:v>0.21308768784950774</c:v>
                </c:pt>
                <c:pt idx="125">
                  <c:v>0.20607434914803213</c:v>
                </c:pt>
                <c:pt idx="126">
                  <c:v>0.19954773169353127</c:v>
                </c:pt>
                <c:pt idx="127">
                  <c:v>0.19350798325301891</c:v>
                </c:pt>
                <c:pt idx="128">
                  <c:v>0.18772968606196191</c:v>
                </c:pt>
                <c:pt idx="129">
                  <c:v>0.18221269877489144</c:v>
                </c:pt>
                <c:pt idx="130">
                  <c:v>0.176956872161249</c:v>
                </c:pt>
                <c:pt idx="131">
                  <c:v>0.17196204853406191</c:v>
                </c:pt>
                <c:pt idx="132">
                  <c:v>0.16722806118055975</c:v>
                </c:pt>
                <c:pt idx="133">
                  <c:v>0.16275473379382432</c:v>
                </c:pt>
                <c:pt idx="134">
                  <c:v>0.15854187990346982</c:v>
                </c:pt>
                <c:pt idx="135">
                  <c:v>0.15468561802683914</c:v>
                </c:pt>
                <c:pt idx="136">
                  <c:v>0.15092743195787564</c:v>
                </c:pt>
                <c:pt idx="137">
                  <c:v>0.14726728768630126</c:v>
                </c:pt>
                <c:pt idx="138">
                  <c:v>0.14370514860796382</c:v>
                </c:pt>
                <c:pt idx="139">
                  <c:v>0.1402409753154916</c:v>
                </c:pt>
                <c:pt idx="140">
                  <c:v>0.13687472538073475</c:v>
                </c:pt>
                <c:pt idx="141">
                  <c:v>0.13368490623235271</c:v>
                </c:pt>
                <c:pt idx="142">
                  <c:v>0.1306701814732861</c:v>
                </c:pt>
                <c:pt idx="143">
                  <c:v>0.12782986427766332</c:v>
                </c:pt>
                <c:pt idx="144">
                  <c:v>0.12516405423171367</c:v>
                </c:pt>
                <c:pt idx="145">
                  <c:v>0.12267281552643516</c:v>
                </c:pt>
                <c:pt idx="146">
                  <c:v>0.12035617930104674</c:v>
                </c:pt>
                <c:pt idx="147">
                  <c:v>0.1182141459906727</c:v>
                </c:pt>
                <c:pt idx="148">
                  <c:v>0.11624668767100906</c:v>
                </c:pt>
                <c:pt idx="149">
                  <c:v>0.11430472923287306</c:v>
                </c:pt>
                <c:pt idx="150">
                  <c:v>0.11229282432135995</c:v>
                </c:pt>
                <c:pt idx="151">
                  <c:v>0.11021131573306527</c:v>
                </c:pt>
                <c:pt idx="152">
                  <c:v>0.10806054008098882</c:v>
                </c:pt>
                <c:pt idx="153">
                  <c:v>0.10584082683933883</c:v>
                </c:pt>
                <c:pt idx="154">
                  <c:v>0.10355249738896001</c:v>
                </c:pt>
                <c:pt idx="155">
                  <c:v>0.10110893044552206</c:v>
                </c:pt>
                <c:pt idx="156">
                  <c:v>9.8432696885232596E-2</c:v>
                </c:pt>
                <c:pt idx="157">
                  <c:v>9.5524401787048532E-2</c:v>
                </c:pt>
                <c:pt idx="158">
                  <c:v>9.2384639007682526E-2</c:v>
                </c:pt>
                <c:pt idx="159">
                  <c:v>8.9013987994537858E-2</c:v>
                </c:pt>
                <c:pt idx="160">
                  <c:v>8.5413010599807437E-2</c:v>
                </c:pt>
                <c:pt idx="161">
                  <c:v>8.1582247893502949E-2</c:v>
                </c:pt>
                <c:pt idx="162">
                  <c:v>7.7522216976997058E-2</c:v>
                </c:pt>
                <c:pt idx="163">
                  <c:v>7.3550710177845938E-2</c:v>
                </c:pt>
                <c:pt idx="164">
                  <c:v>6.9815240700994402E-2</c:v>
                </c:pt>
                <c:pt idx="165">
                  <c:v>6.6315395141640379E-2</c:v>
                </c:pt>
                <c:pt idx="166">
                  <c:v>6.3050752185034378E-2</c:v>
                </c:pt>
                <c:pt idx="167">
                  <c:v>6.0020885745446777E-2</c:v>
                </c:pt>
                <c:pt idx="168">
                  <c:v>5.7225368107252796E-2</c:v>
                </c:pt>
                <c:pt idx="169">
                  <c:v>5.497995147592518E-2</c:v>
                </c:pt>
                <c:pt idx="170">
                  <c:v>5.3369837324439784E-2</c:v>
                </c:pt>
                <c:pt idx="171">
                  <c:v>5.2393987020570777E-2</c:v>
                </c:pt>
                <c:pt idx="172">
                  <c:v>5.2051417877447249E-2</c:v>
                </c:pt>
                <c:pt idx="173">
                  <c:v>5.2340676544755826E-2</c:v>
                </c:pt>
                <c:pt idx="174">
                  <c:v>5.3260316375477477E-2</c:v>
                </c:pt>
                <c:pt idx="175">
                  <c:v>5.4809412775772635E-2</c:v>
                </c:pt>
                <c:pt idx="176">
                  <c:v>5.6987045309583262E-2</c:v>
                </c:pt>
                <c:pt idx="177">
                  <c:v>5.9706465995084522E-2</c:v>
                </c:pt>
                <c:pt idx="178">
                  <c:v>6.2652180424614068E-2</c:v>
                </c:pt>
                <c:pt idx="179">
                  <c:v>6.5823901447240388E-2</c:v>
                </c:pt>
                <c:pt idx="180">
                  <c:v>6.92213528352605E-2</c:v>
                </c:pt>
                <c:pt idx="181">
                  <c:v>7.2844270628430088E-2</c:v>
                </c:pt>
                <c:pt idx="182">
                  <c:v>7.6692404478745493E-2</c:v>
                </c:pt>
                <c:pt idx="183">
                  <c:v>8.0619349253005582E-2</c:v>
                </c:pt>
                <c:pt idx="184">
                  <c:v>8.4311295770616232E-2</c:v>
                </c:pt>
                <c:pt idx="185">
                  <c:v>8.7768690859931817E-2</c:v>
                </c:pt>
                <c:pt idx="186">
                  <c:v>9.0991981235988686E-2</c:v>
                </c:pt>
                <c:pt idx="187">
                  <c:v>9.3981612136318657E-2</c:v>
                </c:pt>
                <c:pt idx="188">
                  <c:v>9.6738025957412474E-2</c:v>
                </c:pt>
                <c:pt idx="189">
                  <c:v>9.9261660888310774E-2</c:v>
                </c:pt>
                <c:pt idx="190">
                  <c:v>0.10155294954821614</c:v>
                </c:pt>
                <c:pt idx="191">
                  <c:v>0.10368877303197772</c:v>
                </c:pt>
                <c:pt idx="192">
                  <c:v>0.10575469098752059</c:v>
                </c:pt>
                <c:pt idx="193">
                  <c:v>0.1077509184970465</c:v>
                </c:pt>
                <c:pt idx="194">
                  <c:v>0.10967767099815917</c:v>
                </c:pt>
                <c:pt idx="195">
                  <c:v>0.11153516387742612</c:v>
                </c:pt>
                <c:pt idx="196">
                  <c:v>0.11332361205982507</c:v>
                </c:pt>
                <c:pt idx="197">
                  <c:v>0.11513653004615655</c:v>
                </c:pt>
                <c:pt idx="198">
                  <c:v>0.11711929214089885</c:v>
                </c:pt>
                <c:pt idx="199">
                  <c:v>0.11927188098674185</c:v>
                </c:pt>
                <c:pt idx="200">
                  <c:v>0.12159429900878042</c:v>
                </c:pt>
                <c:pt idx="201">
                  <c:v>0.12408656941781238</c:v>
                </c:pt>
                <c:pt idx="202">
                  <c:v>0.1267487372142346</c:v>
                </c:pt>
                <c:pt idx="203">
                  <c:v>0.12958087019475686</c:v>
                </c:pt>
                <c:pt idx="204">
                  <c:v>0.13258284585561719</c:v>
                </c:pt>
                <c:pt idx="205">
                  <c:v>0.1357549131207175</c:v>
                </c:pt>
                <c:pt idx="206">
                  <c:v>0.13902095980826593</c:v>
                </c:pt>
                <c:pt idx="207">
                  <c:v>0.14238101911601839</c:v>
                </c:pt>
                <c:pt idx="208">
                  <c:v>0.14583512777051452</c:v>
                </c:pt>
                <c:pt idx="209">
                  <c:v>0.14938332573514532</c:v>
                </c:pt>
                <c:pt idx="210">
                  <c:v>0.1530256559230817</c:v>
                </c:pt>
                <c:pt idx="211">
                  <c:v>0.1570115272056333</c:v>
                </c:pt>
                <c:pt idx="212">
                  <c:v>0.16124791108026099</c:v>
                </c:pt>
                <c:pt idx="213">
                  <c:v>0.16573480633014168</c:v>
                </c:pt>
                <c:pt idx="214">
                  <c:v>0.17047222402286252</c:v>
                </c:pt>
                <c:pt idx="215">
                  <c:v>0.17546018673521568</c:v>
                </c:pt>
                <c:pt idx="216">
                  <c:v>0.18069872777742688</c:v>
                </c:pt>
                <c:pt idx="217">
                  <c:v>0.18618789041808273</c:v>
                </c:pt>
                <c:pt idx="218">
                  <c:v>0.19192772710809888</c:v>
                </c:pt>
                <c:pt idx="219">
                  <c:v>0.1981349029139384</c:v>
                </c:pt>
                <c:pt idx="220">
                  <c:v>0.20480900300354885</c:v>
                </c:pt>
                <c:pt idx="221">
                  <c:v>0.21195007984351247</c:v>
                </c:pt>
                <c:pt idx="222">
                  <c:v>0.21955820343449459</c:v>
                </c:pt>
                <c:pt idx="223">
                  <c:v>0.22763345986741657</c:v>
                </c:pt>
                <c:pt idx="224">
                  <c:v>0.23617594987469751</c:v>
                </c:pt>
                <c:pt idx="225">
                  <c:v>0.24486184718410628</c:v>
                </c:pt>
                <c:pt idx="226">
                  <c:v>0.25344216543630221</c:v>
                </c:pt>
                <c:pt idx="227">
                  <c:v>0.26191702483687823</c:v>
                </c:pt>
                <c:pt idx="228">
                  <c:v>0.27028653016607473</c:v>
                </c:pt>
                <c:pt idx="229">
                  <c:v>0.27855077110957288</c:v>
                </c:pt>
                <c:pt idx="230">
                  <c:v>0.28670982259328298</c:v>
                </c:pt>
                <c:pt idx="231">
                  <c:v>0.2947637451193566</c:v>
                </c:pt>
                <c:pt idx="232">
                  <c:v>0.30271258509608118</c:v>
                </c:pt>
                <c:pt idx="233">
                  <c:v>0.30996829466830172</c:v>
                </c:pt>
                <c:pt idx="234">
                  <c:v>0.31631419640614916</c:v>
                </c:pt>
                <c:pt idx="235">
                  <c:v>0.32175041775299645</c:v>
                </c:pt>
                <c:pt idx="236">
                  <c:v>0.32627717200584255</c:v>
                </c:pt>
                <c:pt idx="237">
                  <c:v>0.32989443987298922</c:v>
                </c:pt>
                <c:pt idx="238">
                  <c:v>0.33260216767136602</c:v>
                </c:pt>
                <c:pt idx="239">
                  <c:v>0.33402322077884378</c:v>
                </c:pt>
                <c:pt idx="240">
                  <c:v>0.33448152172195483</c:v>
                </c:pt>
                <c:pt idx="241">
                  <c:v>0.33397688012442633</c:v>
                </c:pt>
                <c:pt idx="242">
                  <c:v>0.33250906207173242</c:v>
                </c:pt>
                <c:pt idx="243">
                  <c:v>0.33007778841063135</c:v>
                </c:pt>
                <c:pt idx="244">
                  <c:v>0.32668273304668977</c:v>
                </c:pt>
                <c:pt idx="245">
                  <c:v>0.32232352123827795</c:v>
                </c:pt>
                <c:pt idx="246">
                  <c:v>0.31699972789023123</c:v>
                </c:pt>
                <c:pt idx="247">
                  <c:v>0.31114313674482075</c:v>
                </c:pt>
                <c:pt idx="248">
                  <c:v>0.30534236695817524</c:v>
                </c:pt>
                <c:pt idx="249">
                  <c:v>0.29959734344357009</c:v>
                </c:pt>
                <c:pt idx="250">
                  <c:v>0.29390798993929973</c:v>
                </c:pt>
                <c:pt idx="251">
                  <c:v>0.28827422911350281</c:v>
                </c:pt>
                <c:pt idx="252">
                  <c:v>0.28269598265599483</c:v>
                </c:pt>
                <c:pt idx="253">
                  <c:v>0.27821029987465901</c:v>
                </c:pt>
                <c:pt idx="254">
                  <c:v>0.2751956323444697</c:v>
                </c:pt>
                <c:pt idx="255">
                  <c:v>0.27365286456769972</c:v>
                </c:pt>
                <c:pt idx="256">
                  <c:v>0.27358296724373438</c:v>
                </c:pt>
                <c:pt idx="257">
                  <c:v>0.27498699985555281</c:v>
                </c:pt>
                <c:pt idx="258">
                  <c:v>0.27786611325882077</c:v>
                </c:pt>
                <c:pt idx="259">
                  <c:v>0.28222155227479656</c:v>
                </c:pt>
                <c:pt idx="260">
                  <c:v>0.28805465827487559</c:v>
                </c:pt>
                <c:pt idx="261">
                  <c:v>0.29597516289543535</c:v>
                </c:pt>
                <c:pt idx="262">
                  <c:v>0.30555144514062188</c:v>
                </c:pt>
                <c:pt idx="263">
                  <c:v>0.31678533240637557</c:v>
                </c:pt>
                <c:pt idx="264">
                  <c:v>0.3296787873307967</c:v>
                </c:pt>
                <c:pt idx="265">
                  <c:v>0.34423574224360748</c:v>
                </c:pt>
                <c:pt idx="266">
                  <c:v>0.36045965778779737</c:v>
                </c:pt>
                <c:pt idx="267">
                  <c:v>0.37847185624323965</c:v>
                </c:pt>
                <c:pt idx="268">
                  <c:v>0.39723326127308933</c:v>
                </c:pt>
                <c:pt idx="269">
                  <c:v>0.41674526555459696</c:v>
                </c:pt>
                <c:pt idx="270">
                  <c:v>0.43700925150256481</c:v>
                </c:pt>
                <c:pt idx="271">
                  <c:v>0.45802658323506779</c:v>
                </c:pt>
                <c:pt idx="272">
                  <c:v>0.47979859854989299</c:v>
                </c:pt>
                <c:pt idx="273">
                  <c:v>0.50232660089549264</c:v>
                </c:pt>
                <c:pt idx="274">
                  <c:v>0.52561185134802557</c:v>
                </c:pt>
                <c:pt idx="275">
                  <c:v>0.54953516811756675</c:v>
                </c:pt>
                <c:pt idx="276">
                  <c:v>0.5734855771169175</c:v>
                </c:pt>
                <c:pt idx="277">
                  <c:v>0.59746306304740993</c:v>
                </c:pt>
                <c:pt idx="278">
                  <c:v>0.62146750663010897</c:v>
                </c:pt>
                <c:pt idx="279">
                  <c:v>0.6454986846142764</c:v>
                </c:pt>
                <c:pt idx="280">
                  <c:v>0.6695562697916394</c:v>
                </c:pt>
                <c:pt idx="281">
                  <c:v>0.69356446657716397</c:v>
                </c:pt>
                <c:pt idx="282">
                  <c:v>0.71740275744125892</c:v>
                </c:pt>
                <c:pt idx="283">
                  <c:v>0.74107019681305653</c:v>
                </c:pt>
                <c:pt idx="284">
                  <c:v>0.76456573524131421</c:v>
                </c:pt>
                <c:pt idx="285">
                  <c:v>0.787888221538526</c:v>
                </c:pt>
                <c:pt idx="286">
                  <c:v>0.81103640493233209</c:v>
                </c:pt>
                <c:pt idx="287">
                  <c:v>0.83400893720954905</c:v>
                </c:pt>
                <c:pt idx="288">
                  <c:v>0.8568043748629669</c:v>
                </c:pt>
                <c:pt idx="289">
                  <c:v>0.87949971983692254</c:v>
                </c:pt>
                <c:pt idx="290">
                  <c:v>0.90221478361069318</c:v>
                </c:pt>
                <c:pt idx="291">
                  <c:v>0.92494814304582762</c:v>
                </c:pt>
                <c:pt idx="292">
                  <c:v>0.94769827779588367</c:v>
                </c:pt>
                <c:pt idx="293">
                  <c:v>0.97046357027846675</c:v>
                </c:pt>
                <c:pt idx="294">
                  <c:v>0.99324230564391269</c:v>
                </c:pt>
                <c:pt idx="295">
                  <c:v>1.0156284370815103</c:v>
                </c:pt>
                <c:pt idx="296">
                  <c:v>1.0377080238909755</c:v>
                </c:pt>
                <c:pt idx="297">
                  <c:v>1.0594883664195243</c:v>
                </c:pt>
                <c:pt idx="298">
                  <c:v>1.0809684531093231</c:v>
                </c:pt>
                <c:pt idx="299">
                  <c:v>1.1021471828955693</c:v>
                </c:pt>
                <c:pt idx="300">
                  <c:v>1.1230233682171502</c:v>
                </c:pt>
                <c:pt idx="301">
                  <c:v>1.1435957380240531</c:v>
                </c:pt>
                <c:pt idx="302">
                  <c:v>1.1638629407872292</c:v>
                </c:pt>
                <c:pt idx="303">
                  <c:v>1.1831180911656733</c:v>
                </c:pt>
                <c:pt idx="304">
                  <c:v>1.2012795810622958</c:v>
                </c:pt>
                <c:pt idx="305">
                  <c:v>1.2183447165190884</c:v>
                </c:pt>
                <c:pt idx="306">
                  <c:v>1.2343107449890238</c:v>
                </c:pt>
                <c:pt idx="307">
                  <c:v>1.2491748655702095</c:v>
                </c:pt>
                <c:pt idx="308">
                  <c:v>1.2629342392295717</c:v>
                </c:pt>
                <c:pt idx="309">
                  <c:v>1.2752792106319564</c:v>
                </c:pt>
                <c:pt idx="310">
                  <c:v>1.2866136601161189</c:v>
                </c:pt>
                <c:pt idx="311">
                  <c:v>1.2969348370993521</c:v>
                </c:pt>
                <c:pt idx="312">
                  <c:v>1.30623999068694</c:v>
                </c:pt>
                <c:pt idx="313">
                  <c:v>1.3145263789892201</c:v>
                </c:pt>
                <c:pt idx="314">
                  <c:v>1.321791278426786</c:v>
                </c:pt>
                <c:pt idx="315">
                  <c:v>1.3280319930521689</c:v>
                </c:pt>
                <c:pt idx="316">
                  <c:v>1.333245863851183</c:v>
                </c:pt>
                <c:pt idx="317">
                  <c:v>1.3373987235692268</c:v>
                </c:pt>
                <c:pt idx="318">
                  <c:v>1.3411981375134079</c:v>
                </c:pt>
                <c:pt idx="319">
                  <c:v>1.3446423642152663</c:v>
                </c:pt>
                <c:pt idx="320">
                  <c:v>1.3477296781330192</c:v>
                </c:pt>
                <c:pt idx="321">
                  <c:v>1.3504583727604651</c:v>
                </c:pt>
                <c:pt idx="322">
                  <c:v>1.352826763741642</c:v>
                </c:pt>
                <c:pt idx="323">
                  <c:v>1.3546370805997945</c:v>
                </c:pt>
                <c:pt idx="324">
                  <c:v>1.3561960934394808</c:v>
                </c:pt>
                <c:pt idx="325">
                  <c:v>1.3575022252180498</c:v>
                </c:pt>
                <c:pt idx="326">
                  <c:v>1.3585454709763465</c:v>
                </c:pt>
                <c:pt idx="327">
                  <c:v>1.3593214693564366</c:v>
                </c:pt>
                <c:pt idx="328">
                  <c:v>1.3598328621984976</c:v>
                </c:pt>
                <c:pt idx="329">
                  <c:v>1.3600823314786215</c:v>
                </c:pt>
                <c:pt idx="330">
                  <c:v>1.3600725945530463</c:v>
                </c:pt>
                <c:pt idx="331">
                  <c:v>1.3595010392063545</c:v>
                </c:pt>
                <c:pt idx="332">
                  <c:v>1.3584020235418481</c:v>
                </c:pt>
                <c:pt idx="333">
                  <c:v>1.3567782912163544</c:v>
                </c:pt>
                <c:pt idx="334">
                  <c:v>1.3546326236787583</c:v>
                </c:pt>
                <c:pt idx="335">
                  <c:v>1.3519678297436875</c:v>
                </c:pt>
                <c:pt idx="336">
                  <c:v>1.3487867351473304</c:v>
                </c:pt>
                <c:pt idx="337">
                  <c:v>1.3451353441589466</c:v>
                </c:pt>
                <c:pt idx="338">
                  <c:v>1.3412129960230501</c:v>
                </c:pt>
                <c:pt idx="339">
                  <c:v>1.3370225220222676</c:v>
                </c:pt>
                <c:pt idx="340">
                  <c:v>1.3325667259605638</c:v>
                </c:pt>
                <c:pt idx="341">
                  <c:v>1.3278483787144602</c:v>
                </c:pt>
                <c:pt idx="342">
                  <c:v>1.3228702127831042</c:v>
                </c:pt>
                <c:pt idx="343">
                  <c:v>1.317634916822336</c:v>
                </c:pt>
                <c:pt idx="344">
                  <c:v>1.3121451301996405</c:v>
                </c:pt>
                <c:pt idx="345">
                  <c:v>1.3064034375350966</c:v>
                </c:pt>
                <c:pt idx="346">
                  <c:v>1.3010872654394132</c:v>
                </c:pt>
                <c:pt idx="347">
                  <c:v>1.2961992071513897</c:v>
                </c:pt>
                <c:pt idx="348">
                  <c:v>1.2917418436815051</c:v>
                </c:pt>
                <c:pt idx="349">
                  <c:v>1.2877177523761405</c:v>
                </c:pt>
                <c:pt idx="350">
                  <c:v>1.2841295155120782</c:v>
                </c:pt>
                <c:pt idx="351">
                  <c:v>1.2813492515919409</c:v>
                </c:pt>
                <c:pt idx="352">
                  <c:v>1.2793365427705112</c:v>
                </c:pt>
                <c:pt idx="353">
                  <c:v>1.2780942459788898</c:v>
                </c:pt>
                <c:pt idx="354">
                  <c:v>1.2776253133247968</c:v>
                </c:pt>
                <c:pt idx="355">
                  <c:v>1.2779328073834704</c:v>
                </c:pt>
                <c:pt idx="356">
                  <c:v>1.2790208004300581</c:v>
                </c:pt>
                <c:pt idx="357">
                  <c:v>1.2808897716319601</c:v>
                </c:pt>
                <c:pt idx="358">
                  <c:v>1.2835372491338033</c:v>
                </c:pt>
                <c:pt idx="359">
                  <c:v>1.2869608712533998</c:v>
                </c:pt>
                <c:pt idx="360">
                  <c:v>1.2912016794227485</c:v>
                </c:pt>
                <c:pt idx="361">
                  <c:v>1.2958869495178105</c:v>
                </c:pt>
                <c:pt idx="362">
                  <c:v>1.3010141237585278</c:v>
                </c:pt>
                <c:pt idx="363">
                  <c:v>1.3065806463457699</c:v>
                </c:pt>
                <c:pt idx="364">
                  <c:v>1.3125839528949228</c:v>
                </c:pt>
                <c:pt idx="365">
                  <c:v>1.3190214598537768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192672"/>
        <c:axId val="349744928"/>
      </c:lineChart>
      <c:dateAx>
        <c:axId val="359192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49744928"/>
        <c:crosses val="autoZero"/>
        <c:auto val="1"/>
        <c:lblOffset val="100"/>
        <c:baseTimeUnit val="days"/>
      </c:dateAx>
      <c:valAx>
        <c:axId val="3497449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91926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9745712"/>
        <c:axId val="349746104"/>
      </c:scatterChart>
      <c:valAx>
        <c:axId val="34974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49746104"/>
        <c:crosses val="autoZero"/>
        <c:crossBetween val="midCat"/>
      </c:valAx>
      <c:valAx>
        <c:axId val="349746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4974571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26.706199668219377</c:v>
                </c:pt>
                <c:pt idx="1">
                  <c:v>26.871574037278009</c:v>
                </c:pt>
                <c:pt idx="2">
                  <c:v>27.048506327076204</c:v>
                </c:pt>
                <c:pt idx="3">
                  <c:v>27.236518436015167</c:v>
                </c:pt>
                <c:pt idx="4">
                  <c:v>27.435132260440753</c:v>
                </c:pt>
                <c:pt idx="5">
                  <c:v>27.64386969816325</c:v>
                </c:pt>
                <c:pt idx="6">
                  <c:v>27.862252645862515</c:v>
                </c:pt>
                <c:pt idx="7">
                  <c:v>28.089803003712461</c:v>
                </c:pt>
                <c:pt idx="8">
                  <c:v>28.328313541915925</c:v>
                </c:pt>
                <c:pt idx="9">
                  <c:v>28.579275941238233</c:v>
                </c:pt>
                <c:pt idx="10">
                  <c:v>28.841760460123091</c:v>
                </c:pt>
                <c:pt idx="11">
                  <c:v>29.114837359175262</c:v>
                </c:pt>
                <c:pt idx="12">
                  <c:v>29.397576888902584</c:v>
                </c:pt>
                <c:pt idx="13">
                  <c:v>29.68904931060213</c:v>
                </c:pt>
                <c:pt idx="14">
                  <c:v>29.988324881842409</c:v>
                </c:pt>
                <c:pt idx="15">
                  <c:v>30.294473860581206</c:v>
                </c:pt>
                <c:pt idx="16">
                  <c:v>30.60656650237609</c:v>
                </c:pt>
                <c:pt idx="17">
                  <c:v>30.923673065843317</c:v>
                </c:pt>
                <c:pt idx="18">
                  <c:v>31.244863809237948</c:v>
                </c:pt>
                <c:pt idx="19">
                  <c:v>31.569208988435612</c:v>
                </c:pt>
                <c:pt idx="20">
                  <c:v>31.895778860890402</c:v>
                </c:pt>
                <c:pt idx="21">
                  <c:v>32.223643685178828</c:v>
                </c:pt>
                <c:pt idx="22">
                  <c:v>32.555261713210655</c:v>
                </c:pt>
                <c:pt idx="23">
                  <c:v>32.893226824857159</c:v>
                </c:pt>
                <c:pt idx="24">
                  <c:v>33.236812716191977</c:v>
                </c:pt>
                <c:pt idx="25">
                  <c:v>33.585293088384368</c:v>
                </c:pt>
                <c:pt idx="26">
                  <c:v>33.937941638350352</c:v>
                </c:pt>
                <c:pt idx="27">
                  <c:v>34.294032063734313</c:v>
                </c:pt>
                <c:pt idx="28">
                  <c:v>34.652838062506632</c:v>
                </c:pt>
                <c:pt idx="29">
                  <c:v>35.013633334064593</c:v>
                </c:pt>
                <c:pt idx="30">
                  <c:v>35.375691575100475</c:v>
                </c:pt>
                <c:pt idx="31">
                  <c:v>35.738286485316763</c:v>
                </c:pt>
                <c:pt idx="32">
                  <c:v>36.100691761267711</c:v>
                </c:pt>
                <c:pt idx="33">
                  <c:v>36.462181103013322</c:v>
                </c:pt>
                <c:pt idx="34">
                  <c:v>36.822028206659681</c:v>
                </c:pt>
                <c:pt idx="35">
                  <c:v>37.179506771930029</c:v>
                </c:pt>
                <c:pt idx="36">
                  <c:v>37.536653228889087</c:v>
                </c:pt>
                <c:pt idx="37">
                  <c:v>37.895753918431836</c:v>
                </c:pt>
                <c:pt idx="38">
                  <c:v>38.256457401842844</c:v>
                </c:pt>
                <c:pt idx="39">
                  <c:v>38.618412240965498</c:v>
                </c:pt>
                <c:pt idx="40">
                  <c:v>38.981266997153377</c:v>
                </c:pt>
                <c:pt idx="41">
                  <c:v>39.344670232571659</c:v>
                </c:pt>
                <c:pt idx="42">
                  <c:v>39.708270508050916</c:v>
                </c:pt>
                <c:pt idx="43">
                  <c:v>40.07171638601659</c:v>
                </c:pt>
                <c:pt idx="44">
                  <c:v>40.434656427629356</c:v>
                </c:pt>
                <c:pt idx="45">
                  <c:v>40.796739194735082</c:v>
                </c:pt>
                <c:pt idx="46">
                  <c:v>41.157613248806285</c:v>
                </c:pt>
                <c:pt idx="47">
                  <c:v>41.516927151697956</c:v>
                </c:pt>
                <c:pt idx="48">
                  <c:v>41.874329464910886</c:v>
                </c:pt>
                <c:pt idx="49">
                  <c:v>42.229468749999072</c:v>
                </c:pt>
                <c:pt idx="50">
                  <c:v>42.583933306798073</c:v>
                </c:pt>
                <c:pt idx="51">
                  <c:v>42.939369132620882</c:v>
                </c:pt>
                <c:pt idx="52">
                  <c:v>43.295511336080793</c:v>
                </c:pt>
                <c:pt idx="53">
                  <c:v>43.65209502542524</c:v>
                </c:pt>
                <c:pt idx="54">
                  <c:v>44.00885530926503</c:v>
                </c:pt>
                <c:pt idx="55">
                  <c:v>44.365527295991441</c:v>
                </c:pt>
                <c:pt idx="56">
                  <c:v>44.721846093668134</c:v>
                </c:pt>
                <c:pt idx="57">
                  <c:v>45.077546811246847</c:v>
                </c:pt>
                <c:pt idx="58">
                  <c:v>45.432364556597477</c:v>
                </c:pt>
                <c:pt idx="59">
                  <c:v>45.786034438848887</c:v>
                </c:pt>
                <c:pt idx="60">
                  <c:v>46.13829156553922</c:v>
                </c:pt>
                <c:pt idx="61">
                  <c:v>46.488871045899572</c:v>
                </c:pt>
                <c:pt idx="62">
                  <c:v>46.837507987873067</c:v>
                </c:pt>
                <c:pt idx="63">
                  <c:v>47.183937500021415</c:v>
                </c:pt>
                <c:pt idx="64">
                  <c:v>47.529456871736329</c:v>
                </c:pt>
                <c:pt idx="65">
                  <c:v>47.875272831590181</c:v>
                </c:pt>
                <c:pt idx="66">
                  <c:v>48.220984645859744</c:v>
                </c:pt>
                <c:pt idx="67">
                  <c:v>48.56619158157347</c:v>
                </c:pt>
                <c:pt idx="68">
                  <c:v>48.910492905033919</c:v>
                </c:pt>
                <c:pt idx="69">
                  <c:v>49.253487882789756</c:v>
                </c:pt>
                <c:pt idx="70">
                  <c:v>49.59477578109945</c:v>
                </c:pt>
                <c:pt idx="71">
                  <c:v>49.933955867277518</c:v>
                </c:pt>
                <c:pt idx="72">
                  <c:v>50.270627407310528</c:v>
                </c:pt>
                <c:pt idx="73">
                  <c:v>50.6043896685687</c:v>
                </c:pt>
                <c:pt idx="74">
                  <c:v>50.934841916259444</c:v>
                </c:pt>
                <c:pt idx="75">
                  <c:v>51.261583418247753</c:v>
                </c:pt>
                <c:pt idx="76">
                  <c:v>51.584213440851968</c:v>
                </c:pt>
                <c:pt idx="77">
                  <c:v>51.902331250160934</c:v>
                </c:pt>
                <c:pt idx="78">
                  <c:v>52.21678246156246</c:v>
                </c:pt>
                <c:pt idx="79">
                  <c:v>52.528453443984368</c:v>
                </c:pt>
                <c:pt idx="80">
                  <c:v>52.83700459163768</c:v>
                </c:pt>
                <c:pt idx="81">
                  <c:v>53.142096301128291</c:v>
                </c:pt>
                <c:pt idx="82">
                  <c:v>53.443388966464312</c:v>
                </c:pt>
                <c:pt idx="83">
                  <c:v>53.740542984208361</c:v>
                </c:pt>
                <c:pt idx="84">
                  <c:v>54.033218750101511</c:v>
                </c:pt>
                <c:pt idx="85">
                  <c:v>54.321076658627547</c:v>
                </c:pt>
                <c:pt idx="86">
                  <c:v>54.603777104759182</c:v>
                </c:pt>
                <c:pt idx="87">
                  <c:v>54.880980484520222</c:v>
                </c:pt>
                <c:pt idx="88">
                  <c:v>55.152347193505349</c:v>
                </c:pt>
                <c:pt idx="89">
                  <c:v>55.417537627395781</c:v>
                </c:pt>
                <c:pt idx="90">
                  <c:v>55.676212181134289</c:v>
                </c:pt>
                <c:pt idx="91">
                  <c:v>55.928031249996273</c:v>
                </c:pt>
                <c:pt idx="92">
                  <c:v>56.173437451704267</c:v>
                </c:pt>
                <c:pt idx="93">
                  <c:v>56.41308622442719</c:v>
                </c:pt>
                <c:pt idx="94">
                  <c:v>56.646957190294884</c:v>
                </c:pt>
                <c:pt idx="95">
                  <c:v>56.875029974510625</c:v>
                </c:pt>
                <c:pt idx="96">
                  <c:v>57.097284199929398</c:v>
                </c:pt>
                <c:pt idx="97">
                  <c:v>57.313699489592437</c:v>
                </c:pt>
                <c:pt idx="98">
                  <c:v>57.524255468882622</c:v>
                </c:pt>
                <c:pt idx="99">
                  <c:v>57.728931759696991</c:v>
                </c:pt>
                <c:pt idx="100">
                  <c:v>57.927707987165604</c:v>
                </c:pt>
                <c:pt idx="101">
                  <c:v>58.120563775806545</c:v>
                </c:pt>
                <c:pt idx="102">
                  <c:v>58.307478746858294</c:v>
                </c:pt>
                <c:pt idx="103">
                  <c:v>58.488432525657117</c:v>
                </c:pt>
                <c:pt idx="104">
                  <c:v>58.663404735157798</c:v>
                </c:pt>
                <c:pt idx="105">
                  <c:v>58.832375000230968</c:v>
                </c:pt>
                <c:pt idx="106">
                  <c:v>58.995326339347031</c:v>
                </c:pt>
                <c:pt idx="107">
                  <c:v>59.152382142761994</c:v>
                </c:pt>
                <c:pt idx="108">
                  <c:v>59.303732589286355</c:v>
                </c:pt>
                <c:pt idx="109">
                  <c:v>59.449567857331466</c:v>
                </c:pt>
                <c:pt idx="110">
                  <c:v>59.590078125162314</c:v>
                </c:pt>
                <c:pt idx="111">
                  <c:v>59.725453571296697</c:v>
                </c:pt>
                <c:pt idx="112">
                  <c:v>59.855884375097233</c:v>
                </c:pt>
                <c:pt idx="113">
                  <c:v>59.981560715021828</c:v>
                </c:pt>
                <c:pt idx="114">
                  <c:v>60.102672767386366</c:v>
                </c:pt>
                <c:pt idx="115">
                  <c:v>60.219410714161185</c:v>
                </c:pt>
                <c:pt idx="116">
                  <c:v>60.33196473168875</c:v>
                </c:pt>
                <c:pt idx="117">
                  <c:v>60.440525000329529</c:v>
                </c:pt>
                <c:pt idx="118">
                  <c:v>60.545281696904979</c:v>
                </c:pt>
                <c:pt idx="119">
                  <c:v>60.646425000112501</c:v>
                </c:pt>
                <c:pt idx="120">
                  <c:v>60.743506633031316</c:v>
                </c:pt>
                <c:pt idx="121">
                  <c:v>60.836060204104129</c:v>
                </c:pt>
                <c:pt idx="122">
                  <c:v>60.924248725155898</c:v>
                </c:pt>
                <c:pt idx="123">
                  <c:v>61.008235204153294</c:v>
                </c:pt>
                <c:pt idx="124">
                  <c:v>61.088182653513336</c:v>
                </c:pt>
                <c:pt idx="125">
                  <c:v>61.164254081967684</c:v>
                </c:pt>
                <c:pt idx="126">
                  <c:v>61.2366125005763</c:v>
                </c:pt>
                <c:pt idx="127">
                  <c:v>61.305420918669554</c:v>
                </c:pt>
                <c:pt idx="128">
                  <c:v>61.370842347447095</c:v>
                </c:pt>
                <c:pt idx="129">
                  <c:v>61.43303979629917</c:v>
                </c:pt>
                <c:pt idx="130">
                  <c:v>61.49217627603295</c:v>
                </c:pt>
                <c:pt idx="131">
                  <c:v>61.548414796630723</c:v>
                </c:pt>
                <c:pt idx="132">
                  <c:v>61.601918367782076</c:v>
                </c:pt>
                <c:pt idx="133">
                  <c:v>61.652850000560285</c:v>
                </c:pt>
                <c:pt idx="134">
                  <c:v>61.700786320419454</c:v>
                </c:pt>
                <c:pt idx="135">
                  <c:v>61.745240561770537</c:v>
                </c:pt>
                <c:pt idx="136">
                  <c:v>61.786280644492109</c:v>
                </c:pt>
                <c:pt idx="137">
                  <c:v>61.823974490631365</c:v>
                </c:pt>
                <c:pt idx="138">
                  <c:v>61.858390019208727</c:v>
                </c:pt>
                <c:pt idx="139">
                  <c:v>61.889595153528667</c:v>
                </c:pt>
                <c:pt idx="140">
                  <c:v>61.917657812638211</c:v>
                </c:pt>
                <c:pt idx="141">
                  <c:v>61.942645918804089</c:v>
                </c:pt>
                <c:pt idx="142">
                  <c:v>61.964627391864937</c:v>
                </c:pt>
                <c:pt idx="143">
                  <c:v>61.983670153508768</c:v>
                </c:pt>
                <c:pt idx="144">
                  <c:v>61.999842123747143</c:v>
                </c:pt>
                <c:pt idx="145">
                  <c:v>62.013211224999807</c:v>
                </c:pt>
                <c:pt idx="146">
                  <c:v>62.023845376985676</c:v>
                </c:pt>
                <c:pt idx="147">
                  <c:v>62.031812500394878</c:v>
                </c:pt>
                <c:pt idx="148">
                  <c:v>62.036826196093379</c:v>
                </c:pt>
                <c:pt idx="149">
                  <c:v>62.038577423803503</c:v>
                </c:pt>
                <c:pt idx="150">
                  <c:v>62.037100144149733</c:v>
                </c:pt>
                <c:pt idx="151">
                  <c:v>62.032428316452673</c:v>
                </c:pt>
                <c:pt idx="152">
                  <c:v>62.024595902500948</c:v>
                </c:pt>
                <c:pt idx="153">
                  <c:v>62.013636862499908</c:v>
                </c:pt>
                <c:pt idx="154">
                  <c:v>61.999585156468669</c:v>
                </c:pt>
                <c:pt idx="155">
                  <c:v>61.982474745011757</c:v>
                </c:pt>
                <c:pt idx="156">
                  <c:v>61.962339588753608</c:v>
                </c:pt>
                <c:pt idx="157">
                  <c:v>61.93921364811915</c:v>
                </c:pt>
                <c:pt idx="158">
                  <c:v>61.913130883420152</c:v>
                </c:pt>
                <c:pt idx="159">
                  <c:v>61.884125255247845</c:v>
                </c:pt>
                <c:pt idx="160">
                  <c:v>61.852230723874115</c:v>
                </c:pt>
                <c:pt idx="161">
                  <c:v>61.817481250129646</c:v>
                </c:pt>
                <c:pt idx="162">
                  <c:v>61.779539493265169</c:v>
                </c:pt>
                <c:pt idx="163">
                  <c:v>61.738104337014789</c:v>
                </c:pt>
                <c:pt idx="164">
                  <c:v>61.693264078738039</c:v>
                </c:pt>
                <c:pt idx="165">
                  <c:v>61.645107015328747</c:v>
                </c:pt>
                <c:pt idx="166">
                  <c:v>61.593721444844931</c:v>
                </c:pt>
                <c:pt idx="167">
                  <c:v>61.539195663435386</c:v>
                </c:pt>
                <c:pt idx="168">
                  <c:v>61.481617968995124</c:v>
                </c:pt>
                <c:pt idx="169">
                  <c:v>61.421076658328204</c:v>
                </c:pt>
                <c:pt idx="170">
                  <c:v>61.357660028814074</c:v>
                </c:pt>
                <c:pt idx="171">
                  <c:v>61.29145637786548</c:v>
                </c:pt>
                <c:pt idx="172">
                  <c:v>61.222554002183358</c:v>
                </c:pt>
                <c:pt idx="173">
                  <c:v>61.151041198907684</c:v>
                </c:pt>
                <c:pt idx="174">
                  <c:v>61.077006266056571</c:v>
                </c:pt>
                <c:pt idx="175">
                  <c:v>61.000537500204516</c:v>
                </c:pt>
                <c:pt idx="176">
                  <c:v>60.921227375866984</c:v>
                </c:pt>
                <c:pt idx="177">
                  <c:v>60.838713648110371</c:v>
                </c:pt>
                <c:pt idx="178">
                  <c:v>60.753152535506523</c:v>
                </c:pt>
                <c:pt idx="179">
                  <c:v>60.664700255143856</c:v>
                </c:pt>
                <c:pt idx="180">
                  <c:v>60.573513026352572</c:v>
                </c:pt>
                <c:pt idx="181">
                  <c:v>60.479747066533719</c:v>
                </c:pt>
                <c:pt idx="182">
                  <c:v>60.38355859385338</c:v>
                </c:pt>
                <c:pt idx="183">
                  <c:v>60.285103826630596</c:v>
                </c:pt>
                <c:pt idx="184">
                  <c:v>60.184538983117918</c:v>
                </c:pt>
                <c:pt idx="185">
                  <c:v>60.082020280590015</c:v>
                </c:pt>
                <c:pt idx="186">
                  <c:v>59.97770393821078</c:v>
                </c:pt>
                <c:pt idx="187">
                  <c:v>59.871746173501009</c:v>
                </c:pt>
                <c:pt idx="188">
                  <c:v>59.764303204719909</c:v>
                </c:pt>
                <c:pt idx="189">
                  <c:v>59.655531250173226</c:v>
                </c:pt>
                <c:pt idx="190">
                  <c:v>59.545074856723659</c:v>
                </c:pt>
                <c:pt idx="191">
                  <c:v>59.432560459244989</c:v>
                </c:pt>
                <c:pt idx="192">
                  <c:v>59.318117107903319</c:v>
                </c:pt>
                <c:pt idx="193">
                  <c:v>59.201873851986605</c:v>
                </c:pt>
                <c:pt idx="194">
                  <c:v>59.083959741793976</c:v>
                </c:pt>
                <c:pt idx="195">
                  <c:v>58.96450382653358</c:v>
                </c:pt>
                <c:pt idx="196">
                  <c:v>58.843635156331587</c:v>
                </c:pt>
                <c:pt idx="197">
                  <c:v>58.721482780595707</c:v>
                </c:pt>
                <c:pt idx="198">
                  <c:v>58.598175749475402</c:v>
                </c:pt>
                <c:pt idx="199">
                  <c:v>58.473843112321845</c:v>
                </c:pt>
                <c:pt idx="200">
                  <c:v>58.348613918971807</c:v>
                </c:pt>
                <c:pt idx="201">
                  <c:v>58.222617219561442</c:v>
                </c:pt>
                <c:pt idx="202">
                  <c:v>58.09598206311265</c:v>
                </c:pt>
                <c:pt idx="203">
                  <c:v>57.968837499991061</c:v>
                </c:pt>
                <c:pt idx="204">
                  <c:v>57.841130325297968</c:v>
                </c:pt>
                <c:pt idx="205">
                  <c:v>57.712712244995473</c:v>
                </c:pt>
                <c:pt idx="206">
                  <c:v>57.58356967478592</c:v>
                </c:pt>
                <c:pt idx="207">
                  <c:v>57.453689030677609</c:v>
                </c:pt>
                <c:pt idx="208">
                  <c:v>57.323056728309695</c:v>
                </c:pt>
                <c:pt idx="209">
                  <c:v>57.191659183740342</c:v>
                </c:pt>
                <c:pt idx="210">
                  <c:v>57.059482812532224</c:v>
                </c:pt>
                <c:pt idx="211">
                  <c:v>56.92651403059385</c:v>
                </c:pt>
                <c:pt idx="212">
                  <c:v>56.792739253820457</c:v>
                </c:pt>
                <c:pt idx="213">
                  <c:v>56.658144898107274</c:v>
                </c:pt>
                <c:pt idx="214">
                  <c:v>56.522717378814036</c:v>
                </c:pt>
                <c:pt idx="215">
                  <c:v>56.386443112351529</c:v>
                </c:pt>
                <c:pt idx="216">
                  <c:v>56.249308514069497</c:v>
                </c:pt>
                <c:pt idx="217">
                  <c:v>56.111300000129262</c:v>
                </c:pt>
                <c:pt idx="218">
                  <c:v>55.972696045969087</c:v>
                </c:pt>
                <c:pt idx="219">
                  <c:v>55.833675510210114</c:v>
                </c:pt>
                <c:pt idx="220">
                  <c:v>55.694075382464305</c:v>
                </c:pt>
                <c:pt idx="221">
                  <c:v>55.553732653022074</c:v>
                </c:pt>
                <c:pt idx="222">
                  <c:v>55.412484311215977</c:v>
                </c:pt>
                <c:pt idx="223">
                  <c:v>55.27016734681758</c:v>
                </c:pt>
                <c:pt idx="224">
                  <c:v>55.126618749788037</c:v>
                </c:pt>
                <c:pt idx="225">
                  <c:v>54.981675510148378</c:v>
                </c:pt>
                <c:pt idx="226">
                  <c:v>54.835174617297682</c:v>
                </c:pt>
                <c:pt idx="227">
                  <c:v>54.686953061140542</c:v>
                </c:pt>
                <c:pt idx="228">
                  <c:v>54.536847831182449</c:v>
                </c:pt>
                <c:pt idx="229">
                  <c:v>54.384695918418998</c:v>
                </c:pt>
                <c:pt idx="230">
                  <c:v>54.230334310995275</c:v>
                </c:pt>
                <c:pt idx="231">
                  <c:v>54.07359999958426</c:v>
                </c:pt>
                <c:pt idx="232">
                  <c:v>53.914806552344402</c:v>
                </c:pt>
                <c:pt idx="233">
                  <c:v>53.754272066176469</c:v>
                </c:pt>
                <c:pt idx="234">
                  <c:v>53.591840321640483</c:v>
                </c:pt>
                <c:pt idx="235">
                  <c:v>53.427355101791079</c:v>
                </c:pt>
                <c:pt idx="236">
                  <c:v>53.260660187806934</c:v>
                </c:pt>
                <c:pt idx="237">
                  <c:v>53.09159936207746</c:v>
                </c:pt>
                <c:pt idx="238">
                  <c:v>52.920016405847861</c:v>
                </c:pt>
                <c:pt idx="239">
                  <c:v>52.745755101713755</c:v>
                </c:pt>
                <c:pt idx="240">
                  <c:v>52.568659231036776</c:v>
                </c:pt>
                <c:pt idx="241">
                  <c:v>52.388572575950192</c:v>
                </c:pt>
                <c:pt idx="242">
                  <c:v>52.205338918590655</c:v>
                </c:pt>
                <c:pt idx="243">
                  <c:v>52.018802040309779</c:v>
                </c:pt>
                <c:pt idx="244">
                  <c:v>51.828805723370586</c:v>
                </c:pt>
                <c:pt idx="245">
                  <c:v>51.635193749330938</c:v>
                </c:pt>
                <c:pt idx="246">
                  <c:v>51.438029512074507</c:v>
                </c:pt>
                <c:pt idx="247">
                  <c:v>51.237494132162205</c:v>
                </c:pt>
                <c:pt idx="248">
                  <c:v>51.033607987597179</c:v>
                </c:pt>
                <c:pt idx="249">
                  <c:v>50.8263914537483</c:v>
                </c:pt>
                <c:pt idx="250">
                  <c:v>50.615864907437938</c:v>
                </c:pt>
                <c:pt idx="251">
                  <c:v>50.402048724051568</c:v>
                </c:pt>
                <c:pt idx="252">
                  <c:v>50.184963280847299</c:v>
                </c:pt>
                <c:pt idx="253">
                  <c:v>49.964628954032165</c:v>
                </c:pt>
                <c:pt idx="254">
                  <c:v>49.741066119164628</c:v>
                </c:pt>
                <c:pt idx="255">
                  <c:v>49.5142951527544</c:v>
                </c:pt>
                <c:pt idx="256">
                  <c:v>49.28433643164712</c:v>
                </c:pt>
                <c:pt idx="257">
                  <c:v>49.051210331624105</c:v>
                </c:pt>
                <c:pt idx="258">
                  <c:v>48.814937228889072</c:v>
                </c:pt>
                <c:pt idx="259">
                  <c:v>48.575537499971688</c:v>
                </c:pt>
                <c:pt idx="260">
                  <c:v>48.332588903102447</c:v>
                </c:pt>
                <c:pt idx="261">
                  <c:v>48.085800510150975</c:v>
                </c:pt>
                <c:pt idx="262">
                  <c:v>47.835389668391358</c:v>
                </c:pt>
                <c:pt idx="263">
                  <c:v>47.581573724309308</c:v>
                </c:pt>
                <c:pt idx="264">
                  <c:v>47.324570025707771</c:v>
                </c:pt>
                <c:pt idx="265">
                  <c:v>47.064595918433042</c:v>
                </c:pt>
                <c:pt idx="266">
                  <c:v>46.801868750198629</c:v>
                </c:pt>
                <c:pt idx="267">
                  <c:v>46.536605867264527</c:v>
                </c:pt>
                <c:pt idx="268">
                  <c:v>46.269024617533432</c:v>
                </c:pt>
                <c:pt idx="269">
                  <c:v>45.999342346779301</c:v>
                </c:pt>
                <c:pt idx="270">
                  <c:v>45.727776403247432</c:v>
                </c:pt>
                <c:pt idx="271">
                  <c:v>45.454544132691808</c:v>
                </c:pt>
                <c:pt idx="272">
                  <c:v>45.179862882865464</c:v>
                </c:pt>
                <c:pt idx="273">
                  <c:v>44.90395000029239</c:v>
                </c:pt>
                <c:pt idx="274">
                  <c:v>44.626022130290437</c:v>
                </c:pt>
                <c:pt idx="275">
                  <c:v>44.345350255318252</c:v>
                </c:pt>
                <c:pt idx="276">
                  <c:v>44.062233227285574</c:v>
                </c:pt>
                <c:pt idx="277">
                  <c:v>43.776969898161155</c:v>
                </c:pt>
                <c:pt idx="278">
                  <c:v>43.489859120233447</c:v>
                </c:pt>
                <c:pt idx="279">
                  <c:v>43.201199744924509</c:v>
                </c:pt>
                <c:pt idx="280">
                  <c:v>42.911290625191761</c:v>
                </c:pt>
                <c:pt idx="281">
                  <c:v>42.620430612337906</c:v>
                </c:pt>
                <c:pt idx="282">
                  <c:v>42.328918558835625</c:v>
                </c:pt>
                <c:pt idx="283">
                  <c:v>42.037053316455726</c:v>
                </c:pt>
                <c:pt idx="284">
                  <c:v>41.745133737357435</c:v>
                </c:pt>
                <c:pt idx="285">
                  <c:v>41.453458673527763</c:v>
                </c:pt>
                <c:pt idx="286">
                  <c:v>41.162326977068524</c:v>
                </c:pt>
                <c:pt idx="287">
                  <c:v>40.872037500038275</c:v>
                </c:pt>
                <c:pt idx="288">
                  <c:v>40.581738966962021</c:v>
                </c:pt>
                <c:pt idx="289">
                  <c:v>40.290543877677663</c:v>
                </c:pt>
                <c:pt idx="290">
                  <c:v>39.998696747500802</c:v>
                </c:pt>
                <c:pt idx="291">
                  <c:v>39.706442091856815</c:v>
                </c:pt>
                <c:pt idx="292">
                  <c:v>39.414024426077546</c:v>
                </c:pt>
                <c:pt idx="293">
                  <c:v>39.1216882654657</c:v>
                </c:pt>
                <c:pt idx="294">
                  <c:v>38.829678125114881</c:v>
                </c:pt>
                <c:pt idx="295">
                  <c:v>38.538238520474572</c:v>
                </c:pt>
                <c:pt idx="296">
                  <c:v>38.247613966861223</c:v>
                </c:pt>
                <c:pt idx="297">
                  <c:v>37.958048979564673</c:v>
                </c:pt>
                <c:pt idx="298">
                  <c:v>37.669788073963716</c:v>
                </c:pt>
                <c:pt idx="299">
                  <c:v>37.383075765373981</c:v>
                </c:pt>
                <c:pt idx="300">
                  <c:v>37.098156568967227</c:v>
                </c:pt>
                <c:pt idx="301">
                  <c:v>36.815274999977554</c:v>
                </c:pt>
                <c:pt idx="302">
                  <c:v>36.533128109023835</c:v>
                </c:pt>
                <c:pt idx="303">
                  <c:v>36.250435586742654</c:v>
                </c:pt>
                <c:pt idx="304">
                  <c:v>35.967475908751453</c:v>
                </c:pt>
                <c:pt idx="305">
                  <c:v>35.68452755109174</c:v>
                </c:pt>
                <c:pt idx="306">
                  <c:v>35.401868989023001</c:v>
                </c:pt>
                <c:pt idx="307">
                  <c:v>35.119778698799195</c:v>
                </c:pt>
                <c:pt idx="308">
                  <c:v>34.838535156272698</c:v>
                </c:pt>
                <c:pt idx="309">
                  <c:v>34.558416836709611</c:v>
                </c:pt>
                <c:pt idx="310">
                  <c:v>34.279702216250428</c:v>
                </c:pt>
                <c:pt idx="311">
                  <c:v>34.002669770368712</c:v>
                </c:pt>
                <c:pt idx="312">
                  <c:v>33.727597974752179</c:v>
                </c:pt>
                <c:pt idx="313">
                  <c:v>33.454765306046468</c:v>
                </c:pt>
                <c:pt idx="314">
                  <c:v>33.184450238965553</c:v>
                </c:pt>
                <c:pt idx="315">
                  <c:v>32.916931249853221</c:v>
                </c:pt>
                <c:pt idx="316">
                  <c:v>32.649978808832493</c:v>
                </c:pt>
                <c:pt idx="317">
                  <c:v>32.381603460911933</c:v>
                </c:pt>
                <c:pt idx="318">
                  <c:v>32.112443793661498</c:v>
                </c:pt>
                <c:pt idx="319">
                  <c:v>31.843138395861857</c:v>
                </c:pt>
                <c:pt idx="320">
                  <c:v>31.574325856140682</c:v>
                </c:pt>
                <c:pt idx="321">
                  <c:v>31.30664476122308</c:v>
                </c:pt>
                <c:pt idx="322">
                  <c:v>31.040733700571582</c:v>
                </c:pt>
                <c:pt idx="323">
                  <c:v>30.777231261213977</c:v>
                </c:pt>
                <c:pt idx="324">
                  <c:v>30.516776031372139</c:v>
                </c:pt>
                <c:pt idx="325">
                  <c:v>30.26000660003961</c:v>
                </c:pt>
                <c:pt idx="326">
                  <c:v>30.007561555052447</c:v>
                </c:pt>
                <c:pt idx="327">
                  <c:v>29.760079484007186</c:v>
                </c:pt>
                <c:pt idx="328">
                  <c:v>29.518198975741065</c:v>
                </c:pt>
                <c:pt idx="329">
                  <c:v>29.282558617088945</c:v>
                </c:pt>
                <c:pt idx="330">
                  <c:v>29.050837778818931</c:v>
                </c:pt>
                <c:pt idx="331">
                  <c:v>28.82090065774641</c:v>
                </c:pt>
                <c:pt idx="332">
                  <c:v>28.593663093095117</c:v>
                </c:pt>
                <c:pt idx="333">
                  <c:v>28.370040917928726</c:v>
                </c:pt>
                <c:pt idx="334">
                  <c:v>28.150949967296661</c:v>
                </c:pt>
                <c:pt idx="335">
                  <c:v>27.937306077778338</c:v>
                </c:pt>
                <c:pt idx="336">
                  <c:v>27.730025083408691</c:v>
                </c:pt>
                <c:pt idx="337">
                  <c:v>27.530022820524337</c:v>
                </c:pt>
                <c:pt idx="338">
                  <c:v>27.338215122371913</c:v>
                </c:pt>
                <c:pt idx="339">
                  <c:v>27.155517828331462</c:v>
                </c:pt>
                <c:pt idx="340">
                  <c:v>26.982846768852326</c:v>
                </c:pt>
                <c:pt idx="341">
                  <c:v>26.821117783643835</c:v>
                </c:pt>
                <c:pt idx="342">
                  <c:v>26.67124670521423</c:v>
                </c:pt>
                <c:pt idx="343">
                  <c:v>26.534149369783698</c:v>
                </c:pt>
                <c:pt idx="344">
                  <c:v>26.40865862602735</c:v>
                </c:pt>
                <c:pt idx="345">
                  <c:v>26.29328712203306</c:v>
                </c:pt>
                <c:pt idx="346">
                  <c:v>26.188470385568166</c:v>
                </c:pt>
                <c:pt idx="347">
                  <c:v>26.094643943343918</c:v>
                </c:pt>
                <c:pt idx="348">
                  <c:v>26.012243329345942</c:v>
                </c:pt>
                <c:pt idx="349">
                  <c:v>25.941704066497792</c:v>
                </c:pt>
                <c:pt idx="350">
                  <c:v>25.883461686406797</c:v>
                </c:pt>
                <c:pt idx="351">
                  <c:v>25.837951717597292</c:v>
                </c:pt>
                <c:pt idx="352">
                  <c:v>25.805609689953421</c:v>
                </c:pt>
                <c:pt idx="353">
                  <c:v>25.786871130478207</c:v>
                </c:pt>
                <c:pt idx="354">
                  <c:v>25.782171570077043</c:v>
                </c:pt>
                <c:pt idx="355">
                  <c:v>25.791946535039088</c:v>
                </c:pt>
                <c:pt idx="356">
                  <c:v>25.816631557245103</c:v>
                </c:pt>
                <c:pt idx="357">
                  <c:v>25.856662163369613</c:v>
                </c:pt>
                <c:pt idx="358">
                  <c:v>25.912361476172151</c:v>
                </c:pt>
                <c:pt idx="359">
                  <c:v>25.98344352918452</c:v>
                </c:pt>
                <c:pt idx="360">
                  <c:v>26.069430220718015</c:v>
                </c:pt>
                <c:pt idx="361">
                  <c:v>26.169843450034485</c:v>
                </c:pt>
                <c:pt idx="362">
                  <c:v>26.284205109998585</c:v>
                </c:pt>
                <c:pt idx="363">
                  <c:v>26.41203710141367</c:v>
                </c:pt>
                <c:pt idx="364">
                  <c:v>26.552861322192797</c:v>
                </c:pt>
                <c:pt idx="365">
                  <c:v>26.706199668784592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26.520453177889188</c:v>
                </c:pt>
                <c:pt idx="1">
                  <c:v>26.709808275699618</c:v>
                </c:pt>
                <c:pt idx="2">
                  <c:v>26.910033715764683</c:v>
                </c:pt>
                <c:pt idx="3">
                  <c:v>27.119889041980105</c:v>
                </c:pt>
                <c:pt idx="4">
                  <c:v>27.338133792877198</c:v>
                </c:pt>
                <c:pt idx="5">
                  <c:v>27.563527511358263</c:v>
                </c:pt>
                <c:pt idx="6">
                  <c:v>27.794829731980961</c:v>
                </c:pt>
                <c:pt idx="7">
                  <c:v>28.030799999833107</c:v>
                </c:pt>
                <c:pt idx="8">
                  <c:v>28.276328552434485</c:v>
                </c:pt>
                <c:pt idx="9">
                  <c:v>28.536264040480766</c:v>
                </c:pt>
                <c:pt idx="10">
                  <c:v>28.809303632032659</c:v>
                </c:pt>
                <c:pt idx="11">
                  <c:v>29.094144500259841</c:v>
                </c:pt>
                <c:pt idx="12">
                  <c:v>29.38948380571923</c:v>
                </c:pt>
                <c:pt idx="13">
                  <c:v>29.694018720196823</c:v>
                </c:pt>
                <c:pt idx="14">
                  <c:v>30.006446408294142</c:v>
                </c:pt>
                <c:pt idx="15">
                  <c:v>30.325464039828091</c:v>
                </c:pt>
                <c:pt idx="16">
                  <c:v>30.64976878081049</c:v>
                </c:pt>
                <c:pt idx="17">
                  <c:v>30.978057799860835</c:v>
                </c:pt>
                <c:pt idx="18">
                  <c:v>31.309028262937705</c:v>
                </c:pt>
                <c:pt idx="19">
                  <c:v>31.641377339192804</c:v>
                </c:pt>
                <c:pt idx="20">
                  <c:v>31.973802195994985</c:v>
                </c:pt>
                <c:pt idx="21">
                  <c:v>32.304999999701977</c:v>
                </c:pt>
                <c:pt idx="22">
                  <c:v>32.638573213895555</c:v>
                </c:pt>
                <c:pt idx="23">
                  <c:v>32.978485713920335</c:v>
                </c:pt>
                <c:pt idx="24">
                  <c:v>33.323976785173627</c:v>
                </c:pt>
                <c:pt idx="25">
                  <c:v>33.674285713955761</c:v>
                </c:pt>
                <c:pt idx="26">
                  <c:v>34.028651785398793</c:v>
                </c:pt>
                <c:pt idx="27">
                  <c:v>34.386314285482925</c:v>
                </c:pt>
                <c:pt idx="28">
                  <c:v>34.746512499712118</c:v>
                </c:pt>
                <c:pt idx="29">
                  <c:v>35.108485714016879</c:v>
                </c:pt>
                <c:pt idx="30">
                  <c:v>35.47147321421653</c:v>
                </c:pt>
                <c:pt idx="31">
                  <c:v>35.834714285604839</c:v>
                </c:pt>
                <c:pt idx="32">
                  <c:v>36.197448214186544</c:v>
                </c:pt>
                <c:pt idx="33">
                  <c:v>36.558914285602178</c:v>
                </c:pt>
                <c:pt idx="34">
                  <c:v>36.91835178566938</c:v>
                </c:pt>
                <c:pt idx="35">
                  <c:v>37.274999999999999</c:v>
                </c:pt>
                <c:pt idx="36">
                  <c:v>37.630235459188825</c:v>
                </c:pt>
                <c:pt idx="37">
                  <c:v>37.985869387769235</c:v>
                </c:pt>
                <c:pt idx="38">
                  <c:v>38.341793112256397</c:v>
                </c:pt>
                <c:pt idx="39">
                  <c:v>38.697897959208682</c:v>
                </c:pt>
                <c:pt idx="40">
                  <c:v>39.054075255080534</c:v>
                </c:pt>
                <c:pt idx="41">
                  <c:v>39.410216326517649</c:v>
                </c:pt>
                <c:pt idx="42">
                  <c:v>39.766212499998801</c:v>
                </c:pt>
                <c:pt idx="43">
                  <c:v>40.121955102055132</c:v>
                </c:pt>
                <c:pt idx="44">
                  <c:v>40.477335459213847</c:v>
                </c:pt>
                <c:pt idx="45">
                  <c:v>40.832244898007154</c:v>
                </c:pt>
                <c:pt idx="46">
                  <c:v>41.186574745036239</c:v>
                </c:pt>
                <c:pt idx="47">
                  <c:v>41.54021632645329</c:v>
                </c:pt>
                <c:pt idx="48">
                  <c:v>41.893060969312508</c:v>
                </c:pt>
                <c:pt idx="49">
                  <c:v>42.245000000018628</c:v>
                </c:pt>
                <c:pt idx="50">
                  <c:v>42.596196428579944</c:v>
                </c:pt>
                <c:pt idx="51">
                  <c:v>42.946885714280825</c:v>
                </c:pt>
                <c:pt idx="52">
                  <c:v>43.297067857194421</c:v>
                </c:pt>
                <c:pt idx="53">
                  <c:v>43.646742857194376</c:v>
                </c:pt>
                <c:pt idx="54">
                  <c:v>43.995910714373785</c:v>
                </c:pt>
                <c:pt idx="55">
                  <c:v>44.344571428559718</c:v>
                </c:pt>
                <c:pt idx="56">
                  <c:v>44.692725000018257</c:v>
                </c:pt>
                <c:pt idx="57">
                  <c:v>45.040371428469996</c:v>
                </c:pt>
                <c:pt idx="58">
                  <c:v>45.387510714187691</c:v>
                </c:pt>
                <c:pt idx="59">
                  <c:v>45.734142857098149</c:v>
                </c:pt>
                <c:pt idx="60">
                  <c:v>46.08026785712822</c:v>
                </c:pt>
                <c:pt idx="61">
                  <c:v>46.425885714324458</c:v>
                </c:pt>
                <c:pt idx="62">
                  <c:v>46.770996428560466</c:v>
                </c:pt>
                <c:pt idx="63">
                  <c:v>47.115599999856201</c:v>
                </c:pt>
                <c:pt idx="64">
                  <c:v>47.460873724440383</c:v>
                </c:pt>
                <c:pt idx="65">
                  <c:v>47.807632653095894</c:v>
                </c:pt>
                <c:pt idx="66">
                  <c:v>48.155333418352527</c:v>
                </c:pt>
                <c:pt idx="67">
                  <c:v>48.503432653059384</c:v>
                </c:pt>
                <c:pt idx="68">
                  <c:v>48.851386989852685</c:v>
                </c:pt>
                <c:pt idx="69">
                  <c:v>49.198653060942888</c:v>
                </c:pt>
                <c:pt idx="70">
                  <c:v>49.544687500130387</c:v>
                </c:pt>
                <c:pt idx="71">
                  <c:v>49.88894693888723</c:v>
                </c:pt>
                <c:pt idx="72">
                  <c:v>50.230888010381854</c:v>
                </c:pt>
                <c:pt idx="73">
                  <c:v>50.569967347037583</c:v>
                </c:pt>
                <c:pt idx="74">
                  <c:v>50.905641581756726</c:v>
                </c:pt>
                <c:pt idx="75">
                  <c:v>51.237367346896121</c:v>
                </c:pt>
                <c:pt idx="76">
                  <c:v>51.564601275098639</c:v>
                </c:pt>
                <c:pt idx="77">
                  <c:v>51.886800000444055</c:v>
                </c:pt>
                <c:pt idx="78">
                  <c:v>52.206662245281038</c:v>
                </c:pt>
                <c:pt idx="79">
                  <c:v>52.526669388264416</c:v>
                </c:pt>
                <c:pt idx="80">
                  <c:v>52.8459520409682</c:v>
                </c:pt>
                <c:pt idx="81">
                  <c:v>53.163640816509727</c:v>
                </c:pt>
                <c:pt idx="82">
                  <c:v>53.478866326995195</c:v>
                </c:pt>
                <c:pt idx="83">
                  <c:v>53.790759183466434</c:v>
                </c:pt>
                <c:pt idx="84">
                  <c:v>54.098450000211599</c:v>
                </c:pt>
                <c:pt idx="85">
                  <c:v>54.401069388112852</c:v>
                </c:pt>
                <c:pt idx="86">
                  <c:v>54.697747960473805</c:v>
                </c:pt>
                <c:pt idx="87">
                  <c:v>54.987616327830722</c:v>
                </c:pt>
                <c:pt idx="88">
                  <c:v>55.269805103194493</c:v>
                </c:pt>
                <c:pt idx="89">
                  <c:v>55.543444898671339</c:v>
                </c:pt>
                <c:pt idx="90">
                  <c:v>55.807666327192315</c:v>
                </c:pt>
                <c:pt idx="91">
                  <c:v>56.061600001156329</c:v>
                </c:pt>
                <c:pt idx="92">
                  <c:v>56.305608164572291</c:v>
                </c:pt>
                <c:pt idx="93">
                  <c:v>56.54092245027423</c:v>
                </c:pt>
                <c:pt idx="94">
                  <c:v>56.767977551477294</c:v>
                </c:pt>
                <c:pt idx="95">
                  <c:v>56.987208163418941</c:v>
                </c:pt>
                <c:pt idx="96">
                  <c:v>57.199048980112593</c:v>
                </c:pt>
                <c:pt idx="97">
                  <c:v>57.403934695571664</c:v>
                </c:pt>
                <c:pt idx="98">
                  <c:v>57.602300002053383</c:v>
                </c:pt>
                <c:pt idx="99">
                  <c:v>57.794579592772891</c:v>
                </c:pt>
                <c:pt idx="100">
                  <c:v>57.981208164936717</c:v>
                </c:pt>
                <c:pt idx="101">
                  <c:v>58.162620409365203</c:v>
                </c:pt>
                <c:pt idx="102">
                  <c:v>58.339251021934409</c:v>
                </c:pt>
                <c:pt idx="103">
                  <c:v>58.511534695220845</c:v>
                </c:pt>
                <c:pt idx="104">
                  <c:v>58.679906123716918</c:v>
                </c:pt>
                <c:pt idx="105">
                  <c:v>58.844800002127883</c:v>
                </c:pt>
                <c:pt idx="106">
                  <c:v>59.005093368834686</c:v>
                </c:pt>
                <c:pt idx="107">
                  <c:v>59.159518368967937</c:v>
                </c:pt>
                <c:pt idx="108">
                  <c:v>59.30829234692667</c:v>
                </c:pt>
                <c:pt idx="109">
                  <c:v>59.451632653708963</c:v>
                </c:pt>
                <c:pt idx="110">
                  <c:v>59.58975663334131</c:v>
                </c:pt>
                <c:pt idx="111">
                  <c:v>59.722881632723976</c:v>
                </c:pt>
                <c:pt idx="112">
                  <c:v>59.851225000247361</c:v>
                </c:pt>
                <c:pt idx="113">
                  <c:v>59.975004082173108</c:v>
                </c:pt>
                <c:pt idx="114">
                  <c:v>60.09443622529507</c:v>
                </c:pt>
                <c:pt idx="115">
                  <c:v>60.209738775555572</c:v>
                </c:pt>
                <c:pt idx="116">
                  <c:v>60.321129081664346</c:v>
                </c:pt>
                <c:pt idx="117">
                  <c:v>60.428824489137959</c:v>
                </c:pt>
                <c:pt idx="118">
                  <c:v>60.533042347431184</c:v>
                </c:pt>
                <c:pt idx="119">
                  <c:v>60.63399999961257</c:v>
                </c:pt>
                <c:pt idx="120">
                  <c:v>60.730900509682087</c:v>
                </c:pt>
                <c:pt idx="121">
                  <c:v>60.822946938180493</c:v>
                </c:pt>
                <c:pt idx="122">
                  <c:v>60.910356633019227</c:v>
                </c:pt>
                <c:pt idx="123">
                  <c:v>60.993346939023048</c:v>
                </c:pt>
                <c:pt idx="124">
                  <c:v>61.072135204076766</c:v>
                </c:pt>
                <c:pt idx="125">
                  <c:v>61.146938775479796</c:v>
                </c:pt>
                <c:pt idx="126">
                  <c:v>61.217974999360742</c:v>
                </c:pt>
                <c:pt idx="127">
                  <c:v>61.285461224402709</c:v>
                </c:pt>
                <c:pt idx="128">
                  <c:v>61.349614796015828</c:v>
                </c:pt>
                <c:pt idx="129">
                  <c:v>61.410653060674669</c:v>
                </c:pt>
                <c:pt idx="130">
                  <c:v>61.468793367088907</c:v>
                </c:pt>
                <c:pt idx="131">
                  <c:v>61.524253061094463</c:v>
                </c:pt>
                <c:pt idx="132">
                  <c:v>61.577249489724636</c:v>
                </c:pt>
                <c:pt idx="133">
                  <c:v>61.627999999374154</c:v>
                </c:pt>
                <c:pt idx="134">
                  <c:v>61.676178571235923</c:v>
                </c:pt>
                <c:pt idx="135">
                  <c:v>61.721314285376238</c:v>
                </c:pt>
                <c:pt idx="136">
                  <c:v>61.763407142540174</c:v>
                </c:pt>
                <c:pt idx="137">
                  <c:v>61.802457142568059</c:v>
                </c:pt>
                <c:pt idx="138">
                  <c:v>61.838464285672771</c:v>
                </c:pt>
                <c:pt idx="139">
                  <c:v>61.871428571002824</c:v>
                </c:pt>
                <c:pt idx="140">
                  <c:v>61.901349999755624</c:v>
                </c:pt>
                <c:pt idx="141">
                  <c:v>61.928228571532031</c:v>
                </c:pt>
                <c:pt idx="142">
                  <c:v>61.952064285427333</c:v>
                </c:pt>
                <c:pt idx="143">
                  <c:v>61.972857142771986</c:v>
                </c:pt>
                <c:pt idx="144">
                  <c:v>61.990607142820956</c:v>
                </c:pt>
                <c:pt idx="145">
                  <c:v>62.005314284988813</c:v>
                </c:pt>
                <c:pt idx="146">
                  <c:v>62.01697857119143</c:v>
                </c:pt>
                <c:pt idx="147">
                  <c:v>62.02559999972582</c:v>
                </c:pt>
                <c:pt idx="148">
                  <c:v>62.031178571656348</c:v>
                </c:pt>
                <c:pt idx="149">
                  <c:v>62.033714285173588</c:v>
                </c:pt>
                <c:pt idx="150">
                  <c:v>62.033207142805416</c:v>
                </c:pt>
                <c:pt idx="151">
                  <c:v>62.029657142609359</c:v>
                </c:pt>
                <c:pt idx="152">
                  <c:v>62.023064285889269</c:v>
                </c:pt>
                <c:pt idx="153">
                  <c:v>62.013428571554165</c:v>
                </c:pt>
                <c:pt idx="154">
                  <c:v>62.000750000029804</c:v>
                </c:pt>
                <c:pt idx="155">
                  <c:v>61.985028571688687</c:v>
                </c:pt>
                <c:pt idx="156">
                  <c:v>61.966264285759202</c:v>
                </c:pt>
                <c:pt idx="157">
                  <c:v>61.944457142959756</c:v>
                </c:pt>
                <c:pt idx="158">
                  <c:v>61.91960714281138</c:v>
                </c:pt>
                <c:pt idx="159">
                  <c:v>61.891714286005936</c:v>
                </c:pt>
                <c:pt idx="160">
                  <c:v>61.860778571638676</c:v>
                </c:pt>
                <c:pt idx="161">
                  <c:v>61.826800000295044</c:v>
                </c:pt>
                <c:pt idx="162">
                  <c:v>61.789778571921808</c:v>
                </c:pt>
                <c:pt idx="163">
                  <c:v>61.7497142855078</c:v>
                </c:pt>
                <c:pt idx="164">
                  <c:v>61.706607143208387</c:v>
                </c:pt>
                <c:pt idx="165">
                  <c:v>61.66045714292143</c:v>
                </c:pt>
                <c:pt idx="166">
                  <c:v>61.61126428581774</c:v>
                </c:pt>
                <c:pt idx="167">
                  <c:v>61.559028571418345</c:v>
                </c:pt>
                <c:pt idx="168">
                  <c:v>61.50374999996275</c:v>
                </c:pt>
                <c:pt idx="169">
                  <c:v>61.445428571850059</c:v>
                </c:pt>
                <c:pt idx="170">
                  <c:v>61.384064285829666</c:v>
                </c:pt>
                <c:pt idx="171">
                  <c:v>61.319657143577935</c:v>
                </c:pt>
                <c:pt idx="172">
                  <c:v>61.252207142779866</c:v>
                </c:pt>
                <c:pt idx="173">
                  <c:v>61.181714285910132</c:v>
                </c:pt>
                <c:pt idx="174">
                  <c:v>61.108178571558426</c:v>
                </c:pt>
                <c:pt idx="175">
                  <c:v>61.031599999964236</c:v>
                </c:pt>
                <c:pt idx="176">
                  <c:v>60.951272193781506</c:v>
                </c:pt>
                <c:pt idx="177">
                  <c:v>60.866706122777281</c:v>
                </c:pt>
                <c:pt idx="178">
                  <c:v>60.778227805798608</c:v>
                </c:pt>
                <c:pt idx="179">
                  <c:v>60.686163265311293</c:v>
                </c:pt>
                <c:pt idx="180">
                  <c:v>60.590838520867486</c:v>
                </c:pt>
                <c:pt idx="181">
                  <c:v>60.492579591886283</c:v>
                </c:pt>
                <c:pt idx="182">
                  <c:v>60.391712500248104</c:v>
                </c:pt>
                <c:pt idx="183">
                  <c:v>60.288563265278938</c:v>
                </c:pt>
                <c:pt idx="184">
                  <c:v>60.183457908260493</c:v>
                </c:pt>
                <c:pt idx="185">
                  <c:v>60.076722448957824</c:v>
                </c:pt>
                <c:pt idx="186">
                  <c:v>59.96868290820025</c:v>
                </c:pt>
                <c:pt idx="187">
                  <c:v>59.859665306178591</c:v>
                </c:pt>
                <c:pt idx="188">
                  <c:v>59.749995663136779</c:v>
                </c:pt>
                <c:pt idx="189">
                  <c:v>59.640000000037254</c:v>
                </c:pt>
                <c:pt idx="190">
                  <c:v>59.52895382644077</c:v>
                </c:pt>
                <c:pt idx="191">
                  <c:v>59.415987755171955</c:v>
                </c:pt>
                <c:pt idx="192">
                  <c:v>59.301210459308436</c:v>
                </c:pt>
                <c:pt idx="193">
                  <c:v>59.184730612433384</c:v>
                </c:pt>
                <c:pt idx="194">
                  <c:v>59.066656887784063</c:v>
                </c:pt>
                <c:pt idx="195">
                  <c:v>58.947097959076721</c:v>
                </c:pt>
                <c:pt idx="196">
                  <c:v>58.826162499934433</c:v>
                </c:pt>
                <c:pt idx="197">
                  <c:v>58.703959183581176</c:v>
                </c:pt>
                <c:pt idx="198">
                  <c:v>58.580596683719861</c:v>
                </c:pt>
                <c:pt idx="199">
                  <c:v>58.456183673494628</c:v>
                </c:pt>
                <c:pt idx="200">
                  <c:v>58.330828826555184</c:v>
                </c:pt>
                <c:pt idx="201">
                  <c:v>58.204640816285142</c:v>
                </c:pt>
                <c:pt idx="202">
                  <c:v>58.077728316161242</c:v>
                </c:pt>
                <c:pt idx="203">
                  <c:v>57.950199999846518</c:v>
                </c:pt>
                <c:pt idx="204">
                  <c:v>57.821657397817546</c:v>
                </c:pt>
                <c:pt idx="205">
                  <c:v>57.691702040684014</c:v>
                </c:pt>
                <c:pt idx="206">
                  <c:v>57.560442602208681</c:v>
                </c:pt>
                <c:pt idx="207">
                  <c:v>57.427987755116604</c:v>
                </c:pt>
                <c:pt idx="208">
                  <c:v>57.29444617347658</c:v>
                </c:pt>
                <c:pt idx="209">
                  <c:v>57.159926530612367</c:v>
                </c:pt>
                <c:pt idx="210">
                  <c:v>57.02453749999404</c:v>
                </c:pt>
                <c:pt idx="211">
                  <c:v>56.888387755091706</c:v>
                </c:pt>
                <c:pt idx="212">
                  <c:v>56.751585969375448</c:v>
                </c:pt>
                <c:pt idx="213">
                  <c:v>56.614240816315373</c:v>
                </c:pt>
                <c:pt idx="214">
                  <c:v>56.476460969461392</c:v>
                </c:pt>
                <c:pt idx="215">
                  <c:v>56.338355102097353</c:v>
                </c:pt>
                <c:pt idx="216">
                  <c:v>56.200031887799767</c:v>
                </c:pt>
                <c:pt idx="217">
                  <c:v>56.061600000131875</c:v>
                </c:pt>
                <c:pt idx="218">
                  <c:v>55.92360280623793</c:v>
                </c:pt>
                <c:pt idx="219">
                  <c:v>55.78629387760801</c:v>
                </c:pt>
                <c:pt idx="220">
                  <c:v>55.649347193991503</c:v>
                </c:pt>
                <c:pt idx="221">
                  <c:v>55.512436734712011</c:v>
                </c:pt>
                <c:pt idx="222">
                  <c:v>55.375236479525583</c:v>
                </c:pt>
                <c:pt idx="223">
                  <c:v>55.237420408374497</c:v>
                </c:pt>
                <c:pt idx="224">
                  <c:v>55.098662500083449</c:v>
                </c:pt>
                <c:pt idx="225">
                  <c:v>54.958636734754386</c:v>
                </c:pt>
                <c:pt idx="226">
                  <c:v>54.817017092143317</c:v>
                </c:pt>
                <c:pt idx="227">
                  <c:v>54.673477551261229</c:v>
                </c:pt>
                <c:pt idx="228">
                  <c:v>54.527692091797611</c:v>
                </c:pt>
                <c:pt idx="229">
                  <c:v>54.37933469348188</c:v>
                </c:pt>
                <c:pt idx="230">
                  <c:v>54.228079336934854</c:v>
                </c:pt>
                <c:pt idx="231">
                  <c:v>54.073600000143053</c:v>
                </c:pt>
                <c:pt idx="232">
                  <c:v>53.917092091536951</c:v>
                </c:pt>
                <c:pt idx="233">
                  <c:v>53.759751020691226</c:v>
                </c:pt>
                <c:pt idx="234">
                  <c:v>53.601250765472649</c:v>
                </c:pt>
                <c:pt idx="235">
                  <c:v>53.441265306142824</c:v>
                </c:pt>
                <c:pt idx="236">
                  <c:v>53.27946862251099</c:v>
                </c:pt>
                <c:pt idx="237">
                  <c:v>53.115534693800974</c:v>
                </c:pt>
                <c:pt idx="238">
                  <c:v>52.949137499742207</c:v>
                </c:pt>
                <c:pt idx="239">
                  <c:v>52.779951020543059</c:v>
                </c:pt>
                <c:pt idx="240">
                  <c:v>52.607649234602491</c:v>
                </c:pt>
                <c:pt idx="241">
                  <c:v>52.431906122182092</c:v>
                </c:pt>
                <c:pt idx="242">
                  <c:v>52.252395663037895</c:v>
                </c:pt>
                <c:pt idx="243">
                  <c:v>52.068791836606614</c:v>
                </c:pt>
                <c:pt idx="244">
                  <c:v>51.880768621845974</c:v>
                </c:pt>
                <c:pt idx="245">
                  <c:v>51.687999999895695</c:v>
                </c:pt>
                <c:pt idx="246">
                  <c:v>51.490739540755747</c:v>
                </c:pt>
                <c:pt idx="247">
                  <c:v>51.28953061220902</c:v>
                </c:pt>
                <c:pt idx="248">
                  <c:v>51.084481887758841</c:v>
                </c:pt>
                <c:pt idx="249">
                  <c:v>50.875702040482849</c:v>
                </c:pt>
                <c:pt idx="250">
                  <c:v>50.663299744469768</c:v>
                </c:pt>
                <c:pt idx="251">
                  <c:v>50.447383673489092</c:v>
                </c:pt>
                <c:pt idx="252">
                  <c:v>50.228062499873339</c:v>
                </c:pt>
                <c:pt idx="253">
                  <c:v>50.00544489792415</c:v>
                </c:pt>
                <c:pt idx="254">
                  <c:v>49.77963954047965</c:v>
                </c:pt>
                <c:pt idx="255">
                  <c:v>49.550755102080956</c:v>
                </c:pt>
                <c:pt idx="256">
                  <c:v>49.318900254794528</c:v>
                </c:pt>
                <c:pt idx="257">
                  <c:v>49.084183673081654</c:v>
                </c:pt>
                <c:pt idx="258">
                  <c:v>48.846714030206201</c:v>
                </c:pt>
                <c:pt idx="259">
                  <c:v>48.606600000336769</c:v>
                </c:pt>
                <c:pt idx="260">
                  <c:v>48.363207653218083</c:v>
                </c:pt>
                <c:pt idx="261">
                  <c:v>48.115975510275788</c:v>
                </c:pt>
                <c:pt idx="262">
                  <c:v>47.865120918197292</c:v>
                </c:pt>
                <c:pt idx="263">
                  <c:v>47.610861224574705</c:v>
                </c:pt>
                <c:pt idx="264">
                  <c:v>47.353413775217319</c:v>
                </c:pt>
                <c:pt idx="265">
                  <c:v>47.092995918542144</c:v>
                </c:pt>
                <c:pt idx="266">
                  <c:v>46.829824999719861</c:v>
                </c:pt>
                <c:pt idx="267">
                  <c:v>46.564118367220672</c:v>
                </c:pt>
                <c:pt idx="268">
                  <c:v>46.29609336714659</c:v>
                </c:pt>
                <c:pt idx="269">
                  <c:v>46.0259673469833</c:v>
                </c:pt>
                <c:pt idx="270">
                  <c:v>45.753957652992433</c:v>
                </c:pt>
                <c:pt idx="271">
                  <c:v>45.480281632127507</c:v>
                </c:pt>
                <c:pt idx="272">
                  <c:v>45.20515663214028</c:v>
                </c:pt>
                <c:pt idx="273">
                  <c:v>44.92879999987781</c:v>
                </c:pt>
                <c:pt idx="274">
                  <c:v>44.649943877488219</c:v>
                </c:pt>
                <c:pt idx="275">
                  <c:v>44.367465306099831</c:v>
                </c:pt>
                <c:pt idx="276">
                  <c:v>44.081798979886038</c:v>
                </c:pt>
                <c:pt idx="277">
                  <c:v>43.793379591582507</c:v>
                </c:pt>
                <c:pt idx="278">
                  <c:v>43.502641836507244</c:v>
                </c:pt>
                <c:pt idx="279">
                  <c:v>43.210020408167161</c:v>
                </c:pt>
                <c:pt idx="280">
                  <c:v>42.915949999990701</c:v>
                </c:pt>
                <c:pt idx="281">
                  <c:v>42.620865306259034</c:v>
                </c:pt>
                <c:pt idx="282">
                  <c:v>42.325201020237422</c:v>
                </c:pt>
                <c:pt idx="283">
                  <c:v>42.029391836686827</c:v>
                </c:pt>
                <c:pt idx="284">
                  <c:v>41.733872448926874</c:v>
                </c:pt>
                <c:pt idx="285">
                  <c:v>41.439077551025129</c:v>
                </c:pt>
                <c:pt idx="286">
                  <c:v>41.145441836730292</c:v>
                </c:pt>
                <c:pt idx="287">
                  <c:v>40.853399999999965</c:v>
                </c:pt>
                <c:pt idx="288">
                  <c:v>40.561593622452655</c:v>
                </c:pt>
                <c:pt idx="289">
                  <c:v>40.268591836708531</c:v>
                </c:pt>
                <c:pt idx="290">
                  <c:v>39.974720663280252</c:v>
                </c:pt>
                <c:pt idx="291">
                  <c:v>39.680306122410443</c:v>
                </c:pt>
                <c:pt idx="292">
                  <c:v>39.385674234674767</c:v>
                </c:pt>
                <c:pt idx="293">
                  <c:v>39.091151020305865</c:v>
                </c:pt>
                <c:pt idx="294">
                  <c:v>38.797062500118045</c:v>
                </c:pt>
                <c:pt idx="295">
                  <c:v>38.503734693811353</c:v>
                </c:pt>
                <c:pt idx="296">
                  <c:v>38.21149362221383</c:v>
                </c:pt>
                <c:pt idx="297">
                  <c:v>37.92066530615557</c:v>
                </c:pt>
                <c:pt idx="298">
                  <c:v>37.631575765162417</c:v>
                </c:pt>
                <c:pt idx="299">
                  <c:v>37.344551020462163</c:v>
                </c:pt>
                <c:pt idx="300">
                  <c:v>37.059917091700584</c:v>
                </c:pt>
                <c:pt idx="301">
                  <c:v>36.778000000119206</c:v>
                </c:pt>
                <c:pt idx="302">
                  <c:v>36.498546173410226</c:v>
                </c:pt>
                <c:pt idx="303">
                  <c:v>36.221012244613043</c:v>
                </c:pt>
                <c:pt idx="304">
                  <c:v>35.94528954086293</c:v>
                </c:pt>
                <c:pt idx="305">
                  <c:v>35.671269387698601</c:v>
                </c:pt>
                <c:pt idx="306">
                  <c:v>35.398843112202094</c:v>
                </c:pt>
                <c:pt idx="307">
                  <c:v>35.127902040790232</c:v>
                </c:pt>
                <c:pt idx="308">
                  <c:v>34.85833750013262</c:v>
                </c:pt>
                <c:pt idx="309">
                  <c:v>34.590040816366674</c:v>
                </c:pt>
                <c:pt idx="310">
                  <c:v>34.322903316281739</c:v>
                </c:pt>
                <c:pt idx="311">
                  <c:v>34.056816326507501</c:v>
                </c:pt>
                <c:pt idx="312">
                  <c:v>33.791671173447483</c:v>
                </c:pt>
                <c:pt idx="313">
                  <c:v>33.527359183531786</c:v>
                </c:pt>
                <c:pt idx="314">
                  <c:v>33.26377168374934</c:v>
                </c:pt>
                <c:pt idx="315">
                  <c:v>33.000800000131129</c:v>
                </c:pt>
                <c:pt idx="316">
                  <c:v>32.73766530616475</c:v>
                </c:pt>
                <c:pt idx="317">
                  <c:v>32.473951020357866</c:v>
                </c:pt>
                <c:pt idx="318">
                  <c:v>32.210091836630767</c:v>
                </c:pt>
                <c:pt idx="319">
                  <c:v>31.946522449143231</c:v>
                </c:pt>
                <c:pt idx="320">
                  <c:v>31.683677551456327</c:v>
                </c:pt>
                <c:pt idx="321">
                  <c:v>31.421991836811817</c:v>
                </c:pt>
                <c:pt idx="322">
                  <c:v>31.16190000027418</c:v>
                </c:pt>
                <c:pt idx="323">
                  <c:v>30.903836735018661</c:v>
                </c:pt>
                <c:pt idx="324">
                  <c:v>30.648236735111901</c:v>
                </c:pt>
                <c:pt idx="325">
                  <c:v>30.39553469424801</c:v>
                </c:pt>
                <c:pt idx="326">
                  <c:v>30.146165307052435</c:v>
                </c:pt>
                <c:pt idx="327">
                  <c:v>29.900563265675949</c:v>
                </c:pt>
                <c:pt idx="328">
                  <c:v>29.659163265555566</c:v>
                </c:pt>
                <c:pt idx="329">
                  <c:v>29.422400000691415</c:v>
                </c:pt>
                <c:pt idx="330">
                  <c:v>29.186089541443756</c:v>
                </c:pt>
                <c:pt idx="331">
                  <c:v>28.946844899015769</c:v>
                </c:pt>
                <c:pt idx="332">
                  <c:v>28.70629617414836</c:v>
                </c:pt>
                <c:pt idx="333">
                  <c:v>28.466073470509478</c:v>
                </c:pt>
                <c:pt idx="334">
                  <c:v>28.227806888706983</c:v>
                </c:pt>
                <c:pt idx="335">
                  <c:v>27.993126532009672</c:v>
                </c:pt>
                <c:pt idx="336">
                  <c:v>27.763662501983344</c:v>
                </c:pt>
                <c:pt idx="337">
                  <c:v>27.541044899608409</c:v>
                </c:pt>
                <c:pt idx="338">
                  <c:v>27.326903829377677</c:v>
                </c:pt>
                <c:pt idx="339">
                  <c:v>27.122869389929939</c:v>
                </c:pt>
                <c:pt idx="340">
                  <c:v>26.930571685279055</c:v>
                </c:pt>
                <c:pt idx="341">
                  <c:v>26.751640818321277</c:v>
                </c:pt>
                <c:pt idx="342">
                  <c:v>26.587706888812995</c:v>
                </c:pt>
                <c:pt idx="343">
                  <c:v>26.440400002896787</c:v>
                </c:pt>
                <c:pt idx="344">
                  <c:v>26.30486898869276</c:v>
                </c:pt>
                <c:pt idx="345">
                  <c:v>26.175916257500649</c:v>
                </c:pt>
                <c:pt idx="346">
                  <c:v>26.054652280892647</c:v>
                </c:pt>
                <c:pt idx="347">
                  <c:v>25.942187521713116</c:v>
                </c:pt>
                <c:pt idx="348">
                  <c:v>25.839632453237261</c:v>
                </c:pt>
                <c:pt idx="349">
                  <c:v>25.748097535967826</c:v>
                </c:pt>
                <c:pt idx="350">
                  <c:v>25.66869324594736</c:v>
                </c:pt>
                <c:pt idx="351">
                  <c:v>25.602530049000467</c:v>
                </c:pt>
                <c:pt idx="352">
                  <c:v>25.550718410100256</c:v>
                </c:pt>
                <c:pt idx="353">
                  <c:v>25.51436879847731</c:v>
                </c:pt>
                <c:pt idx="354">
                  <c:v>25.494591685171638</c:v>
                </c:pt>
                <c:pt idx="355">
                  <c:v>25.492497536327157</c:v>
                </c:pt>
                <c:pt idx="356">
                  <c:v>25.509196819045712</c:v>
                </c:pt>
                <c:pt idx="357">
                  <c:v>25.545799994468688</c:v>
                </c:pt>
                <c:pt idx="358">
                  <c:v>25.603535781999433</c:v>
                </c:pt>
                <c:pt idx="359">
                  <c:v>25.682065591414773</c:v>
                </c:pt>
                <c:pt idx="360">
                  <c:v>25.780148962736131</c:v>
                </c:pt>
                <c:pt idx="361">
                  <c:v>25.89654543936253</c:v>
                </c:pt>
                <c:pt idx="362">
                  <c:v>26.030014558633173</c:v>
                </c:pt>
                <c:pt idx="363">
                  <c:v>26.179315860867501</c:v>
                </c:pt>
                <c:pt idx="364">
                  <c:v>26.343208885490895</c:v>
                </c:pt>
                <c:pt idx="365">
                  <c:v>26.520453176895778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26.223670689072435</c:v>
                </c:pt>
                <c:pt idx="1">
                  <c:v>26.138638462365517</c:v>
                </c:pt>
                <c:pt idx="2">
                  <c:v>25.752586103343905</c:v>
                </c:pt>
                <c:pt idx="3">
                  <c:v>23.895973120339946</c:v>
                </c:pt>
                <c:pt idx="4">
                  <c:v>14.653566209757251</c:v>
                </c:pt>
                <c:pt idx="5">
                  <c:v>27.808568767464173</c:v>
                </c:pt>
                <c:pt idx="6">
                  <c:v>14.667527811072381</c:v>
                </c:pt>
                <c:pt idx="7">
                  <c:v>22.512666153472253</c:v>
                </c:pt>
                <c:pt idx="8">
                  <c:v>26.668518012021664</c:v>
                </c:pt>
                <c:pt idx="9">
                  <c:v>10.460260744050126</c:v>
                </c:pt>
                <c:pt idx="10">
                  <c:v>28.239972558041078</c:v>
                </c:pt>
                <c:pt idx="11">
                  <c:v>29.063431932857039</c:v>
                </c:pt>
                <c:pt idx="12">
                  <c:v>18.417034678656321</c:v>
                </c:pt>
                <c:pt idx="13">
                  <c:v>29.498621369457005</c:v>
                </c:pt>
                <c:pt idx="14">
                  <c:v>30.377227257533896</c:v>
                </c:pt>
                <c:pt idx="15">
                  <c:v>30.049231450929494</c:v>
                </c:pt>
                <c:pt idx="16">
                  <c:v>19.329055345753776</c:v>
                </c:pt>
                <c:pt idx="17">
                  <c:v>30.433829557852597</c:v>
                </c:pt>
                <c:pt idx="18">
                  <c:v>32.683118262088648</c:v>
                </c:pt>
                <c:pt idx="19">
                  <c:v>11.30286271509741</c:v>
                </c:pt>
                <c:pt idx="20">
                  <c:v>20.346103196063709</c:v>
                </c:pt>
                <c:pt idx="21">
                  <c:v>31.673476071580343</c:v>
                </c:pt>
                <c:pt idx="22">
                  <c:v>32.062853586562348</c:v>
                </c:pt>
                <c:pt idx="23">
                  <c:v>32.62802258873004</c:v>
                </c:pt>
                <c:pt idx="24">
                  <c:v>30.431174944513202</c:v>
                </c:pt>
                <c:pt idx="25">
                  <c:v>32.823520357866578</c:v>
                </c:pt>
                <c:pt idx="26">
                  <c:v>32.588540192320359</c:v>
                </c:pt>
                <c:pt idx="27">
                  <c:v>18.718380052919283</c:v>
                </c:pt>
                <c:pt idx="28">
                  <c:v>27.689355662253256</c:v>
                </c:pt>
                <c:pt idx="29">
                  <c:v>10.667841852164717</c:v>
                </c:pt>
                <c:pt idx="30">
                  <c:v>21.848733659114771</c:v>
                </c:pt>
                <c:pt idx="31">
                  <c:v>19.204267390617314</c:v>
                </c:pt>
                <c:pt idx="32">
                  <c:v>33.054204591173026</c:v>
                </c:pt>
                <c:pt idx="33">
                  <c:v>27.412753039742405</c:v>
                </c:pt>
                <c:pt idx="34">
                  <c:v>16.754733277342279</c:v>
                </c:pt>
                <c:pt idx="35">
                  <c:v>35.887391837973411</c:v>
                </c:pt>
                <c:pt idx="36">
                  <c:v>39.205696557026307</c:v>
                </c:pt>
                <c:pt idx="37">
                  <c:v>26.902092201697947</c:v>
                </c:pt>
                <c:pt idx="38">
                  <c:v>38.152331128620446</c:v>
                </c:pt>
                <c:pt idx="39">
                  <c:v>38.847312619802175</c:v>
                </c:pt>
                <c:pt idx="40">
                  <c:v>36.596337758972943</c:v>
                </c:pt>
                <c:pt idx="41">
                  <c:v>36.404215155133031</c:v>
                </c:pt>
                <c:pt idx="42">
                  <c:v>28.998434960170048</c:v>
                </c:pt>
                <c:pt idx="43">
                  <c:v>36.810381507352595</c:v>
                </c:pt>
                <c:pt idx="44">
                  <c:v>33.094825571206165</c:v>
                </c:pt>
                <c:pt idx="45">
                  <c:v>40.783875694870723</c:v>
                </c:pt>
                <c:pt idx="46">
                  <c:v>34.426764095706375</c:v>
                </c:pt>
                <c:pt idx="47">
                  <c:v>38.684101035723138</c:v>
                </c:pt>
                <c:pt idx="48">
                  <c:v>38.693234723420318</c:v>
                </c:pt>
                <c:pt idx="49">
                  <c:v>39.852198656392886</c:v>
                </c:pt>
                <c:pt idx="50">
                  <c:v>42.526823693851945</c:v>
                </c:pt>
                <c:pt idx="51">
                  <c:v>21.52544485018046</c:v>
                </c:pt>
                <c:pt idx="52">
                  <c:v>41.235374874521426</c:v>
                </c:pt>
                <c:pt idx="53">
                  <c:v>41.868249695321026</c:v>
                </c:pt>
                <c:pt idx="54">
                  <c:v>42.008924715628446</c:v>
                </c:pt>
                <c:pt idx="55">
                  <c:v>38.500224990742687</c:v>
                </c:pt>
                <c:pt idx="56">
                  <c:v>44.806950383067353</c:v>
                </c:pt>
                <c:pt idx="57">
                  <c:v>43.222165638946798</c:v>
                </c:pt>
                <c:pt idx="58">
                  <c:v>41.02375672593805</c:v>
                </c:pt>
                <c:pt idx="59">
                  <c:v>45.428013886424807</c:v>
                </c:pt>
                <c:pt idx="60">
                  <c:v>33.203726330911472</c:v>
                </c:pt>
                <c:pt idx="61">
                  <c:v>41.004251522825243</c:v>
                </c:pt>
                <c:pt idx="62">
                  <c:v>31.937048727030085</c:v>
                </c:pt>
                <c:pt idx="63">
                  <c:v>34.948583246258117</c:v>
                </c:pt>
                <c:pt idx="64">
                  <c:v>24.208113232054881</c:v>
                </c:pt>
                <c:pt idx="65">
                  <c:v>37.762488842107338</c:v>
                </c:pt>
                <c:pt idx="66">
                  <c:v>38.184491330413124</c:v>
                </c:pt>
                <c:pt idx="67">
                  <c:v>44.80891493400317</c:v>
                </c:pt>
                <c:pt idx="68">
                  <c:v>45.219822593394703</c:v>
                </c:pt>
                <c:pt idx="69">
                  <c:v>39.829659361090641</c:v>
                </c:pt>
                <c:pt idx="70">
                  <c:v>46.64301638858592</c:v>
                </c:pt>
                <c:pt idx="71">
                  <c:v>40.981762819051319</c:v>
                </c:pt>
                <c:pt idx="72">
                  <c:v>38.557146236700596</c:v>
                </c:pt>
                <c:pt idx="73">
                  <c:v>34.117673354504483</c:v>
                </c:pt>
                <c:pt idx="74">
                  <c:v>53.119225306767447</c:v>
                </c:pt>
                <c:pt idx="75">
                  <c:v>33.792366122986927</c:v>
                </c:pt>
                <c:pt idx="76">
                  <c:v>34.313153622269041</c:v>
                </c:pt>
                <c:pt idx="77">
                  <c:v>45.384654125633041</c:v>
                </c:pt>
                <c:pt idx="78">
                  <c:v>51.000305055199313</c:v>
                </c:pt>
                <c:pt idx="79">
                  <c:v>51.582949818940655</c:v>
                </c:pt>
                <c:pt idx="80">
                  <c:v>50.061246590023678</c:v>
                </c:pt>
                <c:pt idx="81">
                  <c:v>53.395442827230923</c:v>
                </c:pt>
                <c:pt idx="82">
                  <c:v>52.18691136739492</c:v>
                </c:pt>
                <c:pt idx="83">
                  <c:v>52.042805728748291</c:v>
                </c:pt>
                <c:pt idx="84">
                  <c:v>54.406274588280766</c:v>
                </c:pt>
                <c:pt idx="85">
                  <c:v>53.384217171307384</c:v>
                </c:pt>
                <c:pt idx="86">
                  <c:v>52.671348096668545</c:v>
                </c:pt>
                <c:pt idx="87">
                  <c:v>55.509547390631532</c:v>
                </c:pt>
                <c:pt idx="88">
                  <c:v>54.961612248927921</c:v>
                </c:pt>
                <c:pt idx="89">
                  <c:v>51.391422760958996</c:v>
                </c:pt>
                <c:pt idx="90">
                  <c:v>51.899466717873182</c:v>
                </c:pt>
                <c:pt idx="91">
                  <c:v>43.794374405786975</c:v>
                </c:pt>
                <c:pt idx="92">
                  <c:v>44.063854252234997</c:v>
                </c:pt>
                <c:pt idx="93">
                  <c:v>54.48441415561728</c:v>
                </c:pt>
                <c:pt idx="94">
                  <c:v>58.465341345603605</c:v>
                </c:pt>
                <c:pt idx="95">
                  <c:v>59.416138633229195</c:v>
                </c:pt>
                <c:pt idx="96">
                  <c:v>57.546398916195137</c:v>
                </c:pt>
                <c:pt idx="97">
                  <c:v>58.154414706140663</c:v>
                </c:pt>
                <c:pt idx="98">
                  <c:v>44.615117230380669</c:v>
                </c:pt>
                <c:pt idx="99">
                  <c:v>60.582831847269297</c:v>
                </c:pt>
                <c:pt idx="100">
                  <c:v>58.211509097292016</c:v>
                </c:pt>
                <c:pt idx="101">
                  <c:v>57.589141732142863</c:v>
                </c:pt>
                <c:pt idx="102">
                  <c:v>56.994672036100951</c:v>
                </c:pt>
                <c:pt idx="103">
                  <c:v>57.747438215709053</c:v>
                </c:pt>
                <c:pt idx="104">
                  <c:v>58.651705388898215</c:v>
                </c:pt>
                <c:pt idx="105">
                  <c:v>57.771393300679215</c:v>
                </c:pt>
                <c:pt idx="106">
                  <c:v>58.506000012119351</c:v>
                </c:pt>
                <c:pt idx="107">
                  <c:v>47.717829043951738</c:v>
                </c:pt>
                <c:pt idx="108">
                  <c:v>57.424115414132181</c:v>
                </c:pt>
                <c:pt idx="109">
                  <c:v>54.37744314192939</c:v>
                </c:pt>
                <c:pt idx="110">
                  <c:v>48.591897253026858</c:v>
                </c:pt>
                <c:pt idx="111">
                  <c:v>56.763007267600109</c:v>
                </c:pt>
                <c:pt idx="112">
                  <c:v>60.533577473745396</c:v>
                </c:pt>
                <c:pt idx="113">
                  <c:v>61.221202275533329</c:v>
                </c:pt>
                <c:pt idx="114">
                  <c:v>49.231227193041249</c:v>
                </c:pt>
                <c:pt idx="115">
                  <c:v>58.799579012279175</c:v>
                </c:pt>
                <c:pt idx="116">
                  <c:v>45.165843898017897</c:v>
                </c:pt>
                <c:pt idx="117">
                  <c:v>40.022734639116834</c:v>
                </c:pt>
                <c:pt idx="118">
                  <c:v>47.336974093030854</c:v>
                </c:pt>
                <c:pt idx="119">
                  <c:v>57.134227383129591</c:v>
                </c:pt>
                <c:pt idx="120">
                  <c:v>55.014185059625483</c:v>
                </c:pt>
                <c:pt idx="121">
                  <c:v>52.243655726180137</c:v>
                </c:pt>
                <c:pt idx="122">
                  <c:v>59.318580235290369</c:v>
                </c:pt>
                <c:pt idx="123">
                  <c:v>56.957672371792654</c:v>
                </c:pt>
                <c:pt idx="124">
                  <c:v>61.376169686641241</c:v>
                </c:pt>
                <c:pt idx="125">
                  <c:v>58.310376218958538</c:v>
                </c:pt>
                <c:pt idx="126">
                  <c:v>58.360511547826988</c:v>
                </c:pt>
                <c:pt idx="127">
                  <c:v>61.177065802959824</c:v>
                </c:pt>
                <c:pt idx="128">
                  <c:v>57.284230576804276</c:v>
                </c:pt>
                <c:pt idx="129">
                  <c:v>58.509584701555575</c:v>
                </c:pt>
                <c:pt idx="130">
                  <c:v>61.912018368777417</c:v>
                </c:pt>
                <c:pt idx="131">
                  <c:v>46.954038073013493</c:v>
                </c:pt>
                <c:pt idx="132">
                  <c:v>60.109259389460362</c:v>
                </c:pt>
                <c:pt idx="133">
                  <c:v>59.065123459499134</c:v>
                </c:pt>
                <c:pt idx="134">
                  <c:v>59.483162733669118</c:v>
                </c:pt>
                <c:pt idx="135">
                  <c:v>55.435904399739371</c:v>
                </c:pt>
                <c:pt idx="136">
                  <c:v>59.551773211807408</c:v>
                </c:pt>
                <c:pt idx="137">
                  <c:v>60.850795316552379</c:v>
                </c:pt>
                <c:pt idx="138">
                  <c:v>61.039716032201341</c:v>
                </c:pt>
                <c:pt idx="139">
                  <c:v>60.491890433923544</c:v>
                </c:pt>
                <c:pt idx="140">
                  <c:v>59.791074222210042</c:v>
                </c:pt>
                <c:pt idx="141">
                  <c:v>60.114527951171105</c:v>
                </c:pt>
                <c:pt idx="142">
                  <c:v>59.059449252254765</c:v>
                </c:pt>
                <c:pt idx="143">
                  <c:v>26.660992397930677</c:v>
                </c:pt>
                <c:pt idx="144">
                  <c:v>56.87087566419774</c:v>
                </c:pt>
                <c:pt idx="145">
                  <c:v>60.853144099626277</c:v>
                </c:pt>
                <c:pt idx="146">
                  <c:v>61.029310689463564</c:v>
                </c:pt>
                <c:pt idx="147">
                  <c:v>60.065997038035896</c:v>
                </c:pt>
                <c:pt idx="148">
                  <c:v>63.505407005756894</c:v>
                </c:pt>
                <c:pt idx="149">
                  <c:v>61.091879244383499</c:v>
                </c:pt>
                <c:pt idx="150">
                  <c:v>61.846036188985813</c:v>
                </c:pt>
                <c:pt idx="151">
                  <c:v>63.6031019014615</c:v>
                </c:pt>
                <c:pt idx="152">
                  <c:v>62.818886290602684</c:v>
                </c:pt>
                <c:pt idx="153">
                  <c:v>60.280374987605988</c:v>
                </c:pt>
                <c:pt idx="154">
                  <c:v>60.619800166760626</c:v>
                </c:pt>
                <c:pt idx="155">
                  <c:v>39.216543124389602</c:v>
                </c:pt>
                <c:pt idx="156">
                  <c:v>54.078564517697089</c:v>
                </c:pt>
                <c:pt idx="157">
                  <c:v>56.44411958910743</c:v>
                </c:pt>
                <c:pt idx="158">
                  <c:v>64.215122991320413</c:v>
                </c:pt>
                <c:pt idx="159">
                  <c:v>59.018802460565581</c:v>
                </c:pt>
                <c:pt idx="160">
                  <c:v>62.137218569492155</c:v>
                </c:pt>
                <c:pt idx="161">
                  <c:v>60.467584204293566</c:v>
                </c:pt>
                <c:pt idx="162">
                  <c:v>60.295662422048899</c:v>
                </c:pt>
                <c:pt idx="163">
                  <c:v>64.172787836056131</c:v>
                </c:pt>
                <c:pt idx="164">
                  <c:v>57.550987024107755</c:v>
                </c:pt>
                <c:pt idx="165">
                  <c:v>57.678223739034088</c:v>
                </c:pt>
                <c:pt idx="166">
                  <c:v>62.895191551516874</c:v>
                </c:pt>
                <c:pt idx="167">
                  <c:v>61.943350764633465</c:v>
                </c:pt>
                <c:pt idx="168">
                  <c:v>59.92441332024179</c:v>
                </c:pt>
                <c:pt idx="169">
                  <c:v>60.990515225010704</c:v>
                </c:pt>
                <c:pt idx="170">
                  <c:v>55.931265464438617</c:v>
                </c:pt>
                <c:pt idx="171">
                  <c:v>56.260411269728877</c:v>
                </c:pt>
                <c:pt idx="172">
                  <c:v>60.180759205917369</c:v>
                </c:pt>
                <c:pt idx="173">
                  <c:v>53.862501168142678</c:v>
                </c:pt>
                <c:pt idx="174">
                  <c:v>60.623696514192886</c:v>
                </c:pt>
                <c:pt idx="175">
                  <c:v>61.35509471330375</c:v>
                </c:pt>
                <c:pt idx="176">
                  <c:v>61.449694288761741</c:v>
                </c:pt>
                <c:pt idx="177">
                  <c:v>60.093655665818403</c:v>
                </c:pt>
                <c:pt idx="178">
                  <c:v>60.390455526303775</c:v>
                </c:pt>
                <c:pt idx="179">
                  <c:v>61.533873329482432</c:v>
                </c:pt>
                <c:pt idx="180">
                  <c:v>46.176742952915681</c:v>
                </c:pt>
                <c:pt idx="181">
                  <c:v>60.353143786946767</c:v>
                </c:pt>
                <c:pt idx="182">
                  <c:v>60.73236861929626</c:v>
                </c:pt>
                <c:pt idx="183">
                  <c:v>55.166547577749505</c:v>
                </c:pt>
                <c:pt idx="184">
                  <c:v>58.802223324731905</c:v>
                </c:pt>
                <c:pt idx="185">
                  <c:v>59.857915461970457</c:v>
                </c:pt>
                <c:pt idx="186">
                  <c:v>58.562115804958381</c:v>
                </c:pt>
                <c:pt idx="187">
                  <c:v>59.521491557725845</c:v>
                </c:pt>
                <c:pt idx="188">
                  <c:v>61.731530922923696</c:v>
                </c:pt>
                <c:pt idx="189">
                  <c:v>60.405360764254944</c:v>
                </c:pt>
                <c:pt idx="190">
                  <c:v>59.978048580009023</c:v>
                </c:pt>
                <c:pt idx="191">
                  <c:v>59.049880258417886</c:v>
                </c:pt>
                <c:pt idx="192">
                  <c:v>57.793763813977158</c:v>
                </c:pt>
                <c:pt idx="193">
                  <c:v>57.86436059666881</c:v>
                </c:pt>
                <c:pt idx="194">
                  <c:v>58.629820417743659</c:v>
                </c:pt>
                <c:pt idx="195">
                  <c:v>60.732811241786656</c:v>
                </c:pt>
                <c:pt idx="196">
                  <c:v>60.019024315602991</c:v>
                </c:pt>
                <c:pt idx="197">
                  <c:v>58.588907311846619</c:v>
                </c:pt>
                <c:pt idx="198">
                  <c:v>59.09626552839137</c:v>
                </c:pt>
                <c:pt idx="199">
                  <c:v>58.821936669758294</c:v>
                </c:pt>
                <c:pt idx="200">
                  <c:v>57.966887791855576</c:v>
                </c:pt>
                <c:pt idx="201">
                  <c:v>56.512013586305258</c:v>
                </c:pt>
                <c:pt idx="202">
                  <c:v>54.98806790169472</c:v>
                </c:pt>
                <c:pt idx="203">
                  <c:v>56.499257606465072</c:v>
                </c:pt>
                <c:pt idx="204">
                  <c:v>56.928661050654043</c:v>
                </c:pt>
                <c:pt idx="205">
                  <c:v>57.091704599474085</c:v>
                </c:pt>
                <c:pt idx="206">
                  <c:v>56.969060465949205</c:v>
                </c:pt>
                <c:pt idx="207">
                  <c:v>59.086092502375415</c:v>
                </c:pt>
                <c:pt idx="208">
                  <c:v>55.235892081296527</c:v>
                </c:pt>
                <c:pt idx="209">
                  <c:v>58.807397280234632</c:v>
                </c:pt>
                <c:pt idx="210">
                  <c:v>48.678240079056877</c:v>
                </c:pt>
                <c:pt idx="211">
                  <c:v>57.70083398193163</c:v>
                </c:pt>
                <c:pt idx="212">
                  <c:v>57.353171023524027</c:v>
                </c:pt>
                <c:pt idx="213">
                  <c:v>57.607430014049775</c:v>
                </c:pt>
                <c:pt idx="214">
                  <c:v>57.732742346129783</c:v>
                </c:pt>
                <c:pt idx="215">
                  <c:v>54.940621976631377</c:v>
                </c:pt>
                <c:pt idx="216">
                  <c:v>53.590627988169963</c:v>
                </c:pt>
                <c:pt idx="217">
                  <c:v>56.645072121276598</c:v>
                </c:pt>
                <c:pt idx="218">
                  <c:v>55.687322865809392</c:v>
                </c:pt>
                <c:pt idx="219">
                  <c:v>56.714919727372141</c:v>
                </c:pt>
                <c:pt idx="220">
                  <c:v>54.928479355291955</c:v>
                </c:pt>
                <c:pt idx="221">
                  <c:v>53.365205787332016</c:v>
                </c:pt>
                <c:pt idx="222">
                  <c:v>51.137114320029383</c:v>
                </c:pt>
                <c:pt idx="223">
                  <c:v>51.536068308654343</c:v>
                </c:pt>
                <c:pt idx="224">
                  <c:v>44.585045141201746</c:v>
                </c:pt>
                <c:pt idx="225">
                  <c:v>56.167943192678834</c:v>
                </c:pt>
                <c:pt idx="226">
                  <c:v>48.01365532613444</c:v>
                </c:pt>
                <c:pt idx="227">
                  <c:v>56.53449474291795</c:v>
                </c:pt>
                <c:pt idx="228">
                  <c:v>53.858600637454124</c:v>
                </c:pt>
                <c:pt idx="229">
                  <c:v>45.332057361760235</c:v>
                </c:pt>
                <c:pt idx="230">
                  <c:v>41.817185675969036</c:v>
                </c:pt>
                <c:pt idx="231">
                  <c:v>52.962065320582475</c:v>
                </c:pt>
                <c:pt idx="232">
                  <c:v>53.982802943625828</c:v>
                </c:pt>
                <c:pt idx="233">
                  <c:v>55.500972969341134</c:v>
                </c:pt>
                <c:pt idx="234">
                  <c:v>53.062243382697936</c:v>
                </c:pt>
                <c:pt idx="235">
                  <c:v>53.652701401553543</c:v>
                </c:pt>
                <c:pt idx="236">
                  <c:v>51.419146627981888</c:v>
                </c:pt>
                <c:pt idx="237">
                  <c:v>52.553587232779272</c:v>
                </c:pt>
                <c:pt idx="238">
                  <c:v>48.878387229783151</c:v>
                </c:pt>
                <c:pt idx="239">
                  <c:v>53.319342181775433</c:v>
                </c:pt>
                <c:pt idx="240">
                  <c:v>52.692719517671406</c:v>
                </c:pt>
                <c:pt idx="241">
                  <c:v>51.619286910358419</c:v>
                </c:pt>
                <c:pt idx="242">
                  <c:v>51.112198719060622</c:v>
                </c:pt>
                <c:pt idx="243">
                  <c:v>46.151627874383863</c:v>
                </c:pt>
                <c:pt idx="244">
                  <c:v>43.932172595785929</c:v>
                </c:pt>
                <c:pt idx="245">
                  <c:v>53.184089947763461</c:v>
                </c:pt>
                <c:pt idx="246">
                  <c:v>52.707977140675048</c:v>
                </c:pt>
                <c:pt idx="247">
                  <c:v>52.360214050968047</c:v>
                </c:pt>
                <c:pt idx="248">
                  <c:v>51.253626858987126</c:v>
                </c:pt>
                <c:pt idx="249">
                  <c:v>52.759985924745806</c:v>
                </c:pt>
                <c:pt idx="250">
                  <c:v>48.227232610216525</c:v>
                </c:pt>
                <c:pt idx="251">
                  <c:v>49.53769434119436</c:v>
                </c:pt>
                <c:pt idx="252">
                  <c:v>47.822346507728497</c:v>
                </c:pt>
                <c:pt idx="253">
                  <c:v>50.258801282332186</c:v>
                </c:pt>
                <c:pt idx="254">
                  <c:v>50.45491962020855</c:v>
                </c:pt>
                <c:pt idx="255">
                  <c:v>48.157798418886934</c:v>
                </c:pt>
                <c:pt idx="256">
                  <c:v>47.866073313841895</c:v>
                </c:pt>
                <c:pt idx="257">
                  <c:v>49.308768016515323</c:v>
                </c:pt>
                <c:pt idx="258">
                  <c:v>44.025352482191991</c:v>
                </c:pt>
                <c:pt idx="259">
                  <c:v>50.210233541506341</c:v>
                </c:pt>
                <c:pt idx="260">
                  <c:v>49.42043976058256</c:v>
                </c:pt>
                <c:pt idx="261">
                  <c:v>47.650088972377581</c:v>
                </c:pt>
                <c:pt idx="262">
                  <c:v>48.889969383535792</c:v>
                </c:pt>
                <c:pt idx="263">
                  <c:v>49.24639747322302</c:v>
                </c:pt>
                <c:pt idx="264">
                  <c:v>47.958368246020818</c:v>
                </c:pt>
                <c:pt idx="265">
                  <c:v>41.960409852229127</c:v>
                </c:pt>
                <c:pt idx="266">
                  <c:v>41.038887067631343</c:v>
                </c:pt>
                <c:pt idx="267">
                  <c:v>36.599123491462763</c:v>
                </c:pt>
                <c:pt idx="268">
                  <c:v>39.791402666859739</c:v>
                </c:pt>
                <c:pt idx="269">
                  <c:v>40.257199501289676</c:v>
                </c:pt>
                <c:pt idx="270">
                  <c:v>31.058972746779887</c:v>
                </c:pt>
                <c:pt idx="271">
                  <c:v>45.479306908151436</c:v>
                </c:pt>
                <c:pt idx="272">
                  <c:v>37.731180167005817</c:v>
                </c:pt>
                <c:pt idx="273">
                  <c:v>44.215885035477228</c:v>
                </c:pt>
                <c:pt idx="274">
                  <c:v>42.630714957104409</c:v>
                </c:pt>
                <c:pt idx="275">
                  <c:v>37.910091301325672</c:v>
                </c:pt>
                <c:pt idx="276">
                  <c:v>45.267692249825423</c:v>
                </c:pt>
                <c:pt idx="277">
                  <c:v>44.920703887087058</c:v>
                </c:pt>
                <c:pt idx="278">
                  <c:v>37.456299477721394</c:v>
                </c:pt>
                <c:pt idx="279">
                  <c:v>42.329866448649689</c:v>
                </c:pt>
                <c:pt idx="280">
                  <c:v>42.692090541725008</c:v>
                </c:pt>
                <c:pt idx="281">
                  <c:v>42.727093613485302</c:v>
                </c:pt>
                <c:pt idx="282">
                  <c:v>37.259576820741849</c:v>
                </c:pt>
                <c:pt idx="283">
                  <c:v>42.840909894173365</c:v>
                </c:pt>
                <c:pt idx="284">
                  <c:v>40.800834584500151</c:v>
                </c:pt>
                <c:pt idx="285">
                  <c:v>40.05086474432693</c:v>
                </c:pt>
                <c:pt idx="286">
                  <c:v>42.197658918664054</c:v>
                </c:pt>
                <c:pt idx="287">
                  <c:v>41.80115775263846</c:v>
                </c:pt>
                <c:pt idx="288">
                  <c:v>39.40385171327874</c:v>
                </c:pt>
                <c:pt idx="289">
                  <c:v>38.717430776256577</c:v>
                </c:pt>
                <c:pt idx="290">
                  <c:v>39.005969343907886</c:v>
                </c:pt>
                <c:pt idx="291">
                  <c:v>39.339930108632885</c:v>
                </c:pt>
                <c:pt idx="292">
                  <c:v>36.661931071686425</c:v>
                </c:pt>
                <c:pt idx="293">
                  <c:v>22.202361362008595</c:v>
                </c:pt>
                <c:pt idx="294">
                  <c:v>38.476732251780895</c:v>
                </c:pt>
                <c:pt idx="295">
                  <c:v>34.945512770955865</c:v>
                </c:pt>
                <c:pt idx="296">
                  <c:v>39.130239680184168</c:v>
                </c:pt>
                <c:pt idx="297">
                  <c:v>36.653360755544639</c:v>
                </c:pt>
                <c:pt idx="298">
                  <c:v>37.378397618671073</c:v>
                </c:pt>
                <c:pt idx="299">
                  <c:v>34.064654173647206</c:v>
                </c:pt>
                <c:pt idx="300">
                  <c:v>36.268866308329294</c:v>
                </c:pt>
                <c:pt idx="301">
                  <c:v>30.826089408528631</c:v>
                </c:pt>
                <c:pt idx="302">
                  <c:v>31.493556755699309</c:v>
                </c:pt>
                <c:pt idx="303">
                  <c:v>35.545081569193108</c:v>
                </c:pt>
                <c:pt idx="304">
                  <c:v>28.832623963315033</c:v>
                </c:pt>
                <c:pt idx="305">
                  <c:v>32.061506207065662</c:v>
                </c:pt>
                <c:pt idx="306">
                  <c:v>28.049300463393088</c:v>
                </c:pt>
                <c:pt idx="307">
                  <c:v>18.973893501694523</c:v>
                </c:pt>
                <c:pt idx="308">
                  <c:v>34.083177611383562</c:v>
                </c:pt>
                <c:pt idx="309">
                  <c:v>35.292571273233243</c:v>
                </c:pt>
                <c:pt idx="310">
                  <c:v>35.409981593380152</c:v>
                </c:pt>
                <c:pt idx="311">
                  <c:v>29.721733914268235</c:v>
                </c:pt>
                <c:pt idx="312">
                  <c:v>28.934926580180637</c:v>
                </c:pt>
                <c:pt idx="313">
                  <c:v>23.492007073605752</c:v>
                </c:pt>
                <c:pt idx="314">
                  <c:v>32.162208991726168</c:v>
                </c:pt>
                <c:pt idx="315">
                  <c:v>33.228636444643307</c:v>
                </c:pt>
                <c:pt idx="316">
                  <c:v>32.07432066777686</c:v>
                </c:pt>
                <c:pt idx="317">
                  <c:v>18.993319038472997</c:v>
                </c:pt>
                <c:pt idx="318">
                  <c:v>31.702886154707713</c:v>
                </c:pt>
                <c:pt idx="319">
                  <c:v>31.396638682128184</c:v>
                </c:pt>
                <c:pt idx="320">
                  <c:v>19.304439918384041</c:v>
                </c:pt>
                <c:pt idx="321">
                  <c:v>28.981060402104621</c:v>
                </c:pt>
                <c:pt idx="322">
                  <c:v>31.083466174894443</c:v>
                </c:pt>
                <c:pt idx="323">
                  <c:v>30.262737933685557</c:v>
                </c:pt>
                <c:pt idx="324">
                  <c:v>27.490335001003508</c:v>
                </c:pt>
                <c:pt idx="325">
                  <c:v>31.520653340989391</c:v>
                </c:pt>
                <c:pt idx="326">
                  <c:v>31.418721073336016</c:v>
                </c:pt>
                <c:pt idx="327">
                  <c:v>29.328916242000091</c:v>
                </c:pt>
                <c:pt idx="328">
                  <c:v>27.79857439619018</c:v>
                </c:pt>
                <c:pt idx="329">
                  <c:v>28.034337428546774</c:v>
                </c:pt>
                <c:pt idx="330">
                  <c:v>23.110543581605093</c:v>
                </c:pt>
                <c:pt idx="331">
                  <c:v>17.324015395081876</c:v>
                </c:pt>
                <c:pt idx="332">
                  <c:v>14.807733331286865</c:v>
                </c:pt>
                <c:pt idx="333">
                  <c:v>27.039927040267969</c:v>
                </c:pt>
                <c:pt idx="334">
                  <c:v>27.868335200452961</c:v>
                </c:pt>
                <c:pt idx="335">
                  <c:v>10.826785026069079</c:v>
                </c:pt>
                <c:pt idx="336">
                  <c:v>17.956998625515752</c:v>
                </c:pt>
                <c:pt idx="337">
                  <c:v>23.797511851297955</c:v>
                </c:pt>
                <c:pt idx="338">
                  <c:v>28.332410903227842</c:v>
                </c:pt>
                <c:pt idx="339">
                  <c:v>24.344380996305986</c:v>
                </c:pt>
                <c:pt idx="340">
                  <c:v>20.865678044403491</c:v>
                </c:pt>
                <c:pt idx="341">
                  <c:v>18.164839905008368</c:v>
                </c:pt>
                <c:pt idx="342">
                  <c:v>10.143572329853523</c:v>
                </c:pt>
                <c:pt idx="343">
                  <c:v>19.483808473016875</c:v>
                </c:pt>
                <c:pt idx="344">
                  <c:v>16.447360617108369</c:v>
                </c:pt>
                <c:pt idx="345">
                  <c:v>25.134038937177625</c:v>
                </c:pt>
                <c:pt idx="346">
                  <c:v>25.832835378767957</c:v>
                </c:pt>
                <c:pt idx="347">
                  <c:v>25.956270173874294</c:v>
                </c:pt>
                <c:pt idx="348">
                  <c:v>25.992364486751338</c:v>
                </c:pt>
                <c:pt idx="349">
                  <c:v>25.444176400080966</c:v>
                </c:pt>
                <c:pt idx="350">
                  <c:v>25.822433356414916</c:v>
                </c:pt>
                <c:pt idx="351">
                  <c:v>24.301759677464336</c:v>
                </c:pt>
                <c:pt idx="352">
                  <c:v>25.50206749437104</c:v>
                </c:pt>
                <c:pt idx="353">
                  <c:v>25.974540677970943</c:v>
                </c:pt>
                <c:pt idx="354">
                  <c:v>22.295003218801163</c:v>
                </c:pt>
                <c:pt idx="355">
                  <c:v>25.041210642089073</c:v>
                </c:pt>
                <c:pt idx="356">
                  <c:v>22.181600514114333</c:v>
                </c:pt>
                <c:pt idx="357">
                  <c:v>22.944010562809719</c:v>
                </c:pt>
                <c:pt idx="358">
                  <c:v>15.402591944038759</c:v>
                </c:pt>
                <c:pt idx="359">
                  <c:v>21.950785142907936</c:v>
                </c:pt>
                <c:pt idx="360">
                  <c:v>24.49923801757005</c:v>
                </c:pt>
                <c:pt idx="361">
                  <c:v>23.956772054277653</c:v>
                </c:pt>
                <c:pt idx="362">
                  <c:v>25.350843824112598</c:v>
                </c:pt>
                <c:pt idx="363">
                  <c:v>26.258304943114872</c:v>
                </c:pt>
                <c:pt idx="364">
                  <c:v>25.860373589041732</c:v>
                </c:pt>
                <c:pt idx="365">
                  <c:v>16.851465220813907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'2022'!$F$14</c:f>
              <c:strCache>
                <c:ptCount val="1"/>
                <c:pt idx="0">
                  <c:v>Hors pertes 2022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'2022'!Wh_hp</c:f>
              <c:numCache>
                <c:formatCode>0.00</c:formatCode>
                <c:ptCount val="366"/>
                <c:pt idx="0">
                  <c:v>26.223670689072435</c:v>
                </c:pt>
                <c:pt idx="1">
                  <c:v>17.635921476573621</c:v>
                </c:pt>
                <c:pt idx="2">
                  <c:v>20.028110124820333</c:v>
                </c:pt>
                <c:pt idx="3">
                  <c:v>20.356147414172096</c:v>
                </c:pt>
                <c:pt idx="4">
                  <c:v>14.653566209757251</c:v>
                </c:pt>
                <c:pt idx="5">
                  <c:v>27.808568767464173</c:v>
                </c:pt>
                <c:pt idx="6">
                  <c:v>9.4298730877973469</c:v>
                </c:pt>
                <c:pt idx="7">
                  <c:v>6.5573184484455433</c:v>
                </c:pt>
                <c:pt idx="8">
                  <c:v>1.8697572596615191</c:v>
                </c:pt>
                <c:pt idx="9">
                  <c:v>1.5044600674583619</c:v>
                </c:pt>
                <c:pt idx="10">
                  <c:v>26.472873963078193</c:v>
                </c:pt>
                <c:pt idx="11">
                  <c:v>22.559173472391588</c:v>
                </c:pt>
                <c:pt idx="12">
                  <c:v>6.7814515748157245</c:v>
                </c:pt>
                <c:pt idx="13">
                  <c:v>29.498621369457005</c:v>
                </c:pt>
                <c:pt idx="14">
                  <c:v>30.377227257533896</c:v>
                </c:pt>
                <c:pt idx="15">
                  <c:v>30.049231450929494</c:v>
                </c:pt>
                <c:pt idx="16">
                  <c:v>19.329055345753776</c:v>
                </c:pt>
                <c:pt idx="17">
                  <c:v>5.0524319806458022</c:v>
                </c:pt>
                <c:pt idx="18">
                  <c:v>12.793334832690372</c:v>
                </c:pt>
                <c:pt idx="19">
                  <c:v>5.2933646502516654</c:v>
                </c:pt>
                <c:pt idx="20">
                  <c:v>20.346103196063709</c:v>
                </c:pt>
                <c:pt idx="21">
                  <c:v>31.673476071580343</c:v>
                </c:pt>
                <c:pt idx="22">
                  <c:v>32.062853586562348</c:v>
                </c:pt>
                <c:pt idx="23">
                  <c:v>32.62802258873004</c:v>
                </c:pt>
                <c:pt idx="24">
                  <c:v>30.431174944513202</c:v>
                </c:pt>
                <c:pt idx="25">
                  <c:v>32.823520357866578</c:v>
                </c:pt>
                <c:pt idx="26">
                  <c:v>32.588540192320359</c:v>
                </c:pt>
                <c:pt idx="27">
                  <c:v>4.3855178092950222</c:v>
                </c:pt>
                <c:pt idx="28">
                  <c:v>6.7508632458782074</c:v>
                </c:pt>
                <c:pt idx="29">
                  <c:v>6.087700983937693</c:v>
                </c:pt>
                <c:pt idx="30">
                  <c:v>7.6163060594066296</c:v>
                </c:pt>
                <c:pt idx="31">
                  <c:v>19.204267390617314</c:v>
                </c:pt>
                <c:pt idx="32">
                  <c:v>7.0149882733929587</c:v>
                </c:pt>
                <c:pt idx="33">
                  <c:v>16.628046701955256</c:v>
                </c:pt>
                <c:pt idx="34">
                  <c:v>15.004787898745249</c:v>
                </c:pt>
                <c:pt idx="35">
                  <c:v>10.998121277751896</c:v>
                </c:pt>
                <c:pt idx="36">
                  <c:v>29.231522072213981</c:v>
                </c:pt>
                <c:pt idx="37">
                  <c:v>13.088162253897609</c:v>
                </c:pt>
                <c:pt idx="38">
                  <c:v>38.152331128620446</c:v>
                </c:pt>
                <c:pt idx="39">
                  <c:v>38.847312619802175</c:v>
                </c:pt>
                <c:pt idx="40">
                  <c:v>36.596337758972943</c:v>
                </c:pt>
                <c:pt idx="41">
                  <c:v>15.198150807867231</c:v>
                </c:pt>
                <c:pt idx="42">
                  <c:v>28.998434960170048</c:v>
                </c:pt>
                <c:pt idx="43">
                  <c:v>36.810381507352595</c:v>
                </c:pt>
                <c:pt idx="44">
                  <c:v>17.386842270084291</c:v>
                </c:pt>
                <c:pt idx="45">
                  <c:v>23.025410766207525</c:v>
                </c:pt>
                <c:pt idx="46">
                  <c:v>9.792047973289904</c:v>
                </c:pt>
                <c:pt idx="47">
                  <c:v>10.80634652823136</c:v>
                </c:pt>
                <c:pt idx="48">
                  <c:v>36.274275992109793</c:v>
                </c:pt>
                <c:pt idx="49">
                  <c:v>16.528595962301601</c:v>
                </c:pt>
                <c:pt idx="50">
                  <c:v>28.776452598067056</c:v>
                </c:pt>
                <c:pt idx="51">
                  <c:v>21.52544485018046</c:v>
                </c:pt>
                <c:pt idx="52">
                  <c:v>35.752306920569495</c:v>
                </c:pt>
                <c:pt idx="53">
                  <c:v>41.43368928277183</c:v>
                </c:pt>
                <c:pt idx="54">
                  <c:v>26.540817336653891</c:v>
                </c:pt>
                <c:pt idx="55">
                  <c:v>28.874194304295813</c:v>
                </c:pt>
                <c:pt idx="56">
                  <c:v>44.806950383067353</c:v>
                </c:pt>
                <c:pt idx="57">
                  <c:v>23.653945370540871</c:v>
                </c:pt>
                <c:pt idx="58">
                  <c:v>41.02375672593805</c:v>
                </c:pt>
                <c:pt idx="59">
                  <c:v>45.428013886424807</c:v>
                </c:pt>
                <c:pt idx="60">
                  <c:v>15.694028281101195</c:v>
                </c:pt>
                <c:pt idx="61">
                  <c:v>41.004251522825243</c:v>
                </c:pt>
                <c:pt idx="62">
                  <c:v>5.4484270660988248</c:v>
                </c:pt>
                <c:pt idx="63">
                  <c:v>16.777552080562103</c:v>
                </c:pt>
                <c:pt idx="64">
                  <c:v>24.208113232054881</c:v>
                </c:pt>
                <c:pt idx="65">
                  <c:v>37.762488842107338</c:v>
                </c:pt>
                <c:pt idx="66">
                  <c:v>38.184491330413124</c:v>
                </c:pt>
                <c:pt idx="67">
                  <c:v>34.786248355455413</c:v>
                </c:pt>
                <c:pt idx="68">
                  <c:v>27.966754115739633</c:v>
                </c:pt>
                <c:pt idx="69">
                  <c:v>19.55829102894274</c:v>
                </c:pt>
                <c:pt idx="70">
                  <c:v>14.263423421773119</c:v>
                </c:pt>
                <c:pt idx="71">
                  <c:v>10.594371255832405</c:v>
                </c:pt>
                <c:pt idx="72">
                  <c:v>14.358000108626033</c:v>
                </c:pt>
                <c:pt idx="73">
                  <c:v>17.548569880452828</c:v>
                </c:pt>
                <c:pt idx="74">
                  <c:v>12.791035534331291</c:v>
                </c:pt>
                <c:pt idx="75">
                  <c:v>11.009884508971126</c:v>
                </c:pt>
                <c:pt idx="76">
                  <c:v>14.457583982651725</c:v>
                </c:pt>
                <c:pt idx="77">
                  <c:v>30.154844223059275</c:v>
                </c:pt>
                <c:pt idx="78">
                  <c:v>35.318189582475313</c:v>
                </c:pt>
                <c:pt idx="79">
                  <c:v>49.241714616232784</c:v>
                </c:pt>
                <c:pt idx="80">
                  <c:v>45.252607512614375</c:v>
                </c:pt>
                <c:pt idx="81">
                  <c:v>53.395442827230923</c:v>
                </c:pt>
                <c:pt idx="82">
                  <c:v>52.18691136739492</c:v>
                </c:pt>
                <c:pt idx="83">
                  <c:v>41.144404773392168</c:v>
                </c:pt>
                <c:pt idx="84">
                  <c:v>47.055532964976827</c:v>
                </c:pt>
                <c:pt idx="85">
                  <c:v>49.928329497289553</c:v>
                </c:pt>
                <c:pt idx="86">
                  <c:v>42.590489872538953</c:v>
                </c:pt>
                <c:pt idx="87">
                  <c:v>29.676234713713832</c:v>
                </c:pt>
                <c:pt idx="88">
                  <c:v>6.7159320332106205</c:v>
                </c:pt>
                <c:pt idx="89">
                  <c:v>18.59634077130535</c:v>
                </c:pt>
                <c:pt idx="90">
                  <c:v>35.148522723317086</c:v>
                </c:pt>
                <c:pt idx="91">
                  <c:v>18.556092782764161</c:v>
                </c:pt>
                <c:pt idx="92">
                  <c:v>34.556875372437148</c:v>
                </c:pt>
                <c:pt idx="93">
                  <c:v>47.890605408417088</c:v>
                </c:pt>
                <c:pt idx="94">
                  <c:v>56.666183193970497</c:v>
                </c:pt>
                <c:pt idx="95">
                  <c:v>13.014557463406843</c:v>
                </c:pt>
                <c:pt idx="96">
                  <c:v>47.411939477901832</c:v>
                </c:pt>
                <c:pt idx="97">
                  <c:v>41.401135944814655</c:v>
                </c:pt>
                <c:pt idx="98">
                  <c:v>33.364773290140569</c:v>
                </c:pt>
                <c:pt idx="99">
                  <c:v>60.582831847269297</c:v>
                </c:pt>
                <c:pt idx="100">
                  <c:v>48.312543973420233</c:v>
                </c:pt>
                <c:pt idx="101">
                  <c:v>42.368756640469293</c:v>
                </c:pt>
                <c:pt idx="102">
                  <c:v>6.5589263000633942</c:v>
                </c:pt>
                <c:pt idx="103">
                  <c:v>47.426700713577866</c:v>
                </c:pt>
                <c:pt idx="104">
                  <c:v>48.534601340357831</c:v>
                </c:pt>
                <c:pt idx="105">
                  <c:v>39.70121918454128</c:v>
                </c:pt>
                <c:pt idx="106">
                  <c:v>58.506000012119351</c:v>
                </c:pt>
                <c:pt idx="107">
                  <c:v>38.091648034359238</c:v>
                </c:pt>
                <c:pt idx="108">
                  <c:v>10.199605216231667</c:v>
                </c:pt>
                <c:pt idx="109">
                  <c:v>10.505465312781634</c:v>
                </c:pt>
                <c:pt idx="110">
                  <c:v>9.6683702312459534</c:v>
                </c:pt>
                <c:pt idx="111">
                  <c:v>29.870044654568773</c:v>
                </c:pt>
                <c:pt idx="112">
                  <c:v>10.218887252724357</c:v>
                </c:pt>
                <c:pt idx="113">
                  <c:v>29.003147367388284</c:v>
                </c:pt>
                <c:pt idx="114">
                  <c:v>45.782012586504571</c:v>
                </c:pt>
                <c:pt idx="115">
                  <c:v>58.799579012279175</c:v>
                </c:pt>
                <c:pt idx="116">
                  <c:v>45.165843898017897</c:v>
                </c:pt>
                <c:pt idx="117">
                  <c:v>25.325360987982059</c:v>
                </c:pt>
                <c:pt idx="118">
                  <c:v>45.422254956421824</c:v>
                </c:pt>
                <c:pt idx="119">
                  <c:v>43.193445665519917</c:v>
                </c:pt>
                <c:pt idx="120">
                  <c:v>49.247329766400526</c:v>
                </c:pt>
                <c:pt idx="121">
                  <c:v>27.937536638473677</c:v>
                </c:pt>
                <c:pt idx="122">
                  <c:v>34.344882997067508</c:v>
                </c:pt>
                <c:pt idx="123">
                  <c:v>17.37053527387139</c:v>
                </c:pt>
                <c:pt idx="124">
                  <c:v>37.689410784913839</c:v>
                </c:pt>
                <c:pt idx="125">
                  <c:v>43.160906964841736</c:v>
                </c:pt>
                <c:pt idx="126">
                  <c:v>48.107940183824098</c:v>
                </c:pt>
                <c:pt idx="127">
                  <c:v>59.721759123807871</c:v>
                </c:pt>
                <c:pt idx="128">
                  <c:v>57.284230576804276</c:v>
                </c:pt>
                <c:pt idx="129">
                  <c:v>58.509584701555575</c:v>
                </c:pt>
                <c:pt idx="130">
                  <c:v>61.912018368777417</c:v>
                </c:pt>
                <c:pt idx="131">
                  <c:v>46.954038073013493</c:v>
                </c:pt>
                <c:pt idx="132">
                  <c:v>40.548510461766831</c:v>
                </c:pt>
                <c:pt idx="133">
                  <c:v>56.398551343490134</c:v>
                </c:pt>
                <c:pt idx="134">
                  <c:v>58.387341752921579</c:v>
                </c:pt>
                <c:pt idx="135">
                  <c:v>54.415842149923833</c:v>
                </c:pt>
                <c:pt idx="136">
                  <c:v>59.551773211807408</c:v>
                </c:pt>
                <c:pt idx="137">
                  <c:v>57.080786713570568</c:v>
                </c:pt>
                <c:pt idx="138">
                  <c:v>55.387054142272113</c:v>
                </c:pt>
                <c:pt idx="139">
                  <c:v>53.70802294913296</c:v>
                </c:pt>
                <c:pt idx="140">
                  <c:v>58.829978065696231</c:v>
                </c:pt>
                <c:pt idx="141">
                  <c:v>44.753761466206001</c:v>
                </c:pt>
                <c:pt idx="142">
                  <c:v>18.615207796629207</c:v>
                </c:pt>
                <c:pt idx="143">
                  <c:v>16.179820430333173</c:v>
                </c:pt>
                <c:pt idx="144">
                  <c:v>44.721634917325446</c:v>
                </c:pt>
                <c:pt idx="145">
                  <c:v>32.875492814981982</c:v>
                </c:pt>
                <c:pt idx="146">
                  <c:v>48.98190100543458</c:v>
                </c:pt>
                <c:pt idx="147">
                  <c:v>57.801951615334175</c:v>
                </c:pt>
                <c:pt idx="148">
                  <c:v>63.505407005756894</c:v>
                </c:pt>
                <c:pt idx="149">
                  <c:v>49.465430324717083</c:v>
                </c:pt>
                <c:pt idx="150">
                  <c:v>59.613692590822119</c:v>
                </c:pt>
                <c:pt idx="151">
                  <c:v>61.829440016910972</c:v>
                </c:pt>
                <c:pt idx="152">
                  <c:v>42.872325784180205</c:v>
                </c:pt>
                <c:pt idx="153">
                  <c:v>60.280374987605988</c:v>
                </c:pt>
                <c:pt idx="154">
                  <c:v>27.329964590120682</c:v>
                </c:pt>
                <c:pt idx="155">
                  <c:v>31.575916768052213</c:v>
                </c:pt>
                <c:pt idx="156">
                  <c:v>53.202791654941215</c:v>
                </c:pt>
                <c:pt idx="157">
                  <c:v>29.544282423991355</c:v>
                </c:pt>
                <c:pt idx="158">
                  <c:v>22.828738840773589</c:v>
                </c:pt>
                <c:pt idx="159">
                  <c:v>54.024962270193015</c:v>
                </c:pt>
                <c:pt idx="160">
                  <c:v>62.137218569492155</c:v>
                </c:pt>
                <c:pt idx="161">
                  <c:v>60.467584204293566</c:v>
                </c:pt>
                <c:pt idx="162">
                  <c:v>49.997571651671841</c:v>
                </c:pt>
                <c:pt idx="163">
                  <c:v>54.974264873254207</c:v>
                </c:pt>
                <c:pt idx="164">
                  <c:v>54.081745068548642</c:v>
                </c:pt>
                <c:pt idx="165">
                  <c:v>57.678223739034088</c:v>
                </c:pt>
                <c:pt idx="166">
                  <c:v>55.64007117375656</c:v>
                </c:pt>
                <c:pt idx="167">
                  <c:v>56.71182237693403</c:v>
                </c:pt>
                <c:pt idx="168">
                  <c:v>59.92441332024179</c:v>
                </c:pt>
                <c:pt idx="169">
                  <c:v>60.990515225010704</c:v>
                </c:pt>
                <c:pt idx="170">
                  <c:v>32.038602531496075</c:v>
                </c:pt>
                <c:pt idx="171">
                  <c:v>21.197086933281561</c:v>
                </c:pt>
                <c:pt idx="172">
                  <c:v>44.755537866754239</c:v>
                </c:pt>
                <c:pt idx="173">
                  <c:v>46.563000979141584</c:v>
                </c:pt>
                <c:pt idx="174">
                  <c:v>43.577195024990601</c:v>
                </c:pt>
                <c:pt idx="175">
                  <c:v>43.593190439505115</c:v>
                </c:pt>
                <c:pt idx="176">
                  <c:v>11.453837065429564</c:v>
                </c:pt>
                <c:pt idx="177">
                  <c:v>17.113793801690058</c:v>
                </c:pt>
                <c:pt idx="178">
                  <c:v>60.390455526303775</c:v>
                </c:pt>
                <c:pt idx="179">
                  <c:v>61.533873329482432</c:v>
                </c:pt>
                <c:pt idx="180">
                  <c:v>13.575625212834382</c:v>
                </c:pt>
                <c:pt idx="181">
                  <c:v>43.281846732291108</c:v>
                </c:pt>
                <c:pt idx="182">
                  <c:v>60.73236861929626</c:v>
                </c:pt>
                <c:pt idx="183">
                  <c:v>55.166547577749505</c:v>
                </c:pt>
                <c:pt idx="184">
                  <c:v>46.632660773039085</c:v>
                </c:pt>
                <c:pt idx="185">
                  <c:v>59.857915461970457</c:v>
                </c:pt>
                <c:pt idx="186">
                  <c:v>42.603784087978852</c:v>
                </c:pt>
                <c:pt idx="187">
                  <c:v>59.521491557725845</c:v>
                </c:pt>
                <c:pt idx="188">
                  <c:v>60.783904768053475</c:v>
                </c:pt>
                <c:pt idx="189">
                  <c:v>60.405360764254944</c:v>
                </c:pt>
                <c:pt idx="190">
                  <c:v>59.978048580009023</c:v>
                </c:pt>
                <c:pt idx="191">
                  <c:v>59.049880258417886</c:v>
                </c:pt>
                <c:pt idx="192">
                  <c:v>57.793763813977158</c:v>
                </c:pt>
                <c:pt idx="193">
                  <c:v>57.86436059666881</c:v>
                </c:pt>
                <c:pt idx="194">
                  <c:v>57.598966124588138</c:v>
                </c:pt>
                <c:pt idx="195">
                  <c:v>54.877614707811603</c:v>
                </c:pt>
                <c:pt idx="196">
                  <c:v>56.172856162395995</c:v>
                </c:pt>
                <c:pt idx="197">
                  <c:v>56.801386139663592</c:v>
                </c:pt>
                <c:pt idx="198">
                  <c:v>59.09626552839137</c:v>
                </c:pt>
                <c:pt idx="199">
                  <c:v>35.626730167988867</c:v>
                </c:pt>
                <c:pt idx="200">
                  <c:v>43.291965183518776</c:v>
                </c:pt>
                <c:pt idx="201">
                  <c:v>56.512013586305258</c:v>
                </c:pt>
                <c:pt idx="202">
                  <c:v>47.476315764167232</c:v>
                </c:pt>
                <c:pt idx="203">
                  <c:v>41.876212517490522</c:v>
                </c:pt>
                <c:pt idx="204">
                  <c:v>56.928661050654043</c:v>
                </c:pt>
                <c:pt idx="205">
                  <c:v>30.433453560583033</c:v>
                </c:pt>
                <c:pt idx="206">
                  <c:v>47.959023703367578</c:v>
                </c:pt>
                <c:pt idx="207">
                  <c:v>59.086092502375415</c:v>
                </c:pt>
                <c:pt idx="208">
                  <c:v>47.100164993638501</c:v>
                </c:pt>
                <c:pt idx="209">
                  <c:v>27.737015382816715</c:v>
                </c:pt>
                <c:pt idx="210">
                  <c:v>46.066497028255291</c:v>
                </c:pt>
                <c:pt idx="211">
                  <c:v>57.70083398193163</c:v>
                </c:pt>
                <c:pt idx="212">
                  <c:v>57.353171023524027</c:v>
                </c:pt>
                <c:pt idx="213">
                  <c:v>57.607430014049775</c:v>
                </c:pt>
                <c:pt idx="214">
                  <c:v>57.732742346129783</c:v>
                </c:pt>
                <c:pt idx="215">
                  <c:v>54.893122368400128</c:v>
                </c:pt>
                <c:pt idx="216">
                  <c:v>44.308560446797472</c:v>
                </c:pt>
                <c:pt idx="217">
                  <c:v>52.593144206687228</c:v>
                </c:pt>
                <c:pt idx="218">
                  <c:v>55.687322865809392</c:v>
                </c:pt>
                <c:pt idx="219">
                  <c:v>56.714919727372141</c:v>
                </c:pt>
                <c:pt idx="220">
                  <c:v>54.872249146230203</c:v>
                </c:pt>
                <c:pt idx="221">
                  <c:v>53.365205787332016</c:v>
                </c:pt>
                <c:pt idx="222">
                  <c:v>51.072039663378177</c:v>
                </c:pt>
                <c:pt idx="223">
                  <c:v>51.536068308654343</c:v>
                </c:pt>
                <c:pt idx="224">
                  <c:v>38.707275451828949</c:v>
                </c:pt>
                <c:pt idx="225">
                  <c:v>38.573568169434537</c:v>
                </c:pt>
                <c:pt idx="226">
                  <c:v>36.024892886253966</c:v>
                </c:pt>
                <c:pt idx="227">
                  <c:v>41.438010595858934</c:v>
                </c:pt>
                <c:pt idx="228">
                  <c:v>25.863436175195627</c:v>
                </c:pt>
                <c:pt idx="229">
                  <c:v>34.686552213085292</c:v>
                </c:pt>
                <c:pt idx="230">
                  <c:v>36.234306938371944</c:v>
                </c:pt>
                <c:pt idx="231">
                  <c:v>52.962065320582475</c:v>
                </c:pt>
                <c:pt idx="232">
                  <c:v>41.926642406906531</c:v>
                </c:pt>
                <c:pt idx="233">
                  <c:v>29.423395244241409</c:v>
                </c:pt>
                <c:pt idx="234">
                  <c:v>45.842333989442132</c:v>
                </c:pt>
                <c:pt idx="235">
                  <c:v>53.652701401553543</c:v>
                </c:pt>
                <c:pt idx="236">
                  <c:v>30.164734470956461</c:v>
                </c:pt>
                <c:pt idx="237">
                  <c:v>38.581319670796695</c:v>
                </c:pt>
                <c:pt idx="238">
                  <c:v>48.878387229783151</c:v>
                </c:pt>
                <c:pt idx="239">
                  <c:v>52.285186031280467</c:v>
                </c:pt>
                <c:pt idx="240">
                  <c:v>35.036901863154313</c:v>
                </c:pt>
                <c:pt idx="241">
                  <c:v>51.619286910358419</c:v>
                </c:pt>
                <c:pt idx="242">
                  <c:v>21.692277546958707</c:v>
                </c:pt>
                <c:pt idx="243">
                  <c:v>46.151627874383863</c:v>
                </c:pt>
                <c:pt idx="244">
                  <c:v>40.827547700778155</c:v>
                </c:pt>
                <c:pt idx="245">
                  <c:v>34.280467047672843</c:v>
                </c:pt>
                <c:pt idx="246">
                  <c:v>52.166009389945366</c:v>
                </c:pt>
                <c:pt idx="247">
                  <c:v>44.662659862896966</c:v>
                </c:pt>
                <c:pt idx="248">
                  <c:v>48.584405377269825</c:v>
                </c:pt>
                <c:pt idx="249">
                  <c:v>37.813958363008865</c:v>
                </c:pt>
                <c:pt idx="250">
                  <c:v>43.136494460590981</c:v>
                </c:pt>
                <c:pt idx="251">
                  <c:v>18.152381083425087</c:v>
                </c:pt>
                <c:pt idx="252">
                  <c:v>47.822346507728497</c:v>
                </c:pt>
                <c:pt idx="253">
                  <c:v>50.258801282332186</c:v>
                </c:pt>
                <c:pt idx="254">
                  <c:v>38.669811265825977</c:v>
                </c:pt>
                <c:pt idx="255">
                  <c:v>12.16892055112052</c:v>
                </c:pt>
                <c:pt idx="256">
                  <c:v>40.963458515871125</c:v>
                </c:pt>
                <c:pt idx="257">
                  <c:v>45.816956204191527</c:v>
                </c:pt>
                <c:pt idx="258">
                  <c:v>27.19563536589575</c:v>
                </c:pt>
                <c:pt idx="259">
                  <c:v>50.210233541506341</c:v>
                </c:pt>
                <c:pt idx="260">
                  <c:v>49.42043976058256</c:v>
                </c:pt>
                <c:pt idx="261">
                  <c:v>47.650088972377581</c:v>
                </c:pt>
                <c:pt idx="262">
                  <c:v>47.652641378749614</c:v>
                </c:pt>
                <c:pt idx="263">
                  <c:v>49.24639747322302</c:v>
                </c:pt>
                <c:pt idx="264">
                  <c:v>47.958368246020818</c:v>
                </c:pt>
                <c:pt idx="265">
                  <c:v>36.033590016421712</c:v>
                </c:pt>
                <c:pt idx="266">
                  <c:v>24.14135994631458</c:v>
                </c:pt>
                <c:pt idx="267">
                  <c:v>36.599123491462763</c:v>
                </c:pt>
                <c:pt idx="268">
                  <c:v>38.103300313128585</c:v>
                </c:pt>
                <c:pt idx="269">
                  <c:v>16.277836470053273</c:v>
                </c:pt>
                <c:pt idx="270">
                  <c:v>16.355336433533669</c:v>
                </c:pt>
                <c:pt idx="271">
                  <c:v>23.208718957938114</c:v>
                </c:pt>
                <c:pt idx="272">
                  <c:v>32.100806509358087</c:v>
                </c:pt>
                <c:pt idx="273">
                  <c:v>37.63885247295098</c:v>
                </c:pt>
                <c:pt idx="274">
                  <c:v>42.630714957104409</c:v>
                </c:pt>
                <c:pt idx="275">
                  <c:v>37.910091301325672</c:v>
                </c:pt>
                <c:pt idx="276">
                  <c:v>45.267692249825423</c:v>
                </c:pt>
                <c:pt idx="277">
                  <c:v>44.920703887087058</c:v>
                </c:pt>
                <c:pt idx="278">
                  <c:v>15.916845196242539</c:v>
                </c:pt>
                <c:pt idx="279">
                  <c:v>33.804510687561994</c:v>
                </c:pt>
                <c:pt idx="280">
                  <c:v>16.2471167648693</c:v>
                </c:pt>
                <c:pt idx="281">
                  <c:v>42.727093613485302</c:v>
                </c:pt>
                <c:pt idx="282">
                  <c:v>37.259576820741849</c:v>
                </c:pt>
                <c:pt idx="283">
                  <c:v>26.757069935910121</c:v>
                </c:pt>
                <c:pt idx="284">
                  <c:v>25.461328931739171</c:v>
                </c:pt>
                <c:pt idx="285">
                  <c:v>26.193623723461844</c:v>
                </c:pt>
                <c:pt idx="286">
                  <c:v>16.264513425077194</c:v>
                </c:pt>
                <c:pt idx="287">
                  <c:v>41.80115775263846</c:v>
                </c:pt>
                <c:pt idx="288">
                  <c:v>37.313067178494279</c:v>
                </c:pt>
                <c:pt idx="289">
                  <c:v>20.35290469821059</c:v>
                </c:pt>
                <c:pt idx="290">
                  <c:v>39.005969343907886</c:v>
                </c:pt>
                <c:pt idx="291">
                  <c:v>17.275257264418787</c:v>
                </c:pt>
                <c:pt idx="292">
                  <c:v>13.39768938119615</c:v>
                </c:pt>
                <c:pt idx="293">
                  <c:v>18.252662715169095</c:v>
                </c:pt>
                <c:pt idx="294">
                  <c:v>38.476732251780895</c:v>
                </c:pt>
                <c:pt idx="295">
                  <c:v>22.395281308264863</c:v>
                </c:pt>
                <c:pt idx="296">
                  <c:v>32.316914752027543</c:v>
                </c:pt>
                <c:pt idx="297">
                  <c:v>25.029526217718796</c:v>
                </c:pt>
                <c:pt idx="298">
                  <c:v>17.134137914469644</c:v>
                </c:pt>
                <c:pt idx="299">
                  <c:v>17.343054358347938</c:v>
                </c:pt>
                <c:pt idx="300">
                  <c:v>18.989796962458446</c:v>
                </c:pt>
                <c:pt idx="301">
                  <c:v>30.826089408528631</c:v>
                </c:pt>
                <c:pt idx="302">
                  <c:v>27.432858911848296</c:v>
                </c:pt>
                <c:pt idx="303">
                  <c:v>26.684848698871605</c:v>
                </c:pt>
                <c:pt idx="304">
                  <c:v>28.742859629710004</c:v>
                </c:pt>
                <c:pt idx="305">
                  <c:v>32.027938399327901</c:v>
                </c:pt>
                <c:pt idx="306">
                  <c:v>9.8468928868167485</c:v>
                </c:pt>
                <c:pt idx="307">
                  <c:v>13.788460097124771</c:v>
                </c:pt>
                <c:pt idx="308">
                  <c:v>34.083177611383562</c:v>
                </c:pt>
                <c:pt idx="309">
                  <c:v>35.292571273233243</c:v>
                </c:pt>
                <c:pt idx="310">
                  <c:v>35.409981593380152</c:v>
                </c:pt>
                <c:pt idx="311">
                  <c:v>22.673510622307727</c:v>
                </c:pt>
                <c:pt idx="312">
                  <c:v>13.319082266191231</c:v>
                </c:pt>
                <c:pt idx="313">
                  <c:v>23.492007073605752</c:v>
                </c:pt>
                <c:pt idx="314">
                  <c:v>32.162208991726168</c:v>
                </c:pt>
                <c:pt idx="315">
                  <c:v>31.898010175653884</c:v>
                </c:pt>
                <c:pt idx="316">
                  <c:v>32.07432066777686</c:v>
                </c:pt>
                <c:pt idx="317">
                  <c:v>13.37514395194826</c:v>
                </c:pt>
                <c:pt idx="318">
                  <c:v>14.659703142658312</c:v>
                </c:pt>
                <c:pt idx="319">
                  <c:v>31.396638682128184</c:v>
                </c:pt>
                <c:pt idx="320">
                  <c:v>13.557313150721729</c:v>
                </c:pt>
                <c:pt idx="321">
                  <c:v>15.621981022489312</c:v>
                </c:pt>
                <c:pt idx="322">
                  <c:v>6.4984591052924063</c:v>
                </c:pt>
                <c:pt idx="323">
                  <c:v>21.837738548441134</c:v>
                </c:pt>
                <c:pt idx="324">
                  <c:v>3.4739909304491241</c:v>
                </c:pt>
                <c:pt idx="325">
                  <c:v>10.64528582092457</c:v>
                </c:pt>
                <c:pt idx="326">
                  <c:v>14.610348867101946</c:v>
                </c:pt>
                <c:pt idx="327">
                  <c:v>15.310302416836208</c:v>
                </c:pt>
                <c:pt idx="328">
                  <c:v>4.4614871836484928</c:v>
                </c:pt>
                <c:pt idx="329">
                  <c:v>15.896248654814467</c:v>
                </c:pt>
                <c:pt idx="330">
                  <c:v>18.001759105463904</c:v>
                </c:pt>
                <c:pt idx="331">
                  <c:v>10.071980807022868</c:v>
                </c:pt>
                <c:pt idx="332">
                  <c:v>11.21902838752905</c:v>
                </c:pt>
                <c:pt idx="333">
                  <c:v>4.9871911104520326</c:v>
                </c:pt>
                <c:pt idx="334">
                  <c:v>3.7011085328847382</c:v>
                </c:pt>
                <c:pt idx="335">
                  <c:v>6.4574477844534002</c:v>
                </c:pt>
                <c:pt idx="336">
                  <c:v>11.988678106388891</c:v>
                </c:pt>
                <c:pt idx="337">
                  <c:v>23.797511851297955</c:v>
                </c:pt>
                <c:pt idx="338">
                  <c:v>28.332410903227842</c:v>
                </c:pt>
                <c:pt idx="339">
                  <c:v>17.758110921463388</c:v>
                </c:pt>
                <c:pt idx="340">
                  <c:v>20.865678044403491</c:v>
                </c:pt>
                <c:pt idx="341">
                  <c:v>5.0032698740853538</c:v>
                </c:pt>
                <c:pt idx="342">
                  <c:v>10.143572329853523</c:v>
                </c:pt>
                <c:pt idx="343">
                  <c:v>17.123150873930253</c:v>
                </c:pt>
                <c:pt idx="344">
                  <c:v>16.309575430740647</c:v>
                </c:pt>
                <c:pt idx="345">
                  <c:v>7.4397667989689369</c:v>
                </c:pt>
                <c:pt idx="346">
                  <c:v>6.9688750256317045</c:v>
                </c:pt>
                <c:pt idx="347">
                  <c:v>16.55471967168377</c:v>
                </c:pt>
                <c:pt idx="348">
                  <c:v>7.7861262679995642</c:v>
                </c:pt>
                <c:pt idx="349">
                  <c:v>5.5820374961065982</c:v>
                </c:pt>
                <c:pt idx="350">
                  <c:v>3.1118088368665684</c:v>
                </c:pt>
                <c:pt idx="351">
                  <c:v>21.448811863153342</c:v>
                </c:pt>
                <c:pt idx="352">
                  <c:v>19.119935035018688</c:v>
                </c:pt>
                <c:pt idx="353">
                  <c:v>4.2138071106502011</c:v>
                </c:pt>
                <c:pt idx="354">
                  <c:v>21.913310395678707</c:v>
                </c:pt>
                <c:pt idx="355">
                  <c:v>21.414636830825607</c:v>
                </c:pt>
                <c:pt idx="356">
                  <c:v>21.567255759115159</c:v>
                </c:pt>
                <c:pt idx="357">
                  <c:v>22.944010562809719</c:v>
                </c:pt>
                <c:pt idx="358">
                  <c:v>12.696613005970089</c:v>
                </c:pt>
                <c:pt idx="359">
                  <c:v>21.950785142907936</c:v>
                </c:pt>
                <c:pt idx="360">
                  <c:v>7.2886652454545304</c:v>
                </c:pt>
                <c:pt idx="361">
                  <c:v>23.956772054277653</c:v>
                </c:pt>
                <c:pt idx="362">
                  <c:v>11.997343513776034</c:v>
                </c:pt>
                <c:pt idx="363">
                  <c:v>16.471881520601041</c:v>
                </c:pt>
                <c:pt idx="364">
                  <c:v>14.137674423729012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28.030799999999999</c:v>
                </c:pt>
                <c:pt idx="21">
                  <c:v>32.305</c:v>
                </c:pt>
                <c:pt idx="35">
                  <c:v>37.274999999999999</c:v>
                </c:pt>
                <c:pt idx="49">
                  <c:v>42.244999999999997</c:v>
                </c:pt>
                <c:pt idx="63">
                  <c:v>47.115600000000001</c:v>
                </c:pt>
                <c:pt idx="77">
                  <c:v>51.886800000000008</c:v>
                </c:pt>
                <c:pt idx="91">
                  <c:v>56.061599999999999</c:v>
                </c:pt>
                <c:pt idx="105">
                  <c:v>58.844799999999999</c:v>
                </c:pt>
                <c:pt idx="119">
                  <c:v>60.634</c:v>
                </c:pt>
                <c:pt idx="133">
                  <c:v>61.628</c:v>
                </c:pt>
                <c:pt idx="147">
                  <c:v>62.025599999999997</c:v>
                </c:pt>
                <c:pt idx="161">
                  <c:v>61.826800000000006</c:v>
                </c:pt>
                <c:pt idx="175">
                  <c:v>61.031600000000005</c:v>
                </c:pt>
                <c:pt idx="189">
                  <c:v>59.64</c:v>
                </c:pt>
                <c:pt idx="203">
                  <c:v>57.950199999999995</c:v>
                </c:pt>
                <c:pt idx="217">
                  <c:v>56.061599999999999</c:v>
                </c:pt>
                <c:pt idx="231">
                  <c:v>54.073599999999999</c:v>
                </c:pt>
                <c:pt idx="245">
                  <c:v>51.688000000000002</c:v>
                </c:pt>
                <c:pt idx="259">
                  <c:v>48.6066</c:v>
                </c:pt>
                <c:pt idx="273">
                  <c:v>44.928800000000003</c:v>
                </c:pt>
                <c:pt idx="287">
                  <c:v>40.853400000000001</c:v>
                </c:pt>
                <c:pt idx="301">
                  <c:v>36.777999999999999</c:v>
                </c:pt>
                <c:pt idx="315">
                  <c:v>33.000799999999998</c:v>
                </c:pt>
                <c:pt idx="329">
                  <c:v>29.4224</c:v>
                </c:pt>
                <c:pt idx="343">
                  <c:v>26.4404</c:v>
                </c:pt>
                <c:pt idx="357">
                  <c:v>25.5458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4630984"/>
        <c:axId val="384631376"/>
      </c:lineChart>
      <c:dateAx>
        <c:axId val="384630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4631376"/>
        <c:crosses val="autoZero"/>
        <c:auto val="1"/>
        <c:lblOffset val="100"/>
        <c:baseTimeUnit val="days"/>
        <c:majorUnit val="1"/>
        <c:majorTimeUnit val="months"/>
      </c:dateAx>
      <c:valAx>
        <c:axId val="38463137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463098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3.4482482219520993E-2</c:v>
                </c:pt>
                <c:pt idx="1">
                  <c:v>3.5055938961864208E-2</c:v>
                </c:pt>
                <c:pt idx="2">
                  <c:v>3.5573607134199214E-2</c:v>
                </c:pt>
                <c:pt idx="3">
                  <c:v>3.6146415816898148E-2</c:v>
                </c:pt>
                <c:pt idx="4">
                  <c:v>3.6700422870597382E-2</c:v>
                </c:pt>
                <c:pt idx="5">
                  <c:v>3.727256229554643E-2</c:v>
                </c:pt>
                <c:pt idx="6">
                  <c:v>3.7825922058927985E-2</c:v>
                </c:pt>
                <c:pt idx="7">
                  <c:v>3.8397393008073988E-2</c:v>
                </c:pt>
                <c:pt idx="8">
                  <c:v>3.8968524539381599E-2</c:v>
                </c:pt>
                <c:pt idx="9">
                  <c:v>3.9520909491794654E-2</c:v>
                </c:pt>
                <c:pt idx="10">
                  <c:v>4.0091373724901236E-2</c:v>
                </c:pt>
                <c:pt idx="11">
                  <c:v>4.0643113282226029E-2</c:v>
                </c:pt>
                <c:pt idx="12">
                  <c:v>4.1231285932615047E-2</c:v>
                </c:pt>
                <c:pt idx="13">
                  <c:v>4.1800734309578313E-2</c:v>
                </c:pt>
                <c:pt idx="14">
                  <c:v>4.231478406917677E-2</c:v>
                </c:pt>
                <c:pt idx="15">
                  <c:v>4.2883588916322823E-2</c:v>
                </c:pt>
                <c:pt idx="16">
                  <c:v>4.3433723554667347E-2</c:v>
                </c:pt>
                <c:pt idx="17">
                  <c:v>4.4001863822061615E-2</c:v>
                </c:pt>
                <c:pt idx="18">
                  <c:v>4.4551355694537942E-2</c:v>
                </c:pt>
                <c:pt idx="19">
                  <c:v>4.5118832158661748E-2</c:v>
                </c:pt>
                <c:pt idx="20">
                  <c:v>4.568597157742027E-2</c:v>
                </c:pt>
                <c:pt idx="21">
                  <c:v>4.6234495452691426E-2</c:v>
                </c:pt>
                <c:pt idx="22">
                  <c:v>4.6800972237550198E-2</c:v>
                </c:pt>
                <c:pt idx="23">
                  <c:v>4.7348855228935394E-2</c:v>
                </c:pt>
                <c:pt idx="24">
                  <c:v>4.791467015410189E-2</c:v>
                </c:pt>
                <c:pt idx="25">
                  <c:v>4.8480149020752927E-2</c:v>
                </c:pt>
                <c:pt idx="26">
                  <c:v>4.8990615442678798E-2</c:v>
                </c:pt>
                <c:pt idx="27">
                  <c:v>4.9555455265429815E-2</c:v>
                </c:pt>
                <c:pt idx="28">
                  <c:v>5.0101755025656391E-2</c:v>
                </c:pt>
                <c:pt idx="29">
                  <c:v>5.0665934901307774E-2</c:v>
                </c:pt>
                <c:pt idx="30">
                  <c:v>5.1211596376258051E-2</c:v>
                </c:pt>
                <c:pt idx="31">
                  <c:v>5.1775117075878119E-2</c:v>
                </c:pt>
                <c:pt idx="32">
                  <c:v>5.2338303079608517E-2</c:v>
                </c:pt>
                <c:pt idx="33">
                  <c:v>5.2883003305067899E-2</c:v>
                </c:pt>
                <c:pt idx="34">
                  <c:v>5.3445531293986326E-2</c:v>
                </c:pt>
                <c:pt idx="35">
                  <c:v>5.3989595103032695E-2</c:v>
                </c:pt>
                <c:pt idx="36">
                  <c:v>5.4551465845949942E-2</c:v>
                </c:pt>
                <c:pt idx="37">
                  <c:v>5.511300287294818E-2</c:v>
                </c:pt>
                <c:pt idx="38">
                  <c:v>5.5619910935929107E-2</c:v>
                </c:pt>
                <c:pt idx="39">
                  <c:v>5.6180813373673977E-2</c:v>
                </c:pt>
                <c:pt idx="40">
                  <c:v>5.6723304987948309E-2</c:v>
                </c:pt>
                <c:pt idx="41">
                  <c:v>5.7283552078952304E-2</c:v>
                </c:pt>
                <c:pt idx="42">
                  <c:v>5.7825409857308885E-2</c:v>
                </c:pt>
                <c:pt idx="43">
                  <c:v>5.8385002367265404E-2</c:v>
                </c:pt>
                <c:pt idx="44">
                  <c:v>5.8944262514430079E-2</c:v>
                </c:pt>
                <c:pt idx="45">
                  <c:v>5.948516574397289E-2</c:v>
                </c:pt>
                <c:pt idx="46">
                  <c:v>6.0043772463214795E-2</c:v>
                </c:pt>
                <c:pt idx="47">
                  <c:v>6.0584043712675451E-2</c:v>
                </c:pt>
                <c:pt idx="48">
                  <c:v>6.1141997767446221E-2</c:v>
                </c:pt>
                <c:pt idx="49">
                  <c:v>6.1699620432564495E-2</c:v>
                </c:pt>
                <c:pt idx="50">
                  <c:v>6.2202994941206291E-2</c:v>
                </c:pt>
                <c:pt idx="51">
                  <c:v>6.2759987440665466E-2</c:v>
                </c:pt>
                <c:pt idx="52">
                  <c:v>6.3298697454808317E-2</c:v>
                </c:pt>
                <c:pt idx="53">
                  <c:v>6.3855039175817252E-2</c:v>
                </c:pt>
                <c:pt idx="54">
                  <c:v>6.4393119772385266E-2</c:v>
                </c:pt>
                <c:pt idx="55">
                  <c:v>6.494881147529985E-2</c:v>
                </c:pt>
                <c:pt idx="56">
                  <c:v>6.550417313225676E-2</c:v>
                </c:pt>
                <c:pt idx="57">
                  <c:v>6.6041305833979158E-2</c:v>
                </c:pt>
                <c:pt idx="58">
                  <c:v>6.6596018617928299E-2</c:v>
                </c:pt>
                <c:pt idx="59">
                  <c:v>6.7132523744974915E-2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3.0594902650015687E-2</c:v>
                </c:pt>
                <c:pt idx="1">
                  <c:v>3.2957338923580083E-2</c:v>
                </c:pt>
                <c:pt idx="2">
                  <c:v>3.5034319691393902E-2</c:v>
                </c:pt>
                <c:pt idx="3">
                  <c:v>3.7400725798541562E-2</c:v>
                </c:pt>
                <c:pt idx="4">
                  <c:v>4.0064598355919002E-2</c:v>
                </c:pt>
                <c:pt idx="5">
                  <c:v>4.3016243758813445E-2</c:v>
                </c:pt>
                <c:pt idx="6">
                  <c:v>4.5382818020329944E-2</c:v>
                </c:pt>
                <c:pt idx="7">
                  <c:v>4.7386548099999162E-2</c:v>
                </c:pt>
                <c:pt idx="8">
                  <c:v>4.9155999505255094E-2</c:v>
                </c:pt>
                <c:pt idx="9">
                  <c:v>5.0395161197419096E-2</c:v>
                </c:pt>
                <c:pt idx="10">
                  <c:v>5.1101242294782127E-2</c:v>
                </c:pt>
                <c:pt idx="11">
                  <c:v>5.2128598602789893E-2</c:v>
                </c:pt>
                <c:pt idx="12">
                  <c:v>5.3680834000662564E-2</c:v>
                </c:pt>
                <c:pt idx="13">
                  <c:v>5.5218183144911163E-2</c:v>
                </c:pt>
                <c:pt idx="14">
                  <c:v>5.6585023855959239E-2</c:v>
                </c:pt>
                <c:pt idx="15">
                  <c:v>5.827107522563757E-2</c:v>
                </c:pt>
                <c:pt idx="16">
                  <c:v>8.7378373319264568E-3</c:v>
                </c:pt>
                <c:pt idx="17">
                  <c:v>1.2193843738397426E-2</c:v>
                </c:pt>
                <c:pt idx="18">
                  <c:v>1.5380817618081702E-2</c:v>
                </c:pt>
                <c:pt idx="19">
                  <c:v>1.8457293805814099E-2</c:v>
                </c:pt>
                <c:pt idx="20">
                  <c:v>2.1353097305197598E-2</c:v>
                </c:pt>
                <c:pt idx="21">
                  <c:v>2.3849203783054818E-2</c:v>
                </c:pt>
                <c:pt idx="22">
                  <c:v>2.6027852383934947E-2</c:v>
                </c:pt>
                <c:pt idx="23">
                  <c:v>2.819602000563811E-2</c:v>
                </c:pt>
                <c:pt idx="24">
                  <c:v>3.0594902650015687E-2</c:v>
                </c:pt>
                <c:pt idx="25">
                  <c:v>3.2957338923580083E-2</c:v>
                </c:pt>
                <c:pt idx="26">
                  <c:v>3.5034319691393902E-2</c:v>
                </c:pt>
                <c:pt idx="27">
                  <c:v>3.7400725798541562E-2</c:v>
                </c:pt>
                <c:pt idx="28">
                  <c:v>4.0064598355919002E-2</c:v>
                </c:pt>
                <c:pt idx="29">
                  <c:v>4.3016243758813445E-2</c:v>
                </c:pt>
                <c:pt idx="30">
                  <c:v>4.5382818020329944E-2</c:v>
                </c:pt>
                <c:pt idx="31">
                  <c:v>4.7386548099999162E-2</c:v>
                </c:pt>
                <c:pt idx="32">
                  <c:v>4.9155999505255094E-2</c:v>
                </c:pt>
                <c:pt idx="33">
                  <c:v>5.0395161197419096E-2</c:v>
                </c:pt>
                <c:pt idx="34">
                  <c:v>5.1101242294782127E-2</c:v>
                </c:pt>
                <c:pt idx="35">
                  <c:v>5.2128598602789893E-2</c:v>
                </c:pt>
                <c:pt idx="36">
                  <c:v>5.3630313639658943E-2</c:v>
                </c:pt>
                <c:pt idx="37">
                  <c:v>5.5169468372731276E-2</c:v>
                </c:pt>
                <c:pt idx="38">
                  <c:v>5.6537863126866733E-2</c:v>
                </c:pt>
                <c:pt idx="39">
                  <c:v>5.8225403358589438E-2</c:v>
                </c:pt>
                <c:pt idx="40">
                  <c:v>8.7378373319264568E-3</c:v>
                </c:pt>
                <c:pt idx="41">
                  <c:v>1.2193843738397426E-2</c:v>
                </c:pt>
                <c:pt idx="42">
                  <c:v>1.5380817618081702E-2</c:v>
                </c:pt>
                <c:pt idx="43">
                  <c:v>1.8457293805814099E-2</c:v>
                </c:pt>
                <c:pt idx="44">
                  <c:v>2.1353097305197598E-2</c:v>
                </c:pt>
                <c:pt idx="45">
                  <c:v>2.3849203783054818E-2</c:v>
                </c:pt>
                <c:pt idx="46">
                  <c:v>2.6027852383934947E-2</c:v>
                </c:pt>
                <c:pt idx="47">
                  <c:v>2.819602000563811E-2</c:v>
                </c:pt>
                <c:pt idx="48">
                  <c:v>3.0594902650015687E-2</c:v>
                </c:pt>
                <c:pt idx="49">
                  <c:v>3.2957338923580083E-2</c:v>
                </c:pt>
                <c:pt idx="50">
                  <c:v>3.5034319691393902E-2</c:v>
                </c:pt>
                <c:pt idx="51">
                  <c:v>3.7400725798541562E-2</c:v>
                </c:pt>
                <c:pt idx="52">
                  <c:v>4.0064598355919002E-2</c:v>
                </c:pt>
                <c:pt idx="53">
                  <c:v>4.3016243758813445E-2</c:v>
                </c:pt>
                <c:pt idx="54">
                  <c:v>4.5382818020329944E-2</c:v>
                </c:pt>
                <c:pt idx="55">
                  <c:v>4.7386548099999162E-2</c:v>
                </c:pt>
                <c:pt idx="56">
                  <c:v>4.9155999505255094E-2</c:v>
                </c:pt>
                <c:pt idx="57">
                  <c:v>5.0395161197419096E-2</c:v>
                </c:pt>
                <c:pt idx="58">
                  <c:v>5.1101242294782127E-2</c:v>
                </c:pt>
                <c:pt idx="59">
                  <c:v>5.2128598602789893E-2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2.7823788869943238E-2</c:v>
                </c:pt>
                <c:pt idx="1">
                  <c:v>2.2881158608859694E-2</c:v>
                </c:pt>
                <c:pt idx="2">
                  <c:v>3.9818363006257967E-3</c:v>
                </c:pt>
                <c:pt idx="3">
                  <c:v>3.5041805444211475E-3</c:v>
                </c:pt>
                <c:pt idx="4">
                  <c:v>1.7879255490073542E-3</c:v>
                </c:pt>
                <c:pt idx="5">
                  <c:v>3.5203257774216775E-4</c:v>
                </c:pt>
                <c:pt idx="6">
                  <c:v>7.0431337361610618E-4</c:v>
                </c:pt>
                <c:pt idx="7">
                  <c:v>4.3169054463866215E-3</c:v>
                </c:pt>
                <c:pt idx="8">
                  <c:v>7.8518048402277801E-3</c:v>
                </c:pt>
                <c:pt idx="9">
                  <c:v>1.9218285454722355E-2</c:v>
                </c:pt>
                <c:pt idx="10">
                  <c:v>3.6798515963092929E-2</c:v>
                </c:pt>
                <c:pt idx="11">
                  <c:v>4.8853624613074235E-2</c:v>
                </c:pt>
                <c:pt idx="12">
                  <c:v>3.7219015077419801E-2</c:v>
                </c:pt>
                <c:pt idx="13">
                  <c:v>2.9507676324750515E-2</c:v>
                </c:pt>
                <c:pt idx="14">
                  <c:v>5.2598240197193943E-3</c:v>
                </c:pt>
                <c:pt idx="15">
                  <c:v>4.7241655387795737E-3</c:v>
                </c:pt>
                <c:pt idx="16">
                  <c:v>2.5140500854719775E-3</c:v>
                </c:pt>
                <c:pt idx="17">
                  <c:v>5.0149917088884494E-4</c:v>
                </c:pt>
                <c:pt idx="18">
                  <c:v>1.0751052833410538E-3</c:v>
                </c:pt>
                <c:pt idx="19">
                  <c:v>5.6408209043641369E-3</c:v>
                </c:pt>
                <c:pt idx="20">
                  <c:v>9.9219075815812092E-3</c:v>
                </c:pt>
                <c:pt idx="21">
                  <c:v>2.6104770766196498E-2</c:v>
                </c:pt>
                <c:pt idx="22">
                  <c:v>4.666426492603766E-2</c:v>
                </c:pt>
                <c:pt idx="23">
                  <c:v>6.7171855825528468E-2</c:v>
                </c:pt>
                <c:pt idx="24">
                  <c:v>5.0786487842637007E-2</c:v>
                </c:pt>
                <c:pt idx="25">
                  <c:v>3.6756378751062899E-2</c:v>
                </c:pt>
                <c:pt idx="26">
                  <c:v>6.9972816596002019E-3</c:v>
                </c:pt>
                <c:pt idx="27">
                  <c:v>1.6381137569223399E-5</c:v>
                </c:pt>
                <c:pt idx="28">
                  <c:v>1.515522997417484E-5</c:v>
                </c:pt>
                <c:pt idx="29">
                  <c:v>7.8928617655328231E-6</c:v>
                </c:pt>
                <c:pt idx="30">
                  <c:v>2.1469467714832302E-5</c:v>
                </c:pt>
                <c:pt idx="31">
                  <c:v>4.0710119485642027E-4</c:v>
                </c:pt>
                <c:pt idx="32">
                  <c:v>8.5767003857235369E-4</c:v>
                </c:pt>
                <c:pt idx="33">
                  <c:v>1.3020588618236136E-3</c:v>
                </c:pt>
                <c:pt idx="34">
                  <c:v>4.9751828937990615E-3</c:v>
                </c:pt>
                <c:pt idx="35">
                  <c:v>4.3733253674489731E-3</c:v>
                </c:pt>
                <c:pt idx="36">
                  <c:v>4.3837948640059873E-3</c:v>
                </c:pt>
                <c:pt idx="37">
                  <c:v>2.9295518455873496E-3</c:v>
                </c:pt>
                <c:pt idx="38">
                  <c:v>6.0692899318828103E-4</c:v>
                </c:pt>
                <c:pt idx="39">
                  <c:v>5.1175472984962692E-4</c:v>
                </c:pt>
                <c:pt idx="40">
                  <c:v>1.7999227544281785E-4</c:v>
                </c:pt>
                <c:pt idx="41">
                  <c:v>5.2789904990540473E-5</c:v>
                </c:pt>
                <c:pt idx="42">
                  <c:v>7.4586993871845155E-5</c:v>
                </c:pt>
                <c:pt idx="43">
                  <c:v>1.0074742438030103E-3</c:v>
                </c:pt>
                <c:pt idx="44">
                  <c:v>2.0383900366046249E-3</c:v>
                </c:pt>
                <c:pt idx="45">
                  <c:v>3.416406396541487E-3</c:v>
                </c:pt>
                <c:pt idx="46">
                  <c:v>1.070945362514903E-2</c:v>
                </c:pt>
                <c:pt idx="47">
                  <c:v>9.5932225869229983E-3</c:v>
                </c:pt>
                <c:pt idx="48">
                  <c:v>9.2985292073945267E-3</c:v>
                </c:pt>
                <c:pt idx="49">
                  <c:v>7.0045225447524879E-3</c:v>
                </c:pt>
                <c:pt idx="50">
                  <c:v>1.3377423072059281E-3</c:v>
                </c:pt>
                <c:pt idx="51">
                  <c:v>1.079309226894858E-3</c:v>
                </c:pt>
                <c:pt idx="52">
                  <c:v>3.8336456128097745E-4</c:v>
                </c:pt>
                <c:pt idx="53">
                  <c:v>9.7741994369754124E-5</c:v>
                </c:pt>
                <c:pt idx="54">
                  <c:v>1.2770452002885802E-4</c:v>
                </c:pt>
                <c:pt idx="55">
                  <c:v>1.6078472927495999E-3</c:v>
                </c:pt>
                <c:pt idx="56">
                  <c:v>3.2191100346368952E-3</c:v>
                </c:pt>
                <c:pt idx="57">
                  <c:v>5.5307539312593615E-3</c:v>
                </c:pt>
                <c:pt idx="58">
                  <c:v>1.6443724356498993E-2</c:v>
                </c:pt>
                <c:pt idx="59">
                  <c:v>1.4813119806397025E-2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631768"/>
        <c:axId val="384632552"/>
      </c:lineChart>
      <c:dateAx>
        <c:axId val="384631768"/>
        <c:scaling>
          <c:orientation val="minMax"/>
          <c:max val="47088"/>
          <c:min val="45292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4632552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38463255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4631768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9.582018650222679E-5</c:v>
                </c:pt>
                <c:pt idx="1">
                  <c:v>6.8970044558791521E-4</c:v>
                </c:pt>
                <c:pt idx="2">
                  <c:v>1.2258052388639529E-3</c:v>
                </c:pt>
                <c:pt idx="3">
                  <c:v>1.8190143578251661E-3</c:v>
                </c:pt>
                <c:pt idx="4">
                  <c:v>2.3927522325282169E-3</c:v>
                </c:pt>
                <c:pt idx="5">
                  <c:v>2.9852682582942602E-3</c:v>
                </c:pt>
                <c:pt idx="6">
                  <c:v>3.5583357895988543E-3</c:v>
                </c:pt>
                <c:pt idx="7">
                  <c:v>4.1501595319651807E-3</c:v>
                </c:pt>
                <c:pt idx="8">
                  <c:v>4.7416317682127396E-3</c:v>
                </c:pt>
                <c:pt idx="9">
                  <c:v>5.3136897709028519E-3</c:v>
                </c:pt>
                <c:pt idx="10">
                  <c:v>5.9044709432928277E-3</c:v>
                </c:pt>
                <c:pt idx="11">
                  <c:v>6.4758605653119083E-3</c:v>
                </c:pt>
                <c:pt idx="12">
                  <c:v>7.0659514812688728E-3</c:v>
                </c:pt>
                <c:pt idx="13">
                  <c:v>7.6556919202970253E-3</c:v>
                </c:pt>
                <c:pt idx="14">
                  <c:v>8.1880596346886048E-3</c:v>
                </c:pt>
                <c:pt idx="15">
                  <c:v>8.7771336119754073E-3</c:v>
                </c:pt>
                <c:pt idx="16">
                  <c:v>9.3468720751386236E-3</c:v>
                </c:pt>
                <c:pt idx="17">
                  <c:v>9.9352577906436368E-3</c:v>
                </c:pt>
                <c:pt idx="18">
                  <c:v>1.0504330583237631E-2</c:v>
                </c:pt>
                <c:pt idx="19">
                  <c:v>1.1092028841111712E-2</c:v>
                </c:pt>
                <c:pt idx="20">
                  <c:v>1.167937804314545E-2</c:v>
                </c:pt>
                <c:pt idx="21">
                  <c:v>1.2247448344346323E-2</c:v>
                </c:pt>
                <c:pt idx="22">
                  <c:v>1.2834111299789841E-2</c:v>
                </c:pt>
                <c:pt idx="23">
                  <c:v>1.3401517879467306E-2</c:v>
                </c:pt>
                <c:pt idx="24">
                  <c:v>1.4006392094822129E-2</c:v>
                </c:pt>
                <c:pt idx="25">
                  <c:v>1.4592010348191908E-2</c:v>
                </c:pt>
                <c:pt idx="26">
                  <c:v>1.512065690254083E-2</c:v>
                </c:pt>
                <c:pt idx="27">
                  <c:v>1.5705613352623771E-2</c:v>
                </c:pt>
                <c:pt idx="28">
                  <c:v>1.6271369440547967E-2</c:v>
                </c:pt>
                <c:pt idx="29">
                  <c:v>1.6855642439682406E-2</c:v>
                </c:pt>
                <c:pt idx="30">
                  <c:v>1.7420737509961648E-2</c:v>
                </c:pt>
                <c:pt idx="31">
                  <c:v>1.8004327856677271E-2</c:v>
                </c:pt>
                <c:pt idx="32">
                  <c:v>1.8587571587393881E-2</c:v>
                </c:pt>
                <c:pt idx="33">
                  <c:v>1.9151671173524898E-2</c:v>
                </c:pt>
                <c:pt idx="34">
                  <c:v>1.9734233454398509E-2</c:v>
                </c:pt>
                <c:pt idx="35">
                  <c:v>2.0297673958306839E-2</c:v>
                </c:pt>
                <c:pt idx="36">
                  <c:v>2.0879555585529341E-2</c:v>
                </c:pt>
                <c:pt idx="37">
                  <c:v>2.1461091611624794E-2</c:v>
                </c:pt>
                <c:pt idx="38">
                  <c:v>2.1986053076975542E-2</c:v>
                </c:pt>
                <c:pt idx="39">
                  <c:v>2.25669319130819E-2</c:v>
                </c:pt>
                <c:pt idx="40">
                  <c:v>2.3128744228899434E-2</c:v>
                </c:pt>
                <c:pt idx="41">
                  <c:v>2.3708944378256658E-2</c:v>
                </c:pt>
                <c:pt idx="42">
                  <c:v>2.4270100284250695E-2</c:v>
                </c:pt>
                <c:pt idx="43">
                  <c:v>2.4849622539822036E-2</c:v>
                </c:pt>
                <c:pt idx="44">
                  <c:v>2.5428800595584944E-2</c:v>
                </c:pt>
                <c:pt idx="45">
                  <c:v>2.5988967956750764E-2</c:v>
                </c:pt>
                <c:pt idx="46">
                  <c:v>2.6567469312920755E-2</c:v>
                </c:pt>
                <c:pt idx="47">
                  <c:v>2.7126982186193804E-2</c:v>
                </c:pt>
                <c:pt idx="48">
                  <c:v>2.7704807633412654E-2</c:v>
                </c:pt>
                <c:pt idx="49">
                  <c:v>2.8282289888620471E-2</c:v>
                </c:pt>
                <c:pt idx="50">
                  <c:v>2.8803591952988539E-2</c:v>
                </c:pt>
                <c:pt idx="51">
                  <c:v>2.938042159934684E-2</c:v>
                </c:pt>
                <c:pt idx="52">
                  <c:v>2.9938317634301326E-2</c:v>
                </c:pt>
                <c:pt idx="53">
                  <c:v>3.0514473324899427E-2</c:v>
                </c:pt>
                <c:pt idx="54">
                  <c:v>3.1071717525731568E-2</c:v>
                </c:pt>
                <c:pt idx="55">
                  <c:v>3.1647200048005364E-2</c:v>
                </c:pt>
                <c:pt idx="56">
                  <c:v>3.2222340769818447E-2</c:v>
                </c:pt>
                <c:pt idx="57">
                  <c:v>3.277860331676985E-2</c:v>
                </c:pt>
                <c:pt idx="58">
                  <c:v>3.3353072056127031E-2</c:v>
                </c:pt>
                <c:pt idx="59">
                  <c:v>3.390868467748942E-2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3.6452219727168634E-4</c:v>
                </c:pt>
                <c:pt idx="1">
                  <c:v>2.5877976843507633E-3</c:v>
                </c:pt>
                <c:pt idx="2">
                  <c:v>4.5445976009037565E-3</c:v>
                </c:pt>
                <c:pt idx="3">
                  <c:v>6.6810101947648035E-3</c:v>
                </c:pt>
                <c:pt idx="4">
                  <c:v>8.8041602455888185E-3</c:v>
                </c:pt>
                <c:pt idx="5">
                  <c:v>1.1057204540880043E-2</c:v>
                </c:pt>
                <c:pt idx="6">
                  <c:v>1.3116592733920476E-2</c:v>
                </c:pt>
                <c:pt idx="7">
                  <c:v>1.5093978201197737E-2</c:v>
                </c:pt>
                <c:pt idx="8">
                  <c:v>1.6960020634721788E-2</c:v>
                </c:pt>
                <c:pt idx="9">
                  <c:v>1.8557286764087931E-2</c:v>
                </c:pt>
                <c:pt idx="10">
                  <c:v>1.9933224305138202E-2</c:v>
                </c:pt>
                <c:pt idx="11">
                  <c:v>2.1342091426952814E-2</c:v>
                </c:pt>
                <c:pt idx="12">
                  <c:v>2.2942304068100796E-2</c:v>
                </c:pt>
                <c:pt idx="13">
                  <c:v>2.4535465974844302E-2</c:v>
                </c:pt>
                <c:pt idx="14">
                  <c:v>2.5947917874809778E-2</c:v>
                </c:pt>
                <c:pt idx="15">
                  <c:v>2.7576968338846201E-2</c:v>
                </c:pt>
                <c:pt idx="16">
                  <c:v>2.9442409674719113E-2</c:v>
                </c:pt>
                <c:pt idx="17">
                  <c:v>3.1528093363251679E-2</c:v>
                </c:pt>
                <c:pt idx="18">
                  <c:v>3.3199196752008171E-2</c:v>
                </c:pt>
                <c:pt idx="19">
                  <c:v>3.4615781648954687E-2</c:v>
                </c:pt>
                <c:pt idx="20">
                  <c:v>3.5874122038491801E-2</c:v>
                </c:pt>
                <c:pt idx="21">
                  <c:v>3.6758215106107654E-2</c:v>
                </c:pt>
                <c:pt idx="22">
                  <c:v>3.7264123056462609E-2</c:v>
                </c:pt>
                <c:pt idx="23">
                  <c:v>3.8014451838984706E-2</c:v>
                </c:pt>
                <c:pt idx="24">
                  <c:v>3.9157319649336199E-2</c:v>
                </c:pt>
                <c:pt idx="25">
                  <c:v>4.029794367695836E-2</c:v>
                </c:pt>
                <c:pt idx="26">
                  <c:v>4.1319453206186102E-2</c:v>
                </c:pt>
                <c:pt idx="27">
                  <c:v>4.258412399433132E-2</c:v>
                </c:pt>
                <c:pt idx="28">
                  <c:v>4.4264482895966031E-2</c:v>
                </c:pt>
                <c:pt idx="29">
                  <c:v>4.6229970771561692E-2</c:v>
                </c:pt>
                <c:pt idx="30">
                  <c:v>4.7622213987629732E-2</c:v>
                </c:pt>
                <c:pt idx="31">
                  <c:v>4.8636040542862122E-2</c:v>
                </c:pt>
                <c:pt idx="32">
                  <c:v>4.9457938673882776E-2</c:v>
                </c:pt>
                <c:pt idx="33">
                  <c:v>4.9829841820692479E-2</c:v>
                </c:pt>
                <c:pt idx="34">
                  <c:v>5.2790710974056833E-2</c:v>
                </c:pt>
                <c:pt idx="35">
                  <c:v>5.9145334653995546E-2</c:v>
                </c:pt>
                <c:pt idx="36">
                  <c:v>6.5632546133743863E-2</c:v>
                </c:pt>
                <c:pt idx="37">
                  <c:v>7.1690084451559638E-2</c:v>
                </c:pt>
                <c:pt idx="38">
                  <c:v>7.677104139230892E-2</c:v>
                </c:pt>
                <c:pt idx="39">
                  <c:v>8.2281226352000997E-2</c:v>
                </c:pt>
                <c:pt idx="40">
                  <c:v>7.8993863448831043E-3</c:v>
                </c:pt>
                <c:pt idx="41">
                  <c:v>9.8692127500720067E-3</c:v>
                </c:pt>
                <c:pt idx="42">
                  <c:v>1.166749468183772E-2</c:v>
                </c:pt>
                <c:pt idx="43">
                  <c:v>1.3392387980598709E-2</c:v>
                </c:pt>
                <c:pt idx="44">
                  <c:v>1.5019411281769042E-2</c:v>
                </c:pt>
                <c:pt idx="45">
                  <c:v>1.641025496337371E-2</c:v>
                </c:pt>
                <c:pt idx="46">
                  <c:v>1.7605948404287516E-2</c:v>
                </c:pt>
                <c:pt idx="47">
                  <c:v>1.8832461144333668E-2</c:v>
                </c:pt>
                <c:pt idx="48">
                  <c:v>2.0227955417776763E-2</c:v>
                </c:pt>
                <c:pt idx="49">
                  <c:v>2.1617689813281531E-2</c:v>
                </c:pt>
                <c:pt idx="50">
                  <c:v>2.284988581848562E-2</c:v>
                </c:pt>
                <c:pt idx="51">
                  <c:v>2.4271856924571095E-2</c:v>
                </c:pt>
                <c:pt idx="52">
                  <c:v>8.7378373319264568E-3</c:v>
                </c:pt>
                <c:pt idx="53">
                  <c:v>1.2193843738397426E-2</c:v>
                </c:pt>
                <c:pt idx="54">
                  <c:v>1.5380817618081702E-2</c:v>
                </c:pt>
                <c:pt idx="55">
                  <c:v>1.8457293805814099E-2</c:v>
                </c:pt>
                <c:pt idx="56">
                  <c:v>2.1353097305197598E-2</c:v>
                </c:pt>
                <c:pt idx="57">
                  <c:v>2.3849203783054818E-2</c:v>
                </c:pt>
                <c:pt idx="58">
                  <c:v>2.6027852383934947E-2</c:v>
                </c:pt>
                <c:pt idx="59">
                  <c:v>2.819602000563811E-2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4.7028966839982786E-6</c:v>
                </c:pt>
                <c:pt idx="1">
                  <c:v>1.5859929117834243E-5</c:v>
                </c:pt>
                <c:pt idx="2">
                  <c:v>1.3450159808923985E-5</c:v>
                </c:pt>
                <c:pt idx="3">
                  <c:v>3.6951793024949215E-5</c:v>
                </c:pt>
                <c:pt idx="4">
                  <c:v>6.9504641507113852E-6</c:v>
                </c:pt>
                <c:pt idx="5">
                  <c:v>6.145641091044001E-6</c:v>
                </c:pt>
                <c:pt idx="6">
                  <c:v>1.558115863680492E-5</c:v>
                </c:pt>
                <c:pt idx="7">
                  <c:v>3.4054722801946021E-4</c:v>
                </c:pt>
                <c:pt idx="8">
                  <c:v>7.2678208527289447E-4</c:v>
                </c:pt>
                <c:pt idx="9">
                  <c:v>1.0676742305442378E-3</c:v>
                </c:pt>
                <c:pt idx="10">
                  <c:v>4.3395140129956393E-3</c:v>
                </c:pt>
                <c:pt idx="11">
                  <c:v>3.7946770303079755E-3</c:v>
                </c:pt>
                <c:pt idx="12">
                  <c:v>3.8389751605295112E-3</c:v>
                </c:pt>
                <c:pt idx="13">
                  <c:v>2.4778235988752828E-3</c:v>
                </c:pt>
                <c:pt idx="14">
                  <c:v>5.2591515495806738E-4</c:v>
                </c:pt>
                <c:pt idx="15">
                  <c:v>4.4883884240132742E-4</c:v>
                </c:pt>
                <c:pt idx="16">
                  <c:v>1.5744757196057727E-4</c:v>
                </c:pt>
                <c:pt idx="17">
                  <c:v>4.7806770136226922E-5</c:v>
                </c:pt>
                <c:pt idx="18">
                  <c:v>6.8698684793817773E-5</c:v>
                </c:pt>
                <c:pt idx="19">
                  <c:v>9.4092027696604985E-4</c:v>
                </c:pt>
                <c:pt idx="20">
                  <c:v>1.907502083305165E-3</c:v>
                </c:pt>
                <c:pt idx="21">
                  <c:v>3.1820217652621108E-3</c:v>
                </c:pt>
                <c:pt idx="22">
                  <c:v>1.0073784744345608E-2</c:v>
                </c:pt>
                <c:pt idx="23">
                  <c:v>9.0145742497820015E-3</c:v>
                </c:pt>
                <c:pt idx="24">
                  <c:v>8.7537095039180567E-3</c:v>
                </c:pt>
                <c:pt idx="25">
                  <c:v>6.552794298040422E-3</c:v>
                </c:pt>
                <c:pt idx="26">
                  <c:v>1.2567284689757145E-3</c:v>
                </c:pt>
                <c:pt idx="27">
                  <c:v>1.016393339446559E-3</c:v>
                </c:pt>
                <c:pt idx="28">
                  <c:v>3.6081985779873668E-4</c:v>
                </c:pt>
                <c:pt idx="29">
                  <c:v>9.2758859515440546E-5</c:v>
                </c:pt>
                <c:pt idx="30">
                  <c:v>1.2181621095083063E-4</c:v>
                </c:pt>
                <c:pt idx="31">
                  <c:v>1.5412933259126395E-3</c:v>
                </c:pt>
                <c:pt idx="32">
                  <c:v>3.0882220813374353E-3</c:v>
                </c:pt>
                <c:pt idx="33">
                  <c:v>5.296369299979984E-3</c:v>
                </c:pt>
                <c:pt idx="34">
                  <c:v>1.5808055475695578E-2</c:v>
                </c:pt>
                <c:pt idx="35">
                  <c:v>1.4234471469256025E-2</c:v>
                </c:pt>
                <c:pt idx="36">
                  <c:v>1.3668443847306595E-2</c:v>
                </c:pt>
                <c:pt idx="37">
                  <c:v>1.0627764997205563E-2</c:v>
                </c:pt>
                <c:pt idx="38">
                  <c:v>1.9875417829933618E-3</c:v>
                </c:pt>
                <c:pt idx="39">
                  <c:v>1.5839478364917908E-3</c:v>
                </c:pt>
                <c:pt idx="40">
                  <c:v>5.9984079558445251E-4</c:v>
                </c:pt>
                <c:pt idx="41">
                  <c:v>1.5789385776617511E-4</c:v>
                </c:pt>
                <c:pt idx="42">
                  <c:v>2.722010548398556E-4</c:v>
                </c:pt>
                <c:pt idx="43">
                  <c:v>2.3820330391920177E-3</c:v>
                </c:pt>
                <c:pt idx="44">
                  <c:v>4.5761007812206364E-3</c:v>
                </c:pt>
                <c:pt idx="45">
                  <c:v>9.405249879235229E-3</c:v>
                </c:pt>
                <c:pt idx="46">
                  <c:v>2.2344992114784436E-2</c:v>
                </c:pt>
                <c:pt idx="47">
                  <c:v>2.4323284359004948E-2</c:v>
                </c:pt>
                <c:pt idx="48">
                  <c:v>2.0554959619109303E-2</c:v>
                </c:pt>
                <c:pt idx="49">
                  <c:v>1.6580789998634191E-2</c:v>
                </c:pt>
                <c:pt idx="50">
                  <c:v>2.9650128841587115E-3</c:v>
                </c:pt>
                <c:pt idx="51">
                  <c:v>2.529041853643184E-3</c:v>
                </c:pt>
                <c:pt idx="52">
                  <c:v>1.1938831722959036E-3</c:v>
                </c:pt>
                <c:pt idx="53">
                  <c:v>2.5496321775417139E-4</c:v>
                </c:pt>
                <c:pt idx="54">
                  <c:v>4.7618784330381002E-4</c:v>
                </c:pt>
                <c:pt idx="55">
                  <c:v>3.2927623794717343E-3</c:v>
                </c:pt>
                <c:pt idx="56">
                  <c:v>6.1320534029130225E-3</c:v>
                </c:pt>
                <c:pt idx="57">
                  <c:v>1.3918454599503367E-2</c:v>
                </c:pt>
                <c:pt idx="58">
                  <c:v>2.9040160565141446E-2</c:v>
                </c:pt>
                <c:pt idx="59">
                  <c:v>3.5364447542802491E-2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3603600"/>
        <c:axId val="373603992"/>
      </c:lineChart>
      <c:dateAx>
        <c:axId val="373603600"/>
        <c:scaling>
          <c:orientation val="minMax"/>
          <c:max val="45261"/>
          <c:min val="43466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3603992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37360399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360360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681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682" name="Groupe 2"/>
        <xdr:cNvGrpSpPr>
          <a:grpSpLocks/>
        </xdr:cNvGrpSpPr>
      </xdr:nvGrpSpPr>
      <xdr:grpSpPr bwMode="auto">
        <a:xfrm>
          <a:off x="7791450" y="1095375"/>
          <a:ext cx="8829675" cy="4895850"/>
          <a:chOff x="6638925" y="1095374"/>
          <a:chExt cx="8277225" cy="4924425"/>
        </a:xfrm>
      </xdr:grpSpPr>
      <xdr:graphicFrame macro="">
        <xdr:nvGraphicFramePr>
          <xdr:cNvPr id="45849683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8769696" y="1095374"/>
            <a:ext cx="6110031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690972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72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0679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79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058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58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160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60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263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63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4859" name="Groupe 1"/>
        <xdr:cNvGrpSpPr>
          <a:grpSpLocks/>
        </xdr:cNvGrpSpPr>
      </xdr:nvGrpSpPr>
      <xdr:grpSpPr bwMode="auto">
        <a:xfrm>
          <a:off x="8782050" y="2714625"/>
          <a:ext cx="8715375" cy="5038725"/>
          <a:chOff x="12715662" y="8254361"/>
          <a:chExt cx="8021762" cy="4954782"/>
        </a:xfrm>
      </xdr:grpSpPr>
      <xdr:pic>
        <xdr:nvPicPr>
          <xdr:cNvPr id="43114860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4861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02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02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02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50502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436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7" cy="1438275"/>
        </a:xfrm>
      </xdr:grpSpPr>
      <xdr:graphicFrame macro="">
        <xdr:nvGraphicFramePr>
          <xdr:cNvPr id="42998440" name="Graphique 1"/>
          <xdr:cNvGraphicFramePr>
            <a:graphicFrameLocks/>
          </xdr:cNvGraphicFramePr>
        </xdr:nvGraphicFramePr>
        <xdr:xfrm>
          <a:off x="9986051" y="3257550"/>
          <a:ext cx="10039146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2998441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25</xdr:col>
      <xdr:colOff>28575</xdr:colOff>
      <xdr:row>23</xdr:row>
      <xdr:rowOff>19050</xdr:rowOff>
    </xdr:from>
    <xdr:to>
      <xdr:col>52</xdr:col>
      <xdr:colOff>231151</xdr:colOff>
      <xdr:row>58</xdr:row>
      <xdr:rowOff>58425</xdr:rowOff>
    </xdr:to>
    <xdr:graphicFrame macro="">
      <xdr:nvGraphicFramePr>
        <xdr:cNvPr id="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26</xdr:col>
      <xdr:colOff>21564</xdr:colOff>
      <xdr:row>58</xdr:row>
      <xdr:rowOff>36517</xdr:rowOff>
    </xdr:to>
    <xdr:graphicFrame macro="">
      <xdr:nvGraphicFramePr>
        <xdr:cNvPr id="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3140708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708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64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619125</xdr:colOff>
      <xdr:row>27</xdr:row>
      <xdr:rowOff>87000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1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11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743397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9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1"/>
    </sheetNames>
    <definedNames>
      <definedName name="Inter_net" refersTo="='Gain action'!$M$4"/>
      <definedName name="Inter_tai" refersTo="='Gain action'!$N$4"/>
    </definedNames>
    <sheetDataSet>
      <sheetData sheetId="0">
        <row r="4">
          <cell r="M4">
            <v>1.2374153780807874E-4</v>
          </cell>
          <cell r="N4">
            <v>9.7389982502581092E-6</v>
          </cell>
        </row>
      </sheetData>
      <sheetData sheetId="1">
        <row r="4">
          <cell r="M4">
            <v>0.16773844333462143</v>
          </cell>
          <cell r="N4">
            <v>1.4052753730939343E-2</v>
          </cell>
        </row>
      </sheetData>
      <sheetData sheetId="2">
        <row r="4">
          <cell r="M4">
            <v>1.0422793311830363</v>
          </cell>
          <cell r="N4">
            <v>1.0723286917245025</v>
          </cell>
        </row>
      </sheetData>
      <sheetData sheetId="3">
        <row r="4">
          <cell r="M4">
            <v>2</v>
          </cell>
          <cell r="N4">
            <v>7</v>
          </cell>
        </row>
      </sheetData>
      <sheetData sheetId="4">
        <row r="4">
          <cell r="M4" t="str">
            <v>Gymnase Ayguesviv.</v>
          </cell>
          <cell r="N4" t="str">
            <v>Ecole Montbrun L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"/>
    </sheetNames>
    <definedNames>
      <definedName name="Inter_net" refersTo="='Gain action'!$M$4"/>
      <definedName name="Inter_tai" refersTo="='Gain action'!$N$4"/>
    </definedNames>
    <sheetDataSet>
      <sheetData sheetId="0"/>
      <sheetData sheetId="1"/>
      <sheetData sheetId="2"/>
      <sheetData sheetId="3">
        <row r="4">
          <cell r="M4">
            <v>2</v>
          </cell>
          <cell r="N4">
            <v>7</v>
          </cell>
        </row>
      </sheetData>
      <sheetData sheetId="4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workbookViewId="0">
      <pane ySplit="5" topLeftCell="A6" activePane="bottomLeft" state="frozen"/>
      <selection activeCell="B15" sqref="B15:B380"/>
      <selection pane="bottomLeft" activeCell="L9" sqref="L9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6" width="8.85546875" style="3" customWidth="1"/>
    <col min="17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7" t="s">
        <v>50</v>
      </c>
      <c r="M1" s="237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213">
        <f>Tmaj</f>
        <v>44926</v>
      </c>
      <c r="D2" s="1213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7.0000000000000001E-3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214" t="str">
        <f>Station</f>
        <v>Noueilles salle des fêtes</v>
      </c>
      <c r="D3" s="1215"/>
      <c r="E3" s="1215"/>
      <c r="F3" s="1215"/>
      <c r="G3" s="1215"/>
      <c r="H3" s="1216"/>
      <c r="K3" s="21"/>
      <c r="L3" s="30"/>
      <c r="M3" s="30"/>
      <c r="N3" s="209" t="s">
        <v>165</v>
      </c>
      <c r="O3" s="706">
        <f>Salim_i</f>
        <v>0.08</v>
      </c>
      <c r="P3" s="448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17">
        <f>T0</f>
        <v>43475</v>
      </c>
      <c r="D4" s="1218"/>
      <c r="H4" s="33" t="s">
        <v>302</v>
      </c>
      <c r="I4" s="648">
        <f>Azi_pvG</f>
        <v>-39</v>
      </c>
      <c r="J4" s="648">
        <f>Azi_pvD</f>
        <v>-39</v>
      </c>
      <c r="K4" s="21"/>
      <c r="L4" s="30"/>
      <c r="M4" s="30"/>
      <c r="N4" s="82" t="s">
        <v>22</v>
      </c>
      <c r="O4" s="160">
        <f>Persistant</f>
        <v>0.8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211">
        <f>Tservice</f>
        <v>43522</v>
      </c>
      <c r="D5" s="1212"/>
      <c r="E5" s="95"/>
      <c r="H5" s="33" t="s">
        <v>15</v>
      </c>
      <c r="I5" s="649">
        <f>Ram_pv</f>
        <v>0.35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12">
        <f>Pc</f>
        <v>9</v>
      </c>
      <c r="D6" s="559"/>
      <c r="E6" s="132"/>
      <c r="F6" s="560"/>
      <c r="G6" s="560"/>
      <c r="H6" s="561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14"/>
      <c r="B7" s="533"/>
      <c r="C7" s="52"/>
      <c r="D7" s="815"/>
      <c r="E7" s="29"/>
      <c r="F7" s="533"/>
      <c r="G7" s="533"/>
      <c r="H7" s="684"/>
      <c r="I7" s="533"/>
      <c r="J7" s="22" t="s">
        <v>376</v>
      </c>
      <c r="K7" s="1219" t="s">
        <v>377</v>
      </c>
      <c r="L7" s="1220"/>
      <c r="M7" s="1201" t="b">
        <f>IF(K7="début",TRUE,FALSE)</f>
        <v>0</v>
      </c>
      <c r="N7" s="790"/>
      <c r="O7" s="30"/>
      <c r="P7" s="30"/>
      <c r="Q7" s="533"/>
      <c r="R7" s="533"/>
      <c r="S7" s="533"/>
      <c r="T7" s="533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2" t="str">
        <f>"Bilan ICEA "&amp;C3&amp;" (kWh)"</f>
        <v>Bilan ICEA Noueilles salle des fêtes (kWh)</v>
      </c>
      <c r="B8" s="132"/>
      <c r="C8" s="133"/>
      <c r="D8" s="562"/>
      <c r="E8" s="559"/>
      <c r="F8" s="132"/>
      <c r="G8" s="132"/>
      <c r="H8" s="62"/>
      <c r="I8" s="132"/>
      <c r="J8" s="22" t="s">
        <v>115</v>
      </c>
      <c r="K8" s="556">
        <f>[1]!Inter_net</f>
        <v>2</v>
      </c>
      <c r="L8" s="557">
        <f>[1]!Inter_tai</f>
        <v>7</v>
      </c>
      <c r="N8" s="15"/>
    </row>
    <row r="9" spans="1:29" ht="15.75" x14ac:dyDescent="0.25">
      <c r="A9" s="29" t="s">
        <v>278</v>
      </c>
      <c r="B9" s="149">
        <f>AVERAGE(B11:B30)</f>
        <v>11037.38020718898</v>
      </c>
      <c r="C9" s="866">
        <f t="shared" ref="C9:J9" si="0">AVERAGE(C11:C30)</f>
        <v>370.87583095568226</v>
      </c>
      <c r="D9" s="867">
        <f t="shared" si="0"/>
        <v>37.869821233257269</v>
      </c>
      <c r="E9" s="149">
        <f t="shared" si="0"/>
        <v>408.74565218893952</v>
      </c>
      <c r="F9" s="149">
        <f t="shared" si="0"/>
        <v>11446.125859377922</v>
      </c>
      <c r="G9" s="149">
        <f t="shared" si="0"/>
        <v>11857.471795951871</v>
      </c>
      <c r="H9" s="873">
        <f t="shared" si="0"/>
        <v>269.95732666995616</v>
      </c>
      <c r="I9" s="874">
        <f t="shared" si="0"/>
        <v>36.015641659410946</v>
      </c>
      <c r="J9" s="149">
        <f t="shared" si="0"/>
        <v>10726.767683932934</v>
      </c>
      <c r="K9" s="341" t="s">
        <v>6</v>
      </c>
      <c r="L9" s="21"/>
      <c r="P9" s="15"/>
    </row>
    <row r="10" spans="1:29" s="239" customFormat="1" ht="51" customHeight="1" x14ac:dyDescent="0.25">
      <c r="A10" s="174" t="s">
        <v>52</v>
      </c>
      <c r="B10" s="174" t="s">
        <v>107</v>
      </c>
      <c r="C10" s="331" t="s">
        <v>61</v>
      </c>
      <c r="D10" s="332" t="s">
        <v>98</v>
      </c>
      <c r="E10" s="174" t="s">
        <v>97</v>
      </c>
      <c r="F10" s="174" t="s">
        <v>110</v>
      </c>
      <c r="G10" s="174" t="s">
        <v>109</v>
      </c>
      <c r="H10" s="331" t="s">
        <v>62</v>
      </c>
      <c r="I10" s="332" t="s">
        <v>63</v>
      </c>
      <c r="J10" s="174" t="s">
        <v>108</v>
      </c>
      <c r="K10" s="331" t="s">
        <v>55</v>
      </c>
      <c r="L10" s="332" t="s">
        <v>56</v>
      </c>
      <c r="M10" s="331" t="s">
        <v>272</v>
      </c>
      <c r="N10" s="332" t="s">
        <v>273</v>
      </c>
      <c r="O10" s="100" t="s">
        <v>274</v>
      </c>
      <c r="P10" s="100" t="s">
        <v>275</v>
      </c>
      <c r="Q10" s="100" t="s">
        <v>276</v>
      </c>
      <c r="R10" s="100" t="s">
        <v>277</v>
      </c>
      <c r="S10" s="100"/>
      <c r="T10" s="100"/>
      <c r="U10" s="240"/>
      <c r="V10" s="240"/>
      <c r="W10" s="240"/>
      <c r="X10" s="241"/>
      <c r="Y10" s="238"/>
      <c r="Z10" s="238"/>
      <c r="AA10" s="238"/>
      <c r="AB10" s="238"/>
    </row>
    <row r="11" spans="1:29" s="19" customFormat="1" ht="12.75" x14ac:dyDescent="0.2">
      <c r="A11" s="142">
        <f>'2019'!An</f>
        <v>2019</v>
      </c>
      <c r="B11" s="139">
        <f>'2019'!Prod_an</f>
        <v>10045.735000000006</v>
      </c>
      <c r="C11" s="143">
        <f>'2019'!Wh_Psa</f>
        <v>129.71298858848573</v>
      </c>
      <c r="D11" s="328">
        <f>'2019'!Wh_Pvg</f>
        <v>3.2119337313975511</v>
      </c>
      <c r="E11" s="139">
        <f t="shared" ref="E11:E16" si="1">C11+D11</f>
        <v>132.92492231988328</v>
      </c>
      <c r="F11" s="139">
        <f t="shared" ref="F11:F16" si="2">B11+E11</f>
        <v>10178.65992231989</v>
      </c>
      <c r="G11" s="139">
        <f>'2019'!F$9</f>
        <v>10214.933669134727</v>
      </c>
      <c r="H11" s="145">
        <f>'2019'!Wh_gain_sa</f>
        <v>-1.4928542681474255E-2</v>
      </c>
      <c r="I11" s="328">
        <f>'2019'!Wh_gain_vg</f>
        <v>0.79507472943753799</v>
      </c>
      <c r="J11" s="139">
        <f>'2019'!Prod_an_s</f>
        <v>10044.946077858784</v>
      </c>
      <c r="K11" s="844" t="str">
        <f>IF('2019'!Acti_net,'2019'!Tnet,"")</f>
        <v/>
      </c>
      <c r="L11" s="845">
        <f>IF('2019'!Acti_tai,'2019'!Ttai,"")</f>
        <v>43586</v>
      </c>
      <c r="M11" s="856">
        <v>0</v>
      </c>
      <c r="N11" s="857">
        <v>0</v>
      </c>
      <c r="O11" s="369">
        <f>+'2019'!$AJ$3</f>
        <v>0</v>
      </c>
      <c r="P11" s="369">
        <f>+'2019'!$AJ$4</f>
        <v>-1.4928542681474255E-2</v>
      </c>
      <c r="Q11" s="369">
        <f>+'2019'!$AK$3</f>
        <v>0</v>
      </c>
      <c r="R11" s="369">
        <f>+'2019'!$AK$4</f>
        <v>0.79347940794409144</v>
      </c>
      <c r="S11" s="850"/>
      <c r="T11" s="850"/>
    </row>
    <row r="12" spans="1:29" s="19" customFormat="1" ht="12.75" x14ac:dyDescent="0.2">
      <c r="A12" s="144">
        <f>'2020'!An</f>
        <v>2020</v>
      </c>
      <c r="B12" s="137">
        <f>'2020'!Prod_an</f>
        <v>11311.726999999995</v>
      </c>
      <c r="C12" s="145">
        <f>'2020'!Wh_Psa</f>
        <v>366.89761327029095</v>
      </c>
      <c r="D12" s="329">
        <f>'2020'!Wh_Pvg</f>
        <v>13.216261839278481</v>
      </c>
      <c r="E12" s="137">
        <f t="shared" si="1"/>
        <v>380.11387510956945</v>
      </c>
      <c r="F12" s="137">
        <f t="shared" si="2"/>
        <v>11691.840875109565</v>
      </c>
      <c r="G12" s="137">
        <f>'2020'!F$9</f>
        <v>11811.632476276383</v>
      </c>
      <c r="H12" s="145">
        <f>'2020'!Wh_gain_sa</f>
        <v>-5.5208746789844554E-2</v>
      </c>
      <c r="I12" s="329">
        <f>'2020'!Wh_gain_vg</f>
        <v>1.6921195803502957</v>
      </c>
      <c r="J12" s="137">
        <f>'2020'!Prod_an_s</f>
        <v>11310.035745729834</v>
      </c>
      <c r="K12" s="846" t="str">
        <f>IF('2020'!Acti_net,'2020'!Tnet,"")</f>
        <v/>
      </c>
      <c r="L12" s="847" t="str">
        <f>IF('2020'!Acti_tai,'2020'!Ttai,"")</f>
        <v/>
      </c>
      <c r="M12" s="858">
        <f>O12+P11+(K11="")*M11</f>
        <v>-1.4928542681474255E-2</v>
      </c>
      <c r="N12" s="859">
        <f>Q12+R11+(L11="")*N11</f>
        <v>0.79347940794409144</v>
      </c>
      <c r="O12" s="369">
        <f>+'2020'!$AJ$3</f>
        <v>0</v>
      </c>
      <c r="P12" s="369">
        <f>+'2020'!$AJ$4</f>
        <v>-5.5208746789844554E-2</v>
      </c>
      <c r="Q12" s="369">
        <f>+'2020'!$AK$3</f>
        <v>0</v>
      </c>
      <c r="R12" s="369">
        <f>+'2020'!$AK$4</f>
        <v>1.6921195803502957</v>
      </c>
      <c r="S12" s="850"/>
      <c r="T12" s="850"/>
    </row>
    <row r="13" spans="1:29" s="19" customFormat="1" ht="12.75" x14ac:dyDescent="0.2">
      <c r="A13" s="144">
        <f>'2021'!An</f>
        <v>2021</v>
      </c>
      <c r="B13" s="137">
        <f>'2021'!Prod_an</f>
        <v>10718.309999999998</v>
      </c>
      <c r="C13" s="145">
        <f>'2021'!Wh_Psa</f>
        <v>521.02846258409818</v>
      </c>
      <c r="D13" s="329">
        <f>'2021'!Wh_Pvg</f>
        <v>21.123916244870063</v>
      </c>
      <c r="E13" s="137">
        <f t="shared" si="1"/>
        <v>542.15237882896827</v>
      </c>
      <c r="F13" s="137">
        <f t="shared" si="2"/>
        <v>11260.462378828966</v>
      </c>
      <c r="G13" s="137">
        <f>'2021'!F$9</f>
        <v>11456.837997941082</v>
      </c>
      <c r="H13" s="145">
        <f>'2021'!Wh_gain_sa</f>
        <v>-7.5616765177528578E-2</v>
      </c>
      <c r="I13" s="329">
        <f>'2021'!Wh_gain_vg</f>
        <v>1.4992375156399085</v>
      </c>
      <c r="J13" s="137">
        <f>'2021'!Prod_an_s</f>
        <v>10716.814326947509</v>
      </c>
      <c r="K13" s="846" t="str">
        <f>IF('2021'!Acti_net,'2021'!Tnet,"")</f>
        <v/>
      </c>
      <c r="L13" s="847" t="str">
        <f>IF('2021'!Acti_tai,'2021'!Ttai,"")</f>
        <v/>
      </c>
      <c r="M13" s="858">
        <f t="shared" ref="M13:M20" si="3">O13+P12+(K12="")*M12</f>
        <v>-0.12066908884682448</v>
      </c>
      <c r="N13" s="859">
        <f>Q13+R12+(L12="")*N12</f>
        <v>2.4855989882943872</v>
      </c>
      <c r="O13" s="369">
        <f>+'2021'!$AJ$3</f>
        <v>-5.053179937550567E-2</v>
      </c>
      <c r="P13" s="369">
        <f>+'2021'!$AJ$4</f>
        <v>-2.506873283110167E-2</v>
      </c>
      <c r="Q13" s="369">
        <f>+'2021'!$AK$3</f>
        <v>0</v>
      </c>
      <c r="R13" s="369">
        <f>+'2021'!$AK$4</f>
        <v>1.4992375156399085</v>
      </c>
      <c r="S13" s="850"/>
      <c r="T13" s="850"/>
    </row>
    <row r="14" spans="1:29" s="19" customFormat="1" ht="12.75" x14ac:dyDescent="0.2">
      <c r="A14" s="363">
        <f>'2022'!An</f>
        <v>2022</v>
      </c>
      <c r="B14" s="364">
        <f>'2022'!Prod_an</f>
        <v>11479.140999999998</v>
      </c>
      <c r="C14" s="365">
        <f>'2022'!Wh_Psa</f>
        <v>354.46051124708316</v>
      </c>
      <c r="D14" s="366">
        <f>'2022'!Wh_Pvg</f>
        <v>38.290188669361342</v>
      </c>
      <c r="E14" s="364">
        <f t="shared" si="1"/>
        <v>392.75069991644449</v>
      </c>
      <c r="F14" s="364">
        <f t="shared" si="2"/>
        <v>11871.891699916443</v>
      </c>
      <c r="G14" s="364">
        <f>'2022'!F$9</f>
        <v>12157.416985828029</v>
      </c>
      <c r="H14" s="365">
        <f>'2022'!Wh_gain_sa</f>
        <v>633.22426340792936</v>
      </c>
      <c r="I14" s="366">
        <f>'2022'!Wh_gain_vg</f>
        <v>0.17860601135433996</v>
      </c>
      <c r="J14" s="364">
        <f>'2022'!Prod_an_s</f>
        <v>10836.731652455055</v>
      </c>
      <c r="K14" s="848">
        <f>IF('2022'!Acti_net,'2022'!Tnet,"")</f>
        <v>44683</v>
      </c>
      <c r="L14" s="849" t="str">
        <f>IF('2022'!Acti_tai,'2022'!Ttai,"")</f>
        <v/>
      </c>
      <c r="M14" s="860">
        <f t="shared" si="3"/>
        <v>-0.76828219735210723</v>
      </c>
      <c r="N14" s="861">
        <f>Q14+R13+(L13="")*N13</f>
        <v>3.9848365039342957</v>
      </c>
      <c r="O14" s="369">
        <f>+'2022'!$AJ$3</f>
        <v>-0.62254437567418108</v>
      </c>
      <c r="P14" s="369">
        <f>+'2022'!$AJ$4</f>
        <v>632.97649395152894</v>
      </c>
      <c r="Q14" s="369">
        <f>+'2022'!$AK$3</f>
        <v>0</v>
      </c>
      <c r="R14" s="369">
        <f>+'2022'!$AK$4</f>
        <v>0.2016852483288929</v>
      </c>
      <c r="S14" s="850"/>
      <c r="T14" s="850"/>
    </row>
    <row r="15" spans="1:29" s="19" customFormat="1" ht="12.75" x14ac:dyDescent="0.2">
      <c r="A15" s="361">
        <f>'2023'!An</f>
        <v>2023</v>
      </c>
      <c r="B15" s="362">
        <f>'2023'!Prod_an</f>
        <v>11499.916904492684</v>
      </c>
      <c r="C15" s="145">
        <f>'2023'!Wh_Psa</f>
        <v>218.03460561907795</v>
      </c>
      <c r="D15" s="329">
        <f>'2023'!Wh_Pvg</f>
        <v>55.428089737096585</v>
      </c>
      <c r="E15" s="362">
        <f t="shared" si="1"/>
        <v>273.46269535617455</v>
      </c>
      <c r="F15" s="362">
        <f t="shared" si="2"/>
        <v>11773.379599848859</v>
      </c>
      <c r="G15" s="362">
        <f>'2023'!F$9</f>
        <v>12147.923276565743</v>
      </c>
      <c r="H15" s="145">
        <f>'2023'!Wh_gain_sa</f>
        <v>323.1504031080409</v>
      </c>
      <c r="I15" s="329">
        <f>'2023'!Wh_gain_vg</f>
        <v>1.1547476358521536</v>
      </c>
      <c r="J15" s="362">
        <f>'2023'!Prod_an_s</f>
        <v>11173.617099385094</v>
      </c>
      <c r="K15" s="846">
        <f>IF('2023'!Acti_net,'2023'!Tnet,"")</f>
        <v>45046</v>
      </c>
      <c r="L15" s="847" t="str">
        <f>IF('2023'!Acti_tai,'2023'!Ttai,"")</f>
        <v/>
      </c>
      <c r="M15" s="858">
        <f t="shared" si="3"/>
        <v>814.75466921608506</v>
      </c>
      <c r="N15" s="859">
        <f t="shared" ref="N15:N20" si="4">Q15+R14+(L14="")*N14</f>
        <v>4.1865217522631886</v>
      </c>
      <c r="O15" s="369">
        <f>+'2023'!$AJ$3</f>
        <v>181.7781752645561</v>
      </c>
      <c r="P15" s="369">
        <f>+'2023'!$AJ$4</f>
        <v>141.661262473514</v>
      </c>
      <c r="Q15" s="369">
        <f>+'2023'!$AK$3</f>
        <v>0</v>
      </c>
      <c r="R15" s="369">
        <f>+'2023'!$AK$4</f>
        <v>1.1547476358521536</v>
      </c>
      <c r="S15" s="850"/>
      <c r="T15" s="850"/>
    </row>
    <row r="16" spans="1:29" s="19" customFormat="1" ht="12.75" x14ac:dyDescent="0.2">
      <c r="A16" s="361">
        <f>'2024'!An</f>
        <v>2024</v>
      </c>
      <c r="B16" s="362">
        <f>'2024'!Prod_an</f>
        <v>11122.117525236359</v>
      </c>
      <c r="C16" s="145">
        <f>'2024'!Wh_Psa</f>
        <v>500.73912321903481</v>
      </c>
      <c r="D16" s="329">
        <f>'2024'!Wh_Pvg</f>
        <v>72.220392957218166</v>
      </c>
      <c r="E16" s="362">
        <f t="shared" si="1"/>
        <v>572.95951617625292</v>
      </c>
      <c r="F16" s="362">
        <f t="shared" si="2"/>
        <v>11695.077041412613</v>
      </c>
      <c r="G16" s="362">
        <f>'2024'!F$9</f>
        <v>12154.073421345838</v>
      </c>
      <c r="H16" s="145">
        <f>'2024'!Wh_gain_sa</f>
        <v>129.5170918236015</v>
      </c>
      <c r="I16" s="329">
        <f>'2024'!Wh_gain_vg</f>
        <v>2.5812891357517458</v>
      </c>
      <c r="J16" s="362">
        <f>'2024'!Prod_an_s</f>
        <v>10988.964392107959</v>
      </c>
      <c r="K16" s="846" t="str">
        <f>IF('2024'!Acti_net,'2024'!Tnet,"")</f>
        <v/>
      </c>
      <c r="L16" s="847" t="str">
        <f>IF('2024'!Acti_tai,'2024'!Ttai,"")</f>
        <v/>
      </c>
      <c r="M16" s="858">
        <f t="shared" si="3"/>
        <v>141.661262473514</v>
      </c>
      <c r="N16" s="859">
        <f t="shared" si="4"/>
        <v>5.3412693881153421</v>
      </c>
      <c r="O16" s="369">
        <f>+'2024'!$AJ$3</f>
        <v>0</v>
      </c>
      <c r="P16" s="369">
        <f>+'2024'!$AJ$4</f>
        <v>129.5170918236015</v>
      </c>
      <c r="Q16" s="369">
        <f>+'2024'!$AK$3</f>
        <v>0</v>
      </c>
      <c r="R16" s="369">
        <f>+'2024'!$AK$4</f>
        <v>2.5812891357517458</v>
      </c>
      <c r="S16" s="850"/>
      <c r="T16" s="850"/>
    </row>
    <row r="17" spans="1:30" s="19" customFormat="1" ht="12.75" x14ac:dyDescent="0.2">
      <c r="A17" s="361">
        <f>'2025'!An</f>
        <v>2025</v>
      </c>
      <c r="B17" s="362">
        <f>'2025'!Prod_an</f>
        <v>11173.071401952695</v>
      </c>
      <c r="C17" s="145">
        <f>'2025'!Wh_Psa</f>
        <v>316.03396228999594</v>
      </c>
      <c r="D17" s="329">
        <f>'2025'!Wh_Pvg</f>
        <v>95.272260425764657</v>
      </c>
      <c r="E17" s="362">
        <f>C17+D17</f>
        <v>411.30622271576061</v>
      </c>
      <c r="F17" s="362">
        <f>B17+E17</f>
        <v>11584.377624668456</v>
      </c>
      <c r="G17" s="362">
        <f>'2025'!F$9</f>
        <v>12123.469238279462</v>
      </c>
      <c r="H17" s="145">
        <f>'2025'!Wh_gain_sa</f>
        <v>428.70205468710157</v>
      </c>
      <c r="I17" s="329">
        <f>'2025'!Wh_gain_vg</f>
        <v>0.23767508376685953</v>
      </c>
      <c r="J17" s="362">
        <f>'2025'!Prod_an_s</f>
        <v>10740.433286547934</v>
      </c>
      <c r="K17" s="846">
        <f>IF('2025'!Acti_net,'2025'!Tnet,"")</f>
        <v>45777</v>
      </c>
      <c r="L17" s="847" t="str">
        <f>IF('2025'!Acti_tai,'2025'!Ttai,"")</f>
        <v/>
      </c>
      <c r="M17" s="858">
        <f t="shared" si="3"/>
        <v>295.51160612421228</v>
      </c>
      <c r="N17" s="859">
        <f t="shared" si="4"/>
        <v>7.9225585238670879</v>
      </c>
      <c r="O17" s="369">
        <f>+'2025'!$AJ$3</f>
        <v>24.333251827096774</v>
      </c>
      <c r="P17" s="369">
        <f>+'2025'!$AJ$4</f>
        <v>404.10710803359802</v>
      </c>
      <c r="Q17" s="369">
        <f>+'2025'!$AK$3</f>
        <v>0</v>
      </c>
      <c r="R17" s="369">
        <f>+'2025'!$AK$4</f>
        <v>0.23767508376685953</v>
      </c>
      <c r="S17" s="850"/>
      <c r="T17" s="850"/>
    </row>
    <row r="18" spans="1:30" s="19" customFormat="1" ht="12.75" x14ac:dyDescent="0.2">
      <c r="A18" s="361">
        <f>'2026'!An</f>
        <v>2026</v>
      </c>
      <c r="B18" s="362">
        <f>'2026'!Prod_an</f>
        <v>10998.068647841646</v>
      </c>
      <c r="C18" s="145">
        <f>'2026'!Wh_Psa</f>
        <v>495.76342513423862</v>
      </c>
      <c r="D18" s="329">
        <f>'2026'!Wh_Pvg</f>
        <v>41.460311811057494</v>
      </c>
      <c r="E18" s="362">
        <f>C18+D18</f>
        <v>537.22373694529608</v>
      </c>
      <c r="F18" s="362">
        <f>B18+E18</f>
        <v>11535.292384786942</v>
      </c>
      <c r="G18" s="362">
        <f>'2026'!F$9</f>
        <v>12155.909300061356</v>
      </c>
      <c r="H18" s="145">
        <f>'2026'!Wh_gain_sa</f>
        <v>365.80316152224435</v>
      </c>
      <c r="I18" s="329">
        <f>'2026'!Wh_gain_vg</f>
        <v>74.158758690165115</v>
      </c>
      <c r="J18" s="362">
        <f>'2026'!Prod_an_s</f>
        <v>10550.632583040553</v>
      </c>
      <c r="K18" s="846" t="str">
        <f>IF('2026'!Acti_net,'2026'!Tnet,"")</f>
        <v/>
      </c>
      <c r="L18" s="847">
        <f>IF('2026'!Acti_tai,'2026'!Ttai,"")</f>
        <v>46112</v>
      </c>
      <c r="M18" s="858">
        <f t="shared" si="3"/>
        <v>404.10710803359802</v>
      </c>
      <c r="N18" s="859">
        <f t="shared" si="4"/>
        <v>8.1126266912184022</v>
      </c>
      <c r="O18" s="369">
        <f>+'2026'!$AJ$3</f>
        <v>0</v>
      </c>
      <c r="P18" s="369">
        <f>+'2026'!$AJ$4</f>
        <v>365.80316152224435</v>
      </c>
      <c r="Q18" s="369">
        <f>+'2026'!$AK$3</f>
        <v>-4.7606916415546152E-2</v>
      </c>
      <c r="R18" s="369">
        <f>+'2026'!$AK$4</f>
        <v>73.922547970386304</v>
      </c>
      <c r="S18" s="850"/>
      <c r="T18" s="850"/>
    </row>
    <row r="19" spans="1:30" s="19" customFormat="1" ht="12.75" x14ac:dyDescent="0.2">
      <c r="A19" s="361">
        <f>'2027'!An</f>
        <v>2027</v>
      </c>
      <c r="B19" s="362">
        <f>'2027'!Prod_an</f>
        <v>11139.910585533496</v>
      </c>
      <c r="C19" s="145">
        <f>'2027'!Wh_Psa</f>
        <v>315.89404861737705</v>
      </c>
      <c r="D19" s="329">
        <f>'2027'!Wh_Pvg</f>
        <v>14.240951101611307</v>
      </c>
      <c r="E19" s="362">
        <f>C19+D19</f>
        <v>330.13499971898835</v>
      </c>
      <c r="F19" s="362">
        <f>B19+E19</f>
        <v>11470.045585252485</v>
      </c>
      <c r="G19" s="362">
        <f>'2027'!F$9</f>
        <v>12170.614601993953</v>
      </c>
      <c r="H19" s="145">
        <f>'2027'!Wh_gain_sa</f>
        <v>463.31533831056186</v>
      </c>
      <c r="I19" s="329">
        <f>'2027'!Wh_gain_vg</f>
        <v>128.42458774110102</v>
      </c>
      <c r="J19" s="362">
        <f>'2027'!Prod_an_s</f>
        <v>10538.208714075527</v>
      </c>
      <c r="K19" s="846">
        <f>IF('2027'!Acti_net,'2027'!Tnet,"")</f>
        <v>46507</v>
      </c>
      <c r="L19" s="847" t="str">
        <f>IF('2027'!Acti_tai,'2027'!Ttai,"")</f>
        <v/>
      </c>
      <c r="M19" s="858">
        <f t="shared" si="3"/>
        <v>837.19122118614212</v>
      </c>
      <c r="N19" s="859">
        <f t="shared" si="4"/>
        <v>73.922547970386304</v>
      </c>
      <c r="O19" s="369">
        <f>+'2027'!$AJ$3</f>
        <v>67.280951630299711</v>
      </c>
      <c r="P19" s="369">
        <f>+'2027'!$AJ$4</f>
        <v>395.87526319743245</v>
      </c>
      <c r="Q19" s="369">
        <f>+'2027'!$AK$3</f>
        <v>0</v>
      </c>
      <c r="R19" s="369">
        <f>+'2027'!$AK$4</f>
        <v>128.42458774110102</v>
      </c>
      <c r="S19" s="850"/>
      <c r="T19" s="850"/>
    </row>
    <row r="20" spans="1:30" s="19" customFormat="1" ht="12.75" x14ac:dyDescent="0.2">
      <c r="A20" s="361">
        <f>'2028'!An</f>
        <v>2028</v>
      </c>
      <c r="B20" s="362">
        <f>'2028'!Prod_an</f>
        <v>10885.804006832943</v>
      </c>
      <c r="C20" s="145">
        <f>'2028'!Wh_Psa</f>
        <v>490.19356898714</v>
      </c>
      <c r="D20" s="329">
        <f>'2028'!Wh_Pvg</f>
        <v>24.233905814917055</v>
      </c>
      <c r="E20" s="362">
        <f>C20+D20</f>
        <v>514.42747480205708</v>
      </c>
      <c r="F20" s="362">
        <f>B20+E20</f>
        <v>11400.231481635001</v>
      </c>
      <c r="G20" s="362">
        <f>'2028'!F$9</f>
        <v>12181.90699209215</v>
      </c>
      <c r="H20" s="145">
        <f>'2028'!Wh_gain_sa</f>
        <v>356.00670789473099</v>
      </c>
      <c r="I20" s="329">
        <f>'2028'!Wh_gain_vg</f>
        <v>149.43432047069047</v>
      </c>
      <c r="J20" s="362">
        <f>'2028'!Prod_an_s</f>
        <v>10367.292961181081</v>
      </c>
      <c r="K20" s="846" t="str">
        <f>IF('2028'!Acti_net,'2028'!Tnet,"")</f>
        <v/>
      </c>
      <c r="L20" s="847" t="str">
        <f>IF('2028'!Acti_tai,'2028'!Ttai,"")</f>
        <v/>
      </c>
      <c r="M20" s="858">
        <f t="shared" si="3"/>
        <v>395.87526319743245</v>
      </c>
      <c r="N20" s="859">
        <f t="shared" si="4"/>
        <v>202.34713571148734</v>
      </c>
      <c r="O20" s="369">
        <f>+'2028'!$AJ$3</f>
        <v>0</v>
      </c>
      <c r="P20" s="369">
        <f>+'2028'!$AJ$4</f>
        <v>356.00670789473099</v>
      </c>
      <c r="Q20" s="369">
        <f>+'2028'!$AK$3</f>
        <v>0</v>
      </c>
      <c r="R20" s="369">
        <f>+'2028'!$AK$4</f>
        <v>149.43432047069047</v>
      </c>
      <c r="S20" s="850"/>
      <c r="T20" s="850"/>
    </row>
    <row r="21" spans="1:30" s="19" customFormat="1" ht="12.75" x14ac:dyDescent="0.2">
      <c r="A21" s="699"/>
      <c r="B21" s="700"/>
      <c r="C21" s="701"/>
      <c r="D21" s="698"/>
      <c r="E21" s="700"/>
      <c r="F21" s="700"/>
      <c r="G21" s="700"/>
      <c r="H21" s="701"/>
      <c r="I21" s="698"/>
      <c r="J21" s="700"/>
      <c r="K21" s="862"/>
      <c r="L21" s="863"/>
      <c r="M21" s="852"/>
      <c r="N21" s="853"/>
      <c r="O21" s="10"/>
      <c r="P21" s="10"/>
      <c r="Q21" s="10"/>
      <c r="R21" s="10"/>
      <c r="S21" s="850"/>
      <c r="T21" s="850"/>
    </row>
    <row r="22" spans="1:30" s="19" customFormat="1" ht="12.75" x14ac:dyDescent="0.2">
      <c r="A22" s="699"/>
      <c r="B22" s="700"/>
      <c r="C22" s="701"/>
      <c r="D22" s="698"/>
      <c r="E22" s="700"/>
      <c r="F22" s="700"/>
      <c r="G22" s="700"/>
      <c r="H22" s="701"/>
      <c r="I22" s="698"/>
      <c r="J22" s="700"/>
      <c r="K22" s="862"/>
      <c r="L22" s="863"/>
      <c r="M22" s="852"/>
      <c r="N22" s="853"/>
      <c r="O22" s="10"/>
      <c r="P22" s="851"/>
      <c r="Q22" s="10"/>
      <c r="R22" s="851"/>
      <c r="S22" s="850"/>
      <c r="T22" s="850"/>
    </row>
    <row r="23" spans="1:30" s="19" customFormat="1" ht="12.75" x14ac:dyDescent="0.2">
      <c r="A23" s="699"/>
      <c r="B23" s="700"/>
      <c r="C23" s="701"/>
      <c r="D23" s="698"/>
      <c r="E23" s="700"/>
      <c r="F23" s="700"/>
      <c r="G23" s="700"/>
      <c r="H23" s="701"/>
      <c r="I23" s="698"/>
      <c r="J23" s="700"/>
      <c r="K23" s="862"/>
      <c r="L23" s="863"/>
      <c r="M23" s="852"/>
      <c r="N23" s="853"/>
      <c r="O23" s="10"/>
      <c r="P23" s="851"/>
      <c r="Q23" s="10"/>
      <c r="S23" s="850"/>
      <c r="T23" s="850"/>
    </row>
    <row r="24" spans="1:30" s="19" customFormat="1" ht="12.75" x14ac:dyDescent="0.2">
      <c r="A24" s="699"/>
      <c r="B24" s="700"/>
      <c r="C24" s="701"/>
      <c r="D24" s="698"/>
      <c r="E24" s="700"/>
      <c r="F24" s="700"/>
      <c r="G24" s="700"/>
      <c r="H24" s="701"/>
      <c r="I24" s="698"/>
      <c r="J24" s="700"/>
      <c r="K24" s="862"/>
      <c r="L24" s="863"/>
      <c r="M24" s="852"/>
      <c r="N24" s="853"/>
      <c r="O24" s="10"/>
      <c r="P24" s="851"/>
      <c r="Q24" s="10"/>
      <c r="R24" s="851"/>
      <c r="S24" s="850"/>
      <c r="T24" s="850"/>
    </row>
    <row r="25" spans="1:30" s="19" customFormat="1" ht="12.75" x14ac:dyDescent="0.2">
      <c r="A25" s="699"/>
      <c r="B25" s="700"/>
      <c r="C25" s="701"/>
      <c r="D25" s="698"/>
      <c r="E25" s="700"/>
      <c r="F25" s="700"/>
      <c r="G25" s="700"/>
      <c r="H25" s="701"/>
      <c r="I25" s="698"/>
      <c r="J25" s="700"/>
      <c r="K25" s="862"/>
      <c r="L25" s="863"/>
      <c r="M25" s="852"/>
      <c r="N25" s="853"/>
      <c r="O25" s="10"/>
      <c r="P25" s="851"/>
      <c r="Q25" s="10"/>
      <c r="R25" s="851"/>
      <c r="S25" s="850"/>
      <c r="T25" s="850"/>
    </row>
    <row r="26" spans="1:30" s="19" customFormat="1" ht="12.75" x14ac:dyDescent="0.2">
      <c r="A26" s="699"/>
      <c r="B26" s="700"/>
      <c r="C26" s="701"/>
      <c r="D26" s="698"/>
      <c r="E26" s="700"/>
      <c r="F26" s="700"/>
      <c r="G26" s="700"/>
      <c r="H26" s="701"/>
      <c r="I26" s="698"/>
      <c r="J26" s="700"/>
      <c r="K26" s="862"/>
      <c r="L26" s="863"/>
      <c r="M26" s="852"/>
      <c r="N26" s="853"/>
      <c r="O26" s="10"/>
      <c r="P26" s="851"/>
      <c r="Q26" s="10"/>
      <c r="R26" s="851"/>
      <c r="S26" s="850"/>
      <c r="T26" s="850"/>
    </row>
    <row r="27" spans="1:30" s="19" customFormat="1" ht="12.75" x14ac:dyDescent="0.2">
      <c r="A27" s="699"/>
      <c r="B27" s="700"/>
      <c r="C27" s="701"/>
      <c r="D27" s="698"/>
      <c r="E27" s="700"/>
      <c r="F27" s="700"/>
      <c r="G27" s="700"/>
      <c r="H27" s="701"/>
      <c r="I27" s="698"/>
      <c r="J27" s="700"/>
      <c r="K27" s="862"/>
      <c r="L27" s="863"/>
      <c r="M27" s="852"/>
      <c r="N27" s="853"/>
      <c r="O27" s="10"/>
      <c r="P27" s="851"/>
      <c r="Q27" s="10"/>
      <c r="R27" s="851"/>
      <c r="S27" s="850"/>
      <c r="T27" s="850"/>
    </row>
    <row r="28" spans="1:30" s="19" customFormat="1" ht="12.75" x14ac:dyDescent="0.2">
      <c r="A28" s="699"/>
      <c r="B28" s="700"/>
      <c r="C28" s="701"/>
      <c r="D28" s="698"/>
      <c r="E28" s="700"/>
      <c r="F28" s="700"/>
      <c r="G28" s="700"/>
      <c r="H28" s="701"/>
      <c r="I28" s="698"/>
      <c r="J28" s="700"/>
      <c r="K28" s="862"/>
      <c r="L28" s="863"/>
      <c r="M28" s="852"/>
      <c r="N28" s="853"/>
      <c r="O28" s="10"/>
      <c r="P28" s="10"/>
      <c r="Q28" s="10"/>
      <c r="R28" s="10"/>
      <c r="S28" s="850"/>
      <c r="T28" s="850"/>
    </row>
    <row r="29" spans="1:30" s="19" customFormat="1" ht="12.75" x14ac:dyDescent="0.2">
      <c r="A29" s="699"/>
      <c r="B29" s="700"/>
      <c r="C29" s="701"/>
      <c r="D29" s="698"/>
      <c r="E29" s="700"/>
      <c r="F29" s="700"/>
      <c r="G29" s="700"/>
      <c r="H29" s="701"/>
      <c r="I29" s="698"/>
      <c r="J29" s="700"/>
      <c r="K29" s="862"/>
      <c r="L29" s="863"/>
      <c r="M29" s="852"/>
      <c r="N29" s="853"/>
      <c r="O29" s="10"/>
      <c r="P29" s="10"/>
      <c r="Q29" s="10"/>
      <c r="R29" s="10"/>
      <c r="S29" s="850"/>
      <c r="T29" s="850"/>
    </row>
    <row r="30" spans="1:30" s="19" customFormat="1" ht="12.75" x14ac:dyDescent="0.2">
      <c r="A30" s="702"/>
      <c r="B30" s="703"/>
      <c r="C30" s="704"/>
      <c r="D30" s="705"/>
      <c r="E30" s="703"/>
      <c r="F30" s="703"/>
      <c r="G30" s="703"/>
      <c r="H30" s="704"/>
      <c r="I30" s="705"/>
      <c r="J30" s="703"/>
      <c r="K30" s="864"/>
      <c r="L30" s="865"/>
      <c r="M30" s="854"/>
      <c r="N30" s="855"/>
      <c r="O30" s="10"/>
      <c r="P30" s="10"/>
      <c r="Q30" s="10"/>
      <c r="R30" s="10"/>
      <c r="S30" s="850"/>
      <c r="T30" s="850"/>
      <c r="AD30" s="30"/>
    </row>
    <row r="31" spans="1:30" s="4" customFormat="1" x14ac:dyDescent="0.25">
      <c r="A31" s="868" t="s">
        <v>372</v>
      </c>
      <c r="B31" s="869">
        <f>SUM(B11:B14)/1000</f>
        <v>43.554912999999992</v>
      </c>
      <c r="C31" s="870">
        <f t="shared" ref="C31:J31" si="5">SUM(C11:C14)/1000</f>
        <v>1.3720995756899581</v>
      </c>
      <c r="D31" s="871">
        <f t="shared" si="5"/>
        <v>7.5842300484907435E-2</v>
      </c>
      <c r="E31" s="869">
        <f t="shared" si="5"/>
        <v>1.4479418761748655</v>
      </c>
      <c r="F31" s="869">
        <f t="shared" si="5"/>
        <v>45.002854876174865</v>
      </c>
      <c r="G31" s="869">
        <f t="shared" si="5"/>
        <v>45.640821129180225</v>
      </c>
      <c r="H31" s="870">
        <f t="shared" si="5"/>
        <v>0.63307850935328058</v>
      </c>
      <c r="I31" s="871">
        <f t="shared" si="5"/>
        <v>4.1650378367820819E-3</v>
      </c>
      <c r="J31" s="869">
        <f t="shared" si="5"/>
        <v>42.908527802991188</v>
      </c>
      <c r="K31" s="1198" t="s">
        <v>10</v>
      </c>
      <c r="L31" s="3"/>
      <c r="M31" s="1199" t="s">
        <v>373</v>
      </c>
      <c r="N31" s="1199" t="s">
        <v>374</v>
      </c>
      <c r="O31" s="1199" t="s">
        <v>374</v>
      </c>
      <c r="P31" s="3"/>
      <c r="Q31" s="3"/>
      <c r="R31" s="77"/>
      <c r="S31" s="134"/>
      <c r="T31" s="77"/>
      <c r="U31" s="77"/>
      <c r="V31" s="77"/>
      <c r="W31" s="77"/>
      <c r="X31" s="872"/>
      <c r="Y31" s="3"/>
      <c r="Z31" s="3"/>
      <c r="AA31" s="3"/>
      <c r="AB31" s="3"/>
    </row>
    <row r="32" spans="1:30" ht="15.75" x14ac:dyDescent="0.25">
      <c r="A32" s="1202" t="s">
        <v>378</v>
      </c>
      <c r="B32" s="1203">
        <f>IF(K16&lt;&gt;"",B15-H16-C16+C15-D16+D15,B16)</f>
        <v>11122.117525236359</v>
      </c>
      <c r="J32" s="355" t="s">
        <v>252</v>
      </c>
      <c r="K32" s="68">
        <f>[2]!Inter_net</f>
        <v>2</v>
      </c>
      <c r="L32" s="68">
        <f>[2]!Inter_tai</f>
        <v>7</v>
      </c>
      <c r="M32" s="1200">
        <f>Inter_net</f>
        <v>2</v>
      </c>
      <c r="N32" s="1200">
        <f>CHOOSE(Inter_net,N33,N34,N35,N36)</f>
        <v>413.72533230184501</v>
      </c>
      <c r="O32" s="1204">
        <f>CHOOSE(Inter_net,O33,O34,O35,O36)</f>
        <v>3.7198431985913834E-2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278</v>
      </c>
      <c r="B33" s="1148">
        <f t="shared" ref="B33:J33" si="6">AVERAGE(B35:B54)</f>
        <v>3.7386105534020955E-2</v>
      </c>
      <c r="C33" s="1149">
        <f t="shared" si="6"/>
        <v>3.8979944089060956E-2</v>
      </c>
      <c r="D33" s="1150">
        <f t="shared" si="6"/>
        <v>2.2597113135868496E-2</v>
      </c>
      <c r="E33" s="1148">
        <f t="shared" si="6"/>
        <v>3.551709816090818E-2</v>
      </c>
      <c r="F33" s="1149">
        <f t="shared" si="6"/>
        <v>3.2331035756465704E-2</v>
      </c>
      <c r="G33" s="1150">
        <f t="shared" si="6"/>
        <v>3.1522076297578077E-3</v>
      </c>
      <c r="H33" s="1151">
        <f t="shared" si="6"/>
        <v>2.4102813260462298E-2</v>
      </c>
      <c r="I33" s="1152">
        <f t="shared" si="6"/>
        <v>3.0031095040887758E-3</v>
      </c>
      <c r="J33" s="1153">
        <f t="shared" si="6"/>
        <v>6.8211512648523487E-2</v>
      </c>
      <c r="K33" s="341"/>
      <c r="L33" s="21"/>
      <c r="M33" s="369">
        <v>1</v>
      </c>
      <c r="N33" s="1205">
        <f>O33*$B$32</f>
        <v>413.72533230184501</v>
      </c>
      <c r="O33" s="1206">
        <f>AVERAGE(H19:H20)/AVERAGE(B19:B20)</f>
        <v>3.7198431985913834E-2</v>
      </c>
      <c r="P33" s="15"/>
    </row>
    <row r="34" spans="1:28" s="239" customFormat="1" ht="41.25" customHeight="1" x14ac:dyDescent="0.2">
      <c r="A34" s="174" t="s">
        <v>52</v>
      </c>
      <c r="B34" s="1154" t="s">
        <v>358</v>
      </c>
      <c r="C34" s="1155" t="s">
        <v>359</v>
      </c>
      <c r="D34" s="1156" t="s">
        <v>360</v>
      </c>
      <c r="E34" s="1154" t="s">
        <v>361</v>
      </c>
      <c r="F34" s="331" t="s">
        <v>362</v>
      </c>
      <c r="G34" s="332" t="s">
        <v>363</v>
      </c>
      <c r="H34" s="331" t="s">
        <v>364</v>
      </c>
      <c r="I34" s="332" t="s">
        <v>365</v>
      </c>
      <c r="J34" s="174" t="s">
        <v>366</v>
      </c>
      <c r="K34" s="331" t="s">
        <v>367</v>
      </c>
      <c r="L34" s="331" t="s">
        <v>368</v>
      </c>
      <c r="M34" s="369">
        <v>2</v>
      </c>
      <c r="N34" s="1207">
        <f>O34*$B$32</f>
        <v>413.72533230184501</v>
      </c>
      <c r="O34" s="1208">
        <f>AVERAGE(H19:H20)/AVERAGE(B19:B20)</f>
        <v>3.7198431985913834E-2</v>
      </c>
      <c r="P34" s="100"/>
      <c r="Q34" s="100"/>
      <c r="R34" s="100"/>
      <c r="S34" s="100"/>
      <c r="T34" s="100"/>
      <c r="U34" s="240"/>
      <c r="V34" s="240"/>
      <c r="W34" s="240"/>
      <c r="X34" s="241"/>
      <c r="Y34" s="238"/>
      <c r="Z34" s="238"/>
      <c r="AA34" s="238"/>
      <c r="AB34" s="238"/>
    </row>
    <row r="35" spans="1:28" s="19" customFormat="1" ht="12.75" x14ac:dyDescent="0.2">
      <c r="A35" s="142">
        <f>A11</f>
        <v>2019</v>
      </c>
      <c r="B35" s="1148">
        <f>'2019'!L$379</f>
        <v>6.7804673955992323E-3</v>
      </c>
      <c r="C35" s="1149">
        <f>'2019'!O$379</f>
        <v>2.2165223301308018E-2</v>
      </c>
      <c r="D35" s="1150">
        <f>'2019'!P$379</f>
        <v>3.7595798748875876E-3</v>
      </c>
      <c r="E35" s="1148">
        <f>'2019'!Wh_Ppv/Recap!B11</f>
        <v>3.5596165102353854E-3</v>
      </c>
      <c r="F35" s="1149">
        <f>'2019'!Wh_Psa/'2019'!D$9</f>
        <v>1.2866445097281678E-2</v>
      </c>
      <c r="G35" s="1150">
        <f>'2019'!Wh_Pvg/'2019'!E$9</f>
        <v>3.1453563875371454E-4</v>
      </c>
      <c r="H35" s="1157">
        <f>H11/'2019'!Z$9</f>
        <v>-1.4809032662786534E-6</v>
      </c>
      <c r="I35" s="1158">
        <f>I11/'2019'!AA$9</f>
        <v>7.7865595294139816E-5</v>
      </c>
      <c r="J35" s="1159">
        <f>1-B11/G11</f>
        <v>1.6563853923591165E-2</v>
      </c>
      <c r="K35" s="846" t="str">
        <f>K11</f>
        <v/>
      </c>
      <c r="L35" s="1160">
        <f>(K35&lt;&gt;"")*('2019'!O$383-'2019'!O$381)</f>
        <v>0</v>
      </c>
      <c r="M35" s="369">
        <v>3</v>
      </c>
      <c r="N35" s="1207">
        <f>O35*$B$32</f>
        <v>399.13966690579474</v>
      </c>
      <c r="O35" s="1208">
        <f>AVERAGE(H18:H20)/AVERAGE(B18:B20)</f>
        <v>3.5887021154032674E-2</v>
      </c>
      <c r="P35" s="369"/>
      <c r="Q35" s="369"/>
      <c r="R35" s="369"/>
      <c r="S35" s="850"/>
      <c r="T35" s="850"/>
    </row>
    <row r="36" spans="1:28" s="19" customFormat="1" ht="12.75" x14ac:dyDescent="0.2">
      <c r="A36" s="144">
        <f t="shared" ref="A36:A44" si="7">A12</f>
        <v>2020</v>
      </c>
      <c r="B36" s="1148">
        <f>'2020'!L$379</f>
        <v>1.3704001356694029E-2</v>
      </c>
      <c r="C36" s="1149">
        <f>'2020'!O$379</f>
        <v>3.8573513993342995E-2</v>
      </c>
      <c r="D36" s="1150">
        <f>'2020'!P$379</f>
        <v>8.897569420155101E-3</v>
      </c>
      <c r="E36" s="1148">
        <f>'2020'!Wh_Ppv/Recap!B12</f>
        <v>1.0208704922166845E-2</v>
      </c>
      <c r="F36" s="1149">
        <f>'2020'!Wh_Psa/'2020'!D$9</f>
        <v>3.2107379766274258E-2</v>
      </c>
      <c r="G36" s="1150">
        <f>'2020'!Wh_Pvg/'2020'!E$9</f>
        <v>1.1202264653585653E-3</v>
      </c>
      <c r="H36" s="1157">
        <f>H12/'2020'!Z$9</f>
        <v>-4.8320656380135262E-6</v>
      </c>
      <c r="I36" s="1158">
        <f>I12/'2020'!AA$9</f>
        <v>1.4344757677027498E-4</v>
      </c>
      <c r="J36" s="1159">
        <f t="shared" ref="J36:J43" si="8">1-B12/G12</f>
        <v>4.2323148580896475E-2</v>
      </c>
      <c r="K36" s="846" t="str">
        <f t="shared" ref="K36:K43" si="9">K12</f>
        <v/>
      </c>
      <c r="L36" s="1160">
        <f>(K36&lt;&gt;"")*('2020'!O$383-'2020'!O$381)</f>
        <v>0</v>
      </c>
      <c r="M36" s="369">
        <v>4</v>
      </c>
      <c r="N36" s="1207">
        <f>O36*$B$32</f>
        <v>406.11886577294541</v>
      </c>
      <c r="O36" s="1208">
        <f>AVERAGE(H17:H20)/AVERAGE(B17:B20)</f>
        <v>3.6514527458593356E-2</v>
      </c>
      <c r="P36" s="369"/>
      <c r="Q36" s="369"/>
      <c r="R36" s="369"/>
      <c r="S36" s="850"/>
      <c r="T36" s="850"/>
    </row>
    <row r="37" spans="1:28" s="19" customFormat="1" ht="12.75" x14ac:dyDescent="0.2">
      <c r="A37" s="144">
        <f t="shared" si="7"/>
        <v>2021</v>
      </c>
      <c r="B37" s="1148">
        <f>'2021'!L$379</f>
        <v>2.0598043127324162E-2</v>
      </c>
      <c r="C37" s="1149">
        <f>'2021'!O$379</f>
        <v>6.2540201668585996E-2</v>
      </c>
      <c r="D37" s="1150">
        <f>'2021'!P$379</f>
        <v>1.403555896542262E-2</v>
      </c>
      <c r="E37" s="1148">
        <f>'2021'!Wh_Ppv/Recap!B13</f>
        <v>1.7346618992825434E-2</v>
      </c>
      <c r="F37" s="1149">
        <f>'2021'!Wh_Psa/'2021'!D$9</f>
        <v>4.7782205151160759E-2</v>
      </c>
      <c r="G37" s="1150">
        <f>'2021'!Wh_Pvg/'2021'!E$9</f>
        <v>1.8474161716085652E-3</v>
      </c>
      <c r="H37" s="1157">
        <f>H13/'2021'!Z$9</f>
        <v>-6.9355909905093021E-6</v>
      </c>
      <c r="I37" s="1158">
        <f>I13/'2021'!AA$9</f>
        <v>1.3113586842460447E-4</v>
      </c>
      <c r="J37" s="1159">
        <f t="shared" si="8"/>
        <v>6.4461764936695976E-2</v>
      </c>
      <c r="K37" s="846" t="str">
        <f t="shared" si="9"/>
        <v/>
      </c>
      <c r="L37" s="1160">
        <f>(K37&lt;&gt;"")*('2021'!O$383-'2021'!O$381)</f>
        <v>0</v>
      </c>
      <c r="M37" s="369"/>
      <c r="N37" s="1209" t="s">
        <v>375</v>
      </c>
      <c r="O37" s="1210"/>
      <c r="P37" s="369"/>
      <c r="Q37" s="369"/>
      <c r="R37" s="369"/>
      <c r="S37" s="850"/>
      <c r="T37" s="850"/>
    </row>
    <row r="38" spans="1:28" s="19" customFormat="1" ht="12.75" x14ac:dyDescent="0.2">
      <c r="A38" s="363">
        <f t="shared" si="7"/>
        <v>2022</v>
      </c>
      <c r="B38" s="1161">
        <f>'2022'!L$379</f>
        <v>2.7425257542036618E-2</v>
      </c>
      <c r="C38" s="1162">
        <f>'2022'!O$379</f>
        <v>1.9550196931185999E-2</v>
      </c>
      <c r="D38" s="1163">
        <f>'2022'!P$379</f>
        <v>2.3749526262313116E-2</v>
      </c>
      <c r="E38" s="1161">
        <f>'2022'!Wh_Ppv/Recap!B14</f>
        <v>2.3948552408587873E-2</v>
      </c>
      <c r="F38" s="1162">
        <f>'2022'!Wh_Psa/'2022'!D$9</f>
        <v>3.0156458155402827E-2</v>
      </c>
      <c r="G38" s="1163">
        <f>'2022'!Wh_Pvg/'2022'!E$9</f>
        <v>3.1600389036704536E-3</v>
      </c>
      <c r="H38" s="1164">
        <f>H14/'2022'!Z$9</f>
        <v>5.7034361361351017E-2</v>
      </c>
      <c r="I38" s="1165">
        <f>I14/'2022'!AA$9</f>
        <v>1.4743266311327976E-5</v>
      </c>
      <c r="J38" s="1166">
        <f t="shared" si="8"/>
        <v>5.5791126241594102E-2</v>
      </c>
      <c r="K38" s="848">
        <f t="shared" si="9"/>
        <v>44683</v>
      </c>
      <c r="L38" s="1167">
        <f>(K38&lt;&gt;"")*('2022'!O$383-'2022'!O$381)</f>
        <v>7.8261019105572857E-2</v>
      </c>
      <c r="M38" s="369"/>
      <c r="N38" s="369"/>
      <c r="O38" s="369"/>
      <c r="P38" s="369"/>
      <c r="Q38" s="369"/>
      <c r="R38" s="369"/>
      <c r="S38" s="850"/>
      <c r="T38" s="850"/>
    </row>
    <row r="39" spans="1:28" s="19" customFormat="1" ht="12.75" x14ac:dyDescent="0.2">
      <c r="A39" s="1168">
        <f t="shared" si="7"/>
        <v>2023</v>
      </c>
      <c r="B39" s="1169">
        <f>'2023'!L$379</f>
        <v>3.4204880815708938E-2</v>
      </c>
      <c r="C39" s="1170">
        <f>'2023'!O$379</f>
        <v>2.9434022897351749E-2</v>
      </c>
      <c r="D39" s="1171">
        <f>'2023'!P$379</f>
        <v>3.4357823729211028E-2</v>
      </c>
      <c r="E39" s="1169">
        <f>'2023'!Wh_Ppv/Recap!B15</f>
        <v>3.1720666116693066E-2</v>
      </c>
      <c r="F39" s="1170">
        <f>'2023'!Wh_Psa/'2023'!D$9</f>
        <v>1.8376745317666986E-2</v>
      </c>
      <c r="G39" s="1171">
        <f>'2023'!Wh_Pvg/'2023'!E$9</f>
        <v>4.5847544954707425E-3</v>
      </c>
      <c r="H39" s="1169">
        <f>H15/'2023'!Z$9</f>
        <v>2.8030931953305048E-2</v>
      </c>
      <c r="I39" s="1172">
        <f>I15/'2023'!AA$9</f>
        <v>9.5538571844119209E-5</v>
      </c>
      <c r="J39" s="1171">
        <f t="shared" si="8"/>
        <v>5.3342975364613299E-2</v>
      </c>
      <c r="K39" s="846">
        <f t="shared" si="9"/>
        <v>45046</v>
      </c>
      <c r="L39" s="1160">
        <f>(K39&lt;&gt;"")*('2023'!O$383-'2023'!O$381)</f>
        <v>2.235657644499844E-2</v>
      </c>
      <c r="M39" s="369"/>
      <c r="N39" s="369"/>
      <c r="O39" s="369"/>
      <c r="P39" s="369"/>
      <c r="Q39" s="369"/>
      <c r="R39" s="369"/>
      <c r="S39" s="850"/>
      <c r="T39" s="850"/>
    </row>
    <row r="40" spans="1:28" s="19" customFormat="1" ht="12.75" x14ac:dyDescent="0.2">
      <c r="A40" s="1168">
        <f t="shared" si="7"/>
        <v>2024</v>
      </c>
      <c r="B40" s="1169">
        <f>'2024'!L$379</f>
        <v>4.0937244696630848E-2</v>
      </c>
      <c r="C40" s="1170">
        <f>'2024'!O$379</f>
        <v>5.2889412101377084E-2</v>
      </c>
      <c r="D40" s="1171">
        <f>'2024'!P$379</f>
        <v>4.7425883866592695E-2</v>
      </c>
      <c r="E40" s="1169">
        <f>'2024'!Wh_Ppv/Recap!B16</f>
        <v>3.8958119297266294E-2</v>
      </c>
      <c r="F40" s="1170">
        <f>'2024'!Wh_Psa/'2024'!D$9</f>
        <v>4.3333723043755094E-2</v>
      </c>
      <c r="G40" s="1171">
        <f>'2024'!Wh_Pvg/'2024'!E$9</f>
        <v>5.9806573947937423E-3</v>
      </c>
      <c r="H40" s="1169">
        <f>H16/'2024'!Z$9</f>
        <v>1.1344142639141961E-2</v>
      </c>
      <c r="I40" s="1172">
        <f>I16/'2024'!AA$9</f>
        <v>2.1382624854820526E-4</v>
      </c>
      <c r="J40" s="1171">
        <f t="shared" si="8"/>
        <v>8.4906175924286065E-2</v>
      </c>
      <c r="K40" s="846" t="str">
        <f t="shared" si="9"/>
        <v/>
      </c>
      <c r="L40" s="1160">
        <f>(K40&lt;&gt;"")*('2024'!O$383-'2024'!O$381)</f>
        <v>0</v>
      </c>
      <c r="M40" s="369"/>
      <c r="N40" s="369"/>
      <c r="O40" s="369"/>
      <c r="P40" s="369"/>
      <c r="Q40" s="369"/>
      <c r="R40" s="369"/>
      <c r="S40" s="850"/>
      <c r="T40" s="850"/>
    </row>
    <row r="41" spans="1:28" s="19" customFormat="1" ht="12.75" x14ac:dyDescent="0.2">
      <c r="A41" s="1168">
        <f t="shared" si="7"/>
        <v>2025</v>
      </c>
      <c r="B41" s="1169">
        <f>'2025'!L$379</f>
        <v>4.7640930714633489E-2</v>
      </c>
      <c r="C41" s="1170">
        <f>'2025'!O$379</f>
        <v>2.9434022897351749E-2</v>
      </c>
      <c r="D41" s="1171">
        <f>'2025'!P$379</f>
        <v>6.5343775435287854E-2</v>
      </c>
      <c r="E41" s="1169">
        <f>'2025'!Wh_Ppv/Recap!B17</f>
        <v>4.6292694714230677E-2</v>
      </c>
      <c r="F41" s="1170">
        <f>'2025'!Wh_Psa/'2025'!D$9</f>
        <v>2.7033855554054825E-2</v>
      </c>
      <c r="G41" s="1171">
        <f>'2025'!Wh_Pvg/'2025'!E$9</f>
        <v>7.9255071855151831E-3</v>
      </c>
      <c r="H41" s="1169">
        <f>H17/'2025'!Z$9</f>
        <v>3.814952797113063E-2</v>
      </c>
      <c r="I41" s="1172">
        <f>I17/'2025'!AA$9</f>
        <v>1.9778878366674377E-5</v>
      </c>
      <c r="J41" s="1171">
        <f t="shared" si="8"/>
        <v>7.8393223725591432E-2</v>
      </c>
      <c r="K41" s="846">
        <f t="shared" si="9"/>
        <v>45777</v>
      </c>
      <c r="L41" s="1160">
        <f>(K41&lt;&gt;"")*('2025'!O$383-'2025'!O$381)</f>
        <v>5.2155979781610552E-2</v>
      </c>
      <c r="M41" s="369"/>
      <c r="N41" s="369"/>
      <c r="O41" s="369"/>
      <c r="P41" s="369"/>
      <c r="Q41" s="369"/>
      <c r="R41" s="369"/>
      <c r="S41" s="850"/>
      <c r="T41" s="850"/>
    </row>
    <row r="42" spans="1:28" s="19" customFormat="1" ht="12.75" x14ac:dyDescent="0.2">
      <c r="A42" s="1168">
        <f t="shared" si="7"/>
        <v>2026</v>
      </c>
      <c r="B42" s="1169">
        <f>'2026'!L$379</f>
        <v>5.4279634589157633E-2</v>
      </c>
      <c r="C42" s="1170">
        <f>'2026'!O$379</f>
        <v>5.2889412101377084E-2</v>
      </c>
      <c r="D42" s="1171">
        <f>'2026'!P$379</f>
        <v>4.3291483896708031E-3</v>
      </c>
      <c r="E42" s="1169">
        <f>'2026'!Wh_Ppv/Recap!B18</f>
        <v>5.3630869789992895E-2</v>
      </c>
      <c r="F42" s="1170">
        <f>'2026'!Wh_Psa/'2026'!D$9</f>
        <v>4.2782836132272767E-2</v>
      </c>
      <c r="G42" s="1171">
        <f>'2026'!Wh_Pvg/'2026'!E$9</f>
        <v>3.4235701407005965E-3</v>
      </c>
      <c r="H42" s="1169">
        <f>H18/'2026'!Z$9</f>
        <v>3.2906687991504771E-2</v>
      </c>
      <c r="I42" s="1172">
        <f>I18/'2026'!AA$9</f>
        <v>6.1674882017435945E-3</v>
      </c>
      <c r="J42" s="1171">
        <f t="shared" si="8"/>
        <v>9.5249201325800059E-2</v>
      </c>
      <c r="K42" s="846" t="str">
        <f t="shared" si="9"/>
        <v/>
      </c>
      <c r="L42" s="1160">
        <f>(K42&lt;&gt;"")*('2026'!O$383-'2026'!O$381)</f>
        <v>0</v>
      </c>
      <c r="M42" s="369"/>
      <c r="N42" s="369"/>
      <c r="O42" s="369"/>
      <c r="P42" s="369"/>
      <c r="Q42" s="369"/>
      <c r="R42" s="369"/>
      <c r="S42" s="850"/>
      <c r="T42" s="850"/>
    </row>
    <row r="43" spans="1:28" s="19" customFormat="1" ht="12.75" x14ac:dyDescent="0.2">
      <c r="A43" s="1168">
        <f t="shared" si="7"/>
        <v>2027</v>
      </c>
      <c r="B43" s="1169">
        <f>'2027'!L$379</f>
        <v>6.0872061391771592E-2</v>
      </c>
      <c r="C43" s="1170">
        <f>'2027'!O$379</f>
        <v>2.9434022897351749E-2</v>
      </c>
      <c r="D43" s="1171">
        <f>'2027'!P$379</f>
        <v>9.4671379349383251E-3</v>
      </c>
      <c r="E43" s="1169">
        <f>'2027'!Wh_Ppv/Recap!B19</f>
        <v>6.1040780639100164E-2</v>
      </c>
      <c r="F43" s="1170">
        <f>'2027'!Wh_Psa/'2027'!D$9</f>
        <v>2.6725612231351746E-2</v>
      </c>
      <c r="G43" s="1171">
        <f>'2027'!Wh_Pvg/'2027'!E$9</f>
        <v>1.171605280649729E-3</v>
      </c>
      <c r="H43" s="1169">
        <f>H19/'2027'!Z$9</f>
        <v>4.1436659716060704E-2</v>
      </c>
      <c r="I43" s="1172">
        <f>I19/'2027'!AA$9</f>
        <v>1.0694874101390391E-2</v>
      </c>
      <c r="J43" s="1171">
        <f t="shared" si="8"/>
        <v>8.4687918413881347E-2</v>
      </c>
      <c r="K43" s="846">
        <f t="shared" si="9"/>
        <v>46507</v>
      </c>
      <c r="L43" s="1160">
        <f>(K43&lt;&gt;"")*('2027'!O$383-'2027'!O$381)</f>
        <v>5.2110801964883741E-2</v>
      </c>
      <c r="M43" s="369"/>
      <c r="N43" s="369"/>
      <c r="O43" s="369"/>
      <c r="P43" s="369"/>
      <c r="Q43" s="369"/>
      <c r="R43" s="369"/>
      <c r="S43" s="850"/>
      <c r="T43" s="850"/>
    </row>
    <row r="44" spans="1:28" s="19" customFormat="1" ht="12.75" x14ac:dyDescent="0.2">
      <c r="A44" s="1168">
        <f t="shared" si="7"/>
        <v>2028</v>
      </c>
      <c r="B44" s="1169">
        <f>'2028'!L$379</f>
        <v>6.7418533710652984E-2</v>
      </c>
      <c r="C44" s="1170">
        <f>'2028'!O$379</f>
        <v>5.2889412101377084E-2</v>
      </c>
      <c r="D44" s="1171">
        <f>'2028'!P$379</f>
        <v>1.4605127480205839E-2</v>
      </c>
      <c r="E44" s="1169">
        <f>'2028'!Wh_Ppv/Recap!B20</f>
        <v>6.8464358217983148E-2</v>
      </c>
      <c r="F44" s="1170">
        <f>'2028'!Wh_Psa/'2028'!D$9</f>
        <v>4.2145097115436118E-2</v>
      </c>
      <c r="G44" s="1171">
        <f>'2028'!Wh_Pvg/'2028'!E$9</f>
        <v>1.9937646210567823E-3</v>
      </c>
      <c r="H44" s="1169">
        <f>H20/'2028'!Z$9</f>
        <v>3.2139069532023695E-2</v>
      </c>
      <c r="I44" s="1172">
        <f>I20/'2028'!AA$9</f>
        <v>1.2472396732194427E-2</v>
      </c>
      <c r="J44" s="1171">
        <f>1-B20/G20</f>
        <v>0.10639573804828495</v>
      </c>
      <c r="K44" s="846" t="str">
        <f>K20</f>
        <v/>
      </c>
      <c r="L44" s="1160">
        <f>(K44&lt;&gt;"")*('2028'!O$383-'2028'!O$381)</f>
        <v>0</v>
      </c>
      <c r="M44" s="369"/>
      <c r="N44" s="369"/>
      <c r="O44" s="369"/>
      <c r="P44" s="369"/>
      <c r="Q44" s="369"/>
      <c r="R44" s="369"/>
      <c r="S44" s="850"/>
      <c r="T44" s="850"/>
    </row>
    <row r="45" spans="1:28" s="19" customFormat="1" ht="12.75" x14ac:dyDescent="0.2">
      <c r="A45" s="699"/>
      <c r="B45" s="852"/>
      <c r="C45" s="1173"/>
      <c r="D45" s="1174"/>
      <c r="E45" s="852"/>
      <c r="F45" s="1173"/>
      <c r="G45" s="1174"/>
      <c r="H45" s="1175"/>
      <c r="I45" s="700"/>
      <c r="J45" s="1174"/>
      <c r="K45" s="862"/>
      <c r="L45" s="1174"/>
      <c r="M45" s="10"/>
      <c r="N45" s="10"/>
      <c r="O45" s="10"/>
      <c r="P45" s="10"/>
      <c r="Q45" s="10"/>
      <c r="R45" s="10"/>
      <c r="S45" s="850"/>
      <c r="T45" s="850"/>
    </row>
    <row r="46" spans="1:28" s="19" customFormat="1" ht="12.75" x14ac:dyDescent="0.2">
      <c r="A46" s="699"/>
      <c r="B46" s="852"/>
      <c r="C46" s="1173"/>
      <c r="D46" s="1174"/>
      <c r="E46" s="852"/>
      <c r="F46" s="1173"/>
      <c r="G46" s="1174"/>
      <c r="H46" s="1175"/>
      <c r="I46" s="700"/>
      <c r="J46" s="1174"/>
      <c r="K46" s="862"/>
      <c r="L46" s="1174"/>
      <c r="M46" s="10"/>
      <c r="N46" s="10"/>
      <c r="O46" s="10"/>
      <c r="P46" s="851"/>
      <c r="Q46" s="10"/>
      <c r="R46" s="851"/>
      <c r="S46" s="850"/>
      <c r="T46" s="850"/>
    </row>
    <row r="47" spans="1:28" s="19" customFormat="1" ht="12.75" x14ac:dyDescent="0.2">
      <c r="A47" s="699"/>
      <c r="B47" s="852"/>
      <c r="C47" s="1173"/>
      <c r="D47" s="1174"/>
      <c r="E47" s="852"/>
      <c r="F47" s="1173"/>
      <c r="G47" s="1174"/>
      <c r="H47" s="1175"/>
      <c r="I47" s="700"/>
      <c r="J47" s="1174"/>
      <c r="K47" s="862"/>
      <c r="L47" s="1174"/>
      <c r="M47" s="10"/>
      <c r="N47" s="10"/>
      <c r="O47" s="10"/>
      <c r="P47" s="851"/>
      <c r="Q47" s="10"/>
      <c r="S47" s="850"/>
      <c r="T47" s="850"/>
    </row>
    <row r="48" spans="1:28" s="19" customFormat="1" ht="12.75" x14ac:dyDescent="0.2">
      <c r="A48" s="699"/>
      <c r="B48" s="852"/>
      <c r="C48" s="1173"/>
      <c r="D48" s="1174"/>
      <c r="E48" s="852"/>
      <c r="F48" s="1173"/>
      <c r="G48" s="1174"/>
      <c r="H48" s="1175"/>
      <c r="I48" s="700"/>
      <c r="J48" s="1174"/>
      <c r="K48" s="862"/>
      <c r="L48" s="1174"/>
      <c r="M48" s="10"/>
      <c r="N48" s="10"/>
      <c r="O48" s="10"/>
      <c r="P48" s="851"/>
      <c r="Q48" s="10"/>
      <c r="R48" s="851"/>
      <c r="S48" s="850"/>
      <c r="T48" s="850"/>
    </row>
    <row r="49" spans="1:30" s="19" customFormat="1" ht="12.75" x14ac:dyDescent="0.2">
      <c r="A49" s="699"/>
      <c r="B49" s="852"/>
      <c r="C49" s="1173"/>
      <c r="D49" s="1174"/>
      <c r="E49" s="852"/>
      <c r="F49" s="1173"/>
      <c r="G49" s="1174"/>
      <c r="H49" s="1175"/>
      <c r="I49" s="700"/>
      <c r="J49" s="1174"/>
      <c r="K49" s="862"/>
      <c r="L49" s="1174"/>
      <c r="M49" s="10"/>
      <c r="N49" s="10"/>
      <c r="O49" s="10"/>
      <c r="P49" s="851"/>
      <c r="Q49" s="10"/>
      <c r="R49" s="851"/>
      <c r="S49" s="850"/>
      <c r="T49" s="850"/>
    </row>
    <row r="50" spans="1:30" s="19" customFormat="1" ht="12.75" x14ac:dyDescent="0.2">
      <c r="A50" s="699"/>
      <c r="B50" s="852"/>
      <c r="C50" s="1173"/>
      <c r="D50" s="1174"/>
      <c r="E50" s="852"/>
      <c r="F50" s="1173"/>
      <c r="G50" s="1174"/>
      <c r="H50" s="1175"/>
      <c r="I50" s="700"/>
      <c r="J50" s="1174"/>
      <c r="K50" s="862"/>
      <c r="L50" s="1174"/>
      <c r="M50" s="10"/>
      <c r="N50" s="10"/>
      <c r="O50" s="10"/>
      <c r="P50" s="851"/>
      <c r="Q50" s="10"/>
      <c r="R50" s="851"/>
      <c r="S50" s="850"/>
      <c r="T50" s="850"/>
    </row>
    <row r="51" spans="1:30" s="19" customFormat="1" ht="12.75" x14ac:dyDescent="0.2">
      <c r="A51" s="699"/>
      <c r="B51" s="852"/>
      <c r="C51" s="1173"/>
      <c r="D51" s="1174"/>
      <c r="E51" s="852"/>
      <c r="F51" s="1173"/>
      <c r="G51" s="1174"/>
      <c r="H51" s="1175"/>
      <c r="I51" s="700"/>
      <c r="J51" s="1174"/>
      <c r="K51" s="862"/>
      <c r="L51" s="1174"/>
      <c r="M51" s="10"/>
      <c r="N51" s="10"/>
      <c r="O51" s="10"/>
      <c r="P51" s="851"/>
      <c r="Q51" s="10"/>
      <c r="R51" s="851"/>
      <c r="S51" s="850"/>
      <c r="T51" s="850"/>
    </row>
    <row r="52" spans="1:30" s="19" customFormat="1" ht="12.75" x14ac:dyDescent="0.2">
      <c r="A52" s="699"/>
      <c r="B52" s="852"/>
      <c r="C52" s="1173"/>
      <c r="D52" s="1174"/>
      <c r="E52" s="852"/>
      <c r="F52" s="1173"/>
      <c r="G52" s="1174"/>
      <c r="H52" s="1175"/>
      <c r="I52" s="700"/>
      <c r="J52" s="1174"/>
      <c r="K52" s="862"/>
      <c r="L52" s="1174"/>
      <c r="M52" s="10"/>
      <c r="N52" s="10"/>
      <c r="O52" s="10"/>
      <c r="P52" s="10"/>
      <c r="Q52" s="10"/>
      <c r="R52" s="10"/>
      <c r="S52" s="850"/>
      <c r="T52" s="850"/>
    </row>
    <row r="53" spans="1:30" s="19" customFormat="1" ht="12.75" x14ac:dyDescent="0.2">
      <c r="A53" s="699"/>
      <c r="B53" s="852"/>
      <c r="C53" s="1173"/>
      <c r="D53" s="1174"/>
      <c r="E53" s="852"/>
      <c r="F53" s="1173"/>
      <c r="G53" s="1174"/>
      <c r="H53" s="1175"/>
      <c r="I53" s="700"/>
      <c r="J53" s="1174"/>
      <c r="K53" s="862"/>
      <c r="L53" s="1174"/>
      <c r="M53" s="10"/>
      <c r="N53" s="10"/>
      <c r="O53" s="10"/>
      <c r="P53" s="10"/>
      <c r="Q53" s="10"/>
      <c r="R53" s="10"/>
      <c r="S53" s="850"/>
      <c r="T53" s="850"/>
    </row>
    <row r="54" spans="1:30" s="19" customFormat="1" ht="12.75" x14ac:dyDescent="0.2">
      <c r="A54" s="702"/>
      <c r="B54" s="854"/>
      <c r="C54" s="703"/>
      <c r="D54" s="1176"/>
      <c r="E54" s="854"/>
      <c r="F54" s="703"/>
      <c r="G54" s="1176"/>
      <c r="H54" s="1177"/>
      <c r="I54" s="703"/>
      <c r="J54" s="1176"/>
      <c r="K54" s="864"/>
      <c r="L54" s="1176"/>
      <c r="M54" s="10"/>
      <c r="N54" s="10"/>
      <c r="O54" s="10"/>
      <c r="P54" s="10"/>
      <c r="Q54" s="10"/>
      <c r="R54" s="10"/>
      <c r="S54" s="850"/>
      <c r="T54" s="850"/>
      <c r="AD54" s="30"/>
    </row>
    <row r="55" spans="1:30" s="19" customFormat="1" ht="12.75" x14ac:dyDescent="0.2">
      <c r="A55" s="1178"/>
      <c r="B55" s="700"/>
      <c r="C55" s="701"/>
      <c r="D55" s="698"/>
      <c r="E55" s="700"/>
      <c r="F55" s="700"/>
      <c r="G55" s="700"/>
      <c r="H55" s="701"/>
      <c r="I55" s="698"/>
      <c r="J55" s="700"/>
      <c r="K55" s="1179"/>
      <c r="L55" s="1179"/>
      <c r="M55" s="700"/>
      <c r="N55" s="1180"/>
      <c r="O55" s="10"/>
      <c r="P55" s="10"/>
      <c r="Q55" s="10"/>
      <c r="R55" s="10"/>
      <c r="S55" s="850"/>
      <c r="T55" s="850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8">
        <f>MIN(B$61:B$80)</f>
        <v>2.9642167012691845</v>
      </c>
      <c r="C57" s="368">
        <f t="shared" ref="C57:N57" si="10">MIN(C$61:C$80)</f>
        <v>3.9773952315783601</v>
      </c>
      <c r="D57" s="368">
        <f t="shared" si="10"/>
        <v>5.0256706513404312</v>
      </c>
      <c r="E57" s="368">
        <f t="shared" si="10"/>
        <v>5.7925816446085214</v>
      </c>
      <c r="F57" s="368">
        <f t="shared" si="10"/>
        <v>6.1513395453323305</v>
      </c>
      <c r="G57" s="368">
        <f t="shared" si="10"/>
        <v>6.1231876891373078</v>
      </c>
      <c r="H57" s="368">
        <f t="shared" si="10"/>
        <v>5.8313334258376113</v>
      </c>
      <c r="I57" s="368">
        <f t="shared" si="10"/>
        <v>5.3959419865981237</v>
      </c>
      <c r="J57" s="368">
        <f t="shared" si="10"/>
        <v>4.8089089437809163</v>
      </c>
      <c r="K57" s="368">
        <f t="shared" si="10"/>
        <v>3.9694822100171496</v>
      </c>
      <c r="L57" s="368">
        <f t="shared" si="10"/>
        <v>3.1099733634925744</v>
      </c>
      <c r="M57" s="368">
        <f t="shared" si="10"/>
        <v>2.5266474334188325</v>
      </c>
      <c r="N57" s="368">
        <f t="shared" si="10"/>
        <v>4.6690797900693974</v>
      </c>
      <c r="P57" s="369"/>
      <c r="Q57" s="370"/>
      <c r="R57" s="369"/>
      <c r="S57" s="369"/>
      <c r="T57" s="369"/>
      <c r="U57" s="369"/>
      <c r="V57" s="369"/>
    </row>
    <row r="58" spans="1:30" s="10" customFormat="1" ht="11.25" x14ac:dyDescent="0.2">
      <c r="A58" s="75" t="s">
        <v>58</v>
      </c>
      <c r="B58" s="368">
        <f>AVERAGE(B$61:B$80)</f>
        <v>3.0898353921958517</v>
      </c>
      <c r="C58" s="368">
        <f t="shared" ref="C58:N58" si="11">AVERAGE(C$61:C$80)</f>
        <v>4.1242975436303686</v>
      </c>
      <c r="D58" s="368">
        <f t="shared" si="11"/>
        <v>5.1975528386451764</v>
      </c>
      <c r="E58" s="368">
        <f t="shared" si="11"/>
        <v>5.9854217080060295</v>
      </c>
      <c r="F58" s="368">
        <f t="shared" si="11"/>
        <v>6.420419445521822</v>
      </c>
      <c r="G58" s="368">
        <f t="shared" si="11"/>
        <v>6.4292553486258583</v>
      </c>
      <c r="H58" s="368">
        <f t="shared" si="11"/>
        <v>6.1213884873133981</v>
      </c>
      <c r="I58" s="368">
        <f t="shared" si="11"/>
        <v>5.6611748000627173</v>
      </c>
      <c r="J58" s="368">
        <f t="shared" si="11"/>
        <v>5.0425514981493444</v>
      </c>
      <c r="K58" s="368">
        <f t="shared" si="11"/>
        <v>4.1507465942095259</v>
      </c>
      <c r="L58" s="368">
        <f t="shared" si="11"/>
        <v>3.2466197367747727</v>
      </c>
      <c r="M58" s="368">
        <f t="shared" si="11"/>
        <v>2.6433072656411052</v>
      </c>
      <c r="N58" s="368">
        <f t="shared" si="11"/>
        <v>4.8448346509935298</v>
      </c>
      <c r="P58" s="369"/>
      <c r="Q58" s="370"/>
      <c r="R58" s="369"/>
      <c r="S58" s="369"/>
      <c r="T58" s="369"/>
      <c r="U58" s="369"/>
      <c r="V58" s="369"/>
    </row>
    <row r="59" spans="1:30" s="10" customFormat="1" ht="11.25" x14ac:dyDescent="0.2">
      <c r="A59" s="75" t="s">
        <v>59</v>
      </c>
      <c r="B59" s="368">
        <f>MAX(B$61:B$80)</f>
        <v>3.2810115090174929</v>
      </c>
      <c r="C59" s="368">
        <f t="shared" ref="C59:N59" si="12">MAX(C$61:C$80)</f>
        <v>4.3605563753896766</v>
      </c>
      <c r="D59" s="368">
        <f t="shared" si="12"/>
        <v>5.4497697857602567</v>
      </c>
      <c r="E59" s="368">
        <f t="shared" si="12"/>
        <v>6.2700711929039326</v>
      </c>
      <c r="F59" s="368">
        <f t="shared" si="12"/>
        <v>6.6123116743763521</v>
      </c>
      <c r="G59" s="368">
        <f t="shared" si="12"/>
        <v>6.7396607213015578</v>
      </c>
      <c r="H59" s="368">
        <f t="shared" si="12"/>
        <v>6.4215972902544571</v>
      </c>
      <c r="I59" s="368">
        <f t="shared" si="12"/>
        <v>5.9487311171430264</v>
      </c>
      <c r="J59" s="368">
        <f t="shared" si="12"/>
        <v>5.3067175760555676</v>
      </c>
      <c r="K59" s="368">
        <f t="shared" si="12"/>
        <v>4.3934787632474661</v>
      </c>
      <c r="L59" s="368">
        <f t="shared" si="12"/>
        <v>3.4625345986426046</v>
      </c>
      <c r="M59" s="368">
        <f t="shared" si="12"/>
        <v>2.8280497766035442</v>
      </c>
      <c r="N59" s="368">
        <f t="shared" si="12"/>
        <v>5.0143956918926031</v>
      </c>
      <c r="P59" s="369"/>
      <c r="Q59" s="370"/>
      <c r="R59" s="369"/>
      <c r="S59" s="369"/>
      <c r="T59" s="369"/>
      <c r="U59" s="369"/>
      <c r="V59" s="369"/>
    </row>
    <row r="60" spans="1:30" s="19" customFormat="1" ht="12.75" x14ac:dyDescent="0.2">
      <c r="A60" s="107" t="s">
        <v>52</v>
      </c>
      <c r="B60" s="343">
        <v>15</v>
      </c>
      <c r="C60" s="343">
        <v>46</v>
      </c>
      <c r="D60" s="343">
        <v>75</v>
      </c>
      <c r="E60" s="343">
        <v>106</v>
      </c>
      <c r="F60" s="343">
        <v>136</v>
      </c>
      <c r="G60" s="343">
        <v>167</v>
      </c>
      <c r="H60" s="343">
        <v>197</v>
      </c>
      <c r="I60" s="343">
        <v>228</v>
      </c>
      <c r="J60" s="343">
        <v>259</v>
      </c>
      <c r="K60" s="343">
        <v>289</v>
      </c>
      <c r="L60" s="343">
        <v>320</v>
      </c>
      <c r="M60" s="343">
        <v>350</v>
      </c>
      <c r="N60" s="343" t="s">
        <v>60</v>
      </c>
      <c r="O60" s="30"/>
      <c r="P60" s="149"/>
      <c r="Q60" s="342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'2019'!An</f>
        <v>2019</v>
      </c>
      <c r="B61" s="344"/>
      <c r="C61" s="344"/>
      <c r="D61" s="344"/>
      <c r="E61" s="345"/>
      <c r="F61" s="344"/>
      <c r="G61" s="344">
        <f>AVERAGE('2019'!$V$166:$V$195)/Pc</f>
        <v>6.7396607213015578</v>
      </c>
      <c r="H61" s="344">
        <f>AVERAGE('2019'!$V$196:$V$226)/Pc</f>
        <v>6.4215972902544571</v>
      </c>
      <c r="I61" s="344">
        <f>AVERAGE('2019'!$V$227:$V$257)/Pc</f>
        <v>5.9487311171430264</v>
      </c>
      <c r="J61" s="346">
        <f>AVERAGE('2019'!$V$258:$V$287)/Pc</f>
        <v>5.3067175760555676</v>
      </c>
      <c r="K61" s="347">
        <f>AVERAGE('2019'!$V$288:$V$318)/Pc</f>
        <v>4.3934787632474661</v>
      </c>
      <c r="L61" s="344">
        <f>AVERAGE('2019'!$V$319:$V$348)/Pc</f>
        <v>3.4625345986426046</v>
      </c>
      <c r="M61" s="348">
        <f>AVERAGE('2019'!$V$349:$V$379)/Pc</f>
        <v>2.8280497766035442</v>
      </c>
      <c r="N61" s="352">
        <f t="shared" ref="N61:N66" si="13">AVERAGE(B61:M61)</f>
        <v>5.0143956918926031</v>
      </c>
      <c r="O61" s="30"/>
      <c r="P61" s="149"/>
      <c r="Q61" s="342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'2020'!An</f>
        <v>2020</v>
      </c>
      <c r="B62" s="349">
        <f>AVERAGE('2020'!$V$15:$V$45)/Pc</f>
        <v>3.2810115090174929</v>
      </c>
      <c r="C62" s="349">
        <f>AVERAGE('2020'!$V$46:$V$73)/Pc</f>
        <v>4.3605563753896766</v>
      </c>
      <c r="D62" s="349">
        <f>AVERAGE('2020'!$V$74:$V$104)/Pc</f>
        <v>5.4497697857602567</v>
      </c>
      <c r="E62" s="350">
        <f>AVERAGE('2020'!$V$105:$V$134)/Pc</f>
        <v>6.2700711929039326</v>
      </c>
      <c r="F62" s="349">
        <f>AVERAGE('2020'!$V$135:$V$165)/Pc</f>
        <v>6.5794244266480559</v>
      </c>
      <c r="G62" s="349">
        <f>AVERAGE('2020'!$V$166:$V$195)/Pc</f>
        <v>6.5539680858792169</v>
      </c>
      <c r="H62" s="349">
        <f>AVERAGE('2020'!$V$196:$V$226)/Pc</f>
        <v>6.2466248207327988</v>
      </c>
      <c r="I62" s="349">
        <f>AVERAGE('2020'!$V$227:$V$257)/Pc</f>
        <v>5.7869709729260297</v>
      </c>
      <c r="J62" s="347">
        <f>AVERAGE('2020'!$V$258:$V$287)/Pc</f>
        <v>5.1629455434878615</v>
      </c>
      <c r="K62" s="347">
        <f>AVERAGE('2020'!$V$288:$V$318)/Pc</f>
        <v>4.2708228764191052</v>
      </c>
      <c r="L62" s="349">
        <f>AVERAGE('2020'!$V$319:$V$348)/Pc</f>
        <v>3.3583782959083606</v>
      </c>
      <c r="M62" s="351">
        <f>AVERAGE('2020'!$V$349:$V$379)/Pc</f>
        <v>2.7461230181460481</v>
      </c>
      <c r="N62" s="353">
        <f t="shared" si="13"/>
        <v>5.0055555752682368</v>
      </c>
      <c r="O62" s="30"/>
      <c r="P62" s="149"/>
      <c r="Q62" s="342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'2021'!An</f>
        <v>2021</v>
      </c>
      <c r="B63" s="349">
        <f>AVERAGE('2021'!$V$15:$V$45)/Pc</f>
        <v>3.1878666628957104</v>
      </c>
      <c r="C63" s="349">
        <f>AVERAGE('2021'!$V$46:$V$74)/Pc</f>
        <v>4.262842566862834</v>
      </c>
      <c r="D63" s="349">
        <f>AVERAGE('2021'!$V$75:$V$105)/Pc</f>
        <v>5.3555827674933703</v>
      </c>
      <c r="E63" s="350">
        <f>AVERAGE('2021'!$V$106:$V$135)/Pc</f>
        <v>6.1432924209017159</v>
      </c>
      <c r="F63" s="349">
        <f>AVERAGE('2021'!$V$136:$V$166)/Pc</f>
        <v>6.4362535084496315</v>
      </c>
      <c r="G63" s="349">
        <f>AVERAGE('2021'!$V$167:$V$196)/Pc</f>
        <v>6.4033041201665757</v>
      </c>
      <c r="H63" s="349">
        <f>AVERAGE('2021'!$V$197:$V$227)/Pc</f>
        <v>6.0969441406112264</v>
      </c>
      <c r="I63" s="349">
        <f>AVERAGE('2021'!$V$228:$V$258)/Pc</f>
        <v>5.6437019356441205</v>
      </c>
      <c r="J63" s="347">
        <f>AVERAGE('2021'!$V$259:$V$288)/Pc</f>
        <v>5.0244736731007293</v>
      </c>
      <c r="K63" s="347">
        <f>AVERAGE('2021'!$V$289:$V$319)/Pc</f>
        <v>4.1409498913739657</v>
      </c>
      <c r="L63" s="349">
        <f>AVERAGE('2021'!$V$320:$V$349)/Pc</f>
        <v>3.235710134654604</v>
      </c>
      <c r="M63" s="351">
        <f>AVERAGE('2021'!$V$350:$V$380)/Pc</f>
        <v>2.645795190324074</v>
      </c>
      <c r="N63" s="354">
        <f t="shared" si="13"/>
        <v>4.8813930843732125</v>
      </c>
      <c r="O63" s="30"/>
      <c r="P63" s="149"/>
      <c r="Q63" s="342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'2022'!An</f>
        <v>2022</v>
      </c>
      <c r="B64" s="349">
        <f>AVERAGE('2022'!$V$15:$V$45)/Pc</f>
        <v>3.0618400379417881</v>
      </c>
      <c r="C64" s="349">
        <f>AVERAGE('2022'!$V$46:$V$73)/Pc</f>
        <v>4.0610068811765165</v>
      </c>
      <c r="D64" s="349">
        <f>AVERAGE('2022'!$V$74:$V$104)/Pc</f>
        <v>5.0837133686231635</v>
      </c>
      <c r="E64" s="350">
        <f>AVERAGE('2022'!$V$105:$V$134)/Pc</f>
        <v>5.8272461046826987</v>
      </c>
      <c r="F64" s="349">
        <f>AVERAGE('2022'!$V$135:$V$165)/Pc</f>
        <v>6.6123116743763521</v>
      </c>
      <c r="G64" s="349">
        <f>AVERAGE('2022'!$V$166:$V$195)/Pc</f>
        <v>6.6065028300153976</v>
      </c>
      <c r="H64" s="349">
        <f>AVERAGE('2022'!$V$196:$V$226)/Pc</f>
        <v>6.2947786607841145</v>
      </c>
      <c r="I64" s="349">
        <f>AVERAGE('2022'!$V$227:$V$257)/Pc</f>
        <v>5.8233544041506766</v>
      </c>
      <c r="J64" s="347">
        <f>AVERAGE('2022'!$V$258:$V$287)/Pc</f>
        <v>5.1885711921624242</v>
      </c>
      <c r="K64" s="347">
        <f>AVERAGE('2022'!$V$288:$V$318)/Pc</f>
        <v>4.2704733589600341</v>
      </c>
      <c r="L64" s="349">
        <f>AVERAGE('2022'!$V$319:$V$348)/Pc</f>
        <v>3.3363486982918151</v>
      </c>
      <c r="M64" s="351">
        <f>AVERAGE('2022'!$V$349:$V$379)/Pc</f>
        <v>2.7205153444219055</v>
      </c>
      <c r="N64" s="353">
        <f t="shared" si="13"/>
        <v>4.9072218796322407</v>
      </c>
      <c r="O64" s="30"/>
      <c r="P64" s="149"/>
      <c r="Q64" s="342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544">
        <f>'2023'!An</f>
        <v>2023</v>
      </c>
      <c r="B65" s="545">
        <f>AVERAGE('2023'!$V$15:$V$45)/Pc</f>
        <v>3.1663208814112349</v>
      </c>
      <c r="C65" s="545">
        <f>AVERAGE('2023'!$V$46:$V$73)/Pc</f>
        <v>4.2272369645651837</v>
      </c>
      <c r="D65" s="545">
        <f>AVERAGE('2023'!$V$74:$V$104)/Pc</f>
        <v>5.3371840763009297</v>
      </c>
      <c r="E65" s="547">
        <f>AVERAGE('2023'!$V$105:$V$134)/Pc</f>
        <v>6.1513553543739503</v>
      </c>
      <c r="F65" s="545">
        <f>AVERAGE('2023'!$V$135:$V$165)/Pc</f>
        <v>6.5734415922569092</v>
      </c>
      <c r="G65" s="545">
        <f>AVERAGE('2023'!$V$166:$V$195)/Pc</f>
        <v>6.544236726682656</v>
      </c>
      <c r="H65" s="545">
        <f>AVERAGE('2023'!$V$196:$V$226)/Pc</f>
        <v>6.2253293270102112</v>
      </c>
      <c r="I65" s="545">
        <f>AVERAGE('2023'!$V$227:$V$257)/Pc</f>
        <v>5.7472392460558126</v>
      </c>
      <c r="J65" s="545">
        <f>AVERAGE('2023'!$V$258:$V$287)/Pc</f>
        <v>5.1118308569664341</v>
      </c>
      <c r="K65" s="545">
        <f>AVERAGE('2023'!$V$288:$V$318)/Pc</f>
        <v>4.1888945499161343</v>
      </c>
      <c r="L65" s="545">
        <f>AVERAGE('2023'!$V$319:$V$348)/Pc</f>
        <v>3.2605359233501896</v>
      </c>
      <c r="M65" s="546">
        <f>AVERAGE('2023'!$V$349:$V$379)/Pc</f>
        <v>2.6468067198135796</v>
      </c>
      <c r="N65" s="552">
        <f t="shared" si="13"/>
        <v>4.9317010182252696</v>
      </c>
      <c r="O65" s="30"/>
      <c r="P65" s="149"/>
      <c r="Q65" s="342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4">
        <v>2023</v>
      </c>
      <c r="B66" s="545">
        <f>AVERAGE('2024'!$V$15:$V$45)/Pc</f>
        <v>3.0871166703609836</v>
      </c>
      <c r="C66" s="545">
        <f>AVERAGE('2024'!$V$46:$V$73)/Pc</f>
        <v>4.1253416964832006</v>
      </c>
      <c r="D66" s="545">
        <f>AVERAGE('2024'!$V$74:$V$104)/Pc</f>
        <v>5.2263205189175919</v>
      </c>
      <c r="E66" s="547">
        <f>AVERAGE('2024'!$V$105:$V$134)/Pc</f>
        <v>6.0165073328296055</v>
      </c>
      <c r="F66" s="545">
        <f>AVERAGE('2024'!$V$135:$V$165)/Pc</f>
        <v>6.318093812280777</v>
      </c>
      <c r="G66" s="545">
        <f>AVERAGE('2024'!$V$166:$V$195)/Pc</f>
        <v>6.295342831393504</v>
      </c>
      <c r="H66" s="545">
        <f>AVERAGE('2024'!$V$196:$V$226)/Pc</f>
        <v>5.9917963116707549</v>
      </c>
      <c r="I66" s="545">
        <f>AVERAGE('2024'!$V$227:$V$257)/Pc</f>
        <v>5.5329513405776067</v>
      </c>
      <c r="J66" s="545">
        <f>AVERAGE('2024'!$V$258:$V$287)/Pc</f>
        <v>4.9238723661056483</v>
      </c>
      <c r="K66" s="545">
        <f>AVERAGE('2024'!$V$288:$V$318)/Pc</f>
        <v>4.025209433311935</v>
      </c>
      <c r="L66" s="545">
        <f>AVERAGE('2024'!$V$319:$V$348)/Pc</f>
        <v>3.127268774852475</v>
      </c>
      <c r="M66" s="546">
        <f>AVERAGE('2024'!$V$349:$V$379)/Pc</f>
        <v>2.5291581909844303</v>
      </c>
      <c r="N66" s="552">
        <f t="shared" si="13"/>
        <v>4.7665816066473763</v>
      </c>
      <c r="O66" s="30"/>
      <c r="P66" s="149"/>
      <c r="Q66" s="342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4">
        <v>2024</v>
      </c>
      <c r="B67" s="545">
        <f>AVERAGE('2025'!$V$15:$V$45)/Pc</f>
        <v>2.9642167012691845</v>
      </c>
      <c r="C67" s="545">
        <f>AVERAGE('2025'!$V$46:$V$73)/Pc</f>
        <v>3.9773952315783601</v>
      </c>
      <c r="D67" s="545">
        <f>AVERAGE('2025'!$V$74:$V$104)/Pc</f>
        <v>5.0653730184901287</v>
      </c>
      <c r="E67" s="547">
        <f>AVERAGE('2025'!$V$105:$V$134)/Pc</f>
        <v>5.8492297451028499</v>
      </c>
      <c r="F67" s="545">
        <f>AVERAGE('2025'!$V$135:$V$165)/Pc</f>
        <v>6.4744618420004176</v>
      </c>
      <c r="G67" s="545">
        <f>AVERAGE('2025'!$V$166:$V$195)/Pc</f>
        <v>6.4514502685154005</v>
      </c>
      <c r="H67" s="545">
        <f>AVERAGE('2025'!$V$196:$V$226)/Pc</f>
        <v>6.1337570141750595</v>
      </c>
      <c r="I67" s="545">
        <f>AVERAGE('2025'!$V$227:$V$257)/Pc</f>
        <v>5.6527882153906486</v>
      </c>
      <c r="J67" s="545">
        <f>AVERAGE('2025'!$V$258:$V$287)/Pc</f>
        <v>5.0218099277734103</v>
      </c>
      <c r="K67" s="545">
        <f>AVERAGE('2025'!$V$288:$V$318)/Pc</f>
        <v>4.0817900575706112</v>
      </c>
      <c r="L67" s="545">
        <f>AVERAGE('2025'!$V$319:$V$348)/Pc</f>
        <v>3.1523230709823071</v>
      </c>
      <c r="M67" s="546">
        <f>AVERAGE('2025'!$V$349:$V$379)/Pc</f>
        <v>2.5266474334188325</v>
      </c>
      <c r="N67" s="552">
        <f>AVERAGE(B67:M67)</f>
        <v>4.7792702105222675</v>
      </c>
      <c r="O67" s="30"/>
      <c r="P67" s="149"/>
      <c r="Q67" s="342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4">
        <v>2025</v>
      </c>
      <c r="B68" s="545">
        <f>AVERAGE('2026'!$V$15:$V$45)/Pc</f>
        <v>2.9752912151394573</v>
      </c>
      <c r="C68" s="545">
        <f>AVERAGE('2026'!$V$46:$V$73)/Pc</f>
        <v>4.0141018963633606</v>
      </c>
      <c r="D68" s="545">
        <f>AVERAGE('2026'!$V$74:$V$104)/Pc</f>
        <v>5.1345601601439883</v>
      </c>
      <c r="E68" s="547">
        <f>AVERAGE('2026'!$V$105:$V$134)/Pc</f>
        <v>5.9538981355966136</v>
      </c>
      <c r="F68" s="545">
        <f>AVERAGE('2026'!$V$135:$V$165)/Pc</f>
        <v>6.2404365686337799</v>
      </c>
      <c r="G68" s="545">
        <f>AVERAGE('2026'!$V$166:$V$195)/Pc</f>
        <v>6.2100077893054024</v>
      </c>
      <c r="H68" s="545">
        <f>AVERAGE('2026'!$V$196:$V$226)/Pc</f>
        <v>5.9145649721766542</v>
      </c>
      <c r="I68" s="545">
        <f>AVERAGE('2026'!$V$227:$V$257)/Pc</f>
        <v>5.4782005570549508</v>
      </c>
      <c r="J68" s="545">
        <f>AVERAGE('2026'!$V$258:$V$287)/Pc</f>
        <v>4.8869317329475015</v>
      </c>
      <c r="K68" s="545">
        <f>AVERAGE('2026'!$V$288:$V$318)/Pc</f>
        <v>4.046585683125894</v>
      </c>
      <c r="L68" s="545">
        <f>AVERAGE('2026'!$V$319:$V$348)/Pc</f>
        <v>3.1900311081123118</v>
      </c>
      <c r="M68" s="546">
        <f>AVERAGE('2026'!$V$349:$V$379)/Pc</f>
        <v>2.6065594570822044</v>
      </c>
      <c r="N68" s="552">
        <f>AVERAGE(B68:M68)</f>
        <v>4.7209307729735102</v>
      </c>
      <c r="O68" s="30"/>
      <c r="P68" s="149"/>
      <c r="Q68" s="342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4">
        <v>2026</v>
      </c>
      <c r="B69" s="545">
        <f>AVERAGE('2027'!$V$15:$V$45)/Pc</f>
        <v>3.0242801371233199</v>
      </c>
      <c r="C69" s="545">
        <f>AVERAGE('2027'!$V$46:$V$73)/Pc</f>
        <v>4.0199377458274252</v>
      </c>
      <c r="D69" s="545">
        <f>AVERAGE('2027'!$V$74:$V$104)/Pc</f>
        <v>5.0256706513404312</v>
      </c>
      <c r="E69" s="547">
        <f>AVERAGE('2027'!$V$105:$V$134)/Pc</f>
        <v>5.7925816446085214</v>
      </c>
      <c r="F69" s="545">
        <f>AVERAGE('2027'!$V$135:$V$165)/Pc</f>
        <v>6.3980120397181368</v>
      </c>
      <c r="G69" s="545">
        <f>AVERAGE('2027'!$V$166:$V$195)/Pc</f>
        <v>6.3648924238615638</v>
      </c>
      <c r="H69" s="545">
        <f>AVERAGE('2027'!$V$196:$V$226)/Pc</f>
        <v>6.0571589098810961</v>
      </c>
      <c r="I69" s="545">
        <f>AVERAGE('2027'!$V$227:$V$257)/Pc</f>
        <v>5.6018682250861715</v>
      </c>
      <c r="J69" s="545">
        <f>AVERAGE('2027'!$V$258:$V$287)/Pc</f>
        <v>4.9894531691129522</v>
      </c>
      <c r="K69" s="545">
        <f>AVERAGE('2027'!$V$288:$V$318)/Pc</f>
        <v>4.1197791181529624</v>
      </c>
      <c r="L69" s="545">
        <f>AVERAGE('2027'!$V$319:$V$348)/Pc</f>
        <v>3.2330933994604916</v>
      </c>
      <c r="M69" s="546">
        <f>AVERAGE('2027'!$V$349:$V$379)/Pc</f>
        <v>2.6398750998010225</v>
      </c>
      <c r="N69" s="552">
        <f>AVERAGE(B69:M69)</f>
        <v>4.7722168803311753</v>
      </c>
      <c r="O69" s="30"/>
      <c r="P69" s="149"/>
      <c r="Q69" s="342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4">
        <v>2027</v>
      </c>
      <c r="B70" s="545">
        <f>AVERAGE('2028'!$V$15:$V$45)/Pc</f>
        <v>3.0605747146034936</v>
      </c>
      <c r="C70" s="545">
        <f>AVERAGE('2028'!$V$46:$V$73)/Pc</f>
        <v>4.0702585344267606</v>
      </c>
      <c r="D70" s="545">
        <f>AVERAGE('2028'!$V$74:$V$104)/Pc</f>
        <v>5.0998012007367288</v>
      </c>
      <c r="E70" s="547">
        <f>AVERAGE('2028'!$V$105:$V$134)/Pc</f>
        <v>5.8646134410543747</v>
      </c>
      <c r="F70" s="545">
        <f>AVERAGE('2028'!$V$135:$V$165)/Pc</f>
        <v>6.1513395453323305</v>
      </c>
      <c r="G70" s="545">
        <f>AVERAGE('2028'!$V$166:$V$195)/Pc</f>
        <v>6.1231876891373078</v>
      </c>
      <c r="H70" s="545">
        <f>AVERAGE('2028'!$V$196:$V$226)/Pc</f>
        <v>5.8313334258376113</v>
      </c>
      <c r="I70" s="545">
        <f>AVERAGE('2028'!$V$227:$V$257)/Pc</f>
        <v>5.3959419865981237</v>
      </c>
      <c r="J70" s="545">
        <f>AVERAGE('2028'!$V$258:$V$287)/Pc</f>
        <v>4.8089089437809163</v>
      </c>
      <c r="K70" s="545">
        <f>AVERAGE('2028'!$V$288:$V$318)/Pc</f>
        <v>3.9694822100171496</v>
      </c>
      <c r="L70" s="545">
        <f>AVERAGE('2028'!$V$319:$V$348)/Pc</f>
        <v>3.1099733634925744</v>
      </c>
      <c r="M70" s="546">
        <f>AVERAGE('2028'!$V$349:$V$379)/Pc</f>
        <v>2.5435424258154131</v>
      </c>
      <c r="N70" s="552">
        <f>AVERAGE(B70:M70)</f>
        <v>4.6690797900693974</v>
      </c>
      <c r="O70" s="30"/>
      <c r="P70" s="149"/>
      <c r="Q70" s="342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4"/>
      <c r="B71" s="545"/>
      <c r="C71" s="545"/>
      <c r="D71" s="545"/>
      <c r="E71" s="547"/>
      <c r="F71" s="545"/>
      <c r="G71" s="545"/>
      <c r="H71" s="545"/>
      <c r="I71" s="545"/>
      <c r="J71" s="545"/>
      <c r="K71" s="545"/>
      <c r="L71" s="545"/>
      <c r="M71" s="546"/>
      <c r="N71" s="552"/>
      <c r="O71" s="30"/>
      <c r="P71" s="149"/>
      <c r="Q71" s="342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4"/>
      <c r="B72" s="545"/>
      <c r="C72" s="545"/>
      <c r="D72" s="545"/>
      <c r="E72" s="547"/>
      <c r="F72" s="545"/>
      <c r="G72" s="545"/>
      <c r="H72" s="545"/>
      <c r="I72" s="545"/>
      <c r="J72" s="545"/>
      <c r="K72" s="545"/>
      <c r="L72" s="545"/>
      <c r="M72" s="546"/>
      <c r="N72" s="552"/>
      <c r="O72" s="30"/>
      <c r="P72" s="149"/>
      <c r="Q72" s="342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4"/>
      <c r="B73" s="545"/>
      <c r="C73" s="545"/>
      <c r="D73" s="545"/>
      <c r="E73" s="547"/>
      <c r="F73" s="545"/>
      <c r="G73" s="545"/>
      <c r="H73" s="545"/>
      <c r="I73" s="545"/>
      <c r="J73" s="545"/>
      <c r="K73" s="545"/>
      <c r="L73" s="545"/>
      <c r="M73" s="546"/>
      <c r="N73" s="552"/>
      <c r="O73" s="30"/>
      <c r="P73" s="149"/>
      <c r="Q73" s="342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4"/>
      <c r="B74" s="545"/>
      <c r="C74" s="545"/>
      <c r="D74" s="545"/>
      <c r="E74" s="547"/>
      <c r="F74" s="545"/>
      <c r="G74" s="545"/>
      <c r="H74" s="545"/>
      <c r="I74" s="545"/>
      <c r="J74" s="545"/>
      <c r="K74" s="545"/>
      <c r="L74" s="545"/>
      <c r="M74" s="546"/>
      <c r="N74" s="552"/>
      <c r="O74" s="30"/>
      <c r="P74" s="149"/>
      <c r="Q74" s="342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4"/>
      <c r="B75" s="545"/>
      <c r="C75" s="545"/>
      <c r="D75" s="545"/>
      <c r="E75" s="547"/>
      <c r="F75" s="545"/>
      <c r="G75" s="545"/>
      <c r="H75" s="545"/>
      <c r="I75" s="545"/>
      <c r="J75" s="545"/>
      <c r="K75" s="545"/>
      <c r="L75" s="545"/>
      <c r="M75" s="546"/>
      <c r="N75" s="552"/>
      <c r="O75" s="30"/>
      <c r="P75" s="149"/>
      <c r="Q75" s="342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4"/>
      <c r="B76" s="545"/>
      <c r="C76" s="545"/>
      <c r="D76" s="545"/>
      <c r="E76" s="547"/>
      <c r="F76" s="545"/>
      <c r="G76" s="545"/>
      <c r="H76" s="545"/>
      <c r="I76" s="545"/>
      <c r="J76" s="545"/>
      <c r="K76" s="545"/>
      <c r="L76" s="545"/>
      <c r="M76" s="546"/>
      <c r="N76" s="552"/>
      <c r="O76" s="30"/>
      <c r="P76" s="149"/>
      <c r="Q76" s="342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4"/>
      <c r="B77" s="545"/>
      <c r="C77" s="545"/>
      <c r="D77" s="545"/>
      <c r="E77" s="547"/>
      <c r="F77" s="545"/>
      <c r="G77" s="545"/>
      <c r="H77" s="545"/>
      <c r="I77" s="545"/>
      <c r="J77" s="545"/>
      <c r="K77" s="545"/>
      <c r="L77" s="545"/>
      <c r="M77" s="546"/>
      <c r="N77" s="552"/>
      <c r="O77" s="30"/>
      <c r="P77" s="149"/>
      <c r="Q77" s="342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4"/>
      <c r="B78" s="545"/>
      <c r="C78" s="545"/>
      <c r="D78" s="545"/>
      <c r="E78" s="547"/>
      <c r="F78" s="545"/>
      <c r="G78" s="545"/>
      <c r="H78" s="545"/>
      <c r="I78" s="545"/>
      <c r="J78" s="545"/>
      <c r="K78" s="545"/>
      <c r="L78" s="545"/>
      <c r="M78" s="546"/>
      <c r="N78" s="552"/>
      <c r="O78" s="30"/>
      <c r="P78" s="149"/>
      <c r="Q78" s="342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4"/>
      <c r="B79" s="545"/>
      <c r="C79" s="545"/>
      <c r="D79" s="545"/>
      <c r="E79" s="547"/>
      <c r="F79" s="545"/>
      <c r="G79" s="545"/>
      <c r="H79" s="545"/>
      <c r="I79" s="545"/>
      <c r="J79" s="545"/>
      <c r="K79" s="545"/>
      <c r="L79" s="545"/>
      <c r="M79" s="546"/>
      <c r="N79" s="552"/>
      <c r="O79" s="30"/>
      <c r="P79" s="149"/>
      <c r="Q79" s="342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48"/>
      <c r="B80" s="549"/>
      <c r="C80" s="549"/>
      <c r="D80" s="549"/>
      <c r="E80" s="550"/>
      <c r="F80" s="549"/>
      <c r="G80" s="549"/>
      <c r="H80" s="549"/>
      <c r="I80" s="549"/>
      <c r="J80" s="549"/>
      <c r="K80" s="549"/>
      <c r="L80" s="549"/>
      <c r="M80" s="551"/>
      <c r="N80" s="553"/>
      <c r="O80" s="30"/>
      <c r="P80" s="149"/>
      <c r="Q80" s="342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C5:D5"/>
    <mergeCell ref="C2:D2"/>
    <mergeCell ref="C3:H3"/>
    <mergeCell ref="C4:D4"/>
    <mergeCell ref="K7:L7"/>
  </mergeCells>
  <conditionalFormatting sqref="M12:M30">
    <cfRule type="expression" dxfId="49" priority="7" stopIfTrue="1">
      <formula>K12&lt;&gt;""</formula>
    </cfRule>
  </conditionalFormatting>
  <conditionalFormatting sqref="N12:N30">
    <cfRule type="expression" dxfId="48" priority="6" stopIfTrue="1">
      <formula>$L12&lt;&gt;""</formula>
    </cfRule>
  </conditionalFormatting>
  <conditionalFormatting sqref="M55">
    <cfRule type="expression" dxfId="47" priority="5" stopIfTrue="1">
      <formula>K55&lt;&gt;""</formula>
    </cfRule>
  </conditionalFormatting>
  <conditionalFormatting sqref="N55">
    <cfRule type="expression" dxfId="46" priority="4" stopIfTrue="1">
      <formula>$L55&lt;&gt;""</formula>
    </cfRule>
  </conditionalFormatting>
  <conditionalFormatting sqref="L45:L54 L35:L42">
    <cfRule type="expression" dxfId="45" priority="3" stopIfTrue="1">
      <formula>K35&lt;&gt;""</formula>
    </cfRule>
  </conditionalFormatting>
  <conditionalFormatting sqref="L43">
    <cfRule type="expression" dxfId="44" priority="2" stopIfTrue="1">
      <formula>K43&lt;&gt;""</formula>
    </cfRule>
  </conditionalFormatting>
  <conditionalFormatting sqref="L44">
    <cfRule type="expression" dxfId="43" priority="1" stopIfTrue="1">
      <formula>K44&lt;&gt;""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A380" sqref="A380:G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3">
        <f>'2023'!An+1</f>
        <v>2024</v>
      </c>
      <c r="K1" s="1274"/>
      <c r="L1" s="113" t="str">
        <f>"Calcul pertes et enveloppes en "&amp;TEXT(An,0)</f>
        <v>Calcul pertes et enveloppes en 2024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2024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3">
        <f>Tmaj</f>
        <v>44926</v>
      </c>
      <c r="F3" s="1283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165</v>
      </c>
      <c r="V3" s="622">
        <f>Salim_i</f>
        <v>0.08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4" t="str">
        <f>Station</f>
        <v>Noueilles salle des fêtes</v>
      </c>
      <c r="F4" s="1215"/>
      <c r="G4" s="1215"/>
      <c r="H4" s="1215"/>
      <c r="I4" s="1216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0.8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129.5170918236015</v>
      </c>
      <c r="AK4" s="822">
        <f>AM12-AK12</f>
        <v>2.5812891357517458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4">
        <f>T0</f>
        <v>43475</v>
      </c>
      <c r="F5" s="1284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129.5170918236015</v>
      </c>
      <c r="AA5" s="236">
        <f>Wh_Pvg_s-Wh_Pvg</f>
        <v>2.5812891357517458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5">
        <f>Tservice</f>
        <v>43522</v>
      </c>
      <c r="F6" s="1285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11122.117525236359</v>
      </c>
      <c r="AK6" s="514">
        <f>SUMIF(AK15:AK380,"FAUX",Wh)</f>
        <v>11122.117525236359</v>
      </c>
      <c r="AL6" s="514">
        <f>SUMIF(AJ15:AJ380,"FAUX",Wh_s)</f>
        <v>10988.964392107959</v>
      </c>
      <c r="AM6" s="514">
        <f>SUMIF(AK15:AK380,"FAUX",Wh_s)</f>
        <v>10988.964392107959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AND(YEAR(Tnet)=An,Resal_2024="I")</f>
        <v>0</v>
      </c>
      <c r="F7" s="319" t="b">
        <f>YEAR(Tnet)=An</f>
        <v>0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AND(YEAR(Tnet)=An,Resal_2024&lt;&gt;"I")</f>
        <v>0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1" t="s">
        <v>102</v>
      </c>
      <c r="Y8" s="1272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11555.414306622733</v>
      </c>
      <c r="AK8" s="514">
        <f>SUMIF(AK15:AK380,"FAUX",Wh_sa)</f>
        <v>12075.661284340944</v>
      </c>
      <c r="AL8" s="514">
        <f>SUMIF(AJ15:AJ380,"FAUX",Wh_pvt_s)</f>
        <v>11417.089501035911</v>
      </c>
      <c r="AM8" s="514">
        <f>SUMIF(AK15:AK380,"FAUX",Wh_sa_s)</f>
        <v>12071.90021467274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11555.414306622733</v>
      </c>
      <c r="E9" s="184">
        <f>SUM(E$15:E$380)</f>
        <v>12075.661284340944</v>
      </c>
      <c r="F9" s="184">
        <f>SUM(F$15:F$380)</f>
        <v>12154.073421345838</v>
      </c>
      <c r="H9" s="1275">
        <f>+SUM(Wh)</f>
        <v>11122.117525236359</v>
      </c>
      <c r="I9" s="1276"/>
      <c r="J9" s="1277"/>
      <c r="K9" s="191"/>
      <c r="L9" s="231"/>
      <c r="M9" s="231"/>
      <c r="N9" s="231"/>
      <c r="O9" s="222">
        <f>Tnet_2024</f>
        <v>45046</v>
      </c>
      <c r="P9" s="243" t="s">
        <v>91</v>
      </c>
      <c r="Q9" s="244"/>
      <c r="R9" s="244"/>
      <c r="S9" s="244"/>
      <c r="T9" s="244"/>
      <c r="U9" s="245"/>
      <c r="V9" s="460"/>
      <c r="W9" s="519"/>
      <c r="X9" s="1269">
        <f>+SUM(Wh_s)</f>
        <v>10988.964392107959</v>
      </c>
      <c r="Y9" s="1270"/>
      <c r="Z9" s="514">
        <f>SUM(Z$15:Z$380)</f>
        <v>11417.089501035911</v>
      </c>
      <c r="AA9" s="514">
        <f>SUM(AA$15:AA$380)</f>
        <v>12071.90021467274</v>
      </c>
      <c r="AB9" s="514">
        <f>F9</f>
        <v>12154.073421345838</v>
      </c>
      <c r="AC9" s="324">
        <f>IF(An_Tnet,Tnet,'2023'!Tnet_s)</f>
        <v>45046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IF(Inflex,'2023'!Resal+('2023'!Salim-'2023'!Resal)*(1-EXP(-(Tnet-'2023'!Tnet)/('2023'!Tau_j))),IF(An_Tnet,Resal_2024,'2023'!Resal))</f>
        <v>7.0000000000000001E-3</v>
      </c>
      <c r="P10" s="419" t="b">
        <f>NOT(Acti_tai)</f>
        <v>1</v>
      </c>
      <c r="Q10" s="256">
        <f>IF(Acti_tai,'2023'!PousD,Dens-Dd)</f>
        <v>0</v>
      </c>
      <c r="R10" s="273"/>
      <c r="S10" s="274"/>
      <c r="T10" s="275"/>
      <c r="U10" s="265">
        <f>IF(Acti_tai,'2023'!PousH,Hdtf-Hdd)</f>
        <v>0.39999999999999991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IF(OR(Inflex,GainD),'2023'!Resal_s+('2023'!Salim-'2023'!Resal_s)*(1-EXP(('2023'!Tnet_s-Tnet)/('2023'!Tau_j))),IF(Acti_net,'2023'!Resal+('2023'!Salim-'2023'!Resal)*(1-EXP(('2023'!Tnet-Tnet)/'2023'!Tau_j)),'2023'!Resal_s))</f>
        <v>2.4776001912818032E-2</v>
      </c>
      <c r="AD10" s="426"/>
      <c r="AE10" s="426"/>
      <c r="AF10" s="259"/>
      <c r="AG10" s="260"/>
      <c r="AH10" s="261"/>
      <c r="AI10" s="471"/>
      <c r="AJ10" s="514">
        <f>SUMIF(AJ15:AJ380,"FAUX",Wh_sa)</f>
        <v>12075.661284340944</v>
      </c>
      <c r="AK10" s="514">
        <f>SUMIF(AK15:AK380,"FAUX",Wh_hp)</f>
        <v>12154.073421345838</v>
      </c>
      <c r="AL10" s="514">
        <f>SUMIF(AJ15:AJ380,"FAUX",Wh_sa_s)</f>
        <v>12071.90021467274</v>
      </c>
      <c r="AM10" s="514">
        <f>SUMIF(AK15:AK380,"FAUX",Wh_hp)</f>
        <v>12154.073421345838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433.29678138637428</v>
      </c>
      <c r="E11" s="51">
        <f>(E$9-D$9)*Prod_an/D$9</f>
        <v>500.73912321903481</v>
      </c>
      <c r="F11" s="186">
        <f>(F$9-E$9)*Prod_an/E$9</f>
        <v>72.220392957218166</v>
      </c>
      <c r="G11" s="185" t="s">
        <v>6</v>
      </c>
      <c r="K11" s="194"/>
      <c r="L11" s="211">
        <f>Tvie_2024</f>
        <v>43475</v>
      </c>
      <c r="M11" s="831"/>
      <c r="N11" s="831"/>
      <c r="O11" s="202">
        <f>IF(An_Tnet,Salim_2024,'2023'!Salim)</f>
        <v>9.6666666666666679E-2</v>
      </c>
      <c r="P11" s="255">
        <f>Ttai_2024</f>
        <v>43586</v>
      </c>
      <c r="Q11" s="271">
        <f>Dens_2024</f>
        <v>0.7</v>
      </c>
      <c r="R11" s="276"/>
      <c r="S11" s="229"/>
      <c r="T11" s="229"/>
      <c r="U11" s="265">
        <f>Htf_2024</f>
        <v>1.1346046518216857</v>
      </c>
      <c r="V11" s="426"/>
      <c r="W11" s="517"/>
      <c r="X11" s="524" t="s">
        <v>43</v>
      </c>
      <c r="Y11" s="50">
        <f>Z$9-Prod_an_s</f>
        <v>428.12510892795217</v>
      </c>
      <c r="Z11" s="51">
        <f>(AA$9-Z$9)*Prod_an_s/Z$9</f>
        <v>630.25621504263631</v>
      </c>
      <c r="AA11" s="186">
        <f>(AB$9-AA$9)*Prod_an_s/AA$9</f>
        <v>74.801682092969912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4.8244182657660062E-2</v>
      </c>
      <c r="K12" s="191"/>
      <c r="L12" s="212">
        <f>Pspv_2024</f>
        <v>0</v>
      </c>
      <c r="M12" s="212"/>
      <c r="N12" s="212"/>
      <c r="O12" s="205">
        <f>IF(An_Tnet,Tau_2024*365,'2023'!Tau_j)</f>
        <v>851.66666666666674</v>
      </c>
      <c r="P12" s="280">
        <f>INDEX(Croivg,MIN(MAX(Ttai-$A$15,0)+1,366))</f>
        <v>2.3909964587625958E-6</v>
      </c>
      <c r="Q12" s="279">
        <f>'2023'!Df</f>
        <v>0.7</v>
      </c>
      <c r="R12" s="277"/>
      <c r="S12" s="278"/>
      <c r="T12" s="278"/>
      <c r="U12" s="266">
        <f>'2023'!Hdf</f>
        <v>0.73460465182168577</v>
      </c>
      <c r="V12" s="40"/>
      <c r="W12" s="34"/>
      <c r="X12" s="54"/>
      <c r="Y12" s="34"/>
      <c r="AB12" s="318" t="s">
        <v>106</v>
      </c>
      <c r="AC12" s="317" t="b">
        <f>NOT(An_Tnet)</f>
        <v>1</v>
      </c>
      <c r="AE12" s="295">
        <f>'2023'!Df_s</f>
        <v>0.7</v>
      </c>
      <c r="AF12" s="203"/>
      <c r="AG12" s="203"/>
      <c r="AH12" s="203"/>
      <c r="AI12" s="296">
        <f>'2023'!Hdf_s</f>
        <v>0.79893687408151792</v>
      </c>
      <c r="AJ12" s="821">
        <f>IF($AJ8=0,0,($AJ10-$AJ8)*$AJ6/$AJ8)</f>
        <v>500.73912321903481</v>
      </c>
      <c r="AK12" s="822">
        <f>IF($AK8=0,0,($AK10-$AK8)*$AK6/$AK8)</f>
        <v>72.220392957218166</v>
      </c>
      <c r="AL12" s="821">
        <f>IF($AL8=0,0,($AL10-$AL8)*$AL6/$AL8)</f>
        <v>630.25621504263631</v>
      </c>
      <c r="AM12" s="822">
        <f>IF($AM8=0,0,($AM10-$AM8)*$AM6/$AM8)</f>
        <v>74.801682092969912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202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206</v>
      </c>
      <c r="AJ13" s="73">
        <f>+AJ11+AJ12</f>
        <v>500.73912321903481</v>
      </c>
      <c r="AK13" s="73">
        <f>+AK11+AK12</f>
        <v>72.220392957218166</v>
      </c>
      <c r="AL13" s="73">
        <f>+AL11+AL12</f>
        <v>630.25621504263631</v>
      </c>
      <c r="AM13" s="73">
        <f>+AM11+AM12</f>
        <v>74.801682092969912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188</v>
      </c>
      <c r="C14" s="414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2024</v>
      </c>
      <c r="W14" s="826" t="s">
        <v>116</v>
      </c>
      <c r="X14" s="257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45292</v>
      </c>
      <c r="B15" s="408">
        <f>'2023'!Wh/'2023'!Env_an*'2024'!Env_an</f>
        <v>23.747863112292517</v>
      </c>
      <c r="C15" s="829"/>
      <c r="D15" s="391">
        <f t="shared" ref="D15:D78" si="0">Wh/(1-Ppv)</f>
        <v>24.589395588840393</v>
      </c>
      <c r="E15" s="398">
        <f t="shared" ref="E15:E79" si="1">Wh_pvt/(1-Psa)</f>
        <v>25.337138494858571</v>
      </c>
      <c r="F15" s="398">
        <f t="shared" ref="F15:F78" si="2">Wh_sa/(1-Pvg*MEDIAN((-Sdif+Wh/Env_an)/Csdif,0,1))</f>
        <v>26.215030722666953</v>
      </c>
      <c r="G15" s="123">
        <f>+Wh_hp/MaxiM</f>
        <v>0.98848351296361425</v>
      </c>
      <c r="H15" s="412" t="b">
        <f>Wh_hp&gt;='2023'!Maxi_hp</f>
        <v>0</v>
      </c>
      <c r="I15" s="394">
        <f>IF(H15,Wh_hp,'2023'!Maxi_hp)</f>
        <v>26.223670689072435</v>
      </c>
      <c r="J15" s="84">
        <f>IF(H15,An,'2023'!An_max)</f>
        <v>2022</v>
      </c>
      <c r="K15" s="197">
        <f t="shared" ref="K15:K78" si="3">t</f>
        <v>45292</v>
      </c>
      <c r="L15" s="146">
        <f>IF(t&lt;Tvie,1-EXP((T0-t)*PertePVj)+'2023'!Pspv,1-EXP((T0-t)*PertePVj)+Pspv)</f>
        <v>3.4223390058834791E-2</v>
      </c>
      <c r="M15" s="832"/>
      <c r="N15" s="832"/>
      <c r="O15" s="48">
        <f>IF(t&lt;Tnet,'2023'!Resal+('2023'!Salim-'2023'!Resal)*(1-EXP(('2023'!Tnet-t)/('2023'!Tau_j))),Resal+(Salim-Resal)*(1-EXP((Tnet-t)/(Tau_j))))*Salcycl</f>
        <v>2.9511734569786206E-2</v>
      </c>
      <c r="P15" s="301">
        <f>(INDEX(Models!$BJ15:$BT15,,T15)*(1-R15)+INDEX(Models!$BJ15:$BT15,,T15+1)*R15-ERP_i)*Q15*Ramure*Pc/MaxiM</f>
        <v>3.4021329720104673E-2</v>
      </c>
      <c r="Q15" s="302">
        <f t="shared" ref="Q15:Q78" si="4">IF(OR(t&lt;Ttai,Notai),Dd+PousD*Croivg,Dens+PousD*(Croivg-Croi_tai))</f>
        <v>0.7</v>
      </c>
      <c r="R15" s="303">
        <f t="shared" ref="R15:R78" si="5">(Hp_vg-S15)/(INDEX(Echel_vg,T15+1)-S15)</f>
        <v>0.73460560822026932</v>
      </c>
      <c r="S15" s="798">
        <f t="shared" ref="S15:S78" si="6">INDEX(Echel_vg,T15)</f>
        <v>0</v>
      </c>
      <c r="T15" s="248">
        <f t="shared" ref="T15:T78" si="7">MIN(MATCH(Hp_vg,Echel_vg),10)</f>
        <v>6</v>
      </c>
      <c r="U15" s="250">
        <f t="shared" ref="U15:U78" si="8">IF(OR(t&lt;Ttai,Notai),Hdd+PousH*Croivg,Hdtf+PousH*(Croivg-Croi_tai))</f>
        <v>0.73460560822026932</v>
      </c>
      <c r="V15" s="381">
        <f t="shared" ref="V15:V78" si="9">MaxiM*(1-Ppv)*(1-Pvg)*(1-Psa)</f>
        <v>24.011287588912932</v>
      </c>
      <c r="W15" s="400">
        <f t="shared" ref="W15:W78" si="10">Wh*(A15&gt;Tmaj)</f>
        <v>23.747863112292517</v>
      </c>
      <c r="X15" s="156">
        <f t="shared" ref="X15:X78" si="11">t</f>
        <v>45292</v>
      </c>
      <c r="Y15" s="383">
        <f t="shared" ref="Y15:Y78" si="12">Wh_pvt_s*(1-Ppv)</f>
        <v>23.381719292485364</v>
      </c>
      <c r="Z15" s="383">
        <f>Wh_sa_s*(1-Psa_s)</f>
        <v>24.210277047307834</v>
      </c>
      <c r="AA15" s="384">
        <f t="shared" ref="AA15:AA78" si="13">Wh_hp*(1-Pvg_s*MEDIAN((-Sdif+Wh/Env_an)/Csdif,0,1))</f>
        <v>25.29375678026317</v>
      </c>
      <c r="AB15" s="197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4.2835856388117821E-2</v>
      </c>
      <c r="AD15" s="230">
        <f>(INDEX(Models!$BJ15:$BT15,,AH15)*(1-AF15)+INDEX(Models!$BJ15:$BT15,,AH15+1)*AF15-ERP_i)*AE15*Ramure*Pc/MaxiM</f>
        <v>3.5702519699150413E-2</v>
      </c>
      <c r="AE15" s="302">
        <f t="shared" ref="AE15:AE78" si="15">IF(OR(t&lt;Ttai,Notai),Dd_s+PousD*Croivg,Dens_s+PousD*(Croivg-Croi_tai))</f>
        <v>0.7</v>
      </c>
      <c r="AF15" s="303">
        <f>(Hp_vg_s-AG15)/(INDEX(Echel_vg,AH15+1)-AG15)</f>
        <v>0.79893783048010147</v>
      </c>
      <c r="AG15" s="798">
        <f>INDEX(Echel_vg,AH15)</f>
        <v>0</v>
      </c>
      <c r="AH15" s="248">
        <f t="shared" ref="AH15:AH78" si="16">MIN(MATCH(Hp_vg_s,Echel_vg),10)</f>
        <v>6</v>
      </c>
      <c r="AI15" s="223">
        <f t="shared" ref="AI15:AI78" si="17">IF(OR(t&lt;Ttai,Notai),Hdd_s+PousH*Croivg,Hdtai_s+PousH*(Croivg-Croi_tai))</f>
        <v>0.79893783048010147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45293</v>
      </c>
      <c r="B16" s="409">
        <f>'2023'!Wh/'2023'!Env_an*'2024'!Env_an</f>
        <v>16.079904729185298</v>
      </c>
      <c r="C16" s="829"/>
      <c r="D16" s="391">
        <f t="shared" si="0"/>
        <v>16.650033493539148</v>
      </c>
      <c r="E16" s="383">
        <f t="shared" si="1"/>
        <v>17.15772051413893</v>
      </c>
      <c r="F16" s="383">
        <f t="shared" si="2"/>
        <v>17.464012721397896</v>
      </c>
      <c r="G16" s="110">
        <f t="shared" ref="G16:G79" si="21">+Wh_hp/MaxiM</f>
        <v>0.65384268359898801</v>
      </c>
      <c r="H16" s="412" t="b">
        <f>Wh_hp&gt;='2023'!Maxi_hp</f>
        <v>0</v>
      </c>
      <c r="I16" s="388">
        <f>IF(H16,Wh_hp,'2023'!Maxi_hp)</f>
        <v>26.138638462365517</v>
      </c>
      <c r="J16" s="85">
        <f>IF(H16,An,'2023'!An_max)</f>
        <v>2020</v>
      </c>
      <c r="K16" s="197">
        <f t="shared" si="3"/>
        <v>45293</v>
      </c>
      <c r="L16" s="147">
        <f>IF(t&lt;Tvie,1-EXP((T0-t)*PertePVj)+'2023'!Pspv,1-EXP((T0-t)*PertePVj)+Pspv)</f>
        <v>3.4241898947235283E-2</v>
      </c>
      <c r="M16" s="832"/>
      <c r="N16" s="832"/>
      <c r="O16" s="48">
        <f>IF(t&lt;Tnet,'2023'!Resal+('2023'!Salim-'2023'!Resal)*(1-EXP(('2023'!Tnet-t)/('2023'!Tau_j))),Resal+(Salim-Resal)*(1-EXP((Tnet-t)/(Tau_j))))*Salcycl</f>
        <v>2.9589421285969652E-2</v>
      </c>
      <c r="P16" s="169">
        <f>(INDEX(Models!$BJ16:$BT16,,T16)*(1-R16)+INDEX(Models!$BJ16:$BT16,,T16+1)*R16-ERP_i)*Q16*Ramure*Pc/MaxiM</f>
        <v>3.3658513037362774E-2</v>
      </c>
      <c r="Q16" s="304">
        <f t="shared" si="4"/>
        <v>0.7</v>
      </c>
      <c r="R16" s="177">
        <f t="shared" si="5"/>
        <v>0.7346289799114647</v>
      </c>
      <c r="S16" s="799">
        <f t="shared" si="6"/>
        <v>0</v>
      </c>
      <c r="T16" s="176">
        <f t="shared" si="7"/>
        <v>6</v>
      </c>
      <c r="U16" s="250">
        <f t="shared" si="8"/>
        <v>0.7346289799114647</v>
      </c>
      <c r="V16" s="382">
        <f t="shared" si="9"/>
        <v>24.189410116577772</v>
      </c>
      <c r="W16" s="400">
        <f t="shared" si="10"/>
        <v>16.079904729185298</v>
      </c>
      <c r="X16" s="157">
        <f t="shared" si="11"/>
        <v>45293</v>
      </c>
      <c r="Y16" s="383">
        <f t="shared" si="12"/>
        <v>15.845478915011372</v>
      </c>
      <c r="Z16" s="383">
        <f t="shared" ref="Z16:Z78" si="22">Wh_sa_s*(1-Psa_s)</f>
        <v>16.407295882621487</v>
      </c>
      <c r="AA16" s="384">
        <f t="shared" si="13"/>
        <v>17.142671497398371</v>
      </c>
      <c r="AB16" s="197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4.2897375411322991E-2</v>
      </c>
      <c r="AD16" s="230">
        <f>(INDEX(Models!$BJ16:$BT16,,AH16)*(1-AF16)+INDEX(Models!$BJ16:$BT16,,AH16+1)*AF16-ERP_i)*AE16*Ramure*Pc/MaxiM</f>
        <v>3.5312252551973775E-2</v>
      </c>
      <c r="AE16" s="304">
        <f t="shared" si="15"/>
        <v>0.7</v>
      </c>
      <c r="AF16" s="177">
        <f t="shared" ref="AF16:AF78" si="23">(Hp_vg_s-AG16)/(INDEX(Echel_vg,AH16+1)-AG16)</f>
        <v>0.79896120217129685</v>
      </c>
      <c r="AG16" s="799">
        <f t="shared" ref="AG16:AG79" si="24">INDEX(Echel_vg,AH16)</f>
        <v>0</v>
      </c>
      <c r="AH16" s="176">
        <f t="shared" si="16"/>
        <v>6</v>
      </c>
      <c r="AI16" s="224">
        <f t="shared" si="17"/>
        <v>0.79896120217129685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45294</v>
      </c>
      <c r="B17" s="409">
        <f>'2023'!Wh/'2023'!Env_an*'2024'!Env_an</f>
        <v>18.235720527522279</v>
      </c>
      <c r="C17" s="829"/>
      <c r="D17" s="391">
        <f t="shared" si="0"/>
        <v>18.882647733179631</v>
      </c>
      <c r="E17" s="383">
        <f t="shared" si="1"/>
        <v>19.459968083334147</v>
      </c>
      <c r="F17" s="383">
        <f t="shared" si="2"/>
        <v>19.88339223104115</v>
      </c>
      <c r="G17" s="110">
        <f t="shared" si="21"/>
        <v>0.73888395834275289</v>
      </c>
      <c r="H17" s="412" t="b">
        <f>Wh_hp&gt;='2023'!Maxi_hp</f>
        <v>0</v>
      </c>
      <c r="I17" s="388">
        <f>IF(H17,Wh_hp,'2023'!Maxi_hp)</f>
        <v>25.752586103343905</v>
      </c>
      <c r="J17" s="85">
        <f>IF(H17,An,'2023'!An_max)</f>
        <v>2021</v>
      </c>
      <c r="K17" s="197">
        <f t="shared" si="3"/>
        <v>45294</v>
      </c>
      <c r="L17" s="147">
        <f>IF(t&lt;Tvie,1-EXP((T0-t)*PertePVj)+'2023'!Pspv,1-EXP((T0-t)*PertePVj)+Pspv)</f>
        <v>3.4260407480917188E-2</v>
      </c>
      <c r="M17" s="832"/>
      <c r="N17" s="832"/>
      <c r="O17" s="48">
        <f>IF(t&lt;Tnet,'2023'!Resal+('2023'!Salim-'2023'!Resal)*(1-EXP(('2023'!Tnet-t)/('2023'!Tau_j))),Resal+(Salim-Resal)*(1-EXP((Tnet-t)/(Tau_j))))*Salcycl</f>
        <v>2.9667075900753435E-2</v>
      </c>
      <c r="P17" s="169">
        <f>(INDEX(Models!$BJ17:$BT17,,T17)*(1-R17)+INDEX(Models!$BJ17:$BT17,,T17+1)*R17-ERP_i)*Q17*Ramure*Pc/MaxiM</f>
        <v>3.327124308312808E-2</v>
      </c>
      <c r="Q17" s="304">
        <f t="shared" si="4"/>
        <v>0.7</v>
      </c>
      <c r="R17" s="177">
        <f t="shared" si="5"/>
        <v>0.73465332918785631</v>
      </c>
      <c r="S17" s="799">
        <f t="shared" si="6"/>
        <v>0</v>
      </c>
      <c r="T17" s="176">
        <f t="shared" si="7"/>
        <v>6</v>
      </c>
      <c r="U17" s="250">
        <f t="shared" si="8"/>
        <v>0.73465332918785631</v>
      </c>
      <c r="V17" s="382">
        <f t="shared" si="9"/>
        <v>24.378090424130558</v>
      </c>
      <c r="W17" s="400">
        <f t="shared" si="10"/>
        <v>18.235720527522279</v>
      </c>
      <c r="X17" s="157">
        <f t="shared" si="11"/>
        <v>45294</v>
      </c>
      <c r="Y17" s="383">
        <f t="shared" si="12"/>
        <v>17.966822054010581</v>
      </c>
      <c r="Z17" s="383">
        <f t="shared" si="22"/>
        <v>18.604209864840517</v>
      </c>
      <c r="AA17" s="384">
        <f t="shared" si="13"/>
        <v>19.439301086369504</v>
      </c>
      <c r="AB17" s="197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4.2958911836317906E-2</v>
      </c>
      <c r="AD17" s="230">
        <f>(INDEX(Models!$BJ17:$BT17,,AH17)*(1-AF17)+INDEX(Models!$BJ17:$BT17,,AH17+1)*AF17-ERP_i)*AE17*Ramure*Pc/MaxiM</f>
        <v>3.4895186081024099E-2</v>
      </c>
      <c r="AE17" s="304">
        <f t="shared" si="15"/>
        <v>0.7</v>
      </c>
      <c r="AF17" s="177">
        <f>(Hp_vg_s-AG17)/(INDEX(Echel_vg,AH17+1)-AG17)</f>
        <v>0.79898555144768846</v>
      </c>
      <c r="AG17" s="799">
        <f>INDEX(Echel_vg,AH17)</f>
        <v>0</v>
      </c>
      <c r="AH17" s="176">
        <f t="shared" si="16"/>
        <v>6</v>
      </c>
      <c r="AI17" s="224">
        <f t="shared" si="17"/>
        <v>0.79898555144768846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45295</v>
      </c>
      <c r="B18" s="409">
        <f>'2023'!Wh/'2023'!Env_an*'2024'!Env_an</f>
        <v>18.537811065392813</v>
      </c>
      <c r="C18" s="829"/>
      <c r="D18" s="391">
        <f t="shared" si="0"/>
        <v>19.195823065269295</v>
      </c>
      <c r="E18" s="383">
        <f t="shared" si="1"/>
        <v>19.784301007222542</v>
      </c>
      <c r="F18" s="383">
        <f t="shared" si="2"/>
        <v>20.215443430250623</v>
      </c>
      <c r="G18" s="110">
        <f t="shared" si="21"/>
        <v>0.74541025588114396</v>
      </c>
      <c r="H18" s="412" t="b">
        <f>Wh_hp&gt;='2023'!Maxi_hp</f>
        <v>0</v>
      </c>
      <c r="I18" s="388">
        <f>IF(H18,Wh_hp,'2023'!Maxi_hp)</f>
        <v>23.895973120339946</v>
      </c>
      <c r="J18" s="85">
        <f>IF(H18,An,'2023'!An_max)</f>
        <v>2021</v>
      </c>
      <c r="K18" s="197">
        <f t="shared" si="3"/>
        <v>45295</v>
      </c>
      <c r="L18" s="147">
        <f>IF(t&lt;Tvie,1-EXP((T0-t)*PertePVj)+'2023'!Pspv,1-EXP((T0-t)*PertePVj)+Pspv)</f>
        <v>3.4278915659887166E-2</v>
      </c>
      <c r="M18" s="832"/>
      <c r="N18" s="832"/>
      <c r="O18" s="48">
        <f>IF(t&lt;Tnet,'2023'!Resal+('2023'!Salim-'2023'!Resal)*(1-EXP(('2023'!Tnet-t)/('2023'!Tau_j))),Resal+(Salim-Resal)*(1-EXP((Tnet-t)/(Tau_j))))*Salcycl</f>
        <v>2.9744692104028091E-2</v>
      </c>
      <c r="P18" s="169">
        <f>(INDEX(Models!$BJ18:$BT18,,T18)*(1-R18)+INDEX(Models!$BJ18:$BT18,,T18+1)*R18-ERP_i)*Q18*Ramure*Pc/MaxiM</f>
        <v>3.2861884483378234E-2</v>
      </c>
      <c r="Q18" s="304">
        <f t="shared" si="4"/>
        <v>0.7</v>
      </c>
      <c r="R18" s="177">
        <f t="shared" si="5"/>
        <v>0.73467869681289244</v>
      </c>
      <c r="S18" s="799">
        <f t="shared" si="6"/>
        <v>0</v>
      </c>
      <c r="T18" s="176">
        <f t="shared" si="7"/>
        <v>6</v>
      </c>
      <c r="U18" s="250">
        <f t="shared" si="8"/>
        <v>0.73467869681289244</v>
      </c>
      <c r="V18" s="382">
        <f t="shared" si="9"/>
        <v>24.576166938924011</v>
      </c>
      <c r="W18" s="400">
        <f t="shared" si="10"/>
        <v>18.537811065392813</v>
      </c>
      <c r="X18" s="157">
        <f t="shared" si="11"/>
        <v>45295</v>
      </c>
      <c r="Y18" s="383">
        <f t="shared" si="12"/>
        <v>18.264860306247286</v>
      </c>
      <c r="Z18" s="383">
        <f>Wh_sa_s*(1-Psa_s)</f>
        <v>18.91318373640755</v>
      </c>
      <c r="AA18" s="384">
        <f t="shared" si="13"/>
        <v>19.763414858033052</v>
      </c>
      <c r="AB18" s="197">
        <f>t</f>
        <v>45295</v>
      </c>
      <c r="AC18" s="119">
        <f>IF(OR(t&lt;Tnet,NoTnet),'2023'!Resal_s+('2023'!Salim-'2023'!Resal_s)*(1-EXP(('2023'!Tnet_s-t)/'2023'!Tau_j)),Resal_s+(Salim-Resal_s)*(1-EXP((Tnet_s-t)/Tau_j)))*Salcycl</f>
        <v>4.3020456117173353E-2</v>
      </c>
      <c r="AD18" s="230">
        <f>(INDEX(Models!$BJ18:$BT18,,AH18)*(1-AF18)+INDEX(Models!$BJ18:$BT18,,AH18+1)*AF18-ERP_i)*AE18*Ramure*Pc/MaxiM</f>
        <v>3.4453836899350228E-2</v>
      </c>
      <c r="AE18" s="304">
        <f t="shared" si="15"/>
        <v>0.7</v>
      </c>
      <c r="AF18" s="177">
        <f t="shared" si="23"/>
        <v>0.79901091907272459</v>
      </c>
      <c r="AG18" s="799">
        <f t="shared" si="24"/>
        <v>0</v>
      </c>
      <c r="AH18" s="176">
        <f t="shared" si="16"/>
        <v>6</v>
      </c>
      <c r="AI18" s="224">
        <f t="shared" si="17"/>
        <v>0.79901091907272459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45296</v>
      </c>
      <c r="B19" s="409">
        <f>'2023'!Wh/'2023'!Env_an*'2024'!Env_an</f>
        <v>13.405772547081101</v>
      </c>
      <c r="C19" s="829"/>
      <c r="D19" s="391">
        <f t="shared" si="0"/>
        <v>13.881885451157956</v>
      </c>
      <c r="E19" s="383">
        <f t="shared" si="1"/>
        <v>14.308600313045289</v>
      </c>
      <c r="F19" s="383">
        <f t="shared" si="2"/>
        <v>14.470133664533275</v>
      </c>
      <c r="G19" s="110">
        <f t="shared" si="21"/>
        <v>0.52930217454358164</v>
      </c>
      <c r="H19" s="412" t="b">
        <f>Wh_hp&gt;='2023'!Maxi_hp</f>
        <v>0</v>
      </c>
      <c r="I19" s="388">
        <f>IF(H19,Wh_hp,'2023'!Maxi_hp)</f>
        <v>14.653566209757251</v>
      </c>
      <c r="J19" s="85">
        <f>IF(H19,An,'2023'!An_max)</f>
        <v>2022</v>
      </c>
      <c r="K19" s="197">
        <f t="shared" si="3"/>
        <v>45296</v>
      </c>
      <c r="L19" s="147">
        <f>IF(t&lt;Tvie,1-EXP((T0-t)*PertePVj)+'2023'!Pspv,1-EXP((T0-t)*PertePVj)+Pspv)</f>
        <v>3.4297423484152101E-2</v>
      </c>
      <c r="M19" s="832"/>
      <c r="N19" s="832"/>
      <c r="O19" s="48">
        <f>IF(t&lt;Tnet,'2023'!Resal+('2023'!Salim-'2023'!Resal)*(1-EXP(('2023'!Tnet-t)/('2023'!Tau_j))),Resal+(Salim-Resal)*(1-EXP((Tnet-t)/(Tau_j))))*Salcycl</f>
        <v>2.9822264411026582E-2</v>
      </c>
      <c r="P19" s="169">
        <f>(INDEX(Models!$BJ19:$BT19,,T19)*(1-R19)+INDEX(Models!$BJ19:$BT19,,T19+1)*R19-ERP_i)*Q19*Ramure*Pc/MaxiM</f>
        <v>3.2432711163870843E-2</v>
      </c>
      <c r="Q19" s="304">
        <f t="shared" si="4"/>
        <v>0.7</v>
      </c>
      <c r="R19" s="177">
        <f t="shared" si="5"/>
        <v>0.73470512523894171</v>
      </c>
      <c r="S19" s="799">
        <f t="shared" si="6"/>
        <v>0</v>
      </c>
      <c r="T19" s="176">
        <f t="shared" si="7"/>
        <v>6</v>
      </c>
      <c r="U19" s="250">
        <f t="shared" si="8"/>
        <v>0.73470512523894171</v>
      </c>
      <c r="V19" s="382">
        <f t="shared" si="9"/>
        <v>24.782478385208499</v>
      </c>
      <c r="W19" s="400">
        <f t="shared" si="10"/>
        <v>13.405772547081101</v>
      </c>
      <c r="X19" s="157">
        <f t="shared" si="11"/>
        <v>45296</v>
      </c>
      <c r="Y19" s="383">
        <f t="shared" si="12"/>
        <v>13.215381125547342</v>
      </c>
      <c r="Z19" s="383">
        <f t="shared" si="22"/>
        <v>13.684732180405929</v>
      </c>
      <c r="AA19" s="384">
        <f t="shared" si="13"/>
        <v>14.300841012154432</v>
      </c>
      <c r="AB19" s="197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4.3081999948455192E-2</v>
      </c>
      <c r="AD19" s="230">
        <f>(INDEX(Models!$BJ19:$BT19,,AH19)*(1-AF19)+INDEX(Models!$BJ19:$BT19,,AH19+1)*AF19-ERP_i)*AE19*Ramure*Pc/MaxiM</f>
        <v>3.3990625751221241E-2</v>
      </c>
      <c r="AE19" s="304">
        <f t="shared" si="15"/>
        <v>0.7</v>
      </c>
      <c r="AF19" s="177">
        <f t="shared" si="23"/>
        <v>0.79903734749877386</v>
      </c>
      <c r="AG19" s="799">
        <f t="shared" si="24"/>
        <v>0</v>
      </c>
      <c r="AH19" s="176">
        <f t="shared" si="16"/>
        <v>6</v>
      </c>
      <c r="AI19" s="224">
        <f t="shared" si="17"/>
        <v>0.79903734749877386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45297</v>
      </c>
      <c r="B20" s="409">
        <f>'2023'!Wh/'2023'!Env_an*'2024'!Env_an</f>
        <v>25.218078371620607</v>
      </c>
      <c r="C20" s="829"/>
      <c r="D20" s="391">
        <f t="shared" si="0"/>
        <v>26.114211862815779</v>
      </c>
      <c r="E20" s="383">
        <f t="shared" si="1"/>
        <v>26.919086856897504</v>
      </c>
      <c r="F20" s="383">
        <f t="shared" si="2"/>
        <v>27.80856876746417</v>
      </c>
      <c r="G20" s="110">
        <f t="shared" si="21"/>
        <v>1.0088900542938466</v>
      </c>
      <c r="H20" s="412" t="b">
        <f>Wh_hp&gt;='2023'!Maxi_hp</f>
        <v>1</v>
      </c>
      <c r="I20" s="388">
        <f>IF(H20,Wh_hp,'2023'!Maxi_hp)</f>
        <v>27.80856876746417</v>
      </c>
      <c r="J20" s="85">
        <f>IF(H20,An,'2023'!An_max)</f>
        <v>2024</v>
      </c>
      <c r="K20" s="197">
        <f t="shared" si="3"/>
        <v>45297</v>
      </c>
      <c r="L20" s="147">
        <f>IF(t&lt;Tvie,1-EXP((T0-t)*PertePVj)+'2023'!Pspv,1-EXP((T0-t)*PertePVj)+Pspv)</f>
        <v>3.4315930953718876E-2</v>
      </c>
      <c r="M20" s="832"/>
      <c r="N20" s="832"/>
      <c r="O20" s="48">
        <f>IF(t&lt;Tnet,'2023'!Resal+('2023'!Salim-'2023'!Resal)*(1-EXP(('2023'!Tnet-t)/('2023'!Tau_j))),Resal+(Salim-Resal)*(1-EXP((Tnet-t)/(Tau_j))))*Salcycl</f>
        <v>2.9899788145135074E-2</v>
      </c>
      <c r="P20" s="169">
        <f>(INDEX(Models!$BJ20:$BT20,,T20)*(1-R20)+INDEX(Models!$BJ20:$BT20,,T20+1)*R20-ERP_i)*Q20*Ramure*Pc/MaxiM</f>
        <v>3.1985893197328294E-2</v>
      </c>
      <c r="Q20" s="304">
        <f t="shared" si="4"/>
        <v>0.7</v>
      </c>
      <c r="R20" s="177">
        <f t="shared" si="5"/>
        <v>0.7347326586763423</v>
      </c>
      <c r="S20" s="799">
        <f t="shared" si="6"/>
        <v>0</v>
      </c>
      <c r="T20" s="176">
        <f t="shared" si="7"/>
        <v>6</v>
      </c>
      <c r="U20" s="250">
        <f t="shared" si="8"/>
        <v>0.7347326586763423</v>
      </c>
      <c r="V20" s="382">
        <f t="shared" si="9"/>
        <v>24.995863785446396</v>
      </c>
      <c r="W20" s="400">
        <f t="shared" si="10"/>
        <v>25.218078371620607</v>
      </c>
      <c r="X20" s="157">
        <f t="shared" si="11"/>
        <v>45297</v>
      </c>
      <c r="Y20" s="383">
        <f t="shared" si="12"/>
        <v>24.834694637535044</v>
      </c>
      <c r="Z20" s="383">
        <f t="shared" si="22"/>
        <v>25.717204449755528</v>
      </c>
      <c r="AA20" s="384">
        <f t="shared" si="13"/>
        <v>26.876763050230434</v>
      </c>
      <c r="AB20" s="197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4.3143536232685006E-2</v>
      </c>
      <c r="AD20" s="230">
        <f>(INDEX(Models!$BJ20:$BT20,,AH20)*(1-AF20)+INDEX(Models!$BJ20:$BT20,,AH20+1)*AF20-ERP_i)*AE20*Ramure*Pc/MaxiM</f>
        <v>3.3507863170719646E-2</v>
      </c>
      <c r="AE20" s="304">
        <f t="shared" si="15"/>
        <v>0.7</v>
      </c>
      <c r="AF20" s="177">
        <f t="shared" si="23"/>
        <v>0.79906488093617445</v>
      </c>
      <c r="AG20" s="799">
        <f t="shared" si="24"/>
        <v>0</v>
      </c>
      <c r="AH20" s="176">
        <f t="shared" si="16"/>
        <v>6</v>
      </c>
      <c r="AI20" s="224">
        <f t="shared" si="17"/>
        <v>0.79906488093617445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45298</v>
      </c>
      <c r="B21" s="409">
        <f>'2023'!Wh/'2023'!Env_an*'2024'!Env_an</f>
        <v>8.6665458188567985</v>
      </c>
      <c r="C21" s="829"/>
      <c r="D21" s="391">
        <f t="shared" si="0"/>
        <v>8.9746866415356443</v>
      </c>
      <c r="E21" s="383">
        <f t="shared" si="1"/>
        <v>9.2520373657532105</v>
      </c>
      <c r="F21" s="383">
        <f t="shared" si="2"/>
        <v>9.2702825331839698</v>
      </c>
      <c r="G21" s="110">
        <f t="shared" si="21"/>
        <v>0.3335254298218458</v>
      </c>
      <c r="H21" s="412" t="b">
        <f>Wh_hp&gt;='2023'!Maxi_hp</f>
        <v>0</v>
      </c>
      <c r="I21" s="388">
        <f>IF(H21,Wh_hp,'2023'!Maxi_hp)</f>
        <v>14.667527811072381</v>
      </c>
      <c r="J21" s="85">
        <f>IF(H21,An,'2023'!An_max)</f>
        <v>2021</v>
      </c>
      <c r="K21" s="197">
        <f t="shared" si="3"/>
        <v>45298</v>
      </c>
      <c r="L21" s="147">
        <f>IF(t&lt;Tvie,1-EXP((T0-t)*PertePVj)+'2023'!Pspv,1-EXP((T0-t)*PertePVj)+Pspv)</f>
        <v>3.4334438068594264E-2</v>
      </c>
      <c r="M21" s="832"/>
      <c r="N21" s="832"/>
      <c r="O21" s="48">
        <f>IF(t&lt;Tnet,'2023'!Resal+('2023'!Salim-'2023'!Resal)*(1-EXP(('2023'!Tnet-t)/('2023'!Tau_j))),Resal+(Salim-Resal)*(1-EXP((Tnet-t)/(Tau_j))))*Salcycl</f>
        <v>2.997725941360669E-2</v>
      </c>
      <c r="P21" s="169">
        <f>(INDEX(Models!$BJ21:$BT21,,T21)*(1-R21)+INDEX(Models!$BJ21:$BT21,,T21+1)*R21-ERP_i)*Q21*Ramure*Pc/MaxiM</f>
        <v>3.1523486669295726E-2</v>
      </c>
      <c r="Q21" s="304">
        <f t="shared" si="4"/>
        <v>0.7</v>
      </c>
      <c r="R21" s="177">
        <f t="shared" si="5"/>
        <v>0.73476134316519293</v>
      </c>
      <c r="S21" s="799">
        <f t="shared" si="6"/>
        <v>0</v>
      </c>
      <c r="T21" s="176">
        <f t="shared" si="7"/>
        <v>6</v>
      </c>
      <c r="U21" s="250">
        <f t="shared" si="8"/>
        <v>0.73476134316519293</v>
      </c>
      <c r="V21" s="382">
        <f t="shared" si="9"/>
        <v>25.215162442249877</v>
      </c>
      <c r="W21" s="400">
        <f t="shared" si="10"/>
        <v>8.6665458188567985</v>
      </c>
      <c r="X21" s="157">
        <f t="shared" si="11"/>
        <v>45298</v>
      </c>
      <c r="Y21" s="383">
        <f t="shared" si="12"/>
        <v>8.5475699926481497</v>
      </c>
      <c r="Z21" s="383">
        <f t="shared" si="22"/>
        <v>8.8514806053064063</v>
      </c>
      <c r="AA21" s="384">
        <f t="shared" si="13"/>
        <v>9.251178310376293</v>
      </c>
      <c r="AB21" s="197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4.3205059037893428E-2</v>
      </c>
      <c r="AD21" s="230">
        <f>(INDEX(Models!$BJ21:$BT21,,AH21)*(1-AF21)+INDEX(Models!$BJ21:$BT21,,AH21+1)*AF21-ERP_i)*AE21*Ramure*Pc/MaxiM</f>
        <v>3.300773836636399E-2</v>
      </c>
      <c r="AE21" s="304">
        <f t="shared" si="15"/>
        <v>0.7</v>
      </c>
      <c r="AF21" s="177">
        <f t="shared" si="23"/>
        <v>0.79909356542502508</v>
      </c>
      <c r="AG21" s="799">
        <f t="shared" si="24"/>
        <v>0</v>
      </c>
      <c r="AH21" s="176">
        <f t="shared" si="16"/>
        <v>6</v>
      </c>
      <c r="AI21" s="224">
        <f t="shared" si="17"/>
        <v>0.79909356542502508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45299</v>
      </c>
      <c r="B22" s="409">
        <f>'2023'!Wh/'2023'!Env_an*'2024'!Env_an</f>
        <v>6.0339180849605816</v>
      </c>
      <c r="C22" s="829"/>
      <c r="D22" s="391">
        <f t="shared" si="0"/>
        <v>6.2485750385172887</v>
      </c>
      <c r="E22" s="383">
        <f t="shared" si="1"/>
        <v>6.4421930576457802</v>
      </c>
      <c r="F22" s="383">
        <f t="shared" si="2"/>
        <v>6.4421930576457802</v>
      </c>
      <c r="G22" s="110">
        <f t="shared" si="21"/>
        <v>0.22982551542175522</v>
      </c>
      <c r="H22" s="412" t="b">
        <f>Wh_hp&gt;='2023'!Maxi_hp</f>
        <v>0</v>
      </c>
      <c r="I22" s="388">
        <f>IF(H22,Wh_hp,'2023'!Maxi_hp)</f>
        <v>22.512666153472253</v>
      </c>
      <c r="J22" s="85">
        <f>IF(H22,An,'2023'!An_max)</f>
        <v>2021</v>
      </c>
      <c r="K22" s="197">
        <f t="shared" si="3"/>
        <v>45299</v>
      </c>
      <c r="L22" s="147">
        <f>IF(t&lt;Tvie,1-EXP((T0-t)*PertePVj)+'2023'!Pspv,1-EXP((T0-t)*PertePVj)+Pspv)</f>
        <v>3.4352944828784926E-2</v>
      </c>
      <c r="M22" s="832"/>
      <c r="N22" s="832"/>
      <c r="O22" s="48">
        <f>IF(t&lt;Tnet,'2023'!Resal+('2023'!Salim-'2023'!Resal)*(1-EXP(('2023'!Tnet-t)/('2023'!Tau_j))),Resal+(Salim-Resal)*(1-EXP((Tnet-t)/(Tau_j))))*Salcycl</f>
        <v>3.0054675076634028E-2</v>
      </c>
      <c r="P22" s="169">
        <f>(INDEX(Models!$BJ22:$BT22,,T22)*(1-R22)+INDEX(Models!$BJ22:$BT22,,T22+1)*R22-ERP_i)*Q22*Ramure*Pc/MaxiM</f>
        <v>3.1047426232435883E-2</v>
      </c>
      <c r="Q22" s="304">
        <f t="shared" si="4"/>
        <v>0.7</v>
      </c>
      <c r="R22" s="177">
        <f t="shared" si="5"/>
        <v>0.73479122664999064</v>
      </c>
      <c r="S22" s="799">
        <f t="shared" si="6"/>
        <v>0</v>
      </c>
      <c r="T22" s="176">
        <f t="shared" si="7"/>
        <v>6</v>
      </c>
      <c r="U22" s="250">
        <f t="shared" si="8"/>
        <v>0.73479122664999064</v>
      </c>
      <c r="V22" s="382">
        <f t="shared" si="9"/>
        <v>25.439213951488743</v>
      </c>
      <c r="W22" s="400">
        <f t="shared" si="10"/>
        <v>6.0339180849605816</v>
      </c>
      <c r="X22" s="157">
        <f t="shared" si="11"/>
        <v>45299</v>
      </c>
      <c r="Y22" s="383">
        <f t="shared" si="12"/>
        <v>5.9517284493972831</v>
      </c>
      <c r="Z22" s="383">
        <f t="shared" si="22"/>
        <v>6.1634615023415629</v>
      </c>
      <c r="AA22" s="384">
        <f t="shared" si="13"/>
        <v>6.4421930576457802</v>
      </c>
      <c r="AB22" s="197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4.3266563545997894E-2</v>
      </c>
      <c r="AD22" s="230">
        <f>(INDEX(Models!$BJ22:$BT22,,AH22)*(1-AF22)+INDEX(Models!$BJ22:$BT22,,AH22+1)*AF22-ERP_i)*AE22*Ramure*Pc/MaxiM</f>
        <v>3.2492310982930317E-2</v>
      </c>
      <c r="AE22" s="304">
        <f t="shared" si="15"/>
        <v>0.7</v>
      </c>
      <c r="AF22" s="177">
        <f t="shared" si="23"/>
        <v>0.79912344890982279</v>
      </c>
      <c r="AG22" s="799">
        <f t="shared" si="24"/>
        <v>0</v>
      </c>
      <c r="AH22" s="176">
        <f t="shared" si="16"/>
        <v>6</v>
      </c>
      <c r="AI22" s="224">
        <f t="shared" si="17"/>
        <v>0.79912344890982279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45300</v>
      </c>
      <c r="B23" s="409">
        <f>'2023'!Wh/'2023'!Env_an*'2024'!Env_an</f>
        <v>1.7211845204363116</v>
      </c>
      <c r="C23" s="829"/>
      <c r="D23" s="391">
        <f t="shared" si="0"/>
        <v>1.7824499106166505</v>
      </c>
      <c r="E23" s="383">
        <f t="shared" si="1"/>
        <v>1.8378273855127916</v>
      </c>
      <c r="F23" s="383">
        <f t="shared" si="2"/>
        <v>1.8378273855127916</v>
      </c>
      <c r="G23" s="110">
        <f t="shared" si="21"/>
        <v>6.499526210076384E-2</v>
      </c>
      <c r="H23" s="412" t="b">
        <f>Wh_hp&gt;='2023'!Maxi_hp</f>
        <v>0</v>
      </c>
      <c r="I23" s="388">
        <f>IF(H23,Wh_hp,'2023'!Maxi_hp)</f>
        <v>26.668518012021664</v>
      </c>
      <c r="J23" s="85">
        <f>IF(H23,An,'2023'!An_max)</f>
        <v>2020</v>
      </c>
      <c r="K23" s="197">
        <f t="shared" si="3"/>
        <v>45300</v>
      </c>
      <c r="L23" s="147">
        <f>IF(t&lt;Tvie,1-EXP((T0-t)*PertePVj)+'2023'!Pspv,1-EXP((T0-t)*PertePVj)+Pspv)</f>
        <v>3.4371451234297856E-2</v>
      </c>
      <c r="M23" s="832"/>
      <c r="N23" s="832"/>
      <c r="O23" s="48">
        <f>IF(t&lt;Tnet,'2023'!Resal+('2023'!Salim-'2023'!Resal)*(1-EXP(('2023'!Tnet-t)/('2023'!Tau_j))),Resal+(Salim-Resal)*(1-EXP((Tnet-t)/(Tau_j))))*Salcycl</f>
        <v>3.0132032710291547E-2</v>
      </c>
      <c r="P23" s="169">
        <f>(INDEX(Models!$BJ23:$BT23,,T23)*(1-R23)+INDEX(Models!$BJ23:$BT23,,T23+1)*R23-ERP_i)*Q23*Ramure*Pc/MaxiM</f>
        <v>3.0552894413769082E-2</v>
      </c>
      <c r="Q23" s="304">
        <f t="shared" si="4"/>
        <v>0.7</v>
      </c>
      <c r="R23" s="177">
        <f t="shared" si="5"/>
        <v>0.73482235905721871</v>
      </c>
      <c r="S23" s="799">
        <f t="shared" si="6"/>
        <v>0</v>
      </c>
      <c r="T23" s="176">
        <f t="shared" si="7"/>
        <v>6</v>
      </c>
      <c r="U23" s="250">
        <f t="shared" si="8"/>
        <v>0.73482235905721871</v>
      </c>
      <c r="V23" s="382">
        <f t="shared" si="9"/>
        <v>25.6725997801184</v>
      </c>
      <c r="W23" s="400">
        <f t="shared" si="10"/>
        <v>1.7211845204363116</v>
      </c>
      <c r="X23" s="157">
        <f t="shared" si="11"/>
        <v>45300</v>
      </c>
      <c r="Y23" s="383">
        <f t="shared" si="12"/>
        <v>1.6977661020955039</v>
      </c>
      <c r="Z23" s="383">
        <f t="shared" si="22"/>
        <v>1.7581979160264511</v>
      </c>
      <c r="AA23" s="384">
        <f t="shared" si="13"/>
        <v>1.8378273855127916</v>
      </c>
      <c r="AB23" s="197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4.3328045992808081E-2</v>
      </c>
      <c r="AD23" s="230">
        <f>(INDEX(Models!$BJ23:$BT23,,AH23)*(1-AF23)+INDEX(Models!$BJ23:$BT23,,AH23+1)*AF23-ERP_i)*AE23*Ramure*Pc/MaxiM</f>
        <v>3.1956575387368041E-2</v>
      </c>
      <c r="AE23" s="304">
        <f t="shared" si="15"/>
        <v>0.7</v>
      </c>
      <c r="AF23" s="177">
        <f t="shared" si="23"/>
        <v>0.79915458131705086</v>
      </c>
      <c r="AG23" s="799">
        <f t="shared" si="24"/>
        <v>0</v>
      </c>
      <c r="AH23" s="176">
        <f t="shared" si="16"/>
        <v>6</v>
      </c>
      <c r="AI23" s="224">
        <f t="shared" si="17"/>
        <v>0.79915458131705086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45301</v>
      </c>
      <c r="B24" s="409">
        <f>'2023'!Wh/'2023'!Env_an*'2024'!Env_an</f>
        <v>1.3854596868169593</v>
      </c>
      <c r="C24" s="829"/>
      <c r="D24" s="391">
        <f t="shared" si="0"/>
        <v>1.4348024829170902</v>
      </c>
      <c r="E24" s="383">
        <f t="shared" si="1"/>
        <v>1.479497099875575</v>
      </c>
      <c r="F24" s="383">
        <f t="shared" si="2"/>
        <v>1.479497099875575</v>
      </c>
      <c r="G24" s="110">
        <f t="shared" si="21"/>
        <v>5.1846208661960817E-2</v>
      </c>
      <c r="H24" s="412" t="b">
        <f>Wh_hp&gt;='2023'!Maxi_hp</f>
        <v>0</v>
      </c>
      <c r="I24" s="388">
        <f>IF(H24,Wh_hp,'2023'!Maxi_hp)</f>
        <v>10.460260744050126</v>
      </c>
      <c r="J24" s="85">
        <f>IF(H24,An,'2023'!An_max)</f>
        <v>2020</v>
      </c>
      <c r="K24" s="197">
        <f t="shared" si="3"/>
        <v>45301</v>
      </c>
      <c r="L24" s="147">
        <f>IF(t&lt;Tvie,1-EXP((T0-t)*PertePVj)+'2023'!Pspv,1-EXP((T0-t)*PertePVj)+Pspv)</f>
        <v>3.4389957285139605E-2</v>
      </c>
      <c r="M24" s="832"/>
      <c r="N24" s="832"/>
      <c r="O24" s="48">
        <f>IF(t&lt;Tnet,'2023'!Resal+('2023'!Salim-'2023'!Resal)*(1-EXP(('2023'!Tnet-t)/('2023'!Tau_j))),Resal+(Salim-Resal)*(1-EXP((Tnet-t)/(Tau_j))))*Salcycl</f>
        <v>3.0209330563908159E-2</v>
      </c>
      <c r="P24" s="169">
        <f>(INDEX(Models!$BJ24:$BT24,,T24)*(1-R24)+INDEX(Models!$BJ24:$BT24,,T24+1)*R24-ERP_i)*Q24*Ramure*Pc/MaxiM</f>
        <v>3.0058370814428921E-2</v>
      </c>
      <c r="Q24" s="304">
        <f t="shared" si="4"/>
        <v>0.7</v>
      </c>
      <c r="R24" s="177">
        <f t="shared" si="5"/>
        <v>0.73485479237599438</v>
      </c>
      <c r="S24" s="799">
        <f t="shared" si="6"/>
        <v>0</v>
      </c>
      <c r="T24" s="176">
        <f t="shared" si="7"/>
        <v>6</v>
      </c>
      <c r="U24" s="250">
        <f t="shared" si="8"/>
        <v>0.73485479237599438</v>
      </c>
      <c r="V24" s="382">
        <f t="shared" si="9"/>
        <v>25.919253509237208</v>
      </c>
      <c r="W24" s="400">
        <f t="shared" si="10"/>
        <v>1.3854596868169593</v>
      </c>
      <c r="X24" s="157">
        <f t="shared" si="11"/>
        <v>45301</v>
      </c>
      <c r="Y24" s="383">
        <f t="shared" si="12"/>
        <v>1.3666302641559613</v>
      </c>
      <c r="Z24" s="383">
        <f t="shared" si="22"/>
        <v>1.4153024551335576</v>
      </c>
      <c r="AA24" s="384">
        <f t="shared" si="13"/>
        <v>1.479497099875575</v>
      </c>
      <c r="AB24" s="197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4.338950360052491E-2</v>
      </c>
      <c r="AD24" s="230">
        <f>(INDEX(Models!$BJ24:$BT24,,AH24)*(1-AF24)+INDEX(Models!$BJ24:$BT24,,AH24+1)*AF24-ERP_i)*AE24*Ramure*Pc/MaxiM</f>
        <v>3.1420418815940585E-2</v>
      </c>
      <c r="AE24" s="304">
        <f t="shared" si="15"/>
        <v>0.7</v>
      </c>
      <c r="AF24" s="177">
        <f t="shared" si="23"/>
        <v>0.79918701463582653</v>
      </c>
      <c r="AG24" s="799">
        <f t="shared" si="24"/>
        <v>0</v>
      </c>
      <c r="AH24" s="176">
        <f t="shared" si="16"/>
        <v>6</v>
      </c>
      <c r="AI24" s="224">
        <f t="shared" si="17"/>
        <v>0.79918701463582653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45302</v>
      </c>
      <c r="B25" s="409">
        <f>'2023'!Wh/'2023'!Env_an*'2024'!Env_an</f>
        <v>24.092588023412855</v>
      </c>
      <c r="C25" s="829"/>
      <c r="D25" s="391">
        <f t="shared" si="0"/>
        <v>24.951117630753114</v>
      </c>
      <c r="E25" s="383">
        <f t="shared" si="1"/>
        <v>25.730403225154955</v>
      </c>
      <c r="F25" s="383">
        <f t="shared" si="2"/>
        <v>26.423012603690029</v>
      </c>
      <c r="G25" s="110">
        <f t="shared" si="21"/>
        <v>0.91716943044436017</v>
      </c>
      <c r="H25" s="412" t="b">
        <f>Wh_hp&gt;='2023'!Maxi_hp</f>
        <v>0</v>
      </c>
      <c r="I25" s="388">
        <f>IF(H25,Wh_hp,'2023'!Maxi_hp)</f>
        <v>28.239972558041078</v>
      </c>
      <c r="J25" s="85">
        <f>IF(H25,An,'2023'!An_max)</f>
        <v>2020</v>
      </c>
      <c r="K25" s="197">
        <f t="shared" si="3"/>
        <v>45302</v>
      </c>
      <c r="L25" s="147">
        <f>IF(t&lt;Tvie,1-EXP((T0-t)*PertePVj)+'2023'!Pspv,1-EXP((T0-t)*PertePVj)+Pspv)</f>
        <v>3.4408462981317167E-2</v>
      </c>
      <c r="M25" s="832"/>
      <c r="N25" s="832"/>
      <c r="O25" s="48">
        <f>IF(t&lt;Tnet,'2023'!Resal+('2023'!Salim-'2023'!Resal)*(1-EXP(('2023'!Tnet-t)/('2023'!Tau_j))),Resal+(Salim-Resal)*(1-EXP((Tnet-t)/(Tau_j))))*Salcycl</f>
        <v>3.0286567512474258E-2</v>
      </c>
      <c r="P25" s="169">
        <f>(INDEX(Models!$BJ25:$BT25,,T25)*(1-R25)+INDEX(Models!$BJ25:$BT25,,T25+1)*R25-ERP_i)*Q25*Ramure*Pc/MaxiM</f>
        <v>2.9577883775798623E-2</v>
      </c>
      <c r="Q25" s="304">
        <f t="shared" si="4"/>
        <v>0.7</v>
      </c>
      <c r="R25" s="177">
        <f t="shared" si="5"/>
        <v>0.73488858074188712</v>
      </c>
      <c r="S25" s="799">
        <f t="shared" si="6"/>
        <v>0</v>
      </c>
      <c r="T25" s="176">
        <f t="shared" si="7"/>
        <v>6</v>
      </c>
      <c r="U25" s="250">
        <f t="shared" si="8"/>
        <v>0.73488858074188712</v>
      </c>
      <c r="V25" s="382">
        <f t="shared" si="9"/>
        <v>26.177629016659679</v>
      </c>
      <c r="W25" s="400">
        <f t="shared" si="10"/>
        <v>24.092588023412855</v>
      </c>
      <c r="X25" s="157">
        <f t="shared" si="11"/>
        <v>45302</v>
      </c>
      <c r="Y25" s="383">
        <f t="shared" si="12"/>
        <v>23.736940550307491</v>
      </c>
      <c r="Z25" s="383">
        <f t="shared" si="22"/>
        <v>24.582796804119269</v>
      </c>
      <c r="AA25" s="384">
        <f t="shared" si="13"/>
        <v>25.699462464440757</v>
      </c>
      <c r="AB25" s="197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4.3450934503652387E-2</v>
      </c>
      <c r="AD25" s="230">
        <f>(INDEX(Models!$BJ25:$BT25,,AH25)*(1-AF25)+INDEX(Models!$BJ25:$BT25,,AH25+1)*AF25-ERP_i)*AE25*Ramure*Pc/MaxiM</f>
        <v>3.0899208973957329E-2</v>
      </c>
      <c r="AE25" s="304">
        <f t="shared" si="15"/>
        <v>0.7</v>
      </c>
      <c r="AF25" s="177">
        <f t="shared" si="23"/>
        <v>0.79922080300171927</v>
      </c>
      <c r="AG25" s="799">
        <f t="shared" si="24"/>
        <v>0</v>
      </c>
      <c r="AH25" s="176">
        <f t="shared" si="16"/>
        <v>6</v>
      </c>
      <c r="AI25" s="224">
        <f t="shared" si="17"/>
        <v>0.79922080300171927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45303</v>
      </c>
      <c r="B26" s="409">
        <f>'2023'!Wh/'2023'!Env_an*'2024'!Env_an</f>
        <v>20.596045609755389</v>
      </c>
      <c r="C26" s="829"/>
      <c r="D26" s="391">
        <f t="shared" si="0"/>
        <v>21.330386137629446</v>
      </c>
      <c r="E26" s="383">
        <f t="shared" si="1"/>
        <v>21.99833801979349</v>
      </c>
      <c r="F26" s="383">
        <f t="shared" si="2"/>
        <v>22.445279058185292</v>
      </c>
      <c r="G26" s="110">
        <f t="shared" si="21"/>
        <v>0.77147066682042609</v>
      </c>
      <c r="H26" s="412" t="b">
        <f>Wh_hp&gt;='2023'!Maxi_hp</f>
        <v>0</v>
      </c>
      <c r="I26" s="388">
        <f>IF(H26,Wh_hp,'2023'!Maxi_hp)</f>
        <v>29.063431932857039</v>
      </c>
      <c r="J26" s="85">
        <f>IF(H26,An,'2023'!An_max)</f>
        <v>2020</v>
      </c>
      <c r="K26" s="197">
        <f t="shared" si="3"/>
        <v>45303</v>
      </c>
      <c r="L26" s="147">
        <f>IF(t&lt;Tvie,1-EXP((T0-t)*PertePVj)+'2023'!Pspv,1-EXP((T0-t)*PertePVj)+Pspv)</f>
        <v>3.4426968322837315E-2</v>
      </c>
      <c r="M26" s="832"/>
      <c r="N26" s="832"/>
      <c r="O26" s="48">
        <f>IF(t&lt;Tnet,'2023'!Resal+('2023'!Salim-'2023'!Resal)*(1-EXP(('2023'!Tnet-t)/('2023'!Tau_j))),Resal+(Salim-Resal)*(1-EXP((Tnet-t)/(Tau_j))))*Salcycl</f>
        <v>3.0363743004723352E-2</v>
      </c>
      <c r="P26" s="169">
        <f>(INDEX(Models!$BJ26:$BT26,,T26)*(1-R26)+INDEX(Models!$BJ26:$BT26,,T26+1)*R26-ERP_i)*Q26*Ramure*Pc/MaxiM</f>
        <v>2.9112935846546215E-2</v>
      </c>
      <c r="Q26" s="304">
        <f t="shared" si="4"/>
        <v>0.7</v>
      </c>
      <c r="R26" s="177">
        <f t="shared" si="5"/>
        <v>0.73492378052402407</v>
      </c>
      <c r="S26" s="799">
        <f t="shared" si="6"/>
        <v>0</v>
      </c>
      <c r="T26" s="176">
        <f t="shared" si="7"/>
        <v>6</v>
      </c>
      <c r="U26" s="250">
        <f t="shared" si="8"/>
        <v>0.73492378052402407</v>
      </c>
      <c r="V26" s="382">
        <f t="shared" si="9"/>
        <v>26.446504603576123</v>
      </c>
      <c r="W26" s="400">
        <f t="shared" si="10"/>
        <v>20.596045609755389</v>
      </c>
      <c r="X26" s="157">
        <f t="shared" si="11"/>
        <v>45303</v>
      </c>
      <c r="Y26" s="383">
        <f t="shared" si="12"/>
        <v>20.298585222139465</v>
      </c>
      <c r="Z26" s="383">
        <f t="shared" si="22"/>
        <v>21.022319965670142</v>
      </c>
      <c r="AA26" s="384">
        <f t="shared" si="13"/>
        <v>21.978662970355668</v>
      </c>
      <c r="AB26" s="197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4.3512337669284966E-2</v>
      </c>
      <c r="AD26" s="230">
        <f>(INDEX(Models!$BJ26:$BT26,,AH26)*(1-AF26)+INDEX(Models!$BJ26:$BT26,,AH26+1)*AF26-ERP_i)*AE26*Ramure*Pc/MaxiM</f>
        <v>3.0394533200241883E-2</v>
      </c>
      <c r="AE26" s="304">
        <f t="shared" si="15"/>
        <v>0.7</v>
      </c>
      <c r="AF26" s="177">
        <f t="shared" si="23"/>
        <v>0.79925600278385622</v>
      </c>
      <c r="AG26" s="799">
        <f t="shared" si="24"/>
        <v>0</v>
      </c>
      <c r="AH26" s="176">
        <f t="shared" si="16"/>
        <v>6</v>
      </c>
      <c r="AI26" s="224">
        <f t="shared" si="17"/>
        <v>0.79925600278385622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45304</v>
      </c>
      <c r="B27" s="409">
        <f>'2023'!Wh/'2023'!Env_an*'2024'!Env_an</f>
        <v>6.251987180002371</v>
      </c>
      <c r="C27" s="829"/>
      <c r="D27" s="391">
        <f t="shared" si="0"/>
        <v>6.4750223909495785</v>
      </c>
      <c r="E27" s="383">
        <f t="shared" si="1"/>
        <v>6.6783160550321012</v>
      </c>
      <c r="F27" s="383">
        <f t="shared" si="2"/>
        <v>6.6783160550321012</v>
      </c>
      <c r="G27" s="110">
        <f t="shared" si="21"/>
        <v>0.22723488779794399</v>
      </c>
      <c r="H27" s="412" t="b">
        <f>Wh_hp&gt;='2023'!Maxi_hp</f>
        <v>0</v>
      </c>
      <c r="I27" s="388">
        <f>IF(H27,Wh_hp,'2023'!Maxi_hp)</f>
        <v>18.417034678656321</v>
      </c>
      <c r="J27" s="85">
        <f>IF(H27,An,'2023'!An_max)</f>
        <v>2020</v>
      </c>
      <c r="K27" s="197">
        <f t="shared" si="3"/>
        <v>45304</v>
      </c>
      <c r="L27" s="147">
        <f>IF(t&lt;Tvie,1-EXP((T0-t)*PertePVj)+'2023'!Pspv,1-EXP((T0-t)*PertePVj)+Pspv)</f>
        <v>3.444547330970682E-2</v>
      </c>
      <c r="M27" s="832"/>
      <c r="N27" s="832"/>
      <c r="O27" s="48">
        <f>IF(t&lt;Tnet,'2023'!Resal+('2023'!Salim-'2023'!Resal)*(1-EXP(('2023'!Tnet-t)/('2023'!Tau_j))),Resal+(Salim-Resal)*(1-EXP((Tnet-t)/(Tau_j))))*Salcycl</f>
        <v>3.044085700755975E-2</v>
      </c>
      <c r="P27" s="169">
        <f>(INDEX(Models!$BJ27:$BT27,,T27)*(1-R27)+INDEX(Models!$BJ27:$BT27,,T27+1)*R27-ERP_i)*Q27*Ramure*Pc/MaxiM</f>
        <v>2.8664854751469102E-2</v>
      </c>
      <c r="Q27" s="304">
        <f t="shared" si="4"/>
        <v>0.7</v>
      </c>
      <c r="R27" s="177">
        <f t="shared" si="5"/>
        <v>0.73496045041559932</v>
      </c>
      <c r="S27" s="799">
        <f t="shared" si="6"/>
        <v>0</v>
      </c>
      <c r="T27" s="176">
        <f t="shared" si="7"/>
        <v>6</v>
      </c>
      <c r="U27" s="250">
        <f t="shared" si="8"/>
        <v>0.73496045041559932</v>
      </c>
      <c r="V27" s="382">
        <f t="shared" si="9"/>
        <v>26.724658939605412</v>
      </c>
      <c r="W27" s="400">
        <f t="shared" si="10"/>
        <v>6.251987180002371</v>
      </c>
      <c r="X27" s="157">
        <f t="shared" si="11"/>
        <v>45304</v>
      </c>
      <c r="Y27" s="383">
        <f t="shared" si="12"/>
        <v>6.167302870928081</v>
      </c>
      <c r="Z27" s="383">
        <f t="shared" si="22"/>
        <v>6.3873170291772414</v>
      </c>
      <c r="AA27" s="384">
        <f t="shared" si="13"/>
        <v>6.6783160550321012</v>
      </c>
      <c r="AB27" s="197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4.3573712812766972E-2</v>
      </c>
      <c r="AD27" s="230">
        <f>(INDEX(Models!$BJ27:$BT27,,AH27)*(1-AF27)+INDEX(Models!$BJ27:$BT27,,AH27+1)*AF27-ERP_i)*AE27*Ramure*Pc/MaxiM</f>
        <v>2.9907791617144477E-2</v>
      </c>
      <c r="AE27" s="304">
        <f t="shared" si="15"/>
        <v>0.7</v>
      </c>
      <c r="AF27" s="177">
        <f t="shared" si="23"/>
        <v>0.79929267267543147</v>
      </c>
      <c r="AG27" s="799">
        <f t="shared" si="24"/>
        <v>0</v>
      </c>
      <c r="AH27" s="176">
        <f t="shared" si="16"/>
        <v>6</v>
      </c>
      <c r="AI27" s="224">
        <f t="shared" si="17"/>
        <v>0.79929267267543147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45305</v>
      </c>
      <c r="B28" s="409">
        <f>'2023'!Wh/'2023'!Env_an*'2024'!Env_an</f>
        <v>26.836556810448172</v>
      </c>
      <c r="C28" s="829"/>
      <c r="D28" s="391">
        <f t="shared" si="0"/>
        <v>27.794464626234543</v>
      </c>
      <c r="E28" s="383">
        <f t="shared" si="1"/>
        <v>28.669394629796749</v>
      </c>
      <c r="F28" s="383">
        <f t="shared" si="2"/>
        <v>29.494488153391409</v>
      </c>
      <c r="G28" s="110">
        <f t="shared" si="21"/>
        <v>0.99328044584717323</v>
      </c>
      <c r="H28" s="412" t="b">
        <f>Wh_hp&gt;='2023'!Maxi_hp</f>
        <v>0</v>
      </c>
      <c r="I28" s="388">
        <f>IF(H28,Wh_hp,'2023'!Maxi_hp)</f>
        <v>29.498621369457005</v>
      </c>
      <c r="J28" s="85">
        <f>IF(H28,An,'2023'!An_max)</f>
        <v>2022</v>
      </c>
      <c r="K28" s="197">
        <f t="shared" si="3"/>
        <v>45305</v>
      </c>
      <c r="L28" s="147">
        <f>IF(t&lt;Tvie,1-EXP((T0-t)*PertePVj)+'2023'!Pspv,1-EXP((T0-t)*PertePVj)+Pspv)</f>
        <v>3.4463977941932455E-2</v>
      </c>
      <c r="M28" s="832"/>
      <c r="N28" s="832"/>
      <c r="O28" s="48">
        <f>IF(t&lt;Tnet,'2023'!Resal+('2023'!Salim-'2023'!Resal)*(1-EXP(('2023'!Tnet-t)/('2023'!Tau_j))),Resal+(Salim-Resal)*(1-EXP((Tnet-t)/(Tau_j))))*Salcycl</f>
        <v>3.051790994752537E-2</v>
      </c>
      <c r="P28" s="169">
        <f>(INDEX(Models!$BJ28:$BT28,,T28)*(1-R28)+INDEX(Models!$BJ28:$BT28,,T28+1)*R28-ERP_i)*Q28*Ramure*Pc/MaxiM</f>
        <v>2.8234802985701482E-2</v>
      </c>
      <c r="Q28" s="304">
        <f t="shared" si="4"/>
        <v>0.7</v>
      </c>
      <c r="R28" s="177">
        <f t="shared" si="5"/>
        <v>0.73499865152791088</v>
      </c>
      <c r="S28" s="799">
        <f t="shared" si="6"/>
        <v>0</v>
      </c>
      <c r="T28" s="176">
        <f t="shared" si="7"/>
        <v>6</v>
      </c>
      <c r="U28" s="250">
        <f t="shared" si="8"/>
        <v>0.73499865152791088</v>
      </c>
      <c r="V28" s="382">
        <f t="shared" si="9"/>
        <v>27.010871108956874</v>
      </c>
      <c r="W28" s="400">
        <f t="shared" si="10"/>
        <v>26.836556810448172</v>
      </c>
      <c r="X28" s="157">
        <f t="shared" si="11"/>
        <v>45305</v>
      </c>
      <c r="Y28" s="383">
        <f t="shared" si="12"/>
        <v>26.4409296501799</v>
      </c>
      <c r="Z28" s="383">
        <f t="shared" si="22"/>
        <v>27.384715894721676</v>
      </c>
      <c r="AA28" s="384">
        <f t="shared" si="13"/>
        <v>28.634169612690872</v>
      </c>
      <c r="AB28" s="197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4.3635060309743727E-2</v>
      </c>
      <c r="AD28" s="230">
        <f>(INDEX(Models!$BJ28:$BT28,,AH28)*(1-AF28)+INDEX(Models!$BJ28:$BT28,,AH28+1)*AF28-ERP_i)*AE28*Ramure*Pc/MaxiM</f>
        <v>2.9440207451633189E-2</v>
      </c>
      <c r="AE28" s="304">
        <f t="shared" si="15"/>
        <v>0.7</v>
      </c>
      <c r="AF28" s="177">
        <f t="shared" si="23"/>
        <v>0.79933087378774303</v>
      </c>
      <c r="AG28" s="799">
        <f t="shared" si="24"/>
        <v>0</v>
      </c>
      <c r="AH28" s="176">
        <f t="shared" si="16"/>
        <v>6</v>
      </c>
      <c r="AI28" s="224">
        <f t="shared" si="17"/>
        <v>0.79933087378774303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45306</v>
      </c>
      <c r="B29" s="409">
        <f>'2023'!Wh/'2023'!Env_an*'2024'!Env_an</f>
        <v>27.641307147838759</v>
      </c>
      <c r="C29" s="829"/>
      <c r="D29" s="391">
        <f t="shared" si="0"/>
        <v>28.628488493280049</v>
      </c>
      <c r="E29" s="383">
        <f t="shared" si="1"/>
        <v>29.532017699865989</v>
      </c>
      <c r="F29" s="383">
        <f t="shared" si="2"/>
        <v>30.377227257533896</v>
      </c>
      <c r="G29" s="110">
        <f t="shared" si="21"/>
        <v>1.0123567064288315</v>
      </c>
      <c r="H29" s="412" t="b">
        <f>Wh_hp&gt;='2023'!Maxi_hp</f>
        <v>1</v>
      </c>
      <c r="I29" s="388">
        <f>IF(H29,Wh_hp,'2023'!Maxi_hp)</f>
        <v>30.377227257533896</v>
      </c>
      <c r="J29" s="85">
        <f>IF(H29,An,'2023'!An_max)</f>
        <v>2024</v>
      </c>
      <c r="K29" s="197">
        <f t="shared" si="3"/>
        <v>45306</v>
      </c>
      <c r="L29" s="147">
        <f>IF(t&lt;Tvie,1-EXP((T0-t)*PertePVj)+'2023'!Pspv,1-EXP((T0-t)*PertePVj)+Pspv)</f>
        <v>3.4482482219520993E-2</v>
      </c>
      <c r="M29" s="832"/>
      <c r="N29" s="832"/>
      <c r="O29" s="48">
        <f>IF(t&lt;Tnet,'2023'!Resal+('2023'!Salim-'2023'!Resal)*(1-EXP(('2023'!Tnet-t)/('2023'!Tau_j))),Resal+(Salim-Resal)*(1-EXP((Tnet-t)/(Tau_j))))*Salcycl</f>
        <v>3.0594902650015687E-2</v>
      </c>
      <c r="P29" s="169">
        <f>(INDEX(Models!$BJ29:$BT29,,T29)*(1-R29)+INDEX(Models!$BJ29:$BT29,,T29+1)*R29-ERP_i)*Q29*Ramure*Pc/MaxiM</f>
        <v>2.7823788869943238E-2</v>
      </c>
      <c r="Q29" s="304">
        <f t="shared" si="4"/>
        <v>0.7</v>
      </c>
      <c r="R29" s="177">
        <f t="shared" si="5"/>
        <v>0.73503844748804881</v>
      </c>
      <c r="S29" s="799">
        <f t="shared" si="6"/>
        <v>0</v>
      </c>
      <c r="T29" s="176">
        <f t="shared" si="7"/>
        <v>6</v>
      </c>
      <c r="U29" s="250">
        <f t="shared" si="8"/>
        <v>0.73503844748804881</v>
      </c>
      <c r="V29" s="382">
        <f t="shared" si="9"/>
        <v>27.303920616425472</v>
      </c>
      <c r="W29" s="400">
        <f t="shared" si="10"/>
        <v>27.641307147838759</v>
      </c>
      <c r="X29" s="157">
        <f t="shared" si="11"/>
        <v>45306</v>
      </c>
      <c r="Y29" s="383">
        <f t="shared" si="12"/>
        <v>27.234946097627574</v>
      </c>
      <c r="Z29" s="383">
        <f t="shared" si="22"/>
        <v>28.207614668903126</v>
      </c>
      <c r="AA29" s="384">
        <f t="shared" si="13"/>
        <v>29.496505201471017</v>
      </c>
      <c r="AB29" s="197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4.3696381105637311E-2</v>
      </c>
      <c r="AD29" s="230">
        <f>(INDEX(Models!$BJ29:$BT29,,AH29)*(1-AF29)+INDEX(Models!$BJ29:$BT29,,AH29+1)*AF29-ERP_i)*AE29*Ramure*Pc/MaxiM</f>
        <v>2.8992838898568244E-2</v>
      </c>
      <c r="AE29" s="304">
        <f t="shared" si="15"/>
        <v>0.7</v>
      </c>
      <c r="AF29" s="177">
        <f t="shared" si="23"/>
        <v>0.79937066974788096</v>
      </c>
      <c r="AG29" s="799">
        <f t="shared" si="24"/>
        <v>0</v>
      </c>
      <c r="AH29" s="176">
        <f t="shared" si="16"/>
        <v>6</v>
      </c>
      <c r="AI29" s="224">
        <f t="shared" si="17"/>
        <v>0.79937066974788096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45307</v>
      </c>
      <c r="B30" s="409">
        <f>'2023'!Wh/'2023'!Env_an*'2024'!Env_an</f>
        <v>27.355362026627663</v>
      </c>
      <c r="C30" s="829"/>
      <c r="D30" s="391">
        <f t="shared" si="0"/>
        <v>28.332874124161986</v>
      </c>
      <c r="E30" s="383">
        <f t="shared" si="1"/>
        <v>29.229393289616048</v>
      </c>
      <c r="F30" s="383">
        <f t="shared" si="2"/>
        <v>30.043728040355504</v>
      </c>
      <c r="G30" s="110">
        <f t="shared" si="21"/>
        <v>0.99070958983174773</v>
      </c>
      <c r="H30" s="412" t="b">
        <f>Wh_hp&gt;='2023'!Maxi_hp</f>
        <v>0</v>
      </c>
      <c r="I30" s="388">
        <f>IF(H30,Wh_hp,'2023'!Maxi_hp)</f>
        <v>30.049231450929494</v>
      </c>
      <c r="J30" s="85">
        <f>IF(H30,An,'2023'!An_max)</f>
        <v>2022</v>
      </c>
      <c r="K30" s="197">
        <f t="shared" si="3"/>
        <v>45307</v>
      </c>
      <c r="L30" s="147">
        <f>IF(t&lt;Tvie,1-EXP((T0-t)*PertePVj)+'2023'!Pspv,1-EXP((T0-t)*PertePVj)+Pspv)</f>
        <v>3.4500986142479317E-2</v>
      </c>
      <c r="M30" s="832"/>
      <c r="N30" s="832"/>
      <c r="O30" s="48">
        <f>IF(t&lt;Tnet,'2023'!Resal+('2023'!Salim-'2023'!Resal)*(1-EXP(('2023'!Tnet-t)/('2023'!Tau_j))),Resal+(Salim-Resal)*(1-EXP((Tnet-t)/(Tau_j))))*Salcycl</f>
        <v>3.0671836276962922E-2</v>
      </c>
      <c r="P30" s="169">
        <f>(INDEX(Models!$BJ30:$BT30,,T30)*(1-R30)+INDEX(Models!$BJ30:$BT30,,T30+1)*R30-ERP_i)*Q30*Ramure*Pc/MaxiM</f>
        <v>2.7455371915687948E-2</v>
      </c>
      <c r="Q30" s="304">
        <f t="shared" si="4"/>
        <v>0.7</v>
      </c>
      <c r="R30" s="177">
        <f t="shared" si="5"/>
        <v>0.73507990454036343</v>
      </c>
      <c r="S30" s="799">
        <f t="shared" si="6"/>
        <v>0</v>
      </c>
      <c r="T30" s="176">
        <f t="shared" si="7"/>
        <v>6</v>
      </c>
      <c r="U30" s="250">
        <f t="shared" si="8"/>
        <v>0.73507990454036343</v>
      </c>
      <c r="V30" s="382">
        <f t="shared" si="9"/>
        <v>27.601943358550063</v>
      </c>
      <c r="W30" s="400">
        <f t="shared" si="10"/>
        <v>27.355362026627663</v>
      </c>
      <c r="X30" s="157">
        <f t="shared" si="11"/>
        <v>45307</v>
      </c>
      <c r="Y30" s="383">
        <f t="shared" si="12"/>
        <v>26.954976848225549</v>
      </c>
      <c r="Z30" s="383">
        <f t="shared" si="22"/>
        <v>27.918181646328758</v>
      </c>
      <c r="AA30" s="384">
        <f t="shared" si="13"/>
        <v>29.195718453196911</v>
      </c>
      <c r="AB30" s="197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4.375767662358257E-2</v>
      </c>
      <c r="AD30" s="230">
        <f>(INDEX(Models!$BJ30:$BT30,,AH30)*(1-AF30)+INDEX(Models!$BJ30:$BT30,,AH30+1)*AF30-ERP_i)*AE30*Ramure*Pc/MaxiM</f>
        <v>2.8590722159856988E-2</v>
      </c>
      <c r="AE30" s="304">
        <f t="shared" si="15"/>
        <v>0.7</v>
      </c>
      <c r="AF30" s="177">
        <f t="shared" si="23"/>
        <v>0.79941212680019558</v>
      </c>
      <c r="AG30" s="799">
        <f t="shared" si="24"/>
        <v>0</v>
      </c>
      <c r="AH30" s="176">
        <f t="shared" si="16"/>
        <v>6</v>
      </c>
      <c r="AI30" s="224">
        <f t="shared" si="17"/>
        <v>0.79941212680019558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45308</v>
      </c>
      <c r="B31" s="409">
        <f>'2023'!Wh/'2023'!Env_an*'2024'!Env_an</f>
        <v>17.724672581245251</v>
      </c>
      <c r="C31" s="829"/>
      <c r="D31" s="391">
        <f t="shared" si="0"/>
        <v>18.358395008860679</v>
      </c>
      <c r="E31" s="383">
        <f t="shared" si="1"/>
        <v>18.940800225024283</v>
      </c>
      <c r="F31" s="383">
        <f t="shared" si="2"/>
        <v>19.190141564008538</v>
      </c>
      <c r="G31" s="110">
        <f t="shared" si="21"/>
        <v>0.62611048394020163</v>
      </c>
      <c r="H31" s="412" t="b">
        <f>Wh_hp&gt;='2023'!Maxi_hp</f>
        <v>0</v>
      </c>
      <c r="I31" s="388">
        <f>IF(H31,Wh_hp,'2023'!Maxi_hp)</f>
        <v>19.329055345753776</v>
      </c>
      <c r="J31" s="85">
        <f>IF(H31,An,'2023'!An_max)</f>
        <v>2022</v>
      </c>
      <c r="K31" s="197">
        <f t="shared" si="3"/>
        <v>45308</v>
      </c>
      <c r="L31" s="147">
        <f>IF(t&lt;Tvie,1-EXP((T0-t)*PertePVj)+'2023'!Pspv,1-EXP((T0-t)*PertePVj)+Pspv)</f>
        <v>3.45194897108142E-2</v>
      </c>
      <c r="M31" s="832"/>
      <c r="N31" s="832"/>
      <c r="O31" s="48">
        <f>IF(t&lt;Tnet,'2023'!Resal+('2023'!Salim-'2023'!Resal)*(1-EXP(('2023'!Tnet-t)/('2023'!Tau_j))),Resal+(Salim-Resal)*(1-EXP((Tnet-t)/(Tau_j))))*Salcycl</f>
        <v>3.074871226370577E-2</v>
      </c>
      <c r="P31" s="169">
        <f>(INDEX(Models!$BJ31:$BT31,,T31)*(1-R31)+INDEX(Models!$BJ31:$BT31,,T31+1)*R31-ERP_i)*Q31*Ramure*Pc/MaxiM</f>
        <v>2.7132926271771177E-2</v>
      </c>
      <c r="Q31" s="304">
        <f t="shared" si="4"/>
        <v>0.7</v>
      </c>
      <c r="R31" s="177">
        <f t="shared" si="5"/>
        <v>0.73512309165184675</v>
      </c>
      <c r="S31" s="799">
        <f t="shared" si="6"/>
        <v>0</v>
      </c>
      <c r="T31" s="176">
        <f t="shared" si="7"/>
        <v>6</v>
      </c>
      <c r="U31" s="250">
        <f t="shared" si="8"/>
        <v>0.73512309165184675</v>
      </c>
      <c r="V31" s="382">
        <f t="shared" si="9"/>
        <v>27.903623646716529</v>
      </c>
      <c r="W31" s="400">
        <f t="shared" si="10"/>
        <v>17.724672581245251</v>
      </c>
      <c r="X31" s="157">
        <f t="shared" si="11"/>
        <v>45308</v>
      </c>
      <c r="Y31" s="383">
        <f t="shared" si="12"/>
        <v>17.476283119712718</v>
      </c>
      <c r="Z31" s="383">
        <f t="shared" si="22"/>
        <v>18.101124707818421</v>
      </c>
      <c r="AA31" s="384">
        <f t="shared" si="13"/>
        <v>18.930645700075011</v>
      </c>
      <c r="AB31" s="197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4.3818948671851418E-2</v>
      </c>
      <c r="AD31" s="230">
        <f>(INDEX(Models!$BJ31:$BT31,,AH31)*(1-AF31)+INDEX(Models!$BJ31:$BT31,,AH31+1)*AF31-ERP_i)*AE31*Ramure*Pc/MaxiM</f>
        <v>2.8237925458411688E-2</v>
      </c>
      <c r="AE31" s="304">
        <f t="shared" si="15"/>
        <v>0.7</v>
      </c>
      <c r="AF31" s="177">
        <f t="shared" si="23"/>
        <v>0.7994553139116789</v>
      </c>
      <c r="AG31" s="799">
        <f t="shared" si="24"/>
        <v>0</v>
      </c>
      <c r="AH31" s="176">
        <f t="shared" si="16"/>
        <v>6</v>
      </c>
      <c r="AI31" s="224">
        <f t="shared" si="17"/>
        <v>0.7994553139116789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45309</v>
      </c>
      <c r="B32" s="409">
        <f>'2023'!Wh/'2023'!Env_an*'2024'!Env_an</f>
        <v>4.6646874177945667</v>
      </c>
      <c r="C32" s="829"/>
      <c r="D32" s="391">
        <f t="shared" si="0"/>
        <v>4.8315597958376628</v>
      </c>
      <c r="E32" s="383">
        <f t="shared" si="1"/>
        <v>4.9852322328333187</v>
      </c>
      <c r="F32" s="383">
        <f t="shared" si="2"/>
        <v>4.9852322328333187</v>
      </c>
      <c r="G32" s="110">
        <f t="shared" si="21"/>
        <v>0.16092784980392522</v>
      </c>
      <c r="H32" s="412" t="b">
        <f>Wh_hp&gt;='2023'!Maxi_hp</f>
        <v>0</v>
      </c>
      <c r="I32" s="388">
        <f>IF(H32,Wh_hp,'2023'!Maxi_hp)</f>
        <v>30.433829557852597</v>
      </c>
      <c r="J32" s="85">
        <f>IF(H32,An,'2023'!An_max)</f>
        <v>2021</v>
      </c>
      <c r="K32" s="197">
        <f t="shared" si="3"/>
        <v>45309</v>
      </c>
      <c r="L32" s="147">
        <f>IF(t&lt;Tvie,1-EXP((T0-t)*PertePVj)+'2023'!Pspv,1-EXP((T0-t)*PertePVj)+Pspv)</f>
        <v>3.4537992924532412E-2</v>
      </c>
      <c r="M32" s="832"/>
      <c r="N32" s="832"/>
      <c r="O32" s="48">
        <f>IF(t&lt;Tnet,'2023'!Resal+('2023'!Salim-'2023'!Resal)*(1-EXP(('2023'!Tnet-t)/('2023'!Tau_j))),Resal+(Salim-Resal)*(1-EXP((Tnet-t)/(Tau_j))))*Salcycl</f>
        <v>3.0825532255759628E-2</v>
      </c>
      <c r="P32" s="169">
        <f>(INDEX(Models!$BJ32:$BT32,,T32)*(1-R32)+INDEX(Models!$BJ32:$BT32,,T32+1)*R32-ERP_i)*Q32*Ramure*Pc/MaxiM</f>
        <v>2.6856274087511185E-2</v>
      </c>
      <c r="Q32" s="304">
        <f t="shared" si="4"/>
        <v>0.7</v>
      </c>
      <c r="R32" s="177">
        <f t="shared" si="5"/>
        <v>0.73516808062156003</v>
      </c>
      <c r="S32" s="799">
        <f t="shared" si="6"/>
        <v>0</v>
      </c>
      <c r="T32" s="176">
        <f t="shared" si="7"/>
        <v>6</v>
      </c>
      <c r="U32" s="250">
        <f t="shared" si="8"/>
        <v>0.73516808062156003</v>
      </c>
      <c r="V32" s="382">
        <f t="shared" si="9"/>
        <v>28.207742162096469</v>
      </c>
      <c r="W32" s="400">
        <f t="shared" si="10"/>
        <v>4.6646874177945667</v>
      </c>
      <c r="X32" s="157">
        <f t="shared" si="11"/>
        <v>45309</v>
      </c>
      <c r="Y32" s="383">
        <f t="shared" si="12"/>
        <v>4.6018546220771732</v>
      </c>
      <c r="Z32" s="383">
        <f t="shared" si="22"/>
        <v>4.7664792486416907</v>
      </c>
      <c r="AA32" s="384">
        <f t="shared" si="13"/>
        <v>4.9852322328333187</v>
      </c>
      <c r="AB32" s="197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4.3880199351776547E-2</v>
      </c>
      <c r="AD32" s="230">
        <f>(INDEX(Models!$BJ32:$BT32,,AH32)*(1-AF32)+INDEX(Models!$BJ32:$BT32,,AH32+1)*AF32-ERP_i)*AE32*Ramure*Pc/MaxiM</f>
        <v>2.7934227135360722E-2</v>
      </c>
      <c r="AE32" s="304">
        <f t="shared" si="15"/>
        <v>0.7</v>
      </c>
      <c r="AF32" s="177">
        <f t="shared" si="23"/>
        <v>0.79950030288139218</v>
      </c>
      <c r="AG32" s="799">
        <f t="shared" si="24"/>
        <v>0</v>
      </c>
      <c r="AH32" s="176">
        <f t="shared" si="16"/>
        <v>6</v>
      </c>
      <c r="AI32" s="224">
        <f t="shared" si="17"/>
        <v>0.79950030288139218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45310</v>
      </c>
      <c r="B33" s="409">
        <f>'2023'!Wh/'2023'!Env_an*'2024'!Env_an</f>
        <v>11.787257765676907</v>
      </c>
      <c r="C33" s="829"/>
      <c r="D33" s="391">
        <f t="shared" si="0"/>
        <v>12.209163678867471</v>
      </c>
      <c r="E33" s="383">
        <f t="shared" si="1"/>
        <v>12.598485843328692</v>
      </c>
      <c r="F33" s="383">
        <f t="shared" si="2"/>
        <v>12.653061139042627</v>
      </c>
      <c r="G33" s="110">
        <f t="shared" si="21"/>
        <v>0.40413458484819159</v>
      </c>
      <c r="H33" s="412" t="b">
        <f>Wh_hp&gt;='2023'!Maxi_hp</f>
        <v>0</v>
      </c>
      <c r="I33" s="388">
        <f>IF(H33,Wh_hp,'2023'!Maxi_hp)</f>
        <v>32.683118262088648</v>
      </c>
      <c r="J33" s="85">
        <f>IF(H33,An,'2023'!An_max)</f>
        <v>2021</v>
      </c>
      <c r="K33" s="197">
        <f t="shared" si="3"/>
        <v>45310</v>
      </c>
      <c r="L33" s="147">
        <f>IF(t&lt;Tvie,1-EXP((T0-t)*PertePVj)+'2023'!Pspv,1-EXP((T0-t)*PertePVj)+Pspv)</f>
        <v>3.4556495783640728E-2</v>
      </c>
      <c r="M33" s="832"/>
      <c r="N33" s="832"/>
      <c r="O33" s="48">
        <f>IF(t&lt;Tnet,'2023'!Resal+('2023'!Salim-'2023'!Resal)*(1-EXP(('2023'!Tnet-t)/('2023'!Tau_j))),Resal+(Salim-Resal)*(1-EXP((Tnet-t)/(Tau_j))))*Salcycl</f>
        <v>3.0902298046187878E-2</v>
      </c>
      <c r="P33" s="169">
        <f>(INDEX(Models!$BJ33:$BT33,,T33)*(1-R33)+INDEX(Models!$BJ33:$BT33,,T33+1)*R33-ERP_i)*Q33*Ramure*Pc/MaxiM</f>
        <v>2.6625154598643973E-2</v>
      </c>
      <c r="Q33" s="304">
        <f t="shared" si="4"/>
        <v>0.7</v>
      </c>
      <c r="R33" s="177">
        <f t="shared" si="5"/>
        <v>0.73521494619424876</v>
      </c>
      <c r="S33" s="799">
        <f t="shared" si="6"/>
        <v>0</v>
      </c>
      <c r="T33" s="176">
        <f t="shared" si="7"/>
        <v>6</v>
      </c>
      <c r="U33" s="250">
        <f t="shared" si="8"/>
        <v>0.73521494619424876</v>
      </c>
      <c r="V33" s="382">
        <f t="shared" si="9"/>
        <v>28.513080218505973</v>
      </c>
      <c r="W33" s="400">
        <f t="shared" si="10"/>
        <v>11.787257765676907</v>
      </c>
      <c r="X33" s="157">
        <f t="shared" si="11"/>
        <v>45310</v>
      </c>
      <c r="Y33" s="383">
        <f t="shared" si="12"/>
        <v>11.626666696492441</v>
      </c>
      <c r="Z33" s="383">
        <f t="shared" si="22"/>
        <v>12.04282451092743</v>
      </c>
      <c r="AA33" s="384">
        <f t="shared" si="13"/>
        <v>12.59632505894494</v>
      </c>
      <c r="AB33" s="197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4.3941430967157864E-2</v>
      </c>
      <c r="AD33" s="230">
        <f>(INDEX(Models!$BJ33:$BT33,,AH33)*(1-AF33)+INDEX(Models!$BJ33:$BT33,,AH33+1)*AF33-ERP_i)*AE33*Ramure*Pc/MaxiM</f>
        <v>2.7679316880665022E-2</v>
      </c>
      <c r="AE33" s="304">
        <f t="shared" si="15"/>
        <v>0.7</v>
      </c>
      <c r="AF33" s="177">
        <f t="shared" si="23"/>
        <v>0.79954716845408091</v>
      </c>
      <c r="AG33" s="799">
        <f t="shared" si="24"/>
        <v>0</v>
      </c>
      <c r="AH33" s="176">
        <f t="shared" si="16"/>
        <v>6</v>
      </c>
      <c r="AI33" s="224">
        <f t="shared" si="17"/>
        <v>0.79954716845408091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45311</v>
      </c>
      <c r="B34" s="409">
        <f>'2023'!Wh/'2023'!Env_an*'2024'!Env_an</f>
        <v>4.8886818650563022</v>
      </c>
      <c r="C34" s="829"/>
      <c r="D34" s="391">
        <f t="shared" si="0"/>
        <v>5.0637614070361563</v>
      </c>
      <c r="E34" s="383">
        <f t="shared" si="1"/>
        <v>5.2256467787649479</v>
      </c>
      <c r="F34" s="383">
        <f t="shared" si="2"/>
        <v>5.2256467787649479</v>
      </c>
      <c r="G34" s="110">
        <f t="shared" si="21"/>
        <v>0.16515231694077254</v>
      </c>
      <c r="H34" s="412" t="b">
        <f>Wh_hp&gt;='2023'!Maxi_hp</f>
        <v>0</v>
      </c>
      <c r="I34" s="388">
        <f>IF(H34,Wh_hp,'2023'!Maxi_hp)</f>
        <v>11.30286271509741</v>
      </c>
      <c r="J34" s="85">
        <f>IF(H34,An,'2023'!An_max)</f>
        <v>2020</v>
      </c>
      <c r="K34" s="197">
        <f t="shared" si="3"/>
        <v>45311</v>
      </c>
      <c r="L34" s="147">
        <f>IF(t&lt;Tvie,1-EXP((T0-t)*PertePVj)+'2023'!Pspv,1-EXP((T0-t)*PertePVj)+Pspv)</f>
        <v>3.4574998288145919E-2</v>
      </c>
      <c r="M34" s="832"/>
      <c r="N34" s="832"/>
      <c r="O34" s="48">
        <f>IF(t&lt;Tnet,'2023'!Resal+('2023'!Salim-'2023'!Resal)*(1-EXP(('2023'!Tnet-t)/('2023'!Tau_j))),Resal+(Salim-Resal)*(1-EXP((Tnet-t)/(Tau_j))))*Salcycl</f>
        <v>3.0979011514255538E-2</v>
      </c>
      <c r="P34" s="169">
        <f>(INDEX(Models!$BJ34:$BT34,,T34)*(1-R34)+INDEX(Models!$BJ34:$BT34,,T34+1)*R34-ERP_i)*Q34*Ramure*Pc/MaxiM</f>
        <v>2.643939374353154E-2</v>
      </c>
      <c r="Q34" s="304">
        <f t="shared" si="4"/>
        <v>0.7</v>
      </c>
      <c r="R34" s="177">
        <f t="shared" si="5"/>
        <v>0.73526376617828282</v>
      </c>
      <c r="S34" s="799">
        <f t="shared" si="6"/>
        <v>0</v>
      </c>
      <c r="T34" s="176">
        <f t="shared" si="7"/>
        <v>6</v>
      </c>
      <c r="U34" s="250">
        <f t="shared" si="8"/>
        <v>0.73526376617828282</v>
      </c>
      <c r="V34" s="382">
        <f t="shared" si="9"/>
        <v>28.818415439161278</v>
      </c>
      <c r="W34" s="400">
        <f t="shared" si="10"/>
        <v>4.8886818650563022</v>
      </c>
      <c r="X34" s="157">
        <f t="shared" si="11"/>
        <v>45311</v>
      </c>
      <c r="Y34" s="383">
        <f t="shared" si="12"/>
        <v>4.8229780194515905</v>
      </c>
      <c r="Z34" s="383">
        <f t="shared" si="22"/>
        <v>4.9957044937718349</v>
      </c>
      <c r="AA34" s="384">
        <f t="shared" si="13"/>
        <v>5.2256467787649479</v>
      </c>
      <c r="AB34" s="197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4.4002645936099545E-2</v>
      </c>
      <c r="AD34" s="230">
        <f>(INDEX(Models!$BJ34:$BT34,,AH34)*(1-AF34)+INDEX(Models!$BJ34:$BT34,,AH34+1)*AF34-ERP_i)*AE34*Ramure*Pc/MaxiM</f>
        <v>2.7472972737265903E-2</v>
      </c>
      <c r="AE34" s="304">
        <f t="shared" si="15"/>
        <v>0.7</v>
      </c>
      <c r="AF34" s="177">
        <f t="shared" si="23"/>
        <v>0.79959598843811497</v>
      </c>
      <c r="AG34" s="799">
        <f t="shared" si="24"/>
        <v>0</v>
      </c>
      <c r="AH34" s="176">
        <f t="shared" si="16"/>
        <v>6</v>
      </c>
      <c r="AI34" s="224">
        <f t="shared" si="17"/>
        <v>0.79959598843811497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45312</v>
      </c>
      <c r="B35" s="409">
        <f>'2023'!Wh/'2023'!Env_an*'2024'!Env_an</f>
        <v>18.665511600365747</v>
      </c>
      <c r="C35" s="829"/>
      <c r="D35" s="391">
        <f t="shared" si="0"/>
        <v>19.334354604858426</v>
      </c>
      <c r="E35" s="383">
        <f t="shared" si="1"/>
        <v>19.954040802291477</v>
      </c>
      <c r="F35" s="383">
        <f t="shared" si="2"/>
        <v>20.212941869872022</v>
      </c>
      <c r="G35" s="110">
        <f t="shared" si="21"/>
        <v>0.63217198086012683</v>
      </c>
      <c r="H35" s="412" t="b">
        <f>Wh_hp&gt;='2023'!Maxi_hp</f>
        <v>0</v>
      </c>
      <c r="I35" s="388">
        <f>IF(H35,Wh_hp,'2023'!Maxi_hp)</f>
        <v>20.346103196063709</v>
      </c>
      <c r="J35" s="85">
        <f>IF(H35,An,'2023'!An_max)</f>
        <v>2022</v>
      </c>
      <c r="K35" s="197">
        <f t="shared" si="3"/>
        <v>45312</v>
      </c>
      <c r="L35" s="147">
        <f>IF(t&lt;Tvie,1-EXP((T0-t)*PertePVj)+'2023'!Pspv,1-EXP((T0-t)*PertePVj)+Pspv)</f>
        <v>3.459350043805498E-2</v>
      </c>
      <c r="M35" s="832"/>
      <c r="N35" s="832"/>
      <c r="O35" s="48">
        <f>IF(t&lt;Tnet,'2023'!Resal+('2023'!Salim-'2023'!Resal)*(1-EXP(('2023'!Tnet-t)/('2023'!Tau_j))),Resal+(Salim-Resal)*(1-EXP((Tnet-t)/(Tau_j))))*Salcycl</f>
        <v>3.1055674566020063E-2</v>
      </c>
      <c r="P35" s="169">
        <f>(INDEX(Models!$BJ35:$BT35,,T35)*(1-R35)+INDEX(Models!$BJ35:$BT35,,T35+1)*R35-ERP_i)*Q35*Ramure*Pc/MaxiM</f>
        <v>2.6298840456664332E-2</v>
      </c>
      <c r="Q35" s="304">
        <f t="shared" si="4"/>
        <v>0.7</v>
      </c>
      <c r="R35" s="177">
        <f t="shared" si="5"/>
        <v>0.73531462156807181</v>
      </c>
      <c r="S35" s="799">
        <f t="shared" si="6"/>
        <v>0</v>
      </c>
      <c r="T35" s="176">
        <f t="shared" si="7"/>
        <v>6</v>
      </c>
      <c r="U35" s="250">
        <f t="shared" si="8"/>
        <v>0.73531462156807181</v>
      </c>
      <c r="V35" s="382">
        <f t="shared" si="9"/>
        <v>29.122524083992101</v>
      </c>
      <c r="W35" s="400">
        <f t="shared" si="10"/>
        <v>18.665511600365747</v>
      </c>
      <c r="X35" s="157">
        <f t="shared" si="11"/>
        <v>45312</v>
      </c>
      <c r="Y35" s="383">
        <f t="shared" si="12"/>
        <v>18.405693276043365</v>
      </c>
      <c r="Z35" s="383">
        <f t="shared" si="22"/>
        <v>19.06522618647687</v>
      </c>
      <c r="AA35" s="384">
        <f t="shared" si="13"/>
        <v>19.944037183639093</v>
      </c>
      <c r="AB35" s="197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4.4063846706179806E-2</v>
      </c>
      <c r="AD35" s="230">
        <f>(INDEX(Models!$BJ35:$BT35,,AH35)*(1-AF35)+INDEX(Models!$BJ35:$BT35,,AH35+1)*AF35-ERP_i)*AE35*Ramure*Pc/MaxiM</f>
        <v>2.7314995289036942E-2</v>
      </c>
      <c r="AE35" s="304">
        <f t="shared" si="15"/>
        <v>0.7</v>
      </c>
      <c r="AF35" s="177">
        <f t="shared" si="23"/>
        <v>0.79964684382790396</v>
      </c>
      <c r="AG35" s="799">
        <f t="shared" si="24"/>
        <v>0</v>
      </c>
      <c r="AH35" s="176">
        <f t="shared" si="16"/>
        <v>6</v>
      </c>
      <c r="AI35" s="224">
        <f t="shared" si="17"/>
        <v>0.79964684382790396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45313</v>
      </c>
      <c r="B36" s="409">
        <f>'2023'!Wh/'2023'!Env_an*'2024'!Env_an</f>
        <v>28.860148731888831</v>
      </c>
      <c r="C36" s="829"/>
      <c r="D36" s="391">
        <f t="shared" si="0"/>
        <v>29.894870040496951</v>
      </c>
      <c r="E36" s="383">
        <f t="shared" si="1"/>
        <v>30.855471498820226</v>
      </c>
      <c r="F36" s="383">
        <f t="shared" si="2"/>
        <v>31.662408396512571</v>
      </c>
      <c r="G36" s="110">
        <f t="shared" si="21"/>
        <v>0.98010860228462049</v>
      </c>
      <c r="H36" s="412" t="b">
        <f>Wh_hp&gt;='2023'!Maxi_hp</f>
        <v>0</v>
      </c>
      <c r="I36" s="388">
        <f>IF(H36,Wh_hp,'2023'!Maxi_hp)</f>
        <v>31.673476071580343</v>
      </c>
      <c r="J36" s="85">
        <f>IF(H36,An,'2023'!An_max)</f>
        <v>2022</v>
      </c>
      <c r="K36" s="197">
        <f t="shared" si="3"/>
        <v>45313</v>
      </c>
      <c r="L36" s="147">
        <f>IF(t&lt;Tvie,1-EXP((T0-t)*PertePVj)+'2023'!Pspv,1-EXP((T0-t)*PertePVj)+Pspv)</f>
        <v>3.4612002233374461E-2</v>
      </c>
      <c r="M36" s="832"/>
      <c r="N36" s="832"/>
      <c r="O36" s="48">
        <f>IF(t&lt;Tnet,'2023'!Resal+('2023'!Salim-'2023'!Resal)*(1-EXP(('2023'!Tnet-t)/('2023'!Tau_j))),Resal+(Salim-Resal)*(1-EXP((Tnet-t)/(Tau_j))))*Salcycl</f>
        <v>3.1132289077481921E-2</v>
      </c>
      <c r="P36" s="169">
        <f>(INDEX(Models!$BJ36:$BT36,,T36)*(1-R36)+INDEX(Models!$BJ36:$BT36,,T36+1)*R36-ERP_i)*Q36*Ramure*Pc/MaxiM</f>
        <v>2.6203207929116533E-2</v>
      </c>
      <c r="Q36" s="304">
        <f t="shared" si="4"/>
        <v>0.7</v>
      </c>
      <c r="R36" s="177">
        <f t="shared" si="5"/>
        <v>0.73536759667109752</v>
      </c>
      <c r="S36" s="799">
        <f t="shared" si="6"/>
        <v>0</v>
      </c>
      <c r="T36" s="176">
        <f t="shared" si="7"/>
        <v>6</v>
      </c>
      <c r="U36" s="250">
        <f t="shared" si="8"/>
        <v>0.73536759667109752</v>
      </c>
      <c r="V36" s="382">
        <f t="shared" si="9"/>
        <v>29.424186365954874</v>
      </c>
      <c r="W36" s="400">
        <f t="shared" si="10"/>
        <v>28.860148731888831</v>
      </c>
      <c r="X36" s="157">
        <f t="shared" si="11"/>
        <v>45313</v>
      </c>
      <c r="Y36" s="383">
        <f t="shared" si="12"/>
        <v>28.444657462745049</v>
      </c>
      <c r="Z36" s="383">
        <f t="shared" si="22"/>
        <v>29.464482185971104</v>
      </c>
      <c r="AA36" s="384">
        <f t="shared" si="13"/>
        <v>30.824619626627438</v>
      </c>
      <c r="AB36" s="197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4.4125035673802611E-2</v>
      </c>
      <c r="AD36" s="230">
        <f>(INDEX(Models!$BJ36:$BT36,,AH36)*(1-AF36)+INDEX(Models!$BJ36:$BT36,,AH36+1)*AF36-ERP_i)*AE36*Ramure*Pc/MaxiM</f>
        <v>2.7205043418833313E-2</v>
      </c>
      <c r="AE36" s="304">
        <f t="shared" si="15"/>
        <v>0.7</v>
      </c>
      <c r="AF36" s="177">
        <f t="shared" si="23"/>
        <v>0.79969981893092967</v>
      </c>
      <c r="AG36" s="799">
        <f t="shared" si="24"/>
        <v>0</v>
      </c>
      <c r="AH36" s="176">
        <f t="shared" si="16"/>
        <v>6</v>
      </c>
      <c r="AI36" s="224">
        <f t="shared" si="17"/>
        <v>0.79969981893092967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45314</v>
      </c>
      <c r="B37" s="409">
        <f>'2023'!Wh/'2023'!Env_an*'2024'!Env_an</f>
        <v>29.212666236154856</v>
      </c>
      <c r="C37" s="829"/>
      <c r="D37" s="391">
        <f t="shared" si="0"/>
        <v>30.260606272868255</v>
      </c>
      <c r="E37" s="383">
        <f t="shared" si="1"/>
        <v>31.235428282500362</v>
      </c>
      <c r="F37" s="383">
        <f t="shared" si="2"/>
        <v>32.052848170340951</v>
      </c>
      <c r="G37" s="110">
        <f t="shared" si="21"/>
        <v>0.98205420807717059</v>
      </c>
      <c r="H37" s="412" t="b">
        <f>Wh_hp&gt;='2023'!Maxi_hp</f>
        <v>0</v>
      </c>
      <c r="I37" s="388">
        <f>IF(H37,Wh_hp,'2023'!Maxi_hp)</f>
        <v>32.062853586562348</v>
      </c>
      <c r="J37" s="85">
        <f>IF(H37,An,'2023'!An_max)</f>
        <v>2022</v>
      </c>
      <c r="K37" s="197">
        <f t="shared" si="3"/>
        <v>45314</v>
      </c>
      <c r="L37" s="147">
        <f>IF(t&lt;Tvie,1-EXP((T0-t)*PertePVj)+'2023'!Pspv,1-EXP((T0-t)*PertePVj)+Pspv)</f>
        <v>3.4630503674111246E-2</v>
      </c>
      <c r="M37" s="832"/>
      <c r="N37" s="832"/>
      <c r="O37" s="48">
        <f>IF(t&lt;Tnet,'2023'!Resal+('2023'!Salim-'2023'!Resal)*(1-EXP(('2023'!Tnet-t)/('2023'!Tau_j))),Resal+(Salim-Resal)*(1-EXP((Tnet-t)/(Tau_j))))*Salcycl</f>
        <v>3.120885684087921E-2</v>
      </c>
      <c r="P37" s="169">
        <f>(INDEX(Models!$BJ37:$BT37,,T37)*(1-R37)+INDEX(Models!$BJ37:$BT37,,T37+1)*R37-ERP_i)*Q37*Ramure*Pc/MaxiM</f>
        <v>2.614827848129896E-2</v>
      </c>
      <c r="Q37" s="304">
        <f t="shared" si="4"/>
        <v>0.7</v>
      </c>
      <c r="R37" s="177">
        <f t="shared" si="5"/>
        <v>0.73542277923971933</v>
      </c>
      <c r="S37" s="799">
        <f t="shared" si="6"/>
        <v>0</v>
      </c>
      <c r="T37" s="176">
        <f t="shared" si="7"/>
        <v>6</v>
      </c>
      <c r="U37" s="250">
        <f t="shared" si="8"/>
        <v>0.73542277923971933</v>
      </c>
      <c r="V37" s="382">
        <f t="shared" si="9"/>
        <v>29.726770716001347</v>
      </c>
      <c r="W37" s="400">
        <f t="shared" si="10"/>
        <v>29.212666236154856</v>
      </c>
      <c r="X37" s="157">
        <f t="shared" si="11"/>
        <v>45314</v>
      </c>
      <c r="Y37" s="383">
        <f t="shared" si="12"/>
        <v>28.792781985286872</v>
      </c>
      <c r="Z37" s="383">
        <f t="shared" si="22"/>
        <v>29.825659599634818</v>
      </c>
      <c r="AA37" s="384">
        <f t="shared" si="13"/>
        <v>31.204466885797341</v>
      </c>
      <c r="AB37" s="197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4.4186215108519673E-2</v>
      </c>
      <c r="AD37" s="230">
        <f>(INDEX(Models!$BJ37:$BT37,,AH37)*(1-AF37)+INDEX(Models!$BJ37:$BT37,,AH37+1)*AF37-ERP_i)*AE37*Ramure*Pc/MaxiM</f>
        <v>2.713869630107971E-2</v>
      </c>
      <c r="AE37" s="304">
        <f t="shared" si="15"/>
        <v>0.7</v>
      </c>
      <c r="AF37" s="177">
        <f t="shared" si="23"/>
        <v>0.79975500149955148</v>
      </c>
      <c r="AG37" s="799">
        <f t="shared" si="24"/>
        <v>0</v>
      </c>
      <c r="AH37" s="176">
        <f t="shared" si="16"/>
        <v>6</v>
      </c>
      <c r="AI37" s="224">
        <f t="shared" si="17"/>
        <v>0.79975500149955148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45315</v>
      </c>
      <c r="B38" s="409">
        <f>'2023'!Wh/'2023'!Env_an*'2024'!Env_an</f>
        <v>29.72093078850353</v>
      </c>
      <c r="C38" s="829"/>
      <c r="D38" s="391">
        <f t="shared" si="0"/>
        <v>30.787693735295587</v>
      </c>
      <c r="E38" s="383">
        <f t="shared" si="1"/>
        <v>31.782005850051839</v>
      </c>
      <c r="F38" s="383">
        <f t="shared" si="2"/>
        <v>32.62193044683189</v>
      </c>
      <c r="G38" s="110">
        <f t="shared" si="21"/>
        <v>0.98918824623478874</v>
      </c>
      <c r="H38" s="412" t="b">
        <f>Wh_hp&gt;='2023'!Maxi_hp</f>
        <v>0</v>
      </c>
      <c r="I38" s="388">
        <f>IF(H38,Wh_hp,'2023'!Maxi_hp)</f>
        <v>32.62802258873004</v>
      </c>
      <c r="J38" s="85">
        <f>IF(H38,An,'2023'!An_max)</f>
        <v>2022</v>
      </c>
      <c r="K38" s="197">
        <f t="shared" si="3"/>
        <v>45315</v>
      </c>
      <c r="L38" s="147">
        <f>IF(t&lt;Tvie,1-EXP((T0-t)*PertePVj)+'2023'!Pspv,1-EXP((T0-t)*PertePVj)+Pspv)</f>
        <v>3.4649004760272106E-2</v>
      </c>
      <c r="M38" s="832"/>
      <c r="N38" s="832"/>
      <c r="O38" s="48">
        <f>IF(t&lt;Tnet,'2023'!Resal+('2023'!Salim-'2023'!Resal)*(1-EXP(('2023'!Tnet-t)/('2023'!Tau_j))),Resal+(Salim-Resal)*(1-EXP((Tnet-t)/(Tau_j))))*Salcycl</f>
        <v>3.1285379514667366E-2</v>
      </c>
      <c r="P38" s="169">
        <f>(INDEX(Models!$BJ38:$BT38,,T38)*(1-R38)+INDEX(Models!$BJ38:$BT38,,T38+1)*R38-ERP_i)*Q38*Ramure*Pc/MaxiM</f>
        <v>2.6136170073191477E-2</v>
      </c>
      <c r="Q38" s="304">
        <f t="shared" si="4"/>
        <v>0.7</v>
      </c>
      <c r="R38" s="177">
        <f t="shared" si="5"/>
        <v>0.73548026060790295</v>
      </c>
      <c r="S38" s="799">
        <f t="shared" si="6"/>
        <v>0</v>
      </c>
      <c r="T38" s="176">
        <f t="shared" si="7"/>
        <v>6</v>
      </c>
      <c r="U38" s="250">
        <f t="shared" si="8"/>
        <v>0.73548026060790295</v>
      </c>
      <c r="V38" s="382">
        <f t="shared" si="9"/>
        <v>30.033783741238956</v>
      </c>
      <c r="W38" s="400">
        <f t="shared" si="10"/>
        <v>29.72093078850353</v>
      </c>
      <c r="X38" s="157">
        <f t="shared" si="11"/>
        <v>45315</v>
      </c>
      <c r="Y38" s="383">
        <f t="shared" si="12"/>
        <v>29.294112216911731</v>
      </c>
      <c r="Z38" s="383">
        <f t="shared" si="22"/>
        <v>30.345555514382678</v>
      </c>
      <c r="AA38" s="384">
        <f t="shared" si="13"/>
        <v>31.750429038083464</v>
      </c>
      <c r="AB38" s="197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4.4247387083043578E-2</v>
      </c>
      <c r="AD38" s="230">
        <f>(INDEX(Models!$BJ38:$BT38,,AH38)*(1-AF38)+INDEX(Models!$BJ38:$BT38,,AH38+1)*AF38-ERP_i)*AE38*Ramure*Pc/MaxiM</f>
        <v>2.7118754618445321E-2</v>
      </c>
      <c r="AE38" s="304">
        <f t="shared" si="15"/>
        <v>0.7</v>
      </c>
      <c r="AF38" s="177">
        <f t="shared" si="23"/>
        <v>0.7998124828677351</v>
      </c>
      <c r="AG38" s="799">
        <f t="shared" si="24"/>
        <v>0</v>
      </c>
      <c r="AH38" s="176">
        <f t="shared" si="16"/>
        <v>6</v>
      </c>
      <c r="AI38" s="224">
        <f t="shared" si="17"/>
        <v>0.7998124828677351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45316</v>
      </c>
      <c r="B39" s="409">
        <f>'2023'!Wh/'2023'!Env_an*'2024'!Env_an</f>
        <v>27.759338824990085</v>
      </c>
      <c r="C39" s="829"/>
      <c r="D39" s="391">
        <f t="shared" si="0"/>
        <v>28.756246146188463</v>
      </c>
      <c r="E39" s="383">
        <f t="shared" si="1"/>
        <v>29.687294890085084</v>
      </c>
      <c r="F39" s="383">
        <f t="shared" si="2"/>
        <v>30.385051611925729</v>
      </c>
      <c r="G39" s="110">
        <f t="shared" si="21"/>
        <v>0.9118074894784024</v>
      </c>
      <c r="H39" s="412" t="b">
        <f>Wh_hp&gt;='2023'!Maxi_hp</f>
        <v>0</v>
      </c>
      <c r="I39" s="388">
        <f>IF(H39,Wh_hp,'2023'!Maxi_hp)</f>
        <v>30.431174944513202</v>
      </c>
      <c r="J39" s="85">
        <f>IF(H39,An,'2023'!An_max)</f>
        <v>2022</v>
      </c>
      <c r="K39" s="197">
        <f t="shared" si="3"/>
        <v>45316</v>
      </c>
      <c r="L39" s="147">
        <f>IF(t&lt;Tvie,1-EXP((T0-t)*PertePVj)+'2023'!Pspv,1-EXP((T0-t)*PertePVj)+Pspv)</f>
        <v>3.4667505491863926E-2</v>
      </c>
      <c r="M39" s="832"/>
      <c r="N39" s="832"/>
      <c r="O39" s="48">
        <f>IF(t&lt;Tnet,'2023'!Resal+('2023'!Salim-'2023'!Resal)*(1-EXP(('2023'!Tnet-t)/('2023'!Tau_j))),Resal+(Salim-Resal)*(1-EXP((Tnet-t)/(Tau_j))))*Salcycl</f>
        <v>3.1361858577676406E-2</v>
      </c>
      <c r="P39" s="169">
        <f>(INDEX(Models!$BJ39:$BT39,,T39)*(1-R39)+INDEX(Models!$BJ39:$BT39,,T39+1)*R39-ERP_i)*Q39*Ramure*Pc/MaxiM</f>
        <v>2.6146706740227871E-2</v>
      </c>
      <c r="Q39" s="304">
        <f t="shared" si="4"/>
        <v>0.7</v>
      </c>
      <c r="R39" s="177">
        <f t="shared" si="5"/>
        <v>0.73554013583302946</v>
      </c>
      <c r="S39" s="799">
        <f t="shared" si="6"/>
        <v>0</v>
      </c>
      <c r="T39" s="176">
        <f t="shared" si="7"/>
        <v>6</v>
      </c>
      <c r="U39" s="250">
        <f t="shared" si="8"/>
        <v>0.73554013583302946</v>
      </c>
      <c r="V39" s="382">
        <f t="shared" si="9"/>
        <v>30.345119485788864</v>
      </c>
      <c r="W39" s="400">
        <f t="shared" si="10"/>
        <v>27.759338824990085</v>
      </c>
      <c r="X39" s="157">
        <f t="shared" si="11"/>
        <v>45316</v>
      </c>
      <c r="Y39" s="383">
        <f t="shared" si="12"/>
        <v>27.364259620084763</v>
      </c>
      <c r="Z39" s="383">
        <f t="shared" si="22"/>
        <v>28.346978658402687</v>
      </c>
      <c r="AA39" s="384">
        <f t="shared" si="13"/>
        <v>29.661224613378689</v>
      </c>
      <c r="AB39" s="197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4.4308553409599098E-2</v>
      </c>
      <c r="AD39" s="230">
        <f>(INDEX(Models!$BJ39:$BT39,,AH39)*(1-AF39)+INDEX(Models!$BJ39:$BT39,,AH39+1)*AF39-ERP_i)*AE39*Ramure*Pc/MaxiM</f>
        <v>2.7123625855934076E-2</v>
      </c>
      <c r="AE39" s="304">
        <f t="shared" si="15"/>
        <v>0.7</v>
      </c>
      <c r="AF39" s="177">
        <f t="shared" si="23"/>
        <v>0.79987235809286161</v>
      </c>
      <c r="AG39" s="799">
        <f t="shared" si="24"/>
        <v>0</v>
      </c>
      <c r="AH39" s="176">
        <f t="shared" si="16"/>
        <v>6</v>
      </c>
      <c r="AI39" s="224">
        <f t="shared" si="17"/>
        <v>0.79987235809286161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45317</v>
      </c>
      <c r="B40" s="409">
        <f>'2023'!Wh/'2023'!Env_an*'2024'!Env_an</f>
        <v>29.900707001425427</v>
      </c>
      <c r="C40" s="829"/>
      <c r="D40" s="391">
        <f t="shared" si="0"/>
        <v>30.975109843237586</v>
      </c>
      <c r="E40" s="383">
        <f t="shared" si="1"/>
        <v>31.980522967759015</v>
      </c>
      <c r="F40" s="383">
        <f t="shared" si="2"/>
        <v>32.809067917293525</v>
      </c>
      <c r="G40" s="110">
        <f t="shared" si="21"/>
        <v>0.97430627618914389</v>
      </c>
      <c r="H40" s="412" t="b">
        <f>Wh_hp&gt;='2023'!Maxi_hp</f>
        <v>0</v>
      </c>
      <c r="I40" s="388">
        <f>IF(H40,Wh_hp,'2023'!Maxi_hp)</f>
        <v>32.823520357866578</v>
      </c>
      <c r="J40" s="85">
        <f>IF(H40,An,'2023'!An_max)</f>
        <v>2022</v>
      </c>
      <c r="K40" s="197">
        <f t="shared" si="3"/>
        <v>45317</v>
      </c>
      <c r="L40" s="147">
        <f>IF(t&lt;Tvie,1-EXP((T0-t)*PertePVj)+'2023'!Pspv,1-EXP((T0-t)*PertePVj)+Pspv)</f>
        <v>3.4686005868893477E-2</v>
      </c>
      <c r="M40" s="832"/>
      <c r="N40" s="832"/>
      <c r="O40" s="48">
        <f>IF(t&lt;Tnet,'2023'!Resal+('2023'!Salim-'2023'!Resal)*(1-EXP(('2023'!Tnet-t)/('2023'!Tau_j))),Resal+(Salim-Resal)*(1-EXP((Tnet-t)/(Tau_j))))*Salcycl</f>
        <v>3.1438295287885956E-2</v>
      </c>
      <c r="P40" s="169">
        <f>(INDEX(Models!$BJ40:$BT40,,T40)*(1-R40)+INDEX(Models!$BJ40:$BT40,,T40+1)*R40-ERP_i)*Q40*Ramure*Pc/MaxiM</f>
        <v>2.617981370777276E-2</v>
      </c>
      <c r="Q40" s="304">
        <f t="shared" si="4"/>
        <v>0.7</v>
      </c>
      <c r="R40" s="177">
        <f t="shared" si="5"/>
        <v>0.73560250384294368</v>
      </c>
      <c r="S40" s="799">
        <f t="shared" si="6"/>
        <v>0</v>
      </c>
      <c r="T40" s="176">
        <f t="shared" si="7"/>
        <v>6</v>
      </c>
      <c r="U40" s="250">
        <f t="shared" si="8"/>
        <v>0.73560250384294368</v>
      </c>
      <c r="V40" s="382">
        <f t="shared" si="9"/>
        <v>30.66006428886482</v>
      </c>
      <c r="W40" s="400">
        <f t="shared" si="10"/>
        <v>29.900707001425427</v>
      </c>
      <c r="X40" s="157">
        <f t="shared" si="11"/>
        <v>45317</v>
      </c>
      <c r="Y40" s="383">
        <f t="shared" si="12"/>
        <v>29.473080110384007</v>
      </c>
      <c r="Z40" s="383">
        <f t="shared" si="22"/>
        <v>30.532117310609554</v>
      </c>
      <c r="AA40" s="384">
        <f t="shared" si="13"/>
        <v>31.949717174610079</v>
      </c>
      <c r="AB40" s="197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4.4369715583181098E-2</v>
      </c>
      <c r="AD40" s="230">
        <f>(INDEX(Models!$BJ40:$BT40,,AH40)*(1-AF40)+INDEX(Models!$BJ40:$BT40,,AH40+1)*AF40-ERP_i)*AE40*Ramure*Pc/MaxiM</f>
        <v>2.7153194724955258E-2</v>
      </c>
      <c r="AE40" s="304">
        <f t="shared" si="15"/>
        <v>0.7</v>
      </c>
      <c r="AF40" s="177">
        <f t="shared" si="23"/>
        <v>0.79993472610277583</v>
      </c>
      <c r="AG40" s="799">
        <f t="shared" si="24"/>
        <v>0</v>
      </c>
      <c r="AH40" s="176">
        <f t="shared" si="16"/>
        <v>6</v>
      </c>
      <c r="AI40" s="224">
        <f t="shared" si="17"/>
        <v>0.79993472610277583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45318</v>
      </c>
      <c r="B41" s="409">
        <f>'2023'!Wh/'2023'!Env_an*'2024'!Env_an</f>
        <v>29.692396331044648</v>
      </c>
      <c r="C41" s="829"/>
      <c r="D41" s="391">
        <f t="shared" si="0"/>
        <v>30.759903586272333</v>
      </c>
      <c r="E41" s="383">
        <f t="shared" si="1"/>
        <v>31.760836523990488</v>
      </c>
      <c r="F41" s="383">
        <f t="shared" si="2"/>
        <v>32.564532672181286</v>
      </c>
      <c r="G41" s="110">
        <f t="shared" si="21"/>
        <v>0.95697393119037</v>
      </c>
      <c r="H41" s="412" t="b">
        <f>Wh_hp&gt;='2023'!Maxi_hp</f>
        <v>0</v>
      </c>
      <c r="I41" s="388">
        <f>IF(H41,Wh_hp,'2023'!Maxi_hp)</f>
        <v>32.588540192320359</v>
      </c>
      <c r="J41" s="85">
        <f>IF(H41,An,'2023'!An_max)</f>
        <v>2022</v>
      </c>
      <c r="K41" s="197">
        <f t="shared" si="3"/>
        <v>45318</v>
      </c>
      <c r="L41" s="147">
        <f>IF(t&lt;Tvie,1-EXP((T0-t)*PertePVj)+'2023'!Pspv,1-EXP((T0-t)*PertePVj)+Pspv)</f>
        <v>3.4704505891367532E-2</v>
      </c>
      <c r="M41" s="832"/>
      <c r="N41" s="832"/>
      <c r="O41" s="48">
        <f>IF(t&lt;Tnet,'2023'!Resal+('2023'!Salim-'2023'!Resal)*(1-EXP(('2023'!Tnet-t)/('2023'!Tau_j))),Resal+(Salim-Resal)*(1-EXP((Tnet-t)/(Tau_j))))*Salcycl</f>
        <v>3.1514690646202034E-2</v>
      </c>
      <c r="P41" s="169">
        <f>(INDEX(Models!$BJ41:$BT41,,T41)*(1-R41)+INDEX(Models!$BJ41:$BT41,,T41+1)*R41-ERP_i)*Q41*Ramure*Pc/MaxiM</f>
        <v>2.6235401191307538E-2</v>
      </c>
      <c r="Q41" s="304">
        <f t="shared" si="4"/>
        <v>0.7</v>
      </c>
      <c r="R41" s="177">
        <f t="shared" si="5"/>
        <v>0.73566746758840107</v>
      </c>
      <c r="S41" s="799">
        <f t="shared" si="6"/>
        <v>0</v>
      </c>
      <c r="T41" s="176">
        <f t="shared" si="7"/>
        <v>6</v>
      </c>
      <c r="U41" s="250">
        <f t="shared" si="8"/>
        <v>0.73566746758840107</v>
      </c>
      <c r="V41" s="382">
        <f t="shared" si="9"/>
        <v>30.977904802595333</v>
      </c>
      <c r="W41" s="400">
        <f t="shared" si="10"/>
        <v>29.692396331044648</v>
      </c>
      <c r="X41" s="157">
        <f t="shared" si="11"/>
        <v>45318</v>
      </c>
      <c r="Y41" s="383">
        <f t="shared" si="12"/>
        <v>29.268940477534326</v>
      </c>
      <c r="Z41" s="383">
        <f t="shared" si="22"/>
        <v>30.321223559177266</v>
      </c>
      <c r="AA41" s="384">
        <f t="shared" si="13"/>
        <v>31.731062418618666</v>
      </c>
      <c r="AB41" s="197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4.4430874732204285E-2</v>
      </c>
      <c r="AD41" s="230">
        <f>(INDEX(Models!$BJ41:$BT41,,AH41)*(1-AF41)+INDEX(Models!$BJ41:$BT41,,AH41+1)*AF41-ERP_i)*AE41*Ramure*Pc/MaxiM</f>
        <v>2.7207330198682395E-2</v>
      </c>
      <c r="AE41" s="304">
        <f t="shared" si="15"/>
        <v>0.7</v>
      </c>
      <c r="AF41" s="177">
        <f t="shared" si="23"/>
        <v>0.79999968984823322</v>
      </c>
      <c r="AG41" s="799">
        <f t="shared" si="24"/>
        <v>0</v>
      </c>
      <c r="AH41" s="176">
        <f t="shared" si="16"/>
        <v>6</v>
      </c>
      <c r="AI41" s="224">
        <f t="shared" si="17"/>
        <v>0.79999968984823322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45319</v>
      </c>
      <c r="B42" s="409">
        <f>'2023'!Wh/'2023'!Env_an*'2024'!Env_an</f>
        <v>4.0497651986093066</v>
      </c>
      <c r="C42" s="829"/>
      <c r="D42" s="391">
        <f t="shared" si="0"/>
        <v>4.1954436104175343</v>
      </c>
      <c r="E42" s="383">
        <f t="shared" si="1"/>
        <v>4.3323056755513507</v>
      </c>
      <c r="F42" s="383">
        <f t="shared" si="2"/>
        <v>4.3323056755513507</v>
      </c>
      <c r="G42" s="110">
        <f t="shared" si="21"/>
        <v>0.12598924210322668</v>
      </c>
      <c r="H42" s="412" t="b">
        <f>Wh_hp&gt;='2023'!Maxi_hp</f>
        <v>0</v>
      </c>
      <c r="I42" s="388">
        <f>IF(H42,Wh_hp,'2023'!Maxi_hp)</f>
        <v>18.718380052919283</v>
      </c>
      <c r="J42" s="85">
        <f>IF(H42,An,'2023'!An_max)</f>
        <v>2021</v>
      </c>
      <c r="K42" s="197">
        <f t="shared" si="3"/>
        <v>45319</v>
      </c>
      <c r="L42" s="147">
        <f>IF(t&lt;Tvie,1-EXP((T0-t)*PertePVj)+'2023'!Pspv,1-EXP((T0-t)*PertePVj)+Pspv)</f>
        <v>3.4723005559292752E-2</v>
      </c>
      <c r="M42" s="832"/>
      <c r="N42" s="832"/>
      <c r="O42" s="48">
        <f>IF(t&lt;Tnet,'2023'!Resal+('2023'!Salim-'2023'!Resal)*(1-EXP(('2023'!Tnet-t)/('2023'!Tau_j))),Resal+(Salim-Resal)*(1-EXP((Tnet-t)/(Tau_j))))*Salcycl</f>
        <v>3.1591045365560275E-2</v>
      </c>
      <c r="P42" s="169">
        <f>(INDEX(Models!$BJ42:$BT42,,T42)*(1-R42)+INDEX(Models!$BJ42:$BT42,,T42+1)*R42-ERP_i)*Q42*Ramure*Pc/MaxiM</f>
        <v>2.6313370468170269E-2</v>
      </c>
      <c r="Q42" s="304">
        <f t="shared" si="4"/>
        <v>0.7</v>
      </c>
      <c r="R42" s="177">
        <f t="shared" si="5"/>
        <v>0.73573513420107783</v>
      </c>
      <c r="S42" s="799">
        <f t="shared" si="6"/>
        <v>0</v>
      </c>
      <c r="T42" s="176">
        <f t="shared" si="7"/>
        <v>6</v>
      </c>
      <c r="U42" s="250">
        <f t="shared" si="8"/>
        <v>0.73573513420107783</v>
      </c>
      <c r="V42" s="382">
        <f t="shared" si="9"/>
        <v>31.297927988156442</v>
      </c>
      <c r="W42" s="400">
        <f t="shared" si="10"/>
        <v>4.0497651986093066</v>
      </c>
      <c r="X42" s="157">
        <f t="shared" si="11"/>
        <v>45319</v>
      </c>
      <c r="Y42" s="383">
        <f t="shared" si="12"/>
        <v>3.9958148868772954</v>
      </c>
      <c r="Z42" s="383">
        <f t="shared" si="22"/>
        <v>4.1395525946337477</v>
      </c>
      <c r="AA42" s="384">
        <f t="shared" si="13"/>
        <v>4.3323056755513507</v>
      </c>
      <c r="AB42" s="197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4.4492031576943661E-2</v>
      </c>
      <c r="AD42" s="230">
        <f>(INDEX(Models!$BJ42:$BT42,,AH42)*(1-AF42)+INDEX(Models!$BJ42:$BT42,,AH42+1)*AF42-ERP_i)*AE42*Ramure*Pc/MaxiM</f>
        <v>2.7285892162775008E-2</v>
      </c>
      <c r="AE42" s="304">
        <f t="shared" si="15"/>
        <v>0.7</v>
      </c>
      <c r="AF42" s="177">
        <f t="shared" si="23"/>
        <v>0.80006735646090998</v>
      </c>
      <c r="AG42" s="799">
        <f t="shared" si="24"/>
        <v>0</v>
      </c>
      <c r="AH42" s="176">
        <f t="shared" si="16"/>
        <v>6</v>
      </c>
      <c r="AI42" s="224">
        <f t="shared" si="17"/>
        <v>0.80006735646090998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45320</v>
      </c>
      <c r="B43" s="409">
        <f>'2023'!Wh/'2023'!Env_an*'2024'!Env_an</f>
        <v>6.2331774949415539</v>
      </c>
      <c r="C43" s="829"/>
      <c r="D43" s="391">
        <f t="shared" si="0"/>
        <v>6.4575215099447094</v>
      </c>
      <c r="E43" s="383">
        <f t="shared" si="1"/>
        <v>6.6687016859363411</v>
      </c>
      <c r="F43" s="383">
        <f t="shared" si="2"/>
        <v>6.6687016859363411</v>
      </c>
      <c r="G43" s="110">
        <f t="shared" si="21"/>
        <v>0.19192434596109731</v>
      </c>
      <c r="H43" s="412" t="b">
        <f>Wh_hp&gt;='2023'!Maxi_hp</f>
        <v>0</v>
      </c>
      <c r="I43" s="388">
        <f>IF(H43,Wh_hp,'2023'!Maxi_hp)</f>
        <v>27.689355662253256</v>
      </c>
      <c r="J43" s="85">
        <f>IF(H43,An,'2023'!An_max)</f>
        <v>2020</v>
      </c>
      <c r="K43" s="197">
        <f t="shared" si="3"/>
        <v>45320</v>
      </c>
      <c r="L43" s="147">
        <f>IF(t&lt;Tvie,1-EXP((T0-t)*PertePVj)+'2023'!Pspv,1-EXP((T0-t)*PertePVj)+Pspv)</f>
        <v>3.4741504872676132E-2</v>
      </c>
      <c r="M43" s="832"/>
      <c r="N43" s="832"/>
      <c r="O43" s="48">
        <f>IF(t&lt;Tnet,'2023'!Resal+('2023'!Salim-'2023'!Resal)*(1-EXP(('2023'!Tnet-t)/('2023'!Tau_j))),Resal+(Salim-Resal)*(1-EXP((Tnet-t)/(Tau_j))))*Salcycl</f>
        <v>3.1667359845618949E-2</v>
      </c>
      <c r="P43" s="169">
        <f>(INDEX(Models!$BJ43:$BT43,,T43)*(1-R43)+INDEX(Models!$BJ43:$BT43,,T43+1)*R43-ERP_i)*Q43*Ramure*Pc/MaxiM</f>
        <v>2.6413619559658194E-2</v>
      </c>
      <c r="Q43" s="304">
        <f t="shared" si="4"/>
        <v>0.7</v>
      </c>
      <c r="R43" s="177">
        <f t="shared" si="5"/>
        <v>0.73580561515730603</v>
      </c>
      <c r="S43" s="799">
        <f t="shared" si="6"/>
        <v>0</v>
      </c>
      <c r="T43" s="176">
        <f t="shared" si="7"/>
        <v>6</v>
      </c>
      <c r="U43" s="250">
        <f t="shared" si="8"/>
        <v>0.73580561515730603</v>
      </c>
      <c r="V43" s="382">
        <f t="shared" si="9"/>
        <v>31.619421108630085</v>
      </c>
      <c r="W43" s="400">
        <f t="shared" si="10"/>
        <v>6.2331774949415539</v>
      </c>
      <c r="X43" s="157">
        <f t="shared" si="11"/>
        <v>45320</v>
      </c>
      <c r="Y43" s="383">
        <f t="shared" si="12"/>
        <v>6.1502311594289782</v>
      </c>
      <c r="Z43" s="383">
        <f t="shared" si="22"/>
        <v>6.371589776702999</v>
      </c>
      <c r="AA43" s="384">
        <f t="shared" si="13"/>
        <v>6.6687016859363411</v>
      </c>
      <c r="AB43" s="197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4.4553186396075133E-2</v>
      </c>
      <c r="AD43" s="230">
        <f>(INDEX(Models!$BJ43:$BT43,,AH43)*(1-AF43)+INDEX(Models!$BJ43:$BT43,,AH43+1)*AF43-ERP_i)*AE43*Ramure*Pc/MaxiM</f>
        <v>2.7388737622879751E-2</v>
      </c>
      <c r="AE43" s="304">
        <f t="shared" si="15"/>
        <v>0.7</v>
      </c>
      <c r="AF43" s="177">
        <f t="shared" si="23"/>
        <v>0.80013783741713818</v>
      </c>
      <c r="AG43" s="799">
        <f t="shared" si="24"/>
        <v>0</v>
      </c>
      <c r="AH43" s="176">
        <f t="shared" si="16"/>
        <v>6</v>
      </c>
      <c r="AI43" s="224">
        <f t="shared" si="17"/>
        <v>0.80013783741713818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45321</v>
      </c>
      <c r="B44" s="409">
        <f>'2023'!Wh/'2023'!Env_an*'2024'!Env_an</f>
        <v>5.6199875159547057</v>
      </c>
      <c r="C44" s="829"/>
      <c r="D44" s="391">
        <f t="shared" si="0"/>
        <v>5.822373231800662</v>
      </c>
      <c r="E44" s="383">
        <f t="shared" si="1"/>
        <v>6.0132558247720764</v>
      </c>
      <c r="F44" s="383">
        <f t="shared" si="2"/>
        <v>6.0132558247720764</v>
      </c>
      <c r="G44" s="110">
        <f t="shared" si="21"/>
        <v>0.17127642228019294</v>
      </c>
      <c r="H44" s="412" t="b">
        <f>Wh_hp&gt;='2023'!Maxi_hp</f>
        <v>0</v>
      </c>
      <c r="I44" s="388">
        <f>IF(H44,Wh_hp,'2023'!Maxi_hp)</f>
        <v>10.667841852164717</v>
      </c>
      <c r="J44" s="85">
        <f>IF(H44,An,'2023'!An_max)</f>
        <v>2020</v>
      </c>
      <c r="K44" s="197">
        <f t="shared" si="3"/>
        <v>45321</v>
      </c>
      <c r="L44" s="147">
        <f>IF(t&lt;Tvie,1-EXP((T0-t)*PertePVj)+'2023'!Pspv,1-EXP((T0-t)*PertePVj)+Pspv)</f>
        <v>3.4760003831524444E-2</v>
      </c>
      <c r="M44" s="832"/>
      <c r="N44" s="832"/>
      <c r="O44" s="48">
        <f>IF(t&lt;Tnet,'2023'!Resal+('2023'!Salim-'2023'!Resal)*(1-EXP(('2023'!Tnet-t)/('2023'!Tau_j))),Resal+(Salim-Resal)*(1-EXP((Tnet-t)/(Tau_j))))*Salcycl</f>
        <v>3.174363415324169E-2</v>
      </c>
      <c r="P44" s="169">
        <f>(INDEX(Models!$BJ44:$BT44,,T44)*(1-R44)+INDEX(Models!$BJ44:$BT44,,T44+1)*R44-ERP_i)*Q44*Ramure*Pc/MaxiM</f>
        <v>2.6508246322657514E-2</v>
      </c>
      <c r="Q44" s="304">
        <f t="shared" si="4"/>
        <v>0.7</v>
      </c>
      <c r="R44" s="177">
        <f t="shared" si="5"/>
        <v>0.73587902644770076</v>
      </c>
      <c r="S44" s="799">
        <f t="shared" si="6"/>
        <v>0</v>
      </c>
      <c r="T44" s="176">
        <f t="shared" si="7"/>
        <v>6</v>
      </c>
      <c r="U44" s="250">
        <f t="shared" si="8"/>
        <v>0.73587902644770076</v>
      </c>
      <c r="V44" s="382">
        <f t="shared" si="9"/>
        <v>31.942583980423368</v>
      </c>
      <c r="W44" s="400">
        <f t="shared" si="10"/>
        <v>5.6199875159547057</v>
      </c>
      <c r="X44" s="157">
        <f t="shared" si="11"/>
        <v>45321</v>
      </c>
      <c r="Y44" s="383">
        <f t="shared" si="12"/>
        <v>5.545282920022931</v>
      </c>
      <c r="Z44" s="383">
        <f t="shared" si="22"/>
        <v>5.7449783909027348</v>
      </c>
      <c r="AA44" s="384">
        <f t="shared" si="13"/>
        <v>6.0132558247720764</v>
      </c>
      <c r="AB44" s="197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4.4614339001535851E-2</v>
      </c>
      <c r="AD44" s="230">
        <f>(INDEX(Models!$BJ44:$BT44,,AH44)*(1-AF44)+INDEX(Models!$BJ44:$BT44,,AH44+1)*AF44-ERP_i)*AE44*Ramure*Pc/MaxiM</f>
        <v>2.7487950048216005E-2</v>
      </c>
      <c r="AE44" s="304">
        <f t="shared" si="15"/>
        <v>0.7</v>
      </c>
      <c r="AF44" s="177">
        <f t="shared" si="23"/>
        <v>0.80021124870753291</v>
      </c>
      <c r="AG44" s="799">
        <f t="shared" si="24"/>
        <v>0</v>
      </c>
      <c r="AH44" s="176">
        <f t="shared" si="16"/>
        <v>6</v>
      </c>
      <c r="AI44" s="224">
        <f t="shared" si="17"/>
        <v>0.80021124870753291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45322</v>
      </c>
      <c r="B45" s="409">
        <f>'2023'!Wh/'2023'!Env_an*'2024'!Env_an</f>
        <v>7.0300040017252439</v>
      </c>
      <c r="C45" s="829"/>
      <c r="D45" s="391">
        <f t="shared" si="0"/>
        <v>7.283306494381077</v>
      </c>
      <c r="E45" s="383">
        <f t="shared" si="1"/>
        <v>7.522677086342104</v>
      </c>
      <c r="F45" s="383">
        <f t="shared" si="2"/>
        <v>7.522677086342104</v>
      </c>
      <c r="G45" s="110">
        <f t="shared" si="21"/>
        <v>0.21207681566851605</v>
      </c>
      <c r="H45" s="412" t="b">
        <f>Wh_hp&gt;='2023'!Maxi_hp</f>
        <v>0</v>
      </c>
      <c r="I45" s="388">
        <f>IF(H45,Wh_hp,'2023'!Maxi_hp)</f>
        <v>21.848733659114771</v>
      </c>
      <c r="J45" s="85">
        <f>IF(H45,An,'2023'!An_max)</f>
        <v>2020</v>
      </c>
      <c r="K45" s="197">
        <f t="shared" si="3"/>
        <v>45322</v>
      </c>
      <c r="L45" s="147">
        <f>IF(t&lt;Tvie,1-EXP((T0-t)*PertePVj)+'2023'!Pspv,1-EXP((T0-t)*PertePVj)+Pspv)</f>
        <v>3.477850243584435E-2</v>
      </c>
      <c r="M45" s="832"/>
      <c r="N45" s="832"/>
      <c r="O45" s="48">
        <f>IF(t&lt;Tnet,'2023'!Resal+('2023'!Salim-'2023'!Resal)*(1-EXP(('2023'!Tnet-t)/('2023'!Tau_j))),Resal+(Salim-Resal)*(1-EXP((Tnet-t)/(Tau_j))))*Salcycl</f>
        <v>3.1819868008905849E-2</v>
      </c>
      <c r="P45" s="169">
        <f>(INDEX(Models!$BJ45:$BT45,,T45)*(1-R45)+INDEX(Models!$BJ45:$BT45,,T45+1)*R45-ERP_i)*Q45*Ramure*Pc/MaxiM</f>
        <v>2.6578575943303543E-2</v>
      </c>
      <c r="Q45" s="304">
        <f t="shared" si="4"/>
        <v>0.7</v>
      </c>
      <c r="R45" s="177">
        <f t="shared" si="5"/>
        <v>0.73595548875284489</v>
      </c>
      <c r="S45" s="799">
        <f t="shared" si="6"/>
        <v>0</v>
      </c>
      <c r="T45" s="176">
        <f t="shared" si="7"/>
        <v>6</v>
      </c>
      <c r="U45" s="250">
        <f t="shared" si="8"/>
        <v>0.73595548875284489</v>
      </c>
      <c r="V45" s="382">
        <f t="shared" si="9"/>
        <v>32.267348436520145</v>
      </c>
      <c r="W45" s="400">
        <f t="shared" si="10"/>
        <v>7.0300040017252439</v>
      </c>
      <c r="X45" s="157">
        <f t="shared" si="11"/>
        <v>45322</v>
      </c>
      <c r="Y45" s="383">
        <f t="shared" si="12"/>
        <v>6.9366587015374828</v>
      </c>
      <c r="Z45" s="383">
        <f t="shared" si="22"/>
        <v>7.1865978110132405</v>
      </c>
      <c r="AA45" s="384">
        <f t="shared" si="13"/>
        <v>7.522677086342104</v>
      </c>
      <c r="AB45" s="197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4.4675488721832371E-2</v>
      </c>
      <c r="AD45" s="230">
        <f>(INDEX(Models!$BJ45:$BT45,,AH45)*(1-AF45)+INDEX(Models!$BJ45:$BT45,,AH45+1)*AF45-ERP_i)*AE45*Ramure*Pc/MaxiM</f>
        <v>2.7563585374930782E-2</v>
      </c>
      <c r="AE45" s="304">
        <f t="shared" si="15"/>
        <v>0.7</v>
      </c>
      <c r="AF45" s="177">
        <f t="shared" si="23"/>
        <v>0.80028771101267704</v>
      </c>
      <c r="AG45" s="799">
        <f t="shared" si="24"/>
        <v>0</v>
      </c>
      <c r="AH45" s="176">
        <f t="shared" si="16"/>
        <v>6</v>
      </c>
      <c r="AI45" s="224">
        <f t="shared" si="17"/>
        <v>0.80028771101267704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45323</v>
      </c>
      <c r="B46" s="409">
        <f>'2023'!Wh/'2023'!Env_an*'2024'!Env_an</f>
        <v>17.6347874644695</v>
      </c>
      <c r="C46" s="829"/>
      <c r="D46" s="391">
        <f t="shared" si="0"/>
        <v>18.270547726226056</v>
      </c>
      <c r="E46" s="383">
        <f t="shared" si="1"/>
        <v>18.872506335352551</v>
      </c>
      <c r="F46" s="383">
        <f t="shared" si="2"/>
        <v>19.047154121988608</v>
      </c>
      <c r="G46" s="110">
        <f t="shared" si="21"/>
        <v>0.53152800299122349</v>
      </c>
      <c r="H46" s="412" t="b">
        <f>Wh_hp&gt;='2023'!Maxi_hp</f>
        <v>0</v>
      </c>
      <c r="I46" s="388">
        <f>IF(H46,Wh_hp,'2023'!Maxi_hp)</f>
        <v>19.204267390617314</v>
      </c>
      <c r="J46" s="85">
        <f>IF(H46,An,'2023'!An_max)</f>
        <v>2022</v>
      </c>
      <c r="K46" s="197">
        <f t="shared" si="3"/>
        <v>45323</v>
      </c>
      <c r="L46" s="147">
        <f>IF(t&lt;Tvie,1-EXP((T0-t)*PertePVj)+'2023'!Pspv,1-EXP((T0-t)*PertePVj)+Pspv)</f>
        <v>3.4797000685642732E-2</v>
      </c>
      <c r="M46" s="832"/>
      <c r="N46" s="832"/>
      <c r="O46" s="48">
        <f>IF(t&lt;Tnet,'2023'!Resal+('2023'!Salim-'2023'!Resal)*(1-EXP(('2023'!Tnet-t)/('2023'!Tau_j))),Resal+(Salim-Resal)*(1-EXP((Tnet-t)/(Tau_j))))*Salcycl</f>
        <v>3.1896060779107366E-2</v>
      </c>
      <c r="P46" s="169">
        <f>(INDEX(Models!$BJ46:$BT46,,T46)*(1-R46)+INDEX(Models!$BJ46:$BT46,,T46+1)*R46-ERP_i)*Q46*Ramure*Pc/MaxiM</f>
        <v>2.6625936971556557E-2</v>
      </c>
      <c r="Q46" s="304">
        <f t="shared" si="4"/>
        <v>0.7</v>
      </c>
      <c r="R46" s="177">
        <f t="shared" si="5"/>
        <v>0.73603512762519718</v>
      </c>
      <c r="S46" s="799">
        <f t="shared" si="6"/>
        <v>0</v>
      </c>
      <c r="T46" s="176">
        <f t="shared" si="7"/>
        <v>6</v>
      </c>
      <c r="U46" s="250">
        <f t="shared" si="8"/>
        <v>0.73603512762519718</v>
      </c>
      <c r="V46" s="382">
        <f t="shared" si="9"/>
        <v>32.593002192201709</v>
      </c>
      <c r="W46" s="400">
        <f t="shared" si="10"/>
        <v>17.6347874644695</v>
      </c>
      <c r="X46" s="157">
        <f t="shared" si="11"/>
        <v>45323</v>
      </c>
      <c r="Y46" s="383">
        <f t="shared" si="12"/>
        <v>17.394892532622649</v>
      </c>
      <c r="Z46" s="383">
        <f t="shared" si="22"/>
        <v>18.022004226032561</v>
      </c>
      <c r="AA46" s="384">
        <f t="shared" si="13"/>
        <v>18.866005831383085</v>
      </c>
      <c r="AB46" s="197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4.4736634393834018E-2</v>
      </c>
      <c r="AD46" s="230">
        <f>(INDEX(Models!$BJ46:$BT46,,AH46)*(1-AF46)+INDEX(Models!$BJ46:$BT46,,AH46+1)*AF46-ERP_i)*AE46*Ramure*Pc/MaxiM</f>
        <v>2.7616971626550853E-2</v>
      </c>
      <c r="AE46" s="304">
        <f t="shared" si="15"/>
        <v>0.7</v>
      </c>
      <c r="AF46" s="177">
        <f t="shared" si="23"/>
        <v>0.80036734988502933</v>
      </c>
      <c r="AG46" s="799">
        <f t="shared" si="24"/>
        <v>0</v>
      </c>
      <c r="AH46" s="176">
        <f t="shared" si="16"/>
        <v>6</v>
      </c>
      <c r="AI46" s="224">
        <f t="shared" si="17"/>
        <v>0.80036734988502933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45324</v>
      </c>
      <c r="B47" s="409">
        <f>'2023'!Wh/'2023'!Env_an*'2024'!Env_an</f>
        <v>6.472739765951169</v>
      </c>
      <c r="C47" s="829"/>
      <c r="D47" s="391">
        <f t="shared" si="0"/>
        <v>6.7062201645742858</v>
      </c>
      <c r="E47" s="383">
        <f t="shared" si="1"/>
        <v>6.9277145181865762</v>
      </c>
      <c r="F47" s="383">
        <f t="shared" si="2"/>
        <v>6.9277145181865762</v>
      </c>
      <c r="G47" s="110">
        <f t="shared" si="21"/>
        <v>0.19138682034142557</v>
      </c>
      <c r="H47" s="412" t="b">
        <f>Wh_hp&gt;='2023'!Maxi_hp</f>
        <v>0</v>
      </c>
      <c r="I47" s="388">
        <f>IF(H47,Wh_hp,'2023'!Maxi_hp)</f>
        <v>33.054204591173026</v>
      </c>
      <c r="J47" s="85">
        <f>IF(H47,An,'2023'!An_max)</f>
        <v>2021</v>
      </c>
      <c r="K47" s="197">
        <f t="shared" si="3"/>
        <v>45324</v>
      </c>
      <c r="L47" s="147">
        <f>IF(t&lt;Tvie,1-EXP((T0-t)*PertePVj)+'2023'!Pspv,1-EXP((T0-t)*PertePVj)+Pspv)</f>
        <v>3.4815498580926474E-2</v>
      </c>
      <c r="M47" s="832"/>
      <c r="N47" s="832"/>
      <c r="O47" s="48">
        <f>IF(t&lt;Tnet,'2023'!Resal+('2023'!Salim-'2023'!Resal)*(1-EXP(('2023'!Tnet-t)/('2023'!Tau_j))),Resal+(Salim-Resal)*(1-EXP((Tnet-t)/(Tau_j))))*Salcycl</f>
        <v>3.1972211474769231E-2</v>
      </c>
      <c r="P47" s="169">
        <f>(INDEX(Models!$BJ47:$BT47,,T47)*(1-R47)+INDEX(Models!$BJ47:$BT47,,T47+1)*R47-ERP_i)*Q47*Ramure*Pc/MaxiM</f>
        <v>2.6651611601770764E-2</v>
      </c>
      <c r="Q47" s="304">
        <f t="shared" si="4"/>
        <v>0.7</v>
      </c>
      <c r="R47" s="177">
        <f t="shared" si="5"/>
        <v>0.73611807367739313</v>
      </c>
      <c r="S47" s="799">
        <f t="shared" si="6"/>
        <v>0</v>
      </c>
      <c r="T47" s="176">
        <f t="shared" si="7"/>
        <v>6</v>
      </c>
      <c r="U47" s="250">
        <f t="shared" si="8"/>
        <v>0.73611807367739313</v>
      </c>
      <c r="V47" s="382">
        <f t="shared" si="9"/>
        <v>32.918833222007507</v>
      </c>
      <c r="W47" s="400">
        <f t="shared" si="10"/>
        <v>6.472739765951169</v>
      </c>
      <c r="X47" s="157">
        <f t="shared" si="11"/>
        <v>45324</v>
      </c>
      <c r="Y47" s="383">
        <f t="shared" si="12"/>
        <v>6.3869813487740847</v>
      </c>
      <c r="Z47" s="383">
        <f t="shared" si="22"/>
        <v>6.6173683263495766</v>
      </c>
      <c r="AA47" s="384">
        <f t="shared" si="13"/>
        <v>6.9277145181865762</v>
      </c>
      <c r="AB47" s="197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4.4797774362999733E-2</v>
      </c>
      <c r="AD47" s="230">
        <f>(INDEX(Models!$BJ47:$BT47,,AH47)*(1-AF47)+INDEX(Models!$BJ47:$BT47,,AH47+1)*AF47-ERP_i)*AE47*Ramure*Pc/MaxiM</f>
        <v>2.7649390927293876E-2</v>
      </c>
      <c r="AE47" s="304">
        <f t="shared" si="15"/>
        <v>0.7</v>
      </c>
      <c r="AF47" s="177">
        <f t="shared" si="23"/>
        <v>0.80045029593722528</v>
      </c>
      <c r="AG47" s="799">
        <f t="shared" si="24"/>
        <v>0</v>
      </c>
      <c r="AH47" s="176">
        <f t="shared" si="16"/>
        <v>6</v>
      </c>
      <c r="AI47" s="224">
        <f t="shared" si="17"/>
        <v>0.80045029593722528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45325</v>
      </c>
      <c r="B48" s="409">
        <f>'2023'!Wh/'2023'!Env_an*'2024'!Env_an</f>
        <v>15.289768396722376</v>
      </c>
      <c r="C48" s="829"/>
      <c r="D48" s="391">
        <f t="shared" si="0"/>
        <v>15.841594435862799</v>
      </c>
      <c r="E48" s="383">
        <f t="shared" si="1"/>
        <v>16.366100439535138</v>
      </c>
      <c r="F48" s="383">
        <f t="shared" si="2"/>
        <v>16.466382202768649</v>
      </c>
      <c r="G48" s="110">
        <f t="shared" si="21"/>
        <v>0.45040676192218121</v>
      </c>
      <c r="H48" s="412" t="b">
        <f>Wh_hp&gt;='2023'!Maxi_hp</f>
        <v>0</v>
      </c>
      <c r="I48" s="388">
        <f>IF(H48,Wh_hp,'2023'!Maxi_hp)</f>
        <v>27.412753039742405</v>
      </c>
      <c r="J48" s="85">
        <f>IF(H48,An,'2023'!An_max)</f>
        <v>2020</v>
      </c>
      <c r="K48" s="197">
        <f t="shared" si="3"/>
        <v>45325</v>
      </c>
      <c r="L48" s="147">
        <f>IF(t&lt;Tvie,1-EXP((T0-t)*PertePVj)+'2023'!Pspv,1-EXP((T0-t)*PertePVj)+Pspv)</f>
        <v>3.4833996121702127E-2</v>
      </c>
      <c r="M48" s="832"/>
      <c r="N48" s="832"/>
      <c r="O48" s="48">
        <f>IF(t&lt;Tnet,'2023'!Resal+('2023'!Salim-'2023'!Resal)*(1-EXP(('2023'!Tnet-t)/('2023'!Tau_j))),Resal+(Salim-Resal)*(1-EXP((Tnet-t)/(Tau_j))))*Salcycl</f>
        <v>3.2048318755597029E-2</v>
      </c>
      <c r="P48" s="169">
        <f>(INDEX(Models!$BJ48:$BT48,,T48)*(1-R48)+INDEX(Models!$BJ48:$BT48,,T48+1)*R48-ERP_i)*Q48*Ramure*Pc/MaxiM</f>
        <v>2.6656833136609069E-2</v>
      </c>
      <c r="Q48" s="304">
        <f t="shared" si="4"/>
        <v>0.7</v>
      </c>
      <c r="R48" s="177">
        <f t="shared" si="5"/>
        <v>0.7362044627770995</v>
      </c>
      <c r="S48" s="799">
        <f t="shared" si="6"/>
        <v>0</v>
      </c>
      <c r="T48" s="176">
        <f t="shared" si="7"/>
        <v>6</v>
      </c>
      <c r="U48" s="250">
        <f t="shared" si="8"/>
        <v>0.7362044627770995</v>
      </c>
      <c r="V48" s="382">
        <f t="shared" si="9"/>
        <v>33.244129766850463</v>
      </c>
      <c r="W48" s="400">
        <f t="shared" si="10"/>
        <v>15.289768396722376</v>
      </c>
      <c r="X48" s="157">
        <f t="shared" si="11"/>
        <v>45325</v>
      </c>
      <c r="Y48" s="383">
        <f t="shared" si="12"/>
        <v>15.083926087575231</v>
      </c>
      <c r="Z48" s="383">
        <f t="shared" si="22"/>
        <v>15.628323031441161</v>
      </c>
      <c r="AA48" s="384">
        <f t="shared" si="13"/>
        <v>16.362318758624966</v>
      </c>
      <c r="AB48" s="197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4.4858906491899199E-2</v>
      </c>
      <c r="AD48" s="230">
        <f>(INDEX(Models!$BJ48:$BT48,,AH48)*(1-AF48)+INDEX(Models!$BJ48:$BT48,,AH48+1)*AF48-ERP_i)*AE48*Ramure*Pc/MaxiM</f>
        <v>2.7662077098700468E-2</v>
      </c>
      <c r="AE48" s="304">
        <f t="shared" si="15"/>
        <v>0.7</v>
      </c>
      <c r="AF48" s="177">
        <f t="shared" si="23"/>
        <v>0.80053668503693165</v>
      </c>
      <c r="AG48" s="799">
        <f t="shared" si="24"/>
        <v>0</v>
      </c>
      <c r="AH48" s="176">
        <f t="shared" si="16"/>
        <v>6</v>
      </c>
      <c r="AI48" s="224">
        <f t="shared" si="17"/>
        <v>0.80053668503693165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45326</v>
      </c>
      <c r="B49" s="409">
        <f>'2023'!Wh/'2023'!Env_an*'2024'!Env_an</f>
        <v>13.808518726615425</v>
      </c>
      <c r="C49" s="829"/>
      <c r="D49" s="391">
        <f t="shared" si="0"/>
        <v>14.307158885943947</v>
      </c>
      <c r="E49" s="383">
        <f t="shared" si="1"/>
        <v>14.782022198103247</v>
      </c>
      <c r="F49" s="383">
        <f t="shared" si="2"/>
        <v>14.844940796829508</v>
      </c>
      <c r="G49" s="110">
        <f t="shared" si="21"/>
        <v>0.40210193789290122</v>
      </c>
      <c r="H49" s="412" t="b">
        <f>Wh_hp&gt;='2023'!Maxi_hp</f>
        <v>0</v>
      </c>
      <c r="I49" s="388">
        <f>IF(H49,Wh_hp,'2023'!Maxi_hp)</f>
        <v>16.754733277342279</v>
      </c>
      <c r="J49" s="85">
        <f>IF(H49,An,'2023'!An_max)</f>
        <v>2020</v>
      </c>
      <c r="K49" s="197">
        <f t="shared" si="3"/>
        <v>45326</v>
      </c>
      <c r="L49" s="147">
        <f>IF(t&lt;Tvie,1-EXP((T0-t)*PertePVj)+'2023'!Pspv,1-EXP((T0-t)*PertePVj)+Pspv)</f>
        <v>3.4852493307976795E-2</v>
      </c>
      <c r="M49" s="832"/>
      <c r="N49" s="832"/>
      <c r="O49" s="48">
        <f>IF(t&lt;Tnet,'2023'!Resal+('2023'!Salim-'2023'!Resal)*(1-EXP(('2023'!Tnet-t)/('2023'!Tau_j))),Resal+(Salim-Resal)*(1-EXP((Tnet-t)/(Tau_j))))*Salcycl</f>
        <v>3.2124380940263521E-2</v>
      </c>
      <c r="P49" s="169">
        <f>(INDEX(Models!$BJ49:$BT49,,T49)*(1-R49)+INDEX(Models!$BJ49:$BT49,,T49+1)*R49-ERP_i)*Q49*Ramure*Pc/MaxiM</f>
        <v>2.6642784151443114E-2</v>
      </c>
      <c r="Q49" s="304">
        <f t="shared" si="4"/>
        <v>0.7</v>
      </c>
      <c r="R49" s="177">
        <f t="shared" si="5"/>
        <v>0.73629443624859225</v>
      </c>
      <c r="S49" s="799">
        <f t="shared" si="6"/>
        <v>0</v>
      </c>
      <c r="T49" s="176">
        <f t="shared" si="7"/>
        <v>6</v>
      </c>
      <c r="U49" s="250">
        <f t="shared" si="8"/>
        <v>0.73629443624859225</v>
      </c>
      <c r="V49" s="382">
        <f t="shared" si="9"/>
        <v>33.568180340886741</v>
      </c>
      <c r="W49" s="400">
        <f t="shared" si="10"/>
        <v>13.808518726615425</v>
      </c>
      <c r="X49" s="157">
        <f t="shared" si="11"/>
        <v>45326</v>
      </c>
      <c r="Y49" s="383">
        <f t="shared" si="12"/>
        <v>13.623759272029554</v>
      </c>
      <c r="Z49" s="383">
        <f t="shared" si="22"/>
        <v>14.115727572797709</v>
      </c>
      <c r="AA49" s="384">
        <f t="shared" si="13"/>
        <v>14.779628920342205</v>
      </c>
      <c r="AB49" s="197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4.4920028176805051E-2</v>
      </c>
      <c r="AD49" s="230">
        <f>(INDEX(Models!$BJ49:$BT49,,AH49)*(1-AF49)+INDEX(Models!$BJ49:$BT49,,AH49+1)*AF49-ERP_i)*AE49*Ramure*Pc/MaxiM</f>
        <v>2.7656213949511541E-2</v>
      </c>
      <c r="AE49" s="304">
        <f t="shared" si="15"/>
        <v>0.7</v>
      </c>
      <c r="AF49" s="177">
        <f t="shared" si="23"/>
        <v>0.8006266585084244</v>
      </c>
      <c r="AG49" s="799">
        <f t="shared" si="24"/>
        <v>0</v>
      </c>
      <c r="AH49" s="176">
        <f t="shared" si="16"/>
        <v>6</v>
      </c>
      <c r="AI49" s="224">
        <f t="shared" si="17"/>
        <v>0.8006266585084244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45327</v>
      </c>
      <c r="B50" s="409">
        <f>'2023'!Wh/'2023'!Env_an*'2024'!Env_an</f>
        <v>10.142229082902398</v>
      </c>
      <c r="C50" s="829"/>
      <c r="D50" s="391">
        <f t="shared" si="0"/>
        <v>10.508677056936728</v>
      </c>
      <c r="E50" s="383">
        <f t="shared" si="1"/>
        <v>10.858319236487588</v>
      </c>
      <c r="F50" s="383">
        <f t="shared" si="2"/>
        <v>10.858319236487588</v>
      </c>
      <c r="G50" s="110">
        <f t="shared" si="21"/>
        <v>0.29130299762542156</v>
      </c>
      <c r="H50" s="412" t="b">
        <f>Wh_hp&gt;='2023'!Maxi_hp</f>
        <v>0</v>
      </c>
      <c r="I50" s="388">
        <f>IF(H50,Wh_hp,'2023'!Maxi_hp)</f>
        <v>35.887391837973411</v>
      </c>
      <c r="J50" s="85">
        <f>IF(H50,An,'2023'!An_max)</f>
        <v>2020</v>
      </c>
      <c r="K50" s="197">
        <f t="shared" si="3"/>
        <v>45327</v>
      </c>
      <c r="L50" s="147">
        <f>IF(t&lt;Tvie,1-EXP((T0-t)*PertePVj)+'2023'!Pspv,1-EXP((T0-t)*PertePVj)+Pspv)</f>
        <v>3.4870990139756919E-2</v>
      </c>
      <c r="M50" s="832"/>
      <c r="N50" s="832"/>
      <c r="O50" s="48">
        <f>IF(t&lt;Tnet,'2023'!Resal+('2023'!Salim-'2023'!Resal)*(1-EXP(('2023'!Tnet-t)/('2023'!Tau_j))),Resal+(Salim-Resal)*(1-EXP((Tnet-t)/(Tau_j))))*Salcycl</f>
        <v>3.2200396022245018E-2</v>
      </c>
      <c r="P50" s="169">
        <f>(INDEX(Models!$BJ50:$BT50,,T50)*(1-R50)+INDEX(Models!$BJ50:$BT50,,T50+1)*R50-ERP_i)*Q50*Ramure*Pc/MaxiM</f>
        <v>2.6610595276545263E-2</v>
      </c>
      <c r="Q50" s="304">
        <f t="shared" si="4"/>
        <v>0.7</v>
      </c>
      <c r="R50" s="177">
        <f t="shared" si="5"/>
        <v>0.73638814108121697</v>
      </c>
      <c r="S50" s="799">
        <f t="shared" si="6"/>
        <v>0</v>
      </c>
      <c r="T50" s="176">
        <f t="shared" si="7"/>
        <v>6</v>
      </c>
      <c r="U50" s="250">
        <f t="shared" si="8"/>
        <v>0.73638814108121697</v>
      </c>
      <c r="V50" s="382">
        <f t="shared" si="9"/>
        <v>33.890273735767863</v>
      </c>
      <c r="W50" s="400">
        <f t="shared" si="10"/>
        <v>10.142229082902398</v>
      </c>
      <c r="X50" s="157">
        <f t="shared" si="11"/>
        <v>45327</v>
      </c>
      <c r="Y50" s="383">
        <f t="shared" si="12"/>
        <v>10.008291028015753</v>
      </c>
      <c r="Z50" s="383">
        <f t="shared" si="22"/>
        <v>10.369899698139855</v>
      </c>
      <c r="AA50" s="384">
        <f t="shared" si="13"/>
        <v>10.858319236487588</v>
      </c>
      <c r="AB50" s="197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4.4981136372052921E-2</v>
      </c>
      <c r="AD50" s="230">
        <f>(INDEX(Models!$BJ50:$BT50,,AH50)*(1-AF50)+INDEX(Models!$BJ50:$BT50,,AH50+1)*AF50-ERP_i)*AE50*Ramure*Pc/MaxiM</f>
        <v>2.7632934177273794E-2</v>
      </c>
      <c r="AE50" s="304">
        <f t="shared" si="15"/>
        <v>0.7</v>
      </c>
      <c r="AF50" s="177">
        <f t="shared" si="23"/>
        <v>0.80072036334104912</v>
      </c>
      <c r="AG50" s="799">
        <f t="shared" si="24"/>
        <v>0</v>
      </c>
      <c r="AH50" s="176">
        <f t="shared" si="16"/>
        <v>6</v>
      </c>
      <c r="AI50" s="224">
        <f t="shared" si="17"/>
        <v>0.80072036334104912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45328</v>
      </c>
      <c r="B51" s="409">
        <f>'2023'!Wh/'2023'!Env_an*'2024'!Env_an</f>
        <v>26.693774081582809</v>
      </c>
      <c r="C51" s="829"/>
      <c r="D51" s="391">
        <f t="shared" si="0"/>
        <v>27.658774525224626</v>
      </c>
      <c r="E51" s="383">
        <f t="shared" si="1"/>
        <v>28.581274064522919</v>
      </c>
      <c r="F51" s="383">
        <f t="shared" si="2"/>
        <v>29.111749954038185</v>
      </c>
      <c r="G51" s="110">
        <f t="shared" si="21"/>
        <v>0.77362656913509864</v>
      </c>
      <c r="H51" s="412" t="b">
        <f>Wh_hp&gt;='2023'!Maxi_hp</f>
        <v>0</v>
      </c>
      <c r="I51" s="388">
        <f>IF(H51,Wh_hp,'2023'!Maxi_hp)</f>
        <v>39.205696557026307</v>
      </c>
      <c r="J51" s="85">
        <f>IF(H51,An,'2023'!An_max)</f>
        <v>2020</v>
      </c>
      <c r="K51" s="197">
        <f t="shared" si="3"/>
        <v>45328</v>
      </c>
      <c r="L51" s="147">
        <f>IF(t&lt;Tvie,1-EXP((T0-t)*PertePVj)+'2023'!Pspv,1-EXP((T0-t)*PertePVj)+Pspv)</f>
        <v>3.4889486617049603E-2</v>
      </c>
      <c r="M51" s="832"/>
      <c r="N51" s="832"/>
      <c r="O51" s="48">
        <f>IF(t&lt;Tnet,'2023'!Resal+('2023'!Salim-'2023'!Resal)*(1-EXP(('2023'!Tnet-t)/('2023'!Tau_j))),Resal+(Salim-Resal)*(1-EXP((Tnet-t)/(Tau_j))))*Salcycl</f>
        <v>3.2276361691075353E-2</v>
      </c>
      <c r="P51" s="169">
        <f>(INDEX(Models!$BJ51:$BT51,,T51)*(1-R51)+INDEX(Models!$BJ51:$BT51,,T51+1)*R51-ERP_i)*Q51*Ramure*Pc/MaxiM</f>
        <v>2.6559835939214793E-2</v>
      </c>
      <c r="Q51" s="304">
        <f t="shared" si="4"/>
        <v>0.7</v>
      </c>
      <c r="R51" s="177">
        <f t="shared" si="5"/>
        <v>0.73648573014489227</v>
      </c>
      <c r="S51" s="799">
        <f t="shared" si="6"/>
        <v>0</v>
      </c>
      <c r="T51" s="176">
        <f t="shared" si="7"/>
        <v>6</v>
      </c>
      <c r="U51" s="250">
        <f t="shared" si="8"/>
        <v>0.73648573014489227</v>
      </c>
      <c r="V51" s="382">
        <f t="shared" si="9"/>
        <v>34.21169512559171</v>
      </c>
      <c r="W51" s="400">
        <f t="shared" si="10"/>
        <v>26.693774081582809</v>
      </c>
      <c r="X51" s="157">
        <f t="shared" si="11"/>
        <v>45328</v>
      </c>
      <c r="Y51" s="383">
        <f t="shared" si="12"/>
        <v>26.322644031900509</v>
      </c>
      <c r="Z51" s="383">
        <f t="shared" si="22"/>
        <v>27.274227839082542</v>
      </c>
      <c r="AA51" s="384">
        <f t="shared" si="13"/>
        <v>28.560663757057323</v>
      </c>
      <c r="AB51" s="197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4.5042227621789943E-2</v>
      </c>
      <c r="AD51" s="230">
        <f>(INDEX(Models!$BJ51:$BT51,,AH51)*(1-AF51)+INDEX(Models!$BJ51:$BT51,,AH51+1)*AF51-ERP_i)*AE51*Ramure*Pc/MaxiM</f>
        <v>2.7591751612975508E-2</v>
      </c>
      <c r="AE51" s="304">
        <f t="shared" si="15"/>
        <v>0.7</v>
      </c>
      <c r="AF51" s="177">
        <f t="shared" si="23"/>
        <v>0.80081795240472442</v>
      </c>
      <c r="AG51" s="799">
        <f t="shared" si="24"/>
        <v>0</v>
      </c>
      <c r="AH51" s="176">
        <f t="shared" si="16"/>
        <v>6</v>
      </c>
      <c r="AI51" s="224">
        <f t="shared" si="17"/>
        <v>0.80081795240472442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45329</v>
      </c>
      <c r="B52" s="409">
        <f>'2023'!Wh/'2023'!Env_an*'2024'!Env_an</f>
        <v>12.053426211365535</v>
      </c>
      <c r="C52" s="829"/>
      <c r="D52" s="391">
        <f t="shared" si="0"/>
        <v>12.489406186971454</v>
      </c>
      <c r="E52" s="383">
        <f t="shared" si="1"/>
        <v>12.906976236214046</v>
      </c>
      <c r="F52" s="383">
        <f t="shared" si="2"/>
        <v>12.930913306924168</v>
      </c>
      <c r="G52" s="110">
        <f t="shared" si="21"/>
        <v>0.34041377794785155</v>
      </c>
      <c r="H52" s="412" t="b">
        <f>Wh_hp&gt;='2023'!Maxi_hp</f>
        <v>0</v>
      </c>
      <c r="I52" s="388">
        <f>IF(H52,Wh_hp,'2023'!Maxi_hp)</f>
        <v>26.902092201697947</v>
      </c>
      <c r="J52" s="85">
        <f>IF(H52,An,'2023'!An_max)</f>
        <v>2020</v>
      </c>
      <c r="K52" s="197">
        <f t="shared" si="3"/>
        <v>45329</v>
      </c>
      <c r="L52" s="147">
        <f>IF(t&lt;Tvie,1-EXP((T0-t)*PertePVj)+'2023'!Pspv,1-EXP((T0-t)*PertePVj)+Pspv)</f>
        <v>3.4907982739861509E-2</v>
      </c>
      <c r="M52" s="832"/>
      <c r="N52" s="832"/>
      <c r="O52" s="48">
        <f>IF(t&lt;Tnet,'2023'!Resal+('2023'!Salim-'2023'!Resal)*(1-EXP(('2023'!Tnet-t)/('2023'!Tau_j))),Resal+(Salim-Resal)*(1-EXP((Tnet-t)/(Tau_j))))*Salcycl</f>
        <v>3.2352275358730836E-2</v>
      </c>
      <c r="P52" s="169">
        <f>(INDEX(Models!$BJ52:$BT52,,T52)*(1-R52)+INDEX(Models!$BJ52:$BT52,,T52+1)*R52-ERP_i)*Q52*Ramure*Pc/MaxiM</f>
        <v>2.6439007078492456E-2</v>
      </c>
      <c r="Q52" s="304">
        <f t="shared" si="4"/>
        <v>0.7</v>
      </c>
      <c r="R52" s="177">
        <f t="shared" si="5"/>
        <v>0.73658736241281342</v>
      </c>
      <c r="S52" s="799">
        <f t="shared" si="6"/>
        <v>0</v>
      </c>
      <c r="T52" s="176">
        <f t="shared" si="7"/>
        <v>6</v>
      </c>
      <c r="U52" s="250">
        <f t="shared" si="8"/>
        <v>0.73658736241281342</v>
      </c>
      <c r="V52" s="382">
        <f t="shared" si="9"/>
        <v>34.535936623683298</v>
      </c>
      <c r="W52" s="400">
        <f t="shared" si="10"/>
        <v>12.053426211365535</v>
      </c>
      <c r="X52" s="157">
        <f t="shared" si="11"/>
        <v>45329</v>
      </c>
      <c r="Y52" s="383">
        <f t="shared" si="12"/>
        <v>11.893726456882186</v>
      </c>
      <c r="Z52" s="383">
        <f t="shared" si="22"/>
        <v>12.323929992342126</v>
      </c>
      <c r="AA52" s="384">
        <f t="shared" si="13"/>
        <v>12.906034723759548</v>
      </c>
      <c r="AB52" s="197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4.5103298098662953E-2</v>
      </c>
      <c r="AD52" s="230">
        <f>(INDEX(Models!$BJ52:$BT52,,AH52)*(1-AF52)+INDEX(Models!$BJ52:$BT52,,AH52+1)*AF52-ERP_i)*AE52*Ramure*Pc/MaxiM</f>
        <v>2.7478927741735323E-2</v>
      </c>
      <c r="AE52" s="304">
        <f t="shared" si="15"/>
        <v>0.7</v>
      </c>
      <c r="AF52" s="177">
        <f t="shared" si="23"/>
        <v>0.80091958467264557</v>
      </c>
      <c r="AG52" s="799">
        <f t="shared" si="24"/>
        <v>0</v>
      </c>
      <c r="AH52" s="176">
        <f t="shared" si="16"/>
        <v>6</v>
      </c>
      <c r="AI52" s="224">
        <f t="shared" si="17"/>
        <v>0.80091958467264557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45330</v>
      </c>
      <c r="B53" s="409">
        <f>'2023'!Wh/'2023'!Env_an*'2024'!Env_an</f>
        <v>34.694102190340381</v>
      </c>
      <c r="C53" s="829"/>
      <c r="D53" s="391">
        <f t="shared" si="0"/>
        <v>35.949698564634332</v>
      </c>
      <c r="E53" s="383">
        <f t="shared" si="1"/>
        <v>37.154551341330318</v>
      </c>
      <c r="F53" s="383">
        <f t="shared" si="2"/>
        <v>38.148819236492841</v>
      </c>
      <c r="G53" s="110">
        <f t="shared" si="21"/>
        <v>0.99496700962319184</v>
      </c>
      <c r="H53" s="412" t="b">
        <f>Wh_hp&gt;='2023'!Maxi_hp</f>
        <v>0</v>
      </c>
      <c r="I53" s="388">
        <f>IF(H53,Wh_hp,'2023'!Maxi_hp)</f>
        <v>38.152331128620446</v>
      </c>
      <c r="J53" s="85">
        <f>IF(H53,An,'2023'!An_max)</f>
        <v>2022</v>
      </c>
      <c r="K53" s="197">
        <f t="shared" si="3"/>
        <v>45330</v>
      </c>
      <c r="L53" s="147">
        <f>IF(t&lt;Tvie,1-EXP((T0-t)*PertePVj)+'2023'!Pspv,1-EXP((T0-t)*PertePVj)+Pspv)</f>
        <v>3.492647850819941E-2</v>
      </c>
      <c r="M53" s="832"/>
      <c r="N53" s="832"/>
      <c r="O53" s="48">
        <f>IF(t&lt;Tnet,'2023'!Resal+('2023'!Salim-'2023'!Resal)*(1-EXP(('2023'!Tnet-t)/('2023'!Tau_j))),Resal+(Salim-Resal)*(1-EXP((Tnet-t)/(Tau_j))))*Salcycl</f>
        <v>3.2428134190809664E-2</v>
      </c>
      <c r="P53" s="169">
        <f>(INDEX(Models!$BJ53:$BT53,,T53)*(1-R53)+INDEX(Models!$BJ53:$BT53,,T53+1)*R53-ERP_i)*Q53*Ramure*Pc/MaxiM</f>
        <v>2.6244610941742925E-2</v>
      </c>
      <c r="Q53" s="304">
        <f t="shared" si="4"/>
        <v>0.7</v>
      </c>
      <c r="R53" s="177">
        <f t="shared" si="5"/>
        <v>0.73669320319150644</v>
      </c>
      <c r="S53" s="799">
        <f t="shared" si="6"/>
        <v>0</v>
      </c>
      <c r="T53" s="176">
        <f t="shared" si="7"/>
        <v>6</v>
      </c>
      <c r="U53" s="250">
        <f t="shared" si="8"/>
        <v>0.73669320319150644</v>
      </c>
      <c r="V53" s="382">
        <f t="shared" si="9"/>
        <v>34.863093901639253</v>
      </c>
      <c r="W53" s="400">
        <f t="shared" si="10"/>
        <v>34.694102190340381</v>
      </c>
      <c r="X53" s="157">
        <f t="shared" si="11"/>
        <v>45330</v>
      </c>
      <c r="Y53" s="383">
        <f t="shared" si="12"/>
        <v>34.200918010417794</v>
      </c>
      <c r="Z53" s="383">
        <f t="shared" si="22"/>
        <v>35.438665810196895</v>
      </c>
      <c r="AA53" s="384">
        <f t="shared" si="13"/>
        <v>37.114937606778113</v>
      </c>
      <c r="AB53" s="197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4.5164343648932598E-2</v>
      </c>
      <c r="AD53" s="230">
        <f>(INDEX(Models!$BJ53:$BT53,,AH53)*(1-AF53)+INDEX(Models!$BJ53:$BT53,,AH53+1)*AF53-ERP_i)*AE53*Ramure*Pc/MaxiM</f>
        <v>2.7290251715552816E-2</v>
      </c>
      <c r="AE53" s="304">
        <f t="shared" si="15"/>
        <v>0.7</v>
      </c>
      <c r="AF53" s="177">
        <f t="shared" si="23"/>
        <v>0.80102542545133859</v>
      </c>
      <c r="AG53" s="799">
        <f t="shared" si="24"/>
        <v>0</v>
      </c>
      <c r="AH53" s="176">
        <f t="shared" si="16"/>
        <v>6</v>
      </c>
      <c r="AI53" s="224">
        <f t="shared" si="17"/>
        <v>0.80102542545133859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45331</v>
      </c>
      <c r="B54" s="409">
        <f>'2023'!Wh/'2023'!Env_an*'2024'!Env_an</f>
        <v>35.328946351108456</v>
      </c>
      <c r="C54" s="829"/>
      <c r="D54" s="391">
        <f t="shared" si="0"/>
        <v>36.608219631463363</v>
      </c>
      <c r="E54" s="383">
        <f t="shared" si="1"/>
        <v>37.838107007537133</v>
      </c>
      <c r="F54" s="383">
        <f t="shared" si="2"/>
        <v>38.847312619802175</v>
      </c>
      <c r="G54" s="110">
        <f t="shared" si="21"/>
        <v>1.0038610536611314</v>
      </c>
      <c r="H54" s="412" t="b">
        <f>Wh_hp&gt;='2023'!Maxi_hp</f>
        <v>1</v>
      </c>
      <c r="I54" s="388">
        <f>IF(H54,Wh_hp,'2023'!Maxi_hp)</f>
        <v>38.847312619802175</v>
      </c>
      <c r="J54" s="85">
        <f>IF(H54,An,'2023'!An_max)</f>
        <v>2024</v>
      </c>
      <c r="K54" s="197">
        <f t="shared" si="3"/>
        <v>45331</v>
      </c>
      <c r="L54" s="147">
        <f>IF(t&lt;Tvie,1-EXP((T0-t)*PertePVj)+'2023'!Pspv,1-EXP((T0-t)*PertePVj)+Pspv)</f>
        <v>3.4944973922070188E-2</v>
      </c>
      <c r="M54" s="832"/>
      <c r="N54" s="832"/>
      <c r="O54" s="48">
        <f>IF(t&lt;Tnet,'2023'!Resal+('2023'!Salim-'2023'!Resal)*(1-EXP(('2023'!Tnet-t)/('2023'!Tau_j))),Resal+(Salim-Resal)*(1-EXP((Tnet-t)/(Tau_j))))*Salcycl</f>
        <v>3.2503935142124928E-2</v>
      </c>
      <c r="P54" s="169">
        <f>(INDEX(Models!$BJ54:$BT54,,T54)*(1-R54)+INDEX(Models!$BJ54:$BT54,,T54+1)*R54-ERP_i)*Q54*Ramure*Pc/MaxiM</f>
        <v>2.5978775472633452E-2</v>
      </c>
      <c r="Q54" s="304">
        <f t="shared" si="4"/>
        <v>0.7</v>
      </c>
      <c r="R54" s="177">
        <f t="shared" si="5"/>
        <v>0.73680342435837942</v>
      </c>
      <c r="S54" s="799">
        <f t="shared" si="6"/>
        <v>0</v>
      </c>
      <c r="T54" s="176">
        <f t="shared" si="7"/>
        <v>6</v>
      </c>
      <c r="U54" s="250">
        <f t="shared" si="8"/>
        <v>0.73680342435837942</v>
      </c>
      <c r="V54" s="382">
        <f t="shared" si="9"/>
        <v>35.193064042341341</v>
      </c>
      <c r="W54" s="400">
        <f t="shared" si="10"/>
        <v>35.328946351108456</v>
      </c>
      <c r="X54" s="157">
        <f t="shared" si="11"/>
        <v>45331</v>
      </c>
      <c r="Y54" s="383">
        <f t="shared" si="12"/>
        <v>34.82685930699013</v>
      </c>
      <c r="Z54" s="383">
        <f t="shared" si="22"/>
        <v>36.087951843046305</v>
      </c>
      <c r="AA54" s="384">
        <f t="shared" si="13"/>
        <v>37.797350626247102</v>
      </c>
      <c r="AB54" s="197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4.5225359843442614E-2</v>
      </c>
      <c r="AD54" s="230">
        <f>(INDEX(Models!$BJ54:$BT54,,AH54)*(1-AF54)+INDEX(Models!$BJ54:$BT54,,AH54+1)*AF54-ERP_i)*AE54*Ramure*Pc/MaxiM</f>
        <v>2.7027918348716453E-2</v>
      </c>
      <c r="AE54" s="304">
        <f t="shared" si="15"/>
        <v>0.7</v>
      </c>
      <c r="AF54" s="177">
        <f t="shared" si="23"/>
        <v>0.80113564661821157</v>
      </c>
      <c r="AG54" s="799">
        <f t="shared" si="24"/>
        <v>0</v>
      </c>
      <c r="AH54" s="176">
        <f t="shared" si="16"/>
        <v>6</v>
      </c>
      <c r="AI54" s="224">
        <f t="shared" si="17"/>
        <v>0.80113564661821157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45332</v>
      </c>
      <c r="B55" s="409">
        <f>'2023'!Wh/'2023'!Env_an*'2024'!Env_an</f>
        <v>33.328333503420723</v>
      </c>
      <c r="C55" s="829"/>
      <c r="D55" s="391">
        <f t="shared" si="0"/>
        <v>34.535825776714702</v>
      </c>
      <c r="E55" s="383">
        <f t="shared" si="1"/>
        <v>35.698883808940302</v>
      </c>
      <c r="F55" s="383">
        <f t="shared" si="2"/>
        <v>36.553415287139131</v>
      </c>
      <c r="G55" s="110">
        <f t="shared" si="21"/>
        <v>0.93596929509639093</v>
      </c>
      <c r="H55" s="412" t="b">
        <f>Wh_hp&gt;='2023'!Maxi_hp</f>
        <v>0</v>
      </c>
      <c r="I55" s="388">
        <f>IF(H55,Wh_hp,'2023'!Maxi_hp)</f>
        <v>36.596337758972943</v>
      </c>
      <c r="J55" s="85">
        <f>IF(H55,An,'2023'!An_max)</f>
        <v>2022</v>
      </c>
      <c r="K55" s="197">
        <f t="shared" si="3"/>
        <v>45332</v>
      </c>
      <c r="L55" s="147">
        <f>IF(t&lt;Tvie,1-EXP((T0-t)*PertePVj)+'2023'!Pspv,1-EXP((T0-t)*PertePVj)+Pspv)</f>
        <v>3.4963468981480506E-2</v>
      </c>
      <c r="M55" s="832"/>
      <c r="N55" s="832"/>
      <c r="O55" s="48">
        <f>IF(t&lt;Tnet,'2023'!Resal+('2023'!Salim-'2023'!Resal)*(1-EXP(('2023'!Tnet-t)/('2023'!Tau_j))),Resal+(Salim-Resal)*(1-EXP((Tnet-t)/(Tau_j))))*Salcycl</f>
        <v>3.2579674996290255E-2</v>
      </c>
      <c r="P55" s="169">
        <f>(INDEX(Models!$BJ55:$BT55,,T55)*(1-R55)+INDEX(Models!$BJ55:$BT55,,T55+1)*R55-ERP_i)*Q55*Ramure*Pc/MaxiM</f>
        <v>2.5643548377945562E-2</v>
      </c>
      <c r="Q55" s="304">
        <f t="shared" si="4"/>
        <v>0.7</v>
      </c>
      <c r="R55" s="177">
        <f t="shared" si="5"/>
        <v>0.73691820460690938</v>
      </c>
      <c r="S55" s="799">
        <f t="shared" si="6"/>
        <v>0</v>
      </c>
      <c r="T55" s="176">
        <f t="shared" si="7"/>
        <v>6</v>
      </c>
      <c r="U55" s="250">
        <f t="shared" si="8"/>
        <v>0.73691820460690938</v>
      </c>
      <c r="V55" s="382">
        <f t="shared" si="9"/>
        <v>35.525744255933432</v>
      </c>
      <c r="W55" s="400">
        <f t="shared" si="10"/>
        <v>33.328333503420723</v>
      </c>
      <c r="X55" s="157">
        <f t="shared" si="11"/>
        <v>45332</v>
      </c>
      <c r="Y55" s="383">
        <f t="shared" si="12"/>
        <v>32.858327383641978</v>
      </c>
      <c r="Z55" s="383">
        <f t="shared" si="22"/>
        <v>34.048791240019298</v>
      </c>
      <c r="AA55" s="384">
        <f t="shared" si="13"/>
        <v>35.663877808717324</v>
      </c>
      <c r="AB55" s="197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4.5286342033822514E-2</v>
      </c>
      <c r="AD55" s="230">
        <f>(INDEX(Models!$BJ55:$BT55,,AH55)*(1-AF55)+INDEX(Models!$BJ55:$BT55,,AH55+1)*AF55-ERP_i)*AE55*Ramure*Pc/MaxiM</f>
        <v>2.6694039884856784E-2</v>
      </c>
      <c r="AE55" s="304">
        <f t="shared" si="15"/>
        <v>0.7</v>
      </c>
      <c r="AF55" s="177">
        <f t="shared" si="23"/>
        <v>0.80125042686674153</v>
      </c>
      <c r="AG55" s="799">
        <f t="shared" si="24"/>
        <v>0</v>
      </c>
      <c r="AH55" s="176">
        <f t="shared" si="16"/>
        <v>6</v>
      </c>
      <c r="AI55" s="224">
        <f t="shared" si="17"/>
        <v>0.80125042686674153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45333</v>
      </c>
      <c r="B56" s="409">
        <f>'2023'!Wh/'2023'!Env_an*'2024'!Env_an</f>
        <v>13.981677479593996</v>
      </c>
      <c r="C56" s="829"/>
      <c r="D56" s="391">
        <f t="shared" si="0"/>
        <v>14.488514155657644</v>
      </c>
      <c r="E56" s="383">
        <f t="shared" si="1"/>
        <v>14.977613368493971</v>
      </c>
      <c r="F56" s="383">
        <f t="shared" si="2"/>
        <v>15.026315319786598</v>
      </c>
      <c r="G56" s="110">
        <f t="shared" si="21"/>
        <v>0.38127969649524496</v>
      </c>
      <c r="H56" s="412" t="b">
        <f>Wh_hp&gt;='2023'!Maxi_hp</f>
        <v>0</v>
      </c>
      <c r="I56" s="388">
        <f>IF(H56,Wh_hp,'2023'!Maxi_hp)</f>
        <v>36.404215155133031</v>
      </c>
      <c r="J56" s="85">
        <f>IF(H56,An,'2023'!An_max)</f>
        <v>2021</v>
      </c>
      <c r="K56" s="197">
        <f t="shared" si="3"/>
        <v>45333</v>
      </c>
      <c r="L56" s="147">
        <f>IF(t&lt;Tvie,1-EXP((T0-t)*PertePVj)+'2023'!Pspv,1-EXP((T0-t)*PertePVj)+Pspv)</f>
        <v>3.4981963686437245E-2</v>
      </c>
      <c r="M56" s="832"/>
      <c r="N56" s="832"/>
      <c r="O56" s="48">
        <f>IF(t&lt;Tnet,'2023'!Resal+('2023'!Salim-'2023'!Resal)*(1-EXP(('2023'!Tnet-t)/('2023'!Tau_j))),Resal+(Salim-Resal)*(1-EXP((Tnet-t)/(Tau_j))))*Salcycl</f>
        <v>3.2655350408841995E-2</v>
      </c>
      <c r="P56" s="169">
        <f>(INDEX(Models!$BJ56:$BT56,,T56)*(1-R56)+INDEX(Models!$BJ56:$BT56,,T56+1)*R56-ERP_i)*Q56*Ramure*Pc/MaxiM</f>
        <v>2.5240898351617941E-2</v>
      </c>
      <c r="Q56" s="304">
        <f t="shared" si="4"/>
        <v>0.7</v>
      </c>
      <c r="R56" s="177">
        <f t="shared" si="5"/>
        <v>0.73703772969959835</v>
      </c>
      <c r="S56" s="799">
        <f t="shared" si="6"/>
        <v>0</v>
      </c>
      <c r="T56" s="176">
        <f t="shared" si="7"/>
        <v>6</v>
      </c>
      <c r="U56" s="250">
        <f t="shared" si="8"/>
        <v>0.73703772969959835</v>
      </c>
      <c r="V56" s="382">
        <f t="shared" si="9"/>
        <v>35.861031893208811</v>
      </c>
      <c r="W56" s="400">
        <f t="shared" si="10"/>
        <v>13.981677479593996</v>
      </c>
      <c r="X56" s="157">
        <f t="shared" si="11"/>
        <v>45333</v>
      </c>
      <c r="Y56" s="383">
        <f t="shared" si="12"/>
        <v>13.796366493311606</v>
      </c>
      <c r="Z56" s="383">
        <f t="shared" si="22"/>
        <v>14.296485634625755</v>
      </c>
      <c r="AA56" s="384">
        <f t="shared" si="13"/>
        <v>14.975587893042922</v>
      </c>
      <c r="AB56" s="197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4.534728541325922E-2</v>
      </c>
      <c r="AD56" s="230">
        <f>(INDEX(Models!$BJ56:$BT56,,AH56)*(1-AF56)+INDEX(Models!$BJ56:$BT56,,AH56+1)*AF56-ERP_i)*AE56*Ramure*Pc/MaxiM</f>
        <v>2.6290647255239316E-2</v>
      </c>
      <c r="AE56" s="304">
        <f t="shared" si="15"/>
        <v>0.7</v>
      </c>
      <c r="AF56" s="177">
        <f t="shared" si="23"/>
        <v>0.8013699519594305</v>
      </c>
      <c r="AG56" s="799">
        <f t="shared" si="24"/>
        <v>0</v>
      </c>
      <c r="AH56" s="176">
        <f t="shared" si="16"/>
        <v>6</v>
      </c>
      <c r="AI56" s="224">
        <f t="shared" si="17"/>
        <v>0.8013699519594305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45334</v>
      </c>
      <c r="B57" s="409">
        <f>'2023'!Wh/'2023'!Env_an*'2024'!Env_an</f>
        <v>26.520068112835318</v>
      </c>
      <c r="C57" s="829"/>
      <c r="D57" s="391">
        <f t="shared" si="0"/>
        <v>27.48194891252156</v>
      </c>
      <c r="E57" s="383">
        <f t="shared" si="1"/>
        <v>28.411897536154083</v>
      </c>
      <c r="F57" s="383">
        <f t="shared" si="2"/>
        <v>28.853656537597704</v>
      </c>
      <c r="G57" s="110">
        <f t="shared" si="21"/>
        <v>0.72558221474068152</v>
      </c>
      <c r="H57" s="412" t="b">
        <f>Wh_hp&gt;='2023'!Maxi_hp</f>
        <v>0</v>
      </c>
      <c r="I57" s="388">
        <f>IF(H57,Wh_hp,'2023'!Maxi_hp)</f>
        <v>28.998434960170048</v>
      </c>
      <c r="J57" s="85">
        <f>IF(H57,An,'2023'!An_max)</f>
        <v>2022</v>
      </c>
      <c r="K57" s="197">
        <f t="shared" si="3"/>
        <v>45334</v>
      </c>
      <c r="L57" s="147">
        <f>IF(t&lt;Tvie,1-EXP((T0-t)*PertePVj)+'2023'!Pspv,1-EXP((T0-t)*PertePVj)+Pspv)</f>
        <v>3.5000458036947291E-2</v>
      </c>
      <c r="M57" s="832"/>
      <c r="N57" s="832"/>
      <c r="O57" s="48">
        <f>IF(t&lt;Tnet,'2023'!Resal+('2023'!Salim-'2023'!Resal)*(1-EXP(('2023'!Tnet-t)/('2023'!Tau_j))),Resal+(Salim-Resal)*(1-EXP((Tnet-t)/(Tau_j))))*Salcycl</f>
        <v>3.2730957953412493E-2</v>
      </c>
      <c r="P57" s="169">
        <f>(INDEX(Models!$BJ57:$BT57,,T57)*(1-R57)+INDEX(Models!$BJ57:$BT57,,T57+1)*R57-ERP_i)*Q57*Ramure*Pc/MaxiM</f>
        <v>2.4772716363806034E-2</v>
      </c>
      <c r="Q57" s="304">
        <f t="shared" si="4"/>
        <v>0.7</v>
      </c>
      <c r="R57" s="177">
        <f t="shared" si="5"/>
        <v>0.73716219272881656</v>
      </c>
      <c r="S57" s="799">
        <f t="shared" si="6"/>
        <v>0</v>
      </c>
      <c r="T57" s="176">
        <f t="shared" si="7"/>
        <v>6</v>
      </c>
      <c r="U57" s="250">
        <f t="shared" si="8"/>
        <v>0.73716219272881656</v>
      </c>
      <c r="V57" s="382">
        <f t="shared" si="9"/>
        <v>36.198824457490524</v>
      </c>
      <c r="W57" s="400">
        <f t="shared" si="10"/>
        <v>26.520068112835318</v>
      </c>
      <c r="X57" s="157">
        <f t="shared" si="11"/>
        <v>45334</v>
      </c>
      <c r="Y57" s="383">
        <f t="shared" si="12"/>
        <v>26.155292049339721</v>
      </c>
      <c r="Z57" s="383">
        <f t="shared" si="22"/>
        <v>27.103942449685782</v>
      </c>
      <c r="AA57" s="384">
        <f t="shared" si="13"/>
        <v>28.393227373303567</v>
      </c>
      <c r="AB57" s="197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4.5408185081137406E-2</v>
      </c>
      <c r="AD57" s="230">
        <f>(INDEX(Models!$BJ57:$BT57,,AH57)*(1-AF57)+INDEX(Models!$BJ57:$BT57,,AH57+1)*AF57-ERP_i)*AE57*Ramure*Pc/MaxiM</f>
        <v>2.5819691405062593E-2</v>
      </c>
      <c r="AE57" s="304">
        <f t="shared" si="15"/>
        <v>0.7</v>
      </c>
      <c r="AF57" s="177">
        <f t="shared" si="23"/>
        <v>0.80149441498864871</v>
      </c>
      <c r="AG57" s="799">
        <f t="shared" si="24"/>
        <v>0</v>
      </c>
      <c r="AH57" s="176">
        <f t="shared" si="16"/>
        <v>6</v>
      </c>
      <c r="AI57" s="224">
        <f t="shared" si="17"/>
        <v>0.80149441498864871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45335</v>
      </c>
      <c r="B58" s="409">
        <f>'2023'!Wh/'2023'!Env_an*'2024'!Env_an</f>
        <v>33.569927047050008</v>
      </c>
      <c r="C58" s="829"/>
      <c r="D58" s="391">
        <f t="shared" si="0"/>
        <v>34.78817238719347</v>
      </c>
      <c r="E58" s="383">
        <f t="shared" si="1"/>
        <v>35.96816167345532</v>
      </c>
      <c r="F58" s="383">
        <f t="shared" si="2"/>
        <v>36.754651931302782</v>
      </c>
      <c r="G58" s="110">
        <f t="shared" si="21"/>
        <v>0.91607330295377676</v>
      </c>
      <c r="H58" s="412" t="b">
        <f>Wh_hp&gt;='2023'!Maxi_hp</f>
        <v>0</v>
      </c>
      <c r="I58" s="388">
        <f>IF(H58,Wh_hp,'2023'!Maxi_hp)</f>
        <v>36.810381507352595</v>
      </c>
      <c r="J58" s="85">
        <f>IF(H58,An,'2023'!An_max)</f>
        <v>2022</v>
      </c>
      <c r="K58" s="197">
        <f t="shared" si="3"/>
        <v>45335</v>
      </c>
      <c r="L58" s="147">
        <f>IF(t&lt;Tvie,1-EXP((T0-t)*PertePVj)+'2023'!Pspv,1-EXP((T0-t)*PertePVj)+Pspv)</f>
        <v>3.5018952033017192E-2</v>
      </c>
      <c r="M58" s="832"/>
      <c r="N58" s="832"/>
      <c r="O58" s="48">
        <f>IF(t&lt;Tnet,'2023'!Resal+('2023'!Salim-'2023'!Resal)*(1-EXP(('2023'!Tnet-t)/('2023'!Tau_j))),Resal+(Salim-Resal)*(1-EXP((Tnet-t)/(Tau_j))))*Salcycl</f>
        <v>3.2806494170445295E-2</v>
      </c>
      <c r="P58" s="169">
        <f>(INDEX(Models!$BJ58:$BT58,,T58)*(1-R58)+INDEX(Models!$BJ58:$BT58,,T58+1)*R58-ERP_i)*Q58*Ramure*Pc/MaxiM</f>
        <v>2.4209739113791675E-2</v>
      </c>
      <c r="Q58" s="304">
        <f t="shared" si="4"/>
        <v>0.7</v>
      </c>
      <c r="R58" s="177">
        <f t="shared" si="5"/>
        <v>0.73729179438564796</v>
      </c>
      <c r="S58" s="799">
        <f t="shared" si="6"/>
        <v>0</v>
      </c>
      <c r="T58" s="176">
        <f t="shared" si="7"/>
        <v>6</v>
      </c>
      <c r="U58" s="250">
        <f t="shared" si="8"/>
        <v>0.73729179438564796</v>
      </c>
      <c r="V58" s="382">
        <f t="shared" si="9"/>
        <v>36.540183382399377</v>
      </c>
      <c r="W58" s="400">
        <f t="shared" si="10"/>
        <v>33.569927047050008</v>
      </c>
      <c r="X58" s="157">
        <f t="shared" si="11"/>
        <v>45335</v>
      </c>
      <c r="Y58" s="383">
        <f t="shared" si="12"/>
        <v>33.09931034422587</v>
      </c>
      <c r="Z58" s="383">
        <f t="shared" si="22"/>
        <v>34.300477106736274</v>
      </c>
      <c r="AA58" s="384">
        <f t="shared" si="13"/>
        <v>35.934378668012059</v>
      </c>
      <c r="AB58" s="197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4.5469036110821759E-2</v>
      </c>
      <c r="AD58" s="230">
        <f>(INDEX(Models!$BJ58:$BT58,,AH58)*(1-AF58)+INDEX(Models!$BJ58:$BT58,,AH58+1)*AF58-ERP_i)*AE58*Ramure*Pc/MaxiM</f>
        <v>2.5249647415389258E-2</v>
      </c>
      <c r="AE58" s="304">
        <f t="shared" si="15"/>
        <v>0.7</v>
      </c>
      <c r="AF58" s="177">
        <f t="shared" si="23"/>
        <v>0.80162401664548011</v>
      </c>
      <c r="AG58" s="799">
        <f t="shared" si="24"/>
        <v>0</v>
      </c>
      <c r="AH58" s="176">
        <f t="shared" si="16"/>
        <v>6</v>
      </c>
      <c r="AI58" s="224">
        <f t="shared" si="17"/>
        <v>0.80162401664548011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45336</v>
      </c>
      <c r="B59" s="409">
        <f>'2023'!Wh/'2023'!Env_an*'2024'!Env_an</f>
        <v>15.987612286790547</v>
      </c>
      <c r="C59" s="829"/>
      <c r="D59" s="391">
        <f t="shared" si="0"/>
        <v>16.568116778343065</v>
      </c>
      <c r="E59" s="383">
        <f t="shared" si="1"/>
        <v>17.131431757049882</v>
      </c>
      <c r="F59" s="383">
        <f t="shared" si="2"/>
        <v>17.208790057180405</v>
      </c>
      <c r="G59" s="110">
        <f t="shared" si="21"/>
        <v>0.42514631612845383</v>
      </c>
      <c r="H59" s="412" t="b">
        <f>Wh_hp&gt;='2023'!Maxi_hp</f>
        <v>0</v>
      </c>
      <c r="I59" s="388">
        <f>IF(H59,Wh_hp,'2023'!Maxi_hp)</f>
        <v>33.094825571206165</v>
      </c>
      <c r="J59" s="85">
        <f>IF(H59,An,'2023'!An_max)</f>
        <v>2021</v>
      </c>
      <c r="K59" s="197">
        <f t="shared" si="3"/>
        <v>45336</v>
      </c>
      <c r="L59" s="147">
        <f>IF(t&lt;Tvie,1-EXP((T0-t)*PertePVj)+'2023'!Pspv,1-EXP((T0-t)*PertePVj)+Pspv)</f>
        <v>3.5037445674653944E-2</v>
      </c>
      <c r="M59" s="832"/>
      <c r="N59" s="832"/>
      <c r="O59" s="48">
        <f>IF(t&lt;Tnet,'2023'!Resal+('2023'!Salim-'2023'!Resal)*(1-EXP(('2023'!Tnet-t)/('2023'!Tau_j))),Resal+(Salim-Resal)*(1-EXP((Tnet-t)/(Tau_j))))*Salcycl</f>
        <v>3.2881955617924639E-2</v>
      </c>
      <c r="P59" s="169">
        <f>(INDEX(Models!$BJ59:$BT59,,T59)*(1-R59)+INDEX(Models!$BJ59:$BT59,,T59+1)*R59-ERP_i)*Q59*Ramure*Pc/MaxiM</f>
        <v>2.3578616784138036E-2</v>
      </c>
      <c r="Q59" s="304">
        <f t="shared" si="4"/>
        <v>0.7</v>
      </c>
      <c r="R59" s="177">
        <f t="shared" si="5"/>
        <v>0.73742674323683333</v>
      </c>
      <c r="S59" s="799">
        <f t="shared" si="6"/>
        <v>0</v>
      </c>
      <c r="T59" s="176">
        <f t="shared" si="7"/>
        <v>6</v>
      </c>
      <c r="U59" s="250">
        <f t="shared" si="8"/>
        <v>0.73742674323683333</v>
      </c>
      <c r="V59" s="382">
        <f t="shared" si="9"/>
        <v>36.884096099718469</v>
      </c>
      <c r="W59" s="400">
        <f t="shared" si="10"/>
        <v>15.987612286790547</v>
      </c>
      <c r="X59" s="157">
        <f t="shared" si="11"/>
        <v>45336</v>
      </c>
      <c r="Y59" s="383">
        <f t="shared" si="12"/>
        <v>15.775419487912238</v>
      </c>
      <c r="Z59" s="383">
        <f t="shared" si="22"/>
        <v>16.348219334730175</v>
      </c>
      <c r="AA59" s="384">
        <f t="shared" si="13"/>
        <v>17.128056916363249</v>
      </c>
      <c r="AB59" s="197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4.5529833619834502E-2</v>
      </c>
      <c r="AD59" s="230">
        <f>(INDEX(Models!$BJ59:$BT59,,AH59)*(1-AF59)+INDEX(Models!$BJ59:$BT59,,AH59+1)*AF59-ERP_i)*AE59*Ramure*Pc/MaxiM</f>
        <v>2.4607259801413844E-2</v>
      </c>
      <c r="AE59" s="304">
        <f t="shared" si="15"/>
        <v>0.7</v>
      </c>
      <c r="AF59" s="177">
        <f t="shared" si="23"/>
        <v>0.80175896549666548</v>
      </c>
      <c r="AG59" s="799">
        <f t="shared" si="24"/>
        <v>0</v>
      </c>
      <c r="AH59" s="176">
        <f t="shared" si="16"/>
        <v>6</v>
      </c>
      <c r="AI59" s="224">
        <f t="shared" si="17"/>
        <v>0.80175896549666548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45337</v>
      </c>
      <c r="B60" s="409">
        <f>'2023'!Wh/'2023'!Env_an*'2024'!Env_an</f>
        <v>21.133648073583444</v>
      </c>
      <c r="C60" s="829"/>
      <c r="D60" s="391">
        <f t="shared" si="0"/>
        <v>21.901423022228659</v>
      </c>
      <c r="E60" s="383">
        <f t="shared" si="1"/>
        <v>22.647835409711995</v>
      </c>
      <c r="F60" s="383">
        <f t="shared" si="2"/>
        <v>22.84772048473636</v>
      </c>
      <c r="G60" s="110">
        <f t="shared" si="21"/>
        <v>0.55955092701384779</v>
      </c>
      <c r="H60" s="412" t="b">
        <f>Wh_hp&gt;='2023'!Maxi_hp</f>
        <v>0</v>
      </c>
      <c r="I60" s="388">
        <f>IF(H60,Wh_hp,'2023'!Maxi_hp)</f>
        <v>40.783875694870723</v>
      </c>
      <c r="J60" s="85">
        <f>IF(H60,An,'2023'!An_max)</f>
        <v>2020</v>
      </c>
      <c r="K60" s="197">
        <f t="shared" si="3"/>
        <v>45337</v>
      </c>
      <c r="L60" s="147">
        <f>IF(t&lt;Tvie,1-EXP((T0-t)*PertePVj)+'2023'!Pspv,1-EXP((T0-t)*PertePVj)+Pspv)</f>
        <v>3.5055938961864208E-2</v>
      </c>
      <c r="M60" s="832"/>
      <c r="N60" s="832"/>
      <c r="O60" s="48">
        <f>IF(t&lt;Tnet,'2023'!Resal+('2023'!Salim-'2023'!Resal)*(1-EXP(('2023'!Tnet-t)/('2023'!Tau_j))),Resal+(Salim-Resal)*(1-EXP((Tnet-t)/(Tau_j))))*Salcycl</f>
        <v>3.2957338923580083E-2</v>
      </c>
      <c r="P60" s="169">
        <f>(INDEX(Models!$BJ60:$BT60,,T60)*(1-R60)+INDEX(Models!$BJ60:$BT60,,T60+1)*R60-ERP_i)*Q60*Ramure*Pc/MaxiM</f>
        <v>2.2881158608859694E-2</v>
      </c>
      <c r="Q60" s="304">
        <f t="shared" si="4"/>
        <v>0.7</v>
      </c>
      <c r="R60" s="177">
        <f t="shared" si="5"/>
        <v>0.7375672560098977</v>
      </c>
      <c r="S60" s="799">
        <f t="shared" si="6"/>
        <v>0</v>
      </c>
      <c r="T60" s="176">
        <f t="shared" si="7"/>
        <v>6</v>
      </c>
      <c r="U60" s="250">
        <f t="shared" si="8"/>
        <v>0.7375672560098977</v>
      </c>
      <c r="V60" s="382">
        <f t="shared" si="9"/>
        <v>37.230461191158248</v>
      </c>
      <c r="W60" s="400">
        <f t="shared" si="10"/>
        <v>21.133648073583444</v>
      </c>
      <c r="X60" s="157">
        <f t="shared" si="11"/>
        <v>45337</v>
      </c>
      <c r="Y60" s="383">
        <f t="shared" si="12"/>
        <v>20.849410534404043</v>
      </c>
      <c r="Z60" s="383">
        <f t="shared" si="22"/>
        <v>21.606859274280822</v>
      </c>
      <c r="AA60" s="384">
        <f t="shared" si="13"/>
        <v>22.638983500627578</v>
      </c>
      <c r="AB60" s="197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4.5590572841671333E-2</v>
      </c>
      <c r="AD60" s="230">
        <f>(INDEX(Models!$BJ60:$BT60,,AH60)*(1-AF60)+INDEX(Models!$BJ60:$BT60,,AH60+1)*AF60-ERP_i)*AE60*Ramure*Pc/MaxiM</f>
        <v>2.3894450550376575E-2</v>
      </c>
      <c r="AE60" s="304">
        <f t="shared" si="15"/>
        <v>0.7</v>
      </c>
      <c r="AF60" s="177">
        <f t="shared" si="23"/>
        <v>0.80189947826972985</v>
      </c>
      <c r="AG60" s="799">
        <f t="shared" si="24"/>
        <v>0</v>
      </c>
      <c r="AH60" s="176">
        <f t="shared" si="16"/>
        <v>6</v>
      </c>
      <c r="AI60" s="224">
        <f t="shared" si="17"/>
        <v>0.80189947826972985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45338</v>
      </c>
      <c r="B61" s="409">
        <f>'2023'!Wh/'2023'!Env_an*'2024'!Env_an</f>
        <v>9.0256898358360207</v>
      </c>
      <c r="C61" s="829"/>
      <c r="D61" s="391">
        <f t="shared" si="0"/>
        <v>9.3537679321299176</v>
      </c>
      <c r="E61" s="383">
        <f t="shared" si="1"/>
        <v>9.6733026647728213</v>
      </c>
      <c r="F61" s="383">
        <f t="shared" si="2"/>
        <v>9.6733026647728213</v>
      </c>
      <c r="G61" s="110">
        <f t="shared" si="21"/>
        <v>0.23486543187082187</v>
      </c>
      <c r="H61" s="412" t="b">
        <f>Wh_hp&gt;='2023'!Maxi_hp</f>
        <v>0</v>
      </c>
      <c r="I61" s="388">
        <f>IF(H61,Wh_hp,'2023'!Maxi_hp)</f>
        <v>34.426764095706375</v>
      </c>
      <c r="J61" s="85">
        <f>IF(H61,An,'2023'!An_max)</f>
        <v>2021</v>
      </c>
      <c r="K61" s="197">
        <f t="shared" si="3"/>
        <v>45338</v>
      </c>
      <c r="L61" s="147">
        <f>IF(t&lt;Tvie,1-EXP((T0-t)*PertePVj)+'2023'!Pspv,1-EXP((T0-t)*PertePVj)+Pspv)</f>
        <v>3.5074431894654867E-2</v>
      </c>
      <c r="M61" s="832"/>
      <c r="N61" s="832"/>
      <c r="O61" s="48">
        <f>IF(t&lt;Tnet,'2023'!Resal+('2023'!Salim-'2023'!Resal)*(1-EXP(('2023'!Tnet-t)/('2023'!Tau_j))),Resal+(Salim-Resal)*(1-EXP((Tnet-t)/(Tau_j))))*Salcycl</f>
        <v>3.3032640838019996E-2</v>
      </c>
      <c r="P61" s="169">
        <f>(INDEX(Models!$BJ61:$BT61,,T61)*(1-R61)+INDEX(Models!$BJ61:$BT61,,T61+1)*R61-ERP_i)*Q61*Ramure*Pc/MaxiM</f>
        <v>2.211909400399259E-2</v>
      </c>
      <c r="Q61" s="304">
        <f t="shared" si="4"/>
        <v>0.7</v>
      </c>
      <c r="R61" s="177">
        <f t="shared" si="5"/>
        <v>0.73771355788652815</v>
      </c>
      <c r="S61" s="799">
        <f t="shared" si="6"/>
        <v>0</v>
      </c>
      <c r="T61" s="176">
        <f t="shared" si="7"/>
        <v>6</v>
      </c>
      <c r="U61" s="250">
        <f t="shared" si="8"/>
        <v>0.73771355788652815</v>
      </c>
      <c r="V61" s="382">
        <f t="shared" si="9"/>
        <v>37.57917750433657</v>
      </c>
      <c r="W61" s="400">
        <f t="shared" si="10"/>
        <v>9.0256898358360207</v>
      </c>
      <c r="X61" s="157">
        <f t="shared" si="11"/>
        <v>45338</v>
      </c>
      <c r="Y61" s="383">
        <f t="shared" si="12"/>
        <v>8.9079075300090231</v>
      </c>
      <c r="Z61" s="383">
        <f t="shared" si="22"/>
        <v>9.2317043142508037</v>
      </c>
      <c r="AA61" s="384">
        <f t="shared" si="13"/>
        <v>9.6733026647728213</v>
      </c>
      <c r="AB61" s="197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4.5651249198495683E-2</v>
      </c>
      <c r="AD61" s="230">
        <f>(INDEX(Models!$BJ61:$BT61,,AH61)*(1-AF61)+INDEX(Models!$BJ61:$BT61,,AH61+1)*AF61-ERP_i)*AE61*Ramure*Pc/MaxiM</f>
        <v>2.31130573698555E-2</v>
      </c>
      <c r="AE61" s="304">
        <f t="shared" si="15"/>
        <v>0.7</v>
      </c>
      <c r="AF61" s="177">
        <f t="shared" si="23"/>
        <v>0.8020457801463603</v>
      </c>
      <c r="AG61" s="799">
        <f t="shared" si="24"/>
        <v>0</v>
      </c>
      <c r="AH61" s="176">
        <f t="shared" si="16"/>
        <v>6</v>
      </c>
      <c r="AI61" s="224">
        <f t="shared" si="17"/>
        <v>0.8020457801463603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45339</v>
      </c>
      <c r="B62" s="409">
        <f>'2023'!Wh/'2023'!Env_an*'2024'!Env_an</f>
        <v>9.9627081288730768</v>
      </c>
      <c r="C62" s="829"/>
      <c r="D62" s="391">
        <f t="shared" si="0"/>
        <v>10.325044122442689</v>
      </c>
      <c r="E62" s="383">
        <f t="shared" si="1"/>
        <v>10.678589345202036</v>
      </c>
      <c r="F62" s="383">
        <f t="shared" si="2"/>
        <v>10.678589345202036</v>
      </c>
      <c r="G62" s="110">
        <f t="shared" si="21"/>
        <v>0.2570662911642515</v>
      </c>
      <c r="H62" s="412" t="b">
        <f>Wh_hp&gt;='2023'!Maxi_hp</f>
        <v>0</v>
      </c>
      <c r="I62" s="388">
        <f>IF(H62,Wh_hp,'2023'!Maxi_hp)</f>
        <v>38.684101035723138</v>
      </c>
      <c r="J62" s="85">
        <f>IF(H62,An,'2023'!An_max)</f>
        <v>2021</v>
      </c>
      <c r="K62" s="197">
        <f t="shared" si="3"/>
        <v>45339</v>
      </c>
      <c r="L62" s="147">
        <f>IF(t&lt;Tvie,1-EXP((T0-t)*PertePVj)+'2023'!Pspv,1-EXP((T0-t)*PertePVj)+Pspv)</f>
        <v>3.5092924473032805E-2</v>
      </c>
      <c r="M62" s="832"/>
      <c r="N62" s="832"/>
      <c r="O62" s="48">
        <f>IF(t&lt;Tnet,'2023'!Resal+('2023'!Salim-'2023'!Resal)*(1-EXP(('2023'!Tnet-t)/('2023'!Tau_j))),Resal+(Salim-Resal)*(1-EXP((Tnet-t)/(Tau_j))))*Salcycl</f>
        <v>3.3107858288248214E-2</v>
      </c>
      <c r="P62" s="169">
        <f>(INDEX(Models!$BJ62:$BT62,,T62)*(1-R62)+INDEX(Models!$BJ62:$BT62,,T62+1)*R62-ERP_i)*Q62*Ramure*Pc/MaxiM</f>
        <v>2.1294073876009467E-2</v>
      </c>
      <c r="Q62" s="304">
        <f t="shared" si="4"/>
        <v>0.7</v>
      </c>
      <c r="R62" s="177">
        <f t="shared" si="5"/>
        <v>0.73786588280425325</v>
      </c>
      <c r="S62" s="799">
        <f t="shared" si="6"/>
        <v>0</v>
      </c>
      <c r="T62" s="176">
        <f t="shared" si="7"/>
        <v>6</v>
      </c>
      <c r="U62" s="250">
        <f t="shared" si="8"/>
        <v>0.73786588280425325</v>
      </c>
      <c r="V62" s="382">
        <f t="shared" si="9"/>
        <v>37.930144173362848</v>
      </c>
      <c r="W62" s="400">
        <f t="shared" si="10"/>
        <v>9.9627081288730768</v>
      </c>
      <c r="X62" s="157">
        <f t="shared" si="11"/>
        <v>45339</v>
      </c>
      <c r="Y62" s="383">
        <f t="shared" si="12"/>
        <v>9.8328384477647965</v>
      </c>
      <c r="Z62" s="383">
        <f t="shared" si="22"/>
        <v>10.190451181420515</v>
      </c>
      <c r="AA62" s="384">
        <f t="shared" si="13"/>
        <v>10.678589345202036</v>
      </c>
      <c r="AB62" s="197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4.5711858373956915E-2</v>
      </c>
      <c r="AD62" s="230">
        <f>(INDEX(Models!$BJ62:$BT62,,AH62)*(1-AF62)+INDEX(Models!$BJ62:$BT62,,AH62+1)*AF62-ERP_i)*AE62*Ramure*Pc/MaxiM</f>
        <v>2.2264835070531515E-2</v>
      </c>
      <c r="AE62" s="304">
        <f t="shared" si="15"/>
        <v>0.7</v>
      </c>
      <c r="AF62" s="177">
        <f t="shared" si="23"/>
        <v>0.8021981050640854</v>
      </c>
      <c r="AG62" s="799">
        <f t="shared" si="24"/>
        <v>0</v>
      </c>
      <c r="AH62" s="176">
        <f t="shared" si="16"/>
        <v>6</v>
      </c>
      <c r="AI62" s="224">
        <f t="shared" si="17"/>
        <v>0.8021981050640854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45340</v>
      </c>
      <c r="B63" s="409">
        <f>'2023'!Wh/'2023'!Env_an*'2024'!Env_an</f>
        <v>33.205910354360043</v>
      </c>
      <c r="C63" s="829"/>
      <c r="D63" s="391">
        <f t="shared" si="0"/>
        <v>34.414243187218524</v>
      </c>
      <c r="E63" s="383">
        <f t="shared" si="1"/>
        <v>35.595405102947197</v>
      </c>
      <c r="F63" s="383">
        <f t="shared" si="2"/>
        <v>36.194096056996202</v>
      </c>
      <c r="G63" s="110">
        <f t="shared" si="21"/>
        <v>0.86396398877391867</v>
      </c>
      <c r="H63" s="412" t="b">
        <f>Wh_hp&gt;='2023'!Maxi_hp</f>
        <v>0</v>
      </c>
      <c r="I63" s="388">
        <f>IF(H63,Wh_hp,'2023'!Maxi_hp)</f>
        <v>38.693234723420318</v>
      </c>
      <c r="J63" s="85">
        <f>IF(H63,An,'2023'!An_max)</f>
        <v>2020</v>
      </c>
      <c r="K63" s="197">
        <f t="shared" si="3"/>
        <v>45340</v>
      </c>
      <c r="L63" s="147">
        <f>IF(t&lt;Tvie,1-EXP((T0-t)*PertePVj)+'2023'!Pspv,1-EXP((T0-t)*PertePVj)+Pspv)</f>
        <v>3.5111416697004572E-2</v>
      </c>
      <c r="M63" s="832"/>
      <c r="N63" s="832"/>
      <c r="O63" s="48">
        <f>IF(t&lt;Tnet,'2023'!Resal+('2023'!Salim-'2023'!Resal)*(1-EXP(('2023'!Tnet-t)/('2023'!Tau_j))),Resal+(Salim-Resal)*(1-EXP((Tnet-t)/(Tau_j))))*Salcycl</f>
        <v>3.318298843102295E-2</v>
      </c>
      <c r="P63" s="169">
        <f>(INDEX(Models!$BJ63:$BT63,,T63)*(1-R63)+INDEX(Models!$BJ63:$BT63,,T63+1)*R63-ERP_i)*Q63*Ramure*Pc/MaxiM</f>
        <v>2.0407671861373725E-2</v>
      </c>
      <c r="Q63" s="304">
        <f t="shared" si="4"/>
        <v>0.7</v>
      </c>
      <c r="R63" s="177">
        <f t="shared" si="5"/>
        <v>0.73802447376645186</v>
      </c>
      <c r="S63" s="799">
        <f t="shared" si="6"/>
        <v>0</v>
      </c>
      <c r="T63" s="176">
        <f t="shared" si="7"/>
        <v>6</v>
      </c>
      <c r="U63" s="250">
        <f t="shared" si="8"/>
        <v>0.73802447376645186</v>
      </c>
      <c r="V63" s="382">
        <f t="shared" si="9"/>
        <v>38.283260643876709</v>
      </c>
      <c r="W63" s="400">
        <f t="shared" si="10"/>
        <v>33.205910354360043</v>
      </c>
      <c r="X63" s="157">
        <f t="shared" si="11"/>
        <v>45340</v>
      </c>
      <c r="Y63" s="383">
        <f t="shared" si="12"/>
        <v>32.748027141586704</v>
      </c>
      <c r="Z63" s="383">
        <f t="shared" si="22"/>
        <v>33.939698021386093</v>
      </c>
      <c r="AA63" s="384">
        <f t="shared" si="13"/>
        <v>35.567717694209122</v>
      </c>
      <c r="AB63" s="197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4.5772396385391254E-2</v>
      </c>
      <c r="AD63" s="230">
        <f>(INDEX(Models!$BJ63:$BT63,,AH63)*(1-AF63)+INDEX(Models!$BJ63:$BT63,,AH63+1)*AF63-ERP_i)*AE63*Ramure*Pc/MaxiM</f>
        <v>2.1351456878329365E-2</v>
      </c>
      <c r="AE63" s="304">
        <f t="shared" si="15"/>
        <v>0.7</v>
      </c>
      <c r="AF63" s="177">
        <f t="shared" si="23"/>
        <v>0.80235669602628401</v>
      </c>
      <c r="AG63" s="799">
        <f t="shared" si="24"/>
        <v>0</v>
      </c>
      <c r="AH63" s="176">
        <f t="shared" si="16"/>
        <v>6</v>
      </c>
      <c r="AI63" s="224">
        <f t="shared" si="17"/>
        <v>0.80235669602628401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45341</v>
      </c>
      <c r="B64" s="409">
        <f>'2023'!Wh/'2023'!Env_an*'2024'!Env_an</f>
        <v>15.229331656927714</v>
      </c>
      <c r="C64" s="829"/>
      <c r="D64" s="391">
        <f t="shared" si="0"/>
        <v>15.783815657818588</v>
      </c>
      <c r="E64" s="383">
        <f t="shared" si="1"/>
        <v>16.326813282642512</v>
      </c>
      <c r="F64" s="383">
        <f t="shared" si="2"/>
        <v>16.369661744870534</v>
      </c>
      <c r="G64" s="110">
        <f t="shared" si="21"/>
        <v>0.38749347247871502</v>
      </c>
      <c r="H64" s="412" t="b">
        <f>Wh_hp&gt;='2023'!Maxi_hp</f>
        <v>0</v>
      </c>
      <c r="I64" s="388">
        <f>IF(H64,Wh_hp,'2023'!Maxi_hp)</f>
        <v>39.852198656392886</v>
      </c>
      <c r="J64" s="85">
        <f>IF(H64,An,'2023'!An_max)</f>
        <v>2021</v>
      </c>
      <c r="K64" s="197">
        <f t="shared" si="3"/>
        <v>45341</v>
      </c>
      <c r="L64" s="147">
        <f>IF(t&lt;Tvie,1-EXP((T0-t)*PertePVj)+'2023'!Pspv,1-EXP((T0-t)*PertePVj)+Pspv)</f>
        <v>3.5129908566577051E-2</v>
      </c>
      <c r="M64" s="832"/>
      <c r="N64" s="832"/>
      <c r="O64" s="48">
        <f>IF(t&lt;Tnet,'2023'!Resal+('2023'!Salim-'2023'!Resal)*(1-EXP(('2023'!Tnet-t)/('2023'!Tau_j))),Resal+(Salim-Resal)*(1-EXP((Tnet-t)/(Tau_j))))*Salcycl</f>
        <v>3.3258028705528291E-2</v>
      </c>
      <c r="P64" s="169">
        <f>(INDEX(Models!$BJ64:$BT64,,T64)*(1-R64)+INDEX(Models!$BJ64:$BT64,,T64+1)*R64-ERP_i)*Q64*Ramure*Pc/MaxiM</f>
        <v>1.9461385484116519E-2</v>
      </c>
      <c r="Q64" s="304">
        <f t="shared" si="4"/>
        <v>0.7</v>
      </c>
      <c r="R64" s="177">
        <f t="shared" si="5"/>
        <v>0.73818958316069894</v>
      </c>
      <c r="S64" s="799">
        <f t="shared" si="6"/>
        <v>0</v>
      </c>
      <c r="T64" s="176">
        <f t="shared" si="7"/>
        <v>6</v>
      </c>
      <c r="U64" s="250">
        <f t="shared" si="8"/>
        <v>0.73818958316069894</v>
      </c>
      <c r="V64" s="382">
        <f t="shared" si="9"/>
        <v>38.638426698619526</v>
      </c>
      <c r="W64" s="400">
        <f t="shared" si="10"/>
        <v>15.229331656927714</v>
      </c>
      <c r="X64" s="157">
        <f t="shared" si="11"/>
        <v>45341</v>
      </c>
      <c r="Y64" s="383">
        <f t="shared" si="12"/>
        <v>15.029386233889731</v>
      </c>
      <c r="Z64" s="383">
        <f t="shared" si="22"/>
        <v>15.576590431528341</v>
      </c>
      <c r="AA64" s="384">
        <f t="shared" si="13"/>
        <v>16.324802828455336</v>
      </c>
      <c r="AB64" s="197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4.5832859654684713E-2</v>
      </c>
      <c r="AD64" s="230">
        <f>(INDEX(Models!$BJ64:$BT64,,AH64)*(1-AF64)+INDEX(Models!$BJ64:$BT64,,AH64+1)*AF64-ERP_i)*AE64*Ramure*Pc/MaxiM</f>
        <v>2.037451566196409E-2</v>
      </c>
      <c r="AE64" s="304">
        <f t="shared" si="15"/>
        <v>0.7</v>
      </c>
      <c r="AF64" s="177">
        <f t="shared" si="23"/>
        <v>0.80252180542053109</v>
      </c>
      <c r="AG64" s="799">
        <f t="shared" si="24"/>
        <v>0</v>
      </c>
      <c r="AH64" s="176">
        <f t="shared" si="16"/>
        <v>6</v>
      </c>
      <c r="AI64" s="224">
        <f t="shared" si="17"/>
        <v>0.80252180542053109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45342</v>
      </c>
      <c r="B65" s="409">
        <f>'2023'!Wh/'2023'!Env_an*'2024'!Env_an</f>
        <v>26.440570810603173</v>
      </c>
      <c r="C65" s="829"/>
      <c r="D65" s="391">
        <f t="shared" si="0"/>
        <v>27.403769463452853</v>
      </c>
      <c r="E65" s="383">
        <f t="shared" si="1"/>
        <v>28.348716577857608</v>
      </c>
      <c r="F65" s="383">
        <f t="shared" si="2"/>
        <v>28.634126704683784</v>
      </c>
      <c r="G65" s="110">
        <f t="shared" si="21"/>
        <v>0.67222261857802168</v>
      </c>
      <c r="H65" s="412" t="b">
        <f>Wh_hp&gt;='2023'!Maxi_hp</f>
        <v>0</v>
      </c>
      <c r="I65" s="388">
        <f>IF(H65,Wh_hp,'2023'!Maxi_hp)</f>
        <v>42.526823693851945</v>
      </c>
      <c r="J65" s="85">
        <f>IF(H65,An,'2023'!An_max)</f>
        <v>2020</v>
      </c>
      <c r="K65" s="197">
        <f t="shared" si="3"/>
        <v>45342</v>
      </c>
      <c r="L65" s="147">
        <f>IF(t&lt;Tvie,1-EXP((T0-t)*PertePVj)+'2023'!Pspv,1-EXP((T0-t)*PertePVj)+Pspv)</f>
        <v>3.5148400081757125E-2</v>
      </c>
      <c r="M65" s="832"/>
      <c r="N65" s="832"/>
      <c r="O65" s="48">
        <f>IF(t&lt;Tnet,'2023'!Resal+('2023'!Salim-'2023'!Resal)*(1-EXP(('2023'!Tnet-t)/('2023'!Tau_j))),Resal+(Salim-Resal)*(1-EXP((Tnet-t)/(Tau_j))))*Salcycl</f>
        <v>3.3332976884845204E-2</v>
      </c>
      <c r="P65" s="169">
        <f>(INDEX(Models!$BJ65:$BT65,,T65)*(1-R65)+INDEX(Models!$BJ65:$BT65,,T65+1)*R65-ERP_i)*Q65*Ramure*Pc/MaxiM</f>
        <v>1.8456519495619078E-2</v>
      </c>
      <c r="Q65" s="304">
        <f t="shared" si="4"/>
        <v>0.7</v>
      </c>
      <c r="R65" s="177">
        <f t="shared" si="5"/>
        <v>0.73836147308542721</v>
      </c>
      <c r="S65" s="799">
        <f t="shared" si="6"/>
        <v>0</v>
      </c>
      <c r="T65" s="176">
        <f t="shared" si="7"/>
        <v>6</v>
      </c>
      <c r="U65" s="250">
        <f t="shared" si="8"/>
        <v>0.73836147308542721</v>
      </c>
      <c r="V65" s="382">
        <f t="shared" si="9"/>
        <v>38.995795885472006</v>
      </c>
      <c r="W65" s="400">
        <f t="shared" si="10"/>
        <v>26.440570810603173</v>
      </c>
      <c r="X65" s="157">
        <f t="shared" si="11"/>
        <v>45342</v>
      </c>
      <c r="Y65" s="383">
        <f t="shared" si="12"/>
        <v>26.084507076734976</v>
      </c>
      <c r="Z65" s="383">
        <f t="shared" si="22"/>
        <v>27.034734749826043</v>
      </c>
      <c r="AA65" s="384">
        <f t="shared" si="13"/>
        <v>28.335125613916063</v>
      </c>
      <c r="AB65" s="197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4.5893245077105488E-2</v>
      </c>
      <c r="AD65" s="230">
        <f>(INDEX(Models!$BJ65:$BT65,,AH65)*(1-AF65)+INDEX(Models!$BJ65:$BT65,,AH65+1)*AF65-ERP_i)*AE65*Ramure*Pc/MaxiM</f>
        <v>1.9335401733403659E-2</v>
      </c>
      <c r="AE65" s="304">
        <f t="shared" si="15"/>
        <v>0.7</v>
      </c>
      <c r="AF65" s="177">
        <f t="shared" si="23"/>
        <v>0.80269369534525936</v>
      </c>
      <c r="AG65" s="799">
        <f t="shared" si="24"/>
        <v>0</v>
      </c>
      <c r="AH65" s="176">
        <f t="shared" si="16"/>
        <v>6</v>
      </c>
      <c r="AI65" s="224">
        <f t="shared" si="17"/>
        <v>0.80269369534525936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45343</v>
      </c>
      <c r="B66" s="409">
        <f>'2023'!Wh/'2023'!Env_an*'2024'!Env_an</f>
        <v>19.828192793210576</v>
      </c>
      <c r="C66" s="829"/>
      <c r="D66" s="391">
        <f t="shared" si="0"/>
        <v>20.550904206372163</v>
      </c>
      <c r="E66" s="383">
        <f t="shared" si="1"/>
        <v>21.261194605276529</v>
      </c>
      <c r="F66" s="383">
        <f t="shared" si="2"/>
        <v>21.369511993084362</v>
      </c>
      <c r="G66" s="110">
        <f t="shared" si="21"/>
        <v>0.49758001395613444</v>
      </c>
      <c r="H66" s="412" t="b">
        <f>Wh_hp&gt;='2023'!Maxi_hp</f>
        <v>0</v>
      </c>
      <c r="I66" s="388">
        <f>IF(H66,Wh_hp,'2023'!Maxi_hp)</f>
        <v>21.52544485018046</v>
      </c>
      <c r="J66" s="85">
        <f>IF(H66,An,'2023'!An_max)</f>
        <v>2022</v>
      </c>
      <c r="K66" s="197">
        <f t="shared" si="3"/>
        <v>45343</v>
      </c>
      <c r="L66" s="147">
        <f>IF(t&lt;Tvie,1-EXP((T0-t)*PertePVj)+'2023'!Pspv,1-EXP((T0-t)*PertePVj)+Pspv)</f>
        <v>3.5166891242551568E-2</v>
      </c>
      <c r="M66" s="832"/>
      <c r="N66" s="832"/>
      <c r="O66" s="48">
        <f>IF(t&lt;Tnet,'2023'!Resal+('2023'!Salim-'2023'!Resal)*(1-EXP(('2023'!Tnet-t)/('2023'!Tau_j))),Resal+(Salim-Resal)*(1-EXP((Tnet-t)/(Tau_j))))*Salcycl</f>
        <v>3.3407831125730314E-2</v>
      </c>
      <c r="P66" s="169">
        <f>(INDEX(Models!$BJ66:$BT66,,T66)*(1-R66)+INDEX(Models!$BJ66:$BT66,,T66+1)*R66-ERP_i)*Q66*Ramure*Pc/MaxiM</f>
        <v>1.7407529537943858E-2</v>
      </c>
      <c r="Q66" s="304">
        <f t="shared" si="4"/>
        <v>0.7</v>
      </c>
      <c r="R66" s="177">
        <f t="shared" si="5"/>
        <v>0.73854041568485651</v>
      </c>
      <c r="S66" s="799">
        <f t="shared" si="6"/>
        <v>0</v>
      </c>
      <c r="T66" s="176">
        <f t="shared" si="7"/>
        <v>6</v>
      </c>
      <c r="U66" s="250">
        <f t="shared" si="8"/>
        <v>0.73854041568485651</v>
      </c>
      <c r="V66" s="382">
        <f t="shared" si="9"/>
        <v>39.35505998790854</v>
      </c>
      <c r="W66" s="400">
        <f t="shared" si="10"/>
        <v>19.828192793210576</v>
      </c>
      <c r="X66" s="157">
        <f t="shared" si="11"/>
        <v>45343</v>
      </c>
      <c r="Y66" s="383">
        <f t="shared" si="12"/>
        <v>19.566019622340495</v>
      </c>
      <c r="Z66" s="383">
        <f t="shared" si="22"/>
        <v>20.279175170033724</v>
      </c>
      <c r="AA66" s="384">
        <f t="shared" si="13"/>
        <v>21.255962088525678</v>
      </c>
      <c r="AB66" s="197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4.5953550087447656E-2</v>
      </c>
      <c r="AD66" s="230">
        <f>(INDEX(Models!$BJ66:$BT66,,AH66)*(1-AF66)+INDEX(Models!$BJ66:$BT66,,AH66+1)*AF66-ERP_i)*AE66*Ramure*Pc/MaxiM</f>
        <v>1.8248439679349724E-2</v>
      </c>
      <c r="AE66" s="304">
        <f t="shared" si="15"/>
        <v>0.7</v>
      </c>
      <c r="AF66" s="177">
        <f t="shared" si="23"/>
        <v>0.80287263794468866</v>
      </c>
      <c r="AG66" s="799">
        <f t="shared" si="24"/>
        <v>0</v>
      </c>
      <c r="AH66" s="176">
        <f t="shared" si="16"/>
        <v>6</v>
      </c>
      <c r="AI66" s="224">
        <f t="shared" si="17"/>
        <v>0.80287263794468866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45344</v>
      </c>
      <c r="B67" s="409">
        <f>'2023'!Wh/'2023'!Env_an*'2024'!Env_an</f>
        <v>32.84902241688517</v>
      </c>
      <c r="C67" s="829"/>
      <c r="D67" s="391">
        <f t="shared" si="0"/>
        <v>34.0469783580252</v>
      </c>
      <c r="E67" s="383">
        <f t="shared" si="1"/>
        <v>35.226451180633347</v>
      </c>
      <c r="F67" s="383">
        <f t="shared" si="2"/>
        <v>35.66584506352357</v>
      </c>
      <c r="G67" s="110">
        <f t="shared" si="21"/>
        <v>0.82374735354272233</v>
      </c>
      <c r="H67" s="412" t="b">
        <f>Wh_hp&gt;='2023'!Maxi_hp</f>
        <v>0</v>
      </c>
      <c r="I67" s="388">
        <f>IF(H67,Wh_hp,'2023'!Maxi_hp)</f>
        <v>41.235374874521426</v>
      </c>
      <c r="J67" s="85">
        <f>IF(H67,An,'2023'!An_max)</f>
        <v>2020</v>
      </c>
      <c r="K67" s="197">
        <f t="shared" si="3"/>
        <v>45344</v>
      </c>
      <c r="L67" s="147">
        <f>IF(t&lt;Tvie,1-EXP((T0-t)*PertePVj)+'2023'!Pspv,1-EXP((T0-t)*PertePVj)+Pspv)</f>
        <v>3.5185382048967151E-2</v>
      </c>
      <c r="M67" s="832"/>
      <c r="N67" s="832"/>
      <c r="O67" s="48">
        <f>IF(t&lt;Tnet,'2023'!Resal+('2023'!Salim-'2023'!Resal)*(1-EXP(('2023'!Tnet-t)/('2023'!Tau_j))),Resal+(Salim-Resal)*(1-EXP((Tnet-t)/(Tau_j))))*Salcycl</f>
        <v>3.3482590016237275E-2</v>
      </c>
      <c r="P67" s="169">
        <f>(INDEX(Models!$BJ67:$BT67,,T67)*(1-R67)+INDEX(Models!$BJ67:$BT67,,T67+1)*R67-ERP_i)*Q67*Ramure*Pc/MaxiM</f>
        <v>1.6359918664346999E-2</v>
      </c>
      <c r="Q67" s="304">
        <f t="shared" si="4"/>
        <v>0.7</v>
      </c>
      <c r="R67" s="177">
        <f t="shared" si="5"/>
        <v>0.73872669349211195</v>
      </c>
      <c r="S67" s="799">
        <f t="shared" si="6"/>
        <v>0</v>
      </c>
      <c r="T67" s="176">
        <f t="shared" si="7"/>
        <v>6</v>
      </c>
      <c r="U67" s="250">
        <f t="shared" si="8"/>
        <v>0.73872669349211195</v>
      </c>
      <c r="V67" s="382">
        <f t="shared" si="9"/>
        <v>39.714423221477048</v>
      </c>
      <c r="W67" s="400">
        <f t="shared" si="10"/>
        <v>32.84902241688517</v>
      </c>
      <c r="X67" s="157">
        <f t="shared" si="11"/>
        <v>45344</v>
      </c>
      <c r="Y67" s="383">
        <f t="shared" si="12"/>
        <v>32.403318929512977</v>
      </c>
      <c r="Z67" s="383">
        <f t="shared" si="22"/>
        <v>33.585020714474226</v>
      </c>
      <c r="AA67" s="384">
        <f t="shared" si="13"/>
        <v>35.204932476156024</v>
      </c>
      <c r="AB67" s="197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4.6013772722869072E-2</v>
      </c>
      <c r="AD67" s="230">
        <f>(INDEX(Models!$BJ67:$BT67,,AH67)*(1-AF67)+INDEX(Models!$BJ67:$BT67,,AH67+1)*AF67-ERP_i)*AE67*Ramure*Pc/MaxiM</f>
        <v>1.7161122933954675E-2</v>
      </c>
      <c r="AE67" s="304">
        <f t="shared" si="15"/>
        <v>0.7</v>
      </c>
      <c r="AF67" s="177">
        <f t="shared" si="23"/>
        <v>0.8030589157519441</v>
      </c>
      <c r="AG67" s="799">
        <f t="shared" si="24"/>
        <v>0</v>
      </c>
      <c r="AH67" s="176">
        <f t="shared" si="16"/>
        <v>6</v>
      </c>
      <c r="AI67" s="224">
        <f t="shared" si="17"/>
        <v>0.8030589157519441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45345</v>
      </c>
      <c r="B68" s="409">
        <f>'2023'!Wh/'2023'!Env_an*'2024'!Env_an</f>
        <v>38.059075687848029</v>
      </c>
      <c r="C68" s="829"/>
      <c r="D68" s="391">
        <f t="shared" si="0"/>
        <v>39.44779068144414</v>
      </c>
      <c r="E68" s="383">
        <f t="shared" si="1"/>
        <v>40.817514320860163</v>
      </c>
      <c r="F68" s="383">
        <f t="shared" si="2"/>
        <v>41.406042928007025</v>
      </c>
      <c r="G68" s="110">
        <f t="shared" si="21"/>
        <v>0.94866283753363712</v>
      </c>
      <c r="H68" s="412" t="b">
        <f>Wh_hp&gt;='2023'!Maxi_hp</f>
        <v>0</v>
      </c>
      <c r="I68" s="388">
        <f>IF(H68,Wh_hp,'2023'!Maxi_hp)</f>
        <v>41.868249695321026</v>
      </c>
      <c r="J68" s="85">
        <f>IF(H68,An,'2023'!An_max)</f>
        <v>2020</v>
      </c>
      <c r="K68" s="197">
        <f t="shared" si="3"/>
        <v>45345</v>
      </c>
      <c r="L68" s="147">
        <f>IF(t&lt;Tvie,1-EXP((T0-t)*PertePVj)+'2023'!Pspv,1-EXP((T0-t)*PertePVj)+Pspv)</f>
        <v>3.5203872501010536E-2</v>
      </c>
      <c r="M68" s="832"/>
      <c r="N68" s="832"/>
      <c r="O68" s="48">
        <f>IF(t&lt;Tnet,'2023'!Resal+('2023'!Salim-'2023'!Resal)*(1-EXP(('2023'!Tnet-t)/('2023'!Tau_j))),Resal+(Salim-Resal)*(1-EXP((Tnet-t)/(Tau_j))))*Salcycl</f>
        <v>3.3557252620746082E-2</v>
      </c>
      <c r="P68" s="169">
        <f>(INDEX(Models!$BJ68:$BT68,,T68)*(1-R68)+INDEX(Models!$BJ68:$BT68,,T68+1)*R68-ERP_i)*Q68*Ramure*Pc/MaxiM</f>
        <v>1.5313483309628974E-2</v>
      </c>
      <c r="Q68" s="304">
        <f t="shared" si="4"/>
        <v>0.7</v>
      </c>
      <c r="R68" s="177">
        <f t="shared" si="5"/>
        <v>0.73892059978041424</v>
      </c>
      <c r="S68" s="799">
        <f t="shared" si="6"/>
        <v>0</v>
      </c>
      <c r="T68" s="176">
        <f t="shared" si="7"/>
        <v>6</v>
      </c>
      <c r="U68" s="250">
        <f t="shared" si="8"/>
        <v>0.73892059978041424</v>
      </c>
      <c r="V68" s="382">
        <f t="shared" si="9"/>
        <v>40.073891135381999</v>
      </c>
      <c r="W68" s="400">
        <f t="shared" si="10"/>
        <v>38.059075687848029</v>
      </c>
      <c r="X68" s="157">
        <f t="shared" si="11"/>
        <v>45345</v>
      </c>
      <c r="Y68" s="383">
        <f t="shared" si="12"/>
        <v>37.539287738363612</v>
      </c>
      <c r="Z68" s="383">
        <f t="shared" si="22"/>
        <v>38.909036498390101</v>
      </c>
      <c r="AA68" s="384">
        <f t="shared" si="13"/>
        <v>40.788313659593932</v>
      </c>
      <c r="AB68" s="197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4.6073911681852438E-2</v>
      </c>
      <c r="AD68" s="230">
        <f>(INDEX(Models!$BJ68:$BT68,,AH68)*(1-AF68)+INDEX(Models!$BJ68:$BT68,,AH68+1)*AF68-ERP_i)*AE68*Ramure*Pc/MaxiM</f>
        <v>1.6073282975270334E-2</v>
      </c>
      <c r="AE68" s="304">
        <f t="shared" si="15"/>
        <v>0.7</v>
      </c>
      <c r="AF68" s="177">
        <f t="shared" si="23"/>
        <v>0.80325282204024639</v>
      </c>
      <c r="AG68" s="799">
        <f t="shared" si="24"/>
        <v>0</v>
      </c>
      <c r="AH68" s="176">
        <f t="shared" si="16"/>
        <v>6</v>
      </c>
      <c r="AI68" s="224">
        <f t="shared" si="17"/>
        <v>0.80325282204024639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45346</v>
      </c>
      <c r="B69" s="409">
        <f>'2023'!Wh/'2023'!Env_an*'2024'!Env_an</f>
        <v>24.47049101470704</v>
      </c>
      <c r="C69" s="829"/>
      <c r="D69" s="391">
        <f t="shared" si="0"/>
        <v>25.363866310811094</v>
      </c>
      <c r="E69" s="383">
        <f t="shared" si="1"/>
        <v>26.24658675332072</v>
      </c>
      <c r="F69" s="383">
        <f t="shared" si="2"/>
        <v>26.41088830610575</v>
      </c>
      <c r="G69" s="110">
        <f t="shared" si="21"/>
        <v>0.60030325267200613</v>
      </c>
      <c r="H69" s="412" t="b">
        <f>Wh_hp&gt;='2023'!Maxi_hp</f>
        <v>0</v>
      </c>
      <c r="I69" s="388">
        <f>IF(H69,Wh_hp,'2023'!Maxi_hp)</f>
        <v>42.008924715628446</v>
      </c>
      <c r="J69" s="85">
        <f>IF(H69,An,'2023'!An_max)</f>
        <v>2020</v>
      </c>
      <c r="K69" s="197">
        <f t="shared" si="3"/>
        <v>45346</v>
      </c>
      <c r="L69" s="147">
        <f>IF(t&lt;Tvie,1-EXP((T0-t)*PertePVj)+'2023'!Pspv,1-EXP((T0-t)*PertePVj)+Pspv)</f>
        <v>3.5222362598688717E-2</v>
      </c>
      <c r="M69" s="832"/>
      <c r="N69" s="832"/>
      <c r="O69" s="48">
        <f>IF(t&lt;Tnet,'2023'!Resal+('2023'!Salim-'2023'!Resal)*(1-EXP(('2023'!Tnet-t)/('2023'!Tau_j))),Resal+(Salim-Resal)*(1-EXP((Tnet-t)/(Tau_j))))*Salcycl</f>
        <v>3.3631818522000576E-2</v>
      </c>
      <c r="P69" s="169">
        <f>(INDEX(Models!$BJ69:$BT69,,T69)*(1-R69)+INDEX(Models!$BJ69:$BT69,,T69+1)*R69-ERP_i)*Q69*Ramure*Pc/MaxiM</f>
        <v>1.4268115701123419E-2</v>
      </c>
      <c r="Q69" s="304">
        <f t="shared" si="4"/>
        <v>0.7</v>
      </c>
      <c r="R69" s="177">
        <f t="shared" si="5"/>
        <v>0.73912243892218887</v>
      </c>
      <c r="S69" s="799">
        <f t="shared" si="6"/>
        <v>0</v>
      </c>
      <c r="T69" s="176">
        <f t="shared" si="7"/>
        <v>6</v>
      </c>
      <c r="U69" s="250">
        <f t="shared" si="8"/>
        <v>0.73912243892218887</v>
      </c>
      <c r="V69" s="382">
        <f t="shared" si="9"/>
        <v>40.433465596437841</v>
      </c>
      <c r="W69" s="400">
        <f t="shared" si="10"/>
        <v>24.47049101470704</v>
      </c>
      <c r="X69" s="157">
        <f t="shared" si="11"/>
        <v>45346</v>
      </c>
      <c r="Y69" s="383">
        <f t="shared" si="12"/>
        <v>24.14631477427454</v>
      </c>
      <c r="Z69" s="383">
        <f t="shared" si="22"/>
        <v>25.027854956624143</v>
      </c>
      <c r="AA69" s="384">
        <f t="shared" si="13"/>
        <v>26.238333344997212</v>
      </c>
      <c r="AB69" s="197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4.6133966378770368E-2</v>
      </c>
      <c r="AD69" s="230">
        <f>(INDEX(Models!$BJ69:$BT69,,AH69)*(1-AF69)+INDEX(Models!$BJ69:$BT69,,AH69+1)*AF69-ERP_i)*AE69*Ramure*Pc/MaxiM</f>
        <v>1.4984850162193697E-2</v>
      </c>
      <c r="AE69" s="304">
        <f t="shared" si="15"/>
        <v>0.7</v>
      </c>
      <c r="AF69" s="177">
        <f t="shared" si="23"/>
        <v>0.80345466118202102</v>
      </c>
      <c r="AG69" s="799">
        <f t="shared" si="24"/>
        <v>0</v>
      </c>
      <c r="AH69" s="176">
        <f t="shared" si="16"/>
        <v>6</v>
      </c>
      <c r="AI69" s="224">
        <f t="shared" si="17"/>
        <v>0.80345466118202102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45347</v>
      </c>
      <c r="B70" s="409">
        <f>'2023'!Wh/'2023'!Env_an*'2024'!Env_an</f>
        <v>26.630460754169953</v>
      </c>
      <c r="C70" s="829"/>
      <c r="D70" s="391">
        <f t="shared" si="0"/>
        <v>27.603221818437202</v>
      </c>
      <c r="E70" s="383">
        <f t="shared" si="1"/>
        <v>28.566078275827611</v>
      </c>
      <c r="F70" s="383">
        <f t="shared" si="2"/>
        <v>28.75775075236869</v>
      </c>
      <c r="G70" s="110">
        <f t="shared" si="21"/>
        <v>0.64850667908017079</v>
      </c>
      <c r="H70" s="412" t="b">
        <f>Wh_hp&gt;='2023'!Maxi_hp</f>
        <v>0</v>
      </c>
      <c r="I70" s="388">
        <f>IF(H70,Wh_hp,'2023'!Maxi_hp)</f>
        <v>38.500224990742687</v>
      </c>
      <c r="J70" s="85">
        <f>IF(H70,An,'2023'!An_max)</f>
        <v>2021</v>
      </c>
      <c r="K70" s="197">
        <f t="shared" si="3"/>
        <v>45347</v>
      </c>
      <c r="L70" s="147">
        <f>IF(t&lt;Tvie,1-EXP((T0-t)*PertePVj)+'2023'!Pspv,1-EXP((T0-t)*PertePVj)+Pspv)</f>
        <v>3.5240852342008355E-2</v>
      </c>
      <c r="M70" s="832"/>
      <c r="N70" s="832"/>
      <c r="O70" s="48">
        <f>IF(t&lt;Tnet,'2023'!Resal+('2023'!Salim-'2023'!Resal)*(1-EXP(('2023'!Tnet-t)/('2023'!Tau_j))),Resal+(Salim-Resal)*(1-EXP((Tnet-t)/(Tau_j))))*Salcycl</f>
        <v>3.3706287859792516E-2</v>
      </c>
      <c r="P70" s="169">
        <f>(INDEX(Models!$BJ70:$BT70,,T70)*(1-R70)+INDEX(Models!$BJ70:$BT70,,T70+1)*R70-ERP_i)*Q70*Ramure*Pc/MaxiM</f>
        <v>1.3223711842946568E-2</v>
      </c>
      <c r="Q70" s="304">
        <f t="shared" si="4"/>
        <v>0.7</v>
      </c>
      <c r="R70" s="177">
        <f t="shared" si="5"/>
        <v>0.73933252675589767</v>
      </c>
      <c r="S70" s="799">
        <f t="shared" si="6"/>
        <v>0</v>
      </c>
      <c r="T70" s="176">
        <f t="shared" si="7"/>
        <v>6</v>
      </c>
      <c r="U70" s="250">
        <f t="shared" si="8"/>
        <v>0.73933252675589767</v>
      </c>
      <c r="V70" s="382">
        <f t="shared" si="9"/>
        <v>40.793148435057155</v>
      </c>
      <c r="W70" s="400">
        <f t="shared" si="10"/>
        <v>26.630460754169953</v>
      </c>
      <c r="X70" s="157">
        <f t="shared" si="11"/>
        <v>45347</v>
      </c>
      <c r="Y70" s="383">
        <f t="shared" si="12"/>
        <v>26.27734518643032</v>
      </c>
      <c r="Z70" s="383">
        <f t="shared" si="22"/>
        <v>27.237207597585456</v>
      </c>
      <c r="AA70" s="384">
        <f t="shared" si="13"/>
        <v>28.556337240857342</v>
      </c>
      <c r="AB70" s="197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4.6193936993590527E-2</v>
      </c>
      <c r="AD70" s="230">
        <f>(INDEX(Models!$BJ70:$BT70,,AH70)*(1-AF70)+INDEX(Models!$BJ70:$BT70,,AH70+1)*AF70-ERP_i)*AE70*Ramure*Pc/MaxiM</f>
        <v>1.3895757416851796E-2</v>
      </c>
      <c r="AE70" s="304">
        <f t="shared" si="15"/>
        <v>0.7</v>
      </c>
      <c r="AF70" s="177">
        <f t="shared" si="23"/>
        <v>0.80366474901572982</v>
      </c>
      <c r="AG70" s="799">
        <f t="shared" si="24"/>
        <v>0</v>
      </c>
      <c r="AH70" s="176">
        <f t="shared" si="16"/>
        <v>6</v>
      </c>
      <c r="AI70" s="224">
        <f t="shared" si="17"/>
        <v>0.80366474901572982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45348</v>
      </c>
      <c r="B71" s="409">
        <f>'2023'!Wh/'2023'!Env_an*'2024'!Env_an</f>
        <v>41.258119887351135</v>
      </c>
      <c r="C71" s="829"/>
      <c r="D71" s="391">
        <f t="shared" si="0"/>
        <v>42.766021659518429</v>
      </c>
      <c r="E71" s="383">
        <f t="shared" si="1"/>
        <v>44.261194067982501</v>
      </c>
      <c r="F71" s="383">
        <f t="shared" si="2"/>
        <v>44.806950383067353</v>
      </c>
      <c r="G71" s="110">
        <f t="shared" si="21"/>
        <v>1.0025557936565526</v>
      </c>
      <c r="H71" s="412" t="b">
        <f>Wh_hp&gt;='2023'!Maxi_hp</f>
        <v>1</v>
      </c>
      <c r="I71" s="388">
        <f>IF(H71,Wh_hp,'2023'!Maxi_hp)</f>
        <v>44.806950383067353</v>
      </c>
      <c r="J71" s="85">
        <f>IF(H71,An,'2023'!An_max)</f>
        <v>2024</v>
      </c>
      <c r="K71" s="197">
        <f t="shared" si="3"/>
        <v>45348</v>
      </c>
      <c r="L71" s="147">
        <f>IF(t&lt;Tvie,1-EXP((T0-t)*PertePVj)+'2023'!Pspv,1-EXP((T0-t)*PertePVj)+Pspv)</f>
        <v>3.5259341730976335E-2</v>
      </c>
      <c r="M71" s="832"/>
      <c r="N71" s="832"/>
      <c r="O71" s="48">
        <f>IF(t&lt;Tnet,'2023'!Resal+('2023'!Salim-'2023'!Resal)*(1-EXP(('2023'!Tnet-t)/('2023'!Tau_j))),Resal+(Salim-Resal)*(1-EXP((Tnet-t)/(Tau_j))))*Salcycl</f>
        <v>3.3780661365971673E-2</v>
      </c>
      <c r="P71" s="169">
        <f>(INDEX(Models!$BJ71:$BT71,,T71)*(1-R71)+INDEX(Models!$BJ71:$BT71,,T71+1)*R71-ERP_i)*Q71*Ramure*Pc/MaxiM</f>
        <v>1.2180170942655721E-2</v>
      </c>
      <c r="Q71" s="304">
        <f t="shared" si="4"/>
        <v>0.7</v>
      </c>
      <c r="R71" s="177">
        <f t="shared" si="5"/>
        <v>0.73955119096034994</v>
      </c>
      <c r="S71" s="799">
        <f t="shared" si="6"/>
        <v>0</v>
      </c>
      <c r="T71" s="176">
        <f t="shared" si="7"/>
        <v>6</v>
      </c>
      <c r="U71" s="250">
        <f t="shared" si="8"/>
        <v>0.73955119096034994</v>
      </c>
      <c r="V71" s="382">
        <f t="shared" si="9"/>
        <v>41.152941460617612</v>
      </c>
      <c r="W71" s="400">
        <f t="shared" si="10"/>
        <v>41.258119887351135</v>
      </c>
      <c r="X71" s="157">
        <f t="shared" si="11"/>
        <v>45348</v>
      </c>
      <c r="Y71" s="383">
        <f t="shared" si="12"/>
        <v>40.69970968050314</v>
      </c>
      <c r="Z71" s="383">
        <f t="shared" si="22"/>
        <v>42.187202676342253</v>
      </c>
      <c r="AA71" s="384">
        <f t="shared" si="13"/>
        <v>44.233155278391983</v>
      </c>
      <c r="AB71" s="197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4.6253824516316648E-2</v>
      </c>
      <c r="AD71" s="230">
        <f>(INDEX(Models!$BJ71:$BT71,,AH71)*(1-AF71)+INDEX(Models!$BJ71:$BT71,,AH71+1)*AF71-ERP_i)*AE71*Ramure*Pc/MaxiM</f>
        <v>1.280593969841361E-2</v>
      </c>
      <c r="AE71" s="304">
        <f t="shared" si="15"/>
        <v>0.7</v>
      </c>
      <c r="AF71" s="177">
        <f t="shared" si="23"/>
        <v>0.80388341322018209</v>
      </c>
      <c r="AG71" s="799">
        <f t="shared" si="24"/>
        <v>0</v>
      </c>
      <c r="AH71" s="176">
        <f t="shared" si="16"/>
        <v>6</v>
      </c>
      <c r="AI71" s="224">
        <f t="shared" si="17"/>
        <v>0.80388341322018209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45349</v>
      </c>
      <c r="B72" s="409">
        <f>'2023'!Wh/'2023'!Env_an*'2024'!Env_an</f>
        <v>21.863554172116672</v>
      </c>
      <c r="C72" s="829"/>
      <c r="D72" s="391">
        <f t="shared" si="0"/>
        <v>22.663057685786875</v>
      </c>
      <c r="E72" s="383">
        <f t="shared" si="1"/>
        <v>23.457199786400942</v>
      </c>
      <c r="F72" s="383">
        <f t="shared" si="2"/>
        <v>23.542417316000662</v>
      </c>
      <c r="G72" s="110">
        <f t="shared" si="21"/>
        <v>0.52269589635576386</v>
      </c>
      <c r="H72" s="412" t="b">
        <f>Wh_hp&gt;='2023'!Maxi_hp</f>
        <v>0</v>
      </c>
      <c r="I72" s="388">
        <f>IF(H72,Wh_hp,'2023'!Maxi_hp)</f>
        <v>43.222165638946798</v>
      </c>
      <c r="J72" s="85">
        <f>IF(H72,An,'2023'!An_max)</f>
        <v>2021</v>
      </c>
      <c r="K72" s="197">
        <f t="shared" si="3"/>
        <v>45349</v>
      </c>
      <c r="L72" s="147">
        <f>IF(t&lt;Tvie,1-EXP((T0-t)*PertePVj)+'2023'!Pspv,1-EXP((T0-t)*PertePVj)+Pspv)</f>
        <v>3.5277830765599316E-2</v>
      </c>
      <c r="M72" s="832"/>
      <c r="N72" s="832"/>
      <c r="O72" s="48">
        <f>IF(t&lt;Tnet,'2023'!Resal+('2023'!Salim-'2023'!Resal)*(1-EXP(('2023'!Tnet-t)/('2023'!Tau_j))),Resal+(Salim-Resal)*(1-EXP((Tnet-t)/(Tau_j))))*Salcycl</f>
        <v>3.3854940395505365E-2</v>
      </c>
      <c r="P72" s="169">
        <f>(INDEX(Models!$BJ72:$BT72,,T72)*(1-R72)+INDEX(Models!$BJ72:$BT72,,T72+1)*R72-ERP_i)*Q72*Ramure*Pc/MaxiM</f>
        <v>1.1177425966429819E-2</v>
      </c>
      <c r="Q72" s="304">
        <f t="shared" si="4"/>
        <v>0.7</v>
      </c>
      <c r="R72" s="177">
        <f t="shared" si="5"/>
        <v>0.73977877143619808</v>
      </c>
      <c r="S72" s="799">
        <f t="shared" si="6"/>
        <v>0</v>
      </c>
      <c r="T72" s="176">
        <f t="shared" si="7"/>
        <v>6</v>
      </c>
      <c r="U72" s="250">
        <f t="shared" si="8"/>
        <v>0.73977877143619808</v>
      </c>
      <c r="V72" s="382">
        <f t="shared" si="9"/>
        <v>41.511165953758528</v>
      </c>
      <c r="W72" s="400">
        <f t="shared" si="10"/>
        <v>21.863554172116672</v>
      </c>
      <c r="X72" s="157">
        <f t="shared" si="11"/>
        <v>45349</v>
      </c>
      <c r="Y72" s="383">
        <f t="shared" si="12"/>
        <v>21.57755287501276</v>
      </c>
      <c r="Z72" s="383">
        <f t="shared" si="22"/>
        <v>22.366597931647629</v>
      </c>
      <c r="AA72" s="384">
        <f t="shared" si="13"/>
        <v>23.452781389837167</v>
      </c>
      <c r="AB72" s="197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4.6313630785822998E-2</v>
      </c>
      <c r="AD72" s="230">
        <f>(INDEX(Models!$BJ72:$BT72,,AH72)*(1-AF72)+INDEX(Models!$BJ72:$BT72,,AH72+1)*AF72-ERP_i)*AE72*Ramure*Pc/MaxiM</f>
        <v>1.1756958143833981E-2</v>
      </c>
      <c r="AE72" s="304">
        <f t="shared" si="15"/>
        <v>0.7</v>
      </c>
      <c r="AF72" s="177">
        <f t="shared" si="23"/>
        <v>0.80411099369603023</v>
      </c>
      <c r="AG72" s="799">
        <f t="shared" si="24"/>
        <v>0</v>
      </c>
      <c r="AH72" s="176">
        <f t="shared" si="16"/>
        <v>6</v>
      </c>
      <c r="AI72" s="224">
        <f t="shared" si="17"/>
        <v>0.80411099369603023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45350</v>
      </c>
      <c r="B73" s="409">
        <f>'2023'!Wh/'2023'!Env_an*'2024'!Env_an</f>
        <v>37.861424081873693</v>
      </c>
      <c r="C73" s="829"/>
      <c r="D73" s="391">
        <f t="shared" si="0"/>
        <v>39.246687708423046</v>
      </c>
      <c r="E73" s="383">
        <f t="shared" si="1"/>
        <v>40.625060545147122</v>
      </c>
      <c r="F73" s="383">
        <f t="shared" si="2"/>
        <v>40.98748503161886</v>
      </c>
      <c r="G73" s="110">
        <f t="shared" si="21"/>
        <v>0.90305646612178214</v>
      </c>
      <c r="H73" s="412" t="b">
        <f>Wh_hp&gt;='2023'!Maxi_hp</f>
        <v>0</v>
      </c>
      <c r="I73" s="388">
        <f>IF(H73,Wh_hp,'2023'!Maxi_hp)</f>
        <v>41.02375672593805</v>
      </c>
      <c r="J73" s="85">
        <f>IF(H73,An,'2023'!An_max)</f>
        <v>2022</v>
      </c>
      <c r="K73" s="197">
        <f t="shared" si="3"/>
        <v>45350</v>
      </c>
      <c r="L73" s="147">
        <f>IF(t&lt;Tvie,1-EXP((T0-t)*PertePVj)+'2023'!Pspv,1-EXP((T0-t)*PertePVj)+Pspv)</f>
        <v>3.5296319445884183E-2</v>
      </c>
      <c r="M73" s="832"/>
      <c r="N73" s="832"/>
      <c r="O73" s="48">
        <f>IF(t&lt;Tnet,'2023'!Resal+('2023'!Salim-'2023'!Resal)*(1-EXP(('2023'!Tnet-t)/('2023'!Tau_j))),Resal+(Salim-Resal)*(1-EXP((Tnet-t)/(Tau_j))))*Salcycl</f>
        <v>3.3929126953356155E-2</v>
      </c>
      <c r="P73" s="169">
        <f>(INDEX(Models!$BJ73:$BT73,,T73)*(1-R73)+INDEX(Models!$BJ73:$BT73,,T73+1)*R73-ERP_i)*Q73*Ramure*Pc/MaxiM</f>
        <v>1.0242065841587411E-2</v>
      </c>
      <c r="Q73" s="304">
        <f t="shared" si="4"/>
        <v>0.7</v>
      </c>
      <c r="R73" s="177">
        <f t="shared" si="5"/>
        <v>0.74001562069426818</v>
      </c>
      <c r="S73" s="799">
        <f t="shared" si="6"/>
        <v>0</v>
      </c>
      <c r="T73" s="176">
        <f t="shared" si="7"/>
        <v>6</v>
      </c>
      <c r="U73" s="250">
        <f t="shared" si="8"/>
        <v>0.74001562069426818</v>
      </c>
      <c r="V73" s="382">
        <f t="shared" si="9"/>
        <v>41.866656586581051</v>
      </c>
      <c r="W73" s="400">
        <f t="shared" si="10"/>
        <v>37.861424081873693</v>
      </c>
      <c r="X73" s="157">
        <f t="shared" si="11"/>
        <v>45350</v>
      </c>
      <c r="Y73" s="383">
        <f t="shared" si="12"/>
        <v>37.356291558721054</v>
      </c>
      <c r="Z73" s="383">
        <f t="shared" si="22"/>
        <v>38.723073532034192</v>
      </c>
      <c r="AA73" s="384">
        <f t="shared" si="13"/>
        <v>40.606115483572296</v>
      </c>
      <c r="AB73" s="197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4.6373358522804511E-2</v>
      </c>
      <c r="AD73" s="230">
        <f>(INDEX(Models!$BJ73:$BT73,,AH73)*(1-AF73)+INDEX(Models!$BJ73:$BT73,,AH73+1)*AF73-ERP_i)*AE73*Ramure*Pc/MaxiM</f>
        <v>1.0777450660398265E-2</v>
      </c>
      <c r="AE73" s="304">
        <f t="shared" si="15"/>
        <v>0.7</v>
      </c>
      <c r="AF73" s="177">
        <f t="shared" si="23"/>
        <v>0.80434784295410033</v>
      </c>
      <c r="AG73" s="799">
        <f t="shared" si="24"/>
        <v>0</v>
      </c>
      <c r="AH73" s="176">
        <f t="shared" si="16"/>
        <v>6</v>
      </c>
      <c r="AI73" s="224">
        <f t="shared" si="17"/>
        <v>0.80434784295410033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45351</v>
      </c>
      <c r="B74" s="409">
        <f>'2023'!Wh/'2023'!Env_an*'2024'!Env_an</f>
        <v>41.938208634681956</v>
      </c>
      <c r="C74" s="829"/>
      <c r="D74" s="391">
        <f t="shared" si="0"/>
        <v>43.473465719750521</v>
      </c>
      <c r="E74" s="383">
        <f t="shared" si="1"/>
        <v>45.003737887230969</v>
      </c>
      <c r="F74" s="383">
        <f t="shared" si="2"/>
        <v>45.425438392465857</v>
      </c>
      <c r="G74" s="110">
        <f t="shared" si="21"/>
        <v>0.99325002185791744</v>
      </c>
      <c r="H74" s="412" t="b">
        <f>Wh_hp&gt;='2023'!Maxi_hp</f>
        <v>0</v>
      </c>
      <c r="I74" s="388">
        <f>IF(H74,Wh_hp,'2023'!Maxi_hp)</f>
        <v>45.428013886424807</v>
      </c>
      <c r="J74" s="85">
        <f>IF(H74,An,'2023'!An_max)</f>
        <v>2022</v>
      </c>
      <c r="K74" s="197">
        <f t="shared" si="3"/>
        <v>45351</v>
      </c>
      <c r="L74" s="147">
        <f>IF(t&lt;Tvie,1-EXP((T0-t)*PertePVj)+'2023'!Pspv,1-EXP((T0-t)*PertePVj)+Pspv)</f>
        <v>3.5314807771837708E-2</v>
      </c>
      <c r="M74" s="832"/>
      <c r="N74" s="832"/>
      <c r="O74" s="48">
        <f>IF(t&lt;Tnet,'2023'!Resal+('2023'!Salim-'2023'!Resal)*(1-EXP(('2023'!Tnet-t)/('2023'!Tau_j))),Resal+(Salim-Resal)*(1-EXP((Tnet-t)/(Tau_j))))*Salcycl</f>
        <v>3.4003223716993526E-2</v>
      </c>
      <c r="P74" s="169">
        <f>(INDEX(Models!$BJ74:$BT74,,T74)*(1-R74)+INDEX(Models!$BJ74:$BT74,,T74+1)*R74-ERP_i)*Q74*Ramure*Pc/MaxiM</f>
        <v>9.3725362684376427E-3</v>
      </c>
      <c r="Q74" s="304">
        <f t="shared" si="4"/>
        <v>0.7</v>
      </c>
      <c r="R74" s="177">
        <f t="shared" si="5"/>
        <v>0.74026210425031524</v>
      </c>
      <c r="S74" s="799">
        <f t="shared" si="6"/>
        <v>0</v>
      </c>
      <c r="T74" s="176">
        <f t="shared" si="7"/>
        <v>6</v>
      </c>
      <c r="U74" s="250">
        <f t="shared" si="8"/>
        <v>0.74026210425031524</v>
      </c>
      <c r="V74" s="382">
        <f t="shared" si="9"/>
        <v>42.219413637465664</v>
      </c>
      <c r="W74" s="400">
        <f t="shared" si="10"/>
        <v>41.938208634681956</v>
      </c>
      <c r="X74" s="157">
        <f t="shared" si="11"/>
        <v>45351</v>
      </c>
      <c r="Y74" s="383">
        <f t="shared" si="12"/>
        <v>41.378160144348634</v>
      </c>
      <c r="Z74" s="383">
        <f t="shared" si="22"/>
        <v>42.892915199388781</v>
      </c>
      <c r="AA74" s="384">
        <f t="shared" si="13"/>
        <v>44.981543730254437</v>
      </c>
      <c r="AB74" s="197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4.643301135663002E-2</v>
      </c>
      <c r="AD74" s="230">
        <f>(INDEX(Models!$BJ74:$BT74,,AH74)*(1-AF74)+INDEX(Models!$BJ74:$BT74,,AH74+1)*AF74-ERP_i)*AE74*Ramure*Pc/MaxiM</f>
        <v>9.8658141721339829E-3</v>
      </c>
      <c r="AE74" s="304">
        <f t="shared" si="15"/>
        <v>0.7</v>
      </c>
      <c r="AF74" s="177">
        <f t="shared" si="23"/>
        <v>0.8045943265101474</v>
      </c>
      <c r="AG74" s="799">
        <f t="shared" si="24"/>
        <v>0</v>
      </c>
      <c r="AH74" s="176">
        <f t="shared" si="16"/>
        <v>6</v>
      </c>
      <c r="AI74" s="224">
        <f t="shared" si="17"/>
        <v>0.8045943265101474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45352</v>
      </c>
      <c r="B75" s="409">
        <f>'2023'!Wh/'2023'!Env_an*'2024'!Env_an</f>
        <v>14.541607177588029</v>
      </c>
      <c r="C75" s="829"/>
      <c r="D75" s="391">
        <f t="shared" si="0"/>
        <v>15.074229382463464</v>
      </c>
      <c r="E75" s="383">
        <f t="shared" si="1"/>
        <v>15.606040062329871</v>
      </c>
      <c r="F75" s="383">
        <f t="shared" si="2"/>
        <v>15.613989333699722</v>
      </c>
      <c r="G75" s="110">
        <f t="shared" si="21"/>
        <v>0.33884328498503669</v>
      </c>
      <c r="H75" s="412" t="b">
        <f>Wh_hp&gt;='2023'!Maxi_hp</f>
        <v>0</v>
      </c>
      <c r="I75" s="388">
        <f>IF(H75,Wh_hp,'2023'!Maxi_hp)</f>
        <v>33.203726330911472</v>
      </c>
      <c r="J75" s="85">
        <f>IF(H75,An,'2023'!An_max)</f>
        <v>2020</v>
      </c>
      <c r="K75" s="197">
        <f t="shared" si="3"/>
        <v>45352</v>
      </c>
      <c r="L75" s="147">
        <f>IF(t&lt;Tvie,1-EXP((T0-t)*PertePVj)+'2023'!Pspv,1-EXP((T0-t)*PertePVj)+Pspv)</f>
        <v>3.5333295743466664E-2</v>
      </c>
      <c r="M75" s="832"/>
      <c r="N75" s="832"/>
      <c r="O75" s="48">
        <f>IF(t&lt;Tnet,'2023'!Resal+('2023'!Salim-'2023'!Resal)*(1-EXP(('2023'!Tnet-t)/('2023'!Tau_j))),Resal+(Salim-Resal)*(1-EXP((Tnet-t)/(Tau_j))))*Salcycl</f>
        <v>3.4077234054403084E-2</v>
      </c>
      <c r="P75" s="169">
        <f>(INDEX(Models!$BJ75:$BT75,,T75)*(1-R75)+INDEX(Models!$BJ75:$BT75,,T75+1)*R75-ERP_i)*Q75*Ramure*Pc/MaxiM</f>
        <v>8.5673354042180971E-3</v>
      </c>
      <c r="Q75" s="304">
        <f t="shared" si="4"/>
        <v>0.7</v>
      </c>
      <c r="R75" s="177">
        <f t="shared" si="5"/>
        <v>0.74051860102572442</v>
      </c>
      <c r="S75" s="799">
        <f t="shared" si="6"/>
        <v>0</v>
      </c>
      <c r="T75" s="176">
        <f t="shared" si="7"/>
        <v>6</v>
      </c>
      <c r="U75" s="250">
        <f t="shared" si="8"/>
        <v>0.74051860102572442</v>
      </c>
      <c r="V75" s="382">
        <f t="shared" si="9"/>
        <v>42.569437292885098</v>
      </c>
      <c r="W75" s="400">
        <f t="shared" si="10"/>
        <v>14.541607177588029</v>
      </c>
      <c r="X75" s="157">
        <f t="shared" si="11"/>
        <v>45352</v>
      </c>
      <c r="Y75" s="383">
        <f t="shared" si="12"/>
        <v>14.354311806581171</v>
      </c>
      <c r="Z75" s="383">
        <f t="shared" si="22"/>
        <v>14.880073856849874</v>
      </c>
      <c r="AA75" s="384">
        <f t="shared" si="13"/>
        <v>15.605619590170086</v>
      </c>
      <c r="AB75" s="197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4.6492593845952189E-2</v>
      </c>
      <c r="AD75" s="230">
        <f>(INDEX(Models!$BJ75:$BT75,,AH75)*(1-AF75)+INDEX(Models!$BJ75:$BT75,,AH75+1)*AF75-ERP_i)*AE75*Ramure*Pc/MaxiM</f>
        <v>9.0204997073859323E-3</v>
      </c>
      <c r="AE75" s="304">
        <f t="shared" si="15"/>
        <v>0.7</v>
      </c>
      <c r="AF75" s="177">
        <f t="shared" si="23"/>
        <v>0.80485082328555657</v>
      </c>
      <c r="AG75" s="799">
        <f t="shared" si="24"/>
        <v>0</v>
      </c>
      <c r="AH75" s="176">
        <f t="shared" si="16"/>
        <v>6</v>
      </c>
      <c r="AI75" s="224">
        <f t="shared" si="17"/>
        <v>0.80485082328555657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45353</v>
      </c>
      <c r="B76" s="409">
        <f>'2023'!Wh/'2023'!Env_an*'2024'!Env_an</f>
        <v>37.923083006905657</v>
      </c>
      <c r="C76" s="829"/>
      <c r="D76" s="391">
        <f t="shared" si="0"/>
        <v>39.312862816486053</v>
      </c>
      <c r="E76" s="383">
        <f t="shared" si="1"/>
        <v>40.702914650100361</v>
      </c>
      <c r="F76" s="383">
        <f t="shared" si="2"/>
        <v>40.970217004050944</v>
      </c>
      <c r="G76" s="110">
        <f t="shared" si="21"/>
        <v>0.8824864916127988</v>
      </c>
      <c r="H76" s="412" t="b">
        <f>Wh_hp&gt;='2023'!Maxi_hp</f>
        <v>0</v>
      </c>
      <c r="I76" s="388">
        <f>IF(H76,Wh_hp,'2023'!Maxi_hp)</f>
        <v>41.004251522825243</v>
      </c>
      <c r="J76" s="85">
        <f>IF(H76,An,'2023'!An_max)</f>
        <v>2022</v>
      </c>
      <c r="K76" s="197">
        <f t="shared" si="3"/>
        <v>45353</v>
      </c>
      <c r="L76" s="147">
        <f>IF(t&lt;Tvie,1-EXP((T0-t)*PertePVj)+'2023'!Pspv,1-EXP((T0-t)*PertePVj)+Pspv)</f>
        <v>3.5351783360777933E-2</v>
      </c>
      <c r="M76" s="832"/>
      <c r="N76" s="832"/>
      <c r="O76" s="48">
        <f>IF(t&lt;Tnet,'2023'!Resal+('2023'!Salim-'2023'!Resal)*(1-EXP(('2023'!Tnet-t)/('2023'!Tau_j))),Resal+(Salim-Resal)*(1-EXP((Tnet-t)/(Tau_j))))*Salcycl</f>
        <v>3.4151162037504748E-2</v>
      </c>
      <c r="P76" s="169">
        <f>(INDEX(Models!$BJ76:$BT76,,T76)*(1-R76)+INDEX(Models!$BJ76:$BT76,,T76+1)*R76-ERP_i)*Q76*Ramure*Pc/MaxiM</f>
        <v>7.8250114676621206E-3</v>
      </c>
      <c r="Q76" s="304">
        <f t="shared" si="4"/>
        <v>0.7</v>
      </c>
      <c r="R76" s="177">
        <f t="shared" si="5"/>
        <v>0.74078550375361074</v>
      </c>
      <c r="S76" s="799">
        <f t="shared" si="6"/>
        <v>0</v>
      </c>
      <c r="T76" s="176">
        <f t="shared" si="7"/>
        <v>6</v>
      </c>
      <c r="U76" s="250">
        <f t="shared" si="8"/>
        <v>0.74078550375361074</v>
      </c>
      <c r="V76" s="382">
        <f t="shared" si="9"/>
        <v>42.91672765757815</v>
      </c>
      <c r="W76" s="400">
        <f t="shared" si="10"/>
        <v>37.923083006905657</v>
      </c>
      <c r="X76" s="157">
        <f t="shared" si="11"/>
        <v>45353</v>
      </c>
      <c r="Y76" s="383">
        <f t="shared" si="12"/>
        <v>37.42313362425763</v>
      </c>
      <c r="Z76" s="383">
        <f t="shared" si="22"/>
        <v>38.794591622879516</v>
      </c>
      <c r="AA76" s="384">
        <f t="shared" si="13"/>
        <v>40.688738304961319</v>
      </c>
      <c r="AB76" s="197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4.6552111492993667E-2</v>
      </c>
      <c r="AD76" s="230">
        <f>(INDEX(Models!$BJ76:$BT76,,AH76)*(1-AF76)+INDEX(Models!$BJ76:$BT76,,AH76+1)*AF76-ERP_i)*AE76*Ramure*Pc/MaxiM</f>
        <v>8.2400099203245609E-3</v>
      </c>
      <c r="AE76" s="304">
        <f t="shared" si="15"/>
        <v>0.7</v>
      </c>
      <c r="AF76" s="177">
        <f t="shared" si="23"/>
        <v>0.80511772601344289</v>
      </c>
      <c r="AG76" s="799">
        <f t="shared" si="24"/>
        <v>0</v>
      </c>
      <c r="AH76" s="176">
        <f t="shared" si="16"/>
        <v>6</v>
      </c>
      <c r="AI76" s="224">
        <f t="shared" si="17"/>
        <v>0.80511772601344289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45354</v>
      </c>
      <c r="B77" s="409">
        <f>'2023'!Wh/'2023'!Env_an*'2024'!Env_an</f>
        <v>5.0528613636335393</v>
      </c>
      <c r="C77" s="829"/>
      <c r="D77" s="391">
        <f t="shared" si="0"/>
        <v>5.2381356387398244</v>
      </c>
      <c r="E77" s="383">
        <f t="shared" si="1"/>
        <v>5.4237640302045298</v>
      </c>
      <c r="F77" s="383">
        <f t="shared" si="2"/>
        <v>5.4237640302045298</v>
      </c>
      <c r="G77" s="110">
        <f t="shared" si="21"/>
        <v>0.11596426085317559</v>
      </c>
      <c r="H77" s="412" t="b">
        <f>Wh_hp&gt;='2023'!Maxi_hp</f>
        <v>0</v>
      </c>
      <c r="I77" s="388">
        <f>IF(H77,Wh_hp,'2023'!Maxi_hp)</f>
        <v>31.937048727030085</v>
      </c>
      <c r="J77" s="85">
        <f>IF(H77,An,'2023'!An_max)</f>
        <v>2021</v>
      </c>
      <c r="K77" s="197">
        <f t="shared" si="3"/>
        <v>45354</v>
      </c>
      <c r="L77" s="147">
        <f>IF(t&lt;Tvie,1-EXP((T0-t)*PertePVj)+'2023'!Pspv,1-EXP((T0-t)*PertePVj)+Pspv)</f>
        <v>3.5370270623778177E-2</v>
      </c>
      <c r="M77" s="832"/>
      <c r="N77" s="832"/>
      <c r="O77" s="48">
        <f>IF(t&lt;Tnet,'2023'!Resal+('2023'!Salim-'2023'!Resal)*(1-EXP(('2023'!Tnet-t)/('2023'!Tau_j))),Resal+(Salim-Resal)*(1-EXP((Tnet-t)/(Tau_j))))*Salcycl</f>
        <v>3.4225012450939056E-2</v>
      </c>
      <c r="P77" s="169">
        <f>(INDEX(Models!$BJ77:$BT77,,T77)*(1-R77)+INDEX(Models!$BJ77:$BT77,,T77+1)*R77-ERP_i)*Q77*Ramure*Pc/MaxiM</f>
        <v>7.1441605268595561E-3</v>
      </c>
      <c r="Q77" s="304">
        <f t="shared" si="4"/>
        <v>0.7</v>
      </c>
      <c r="R77" s="177">
        <f t="shared" si="5"/>
        <v>0.74106321938968933</v>
      </c>
      <c r="S77" s="799">
        <f t="shared" si="6"/>
        <v>0</v>
      </c>
      <c r="T77" s="176">
        <f t="shared" si="7"/>
        <v>6</v>
      </c>
      <c r="U77" s="250">
        <f t="shared" si="8"/>
        <v>0.74106321938968933</v>
      </c>
      <c r="V77" s="382">
        <f t="shared" si="9"/>
        <v>43.261284761548971</v>
      </c>
      <c r="W77" s="400">
        <f t="shared" si="10"/>
        <v>5.0528613636335393</v>
      </c>
      <c r="X77" s="157">
        <f t="shared" si="11"/>
        <v>45354</v>
      </c>
      <c r="Y77" s="383">
        <f t="shared" si="12"/>
        <v>4.9880558316285102</v>
      </c>
      <c r="Z77" s="383">
        <f t="shared" si="22"/>
        <v>5.1709538693712442</v>
      </c>
      <c r="AA77" s="384">
        <f t="shared" si="13"/>
        <v>5.4237640302045298</v>
      </c>
      <c r="AB77" s="197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4.6611570751493747E-2</v>
      </c>
      <c r="AD77" s="230">
        <f>(INDEX(Models!$BJ77:$BT77,,AH77)*(1-AF77)+INDEX(Models!$BJ77:$BT77,,AH77+1)*AF77-ERP_i)*AE77*Ramure*Pc/MaxiM</f>
        <v>7.5228968012154528E-3</v>
      </c>
      <c r="AE77" s="304">
        <f t="shared" si="15"/>
        <v>0.7</v>
      </c>
      <c r="AF77" s="177">
        <f t="shared" si="23"/>
        <v>0.80539544164952148</v>
      </c>
      <c r="AG77" s="799">
        <f t="shared" si="24"/>
        <v>0</v>
      </c>
      <c r="AH77" s="176">
        <f t="shared" si="16"/>
        <v>6</v>
      </c>
      <c r="AI77" s="224">
        <f t="shared" si="17"/>
        <v>0.80539544164952148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45355</v>
      </c>
      <c r="B78" s="409">
        <f>'2023'!Wh/'2023'!Env_an*'2024'!Env_an</f>
        <v>15.561341978728976</v>
      </c>
      <c r="C78" s="829"/>
      <c r="D78" s="391">
        <f t="shared" si="0"/>
        <v>16.132241978563563</v>
      </c>
      <c r="E78" s="383">
        <f t="shared" si="1"/>
        <v>16.705210498664187</v>
      </c>
      <c r="F78" s="383">
        <f t="shared" si="2"/>
        <v>16.714071152346939</v>
      </c>
      <c r="G78" s="110">
        <f t="shared" si="21"/>
        <v>0.35474601092627389</v>
      </c>
      <c r="H78" s="412" t="b">
        <f>Wh_hp&gt;='2023'!Maxi_hp</f>
        <v>0</v>
      </c>
      <c r="I78" s="388">
        <f>IF(H78,Wh_hp,'2023'!Maxi_hp)</f>
        <v>34.948583246258117</v>
      </c>
      <c r="J78" s="85">
        <f>IF(H78,An,'2023'!An_max)</f>
        <v>2021</v>
      </c>
      <c r="K78" s="197">
        <f t="shared" si="3"/>
        <v>45355</v>
      </c>
      <c r="L78" s="147">
        <f>IF(t&lt;Tvie,1-EXP((T0-t)*PertePVj)+'2023'!Pspv,1-EXP((T0-t)*PertePVj)+Pspv)</f>
        <v>3.538875753247428E-2</v>
      </c>
      <c r="M78" s="832"/>
      <c r="N78" s="832"/>
      <c r="O78" s="48">
        <f>IF(t&lt;Tnet,'2023'!Resal+('2023'!Salim-'2023'!Resal)*(1-EXP(('2023'!Tnet-t)/('2023'!Tau_j))),Resal+(Salim-Resal)*(1-EXP((Tnet-t)/(Tau_j))))*Salcycl</f>
        <v>3.4298790796227309E-2</v>
      </c>
      <c r="P78" s="169">
        <f>(INDEX(Models!$BJ78:$BT78,,T78)*(1-R78)+INDEX(Models!$BJ78:$BT78,,T78+1)*R78-ERP_i)*Q78*Ramure*Pc/MaxiM</f>
        <v>6.5234244642812427E-3</v>
      </c>
      <c r="Q78" s="304">
        <f t="shared" si="4"/>
        <v>0.7</v>
      </c>
      <c r="R78" s="177">
        <f t="shared" si="5"/>
        <v>0.74135216952720595</v>
      </c>
      <c r="S78" s="799">
        <f t="shared" si="6"/>
        <v>0</v>
      </c>
      <c r="T78" s="176">
        <f t="shared" si="7"/>
        <v>6</v>
      </c>
      <c r="U78" s="250">
        <f t="shared" si="8"/>
        <v>0.74135216952720595</v>
      </c>
      <c r="V78" s="382">
        <f t="shared" si="9"/>
        <v>43.603108564685876</v>
      </c>
      <c r="W78" s="400">
        <f t="shared" si="10"/>
        <v>15.561341978728976</v>
      </c>
      <c r="X78" s="157">
        <f t="shared" si="11"/>
        <v>45355</v>
      </c>
      <c r="Y78" s="383">
        <f t="shared" si="12"/>
        <v>15.361546021554142</v>
      </c>
      <c r="Z78" s="383">
        <f t="shared" si="22"/>
        <v>15.925116093669518</v>
      </c>
      <c r="AA78" s="384">
        <f t="shared" si="13"/>
        <v>16.704742794296312</v>
      </c>
      <c r="AB78" s="197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4.6670979028362619E-2</v>
      </c>
      <c r="AD78" s="230">
        <f>(INDEX(Models!$BJ78:$BT78,,AH78)*(1-AF78)+INDEX(Models!$BJ78:$BT78,,AH78+1)*AF78-ERP_i)*AE78*Ramure*Pc/MaxiM</f>
        <v>6.8677595691953724E-3</v>
      </c>
      <c r="AE78" s="304">
        <f t="shared" si="15"/>
        <v>0.7</v>
      </c>
      <c r="AF78" s="177">
        <f t="shared" si="23"/>
        <v>0.8056843917870381</v>
      </c>
      <c r="AG78" s="799">
        <f t="shared" si="24"/>
        <v>0</v>
      </c>
      <c r="AH78" s="176">
        <f t="shared" si="16"/>
        <v>6</v>
      </c>
      <c r="AI78" s="224">
        <f t="shared" si="17"/>
        <v>0.8056843917870381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45356</v>
      </c>
      <c r="B79" s="409">
        <f>'2023'!Wh/'2023'!Env_an*'2024'!Env_an</f>
        <v>22.449097049377965</v>
      </c>
      <c r="C79" s="829"/>
      <c r="D79" s="391">
        <f t="shared" ref="D79:D142" si="25">Wh/(1-Ppv)</f>
        <v>23.273134607077406</v>
      </c>
      <c r="E79" s="383">
        <f t="shared" si="1"/>
        <v>24.101565755329315</v>
      </c>
      <c r="F79" s="383">
        <f t="shared" ref="F79:F142" si="26">Wh_sa/(1-Pvg*MEDIAN((-Sdif+Wh/Env_an)/Csdif,0,1))</f>
        <v>24.144924484598242</v>
      </c>
      <c r="G79" s="110">
        <f t="shared" si="21"/>
        <v>0.50873324888169114</v>
      </c>
      <c r="H79" s="412" t="b">
        <f>Wh_hp&gt;='2023'!Maxi_hp</f>
        <v>0</v>
      </c>
      <c r="I79" s="388">
        <f>IF(H79,Wh_hp,'2023'!Maxi_hp)</f>
        <v>24.208113232054881</v>
      </c>
      <c r="J79" s="85">
        <f>IF(H79,An,'2023'!An_max)</f>
        <v>2022</v>
      </c>
      <c r="K79" s="197">
        <f t="shared" ref="K79:K142" si="27">t</f>
        <v>45356</v>
      </c>
      <c r="L79" s="147">
        <f>IF(t&lt;Tvie,1-EXP((T0-t)*PertePVj)+'2023'!Pspv,1-EXP((T0-t)*PertePVj)+Pspv)</f>
        <v>3.5407244086873013E-2</v>
      </c>
      <c r="M79" s="832"/>
      <c r="N79" s="832"/>
      <c r="O79" s="48">
        <f>IF(t&lt;Tnet,'2023'!Resal+('2023'!Salim-'2023'!Resal)*(1-EXP(('2023'!Tnet-t)/('2023'!Tau_j))),Resal+(Salim-Resal)*(1-EXP((Tnet-t)/(Tau_j))))*Salcycl</f>
        <v>3.4372503291356771E-2</v>
      </c>
      <c r="P79" s="169">
        <f>(INDEX(Models!$BJ79:$BT79,,T79)*(1-R79)+INDEX(Models!$BJ79:$BT79,,T79+1)*R79-ERP_i)*Q79*Ramure*Pc/MaxiM</f>
        <v>5.9613412341743546E-3</v>
      </c>
      <c r="Q79" s="304">
        <f t="shared" ref="Q79:Q142" si="28">IF(OR(t&lt;Ttai,Notai),Dd+PousD*Croivg,Dens+PousD*(Croivg-Croi_tai))</f>
        <v>0.7</v>
      </c>
      <c r="R79" s="177">
        <f t="shared" ref="R79:R142" si="29">(Hp_vg-S79)/(INDEX(Echel_vg,T79+1)-S79)</f>
        <v>0.74165279081512436</v>
      </c>
      <c r="S79" s="799">
        <f t="shared" ref="S79:S142" si="30">INDEX(Echel_vg,T79)</f>
        <v>0</v>
      </c>
      <c r="T79" s="176">
        <f t="shared" ref="T79:T142" si="31">MIN(MATCH(Hp_vg,Echel_vg),10)</f>
        <v>6</v>
      </c>
      <c r="U79" s="250">
        <f t="shared" ref="U79:U142" si="32">IF(OR(t&lt;Ttai,Notai),Hdd+PousH*Croivg,Hdtf+PousH*(Croivg-Croi_tai))</f>
        <v>0.74165279081512436</v>
      </c>
      <c r="V79" s="382">
        <f t="shared" ref="V79:V142" si="33">MaxiM*(1-Ppv)*(1-Pvg)*(1-Psa)</f>
        <v>43.94329553546681</v>
      </c>
      <c r="W79" s="400">
        <f t="shared" ref="W79:W142" si="34">Wh*(A79&gt;Tmaj)</f>
        <v>22.449097049377965</v>
      </c>
      <c r="X79" s="157">
        <f t="shared" ref="X79:X142" si="35">t</f>
        <v>45356</v>
      </c>
      <c r="Y79" s="383">
        <f t="shared" ref="Y79:Y142" si="36">Wh_pvt_s*(1-Ppv)</f>
        <v>22.159714596296791</v>
      </c>
      <c r="Z79" s="383">
        <f t="shared" ref="Z79:Z142" si="37">Wh_sa_s*(1-Psa_s)</f>
        <v>22.97312981095261</v>
      </c>
      <c r="AA79" s="384">
        <f t="shared" ref="AA79:AA142" si="38">Wh_hp*(1-Pvg_s*MEDIAN((-Sdif+Wh/Env_an)/Csdif,0,1))</f>
        <v>24.0992983283627</v>
      </c>
      <c r="AB79" s="197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4.6730344679151575E-2</v>
      </c>
      <c r="AD79" s="230">
        <f>(INDEX(Models!$BJ79:$BT79,,AH79)*(1-AF79)+INDEX(Models!$BJ79:$BT79,,AH79+1)*AF79-ERP_i)*AE79*Ramure*Pc/MaxiM</f>
        <v>6.2730871293942437E-3</v>
      </c>
      <c r="AE79" s="304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0.80598501307495651</v>
      </c>
      <c r="AG79" s="799">
        <f t="shared" si="24"/>
        <v>0</v>
      </c>
      <c r="AH79" s="176">
        <f t="shared" ref="AH79:AH142" si="42">MIN(MATCH(Hp_vg_s,Echel_vg),10)</f>
        <v>6</v>
      </c>
      <c r="AI79" s="224">
        <f t="shared" ref="AI79:AI142" si="43">IF(OR(t&lt;Ttai,Notai),Hdd_s+PousH*Croivg,Hdtai_s+PousH*(Croivg-Croi_tai))</f>
        <v>0.80598501307495651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45357</v>
      </c>
      <c r="B80" s="409">
        <f>'2023'!Wh/'2023'!Env_an*'2024'!Env_an</f>
        <v>34.999307474348775</v>
      </c>
      <c r="C80" s="829"/>
      <c r="D80" s="391">
        <f t="shared" si="25"/>
        <v>36.284720185167082</v>
      </c>
      <c r="E80" s="383">
        <f t="shared" ref="E80:E143" si="47">Wh_pvt/(1-Psa)</f>
        <v>37.579178461337399</v>
      </c>
      <c r="F80" s="383">
        <f t="shared" si="26"/>
        <v>37.724094915207466</v>
      </c>
      <c r="G80" s="110">
        <f t="shared" ref="G80:G143" si="48">+Wh_hp/MaxiM</f>
        <v>0.78908100697942751</v>
      </c>
      <c r="H80" s="412" t="b">
        <f>Wh_hp&gt;='2023'!Maxi_hp</f>
        <v>0</v>
      </c>
      <c r="I80" s="388">
        <f>IF(H80,Wh_hp,'2023'!Maxi_hp)</f>
        <v>37.762488842107338</v>
      </c>
      <c r="J80" s="85">
        <f>IF(H80,An,'2023'!An_max)</f>
        <v>2022</v>
      </c>
      <c r="K80" s="197">
        <f t="shared" si="27"/>
        <v>45357</v>
      </c>
      <c r="L80" s="147">
        <f>IF(t&lt;Tvie,1-EXP((T0-t)*PertePVj)+'2023'!Pspv,1-EXP((T0-t)*PertePVj)+Pspv)</f>
        <v>3.542573028698115E-2</v>
      </c>
      <c r="M80" s="832"/>
      <c r="N80" s="832"/>
      <c r="O80" s="48">
        <f>IF(t&lt;Tnet,'2023'!Resal+('2023'!Salim-'2023'!Resal)*(1-EXP(('2023'!Tnet-t)/('2023'!Tau_j))),Resal+(Salim-Resal)*(1-EXP((Tnet-t)/(Tau_j))))*Salcycl</f>
        <v>3.4446156865885147E-2</v>
      </c>
      <c r="P80" s="169">
        <f>(INDEX(Models!$BJ80:$BT80,,T80)*(1-R80)+INDEX(Models!$BJ80:$BT80,,T80+1)*R80-ERP_i)*Q80*Ramure*Pc/MaxiM</f>
        <v>5.4835364836496149E-3</v>
      </c>
      <c r="Q80" s="304">
        <f t="shared" si="28"/>
        <v>0.7</v>
      </c>
      <c r="R80" s="177">
        <f t="shared" si="29"/>
        <v>0.74196553537867282</v>
      </c>
      <c r="S80" s="799">
        <f t="shared" si="30"/>
        <v>0</v>
      </c>
      <c r="T80" s="176">
        <f t="shared" si="31"/>
        <v>6</v>
      </c>
      <c r="U80" s="250">
        <f t="shared" si="32"/>
        <v>0.74196553537867282</v>
      </c>
      <c r="V80" s="382">
        <f t="shared" si="33"/>
        <v>44.281404306980505</v>
      </c>
      <c r="W80" s="400">
        <f t="shared" si="34"/>
        <v>34.999307474348775</v>
      </c>
      <c r="X80" s="157">
        <f t="shared" si="35"/>
        <v>45357</v>
      </c>
      <c r="Y80" s="383">
        <f t="shared" si="36"/>
        <v>34.545017128718818</v>
      </c>
      <c r="Z80" s="383">
        <f t="shared" si="37"/>
        <v>35.813745206988244</v>
      </c>
      <c r="AA80" s="384">
        <f t="shared" si="38"/>
        <v>37.571713548148892</v>
      </c>
      <c r="AB80" s="197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4.6789676997504387E-2</v>
      </c>
      <c r="AD80" s="230">
        <f>(INDEX(Models!$BJ80:$BT80,,AH80)*(1-AF80)+INDEX(Models!$BJ80:$BT80,,AH80+1)*AF80-ERP_i)*AE80*Ramure*Pc/MaxiM</f>
        <v>5.7660035377575065E-3</v>
      </c>
      <c r="AE80" s="304">
        <f t="shared" si="40"/>
        <v>0.7</v>
      </c>
      <c r="AF80" s="177">
        <f t="shared" si="41"/>
        <v>0.80629775763850497</v>
      </c>
      <c r="AG80" s="799">
        <f t="shared" ref="AG80:AG143" si="49">INDEX(Echel_vg,AH80)</f>
        <v>0</v>
      </c>
      <c r="AH80" s="176">
        <f t="shared" si="42"/>
        <v>6</v>
      </c>
      <c r="AI80" s="224">
        <f t="shared" si="43"/>
        <v>0.80629775763850497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45358</v>
      </c>
      <c r="B81" s="409">
        <f>'2023'!Wh/'2023'!Env_an*'2024'!Env_an</f>
        <v>35.400134309844375</v>
      </c>
      <c r="C81" s="829"/>
      <c r="D81" s="391">
        <f t="shared" si="25"/>
        <v>36.700971475091443</v>
      </c>
      <c r="E81" s="383">
        <f t="shared" si="47"/>
        <v>38.013177196505701</v>
      </c>
      <c r="F81" s="383">
        <f t="shared" si="26"/>
        <v>38.149689830653564</v>
      </c>
      <c r="G81" s="110">
        <f t="shared" si="48"/>
        <v>0.79222148664667535</v>
      </c>
      <c r="H81" s="412" t="b">
        <f>Wh_hp&gt;='2023'!Maxi_hp</f>
        <v>0</v>
      </c>
      <c r="I81" s="388">
        <f>IF(H81,Wh_hp,'2023'!Maxi_hp)</f>
        <v>38.184491330413124</v>
      </c>
      <c r="J81" s="85">
        <f>IF(H81,An,'2023'!An_max)</f>
        <v>2022</v>
      </c>
      <c r="K81" s="197">
        <f t="shared" si="27"/>
        <v>45358</v>
      </c>
      <c r="L81" s="147">
        <f>IF(t&lt;Tvie,1-EXP((T0-t)*PertePVj)+'2023'!Pspv,1-EXP((T0-t)*PertePVj)+Pspv)</f>
        <v>3.5444216132805351E-2</v>
      </c>
      <c r="M81" s="832"/>
      <c r="N81" s="832"/>
      <c r="O81" s="48">
        <f>IF(t&lt;Tnet,'2023'!Resal+('2023'!Salim-'2023'!Resal)*(1-EXP(('2023'!Tnet-t)/('2023'!Tau_j))),Resal+(Salim-Resal)*(1-EXP((Tnet-t)/(Tau_j))))*Salcycl</f>
        <v>3.4519759151699712E-2</v>
      </c>
      <c r="P81" s="169">
        <f>(INDEX(Models!$BJ81:$BT81,,T81)*(1-R81)+INDEX(Models!$BJ81:$BT81,,T81+1)*R81-ERP_i)*Q81*Ramure*Pc/MaxiM</f>
        <v>5.0765423338384186E-3</v>
      </c>
      <c r="Q81" s="304">
        <f t="shared" si="28"/>
        <v>0.7</v>
      </c>
      <c r="R81" s="177">
        <f t="shared" si="29"/>
        <v>0.74229087124124093</v>
      </c>
      <c r="S81" s="799">
        <f t="shared" si="30"/>
        <v>0</v>
      </c>
      <c r="T81" s="176">
        <f t="shared" si="31"/>
        <v>6</v>
      </c>
      <c r="U81" s="250">
        <f t="shared" si="32"/>
        <v>0.74229087124124093</v>
      </c>
      <c r="V81" s="382">
        <f t="shared" si="33"/>
        <v>44.617456033832106</v>
      </c>
      <c r="W81" s="400">
        <f t="shared" si="34"/>
        <v>35.400134309844375</v>
      </c>
      <c r="X81" s="157">
        <f t="shared" si="35"/>
        <v>45358</v>
      </c>
      <c r="Y81" s="383">
        <f t="shared" si="36"/>
        <v>34.941728588932534</v>
      </c>
      <c r="Z81" s="383">
        <f t="shared" si="37"/>
        <v>36.225720868979316</v>
      </c>
      <c r="AA81" s="384">
        <f t="shared" si="38"/>
        <v>38.006276386897191</v>
      </c>
      <c r="AB81" s="197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4.6848986198809124E-2</v>
      </c>
      <c r="AD81" s="230">
        <f>(INDEX(Models!$BJ81:$BT81,,AH81)*(1-AF81)+INDEX(Models!$BJ81:$BT81,,AH81+1)*AF81-ERP_i)*AE81*Ramure*Pc/MaxiM</f>
        <v>5.3331651170265082E-3</v>
      </c>
      <c r="AE81" s="304">
        <f t="shared" si="40"/>
        <v>0.7</v>
      </c>
      <c r="AF81" s="177">
        <f t="shared" si="41"/>
        <v>0.80662309350107309</v>
      </c>
      <c r="AG81" s="799">
        <f t="shared" si="49"/>
        <v>0</v>
      </c>
      <c r="AH81" s="176">
        <f t="shared" si="42"/>
        <v>6</v>
      </c>
      <c r="AI81" s="224">
        <f t="shared" si="43"/>
        <v>0.80662309350107309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45359</v>
      </c>
      <c r="B82" s="409">
        <f>'2023'!Wh/'2023'!Env_an*'2024'!Env_an</f>
        <v>32.263590900296073</v>
      </c>
      <c r="C82" s="829"/>
      <c r="D82" s="391">
        <f t="shared" si="25"/>
        <v>33.449811588033313</v>
      </c>
      <c r="E82" s="383">
        <f t="shared" si="47"/>
        <v>34.648415251288235</v>
      </c>
      <c r="F82" s="383">
        <f t="shared" si="26"/>
        <v>34.746684174150168</v>
      </c>
      <c r="G82" s="110">
        <f t="shared" si="48"/>
        <v>0.71637577535367492</v>
      </c>
      <c r="H82" s="412" t="b">
        <f>Wh_hp&gt;='2023'!Maxi_hp</f>
        <v>0</v>
      </c>
      <c r="I82" s="388">
        <f>IF(H82,Wh_hp,'2023'!Maxi_hp)</f>
        <v>44.80891493400317</v>
      </c>
      <c r="J82" s="85">
        <f>IF(H82,An,'2023'!An_max)</f>
        <v>2021</v>
      </c>
      <c r="K82" s="197">
        <f t="shared" si="27"/>
        <v>45359</v>
      </c>
      <c r="L82" s="147">
        <f>IF(t&lt;Tvie,1-EXP((T0-t)*PertePVj)+'2023'!Pspv,1-EXP((T0-t)*PertePVj)+Pspv)</f>
        <v>3.5462701624352722E-2</v>
      </c>
      <c r="M82" s="832"/>
      <c r="N82" s="832"/>
      <c r="O82" s="48">
        <f>IF(t&lt;Tnet,'2023'!Resal+('2023'!Salim-'2023'!Resal)*(1-EXP(('2023'!Tnet-t)/('2023'!Tau_j))),Resal+(Salim-Resal)*(1-EXP((Tnet-t)/(Tau_j))))*Salcycl</f>
        <v>3.4593318469604652E-2</v>
      </c>
      <c r="P82" s="169">
        <f>(INDEX(Models!$BJ82:$BT82,,T82)*(1-R82)+INDEX(Models!$BJ82:$BT82,,T82+1)*R82-ERP_i)*Q82*Ramure*Pc/MaxiM</f>
        <v>4.7389618668964607E-3</v>
      </c>
      <c r="Q82" s="304">
        <f t="shared" si="28"/>
        <v>0.7</v>
      </c>
      <c r="R82" s="177">
        <f t="shared" si="29"/>
        <v>0.74262928274651041</v>
      </c>
      <c r="S82" s="799">
        <f t="shared" si="30"/>
        <v>0</v>
      </c>
      <c r="T82" s="176">
        <f t="shared" si="31"/>
        <v>6</v>
      </c>
      <c r="U82" s="250">
        <f t="shared" si="32"/>
        <v>0.74262928274651041</v>
      </c>
      <c r="V82" s="382">
        <f t="shared" si="33"/>
        <v>44.950942771443408</v>
      </c>
      <c r="W82" s="400">
        <f t="shared" si="34"/>
        <v>32.263590900296073</v>
      </c>
      <c r="X82" s="157">
        <f t="shared" si="35"/>
        <v>45359</v>
      </c>
      <c r="Y82" s="383">
        <f t="shared" si="36"/>
        <v>31.847565163218665</v>
      </c>
      <c r="Z82" s="383">
        <f t="shared" si="37"/>
        <v>33.018490022990648</v>
      </c>
      <c r="AA82" s="384">
        <f t="shared" si="38"/>
        <v>34.643559951103704</v>
      </c>
      <c r="AB82" s="197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4.6908283398319726E-2</v>
      </c>
      <c r="AD82" s="230">
        <f>(INDEX(Models!$BJ82:$BT82,,AH82)*(1-AF82)+INDEX(Models!$BJ82:$BT82,,AH82+1)*AF82-ERP_i)*AE82*Ramure*Pc/MaxiM</f>
        <v>4.9731059050800684E-3</v>
      </c>
      <c r="AE82" s="304">
        <f t="shared" si="40"/>
        <v>0.7</v>
      </c>
      <c r="AF82" s="177">
        <f t="shared" si="41"/>
        <v>0.80696150500634256</v>
      </c>
      <c r="AG82" s="799">
        <f t="shared" si="49"/>
        <v>0</v>
      </c>
      <c r="AH82" s="176">
        <f t="shared" si="42"/>
        <v>6</v>
      </c>
      <c r="AI82" s="224">
        <f t="shared" si="43"/>
        <v>0.80696150500634256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45360</v>
      </c>
      <c r="B83" s="409">
        <f>'2023'!Wh/'2023'!Env_an*'2024'!Env_an</f>
        <v>25.952832962027657</v>
      </c>
      <c r="C83" s="829"/>
      <c r="D83" s="391">
        <f t="shared" si="25"/>
        <v>26.907544576441246</v>
      </c>
      <c r="E83" s="383">
        <f t="shared" si="47"/>
        <v>27.873842728757793</v>
      </c>
      <c r="F83" s="383">
        <f t="shared" si="26"/>
        <v>27.922539843586058</v>
      </c>
      <c r="G83" s="110">
        <f t="shared" si="48"/>
        <v>0.5715813114863264</v>
      </c>
      <c r="H83" s="412" t="b">
        <f>Wh_hp&gt;='2023'!Maxi_hp</f>
        <v>0</v>
      </c>
      <c r="I83" s="388">
        <f>IF(H83,Wh_hp,'2023'!Maxi_hp)</f>
        <v>45.219822593394703</v>
      </c>
      <c r="J83" s="85">
        <f>IF(H83,An,'2023'!An_max)</f>
        <v>2021</v>
      </c>
      <c r="K83" s="197">
        <f t="shared" si="27"/>
        <v>45360</v>
      </c>
      <c r="L83" s="147">
        <f>IF(t&lt;Tvie,1-EXP((T0-t)*PertePVj)+'2023'!Pspv,1-EXP((T0-t)*PertePVj)+Pspv)</f>
        <v>3.5481186761629702E-2</v>
      </c>
      <c r="M83" s="832"/>
      <c r="N83" s="832"/>
      <c r="O83" s="48">
        <f>IF(t&lt;Tnet,'2023'!Resal+('2023'!Salim-'2023'!Resal)*(1-EXP(('2023'!Tnet-t)/('2023'!Tau_j))),Resal+(Salim-Resal)*(1-EXP((Tnet-t)/(Tau_j))))*Salcycl</f>
        <v>3.4666843811944299E-2</v>
      </c>
      <c r="P83" s="169">
        <f>(INDEX(Models!$BJ83:$BT83,,T83)*(1-R83)+INDEX(Models!$BJ83:$BT83,,T83+1)*R83-ERP_i)*Q83*Ramure*Pc/MaxiM</f>
        <v>4.4694218314849082E-3</v>
      </c>
      <c r="Q83" s="304">
        <f t="shared" si="28"/>
        <v>0.7</v>
      </c>
      <c r="R83" s="177">
        <f t="shared" si="29"/>
        <v>0.74298127097957989</v>
      </c>
      <c r="S83" s="799">
        <f t="shared" si="30"/>
        <v>0</v>
      </c>
      <c r="T83" s="176">
        <f t="shared" si="31"/>
        <v>6</v>
      </c>
      <c r="U83" s="250">
        <f t="shared" si="32"/>
        <v>0.74298127097957989</v>
      </c>
      <c r="V83" s="382">
        <f t="shared" si="33"/>
        <v>45.281356549256877</v>
      </c>
      <c r="W83" s="400">
        <f t="shared" si="34"/>
        <v>25.952832962027657</v>
      </c>
      <c r="X83" s="157">
        <f t="shared" si="35"/>
        <v>45360</v>
      </c>
      <c r="Y83" s="383">
        <f t="shared" si="36"/>
        <v>25.619976606446883</v>
      </c>
      <c r="Z83" s="383">
        <f t="shared" si="37"/>
        <v>26.562443629718175</v>
      </c>
      <c r="AA83" s="384">
        <f t="shared" si="38"/>
        <v>27.871500579168977</v>
      </c>
      <c r="AB83" s="197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4.6967580584060406E-2</v>
      </c>
      <c r="AD83" s="230">
        <f>(INDEX(Models!$BJ83:$BT83,,AH83)*(1-AF83)+INDEX(Models!$BJ83:$BT83,,AH83+1)*AF83-ERP_i)*AE83*Ramure*Pc/MaxiM</f>
        <v>4.6843843511695715E-3</v>
      </c>
      <c r="AE83" s="304">
        <f t="shared" si="40"/>
        <v>0.7</v>
      </c>
      <c r="AF83" s="177">
        <f t="shared" si="41"/>
        <v>0.80731349323941204</v>
      </c>
      <c r="AG83" s="799">
        <f t="shared" si="49"/>
        <v>0</v>
      </c>
      <c r="AH83" s="176">
        <f t="shared" si="42"/>
        <v>6</v>
      </c>
      <c r="AI83" s="224">
        <f t="shared" si="43"/>
        <v>0.80731349323941204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45361</v>
      </c>
      <c r="B84" s="409">
        <f>'2023'!Wh/'2023'!Env_an*'2024'!Env_an</f>
        <v>18.160131571372119</v>
      </c>
      <c r="C84" s="829"/>
      <c r="D84" s="391">
        <f t="shared" si="25"/>
        <v>18.828538503927206</v>
      </c>
      <c r="E84" s="383">
        <f t="shared" si="47"/>
        <v>19.506190280422928</v>
      </c>
      <c r="F84" s="383">
        <f t="shared" si="26"/>
        <v>19.517869773361895</v>
      </c>
      <c r="G84" s="110">
        <f t="shared" si="48"/>
        <v>0.39671553099603973</v>
      </c>
      <c r="H84" s="412" t="b">
        <f>Wh_hp&gt;='2023'!Maxi_hp</f>
        <v>0</v>
      </c>
      <c r="I84" s="388">
        <f>IF(H84,Wh_hp,'2023'!Maxi_hp)</f>
        <v>39.829659361090641</v>
      </c>
      <c r="J84" s="85">
        <f>IF(H84,An,'2023'!An_max)</f>
        <v>2021</v>
      </c>
      <c r="K84" s="197">
        <f t="shared" si="27"/>
        <v>45361</v>
      </c>
      <c r="L84" s="147">
        <f>IF(t&lt;Tvie,1-EXP((T0-t)*PertePVj)+'2023'!Pspv,1-EXP((T0-t)*PertePVj)+Pspv)</f>
        <v>3.5499671544643396E-2</v>
      </c>
      <c r="M84" s="832"/>
      <c r="N84" s="832"/>
      <c r="O84" s="48">
        <f>IF(t&lt;Tnet,'2023'!Resal+('2023'!Salim-'2023'!Resal)*(1-EXP(('2023'!Tnet-t)/('2023'!Tau_j))),Resal+(Salim-Resal)*(1-EXP((Tnet-t)/(Tau_j))))*Salcycl</f>
        <v>3.4740344821501956E-2</v>
      </c>
      <c r="P84" s="169">
        <f>(INDEX(Models!$BJ84:$BT84,,T84)*(1-R84)+INDEX(Models!$BJ84:$BT84,,T84+1)*R84-ERP_i)*Q84*Ramure*Pc/MaxiM</f>
        <v>4.2665800429172868E-3</v>
      </c>
      <c r="Q84" s="304">
        <f t="shared" si="28"/>
        <v>0.7</v>
      </c>
      <c r="R84" s="177">
        <f t="shared" si="29"/>
        <v>0.74334735418571174</v>
      </c>
      <c r="S84" s="799">
        <f t="shared" si="30"/>
        <v>0</v>
      </c>
      <c r="T84" s="176">
        <f t="shared" si="31"/>
        <v>6</v>
      </c>
      <c r="U84" s="250">
        <f t="shared" si="32"/>
        <v>0.74334735418571174</v>
      </c>
      <c r="V84" s="382">
        <f t="shared" si="33"/>
        <v>45.608189342536427</v>
      </c>
      <c r="W84" s="400">
        <f t="shared" si="34"/>
        <v>18.160131571372119</v>
      </c>
      <c r="X84" s="157">
        <f t="shared" si="35"/>
        <v>45361</v>
      </c>
      <c r="Y84" s="383">
        <f t="shared" si="36"/>
        <v>17.928475123678954</v>
      </c>
      <c r="Z84" s="383">
        <f t="shared" si="37"/>
        <v>18.588355643581103</v>
      </c>
      <c r="AA84" s="384">
        <f t="shared" si="38"/>
        <v>19.505645500311445</v>
      </c>
      <c r="AB84" s="197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4.7026890584866518E-2</v>
      </c>
      <c r="AD84" s="230">
        <f>(INDEX(Models!$BJ84:$BT84,,AH84)*(1-AF84)+INDEX(Models!$BJ84:$BT84,,AH84+1)*AF84-ERP_i)*AE84*Ramure*Pc/MaxiM</f>
        <v>4.4655910756382722E-3</v>
      </c>
      <c r="AE84" s="304">
        <f t="shared" si="40"/>
        <v>0.7</v>
      </c>
      <c r="AF84" s="177">
        <f t="shared" si="41"/>
        <v>0.80767957644554389</v>
      </c>
      <c r="AG84" s="799">
        <f t="shared" si="49"/>
        <v>0</v>
      </c>
      <c r="AH84" s="176">
        <f t="shared" si="42"/>
        <v>6</v>
      </c>
      <c r="AI84" s="224">
        <f t="shared" si="43"/>
        <v>0.80767957644554389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45362</v>
      </c>
      <c r="B85" s="409">
        <f>'2023'!Wh/'2023'!Env_an*'2024'!Env_an</f>
        <v>13.247945332675247</v>
      </c>
      <c r="C85" s="829"/>
      <c r="D85" s="391">
        <f t="shared" si="25"/>
        <v>13.735816194700581</v>
      </c>
      <c r="E85" s="383">
        <f t="shared" si="47"/>
        <v>14.231260918136007</v>
      </c>
      <c r="F85" s="383">
        <f t="shared" si="26"/>
        <v>14.231260918136007</v>
      </c>
      <c r="G85" s="110">
        <f t="shared" si="48"/>
        <v>0.28724090586096751</v>
      </c>
      <c r="H85" s="412" t="b">
        <f>Wh_hp&gt;='2023'!Maxi_hp</f>
        <v>0</v>
      </c>
      <c r="I85" s="388">
        <f>IF(H85,Wh_hp,'2023'!Maxi_hp)</f>
        <v>46.64301638858592</v>
      </c>
      <c r="J85" s="85">
        <f>IF(H85,An,'2023'!An_max)</f>
        <v>2018</v>
      </c>
      <c r="K85" s="197">
        <f t="shared" si="27"/>
        <v>45362</v>
      </c>
      <c r="L85" s="147">
        <f>IF(t&lt;Tvie,1-EXP((T0-t)*PertePVj)+'2023'!Pspv,1-EXP((T0-t)*PertePVj)+Pspv)</f>
        <v>3.5518155973400356E-2</v>
      </c>
      <c r="M85" s="832"/>
      <c r="N85" s="832"/>
      <c r="O85" s="48">
        <f>IF(t&lt;Tnet,'2023'!Resal+('2023'!Salim-'2023'!Resal)*(1-EXP(('2023'!Tnet-t)/('2023'!Tau_j))),Resal+(Salim-Resal)*(1-EXP((Tnet-t)/(Tau_j))))*Salcycl</f>
        <v>3.4813831766940778E-2</v>
      </c>
      <c r="P85" s="169">
        <f>(INDEX(Models!$BJ85:$BT85,,T85)*(1-R85)+INDEX(Models!$BJ85:$BT85,,T85+1)*R85-ERP_i)*Q85*Ramure*Pc/MaxiM</f>
        <v>4.1291322694108961E-3</v>
      </c>
      <c r="Q85" s="304">
        <f t="shared" si="28"/>
        <v>0.7</v>
      </c>
      <c r="R85" s="177">
        <f t="shared" si="29"/>
        <v>0.74372806818519599</v>
      </c>
      <c r="S85" s="799">
        <f t="shared" si="30"/>
        <v>0</v>
      </c>
      <c r="T85" s="176">
        <f t="shared" si="31"/>
        <v>6</v>
      </c>
      <c r="U85" s="250">
        <f t="shared" si="32"/>
        <v>0.74372806818519599</v>
      </c>
      <c r="V85" s="382">
        <f t="shared" si="33"/>
        <v>45.930933042261742</v>
      </c>
      <c r="W85" s="400">
        <f t="shared" si="34"/>
        <v>13.247945332675247</v>
      </c>
      <c r="X85" s="157">
        <f t="shared" si="35"/>
        <v>45362</v>
      </c>
      <c r="Y85" s="383">
        <f t="shared" si="36"/>
        <v>13.079496978410136</v>
      </c>
      <c r="Z85" s="383">
        <f t="shared" si="37"/>
        <v>13.56116453556529</v>
      </c>
      <c r="AA85" s="384">
        <f t="shared" si="38"/>
        <v>14.231260918136007</v>
      </c>
      <c r="AB85" s="197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4.7086227033949039E-2</v>
      </c>
      <c r="AD85" s="230">
        <f>(INDEX(Models!$BJ85:$BT85,,AH85)*(1-AF85)+INDEX(Models!$BJ85:$BT85,,AH85+1)*AF85-ERP_i)*AE85*Ramure*Pc/MaxiM</f>
        <v>4.3153560898155268E-3</v>
      </c>
      <c r="AE85" s="304">
        <f t="shared" si="40"/>
        <v>0.7</v>
      </c>
      <c r="AF85" s="177">
        <f t="shared" si="41"/>
        <v>0.80806029044502814</v>
      </c>
      <c r="AG85" s="799">
        <f t="shared" si="49"/>
        <v>0</v>
      </c>
      <c r="AH85" s="176">
        <f t="shared" si="42"/>
        <v>6</v>
      </c>
      <c r="AI85" s="224">
        <f t="shared" si="43"/>
        <v>0.80806029044502814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45363</v>
      </c>
      <c r="B86" s="409">
        <f>'2023'!Wh/'2023'!Env_an*'2024'!Env_an</f>
        <v>9.8402295804334887</v>
      </c>
      <c r="C86" s="829"/>
      <c r="D86" s="391">
        <f t="shared" si="25"/>
        <v>10.2028029151074</v>
      </c>
      <c r="E86" s="383">
        <f t="shared" si="47"/>
        <v>10.571618298180992</v>
      </c>
      <c r="F86" s="383">
        <f t="shared" si="26"/>
        <v>10.571618298180992</v>
      </c>
      <c r="G86" s="110">
        <f t="shared" si="48"/>
        <v>0.21190301553430205</v>
      </c>
      <c r="H86" s="412" t="b">
        <f>Wh_hp&gt;='2023'!Maxi_hp</f>
        <v>0</v>
      </c>
      <c r="I86" s="388">
        <f>IF(H86,Wh_hp,'2023'!Maxi_hp)</f>
        <v>40.981762819051319</v>
      </c>
      <c r="J86" s="85">
        <f>IF(H86,An,'2023'!An_max)</f>
        <v>2021</v>
      </c>
      <c r="K86" s="197">
        <f t="shared" si="27"/>
        <v>45363</v>
      </c>
      <c r="L86" s="147">
        <f>IF(t&lt;Tvie,1-EXP((T0-t)*PertePVj)+'2023'!Pspv,1-EXP((T0-t)*PertePVj)+Pspv)</f>
        <v>3.5536640047907353E-2</v>
      </c>
      <c r="M86" s="832"/>
      <c r="N86" s="832"/>
      <c r="O86" s="48">
        <f>IF(t&lt;Tnet,'2023'!Resal+('2023'!Salim-'2023'!Resal)*(1-EXP(('2023'!Tnet-t)/('2023'!Tau_j))),Resal+(Salim-Resal)*(1-EXP((Tnet-t)/(Tau_j))))*Salcycl</f>
        <v>3.488731551507606E-2</v>
      </c>
      <c r="P86" s="169">
        <f>(INDEX(Models!$BJ86:$BT86,,T86)*(1-R86)+INDEX(Models!$BJ86:$BT86,,T86+1)*R86-ERP_i)*Q86*Ramure*Pc/MaxiM</f>
        <v>4.0545448565000993E-3</v>
      </c>
      <c r="Q86" s="304">
        <f t="shared" si="28"/>
        <v>0.7</v>
      </c>
      <c r="R86" s="177">
        <f t="shared" si="29"/>
        <v>0.74412396678267256</v>
      </c>
      <c r="S86" s="799">
        <f t="shared" si="30"/>
        <v>0</v>
      </c>
      <c r="T86" s="176">
        <f t="shared" si="31"/>
        <v>6</v>
      </c>
      <c r="U86" s="250">
        <f t="shared" si="32"/>
        <v>0.74412396678267256</v>
      </c>
      <c r="V86" s="382">
        <f t="shared" si="33"/>
        <v>46.249138566954088</v>
      </c>
      <c r="W86" s="400">
        <f t="shared" si="34"/>
        <v>9.8402295804334887</v>
      </c>
      <c r="X86" s="157">
        <f t="shared" si="35"/>
        <v>45363</v>
      </c>
      <c r="Y86" s="383">
        <f t="shared" si="36"/>
        <v>9.7152448215286533</v>
      </c>
      <c r="Z86" s="383">
        <f t="shared" si="37"/>
        <v>10.0732129647841</v>
      </c>
      <c r="AA86" s="384">
        <f t="shared" si="38"/>
        <v>10.571618298180992</v>
      </c>
      <c r="AB86" s="197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4.7145604328397851E-2</v>
      </c>
      <c r="AD86" s="230">
        <f>(INDEX(Models!$BJ86:$BT86,,AH86)*(1-AF86)+INDEX(Models!$BJ86:$BT86,,AH86+1)*AF86-ERP_i)*AE86*Ramure*Pc/MaxiM</f>
        <v>4.2313489201090881E-3</v>
      </c>
      <c r="AE86" s="304">
        <f t="shared" si="40"/>
        <v>0.7</v>
      </c>
      <c r="AF86" s="177">
        <f t="shared" si="41"/>
        <v>0.80845618904250471</v>
      </c>
      <c r="AG86" s="799">
        <f t="shared" si="49"/>
        <v>0</v>
      </c>
      <c r="AH86" s="176">
        <f t="shared" si="42"/>
        <v>6</v>
      </c>
      <c r="AI86" s="224">
        <f t="shared" si="43"/>
        <v>0.80845618904250471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45364</v>
      </c>
      <c r="B87" s="409">
        <f>'2023'!Wh/'2023'!Env_an*'2024'!Env_an</f>
        <v>13.335821398910999</v>
      </c>
      <c r="C87" s="829"/>
      <c r="D87" s="391">
        <f t="shared" si="25"/>
        <v>13.827458393490806</v>
      </c>
      <c r="E87" s="383">
        <f t="shared" si="47"/>
        <v>14.328390495389051</v>
      </c>
      <c r="F87" s="383">
        <f t="shared" si="26"/>
        <v>14.328390495389051</v>
      </c>
      <c r="G87" s="110">
        <f t="shared" si="48"/>
        <v>0.28525059107909106</v>
      </c>
      <c r="H87" s="412" t="b">
        <f>Wh_hp&gt;='2023'!Maxi_hp</f>
        <v>0</v>
      </c>
      <c r="I87" s="388">
        <f>IF(H87,Wh_hp,'2023'!Maxi_hp)</f>
        <v>38.557146236700596</v>
      </c>
      <c r="J87" s="85">
        <f>IF(H87,An,'2023'!An_max)</f>
        <v>2020</v>
      </c>
      <c r="K87" s="197">
        <f t="shared" si="27"/>
        <v>45364</v>
      </c>
      <c r="L87" s="147">
        <f>IF(t&lt;Tvie,1-EXP((T0-t)*PertePVj)+'2023'!Pspv,1-EXP((T0-t)*PertePVj)+Pspv)</f>
        <v>3.5555123768171493E-2</v>
      </c>
      <c r="M87" s="832"/>
      <c r="N87" s="832"/>
      <c r="O87" s="48">
        <f>IF(t&lt;Tnet,'2023'!Resal+('2023'!Salim-'2023'!Resal)*(1-EXP(('2023'!Tnet-t)/('2023'!Tau_j))),Resal+(Salim-Resal)*(1-EXP((Tnet-t)/(Tau_j))))*Salcycl</f>
        <v>3.4960807500287558E-2</v>
      </c>
      <c r="P87" s="169">
        <f>(INDEX(Models!$BJ87:$BT87,,T87)*(1-R87)+INDEX(Models!$BJ87:$BT87,,T87+1)*R87-ERP_i)*Q87*Ramure*Pc/MaxiM</f>
        <v>4.0055932290125771E-3</v>
      </c>
      <c r="Q87" s="304">
        <f t="shared" si="28"/>
        <v>0.7</v>
      </c>
      <c r="R87" s="177">
        <f t="shared" si="29"/>
        <v>0.74453562216910263</v>
      </c>
      <c r="S87" s="799">
        <f t="shared" si="30"/>
        <v>0</v>
      </c>
      <c r="T87" s="176">
        <f t="shared" si="31"/>
        <v>6</v>
      </c>
      <c r="U87" s="250">
        <f t="shared" si="32"/>
        <v>0.74453562216910263</v>
      </c>
      <c r="V87" s="382">
        <f t="shared" si="33"/>
        <v>46.563982471571478</v>
      </c>
      <c r="W87" s="400">
        <f t="shared" si="34"/>
        <v>13.335821398910999</v>
      </c>
      <c r="X87" s="157">
        <f t="shared" si="35"/>
        <v>45364</v>
      </c>
      <c r="Y87" s="383">
        <f t="shared" si="36"/>
        <v>13.16661908376485</v>
      </c>
      <c r="Z87" s="383">
        <f t="shared" si="37"/>
        <v>13.652018283520771</v>
      </c>
      <c r="AA87" s="384">
        <f t="shared" si="38"/>
        <v>14.328390495389051</v>
      </c>
      <c r="AB87" s="197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4.720503758506165E-2</v>
      </c>
      <c r="AD87" s="230">
        <f>(INDEX(Models!$BJ87:$BT87,,AH87)*(1-AF87)+INDEX(Models!$BJ87:$BT87,,AH87+1)*AF87-ERP_i)*AE87*Ramure*Pc/MaxiM</f>
        <v>4.1748469721033191E-3</v>
      </c>
      <c r="AE87" s="304">
        <f t="shared" si="40"/>
        <v>0.7</v>
      </c>
      <c r="AF87" s="177">
        <f t="shared" si="41"/>
        <v>0.80886784442893478</v>
      </c>
      <c r="AG87" s="799">
        <f t="shared" si="49"/>
        <v>0</v>
      </c>
      <c r="AH87" s="176">
        <f t="shared" si="42"/>
        <v>6</v>
      </c>
      <c r="AI87" s="224">
        <f t="shared" si="43"/>
        <v>0.80886784442893478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45365</v>
      </c>
      <c r="B88" s="409">
        <f>'2023'!Wh/'2023'!Env_an*'2024'!Env_an</f>
        <v>16.29653246336342</v>
      </c>
      <c r="C88" s="829"/>
      <c r="D88" s="391">
        <f t="shared" si="25"/>
        <v>16.897642561334454</v>
      </c>
      <c r="E88" s="383">
        <f t="shared" si="47"/>
        <v>17.511133200022627</v>
      </c>
      <c r="F88" s="383">
        <f t="shared" si="26"/>
        <v>17.515881831260469</v>
      </c>
      <c r="G88" s="110">
        <f t="shared" si="48"/>
        <v>0.34636925333681395</v>
      </c>
      <c r="H88" s="412" t="b">
        <f>Wh_hp&gt;='2023'!Maxi_hp</f>
        <v>0</v>
      </c>
      <c r="I88" s="388">
        <f>IF(H88,Wh_hp,'2023'!Maxi_hp)</f>
        <v>34.117673354504483</v>
      </c>
      <c r="J88" s="85">
        <f>IF(H88,An,'2023'!An_max)</f>
        <v>2020</v>
      </c>
      <c r="K88" s="197">
        <f t="shared" si="27"/>
        <v>45365</v>
      </c>
      <c r="L88" s="147">
        <f>IF(t&lt;Tvie,1-EXP((T0-t)*PertePVj)+'2023'!Pspv,1-EXP((T0-t)*PertePVj)+Pspv)</f>
        <v>3.5573607134199214E-2</v>
      </c>
      <c r="M88" s="832"/>
      <c r="N88" s="832"/>
      <c r="O88" s="48">
        <f>IF(t&lt;Tnet,'2023'!Resal+('2023'!Salim-'2023'!Resal)*(1-EXP(('2023'!Tnet-t)/('2023'!Tau_j))),Resal+(Salim-Resal)*(1-EXP((Tnet-t)/(Tau_j))))*Salcycl</f>
        <v>3.5034319691393902E-2</v>
      </c>
      <c r="P88" s="169">
        <f>(INDEX(Models!$BJ88:$BT88,,T88)*(1-R88)+INDEX(Models!$BJ88:$BT88,,T88+1)*R88-ERP_i)*Q88*Ramure*Pc/MaxiM</f>
        <v>3.9818363006257967E-3</v>
      </c>
      <c r="Q88" s="304">
        <f t="shared" si="28"/>
        <v>0.7</v>
      </c>
      <c r="R88" s="177">
        <f t="shared" si="29"/>
        <v>0.74496362531440796</v>
      </c>
      <c r="S88" s="799">
        <f t="shared" si="30"/>
        <v>0</v>
      </c>
      <c r="T88" s="176">
        <f t="shared" si="31"/>
        <v>6</v>
      </c>
      <c r="U88" s="250">
        <f t="shared" si="32"/>
        <v>0.74496362531440796</v>
      </c>
      <c r="V88" s="382">
        <f t="shared" si="33"/>
        <v>46.874957416358797</v>
      </c>
      <c r="W88" s="400">
        <f t="shared" si="34"/>
        <v>16.29653246336342</v>
      </c>
      <c r="X88" s="157">
        <f t="shared" si="35"/>
        <v>45365</v>
      </c>
      <c r="Y88" s="383">
        <f t="shared" si="36"/>
        <v>16.089806823769027</v>
      </c>
      <c r="Z88" s="383">
        <f t="shared" si="37"/>
        <v>16.683291687982571</v>
      </c>
      <c r="AA88" s="384">
        <f t="shared" si="38"/>
        <v>17.510938171014374</v>
      </c>
      <c r="AB88" s="197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4.7264542593257318E-2</v>
      </c>
      <c r="AD88" s="230">
        <f>(INDEX(Models!$BJ88:$BT88,,AH88)*(1-AF88)+INDEX(Models!$BJ88:$BT88,,AH88+1)*AF88-ERP_i)*AE88*Ramure*Pc/MaxiM</f>
        <v>4.1453726010542381E-3</v>
      </c>
      <c r="AE88" s="304">
        <f t="shared" si="40"/>
        <v>0.7</v>
      </c>
      <c r="AF88" s="177">
        <f t="shared" si="41"/>
        <v>0.80929584757424011</v>
      </c>
      <c r="AG88" s="799">
        <f t="shared" si="49"/>
        <v>0</v>
      </c>
      <c r="AH88" s="176">
        <f t="shared" si="42"/>
        <v>6</v>
      </c>
      <c r="AI88" s="224">
        <f t="shared" si="43"/>
        <v>0.80929584757424011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45366</v>
      </c>
      <c r="B89" s="409">
        <f>'2023'!Wh/'2023'!Env_an*'2024'!Env_an</f>
        <v>11.879419229666537</v>
      </c>
      <c r="C89" s="829"/>
      <c r="D89" s="391">
        <f t="shared" si="25"/>
        <v>12.317836786992871</v>
      </c>
      <c r="E89" s="383">
        <f t="shared" si="47"/>
        <v>12.766024651376044</v>
      </c>
      <c r="F89" s="383">
        <f t="shared" si="26"/>
        <v>12.766024651376044</v>
      </c>
      <c r="G89" s="110">
        <f t="shared" si="48"/>
        <v>0.25077818989616779</v>
      </c>
      <c r="H89" s="412" t="b">
        <f>Wh_hp&gt;='2023'!Maxi_hp</f>
        <v>0</v>
      </c>
      <c r="I89" s="388">
        <f>IF(H89,Wh_hp,'2023'!Maxi_hp)</f>
        <v>53.119225306767447</v>
      </c>
      <c r="J89" s="85">
        <f>IF(H89,An,'2023'!An_max)</f>
        <v>2020</v>
      </c>
      <c r="K89" s="197">
        <f t="shared" si="27"/>
        <v>45366</v>
      </c>
      <c r="L89" s="147">
        <f>IF(t&lt;Tvie,1-EXP((T0-t)*PertePVj)+'2023'!Pspv,1-EXP((T0-t)*PertePVj)+Pspv)</f>
        <v>3.5592090145997402E-2</v>
      </c>
      <c r="M89" s="832"/>
      <c r="N89" s="832"/>
      <c r="O89" s="48">
        <f>IF(t&lt;Tnet,'2023'!Resal+('2023'!Salim-'2023'!Resal)*(1-EXP(('2023'!Tnet-t)/('2023'!Tau_j))),Resal+(Salim-Resal)*(1-EXP((Tnet-t)/(Tau_j))))*Salcycl</f>
        <v>3.510786455632163E-2</v>
      </c>
      <c r="P89" s="169">
        <f>(INDEX(Models!$BJ89:$BT89,,T89)*(1-R89)+INDEX(Models!$BJ89:$BT89,,T89+1)*R89-ERP_i)*Q89*Ramure*Pc/MaxiM</f>
        <v>3.9828558630002073E-3</v>
      </c>
      <c r="Q89" s="304">
        <f t="shared" si="28"/>
        <v>0.7</v>
      </c>
      <c r="R89" s="177">
        <f t="shared" si="29"/>
        <v>0.7454085863486255</v>
      </c>
      <c r="S89" s="799">
        <f t="shared" si="30"/>
        <v>0</v>
      </c>
      <c r="T89" s="176">
        <f t="shared" si="31"/>
        <v>6</v>
      </c>
      <c r="U89" s="250">
        <f t="shared" si="32"/>
        <v>0.7454085863486255</v>
      </c>
      <c r="V89" s="382">
        <f t="shared" si="33"/>
        <v>47.181556019834048</v>
      </c>
      <c r="W89" s="400">
        <f t="shared" si="34"/>
        <v>11.879419229666537</v>
      </c>
      <c r="X89" s="157">
        <f t="shared" si="35"/>
        <v>45366</v>
      </c>
      <c r="Y89" s="383">
        <f t="shared" si="36"/>
        <v>11.729016711314827</v>
      </c>
      <c r="Z89" s="383">
        <f t="shared" si="37"/>
        <v>12.161883567597895</v>
      </c>
      <c r="AA89" s="384">
        <f t="shared" si="38"/>
        <v>12.766024651376044</v>
      </c>
      <c r="AB89" s="197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4.7324135764772228E-2</v>
      </c>
      <c r="AD89" s="230">
        <f>(INDEX(Models!$BJ89:$BT89,,AH89)*(1-AF89)+INDEX(Models!$BJ89:$BT89,,AH89+1)*AF89-ERP_i)*AE89*Ramure*Pc/MaxiM</f>
        <v>4.1424724403550462E-3</v>
      </c>
      <c r="AE89" s="304">
        <f t="shared" si="40"/>
        <v>0.7</v>
      </c>
      <c r="AF89" s="177">
        <f t="shared" si="41"/>
        <v>0.80974080860845765</v>
      </c>
      <c r="AG89" s="799">
        <f t="shared" si="49"/>
        <v>0</v>
      </c>
      <c r="AH89" s="176">
        <f t="shared" si="42"/>
        <v>6</v>
      </c>
      <c r="AI89" s="224">
        <f t="shared" si="43"/>
        <v>0.80974080860845765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45367</v>
      </c>
      <c r="B90" s="409">
        <f>'2023'!Wh/'2023'!Env_an*'2024'!Env_an</f>
        <v>10.224462721851889</v>
      </c>
      <c r="C90" s="829"/>
      <c r="D90" s="391">
        <f t="shared" si="25"/>
        <v>10.60200623681181</v>
      </c>
      <c r="E90" s="383">
        <f t="shared" si="47"/>
        <v>10.988601216289311</v>
      </c>
      <c r="F90" s="383">
        <f t="shared" si="26"/>
        <v>10.988601216289311</v>
      </c>
      <c r="G90" s="110">
        <f t="shared" si="48"/>
        <v>0.21446459459738387</v>
      </c>
      <c r="H90" s="412" t="b">
        <f>Wh_hp&gt;='2023'!Maxi_hp</f>
        <v>0</v>
      </c>
      <c r="I90" s="388">
        <f>IF(H90,Wh_hp,'2023'!Maxi_hp)</f>
        <v>33.792366122986927</v>
      </c>
      <c r="J90" s="85">
        <f>IF(H90,An,'2023'!An_max)</f>
        <v>2021</v>
      </c>
      <c r="K90" s="197">
        <f t="shared" si="27"/>
        <v>45367</v>
      </c>
      <c r="L90" s="147">
        <f>IF(t&lt;Tvie,1-EXP((T0-t)*PertePVj)+'2023'!Pspv,1-EXP((T0-t)*PertePVj)+Pspv)</f>
        <v>3.5610572803572937E-2</v>
      </c>
      <c r="M90" s="832"/>
      <c r="N90" s="832"/>
      <c r="O90" s="48">
        <f>IF(t&lt;Tnet,'2023'!Resal+('2023'!Salim-'2023'!Resal)*(1-EXP(('2023'!Tnet-t)/('2023'!Tau_j))),Resal+(Salim-Resal)*(1-EXP((Tnet-t)/(Tau_j))))*Salcycl</f>
        <v>3.5181455024905266E-2</v>
      </c>
      <c r="P90" s="169">
        <f>(INDEX(Models!$BJ90:$BT90,,T90)*(1-R90)+INDEX(Models!$BJ90:$BT90,,T90+1)*R90-ERP_i)*Q90*Ramure*Pc/MaxiM</f>
        <v>4.0082586719460168E-3</v>
      </c>
      <c r="Q90" s="304">
        <f t="shared" si="28"/>
        <v>0.7</v>
      </c>
      <c r="R90" s="177">
        <f t="shared" si="29"/>
        <v>0.74587113492923685</v>
      </c>
      <c r="S90" s="799">
        <f t="shared" si="30"/>
        <v>0</v>
      </c>
      <c r="T90" s="176">
        <f t="shared" si="31"/>
        <v>6</v>
      </c>
      <c r="U90" s="250">
        <f t="shared" si="32"/>
        <v>0.74587113492923685</v>
      </c>
      <c r="V90" s="382">
        <f t="shared" si="33"/>
        <v>47.483270838240536</v>
      </c>
      <c r="W90" s="400">
        <f t="shared" si="34"/>
        <v>10.224462721851889</v>
      </c>
      <c r="X90" s="157">
        <f t="shared" si="35"/>
        <v>45367</v>
      </c>
      <c r="Y90" s="383">
        <f t="shared" si="36"/>
        <v>10.095150562137379</v>
      </c>
      <c r="Z90" s="383">
        <f t="shared" si="37"/>
        <v>10.467919159467513</v>
      </c>
      <c r="AA90" s="384">
        <f t="shared" si="38"/>
        <v>10.988601216289311</v>
      </c>
      <c r="AB90" s="197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4.7383834081625185E-2</v>
      </c>
      <c r="AD90" s="230">
        <f>(INDEX(Models!$BJ90:$BT90,,AH90)*(1-AF90)+INDEX(Models!$BJ90:$BT90,,AH90+1)*AF90-ERP_i)*AE90*Ramure*Pc/MaxiM</f>
        <v>4.1657196322430973E-3</v>
      </c>
      <c r="AE90" s="304">
        <f t="shared" si="40"/>
        <v>0.7</v>
      </c>
      <c r="AF90" s="177">
        <f t="shared" si="41"/>
        <v>0.810203357189069</v>
      </c>
      <c r="AG90" s="799">
        <f t="shared" si="49"/>
        <v>0</v>
      </c>
      <c r="AH90" s="176">
        <f t="shared" si="42"/>
        <v>6</v>
      </c>
      <c r="AI90" s="224">
        <f t="shared" si="43"/>
        <v>0.810203357189069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45368</v>
      </c>
      <c r="B91" s="409">
        <f>'2023'!Wh/'2023'!Env_an*'2024'!Env_an</f>
        <v>13.424953964227187</v>
      </c>
      <c r="C91" s="829"/>
      <c r="D91" s="391">
        <f t="shared" si="25"/>
        <v>13.920944046811561</v>
      </c>
      <c r="E91" s="383">
        <f t="shared" si="47"/>
        <v>14.429663334862736</v>
      </c>
      <c r="F91" s="383">
        <f t="shared" si="26"/>
        <v>14.429663334862736</v>
      </c>
      <c r="G91" s="110">
        <f t="shared" si="48"/>
        <v>0.27983661228911799</v>
      </c>
      <c r="H91" s="412" t="b">
        <f>Wh_hp&gt;='2023'!Maxi_hp</f>
        <v>0</v>
      </c>
      <c r="I91" s="388">
        <f>IF(H91,Wh_hp,'2023'!Maxi_hp)</f>
        <v>34.313153622269041</v>
      </c>
      <c r="J91" s="85">
        <f>IF(H91,An,'2023'!An_max)</f>
        <v>2018</v>
      </c>
      <c r="K91" s="197">
        <f t="shared" si="27"/>
        <v>45368</v>
      </c>
      <c r="L91" s="147">
        <f>IF(t&lt;Tvie,1-EXP((T0-t)*PertePVj)+'2023'!Pspv,1-EXP((T0-t)*PertePVj)+Pspv)</f>
        <v>3.5629055106932594E-2</v>
      </c>
      <c r="M91" s="832"/>
      <c r="N91" s="832"/>
      <c r="O91" s="48">
        <f>IF(t&lt;Tnet,'2023'!Resal+('2023'!Salim-'2023'!Resal)*(1-EXP(('2023'!Tnet-t)/('2023'!Tau_j))),Resal+(Salim-Resal)*(1-EXP((Tnet-t)/(Tau_j))))*Salcycl</f>
        <v>3.5255104450156227E-2</v>
      </c>
      <c r="P91" s="169">
        <f>(INDEX(Models!$BJ91:$BT91,,T91)*(1-R91)+INDEX(Models!$BJ91:$BT91,,T91+1)*R91-ERP_i)*Q91*Ramure*Pc/MaxiM</f>
        <v>4.0576784170486477E-3</v>
      </c>
      <c r="Q91" s="304">
        <f t="shared" si="28"/>
        <v>0.7</v>
      </c>
      <c r="R91" s="177">
        <f t="shared" si="29"/>
        <v>0.74635192059213729</v>
      </c>
      <c r="S91" s="799">
        <f t="shared" si="30"/>
        <v>0</v>
      </c>
      <c r="T91" s="176">
        <f t="shared" si="31"/>
        <v>6</v>
      </c>
      <c r="U91" s="250">
        <f t="shared" si="32"/>
        <v>0.74635192059213729</v>
      </c>
      <c r="V91" s="382">
        <f t="shared" si="33"/>
        <v>47.779594345798941</v>
      </c>
      <c r="W91" s="400">
        <f t="shared" si="34"/>
        <v>13.424953964227187</v>
      </c>
      <c r="X91" s="157">
        <f t="shared" si="35"/>
        <v>45368</v>
      </c>
      <c r="Y91" s="383">
        <f t="shared" si="36"/>
        <v>13.255343602626288</v>
      </c>
      <c r="Z91" s="383">
        <f t="shared" si="37"/>
        <v>13.745067365230589</v>
      </c>
      <c r="AA91" s="384">
        <f t="shared" si="38"/>
        <v>14.429663334862736</v>
      </c>
      <c r="AB91" s="197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4.7443655042050205E-2</v>
      </c>
      <c r="AD91" s="230">
        <f>(INDEX(Models!$BJ91:$BT91,,AH91)*(1-AF91)+INDEX(Models!$BJ91:$BT91,,AH91+1)*AF91-ERP_i)*AE91*Ramure*Pc/MaxiM</f>
        <v>4.2147159319830142E-3</v>
      </c>
      <c r="AE91" s="304">
        <f t="shared" si="40"/>
        <v>0.7</v>
      </c>
      <c r="AF91" s="177">
        <f t="shared" si="41"/>
        <v>0.81068414285196944</v>
      </c>
      <c r="AG91" s="799">
        <f t="shared" si="49"/>
        <v>0</v>
      </c>
      <c r="AH91" s="176">
        <f t="shared" si="42"/>
        <v>6</v>
      </c>
      <c r="AI91" s="224">
        <f t="shared" si="43"/>
        <v>0.81068414285196944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45369</v>
      </c>
      <c r="B92" s="409">
        <f>'2023'!Wh/'2023'!Env_an*'2024'!Env_an</f>
        <v>27.973209427064088</v>
      </c>
      <c r="C92" s="829"/>
      <c r="D92" s="391">
        <f t="shared" si="25"/>
        <v>29.007246314971983</v>
      </c>
      <c r="E92" s="383">
        <f t="shared" si="47"/>
        <v>30.069568899610896</v>
      </c>
      <c r="F92" s="383">
        <f t="shared" si="26"/>
        <v>30.119678360644471</v>
      </c>
      <c r="G92" s="110">
        <f t="shared" si="48"/>
        <v>0.58048826214734195</v>
      </c>
      <c r="H92" s="412" t="b">
        <f>Wh_hp&gt;='2023'!Maxi_hp</f>
        <v>0</v>
      </c>
      <c r="I92" s="388">
        <f>IF(H92,Wh_hp,'2023'!Maxi_hp)</f>
        <v>45.384654125633041</v>
      </c>
      <c r="J92" s="85">
        <f>IF(H92,An,'2023'!An_max)</f>
        <v>2020</v>
      </c>
      <c r="K92" s="197">
        <f t="shared" si="27"/>
        <v>45369</v>
      </c>
      <c r="L92" s="147">
        <f>IF(t&lt;Tvie,1-EXP((T0-t)*PertePVj)+'2023'!Pspv,1-EXP((T0-t)*PertePVj)+Pspv)</f>
        <v>3.5647537056083145E-2</v>
      </c>
      <c r="M92" s="832"/>
      <c r="N92" s="832"/>
      <c r="O92" s="48">
        <f>IF(t&lt;Tnet,'2023'!Resal+('2023'!Salim-'2023'!Resal)*(1-EXP(('2023'!Tnet-t)/('2023'!Tau_j))),Resal+(Salim-Resal)*(1-EXP((Tnet-t)/(Tau_j))))*Salcycl</f>
        <v>3.5328826568333707E-2</v>
      </c>
      <c r="P92" s="169">
        <f>(INDEX(Models!$BJ92:$BT92,,T92)*(1-R92)+INDEX(Models!$BJ92:$BT92,,T92+1)*R92-ERP_i)*Q92*Ramure*Pc/MaxiM</f>
        <v>4.1307775901400501E-3</v>
      </c>
      <c r="Q92" s="304">
        <f t="shared" si="28"/>
        <v>0.7</v>
      </c>
      <c r="R92" s="177">
        <f t="shared" si="29"/>
        <v>0.74685161308350245</v>
      </c>
      <c r="S92" s="799">
        <f t="shared" si="30"/>
        <v>0</v>
      </c>
      <c r="T92" s="176">
        <f t="shared" si="31"/>
        <v>6</v>
      </c>
      <c r="U92" s="250">
        <f t="shared" si="32"/>
        <v>0.74685161308350245</v>
      </c>
      <c r="V92" s="382">
        <f t="shared" si="33"/>
        <v>48.070018914438172</v>
      </c>
      <c r="W92" s="400">
        <f t="shared" si="34"/>
        <v>27.973209427064088</v>
      </c>
      <c r="X92" s="157">
        <f t="shared" si="35"/>
        <v>45369</v>
      </c>
      <c r="Y92" s="383">
        <f t="shared" si="36"/>
        <v>27.618404915402426</v>
      </c>
      <c r="Z92" s="383">
        <f t="shared" si="37"/>
        <v>28.639326363195703</v>
      </c>
      <c r="AA92" s="384">
        <f t="shared" si="38"/>
        <v>30.067648405257735</v>
      </c>
      <c r="AB92" s="197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4.7503616605157284E-2</v>
      </c>
      <c r="AD92" s="230">
        <f>(INDEX(Models!$BJ92:$BT92,,AH92)*(1-AF92)+INDEX(Models!$BJ92:$BT92,,AH92+1)*AF92-ERP_i)*AE92*Ramure*Pc/MaxiM</f>
        <v>4.2890937019559577E-3</v>
      </c>
      <c r="AE92" s="304">
        <f t="shared" si="40"/>
        <v>0.7</v>
      </c>
      <c r="AF92" s="177">
        <f t="shared" si="41"/>
        <v>0.8111838353433346</v>
      </c>
      <c r="AG92" s="799">
        <f t="shared" si="49"/>
        <v>0</v>
      </c>
      <c r="AH92" s="176">
        <f t="shared" si="42"/>
        <v>6</v>
      </c>
      <c r="AI92" s="224">
        <f t="shared" si="43"/>
        <v>0.8111838353433346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45370</v>
      </c>
      <c r="B93" s="409">
        <f>'2023'!Wh/'2023'!Env_an*'2024'!Env_an</f>
        <v>32.74783400626746</v>
      </c>
      <c r="C93" s="829"/>
      <c r="D93" s="391">
        <f t="shared" si="25"/>
        <v>33.959016937739563</v>
      </c>
      <c r="E93" s="383">
        <f t="shared" si="47"/>
        <v>35.20538017835932</v>
      </c>
      <c r="F93" s="383">
        <f t="shared" si="26"/>
        <v>35.285753954971064</v>
      </c>
      <c r="G93" s="110">
        <f t="shared" si="48"/>
        <v>0.67588603518051082</v>
      </c>
      <c r="H93" s="412" t="b">
        <f>Wh_hp&gt;='2023'!Maxi_hp</f>
        <v>0</v>
      </c>
      <c r="I93" s="388">
        <f>IF(H93,Wh_hp,'2023'!Maxi_hp)</f>
        <v>51.000305055199313</v>
      </c>
      <c r="J93" s="85">
        <f>IF(H93,An,'2023'!An_max)</f>
        <v>2018</v>
      </c>
      <c r="K93" s="197">
        <f t="shared" si="27"/>
        <v>45370</v>
      </c>
      <c r="L93" s="147">
        <f>IF(t&lt;Tvie,1-EXP((T0-t)*PertePVj)+'2023'!Pspv,1-EXP((T0-t)*PertePVj)+Pspv)</f>
        <v>3.566601865103125E-2</v>
      </c>
      <c r="M93" s="832"/>
      <c r="N93" s="832"/>
      <c r="O93" s="48">
        <f>IF(t&lt;Tnet,'2023'!Resal+('2023'!Salim-'2023'!Resal)*(1-EXP(('2023'!Tnet-t)/('2023'!Tau_j))),Resal+(Salim-Resal)*(1-EXP((Tnet-t)/(Tau_j))))*Salcycl</f>
        <v>3.540263545814213E-2</v>
      </c>
      <c r="P93" s="169">
        <f>(INDEX(Models!$BJ93:$BT93,,T93)*(1-R93)+INDEX(Models!$BJ93:$BT93,,T93+1)*R93-ERP_i)*Q93*Ramure*Pc/MaxiM</f>
        <v>4.2269868918600089E-3</v>
      </c>
      <c r="Q93" s="304">
        <f t="shared" si="28"/>
        <v>0.7</v>
      </c>
      <c r="R93" s="177">
        <f t="shared" si="29"/>
        <v>0.74737090266959971</v>
      </c>
      <c r="S93" s="799">
        <f t="shared" si="30"/>
        <v>0</v>
      </c>
      <c r="T93" s="176">
        <f t="shared" si="31"/>
        <v>6</v>
      </c>
      <c r="U93" s="250">
        <f t="shared" si="32"/>
        <v>0.74737090266959971</v>
      </c>
      <c r="V93" s="382">
        <f t="shared" si="33"/>
        <v>48.357052554708602</v>
      </c>
      <c r="W93" s="400">
        <f t="shared" si="34"/>
        <v>32.74783400626746</v>
      </c>
      <c r="X93" s="157">
        <f t="shared" si="35"/>
        <v>45370</v>
      </c>
      <c r="Y93" s="383">
        <f t="shared" si="36"/>
        <v>32.332151472893727</v>
      </c>
      <c r="Z93" s="383">
        <f t="shared" si="37"/>
        <v>33.527960331404643</v>
      </c>
      <c r="AA93" s="384">
        <f t="shared" si="38"/>
        <v>35.202313938089503</v>
      </c>
      <c r="AB93" s="197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4.7563737134710994E-2</v>
      </c>
      <c r="AD93" s="230">
        <f>(INDEX(Models!$BJ93:$BT93,,AH93)*(1-AF93)+INDEX(Models!$BJ93:$BT93,,AH93+1)*AF93-ERP_i)*AE93*Ramure*Pc/MaxiM</f>
        <v>4.3882454263498051E-3</v>
      </c>
      <c r="AE93" s="304">
        <f t="shared" si="40"/>
        <v>0.7</v>
      </c>
      <c r="AF93" s="177">
        <f t="shared" si="41"/>
        <v>0.81170312492943186</v>
      </c>
      <c r="AG93" s="799">
        <f t="shared" si="49"/>
        <v>0</v>
      </c>
      <c r="AH93" s="176">
        <f t="shared" si="42"/>
        <v>6</v>
      </c>
      <c r="AI93" s="224">
        <f t="shared" si="43"/>
        <v>0.81170312492943186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45371</v>
      </c>
      <c r="B94" s="409">
        <f>'2023'!Wh/'2023'!Env_an*'2024'!Env_an</f>
        <v>45.610774147205113</v>
      </c>
      <c r="C94" s="829"/>
      <c r="D94" s="391">
        <f t="shared" si="25"/>
        <v>47.298601072041926</v>
      </c>
      <c r="E94" s="383">
        <f t="shared" si="47"/>
        <v>49.038310941365424</v>
      </c>
      <c r="F94" s="383">
        <f t="shared" si="26"/>
        <v>49.232736599201402</v>
      </c>
      <c r="G94" s="110">
        <f t="shared" si="48"/>
        <v>0.93729027887309857</v>
      </c>
      <c r="H94" s="412" t="b">
        <f>Wh_hp&gt;='2023'!Maxi_hp</f>
        <v>0</v>
      </c>
      <c r="I94" s="388">
        <f>IF(H94,Wh_hp,'2023'!Maxi_hp)</f>
        <v>51.582949818940655</v>
      </c>
      <c r="J94" s="85">
        <f>IF(H94,An,'2023'!An_max)</f>
        <v>2020</v>
      </c>
      <c r="K94" s="197">
        <f t="shared" si="27"/>
        <v>45371</v>
      </c>
      <c r="L94" s="147">
        <f>IF(t&lt;Tvie,1-EXP((T0-t)*PertePVj)+'2023'!Pspv,1-EXP((T0-t)*PertePVj)+Pspv)</f>
        <v>3.5684499891783905E-2</v>
      </c>
      <c r="M94" s="832"/>
      <c r="N94" s="832"/>
      <c r="O94" s="48">
        <f>IF(t&lt;Tnet,'2023'!Resal+('2023'!Salim-'2023'!Resal)*(1-EXP(('2023'!Tnet-t)/('2023'!Tau_j))),Resal+(Salim-Resal)*(1-EXP((Tnet-t)/(Tau_j))))*Salcycl</f>
        <v>3.5476545499367879E-2</v>
      </c>
      <c r="P94" s="169">
        <f>(INDEX(Models!$BJ94:$BT94,,T94)*(1-R94)+INDEX(Models!$BJ94:$BT94,,T94+1)*R94-ERP_i)*Q94*Ramure*Pc/MaxiM</f>
        <v>4.3352356883271737E-3</v>
      </c>
      <c r="Q94" s="304">
        <f t="shared" si="28"/>
        <v>0.7</v>
      </c>
      <c r="R94" s="177">
        <f t="shared" si="29"/>
        <v>0.74791050042135987</v>
      </c>
      <c r="S94" s="799">
        <f t="shared" si="30"/>
        <v>0</v>
      </c>
      <c r="T94" s="176">
        <f t="shared" si="31"/>
        <v>6</v>
      </c>
      <c r="U94" s="250">
        <f t="shared" si="32"/>
        <v>0.74791050042135987</v>
      </c>
      <c r="V94" s="382">
        <f t="shared" si="33"/>
        <v>48.643514193678648</v>
      </c>
      <c r="W94" s="400">
        <f t="shared" si="34"/>
        <v>45.610774147205113</v>
      </c>
      <c r="X94" s="157">
        <f t="shared" si="35"/>
        <v>45371</v>
      </c>
      <c r="Y94" s="383">
        <f t="shared" si="36"/>
        <v>45.029525128774225</v>
      </c>
      <c r="Z94" s="383">
        <f t="shared" si="37"/>
        <v>46.695842930784565</v>
      </c>
      <c r="AA94" s="384">
        <f t="shared" si="38"/>
        <v>49.030891857476746</v>
      </c>
      <c r="AB94" s="197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4.7624035342447336E-2</v>
      </c>
      <c r="AD94" s="230">
        <f>(INDEX(Models!$BJ94:$BT94,,AH94)*(1-AF94)+INDEX(Models!$BJ94:$BT94,,AH94+1)*AF94-ERP_i)*AE94*Ramure*Pc/MaxiM</f>
        <v>4.5006638401815652E-3</v>
      </c>
      <c r="AE94" s="304">
        <f t="shared" si="40"/>
        <v>0.7</v>
      </c>
      <c r="AF94" s="177">
        <f t="shared" si="41"/>
        <v>0.81224272268119202</v>
      </c>
      <c r="AG94" s="799">
        <f t="shared" si="49"/>
        <v>0</v>
      </c>
      <c r="AH94" s="176">
        <f t="shared" si="42"/>
        <v>6</v>
      </c>
      <c r="AI94" s="224">
        <f t="shared" si="43"/>
        <v>0.81224272268119202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45372</v>
      </c>
      <c r="B95" s="409">
        <f>'2023'!Wh/'2023'!Env_an*'2024'!Env_an</f>
        <v>41.919339196629558</v>
      </c>
      <c r="C95" s="829"/>
      <c r="D95" s="391">
        <f t="shared" si="25"/>
        <v>43.471397672125363</v>
      </c>
      <c r="E95" s="383">
        <f t="shared" si="47"/>
        <v>45.073796904136152</v>
      </c>
      <c r="F95" s="383">
        <f t="shared" si="26"/>
        <v>45.233197206313491</v>
      </c>
      <c r="G95" s="110">
        <f t="shared" si="48"/>
        <v>0.8559444093512969</v>
      </c>
      <c r="H95" s="412" t="b">
        <f>Wh_hp&gt;='2023'!Maxi_hp</f>
        <v>0</v>
      </c>
      <c r="I95" s="388">
        <f>IF(H95,Wh_hp,'2023'!Maxi_hp)</f>
        <v>50.061246590023678</v>
      </c>
      <c r="J95" s="85">
        <f>IF(H95,An,'2023'!An_max)</f>
        <v>2020</v>
      </c>
      <c r="K95" s="197">
        <f t="shared" si="27"/>
        <v>45372</v>
      </c>
      <c r="L95" s="147">
        <f>IF(t&lt;Tvie,1-EXP((T0-t)*PertePVj)+'2023'!Pspv,1-EXP((T0-t)*PertePVj)+Pspv)</f>
        <v>3.570298077834777E-2</v>
      </c>
      <c r="M95" s="832"/>
      <c r="N95" s="832"/>
      <c r="O95" s="48">
        <f>IF(t&lt;Tnet,'2023'!Resal+('2023'!Salim-'2023'!Resal)*(1-EXP(('2023'!Tnet-t)/('2023'!Tau_j))),Resal+(Salim-Resal)*(1-EXP((Tnet-t)/(Tau_j))))*Salcycl</f>
        <v>3.5550571331250481E-2</v>
      </c>
      <c r="P95" s="169">
        <f>(INDEX(Models!$BJ95:$BT95,,T95)*(1-R95)+INDEX(Models!$BJ95:$BT95,,T95+1)*R95-ERP_i)*Q95*Ramure*Pc/MaxiM</f>
        <v>4.4308785803326154E-3</v>
      </c>
      <c r="Q95" s="304">
        <f t="shared" si="28"/>
        <v>0.7</v>
      </c>
      <c r="R95" s="177">
        <f t="shared" si="29"/>
        <v>0.74847113847029967</v>
      </c>
      <c r="S95" s="799">
        <f t="shared" si="30"/>
        <v>0</v>
      </c>
      <c r="T95" s="176">
        <f t="shared" si="31"/>
        <v>6</v>
      </c>
      <c r="U95" s="250">
        <f t="shared" si="32"/>
        <v>0.74847113847029967</v>
      </c>
      <c r="V95" s="382">
        <f t="shared" si="33"/>
        <v>48.929798673099008</v>
      </c>
      <c r="W95" s="400">
        <f t="shared" si="34"/>
        <v>41.919339196629558</v>
      </c>
      <c r="X95" s="157">
        <f t="shared" si="35"/>
        <v>45372</v>
      </c>
      <c r="Y95" s="383">
        <f t="shared" si="36"/>
        <v>41.386345710063161</v>
      </c>
      <c r="Z95" s="383">
        <f t="shared" si="37"/>
        <v>42.918670166033294</v>
      </c>
      <c r="AA95" s="384">
        <f t="shared" si="38"/>
        <v>45.067702382760366</v>
      </c>
      <c r="AB95" s="197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4.7684530231324428E-2</v>
      </c>
      <c r="AD95" s="230">
        <f>(INDEX(Models!$BJ95:$BT95,,AH95)*(1-AF95)+INDEX(Models!$BJ95:$BT95,,AH95+1)*AF95-ERP_i)*AE95*Ramure*Pc/MaxiM</f>
        <v>4.6002890761252602E-3</v>
      </c>
      <c r="AE95" s="304">
        <f t="shared" si="40"/>
        <v>0.7</v>
      </c>
      <c r="AF95" s="177">
        <f t="shared" si="41"/>
        <v>0.81280336073013182</v>
      </c>
      <c r="AG95" s="799">
        <f t="shared" si="49"/>
        <v>0</v>
      </c>
      <c r="AH95" s="176">
        <f t="shared" si="42"/>
        <v>6</v>
      </c>
      <c r="AI95" s="224">
        <f t="shared" si="43"/>
        <v>0.81280336073013182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45373</v>
      </c>
      <c r="B96" s="409">
        <f>'2023'!Wh/'2023'!Env_an*'2024'!Env_an</f>
        <v>49.429681866228464</v>
      </c>
      <c r="C96" s="829"/>
      <c r="D96" s="391">
        <f t="shared" si="25"/>
        <v>51.260792274208967</v>
      </c>
      <c r="E96" s="383">
        <f t="shared" si="47"/>
        <v>53.154403428290721</v>
      </c>
      <c r="F96" s="383">
        <f t="shared" si="26"/>
        <v>53.395442827230916</v>
      </c>
      <c r="G96" s="110">
        <f t="shared" si="48"/>
        <v>1.0043601605751802</v>
      </c>
      <c r="H96" s="412" t="b">
        <f>Wh_hp&gt;='2023'!Maxi_hp</f>
        <v>1</v>
      </c>
      <c r="I96" s="388">
        <f>IF(H96,Wh_hp,'2023'!Maxi_hp)</f>
        <v>53.395442827230916</v>
      </c>
      <c r="J96" s="85">
        <f>IF(H96,An,'2023'!An_max)</f>
        <v>2024</v>
      </c>
      <c r="K96" s="197">
        <f t="shared" si="27"/>
        <v>45373</v>
      </c>
      <c r="L96" s="147">
        <f>IF(t&lt;Tvie,1-EXP((T0-t)*PertePVj)+'2023'!Pspv,1-EXP((T0-t)*PertePVj)+Pspv)</f>
        <v>3.5721461310729619E-2</v>
      </c>
      <c r="M96" s="832"/>
      <c r="N96" s="832"/>
      <c r="O96" s="48">
        <f>IF(t&lt;Tnet,'2023'!Resal+('2023'!Salim-'2023'!Resal)*(1-EXP(('2023'!Tnet-t)/('2023'!Tau_j))),Resal+(Salim-Resal)*(1-EXP((Tnet-t)/(Tau_j))))*Salcycl</f>
        <v>3.562472781086478E-2</v>
      </c>
      <c r="P96" s="169">
        <f>(INDEX(Models!$BJ96:$BT96,,T96)*(1-R96)+INDEX(Models!$BJ96:$BT96,,T96+1)*R96-ERP_i)*Q96*Ramure*Pc/MaxiM</f>
        <v>4.5142316680491816E-3</v>
      </c>
      <c r="Q96" s="304">
        <f t="shared" si="28"/>
        <v>0.7</v>
      </c>
      <c r="R96" s="177">
        <f t="shared" si="29"/>
        <v>0.74905357023213537</v>
      </c>
      <c r="S96" s="799">
        <f t="shared" si="30"/>
        <v>0</v>
      </c>
      <c r="T96" s="176">
        <f t="shared" si="31"/>
        <v>6</v>
      </c>
      <c r="U96" s="250">
        <f t="shared" si="32"/>
        <v>0.74905357023213537</v>
      </c>
      <c r="V96" s="382">
        <f t="shared" si="33"/>
        <v>49.215096144316306</v>
      </c>
      <c r="W96" s="400">
        <f t="shared" si="34"/>
        <v>49.429681866228464</v>
      </c>
      <c r="X96" s="157">
        <f t="shared" si="35"/>
        <v>45373</v>
      </c>
      <c r="Y96" s="383">
        <f t="shared" si="36"/>
        <v>48.79994450813075</v>
      </c>
      <c r="Z96" s="383">
        <f t="shared" si="37"/>
        <v>50.60772645055836</v>
      </c>
      <c r="AA96" s="384">
        <f t="shared" si="38"/>
        <v>53.145154670353236</v>
      </c>
      <c r="AB96" s="197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4.7745241039073801E-2</v>
      </c>
      <c r="AD96" s="230">
        <f>(INDEX(Models!$BJ96:$BT96,,AH96)*(1-AF96)+INDEX(Models!$BJ96:$BT96,,AH96+1)*AF96-ERP_i)*AE96*Ramure*Pc/MaxiM</f>
        <v>4.6874441642430808E-3</v>
      </c>
      <c r="AE96" s="304">
        <f t="shared" si="40"/>
        <v>0.7</v>
      </c>
      <c r="AF96" s="177">
        <f t="shared" si="41"/>
        <v>0.81338579249196752</v>
      </c>
      <c r="AG96" s="799">
        <f t="shared" si="49"/>
        <v>0</v>
      </c>
      <c r="AH96" s="176">
        <f t="shared" si="42"/>
        <v>6</v>
      </c>
      <c r="AI96" s="224">
        <f t="shared" si="43"/>
        <v>0.81338579249196752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45374</v>
      </c>
      <c r="B97" s="409">
        <f>'2023'!Wh/'2023'!Env_an*'2024'!Env_an</f>
        <v>48.306815113731972</v>
      </c>
      <c r="C97" s="829"/>
      <c r="D97" s="391">
        <f t="shared" si="25"/>
        <v>50.097289302144951</v>
      </c>
      <c r="E97" s="383">
        <f t="shared" si="47"/>
        <v>51.951922542064992</v>
      </c>
      <c r="F97" s="383">
        <f t="shared" si="26"/>
        <v>52.18298253739998</v>
      </c>
      <c r="G97" s="110">
        <f t="shared" si="48"/>
        <v>0.9757683010393009</v>
      </c>
      <c r="H97" s="412" t="b">
        <f>Wh_hp&gt;='2023'!Maxi_hp</f>
        <v>0</v>
      </c>
      <c r="I97" s="388">
        <f>IF(H97,Wh_hp,'2023'!Maxi_hp)</f>
        <v>52.18691136739492</v>
      </c>
      <c r="J97" s="85">
        <f>IF(H97,An,'2023'!An_max)</f>
        <v>2022</v>
      </c>
      <c r="K97" s="197">
        <f t="shared" si="27"/>
        <v>45374</v>
      </c>
      <c r="L97" s="147">
        <f>IF(t&lt;Tvie,1-EXP((T0-t)*PertePVj)+'2023'!Pspv,1-EXP((T0-t)*PertePVj)+Pspv)</f>
        <v>3.5739941488936333E-2</v>
      </c>
      <c r="M97" s="832"/>
      <c r="N97" s="832"/>
      <c r="O97" s="48">
        <f>IF(t&lt;Tnet,'2023'!Resal+('2023'!Salim-'2023'!Resal)*(1-EXP(('2023'!Tnet-t)/('2023'!Tau_j))),Resal+(Salim-Resal)*(1-EXP((Tnet-t)/(Tau_j))))*Salcycl</f>
        <v>3.5699029971766001E-2</v>
      </c>
      <c r="P97" s="169">
        <f>(INDEX(Models!$BJ97:$BT97,,T97)*(1-R97)+INDEX(Models!$BJ97:$BT97,,T97+1)*R97-ERP_i)*Q97*Ramure*Pc/MaxiM</f>
        <v>4.5856059604148366E-3</v>
      </c>
      <c r="Q97" s="304">
        <f t="shared" si="28"/>
        <v>0.7</v>
      </c>
      <c r="R97" s="177">
        <f t="shared" si="29"/>
        <v>0.74965857059418317</v>
      </c>
      <c r="S97" s="799">
        <f t="shared" si="30"/>
        <v>0</v>
      </c>
      <c r="T97" s="176">
        <f t="shared" si="31"/>
        <v>6</v>
      </c>
      <c r="U97" s="250">
        <f t="shared" si="32"/>
        <v>0.74965857059418317</v>
      </c>
      <c r="V97" s="382">
        <f t="shared" si="33"/>
        <v>49.498597101614358</v>
      </c>
      <c r="W97" s="400">
        <f t="shared" si="34"/>
        <v>48.306815113731972</v>
      </c>
      <c r="X97" s="157">
        <f t="shared" si="35"/>
        <v>45374</v>
      </c>
      <c r="Y97" s="383">
        <f t="shared" si="36"/>
        <v>47.692123627947915</v>
      </c>
      <c r="Z97" s="383">
        <f t="shared" si="37"/>
        <v>49.459814504388397</v>
      </c>
      <c r="AA97" s="384">
        <f t="shared" si="38"/>
        <v>51.943011851792001</v>
      </c>
      <c r="AB97" s="197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4.7806187182384864E-2</v>
      </c>
      <c r="AD97" s="230">
        <f>(INDEX(Models!$BJ97:$BT97,,AH97)*(1-AF97)+INDEX(Models!$BJ97:$BT97,,AH97+1)*AF97-ERP_i)*AE97*Ramure*Pc/MaxiM</f>
        <v>4.7624471066635369E-3</v>
      </c>
      <c r="AE97" s="304">
        <f t="shared" si="40"/>
        <v>0.7</v>
      </c>
      <c r="AF97" s="177">
        <f t="shared" si="41"/>
        <v>0.81399079285401532</v>
      </c>
      <c r="AG97" s="799">
        <f t="shared" si="49"/>
        <v>0</v>
      </c>
      <c r="AH97" s="176">
        <f t="shared" si="42"/>
        <v>6</v>
      </c>
      <c r="AI97" s="224">
        <f t="shared" si="43"/>
        <v>0.81399079285401532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45375</v>
      </c>
      <c r="B98" s="409">
        <f>'2023'!Wh/'2023'!Env_an*'2024'!Env_an</f>
        <v>38.107264605165668</v>
      </c>
      <c r="C98" s="829"/>
      <c r="D98" s="391">
        <f t="shared" si="25"/>
        <v>39.520453636789881</v>
      </c>
      <c r="E98" s="383">
        <f t="shared" si="47"/>
        <v>40.986690730021827</v>
      </c>
      <c r="F98" s="383">
        <f t="shared" si="26"/>
        <v>41.113702051059398</v>
      </c>
      <c r="G98" s="110">
        <f t="shared" si="48"/>
        <v>0.7643264879536491</v>
      </c>
      <c r="H98" s="412" t="b">
        <f>Wh_hp&gt;='2023'!Maxi_hp</f>
        <v>0</v>
      </c>
      <c r="I98" s="388">
        <f>IF(H98,Wh_hp,'2023'!Maxi_hp)</f>
        <v>52.042805728748291</v>
      </c>
      <c r="J98" s="85">
        <f>IF(H98,An,'2023'!An_max)</f>
        <v>2020</v>
      </c>
      <c r="K98" s="197">
        <f t="shared" si="27"/>
        <v>45375</v>
      </c>
      <c r="L98" s="147">
        <f>IF(t&lt;Tvie,1-EXP((T0-t)*PertePVj)+'2023'!Pspv,1-EXP((T0-t)*PertePVj)+Pspv)</f>
        <v>3.5758421312974686E-2</v>
      </c>
      <c r="M98" s="832"/>
      <c r="N98" s="832"/>
      <c r="O98" s="48">
        <f>IF(t&lt;Tnet,'2023'!Resal+('2023'!Salim-'2023'!Resal)*(1-EXP(('2023'!Tnet-t)/('2023'!Tau_j))),Resal+(Salim-Resal)*(1-EXP((Tnet-t)/(Tau_j))))*Salcycl</f>
        <v>3.5773492983124829E-2</v>
      </c>
      <c r="P98" s="169">
        <f>(INDEX(Models!$BJ98:$BT98,,T98)*(1-R98)+INDEX(Models!$BJ98:$BT98,,T98+1)*R98-ERP_i)*Q98*Ramure*Pc/MaxiM</f>
        <v>4.6453054708849714E-3</v>
      </c>
      <c r="Q98" s="304">
        <f t="shared" si="28"/>
        <v>0.7</v>
      </c>
      <c r="R98" s="177">
        <f t="shared" si="29"/>
        <v>0.75028693606238095</v>
      </c>
      <c r="S98" s="799">
        <f t="shared" si="30"/>
        <v>0</v>
      </c>
      <c r="T98" s="176">
        <f t="shared" si="31"/>
        <v>6</v>
      </c>
      <c r="U98" s="250">
        <f t="shared" si="32"/>
        <v>0.75028693606238095</v>
      </c>
      <c r="V98" s="382">
        <f t="shared" si="33"/>
        <v>49.779492395840393</v>
      </c>
      <c r="W98" s="400">
        <f t="shared" si="34"/>
        <v>38.107264605165668</v>
      </c>
      <c r="X98" s="157">
        <f t="shared" si="35"/>
        <v>45375</v>
      </c>
      <c r="Y98" s="383">
        <f t="shared" si="36"/>
        <v>37.624774898712872</v>
      </c>
      <c r="Z98" s="383">
        <f t="shared" si="37"/>
        <v>39.02007103857234</v>
      </c>
      <c r="AA98" s="384">
        <f t="shared" si="38"/>
        <v>40.981760896612826</v>
      </c>
      <c r="AB98" s="197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4.7867388202018982E-2</v>
      </c>
      <c r="AD98" s="230">
        <f>(INDEX(Models!$BJ98:$BT98,,AH98)*(1-AF98)+INDEX(Models!$BJ98:$BT98,,AH98+1)*AF98-ERP_i)*AE98*Ramure*Pc/MaxiM</f>
        <v>4.825608942404822E-3</v>
      </c>
      <c r="AE98" s="304">
        <f t="shared" si="40"/>
        <v>0.7</v>
      </c>
      <c r="AF98" s="177">
        <f t="shared" si="41"/>
        <v>0.8146191583222131</v>
      </c>
      <c r="AG98" s="799">
        <f t="shared" si="49"/>
        <v>0</v>
      </c>
      <c r="AH98" s="176">
        <f t="shared" si="42"/>
        <v>6</v>
      </c>
      <c r="AI98" s="224">
        <f t="shared" si="43"/>
        <v>0.8146191583222131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45376</v>
      </c>
      <c r="B99" s="409">
        <f>'2023'!Wh/'2023'!Env_an*'2024'!Env_an</f>
        <v>43.559940956715799</v>
      </c>
      <c r="C99" s="829"/>
      <c r="D99" s="391">
        <f t="shared" si="25"/>
        <v>45.176205581552708</v>
      </c>
      <c r="E99" s="383">
        <f t="shared" si="47"/>
        <v>46.855902152010131</v>
      </c>
      <c r="F99" s="383">
        <f t="shared" si="26"/>
        <v>47.035735847228871</v>
      </c>
      <c r="G99" s="110">
        <f t="shared" si="48"/>
        <v>0.86944701460106333</v>
      </c>
      <c r="H99" s="412" t="b">
        <f>Wh_hp&gt;='2023'!Maxi_hp</f>
        <v>0</v>
      </c>
      <c r="I99" s="388">
        <f>IF(H99,Wh_hp,'2023'!Maxi_hp)</f>
        <v>54.406274588280766</v>
      </c>
      <c r="J99" s="85">
        <f>IF(H99,An,'2023'!An_max)</f>
        <v>2020</v>
      </c>
      <c r="K99" s="197">
        <f t="shared" si="27"/>
        <v>45376</v>
      </c>
      <c r="L99" s="147">
        <f>IF(t&lt;Tvie,1-EXP((T0-t)*PertePVj)+'2023'!Pspv,1-EXP((T0-t)*PertePVj)+Pspv)</f>
        <v>3.577690078285134E-2</v>
      </c>
      <c r="M99" s="832"/>
      <c r="N99" s="832"/>
      <c r="O99" s="48">
        <f>IF(t&lt;Tnet,'2023'!Resal+('2023'!Salim-'2023'!Resal)*(1-EXP(('2023'!Tnet-t)/('2023'!Tau_j))),Resal+(Salim-Resal)*(1-EXP((Tnet-t)/(Tau_j))))*Salcycl</f>
        <v>3.5848132109550283E-2</v>
      </c>
      <c r="P99" s="169">
        <f>(INDEX(Models!$BJ99:$BT99,,T99)*(1-R99)+INDEX(Models!$BJ99:$BT99,,T99+1)*R99-ERP_i)*Q99*Ramure*Pc/MaxiM</f>
        <v>4.6936254694123431E-3</v>
      </c>
      <c r="Q99" s="304">
        <f t="shared" si="28"/>
        <v>0.7</v>
      </c>
      <c r="R99" s="177">
        <f t="shared" si="29"/>
        <v>0.75093948486350381</v>
      </c>
      <c r="S99" s="799">
        <f t="shared" si="30"/>
        <v>0</v>
      </c>
      <c r="T99" s="176">
        <f t="shared" si="31"/>
        <v>6</v>
      </c>
      <c r="U99" s="250">
        <f t="shared" si="32"/>
        <v>0.75093948486350381</v>
      </c>
      <c r="V99" s="382">
        <f t="shared" si="33"/>
        <v>50.056973252579425</v>
      </c>
      <c r="W99" s="400">
        <f t="shared" si="34"/>
        <v>43.559940956715799</v>
      </c>
      <c r="X99" s="157">
        <f t="shared" si="35"/>
        <v>45376</v>
      </c>
      <c r="Y99" s="383">
        <f t="shared" si="36"/>
        <v>43.007681027849088</v>
      </c>
      <c r="Z99" s="383">
        <f t="shared" si="37"/>
        <v>44.603454390137472</v>
      </c>
      <c r="AA99" s="384">
        <f t="shared" si="38"/>
        <v>46.848867369202097</v>
      </c>
      <c r="AB99" s="197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4.792886370910928E-2</v>
      </c>
      <c r="AD99" s="230">
        <f>(INDEX(Models!$BJ99:$BT99,,AH99)*(1-AF99)+INDEX(Models!$BJ99:$BT99,,AH99+1)*AF99-ERP_i)*AE99*Ramure*Pc/MaxiM</f>
        <v>4.8772319716278226E-3</v>
      </c>
      <c r="AE99" s="304">
        <f t="shared" si="40"/>
        <v>0.7</v>
      </c>
      <c r="AF99" s="177">
        <f t="shared" si="41"/>
        <v>0.81527170712333596</v>
      </c>
      <c r="AG99" s="799">
        <f t="shared" si="49"/>
        <v>0</v>
      </c>
      <c r="AH99" s="176">
        <f t="shared" si="42"/>
        <v>6</v>
      </c>
      <c r="AI99" s="224">
        <f t="shared" si="43"/>
        <v>0.81527170712333596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45377</v>
      </c>
      <c r="B100" s="409">
        <f>'2023'!Wh/'2023'!Env_an*'2024'!Env_an</f>
        <v>46.205580949435593</v>
      </c>
      <c r="C100" s="829"/>
      <c r="D100" s="391">
        <f t="shared" si="25"/>
        <v>47.920928800958372</v>
      </c>
      <c r="E100" s="383">
        <f t="shared" si="47"/>
        <v>49.706534794939955</v>
      </c>
      <c r="F100" s="383">
        <f t="shared" si="26"/>
        <v>49.914854376032643</v>
      </c>
      <c r="G100" s="110">
        <f t="shared" si="48"/>
        <v>0.9175344333753026</v>
      </c>
      <c r="H100" s="412" t="b">
        <f>Wh_hp&gt;='2023'!Maxi_hp</f>
        <v>0</v>
      </c>
      <c r="I100" s="388">
        <f>IF(H100,Wh_hp,'2023'!Maxi_hp)</f>
        <v>53.384217171307384</v>
      </c>
      <c r="J100" s="85">
        <f>IF(H100,An,'2023'!An_max)</f>
        <v>2018</v>
      </c>
      <c r="K100" s="197">
        <f t="shared" si="27"/>
        <v>45377</v>
      </c>
      <c r="L100" s="147">
        <f>IF(t&lt;Tvie,1-EXP((T0-t)*PertePVj)+'2023'!Pspv,1-EXP((T0-t)*PertePVj)+Pspv)</f>
        <v>3.5795379898573176E-2</v>
      </c>
      <c r="M100" s="832"/>
      <c r="N100" s="832"/>
      <c r="O100" s="48">
        <f>IF(t&lt;Tnet,'2023'!Resal+('2023'!Salim-'2023'!Resal)*(1-EXP(('2023'!Tnet-t)/('2023'!Tau_j))),Resal+(Salim-Resal)*(1-EXP((Tnet-t)/(Tau_j))))*Salcycl</f>
        <v>3.5922962671768366E-2</v>
      </c>
      <c r="P100" s="169">
        <f>(INDEX(Models!$BJ100:$BT100,,T100)*(1-R100)+INDEX(Models!$BJ100:$BT100,,T100+1)*R100-ERP_i)*Q100*Ramure*Pc/MaxiM</f>
        <v>4.7269225609977913E-3</v>
      </c>
      <c r="Q100" s="304">
        <f t="shared" si="28"/>
        <v>0.7</v>
      </c>
      <c r="R100" s="177">
        <f t="shared" si="29"/>
        <v>0.75161705699787551</v>
      </c>
      <c r="S100" s="799">
        <f t="shared" si="30"/>
        <v>0</v>
      </c>
      <c r="T100" s="176">
        <f t="shared" si="31"/>
        <v>6</v>
      </c>
      <c r="U100" s="250">
        <f t="shared" si="32"/>
        <v>0.75161705699787551</v>
      </c>
      <c r="V100" s="382">
        <f t="shared" si="33"/>
        <v>50.330429933584234</v>
      </c>
      <c r="W100" s="400">
        <f t="shared" si="34"/>
        <v>46.205580949435593</v>
      </c>
      <c r="X100" s="157">
        <f t="shared" si="35"/>
        <v>45377</v>
      </c>
      <c r="Y100" s="383">
        <f t="shared" si="36"/>
        <v>45.619662358422396</v>
      </c>
      <c r="Z100" s="383">
        <f t="shared" si="37"/>
        <v>47.313258417724199</v>
      </c>
      <c r="AA100" s="384">
        <f t="shared" si="38"/>
        <v>49.698311880440556</v>
      </c>
      <c r="AB100" s="197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4.7990633332860383E-2</v>
      </c>
      <c r="AD100" s="230">
        <f>(INDEX(Models!$BJ100:$BT100,,AH100)*(1-AF100)+INDEX(Models!$BJ100:$BT100,,AH100+1)*AF100-ERP_i)*AE100*Ramure*Pc/MaxiM</f>
        <v>4.9135064618509019E-3</v>
      </c>
      <c r="AE100" s="304">
        <f t="shared" si="40"/>
        <v>0.7</v>
      </c>
      <c r="AF100" s="177">
        <f t="shared" si="41"/>
        <v>0.81594927925770766</v>
      </c>
      <c r="AG100" s="799">
        <f t="shared" si="49"/>
        <v>0</v>
      </c>
      <c r="AH100" s="176">
        <f t="shared" si="42"/>
        <v>6</v>
      </c>
      <c r="AI100" s="224">
        <f t="shared" si="43"/>
        <v>0.81594927925770766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45378</v>
      </c>
      <c r="B101" s="409">
        <f>'2023'!Wh/'2023'!Env_an*'2024'!Env_an</f>
        <v>39.429236364411736</v>
      </c>
      <c r="C101" s="829"/>
      <c r="D101" s="391">
        <f t="shared" si="25"/>
        <v>40.893801179946493</v>
      </c>
      <c r="E101" s="383">
        <f t="shared" si="47"/>
        <v>42.420867571123566</v>
      </c>
      <c r="F101" s="383">
        <f t="shared" si="26"/>
        <v>42.559174721181158</v>
      </c>
      <c r="G101" s="110">
        <f t="shared" si="48"/>
        <v>0.77807910395023328</v>
      </c>
      <c r="H101" s="412" t="b">
        <f>Wh_hp&gt;='2023'!Maxi_hp</f>
        <v>0</v>
      </c>
      <c r="I101" s="388">
        <f>IF(H101,Wh_hp,'2023'!Maxi_hp)</f>
        <v>52.671348096668545</v>
      </c>
      <c r="J101" s="85">
        <f>IF(H101,An,'2023'!An_max)</f>
        <v>2021</v>
      </c>
      <c r="K101" s="197">
        <f t="shared" si="27"/>
        <v>45378</v>
      </c>
      <c r="L101" s="147">
        <f>IF(t&lt;Tvie,1-EXP((T0-t)*PertePVj)+'2023'!Pspv,1-EXP((T0-t)*PertePVj)+Pspv)</f>
        <v>3.5813858660146969E-2</v>
      </c>
      <c r="M101" s="832"/>
      <c r="N101" s="832"/>
      <c r="O101" s="48">
        <f>IF(t&lt;Tnet,'2023'!Resal+('2023'!Salim-'2023'!Resal)*(1-EXP(('2023'!Tnet-t)/('2023'!Tau_j))),Resal+(Salim-Resal)*(1-EXP((Tnet-t)/(Tau_j))))*Salcycl</f>
        <v>3.5998000008292272E-2</v>
      </c>
      <c r="P101" s="169">
        <f>(INDEX(Models!$BJ101:$BT101,,T101)*(1-R101)+INDEX(Models!$BJ101:$BT101,,T101+1)*R101-ERP_i)*Q101*Ramure*Pc/MaxiM</f>
        <v>4.7466578771505922E-3</v>
      </c>
      <c r="Q101" s="304">
        <f t="shared" si="28"/>
        <v>0.7</v>
      </c>
      <c r="R101" s="177">
        <f t="shared" si="29"/>
        <v>0.75232051423760693</v>
      </c>
      <c r="S101" s="799">
        <f t="shared" si="30"/>
        <v>0</v>
      </c>
      <c r="T101" s="176">
        <f t="shared" si="31"/>
        <v>6</v>
      </c>
      <c r="U101" s="250">
        <f t="shared" si="32"/>
        <v>0.75232051423760693</v>
      </c>
      <c r="V101" s="382">
        <f t="shared" si="33"/>
        <v>50.598997243601794</v>
      </c>
      <c r="W101" s="400">
        <f t="shared" si="34"/>
        <v>39.429236364411736</v>
      </c>
      <c r="X101" s="157">
        <f t="shared" si="35"/>
        <v>45378</v>
      </c>
      <c r="Y101" s="383">
        <f t="shared" si="36"/>
        <v>38.931124332806668</v>
      </c>
      <c r="Z101" s="383">
        <f t="shared" si="37"/>
        <v>40.377187208589383</v>
      </c>
      <c r="AA101" s="384">
        <f t="shared" si="38"/>
        <v>42.415360509605676</v>
      </c>
      <c r="AB101" s="197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4.8052716669818633E-2</v>
      </c>
      <c r="AD101" s="230">
        <f>(INDEX(Models!$BJ101:$BT101,,AH101)*(1-AF101)+INDEX(Models!$BJ101:$BT101,,AH101+1)*AF101-ERP_i)*AE101*Ramure*Pc/MaxiM</f>
        <v>4.9356584958672334E-3</v>
      </c>
      <c r="AE101" s="304">
        <f t="shared" si="40"/>
        <v>0.7</v>
      </c>
      <c r="AF101" s="177">
        <f t="shared" si="41"/>
        <v>0.81665273649743908</v>
      </c>
      <c r="AG101" s="799">
        <f t="shared" si="49"/>
        <v>0</v>
      </c>
      <c r="AH101" s="176">
        <f t="shared" si="42"/>
        <v>6</v>
      </c>
      <c r="AI101" s="224">
        <f t="shared" si="43"/>
        <v>0.81665273649743908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45379</v>
      </c>
      <c r="B102" s="409">
        <f>'2023'!Wh/'2023'!Env_an*'2024'!Env_an</f>
        <v>27.493195100453757</v>
      </c>
      <c r="C102" s="829"/>
      <c r="D102" s="391">
        <f t="shared" si="25"/>
        <v>28.514952489524415</v>
      </c>
      <c r="E102" s="383">
        <f t="shared" si="47"/>
        <v>29.582074331608265</v>
      </c>
      <c r="F102" s="383">
        <f t="shared" si="26"/>
        <v>29.630471224541989</v>
      </c>
      <c r="G102" s="110">
        <f t="shared" si="48"/>
        <v>0.53885716827381736</v>
      </c>
      <c r="H102" s="412" t="b">
        <f>Wh_hp&gt;='2023'!Maxi_hp</f>
        <v>0</v>
      </c>
      <c r="I102" s="388">
        <f>IF(H102,Wh_hp,'2023'!Maxi_hp)</f>
        <v>55.509547390631532</v>
      </c>
      <c r="J102" s="85">
        <f>IF(H102,An,'2023'!An_max)</f>
        <v>2021</v>
      </c>
      <c r="K102" s="197">
        <f t="shared" si="27"/>
        <v>45379</v>
      </c>
      <c r="L102" s="147">
        <f>IF(t&lt;Tvie,1-EXP((T0-t)*PertePVj)+'2023'!Pspv,1-EXP((T0-t)*PertePVj)+Pspv)</f>
        <v>3.58323370675796E-2</v>
      </c>
      <c r="M102" s="832"/>
      <c r="N102" s="832"/>
      <c r="O102" s="48">
        <f>IF(t&lt;Tnet,'2023'!Resal+('2023'!Salim-'2023'!Resal)*(1-EXP(('2023'!Tnet-t)/('2023'!Tau_j))),Resal+(Salim-Resal)*(1-EXP((Tnet-t)/(Tau_j))))*Salcycl</f>
        <v>3.6073259438187434E-2</v>
      </c>
      <c r="P102" s="169">
        <f>(INDEX(Models!$BJ102:$BT102,,T102)*(1-R102)+INDEX(Models!$BJ102:$BT102,,T102+1)*R102-ERP_i)*Q102*Ramure*Pc/MaxiM</f>
        <v>4.7531144573544001E-3</v>
      </c>
      <c r="Q102" s="304">
        <f t="shared" si="28"/>
        <v>0.7</v>
      </c>
      <c r="R102" s="177">
        <f t="shared" si="29"/>
        <v>0.75305074006511608</v>
      </c>
      <c r="S102" s="799">
        <f t="shared" si="30"/>
        <v>0</v>
      </c>
      <c r="T102" s="176">
        <f t="shared" si="31"/>
        <v>6</v>
      </c>
      <c r="U102" s="250">
        <f t="shared" si="32"/>
        <v>0.75305074006511608</v>
      </c>
      <c r="V102" s="382">
        <f t="shared" si="33"/>
        <v>50.86186852719996</v>
      </c>
      <c r="W102" s="400">
        <f t="shared" si="34"/>
        <v>27.493195100453757</v>
      </c>
      <c r="X102" s="157">
        <f t="shared" si="35"/>
        <v>45379</v>
      </c>
      <c r="Y102" s="383">
        <f t="shared" si="36"/>
        <v>27.147952156803587</v>
      </c>
      <c r="Z102" s="383">
        <f t="shared" si="37"/>
        <v>28.156878933520527</v>
      </c>
      <c r="AA102" s="384">
        <f t="shared" si="38"/>
        <v>29.580130871507052</v>
      </c>
      <c r="AB102" s="197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4.8115133234838611E-2</v>
      </c>
      <c r="AD102" s="230">
        <f>(INDEX(Models!$BJ102:$BT102,,AH102)*(1-AF102)+INDEX(Models!$BJ102:$BT102,,AH102+1)*AF102-ERP_i)*AE102*Ramure*Pc/MaxiM</f>
        <v>4.9439839067013797E-3</v>
      </c>
      <c r="AE102" s="304">
        <f t="shared" si="40"/>
        <v>0.7</v>
      </c>
      <c r="AF102" s="177">
        <f t="shared" si="41"/>
        <v>0.81738296232494823</v>
      </c>
      <c r="AG102" s="799">
        <f t="shared" si="49"/>
        <v>0</v>
      </c>
      <c r="AH102" s="176">
        <f t="shared" si="42"/>
        <v>6</v>
      </c>
      <c r="AI102" s="224">
        <f t="shared" si="43"/>
        <v>0.81738296232494823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45380</v>
      </c>
      <c r="B103" s="409">
        <f>'2023'!Wh/'2023'!Env_an*'2024'!Env_an</f>
        <v>6.2263577392896732</v>
      </c>
      <c r="C103" s="829"/>
      <c r="D103" s="391">
        <f t="shared" si="25"/>
        <v>6.4578779269209123</v>
      </c>
      <c r="E103" s="383">
        <f t="shared" si="47"/>
        <v>6.7000773912249443</v>
      </c>
      <c r="F103" s="383">
        <f t="shared" si="26"/>
        <v>6.7000773912249443</v>
      </c>
      <c r="G103" s="110">
        <f t="shared" si="48"/>
        <v>0.12122491437621682</v>
      </c>
      <c r="H103" s="412" t="b">
        <f>Wh_hp&gt;='2023'!Maxi_hp</f>
        <v>0</v>
      </c>
      <c r="I103" s="388">
        <f>IF(H103,Wh_hp,'2023'!Maxi_hp)</f>
        <v>54.961612248927921</v>
      </c>
      <c r="J103" s="85">
        <f>IF(H103,An,'2023'!An_max)</f>
        <v>2018</v>
      </c>
      <c r="K103" s="197">
        <f t="shared" si="27"/>
        <v>45380</v>
      </c>
      <c r="L103" s="147">
        <f>IF(t&lt;Tvie,1-EXP((T0-t)*PertePVj)+'2023'!Pspv,1-EXP((T0-t)*PertePVj)+Pspv)</f>
        <v>3.5850815120877733E-2</v>
      </c>
      <c r="M103" s="832"/>
      <c r="N103" s="832"/>
      <c r="O103" s="48">
        <f>IF(t&lt;Tnet,'2023'!Resal+('2023'!Salim-'2023'!Resal)*(1-EXP(('2023'!Tnet-t)/('2023'!Tau_j))),Resal+(Salim-Resal)*(1-EXP((Tnet-t)/(Tau_j))))*Salcycl</f>
        <v>3.6148756225001154E-2</v>
      </c>
      <c r="P103" s="169">
        <f>(INDEX(Models!$BJ103:$BT103,,T103)*(1-R103)+INDEX(Models!$BJ103:$BT103,,T103+1)*R103-ERP_i)*Q103*Ramure*Pc/MaxiM</f>
        <v>4.7465561561567627E-3</v>
      </c>
      <c r="Q103" s="304">
        <f t="shared" si="28"/>
        <v>0.7</v>
      </c>
      <c r="R103" s="177">
        <f t="shared" si="29"/>
        <v>0.75380863954641075</v>
      </c>
      <c r="S103" s="799">
        <f t="shared" si="30"/>
        <v>0</v>
      </c>
      <c r="T103" s="176">
        <f t="shared" si="31"/>
        <v>6</v>
      </c>
      <c r="U103" s="250">
        <f t="shared" si="32"/>
        <v>0.75380863954641075</v>
      </c>
      <c r="V103" s="382">
        <f t="shared" si="33"/>
        <v>51.11823765369116</v>
      </c>
      <c r="W103" s="400">
        <f t="shared" si="34"/>
        <v>6.2263577392896732</v>
      </c>
      <c r="X103" s="157">
        <f t="shared" si="35"/>
        <v>45380</v>
      </c>
      <c r="Y103" s="383">
        <f t="shared" si="36"/>
        <v>6.1486509687132322</v>
      </c>
      <c r="Z103" s="383">
        <f t="shared" si="37"/>
        <v>6.3772817165054221</v>
      </c>
      <c r="AA103" s="384">
        <f t="shared" si="38"/>
        <v>6.7000773912249443</v>
      </c>
      <c r="AB103" s="197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4.8177902413826683E-2</v>
      </c>
      <c r="AD103" s="230">
        <f>(INDEX(Models!$BJ103:$BT103,,AH103)*(1-AF103)+INDEX(Models!$BJ103:$BT103,,AH103+1)*AF103-ERP_i)*AE103*Ramure*Pc/MaxiM</f>
        <v>4.9387586898244134E-3</v>
      </c>
      <c r="AE103" s="304">
        <f t="shared" si="40"/>
        <v>0.7</v>
      </c>
      <c r="AF103" s="177">
        <f t="shared" si="41"/>
        <v>0.8181408618062429</v>
      </c>
      <c r="AG103" s="799">
        <f t="shared" si="49"/>
        <v>0</v>
      </c>
      <c r="AH103" s="176">
        <f t="shared" si="42"/>
        <v>6</v>
      </c>
      <c r="AI103" s="224">
        <f t="shared" si="43"/>
        <v>0.8181408618062429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45381</v>
      </c>
      <c r="B104" s="409">
        <f>'2023'!Wh/'2023'!Env_an*'2024'!Env_an</f>
        <v>17.236809079025871</v>
      </c>
      <c r="C104" s="829"/>
      <c r="D104" s="391">
        <f t="shared" si="25"/>
        <v>17.878083283378587</v>
      </c>
      <c r="E104" s="383">
        <f t="shared" si="47"/>
        <v>18.550049660093027</v>
      </c>
      <c r="F104" s="383">
        <f t="shared" si="26"/>
        <v>18.554505391932942</v>
      </c>
      <c r="G104" s="110">
        <f t="shared" si="48"/>
        <v>0.33405391807768098</v>
      </c>
      <c r="H104" s="412" t="b">
        <f>Wh_hp&gt;='2023'!Maxi_hp</f>
        <v>0</v>
      </c>
      <c r="I104" s="388">
        <f>IF(H104,Wh_hp,'2023'!Maxi_hp)</f>
        <v>51.391422760958996</v>
      </c>
      <c r="J104" s="85">
        <f>IF(H104,An,'2023'!An_max)</f>
        <v>2021</v>
      </c>
      <c r="K104" s="197">
        <f t="shared" si="27"/>
        <v>45381</v>
      </c>
      <c r="L104" s="147">
        <f>IF(t&lt;Tvie,1-EXP((T0-t)*PertePVj)+'2023'!Pspv,1-EXP((T0-t)*PertePVj)+Pspv)</f>
        <v>3.5869292820048138E-2</v>
      </c>
      <c r="M104" s="832"/>
      <c r="N104" s="832"/>
      <c r="O104" s="48">
        <f>IF(t&lt;Tnet,'2023'!Resal+('2023'!Salim-'2023'!Resal)*(1-EXP(('2023'!Tnet-t)/('2023'!Tau_j))),Resal+(Salim-Resal)*(1-EXP((Tnet-t)/(Tau_j))))*Salcycl</f>
        <v>3.6224505541893506E-2</v>
      </c>
      <c r="P104" s="169">
        <f>(INDEX(Models!$BJ104:$BT104,,T104)*(1-R104)+INDEX(Models!$BJ104:$BT104,,T104+1)*R104-ERP_i)*Q104*Ramure*Pc/MaxiM</f>
        <v>4.7272261134516198E-3</v>
      </c>
      <c r="Q104" s="304">
        <f t="shared" si="28"/>
        <v>0.7</v>
      </c>
      <c r="R104" s="177">
        <f t="shared" si="29"/>
        <v>0.75459513913334209</v>
      </c>
      <c r="S104" s="799">
        <f t="shared" si="30"/>
        <v>0</v>
      </c>
      <c r="T104" s="176">
        <f t="shared" si="31"/>
        <v>6</v>
      </c>
      <c r="U104" s="250">
        <f t="shared" si="32"/>
        <v>0.75459513913334209</v>
      </c>
      <c r="V104" s="382">
        <f t="shared" si="33"/>
        <v>51.367299034956282</v>
      </c>
      <c r="W104" s="400">
        <f t="shared" si="34"/>
        <v>17.236809079025871</v>
      </c>
      <c r="X104" s="157">
        <f t="shared" si="35"/>
        <v>45381</v>
      </c>
      <c r="Y104" s="383">
        <f t="shared" si="36"/>
        <v>17.02173029537321</v>
      </c>
      <c r="Z104" s="383">
        <f t="shared" si="37"/>
        <v>17.655002759077313</v>
      </c>
      <c r="AA104" s="384">
        <f t="shared" si="38"/>
        <v>18.549867733828624</v>
      </c>
      <c r="AB104" s="197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4.8241043418297928E-2</v>
      </c>
      <c r="AD104" s="230">
        <f>(INDEX(Models!$BJ104:$BT104,,AH104)*(1-AF104)+INDEX(Models!$BJ104:$BT104,,AH104+1)*AF104-ERP_i)*AE104*Ramure*Pc/MaxiM</f>
        <v>4.9202374118668324E-3</v>
      </c>
      <c r="AE104" s="304">
        <f t="shared" si="40"/>
        <v>0.7</v>
      </c>
      <c r="AF104" s="177">
        <f t="shared" si="41"/>
        <v>0.81892736139317424</v>
      </c>
      <c r="AG104" s="799">
        <f t="shared" si="49"/>
        <v>0</v>
      </c>
      <c r="AH104" s="176">
        <f t="shared" si="42"/>
        <v>6</v>
      </c>
      <c r="AI104" s="224">
        <f t="shared" si="43"/>
        <v>0.81892736139317424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45382</v>
      </c>
      <c r="B105" s="409">
        <f>'2023'!Wh/'2023'!Env_an*'2024'!Env_an</f>
        <v>32.543705841313461</v>
      </c>
      <c r="C105" s="829"/>
      <c r="D105" s="391">
        <f t="shared" si="25"/>
        <v>33.755101153406542</v>
      </c>
      <c r="E105" s="383">
        <f t="shared" si="47"/>
        <v>35.02658446884336</v>
      </c>
      <c r="F105" s="383">
        <f t="shared" si="26"/>
        <v>35.104428024040502</v>
      </c>
      <c r="G105" s="110">
        <f t="shared" si="48"/>
        <v>0.62902519195531836</v>
      </c>
      <c r="H105" s="412" t="b">
        <f>Wh_hp&gt;='2023'!Maxi_hp</f>
        <v>0</v>
      </c>
      <c r="I105" s="388">
        <f>IF(H105,Wh_hp,'2023'!Maxi_hp)</f>
        <v>51.899466717873182</v>
      </c>
      <c r="J105" s="85">
        <f>IF(H105,An,'2023'!An_max)</f>
        <v>2021</v>
      </c>
      <c r="K105" s="197">
        <f t="shared" si="27"/>
        <v>45382</v>
      </c>
      <c r="L105" s="147">
        <f>IF(t&lt;Tvie,1-EXP((T0-t)*PertePVj)+'2023'!Pspv,1-EXP((T0-t)*PertePVj)+Pspv)</f>
        <v>3.5887770165097699E-2</v>
      </c>
      <c r="M105" s="832"/>
      <c r="N105" s="832"/>
      <c r="O105" s="48">
        <f>IF(t&lt;Tnet,'2023'!Resal+('2023'!Salim-'2023'!Resal)*(1-EXP(('2023'!Tnet-t)/('2023'!Tau_j))),Resal+(Salim-Resal)*(1-EXP((Tnet-t)/(Tau_j))))*Salcycl</f>
        <v>3.6300522437973409E-2</v>
      </c>
      <c r="P105" s="169">
        <f>(INDEX(Models!$BJ105:$BT105,,T105)*(1-R105)+INDEX(Models!$BJ105:$BT105,,T105+1)*R105-ERP_i)*Q105*Ramure*Pc/MaxiM</f>
        <v>4.6953453091947341E-3</v>
      </c>
      <c r="Q105" s="304">
        <f t="shared" si="28"/>
        <v>0.7</v>
      </c>
      <c r="R105" s="177">
        <f t="shared" si="29"/>
        <v>0.75541118638877025</v>
      </c>
      <c r="S105" s="799">
        <f t="shared" si="30"/>
        <v>0</v>
      </c>
      <c r="T105" s="176">
        <f t="shared" si="31"/>
        <v>6</v>
      </c>
      <c r="U105" s="250">
        <f t="shared" si="32"/>
        <v>0.75541118638877025</v>
      </c>
      <c r="V105" s="382">
        <f t="shared" si="33"/>
        <v>51.608247648151753</v>
      </c>
      <c r="W105" s="400">
        <f t="shared" si="34"/>
        <v>32.543705841313461</v>
      </c>
      <c r="X105" s="157">
        <f t="shared" si="35"/>
        <v>45382</v>
      </c>
      <c r="Y105" s="383">
        <f t="shared" si="36"/>
        <v>32.135393739550196</v>
      </c>
      <c r="Z105" s="383">
        <f t="shared" si="37"/>
        <v>33.331590187434053</v>
      </c>
      <c r="AA105" s="384">
        <f t="shared" si="38"/>
        <v>35.023379665716661</v>
      </c>
      <c r="AB105" s="197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4.8304575241739145E-2</v>
      </c>
      <c r="AD105" s="230">
        <f>(INDEX(Models!$BJ105:$BT105,,AH105)*(1-AF105)+INDEX(Models!$BJ105:$BT105,,AH105+1)*AF105-ERP_i)*AE105*Ramure*Pc/MaxiM</f>
        <v>4.8886517080320834E-3</v>
      </c>
      <c r="AE105" s="304">
        <f t="shared" si="40"/>
        <v>0.7</v>
      </c>
      <c r="AF105" s="177">
        <f t="shared" si="41"/>
        <v>0.8197434086486024</v>
      </c>
      <c r="AG105" s="799">
        <f t="shared" si="49"/>
        <v>0</v>
      </c>
      <c r="AH105" s="176">
        <f t="shared" si="42"/>
        <v>6</v>
      </c>
      <c r="AI105" s="224">
        <f t="shared" si="43"/>
        <v>0.8197434086486024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45383</v>
      </c>
      <c r="B106" s="409">
        <f>'2023'!Wh/'2023'!Env_an*'2024'!Env_an</f>
        <v>17.196428588630472</v>
      </c>
      <c r="C106" s="829"/>
      <c r="D106" s="391">
        <f t="shared" si="25"/>
        <v>17.836884159764509</v>
      </c>
      <c r="E106" s="383">
        <f t="shared" si="47"/>
        <v>18.51022740361072</v>
      </c>
      <c r="F106" s="383">
        <f t="shared" si="26"/>
        <v>18.514129406207012</v>
      </c>
      <c r="G106" s="110">
        <f t="shared" si="48"/>
        <v>0.3302461828742872</v>
      </c>
      <c r="H106" s="412" t="b">
        <f>Wh_hp&gt;='2023'!Maxi_hp</f>
        <v>0</v>
      </c>
      <c r="I106" s="388">
        <f>IF(H106,Wh_hp,'2023'!Maxi_hp)</f>
        <v>43.794374405786975</v>
      </c>
      <c r="J106" s="85">
        <f>IF(H106,An,'2023'!An_max)</f>
        <v>2021</v>
      </c>
      <c r="K106" s="197">
        <f t="shared" si="27"/>
        <v>45383</v>
      </c>
      <c r="L106" s="147">
        <f>IF(t&lt;Tvie,1-EXP((T0-t)*PertePVj)+'2023'!Pspv,1-EXP((T0-t)*PertePVj)+Pspv)</f>
        <v>3.5906247156033078E-2</v>
      </c>
      <c r="M106" s="832"/>
      <c r="N106" s="832"/>
      <c r="O106" s="48">
        <f>IF(t&lt;Tnet,'2023'!Resal+('2023'!Salim-'2023'!Resal)*(1-EXP(('2023'!Tnet-t)/('2023'!Tau_j))),Resal+(Salim-Resal)*(1-EXP((Tnet-t)/(Tau_j))))*Salcycl</f>
        <v>3.6376821805812296E-2</v>
      </c>
      <c r="P106" s="169">
        <f>(INDEX(Models!$BJ106:$BT106,,T106)*(1-R106)+INDEX(Models!$BJ106:$BT106,,T106+1)*R106-ERP_i)*Q106*Ramure*Pc/MaxiM</f>
        <v>4.6511111854501928E-3</v>
      </c>
      <c r="Q106" s="304">
        <f t="shared" si="28"/>
        <v>0.7</v>
      </c>
      <c r="R106" s="177">
        <f t="shared" si="29"/>
        <v>0.75625774962832182</v>
      </c>
      <c r="S106" s="799">
        <f t="shared" si="30"/>
        <v>0</v>
      </c>
      <c r="T106" s="176">
        <f t="shared" si="31"/>
        <v>6</v>
      </c>
      <c r="U106" s="250">
        <f t="shared" si="32"/>
        <v>0.75625774962832182</v>
      </c>
      <c r="V106" s="382">
        <f t="shared" si="33"/>
        <v>51.840279055611454</v>
      </c>
      <c r="W106" s="400">
        <f t="shared" si="34"/>
        <v>17.196428588630472</v>
      </c>
      <c r="X106" s="157">
        <f t="shared" si="35"/>
        <v>45383</v>
      </c>
      <c r="Y106" s="383">
        <f t="shared" si="36"/>
        <v>16.982281038019057</v>
      </c>
      <c r="Z106" s="383">
        <f t="shared" si="37"/>
        <v>17.614761000082471</v>
      </c>
      <c r="AA106" s="384">
        <f t="shared" si="38"/>
        <v>18.510065406281441</v>
      </c>
      <c r="AB106" s="197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4.8368516617728792E-2</v>
      </c>
      <c r="AD106" s="230">
        <f>(INDEX(Models!$BJ106:$BT106,,AH106)*(1-AF106)+INDEX(Models!$BJ106:$BT106,,AH106+1)*AF106-ERP_i)*AE106*Ramure*Pc/MaxiM</f>
        <v>4.8442088504641835E-3</v>
      </c>
      <c r="AE106" s="304">
        <f t="shared" si="40"/>
        <v>0.7</v>
      </c>
      <c r="AF106" s="177">
        <f t="shared" si="41"/>
        <v>0.82058997188815397</v>
      </c>
      <c r="AG106" s="799">
        <f t="shared" si="49"/>
        <v>0</v>
      </c>
      <c r="AH106" s="176">
        <f t="shared" si="42"/>
        <v>6</v>
      </c>
      <c r="AI106" s="224">
        <f t="shared" si="43"/>
        <v>0.82058997188815397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45384</v>
      </c>
      <c r="B107" s="409">
        <f>'2023'!Wh/'2023'!Env_an*'2024'!Env_an</f>
        <v>31.993007889324446</v>
      </c>
      <c r="C107" s="829"/>
      <c r="D107" s="391">
        <f t="shared" si="25"/>
        <v>33.185176177519267</v>
      </c>
      <c r="E107" s="383">
        <f t="shared" si="47"/>
        <v>34.440655812088352</v>
      </c>
      <c r="F107" s="383">
        <f t="shared" si="26"/>
        <v>34.51189756776769</v>
      </c>
      <c r="G107" s="110">
        <f t="shared" si="48"/>
        <v>0.61293890063126444</v>
      </c>
      <c r="H107" s="412" t="b">
        <f>Wh_hp&gt;='2023'!Maxi_hp</f>
        <v>0</v>
      </c>
      <c r="I107" s="388">
        <f>IF(H107,Wh_hp,'2023'!Maxi_hp)</f>
        <v>44.063854252234997</v>
      </c>
      <c r="J107" s="85">
        <f>IF(H107,An,'2023'!An_max)</f>
        <v>2021</v>
      </c>
      <c r="K107" s="197">
        <f t="shared" si="27"/>
        <v>45384</v>
      </c>
      <c r="L107" s="147">
        <f>IF(t&lt;Tvie,1-EXP((T0-t)*PertePVj)+'2023'!Pspv,1-EXP((T0-t)*PertePVj)+Pspv)</f>
        <v>3.5924723792861268E-2</v>
      </c>
      <c r="M107" s="832"/>
      <c r="N107" s="832"/>
      <c r="O107" s="48">
        <f>IF(t&lt;Tnet,'2023'!Resal+('2023'!Salim-'2023'!Resal)*(1-EXP(('2023'!Tnet-t)/('2023'!Tau_j))),Resal+(Salim-Resal)*(1-EXP((Tnet-t)/(Tau_j))))*Salcycl</f>
        <v>3.6453418350077545E-2</v>
      </c>
      <c r="P107" s="169">
        <f>(INDEX(Models!$BJ107:$BT107,,T107)*(1-R107)+INDEX(Models!$BJ107:$BT107,,T107+1)*R107-ERP_i)*Q107*Ramure*Pc/MaxiM</f>
        <v>4.5945958125439791E-3</v>
      </c>
      <c r="Q107" s="304">
        <f t="shared" si="28"/>
        <v>0.7</v>
      </c>
      <c r="R107" s="177">
        <f t="shared" si="29"/>
        <v>0.75713581747217262</v>
      </c>
      <c r="S107" s="799">
        <f t="shared" si="30"/>
        <v>0</v>
      </c>
      <c r="T107" s="176">
        <f t="shared" si="31"/>
        <v>6</v>
      </c>
      <c r="U107" s="250">
        <f t="shared" si="32"/>
        <v>0.75713581747217262</v>
      </c>
      <c r="V107" s="382">
        <f t="shared" si="33"/>
        <v>52.063733527825157</v>
      </c>
      <c r="W107" s="400">
        <f t="shared" si="34"/>
        <v>31.993007889324446</v>
      </c>
      <c r="X107" s="157">
        <f t="shared" si="35"/>
        <v>45384</v>
      </c>
      <c r="Y107" s="383">
        <f t="shared" si="36"/>
        <v>31.592512362854016</v>
      </c>
      <c r="Z107" s="383">
        <f t="shared" si="37"/>
        <v>32.769756825571918</v>
      </c>
      <c r="AA107" s="384">
        <f t="shared" si="38"/>
        <v>34.437672700901793</v>
      </c>
      <c r="AB107" s="197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4.8432885979725324E-2</v>
      </c>
      <c r="AD107" s="230">
        <f>(INDEX(Models!$BJ107:$BT107,,AH107)*(1-AF107)+INDEX(Models!$BJ107:$BT107,,AH107+1)*AF107-ERP_i)*AE107*Ramure*Pc/MaxiM</f>
        <v>4.7869856552058684E-3</v>
      </c>
      <c r="AE107" s="304">
        <f t="shared" si="40"/>
        <v>0.7</v>
      </c>
      <c r="AF107" s="177">
        <f t="shared" si="41"/>
        <v>0.82146803973200477</v>
      </c>
      <c r="AG107" s="799">
        <f t="shared" si="49"/>
        <v>0</v>
      </c>
      <c r="AH107" s="176">
        <f t="shared" si="42"/>
        <v>6</v>
      </c>
      <c r="AI107" s="224">
        <f t="shared" si="43"/>
        <v>0.82146803973200477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45385</v>
      </c>
      <c r="B108" s="409">
        <f>'2023'!Wh/'2023'!Env_an*'2024'!Env_an</f>
        <v>44.302653002679719</v>
      </c>
      <c r="C108" s="829"/>
      <c r="D108" s="391">
        <f t="shared" si="25"/>
        <v>45.954401240832858</v>
      </c>
      <c r="E108" s="383">
        <f t="shared" si="47"/>
        <v>47.69678019716217</v>
      </c>
      <c r="F108" s="383">
        <f t="shared" si="26"/>
        <v>47.8660855677021</v>
      </c>
      <c r="G108" s="110">
        <f t="shared" si="48"/>
        <v>0.84657418898318559</v>
      </c>
      <c r="H108" s="412" t="b">
        <f>Wh_hp&gt;='2023'!Maxi_hp</f>
        <v>0</v>
      </c>
      <c r="I108" s="388">
        <f>IF(H108,Wh_hp,'2023'!Maxi_hp)</f>
        <v>54.48441415561728</v>
      </c>
      <c r="J108" s="85">
        <f>IF(H108,An,'2023'!An_max)</f>
        <v>2020</v>
      </c>
      <c r="K108" s="197">
        <f t="shared" si="27"/>
        <v>45385</v>
      </c>
      <c r="L108" s="147">
        <f>IF(t&lt;Tvie,1-EXP((T0-t)*PertePVj)+'2023'!Pspv,1-EXP((T0-t)*PertePVj)+Pspv)</f>
        <v>3.5943200075588821E-2</v>
      </c>
      <c r="M108" s="832"/>
      <c r="N108" s="832"/>
      <c r="O108" s="48">
        <f>IF(t&lt;Tnet,'2023'!Resal+('2023'!Salim-'2023'!Resal)*(1-EXP(('2023'!Tnet-t)/('2023'!Tau_j))),Resal+(Salim-Resal)*(1-EXP((Tnet-t)/(Tau_j))))*Salcycl</f>
        <v>3.6530326557199698E-2</v>
      </c>
      <c r="P108" s="169">
        <f>(INDEX(Models!$BJ108:$BT108,,T108)*(1-R108)+INDEX(Models!$BJ108:$BT108,,T108+1)*R108-ERP_i)*Q108*Ramure*Pc/MaxiM</f>
        <v>4.5229942588784723E-3</v>
      </c>
      <c r="Q108" s="304">
        <f t="shared" si="28"/>
        <v>0.7</v>
      </c>
      <c r="R108" s="177">
        <f t="shared" si="29"/>
        <v>0.75804639830005482</v>
      </c>
      <c r="S108" s="799">
        <f t="shared" si="30"/>
        <v>0</v>
      </c>
      <c r="T108" s="176">
        <f t="shared" si="31"/>
        <v>6</v>
      </c>
      <c r="U108" s="250">
        <f t="shared" si="32"/>
        <v>0.75804639830005482</v>
      </c>
      <c r="V108" s="382">
        <f t="shared" si="33"/>
        <v>52.279905497570418</v>
      </c>
      <c r="W108" s="400">
        <f t="shared" si="34"/>
        <v>44.302653002679719</v>
      </c>
      <c r="X108" s="157">
        <f t="shared" si="35"/>
        <v>45385</v>
      </c>
      <c r="Y108" s="383">
        <f t="shared" si="36"/>
        <v>43.745805969262001</v>
      </c>
      <c r="Z108" s="383">
        <f t="shared" si="37"/>
        <v>45.376793123280684</v>
      </c>
      <c r="AA108" s="384">
        <f t="shared" si="38"/>
        <v>47.68963058850656</v>
      </c>
      <c r="AB108" s="197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4.8497701422398509E-2</v>
      </c>
      <c r="AD108" s="230">
        <f>(INDEX(Models!$BJ108:$BT108,,AH108)*(1-AF108)+INDEX(Models!$BJ108:$BT108,,AH108+1)*AF108-ERP_i)*AE108*Ramure*Pc/MaxiM</f>
        <v>4.7139961083735183E-3</v>
      </c>
      <c r="AE108" s="304">
        <f t="shared" si="40"/>
        <v>0.7</v>
      </c>
      <c r="AF108" s="177">
        <f t="shared" si="41"/>
        <v>0.82237862055988697</v>
      </c>
      <c r="AG108" s="799">
        <f t="shared" si="49"/>
        <v>0</v>
      </c>
      <c r="AH108" s="176">
        <f t="shared" si="42"/>
        <v>6</v>
      </c>
      <c r="AI108" s="224">
        <f t="shared" si="43"/>
        <v>0.82237862055988697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45386</v>
      </c>
      <c r="B109" s="409">
        <f>'2023'!Wh/'2023'!Env_an*'2024'!Env_an</f>
        <v>52.394846744376331</v>
      </c>
      <c r="C109" s="829"/>
      <c r="D109" s="391">
        <f t="shared" si="25"/>
        <v>54.349340104248625</v>
      </c>
      <c r="E109" s="383">
        <f t="shared" si="47"/>
        <v>56.41453875413282</v>
      </c>
      <c r="F109" s="383">
        <f t="shared" si="26"/>
        <v>56.665846101696523</v>
      </c>
      <c r="G109" s="110">
        <f t="shared" si="48"/>
        <v>0.99820089680510182</v>
      </c>
      <c r="H109" s="412" t="b">
        <f>Wh_hp&gt;='2023'!Maxi_hp</f>
        <v>0</v>
      </c>
      <c r="I109" s="388">
        <f>IF(H109,Wh_hp,'2023'!Maxi_hp)</f>
        <v>58.465341345603605</v>
      </c>
      <c r="J109" s="85">
        <f>IF(H109,An,'2023'!An_max)</f>
        <v>2020</v>
      </c>
      <c r="K109" s="197">
        <f t="shared" si="27"/>
        <v>45386</v>
      </c>
      <c r="L109" s="147">
        <f>IF(t&lt;Tvie,1-EXP((T0-t)*PertePVj)+'2023'!Pspv,1-EXP((T0-t)*PertePVj)+Pspv)</f>
        <v>3.596167600422262E-2</v>
      </c>
      <c r="M109" s="832"/>
      <c r="N109" s="832"/>
      <c r="O109" s="48">
        <f>IF(t&lt;Tnet,'2023'!Resal+('2023'!Salim-'2023'!Resal)*(1-EXP(('2023'!Tnet-t)/('2023'!Tau_j))),Resal+(Salim-Resal)*(1-EXP((Tnet-t)/(Tau_j))))*Salcycl</f>
        <v>3.6607560665962276E-2</v>
      </c>
      <c r="P109" s="169">
        <f>(INDEX(Models!$BJ109:$BT109,,T109)*(1-R109)+INDEX(Models!$BJ109:$BT109,,T109+1)*R109-ERP_i)*Q109*Ramure*Pc/MaxiM</f>
        <v>4.4462549780910224E-3</v>
      </c>
      <c r="Q109" s="304">
        <f t="shared" si="28"/>
        <v>0.7</v>
      </c>
      <c r="R109" s="177">
        <f t="shared" si="29"/>
        <v>0.75899051960246977</v>
      </c>
      <c r="S109" s="799">
        <f t="shared" si="30"/>
        <v>0</v>
      </c>
      <c r="T109" s="176">
        <f t="shared" si="31"/>
        <v>6</v>
      </c>
      <c r="U109" s="250">
        <f t="shared" si="32"/>
        <v>0.75899051960246977</v>
      </c>
      <c r="V109" s="382">
        <f t="shared" si="33"/>
        <v>52.488681694344336</v>
      </c>
      <c r="W109" s="400">
        <f t="shared" si="34"/>
        <v>52.394846744376331</v>
      </c>
      <c r="X109" s="157">
        <f t="shared" si="35"/>
        <v>45386</v>
      </c>
      <c r="Y109" s="383">
        <f t="shared" si="36"/>
        <v>51.734827527773703</v>
      </c>
      <c r="Z109" s="383">
        <f t="shared" si="37"/>
        <v>53.66470008509777</v>
      </c>
      <c r="AA109" s="384">
        <f t="shared" si="38"/>
        <v>56.403838608854443</v>
      </c>
      <c r="AB109" s="197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4.8562980664345716E-2</v>
      </c>
      <c r="AD109" s="230">
        <f>(INDEX(Models!$BJ109:$BT109,,AH109)*(1-AF109)+INDEX(Models!$BJ109:$BT109,,AH109+1)*AF109-ERP_i)*AE109*Ramure*Pc/MaxiM</f>
        <v>4.6355672869889267E-3</v>
      </c>
      <c r="AE109" s="304">
        <f t="shared" si="40"/>
        <v>0.7</v>
      </c>
      <c r="AF109" s="177">
        <f t="shared" si="41"/>
        <v>0.82332274186230192</v>
      </c>
      <c r="AG109" s="799">
        <f t="shared" si="49"/>
        <v>0</v>
      </c>
      <c r="AH109" s="176">
        <f t="shared" si="42"/>
        <v>6</v>
      </c>
      <c r="AI109" s="224">
        <f t="shared" si="43"/>
        <v>0.82332274186230192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45387</v>
      </c>
      <c r="B110" s="409">
        <f>'2023'!Wh/'2023'!Env_an*'2024'!Env_an</f>
        <v>12.058305140104906</v>
      </c>
      <c r="C110" s="829"/>
      <c r="D110" s="391">
        <f t="shared" si="25"/>
        <v>12.508357747874923</v>
      </c>
      <c r="E110" s="383">
        <f t="shared" si="47"/>
        <v>12.98470333807823</v>
      </c>
      <c r="F110" s="383">
        <f t="shared" si="26"/>
        <v>12.98470333807823</v>
      </c>
      <c r="G110" s="110">
        <f t="shared" si="48"/>
        <v>0.2278529472937636</v>
      </c>
      <c r="H110" s="412" t="b">
        <f>Wh_hp&gt;='2023'!Maxi_hp</f>
        <v>0</v>
      </c>
      <c r="I110" s="388">
        <f>IF(H110,Wh_hp,'2023'!Maxi_hp)</f>
        <v>59.416138633229195</v>
      </c>
      <c r="J110" s="85">
        <f>IF(H110,An,'2023'!An_max)</f>
        <v>2020</v>
      </c>
      <c r="K110" s="197">
        <f t="shared" si="27"/>
        <v>45387</v>
      </c>
      <c r="L110" s="147">
        <f>IF(t&lt;Tvie,1-EXP((T0-t)*PertePVj)+'2023'!Pspv,1-EXP((T0-t)*PertePVj)+Pspv)</f>
        <v>3.5980151578769548E-2</v>
      </c>
      <c r="M110" s="832"/>
      <c r="N110" s="832"/>
      <c r="O110" s="48">
        <f>IF(t&lt;Tnet,'2023'!Resal+('2023'!Salim-'2023'!Resal)*(1-EXP(('2023'!Tnet-t)/('2023'!Tau_j))),Resal+(Salim-Resal)*(1-EXP((Tnet-t)/(Tau_j))))*Salcycl</f>
        <v>3.6685134638879478E-2</v>
      </c>
      <c r="P110" s="169">
        <f>(INDEX(Models!$BJ110:$BT110,,T110)*(1-R110)+INDEX(Models!$BJ110:$BT110,,T110+1)*R110-ERP_i)*Q110*Ramure*Pc/MaxiM</f>
        <v>4.3643400898624955E-3</v>
      </c>
      <c r="Q110" s="304">
        <f t="shared" si="28"/>
        <v>0.7</v>
      </c>
      <c r="R110" s="177">
        <f t="shared" si="29"/>
        <v>0.75996922722090188</v>
      </c>
      <c r="S110" s="799">
        <f t="shared" si="30"/>
        <v>0</v>
      </c>
      <c r="T110" s="176">
        <f t="shared" si="31"/>
        <v>6</v>
      </c>
      <c r="U110" s="250">
        <f t="shared" si="32"/>
        <v>0.75996922722090188</v>
      </c>
      <c r="V110" s="382">
        <f t="shared" si="33"/>
        <v>52.690468735028517</v>
      </c>
      <c r="W110" s="400">
        <f t="shared" si="34"/>
        <v>12.058305140104906</v>
      </c>
      <c r="X110" s="157">
        <f t="shared" si="35"/>
        <v>45387</v>
      </c>
      <c r="Y110" s="383">
        <f t="shared" si="36"/>
        <v>11.908800907066349</v>
      </c>
      <c r="Z110" s="383">
        <f t="shared" si="37"/>
        <v>12.353273562333101</v>
      </c>
      <c r="AA110" s="384">
        <f t="shared" si="38"/>
        <v>12.98470333807823</v>
      </c>
      <c r="AB110" s="197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4.8628741012005469E-2</v>
      </c>
      <c r="AD110" s="230">
        <f>(INDEX(Models!$BJ110:$BT110,,AH110)*(1-AF110)+INDEX(Models!$BJ110:$BT110,,AH110+1)*AF110-ERP_i)*AE110*Ramure*Pc/MaxiM</f>
        <v>4.5516620131232028E-3</v>
      </c>
      <c r="AE110" s="304">
        <f t="shared" si="40"/>
        <v>0.7</v>
      </c>
      <c r="AF110" s="177">
        <f t="shared" si="41"/>
        <v>0.82430144948073403</v>
      </c>
      <c r="AG110" s="799">
        <f t="shared" si="49"/>
        <v>0</v>
      </c>
      <c r="AH110" s="176">
        <f t="shared" si="42"/>
        <v>6</v>
      </c>
      <c r="AI110" s="224">
        <f t="shared" si="43"/>
        <v>0.82430144948073403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45388</v>
      </c>
      <c r="B111" s="409">
        <f>'2023'!Wh/'2023'!Env_an*'2024'!Env_an</f>
        <v>43.85820787201191</v>
      </c>
      <c r="C111" s="829"/>
      <c r="D111" s="391">
        <f t="shared" si="25"/>
        <v>45.496001449033166</v>
      </c>
      <c r="E111" s="383">
        <f t="shared" si="47"/>
        <v>47.232409452483161</v>
      </c>
      <c r="F111" s="383">
        <f t="shared" si="26"/>
        <v>47.385663841469643</v>
      </c>
      <c r="G111" s="110">
        <f t="shared" si="48"/>
        <v>0.82843447026444539</v>
      </c>
      <c r="H111" s="412" t="b">
        <f>Wh_hp&gt;='2023'!Maxi_hp</f>
        <v>0</v>
      </c>
      <c r="I111" s="388">
        <f>IF(H111,Wh_hp,'2023'!Maxi_hp)</f>
        <v>57.546398916195137</v>
      </c>
      <c r="J111" s="85">
        <f>IF(H111,An,'2023'!An_max)</f>
        <v>2021</v>
      </c>
      <c r="K111" s="197">
        <f t="shared" si="27"/>
        <v>45388</v>
      </c>
      <c r="L111" s="147">
        <f>IF(t&lt;Tvie,1-EXP((T0-t)*PertePVj)+'2023'!Pspv,1-EXP((T0-t)*PertePVj)+Pspv)</f>
        <v>3.5998626799236266E-2</v>
      </c>
      <c r="M111" s="832"/>
      <c r="N111" s="832"/>
      <c r="O111" s="48">
        <f>IF(t&lt;Tnet,'2023'!Resal+('2023'!Salim-'2023'!Resal)*(1-EXP(('2023'!Tnet-t)/('2023'!Tau_j))),Resal+(Salim-Resal)*(1-EXP((Tnet-t)/(Tau_j))))*Salcycl</f>
        <v>3.6763062134208054E-2</v>
      </c>
      <c r="P111" s="169">
        <f>(INDEX(Models!$BJ111:$BT111,,T111)*(1-R111)+INDEX(Models!$BJ111:$BT111,,T111+1)*R111-ERP_i)*Q111*Ramure*Pc/MaxiM</f>
        <v>4.277206826516655E-3</v>
      </c>
      <c r="Q111" s="304">
        <f t="shared" si="28"/>
        <v>0.7</v>
      </c>
      <c r="R111" s="177">
        <f t="shared" si="29"/>
        <v>0.76098358446966108</v>
      </c>
      <c r="S111" s="799">
        <f t="shared" si="30"/>
        <v>0</v>
      </c>
      <c r="T111" s="176">
        <f t="shared" si="31"/>
        <v>6</v>
      </c>
      <c r="U111" s="250">
        <f t="shared" si="32"/>
        <v>0.76098358446966108</v>
      </c>
      <c r="V111" s="382">
        <f t="shared" si="33"/>
        <v>52.885673286540943</v>
      </c>
      <c r="W111" s="400">
        <f t="shared" si="34"/>
        <v>43.85820787201191</v>
      </c>
      <c r="X111" s="157">
        <f t="shared" si="35"/>
        <v>45388</v>
      </c>
      <c r="Y111" s="383">
        <f t="shared" si="36"/>
        <v>43.30884174757653</v>
      </c>
      <c r="Z111" s="383">
        <f t="shared" si="37"/>
        <v>44.926120388997617</v>
      </c>
      <c r="AA111" s="384">
        <f t="shared" si="38"/>
        <v>47.225779699569806</v>
      </c>
      <c r="AB111" s="197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4.8694999324556142E-2</v>
      </c>
      <c r="AD111" s="230">
        <f>(INDEX(Models!$BJ111:$BT111,,AH111)*(1-AF111)+INDEX(Models!$BJ111:$BT111,,AH111+1)*AF111-ERP_i)*AE111*Ramure*Pc/MaxiM</f>
        <v>4.4622379020158006E-3</v>
      </c>
      <c r="AE111" s="304">
        <f t="shared" si="40"/>
        <v>0.7</v>
      </c>
      <c r="AF111" s="177">
        <f t="shared" si="41"/>
        <v>0.82531580672949323</v>
      </c>
      <c r="AG111" s="799">
        <f t="shared" si="49"/>
        <v>0</v>
      </c>
      <c r="AH111" s="176">
        <f t="shared" si="42"/>
        <v>6</v>
      </c>
      <c r="AI111" s="224">
        <f t="shared" si="43"/>
        <v>0.82531580672949323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45389</v>
      </c>
      <c r="B112" s="409">
        <f>'2023'!Wh/'2023'!Env_an*'2024'!Env_an</f>
        <v>38.308602637745487</v>
      </c>
      <c r="C112" s="829"/>
      <c r="D112" s="391">
        <f t="shared" si="25"/>
        <v>39.739919353276363</v>
      </c>
      <c r="E112" s="383">
        <f t="shared" si="47"/>
        <v>41.259993481422875</v>
      </c>
      <c r="F112" s="383">
        <f t="shared" si="26"/>
        <v>41.364296235898998</v>
      </c>
      <c r="G112" s="110">
        <f t="shared" si="48"/>
        <v>0.72058294357808161</v>
      </c>
      <c r="H112" s="412" t="b">
        <f>Wh_hp&gt;='2023'!Maxi_hp</f>
        <v>0</v>
      </c>
      <c r="I112" s="388">
        <f>IF(H112,Wh_hp,'2023'!Maxi_hp)</f>
        <v>58.154414706140663</v>
      </c>
      <c r="J112" s="85">
        <f>IF(H112,An,'2023'!An_max)</f>
        <v>2021</v>
      </c>
      <c r="K112" s="197">
        <f t="shared" si="27"/>
        <v>45389</v>
      </c>
      <c r="L112" s="147">
        <f>IF(t&lt;Tvie,1-EXP((T0-t)*PertePVj)+'2023'!Pspv,1-EXP((T0-t)*PertePVj)+Pspv)</f>
        <v>3.6017101665629658E-2</v>
      </c>
      <c r="M112" s="832"/>
      <c r="N112" s="832"/>
      <c r="O112" s="48">
        <f>IF(t&lt;Tnet,'2023'!Resal+('2023'!Salim-'2023'!Resal)*(1-EXP(('2023'!Tnet-t)/('2023'!Tau_j))),Resal+(Salim-Resal)*(1-EXP((Tnet-t)/(Tau_j))))*Salcycl</f>
        <v>3.6841356478423085E-2</v>
      </c>
      <c r="P112" s="169">
        <f>(INDEX(Models!$BJ112:$BT112,,T112)*(1-R112)+INDEX(Models!$BJ112:$BT112,,T112+1)*R112-ERP_i)*Q112*Ramure*Pc/MaxiM</f>
        <v>4.1848078182678264E-3</v>
      </c>
      <c r="Q112" s="304">
        <f t="shared" si="28"/>
        <v>0.7</v>
      </c>
      <c r="R112" s="177">
        <f t="shared" si="29"/>
        <v>0.76203467113185597</v>
      </c>
      <c r="S112" s="799">
        <f t="shared" si="30"/>
        <v>0</v>
      </c>
      <c r="T112" s="176">
        <f t="shared" si="31"/>
        <v>6</v>
      </c>
      <c r="U112" s="250">
        <f t="shared" si="32"/>
        <v>0.76203467113185597</v>
      </c>
      <c r="V112" s="382">
        <f t="shared" si="33"/>
        <v>53.074702075956708</v>
      </c>
      <c r="W112" s="400">
        <f t="shared" si="34"/>
        <v>38.308602637745487</v>
      </c>
      <c r="X112" s="157">
        <f t="shared" si="35"/>
        <v>45389</v>
      </c>
      <c r="Y112" s="383">
        <f t="shared" si="36"/>
        <v>37.83031124828014</v>
      </c>
      <c r="Z112" s="383">
        <f t="shared" si="37"/>
        <v>39.243757657574328</v>
      </c>
      <c r="AA112" s="384">
        <f t="shared" si="38"/>
        <v>41.255446324147719</v>
      </c>
      <c r="AB112" s="197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4.8761771979567735E-2</v>
      </c>
      <c r="AD112" s="230">
        <f>(INDEX(Models!$BJ112:$BT112,,AH112)*(1-AF112)+INDEX(Models!$BJ112:$BT112,,AH112+1)*AF112-ERP_i)*AE112*Ramure*Pc/MaxiM</f>
        <v>4.3672476724358434E-3</v>
      </c>
      <c r="AE112" s="304">
        <f t="shared" si="40"/>
        <v>0.7</v>
      </c>
      <c r="AF112" s="177">
        <f t="shared" si="41"/>
        <v>0.82636689339168812</v>
      </c>
      <c r="AG112" s="799">
        <f t="shared" si="49"/>
        <v>0</v>
      </c>
      <c r="AH112" s="176">
        <f t="shared" si="42"/>
        <v>6</v>
      </c>
      <c r="AI112" s="224">
        <f t="shared" si="43"/>
        <v>0.82636689339168812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45390</v>
      </c>
      <c r="B113" s="409">
        <f>'2023'!Wh/'2023'!Env_an*'2024'!Env_an</f>
        <v>30.883544841457116</v>
      </c>
      <c r="C113" s="829"/>
      <c r="D113" s="391">
        <f t="shared" si="25"/>
        <v>32.038054598536192</v>
      </c>
      <c r="E113" s="383">
        <f t="shared" si="47"/>
        <v>33.266245397869199</v>
      </c>
      <c r="F113" s="383">
        <f t="shared" si="26"/>
        <v>33.320697106674523</v>
      </c>
      <c r="G113" s="110">
        <f t="shared" si="48"/>
        <v>0.57846122646989306</v>
      </c>
      <c r="H113" s="412" t="b">
        <f>Wh_hp&gt;='2023'!Maxi_hp</f>
        <v>0</v>
      </c>
      <c r="I113" s="388">
        <f>IF(H113,Wh_hp,'2023'!Maxi_hp)</f>
        <v>44.615117230380669</v>
      </c>
      <c r="J113" s="85">
        <f>IF(H113,An,'2023'!An_max)</f>
        <v>2018</v>
      </c>
      <c r="K113" s="197">
        <f t="shared" si="27"/>
        <v>45390</v>
      </c>
      <c r="L113" s="147">
        <f>IF(t&lt;Tvie,1-EXP((T0-t)*PertePVj)+'2023'!Pspv,1-EXP((T0-t)*PertePVj)+Pspv)</f>
        <v>3.6035576177956385E-2</v>
      </c>
      <c r="M113" s="832"/>
      <c r="N113" s="832"/>
      <c r="O113" s="48">
        <f>IF(t&lt;Tnet,'2023'!Resal+('2023'!Salim-'2023'!Resal)*(1-EXP(('2023'!Tnet-t)/('2023'!Tau_j))),Resal+(Salim-Resal)*(1-EXP((Tnet-t)/(Tau_j))))*Salcycl</f>
        <v>3.6920030638975553E-2</v>
      </c>
      <c r="P113" s="169">
        <f>(INDEX(Models!$BJ113:$BT113,,T113)*(1-R113)+INDEX(Models!$BJ113:$BT113,,T113+1)*R113-ERP_i)*Q113*Ramure*Pc/MaxiM</f>
        <v>4.0870913744850031E-3</v>
      </c>
      <c r="Q113" s="304">
        <f t="shared" si="28"/>
        <v>0.7</v>
      </c>
      <c r="R113" s="177">
        <f t="shared" si="29"/>
        <v>0.7631235823219088</v>
      </c>
      <c r="S113" s="799">
        <f t="shared" si="30"/>
        <v>0</v>
      </c>
      <c r="T113" s="176">
        <f t="shared" si="31"/>
        <v>6</v>
      </c>
      <c r="U113" s="250">
        <f t="shared" si="32"/>
        <v>0.7631235823219088</v>
      </c>
      <c r="V113" s="382">
        <f t="shared" si="33"/>
        <v>53.257961897499413</v>
      </c>
      <c r="W113" s="400">
        <f t="shared" si="34"/>
        <v>30.883544841457116</v>
      </c>
      <c r="X113" s="157">
        <f t="shared" si="35"/>
        <v>45390</v>
      </c>
      <c r="Y113" s="383">
        <f t="shared" si="36"/>
        <v>30.499458542277647</v>
      </c>
      <c r="Z113" s="383">
        <f t="shared" si="37"/>
        <v>31.639610123109811</v>
      </c>
      <c r="AA113" s="384">
        <f t="shared" si="38"/>
        <v>33.263853305608187</v>
      </c>
      <c r="AB113" s="197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4.882907483915979E-2</v>
      </c>
      <c r="AD113" s="230">
        <f>(INDEX(Models!$BJ113:$BT113,,AH113)*(1-AF113)+INDEX(Models!$BJ113:$BT113,,AH113+1)*AF113-ERP_i)*AE113*Ramure*Pc/MaxiM</f>
        <v>4.2666394522487714E-3</v>
      </c>
      <c r="AE113" s="304">
        <f t="shared" si="40"/>
        <v>0.7</v>
      </c>
      <c r="AF113" s="177">
        <f t="shared" si="41"/>
        <v>0.82745580458174095</v>
      </c>
      <c r="AG113" s="799">
        <f t="shared" si="49"/>
        <v>0</v>
      </c>
      <c r="AH113" s="176">
        <f t="shared" si="42"/>
        <v>6</v>
      </c>
      <c r="AI113" s="224">
        <f t="shared" si="43"/>
        <v>0.82745580458174095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45391</v>
      </c>
      <c r="B114" s="409">
        <f>'2023'!Wh/'2023'!Env_an*'2024'!Env_an</f>
        <v>56.013660525540892</v>
      </c>
      <c r="C114" s="829"/>
      <c r="D114" s="391">
        <f t="shared" si="25"/>
        <v>58.108715063410351</v>
      </c>
      <c r="E114" s="383">
        <f t="shared" si="47"/>
        <v>60.341288252463954</v>
      </c>
      <c r="F114" s="383">
        <f t="shared" si="26"/>
        <v>60.582831847269304</v>
      </c>
      <c r="G114" s="110">
        <f t="shared" si="48"/>
        <v>1.0482441826576601</v>
      </c>
      <c r="H114" s="412" t="b">
        <f>Wh_hp&gt;='2023'!Maxi_hp</f>
        <v>1</v>
      </c>
      <c r="I114" s="388">
        <f>IF(H114,Wh_hp,'2023'!Maxi_hp)</f>
        <v>60.582831847269304</v>
      </c>
      <c r="J114" s="85">
        <f>IF(H114,An,'2023'!An_max)</f>
        <v>2024</v>
      </c>
      <c r="K114" s="197">
        <f t="shared" si="27"/>
        <v>45391</v>
      </c>
      <c r="L114" s="147">
        <f>IF(t&lt;Tvie,1-EXP((T0-t)*PertePVj)+'2023'!Pspv,1-EXP((T0-t)*PertePVj)+Pspv)</f>
        <v>3.6054050336223331E-2</v>
      </c>
      <c r="M114" s="832"/>
      <c r="N114" s="832"/>
      <c r="O114" s="48">
        <f>IF(t&lt;Tnet,'2023'!Resal+('2023'!Salim-'2023'!Resal)*(1-EXP(('2023'!Tnet-t)/('2023'!Tau_j))),Resal+(Salim-Resal)*(1-EXP((Tnet-t)/(Tau_j))))*Salcycl</f>
        <v>3.6999097197140778E-2</v>
      </c>
      <c r="P114" s="169">
        <f>(INDEX(Models!$BJ114:$BT114,,T114)*(1-R114)+INDEX(Models!$BJ114:$BT114,,T114+1)*R114-ERP_i)*Q114*Ramure*Pc/MaxiM</f>
        <v>3.9869974288142106E-3</v>
      </c>
      <c r="Q114" s="304">
        <f t="shared" si="28"/>
        <v>0.7</v>
      </c>
      <c r="R114" s="177">
        <f t="shared" si="29"/>
        <v>0.7642514272069828</v>
      </c>
      <c r="S114" s="799">
        <f t="shared" si="30"/>
        <v>0</v>
      </c>
      <c r="T114" s="176">
        <f t="shared" si="31"/>
        <v>6</v>
      </c>
      <c r="U114" s="250">
        <f t="shared" si="32"/>
        <v>0.7642514272069828</v>
      </c>
      <c r="V114" s="382">
        <f t="shared" si="33"/>
        <v>53.435698907030392</v>
      </c>
      <c r="W114" s="400">
        <f t="shared" si="34"/>
        <v>56.013660525540892</v>
      </c>
      <c r="X114" s="157">
        <f t="shared" si="35"/>
        <v>45391</v>
      </c>
      <c r="Y114" s="383">
        <f t="shared" si="36"/>
        <v>55.311823261893359</v>
      </c>
      <c r="Z114" s="383">
        <f t="shared" si="37"/>
        <v>57.380627286401342</v>
      </c>
      <c r="AA114" s="384">
        <f t="shared" si="38"/>
        <v>60.330608413600423</v>
      </c>
      <c r="AB114" s="197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4.8896923216409365E-2</v>
      </c>
      <c r="AD114" s="230">
        <f>(INDEX(Models!$BJ114:$BT114,,AH114)*(1-AF114)+INDEX(Models!$BJ114:$BT114,,AH114+1)*AF114-ERP_i)*AE114*Ramure*Pc/MaxiM</f>
        <v>4.1632823355756141E-3</v>
      </c>
      <c r="AE114" s="304">
        <f t="shared" si="40"/>
        <v>0.7</v>
      </c>
      <c r="AF114" s="177">
        <f t="shared" si="41"/>
        <v>0.82858364946681495</v>
      </c>
      <c r="AG114" s="799">
        <f t="shared" si="49"/>
        <v>0</v>
      </c>
      <c r="AH114" s="176">
        <f t="shared" si="42"/>
        <v>6</v>
      </c>
      <c r="AI114" s="224">
        <f t="shared" si="43"/>
        <v>0.82858364946681495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45392</v>
      </c>
      <c r="B115" s="409">
        <f>'2023'!Wh/'2023'!Env_an*'2024'!Env_an</f>
        <v>44.687586039681584</v>
      </c>
      <c r="C115" s="829"/>
      <c r="D115" s="391">
        <f t="shared" si="25"/>
        <v>46.359904825653331</v>
      </c>
      <c r="E115" s="383">
        <f t="shared" si="47"/>
        <v>48.145054518940746</v>
      </c>
      <c r="F115" s="383">
        <f t="shared" si="26"/>
        <v>48.288176297932537</v>
      </c>
      <c r="G115" s="110">
        <f t="shared" si="48"/>
        <v>0.83282459655840879</v>
      </c>
      <c r="H115" s="412" t="b">
        <f>Wh_hp&gt;='2023'!Maxi_hp</f>
        <v>0</v>
      </c>
      <c r="I115" s="388">
        <f>IF(H115,Wh_hp,'2023'!Maxi_hp)</f>
        <v>58.211509097292016</v>
      </c>
      <c r="J115" s="85">
        <f>IF(H115,An,'2023'!An_max)</f>
        <v>2020</v>
      </c>
      <c r="K115" s="197">
        <f t="shared" si="27"/>
        <v>45392</v>
      </c>
      <c r="L115" s="147">
        <f>IF(t&lt;Tvie,1-EXP((T0-t)*PertePVj)+'2023'!Pspv,1-EXP((T0-t)*PertePVj)+Pspv)</f>
        <v>3.6072524140437157E-2</v>
      </c>
      <c r="M115" s="832"/>
      <c r="N115" s="832"/>
      <c r="O115" s="48">
        <f>IF(t&lt;Tnet,'2023'!Resal+('2023'!Salim-'2023'!Resal)*(1-EXP(('2023'!Tnet-t)/('2023'!Tau_j))),Resal+(Salim-Resal)*(1-EXP((Tnet-t)/(Tau_j))))*Salcycl</f>
        <v>3.7078568320763235E-2</v>
      </c>
      <c r="P115" s="169">
        <f>(INDEX(Models!$BJ115:$BT115,,T115)*(1-R115)+INDEX(Models!$BJ115:$BT115,,T115+1)*R115-ERP_i)*Q115*Ramure*Pc/MaxiM</f>
        <v>3.8882060799922979E-3</v>
      </c>
      <c r="Q115" s="304">
        <f t="shared" si="28"/>
        <v>0.7</v>
      </c>
      <c r="R115" s="177">
        <f t="shared" si="29"/>
        <v>0.76541932757970055</v>
      </c>
      <c r="S115" s="799">
        <f t="shared" si="30"/>
        <v>0</v>
      </c>
      <c r="T115" s="176">
        <f t="shared" si="31"/>
        <v>6</v>
      </c>
      <c r="U115" s="250">
        <f t="shared" si="32"/>
        <v>0.76541932757970055</v>
      </c>
      <c r="V115" s="382">
        <f t="shared" si="33"/>
        <v>53.608117302468656</v>
      </c>
      <c r="W115" s="400">
        <f t="shared" si="34"/>
        <v>44.687586039681584</v>
      </c>
      <c r="X115" s="157">
        <f t="shared" si="35"/>
        <v>45392</v>
      </c>
      <c r="Y115" s="383">
        <f t="shared" si="36"/>
        <v>44.130109601747456</v>
      </c>
      <c r="Z115" s="383">
        <f t="shared" si="37"/>
        <v>45.781566255692965</v>
      </c>
      <c r="AA115" s="384">
        <f t="shared" si="38"/>
        <v>48.138693350004104</v>
      </c>
      <c r="AB115" s="197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4.8965331841748734E-2</v>
      </c>
      <c r="AD115" s="230">
        <f>(INDEX(Models!$BJ115:$BT115,,AH115)*(1-AF115)+INDEX(Models!$BJ115:$BT115,,AH115+1)*AF115-ERP_i)*AE115*Ramure*Pc/MaxiM</f>
        <v>4.0610206991895667E-3</v>
      </c>
      <c r="AE115" s="304">
        <f t="shared" si="40"/>
        <v>0.7</v>
      </c>
      <c r="AF115" s="177">
        <f t="shared" si="41"/>
        <v>0.8297515498395327</v>
      </c>
      <c r="AG115" s="799">
        <f t="shared" si="49"/>
        <v>0</v>
      </c>
      <c r="AH115" s="176">
        <f t="shared" si="42"/>
        <v>6</v>
      </c>
      <c r="AI115" s="224">
        <f t="shared" si="43"/>
        <v>0.8297515498395327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45393</v>
      </c>
      <c r="B116" s="409">
        <f>'2023'!Wh/'2023'!Env_an*'2024'!Env_an</f>
        <v>39.199217758939881</v>
      </c>
      <c r="C116" s="829"/>
      <c r="D116" s="391">
        <f t="shared" si="25"/>
        <v>40.666927750396752</v>
      </c>
      <c r="E116" s="383">
        <f t="shared" si="47"/>
        <v>42.236365882521625</v>
      </c>
      <c r="F116" s="383">
        <f t="shared" si="26"/>
        <v>42.33470031781512</v>
      </c>
      <c r="G116" s="110">
        <f t="shared" si="48"/>
        <v>0.72786783022930113</v>
      </c>
      <c r="H116" s="412" t="b">
        <f>Wh_hp&gt;='2023'!Maxi_hp</f>
        <v>0</v>
      </c>
      <c r="I116" s="388">
        <f>IF(H116,Wh_hp,'2023'!Maxi_hp)</f>
        <v>57.589141732142863</v>
      </c>
      <c r="J116" s="85">
        <f>IF(H116,An,'2023'!An_max)</f>
        <v>2020</v>
      </c>
      <c r="K116" s="197">
        <f t="shared" si="27"/>
        <v>45393</v>
      </c>
      <c r="L116" s="147">
        <f>IF(t&lt;Tvie,1-EXP((T0-t)*PertePVj)+'2023'!Pspv,1-EXP((T0-t)*PertePVj)+Pspv)</f>
        <v>3.6090997590604856E-2</v>
      </c>
      <c r="M116" s="832"/>
      <c r="N116" s="832"/>
      <c r="O116" s="48">
        <f>IF(t&lt;Tnet,'2023'!Resal+('2023'!Salim-'2023'!Resal)*(1-EXP(('2023'!Tnet-t)/('2023'!Tau_j))),Resal+(Salim-Resal)*(1-EXP((Tnet-t)/(Tau_j))))*Salcycl</f>
        <v>3.7158455736703115E-2</v>
      </c>
      <c r="P116" s="169">
        <f>(INDEX(Models!$BJ116:$BT116,,T116)*(1-R116)+INDEX(Models!$BJ116:$BT116,,T116+1)*R116-ERP_i)*Q116*Ramure*Pc/MaxiM</f>
        <v>3.7906208041431819E-3</v>
      </c>
      <c r="Q116" s="304">
        <f t="shared" si="28"/>
        <v>0.7</v>
      </c>
      <c r="R116" s="177">
        <f t="shared" si="29"/>
        <v>0.76662841627460321</v>
      </c>
      <c r="S116" s="799">
        <f t="shared" si="30"/>
        <v>0</v>
      </c>
      <c r="T116" s="176">
        <f t="shared" si="31"/>
        <v>6</v>
      </c>
      <c r="U116" s="250">
        <f t="shared" si="32"/>
        <v>0.76662841627460321</v>
      </c>
      <c r="V116" s="382">
        <f t="shared" si="33"/>
        <v>53.775622695158084</v>
      </c>
      <c r="W116" s="400">
        <f t="shared" si="34"/>
        <v>39.199217758939881</v>
      </c>
      <c r="X116" s="157">
        <f t="shared" si="35"/>
        <v>45393</v>
      </c>
      <c r="Y116" s="383">
        <f t="shared" si="36"/>
        <v>38.71170572219841</v>
      </c>
      <c r="Z116" s="383">
        <f t="shared" si="37"/>
        <v>40.161162127788309</v>
      </c>
      <c r="AA116" s="384">
        <f t="shared" si="38"/>
        <v>42.231978244904447</v>
      </c>
      <c r="AB116" s="197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4.903431482909501E-2</v>
      </c>
      <c r="AD116" s="230">
        <f>(INDEX(Models!$BJ116:$BT116,,AH116)*(1-AF116)+INDEX(Models!$BJ116:$BT116,,AH116+1)*AF116-ERP_i)*AE116*Ramure*Pc/MaxiM</f>
        <v>3.9597565741617121E-3</v>
      </c>
      <c r="AE116" s="304">
        <f t="shared" si="40"/>
        <v>0.7</v>
      </c>
      <c r="AF116" s="177">
        <f t="shared" si="41"/>
        <v>0.83096063853443536</v>
      </c>
      <c r="AG116" s="799">
        <f t="shared" si="49"/>
        <v>0</v>
      </c>
      <c r="AH116" s="176">
        <f t="shared" si="42"/>
        <v>6</v>
      </c>
      <c r="AI116" s="224">
        <f t="shared" si="43"/>
        <v>0.83096063853443536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45394</v>
      </c>
      <c r="B117" s="409">
        <f>'2023'!Wh/'2023'!Env_an*'2024'!Env_an</f>
        <v>6.0743398528609971</v>
      </c>
      <c r="C117" s="829"/>
      <c r="D117" s="391">
        <f t="shared" si="25"/>
        <v>6.3018980559843429</v>
      </c>
      <c r="E117" s="383">
        <f t="shared" si="47"/>
        <v>6.5456500160321074</v>
      </c>
      <c r="F117" s="383">
        <f t="shared" si="26"/>
        <v>6.5456500160321074</v>
      </c>
      <c r="G117" s="110">
        <f t="shared" si="48"/>
        <v>0.11219976090490212</v>
      </c>
      <c r="H117" s="412" t="b">
        <f>Wh_hp&gt;='2023'!Maxi_hp</f>
        <v>0</v>
      </c>
      <c r="I117" s="388">
        <f>IF(H117,Wh_hp,'2023'!Maxi_hp)</f>
        <v>56.994672036100951</v>
      </c>
      <c r="J117" s="85">
        <f>IF(H117,An,'2023'!An_max)</f>
        <v>2018</v>
      </c>
      <c r="K117" s="197">
        <f t="shared" si="27"/>
        <v>45394</v>
      </c>
      <c r="L117" s="147">
        <f>IF(t&lt;Tvie,1-EXP((T0-t)*PertePVj)+'2023'!Pspv,1-EXP((T0-t)*PertePVj)+Pspv)</f>
        <v>3.6109470686732981E-2</v>
      </c>
      <c r="M117" s="832"/>
      <c r="N117" s="832"/>
      <c r="O117" s="48">
        <f>IF(t&lt;Tnet,'2023'!Resal+('2023'!Salim-'2023'!Resal)*(1-EXP(('2023'!Tnet-t)/('2023'!Tau_j))),Resal+(Salim-Resal)*(1-EXP((Tnet-t)/(Tau_j))))*Salcycl</f>
        <v>3.7238770702794799E-2</v>
      </c>
      <c r="P117" s="169">
        <f>(INDEX(Models!$BJ117:$BT117,,T117)*(1-R117)+INDEX(Models!$BJ117:$BT117,,T117+1)*R117-ERP_i)*Q117*Ramure*Pc/MaxiM</f>
        <v>3.6941481368036023E-3</v>
      </c>
      <c r="Q117" s="304">
        <f t="shared" si="28"/>
        <v>0.7</v>
      </c>
      <c r="R117" s="177">
        <f t="shared" si="29"/>
        <v>0.7678798354209404</v>
      </c>
      <c r="S117" s="799">
        <f t="shared" si="30"/>
        <v>0</v>
      </c>
      <c r="T117" s="176">
        <f t="shared" si="31"/>
        <v>6</v>
      </c>
      <c r="U117" s="250">
        <f t="shared" si="32"/>
        <v>0.7678798354209404</v>
      </c>
      <c r="V117" s="382">
        <f t="shared" si="33"/>
        <v>53.938620660169562</v>
      </c>
      <c r="W117" s="400">
        <f t="shared" si="34"/>
        <v>6.0743398528609971</v>
      </c>
      <c r="X117" s="157">
        <f t="shared" si="35"/>
        <v>45394</v>
      </c>
      <c r="Y117" s="383">
        <f t="shared" si="36"/>
        <v>5.9994794011337005</v>
      </c>
      <c r="Z117" s="383">
        <f t="shared" si="37"/>
        <v>6.2242331661958401</v>
      </c>
      <c r="AA117" s="384">
        <f t="shared" si="38"/>
        <v>6.5456500160321074</v>
      </c>
      <c r="AB117" s="197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4.9103885641460877E-2</v>
      </c>
      <c r="AD117" s="230">
        <f>(INDEX(Models!$BJ117:$BT117,,AH117)*(1-AF117)+INDEX(Models!$BJ117:$BT117,,AH117+1)*AF117-ERP_i)*AE117*Ramure*Pc/MaxiM</f>
        <v>3.8593949598005107E-3</v>
      </c>
      <c r="AE117" s="304">
        <f t="shared" si="40"/>
        <v>0.7</v>
      </c>
      <c r="AF117" s="177">
        <f t="shared" si="41"/>
        <v>0.83221205768077255</v>
      </c>
      <c r="AG117" s="799">
        <f t="shared" si="49"/>
        <v>0</v>
      </c>
      <c r="AH117" s="176">
        <f t="shared" si="42"/>
        <v>6</v>
      </c>
      <c r="AI117" s="224">
        <f t="shared" si="43"/>
        <v>0.83221205768077255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45395</v>
      </c>
      <c r="B118" s="409">
        <f>'2023'!Wh/'2023'!Env_an*'2024'!Env_an</f>
        <v>43.868207796443883</v>
      </c>
      <c r="C118" s="829"/>
      <c r="D118" s="391">
        <f t="shared" si="25"/>
        <v>45.512480102907404</v>
      </c>
      <c r="E118" s="383">
        <f t="shared" si="47"/>
        <v>47.276828850864767</v>
      </c>
      <c r="F118" s="383">
        <f t="shared" si="26"/>
        <v>47.401332504515395</v>
      </c>
      <c r="G118" s="110">
        <f t="shared" si="48"/>
        <v>0.81011945339364144</v>
      </c>
      <c r="H118" s="412" t="b">
        <f>Wh_hp&gt;='2023'!Maxi_hp</f>
        <v>0</v>
      </c>
      <c r="I118" s="388">
        <f>IF(H118,Wh_hp,'2023'!Maxi_hp)</f>
        <v>57.747438215709053</v>
      </c>
      <c r="J118" s="85">
        <f>IF(H118,An,'2023'!An_max)</f>
        <v>2021</v>
      </c>
      <c r="K118" s="197">
        <f t="shared" si="27"/>
        <v>45395</v>
      </c>
      <c r="L118" s="147">
        <f>IF(t&lt;Tvie,1-EXP((T0-t)*PertePVj)+'2023'!Pspv,1-EXP((T0-t)*PertePVj)+Pspv)</f>
        <v>3.6127943428828524E-2</v>
      </c>
      <c r="M118" s="832"/>
      <c r="N118" s="832"/>
      <c r="O118" s="48">
        <f>IF(t&lt;Tnet,'2023'!Resal+('2023'!Salim-'2023'!Resal)*(1-EXP(('2023'!Tnet-t)/('2023'!Tau_j))),Resal+(Salim-Resal)*(1-EXP((Tnet-t)/(Tau_j))))*Salcycl</f>
        <v>3.7319523979136231E-2</v>
      </c>
      <c r="P118" s="169">
        <f>(INDEX(Models!$BJ118:$BT118,,T118)*(1-R118)+INDEX(Models!$BJ118:$BT118,,T118+1)*R118-ERP_i)*Q118*Ramure*Pc/MaxiM</f>
        <v>3.5986974157800554E-3</v>
      </c>
      <c r="Q118" s="304">
        <f t="shared" si="28"/>
        <v>0.7</v>
      </c>
      <c r="R118" s="177">
        <f t="shared" si="29"/>
        <v>0.76917473452459129</v>
      </c>
      <c r="S118" s="799">
        <f t="shared" si="30"/>
        <v>0</v>
      </c>
      <c r="T118" s="176">
        <f t="shared" si="31"/>
        <v>6</v>
      </c>
      <c r="U118" s="250">
        <f t="shared" si="32"/>
        <v>0.76917473452459129</v>
      </c>
      <c r="V118" s="382">
        <f t="shared" si="33"/>
        <v>54.097516731712503</v>
      </c>
      <c r="W118" s="400">
        <f t="shared" si="34"/>
        <v>43.868207796443883</v>
      </c>
      <c r="X118" s="157">
        <f t="shared" si="35"/>
        <v>45395</v>
      </c>
      <c r="Y118" s="383">
        <f t="shared" si="36"/>
        <v>43.322901295343698</v>
      </c>
      <c r="Z118" s="383">
        <f t="shared" si="37"/>
        <v>44.946734372047615</v>
      </c>
      <c r="AA118" s="384">
        <f t="shared" si="38"/>
        <v>47.27125369851818</v>
      </c>
      <c r="AB118" s="197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4.9174057055809198E-2</v>
      </c>
      <c r="AD118" s="230">
        <f>(INDEX(Models!$BJ118:$BT118,,AH118)*(1-AF118)+INDEX(Models!$BJ118:$BT118,,AH118+1)*AF118-ERP_i)*AE118*Ramure*Pc/MaxiM</f>
        <v>3.7598435810046902E-3</v>
      </c>
      <c r="AE118" s="304">
        <f t="shared" si="40"/>
        <v>0.7</v>
      </c>
      <c r="AF118" s="177">
        <f t="shared" si="41"/>
        <v>0.83350695678442344</v>
      </c>
      <c r="AG118" s="799">
        <f t="shared" si="49"/>
        <v>0</v>
      </c>
      <c r="AH118" s="176">
        <f t="shared" si="42"/>
        <v>6</v>
      </c>
      <c r="AI118" s="224">
        <f t="shared" si="43"/>
        <v>0.83350695678442344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45396</v>
      </c>
      <c r="B119" s="409">
        <f>'2023'!Wh/'2023'!Env_an*'2024'!Env_an</f>
        <v>44.890388706013418</v>
      </c>
      <c r="C119" s="829"/>
      <c r="D119" s="391">
        <f t="shared" si="25"/>
        <v>46.573867071376327</v>
      </c>
      <c r="E119" s="383">
        <f t="shared" si="47"/>
        <v>48.383442954507231</v>
      </c>
      <c r="F119" s="383">
        <f t="shared" si="26"/>
        <v>48.51152822316719</v>
      </c>
      <c r="G119" s="110">
        <f t="shared" si="48"/>
        <v>0.82671448248210588</v>
      </c>
      <c r="H119" s="412" t="b">
        <f>Wh_hp&gt;='2023'!Maxi_hp</f>
        <v>0</v>
      </c>
      <c r="I119" s="388">
        <f>IF(H119,Wh_hp,'2023'!Maxi_hp)</f>
        <v>58.651705388898215</v>
      </c>
      <c r="J119" s="85">
        <f>IF(H119,An,'2023'!An_max)</f>
        <v>2021</v>
      </c>
      <c r="K119" s="197">
        <f t="shared" si="27"/>
        <v>45396</v>
      </c>
      <c r="L119" s="147">
        <f>IF(t&lt;Tvie,1-EXP((T0-t)*PertePVj)+'2023'!Pspv,1-EXP((T0-t)*PertePVj)+Pspv)</f>
        <v>3.6146415816898148E-2</v>
      </c>
      <c r="M119" s="832"/>
      <c r="N119" s="832"/>
      <c r="O119" s="48">
        <f>IF(t&lt;Tnet,'2023'!Resal+('2023'!Salim-'2023'!Resal)*(1-EXP(('2023'!Tnet-t)/('2023'!Tau_j))),Resal+(Salim-Resal)*(1-EXP((Tnet-t)/(Tau_j))))*Salcycl</f>
        <v>3.7400725798541562E-2</v>
      </c>
      <c r="P119" s="169">
        <f>(INDEX(Models!$BJ119:$BT119,,T119)*(1-R119)+INDEX(Models!$BJ119:$BT119,,T119+1)*R119-ERP_i)*Q119*Ramure*Pc/MaxiM</f>
        <v>3.5041805444211475E-3</v>
      </c>
      <c r="Q119" s="304">
        <f t="shared" si="28"/>
        <v>0.7</v>
      </c>
      <c r="R119" s="177">
        <f t="shared" si="29"/>
        <v>0.77051426837221648</v>
      </c>
      <c r="S119" s="799">
        <f t="shared" si="30"/>
        <v>0</v>
      </c>
      <c r="T119" s="176">
        <f t="shared" si="31"/>
        <v>6</v>
      </c>
      <c r="U119" s="250">
        <f t="shared" si="32"/>
        <v>0.77051426837221648</v>
      </c>
      <c r="V119" s="382">
        <f t="shared" si="33"/>
        <v>54.25271641111685</v>
      </c>
      <c r="W119" s="400">
        <f t="shared" si="34"/>
        <v>44.890388706013418</v>
      </c>
      <c r="X119" s="157">
        <f t="shared" si="35"/>
        <v>45396</v>
      </c>
      <c r="Y119" s="383">
        <f t="shared" si="36"/>
        <v>44.33279041647662</v>
      </c>
      <c r="Z119" s="383">
        <f t="shared" si="37"/>
        <v>45.995357743105913</v>
      </c>
      <c r="AA119" s="384">
        <f t="shared" si="38"/>
        <v>48.377710406141112</v>
      </c>
      <c r="AB119" s="197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4.9244841126933191E-2</v>
      </c>
      <c r="AD119" s="230">
        <f>(INDEX(Models!$BJ119:$BT119,,AH119)*(1-AF119)+INDEX(Models!$BJ119:$BT119,,AH119+1)*AF119-ERP_i)*AE119*Ramure*Pc/MaxiM</f>
        <v>3.6610126662152517E-3</v>
      </c>
      <c r="AE119" s="304">
        <f t="shared" si="40"/>
        <v>0.7</v>
      </c>
      <c r="AF119" s="177">
        <f t="shared" si="41"/>
        <v>0.83484649063204863</v>
      </c>
      <c r="AG119" s="799">
        <f t="shared" si="49"/>
        <v>0</v>
      </c>
      <c r="AH119" s="176">
        <f t="shared" si="42"/>
        <v>6</v>
      </c>
      <c r="AI119" s="224">
        <f t="shared" si="43"/>
        <v>0.83484649063204863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45397</v>
      </c>
      <c r="B120" s="409">
        <f>'2023'!Wh/'2023'!Env_an*'2024'!Env_an</f>
        <v>36.731881379904458</v>
      </c>
      <c r="C120" s="829"/>
      <c r="D120" s="391">
        <f t="shared" si="25"/>
        <v>38.110129955738834</v>
      </c>
      <c r="E120" s="383">
        <f t="shared" si="47"/>
        <v>39.594215622578361</v>
      </c>
      <c r="F120" s="383">
        <f t="shared" si="26"/>
        <v>39.666720211783662</v>
      </c>
      <c r="G120" s="110">
        <f t="shared" si="48"/>
        <v>0.67409049245386643</v>
      </c>
      <c r="H120" s="412" t="b">
        <f>Wh_hp&gt;='2023'!Maxi_hp</f>
        <v>0</v>
      </c>
      <c r="I120" s="388">
        <f>IF(H120,Wh_hp,'2023'!Maxi_hp)</f>
        <v>57.771393300679215</v>
      </c>
      <c r="J120" s="85">
        <f>IF(H120,An,'2023'!An_max)</f>
        <v>2020</v>
      </c>
      <c r="K120" s="197">
        <f t="shared" si="27"/>
        <v>45397</v>
      </c>
      <c r="L120" s="147">
        <f>IF(t&lt;Tvie,1-EXP((T0-t)*PertePVj)+'2023'!Pspv,1-EXP((T0-t)*PertePVj)+Pspv)</f>
        <v>3.6164887850948735E-2</v>
      </c>
      <c r="M120" s="832"/>
      <c r="N120" s="832"/>
      <c r="O120" s="48">
        <f>IF(t&lt;Tnet,'2023'!Resal+('2023'!Salim-'2023'!Resal)*(1-EXP(('2023'!Tnet-t)/('2023'!Tau_j))),Resal+(Salim-Resal)*(1-EXP((Tnet-t)/(Tau_j))))*Salcycl</f>
        <v>3.7482385836006667E-2</v>
      </c>
      <c r="P120" s="169">
        <f>(INDEX(Models!$BJ120:$BT120,,T120)*(1-R120)+INDEX(Models!$BJ120:$BT120,,T120+1)*R120-ERP_i)*Q120*Ramure*Pc/MaxiM</f>
        <v>3.4105117751259133E-3</v>
      </c>
      <c r="Q120" s="304">
        <f t="shared" si="28"/>
        <v>0.7</v>
      </c>
      <c r="R120" s="177">
        <f t="shared" si="29"/>
        <v>0.77189959475113046</v>
      </c>
      <c r="S120" s="799">
        <f t="shared" si="30"/>
        <v>0</v>
      </c>
      <c r="T120" s="176">
        <f t="shared" si="31"/>
        <v>6</v>
      </c>
      <c r="U120" s="250">
        <f t="shared" si="32"/>
        <v>0.77189959475113046</v>
      </c>
      <c r="V120" s="382">
        <f t="shared" si="33"/>
        <v>54.404625168383035</v>
      </c>
      <c r="W120" s="400">
        <f t="shared" si="34"/>
        <v>36.731881379904458</v>
      </c>
      <c r="X120" s="157">
        <f t="shared" si="35"/>
        <v>45397</v>
      </c>
      <c r="Y120" s="383">
        <f t="shared" si="36"/>
        <v>36.27730716088999</v>
      </c>
      <c r="Z120" s="383">
        <f t="shared" si="37"/>
        <v>37.638499265712497</v>
      </c>
      <c r="AA120" s="384">
        <f t="shared" si="38"/>
        <v>39.590977790528974</v>
      </c>
      <c r="AB120" s="197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4.9316249150167669E-2</v>
      </c>
      <c r="AD120" s="230">
        <f>(INDEX(Models!$BJ120:$BT120,,AH120)*(1-AF120)+INDEX(Models!$BJ120:$BT120,,AH120+1)*AF120-ERP_i)*AE120*Ramure*Pc/MaxiM</f>
        <v>3.5628147458941889E-3</v>
      </c>
      <c r="AE120" s="304">
        <f t="shared" si="40"/>
        <v>0.7</v>
      </c>
      <c r="AF120" s="177">
        <f t="shared" si="41"/>
        <v>0.83623181701096261</v>
      </c>
      <c r="AG120" s="799">
        <f t="shared" si="49"/>
        <v>0</v>
      </c>
      <c r="AH120" s="176">
        <f t="shared" si="42"/>
        <v>6</v>
      </c>
      <c r="AI120" s="224">
        <f t="shared" si="43"/>
        <v>0.83623181701096261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45398</v>
      </c>
      <c r="B121" s="409">
        <f>'2023'!Wh/'2023'!Env_an*'2024'!Env_an</f>
        <v>54.091759865541036</v>
      </c>
      <c r="C121" s="829"/>
      <c r="D121" s="391">
        <f t="shared" si="25"/>
        <v>56.122458976448954</v>
      </c>
      <c r="E121" s="383">
        <f t="shared" si="47"/>
        <v>58.312956810967812</v>
      </c>
      <c r="F121" s="383">
        <f t="shared" si="26"/>
        <v>58.504717205539308</v>
      </c>
      <c r="G121" s="110">
        <f t="shared" si="48"/>
        <v>0.99151978016257714</v>
      </c>
      <c r="H121" s="412" t="b">
        <f>Wh_hp&gt;='2023'!Maxi_hp</f>
        <v>0</v>
      </c>
      <c r="I121" s="388">
        <f>IF(H121,Wh_hp,'2023'!Maxi_hp)</f>
        <v>58.506000012119351</v>
      </c>
      <c r="J121" s="85">
        <f>IF(H121,An,'2023'!An_max)</f>
        <v>2022</v>
      </c>
      <c r="K121" s="197">
        <f t="shared" si="27"/>
        <v>45398</v>
      </c>
      <c r="L121" s="147">
        <f>IF(t&lt;Tvie,1-EXP((T0-t)*PertePVj)+'2023'!Pspv,1-EXP((T0-t)*PertePVj)+Pspv)</f>
        <v>3.6183359530986947E-2</v>
      </c>
      <c r="M121" s="832"/>
      <c r="N121" s="832"/>
      <c r="O121" s="48">
        <f>IF(t&lt;Tnet,'2023'!Resal+('2023'!Salim-'2023'!Resal)*(1-EXP(('2023'!Tnet-t)/('2023'!Tau_j))),Resal+(Salim-Resal)*(1-EXP((Tnet-t)/(Tau_j))))*Salcycl</f>
        <v>3.7564513177058785E-2</v>
      </c>
      <c r="P121" s="169">
        <f>(INDEX(Models!$BJ121:$BT121,,T121)*(1-R121)+INDEX(Models!$BJ121:$BT121,,T121+1)*R121-ERP_i)*Q121*Ramure*Pc/MaxiM</f>
        <v>3.3176950919525982E-3</v>
      </c>
      <c r="Q121" s="304">
        <f t="shared" si="28"/>
        <v>0.7</v>
      </c>
      <c r="R121" s="177">
        <f t="shared" si="29"/>
        <v>0.77333187197887188</v>
      </c>
      <c r="S121" s="799">
        <f t="shared" si="30"/>
        <v>0</v>
      </c>
      <c r="T121" s="176">
        <f t="shared" si="31"/>
        <v>6</v>
      </c>
      <c r="U121" s="250">
        <f t="shared" si="32"/>
        <v>0.77333187197887188</v>
      </c>
      <c r="V121" s="382">
        <f t="shared" si="33"/>
        <v>54.552203545433628</v>
      </c>
      <c r="W121" s="400">
        <f t="shared" si="34"/>
        <v>54.091759865541036</v>
      </c>
      <c r="X121" s="157">
        <f t="shared" si="35"/>
        <v>45398</v>
      </c>
      <c r="Y121" s="383">
        <f t="shared" si="36"/>
        <v>53.419413747834135</v>
      </c>
      <c r="Z121" s="383">
        <f t="shared" si="37"/>
        <v>55.424871811550325</v>
      </c>
      <c r="AA121" s="384">
        <f t="shared" si="38"/>
        <v>58.30442789955196</v>
      </c>
      <c r="AB121" s="197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4.9388291622766478E-2</v>
      </c>
      <c r="AD121" s="230">
        <f>(INDEX(Models!$BJ121:$BT121,,AH121)*(1-AF121)+INDEX(Models!$BJ121:$BT121,,AH121+1)*AF121-ERP_i)*AE121*Ramure*Pc/MaxiM</f>
        <v>3.4652559457321232E-3</v>
      </c>
      <c r="AE121" s="304">
        <f t="shared" si="40"/>
        <v>0.7</v>
      </c>
      <c r="AF121" s="177">
        <f t="shared" si="41"/>
        <v>0.83766409423870403</v>
      </c>
      <c r="AG121" s="799">
        <f t="shared" si="49"/>
        <v>0</v>
      </c>
      <c r="AH121" s="176">
        <f t="shared" si="42"/>
        <v>6</v>
      </c>
      <c r="AI121" s="224">
        <f t="shared" si="43"/>
        <v>0.83766409423870403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45399</v>
      </c>
      <c r="B122" s="409">
        <f>'2023'!Wh/'2023'!Env_an*'2024'!Env_an</f>
        <v>35.24281249077368</v>
      </c>
      <c r="C122" s="829"/>
      <c r="D122" s="391">
        <f t="shared" si="25"/>
        <v>36.566589996857914</v>
      </c>
      <c r="E122" s="383">
        <f t="shared" si="47"/>
        <v>37.997070113921708</v>
      </c>
      <c r="F122" s="383">
        <f t="shared" si="26"/>
        <v>38.057573804190334</v>
      </c>
      <c r="G122" s="110">
        <f t="shared" si="48"/>
        <v>0.64330432115474068</v>
      </c>
      <c r="H122" s="412" t="b">
        <f>Wh_hp&gt;='2023'!Maxi_hp</f>
        <v>0</v>
      </c>
      <c r="I122" s="388">
        <f>IF(H122,Wh_hp,'2023'!Maxi_hp)</f>
        <v>47.717829043951738</v>
      </c>
      <c r="J122" s="85">
        <f>IF(H122,An,'2023'!An_max)</f>
        <v>2021</v>
      </c>
      <c r="K122" s="197">
        <f t="shared" si="27"/>
        <v>45399</v>
      </c>
      <c r="L122" s="147">
        <f>IF(t&lt;Tvie,1-EXP((T0-t)*PertePVj)+'2023'!Pspv,1-EXP((T0-t)*PertePVj)+Pspv)</f>
        <v>3.6201830857019557E-2</v>
      </c>
      <c r="M122" s="832"/>
      <c r="N122" s="832"/>
      <c r="O122" s="48">
        <f>IF(t&lt;Tnet,'2023'!Resal+('2023'!Salim-'2023'!Resal)*(1-EXP(('2023'!Tnet-t)/('2023'!Tau_j))),Resal+(Salim-Resal)*(1-EXP((Tnet-t)/(Tau_j))))*Salcycl</f>
        <v>3.7647116284886435E-2</v>
      </c>
      <c r="P122" s="169">
        <f>(INDEX(Models!$BJ122:$BT122,,T122)*(1-R122)+INDEX(Models!$BJ122:$BT122,,T122+1)*R122-ERP_i)*Q122*Ramure*Pc/MaxiM</f>
        <v>3.2316262963154934E-3</v>
      </c>
      <c r="Q122" s="304">
        <f t="shared" si="28"/>
        <v>0.7</v>
      </c>
      <c r="R122" s="177">
        <f t="shared" si="29"/>
        <v>0.77481225623705019</v>
      </c>
      <c r="S122" s="799">
        <f t="shared" si="30"/>
        <v>0</v>
      </c>
      <c r="T122" s="176">
        <f t="shared" si="31"/>
        <v>6</v>
      </c>
      <c r="U122" s="250">
        <f t="shared" si="32"/>
        <v>0.77481225623705019</v>
      </c>
      <c r="V122" s="382">
        <f t="shared" si="33"/>
        <v>54.69395494211804</v>
      </c>
      <c r="W122" s="400">
        <f t="shared" si="34"/>
        <v>35.24281249077368</v>
      </c>
      <c r="X122" s="157">
        <f t="shared" si="35"/>
        <v>45399</v>
      </c>
      <c r="Y122" s="383">
        <f t="shared" si="36"/>
        <v>34.807718521624061</v>
      </c>
      <c r="Z122" s="383">
        <f t="shared" si="37"/>
        <v>36.115153188738105</v>
      </c>
      <c r="AA122" s="384">
        <f t="shared" si="38"/>
        <v>37.994393034483885</v>
      </c>
      <c r="AB122" s="197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4.9460978203814766E-2</v>
      </c>
      <c r="AD122" s="230">
        <f>(INDEX(Models!$BJ122:$BT122,,AH122)*(1-AF122)+INDEX(Models!$BJ122:$BT122,,AH122+1)*AF122-ERP_i)*AE122*Ramure*Pc/MaxiM</f>
        <v>3.3746146044699187E-3</v>
      </c>
      <c r="AE122" s="304">
        <f t="shared" si="40"/>
        <v>0.7</v>
      </c>
      <c r="AF122" s="177">
        <f t="shared" si="41"/>
        <v>0.83914447849688234</v>
      </c>
      <c r="AG122" s="799">
        <f t="shared" si="49"/>
        <v>0</v>
      </c>
      <c r="AH122" s="176">
        <f t="shared" si="42"/>
        <v>6</v>
      </c>
      <c r="AI122" s="224">
        <f t="shared" si="43"/>
        <v>0.83914447849688234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45400</v>
      </c>
      <c r="B123" s="409">
        <f>'2023'!Wh/'2023'!Env_an*'2024'!Env_an</f>
        <v>9.4431256975214115</v>
      </c>
      <c r="C123" s="829"/>
      <c r="D123" s="391">
        <f t="shared" si="25"/>
        <v>9.7980126738947728</v>
      </c>
      <c r="E123" s="383">
        <f t="shared" si="47"/>
        <v>10.182188720977132</v>
      </c>
      <c r="F123" s="383">
        <f t="shared" si="26"/>
        <v>10.182188720977132</v>
      </c>
      <c r="G123" s="110">
        <f t="shared" si="48"/>
        <v>0.17168237893979371</v>
      </c>
      <c r="H123" s="412" t="b">
        <f>Wh_hp&gt;='2023'!Maxi_hp</f>
        <v>0</v>
      </c>
      <c r="I123" s="388">
        <f>IF(H123,Wh_hp,'2023'!Maxi_hp)</f>
        <v>57.424115414132181</v>
      </c>
      <c r="J123" s="85">
        <f>IF(H123,An,'2023'!An_max)</f>
        <v>2021</v>
      </c>
      <c r="K123" s="197">
        <f t="shared" si="27"/>
        <v>45400</v>
      </c>
      <c r="L123" s="147">
        <f>IF(t&lt;Tvie,1-EXP((T0-t)*PertePVj)+'2023'!Pspv,1-EXP((T0-t)*PertePVj)+Pspv)</f>
        <v>3.6220301829053558E-2</v>
      </c>
      <c r="M123" s="832"/>
      <c r="N123" s="832"/>
      <c r="O123" s="48">
        <f>IF(t&lt;Tnet,'2023'!Resal+('2023'!Salim-'2023'!Resal)*(1-EXP(('2023'!Tnet-t)/('2023'!Tau_j))),Resal+(Salim-Resal)*(1-EXP((Tnet-t)/(Tau_j))))*Salcycl</f>
        <v>3.7730202966174513E-2</v>
      </c>
      <c r="P123" s="169">
        <f>(INDEX(Models!$BJ123:$BT123,,T123)*(1-R123)+INDEX(Models!$BJ123:$BT123,,T123+1)*R123-ERP_i)*Q123*Ramure*Pc/MaxiM</f>
        <v>3.1549854256649832E-3</v>
      </c>
      <c r="Q123" s="304">
        <f t="shared" si="28"/>
        <v>0.7</v>
      </c>
      <c r="R123" s="177">
        <f t="shared" si="29"/>
        <v>0.77634189870475967</v>
      </c>
      <c r="S123" s="799">
        <f t="shared" si="30"/>
        <v>0</v>
      </c>
      <c r="T123" s="176">
        <f t="shared" si="31"/>
        <v>6</v>
      </c>
      <c r="U123" s="250">
        <f t="shared" si="32"/>
        <v>0.77634189870475967</v>
      </c>
      <c r="V123" s="382">
        <f t="shared" si="33"/>
        <v>54.829929732474845</v>
      </c>
      <c r="W123" s="400">
        <f t="shared" si="34"/>
        <v>9.4431256975214115</v>
      </c>
      <c r="X123" s="157">
        <f t="shared" si="35"/>
        <v>45400</v>
      </c>
      <c r="Y123" s="383">
        <f t="shared" si="36"/>
        <v>9.3272873544037349</v>
      </c>
      <c r="Z123" s="383">
        <f t="shared" si="37"/>
        <v>9.6778209502700534</v>
      </c>
      <c r="AA123" s="384">
        <f t="shared" si="38"/>
        <v>10.182188720977132</v>
      </c>
      <c r="AB123" s="197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4.9534317672583483E-2</v>
      </c>
      <c r="AD123" s="230">
        <f>(INDEX(Models!$BJ123:$BT123,,AH123)*(1-AF123)+INDEX(Models!$BJ123:$BT123,,AH123+1)*AF123-ERP_i)*AE123*Ramure*Pc/MaxiM</f>
        <v>3.2937440838529419E-3</v>
      </c>
      <c r="AE123" s="304">
        <f t="shared" si="40"/>
        <v>0.7</v>
      </c>
      <c r="AF123" s="177">
        <f t="shared" si="41"/>
        <v>0.84067412096459182</v>
      </c>
      <c r="AG123" s="799">
        <f t="shared" si="49"/>
        <v>0</v>
      </c>
      <c r="AH123" s="176">
        <f t="shared" si="42"/>
        <v>6</v>
      </c>
      <c r="AI123" s="224">
        <f t="shared" si="43"/>
        <v>0.84067412096459182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45401</v>
      </c>
      <c r="B124" s="409">
        <f>'2023'!Wh/'2023'!Env_an*'2024'!Env_an</f>
        <v>9.7257198051060971</v>
      </c>
      <c r="C124" s="829"/>
      <c r="D124" s="391">
        <f t="shared" si="25"/>
        <v>10.091420496133432</v>
      </c>
      <c r="E124" s="383">
        <f t="shared" si="47"/>
        <v>10.488011873266304</v>
      </c>
      <c r="F124" s="383">
        <f t="shared" si="26"/>
        <v>10.488011873266304</v>
      </c>
      <c r="G124" s="110">
        <f t="shared" si="48"/>
        <v>0.17641251224094007</v>
      </c>
      <c r="H124" s="412" t="b">
        <f>Wh_hp&gt;='2023'!Maxi_hp</f>
        <v>0</v>
      </c>
      <c r="I124" s="388">
        <f>IF(H124,Wh_hp,'2023'!Maxi_hp)</f>
        <v>54.37744314192939</v>
      </c>
      <c r="J124" s="85">
        <f>IF(H124,An,'2023'!An_max)</f>
        <v>2018</v>
      </c>
      <c r="K124" s="197">
        <f t="shared" si="27"/>
        <v>45401</v>
      </c>
      <c r="L124" s="147">
        <f>IF(t&lt;Tvie,1-EXP((T0-t)*PertePVj)+'2023'!Pspv,1-EXP((T0-t)*PertePVj)+Pspv)</f>
        <v>3.6238772447095502E-2</v>
      </c>
      <c r="M124" s="832"/>
      <c r="N124" s="832"/>
      <c r="O124" s="48">
        <f>IF(t&lt;Tnet,'2023'!Resal+('2023'!Salim-'2023'!Resal)*(1-EXP(('2023'!Tnet-t)/('2023'!Tau_j))),Resal+(Salim-Resal)*(1-EXP((Tnet-t)/(Tau_j))))*Salcycl</f>
        <v>3.7813780335601344E-2</v>
      </c>
      <c r="P124" s="169">
        <f>(INDEX(Models!$BJ124:$BT124,,T124)*(1-R124)+INDEX(Models!$BJ124:$BT124,,T124+1)*R124-ERP_i)*Q124*Ramure*Pc/MaxiM</f>
        <v>3.0877113411128063E-3</v>
      </c>
      <c r="Q124" s="304">
        <f t="shared" si="28"/>
        <v>0.7</v>
      </c>
      <c r="R124" s="177">
        <f t="shared" si="29"/>
        <v>0.77792194248769497</v>
      </c>
      <c r="S124" s="799">
        <f t="shared" si="30"/>
        <v>0</v>
      </c>
      <c r="T124" s="176">
        <f t="shared" si="31"/>
        <v>6</v>
      </c>
      <c r="U124" s="250">
        <f t="shared" si="32"/>
        <v>0.77792194248769497</v>
      </c>
      <c r="V124" s="382">
        <f t="shared" si="33"/>
        <v>54.960328304384909</v>
      </c>
      <c r="W124" s="400">
        <f t="shared" si="34"/>
        <v>9.7257198051060971</v>
      </c>
      <c r="X124" s="157">
        <f t="shared" si="35"/>
        <v>45401</v>
      </c>
      <c r="Y124" s="383">
        <f t="shared" si="36"/>
        <v>9.6065013366905543</v>
      </c>
      <c r="Z124" s="383">
        <f t="shared" si="37"/>
        <v>9.9677192462727682</v>
      </c>
      <c r="AA124" s="384">
        <f t="shared" si="38"/>
        <v>10.488011873266304</v>
      </c>
      <c r="AB124" s="197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4.9608317885275192E-2</v>
      </c>
      <c r="AD124" s="230">
        <f>(INDEX(Models!$BJ124:$BT124,,AH124)*(1-AF124)+INDEX(Models!$BJ124:$BT124,,AH124+1)*AF124-ERP_i)*AE124*Ramure*Pc/MaxiM</f>
        <v>3.2225797032746461E-3</v>
      </c>
      <c r="AE124" s="304">
        <f t="shared" si="40"/>
        <v>0.7</v>
      </c>
      <c r="AF124" s="177">
        <f t="shared" si="41"/>
        <v>0.84225416474752712</v>
      </c>
      <c r="AG124" s="799">
        <f t="shared" si="49"/>
        <v>0</v>
      </c>
      <c r="AH124" s="176">
        <f t="shared" si="42"/>
        <v>6</v>
      </c>
      <c r="AI124" s="224">
        <f t="shared" si="43"/>
        <v>0.84225416474752712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45402</v>
      </c>
      <c r="B125" s="409">
        <f>'2023'!Wh/'2023'!Env_an*'2024'!Env_an</f>
        <v>8.9501799829908624</v>
      </c>
      <c r="C125" s="829"/>
      <c r="D125" s="391">
        <f t="shared" si="25"/>
        <v>9.2868972713933076</v>
      </c>
      <c r="E125" s="383">
        <f t="shared" si="47"/>
        <v>9.6527144415211197</v>
      </c>
      <c r="F125" s="383">
        <f t="shared" si="26"/>
        <v>9.6527144415211197</v>
      </c>
      <c r="G125" s="110">
        <f t="shared" si="48"/>
        <v>0.16198613632397837</v>
      </c>
      <c r="H125" s="412" t="b">
        <f>Wh_hp&gt;='2023'!Maxi_hp</f>
        <v>0</v>
      </c>
      <c r="I125" s="388">
        <f>IF(H125,Wh_hp,'2023'!Maxi_hp)</f>
        <v>48.591897253026858</v>
      </c>
      <c r="J125" s="85">
        <f>IF(H125,An,'2023'!An_max)</f>
        <v>2021</v>
      </c>
      <c r="K125" s="197">
        <f t="shared" si="27"/>
        <v>45402</v>
      </c>
      <c r="L125" s="147">
        <f>IF(t&lt;Tvie,1-EXP((T0-t)*PertePVj)+'2023'!Pspv,1-EXP((T0-t)*PertePVj)+Pspv)</f>
        <v>3.6257242711152271E-2</v>
      </c>
      <c r="M125" s="832"/>
      <c r="N125" s="832"/>
      <c r="O125" s="48">
        <f>IF(t&lt;Tnet,'2023'!Resal+('2023'!Salim-'2023'!Resal)*(1-EXP(('2023'!Tnet-t)/('2023'!Tau_j))),Resal+(Salim-Resal)*(1-EXP((Tnet-t)/(Tau_j))))*Salcycl</f>
        <v>3.7897854778988542E-2</v>
      </c>
      <c r="P125" s="169">
        <f>(INDEX(Models!$BJ125:$BT125,,T125)*(1-R125)+INDEX(Models!$BJ125:$BT125,,T125+1)*R125-ERP_i)*Q125*Ramure*Pc/MaxiM</f>
        <v>3.0297622193272374E-3</v>
      </c>
      <c r="Q125" s="304">
        <f t="shared" si="28"/>
        <v>0.7</v>
      </c>
      <c r="R125" s="177">
        <f t="shared" si="29"/>
        <v>0.77955351934007344</v>
      </c>
      <c r="S125" s="799">
        <f t="shared" si="30"/>
        <v>0</v>
      </c>
      <c r="T125" s="176">
        <f t="shared" si="31"/>
        <v>6</v>
      </c>
      <c r="U125" s="250">
        <f t="shared" si="32"/>
        <v>0.77955351934007344</v>
      </c>
      <c r="V125" s="382">
        <f t="shared" si="33"/>
        <v>55.085350316497177</v>
      </c>
      <c r="W125" s="400">
        <f t="shared" si="34"/>
        <v>8.9501799829908624</v>
      </c>
      <c r="X125" s="157">
        <f t="shared" si="35"/>
        <v>45402</v>
      </c>
      <c r="Y125" s="383">
        <f t="shared" si="36"/>
        <v>8.8405460489434198</v>
      </c>
      <c r="Z125" s="383">
        <f t="shared" si="37"/>
        <v>9.1731387676657565</v>
      </c>
      <c r="AA125" s="384">
        <f t="shared" si="38"/>
        <v>9.6527144415211197</v>
      </c>
      <c r="AB125" s="197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4.9682985730155803E-2</v>
      </c>
      <c r="AD125" s="230">
        <f>(INDEX(Models!$BJ125:$BT125,,AH125)*(1-AF125)+INDEX(Models!$BJ125:$BT125,,AH125+1)*AF125-ERP_i)*AE125*Ramure*Pc/MaxiM</f>
        <v>3.1610768425542998E-3</v>
      </c>
      <c r="AE125" s="304">
        <f t="shared" si="40"/>
        <v>0.7</v>
      </c>
      <c r="AF125" s="177">
        <f t="shared" si="41"/>
        <v>0.84388574159990559</v>
      </c>
      <c r="AG125" s="799">
        <f t="shared" si="49"/>
        <v>0</v>
      </c>
      <c r="AH125" s="176">
        <f t="shared" si="42"/>
        <v>6</v>
      </c>
      <c r="AI125" s="224">
        <f t="shared" si="43"/>
        <v>0.84388574159990559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45403</v>
      </c>
      <c r="B126" s="409">
        <f>'2023'!Wh/'2023'!Env_an*'2024'!Env_an</f>
        <v>27.638204880564345</v>
      </c>
      <c r="C126" s="829"/>
      <c r="D126" s="391">
        <f t="shared" si="25"/>
        <v>28.678539331759929</v>
      </c>
      <c r="E126" s="383">
        <f t="shared" si="47"/>
        <v>29.810827040146044</v>
      </c>
      <c r="F126" s="383">
        <f t="shared" si="26"/>
        <v>29.836321923270798</v>
      </c>
      <c r="G126" s="110">
        <f t="shared" si="48"/>
        <v>0.49957940922466432</v>
      </c>
      <c r="H126" s="412" t="b">
        <f>Wh_hp&gt;='2023'!Maxi_hp</f>
        <v>0</v>
      </c>
      <c r="I126" s="388">
        <f>IF(H126,Wh_hp,'2023'!Maxi_hp)</f>
        <v>56.763007267600109</v>
      </c>
      <c r="J126" s="85">
        <f>IF(H126,An,'2023'!An_max)</f>
        <v>2021</v>
      </c>
      <c r="K126" s="197">
        <f t="shared" si="27"/>
        <v>45403</v>
      </c>
      <c r="L126" s="147">
        <f>IF(t&lt;Tvie,1-EXP((T0-t)*PertePVj)+'2023'!Pspv,1-EXP((T0-t)*PertePVj)+Pspv)</f>
        <v>3.6275712621230638E-2</v>
      </c>
      <c r="M126" s="832"/>
      <c r="N126" s="832"/>
      <c r="O126" s="48">
        <f>IF(t&lt;Tnet,'2023'!Resal+('2023'!Salim-'2023'!Resal)*(1-EXP(('2023'!Tnet-t)/('2023'!Tau_j))),Resal+(Salim-Resal)*(1-EXP((Tnet-t)/(Tau_j))))*Salcycl</f>
        <v>3.7982431915131724E-2</v>
      </c>
      <c r="P126" s="169">
        <f>(INDEX(Models!$BJ126:$BT126,,T126)*(1-R126)+INDEX(Models!$BJ126:$BT126,,T126+1)*R126-ERP_i)*Q126*Ramure*Pc/MaxiM</f>
        <v>2.9811061600427645E-3</v>
      </c>
      <c r="Q126" s="304">
        <f t="shared" si="28"/>
        <v>0.7</v>
      </c>
      <c r="R126" s="177">
        <f t="shared" si="29"/>
        <v>0.78123774617757946</v>
      </c>
      <c r="S126" s="799">
        <f t="shared" si="30"/>
        <v>0</v>
      </c>
      <c r="T126" s="176">
        <f t="shared" si="31"/>
        <v>6</v>
      </c>
      <c r="U126" s="250">
        <f t="shared" si="32"/>
        <v>0.78123774617757946</v>
      </c>
      <c r="V126" s="382">
        <f t="shared" si="33"/>
        <v>55.205195196061425</v>
      </c>
      <c r="W126" s="400">
        <f t="shared" si="34"/>
        <v>27.638204880564345</v>
      </c>
      <c r="X126" s="157">
        <f t="shared" si="35"/>
        <v>45403</v>
      </c>
      <c r="Y126" s="383">
        <f t="shared" si="36"/>
        <v>27.298887049284275</v>
      </c>
      <c r="Z126" s="383">
        <f t="shared" si="37"/>
        <v>28.326449179292172</v>
      </c>
      <c r="AA126" s="384">
        <f t="shared" si="38"/>
        <v>29.809731552059795</v>
      </c>
      <c r="AB126" s="197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4.9758327081114953E-2</v>
      </c>
      <c r="AD126" s="230">
        <f>(INDEX(Models!$BJ126:$BT126,,AH126)*(1-AF126)+INDEX(Models!$BJ126:$BT126,,AH126+1)*AF126-ERP_i)*AE126*Ramure*Pc/MaxiM</f>
        <v>3.1092011297740177E-3</v>
      </c>
      <c r="AE126" s="304">
        <f t="shared" si="40"/>
        <v>0.7</v>
      </c>
      <c r="AF126" s="177">
        <f t="shared" si="41"/>
        <v>0.84556996843741161</v>
      </c>
      <c r="AG126" s="799">
        <f t="shared" si="49"/>
        <v>0</v>
      </c>
      <c r="AH126" s="176">
        <f t="shared" si="42"/>
        <v>6</v>
      </c>
      <c r="AI126" s="224">
        <f t="shared" si="43"/>
        <v>0.84556996843741161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45404</v>
      </c>
      <c r="B127" s="409">
        <f>'2023'!Wh/'2023'!Env_an*'2024'!Env_an</f>
        <v>9.4584545624633662</v>
      </c>
      <c r="C127" s="829"/>
      <c r="D127" s="391">
        <f t="shared" si="25"/>
        <v>9.8146699828306669</v>
      </c>
      <c r="E127" s="383">
        <f t="shared" si="47"/>
        <v>10.203075737389732</v>
      </c>
      <c r="F127" s="383">
        <f t="shared" si="26"/>
        <v>10.203075737389732</v>
      </c>
      <c r="G127" s="110">
        <f t="shared" si="48"/>
        <v>0.17047396669571196</v>
      </c>
      <c r="H127" s="412" t="b">
        <f>Wh_hp&gt;='2023'!Maxi_hp</f>
        <v>0</v>
      </c>
      <c r="I127" s="388">
        <f>IF(H127,Wh_hp,'2023'!Maxi_hp)</f>
        <v>60.533577473745396</v>
      </c>
      <c r="J127" s="85">
        <f>IF(H127,An,'2023'!An_max)</f>
        <v>2021</v>
      </c>
      <c r="K127" s="197">
        <f t="shared" si="27"/>
        <v>45404</v>
      </c>
      <c r="L127" s="147">
        <f>IF(t&lt;Tvie,1-EXP((T0-t)*PertePVj)+'2023'!Pspv,1-EXP((T0-t)*PertePVj)+Pspv)</f>
        <v>3.6294182177337375E-2</v>
      </c>
      <c r="M127" s="832"/>
      <c r="N127" s="832"/>
      <c r="O127" s="48">
        <f>IF(t&lt;Tnet,'2023'!Resal+('2023'!Salim-'2023'!Resal)*(1-EXP(('2023'!Tnet-t)/('2023'!Tau_j))),Resal+(Salim-Resal)*(1-EXP((Tnet-t)/(Tau_j))))*Salcycl</f>
        <v>3.806751655637821E-2</v>
      </c>
      <c r="P127" s="169">
        <f>(INDEX(Models!$BJ127:$BT127,,T127)*(1-R127)+INDEX(Models!$BJ127:$BT127,,T127+1)*R127-ERP_i)*Q127*Ramure*Pc/MaxiM</f>
        <v>2.9417125452936657E-3</v>
      </c>
      <c r="Q127" s="304">
        <f t="shared" si="28"/>
        <v>0.7</v>
      </c>
      <c r="R127" s="177">
        <f t="shared" si="29"/>
        <v>0.78297572138080618</v>
      </c>
      <c r="S127" s="799">
        <f t="shared" si="30"/>
        <v>0</v>
      </c>
      <c r="T127" s="176">
        <f t="shared" si="31"/>
        <v>6</v>
      </c>
      <c r="U127" s="250">
        <f t="shared" si="32"/>
        <v>0.78297572138080618</v>
      </c>
      <c r="V127" s="382">
        <f t="shared" si="33"/>
        <v>55.320062592613404</v>
      </c>
      <c r="W127" s="400">
        <f t="shared" si="34"/>
        <v>9.4584545624633662</v>
      </c>
      <c r="X127" s="157">
        <f t="shared" si="35"/>
        <v>45404</v>
      </c>
      <c r="Y127" s="383">
        <f t="shared" si="36"/>
        <v>9.3427541046414415</v>
      </c>
      <c r="Z127" s="383">
        <f t="shared" si="37"/>
        <v>9.6946121231787128</v>
      </c>
      <c r="AA127" s="384">
        <f t="shared" si="38"/>
        <v>10.203075737389732</v>
      </c>
      <c r="AB127" s="197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4.9834346749747772E-2</v>
      </c>
      <c r="AD127" s="230">
        <f>(INDEX(Models!$BJ127:$BT127,,AH127)*(1-AF127)+INDEX(Models!$BJ127:$BT127,,AH127+1)*AF127-ERP_i)*AE127*Ramure*Pc/MaxiM</f>
        <v>3.0669194303892316E-3</v>
      </c>
      <c r="AE127" s="304">
        <f t="shared" si="40"/>
        <v>0.7</v>
      </c>
      <c r="AF127" s="177">
        <f t="shared" si="41"/>
        <v>0.84730794364063833</v>
      </c>
      <c r="AG127" s="799">
        <f t="shared" si="49"/>
        <v>0</v>
      </c>
      <c r="AH127" s="176">
        <f t="shared" si="42"/>
        <v>6</v>
      </c>
      <c r="AI127" s="224">
        <f t="shared" si="43"/>
        <v>0.84730794364063833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45405</v>
      </c>
      <c r="B128" s="409">
        <f>'2023'!Wh/'2023'!Env_an*'2024'!Env_an</f>
        <v>26.832958392379911</v>
      </c>
      <c r="C128" s="829"/>
      <c r="D128" s="391">
        <f t="shared" si="25"/>
        <v>27.844049660701891</v>
      </c>
      <c r="E128" s="383">
        <f t="shared" si="47"/>
        <v>28.94852603613268</v>
      </c>
      <c r="F128" s="383">
        <f t="shared" si="26"/>
        <v>28.97067928052255</v>
      </c>
      <c r="G128" s="110">
        <f t="shared" si="48"/>
        <v>0.48304589093198175</v>
      </c>
      <c r="H128" s="412" t="b">
        <f>Wh_hp&gt;='2023'!Maxi_hp</f>
        <v>0</v>
      </c>
      <c r="I128" s="388">
        <f>IF(H128,Wh_hp,'2023'!Maxi_hp)</f>
        <v>61.221202275533329</v>
      </c>
      <c r="J128" s="85">
        <f>IF(H128,An,'2023'!An_max)</f>
        <v>2021</v>
      </c>
      <c r="K128" s="197">
        <f t="shared" si="27"/>
        <v>45405</v>
      </c>
      <c r="L128" s="147">
        <f>IF(t&lt;Tvie,1-EXP((T0-t)*PertePVj)+'2023'!Pspv,1-EXP((T0-t)*PertePVj)+Pspv)</f>
        <v>3.6312651379479366E-2</v>
      </c>
      <c r="M128" s="832"/>
      <c r="N128" s="832"/>
      <c r="O128" s="48">
        <f>IF(t&lt;Tnet,'2023'!Resal+('2023'!Salim-'2023'!Resal)*(1-EXP(('2023'!Tnet-t)/('2023'!Tau_j))),Resal+(Salim-Resal)*(1-EXP((Tnet-t)/(Tau_j))))*Salcycl</f>
        <v>3.8153112668058306E-2</v>
      </c>
      <c r="P128" s="169">
        <f>(INDEX(Models!$BJ128:$BT128,,T128)*(1-R128)+INDEX(Models!$BJ128:$BT128,,T128+1)*R128-ERP_i)*Q128*Ramure*Pc/MaxiM</f>
        <v>2.9077721210943749E-3</v>
      </c>
      <c r="Q128" s="304">
        <f t="shared" si="28"/>
        <v>0.7</v>
      </c>
      <c r="R128" s="177">
        <f t="shared" si="29"/>
        <v>0.78476852089007132</v>
      </c>
      <c r="S128" s="799">
        <f t="shared" si="30"/>
        <v>0</v>
      </c>
      <c r="T128" s="176">
        <f t="shared" si="31"/>
        <v>6</v>
      </c>
      <c r="U128" s="250">
        <f t="shared" si="32"/>
        <v>0.78476852089007132</v>
      </c>
      <c r="V128" s="382">
        <f t="shared" si="33"/>
        <v>55.430362488965017</v>
      </c>
      <c r="W128" s="400">
        <f t="shared" si="34"/>
        <v>26.832958392379911</v>
      </c>
      <c r="X128" s="157">
        <f t="shared" si="35"/>
        <v>45405</v>
      </c>
      <c r="Y128" s="383">
        <f t="shared" si="36"/>
        <v>26.504087571987387</v>
      </c>
      <c r="Z128" s="383">
        <f t="shared" si="37"/>
        <v>27.502786676536651</v>
      </c>
      <c r="AA128" s="384">
        <f t="shared" si="38"/>
        <v>28.947591308440739</v>
      </c>
      <c r="AB128" s="197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4.9911048436102633E-2</v>
      </c>
      <c r="AD128" s="230">
        <f>(INDEX(Models!$BJ128:$BT128,,AH128)*(1-AF128)+INDEX(Models!$BJ128:$BT128,,AH128+1)*AF128-ERP_i)*AE128*Ramure*Pc/MaxiM</f>
        <v>3.0304618308095153E-3</v>
      </c>
      <c r="AE128" s="304">
        <f t="shared" si="40"/>
        <v>0.7</v>
      </c>
      <c r="AF128" s="177">
        <f t="shared" si="41"/>
        <v>0.84910074314990347</v>
      </c>
      <c r="AG128" s="799">
        <f t="shared" si="49"/>
        <v>0</v>
      </c>
      <c r="AH128" s="176">
        <f t="shared" si="42"/>
        <v>6</v>
      </c>
      <c r="AI128" s="224">
        <f t="shared" si="43"/>
        <v>0.84910074314990347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45406</v>
      </c>
      <c r="B129" s="409">
        <f>'2023'!Wh/'2023'!Env_an*'2024'!Env_an</f>
        <v>42.329522259033439</v>
      </c>
      <c r="C129" s="829"/>
      <c r="D129" s="391">
        <f t="shared" si="25"/>
        <v>43.925380540496064</v>
      </c>
      <c r="E129" s="383">
        <f t="shared" si="47"/>
        <v>45.67183608011387</v>
      </c>
      <c r="F129" s="383">
        <f t="shared" si="26"/>
        <v>45.75874063910527</v>
      </c>
      <c r="G129" s="110">
        <f t="shared" si="48"/>
        <v>0.76144720731807791</v>
      </c>
      <c r="H129" s="412" t="b">
        <f>Wh_hp&gt;='2023'!Maxi_hp</f>
        <v>0</v>
      </c>
      <c r="I129" s="388">
        <f>IF(H129,Wh_hp,'2023'!Maxi_hp)</f>
        <v>49.231227193041249</v>
      </c>
      <c r="J129" s="85">
        <f>IF(H129,An,'2023'!An_max)</f>
        <v>2020</v>
      </c>
      <c r="K129" s="197">
        <f t="shared" si="27"/>
        <v>45406</v>
      </c>
      <c r="L129" s="147">
        <f>IF(t&lt;Tvie,1-EXP((T0-t)*PertePVj)+'2023'!Pspv,1-EXP((T0-t)*PertePVj)+Pspv)</f>
        <v>3.6331120227663272E-2</v>
      </c>
      <c r="M129" s="832"/>
      <c r="N129" s="832"/>
      <c r="O129" s="48">
        <f>IF(t&lt;Tnet,'2023'!Resal+('2023'!Salim-'2023'!Resal)*(1-EXP(('2023'!Tnet-t)/('2023'!Tau_j))),Resal+(Salim-Resal)*(1-EXP((Tnet-t)/(Tau_j))))*Salcycl</f>
        <v>3.8239223326916615E-2</v>
      </c>
      <c r="P129" s="169">
        <f>(INDEX(Models!$BJ129:$BT129,,T129)*(1-R129)+INDEX(Models!$BJ129:$BT129,,T129+1)*R129-ERP_i)*Q129*Ramure*Pc/MaxiM</f>
        <v>2.8763569722409692E-3</v>
      </c>
      <c r="Q129" s="304">
        <f t="shared" si="28"/>
        <v>0.7</v>
      </c>
      <c r="R129" s="177">
        <f t="shared" si="29"/>
        <v>0.78661719409404407</v>
      </c>
      <c r="S129" s="799">
        <f t="shared" si="30"/>
        <v>0</v>
      </c>
      <c r="T129" s="176">
        <f t="shared" si="31"/>
        <v>6</v>
      </c>
      <c r="U129" s="250">
        <f t="shared" si="32"/>
        <v>0.78661719409404407</v>
      </c>
      <c r="V129" s="382">
        <f t="shared" si="33"/>
        <v>55.536457617760078</v>
      </c>
      <c r="W129" s="400">
        <f t="shared" si="34"/>
        <v>42.329522259033439</v>
      </c>
      <c r="X129" s="157">
        <f t="shared" si="35"/>
        <v>45406</v>
      </c>
      <c r="Y129" s="383">
        <f t="shared" si="36"/>
        <v>41.809073648386281</v>
      </c>
      <c r="Z129" s="383">
        <f t="shared" si="37"/>
        <v>43.385310583302768</v>
      </c>
      <c r="AA129" s="384">
        <f t="shared" si="38"/>
        <v>45.668192016810764</v>
      </c>
      <c r="AB129" s="197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4.9988434678291095E-2</v>
      </c>
      <c r="AD129" s="230">
        <f>(INDEX(Models!$BJ129:$BT129,,AH129)*(1-AF129)+INDEX(Models!$BJ129:$BT129,,AH129+1)*AF129-ERP_i)*AE129*Ramure*Pc/MaxiM</f>
        <v>2.9969677550447465E-3</v>
      </c>
      <c r="AE129" s="304">
        <f t="shared" si="40"/>
        <v>0.7</v>
      </c>
      <c r="AF129" s="177">
        <f t="shared" si="41"/>
        <v>0.85094941635387622</v>
      </c>
      <c r="AG129" s="799">
        <f t="shared" si="49"/>
        <v>0</v>
      </c>
      <c r="AH129" s="176">
        <f t="shared" si="42"/>
        <v>6</v>
      </c>
      <c r="AI129" s="224">
        <f t="shared" si="43"/>
        <v>0.85094941635387622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45407</v>
      </c>
      <c r="B130" s="409">
        <f>'2023'!Wh/'2023'!Env_an*'2024'!Env_an</f>
        <v>54.337948037916441</v>
      </c>
      <c r="C130" s="829"/>
      <c r="D130" s="391">
        <f t="shared" si="25"/>
        <v>56.387614639054839</v>
      </c>
      <c r="E130" s="383">
        <f t="shared" si="47"/>
        <v>58.634844951226114</v>
      </c>
      <c r="F130" s="383">
        <f t="shared" si="26"/>
        <v>58.796675974869288</v>
      </c>
      <c r="G130" s="110">
        <f t="shared" si="48"/>
        <v>0.97653099266957843</v>
      </c>
      <c r="H130" s="412" t="b">
        <f>Wh_hp&gt;='2023'!Maxi_hp</f>
        <v>0</v>
      </c>
      <c r="I130" s="388">
        <f>IF(H130,Wh_hp,'2023'!Maxi_hp)</f>
        <v>58.799579012279175</v>
      </c>
      <c r="J130" s="85">
        <f>IF(H130,An,'2023'!An_max)</f>
        <v>2022</v>
      </c>
      <c r="K130" s="197">
        <f t="shared" si="27"/>
        <v>45407</v>
      </c>
      <c r="L130" s="147">
        <f>IF(t&lt;Tvie,1-EXP((T0-t)*PertePVj)+'2023'!Pspv,1-EXP((T0-t)*PertePVj)+Pspv)</f>
        <v>3.6349588721895865E-2</v>
      </c>
      <c r="M130" s="832"/>
      <c r="N130" s="832"/>
      <c r="O130" s="48">
        <f>IF(t&lt;Tnet,'2023'!Resal+('2023'!Salim-'2023'!Resal)*(1-EXP(('2023'!Tnet-t)/('2023'!Tau_j))),Resal+(Salim-Resal)*(1-EXP((Tnet-t)/(Tau_j))))*Salcycl</f>
        <v>3.8325850678731614E-2</v>
      </c>
      <c r="P130" s="169">
        <f>(INDEX(Models!$BJ130:$BT130,,T130)*(1-R130)+INDEX(Models!$BJ130:$BT130,,T130+1)*R130-ERP_i)*Q130*Ramure*Pc/MaxiM</f>
        <v>2.8474727385991677E-3</v>
      </c>
      <c r="Q130" s="304">
        <f t="shared" si="28"/>
        <v>0.7</v>
      </c>
      <c r="R130" s="177">
        <f t="shared" si="29"/>
        <v>0.78852275951633122</v>
      </c>
      <c r="S130" s="799">
        <f t="shared" si="30"/>
        <v>0</v>
      </c>
      <c r="T130" s="176">
        <f t="shared" si="31"/>
        <v>6</v>
      </c>
      <c r="U130" s="250">
        <f t="shared" si="32"/>
        <v>0.78852275951633122</v>
      </c>
      <c r="V130" s="382">
        <f t="shared" si="33"/>
        <v>55.638548343200625</v>
      </c>
      <c r="W130" s="400">
        <f t="shared" si="34"/>
        <v>54.337948037916441</v>
      </c>
      <c r="X130" s="157">
        <f t="shared" si="35"/>
        <v>45407</v>
      </c>
      <c r="Y130" s="383">
        <f t="shared" si="36"/>
        <v>53.668370584412415</v>
      </c>
      <c r="Z130" s="383">
        <f t="shared" si="37"/>
        <v>55.692780240949872</v>
      </c>
      <c r="AA130" s="384">
        <f t="shared" si="38"/>
        <v>58.628083586579216</v>
      </c>
      <c r="AB130" s="197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5.006650680120938E-2</v>
      </c>
      <c r="AD130" s="230">
        <f>(INDEX(Models!$BJ130:$BT130,,AH130)*(1-AF130)+INDEX(Models!$BJ130:$BT130,,AH130+1)*AF130-ERP_i)*AE130*Ramure*Pc/MaxiM</f>
        <v>2.9664412841496823E-3</v>
      </c>
      <c r="AE130" s="304">
        <f t="shared" si="40"/>
        <v>0.7</v>
      </c>
      <c r="AF130" s="177">
        <f t="shared" si="41"/>
        <v>0.85285498177616337</v>
      </c>
      <c r="AG130" s="799">
        <f t="shared" si="49"/>
        <v>0</v>
      </c>
      <c r="AH130" s="176">
        <f t="shared" si="42"/>
        <v>6</v>
      </c>
      <c r="AI130" s="224">
        <f t="shared" si="43"/>
        <v>0.85285498177616337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45408</v>
      </c>
      <c r="B131" s="409">
        <f>'2023'!Wh/'2023'!Env_an*'2024'!Env_an</f>
        <v>41.753729887988904</v>
      </c>
      <c r="C131" s="829"/>
      <c r="D131" s="391">
        <f t="shared" si="25"/>
        <v>43.329541102621377</v>
      </c>
      <c r="E131" s="383">
        <f t="shared" si="47"/>
        <v>45.060447902960497</v>
      </c>
      <c r="F131" s="383">
        <f t="shared" si="26"/>
        <v>45.142157354235408</v>
      </c>
      <c r="G131" s="110">
        <f t="shared" si="48"/>
        <v>0.74836393219896058</v>
      </c>
      <c r="H131" s="412" t="b">
        <f>Wh_hp&gt;='2023'!Maxi_hp</f>
        <v>0</v>
      </c>
      <c r="I131" s="388">
        <f>IF(H131,Wh_hp,'2023'!Maxi_hp)</f>
        <v>45.165843898017897</v>
      </c>
      <c r="J131" s="85">
        <f>IF(H131,An,'2023'!An_max)</f>
        <v>2022</v>
      </c>
      <c r="K131" s="197">
        <f t="shared" si="27"/>
        <v>45408</v>
      </c>
      <c r="L131" s="147">
        <f>IF(t&lt;Tvie,1-EXP((T0-t)*PertePVj)+'2023'!Pspv,1-EXP((T0-t)*PertePVj)+Pspv)</f>
        <v>3.6368056862184028E-2</v>
      </c>
      <c r="M131" s="832"/>
      <c r="N131" s="832"/>
      <c r="O131" s="48">
        <f>IF(t&lt;Tnet,'2023'!Resal+('2023'!Salim-'2023'!Resal)*(1-EXP(('2023'!Tnet-t)/('2023'!Tau_j))),Resal+(Salim-Resal)*(1-EXP((Tnet-t)/(Tau_j))))*Salcycl</f>
        <v>3.8412995895351458E-2</v>
      </c>
      <c r="P131" s="169">
        <f>(INDEX(Models!$BJ131:$BT131,,T131)*(1-R131)+INDEX(Models!$BJ131:$BT131,,T131+1)*R131-ERP_i)*Q131*Ramure*Pc/MaxiM</f>
        <v>2.8211292810412566E-3</v>
      </c>
      <c r="Q131" s="304">
        <f t="shared" si="28"/>
        <v>0.7</v>
      </c>
      <c r="R131" s="177">
        <f t="shared" si="29"/>
        <v>0.79048620030603911</v>
      </c>
      <c r="S131" s="799">
        <f t="shared" si="30"/>
        <v>0</v>
      </c>
      <c r="T131" s="176">
        <f t="shared" si="31"/>
        <v>6</v>
      </c>
      <c r="U131" s="250">
        <f t="shared" si="32"/>
        <v>0.79048620030603911</v>
      </c>
      <c r="V131" s="382">
        <f t="shared" si="33"/>
        <v>55.736834857307258</v>
      </c>
      <c r="W131" s="400">
        <f t="shared" si="34"/>
        <v>41.753729887988904</v>
      </c>
      <c r="X131" s="157">
        <f t="shared" si="35"/>
        <v>45408</v>
      </c>
      <c r="Y131" s="383">
        <f t="shared" si="36"/>
        <v>41.241173054783317</v>
      </c>
      <c r="Z131" s="383">
        <f t="shared" si="37"/>
        <v>42.797640062130149</v>
      </c>
      <c r="AA131" s="384">
        <f t="shared" si="38"/>
        <v>45.057037122663438</v>
      </c>
      <c r="AB131" s="197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5.0145264864671329E-2</v>
      </c>
      <c r="AD131" s="230">
        <f>(INDEX(Models!$BJ131:$BT131,,AH131)*(1-AF131)+INDEX(Models!$BJ131:$BT131,,AH131+1)*AF131-ERP_i)*AE131*Ramure*Pc/MaxiM</f>
        <v>2.9388910823641857E-3</v>
      </c>
      <c r="AE131" s="304">
        <f t="shared" si="40"/>
        <v>0.7</v>
      </c>
      <c r="AF131" s="177">
        <f t="shared" si="41"/>
        <v>0.85481842256587126</v>
      </c>
      <c r="AG131" s="799">
        <f t="shared" si="49"/>
        <v>0</v>
      </c>
      <c r="AH131" s="176">
        <f t="shared" si="42"/>
        <v>6</v>
      </c>
      <c r="AI131" s="224">
        <f t="shared" si="43"/>
        <v>0.85481842256587126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45409</v>
      </c>
      <c r="B132" s="409">
        <f>'2023'!Wh/'2023'!Env_an*'2024'!Env_an</f>
        <v>23.424828139346719</v>
      </c>
      <c r="C132" s="829"/>
      <c r="D132" s="391">
        <f t="shared" si="25"/>
        <v>24.309361313988287</v>
      </c>
      <c r="E132" s="383">
        <f t="shared" si="47"/>
        <v>25.282764408374984</v>
      </c>
      <c r="F132" s="383">
        <f t="shared" si="26"/>
        <v>25.294850212080398</v>
      </c>
      <c r="G132" s="110">
        <f t="shared" si="48"/>
        <v>0.4185891489023939</v>
      </c>
      <c r="H132" s="412" t="b">
        <f>Wh_hp&gt;='2023'!Maxi_hp</f>
        <v>0</v>
      </c>
      <c r="I132" s="388">
        <f>IF(H132,Wh_hp,'2023'!Maxi_hp)</f>
        <v>40.022734639116834</v>
      </c>
      <c r="J132" s="85">
        <f>IF(H132,An,'2023'!An_max)</f>
        <v>2018</v>
      </c>
      <c r="K132" s="197">
        <f t="shared" si="27"/>
        <v>45409</v>
      </c>
      <c r="L132" s="147">
        <f>IF(t&lt;Tvie,1-EXP((T0-t)*PertePVj)+'2023'!Pspv,1-EXP((T0-t)*PertePVj)+Pspv)</f>
        <v>3.6386524648534535E-2</v>
      </c>
      <c r="M132" s="832"/>
      <c r="N132" s="832"/>
      <c r="O132" s="48">
        <f>IF(t&lt;Tnet,'2023'!Resal+('2023'!Salim-'2023'!Resal)*(1-EXP(('2023'!Tnet-t)/('2023'!Tau_j))),Resal+(Salim-Resal)*(1-EXP((Tnet-t)/(Tau_j))))*Salcycl</f>
        <v>3.8500659131414212E-2</v>
      </c>
      <c r="P132" s="169">
        <f>(INDEX(Models!$BJ132:$BT132,,T132)*(1-R132)+INDEX(Models!$BJ132:$BT132,,T132+1)*R132-ERP_i)*Q132*Ramure*Pc/MaxiM</f>
        <v>2.797340652803616E-3</v>
      </c>
      <c r="Q132" s="304">
        <f t="shared" si="28"/>
        <v>0.7</v>
      </c>
      <c r="R132" s="177">
        <f t="shared" si="29"/>
        <v>0.79250845954034099</v>
      </c>
      <c r="S132" s="799">
        <f t="shared" si="30"/>
        <v>0</v>
      </c>
      <c r="T132" s="176">
        <f t="shared" si="31"/>
        <v>6</v>
      </c>
      <c r="U132" s="250">
        <f t="shared" si="32"/>
        <v>0.79250845954034099</v>
      </c>
      <c r="V132" s="382">
        <f t="shared" si="33"/>
        <v>55.83151717114027</v>
      </c>
      <c r="W132" s="400">
        <f t="shared" si="34"/>
        <v>23.424828139346719</v>
      </c>
      <c r="X132" s="157">
        <f t="shared" si="35"/>
        <v>45409</v>
      </c>
      <c r="Y132" s="383">
        <f t="shared" si="36"/>
        <v>23.138734749127039</v>
      </c>
      <c r="Z132" s="383">
        <f t="shared" si="37"/>
        <v>24.012464894897288</v>
      </c>
      <c r="AA132" s="384">
        <f t="shared" si="38"/>
        <v>25.282258958859252</v>
      </c>
      <c r="AB132" s="197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5.0224707611303473E-2</v>
      </c>
      <c r="AD132" s="230">
        <f>(INDEX(Models!$BJ132:$BT132,,AH132)*(1-AF132)+INDEX(Models!$BJ132:$BT132,,AH132+1)*AF132-ERP_i)*AE132*Ramure*Pc/MaxiM</f>
        <v>2.9143303468907658E-3</v>
      </c>
      <c r="AE132" s="304">
        <f t="shared" si="40"/>
        <v>0.7</v>
      </c>
      <c r="AF132" s="177">
        <f t="shared" si="41"/>
        <v>0.85684068180017314</v>
      </c>
      <c r="AG132" s="799">
        <f t="shared" si="49"/>
        <v>0</v>
      </c>
      <c r="AH132" s="176">
        <f t="shared" si="42"/>
        <v>6</v>
      </c>
      <c r="AI132" s="224">
        <f t="shared" si="43"/>
        <v>0.85684068180017314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45410</v>
      </c>
      <c r="B133" s="409">
        <f>'2023'!Wh/'2023'!Env_an*'2024'!Env_an</f>
        <v>41.982741633208583</v>
      </c>
      <c r="C133" s="829"/>
      <c r="D133" s="391">
        <f t="shared" si="25"/>
        <v>43.568865849433351</v>
      </c>
      <c r="E133" s="383">
        <f t="shared" si="47"/>
        <v>45.317620221837387</v>
      </c>
      <c r="F133" s="383">
        <f t="shared" si="26"/>
        <v>45.398772083392828</v>
      </c>
      <c r="G133" s="110">
        <f t="shared" si="48"/>
        <v>0.74998332023071357</v>
      </c>
      <c r="H133" s="412" t="b">
        <f>Wh_hp&gt;='2023'!Maxi_hp</f>
        <v>0</v>
      </c>
      <c r="I133" s="388">
        <f>IF(H133,Wh_hp,'2023'!Maxi_hp)</f>
        <v>47.336974093030854</v>
      </c>
      <c r="J133" s="85">
        <f>IF(H133,An,'2023'!An_max)</f>
        <v>2018</v>
      </c>
      <c r="K133" s="197">
        <f t="shared" si="27"/>
        <v>45410</v>
      </c>
      <c r="L133" s="147">
        <f>IF(t&lt;Tvie,1-EXP((T0-t)*PertePVj)+'2023'!Pspv,1-EXP((T0-t)*PertePVj)+Pspv)</f>
        <v>3.6404992080954046E-2</v>
      </c>
      <c r="M133" s="832"/>
      <c r="N133" s="832"/>
      <c r="O133" s="48">
        <f>IF(t&lt;Tnet,'2023'!Resal+('2023'!Salim-'2023'!Resal)*(1-EXP(('2023'!Tnet-t)/('2023'!Tau_j))),Resal+(Salim-Resal)*(1-EXP((Tnet-t)/(Tau_j))))*Salcycl</f>
        <v>3.85888394810582E-2</v>
      </c>
      <c r="P133" s="169">
        <f>(INDEX(Models!$BJ133:$BT133,,T133)*(1-R133)+INDEX(Models!$BJ133:$BT133,,T133+1)*R133-ERP_i)*Q133*Ramure*Pc/MaxiM</f>
        <v>2.7761250689913547E-3</v>
      </c>
      <c r="Q133" s="304">
        <f t="shared" si="28"/>
        <v>0.7</v>
      </c>
      <c r="R133" s="177">
        <f t="shared" si="29"/>
        <v>0.79459043534924667</v>
      </c>
      <c r="S133" s="799">
        <f t="shared" si="30"/>
        <v>0</v>
      </c>
      <c r="T133" s="176">
        <f t="shared" si="31"/>
        <v>6</v>
      </c>
      <c r="U133" s="250">
        <f t="shared" si="32"/>
        <v>0.79459043534924667</v>
      </c>
      <c r="V133" s="382">
        <f t="shared" si="33"/>
        <v>55.922795118391974</v>
      </c>
      <c r="W133" s="400">
        <f t="shared" si="34"/>
        <v>41.982741633208583</v>
      </c>
      <c r="X133" s="157">
        <f t="shared" si="35"/>
        <v>45410</v>
      </c>
      <c r="Y133" s="383">
        <f t="shared" si="36"/>
        <v>41.468009078463709</v>
      </c>
      <c r="Z133" s="383">
        <f t="shared" si="37"/>
        <v>43.034686499691311</v>
      </c>
      <c r="AA133" s="384">
        <f t="shared" si="38"/>
        <v>45.314210252440262</v>
      </c>
      <c r="AB133" s="197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5.0304832414599793E-2</v>
      </c>
      <c r="AD133" s="230">
        <f>(INDEX(Models!$BJ133:$BT133,,AH133)*(1-AF133)+INDEX(Models!$BJ133:$BT133,,AH133+1)*AF133-ERP_i)*AE133*Ramure*Pc/MaxiM</f>
        <v>2.8927767556735239E-3</v>
      </c>
      <c r="AE133" s="304">
        <f t="shared" si="40"/>
        <v>0.7</v>
      </c>
      <c r="AF133" s="177">
        <f t="shared" si="41"/>
        <v>0.85892265760907882</v>
      </c>
      <c r="AG133" s="799">
        <f t="shared" si="49"/>
        <v>0</v>
      </c>
      <c r="AH133" s="176">
        <f t="shared" si="42"/>
        <v>6</v>
      </c>
      <c r="AI133" s="224">
        <f t="shared" si="43"/>
        <v>0.85892265760907882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45411</v>
      </c>
      <c r="B134" s="409">
        <f>'2023'!Wh/'2023'!Env_an*'2024'!Env_an</f>
        <v>39.921536598517754</v>
      </c>
      <c r="C134" s="829"/>
      <c r="D134" s="391">
        <f t="shared" si="25"/>
        <v>41.430581698982891</v>
      </c>
      <c r="E134" s="383">
        <f t="shared" si="47"/>
        <v>43.097486228182603</v>
      </c>
      <c r="F134" s="383">
        <f t="shared" si="26"/>
        <v>43.167673770451557</v>
      </c>
      <c r="G134" s="110">
        <f t="shared" si="48"/>
        <v>0.71193841360832844</v>
      </c>
      <c r="H134" s="412" t="b">
        <f>Wh_hp&gt;='2023'!Maxi_hp</f>
        <v>0</v>
      </c>
      <c r="I134" s="388">
        <f>IF(H134,Wh_hp,'2023'!Maxi_hp)</f>
        <v>57.134227383129591</v>
      </c>
      <c r="J134" s="85">
        <f>IF(H134,An,'2023'!An_max)</f>
        <v>2018</v>
      </c>
      <c r="K134" s="197">
        <f t="shared" si="27"/>
        <v>45411</v>
      </c>
      <c r="L134" s="147">
        <f>IF(t&lt;Tvie,1-EXP((T0-t)*PertePVj)+'2023'!Pspv,1-EXP((T0-t)*PertePVj)+Pspv)</f>
        <v>3.6423459159449445E-2</v>
      </c>
      <c r="M134" s="832"/>
      <c r="N134" s="832"/>
      <c r="O134" s="48">
        <f>IF(t&lt;Tnet,'2023'!Resal+('2023'!Salim-'2023'!Resal)*(1-EXP(('2023'!Tnet-t)/('2023'!Tau_j))),Resal+(Salim-Resal)*(1-EXP((Tnet-t)/(Tau_j))))*Salcycl</f>
        <v>3.867753493496514E-2</v>
      </c>
      <c r="P134" s="169">
        <f>(INDEX(Models!$BJ134:$BT134,,T134)*(1-R134)+INDEX(Models!$BJ134:$BT134,,T134+1)*R134-ERP_i)*Q134*Ramure*Pc/MaxiM</f>
        <v>2.7575048742413569E-3</v>
      </c>
      <c r="Q134" s="304">
        <f t="shared" si="28"/>
        <v>0.7</v>
      </c>
      <c r="R134" s="177">
        <f t="shared" si="29"/>
        <v>0.79673297587506997</v>
      </c>
      <c r="S134" s="799">
        <f t="shared" si="30"/>
        <v>0</v>
      </c>
      <c r="T134" s="176">
        <f t="shared" si="31"/>
        <v>6</v>
      </c>
      <c r="U134" s="250">
        <f t="shared" si="32"/>
        <v>0.79673297587506997</v>
      </c>
      <c r="V134" s="382">
        <f t="shared" si="33"/>
        <v>56.010868343077</v>
      </c>
      <c r="W134" s="400">
        <f t="shared" si="34"/>
        <v>39.921536598517754</v>
      </c>
      <c r="X134" s="157">
        <f t="shared" si="35"/>
        <v>45411</v>
      </c>
      <c r="Y134" s="383">
        <f t="shared" si="36"/>
        <v>39.432606710692596</v>
      </c>
      <c r="Z134" s="383">
        <f t="shared" si="37"/>
        <v>40.923170126469252</v>
      </c>
      <c r="AA134" s="384">
        <f t="shared" si="38"/>
        <v>43.094514620444578</v>
      </c>
      <c r="AB134" s="197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5.0385635227579759E-2</v>
      </c>
      <c r="AD134" s="230">
        <f>(INDEX(Models!$BJ134:$BT134,,AH134)*(1-AF134)+INDEX(Models!$BJ134:$BT134,,AH134+1)*AF134-ERP_i)*AE134*Ramure*Pc/MaxiM</f>
        <v>2.8742524131497617E-3</v>
      </c>
      <c r="AE134" s="304">
        <f t="shared" si="40"/>
        <v>0.7</v>
      </c>
      <c r="AF134" s="177">
        <f t="shared" si="41"/>
        <v>0.86106519813490212</v>
      </c>
      <c r="AG134" s="799">
        <f t="shared" si="49"/>
        <v>0</v>
      </c>
      <c r="AH134" s="176">
        <f t="shared" si="42"/>
        <v>6</v>
      </c>
      <c r="AI134" s="224">
        <f t="shared" si="43"/>
        <v>0.86106519813490212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45412</v>
      </c>
      <c r="B135" s="409">
        <f>'2023'!Wh/'2023'!Env_an*'2024'!Env_an</f>
        <v>45.503798543674783</v>
      </c>
      <c r="C135" s="829"/>
      <c r="D135" s="391">
        <f t="shared" si="25"/>
        <v>47.224759737935642</v>
      </c>
      <c r="E135" s="383">
        <f t="shared" si="47"/>
        <v>49.129344372463258</v>
      </c>
      <c r="F135" s="383">
        <f t="shared" si="26"/>
        <v>49.227902776500287</v>
      </c>
      <c r="G135" s="110">
        <f t="shared" si="48"/>
        <v>0.81059069375485515</v>
      </c>
      <c r="H135" s="412" t="b">
        <f>Wh_hp&gt;='2023'!Maxi_hp</f>
        <v>0</v>
      </c>
      <c r="I135" s="388">
        <f>IF(H135,Wh_hp,'2023'!Maxi_hp)</f>
        <v>55.014185059625483</v>
      </c>
      <c r="J135" s="85">
        <f>IF(H135,An,'2023'!An_max)</f>
        <v>2018</v>
      </c>
      <c r="K135" s="197">
        <f t="shared" si="27"/>
        <v>45412</v>
      </c>
      <c r="L135" s="147">
        <f>IF(t&lt;Tvie,1-EXP((T0-t)*PertePVj)+'2023'!Pspv,1-EXP((T0-t)*PertePVj)+Pspv)</f>
        <v>3.6441925884027615E-2</v>
      </c>
      <c r="M135" s="832"/>
      <c r="N135" s="832"/>
      <c r="O135" s="48">
        <f>IF(t&lt;Tnet,'2023'!Resal+('2023'!Salim-'2023'!Resal)*(1-EXP(('2023'!Tnet-t)/('2023'!Tau_j))),Resal+(Salim-Resal)*(1-EXP((Tnet-t)/(Tau_j))))*Salcycl</f>
        <v>3.8766742338111185E-2</v>
      </c>
      <c r="P135" s="169">
        <f>(INDEX(Models!$BJ135:$BT135,,T135)*(1-R135)+INDEX(Models!$BJ135:$BT135,,T135+1)*R135-ERP_i)*Q135*Ramure*Pc/MaxiM</f>
        <v>2.7415522918937522E-3</v>
      </c>
      <c r="Q135" s="304">
        <f t="shared" si="28"/>
        <v>0.7</v>
      </c>
      <c r="R135" s="177">
        <f t="shared" si="29"/>
        <v>0.79893687408151792</v>
      </c>
      <c r="S135" s="799">
        <f t="shared" si="30"/>
        <v>0</v>
      </c>
      <c r="T135" s="176">
        <f t="shared" si="31"/>
        <v>6</v>
      </c>
      <c r="U135" s="250">
        <f t="shared" si="32"/>
        <v>0.79893687408151792</v>
      </c>
      <c r="V135" s="382">
        <f t="shared" si="33"/>
        <v>56.094996873618307</v>
      </c>
      <c r="W135" s="400">
        <f t="shared" si="34"/>
        <v>45.503798543674783</v>
      </c>
      <c r="X135" s="157">
        <f t="shared" si="35"/>
        <v>45412</v>
      </c>
      <c r="Y135" s="383">
        <f t="shared" si="36"/>
        <v>44.94605758701374</v>
      </c>
      <c r="Z135" s="383">
        <f t="shared" si="37"/>
        <v>46.645924925957395</v>
      </c>
      <c r="AA135" s="384">
        <f t="shared" si="38"/>
        <v>49.1251282007916</v>
      </c>
      <c r="AB135" s="197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5.0467110532533027E-2</v>
      </c>
      <c r="AD135" s="230">
        <f>(INDEX(Models!$BJ135:$BT135,,AH135)*(1-AF135)+INDEX(Models!$BJ135:$BT135,,AH135+1)*AF135-ERP_i)*AE135*Ramure*Pc/MaxiM</f>
        <v>2.8588315358342459E-3</v>
      </c>
      <c r="AE135" s="304">
        <f t="shared" si="40"/>
        <v>0.7</v>
      </c>
      <c r="AF135" s="177">
        <f t="shared" si="41"/>
        <v>0.86326909634135007</v>
      </c>
      <c r="AG135" s="799">
        <f t="shared" si="49"/>
        <v>0</v>
      </c>
      <c r="AH135" s="176">
        <f t="shared" si="42"/>
        <v>6</v>
      </c>
      <c r="AI135" s="224">
        <f t="shared" si="43"/>
        <v>0.86326909634135007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45413</v>
      </c>
      <c r="B136" s="409">
        <f>'2023'!Wh/'2023'!Env_an*'2024'!Env_an</f>
        <v>25.827550347088266</v>
      </c>
      <c r="C136" s="829"/>
      <c r="D136" s="391">
        <f t="shared" si="25"/>
        <v>26.804866286218441</v>
      </c>
      <c r="E136" s="383">
        <f t="shared" si="47"/>
        <v>27.888515187102787</v>
      </c>
      <c r="F136" s="383">
        <f t="shared" si="26"/>
        <v>27.905859594340654</v>
      </c>
      <c r="G136" s="110">
        <f t="shared" si="48"/>
        <v>0.45880479324199369</v>
      </c>
      <c r="H136" s="412" t="b">
        <f>Wh_hp&gt;='2023'!Maxi_hp</f>
        <v>0</v>
      </c>
      <c r="I136" s="388">
        <f>IF(H136,Wh_hp,'2023'!Maxi_hp)</f>
        <v>52.243655726180137</v>
      </c>
      <c r="J136" s="85">
        <f>IF(H136,An,'2023'!An_max)</f>
        <v>2021</v>
      </c>
      <c r="K136" s="197">
        <f t="shared" si="27"/>
        <v>45413</v>
      </c>
      <c r="L136" s="147">
        <f>IF(t&lt;Tvie,1-EXP((T0-t)*PertePVj)+'2023'!Pspv,1-EXP((T0-t)*PertePVj)+Pspv)</f>
        <v>3.6460392254695106E-2</v>
      </c>
      <c r="M136" s="832"/>
      <c r="N136" s="832"/>
      <c r="O136" s="48">
        <f>IF(t&lt;Tnet,'2023'!Resal+('2023'!Salim-'2023'!Resal)*(1-EXP(('2023'!Tnet-t)/('2023'!Tau_j))),Resal+(Salim-Resal)*(1-EXP((Tnet-t)/(Tau_j))))*Salcycl</f>
        <v>3.8856457348632252E-2</v>
      </c>
      <c r="P136" s="169">
        <f>(INDEX(Models!$BJ136:$BT136,,T136)*(1-R136)+INDEX(Models!$BJ136:$BT136,,T136+1)*R136-ERP_i)*Q136*Ramure*Pc/MaxiM</f>
        <v>2.7230927032850507E-3</v>
      </c>
      <c r="Q136" s="304">
        <f t="shared" si="28"/>
        <v>0.7</v>
      </c>
      <c r="R136" s="177">
        <f t="shared" si="29"/>
        <v>0.80120286242986605</v>
      </c>
      <c r="S136" s="799">
        <f t="shared" si="30"/>
        <v>0</v>
      </c>
      <c r="T136" s="176">
        <f t="shared" si="31"/>
        <v>6</v>
      </c>
      <c r="U136" s="250">
        <f t="shared" si="32"/>
        <v>0.80120286242986605</v>
      </c>
      <c r="V136" s="382">
        <f t="shared" si="33"/>
        <v>56.174736676803995</v>
      </c>
      <c r="W136" s="400">
        <f t="shared" si="34"/>
        <v>25.827550347088266</v>
      </c>
      <c r="X136" s="157">
        <f t="shared" si="35"/>
        <v>45413</v>
      </c>
      <c r="Y136" s="383">
        <f t="shared" si="36"/>
        <v>25.512658095117718</v>
      </c>
      <c r="Z136" s="383">
        <f t="shared" si="37"/>
        <v>26.478058493949892</v>
      </c>
      <c r="AA136" s="384">
        <f t="shared" si="38"/>
        <v>27.887764088860074</v>
      </c>
      <c r="AB136" s="197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5.054925129237222E-2</v>
      </c>
      <c r="AD136" s="230">
        <f>(INDEX(Models!$BJ136:$BT136,,AH136)*(1-AF136)+INDEX(Models!$BJ136:$BT136,,AH136+1)*AF136-ERP_i)*AE136*Ramure*Pc/MaxiM</f>
        <v>2.8410160267017415E-3</v>
      </c>
      <c r="AE136" s="304">
        <f t="shared" si="40"/>
        <v>0.7</v>
      </c>
      <c r="AF136" s="177">
        <f t="shared" si="41"/>
        <v>0.8655350846896982</v>
      </c>
      <c r="AG136" s="799">
        <f t="shared" si="49"/>
        <v>0</v>
      </c>
      <c r="AH136" s="176">
        <f t="shared" si="42"/>
        <v>6</v>
      </c>
      <c r="AI136" s="224">
        <f t="shared" si="43"/>
        <v>0.8655350846896982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45414</v>
      </c>
      <c r="B137" s="409">
        <f>'2023'!Wh/'2023'!Env_an*'2024'!Env_an</f>
        <v>31.741666681472484</v>
      </c>
      <c r="C137" s="829"/>
      <c r="D137" s="391">
        <f t="shared" si="25"/>
        <v>32.943404463890076</v>
      </c>
      <c r="E137" s="383">
        <f t="shared" si="47"/>
        <v>34.278435531412931</v>
      </c>
      <c r="F137" s="383">
        <f t="shared" si="26"/>
        <v>34.313363530746493</v>
      </c>
      <c r="G137" s="110">
        <f t="shared" si="48"/>
        <v>0.56334202305664016</v>
      </c>
      <c r="H137" s="412" t="b">
        <f>Wh_hp&gt;='2023'!Maxi_hp</f>
        <v>0</v>
      </c>
      <c r="I137" s="388">
        <f>IF(H137,Wh_hp,'2023'!Maxi_hp)</f>
        <v>59.318580235290369</v>
      </c>
      <c r="J137" s="85">
        <f>IF(H137,An,'2023'!An_max)</f>
        <v>2021</v>
      </c>
      <c r="K137" s="197">
        <f t="shared" si="27"/>
        <v>45414</v>
      </c>
      <c r="L137" s="147">
        <f>IF(t&lt;Tvie,1-EXP((T0-t)*PertePVj)+'2023'!Pspv,1-EXP((T0-t)*PertePVj)+Pspv)</f>
        <v>3.6478858271458803E-2</v>
      </c>
      <c r="M137" s="832"/>
      <c r="N137" s="832"/>
      <c r="O137" s="48">
        <f>IF(t&lt;Tnet,'2023'!Resal+('2023'!Salim-'2023'!Resal)*(1-EXP(('2023'!Tnet-t)/('2023'!Tau_j))),Resal+(Salim-Resal)*(1-EXP((Tnet-t)/(Tau_j))))*Salcycl</f>
        <v>3.8946674398235882E-2</v>
      </c>
      <c r="P137" s="169">
        <f>(INDEX(Models!$BJ137:$BT137,,T137)*(1-R137)+INDEX(Models!$BJ137:$BT137,,T137+1)*R137-ERP_i)*Q137*Ramure*Pc/MaxiM</f>
        <v>2.6960492431605302E-3</v>
      </c>
      <c r="Q137" s="304">
        <f t="shared" si="28"/>
        <v>0.7</v>
      </c>
      <c r="R137" s="177">
        <f t="shared" si="29"/>
        <v>0.803531607442317</v>
      </c>
      <c r="S137" s="799">
        <f t="shared" si="30"/>
        <v>0</v>
      </c>
      <c r="T137" s="176">
        <f t="shared" si="31"/>
        <v>6</v>
      </c>
      <c r="U137" s="250">
        <f t="shared" si="32"/>
        <v>0.803531607442317</v>
      </c>
      <c r="V137" s="382">
        <f t="shared" si="33"/>
        <v>56.250633272470935</v>
      </c>
      <c r="W137" s="400">
        <f t="shared" si="34"/>
        <v>31.741666681472484</v>
      </c>
      <c r="X137" s="157">
        <f t="shared" si="35"/>
        <v>45414</v>
      </c>
      <c r="Y137" s="383">
        <f t="shared" si="36"/>
        <v>31.35432024413392</v>
      </c>
      <c r="Z137" s="383">
        <f t="shared" si="37"/>
        <v>32.541393111400524</v>
      </c>
      <c r="AA137" s="384">
        <f t="shared" si="38"/>
        <v>34.276902937199488</v>
      </c>
      <c r="AB137" s="197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5.0632048904146437E-2</v>
      </c>
      <c r="AD137" s="230">
        <f>(INDEX(Models!$BJ137:$BT137,,AH137)*(1-AF137)+INDEX(Models!$BJ137:$BT137,,AH137+1)*AF137-ERP_i)*AE137*Ramure*Pc/MaxiM</f>
        <v>2.8143483025993431E-3</v>
      </c>
      <c r="AE137" s="304">
        <f t="shared" si="40"/>
        <v>0.7</v>
      </c>
      <c r="AF137" s="177">
        <f t="shared" si="41"/>
        <v>0.86786382970214915</v>
      </c>
      <c r="AG137" s="799">
        <f t="shared" si="49"/>
        <v>0</v>
      </c>
      <c r="AH137" s="176">
        <f t="shared" si="42"/>
        <v>6</v>
      </c>
      <c r="AI137" s="224">
        <f t="shared" si="43"/>
        <v>0.86786382970214915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45415</v>
      </c>
      <c r="B138" s="409">
        <f>'2023'!Wh/'2023'!Env_an*'2024'!Env_an</f>
        <v>16.059496348485279</v>
      </c>
      <c r="C138" s="829"/>
      <c r="D138" s="391">
        <f t="shared" si="25"/>
        <v>16.667827446065782</v>
      </c>
      <c r="E138" s="383">
        <f t="shared" si="47"/>
        <v>17.344928111240797</v>
      </c>
      <c r="F138" s="383">
        <f t="shared" si="26"/>
        <v>17.344928111240797</v>
      </c>
      <c r="G138" s="110">
        <f t="shared" si="48"/>
        <v>0.28437409949942677</v>
      </c>
      <c r="H138" s="412" t="b">
        <f>Wh_hp&gt;='2023'!Maxi_hp</f>
        <v>0</v>
      </c>
      <c r="I138" s="388">
        <f>IF(H138,Wh_hp,'2023'!Maxi_hp)</f>
        <v>56.957672371792654</v>
      </c>
      <c r="J138" s="85">
        <f>IF(H138,An,'2023'!An_max)</f>
        <v>2020</v>
      </c>
      <c r="K138" s="197">
        <f t="shared" si="27"/>
        <v>45415</v>
      </c>
      <c r="L138" s="147">
        <f>IF(t&lt;Tvie,1-EXP((T0-t)*PertePVj)+'2023'!Pspv,1-EXP((T0-t)*PertePVj)+Pspv)</f>
        <v>3.6497323934325476E-2</v>
      </c>
      <c r="M138" s="832"/>
      <c r="N138" s="832"/>
      <c r="O138" s="48">
        <f>IF(t&lt;Tnet,'2023'!Resal+('2023'!Salim-'2023'!Resal)*(1-EXP(('2023'!Tnet-t)/('2023'!Tau_j))),Resal+(Salim-Resal)*(1-EXP((Tnet-t)/(Tau_j))))*Salcycl</f>
        <v>3.9037386654615362E-2</v>
      </c>
      <c r="P138" s="169">
        <f>(INDEX(Models!$BJ138:$BT138,,T138)*(1-R138)+INDEX(Models!$BJ138:$BT138,,T138+1)*R138-ERP_i)*Q138*Ramure*Pc/MaxiM</f>
        <v>2.6603438939041719E-3</v>
      </c>
      <c r="Q138" s="304">
        <f t="shared" si="28"/>
        <v>0.7</v>
      </c>
      <c r="R138" s="177">
        <f t="shared" si="29"/>
        <v>0.80592370417534931</v>
      </c>
      <c r="S138" s="799">
        <f t="shared" si="30"/>
        <v>0</v>
      </c>
      <c r="T138" s="176">
        <f t="shared" si="31"/>
        <v>6</v>
      </c>
      <c r="U138" s="250">
        <f t="shared" si="32"/>
        <v>0.80592370417534931</v>
      </c>
      <c r="V138" s="382">
        <f t="shared" si="33"/>
        <v>56.322895065440719</v>
      </c>
      <c r="W138" s="400">
        <f t="shared" si="34"/>
        <v>16.059496348485279</v>
      </c>
      <c r="X138" s="157">
        <f t="shared" si="35"/>
        <v>45415</v>
      </c>
      <c r="Y138" s="383">
        <f t="shared" si="36"/>
        <v>15.864333179699774</v>
      </c>
      <c r="Z138" s="383">
        <f t="shared" si="37"/>
        <v>16.465271528336082</v>
      </c>
      <c r="AA138" s="384">
        <f t="shared" si="38"/>
        <v>17.344928111240797</v>
      </c>
      <c r="AB138" s="197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5.0715493155294986E-2</v>
      </c>
      <c r="AD138" s="230">
        <f>(INDEX(Models!$BJ138:$BT138,,AH138)*(1-AF138)+INDEX(Models!$BJ138:$BT138,,AH138+1)*AF138-ERP_i)*AE138*Ramure*Pc/MaxiM</f>
        <v>2.7787490670780754E-3</v>
      </c>
      <c r="AE138" s="304">
        <f t="shared" si="40"/>
        <v>0.7</v>
      </c>
      <c r="AF138" s="177">
        <f t="shared" si="41"/>
        <v>0.87025592643518146</v>
      </c>
      <c r="AG138" s="799">
        <f t="shared" si="49"/>
        <v>0</v>
      </c>
      <c r="AH138" s="176">
        <f t="shared" si="42"/>
        <v>6</v>
      </c>
      <c r="AI138" s="224">
        <f t="shared" si="43"/>
        <v>0.87025592643518146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45416</v>
      </c>
      <c r="B139" s="409">
        <f>'2023'!Wh/'2023'!Env_an*'2024'!Env_an</f>
        <v>34.822803138099083</v>
      </c>
      <c r="C139" s="829"/>
      <c r="D139" s="391">
        <f t="shared" si="25"/>
        <v>36.142577895230964</v>
      </c>
      <c r="E139" s="383">
        <f t="shared" si="47"/>
        <v>37.614375209956151</v>
      </c>
      <c r="F139" s="383">
        <f t="shared" si="26"/>
        <v>37.659059699778417</v>
      </c>
      <c r="G139" s="110">
        <f t="shared" si="48"/>
        <v>0.61663243922843147</v>
      </c>
      <c r="H139" s="412" t="b">
        <f>Wh_hp&gt;='2023'!Maxi_hp</f>
        <v>0</v>
      </c>
      <c r="I139" s="388">
        <f>IF(H139,Wh_hp,'2023'!Maxi_hp)</f>
        <v>61.376169686641241</v>
      </c>
      <c r="J139" s="85">
        <f>IF(H139,An,'2023'!An_max)</f>
        <v>2020</v>
      </c>
      <c r="K139" s="197">
        <f t="shared" si="27"/>
        <v>45416</v>
      </c>
      <c r="L139" s="147">
        <f>IF(t&lt;Tvie,1-EXP((T0-t)*PertePVj)+'2023'!Pspv,1-EXP((T0-t)*PertePVj)+Pspv)</f>
        <v>3.651578924330201E-2</v>
      </c>
      <c r="M139" s="832"/>
      <c r="N139" s="832"/>
      <c r="O139" s="48">
        <f>IF(t&lt;Tnet,'2023'!Resal+('2023'!Salim-'2023'!Resal)*(1-EXP(('2023'!Tnet-t)/('2023'!Tau_j))),Resal+(Salim-Resal)*(1-EXP((Tnet-t)/(Tau_j))))*Salcycl</f>
        <v>3.9128585986338907E-2</v>
      </c>
      <c r="P139" s="169">
        <f>(INDEX(Models!$BJ139:$BT139,,T139)*(1-R139)+INDEX(Models!$BJ139:$BT139,,T139+1)*R139-ERP_i)*Q139*Ramure*Pc/MaxiM</f>
        <v>2.6158906406419449E-3</v>
      </c>
      <c r="Q139" s="304">
        <f t="shared" si="28"/>
        <v>0.7</v>
      </c>
      <c r="R139" s="177">
        <f t="shared" si="29"/>
        <v>0.80837967062861049</v>
      </c>
      <c r="S139" s="799">
        <f t="shared" si="30"/>
        <v>0</v>
      </c>
      <c r="T139" s="176">
        <f t="shared" si="31"/>
        <v>6</v>
      </c>
      <c r="U139" s="250">
        <f t="shared" si="32"/>
        <v>0.80837967062861049</v>
      </c>
      <c r="V139" s="382">
        <f t="shared" si="33"/>
        <v>56.3917307485561</v>
      </c>
      <c r="W139" s="400">
        <f t="shared" si="34"/>
        <v>34.822803138099083</v>
      </c>
      <c r="X139" s="157">
        <f t="shared" si="35"/>
        <v>45416</v>
      </c>
      <c r="Y139" s="383">
        <f t="shared" si="36"/>
        <v>34.397989439735923</v>
      </c>
      <c r="Z139" s="383">
        <f t="shared" si="37"/>
        <v>35.701663873371153</v>
      </c>
      <c r="AA139" s="384">
        <f t="shared" si="38"/>
        <v>37.612355438448333</v>
      </c>
      <c r="AB139" s="197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5.0799572183241139E-2</v>
      </c>
      <c r="AD139" s="230">
        <f>(INDEX(Models!$BJ139:$BT139,,AH139)*(1-AF139)+INDEX(Models!$BJ139:$BT139,,AH139+1)*AF139-ERP_i)*AE139*Ramure*Pc/MaxiM</f>
        <v>2.7341308041652435E-3</v>
      </c>
      <c r="AE139" s="304">
        <f t="shared" si="40"/>
        <v>0.7</v>
      </c>
      <c r="AF139" s="177">
        <f t="shared" si="41"/>
        <v>0.87271189288844264</v>
      </c>
      <c r="AG139" s="799">
        <f t="shared" si="49"/>
        <v>0</v>
      </c>
      <c r="AH139" s="176">
        <f t="shared" si="42"/>
        <v>6</v>
      </c>
      <c r="AI139" s="224">
        <f t="shared" si="43"/>
        <v>0.87271189288844264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45417</v>
      </c>
      <c r="B140" s="409">
        <f>'2023'!Wh/'2023'!Env_an*'2024'!Env_an</f>
        <v>39.869115059046251</v>
      </c>
      <c r="C140" s="829"/>
      <c r="D140" s="391">
        <f t="shared" si="25"/>
        <v>41.380936720147837</v>
      </c>
      <c r="E140" s="383">
        <f t="shared" si="47"/>
        <v>43.07015970837768</v>
      </c>
      <c r="F140" s="383">
        <f t="shared" si="26"/>
        <v>43.134299061754852</v>
      </c>
      <c r="G140" s="110">
        <f t="shared" si="48"/>
        <v>0.70542041720413817</v>
      </c>
      <c r="H140" s="412" t="b">
        <f>Wh_hp&gt;='2023'!Maxi_hp</f>
        <v>0</v>
      </c>
      <c r="I140" s="388">
        <f>IF(H140,Wh_hp,'2023'!Maxi_hp)</f>
        <v>58.310376218958538</v>
      </c>
      <c r="J140" s="85">
        <f>IF(H140,An,'2023'!An_max)</f>
        <v>2018</v>
      </c>
      <c r="K140" s="197">
        <f t="shared" si="27"/>
        <v>45417</v>
      </c>
      <c r="L140" s="147">
        <f>IF(t&lt;Tvie,1-EXP((T0-t)*PertePVj)+'2023'!Pspv,1-EXP((T0-t)*PertePVj)+Pspv)</f>
        <v>3.6534254198395177E-2</v>
      </c>
      <c r="M140" s="832"/>
      <c r="N140" s="832"/>
      <c r="O140" s="48">
        <f>IF(t&lt;Tnet,'2023'!Resal+('2023'!Salim-'2023'!Resal)*(1-EXP(('2023'!Tnet-t)/('2023'!Tau_j))),Resal+(Salim-Resal)*(1-EXP((Tnet-t)/(Tau_j))))*Salcycl</f>
        <v>3.922026293070071E-2</v>
      </c>
      <c r="P140" s="169">
        <f>(INDEX(Models!$BJ140:$BT140,,T140)*(1-R140)+INDEX(Models!$BJ140:$BT140,,T140+1)*R140-ERP_i)*Q140*Ramure*Pc/MaxiM</f>
        <v>2.5625958726340141E-3</v>
      </c>
      <c r="Q140" s="304">
        <f t="shared" si="28"/>
        <v>0.7</v>
      </c>
      <c r="R140" s="177">
        <f t="shared" si="29"/>
        <v>0.81089994211768357</v>
      </c>
      <c r="S140" s="799">
        <f t="shared" si="30"/>
        <v>0</v>
      </c>
      <c r="T140" s="176">
        <f t="shared" si="31"/>
        <v>6</v>
      </c>
      <c r="U140" s="250">
        <f t="shared" si="32"/>
        <v>0.81089994211768357</v>
      </c>
      <c r="V140" s="382">
        <f t="shared" si="33"/>
        <v>56.457349294659757</v>
      </c>
      <c r="W140" s="400">
        <f t="shared" si="34"/>
        <v>39.869115059046251</v>
      </c>
      <c r="X140" s="157">
        <f t="shared" si="35"/>
        <v>45417</v>
      </c>
      <c r="Y140" s="383">
        <f t="shared" si="36"/>
        <v>39.382401837220016</v>
      </c>
      <c r="Z140" s="383">
        <f t="shared" si="37"/>
        <v>40.875767518287638</v>
      </c>
      <c r="AA140" s="384">
        <f t="shared" si="38"/>
        <v>43.067211227577026</v>
      </c>
      <c r="AB140" s="197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5.0884272438939594E-2</v>
      </c>
      <c r="AD140" s="230">
        <f>(INDEX(Models!$BJ140:$BT140,,AH140)*(1-AF140)+INDEX(Models!$BJ140:$BT140,,AH140+1)*AF140-ERP_i)*AE140*Ramure*Pc/MaxiM</f>
        <v>2.680398194180388E-3</v>
      </c>
      <c r="AE140" s="304">
        <f t="shared" si="40"/>
        <v>0.7</v>
      </c>
      <c r="AF140" s="177">
        <f t="shared" si="41"/>
        <v>0.87523216437751572</v>
      </c>
      <c r="AG140" s="799">
        <f t="shared" si="49"/>
        <v>0</v>
      </c>
      <c r="AH140" s="176">
        <f t="shared" si="42"/>
        <v>6</v>
      </c>
      <c r="AI140" s="224">
        <f t="shared" si="43"/>
        <v>0.87523216437751572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45418</v>
      </c>
      <c r="B141" s="409">
        <f>'2023'!Wh/'2023'!Env_an*'2024'!Env_an</f>
        <v>44.430209254685309</v>
      </c>
      <c r="C141" s="829"/>
      <c r="D141" s="391">
        <f t="shared" si="25"/>
        <v>46.115869670967726</v>
      </c>
      <c r="E141" s="383">
        <f t="shared" si="47"/>
        <v>48.002982437692481</v>
      </c>
      <c r="F141" s="383">
        <f t="shared" si="26"/>
        <v>48.086475576655026</v>
      </c>
      <c r="G141" s="110">
        <f t="shared" si="48"/>
        <v>0.78549601774898892</v>
      </c>
      <c r="H141" s="412" t="b">
        <f>Wh_hp&gt;='2023'!Maxi_hp</f>
        <v>0</v>
      </c>
      <c r="I141" s="388">
        <f>IF(H141,Wh_hp,'2023'!Maxi_hp)</f>
        <v>58.360511547826988</v>
      </c>
      <c r="J141" s="85">
        <f>IF(H141,An,'2023'!An_max)</f>
        <v>2020</v>
      </c>
      <c r="K141" s="197">
        <f t="shared" si="27"/>
        <v>45418</v>
      </c>
      <c r="L141" s="147">
        <f>IF(t&lt;Tvie,1-EXP((T0-t)*PertePVj)+'2023'!Pspv,1-EXP((T0-t)*PertePVj)+Pspv)</f>
        <v>3.6552718799611528E-2</v>
      </c>
      <c r="M141" s="832"/>
      <c r="N141" s="832"/>
      <c r="O141" s="48">
        <f>IF(t&lt;Tnet,'2023'!Resal+('2023'!Salim-'2023'!Resal)*(1-EXP(('2023'!Tnet-t)/('2023'!Tau_j))),Resal+(Salim-Resal)*(1-EXP((Tnet-t)/(Tau_j))))*Salcycl</f>
        <v>3.9312406665027805E-2</v>
      </c>
      <c r="P141" s="169">
        <f>(INDEX(Models!$BJ141:$BT141,,T141)*(1-R141)+INDEX(Models!$BJ141:$BT141,,T141+1)*R141-ERP_i)*Q141*Ramure*Pc/MaxiM</f>
        <v>2.5003588071802248E-3</v>
      </c>
      <c r="Q141" s="304">
        <f t="shared" si="28"/>
        <v>0.7</v>
      </c>
      <c r="R141" s="177">
        <f t="shared" si="29"/>
        <v>0.81348486564180544</v>
      </c>
      <c r="S141" s="799">
        <f t="shared" si="30"/>
        <v>0</v>
      </c>
      <c r="T141" s="176">
        <f t="shared" si="31"/>
        <v>6</v>
      </c>
      <c r="U141" s="250">
        <f t="shared" si="32"/>
        <v>0.81348486564180544</v>
      </c>
      <c r="V141" s="382">
        <f t="shared" si="33"/>
        <v>56.519959949642526</v>
      </c>
      <c r="W141" s="400">
        <f t="shared" si="34"/>
        <v>44.430209254685309</v>
      </c>
      <c r="X141" s="157">
        <f t="shared" si="35"/>
        <v>45418</v>
      </c>
      <c r="Y141" s="383">
        <f t="shared" si="36"/>
        <v>43.887509372307029</v>
      </c>
      <c r="Z141" s="383">
        <f t="shared" si="37"/>
        <v>45.552580020389115</v>
      </c>
      <c r="AA141" s="384">
        <f t="shared" si="38"/>
        <v>47.999072522701958</v>
      </c>
      <c r="AB141" s="197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5.0969578654998716E-2</v>
      </c>
      <c r="AD141" s="230">
        <f>(INDEX(Models!$BJ141:$BT141,,AH141)*(1-AF141)+INDEX(Models!$BJ141:$BT141,,AH141+1)*AF141-ERP_i)*AE141*Ramure*Pc/MaxiM</f>
        <v>2.6174485525577236E-3</v>
      </c>
      <c r="AE141" s="304">
        <f t="shared" si="40"/>
        <v>0.7</v>
      </c>
      <c r="AF141" s="177">
        <f t="shared" si="41"/>
        <v>0.87781708790163759</v>
      </c>
      <c r="AG141" s="799">
        <f t="shared" si="49"/>
        <v>0</v>
      </c>
      <c r="AH141" s="176">
        <f t="shared" si="42"/>
        <v>6</v>
      </c>
      <c r="AI141" s="224">
        <f t="shared" si="43"/>
        <v>0.87781708790163759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45419</v>
      </c>
      <c r="B142" s="409">
        <f>'2023'!Wh/'2023'!Env_an*'2024'!Env_an</f>
        <v>55.138096018678645</v>
      </c>
      <c r="C142" s="829"/>
      <c r="D142" s="391">
        <f t="shared" si="25"/>
        <v>57.231105244557064</v>
      </c>
      <c r="E142" s="383">
        <f t="shared" si="47"/>
        <v>59.578808489920398</v>
      </c>
      <c r="F142" s="383">
        <f t="shared" si="26"/>
        <v>59.71861344425735</v>
      </c>
      <c r="G142" s="110">
        <f t="shared" si="48"/>
        <v>0.97443361363622294</v>
      </c>
      <c r="H142" s="412" t="b">
        <f>Wh_hp&gt;='2023'!Maxi_hp</f>
        <v>0</v>
      </c>
      <c r="I142" s="388">
        <f>IF(H142,Wh_hp,'2023'!Maxi_hp)</f>
        <v>61.177065802959824</v>
      </c>
      <c r="J142" s="85">
        <f>IF(H142,An,'2023'!An_max)</f>
        <v>2021</v>
      </c>
      <c r="K142" s="197">
        <f t="shared" si="27"/>
        <v>45419</v>
      </c>
      <c r="L142" s="147">
        <f>IF(t&lt;Tvie,1-EXP((T0-t)*PertePVj)+'2023'!Pspv,1-EXP((T0-t)*PertePVj)+Pspv)</f>
        <v>3.6571183046958056E-2</v>
      </c>
      <c r="M142" s="832"/>
      <c r="N142" s="832"/>
      <c r="O142" s="48">
        <f>IF(t&lt;Tnet,'2023'!Resal+('2023'!Salim-'2023'!Resal)*(1-EXP(('2023'!Tnet-t)/('2023'!Tau_j))),Resal+(Salim-Resal)*(1-EXP((Tnet-t)/(Tau_j))))*Salcycl</f>
        <v>3.9405004981939523E-2</v>
      </c>
      <c r="P142" s="169">
        <f>(INDEX(Models!$BJ142:$BT142,,T142)*(1-R142)+INDEX(Models!$BJ142:$BT142,,T142+1)*R142-ERP_i)*Q142*Ramure*Pc/MaxiM</f>
        <v>2.4294952676279886E-3</v>
      </c>
      <c r="Q142" s="304">
        <f t="shared" si="28"/>
        <v>0.7</v>
      </c>
      <c r="R142" s="177">
        <f t="shared" si="29"/>
        <v>0.81613469428031182</v>
      </c>
      <c r="S142" s="799">
        <f t="shared" si="30"/>
        <v>0</v>
      </c>
      <c r="T142" s="176">
        <f t="shared" si="31"/>
        <v>6</v>
      </c>
      <c r="U142" s="250">
        <f t="shared" si="32"/>
        <v>0.81613469428031182</v>
      </c>
      <c r="V142" s="382">
        <f t="shared" si="33"/>
        <v>56.579748217439501</v>
      </c>
      <c r="W142" s="400">
        <f t="shared" si="34"/>
        <v>55.138096018678645</v>
      </c>
      <c r="X142" s="157">
        <f t="shared" si="35"/>
        <v>45419</v>
      </c>
      <c r="Y142" s="383">
        <f t="shared" si="36"/>
        <v>54.463258259362327</v>
      </c>
      <c r="Z142" s="383">
        <f t="shared" si="37"/>
        <v>56.530651046549394</v>
      </c>
      <c r="AA142" s="384">
        <f t="shared" si="38"/>
        <v>59.572134605228484</v>
      </c>
      <c r="AB142" s="197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5.1055473818998331E-2</v>
      </c>
      <c r="AD142" s="230">
        <f>(INDEX(Models!$BJ142:$BT142,,AH142)*(1-AF142)+INDEX(Models!$BJ142:$BT142,,AH142+1)*AF142-ERP_i)*AE142*Ramure*Pc/MaxiM</f>
        <v>2.5454723540810414E-3</v>
      </c>
      <c r="AE142" s="304">
        <f t="shared" si="40"/>
        <v>0.7</v>
      </c>
      <c r="AF142" s="177">
        <f t="shared" si="41"/>
        <v>0.88046691654014397</v>
      </c>
      <c r="AG142" s="799">
        <f t="shared" si="49"/>
        <v>0</v>
      </c>
      <c r="AH142" s="176">
        <f t="shared" si="42"/>
        <v>6</v>
      </c>
      <c r="AI142" s="224">
        <f t="shared" si="43"/>
        <v>0.88046691654014397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45420</v>
      </c>
      <c r="B143" s="409">
        <f>'2023'!Wh/'2023'!Env_an*'2024'!Env_an</f>
        <v>52.888287419801848</v>
      </c>
      <c r="C143" s="829"/>
      <c r="D143" s="391">
        <f t="shared" ref="D143:D206" si="50">Wh/(1-Ppv)</f>
        <v>54.896947341121496</v>
      </c>
      <c r="E143" s="383">
        <f t="shared" si="47"/>
        <v>57.154435775557168</v>
      </c>
      <c r="F143" s="383">
        <f t="shared" ref="F143:F206" si="51">Wh_sa/(1-Pvg*MEDIAN((-Sdif+Wh/Env_an)/Csdif,0,1))</f>
        <v>57.276500567930874</v>
      </c>
      <c r="G143" s="110">
        <f t="shared" si="48"/>
        <v>0.93360815317866563</v>
      </c>
      <c r="H143" s="412" t="b">
        <f>Wh_hp&gt;='2023'!Maxi_hp</f>
        <v>0</v>
      </c>
      <c r="I143" s="388">
        <f>IF(H143,Wh_hp,'2023'!Maxi_hp)</f>
        <v>57.284230576804276</v>
      </c>
      <c r="J143" s="85">
        <f>IF(H143,An,'2023'!An_max)</f>
        <v>2022</v>
      </c>
      <c r="K143" s="197">
        <f t="shared" ref="K143:K206" si="52">t</f>
        <v>45420</v>
      </c>
      <c r="L143" s="147">
        <f>IF(t&lt;Tvie,1-EXP((T0-t)*PertePVj)+'2023'!Pspv,1-EXP((T0-t)*PertePVj)+Pspv)</f>
        <v>3.6589646940441534E-2</v>
      </c>
      <c r="M143" s="832"/>
      <c r="N143" s="832"/>
      <c r="O143" s="48">
        <f>IF(t&lt;Tnet,'2023'!Resal+('2023'!Salim-'2023'!Resal)*(1-EXP(('2023'!Tnet-t)/('2023'!Tau_j))),Resal+(Salim-Resal)*(1-EXP((Tnet-t)/(Tau_j))))*Salcycl</f>
        <v>3.9498044269052492E-2</v>
      </c>
      <c r="P143" s="169">
        <f>(INDEX(Models!$BJ143:$BT143,,T143)*(1-R143)+INDEX(Models!$BJ143:$BT143,,T143+1)*R143-ERP_i)*Q143*Ramure*Pc/MaxiM</f>
        <v>2.3536858964413026E-3</v>
      </c>
      <c r="Q143" s="304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0.81884958165418809</v>
      </c>
      <c r="S143" s="799">
        <f t="shared" ref="S143:S206" si="55">INDEX(Echel_vg,T143)</f>
        <v>0</v>
      </c>
      <c r="T143" s="176">
        <f t="shared" ref="T143:T206" si="56">MIN(MATCH(Hp_vg,Echel_vg),10)</f>
        <v>6</v>
      </c>
      <c r="U143" s="250">
        <f t="shared" ref="U143:U206" si="57">IF(OR(t&lt;Ttai,Notai),Hdd+PousH*Croivg,Hdtf+PousH*(Croivg-Croi_tai))</f>
        <v>0.81884958165418809</v>
      </c>
      <c r="V143" s="382">
        <f t="shared" ref="V143:V206" si="58">MaxiM*(1-Ppv)*(1-Pvg)*(1-Psa)</f>
        <v>56.636708388751693</v>
      </c>
      <c r="W143" s="400">
        <f t="shared" ref="W143:W206" si="59">Wh*(A143&gt;Tmaj)</f>
        <v>52.888287419801848</v>
      </c>
      <c r="X143" s="157">
        <f t="shared" ref="X143:X206" si="60">t</f>
        <v>45420</v>
      </c>
      <c r="Y143" s="383">
        <f t="shared" ref="Y143:Y206" si="61">Wh_pvt_s*(1-Ppv)</f>
        <v>52.241713158711995</v>
      </c>
      <c r="Z143" s="383">
        <f t="shared" ref="Z143:Z206" si="62">Wh_sa_s*(1-Psa_s)</f>
        <v>54.225816644802435</v>
      </c>
      <c r="AA143" s="384">
        <f t="shared" ref="AA143:AA206" si="63">Wh_hp*(1-Pvg_s*MEDIAN((-Sdif+Wh/Env_an)/Csdif,0,1))</f>
        <v>57.148501849028634</v>
      </c>
      <c r="AB143" s="197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5.1141939152616236E-2</v>
      </c>
      <c r="AD143" s="230">
        <f>(INDEX(Models!$BJ143:$BT143,,AH143)*(1-AF143)+INDEX(Models!$BJ143:$BT143,,AH143+1)*AF143-ERP_i)*AE143*Ramure*Pc/MaxiM</f>
        <v>2.468105451082175E-3</v>
      </c>
      <c r="AE143" s="304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0.88318180391402024</v>
      </c>
      <c r="AG143" s="799">
        <f t="shared" si="49"/>
        <v>0</v>
      </c>
      <c r="AH143" s="176">
        <f t="shared" ref="AH143:AH206" si="67">MIN(MATCH(Hp_vg_s,Echel_vg),10)</f>
        <v>6</v>
      </c>
      <c r="AI143" s="224">
        <f t="shared" ref="AI143:AI206" si="68">IF(OR(t&lt;Ttai,Notai),Hdd_s+PousH*Croivg,Hdtai_s+PousH*(Croivg-Croi_tai))</f>
        <v>0.88318180391402024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45421</v>
      </c>
      <c r="B144" s="409">
        <f>'2023'!Wh/'2023'!Env_an*'2024'!Env_an</f>
        <v>54.016125956986961</v>
      </c>
      <c r="C144" s="829"/>
      <c r="D144" s="391">
        <f t="shared" si="50"/>
        <v>56.068694935665057</v>
      </c>
      <c r="E144" s="383">
        <f t="shared" ref="E144:E169" si="72">Wh_pvt/(1-Psa)</f>
        <v>58.380049208126309</v>
      </c>
      <c r="F144" s="383">
        <f t="shared" si="51"/>
        <v>58.504054905952266</v>
      </c>
      <c r="G144" s="110">
        <f t="shared" ref="G144:G169" si="73">+Wh_hp/MaxiM</f>
        <v>0.95266947980750771</v>
      </c>
      <c r="H144" s="412" t="b">
        <f>Wh_hp&gt;='2023'!Maxi_hp</f>
        <v>0</v>
      </c>
      <c r="I144" s="388">
        <f>IF(H144,Wh_hp,'2023'!Maxi_hp)</f>
        <v>58.509584701555575</v>
      </c>
      <c r="J144" s="85">
        <f>IF(H144,An,'2023'!An_max)</f>
        <v>2022</v>
      </c>
      <c r="K144" s="197">
        <f t="shared" si="52"/>
        <v>45421</v>
      </c>
      <c r="L144" s="147">
        <f>IF(t&lt;Tvie,1-EXP((T0-t)*PertePVj)+'2023'!Pspv,1-EXP((T0-t)*PertePVj)+Pspv)</f>
        <v>3.6608110480068734E-2</v>
      </c>
      <c r="M144" s="832"/>
      <c r="N144" s="832"/>
      <c r="O144" s="48">
        <f>IF(t&lt;Tnet,'2023'!Resal+('2023'!Salim-'2023'!Resal)*(1-EXP(('2023'!Tnet-t)/('2023'!Tau_j))),Resal+(Salim-Resal)*(1-EXP((Tnet-t)/(Tau_j))))*Salcycl</f>
        <v>3.9591509493615118E-2</v>
      </c>
      <c r="P144" s="169">
        <f>(INDEX(Models!$BJ144:$BT144,,T144)*(1-R144)+INDEX(Models!$BJ144:$BT144,,T144+1)*R144-ERP_i)*Q144*Ramure*Pc/MaxiM</f>
        <v>2.2728097337393421E-3</v>
      </c>
      <c r="Q144" s="304">
        <f t="shared" si="53"/>
        <v>0.7</v>
      </c>
      <c r="R144" s="177">
        <f t="shared" si="54"/>
        <v>0.82162957649156265</v>
      </c>
      <c r="S144" s="799">
        <f t="shared" si="55"/>
        <v>0</v>
      </c>
      <c r="T144" s="176">
        <f t="shared" si="56"/>
        <v>6</v>
      </c>
      <c r="U144" s="250">
        <f t="shared" si="57"/>
        <v>0.82162957649156265</v>
      </c>
      <c r="V144" s="382">
        <f t="shared" si="58"/>
        <v>56.691049930936714</v>
      </c>
      <c r="W144" s="400">
        <f t="shared" si="59"/>
        <v>54.016125956986961</v>
      </c>
      <c r="X144" s="157">
        <f t="shared" si="60"/>
        <v>45421</v>
      </c>
      <c r="Y144" s="383">
        <f t="shared" si="61"/>
        <v>53.355996591048537</v>
      </c>
      <c r="Z144" s="383">
        <f t="shared" si="62"/>
        <v>55.383481189193333</v>
      </c>
      <c r="AA144" s="384">
        <f t="shared" si="63"/>
        <v>58.373915844460825</v>
      </c>
      <c r="AB144" s="197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5.1228954097162258E-2</v>
      </c>
      <c r="AD144" s="230">
        <f>(INDEX(Models!$BJ144:$BT144,,AH144)*(1-AF144)+INDEX(Models!$BJ144:$BT144,,AH144+1)*AF144-ERP_i)*AE144*Ramure*Pc/MaxiM</f>
        <v>2.3852236702266729E-3</v>
      </c>
      <c r="AE144" s="304">
        <f t="shared" si="65"/>
        <v>0.7</v>
      </c>
      <c r="AF144" s="177">
        <f t="shared" si="66"/>
        <v>0.8859617987513948</v>
      </c>
      <c r="AG144" s="799">
        <f t="shared" ref="AG144:AG207" si="74">INDEX(Echel_vg,AH144)</f>
        <v>0</v>
      </c>
      <c r="AH144" s="176">
        <f t="shared" si="67"/>
        <v>6</v>
      </c>
      <c r="AI144" s="224">
        <f t="shared" si="68"/>
        <v>0.8859617987513948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45422</v>
      </c>
      <c r="B145" s="409">
        <f>'2023'!Wh/'2023'!Env_an*'2024'!Env_an</f>
        <v>57.15213177461424</v>
      </c>
      <c r="C145" s="829"/>
      <c r="D145" s="391">
        <f t="shared" si="50"/>
        <v>59.325003381181681</v>
      </c>
      <c r="E145" s="383">
        <f t="shared" si="72"/>
        <v>61.776632787474036</v>
      </c>
      <c r="F145" s="383">
        <f t="shared" si="51"/>
        <v>61.91201836877741</v>
      </c>
      <c r="G145" s="110">
        <f t="shared" si="73"/>
        <v>1.0072105694192106</v>
      </c>
      <c r="H145" s="412" t="b">
        <f>Wh_hp&gt;='2023'!Maxi_hp</f>
        <v>1</v>
      </c>
      <c r="I145" s="388">
        <f>IF(H145,Wh_hp,'2023'!Maxi_hp)</f>
        <v>61.91201836877741</v>
      </c>
      <c r="J145" s="85">
        <f>IF(H145,An,'2023'!An_max)</f>
        <v>2024</v>
      </c>
      <c r="K145" s="197">
        <f t="shared" si="52"/>
        <v>45422</v>
      </c>
      <c r="L145" s="147">
        <f>IF(t&lt;Tvie,1-EXP((T0-t)*PertePVj)+'2023'!Pspv,1-EXP((T0-t)*PertePVj)+Pspv)</f>
        <v>3.6626573665846429E-2</v>
      </c>
      <c r="M145" s="832"/>
      <c r="N145" s="832"/>
      <c r="O145" s="48">
        <f>IF(t&lt;Tnet,'2023'!Resal+('2023'!Salim-'2023'!Resal)*(1-EXP(('2023'!Tnet-t)/('2023'!Tau_j))),Resal+(Salim-Resal)*(1-EXP((Tnet-t)/(Tau_j))))*Salcycl</f>
        <v>3.9685384192539717E-2</v>
      </c>
      <c r="P145" s="169">
        <f>(INDEX(Models!$BJ145:$BT145,,T145)*(1-R145)+INDEX(Models!$BJ145:$BT145,,T145+1)*R145-ERP_i)*Q145*Ramure*Pc/MaxiM</f>
        <v>2.1867415224126269E-3</v>
      </c>
      <c r="Q145" s="304">
        <f t="shared" si="53"/>
        <v>0.7</v>
      </c>
      <c r="R145" s="177">
        <f t="shared" si="54"/>
        <v>0.82447461733825411</v>
      </c>
      <c r="S145" s="799">
        <f t="shared" si="55"/>
        <v>0</v>
      </c>
      <c r="T145" s="176">
        <f t="shared" si="56"/>
        <v>6</v>
      </c>
      <c r="U145" s="250">
        <f t="shared" si="57"/>
        <v>0.82447461733825411</v>
      </c>
      <c r="V145" s="382">
        <f t="shared" si="58"/>
        <v>56.742982559813647</v>
      </c>
      <c r="W145" s="400">
        <f t="shared" si="59"/>
        <v>57.15213177461424</v>
      </c>
      <c r="X145" s="157">
        <f t="shared" si="60"/>
        <v>45422</v>
      </c>
      <c r="Y145" s="383">
        <f t="shared" si="61"/>
        <v>56.453696401087818</v>
      </c>
      <c r="Z145" s="383">
        <f t="shared" si="62"/>
        <v>58.600014135646724</v>
      </c>
      <c r="AA145" s="384">
        <f t="shared" si="63"/>
        <v>61.769825139232267</v>
      </c>
      <c r="AB145" s="197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5.1316496306094965E-2</v>
      </c>
      <c r="AD145" s="230">
        <f>(INDEX(Models!$BJ145:$BT145,,AH145)*(1-AF145)+INDEX(Models!$BJ145:$BT145,,AH145+1)*AF145-ERP_i)*AE145*Ramure*Pc/MaxiM</f>
        <v>2.2966983356635636E-3</v>
      </c>
      <c r="AE145" s="304">
        <f t="shared" si="65"/>
        <v>0.7</v>
      </c>
      <c r="AF145" s="177">
        <f t="shared" si="66"/>
        <v>0.88880683959808626</v>
      </c>
      <c r="AG145" s="799">
        <f t="shared" si="74"/>
        <v>0</v>
      </c>
      <c r="AH145" s="176">
        <f t="shared" si="67"/>
        <v>6</v>
      </c>
      <c r="AI145" s="224">
        <f t="shared" si="68"/>
        <v>0.88880683959808626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45423</v>
      </c>
      <c r="B146" s="409">
        <f>'2023'!Wh/'2023'!Env_an*'2024'!Env_an</f>
        <v>43.354232198867152</v>
      </c>
      <c r="C146" s="829"/>
      <c r="D146" s="391">
        <f t="shared" si="50"/>
        <v>45.00338280425261</v>
      </c>
      <c r="E146" s="383">
        <f t="shared" si="72"/>
        <v>46.867766160340004</v>
      </c>
      <c r="F146" s="383">
        <f t="shared" si="51"/>
        <v>46.932864533764842</v>
      </c>
      <c r="G146" s="110">
        <f t="shared" si="73"/>
        <v>0.76283517797704647</v>
      </c>
      <c r="H146" s="412" t="b">
        <f>Wh_hp&gt;='2023'!Maxi_hp</f>
        <v>0</v>
      </c>
      <c r="I146" s="388">
        <f>IF(H146,Wh_hp,'2023'!Maxi_hp)</f>
        <v>46.954038073013493</v>
      </c>
      <c r="J146" s="85">
        <f>IF(H146,An,'2023'!An_max)</f>
        <v>2022</v>
      </c>
      <c r="K146" s="197">
        <f t="shared" si="52"/>
        <v>45423</v>
      </c>
      <c r="L146" s="147">
        <f>IF(t&lt;Tvie,1-EXP((T0-t)*PertePVj)+'2023'!Pspv,1-EXP((T0-t)*PertePVj)+Pspv)</f>
        <v>3.664503649778128E-2</v>
      </c>
      <c r="M146" s="832"/>
      <c r="N146" s="832"/>
      <c r="O146" s="48">
        <f>IF(t&lt;Tnet,'2023'!Resal+('2023'!Salim-'2023'!Resal)*(1-EXP(('2023'!Tnet-t)/('2023'!Tau_j))),Resal+(Salim-Resal)*(1-EXP((Tnet-t)/(Tau_j))))*Salcycl</f>
        <v>3.9779650468279637E-2</v>
      </c>
      <c r="P146" s="169">
        <f>(INDEX(Models!$BJ146:$BT146,,T146)*(1-R146)+INDEX(Models!$BJ146:$BT146,,T146+1)*R146-ERP_i)*Q146*Ramure*Pc/MaxiM</f>
        <v>2.0953519977473757E-3</v>
      </c>
      <c r="Q146" s="304">
        <f t="shared" si="53"/>
        <v>0.7</v>
      </c>
      <c r="R146" s="177">
        <f t="shared" si="54"/>
        <v>0.82738452745651714</v>
      </c>
      <c r="S146" s="799">
        <f t="shared" si="55"/>
        <v>0</v>
      </c>
      <c r="T146" s="176">
        <f t="shared" si="56"/>
        <v>6</v>
      </c>
      <c r="U146" s="250">
        <f t="shared" si="57"/>
        <v>0.82738452745651714</v>
      </c>
      <c r="V146" s="382">
        <f t="shared" si="58"/>
        <v>56.79271622573588</v>
      </c>
      <c r="W146" s="400">
        <f t="shared" si="59"/>
        <v>43.354232198867152</v>
      </c>
      <c r="X146" s="157">
        <f t="shared" si="60"/>
        <v>45423</v>
      </c>
      <c r="Y146" s="383">
        <f t="shared" si="61"/>
        <v>42.826325829244198</v>
      </c>
      <c r="Z146" s="383">
        <f t="shared" si="62"/>
        <v>44.455395416816749</v>
      </c>
      <c r="AA146" s="384">
        <f t="shared" si="63"/>
        <v>46.864440500181075</v>
      </c>
      <c r="AB146" s="197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5.1404541645067005E-2</v>
      </c>
      <c r="AD146" s="230">
        <f>(INDEX(Models!$BJ146:$BT146,,AH146)*(1-AF146)+INDEX(Models!$BJ146:$BT146,,AH146+1)*AF146-ERP_i)*AE146*Ramure*Pc/MaxiM</f>
        <v>2.2023965872080475E-3</v>
      </c>
      <c r="AE146" s="304">
        <f t="shared" si="65"/>
        <v>0.7</v>
      </c>
      <c r="AF146" s="177">
        <f t="shared" si="66"/>
        <v>0.89171674971634929</v>
      </c>
      <c r="AG146" s="799">
        <f t="shared" si="74"/>
        <v>0</v>
      </c>
      <c r="AH146" s="176">
        <f t="shared" si="67"/>
        <v>6</v>
      </c>
      <c r="AI146" s="224">
        <f t="shared" si="68"/>
        <v>0.89171674971634929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45424</v>
      </c>
      <c r="B147" s="409">
        <f>'2023'!Wh/'2023'!Env_an*'2024'!Env_an</f>
        <v>37.442295862232491</v>
      </c>
      <c r="C147" s="829"/>
      <c r="D147" s="391">
        <f t="shared" si="50"/>
        <v>38.867307345281439</v>
      </c>
      <c r="E147" s="383">
        <f t="shared" si="72"/>
        <v>40.481477476980018</v>
      </c>
      <c r="F147" s="383">
        <f t="shared" si="51"/>
        <v>40.522979785856613</v>
      </c>
      <c r="G147" s="110">
        <f t="shared" si="73"/>
        <v>0.65808362863980574</v>
      </c>
      <c r="H147" s="412" t="b">
        <f>Wh_hp&gt;='2023'!Maxi_hp</f>
        <v>0</v>
      </c>
      <c r="I147" s="388">
        <f>IF(H147,Wh_hp,'2023'!Maxi_hp)</f>
        <v>60.109259389460362</v>
      </c>
      <c r="J147" s="85">
        <f>IF(H147,An,'2023'!An_max)</f>
        <v>2018</v>
      </c>
      <c r="K147" s="197">
        <f t="shared" si="52"/>
        <v>45424</v>
      </c>
      <c r="L147" s="147">
        <f>IF(t&lt;Tvie,1-EXP((T0-t)*PertePVj)+'2023'!Pspv,1-EXP((T0-t)*PertePVj)+Pspv)</f>
        <v>3.6663498975880171E-2</v>
      </c>
      <c r="M147" s="832"/>
      <c r="N147" s="832"/>
      <c r="O147" s="48">
        <f>IF(t&lt;Tnet,'2023'!Resal+('2023'!Salim-'2023'!Resal)*(1-EXP(('2023'!Tnet-t)/('2023'!Tau_j))),Resal+(Salim-Resal)*(1-EXP((Tnet-t)/(Tau_j))))*Salcycl</f>
        <v>3.9874288990970876E-2</v>
      </c>
      <c r="P147" s="169">
        <f>(INDEX(Models!$BJ147:$BT147,,T147)*(1-R147)+INDEX(Models!$BJ147:$BT147,,T147+1)*R147-ERP_i)*Q147*Ramure*Pc/MaxiM</f>
        <v>1.9985082097941104E-3</v>
      </c>
      <c r="Q147" s="304">
        <f t="shared" si="53"/>
        <v>0.7</v>
      </c>
      <c r="R147" s="177">
        <f t="shared" si="54"/>
        <v>0.83035900995687872</v>
      </c>
      <c r="S147" s="799">
        <f t="shared" si="55"/>
        <v>0</v>
      </c>
      <c r="T147" s="176">
        <f t="shared" si="56"/>
        <v>6</v>
      </c>
      <c r="U147" s="250">
        <f t="shared" si="57"/>
        <v>0.83035900995687872</v>
      </c>
      <c r="V147" s="382">
        <f t="shared" si="58"/>
        <v>56.840461106184414</v>
      </c>
      <c r="W147" s="400">
        <f t="shared" si="59"/>
        <v>37.442295862232491</v>
      </c>
      <c r="X147" s="157">
        <f t="shared" si="60"/>
        <v>45424</v>
      </c>
      <c r="Y147" s="383">
        <f t="shared" si="61"/>
        <v>36.987227956608024</v>
      </c>
      <c r="Z147" s="383">
        <f t="shared" si="62"/>
        <v>38.394920069245821</v>
      </c>
      <c r="AA147" s="384">
        <f t="shared" si="63"/>
        <v>40.479324525827131</v>
      </c>
      <c r="AB147" s="197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5.1493064200006468E-2</v>
      </c>
      <c r="AD147" s="230">
        <f>(INDEX(Models!$BJ147:$BT147,,AH147)*(1-AF147)+INDEX(Models!$BJ147:$BT147,,AH147+1)*AF147-ERP_i)*AE147*Ramure*Pc/MaxiM</f>
        <v>2.1021817323235437E-3</v>
      </c>
      <c r="AE147" s="304">
        <f t="shared" si="65"/>
        <v>0.7</v>
      </c>
      <c r="AF147" s="177">
        <f t="shared" si="66"/>
        <v>0.89469123221671087</v>
      </c>
      <c r="AG147" s="799">
        <f t="shared" si="74"/>
        <v>0</v>
      </c>
      <c r="AH147" s="176">
        <f t="shared" si="67"/>
        <v>6</v>
      </c>
      <c r="AI147" s="224">
        <f t="shared" si="68"/>
        <v>0.89469123221671087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45425</v>
      </c>
      <c r="B148" s="409">
        <f>'2023'!Wh/'2023'!Env_an*'2024'!Env_an</f>
        <v>52.063455093393095</v>
      </c>
      <c r="C148" s="829"/>
      <c r="D148" s="391">
        <f t="shared" si="50"/>
        <v>54.045967158314369</v>
      </c>
      <c r="E148" s="383">
        <f t="shared" si="72"/>
        <v>56.296080923769821</v>
      </c>
      <c r="F148" s="383">
        <f t="shared" si="51"/>
        <v>56.390050743696996</v>
      </c>
      <c r="G148" s="110">
        <f t="shared" si="73"/>
        <v>0.91500698942476877</v>
      </c>
      <c r="H148" s="412" t="b">
        <f>Wh_hp&gt;='2023'!Maxi_hp</f>
        <v>0</v>
      </c>
      <c r="I148" s="388">
        <f>IF(H148,Wh_hp,'2023'!Maxi_hp)</f>
        <v>59.065123459499134</v>
      </c>
      <c r="J148" s="85">
        <f>IF(H148,An,'2023'!An_max)</f>
        <v>2018</v>
      </c>
      <c r="K148" s="197">
        <f t="shared" si="52"/>
        <v>45425</v>
      </c>
      <c r="L148" s="147">
        <f>IF(t&lt;Tvie,1-EXP((T0-t)*PertePVj)+'2023'!Pspv,1-EXP((T0-t)*PertePVj)+Pspv)</f>
        <v>3.6681961100149985E-2</v>
      </c>
      <c r="M148" s="832"/>
      <c r="N148" s="832"/>
      <c r="O148" s="48">
        <f>IF(t&lt;Tnet,'2023'!Resal+('2023'!Salim-'2023'!Resal)*(1-EXP(('2023'!Tnet-t)/('2023'!Tau_j))),Resal+(Salim-Resal)*(1-EXP((Tnet-t)/(Tau_j))))*Salcycl</f>
        <v>3.9969279007224676E-2</v>
      </c>
      <c r="P148" s="169">
        <f>(INDEX(Models!$BJ148:$BT148,,T148)*(1-R148)+INDEX(Models!$BJ148:$BT148,,T148+1)*R148-ERP_i)*Q148*Ramure*Pc/MaxiM</f>
        <v>1.8960738806312861E-3</v>
      </c>
      <c r="Q148" s="304">
        <f t="shared" si="53"/>
        <v>0.7</v>
      </c>
      <c r="R148" s="177">
        <f t="shared" si="54"/>
        <v>0.83339764320936072</v>
      </c>
      <c r="S148" s="799">
        <f t="shared" si="55"/>
        <v>0</v>
      </c>
      <c r="T148" s="176">
        <f t="shared" si="56"/>
        <v>6</v>
      </c>
      <c r="U148" s="250">
        <f t="shared" si="57"/>
        <v>0.83339764320936072</v>
      </c>
      <c r="V148" s="382">
        <f t="shared" si="58"/>
        <v>56.88642759085031</v>
      </c>
      <c r="W148" s="400">
        <f t="shared" si="59"/>
        <v>52.063455093393095</v>
      </c>
      <c r="X148" s="157">
        <f t="shared" si="60"/>
        <v>45425</v>
      </c>
      <c r="Y148" s="383">
        <f t="shared" si="61"/>
        <v>51.429162597110583</v>
      </c>
      <c r="Z148" s="383">
        <f t="shared" si="62"/>
        <v>53.387521587205889</v>
      </c>
      <c r="AA148" s="384">
        <f t="shared" si="63"/>
        <v>56.291132844609876</v>
      </c>
      <c r="AB148" s="197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5.1582036293697099E-2</v>
      </c>
      <c r="AD148" s="230">
        <f>(INDEX(Models!$BJ148:$BT148,,AH148)*(1-AF148)+INDEX(Models!$BJ148:$BT148,,AH148+1)*AF148-ERP_i)*AE148*Ramure*Pc/MaxiM</f>
        <v>1.9959136340940648E-3</v>
      </c>
      <c r="AE148" s="304">
        <f t="shared" si="65"/>
        <v>0.7</v>
      </c>
      <c r="AF148" s="177">
        <f t="shared" si="66"/>
        <v>0.89772986546919287</v>
      </c>
      <c r="AG148" s="799">
        <f t="shared" si="74"/>
        <v>0</v>
      </c>
      <c r="AH148" s="176">
        <f t="shared" si="67"/>
        <v>6</v>
      </c>
      <c r="AI148" s="224">
        <f t="shared" si="68"/>
        <v>0.89772986546919287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45426</v>
      </c>
      <c r="B149" s="409">
        <f>'2023'!Wh/'2023'!Env_an*'2024'!Env_an</f>
        <v>53.897018365145058</v>
      </c>
      <c r="C149" s="829"/>
      <c r="D149" s="391">
        <f t="shared" si="50"/>
        <v>55.950422531852652</v>
      </c>
      <c r="E149" s="383">
        <f t="shared" si="72"/>
        <v>58.285612173513329</v>
      </c>
      <c r="F149" s="383">
        <f t="shared" si="51"/>
        <v>58.382049761404524</v>
      </c>
      <c r="G149" s="110">
        <f t="shared" si="73"/>
        <v>0.9465899333236627</v>
      </c>
      <c r="H149" s="412" t="b">
        <f>Wh_hp&gt;='2023'!Maxi_hp</f>
        <v>0</v>
      </c>
      <c r="I149" s="388">
        <f>IF(H149,Wh_hp,'2023'!Maxi_hp)</f>
        <v>59.483162733669118</v>
      </c>
      <c r="J149" s="85">
        <f>IF(H149,An,'2023'!An_max)</f>
        <v>2018</v>
      </c>
      <c r="K149" s="197">
        <f t="shared" si="52"/>
        <v>45426</v>
      </c>
      <c r="L149" s="147">
        <f>IF(t&lt;Tvie,1-EXP((T0-t)*PertePVj)+'2023'!Pspv,1-EXP((T0-t)*PertePVj)+Pspv)</f>
        <v>3.6700422870597382E-2</v>
      </c>
      <c r="M149" s="832"/>
      <c r="N149" s="832"/>
      <c r="O149" s="48">
        <f>IF(t&lt;Tnet,'2023'!Resal+('2023'!Salim-'2023'!Resal)*(1-EXP(('2023'!Tnet-t)/('2023'!Tau_j))),Resal+(Salim-Resal)*(1-EXP((Tnet-t)/(Tau_j))))*Salcycl</f>
        <v>4.0064598355919002E-2</v>
      </c>
      <c r="P149" s="169">
        <f>(INDEX(Models!$BJ149:$BT149,,T149)*(1-R149)+INDEX(Models!$BJ149:$BT149,,T149+1)*R149-ERP_i)*Q149*Ramure*Pc/MaxiM</f>
        <v>1.7879255490073542E-3</v>
      </c>
      <c r="Q149" s="304">
        <f t="shared" si="53"/>
        <v>0.7</v>
      </c>
      <c r="R149" s="177">
        <f t="shared" si="54"/>
        <v>0.83649987658139235</v>
      </c>
      <c r="S149" s="799">
        <f t="shared" si="55"/>
        <v>0</v>
      </c>
      <c r="T149" s="176">
        <f t="shared" si="56"/>
        <v>6</v>
      </c>
      <c r="U149" s="250">
        <f t="shared" si="57"/>
        <v>0.83649987658139235</v>
      </c>
      <c r="V149" s="382">
        <f t="shared" si="58"/>
        <v>56.930323814185158</v>
      </c>
      <c r="W149" s="400">
        <f t="shared" si="59"/>
        <v>53.897018365145058</v>
      </c>
      <c r="X149" s="157">
        <f t="shared" si="60"/>
        <v>45426</v>
      </c>
      <c r="Y149" s="383">
        <f t="shared" si="61"/>
        <v>53.240627772100204</v>
      </c>
      <c r="Z149" s="383">
        <f t="shared" si="62"/>
        <v>55.269024336910142</v>
      </c>
      <c r="AA149" s="384">
        <f t="shared" si="63"/>
        <v>58.28045890270517</v>
      </c>
      <c r="AB149" s="197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5.1671428511267992E-2</v>
      </c>
      <c r="AD149" s="230">
        <f>(INDEX(Models!$BJ149:$BT149,,AH149)*(1-AF149)+INDEX(Models!$BJ149:$BT149,,AH149+1)*AF149-ERP_i)*AE149*Ramure*Pc/MaxiM</f>
        <v>1.8834657293492322E-3</v>
      </c>
      <c r="AE149" s="304">
        <f t="shared" si="65"/>
        <v>0.7</v>
      </c>
      <c r="AF149" s="177">
        <f t="shared" si="66"/>
        <v>0.9008320988412245</v>
      </c>
      <c r="AG149" s="799">
        <f t="shared" si="74"/>
        <v>0</v>
      </c>
      <c r="AH149" s="176">
        <f t="shared" si="67"/>
        <v>6</v>
      </c>
      <c r="AI149" s="224">
        <f t="shared" si="68"/>
        <v>0.9008320988412245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45427</v>
      </c>
      <c r="B150" s="409">
        <f>'2023'!Wh/'2023'!Env_an*'2024'!Env_an</f>
        <v>50.232925284319791</v>
      </c>
      <c r="C150" s="829"/>
      <c r="D150" s="391">
        <f t="shared" si="50"/>
        <v>52.147731814663885</v>
      </c>
      <c r="E150" s="383">
        <f t="shared" si="72"/>
        <v>54.329621558656875</v>
      </c>
      <c r="F150" s="383">
        <f t="shared" si="51"/>
        <v>54.405436367895973</v>
      </c>
      <c r="G150" s="110">
        <f t="shared" si="73"/>
        <v>0.88146918123527984</v>
      </c>
      <c r="H150" s="412" t="b">
        <f>Wh_hp&gt;='2023'!Maxi_hp</f>
        <v>0</v>
      </c>
      <c r="I150" s="388">
        <f>IF(H150,Wh_hp,'2023'!Maxi_hp)</f>
        <v>55.435904399739371</v>
      </c>
      <c r="J150" s="85">
        <f>IF(H150,An,'2023'!An_max)</f>
        <v>2018</v>
      </c>
      <c r="K150" s="197">
        <f t="shared" si="52"/>
        <v>45427</v>
      </c>
      <c r="L150" s="147">
        <f>IF(t&lt;Tvie,1-EXP((T0-t)*PertePVj)+'2023'!Pspv,1-EXP((T0-t)*PertePVj)+Pspv)</f>
        <v>3.6718884287229026E-2</v>
      </c>
      <c r="M150" s="832"/>
      <c r="N150" s="832"/>
      <c r="O150" s="48">
        <f>IF(t&lt;Tnet,'2023'!Resal+('2023'!Salim-'2023'!Resal)*(1-EXP(('2023'!Tnet-t)/('2023'!Tau_j))),Resal+(Salim-Resal)*(1-EXP((Tnet-t)/(Tau_j))))*Salcycl</f>
        <v>4.0160223491292203E-2</v>
      </c>
      <c r="P150" s="169">
        <f>(INDEX(Models!$BJ150:$BT150,,T150)*(1-R150)+INDEX(Models!$BJ150:$BT150,,T150+1)*R150-ERP_i)*Q150*Ramure*Pc/MaxiM</f>
        <v>1.6768579416648363E-3</v>
      </c>
      <c r="Q150" s="304">
        <f t="shared" si="53"/>
        <v>0.7</v>
      </c>
      <c r="R150" s="177">
        <f t="shared" si="54"/>
        <v>0.83966502655029329</v>
      </c>
      <c r="S150" s="799">
        <f t="shared" si="55"/>
        <v>0</v>
      </c>
      <c r="T150" s="176">
        <f t="shared" si="56"/>
        <v>6</v>
      </c>
      <c r="U150" s="250">
        <f t="shared" si="57"/>
        <v>0.83966502655029329</v>
      </c>
      <c r="V150" s="382">
        <f t="shared" si="58"/>
        <v>56.971557671018914</v>
      </c>
      <c r="W150" s="400">
        <f t="shared" si="59"/>
        <v>50.232925284319791</v>
      </c>
      <c r="X150" s="157">
        <f t="shared" si="60"/>
        <v>45427</v>
      </c>
      <c r="Y150" s="383">
        <f t="shared" si="61"/>
        <v>49.622040077000122</v>
      </c>
      <c r="Z150" s="383">
        <f t="shared" si="62"/>
        <v>51.513560545908504</v>
      </c>
      <c r="AA150" s="384">
        <f t="shared" si="63"/>
        <v>54.325514917512763</v>
      </c>
      <c r="AB150" s="197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5.1761209734944941E-2</v>
      </c>
      <c r="AD150" s="230">
        <f>(INDEX(Models!$BJ150:$BT150,,AH150)*(1-AF150)+INDEX(Models!$BJ150:$BT150,,AH150+1)*AF150-ERP_i)*AE150*Ramure*Pc/MaxiM</f>
        <v>1.7676878716639097E-3</v>
      </c>
      <c r="AE150" s="304">
        <f t="shared" si="65"/>
        <v>0.7</v>
      </c>
      <c r="AF150" s="177">
        <f t="shared" si="66"/>
        <v>0.90399724881012544</v>
      </c>
      <c r="AG150" s="799">
        <f t="shared" si="74"/>
        <v>0</v>
      </c>
      <c r="AH150" s="176">
        <f t="shared" si="67"/>
        <v>6</v>
      </c>
      <c r="AI150" s="224">
        <f t="shared" si="68"/>
        <v>0.90399724881012544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45428</v>
      </c>
      <c r="B151" s="409">
        <f>'2023'!Wh/'2023'!Env_an*'2024'!Env_an</f>
        <v>54.969803150544799</v>
      </c>
      <c r="C151" s="829"/>
      <c r="D151" s="391">
        <f t="shared" si="50"/>
        <v>57.066266282814581</v>
      </c>
      <c r="E151" s="383">
        <f t="shared" si="72"/>
        <v>59.459891370697555</v>
      </c>
      <c r="F151" s="383">
        <f t="shared" si="51"/>
        <v>59.548509594777379</v>
      </c>
      <c r="G151" s="110">
        <f t="shared" si="73"/>
        <v>0.96413899993160734</v>
      </c>
      <c r="H151" s="412" t="b">
        <f>Wh_hp&gt;='2023'!Maxi_hp</f>
        <v>0</v>
      </c>
      <c r="I151" s="388">
        <f>IF(H151,Wh_hp,'2023'!Maxi_hp)</f>
        <v>59.551773211807408</v>
      </c>
      <c r="J151" s="85">
        <f>IF(H151,An,'2023'!An_max)</f>
        <v>2022</v>
      </c>
      <c r="K151" s="197">
        <f t="shared" si="52"/>
        <v>45428</v>
      </c>
      <c r="L151" s="147">
        <f>IF(t&lt;Tvie,1-EXP((T0-t)*PertePVj)+'2023'!Pspv,1-EXP((T0-t)*PertePVj)+Pspv)</f>
        <v>3.6737345350051909E-2</v>
      </c>
      <c r="M151" s="832"/>
      <c r="N151" s="832"/>
      <c r="O151" s="48">
        <f>IF(t&lt;Tnet,'2023'!Resal+('2023'!Salim-'2023'!Resal)*(1-EXP(('2023'!Tnet-t)/('2023'!Tau_j))),Resal+(Salim-Resal)*(1-EXP((Tnet-t)/(Tau_j))))*Salcycl</f>
        <v>4.0256129513593003E-2</v>
      </c>
      <c r="P151" s="169">
        <f>(INDEX(Models!$BJ151:$BT151,,T151)*(1-R151)+INDEX(Models!$BJ151:$BT151,,T151+1)*R151-ERP_i)*Q151*Ramure*Pc/MaxiM</f>
        <v>1.5683413009696886E-3</v>
      </c>
      <c r="Q151" s="304">
        <f t="shared" si="53"/>
        <v>0.7</v>
      </c>
      <c r="R151" s="177">
        <f t="shared" si="54"/>
        <v>0.84289227323827232</v>
      </c>
      <c r="S151" s="799">
        <f t="shared" si="55"/>
        <v>0</v>
      </c>
      <c r="T151" s="176">
        <f t="shared" si="56"/>
        <v>6</v>
      </c>
      <c r="U151" s="250">
        <f t="shared" si="57"/>
        <v>0.84289227323827232</v>
      </c>
      <c r="V151" s="382">
        <f t="shared" si="58"/>
        <v>57.00981861576286</v>
      </c>
      <c r="W151" s="400">
        <f t="shared" si="59"/>
        <v>54.969803150544799</v>
      </c>
      <c r="X151" s="157">
        <f t="shared" si="60"/>
        <v>45428</v>
      </c>
      <c r="Y151" s="383">
        <f t="shared" si="61"/>
        <v>54.3012411935362</v>
      </c>
      <c r="Z151" s="383">
        <f t="shared" si="62"/>
        <v>56.372206408510046</v>
      </c>
      <c r="AA151" s="384">
        <f t="shared" si="63"/>
        <v>59.455029800805328</v>
      </c>
      <c r="AB151" s="197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5.185134718835048E-2</v>
      </c>
      <c r="AD151" s="230">
        <f>(INDEX(Models!$BJ151:$BT151,,AH151)*(1-AF151)+INDEX(Models!$BJ151:$BT151,,AH151+1)*AF151-ERP_i)*AE151*Ramure*Pc/MaxiM</f>
        <v>1.6543800467096813E-3</v>
      </c>
      <c r="AE151" s="304">
        <f t="shared" si="65"/>
        <v>0.7</v>
      </c>
      <c r="AF151" s="177">
        <f t="shared" si="66"/>
        <v>0.90722449549810447</v>
      </c>
      <c r="AG151" s="799">
        <f t="shared" si="74"/>
        <v>0</v>
      </c>
      <c r="AH151" s="176">
        <f t="shared" si="67"/>
        <v>6</v>
      </c>
      <c r="AI151" s="224">
        <f t="shared" si="68"/>
        <v>0.90722449549810447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45429</v>
      </c>
      <c r="B152" s="409">
        <f>'2023'!Wh/'2023'!Env_an*'2024'!Env_an</f>
        <v>52.689502641117258</v>
      </c>
      <c r="C152" s="829"/>
      <c r="D152" s="391">
        <f t="shared" si="50"/>
        <v>54.700046958547816</v>
      </c>
      <c r="E152" s="383">
        <f t="shared" si="72"/>
        <v>57.000132861646286</v>
      </c>
      <c r="F152" s="383">
        <f t="shared" si="51"/>
        <v>57.074491431608401</v>
      </c>
      <c r="G152" s="110">
        <f t="shared" si="73"/>
        <v>0.92349874212843963</v>
      </c>
      <c r="H152" s="412" t="b">
        <f>Wh_hp&gt;='2023'!Maxi_hp</f>
        <v>0</v>
      </c>
      <c r="I152" s="388">
        <f>IF(H152,Wh_hp,'2023'!Maxi_hp)</f>
        <v>60.850795316552379</v>
      </c>
      <c r="J152" s="85">
        <f>IF(H152,An,'2023'!An_max)</f>
        <v>2020</v>
      </c>
      <c r="K152" s="197">
        <f t="shared" si="52"/>
        <v>45429</v>
      </c>
      <c r="L152" s="147">
        <f>IF(t&lt;Tvie,1-EXP((T0-t)*PertePVj)+'2023'!Pspv,1-EXP((T0-t)*PertePVj)+Pspv)</f>
        <v>3.6755806059072804E-2</v>
      </c>
      <c r="M152" s="832"/>
      <c r="N152" s="832"/>
      <c r="O152" s="48">
        <f>IF(t&lt;Tnet,'2023'!Resal+('2023'!Salim-'2023'!Resal)*(1-EXP(('2023'!Tnet-t)/('2023'!Tau_j))),Resal+(Salim-Resal)*(1-EXP((Tnet-t)/(Tau_j))))*Salcycl</f>
        <v>4.0352290207487131E-2</v>
      </c>
      <c r="P152" s="169">
        <f>(INDEX(Models!$BJ152:$BT152,,T152)*(1-R152)+INDEX(Models!$BJ152:$BT152,,T152+1)*R152-ERP_i)*Q152*Ramure*Pc/MaxiM</f>
        <v>1.4623411276138032E-3</v>
      </c>
      <c r="Q152" s="304">
        <f t="shared" si="53"/>
        <v>0.7</v>
      </c>
      <c r="R152" s="177">
        <f t="shared" si="54"/>
        <v>0.84618065741743798</v>
      </c>
      <c r="S152" s="799">
        <f t="shared" si="55"/>
        <v>0</v>
      </c>
      <c r="T152" s="176">
        <f t="shared" si="56"/>
        <v>6</v>
      </c>
      <c r="U152" s="250">
        <f t="shared" si="57"/>
        <v>0.84618065741743798</v>
      </c>
      <c r="V152" s="382">
        <f t="shared" si="58"/>
        <v>57.045109978251638</v>
      </c>
      <c r="W152" s="400">
        <f t="shared" si="59"/>
        <v>52.689502641117258</v>
      </c>
      <c r="X152" s="157">
        <f t="shared" si="60"/>
        <v>45429</v>
      </c>
      <c r="Y152" s="383">
        <f t="shared" si="61"/>
        <v>52.04941073718792</v>
      </c>
      <c r="Z152" s="383">
        <f t="shared" si="62"/>
        <v>54.035530205728861</v>
      </c>
      <c r="AA152" s="384">
        <f t="shared" si="63"/>
        <v>56.996005704782057</v>
      </c>
      <c r="AB152" s="197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5.1941806490569654E-2</v>
      </c>
      <c r="AD152" s="230">
        <f>(INDEX(Models!$BJ152:$BT152,,AH152)*(1-AF152)+INDEX(Models!$BJ152:$BT152,,AH152+1)*AF152-ERP_i)*AE152*Ramure*Pc/MaxiM</f>
        <v>1.5435060992607229E-3</v>
      </c>
      <c r="AE152" s="304">
        <f t="shared" si="65"/>
        <v>0.7</v>
      </c>
      <c r="AF152" s="177">
        <f t="shared" si="66"/>
        <v>0.91051287967727013</v>
      </c>
      <c r="AG152" s="799">
        <f t="shared" si="74"/>
        <v>0</v>
      </c>
      <c r="AH152" s="176">
        <f t="shared" si="67"/>
        <v>6</v>
      </c>
      <c r="AI152" s="224">
        <f t="shared" si="68"/>
        <v>0.91051287967727013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45430</v>
      </c>
      <c r="B153" s="409">
        <f>'2023'!Wh/'2023'!Env_an*'2024'!Env_an</f>
        <v>51.125860331501848</v>
      </c>
      <c r="C153" s="829"/>
      <c r="D153" s="391">
        <f t="shared" si="50"/>
        <v>53.077755866406157</v>
      </c>
      <c r="E153" s="383">
        <f t="shared" si="72"/>
        <v>55.315181850475255</v>
      </c>
      <c r="F153" s="383">
        <f t="shared" si="51"/>
        <v>55.379223183440502</v>
      </c>
      <c r="G153" s="110">
        <f t="shared" si="73"/>
        <v>0.89554654733350492</v>
      </c>
      <c r="H153" s="412" t="b">
        <f>Wh_hp&gt;='2023'!Maxi_hp</f>
        <v>0</v>
      </c>
      <c r="I153" s="388">
        <f>IF(H153,Wh_hp,'2023'!Maxi_hp)</f>
        <v>61.039716032201341</v>
      </c>
      <c r="J153" s="85">
        <f>IF(H153,An,'2023'!An_max)</f>
        <v>2020</v>
      </c>
      <c r="K153" s="197">
        <f t="shared" si="52"/>
        <v>45430</v>
      </c>
      <c r="L153" s="147">
        <f>IF(t&lt;Tvie,1-EXP((T0-t)*PertePVj)+'2023'!Pspv,1-EXP((T0-t)*PertePVj)+Pspv)</f>
        <v>3.6774266414298373E-2</v>
      </c>
      <c r="M153" s="832"/>
      <c r="N153" s="832"/>
      <c r="O153" s="48">
        <f>IF(t&lt;Tnet,'2023'!Resal+('2023'!Salim-'2023'!Resal)*(1-EXP(('2023'!Tnet-t)/('2023'!Tau_j))),Resal+(Salim-Resal)*(1-EXP((Tnet-t)/(Tau_j))))*Salcycl</f>
        <v>4.0448678088362437E-2</v>
      </c>
      <c r="P153" s="169">
        <f>(INDEX(Models!$BJ153:$BT153,,T153)*(1-R153)+INDEX(Models!$BJ153:$BT153,,T153+1)*R153-ERP_i)*Q153*Ramure*Pc/MaxiM</f>
        <v>1.3588248643226259E-3</v>
      </c>
      <c r="Q153" s="304">
        <f t="shared" si="53"/>
        <v>0.7</v>
      </c>
      <c r="R153" s="177">
        <f t="shared" si="54"/>
        <v>0.8495290780312752</v>
      </c>
      <c r="S153" s="799">
        <f t="shared" si="55"/>
        <v>0</v>
      </c>
      <c r="T153" s="176">
        <f t="shared" si="56"/>
        <v>6</v>
      </c>
      <c r="U153" s="250">
        <f t="shared" si="57"/>
        <v>0.8495290780312752</v>
      </c>
      <c r="V153" s="382">
        <f t="shared" si="58"/>
        <v>57.077435109702598</v>
      </c>
      <c r="W153" s="400">
        <f t="shared" si="59"/>
        <v>51.125860331501848</v>
      </c>
      <c r="X153" s="157">
        <f t="shared" si="60"/>
        <v>45430</v>
      </c>
      <c r="Y153" s="383">
        <f t="shared" si="61"/>
        <v>50.505380342118727</v>
      </c>
      <c r="Z153" s="383">
        <f t="shared" si="62"/>
        <v>52.433587041022598</v>
      </c>
      <c r="AA153" s="384">
        <f t="shared" si="63"/>
        <v>55.311590219859681</v>
      </c>
      <c r="AB153" s="197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5.2032551720122736E-2</v>
      </c>
      <c r="AD153" s="230">
        <f>(INDEX(Models!$BJ153:$BT153,,AH153)*(1-AF153)+INDEX(Models!$BJ153:$BT153,,AH153+1)*AF153-ERP_i)*AE153*Ramure*Pc/MaxiM</f>
        <v>1.4350318506223994E-3</v>
      </c>
      <c r="AE153" s="304">
        <f t="shared" si="65"/>
        <v>0.7</v>
      </c>
      <c r="AF153" s="177">
        <f t="shared" si="66"/>
        <v>0.91386130029110735</v>
      </c>
      <c r="AG153" s="799">
        <f t="shared" si="74"/>
        <v>0</v>
      </c>
      <c r="AH153" s="176">
        <f t="shared" si="67"/>
        <v>6</v>
      </c>
      <c r="AI153" s="224">
        <f t="shared" si="68"/>
        <v>0.91386130029110735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45431</v>
      </c>
      <c r="B154" s="409">
        <f>'2023'!Wh/'2023'!Env_an*'2024'!Env_an</f>
        <v>49.575527248661295</v>
      </c>
      <c r="C154" s="829"/>
      <c r="D154" s="391">
        <f t="shared" si="50"/>
        <v>51.469220185788245</v>
      </c>
      <c r="E154" s="383">
        <f t="shared" si="72"/>
        <v>53.644240086676568</v>
      </c>
      <c r="F154" s="383">
        <f t="shared" si="51"/>
        <v>53.699056016140446</v>
      </c>
      <c r="G154" s="110">
        <f t="shared" si="73"/>
        <v>0.8679136276046403</v>
      </c>
      <c r="H154" s="412" t="b">
        <f>Wh_hp&gt;='2023'!Maxi_hp</f>
        <v>0</v>
      </c>
      <c r="I154" s="388">
        <f>IF(H154,Wh_hp,'2023'!Maxi_hp)</f>
        <v>60.491890433923544</v>
      </c>
      <c r="J154" s="85">
        <f>IF(H154,An,'2023'!An_max)</f>
        <v>2020</v>
      </c>
      <c r="K154" s="197">
        <f t="shared" si="52"/>
        <v>45431</v>
      </c>
      <c r="L154" s="147">
        <f>IF(t&lt;Tvie,1-EXP((T0-t)*PertePVj)+'2023'!Pspv,1-EXP((T0-t)*PertePVj)+Pspv)</f>
        <v>3.6792726415735388E-2</v>
      </c>
      <c r="M154" s="832"/>
      <c r="N154" s="832"/>
      <c r="O154" s="48">
        <f>IF(t&lt;Tnet,'2023'!Resal+('2023'!Salim-'2023'!Resal)*(1-EXP(('2023'!Tnet-t)/('2023'!Tau_j))),Resal+(Salim-Resal)*(1-EXP((Tnet-t)/(Tau_j))))*Salcycl</f>
        <v>4.0545264456612669E-2</v>
      </c>
      <c r="P154" s="169">
        <f>(INDEX(Models!$BJ154:$BT154,,T154)*(1-R154)+INDEX(Models!$BJ154:$BT154,,T154+1)*R154-ERP_i)*Q154*Ramure*Pc/MaxiM</f>
        <v>1.2577619050369452E-3</v>
      </c>
      <c r="Q154" s="304">
        <f t="shared" si="53"/>
        <v>0.7</v>
      </c>
      <c r="R154" s="177">
        <f t="shared" si="54"/>
        <v>0.8529362902774037</v>
      </c>
      <c r="S154" s="799">
        <f t="shared" si="55"/>
        <v>0</v>
      </c>
      <c r="T154" s="176">
        <f t="shared" si="56"/>
        <v>6</v>
      </c>
      <c r="U154" s="250">
        <f t="shared" si="57"/>
        <v>0.8529362902774037</v>
      </c>
      <c r="V154" s="382">
        <f t="shared" si="58"/>
        <v>57.106797375830872</v>
      </c>
      <c r="W154" s="400">
        <f t="shared" si="59"/>
        <v>49.575527248661295</v>
      </c>
      <c r="X154" s="157">
        <f t="shared" si="60"/>
        <v>45431</v>
      </c>
      <c r="Y154" s="383">
        <f t="shared" si="61"/>
        <v>48.974439798629831</v>
      </c>
      <c r="Z154" s="383">
        <f t="shared" si="62"/>
        <v>50.845172313106893</v>
      </c>
      <c r="AA154" s="384">
        <f t="shared" si="63"/>
        <v>53.64113864325536</v>
      </c>
      <c r="AB154" s="197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5.2123545488906645E-2</v>
      </c>
      <c r="AD154" s="230">
        <f>(INDEX(Models!$BJ154:$BT154,,AH154)*(1-AF154)+INDEX(Models!$BJ154:$BT154,,AH154+1)*AF154-ERP_i)*AE154*Ramure*Pc/MaxiM</f>
        <v>1.3289251129579491E-3</v>
      </c>
      <c r="AE154" s="304">
        <f t="shared" si="65"/>
        <v>0.7</v>
      </c>
      <c r="AF154" s="177">
        <f t="shared" si="66"/>
        <v>0.91726851253723585</v>
      </c>
      <c r="AG154" s="799">
        <f t="shared" si="74"/>
        <v>0</v>
      </c>
      <c r="AH154" s="176">
        <f t="shared" si="67"/>
        <v>6</v>
      </c>
      <c r="AI154" s="224">
        <f t="shared" si="68"/>
        <v>0.91726851253723585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45432</v>
      </c>
      <c r="B155" s="409">
        <f>'2023'!Wh/'2023'!Env_an*'2024'!Env_an</f>
        <v>54.299711152595719</v>
      </c>
      <c r="C155" s="829"/>
      <c r="D155" s="391">
        <f t="shared" si="50"/>
        <v>56.374939541365322</v>
      </c>
      <c r="E155" s="383">
        <f t="shared" si="72"/>
        <v>58.763194433039679</v>
      </c>
      <c r="F155" s="383">
        <f t="shared" si="51"/>
        <v>58.826550664878383</v>
      </c>
      <c r="G155" s="110">
        <f t="shared" si="73"/>
        <v>0.95032742686727545</v>
      </c>
      <c r="H155" s="412" t="b">
        <f>Wh_hp&gt;='2023'!Maxi_hp</f>
        <v>0</v>
      </c>
      <c r="I155" s="388">
        <f>IF(H155,Wh_hp,'2023'!Maxi_hp)</f>
        <v>59.791074222210042</v>
      </c>
      <c r="J155" s="85">
        <f>IF(H155,An,'2023'!An_max)</f>
        <v>2020</v>
      </c>
      <c r="K155" s="197">
        <f t="shared" si="52"/>
        <v>45432</v>
      </c>
      <c r="L155" s="147">
        <f>IF(t&lt;Tvie,1-EXP((T0-t)*PertePVj)+'2023'!Pspv,1-EXP((T0-t)*PertePVj)+Pspv)</f>
        <v>3.6811186063390733E-2</v>
      </c>
      <c r="M155" s="832"/>
      <c r="N155" s="832"/>
      <c r="O155" s="48">
        <f>IF(t&lt;Tnet,'2023'!Resal+('2023'!Salim-'2023'!Resal)*(1-EXP(('2023'!Tnet-t)/('2023'!Tau_j))),Resal+(Salim-Resal)*(1-EXP((Tnet-t)/(Tau_j))))*Salcycl</f>
        <v>4.0642019459914865E-2</v>
      </c>
      <c r="P155" s="169">
        <f>(INDEX(Models!$BJ155:$BT155,,T155)*(1-R155)+INDEX(Models!$BJ155:$BT155,,T155+1)*R155-ERP_i)*Q155*Ramure*Pc/MaxiM</f>
        <v>1.1591236031797351E-3</v>
      </c>
      <c r="Q155" s="304">
        <f t="shared" si="53"/>
        <v>0.7</v>
      </c>
      <c r="R155" s="177">
        <f t="shared" si="54"/>
        <v>0.85640090429415805</v>
      </c>
      <c r="S155" s="799">
        <f t="shared" si="55"/>
        <v>0</v>
      </c>
      <c r="T155" s="176">
        <f t="shared" si="56"/>
        <v>6</v>
      </c>
      <c r="U155" s="250">
        <f t="shared" si="57"/>
        <v>0.85640090429415805</v>
      </c>
      <c r="V155" s="382">
        <f t="shared" si="58"/>
        <v>57.133200153753727</v>
      </c>
      <c r="W155" s="400">
        <f t="shared" si="59"/>
        <v>54.299711152595719</v>
      </c>
      <c r="X155" s="157">
        <f t="shared" si="60"/>
        <v>45432</v>
      </c>
      <c r="Y155" s="383">
        <f t="shared" si="61"/>
        <v>53.641399209369744</v>
      </c>
      <c r="Z155" s="383">
        <f t="shared" si="62"/>
        <v>55.691468207707061</v>
      </c>
      <c r="AA155" s="384">
        <f t="shared" si="63"/>
        <v>58.759585201901082</v>
      </c>
      <c r="AB155" s="197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5.2214749026083203E-2</v>
      </c>
      <c r="AD155" s="230">
        <f>(INDEX(Models!$BJ155:$BT155,,AH155)*(1-AF155)+INDEX(Models!$BJ155:$BT155,,AH155+1)*AF155-ERP_i)*AE155*Ramure*Pc/MaxiM</f>
        <v>1.2251557026380186E-3</v>
      </c>
      <c r="AE155" s="304">
        <f t="shared" si="65"/>
        <v>0.7</v>
      </c>
      <c r="AF155" s="177">
        <f t="shared" si="66"/>
        <v>0.9207331265539902</v>
      </c>
      <c r="AG155" s="799">
        <f t="shared" si="74"/>
        <v>0</v>
      </c>
      <c r="AH155" s="176">
        <f t="shared" si="67"/>
        <v>6</v>
      </c>
      <c r="AI155" s="224">
        <f t="shared" si="68"/>
        <v>0.9207331265539902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45433</v>
      </c>
      <c r="B156" s="409">
        <f>'2023'!Wh/'2023'!Env_an*'2024'!Env_an</f>
        <v>41.310364742412368</v>
      </c>
      <c r="C156" s="829"/>
      <c r="D156" s="391">
        <f t="shared" si="50"/>
        <v>42.889987781793515</v>
      </c>
      <c r="E156" s="383">
        <f t="shared" si="72"/>
        <v>44.711485043685528</v>
      </c>
      <c r="F156" s="383">
        <f t="shared" si="51"/>
        <v>44.740300920829156</v>
      </c>
      <c r="G156" s="110">
        <f t="shared" si="73"/>
        <v>0.72245407228386238</v>
      </c>
      <c r="H156" s="412" t="b">
        <f>Wh_hp&gt;='2023'!Maxi_hp</f>
        <v>0</v>
      </c>
      <c r="I156" s="388">
        <f>IF(H156,Wh_hp,'2023'!Maxi_hp)</f>
        <v>60.114527951171105</v>
      </c>
      <c r="J156" s="85">
        <f>IF(H156,An,'2023'!An_max)</f>
        <v>2018</v>
      </c>
      <c r="K156" s="197">
        <f t="shared" si="52"/>
        <v>45433</v>
      </c>
      <c r="L156" s="147">
        <f>IF(t&lt;Tvie,1-EXP((T0-t)*PertePVj)+'2023'!Pspv,1-EXP((T0-t)*PertePVj)+Pspv)</f>
        <v>3.6829645357271179E-2</v>
      </c>
      <c r="M156" s="832"/>
      <c r="N156" s="832"/>
      <c r="O156" s="48">
        <f>IF(t&lt;Tnet,'2023'!Resal+('2023'!Salim-'2023'!Resal)*(1-EXP(('2023'!Tnet-t)/('2023'!Tau_j))),Resal+(Salim-Resal)*(1-EXP((Tnet-t)/(Tau_j))))*Salcycl</f>
        <v>4.0738912163447723E-2</v>
      </c>
      <c r="P156" s="169">
        <f>(INDEX(Models!$BJ156:$BT156,,T156)*(1-R156)+INDEX(Models!$BJ156:$BT156,,T156+1)*R156-ERP_i)*Q156*Ramure*Pc/MaxiM</f>
        <v>1.0664427918838863E-3</v>
      </c>
      <c r="Q156" s="304">
        <f t="shared" si="53"/>
        <v>0.7</v>
      </c>
      <c r="R156" s="177">
        <f t="shared" si="54"/>
        <v>0.8599213844906024</v>
      </c>
      <c r="S156" s="799">
        <f t="shared" si="55"/>
        <v>0</v>
      </c>
      <c r="T156" s="176">
        <f t="shared" si="56"/>
        <v>6</v>
      </c>
      <c r="U156" s="250">
        <f t="shared" si="57"/>
        <v>0.8599213844906024</v>
      </c>
      <c r="V156" s="382">
        <f t="shared" si="58"/>
        <v>57.156443155957447</v>
      </c>
      <c r="W156" s="400">
        <f t="shared" si="59"/>
        <v>41.310364742412368</v>
      </c>
      <c r="X156" s="157">
        <f t="shared" si="60"/>
        <v>45433</v>
      </c>
      <c r="Y156" s="383">
        <f t="shared" si="61"/>
        <v>40.810720666869763</v>
      </c>
      <c r="Z156" s="383">
        <f t="shared" si="62"/>
        <v>42.371238348596997</v>
      </c>
      <c r="AA156" s="384">
        <f t="shared" si="63"/>
        <v>44.709836524605485</v>
      </c>
      <c r="AB156" s="197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5.2306122271806282E-2</v>
      </c>
      <c r="AD156" s="230">
        <f>(INDEX(Models!$BJ156:$BT156,,AH156)*(1-AF156)+INDEX(Models!$BJ156:$BT156,,AH156+1)*AF156-ERP_i)*AE156*Ramure*Pc/MaxiM</f>
        <v>1.1274526053780801E-3</v>
      </c>
      <c r="AE156" s="304">
        <f t="shared" si="65"/>
        <v>0.7</v>
      </c>
      <c r="AF156" s="177">
        <f t="shared" si="66"/>
        <v>0.92425360675043455</v>
      </c>
      <c r="AG156" s="799">
        <f t="shared" si="74"/>
        <v>0</v>
      </c>
      <c r="AH156" s="176">
        <f t="shared" si="67"/>
        <v>6</v>
      </c>
      <c r="AI156" s="224">
        <f t="shared" si="68"/>
        <v>0.92425360675043455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45434</v>
      </c>
      <c r="B157" s="409">
        <f>'2023'!Wh/'2023'!Env_an*'2024'!Env_an</f>
        <v>17.185083766777431</v>
      </c>
      <c r="C157" s="829"/>
      <c r="D157" s="391">
        <f t="shared" si="50"/>
        <v>17.842547830154</v>
      </c>
      <c r="E157" s="383">
        <f t="shared" si="72"/>
        <v>18.602184994055445</v>
      </c>
      <c r="F157" s="383">
        <f t="shared" si="51"/>
        <v>18.60219961532102</v>
      </c>
      <c r="G157" s="110">
        <f t="shared" si="73"/>
        <v>0.30026763159362102</v>
      </c>
      <c r="H157" s="412" t="b">
        <f>Wh_hp&gt;='2023'!Maxi_hp</f>
        <v>0</v>
      </c>
      <c r="I157" s="388">
        <f>IF(H157,Wh_hp,'2023'!Maxi_hp)</f>
        <v>59.059449252254765</v>
      </c>
      <c r="J157" s="85">
        <f>IF(H157,An,'2023'!An_max)</f>
        <v>2018</v>
      </c>
      <c r="K157" s="197">
        <f t="shared" si="52"/>
        <v>45434</v>
      </c>
      <c r="L157" s="147">
        <f>IF(t&lt;Tvie,1-EXP((T0-t)*PertePVj)+'2023'!Pspv,1-EXP((T0-t)*PertePVj)+Pspv)</f>
        <v>3.6848104297383499E-2</v>
      </c>
      <c r="M157" s="832"/>
      <c r="N157" s="832"/>
      <c r="O157" s="48">
        <f>IF(t&lt;Tnet,'2023'!Resal+('2023'!Salim-'2023'!Resal)*(1-EXP(('2023'!Tnet-t)/('2023'!Tau_j))),Resal+(Salim-Resal)*(1-EXP((Tnet-t)/(Tau_j))))*Salcycl</f>
        <v>4.083591062792883E-2</v>
      </c>
      <c r="P157" s="169">
        <f>(INDEX(Models!$BJ157:$BT157,,T157)*(1-R157)+INDEX(Models!$BJ157:$BT157,,T157+1)*R157-ERP_i)*Q157*Ramure*Pc/MaxiM</f>
        <v>9.794049209735417E-4</v>
      </c>
      <c r="Q157" s="304">
        <f t="shared" si="53"/>
        <v>0.7</v>
      </c>
      <c r="R157" s="177">
        <f t="shared" si="54"/>
        <v>0.86349604955602033</v>
      </c>
      <c r="S157" s="799">
        <f t="shared" si="55"/>
        <v>0</v>
      </c>
      <c r="T157" s="176">
        <f t="shared" si="56"/>
        <v>6</v>
      </c>
      <c r="U157" s="250">
        <f t="shared" si="57"/>
        <v>0.86349604955602033</v>
      </c>
      <c r="V157" s="382">
        <f t="shared" si="58"/>
        <v>57.17654618398219</v>
      </c>
      <c r="W157" s="400">
        <f t="shared" si="59"/>
        <v>17.185083766777431</v>
      </c>
      <c r="X157" s="157">
        <f t="shared" si="60"/>
        <v>45434</v>
      </c>
      <c r="Y157" s="383">
        <f t="shared" si="61"/>
        <v>16.977934907241391</v>
      </c>
      <c r="Z157" s="383">
        <f t="shared" si="62"/>
        <v>17.627473904161334</v>
      </c>
      <c r="AA157" s="384">
        <f t="shared" si="63"/>
        <v>18.602184154717971</v>
      </c>
      <c r="AB157" s="197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5.2397623980591911E-2</v>
      </c>
      <c r="AD157" s="230">
        <f>(INDEX(Models!$BJ157:$BT157,,AH157)*(1-AF157)+INDEX(Models!$BJ157:$BT157,,AH157+1)*AF157-ERP_i)*AE157*Ramure*Pc/MaxiM</f>
        <v>1.0356279100353417E-3</v>
      </c>
      <c r="AE157" s="304">
        <f t="shared" si="65"/>
        <v>0.7</v>
      </c>
      <c r="AF157" s="177">
        <f t="shared" si="66"/>
        <v>0.92782827181585248</v>
      </c>
      <c r="AG157" s="799">
        <f t="shared" si="74"/>
        <v>0</v>
      </c>
      <c r="AH157" s="176">
        <f t="shared" si="67"/>
        <v>6</v>
      </c>
      <c r="AI157" s="224">
        <f t="shared" si="68"/>
        <v>0.92782827181585248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45435</v>
      </c>
      <c r="B158" s="409">
        <f>'2023'!Wh/'2023'!Env_an*'2024'!Env_an</f>
        <v>14.935848103964583</v>
      </c>
      <c r="C158" s="829"/>
      <c r="D158" s="391">
        <f t="shared" si="50"/>
        <v>15.507558483987703</v>
      </c>
      <c r="E158" s="383">
        <f t="shared" si="72"/>
        <v>16.169421107036079</v>
      </c>
      <c r="F158" s="383">
        <f t="shared" si="51"/>
        <v>16.169421107036079</v>
      </c>
      <c r="G158" s="110">
        <f t="shared" si="73"/>
        <v>0.26091133848783588</v>
      </c>
      <c r="H158" s="412" t="b">
        <f>Wh_hp&gt;='2023'!Maxi_hp</f>
        <v>0</v>
      </c>
      <c r="I158" s="388">
        <f>IF(H158,Wh_hp,'2023'!Maxi_hp)</f>
        <v>26.660992397930677</v>
      </c>
      <c r="J158" s="85">
        <f>IF(H158,An,'2023'!An_max)</f>
        <v>2021</v>
      </c>
      <c r="K158" s="197">
        <f t="shared" si="52"/>
        <v>45435</v>
      </c>
      <c r="L158" s="147">
        <f>IF(t&lt;Tvie,1-EXP((T0-t)*PertePVj)+'2023'!Pspv,1-EXP((T0-t)*PertePVj)+Pspv)</f>
        <v>3.6866562883734355E-2</v>
      </c>
      <c r="M158" s="832"/>
      <c r="N158" s="832"/>
      <c r="O158" s="48">
        <f>IF(t&lt;Tnet,'2023'!Resal+('2023'!Salim-'2023'!Resal)*(1-EXP(('2023'!Tnet-t)/('2023'!Tau_j))),Resal+(Salim-Resal)*(1-EXP((Tnet-t)/(Tau_j))))*Salcycl</f>
        <v>4.0932981995277937E-2</v>
      </c>
      <c r="P158" s="169">
        <f>(INDEX(Models!$BJ158:$BT158,,T158)*(1-R158)+INDEX(Models!$BJ158:$BT158,,T158+1)*R158-ERP_i)*Q158*Ramure*Pc/MaxiM</f>
        <v>8.9806395173651831E-4</v>
      </c>
      <c r="Q158" s="304">
        <f t="shared" si="53"/>
        <v>0.7</v>
      </c>
      <c r="R158" s="177">
        <f t="shared" si="54"/>
        <v>0.86712307318068393</v>
      </c>
      <c r="S158" s="799">
        <f t="shared" si="55"/>
        <v>0</v>
      </c>
      <c r="T158" s="176">
        <f t="shared" si="56"/>
        <v>6</v>
      </c>
      <c r="U158" s="250">
        <f t="shared" si="57"/>
        <v>0.86712307318068393</v>
      </c>
      <c r="V158" s="382">
        <f t="shared" si="58"/>
        <v>57.19350812302666</v>
      </c>
      <c r="W158" s="400">
        <f t="shared" si="59"/>
        <v>14.935848103964583</v>
      </c>
      <c r="X158" s="157">
        <f t="shared" si="60"/>
        <v>45435</v>
      </c>
      <c r="Y158" s="383">
        <f t="shared" si="61"/>
        <v>14.755879352786559</v>
      </c>
      <c r="Z158" s="383">
        <f t="shared" si="62"/>
        <v>15.320700937314969</v>
      </c>
      <c r="AA158" s="384">
        <f t="shared" si="63"/>
        <v>16.169421107036079</v>
      </c>
      <c r="AB158" s="197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5.2489211834045965E-2</v>
      </c>
      <c r="AD158" s="230">
        <f>(INDEX(Models!$BJ158:$BT158,,AH158)*(1-AF158)+INDEX(Models!$BJ158:$BT158,,AH158+1)*AF158-ERP_i)*AE158*Ramure*Pc/MaxiM</f>
        <v>9.4973640043991968E-4</v>
      </c>
      <c r="AE158" s="304">
        <f t="shared" si="65"/>
        <v>0.7</v>
      </c>
      <c r="AF158" s="177">
        <f t="shared" si="66"/>
        <v>0.93145529544051608</v>
      </c>
      <c r="AG158" s="799">
        <f t="shared" si="74"/>
        <v>0</v>
      </c>
      <c r="AH158" s="176">
        <f t="shared" si="67"/>
        <v>6</v>
      </c>
      <c r="AI158" s="224">
        <f t="shared" si="68"/>
        <v>0.93145529544051608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45436</v>
      </c>
      <c r="B159" s="409">
        <f>'2023'!Wh/'2023'!Env_an*'2024'!Env_an</f>
        <v>41.274688429151347</v>
      </c>
      <c r="C159" s="829"/>
      <c r="D159" s="391">
        <f t="shared" si="50"/>
        <v>42.85541117530137</v>
      </c>
      <c r="E159" s="383">
        <f t="shared" si="72"/>
        <v>44.68900519586937</v>
      </c>
      <c r="F159" s="383">
        <f t="shared" si="51"/>
        <v>44.71114817154119</v>
      </c>
      <c r="G159" s="110">
        <f t="shared" si="73"/>
        <v>0.72125681990064405</v>
      </c>
      <c r="H159" s="412" t="b">
        <f>Wh_hp&gt;='2023'!Maxi_hp</f>
        <v>0</v>
      </c>
      <c r="I159" s="388">
        <f>IF(H159,Wh_hp,'2023'!Maxi_hp)</f>
        <v>56.87087566419774</v>
      </c>
      <c r="J159" s="85">
        <f>IF(H159,An,'2023'!An_max)</f>
        <v>2020</v>
      </c>
      <c r="K159" s="197">
        <f t="shared" si="52"/>
        <v>45436</v>
      </c>
      <c r="L159" s="147">
        <f>IF(t&lt;Tvie,1-EXP((T0-t)*PertePVj)+'2023'!Pspv,1-EXP((T0-t)*PertePVj)+Pspv)</f>
        <v>3.688502111633063E-2</v>
      </c>
      <c r="M159" s="832"/>
      <c r="N159" s="832"/>
      <c r="O159" s="48">
        <f>IF(t&lt;Tnet,'2023'!Resal+('2023'!Salim-'2023'!Resal)*(1-EXP(('2023'!Tnet-t)/('2023'!Tau_j))),Resal+(Salim-Resal)*(1-EXP((Tnet-t)/(Tau_j))))*Salcycl</f>
        <v>4.1030092581641912E-2</v>
      </c>
      <c r="P159" s="169">
        <f>(INDEX(Models!$BJ159:$BT159,,T159)*(1-R159)+INDEX(Models!$BJ159:$BT159,,T159+1)*R159-ERP_i)*Q159*Ramure*Pc/MaxiM</f>
        <v>8.2248463733966602E-4</v>
      </c>
      <c r="Q159" s="304">
        <f t="shared" si="53"/>
        <v>0.7</v>
      </c>
      <c r="R159" s="177">
        <f t="shared" si="54"/>
        <v>0.87080048551485767</v>
      </c>
      <c r="S159" s="799">
        <f t="shared" si="55"/>
        <v>0</v>
      </c>
      <c r="T159" s="176">
        <f t="shared" si="56"/>
        <v>6</v>
      </c>
      <c r="U159" s="250">
        <f t="shared" si="57"/>
        <v>0.87080048551485767</v>
      </c>
      <c r="V159" s="382">
        <f t="shared" si="58"/>
        <v>57.2073273860669</v>
      </c>
      <c r="W159" s="400">
        <f t="shared" si="59"/>
        <v>41.274688429151347</v>
      </c>
      <c r="X159" s="157">
        <f t="shared" si="60"/>
        <v>45436</v>
      </c>
      <c r="Y159" s="383">
        <f t="shared" si="61"/>
        <v>40.776373221055337</v>
      </c>
      <c r="Z159" s="383">
        <f t="shared" si="62"/>
        <v>42.3380116757384</v>
      </c>
      <c r="AA159" s="384">
        <f t="shared" si="63"/>
        <v>44.687730180856853</v>
      </c>
      <c r="AB159" s="197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5.2580842562574732E-2</v>
      </c>
      <c r="AD159" s="230">
        <f>(INDEX(Models!$BJ159:$BT159,,AH159)*(1-AF159)+INDEX(Models!$BJ159:$BT159,,AH159+1)*AF159-ERP_i)*AE159*Ramure*Pc/MaxiM</f>
        <v>8.6984413751326395E-4</v>
      </c>
      <c r="AE159" s="304">
        <f t="shared" si="65"/>
        <v>0.7</v>
      </c>
      <c r="AF159" s="177">
        <f t="shared" si="66"/>
        <v>0.93513270777468982</v>
      </c>
      <c r="AG159" s="799">
        <f t="shared" si="74"/>
        <v>0</v>
      </c>
      <c r="AH159" s="176">
        <f t="shared" si="67"/>
        <v>6</v>
      </c>
      <c r="AI159" s="224">
        <f t="shared" si="68"/>
        <v>0.93513270777468982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45437</v>
      </c>
      <c r="B160" s="409">
        <f>'2023'!Wh/'2023'!Env_an*'2024'!Env_an</f>
        <v>30.341605497970423</v>
      </c>
      <c r="C160" s="829"/>
      <c r="D160" s="391">
        <f t="shared" si="50"/>
        <v>31.504220850381977</v>
      </c>
      <c r="E160" s="383">
        <f t="shared" si="72"/>
        <v>32.855474795494011</v>
      </c>
      <c r="F160" s="383">
        <f t="shared" si="51"/>
        <v>32.863612787670114</v>
      </c>
      <c r="G160" s="110">
        <f t="shared" si="73"/>
        <v>0.53001284110298008</v>
      </c>
      <c r="H160" s="412" t="b">
        <f>Wh_hp&gt;='2023'!Maxi_hp</f>
        <v>0</v>
      </c>
      <c r="I160" s="388">
        <f>IF(H160,Wh_hp,'2023'!Maxi_hp)</f>
        <v>60.853144099626277</v>
      </c>
      <c r="J160" s="85">
        <f>IF(H160,An,'2023'!An_max)</f>
        <v>2020</v>
      </c>
      <c r="K160" s="197">
        <f t="shared" si="52"/>
        <v>45437</v>
      </c>
      <c r="L160" s="147">
        <f>IF(t&lt;Tvie,1-EXP((T0-t)*PertePVj)+'2023'!Pspv,1-EXP((T0-t)*PertePVj)+Pspv)</f>
        <v>3.6903478995179095E-2</v>
      </c>
      <c r="M160" s="832"/>
      <c r="N160" s="832"/>
      <c r="O160" s="48">
        <f>IF(t&lt;Tnet,'2023'!Resal+('2023'!Salim-'2023'!Resal)*(1-EXP(('2023'!Tnet-t)/('2023'!Tau_j))),Resal+(Salim-Resal)*(1-EXP((Tnet-t)/(Tau_j))))*Salcycl</f>
        <v>4.1127207977446664E-2</v>
      </c>
      <c r="P160" s="169">
        <f>(INDEX(Models!$BJ160:$BT160,,T160)*(1-R160)+INDEX(Models!$BJ160:$BT160,,T160+1)*R160-ERP_i)*Q160*Ramure*Pc/MaxiM</f>
        <v>7.5273542894993897E-4</v>
      </c>
      <c r="Q160" s="304">
        <f t="shared" si="53"/>
        <v>0.7</v>
      </c>
      <c r="R160" s="177">
        <f t="shared" si="54"/>
        <v>0.87452617538752353</v>
      </c>
      <c r="S160" s="799">
        <f t="shared" si="55"/>
        <v>0</v>
      </c>
      <c r="T160" s="176">
        <f t="shared" si="56"/>
        <v>6</v>
      </c>
      <c r="U160" s="250">
        <f t="shared" si="57"/>
        <v>0.87452617538752353</v>
      </c>
      <c r="V160" s="382">
        <f t="shared" si="58"/>
        <v>57.218002316252232</v>
      </c>
      <c r="W160" s="400">
        <f t="shared" si="59"/>
        <v>30.341605497970423</v>
      </c>
      <c r="X160" s="157">
        <f t="shared" si="60"/>
        <v>45437</v>
      </c>
      <c r="Y160" s="383">
        <f t="shared" si="61"/>
        <v>29.975851821019656</v>
      </c>
      <c r="Z160" s="383">
        <f t="shared" si="62"/>
        <v>31.124452396261546</v>
      </c>
      <c r="AA160" s="384">
        <f t="shared" si="63"/>
        <v>32.855006825839745</v>
      </c>
      <c r="AB160" s="197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5.2672472075615394E-2</v>
      </c>
      <c r="AD160" s="230">
        <f>(INDEX(Models!$BJ160:$BT160,,AH160)*(1-AF160)+INDEX(Models!$BJ160:$BT160,,AH160+1)*AF160-ERP_i)*AE160*Ramure*Pc/MaxiM</f>
        <v>7.9602096312337341E-4</v>
      </c>
      <c r="AE160" s="304">
        <f t="shared" si="65"/>
        <v>0.7</v>
      </c>
      <c r="AF160" s="177">
        <f t="shared" si="66"/>
        <v>0.93885839764735568</v>
      </c>
      <c r="AG160" s="799">
        <f t="shared" si="74"/>
        <v>0</v>
      </c>
      <c r="AH160" s="176">
        <f t="shared" si="67"/>
        <v>6</v>
      </c>
      <c r="AI160" s="224">
        <f t="shared" si="68"/>
        <v>0.93885839764735568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45438</v>
      </c>
      <c r="B161" s="409">
        <f>'2023'!Wh/'2023'!Env_an*'2024'!Env_an</f>
        <v>45.200237905365675</v>
      </c>
      <c r="C161" s="829"/>
      <c r="D161" s="391">
        <f t="shared" si="50"/>
        <v>46.93309879995806</v>
      </c>
      <c r="E161" s="383">
        <f t="shared" si="72"/>
        <v>48.951072148410162</v>
      </c>
      <c r="F161" s="383">
        <f t="shared" si="51"/>
        <v>48.974682129403682</v>
      </c>
      <c r="G161" s="110">
        <f t="shared" si="73"/>
        <v>0.78969797074496229</v>
      </c>
      <c r="H161" s="412" t="b">
        <f>Wh_hp&gt;='2023'!Maxi_hp</f>
        <v>0</v>
      </c>
      <c r="I161" s="388">
        <f>IF(H161,Wh_hp,'2023'!Maxi_hp)</f>
        <v>61.029310689463564</v>
      </c>
      <c r="J161" s="85">
        <f>IF(H161,An,'2023'!An_max)</f>
        <v>2021</v>
      </c>
      <c r="K161" s="197">
        <f t="shared" si="52"/>
        <v>45438</v>
      </c>
      <c r="L161" s="147">
        <f>IF(t&lt;Tvie,1-EXP((T0-t)*PertePVj)+'2023'!Pspv,1-EXP((T0-t)*PertePVj)+Pspv)</f>
        <v>3.6921936520286525E-2</v>
      </c>
      <c r="M161" s="832"/>
      <c r="N161" s="832"/>
      <c r="O161" s="48">
        <f>IF(t&lt;Tnet,'2023'!Resal+('2023'!Salim-'2023'!Resal)*(1-EXP(('2023'!Tnet-t)/('2023'!Tau_j))),Resal+(Salim-Resal)*(1-EXP((Tnet-t)/(Tau_j))))*Salcycl</f>
        <v>4.1224293154070245E-2</v>
      </c>
      <c r="P161" s="169">
        <f>(INDEX(Models!$BJ161:$BT161,,T161)*(1-R161)+INDEX(Models!$BJ161:$BT161,,T161+1)*R161-ERP_i)*Q161*Ramure*Pc/MaxiM</f>
        <v>6.8888834397033997E-4</v>
      </c>
      <c r="Q161" s="304">
        <f t="shared" si="53"/>
        <v>0.7</v>
      </c>
      <c r="R161" s="177">
        <f t="shared" si="54"/>
        <v>0.87829789330030417</v>
      </c>
      <c r="S161" s="799">
        <f t="shared" si="55"/>
        <v>0</v>
      </c>
      <c r="T161" s="176">
        <f t="shared" si="56"/>
        <v>6</v>
      </c>
      <c r="U161" s="250">
        <f t="shared" si="57"/>
        <v>0.87829789330030417</v>
      </c>
      <c r="V161" s="382">
        <f t="shared" si="58"/>
        <v>57.225531190885654</v>
      </c>
      <c r="W161" s="400">
        <f t="shared" si="59"/>
        <v>45.200237905365675</v>
      </c>
      <c r="X161" s="157">
        <f t="shared" si="60"/>
        <v>45438</v>
      </c>
      <c r="Y161" s="383">
        <f t="shared" si="61"/>
        <v>44.654977272861046</v>
      </c>
      <c r="Z161" s="383">
        <f t="shared" si="62"/>
        <v>46.366934276872009</v>
      </c>
      <c r="AA161" s="384">
        <f t="shared" si="63"/>
        <v>48.949720025915823</v>
      </c>
      <c r="AB161" s="197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5.2764055599835658E-2</v>
      </c>
      <c r="AD161" s="230">
        <f>(INDEX(Models!$BJ161:$BT161,,AH161)*(1-AF161)+INDEX(Models!$BJ161:$BT161,,AH161+1)*AF161-ERP_i)*AE161*Ramure*Pc/MaxiM</f>
        <v>7.2834036327632239E-4</v>
      </c>
      <c r="AE161" s="304">
        <f t="shared" si="65"/>
        <v>0.7</v>
      </c>
      <c r="AF161" s="177">
        <f t="shared" si="66"/>
        <v>0.94263011556013632</v>
      </c>
      <c r="AG161" s="799">
        <f t="shared" si="74"/>
        <v>0</v>
      </c>
      <c r="AH161" s="176">
        <f t="shared" si="67"/>
        <v>6</v>
      </c>
      <c r="AI161" s="224">
        <f t="shared" si="68"/>
        <v>0.94263011556013632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45439</v>
      </c>
      <c r="B162" s="409">
        <f>'2023'!Wh/'2023'!Env_an*'2024'!Env_an</f>
        <v>53.333787517943286</v>
      </c>
      <c r="C162" s="829"/>
      <c r="D162" s="391">
        <f t="shared" si="50"/>
        <v>55.379529126328599</v>
      </c>
      <c r="E162" s="383">
        <f t="shared" si="72"/>
        <v>57.766517450360254</v>
      </c>
      <c r="F162" s="383">
        <f t="shared" si="51"/>
        <v>57.799442851679956</v>
      </c>
      <c r="G162" s="110">
        <f t="shared" si="73"/>
        <v>0.93186430847803903</v>
      </c>
      <c r="H162" s="412" t="b">
        <f>Wh_hp&gt;='2023'!Maxi_hp</f>
        <v>0</v>
      </c>
      <c r="I162" s="388">
        <f>IF(H162,Wh_hp,'2023'!Maxi_hp)</f>
        <v>60.065997038035896</v>
      </c>
      <c r="J162" s="85">
        <f>IF(H162,An,'2023'!An_max)</f>
        <v>2020</v>
      </c>
      <c r="K162" s="197">
        <f t="shared" si="52"/>
        <v>45439</v>
      </c>
      <c r="L162" s="147">
        <f>IF(t&lt;Tvie,1-EXP((T0-t)*PertePVj)+'2023'!Pspv,1-EXP((T0-t)*PertePVj)+Pspv)</f>
        <v>3.694039369165969E-2</v>
      </c>
      <c r="M162" s="832"/>
      <c r="N162" s="832"/>
      <c r="O162" s="48">
        <f>IF(t&lt;Tnet,'2023'!Resal+('2023'!Salim-'2023'!Resal)*(1-EXP(('2023'!Tnet-t)/('2023'!Tau_j))),Resal+(Salim-Resal)*(1-EXP((Tnet-t)/(Tau_j))))*Salcycl</f>
        <v>4.1321312576664063E-2</v>
      </c>
      <c r="P162" s="169">
        <f>(INDEX(Models!$BJ162:$BT162,,T162)*(1-R162)+INDEX(Models!$BJ162:$BT162,,T162+1)*R162-ERP_i)*Q162*Ramure*Pc/MaxiM</f>
        <v>6.3101881798734041E-4</v>
      </c>
      <c r="Q162" s="304">
        <f t="shared" si="53"/>
        <v>0.7</v>
      </c>
      <c r="R162" s="177">
        <f t="shared" si="54"/>
        <v>0.88211325520553807</v>
      </c>
      <c r="S162" s="799">
        <f t="shared" si="55"/>
        <v>0</v>
      </c>
      <c r="T162" s="176">
        <f t="shared" si="56"/>
        <v>6</v>
      </c>
      <c r="U162" s="250">
        <f t="shared" si="57"/>
        <v>0.88211325520553807</v>
      </c>
      <c r="V162" s="382">
        <f t="shared" si="58"/>
        <v>57.229912218271188</v>
      </c>
      <c r="W162" s="400">
        <f t="shared" si="59"/>
        <v>53.333787517943286</v>
      </c>
      <c r="X162" s="157">
        <f t="shared" si="60"/>
        <v>45439</v>
      </c>
      <c r="Y162" s="383">
        <f t="shared" si="61"/>
        <v>52.690401259380721</v>
      </c>
      <c r="Z162" s="383">
        <f t="shared" si="62"/>
        <v>54.711464289689012</v>
      </c>
      <c r="AA162" s="384">
        <f t="shared" si="63"/>
        <v>57.764646315598178</v>
      </c>
      <c r="AB162" s="197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5.28555478246686E-2</v>
      </c>
      <c r="AD162" s="230">
        <f>(INDEX(Models!$BJ162:$BT162,,AH162)*(1-AF162)+INDEX(Models!$BJ162:$BT162,,AH162+1)*AF162-ERP_i)*AE162*Ramure*Pc/MaxiM</f>
        <v>6.668793147021413E-4</v>
      </c>
      <c r="AE162" s="304">
        <f t="shared" si="65"/>
        <v>0.7</v>
      </c>
      <c r="AF162" s="177">
        <f t="shared" si="66"/>
        <v>0.94644547746537022</v>
      </c>
      <c r="AG162" s="799">
        <f t="shared" si="74"/>
        <v>0</v>
      </c>
      <c r="AH162" s="176">
        <f t="shared" si="67"/>
        <v>6</v>
      </c>
      <c r="AI162" s="224">
        <f t="shared" si="68"/>
        <v>0.94644547746537022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45440</v>
      </c>
      <c r="B163" s="409">
        <f>'2023'!Wh/'2023'!Env_an*'2024'!Env_an</f>
        <v>58.591294701001573</v>
      </c>
      <c r="C163" s="829"/>
      <c r="D163" s="391">
        <f t="shared" si="50"/>
        <v>60.839866221695345</v>
      </c>
      <c r="E163" s="383">
        <f t="shared" si="72"/>
        <v>63.468624322126637</v>
      </c>
      <c r="F163" s="383">
        <f t="shared" si="51"/>
        <v>63.505407005756894</v>
      </c>
      <c r="G163" s="110">
        <f t="shared" si="73"/>
        <v>1.0237659265557491</v>
      </c>
      <c r="H163" s="412" t="b">
        <f>Wh_hp&gt;='2023'!Maxi_hp</f>
        <v>1</v>
      </c>
      <c r="I163" s="388">
        <f>IF(H163,Wh_hp,'2023'!Maxi_hp)</f>
        <v>63.505407005756894</v>
      </c>
      <c r="J163" s="85">
        <f>IF(H163,An,'2023'!An_max)</f>
        <v>2024</v>
      </c>
      <c r="K163" s="197">
        <f t="shared" si="52"/>
        <v>45440</v>
      </c>
      <c r="L163" s="147">
        <f>IF(t&lt;Tvie,1-EXP((T0-t)*PertePVj)+'2023'!Pspv,1-EXP((T0-t)*PertePVj)+Pspv)</f>
        <v>3.6958850509305363E-2</v>
      </c>
      <c r="M163" s="832"/>
      <c r="N163" s="832"/>
      <c r="O163" s="48">
        <f>IF(t&lt;Tnet,'2023'!Resal+('2023'!Salim-'2023'!Resal)*(1-EXP(('2023'!Tnet-t)/('2023'!Tau_j))),Resal+(Salim-Resal)*(1-EXP((Tnet-t)/(Tau_j))))*Salcycl</f>
        <v>4.1418230322582246E-2</v>
      </c>
      <c r="P163" s="169">
        <f>(INDEX(Models!$BJ163:$BT163,,T163)*(1-R163)+INDEX(Models!$BJ163:$BT163,,T163+1)*R163-ERP_i)*Q163*Ramure*Pc/MaxiM</f>
        <v>5.7920554114269094E-4</v>
      </c>
      <c r="Q163" s="304">
        <f t="shared" si="53"/>
        <v>0.7</v>
      </c>
      <c r="R163" s="177">
        <f t="shared" si="54"/>
        <v>0.88596974707051568</v>
      </c>
      <c r="S163" s="799">
        <f t="shared" si="55"/>
        <v>0</v>
      </c>
      <c r="T163" s="176">
        <f t="shared" si="56"/>
        <v>6</v>
      </c>
      <c r="U163" s="250">
        <f t="shared" si="57"/>
        <v>0.88596974707051568</v>
      </c>
      <c r="V163" s="382">
        <f t="shared" si="58"/>
        <v>57.231143546767562</v>
      </c>
      <c r="W163" s="400">
        <f t="shared" si="59"/>
        <v>58.591294701001573</v>
      </c>
      <c r="X163" s="157">
        <f t="shared" si="60"/>
        <v>45440</v>
      </c>
      <c r="Y163" s="383">
        <f t="shared" si="61"/>
        <v>57.884745691892149</v>
      </c>
      <c r="Z163" s="383">
        <f t="shared" si="62"/>
        <v>60.106201819625838</v>
      </c>
      <c r="AA163" s="384">
        <f t="shared" si="63"/>
        <v>63.466559597853959</v>
      </c>
      <c r="AB163" s="197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5.2946903054466865E-2</v>
      </c>
      <c r="AD163" s="230">
        <f>(INDEX(Models!$BJ163:$BT163,,AH163)*(1-AF163)+INDEX(Models!$BJ163:$BT163,,AH163+1)*AF163-ERP_i)*AE163*Ramure*Pc/MaxiM</f>
        <v>6.1171811558368187E-4</v>
      </c>
      <c r="AE163" s="304">
        <f t="shared" si="65"/>
        <v>0.7</v>
      </c>
      <c r="AF163" s="177">
        <f t="shared" si="66"/>
        <v>0.95030196933034783</v>
      </c>
      <c r="AG163" s="799">
        <f t="shared" si="74"/>
        <v>0</v>
      </c>
      <c r="AH163" s="176">
        <f t="shared" si="67"/>
        <v>6</v>
      </c>
      <c r="AI163" s="224">
        <f t="shared" si="68"/>
        <v>0.95030196933034783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45441</v>
      </c>
      <c r="B164" s="409">
        <f>'2023'!Wh/'2023'!Env_an*'2024'!Env_an</f>
        <v>45.636482522383645</v>
      </c>
      <c r="C164" s="829"/>
      <c r="D164" s="391">
        <f t="shared" si="50"/>
        <v>47.388792447817288</v>
      </c>
      <c r="E164" s="383">
        <f t="shared" si="72"/>
        <v>49.441350623491473</v>
      </c>
      <c r="F164" s="383">
        <f t="shared" si="51"/>
        <v>49.460168166190812</v>
      </c>
      <c r="G164" s="110">
        <f t="shared" si="73"/>
        <v>0.7973110869811656</v>
      </c>
      <c r="H164" s="412" t="b">
        <f>Wh_hp&gt;='2023'!Maxi_hp</f>
        <v>0</v>
      </c>
      <c r="I164" s="388">
        <f>IF(H164,Wh_hp,'2023'!Maxi_hp)</f>
        <v>61.091879244383499</v>
      </c>
      <c r="J164" s="85">
        <f>IF(H164,An,'2023'!An_max)</f>
        <v>2018</v>
      </c>
      <c r="K164" s="197">
        <f t="shared" si="52"/>
        <v>45441</v>
      </c>
      <c r="L164" s="147">
        <f>IF(t&lt;Tvie,1-EXP((T0-t)*PertePVj)+'2023'!Pspv,1-EXP((T0-t)*PertePVj)+Pspv)</f>
        <v>3.6977306973230428E-2</v>
      </c>
      <c r="M164" s="832"/>
      <c r="N164" s="832"/>
      <c r="O164" s="48">
        <f>IF(t&lt;Tnet,'2023'!Resal+('2023'!Salim-'2023'!Resal)*(1-EXP(('2023'!Tnet-t)/('2023'!Tau_j))),Resal+(Salim-Resal)*(1-EXP((Tnet-t)/(Tau_j))))*Salcycl</f>
        <v>4.1515010204817078E-2</v>
      </c>
      <c r="P164" s="169">
        <f>(INDEX(Models!$BJ164:$BT164,,T164)*(1-R164)+INDEX(Models!$BJ164:$BT164,,T164+1)*R164-ERP_i)*Q164*Ramure*Pc/MaxiM</f>
        <v>5.3538882351601182E-4</v>
      </c>
      <c r="Q164" s="304">
        <f t="shared" si="53"/>
        <v>0.7</v>
      </c>
      <c r="R164" s="177">
        <f t="shared" si="54"/>
        <v>0.88986473022258572</v>
      </c>
      <c r="S164" s="799">
        <f t="shared" si="55"/>
        <v>0</v>
      </c>
      <c r="T164" s="176">
        <f t="shared" si="56"/>
        <v>6</v>
      </c>
      <c r="U164" s="250">
        <f t="shared" si="57"/>
        <v>0.88986473022258572</v>
      </c>
      <c r="V164" s="382">
        <f t="shared" si="58"/>
        <v>57.229116843601851</v>
      </c>
      <c r="W164" s="400">
        <f t="shared" si="59"/>
        <v>45.636482522383645</v>
      </c>
      <c r="X164" s="157">
        <f t="shared" si="60"/>
        <v>45441</v>
      </c>
      <c r="Y164" s="383">
        <f t="shared" si="61"/>
        <v>45.086886159562802</v>
      </c>
      <c r="Z164" s="383">
        <f t="shared" si="62"/>
        <v>46.818093162327486</v>
      </c>
      <c r="AA164" s="384">
        <f t="shared" si="63"/>
        <v>49.440312165081622</v>
      </c>
      <c r="AB164" s="197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5.303807536648484E-2</v>
      </c>
      <c r="AD164" s="230">
        <f>(INDEX(Models!$BJ164:$BT164,,AH164)*(1-AF164)+INDEX(Models!$BJ164:$BT164,,AH164+1)*AF164-ERP_i)*AE164*Ramure*Pc/MaxiM</f>
        <v>5.6493460615106555E-4</v>
      </c>
      <c r="AE164" s="304">
        <f t="shared" si="65"/>
        <v>0.7</v>
      </c>
      <c r="AF164" s="177">
        <f t="shared" si="66"/>
        <v>0.95419695248241787</v>
      </c>
      <c r="AG164" s="799">
        <f t="shared" si="74"/>
        <v>0</v>
      </c>
      <c r="AH164" s="176">
        <f t="shared" si="67"/>
        <v>6</v>
      </c>
      <c r="AI164" s="224">
        <f t="shared" si="68"/>
        <v>0.95419695248241787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45442</v>
      </c>
      <c r="B165" s="409">
        <f>'2023'!Wh/'2023'!Env_an*'2024'!Env_an</f>
        <v>54.992562002854811</v>
      </c>
      <c r="C165" s="829"/>
      <c r="D165" s="391">
        <f t="shared" si="50"/>
        <v>57.105212931290303</v>
      </c>
      <c r="E165" s="383">
        <f t="shared" si="72"/>
        <v>59.584625480309128</v>
      </c>
      <c r="F165" s="383">
        <f t="shared" si="51"/>
        <v>59.612580899580315</v>
      </c>
      <c r="G165" s="110">
        <f t="shared" si="73"/>
        <v>0.96097854109569691</v>
      </c>
      <c r="H165" s="412" t="b">
        <f>Wh_hp&gt;='2023'!Maxi_hp</f>
        <v>0</v>
      </c>
      <c r="I165" s="388">
        <f>IF(H165,Wh_hp,'2023'!Maxi_hp)</f>
        <v>61.846036188985813</v>
      </c>
      <c r="J165" s="85">
        <f>IF(H165,An,'2023'!An_max)</f>
        <v>2018</v>
      </c>
      <c r="K165" s="197">
        <f t="shared" si="52"/>
        <v>45442</v>
      </c>
      <c r="L165" s="147">
        <f>IF(t&lt;Tvie,1-EXP((T0-t)*PertePVj)+'2023'!Pspv,1-EXP((T0-t)*PertePVj)+Pspv)</f>
        <v>3.6995763083441435E-2</v>
      </c>
      <c r="M165" s="832"/>
      <c r="N165" s="832"/>
      <c r="O165" s="48">
        <f>IF(t&lt;Tnet,'2023'!Resal+('2023'!Salim-'2023'!Resal)*(1-EXP(('2023'!Tnet-t)/('2023'!Tau_j))),Resal+(Salim-Resal)*(1-EXP((Tnet-t)/(Tau_j))))*Salcycl</f>
        <v>4.1611615899779221E-2</v>
      </c>
      <c r="P165" s="169">
        <f>(INDEX(Models!$BJ165:$BT165,,T165)*(1-R165)+INDEX(Models!$BJ165:$BT165,,T165+1)*R165-ERP_i)*Q165*Ramure*Pc/MaxiM</f>
        <v>4.9661666473738467E-4</v>
      </c>
      <c r="Q165" s="304">
        <f t="shared" si="53"/>
        <v>0.7</v>
      </c>
      <c r="R165" s="177">
        <f t="shared" si="54"/>
        <v>0.89379544746228701</v>
      </c>
      <c r="S165" s="799">
        <f t="shared" si="55"/>
        <v>0</v>
      </c>
      <c r="T165" s="176">
        <f t="shared" si="56"/>
        <v>6</v>
      </c>
      <c r="U165" s="250">
        <f t="shared" si="57"/>
        <v>0.89379544746228701</v>
      </c>
      <c r="V165" s="382">
        <f t="shared" si="58"/>
        <v>57.224004042114842</v>
      </c>
      <c r="W165" s="400">
        <f t="shared" si="59"/>
        <v>54.992562002854811</v>
      </c>
      <c r="X165" s="157">
        <f t="shared" si="60"/>
        <v>45442</v>
      </c>
      <c r="Y165" s="383">
        <f t="shared" si="61"/>
        <v>54.330309699876402</v>
      </c>
      <c r="Z165" s="383">
        <f t="shared" si="62"/>
        <v>56.417518861429436</v>
      </c>
      <c r="AA165" s="384">
        <f t="shared" si="63"/>
        <v>59.583111089084355</v>
      </c>
      <c r="AB165" s="197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5.312901877382592E-2</v>
      </c>
      <c r="AD165" s="230">
        <f>(INDEX(Models!$BJ165:$BT165,,AH165)*(1-AF165)+INDEX(Models!$BJ165:$BT165,,AH165+1)*AF165-ERP_i)*AE165*Ramure*Pc/MaxiM</f>
        <v>5.2351920953043409E-4</v>
      </c>
      <c r="AE165" s="304">
        <f t="shared" si="65"/>
        <v>0.7</v>
      </c>
      <c r="AF165" s="177">
        <f t="shared" si="66"/>
        <v>0.95812766972211916</v>
      </c>
      <c r="AG165" s="799">
        <f t="shared" si="74"/>
        <v>0</v>
      </c>
      <c r="AH165" s="176">
        <f t="shared" si="67"/>
        <v>6</v>
      </c>
      <c r="AI165" s="224">
        <f t="shared" si="68"/>
        <v>0.95812766972211916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45443</v>
      </c>
      <c r="B166" s="409">
        <f>'2023'!Wh/'2023'!Env_an*'2024'!Env_an</f>
        <v>57.031165003437351</v>
      </c>
      <c r="C166" s="829"/>
      <c r="D166" s="391">
        <f t="shared" si="50"/>
        <v>59.223268005821566</v>
      </c>
      <c r="E166" s="383">
        <f t="shared" si="72"/>
        <v>61.80085891408379</v>
      </c>
      <c r="F166" s="383">
        <f t="shared" si="51"/>
        <v>61.829352819115165</v>
      </c>
      <c r="G166" s="110">
        <f t="shared" si="73"/>
        <v>0.99677082974949094</v>
      </c>
      <c r="H166" s="412" t="b">
        <f>Wh_hp&gt;='2023'!Maxi_hp</f>
        <v>0</v>
      </c>
      <c r="I166" s="388">
        <f>IF(H166,Wh_hp,'2023'!Maxi_hp)</f>
        <v>63.6031019014615</v>
      </c>
      <c r="J166" s="85">
        <f>IF(H166,An,'2023'!An_max)</f>
        <v>2018</v>
      </c>
      <c r="K166" s="197">
        <f t="shared" si="52"/>
        <v>45443</v>
      </c>
      <c r="L166" s="147">
        <f>IF(t&lt;Tvie,1-EXP((T0-t)*PertePVj)+'2023'!Pspv,1-EXP((T0-t)*PertePVj)+Pspv)</f>
        <v>3.7014218839945379E-2</v>
      </c>
      <c r="M166" s="832"/>
      <c r="N166" s="832"/>
      <c r="O166" s="48">
        <f>IF(t&lt;Tnet,'2023'!Resal+('2023'!Salim-'2023'!Resal)*(1-EXP(('2023'!Tnet-t)/('2023'!Tau_j))),Resal+(Salim-Resal)*(1-EXP((Tnet-t)/(Tau_j))))*Salcycl</f>
        <v>4.1708011078707141E-2</v>
      </c>
      <c r="P166" s="169">
        <f>(INDEX(Models!$BJ166:$BT166,,T166)*(1-R166)+INDEX(Models!$BJ166:$BT166,,T166+1)*R166-ERP_i)*Q166*Ramure*Pc/MaxiM</f>
        <v>4.6298191238988424E-4</v>
      </c>
      <c r="Q166" s="304">
        <f t="shared" si="53"/>
        <v>0.7</v>
      </c>
      <c r="R166" s="177">
        <f t="shared" si="54"/>
        <v>0.89775902992395284</v>
      </c>
      <c r="S166" s="799">
        <f t="shared" si="55"/>
        <v>0</v>
      </c>
      <c r="T166" s="176">
        <f t="shared" si="56"/>
        <v>6</v>
      </c>
      <c r="U166" s="250">
        <f t="shared" si="57"/>
        <v>0.89775902992395284</v>
      </c>
      <c r="V166" s="382">
        <f t="shared" si="58"/>
        <v>57.215802789691779</v>
      </c>
      <c r="W166" s="400">
        <f t="shared" si="59"/>
        <v>57.031165003437351</v>
      </c>
      <c r="X166" s="157">
        <f t="shared" si="60"/>
        <v>45443</v>
      </c>
      <c r="Y166" s="383">
        <f t="shared" si="61"/>
        <v>56.344687071348062</v>
      </c>
      <c r="Z166" s="383">
        <f t="shared" si="62"/>
        <v>58.510403968242187</v>
      </c>
      <c r="AA166" s="384">
        <f t="shared" si="63"/>
        <v>61.799345834617</v>
      </c>
      <c r="AB166" s="197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5.3219687392427252E-2</v>
      </c>
      <c r="AD166" s="230">
        <f>(INDEX(Models!$BJ166:$BT166,,AH166)*(1-AF166)+INDEX(Models!$BJ166:$BT166,,AH166+1)*AF166-ERP_i)*AE166*Ramure*Pc/MaxiM</f>
        <v>4.8756711488704975E-4</v>
      </c>
      <c r="AE166" s="304">
        <f t="shared" si="65"/>
        <v>0.7</v>
      </c>
      <c r="AF166" s="177">
        <f t="shared" si="66"/>
        <v>0.962091252183785</v>
      </c>
      <c r="AG166" s="799">
        <f t="shared" si="74"/>
        <v>0</v>
      </c>
      <c r="AH166" s="176">
        <f t="shared" si="67"/>
        <v>6</v>
      </c>
      <c r="AI166" s="224">
        <f t="shared" si="68"/>
        <v>0.962091252183785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45444</v>
      </c>
      <c r="B167" s="409">
        <f>'2023'!Wh/'2023'!Env_an*'2024'!Env_an</f>
        <v>39.54426622133618</v>
      </c>
      <c r="C167" s="829"/>
      <c r="D167" s="391">
        <f t="shared" si="50"/>
        <v>41.065013488634889</v>
      </c>
      <c r="E167" s="383">
        <f t="shared" si="72"/>
        <v>42.856597529169022</v>
      </c>
      <c r="F167" s="383">
        <f t="shared" si="51"/>
        <v>42.867010660917195</v>
      </c>
      <c r="G167" s="110">
        <f t="shared" si="73"/>
        <v>0.69114628815058032</v>
      </c>
      <c r="H167" s="412" t="b">
        <f>Wh_hp&gt;='2023'!Maxi_hp</f>
        <v>0</v>
      </c>
      <c r="I167" s="388">
        <f>IF(H167,Wh_hp,'2023'!Maxi_hp)</f>
        <v>62.818886290602684</v>
      </c>
      <c r="J167" s="85">
        <f>IF(H167,An,'2023'!An_max)</f>
        <v>2018</v>
      </c>
      <c r="K167" s="197">
        <f t="shared" si="52"/>
        <v>45444</v>
      </c>
      <c r="L167" s="147">
        <f>IF(t&lt;Tvie,1-EXP((T0-t)*PertePVj)+'2023'!Pspv,1-EXP((T0-t)*PertePVj)+Pspv)</f>
        <v>3.703267424274892E-2</v>
      </c>
      <c r="M167" s="832"/>
      <c r="N167" s="832"/>
      <c r="O167" s="48">
        <f>IF(t&lt;Tnet,'2023'!Resal+('2023'!Salim-'2023'!Resal)*(1-EXP(('2023'!Tnet-t)/('2023'!Tau_j))),Resal+(Salim-Resal)*(1-EXP((Tnet-t)/(Tau_j))))*Salcycl</f>
        <v>4.1804159541940951E-2</v>
      </c>
      <c r="P167" s="169">
        <f>(INDEX(Models!$BJ167:$BT167,,T167)*(1-R167)+INDEX(Models!$BJ167:$BT167,,T167+1)*R167-ERP_i)*Q167*Ramure*Pc/MaxiM</f>
        <v>4.3458013651076835E-4</v>
      </c>
      <c r="Q167" s="304">
        <f t="shared" si="53"/>
        <v>0.7</v>
      </c>
      <c r="R167" s="177">
        <f t="shared" si="54"/>
        <v>0.90175250465548296</v>
      </c>
      <c r="S167" s="799">
        <f t="shared" si="55"/>
        <v>0</v>
      </c>
      <c r="T167" s="176">
        <f t="shared" si="56"/>
        <v>6</v>
      </c>
      <c r="U167" s="250">
        <f t="shared" si="57"/>
        <v>0.90175250465548296</v>
      </c>
      <c r="V167" s="382">
        <f t="shared" si="58"/>
        <v>57.204510658840668</v>
      </c>
      <c r="W167" s="400">
        <f t="shared" si="59"/>
        <v>39.54426622133618</v>
      </c>
      <c r="X167" s="157">
        <f t="shared" si="60"/>
        <v>45444</v>
      </c>
      <c r="Y167" s="383">
        <f t="shared" si="61"/>
        <v>39.068930844459544</v>
      </c>
      <c r="Z167" s="383">
        <f t="shared" si="62"/>
        <v>40.571398218248795</v>
      </c>
      <c r="AA167" s="384">
        <f t="shared" si="63"/>
        <v>42.856056094814498</v>
      </c>
      <c r="AB167" s="197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5.331003561109629E-2</v>
      </c>
      <c r="AD167" s="230">
        <f>(INDEX(Models!$BJ167:$BT167,,AH167)*(1-AF167)+INDEX(Models!$BJ167:$BT167,,AH167+1)*AF167-ERP_i)*AE167*Ramure*Pc/MaxiM</f>
        <v>4.5717627966811121E-4</v>
      </c>
      <c r="AE167" s="304">
        <f t="shared" si="65"/>
        <v>0.7</v>
      </c>
      <c r="AF167" s="177">
        <f t="shared" si="66"/>
        <v>0.96608472691531511</v>
      </c>
      <c r="AG167" s="799">
        <f t="shared" si="74"/>
        <v>0</v>
      </c>
      <c r="AH167" s="176">
        <f t="shared" si="67"/>
        <v>6</v>
      </c>
      <c r="AI167" s="224">
        <f t="shared" si="68"/>
        <v>0.96608472691531511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45445</v>
      </c>
      <c r="B168" s="409">
        <f>'2023'!Wh/'2023'!Env_an*'2024'!Env_an</f>
        <v>55.592201068619275</v>
      </c>
      <c r="C168" s="829"/>
      <c r="D168" s="391">
        <f t="shared" si="50"/>
        <v>57.731207501949129</v>
      </c>
      <c r="E168" s="383">
        <f t="shared" si="72"/>
        <v>60.255932605942505</v>
      </c>
      <c r="F168" s="383">
        <f t="shared" si="51"/>
        <v>60.279748168078989</v>
      </c>
      <c r="G168" s="110">
        <f t="shared" si="73"/>
        <v>0.97204346794864327</v>
      </c>
      <c r="H168" s="412" t="b">
        <f>Wh_hp&gt;='2023'!Maxi_hp</f>
        <v>0</v>
      </c>
      <c r="I168" s="388">
        <f>IF(H168,Wh_hp,'2023'!Maxi_hp)</f>
        <v>60.280374987605988</v>
      </c>
      <c r="J168" s="85">
        <f>IF(H168,An,'2023'!An_max)</f>
        <v>2022</v>
      </c>
      <c r="K168" s="197">
        <f t="shared" si="52"/>
        <v>45445</v>
      </c>
      <c r="L168" s="147">
        <f>IF(t&lt;Tvie,1-EXP((T0-t)*PertePVj)+'2023'!Pspv,1-EXP((T0-t)*PertePVj)+Pspv)</f>
        <v>3.7051129291858942E-2</v>
      </c>
      <c r="M168" s="832"/>
      <c r="N168" s="832"/>
      <c r="O168" s="48">
        <f>IF(t&lt;Tnet,'2023'!Resal+('2023'!Salim-'2023'!Resal)*(1-EXP(('2023'!Tnet-t)/('2023'!Tau_j))),Resal+(Salim-Resal)*(1-EXP((Tnet-t)/(Tau_j))))*Salcycl</f>
        <v>4.1900025355252488E-2</v>
      </c>
      <c r="P168" s="169">
        <f>(INDEX(Models!$BJ168:$BT168,,T168)*(1-R168)+INDEX(Models!$BJ168:$BT168,,T168+1)*R168-ERP_i)*Q168*Ramure*Pc/MaxiM</f>
        <v>4.1150940124534501E-4</v>
      </c>
      <c r="Q168" s="304">
        <f t="shared" si="53"/>
        <v>0.7</v>
      </c>
      <c r="R168" s="177">
        <f t="shared" si="54"/>
        <v>0.90577280288130047</v>
      </c>
      <c r="S168" s="799">
        <f t="shared" si="55"/>
        <v>0</v>
      </c>
      <c r="T168" s="176">
        <f t="shared" si="56"/>
        <v>6</v>
      </c>
      <c r="U168" s="250">
        <f t="shared" si="57"/>
        <v>0.90577280288130047</v>
      </c>
      <c r="V168" s="382">
        <f t="shared" si="58"/>
        <v>57.19012514849986</v>
      </c>
      <c r="W168" s="400">
        <f t="shared" si="59"/>
        <v>55.592201068619275</v>
      </c>
      <c r="X168" s="157">
        <f t="shared" si="60"/>
        <v>45445</v>
      </c>
      <c r="Y168" s="383">
        <f t="shared" si="61"/>
        <v>54.923828043547893</v>
      </c>
      <c r="Z168" s="383">
        <f t="shared" si="62"/>
        <v>57.037117664572953</v>
      </c>
      <c r="AA168" s="384">
        <f t="shared" si="63"/>
        <v>60.254720858904328</v>
      </c>
      <c r="AB168" s="197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5.3400018263562866E-2</v>
      </c>
      <c r="AD168" s="230">
        <f>(INDEX(Models!$BJ168:$BT168,,AH168)*(1-AF168)+INDEX(Models!$BJ168:$BT168,,AH168+1)*AF168-ERP_i)*AE168*Ramure*Pc/MaxiM</f>
        <v>4.3244719373937266E-4</v>
      </c>
      <c r="AE168" s="304">
        <f t="shared" si="65"/>
        <v>0.7</v>
      </c>
      <c r="AF168" s="177">
        <f t="shared" si="66"/>
        <v>0.97010502514113262</v>
      </c>
      <c r="AG168" s="799">
        <f t="shared" si="74"/>
        <v>0</v>
      </c>
      <c r="AH168" s="176">
        <f t="shared" si="67"/>
        <v>6</v>
      </c>
      <c r="AI168" s="224">
        <f t="shared" si="68"/>
        <v>0.97010502514113262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45446</v>
      </c>
      <c r="B169" s="409">
        <f>'2023'!Wh/'2023'!Env_an*'2024'!Env_an</f>
        <v>25.204752303555569</v>
      </c>
      <c r="C169" s="829"/>
      <c r="D169" s="391">
        <f t="shared" si="50"/>
        <v>26.175050537839358</v>
      </c>
      <c r="E169" s="383">
        <f t="shared" si="72"/>
        <v>27.322473466497591</v>
      </c>
      <c r="F169" s="383">
        <f t="shared" si="51"/>
        <v>27.324639058059571</v>
      </c>
      <c r="G169" s="110">
        <f t="shared" si="73"/>
        <v>0.44071465358155243</v>
      </c>
      <c r="H169" s="412" t="b">
        <f>Wh_hp&gt;='2023'!Maxi_hp</f>
        <v>0</v>
      </c>
      <c r="I169" s="388">
        <f>IF(H169,Wh_hp,'2023'!Maxi_hp)</f>
        <v>60.619800166760626</v>
      </c>
      <c r="J169" s="85">
        <f>IF(H169,An,'2023'!An_max)</f>
        <v>2018</v>
      </c>
      <c r="K169" s="197">
        <f t="shared" si="52"/>
        <v>45446</v>
      </c>
      <c r="L169" s="147">
        <f>IF(t&lt;Tvie,1-EXP((T0-t)*PertePVj)+'2023'!Pspv,1-EXP((T0-t)*PertePVj)+Pspv)</f>
        <v>3.7069583987282106E-2</v>
      </c>
      <c r="M169" s="832"/>
      <c r="N169" s="832"/>
      <c r="O169" s="48">
        <f>IF(t&lt;Tnet,'2023'!Resal+('2023'!Salim-'2023'!Resal)*(1-EXP(('2023'!Tnet-t)/('2023'!Tau_j))),Resal+(Salim-Resal)*(1-EXP((Tnet-t)/(Tau_j))))*Salcycl</f>
        <v>4.1995572987386695E-2</v>
      </c>
      <c r="P169" s="169">
        <f>(INDEX(Models!$BJ169:$BT169,,T169)*(1-R169)+INDEX(Models!$BJ169:$BT169,,T169+1)*R169-ERP_i)*Q169*Ramure*Pc/MaxiM</f>
        <v>3.9387002707158921E-4</v>
      </c>
      <c r="Q169" s="304">
        <f t="shared" si="53"/>
        <v>0.7</v>
      </c>
      <c r="R169" s="177">
        <f t="shared" si="54"/>
        <v>0.90981676890502827</v>
      </c>
      <c r="S169" s="799">
        <f t="shared" si="55"/>
        <v>0</v>
      </c>
      <c r="T169" s="176">
        <f t="shared" si="56"/>
        <v>6</v>
      </c>
      <c r="U169" s="250">
        <f t="shared" si="57"/>
        <v>0.90981676890502827</v>
      </c>
      <c r="V169" s="382">
        <f t="shared" si="58"/>
        <v>57.172643694723519</v>
      </c>
      <c r="W169" s="400">
        <f t="shared" si="59"/>
        <v>25.204752303555569</v>
      </c>
      <c r="X169" s="157">
        <f t="shared" si="60"/>
        <v>45446</v>
      </c>
      <c r="Y169" s="383">
        <f t="shared" si="61"/>
        <v>24.902250540998565</v>
      </c>
      <c r="Z169" s="383">
        <f t="shared" si="62"/>
        <v>25.860903474327131</v>
      </c>
      <c r="AA169" s="384">
        <f t="shared" si="63"/>
        <v>27.322365631694595</v>
      </c>
      <c r="AB169" s="197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5.3489590801469027E-2</v>
      </c>
      <c r="AD169" s="230">
        <f>(INDEX(Models!$BJ169:$BT169,,AH169)*(1-AF169)+INDEX(Models!$BJ169:$BT169,,AH169+1)*AF169-ERP_i)*AE169*Ramure*Pc/MaxiM</f>
        <v>4.1348263432458234E-4</v>
      </c>
      <c r="AE169" s="304">
        <f t="shared" si="65"/>
        <v>0.7</v>
      </c>
      <c r="AF169" s="177">
        <f t="shared" si="66"/>
        <v>0.97414899116486042</v>
      </c>
      <c r="AG169" s="799">
        <f t="shared" si="74"/>
        <v>0</v>
      </c>
      <c r="AH169" s="176">
        <f t="shared" si="67"/>
        <v>6</v>
      </c>
      <c r="AI169" s="224">
        <f t="shared" si="68"/>
        <v>0.97414899116486042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45447</v>
      </c>
      <c r="B170" s="409">
        <f>'2023'!Wh/'2023'!Env_an*'2024'!Env_an</f>
        <v>29.117012249770635</v>
      </c>
      <c r="C170" s="829"/>
      <c r="D170" s="391">
        <f t="shared" si="50"/>
        <v>30.238498854290757</v>
      </c>
      <c r="E170" s="383">
        <f t="shared" ref="E170:E232" si="75">Wh_pvt/(1-Psa)</f>
        <v>31.567185936531114</v>
      </c>
      <c r="F170" s="383">
        <f t="shared" si="51"/>
        <v>31.570791734568324</v>
      </c>
      <c r="G170" s="110">
        <f t="shared" ref="G170:G232" si="76">+Wh_hp/MaxiM</f>
        <v>0.5093293084160665</v>
      </c>
      <c r="H170" s="412" t="b">
        <f>Wh_hp&gt;='2023'!Maxi_hp</f>
        <v>0</v>
      </c>
      <c r="I170" s="388">
        <f>IF(H170,Wh_hp,'2023'!Maxi_hp)</f>
        <v>39.216543124389602</v>
      </c>
      <c r="J170" s="85">
        <f>IF(H170,An,'2023'!An_max)</f>
        <v>2021</v>
      </c>
      <c r="K170" s="197">
        <f t="shared" si="52"/>
        <v>45447</v>
      </c>
      <c r="L170" s="147">
        <f>IF(t&lt;Tvie,1-EXP((T0-t)*PertePVj)+'2023'!Pspv,1-EXP((T0-t)*PertePVj)+Pspv)</f>
        <v>3.7088038329025297E-2</v>
      </c>
      <c r="M170" s="832"/>
      <c r="N170" s="832"/>
      <c r="O170" s="48">
        <f>IF(t&lt;Tnet,'2023'!Resal+('2023'!Salim-'2023'!Resal)*(1-EXP(('2023'!Tnet-t)/('2023'!Tau_j))),Resal+(Salim-Resal)*(1-EXP((Tnet-t)/(Tau_j))))*Salcycl</f>
        <v>4.2090767447938222E-2</v>
      </c>
      <c r="P170" s="169">
        <f>(INDEX(Models!$BJ170:$BT170,,T170)*(1-R170)+INDEX(Models!$BJ170:$BT170,,T170+1)*R170-ERP_i)*Q170*Ramure*Pc/MaxiM</f>
        <v>3.8168164503695411E-4</v>
      </c>
      <c r="Q170" s="304">
        <f t="shared" si="53"/>
        <v>0.7</v>
      </c>
      <c r="R170" s="177">
        <f t="shared" si="54"/>
        <v>0.91388116960124588</v>
      </c>
      <c r="S170" s="799">
        <f t="shared" si="55"/>
        <v>0</v>
      </c>
      <c r="T170" s="176">
        <f t="shared" si="56"/>
        <v>6</v>
      </c>
      <c r="U170" s="250">
        <f t="shared" si="57"/>
        <v>0.91388116960124588</v>
      </c>
      <c r="V170" s="382">
        <f t="shared" si="58"/>
        <v>57.152068405122222</v>
      </c>
      <c r="W170" s="400">
        <f t="shared" si="59"/>
        <v>29.117012249770635</v>
      </c>
      <c r="X170" s="157">
        <f t="shared" si="60"/>
        <v>45447</v>
      </c>
      <c r="Y170" s="383">
        <f t="shared" si="61"/>
        <v>28.76765961710926</v>
      </c>
      <c r="Z170" s="383">
        <f t="shared" si="62"/>
        <v>29.875690366529184</v>
      </c>
      <c r="AA170" s="384">
        <f t="shared" si="63"/>
        <v>31.567010025429365</v>
      </c>
      <c r="AB170" s="197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5.3578709467184467E-2</v>
      </c>
      <c r="AD170" s="230">
        <f>(INDEX(Models!$BJ170:$BT170,,AH170)*(1-AF170)+INDEX(Models!$BJ170:$BT170,,AH170+1)*AF170-ERP_i)*AE170*Ramure*Pc/MaxiM</f>
        <v>4.0030222167560127E-4</v>
      </c>
      <c r="AE170" s="304">
        <f t="shared" si="65"/>
        <v>0.7</v>
      </c>
      <c r="AF170" s="177">
        <f t="shared" si="66"/>
        <v>0.97821339186107803</v>
      </c>
      <c r="AG170" s="799">
        <f t="shared" si="74"/>
        <v>0</v>
      </c>
      <c r="AH170" s="176">
        <f t="shared" si="67"/>
        <v>6</v>
      </c>
      <c r="AI170" s="224">
        <f t="shared" si="68"/>
        <v>0.97821339186107803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45448</v>
      </c>
      <c r="B171" s="409">
        <f>'2023'!Wh/'2023'!Env_an*'2024'!Env_an</f>
        <v>49.050791036251326</v>
      </c>
      <c r="C171" s="829"/>
      <c r="D171" s="391">
        <f t="shared" si="50"/>
        <v>50.941034127737083</v>
      </c>
      <c r="E171" s="383">
        <f t="shared" si="75"/>
        <v>53.184659541056838</v>
      </c>
      <c r="F171" s="383">
        <f t="shared" si="51"/>
        <v>53.200417247755468</v>
      </c>
      <c r="G171" s="110">
        <f t="shared" si="76"/>
        <v>0.85853839764198503</v>
      </c>
      <c r="H171" s="412" t="b">
        <f>Wh_hp&gt;='2023'!Maxi_hp</f>
        <v>0</v>
      </c>
      <c r="I171" s="388">
        <f>IF(H171,Wh_hp,'2023'!Maxi_hp)</f>
        <v>54.078564517697089</v>
      </c>
      <c r="J171" s="85">
        <f>IF(H171,An,'2023'!An_max)</f>
        <v>2018</v>
      </c>
      <c r="K171" s="197">
        <f t="shared" si="52"/>
        <v>45448</v>
      </c>
      <c r="L171" s="147">
        <f>IF(t&lt;Tvie,1-EXP((T0-t)*PertePVj)+'2023'!Pspv,1-EXP((T0-t)*PertePVj)+Pspv)</f>
        <v>3.7106492317095174E-2</v>
      </c>
      <c r="M171" s="832"/>
      <c r="N171" s="832"/>
      <c r="O171" s="48">
        <f>IF(t&lt;Tnet,'2023'!Resal+('2023'!Salim-'2023'!Resal)*(1-EXP(('2023'!Tnet-t)/('2023'!Tau_j))),Resal+(Salim-Resal)*(1-EXP((Tnet-t)/(Tau_j))))*Salcycl</f>
        <v>4.218557442466566E-2</v>
      </c>
      <c r="P171" s="169">
        <f>(INDEX(Models!$BJ171:$BT171,,T171)*(1-R171)+INDEX(Models!$BJ171:$BT171,,T171+1)*R171-ERP_i)*Q171*Ramure*Pc/MaxiM</f>
        <v>3.71170039742295E-4</v>
      </c>
      <c r="Q171" s="304">
        <f t="shared" si="53"/>
        <v>0.7</v>
      </c>
      <c r="R171" s="177">
        <f t="shared" si="54"/>
        <v>0.91796270443895778</v>
      </c>
      <c r="S171" s="799">
        <f t="shared" si="55"/>
        <v>0</v>
      </c>
      <c r="T171" s="176">
        <f t="shared" si="56"/>
        <v>6</v>
      </c>
      <c r="U171" s="250">
        <f t="shared" si="57"/>
        <v>0.91796270443895778</v>
      </c>
      <c r="V171" s="382">
        <f t="shared" si="58"/>
        <v>57.12861824788753</v>
      </c>
      <c r="W171" s="400">
        <f t="shared" si="59"/>
        <v>49.050791036251326</v>
      </c>
      <c r="X171" s="157">
        <f t="shared" si="60"/>
        <v>45448</v>
      </c>
      <c r="Y171" s="383">
        <f t="shared" si="61"/>
        <v>48.462109887705175</v>
      </c>
      <c r="Z171" s="383">
        <f t="shared" si="62"/>
        <v>50.329667300721347</v>
      </c>
      <c r="AA171" s="384">
        <f t="shared" si="63"/>
        <v>53.183905590676048</v>
      </c>
      <c r="AB171" s="197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5.3667331465312579E-2</v>
      </c>
      <c r="AD171" s="230">
        <f>(INDEX(Models!$BJ171:$BT171,,AH171)*(1-AF171)+INDEX(Models!$BJ171:$BT171,,AH171+1)*AF171-ERP_i)*AE171*Ramure*Pc/MaxiM</f>
        <v>3.8892920978854921E-4</v>
      </c>
      <c r="AE171" s="304">
        <f t="shared" si="65"/>
        <v>0.7</v>
      </c>
      <c r="AF171" s="177">
        <f t="shared" si="66"/>
        <v>0.98229492669878993</v>
      </c>
      <c r="AG171" s="799">
        <f t="shared" si="74"/>
        <v>0</v>
      </c>
      <c r="AH171" s="176">
        <f t="shared" si="67"/>
        <v>6</v>
      </c>
      <c r="AI171" s="224">
        <f t="shared" si="68"/>
        <v>0.98229492669878993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45449</v>
      </c>
      <c r="B172" s="409">
        <f>'2023'!Wh/'2023'!Env_an*'2024'!Env_an</f>
        <v>27.237887649224433</v>
      </c>
      <c r="C172" s="829"/>
      <c r="D172" s="391">
        <f t="shared" si="50"/>
        <v>28.288081132333939</v>
      </c>
      <c r="E172" s="383">
        <f t="shared" si="75"/>
        <v>29.536900099448275</v>
      </c>
      <c r="F172" s="383">
        <f t="shared" si="51"/>
        <v>29.539606788152696</v>
      </c>
      <c r="G172" s="110">
        <f t="shared" si="76"/>
        <v>0.47687247819412032</v>
      </c>
      <c r="H172" s="412" t="b">
        <f>Wh_hp&gt;='2023'!Maxi_hp</f>
        <v>0</v>
      </c>
      <c r="I172" s="388">
        <f>IF(H172,Wh_hp,'2023'!Maxi_hp)</f>
        <v>56.44411958910743</v>
      </c>
      <c r="J172" s="85">
        <f>IF(H172,An,'2023'!An_max)</f>
        <v>2021</v>
      </c>
      <c r="K172" s="197">
        <f t="shared" si="52"/>
        <v>45449</v>
      </c>
      <c r="L172" s="147">
        <f>IF(t&lt;Tvie,1-EXP((T0-t)*PertePVj)+'2023'!Pspv,1-EXP((T0-t)*PertePVj)+Pspv)</f>
        <v>3.7124945951498622E-2</v>
      </c>
      <c r="M172" s="832"/>
      <c r="N172" s="832"/>
      <c r="O172" s="48">
        <f>IF(t&lt;Tnet,'2023'!Resal+('2023'!Salim-'2023'!Resal)*(1-EXP(('2023'!Tnet-t)/('2023'!Tau_j))),Resal+(Salim-Resal)*(1-EXP((Tnet-t)/(Tau_j))))*Salcycl</f>
        <v>4.2279960419328612E-2</v>
      </c>
      <c r="P172" s="169">
        <f>(INDEX(Models!$BJ172:$BT172,,T172)*(1-R172)+INDEX(Models!$BJ172:$BT172,,T172+1)*R172-ERP_i)*Q172*Ramure*Pc/MaxiM</f>
        <v>3.6237177497077901E-4</v>
      </c>
      <c r="Q172" s="304">
        <f t="shared" si="53"/>
        <v>0.7</v>
      </c>
      <c r="R172" s="177">
        <f t="shared" si="54"/>
        <v>0.92205801597321857</v>
      </c>
      <c r="S172" s="799">
        <f t="shared" si="55"/>
        <v>0</v>
      </c>
      <c r="T172" s="176">
        <f t="shared" si="56"/>
        <v>6</v>
      </c>
      <c r="U172" s="250">
        <f t="shared" si="57"/>
        <v>0.92205801597321857</v>
      </c>
      <c r="V172" s="382">
        <f t="shared" si="58"/>
        <v>57.102294137496237</v>
      </c>
      <c r="W172" s="400">
        <f t="shared" si="59"/>
        <v>27.237887649224433</v>
      </c>
      <c r="X172" s="157">
        <f t="shared" si="60"/>
        <v>45449</v>
      </c>
      <c r="Y172" s="383">
        <f t="shared" si="61"/>
        <v>26.91140587385059</v>
      </c>
      <c r="Z172" s="383">
        <f t="shared" si="62"/>
        <v>27.949011411915784</v>
      </c>
      <c r="AA172" s="384">
        <f t="shared" si="63"/>
        <v>29.536772900852977</v>
      </c>
      <c r="AB172" s="197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5.3755415131737046E-2</v>
      </c>
      <c r="AD172" s="230">
        <f>(INDEX(Models!$BJ172:$BT172,,AH172)*(1-AF172)+INDEX(Models!$BJ172:$BT172,,AH172+1)*AF172-ERP_i)*AE172*Ramure*Pc/MaxiM</f>
        <v>3.7940113659493048E-4</v>
      </c>
      <c r="AE172" s="304">
        <f t="shared" si="65"/>
        <v>0.7</v>
      </c>
      <c r="AF172" s="177">
        <f t="shared" si="66"/>
        <v>0.98639023823305072</v>
      </c>
      <c r="AG172" s="799">
        <f t="shared" si="74"/>
        <v>0</v>
      </c>
      <c r="AH172" s="176">
        <f t="shared" si="67"/>
        <v>6</v>
      </c>
      <c r="AI172" s="224">
        <f t="shared" si="68"/>
        <v>0.98639023823305072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45450</v>
      </c>
      <c r="B173" s="409">
        <f>'2023'!Wh/'2023'!Env_an*'2024'!Env_an</f>
        <v>21.044775837310237</v>
      </c>
      <c r="C173" s="829"/>
      <c r="D173" s="391">
        <f t="shared" si="50"/>
        <v>21.856604421187601</v>
      </c>
      <c r="E173" s="383">
        <f t="shared" si="75"/>
        <v>22.823734919827611</v>
      </c>
      <c r="F173" s="383">
        <f t="shared" si="51"/>
        <v>22.824531259602004</v>
      </c>
      <c r="G173" s="110">
        <f t="shared" si="76"/>
        <v>0.36861556965242859</v>
      </c>
      <c r="H173" s="412" t="b">
        <f>Wh_hp&gt;='2023'!Maxi_hp</f>
        <v>0</v>
      </c>
      <c r="I173" s="388">
        <f>IF(H173,Wh_hp,'2023'!Maxi_hp)</f>
        <v>64.215122991320413</v>
      </c>
      <c r="J173" s="85">
        <f>IF(H173,An,'2023'!An_max)</f>
        <v>2018</v>
      </c>
      <c r="K173" s="197">
        <f t="shared" si="52"/>
        <v>45450</v>
      </c>
      <c r="L173" s="147">
        <f>IF(t&lt;Tvie,1-EXP((T0-t)*PertePVj)+'2023'!Pspv,1-EXP((T0-t)*PertePVj)+Pspv)</f>
        <v>3.7143399232242413E-2</v>
      </c>
      <c r="M173" s="832"/>
      <c r="N173" s="832"/>
      <c r="O173" s="48">
        <f>IF(t&lt;Tnet,'2023'!Resal+('2023'!Salim-'2023'!Resal)*(1-EXP(('2023'!Tnet-t)/('2023'!Tau_j))),Resal+(Salim-Resal)*(1-EXP((Tnet-t)/(Tau_j))))*Salcycl</f>
        <v>4.2373892881126911E-2</v>
      </c>
      <c r="P173" s="169">
        <f>(INDEX(Models!$BJ173:$BT173,,T173)*(1-R173)+INDEX(Models!$BJ173:$BT173,,T173+1)*R173-ERP_i)*Q173*Ramure*Pc/MaxiM</f>
        <v>3.5532410896697662E-4</v>
      </c>
      <c r="Q173" s="304">
        <f t="shared" si="53"/>
        <v>0.7</v>
      </c>
      <c r="R173" s="177">
        <f t="shared" si="54"/>
        <v>0.92616370073583187</v>
      </c>
      <c r="S173" s="799">
        <f t="shared" si="55"/>
        <v>0</v>
      </c>
      <c r="T173" s="176">
        <f t="shared" si="56"/>
        <v>6</v>
      </c>
      <c r="U173" s="250">
        <f t="shared" si="57"/>
        <v>0.92616370073583187</v>
      </c>
      <c r="V173" s="382">
        <f t="shared" si="58"/>
        <v>57.073096913350263</v>
      </c>
      <c r="W173" s="400">
        <f t="shared" si="59"/>
        <v>21.044775837310237</v>
      </c>
      <c r="X173" s="157">
        <f t="shared" si="60"/>
        <v>45450</v>
      </c>
      <c r="Y173" s="383">
        <f t="shared" si="61"/>
        <v>20.792699130717601</v>
      </c>
      <c r="Z173" s="383">
        <f t="shared" si="62"/>
        <v>21.594803539943566</v>
      </c>
      <c r="AA173" s="384">
        <f t="shared" si="63"/>
        <v>22.823698092714547</v>
      </c>
      <c r="AB173" s="197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5.3842920099054926E-2</v>
      </c>
      <c r="AD173" s="230">
        <f>(INDEX(Models!$BJ173:$BT173,,AH173)*(1-AF173)+INDEX(Models!$BJ173:$BT173,,AH173+1)*AF173-ERP_i)*AE173*Ramure*Pc/MaxiM</f>
        <v>3.7175624202983015E-4</v>
      </c>
      <c r="AE173" s="304">
        <f t="shared" si="65"/>
        <v>0.7</v>
      </c>
      <c r="AF173" s="177">
        <f t="shared" si="66"/>
        <v>0.99049592299566402</v>
      </c>
      <c r="AG173" s="799">
        <f t="shared" si="74"/>
        <v>0</v>
      </c>
      <c r="AH173" s="176">
        <f t="shared" si="67"/>
        <v>6</v>
      </c>
      <c r="AI173" s="224">
        <f t="shared" si="68"/>
        <v>0.99049592299566402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45451</v>
      </c>
      <c r="B174" s="409">
        <f>'2023'!Wh/'2023'!Env_an*'2024'!Env_an</f>
        <v>49.792191893855971</v>
      </c>
      <c r="C174" s="829"/>
      <c r="D174" s="391">
        <f t="shared" si="50"/>
        <v>51.713979141274869</v>
      </c>
      <c r="E174" s="383">
        <f t="shared" si="75"/>
        <v>54.007535533530245</v>
      </c>
      <c r="F174" s="383">
        <f t="shared" si="51"/>
        <v>54.023013806627972</v>
      </c>
      <c r="G174" s="110">
        <f t="shared" si="76"/>
        <v>0.87286342654824278</v>
      </c>
      <c r="H174" s="412" t="b">
        <f>Wh_hp&gt;='2023'!Maxi_hp</f>
        <v>0</v>
      </c>
      <c r="I174" s="388">
        <f>IF(H174,Wh_hp,'2023'!Maxi_hp)</f>
        <v>59.018802460565581</v>
      </c>
      <c r="J174" s="85">
        <f>IF(H174,An,'2023'!An_max)</f>
        <v>2021</v>
      </c>
      <c r="K174" s="197">
        <f t="shared" si="52"/>
        <v>45451</v>
      </c>
      <c r="L174" s="147">
        <f>IF(t&lt;Tvie,1-EXP((T0-t)*PertePVj)+'2023'!Pspv,1-EXP((T0-t)*PertePVj)+Pspv)</f>
        <v>3.7161852159333209E-2</v>
      </c>
      <c r="M174" s="832"/>
      <c r="N174" s="832"/>
      <c r="O174" s="48">
        <f>IF(t&lt;Tnet,'2023'!Resal+('2023'!Salim-'2023'!Resal)*(1-EXP(('2023'!Tnet-t)/('2023'!Tau_j))),Resal+(Salim-Resal)*(1-EXP((Tnet-t)/(Tau_j))))*Salcycl</f>
        <v>4.2467340336820855E-2</v>
      </c>
      <c r="P174" s="169">
        <f>(INDEX(Models!$BJ174:$BT174,,T174)*(1-R174)+INDEX(Models!$BJ174:$BT174,,T174+1)*R174-ERP_i)*Q174*Ramure*Pc/MaxiM</f>
        <v>3.5006490439720879E-4</v>
      </c>
      <c r="Q174" s="304">
        <f t="shared" si="53"/>
        <v>0.7</v>
      </c>
      <c r="R174" s="177">
        <f t="shared" si="54"/>
        <v>0.93027632045127651</v>
      </c>
      <c r="S174" s="799">
        <f t="shared" si="55"/>
        <v>0</v>
      </c>
      <c r="T174" s="176">
        <f t="shared" si="56"/>
        <v>6</v>
      </c>
      <c r="U174" s="250">
        <f t="shared" si="57"/>
        <v>0.93027632045127651</v>
      </c>
      <c r="V174" s="382">
        <f t="shared" si="58"/>
        <v>57.041027339572636</v>
      </c>
      <c r="W174" s="400">
        <f t="shared" si="59"/>
        <v>49.792191893855971</v>
      </c>
      <c r="X174" s="157">
        <f t="shared" si="60"/>
        <v>45451</v>
      </c>
      <c r="Y174" s="383">
        <f t="shared" si="61"/>
        <v>49.195494542447953</v>
      </c>
      <c r="Z174" s="383">
        <f t="shared" si="62"/>
        <v>51.094251565309776</v>
      </c>
      <c r="AA174" s="384">
        <f t="shared" si="63"/>
        <v>54.00682948057355</v>
      </c>
      <c r="AB174" s="197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5.3929807457248242E-2</v>
      </c>
      <c r="AD174" s="230">
        <f>(INDEX(Models!$BJ174:$BT174,,AH174)*(1-AF174)+INDEX(Models!$BJ174:$BT174,,AH174+1)*AF174-ERP_i)*AE174*Ramure*Pc/MaxiM</f>
        <v>3.6603337576503225E-4</v>
      </c>
      <c r="AE174" s="304">
        <f t="shared" si="65"/>
        <v>0.7</v>
      </c>
      <c r="AF174" s="177">
        <f t="shared" si="66"/>
        <v>0.99460854271110866</v>
      </c>
      <c r="AG174" s="799">
        <f t="shared" si="74"/>
        <v>0</v>
      </c>
      <c r="AH174" s="176">
        <f t="shared" si="67"/>
        <v>6</v>
      </c>
      <c r="AI174" s="224">
        <f t="shared" si="68"/>
        <v>0.99460854271110866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45452</v>
      </c>
      <c r="B175" s="409">
        <f>'2023'!Wh/'2023'!Env_an*'2024'!Env_an</f>
        <v>57.260831719241864</v>
      </c>
      <c r="C175" s="829"/>
      <c r="D175" s="391">
        <f t="shared" si="50"/>
        <v>59.472019528380777</v>
      </c>
      <c r="E175" s="383">
        <f t="shared" si="75"/>
        <v>62.115679787700429</v>
      </c>
      <c r="F175" s="383">
        <f t="shared" si="51"/>
        <v>62.137218569492141</v>
      </c>
      <c r="G175" s="110">
        <f t="shared" si="76"/>
        <v>1.0044687442388609</v>
      </c>
      <c r="H175" s="412" t="b">
        <f>Wh_hp&gt;='2023'!Maxi_hp</f>
        <v>0</v>
      </c>
      <c r="I175" s="388">
        <f>IF(H175,Wh_hp,'2023'!Maxi_hp)</f>
        <v>62.137218569492155</v>
      </c>
      <c r="J175" s="85">
        <f>IF(H175,An,'2023'!An_max)</f>
        <v>2022</v>
      </c>
      <c r="K175" s="197">
        <f t="shared" si="52"/>
        <v>45452</v>
      </c>
      <c r="L175" s="147">
        <f>IF(t&lt;Tvie,1-EXP((T0-t)*PertePVj)+'2023'!Pspv,1-EXP((T0-t)*PertePVj)+Pspv)</f>
        <v>3.7180304732777891E-2</v>
      </c>
      <c r="M175" s="832"/>
      <c r="N175" s="832"/>
      <c r="O175" s="48">
        <f>IF(t&lt;Tnet,'2023'!Resal+('2023'!Salim-'2023'!Resal)*(1-EXP(('2023'!Tnet-t)/('2023'!Tau_j))),Resal+(Salim-Resal)*(1-EXP((Tnet-t)/(Tau_j))))*Salcycl</f>
        <v>4.2560272516620271E-2</v>
      </c>
      <c r="P175" s="169">
        <f>(INDEX(Models!$BJ175:$BT175,,T175)*(1-R175)+INDEX(Models!$BJ175:$BT175,,T175+1)*R175-ERP_i)*Q175*Ramure*Pc/MaxiM</f>
        <v>3.4663253823676113E-4</v>
      </c>
      <c r="Q175" s="304">
        <f t="shared" si="53"/>
        <v>0.7</v>
      </c>
      <c r="R175" s="177">
        <f t="shared" si="54"/>
        <v>0.93439241350008573</v>
      </c>
      <c r="S175" s="799">
        <f t="shared" si="55"/>
        <v>0</v>
      </c>
      <c r="T175" s="176">
        <f t="shared" si="56"/>
        <v>6</v>
      </c>
      <c r="U175" s="250">
        <f t="shared" si="57"/>
        <v>0.93439241350008573</v>
      </c>
      <c r="V175" s="382">
        <f t="shared" si="58"/>
        <v>57.00608610040068</v>
      </c>
      <c r="W175" s="400">
        <f t="shared" si="59"/>
        <v>57.260831719241864</v>
      </c>
      <c r="X175" s="157">
        <f t="shared" si="60"/>
        <v>45452</v>
      </c>
      <c r="Y175" s="383">
        <f t="shared" si="61"/>
        <v>56.574820689745195</v>
      </c>
      <c r="Z175" s="383">
        <f t="shared" si="62"/>
        <v>58.759517454660454</v>
      </c>
      <c r="AA175" s="384">
        <f t="shared" si="63"/>
        <v>62.114708000941803</v>
      </c>
      <c r="AB175" s="197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5.4016039908462134E-2</v>
      </c>
      <c r="AD175" s="230">
        <f>(INDEX(Models!$BJ175:$BT175,,AH175)*(1-AF175)+INDEX(Models!$BJ175:$BT175,,AH175+1)*AF175-ERP_i)*AE175*Ramure*Pc/MaxiM</f>
        <v>3.6227190512489306E-4</v>
      </c>
      <c r="AE175" s="304">
        <f t="shared" si="65"/>
        <v>0.7</v>
      </c>
      <c r="AF175" s="177">
        <f t="shared" si="66"/>
        <v>0.99872463575991788</v>
      </c>
      <c r="AG175" s="799">
        <f t="shared" si="74"/>
        <v>0</v>
      </c>
      <c r="AH175" s="176">
        <f t="shared" si="67"/>
        <v>6</v>
      </c>
      <c r="AI175" s="224">
        <f t="shared" si="68"/>
        <v>0.99872463575991788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45453</v>
      </c>
      <c r="B176" s="409">
        <f>'2023'!Wh/'2023'!Env_an*'2024'!Env_an</f>
        <v>55.716136746003592</v>
      </c>
      <c r="C176" s="829"/>
      <c r="D176" s="391">
        <f t="shared" si="50"/>
        <v>57.86878356082434</v>
      </c>
      <c r="E176" s="383">
        <f t="shared" si="75"/>
        <v>60.447009326347029</v>
      </c>
      <c r="F176" s="383">
        <f t="shared" si="51"/>
        <v>60.467219343571813</v>
      </c>
      <c r="G176" s="110">
        <f t="shared" si="76"/>
        <v>0.97800984918001999</v>
      </c>
      <c r="H176" s="412" t="b">
        <f>Wh_hp&gt;='2023'!Maxi_hp</f>
        <v>0</v>
      </c>
      <c r="I176" s="388">
        <f>IF(H176,Wh_hp,'2023'!Maxi_hp)</f>
        <v>60.467584204293566</v>
      </c>
      <c r="J176" s="85">
        <f>IF(H176,An,'2023'!An_max)</f>
        <v>2022</v>
      </c>
      <c r="K176" s="197">
        <f t="shared" si="52"/>
        <v>45453</v>
      </c>
      <c r="L176" s="147">
        <f>IF(t&lt;Tvie,1-EXP((T0-t)*PertePVj)+'2023'!Pspv,1-EXP((T0-t)*PertePVj)+Pspv)</f>
        <v>3.7198756952583234E-2</v>
      </c>
      <c r="M176" s="832"/>
      <c r="N176" s="832"/>
      <c r="O176" s="48">
        <f>IF(t&lt;Tnet,'2023'!Resal+('2023'!Salim-'2023'!Resal)*(1-EXP(('2023'!Tnet-t)/('2023'!Tau_j))),Resal+(Salim-Resal)*(1-EXP((Tnet-t)/(Tau_j))))*Salcycl</f>
        <v>4.2652660474947902E-2</v>
      </c>
      <c r="P176" s="169">
        <f>(INDEX(Models!$BJ176:$BT176,,T176)*(1-R176)+INDEX(Models!$BJ176:$BT176,,T176+1)*R176-ERP_i)*Q176*Ramure*Pc/MaxiM</f>
        <v>3.4506581249437433E-4</v>
      </c>
      <c r="Q176" s="304">
        <f t="shared" si="53"/>
        <v>0.7</v>
      </c>
      <c r="R176" s="177">
        <f t="shared" si="54"/>
        <v>0.93850850654889495</v>
      </c>
      <c r="S176" s="799">
        <f t="shared" si="55"/>
        <v>0</v>
      </c>
      <c r="T176" s="176">
        <f t="shared" si="56"/>
        <v>6</v>
      </c>
      <c r="U176" s="250">
        <f t="shared" si="57"/>
        <v>0.93850850654889495</v>
      </c>
      <c r="V176" s="382">
        <f t="shared" si="58"/>
        <v>56.968273801309834</v>
      </c>
      <c r="W176" s="400">
        <f t="shared" si="59"/>
        <v>55.716136746003592</v>
      </c>
      <c r="X176" s="157">
        <f t="shared" si="60"/>
        <v>45453</v>
      </c>
      <c r="Y176" s="383">
        <f t="shared" si="61"/>
        <v>55.048980028473245</v>
      </c>
      <c r="Z176" s="383">
        <f t="shared" si="62"/>
        <v>57.175850598441897</v>
      </c>
      <c r="AA176" s="384">
        <f t="shared" si="63"/>
        <v>60.446079098200748</v>
      </c>
      <c r="AB176" s="197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5.4101581914784487E-2</v>
      </c>
      <c r="AD176" s="230">
        <f>(INDEX(Models!$BJ176:$BT176,,AH176)*(1-AF176)+INDEX(Models!$BJ176:$BT176,,AH176+1)*AF176-ERP_i)*AE176*Ramure*Pc/MaxiM</f>
        <v>3.6094852686970871E-4</v>
      </c>
      <c r="AE176" s="304">
        <f t="shared" si="65"/>
        <v>0.7</v>
      </c>
      <c r="AF176" s="177">
        <f t="shared" si="66"/>
        <v>2.8407288087270999E-3</v>
      </c>
      <c r="AG176" s="799">
        <f t="shared" si="74"/>
        <v>1</v>
      </c>
      <c r="AH176" s="176">
        <f t="shared" si="67"/>
        <v>7</v>
      </c>
      <c r="AI176" s="224">
        <f t="shared" si="68"/>
        <v>1.0028407288087271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45454</v>
      </c>
      <c r="B177" s="409">
        <f>'2023'!Wh/'2023'!Env_an*'2024'!Env_an</f>
        <v>46.065237673325939</v>
      </c>
      <c r="C177" s="829"/>
      <c r="D177" s="391">
        <f t="shared" si="50"/>
        <v>47.845929627396245</v>
      </c>
      <c r="E177" s="383">
        <f t="shared" si="75"/>
        <v>49.982401211658271</v>
      </c>
      <c r="F177" s="383">
        <f t="shared" si="51"/>
        <v>49.994962531487175</v>
      </c>
      <c r="G177" s="110">
        <f t="shared" si="76"/>
        <v>0.80911379983817633</v>
      </c>
      <c r="H177" s="412" t="b">
        <f>Wh_hp&gt;='2023'!Maxi_hp</f>
        <v>0</v>
      </c>
      <c r="I177" s="388">
        <f>IF(H177,Wh_hp,'2023'!Maxi_hp)</f>
        <v>60.295662422048899</v>
      </c>
      <c r="J177" s="85">
        <f>IF(H177,An,'2023'!An_max)</f>
        <v>2018</v>
      </c>
      <c r="K177" s="197">
        <f t="shared" si="52"/>
        <v>45454</v>
      </c>
      <c r="L177" s="147">
        <f>IF(t&lt;Tvie,1-EXP((T0-t)*PertePVj)+'2023'!Pspv,1-EXP((T0-t)*PertePVj)+Pspv)</f>
        <v>3.7217208818755898E-2</v>
      </c>
      <c r="M177" s="832"/>
      <c r="N177" s="832"/>
      <c r="O177" s="48">
        <f>IF(t&lt;Tnet,'2023'!Resal+('2023'!Salim-'2023'!Resal)*(1-EXP(('2023'!Tnet-t)/('2023'!Tau_j))),Resal+(Salim-Resal)*(1-EXP((Tnet-t)/(Tau_j))))*Salcycl</f>
        <v>4.2744476705206806E-2</v>
      </c>
      <c r="P177" s="169">
        <f>(INDEX(Models!$BJ177:$BT177,,T177)*(1-R177)+INDEX(Models!$BJ177:$BT177,,T177+1)*R177-ERP_i)*Q177*Ramure*Pc/MaxiM</f>
        <v>3.4540386684517419E-4</v>
      </c>
      <c r="Q177" s="304">
        <f t="shared" si="53"/>
        <v>0.7</v>
      </c>
      <c r="R177" s="177">
        <f t="shared" si="54"/>
        <v>0.94262112626433969</v>
      </c>
      <c r="S177" s="799">
        <f t="shared" si="55"/>
        <v>0</v>
      </c>
      <c r="T177" s="176">
        <f t="shared" si="56"/>
        <v>6</v>
      </c>
      <c r="U177" s="250">
        <f t="shared" si="57"/>
        <v>0.94262112626433969</v>
      </c>
      <c r="V177" s="382">
        <f t="shared" si="58"/>
        <v>56.92759096565765</v>
      </c>
      <c r="W177" s="400">
        <f t="shared" si="59"/>
        <v>46.065237673325939</v>
      </c>
      <c r="X177" s="157">
        <f t="shared" si="60"/>
        <v>45454</v>
      </c>
      <c r="Y177" s="383">
        <f t="shared" si="61"/>
        <v>45.51408293316684</v>
      </c>
      <c r="Z177" s="383">
        <f t="shared" si="62"/>
        <v>47.273469519875121</v>
      </c>
      <c r="AA177" s="384">
        <f t="shared" si="63"/>
        <v>49.981803509461052</v>
      </c>
      <c r="AB177" s="197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5.4186399837958504E-2</v>
      </c>
      <c r="AD177" s="230">
        <f>(INDEX(Models!$BJ177:$BT177,,AH177)*(1-AF177)+INDEX(Models!$BJ177:$BT177,,AH177+1)*AF177-ERP_i)*AE177*Ramure*Pc/MaxiM</f>
        <v>3.6183913423377701E-4</v>
      </c>
      <c r="AE177" s="304">
        <f t="shared" si="65"/>
        <v>0.7</v>
      </c>
      <c r="AF177" s="177">
        <f t="shared" si="66"/>
        <v>6.9533485241717319E-3</v>
      </c>
      <c r="AG177" s="799">
        <f t="shared" si="74"/>
        <v>1</v>
      </c>
      <c r="AH177" s="176">
        <f t="shared" si="67"/>
        <v>7</v>
      </c>
      <c r="AI177" s="224">
        <f t="shared" si="68"/>
        <v>1.0069533485241717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45455</v>
      </c>
      <c r="B178" s="409">
        <f>'2023'!Wh/'2023'!Env_an*'2024'!Env_an</f>
        <v>50.643704892005452</v>
      </c>
      <c r="C178" s="829"/>
      <c r="D178" s="391">
        <f t="shared" si="50"/>
        <v>52.602389603911561</v>
      </c>
      <c r="E178" s="383">
        <f t="shared" si="75"/>
        <v>54.956489019432411</v>
      </c>
      <c r="F178" s="383">
        <f t="shared" si="51"/>
        <v>54.972606992478731</v>
      </c>
      <c r="G178" s="110">
        <f t="shared" si="76"/>
        <v>0.89024876679276221</v>
      </c>
      <c r="H178" s="412" t="b">
        <f>Wh_hp&gt;='2023'!Maxi_hp</f>
        <v>0</v>
      </c>
      <c r="I178" s="388">
        <f>IF(H178,Wh_hp,'2023'!Maxi_hp)</f>
        <v>64.172787836056131</v>
      </c>
      <c r="J178" s="85">
        <f>IF(H178,An,'2023'!An_max)</f>
        <v>2018</v>
      </c>
      <c r="K178" s="197">
        <f t="shared" si="52"/>
        <v>45455</v>
      </c>
      <c r="L178" s="147">
        <f>IF(t&lt;Tvie,1-EXP((T0-t)*PertePVj)+'2023'!Pspv,1-EXP((T0-t)*PertePVj)+Pspv)</f>
        <v>3.7235660331302878E-2</v>
      </c>
      <c r="M178" s="832"/>
      <c r="N178" s="832"/>
      <c r="O178" s="48">
        <f>IF(t&lt;Tnet,'2023'!Resal+('2023'!Salim-'2023'!Resal)*(1-EXP(('2023'!Tnet-t)/('2023'!Tau_j))),Resal+(Salim-Resal)*(1-EXP((Tnet-t)/(Tau_j))))*Salcycl</f>
        <v>4.2835695247715765E-2</v>
      </c>
      <c r="P178" s="169">
        <f>(INDEX(Models!$BJ178:$BT178,,T178)*(1-R178)+INDEX(Models!$BJ178:$BT178,,T178+1)*R178-ERP_i)*Q178*Ramure*Pc/MaxiM</f>
        <v>3.4768931198881714E-4</v>
      </c>
      <c r="Q178" s="304">
        <f t="shared" si="53"/>
        <v>0.7</v>
      </c>
      <c r="R178" s="177">
        <f t="shared" si="54"/>
        <v>0.94672681102695289</v>
      </c>
      <c r="S178" s="799">
        <f t="shared" si="55"/>
        <v>0</v>
      </c>
      <c r="T178" s="176">
        <f t="shared" si="56"/>
        <v>6</v>
      </c>
      <c r="U178" s="250">
        <f t="shared" si="57"/>
        <v>0.94672681102695289</v>
      </c>
      <c r="V178" s="382">
        <f t="shared" si="58"/>
        <v>56.884037850211541</v>
      </c>
      <c r="W178" s="400">
        <f t="shared" si="59"/>
        <v>50.643704892005452</v>
      </c>
      <c r="X178" s="157">
        <f t="shared" si="60"/>
        <v>45455</v>
      </c>
      <c r="Y178" s="383">
        <f t="shared" si="61"/>
        <v>50.037967076005955</v>
      </c>
      <c r="Z178" s="383">
        <f t="shared" si="62"/>
        <v>51.973224406322359</v>
      </c>
      <c r="AA178" s="384">
        <f t="shared" si="63"/>
        <v>54.955695388431053</v>
      </c>
      <c r="AB178" s="197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5.4270462070006693E-2</v>
      </c>
      <c r="AD178" s="230">
        <f>(INDEX(Models!$BJ178:$BT178,,AH178)*(1-AF178)+INDEX(Models!$BJ178:$BT178,,AH178+1)*AF178-ERP_i)*AE178*Ramure*Pc/MaxiM</f>
        <v>3.6480914560811954E-4</v>
      </c>
      <c r="AE178" s="304">
        <f t="shared" si="65"/>
        <v>0.7</v>
      </c>
      <c r="AF178" s="177">
        <f t="shared" si="66"/>
        <v>1.1059033286785036E-2</v>
      </c>
      <c r="AG178" s="799">
        <f t="shared" si="74"/>
        <v>1</v>
      </c>
      <c r="AH178" s="176">
        <f t="shared" si="67"/>
        <v>7</v>
      </c>
      <c r="AI178" s="224">
        <f t="shared" si="68"/>
        <v>1.011059033286785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45456</v>
      </c>
      <c r="B179" s="409">
        <f>'2023'!Wh/'2023'!Env_an*'2024'!Env_an</f>
        <v>49.81587652167206</v>
      </c>
      <c r="C179" s="829"/>
      <c r="D179" s="391">
        <f t="shared" si="50"/>
        <v>51.743535979968577</v>
      </c>
      <c r="E179" s="383">
        <f t="shared" si="75"/>
        <v>54.064316610206177</v>
      </c>
      <c r="F179" s="383">
        <f t="shared" si="51"/>
        <v>54.079899532782385</v>
      </c>
      <c r="G179" s="110">
        <f t="shared" si="76"/>
        <v>0.87640371163616271</v>
      </c>
      <c r="H179" s="412" t="b">
        <f>Wh_hp&gt;='2023'!Maxi_hp</f>
        <v>0</v>
      </c>
      <c r="I179" s="388">
        <f>IF(H179,Wh_hp,'2023'!Maxi_hp)</f>
        <v>57.550987024107755</v>
      </c>
      <c r="J179" s="85">
        <f>IF(H179,An,'2023'!An_max)</f>
        <v>2021</v>
      </c>
      <c r="K179" s="197">
        <f t="shared" si="52"/>
        <v>45456</v>
      </c>
      <c r="L179" s="147">
        <f>IF(t&lt;Tvie,1-EXP((T0-t)*PertePVj)+'2023'!Pspv,1-EXP((T0-t)*PertePVj)+Pspv)</f>
        <v>3.7254111490230724E-2</v>
      </c>
      <c r="M179" s="832"/>
      <c r="N179" s="832"/>
      <c r="O179" s="48">
        <f>IF(t&lt;Tnet,'2023'!Resal+('2023'!Salim-'2023'!Resal)*(1-EXP(('2023'!Tnet-t)/('2023'!Tau_j))),Resal+(Salim-Resal)*(1-EXP((Tnet-t)/(Tau_j))))*Salcycl</f>
        <v>4.2926291790017515E-2</v>
      </c>
      <c r="P179" s="169">
        <f>(INDEX(Models!$BJ179:$BT179,,T179)*(1-R179)+INDEX(Models!$BJ179:$BT179,,T179+1)*R179-ERP_i)*Q179*Ramure*Pc/MaxiM</f>
        <v>3.4989965804117329E-4</v>
      </c>
      <c r="Q179" s="304">
        <f t="shared" si="53"/>
        <v>0.7</v>
      </c>
      <c r="R179" s="177">
        <f t="shared" si="54"/>
        <v>0.95082212256121368</v>
      </c>
      <c r="S179" s="799">
        <f t="shared" si="55"/>
        <v>0</v>
      </c>
      <c r="T179" s="176">
        <f t="shared" si="56"/>
        <v>6</v>
      </c>
      <c r="U179" s="250">
        <f t="shared" si="57"/>
        <v>0.95082212256121368</v>
      </c>
      <c r="V179" s="382">
        <f t="shared" si="58"/>
        <v>56.837732058424592</v>
      </c>
      <c r="W179" s="400">
        <f t="shared" si="59"/>
        <v>49.81587652167206</v>
      </c>
      <c r="X179" s="157">
        <f t="shared" si="60"/>
        <v>45456</v>
      </c>
      <c r="Y179" s="383">
        <f t="shared" si="61"/>
        <v>49.220354243099102</v>
      </c>
      <c r="Z179" s="383">
        <f t="shared" si="62"/>
        <v>51.124969558984148</v>
      </c>
      <c r="AA179" s="384">
        <f t="shared" si="63"/>
        <v>54.063524254022497</v>
      </c>
      <c r="AB179" s="197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5.4353739153801234E-2</v>
      </c>
      <c r="AD179" s="230">
        <f>(INDEX(Models!$BJ179:$BT179,,AH179)*(1-AF179)+INDEX(Models!$BJ179:$BT179,,AH179+1)*AF179-ERP_i)*AE179*Ramure*Pc/MaxiM</f>
        <v>3.6769126012108246E-4</v>
      </c>
      <c r="AE179" s="304">
        <f t="shared" si="65"/>
        <v>0.7</v>
      </c>
      <c r="AF179" s="177">
        <f t="shared" si="66"/>
        <v>1.5154344821045829E-2</v>
      </c>
      <c r="AG179" s="799">
        <f t="shared" si="74"/>
        <v>1</v>
      </c>
      <c r="AH179" s="176">
        <f t="shared" si="67"/>
        <v>7</v>
      </c>
      <c r="AI179" s="224">
        <f t="shared" si="68"/>
        <v>1.0151543448210458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45457</v>
      </c>
      <c r="B180" s="409">
        <f>'2023'!Wh/'2023'!Env_an*'2024'!Env_an</f>
        <v>53.121851862364331</v>
      </c>
      <c r="C180" s="829"/>
      <c r="D180" s="391">
        <f t="shared" si="50"/>
        <v>55.178495783842131</v>
      </c>
      <c r="E180" s="383">
        <f t="shared" si="75"/>
        <v>57.658759016527767</v>
      </c>
      <c r="F180" s="383">
        <f t="shared" si="51"/>
        <v>57.677190355078245</v>
      </c>
      <c r="G180" s="110">
        <f t="shared" si="76"/>
        <v>0.93539997962372456</v>
      </c>
      <c r="H180" s="412" t="b">
        <f>Wh_hp&gt;='2023'!Maxi_hp</f>
        <v>0</v>
      </c>
      <c r="I180" s="388">
        <f>IF(H180,Wh_hp,'2023'!Maxi_hp)</f>
        <v>57.678223739034088</v>
      </c>
      <c r="J180" s="85">
        <f>IF(H180,An,'2023'!An_max)</f>
        <v>2022</v>
      </c>
      <c r="K180" s="197">
        <f t="shared" si="52"/>
        <v>45457</v>
      </c>
      <c r="L180" s="147">
        <f>IF(t&lt;Tvie,1-EXP((T0-t)*PertePVj)+'2023'!Pspv,1-EXP((T0-t)*PertePVj)+Pspv)</f>
        <v>3.727256229554643E-2</v>
      </c>
      <c r="M180" s="832"/>
      <c r="N180" s="832"/>
      <c r="O180" s="48">
        <f>IF(t&lt;Tnet,'2023'!Resal+('2023'!Salim-'2023'!Resal)*(1-EXP(('2023'!Tnet-t)/('2023'!Tau_j))),Resal+(Salim-Resal)*(1-EXP((Tnet-t)/(Tau_j))))*Salcycl</f>
        <v>4.3016243758813445E-2</v>
      </c>
      <c r="P180" s="169">
        <f>(INDEX(Models!$BJ180:$BT180,,T180)*(1-R180)+INDEX(Models!$BJ180:$BT180,,T180+1)*R180-ERP_i)*Q180*Ramure*Pc/MaxiM</f>
        <v>3.5203257774216775E-4</v>
      </c>
      <c r="Q180" s="304">
        <f t="shared" si="53"/>
        <v>0.7</v>
      </c>
      <c r="R180" s="177">
        <f t="shared" si="54"/>
        <v>0.95490365739892569</v>
      </c>
      <c r="S180" s="799">
        <f t="shared" si="55"/>
        <v>0</v>
      </c>
      <c r="T180" s="176">
        <f t="shared" si="56"/>
        <v>6</v>
      </c>
      <c r="U180" s="250">
        <f t="shared" si="57"/>
        <v>0.95490365739892569</v>
      </c>
      <c r="V180" s="382">
        <f t="shared" si="58"/>
        <v>56.788675945045867</v>
      </c>
      <c r="W180" s="400">
        <f t="shared" si="59"/>
        <v>53.121851862364331</v>
      </c>
      <c r="X180" s="157">
        <f t="shared" si="60"/>
        <v>45457</v>
      </c>
      <c r="Y180" s="383">
        <f t="shared" si="61"/>
        <v>52.487054216441479</v>
      </c>
      <c r="Z180" s="383">
        <f t="shared" si="62"/>
        <v>54.519121571514212</v>
      </c>
      <c r="AA180" s="384">
        <f t="shared" si="63"/>
        <v>57.657792944228213</v>
      </c>
      <c r="AB180" s="197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5.4436203892681105E-2</v>
      </c>
      <c r="AD180" s="230">
        <f>(INDEX(Models!$BJ180:$BT180,,AH180)*(1-AF180)+INDEX(Models!$BJ180:$BT180,,AH180+1)*AF180-ERP_i)*AE180*Ramure*Pc/MaxiM</f>
        <v>3.7048424477473507E-4</v>
      </c>
      <c r="AE180" s="304">
        <f t="shared" si="65"/>
        <v>0.7</v>
      </c>
      <c r="AF180" s="177">
        <f t="shared" si="66"/>
        <v>1.9235879658757726E-2</v>
      </c>
      <c r="AG180" s="799">
        <f t="shared" si="74"/>
        <v>1</v>
      </c>
      <c r="AH180" s="176">
        <f t="shared" si="67"/>
        <v>7</v>
      </c>
      <c r="AI180" s="224">
        <f t="shared" si="68"/>
        <v>1.0192358796587577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45458</v>
      </c>
      <c r="B181" s="409">
        <f>'2023'!Wh/'2023'!Env_an*'2024'!Env_an</f>
        <v>51.239220093116373</v>
      </c>
      <c r="C181" s="829"/>
      <c r="D181" s="391">
        <f t="shared" si="50"/>
        <v>53.223996837649096</v>
      </c>
      <c r="E181" s="383">
        <f t="shared" si="75"/>
        <v>55.621595200623744</v>
      </c>
      <c r="F181" s="383">
        <f t="shared" si="51"/>
        <v>55.638568946064019</v>
      </c>
      <c r="G181" s="110">
        <f t="shared" si="76"/>
        <v>0.9030583869851122</v>
      </c>
      <c r="H181" s="412" t="b">
        <f>Wh_hp&gt;='2023'!Maxi_hp</f>
        <v>0</v>
      </c>
      <c r="I181" s="388">
        <f>IF(H181,Wh_hp,'2023'!Maxi_hp)</f>
        <v>62.895191551516874</v>
      </c>
      <c r="J181" s="85">
        <f>IF(H181,An,'2023'!An_max)</f>
        <v>2018</v>
      </c>
      <c r="K181" s="197">
        <f t="shared" si="52"/>
        <v>45458</v>
      </c>
      <c r="L181" s="147">
        <f>IF(t&lt;Tvie,1-EXP((T0-t)*PertePVj)+'2023'!Pspv,1-EXP((T0-t)*PertePVj)+Pspv)</f>
        <v>3.7291012747256658E-2</v>
      </c>
      <c r="M181" s="832"/>
      <c r="N181" s="832"/>
      <c r="O181" s="48">
        <f>IF(t&lt;Tnet,'2023'!Resal+('2023'!Salim-'2023'!Resal)*(1-EXP(('2023'!Tnet-t)/('2023'!Tau_j))),Resal+(Salim-Resal)*(1-EXP((Tnet-t)/(Tau_j))))*Salcycl</f>
        <v>4.3105530402834574E-2</v>
      </c>
      <c r="P181" s="169">
        <f>(INDEX(Models!$BJ181:$BT181,,T181)*(1-R181)+INDEX(Models!$BJ181:$BT181,,T181+1)*R181-ERP_i)*Q181*Ramure*Pc/MaxiM</f>
        <v>3.540858123929503E-4</v>
      </c>
      <c r="Q181" s="304">
        <f t="shared" si="53"/>
        <v>0.7</v>
      </c>
      <c r="R181" s="177">
        <f t="shared" si="54"/>
        <v>0.95896805809514318</v>
      </c>
      <c r="S181" s="799">
        <f t="shared" si="55"/>
        <v>0</v>
      </c>
      <c r="T181" s="176">
        <f t="shared" si="56"/>
        <v>6</v>
      </c>
      <c r="U181" s="250">
        <f t="shared" si="57"/>
        <v>0.95896805809514318</v>
      </c>
      <c r="V181" s="382">
        <f t="shared" si="58"/>
        <v>56.736871738805469</v>
      </c>
      <c r="W181" s="400">
        <f t="shared" si="59"/>
        <v>51.239220093116373</v>
      </c>
      <c r="X181" s="157">
        <f t="shared" si="60"/>
        <v>45458</v>
      </c>
      <c r="Y181" s="383">
        <f t="shared" si="61"/>
        <v>50.627287489498222</v>
      </c>
      <c r="Z181" s="383">
        <f t="shared" si="62"/>
        <v>52.588360719444353</v>
      </c>
      <c r="AA181" s="384">
        <f t="shared" si="63"/>
        <v>55.620679552317</v>
      </c>
      <c r="AB181" s="197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5.4517831448291393E-2</v>
      </c>
      <c r="AD181" s="230">
        <f>(INDEX(Models!$BJ181:$BT181,,AH181)*(1-AF181)+INDEX(Models!$BJ181:$BT181,,AH181+1)*AF181-ERP_i)*AE181*Ramure*Pc/MaxiM</f>
        <v>3.7318696338516913E-4</v>
      </c>
      <c r="AE181" s="304">
        <f t="shared" si="65"/>
        <v>0.7</v>
      </c>
      <c r="AF181" s="177">
        <f t="shared" si="66"/>
        <v>2.3300280354975333E-2</v>
      </c>
      <c r="AG181" s="799">
        <f t="shared" si="74"/>
        <v>1</v>
      </c>
      <c r="AH181" s="176">
        <f t="shared" si="67"/>
        <v>7</v>
      </c>
      <c r="AI181" s="224">
        <f t="shared" si="68"/>
        <v>1.0233002803549753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45459</v>
      </c>
      <c r="B182" s="409">
        <f>'2023'!Wh/'2023'!Env_an*'2024'!Env_an</f>
        <v>52.220052872640892</v>
      </c>
      <c r="C182" s="829"/>
      <c r="D182" s="391">
        <f t="shared" si="50"/>
        <v>54.24386223529801</v>
      </c>
      <c r="E182" s="383">
        <f t="shared" si="75"/>
        <v>56.69265218636292</v>
      </c>
      <c r="F182" s="383">
        <f t="shared" si="51"/>
        <v>56.71057351510229</v>
      </c>
      <c r="G182" s="110">
        <f t="shared" si="76"/>
        <v>0.92123892841013455</v>
      </c>
      <c r="H182" s="412" t="b">
        <f>Wh_hp&gt;='2023'!Maxi_hp</f>
        <v>0</v>
      </c>
      <c r="I182" s="388">
        <f>IF(H182,Wh_hp,'2023'!Maxi_hp)</f>
        <v>61.943350764633465</v>
      </c>
      <c r="J182" s="85">
        <f>IF(H182,An,'2023'!An_max)</f>
        <v>2018</v>
      </c>
      <c r="K182" s="197">
        <f t="shared" si="52"/>
        <v>45459</v>
      </c>
      <c r="L182" s="147">
        <f>IF(t&lt;Tvie,1-EXP((T0-t)*PertePVj)+'2023'!Pspv,1-EXP((T0-t)*PertePVj)+Pspv)</f>
        <v>3.7309462845368069E-2</v>
      </c>
      <c r="M182" s="832"/>
      <c r="N182" s="832"/>
      <c r="O182" s="48">
        <f>IF(t&lt;Tnet,'2023'!Resal+('2023'!Salim-'2023'!Resal)*(1-EXP(('2023'!Tnet-t)/('2023'!Tau_j))),Resal+(Salim-Resal)*(1-EXP((Tnet-t)/(Tau_j))))*Salcycl</f>
        <v>4.3194132866021584E-2</v>
      </c>
      <c r="P182" s="169">
        <f>(INDEX(Models!$BJ182:$BT182,,T182)*(1-R182)+INDEX(Models!$BJ182:$BT182,,T182+1)*R182-ERP_i)*Q182*Ramure*Pc/MaxiM</f>
        <v>3.5605718021092735E-4</v>
      </c>
      <c r="Q182" s="304">
        <f t="shared" si="53"/>
        <v>0.7</v>
      </c>
      <c r="R182" s="177">
        <f t="shared" si="54"/>
        <v>0.96301202411887099</v>
      </c>
      <c r="S182" s="799">
        <f t="shared" si="55"/>
        <v>0</v>
      </c>
      <c r="T182" s="176">
        <f t="shared" si="56"/>
        <v>6</v>
      </c>
      <c r="U182" s="250">
        <f t="shared" si="57"/>
        <v>0.96301202411887099</v>
      </c>
      <c r="V182" s="382">
        <f t="shared" si="58"/>
        <v>56.682321532837321</v>
      </c>
      <c r="W182" s="400">
        <f t="shared" si="59"/>
        <v>52.220052872640892</v>
      </c>
      <c r="X182" s="157">
        <f t="shared" si="60"/>
        <v>45459</v>
      </c>
      <c r="Y182" s="383">
        <f t="shared" si="61"/>
        <v>51.59672149937024</v>
      </c>
      <c r="Z182" s="383">
        <f t="shared" si="62"/>
        <v>53.596373401437653</v>
      </c>
      <c r="AA182" s="384">
        <f t="shared" si="63"/>
        <v>56.69165855782645</v>
      </c>
      <c r="AB182" s="197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5.4598599425902339E-2</v>
      </c>
      <c r="AD182" s="230">
        <f>(INDEX(Models!$BJ182:$BT182,,AH182)*(1-AF182)+INDEX(Models!$BJ182:$BT182,,AH182+1)*AF182-ERP_i)*AE182*Ramure*Pc/MaxiM</f>
        <v>3.7579838244070166E-4</v>
      </c>
      <c r="AE182" s="304">
        <f t="shared" si="65"/>
        <v>0.7</v>
      </c>
      <c r="AF182" s="177">
        <f t="shared" si="66"/>
        <v>2.7344246378703252E-2</v>
      </c>
      <c r="AG182" s="799">
        <f t="shared" si="74"/>
        <v>1</v>
      </c>
      <c r="AH182" s="176">
        <f t="shared" si="67"/>
        <v>7</v>
      </c>
      <c r="AI182" s="224">
        <f t="shared" si="68"/>
        <v>1.0273442463787033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45460</v>
      </c>
      <c r="B183" s="409">
        <f>'2023'!Wh/'2023'!Env_an*'2024'!Env_an</f>
        <v>55.171296772107716</v>
      </c>
      <c r="C183" s="829"/>
      <c r="D183" s="391">
        <f t="shared" si="50"/>
        <v>57.310581135198056</v>
      </c>
      <c r="E183" s="383">
        <f t="shared" si="75"/>
        <v>59.903318623579771</v>
      </c>
      <c r="F183" s="383">
        <f t="shared" si="51"/>
        <v>59.923981415810445</v>
      </c>
      <c r="G183" s="110">
        <f t="shared" si="76"/>
        <v>0.97431427215164501</v>
      </c>
      <c r="H183" s="412" t="b">
        <f>Wh_hp&gt;='2023'!Maxi_hp</f>
        <v>0</v>
      </c>
      <c r="I183" s="388">
        <f>IF(H183,Wh_hp,'2023'!Maxi_hp)</f>
        <v>59.92441332024179</v>
      </c>
      <c r="J183" s="85">
        <f>IF(H183,An,'2023'!An_max)</f>
        <v>2022</v>
      </c>
      <c r="K183" s="197">
        <f t="shared" si="52"/>
        <v>45460</v>
      </c>
      <c r="L183" s="147">
        <f>IF(t&lt;Tvie,1-EXP((T0-t)*PertePVj)+'2023'!Pspv,1-EXP((T0-t)*PertePVj)+Pspv)</f>
        <v>3.7327912589887657E-2</v>
      </c>
      <c r="M183" s="832"/>
      <c r="N183" s="832"/>
      <c r="O183" s="48">
        <f>IF(t&lt;Tnet,'2023'!Resal+('2023'!Salim-'2023'!Resal)*(1-EXP(('2023'!Tnet-t)/('2023'!Tau_j))),Resal+(Salim-Resal)*(1-EXP((Tnet-t)/(Tau_j))))*Salcycl</f>
        <v>4.3282034250455306E-2</v>
      </c>
      <c r="P183" s="169">
        <f>(INDEX(Models!$BJ183:$BT183,,T183)*(1-R183)+INDEX(Models!$BJ183:$BT183,,T183+1)*R183-ERP_i)*Q183*Ramure*Pc/MaxiM</f>
        <v>3.5794458403416431E-4</v>
      </c>
      <c r="Q183" s="304">
        <f t="shared" si="53"/>
        <v>0.7</v>
      </c>
      <c r="R183" s="177">
        <f t="shared" si="54"/>
        <v>0.96703232234468861</v>
      </c>
      <c r="S183" s="799">
        <f t="shared" si="55"/>
        <v>0</v>
      </c>
      <c r="T183" s="176">
        <f t="shared" si="56"/>
        <v>6</v>
      </c>
      <c r="U183" s="250">
        <f t="shared" si="57"/>
        <v>0.96703232234468861</v>
      </c>
      <c r="V183" s="382">
        <f t="shared" si="58"/>
        <v>56.62502728257072</v>
      </c>
      <c r="W183" s="400">
        <f t="shared" si="59"/>
        <v>55.171296772107716</v>
      </c>
      <c r="X183" s="157">
        <f t="shared" si="60"/>
        <v>45460</v>
      </c>
      <c r="Y183" s="383">
        <f t="shared" si="61"/>
        <v>54.513024344230914</v>
      </c>
      <c r="Z183" s="383">
        <f t="shared" si="62"/>
        <v>56.626783987149686</v>
      </c>
      <c r="AA183" s="384">
        <f t="shared" si="63"/>
        <v>59.902142567499581</v>
      </c>
      <c r="AB183" s="197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5.4678487946555818E-2</v>
      </c>
      <c r="AD183" s="230">
        <f>(INDEX(Models!$BJ183:$BT183,,AH183)*(1-AF183)+INDEX(Models!$BJ183:$BT183,,AH183+1)*AF183-ERP_i)*AE183*Ramure*Pc/MaxiM</f>
        <v>3.7831757620889373E-4</v>
      </c>
      <c r="AE183" s="304">
        <f t="shared" si="65"/>
        <v>0.7</v>
      </c>
      <c r="AF183" s="177">
        <f t="shared" si="66"/>
        <v>3.1364544604520761E-2</v>
      </c>
      <c r="AG183" s="799">
        <f t="shared" si="74"/>
        <v>1</v>
      </c>
      <c r="AH183" s="176">
        <f t="shared" si="67"/>
        <v>7</v>
      </c>
      <c r="AI183" s="224">
        <f t="shared" si="68"/>
        <v>1.0313645446045208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45461</v>
      </c>
      <c r="B184" s="409">
        <f>'2023'!Wh/'2023'!Env_an*'2024'!Env_an</f>
        <v>56.146306411658138</v>
      </c>
      <c r="C184" s="829"/>
      <c r="D184" s="391">
        <f t="shared" si="50"/>
        <v>58.324514855819402</v>
      </c>
      <c r="E184" s="383">
        <f t="shared" si="75"/>
        <v>60.968678883206763</v>
      </c>
      <c r="F184" s="383">
        <f t="shared" si="51"/>
        <v>60.990388080493261</v>
      </c>
      <c r="G184" s="110">
        <f t="shared" si="76"/>
        <v>0.99259439632966828</v>
      </c>
      <c r="H184" s="412" t="b">
        <f>Wh_hp&gt;='2023'!Maxi_hp</f>
        <v>0</v>
      </c>
      <c r="I184" s="388">
        <f>IF(H184,Wh_hp,'2023'!Maxi_hp)</f>
        <v>60.990515225010704</v>
      </c>
      <c r="J184" s="85">
        <f>IF(H184,An,'2023'!An_max)</f>
        <v>2022</v>
      </c>
      <c r="K184" s="197">
        <f t="shared" si="52"/>
        <v>45461</v>
      </c>
      <c r="L184" s="147">
        <f>IF(t&lt;Tvie,1-EXP((T0-t)*PertePVj)+'2023'!Pspv,1-EXP((T0-t)*PertePVj)+Pspv)</f>
        <v>3.7346361980822085E-2</v>
      </c>
      <c r="M184" s="832"/>
      <c r="N184" s="832"/>
      <c r="O184" s="48">
        <f>IF(t&lt;Tnet,'2023'!Resal+('2023'!Salim-'2023'!Resal)*(1-EXP(('2023'!Tnet-t)/('2023'!Tau_j))),Resal+(Salim-Resal)*(1-EXP((Tnet-t)/(Tau_j))))*Salcycl</f>
        <v>4.3369219668554684E-2</v>
      </c>
      <c r="P184" s="169">
        <f>(INDEX(Models!$BJ184:$BT184,,T184)*(1-R184)+INDEX(Models!$BJ184:$BT184,,T184+1)*R184-ERP_i)*Q184*Ramure*Pc/MaxiM</f>
        <v>3.5974856207236696E-4</v>
      </c>
      <c r="Q184" s="304">
        <f t="shared" si="53"/>
        <v>0.7</v>
      </c>
      <c r="R184" s="177">
        <f t="shared" si="54"/>
        <v>0.97102579707621861</v>
      </c>
      <c r="S184" s="799">
        <f t="shared" si="55"/>
        <v>0</v>
      </c>
      <c r="T184" s="176">
        <f t="shared" si="56"/>
        <v>6</v>
      </c>
      <c r="U184" s="250">
        <f t="shared" si="57"/>
        <v>0.97102579707621861</v>
      </c>
      <c r="V184" s="382">
        <f t="shared" si="58"/>
        <v>56.564990657772114</v>
      </c>
      <c r="W184" s="400">
        <f t="shared" si="59"/>
        <v>56.146306411658138</v>
      </c>
      <c r="X184" s="157">
        <f t="shared" si="60"/>
        <v>45461</v>
      </c>
      <c r="Y184" s="383">
        <f t="shared" si="61"/>
        <v>55.476756784546559</v>
      </c>
      <c r="Z184" s="383">
        <f t="shared" si="62"/>
        <v>57.628989902016407</v>
      </c>
      <c r="AA184" s="384">
        <f t="shared" si="63"/>
        <v>60.967411711505036</v>
      </c>
      <c r="AB184" s="197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5.475747970548403E-2</v>
      </c>
      <c r="AD184" s="230">
        <f>(INDEX(Models!$BJ184:$BT184,,AH184)*(1-AF184)+INDEX(Models!$BJ184:$BT184,,AH184+1)*AF184-ERP_i)*AE184*Ramure*Pc/MaxiM</f>
        <v>3.8074718268358947E-4</v>
      </c>
      <c r="AE184" s="304">
        <f t="shared" si="65"/>
        <v>0.7</v>
      </c>
      <c r="AF184" s="177">
        <f t="shared" si="66"/>
        <v>3.5358019336050761E-2</v>
      </c>
      <c r="AG184" s="799">
        <f t="shared" si="74"/>
        <v>1</v>
      </c>
      <c r="AH184" s="176">
        <f t="shared" si="67"/>
        <v>7</v>
      </c>
      <c r="AI184" s="224">
        <f t="shared" si="68"/>
        <v>1.0353580193360508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45462</v>
      </c>
      <c r="B185" s="409">
        <f>'2023'!Wh/'2023'!Env_an*'2024'!Env_an</f>
        <v>29.493883996091704</v>
      </c>
      <c r="C185" s="829"/>
      <c r="D185" s="391">
        <f t="shared" si="50"/>
        <v>30.638692968711595</v>
      </c>
      <c r="E185" s="383">
        <f t="shared" si="75"/>
        <v>32.030604551277129</v>
      </c>
      <c r="F185" s="383">
        <f t="shared" si="51"/>
        <v>32.034277670390225</v>
      </c>
      <c r="G185" s="110">
        <f t="shared" si="76"/>
        <v>0.52186635152122451</v>
      </c>
      <c r="H185" s="412" t="b">
        <f>Wh_hp&gt;='2023'!Maxi_hp</f>
        <v>0</v>
      </c>
      <c r="I185" s="388">
        <f>IF(H185,Wh_hp,'2023'!Maxi_hp)</f>
        <v>55.931265464438617</v>
      </c>
      <c r="J185" s="85">
        <f>IF(H185,An,'2023'!An_max)</f>
        <v>2020</v>
      </c>
      <c r="K185" s="197">
        <f t="shared" si="52"/>
        <v>45462</v>
      </c>
      <c r="L185" s="147">
        <f>IF(t&lt;Tvie,1-EXP((T0-t)*PertePVj)+'2023'!Pspv,1-EXP((T0-t)*PertePVj)+Pspv)</f>
        <v>3.7364811018178123E-2</v>
      </c>
      <c r="M185" s="832"/>
      <c r="N185" s="832"/>
      <c r="O185" s="48">
        <f>IF(t&lt;Tnet,'2023'!Resal+('2023'!Salim-'2023'!Resal)*(1-EXP(('2023'!Tnet-t)/('2023'!Tau_j))),Resal+(Salim-Resal)*(1-EXP((Tnet-t)/(Tau_j))))*Salcycl</f>
        <v>4.3455676284137858E-2</v>
      </c>
      <c r="P185" s="169">
        <f>(INDEX(Models!$BJ185:$BT185,,T185)*(1-R185)+INDEX(Models!$BJ185:$BT185,,T185+1)*R185-ERP_i)*Q185*Ramure*Pc/MaxiM</f>
        <v>3.6155506305725809E-4</v>
      </c>
      <c r="Q185" s="304">
        <f t="shared" si="53"/>
        <v>0.7</v>
      </c>
      <c r="R185" s="177">
        <f t="shared" si="54"/>
        <v>0.97498937953788445</v>
      </c>
      <c r="S185" s="799">
        <f t="shared" si="55"/>
        <v>0</v>
      </c>
      <c r="T185" s="176">
        <f t="shared" si="56"/>
        <v>6</v>
      </c>
      <c r="U185" s="250">
        <f t="shared" si="57"/>
        <v>0.97498937953788445</v>
      </c>
      <c r="V185" s="382">
        <f t="shared" si="58"/>
        <v>56.502208360666692</v>
      </c>
      <c r="W185" s="400">
        <f t="shared" si="59"/>
        <v>29.493883996091704</v>
      </c>
      <c r="X185" s="157">
        <f t="shared" si="60"/>
        <v>45462</v>
      </c>
      <c r="Y185" s="383">
        <f t="shared" si="61"/>
        <v>29.14279923804915</v>
      </c>
      <c r="Z185" s="383">
        <f t="shared" si="62"/>
        <v>30.273980809774319</v>
      </c>
      <c r="AA185" s="384">
        <f t="shared" si="63"/>
        <v>32.030384903496703</v>
      </c>
      <c r="AB185" s="197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5.4835560016346901E-2</v>
      </c>
      <c r="AD185" s="230">
        <f>(INDEX(Models!$BJ185:$BT185,,AH185)*(1-AF185)+INDEX(Models!$BJ185:$BT185,,AH185+1)*AF185-ERP_i)*AE185*Ramure*Pc/MaxiM</f>
        <v>3.8317558900738868E-4</v>
      </c>
      <c r="AE185" s="304">
        <f t="shared" si="65"/>
        <v>0.7</v>
      </c>
      <c r="AF185" s="177">
        <f t="shared" si="66"/>
        <v>3.9321601797716488E-2</v>
      </c>
      <c r="AG185" s="799">
        <f t="shared" si="74"/>
        <v>1</v>
      </c>
      <c r="AH185" s="176">
        <f t="shared" si="67"/>
        <v>7</v>
      </c>
      <c r="AI185" s="224">
        <f t="shared" si="68"/>
        <v>1.0393216017977165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45463</v>
      </c>
      <c r="B186" s="409">
        <f>'2023'!Wh/'2023'!Env_an*'2024'!Env_an</f>
        <v>19.512144400066418</v>
      </c>
      <c r="C186" s="829"/>
      <c r="D186" s="391">
        <f t="shared" si="50"/>
        <v>20.269899310108848</v>
      </c>
      <c r="E186" s="383">
        <f t="shared" si="75"/>
        <v>21.192657130176585</v>
      </c>
      <c r="F186" s="383">
        <f t="shared" si="51"/>
        <v>21.193160269769518</v>
      </c>
      <c r="G186" s="110">
        <f t="shared" si="76"/>
        <v>0.34561772288038789</v>
      </c>
      <c r="H186" s="412" t="b">
        <f>Wh_hp&gt;='2023'!Maxi_hp</f>
        <v>0</v>
      </c>
      <c r="I186" s="388">
        <f>IF(H186,Wh_hp,'2023'!Maxi_hp)</f>
        <v>56.260411269728877</v>
      </c>
      <c r="J186" s="85">
        <f>IF(H186,An,'2023'!An_max)</f>
        <v>2020</v>
      </c>
      <c r="K186" s="197">
        <f t="shared" si="52"/>
        <v>45463</v>
      </c>
      <c r="L186" s="147">
        <f>IF(t&lt;Tvie,1-EXP((T0-t)*PertePVj)+'2023'!Pspv,1-EXP((T0-t)*PertePVj)+Pspv)</f>
        <v>3.7383259701962546E-2</v>
      </c>
      <c r="M186" s="832"/>
      <c r="N186" s="832"/>
      <c r="O186" s="48">
        <f>IF(t&lt;Tnet,'2023'!Resal+('2023'!Salim-'2023'!Resal)*(1-EXP(('2023'!Tnet-t)/('2023'!Tau_j))),Resal+(Salim-Resal)*(1-EXP((Tnet-t)/(Tau_j))))*Salcycl</f>
        <v>4.3541393342027189E-2</v>
      </c>
      <c r="P186" s="169">
        <f>(INDEX(Models!$BJ186:$BT186,,T186)*(1-R186)+INDEX(Models!$BJ186:$BT186,,T186+1)*R186-ERP_i)*Q186*Ramure*Pc/MaxiM</f>
        <v>3.6336304035597102E-4</v>
      </c>
      <c r="Q186" s="304">
        <f t="shared" si="53"/>
        <v>0.7</v>
      </c>
      <c r="R186" s="177">
        <f t="shared" si="54"/>
        <v>0.97892009677758574</v>
      </c>
      <c r="S186" s="799">
        <f t="shared" si="55"/>
        <v>0</v>
      </c>
      <c r="T186" s="176">
        <f t="shared" si="56"/>
        <v>6</v>
      </c>
      <c r="U186" s="250">
        <f t="shared" si="57"/>
        <v>0.97892009677758574</v>
      </c>
      <c r="V186" s="382">
        <f t="shared" si="58"/>
        <v>56.436681890137613</v>
      </c>
      <c r="W186" s="400">
        <f t="shared" si="59"/>
        <v>19.512144400066418</v>
      </c>
      <c r="X186" s="157">
        <f t="shared" si="60"/>
        <v>45463</v>
      </c>
      <c r="Y186" s="383">
        <f t="shared" si="61"/>
        <v>19.280136761613143</v>
      </c>
      <c r="Z186" s="383">
        <f t="shared" si="62"/>
        <v>20.028881645714769</v>
      </c>
      <c r="AA186" s="384">
        <f t="shared" si="63"/>
        <v>21.192626334750848</v>
      </c>
      <c r="AB186" s="197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5.4912716840942823E-2</v>
      </c>
      <c r="AD186" s="230">
        <f>(INDEX(Models!$BJ186:$BT186,,AH186)*(1-AF186)+INDEX(Models!$BJ186:$BT186,,AH186+1)*AF186-ERP_i)*AE186*Ramure*Pc/MaxiM</f>
        <v>3.8560322912780141E-4</v>
      </c>
      <c r="AE186" s="304">
        <f t="shared" si="65"/>
        <v>0.7</v>
      </c>
      <c r="AF186" s="177">
        <f t="shared" si="66"/>
        <v>4.3252319037417886E-2</v>
      </c>
      <c r="AG186" s="799">
        <f t="shared" si="74"/>
        <v>1</v>
      </c>
      <c r="AH186" s="176">
        <f t="shared" si="67"/>
        <v>7</v>
      </c>
      <c r="AI186" s="224">
        <f t="shared" si="68"/>
        <v>1.0432523190374179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45464</v>
      </c>
      <c r="B187" s="409">
        <f>'2023'!Wh/'2023'!Env_an*'2024'!Env_an</f>
        <v>41.189703722953197</v>
      </c>
      <c r="C187" s="829"/>
      <c r="D187" s="391">
        <f t="shared" si="50"/>
        <v>42.790127581413039</v>
      </c>
      <c r="E187" s="383">
        <f t="shared" si="75"/>
        <v>44.742060936787894</v>
      </c>
      <c r="F187" s="383">
        <f t="shared" si="51"/>
        <v>44.752116599312913</v>
      </c>
      <c r="G187" s="110">
        <f t="shared" si="76"/>
        <v>0.73062047372423689</v>
      </c>
      <c r="H187" s="412" t="b">
        <f>Wh_hp&gt;='2023'!Maxi_hp</f>
        <v>0</v>
      </c>
      <c r="I187" s="388">
        <f>IF(H187,Wh_hp,'2023'!Maxi_hp)</f>
        <v>60.180759205917369</v>
      </c>
      <c r="J187" s="85">
        <f>IF(H187,An,'2023'!An_max)</f>
        <v>2020</v>
      </c>
      <c r="K187" s="197">
        <f t="shared" si="52"/>
        <v>45464</v>
      </c>
      <c r="L187" s="147">
        <f>IF(t&lt;Tvie,1-EXP((T0-t)*PertePVj)+'2023'!Pspv,1-EXP((T0-t)*PertePVj)+Pspv)</f>
        <v>3.7401708032182235E-2</v>
      </c>
      <c r="M187" s="832"/>
      <c r="N187" s="832"/>
      <c r="O187" s="48">
        <f>IF(t&lt;Tnet,'2023'!Resal+('2023'!Salim-'2023'!Resal)*(1-EXP(('2023'!Tnet-t)/('2023'!Tau_j))),Resal+(Salim-Resal)*(1-EXP((Tnet-t)/(Tau_j))))*Salcycl</f>
        <v>4.3626362185965752E-2</v>
      </c>
      <c r="P187" s="169">
        <f>(INDEX(Models!$BJ187:$BT187,,T187)*(1-R187)+INDEX(Models!$BJ187:$BT187,,T187+1)*R187-ERP_i)*Q187*Ramure*Pc/MaxiM</f>
        <v>3.6517155427437338E-4</v>
      </c>
      <c r="Q187" s="304">
        <f t="shared" si="53"/>
        <v>0.7</v>
      </c>
      <c r="R187" s="177">
        <f t="shared" si="54"/>
        <v>0.98281507992965589</v>
      </c>
      <c r="S187" s="799">
        <f t="shared" si="55"/>
        <v>0</v>
      </c>
      <c r="T187" s="176">
        <f t="shared" si="56"/>
        <v>6</v>
      </c>
      <c r="U187" s="250">
        <f t="shared" si="57"/>
        <v>0.98281507992965589</v>
      </c>
      <c r="V187" s="382">
        <f t="shared" si="58"/>
        <v>56.368412595701265</v>
      </c>
      <c r="W187" s="400">
        <f t="shared" si="59"/>
        <v>41.189703722953197</v>
      </c>
      <c r="X187" s="157">
        <f t="shared" si="60"/>
        <v>45464</v>
      </c>
      <c r="Y187" s="383">
        <f t="shared" si="61"/>
        <v>40.6997604076751</v>
      </c>
      <c r="Z187" s="383">
        <f t="shared" si="62"/>
        <v>42.28114754335737</v>
      </c>
      <c r="AA187" s="384">
        <f t="shared" si="63"/>
        <v>44.741431469951848</v>
      </c>
      <c r="AB187" s="197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5.4988940804158074E-2</v>
      </c>
      <c r="AD187" s="230">
        <f>(INDEX(Models!$BJ187:$BT187,,AH187)*(1-AF187)+INDEX(Models!$BJ187:$BT187,,AH187+1)*AF187-ERP_i)*AE187*Ramure*Pc/MaxiM</f>
        <v>3.8803065304696685E-4</v>
      </c>
      <c r="AE187" s="304">
        <f t="shared" si="65"/>
        <v>0.7</v>
      </c>
      <c r="AF187" s="177">
        <f t="shared" si="66"/>
        <v>4.7147302189487927E-2</v>
      </c>
      <c r="AG187" s="799">
        <f t="shared" si="74"/>
        <v>1</v>
      </c>
      <c r="AH187" s="176">
        <f t="shared" si="67"/>
        <v>7</v>
      </c>
      <c r="AI187" s="224">
        <f t="shared" si="68"/>
        <v>1.0471473021894879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45465</v>
      </c>
      <c r="B188" s="409">
        <f>'2023'!Wh/'2023'!Env_an*'2024'!Env_an</f>
        <v>42.848198074214729</v>
      </c>
      <c r="C188" s="829"/>
      <c r="D188" s="391">
        <f t="shared" si="50"/>
        <v>44.513915745994368</v>
      </c>
      <c r="E188" s="383">
        <f t="shared" si="75"/>
        <v>46.548581047902445</v>
      </c>
      <c r="F188" s="383">
        <f t="shared" si="51"/>
        <v>46.559836172934247</v>
      </c>
      <c r="G188" s="110">
        <f t="shared" si="76"/>
        <v>0.76100901578785551</v>
      </c>
      <c r="H188" s="412" t="b">
        <f>Wh_hp&gt;='2023'!Maxi_hp</f>
        <v>0</v>
      </c>
      <c r="I188" s="388">
        <f>IF(H188,Wh_hp,'2023'!Maxi_hp)</f>
        <v>53.862501168142678</v>
      </c>
      <c r="J188" s="85">
        <f>IF(H188,An,'2023'!An_max)</f>
        <v>2018</v>
      </c>
      <c r="K188" s="197">
        <f t="shared" si="52"/>
        <v>45465</v>
      </c>
      <c r="L188" s="147">
        <f>IF(t&lt;Tvie,1-EXP((T0-t)*PertePVj)+'2023'!Pspv,1-EXP((T0-t)*PertePVj)+Pspv)</f>
        <v>3.7420156008843852E-2</v>
      </c>
      <c r="M188" s="832"/>
      <c r="N188" s="832"/>
      <c r="O188" s="48">
        <f>IF(t&lt;Tnet,'2023'!Resal+('2023'!Salim-'2023'!Resal)*(1-EXP(('2023'!Tnet-t)/('2023'!Tau_j))),Resal+(Salim-Resal)*(1-EXP((Tnet-t)/(Tau_j))))*Salcycl</f>
        <v>4.3710576264703704E-2</v>
      </c>
      <c r="P188" s="169">
        <f>(INDEX(Models!$BJ188:$BT188,,T188)*(1-R188)+INDEX(Models!$BJ188:$BT188,,T188+1)*R188-ERP_i)*Q188*Ramure*Pc/MaxiM</f>
        <v>3.6697602406724085E-4</v>
      </c>
      <c r="Q188" s="304">
        <f t="shared" si="53"/>
        <v>0.7</v>
      </c>
      <c r="R188" s="177">
        <f t="shared" si="54"/>
        <v>0.98667157179463338</v>
      </c>
      <c r="S188" s="799">
        <f t="shared" si="55"/>
        <v>0</v>
      </c>
      <c r="T188" s="176">
        <f t="shared" si="56"/>
        <v>6</v>
      </c>
      <c r="U188" s="250">
        <f t="shared" si="57"/>
        <v>0.98667157179463338</v>
      </c>
      <c r="V188" s="382">
        <f t="shared" si="58"/>
        <v>56.297401896731294</v>
      </c>
      <c r="W188" s="400">
        <f t="shared" si="59"/>
        <v>42.848198074214729</v>
      </c>
      <c r="X188" s="157">
        <f t="shared" si="60"/>
        <v>45465</v>
      </c>
      <c r="Y188" s="383">
        <f t="shared" si="61"/>
        <v>42.338823267601299</v>
      </c>
      <c r="Z188" s="383">
        <f t="shared" si="62"/>
        <v>43.984739065438291</v>
      </c>
      <c r="AA188" s="384">
        <f t="shared" si="63"/>
        <v>46.547860963852472</v>
      </c>
      <c r="AB188" s="197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5.5064225194034512E-2</v>
      </c>
      <c r="AD188" s="230">
        <f>(INDEX(Models!$BJ188:$BT188,,AH188)*(1-AF188)+INDEX(Models!$BJ188:$BT188,,AH188+1)*AF188-ERP_i)*AE188*Ramure*Pc/MaxiM</f>
        <v>3.9045453549280877E-4</v>
      </c>
      <c r="AE188" s="304">
        <f t="shared" si="65"/>
        <v>0.7</v>
      </c>
      <c r="AF188" s="177">
        <f t="shared" si="66"/>
        <v>5.1003794054465423E-2</v>
      </c>
      <c r="AG188" s="799">
        <f t="shared" si="74"/>
        <v>1</v>
      </c>
      <c r="AH188" s="176">
        <f t="shared" si="67"/>
        <v>7</v>
      </c>
      <c r="AI188" s="224">
        <f t="shared" si="68"/>
        <v>1.0510037940544654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45466</v>
      </c>
      <c r="B189" s="409">
        <f>'2023'!Wh/'2023'!Env_an*'2024'!Env_an</f>
        <v>40.096744435498621</v>
      </c>
      <c r="C189" s="829"/>
      <c r="D189" s="391">
        <f t="shared" si="50"/>
        <v>41.656298067627048</v>
      </c>
      <c r="E189" s="383">
        <f t="shared" si="75"/>
        <v>43.564147708353254</v>
      </c>
      <c r="F189" s="383">
        <f t="shared" si="51"/>
        <v>43.573632044230472</v>
      </c>
      <c r="G189" s="110">
        <f t="shared" si="76"/>
        <v>0.71305728730247153</v>
      </c>
      <c r="H189" s="412" t="b">
        <f>Wh_hp&gt;='2023'!Maxi_hp</f>
        <v>0</v>
      </c>
      <c r="I189" s="388">
        <f>IF(H189,Wh_hp,'2023'!Maxi_hp)</f>
        <v>60.623696514192886</v>
      </c>
      <c r="J189" s="85">
        <f>IF(H189,An,'2023'!An_max)</f>
        <v>2020</v>
      </c>
      <c r="K189" s="197">
        <f t="shared" si="52"/>
        <v>45466</v>
      </c>
      <c r="L189" s="147">
        <f>IF(t&lt;Tvie,1-EXP((T0-t)*PertePVj)+'2023'!Pspv,1-EXP((T0-t)*PertePVj)+Pspv)</f>
        <v>3.743860363195417E-2</v>
      </c>
      <c r="M189" s="832"/>
      <c r="N189" s="832"/>
      <c r="O189" s="48">
        <f>IF(t&lt;Tnet,'2023'!Resal+('2023'!Salim-'2023'!Resal)*(1-EXP(('2023'!Tnet-t)/('2023'!Tau_j))),Resal+(Salim-Resal)*(1-EXP((Tnet-t)/(Tau_j))))*Salcycl</f>
        <v>4.3794031126204891E-2</v>
      </c>
      <c r="P189" s="169">
        <f>(INDEX(Models!$BJ189:$BT189,,T189)*(1-R189)+INDEX(Models!$BJ189:$BT189,,T189+1)*R189-ERP_i)*Q189*Ramure*Pc/MaxiM</f>
        <v>3.6877171140974676E-4</v>
      </c>
      <c r="Q189" s="304">
        <f t="shared" si="53"/>
        <v>0.7</v>
      </c>
      <c r="R189" s="177">
        <f t="shared" si="54"/>
        <v>0.99048693369986729</v>
      </c>
      <c r="S189" s="799">
        <f t="shared" si="55"/>
        <v>0</v>
      </c>
      <c r="T189" s="176">
        <f t="shared" si="56"/>
        <v>6</v>
      </c>
      <c r="U189" s="250">
        <f t="shared" si="57"/>
        <v>0.99048693369986729</v>
      </c>
      <c r="V189" s="382">
        <f t="shared" si="58"/>
        <v>56.223651078028631</v>
      </c>
      <c r="W189" s="400">
        <f t="shared" si="59"/>
        <v>40.096744435498621</v>
      </c>
      <c r="X189" s="157">
        <f t="shared" si="60"/>
        <v>45466</v>
      </c>
      <c r="Y189" s="383">
        <f t="shared" si="61"/>
        <v>39.620468452959756</v>
      </c>
      <c r="Z189" s="383">
        <f t="shared" si="62"/>
        <v>41.161497440533587</v>
      </c>
      <c r="AA189" s="384">
        <f t="shared" si="63"/>
        <v>43.563527896327066</v>
      </c>
      <c r="AB189" s="197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5.5138565946951212E-2</v>
      </c>
      <c r="AD189" s="230">
        <f>(INDEX(Models!$BJ189:$BT189,,AH189)*(1-AF189)+INDEX(Models!$BJ189:$BT189,,AH189+1)*AF189-ERP_i)*AE189*Ramure*Pc/MaxiM</f>
        <v>3.9287135788046901E-4</v>
      </c>
      <c r="AE189" s="304">
        <f t="shared" si="65"/>
        <v>0.7</v>
      </c>
      <c r="AF189" s="177">
        <f t="shared" si="66"/>
        <v>5.481915595969955E-2</v>
      </c>
      <c r="AG189" s="799">
        <f t="shared" si="74"/>
        <v>1</v>
      </c>
      <c r="AH189" s="176">
        <f t="shared" si="67"/>
        <v>7</v>
      </c>
      <c r="AI189" s="224">
        <f t="shared" si="68"/>
        <v>1.0548191559596996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45467</v>
      </c>
      <c r="B190" s="409">
        <f>'2023'!Wh/'2023'!Env_an*'2024'!Env_an</f>
        <v>40.10716573589815</v>
      </c>
      <c r="C190" s="829"/>
      <c r="D190" s="391">
        <f t="shared" si="50"/>
        <v>41.667923258346676</v>
      </c>
      <c r="E190" s="383">
        <f t="shared" si="75"/>
        <v>43.580074161670602</v>
      </c>
      <c r="F190" s="383">
        <f t="shared" si="51"/>
        <v>43.589634630023376</v>
      </c>
      <c r="G190" s="110">
        <f t="shared" si="76"/>
        <v>0.71421418789690783</v>
      </c>
      <c r="H190" s="412" t="b">
        <f>Wh_hp&gt;='2023'!Maxi_hp</f>
        <v>0</v>
      </c>
      <c r="I190" s="388">
        <f>IF(H190,Wh_hp,'2023'!Maxi_hp)</f>
        <v>61.35509471330375</v>
      </c>
      <c r="J190" s="85">
        <f>IF(H190,An,'2023'!An_max)</f>
        <v>2020</v>
      </c>
      <c r="K190" s="197">
        <f t="shared" si="52"/>
        <v>45467</v>
      </c>
      <c r="L190" s="147">
        <f>IF(t&lt;Tvie,1-EXP((T0-t)*PertePVj)+'2023'!Pspv,1-EXP((T0-t)*PertePVj)+Pspv)</f>
        <v>3.7457050901520073E-2</v>
      </c>
      <c r="M190" s="832"/>
      <c r="N190" s="832"/>
      <c r="O190" s="48">
        <f>IF(t&lt;Tnet,'2023'!Resal+('2023'!Salim-'2023'!Resal)*(1-EXP(('2023'!Tnet-t)/('2023'!Tau_j))),Resal+(Salim-Resal)*(1-EXP((Tnet-t)/(Tau_j))))*Salcycl</f>
        <v>4.3876724400017129E-2</v>
      </c>
      <c r="P190" s="169">
        <f>(INDEX(Models!$BJ190:$BT190,,T190)*(1-R190)+INDEX(Models!$BJ190:$BT190,,T190+1)*R190-ERP_i)*Q190*Ramure*Pc/MaxiM</f>
        <v>3.7055760945952488E-4</v>
      </c>
      <c r="Q190" s="304">
        <f t="shared" si="53"/>
        <v>0.7</v>
      </c>
      <c r="R190" s="177">
        <f t="shared" si="54"/>
        <v>0.99425865161264793</v>
      </c>
      <c r="S190" s="799">
        <f t="shared" si="55"/>
        <v>0</v>
      </c>
      <c r="T190" s="176">
        <f t="shared" si="56"/>
        <v>6</v>
      </c>
      <c r="U190" s="250">
        <f t="shared" si="57"/>
        <v>0.99425865161264793</v>
      </c>
      <c r="V190" s="382">
        <f t="shared" si="58"/>
        <v>56.147161077920131</v>
      </c>
      <c r="W190" s="400">
        <f t="shared" si="59"/>
        <v>40.10716573589815</v>
      </c>
      <c r="X190" s="157">
        <f t="shared" si="60"/>
        <v>45467</v>
      </c>
      <c r="Y190" s="383">
        <f t="shared" si="61"/>
        <v>39.63109859342471</v>
      </c>
      <c r="Z190" s="383">
        <f t="shared" si="62"/>
        <v>41.173330115340093</v>
      </c>
      <c r="AA190" s="384">
        <f t="shared" si="63"/>
        <v>43.579436278483165</v>
      </c>
      <c r="AB190" s="197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5.5211961618031727E-2</v>
      </c>
      <c r="AD190" s="230">
        <f>(INDEX(Models!$BJ190:$BT190,,AH190)*(1-AF190)+INDEX(Models!$BJ190:$BT190,,AH190+1)*AF190-ERP_i)*AE190*Ramure*Pc/MaxiM</f>
        <v>3.9528155187820539E-4</v>
      </c>
      <c r="AE190" s="304">
        <f t="shared" si="65"/>
        <v>0.7</v>
      </c>
      <c r="AF190" s="177">
        <f t="shared" si="66"/>
        <v>5.8590873872480076E-2</v>
      </c>
      <c r="AG190" s="799">
        <f t="shared" si="74"/>
        <v>1</v>
      </c>
      <c r="AH190" s="176">
        <f t="shared" si="67"/>
        <v>7</v>
      </c>
      <c r="AI190" s="224">
        <f t="shared" si="68"/>
        <v>1.0585908738724801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45468</v>
      </c>
      <c r="B191" s="409">
        <f>'2023'!Wh/'2023'!Env_an*'2024'!Env_an</f>
        <v>10.537863174000691</v>
      </c>
      <c r="C191" s="829"/>
      <c r="D191" s="391">
        <f t="shared" si="50"/>
        <v>10.948150566668048</v>
      </c>
      <c r="E191" s="383">
        <f t="shared" si="75"/>
        <v>11.451545095533692</v>
      </c>
      <c r="F191" s="383">
        <f t="shared" si="51"/>
        <v>11.451545095533692</v>
      </c>
      <c r="G191" s="110">
        <f t="shared" si="76"/>
        <v>0.18788032937402782</v>
      </c>
      <c r="H191" s="412" t="b">
        <f>Wh_hp&gt;='2023'!Maxi_hp</f>
        <v>0</v>
      </c>
      <c r="I191" s="388">
        <f>IF(H191,Wh_hp,'2023'!Maxi_hp)</f>
        <v>61.449694288761741</v>
      </c>
      <c r="J191" s="85">
        <f>IF(H191,An,'2023'!An_max)</f>
        <v>2018</v>
      </c>
      <c r="K191" s="197">
        <f t="shared" si="52"/>
        <v>45468</v>
      </c>
      <c r="L191" s="147">
        <f>IF(t&lt;Tvie,1-EXP((T0-t)*PertePVj)+'2023'!Pspv,1-EXP((T0-t)*PertePVj)+Pspv)</f>
        <v>3.7475497817548109E-2</v>
      </c>
      <c r="M191" s="832"/>
      <c r="N191" s="832"/>
      <c r="O191" s="48">
        <f>IF(t&lt;Tnet,'2023'!Resal+('2023'!Salim-'2023'!Resal)*(1-EXP(('2023'!Tnet-t)/('2023'!Tau_j))),Resal+(Salim-Resal)*(1-EXP((Tnet-t)/(Tau_j))))*Salcycl</f>
        <v>4.395865576794334E-2</v>
      </c>
      <c r="P191" s="169">
        <f>(INDEX(Models!$BJ191:$BT191,,T191)*(1-R191)+INDEX(Models!$BJ191:$BT191,,T191+1)*R191-ERP_i)*Q191*Ramure*Pc/MaxiM</f>
        <v>3.7233714370273979E-4</v>
      </c>
      <c r="Q191" s="304">
        <f t="shared" si="53"/>
        <v>0.7</v>
      </c>
      <c r="R191" s="177">
        <f t="shared" si="54"/>
        <v>0.99798434148531379</v>
      </c>
      <c r="S191" s="799">
        <f t="shared" si="55"/>
        <v>0</v>
      </c>
      <c r="T191" s="176">
        <f t="shared" si="56"/>
        <v>6</v>
      </c>
      <c r="U191" s="250">
        <f t="shared" si="57"/>
        <v>0.99798434148531379</v>
      </c>
      <c r="V191" s="382">
        <f t="shared" si="58"/>
        <v>56.067282675213058</v>
      </c>
      <c r="W191" s="400">
        <f t="shared" si="59"/>
        <v>10.537863174000691</v>
      </c>
      <c r="X191" s="157">
        <f t="shared" si="60"/>
        <v>45468</v>
      </c>
      <c r="Y191" s="383">
        <f t="shared" si="61"/>
        <v>10.413026225970425</v>
      </c>
      <c r="Z191" s="383">
        <f t="shared" si="62"/>
        <v>10.818453143124847</v>
      </c>
      <c r="AA191" s="384">
        <f t="shared" si="63"/>
        <v>11.451545095533692</v>
      </c>
      <c r="AB191" s="197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5.5284413337005685E-2</v>
      </c>
      <c r="AD191" s="230">
        <f>(INDEX(Models!$BJ191:$BT191,,AH191)*(1-AF191)+INDEX(Models!$BJ191:$BT191,,AH191+1)*AF191-ERP_i)*AE191*Ramure*Pc/MaxiM</f>
        <v>3.9769026952623816E-4</v>
      </c>
      <c r="AE191" s="304">
        <f t="shared" si="65"/>
        <v>0.7</v>
      </c>
      <c r="AF191" s="177">
        <f t="shared" si="66"/>
        <v>6.2316563745145936E-2</v>
      </c>
      <c r="AG191" s="799">
        <f t="shared" si="74"/>
        <v>1</v>
      </c>
      <c r="AH191" s="176">
        <f t="shared" si="67"/>
        <v>7</v>
      </c>
      <c r="AI191" s="224">
        <f t="shared" si="68"/>
        <v>1.0623165637451459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45469</v>
      </c>
      <c r="B192" s="409">
        <f>'2023'!Wh/'2023'!Env_an*'2024'!Env_an</f>
        <v>15.743542327717629</v>
      </c>
      <c r="C192" s="829"/>
      <c r="D192" s="391">
        <f t="shared" si="50"/>
        <v>16.356824183903072</v>
      </c>
      <c r="E192" s="383">
        <f t="shared" si="75"/>
        <v>17.110361544936175</v>
      </c>
      <c r="F192" s="383">
        <f t="shared" si="51"/>
        <v>17.110361544936175</v>
      </c>
      <c r="G192" s="110">
        <f t="shared" si="76"/>
        <v>0.28111200087650562</v>
      </c>
      <c r="H192" s="412" t="b">
        <f>Wh_hp&gt;='2023'!Maxi_hp</f>
        <v>0</v>
      </c>
      <c r="I192" s="388">
        <f>IF(H192,Wh_hp,'2023'!Maxi_hp)</f>
        <v>60.093655665818403</v>
      </c>
      <c r="J192" s="85">
        <f>IF(H192,An,'2023'!An_max)</f>
        <v>2018</v>
      </c>
      <c r="K192" s="197">
        <f t="shared" si="52"/>
        <v>45469</v>
      </c>
      <c r="L192" s="147">
        <f>IF(t&lt;Tvie,1-EXP((T0-t)*PertePVj)+'2023'!Pspv,1-EXP((T0-t)*PertePVj)+Pspv)</f>
        <v>3.7493944380045385E-2</v>
      </c>
      <c r="M192" s="832"/>
      <c r="N192" s="832"/>
      <c r="O192" s="48">
        <f>IF(t&lt;Tnet,'2023'!Resal+('2023'!Salim-'2023'!Resal)*(1-EXP(('2023'!Tnet-t)/('2023'!Tau_j))),Resal+(Salim-Resal)*(1-EXP((Tnet-t)/(Tau_j))))*Salcycl</f>
        <v>4.4039826923243E-2</v>
      </c>
      <c r="P192" s="169">
        <f>(INDEX(Models!$BJ192:$BT192,,T192)*(1-R192)+INDEX(Models!$BJ192:$BT192,,T192+1)*R192-ERP_i)*Q192*Ramure*Pc/MaxiM</f>
        <v>3.7427084352309995E-4</v>
      </c>
      <c r="Q192" s="304">
        <f t="shared" si="53"/>
        <v>0.7</v>
      </c>
      <c r="R192" s="177">
        <f t="shared" si="54"/>
        <v>1.6617538194876325E-3</v>
      </c>
      <c r="S192" s="799">
        <f t="shared" si="55"/>
        <v>1</v>
      </c>
      <c r="T192" s="176">
        <f t="shared" si="56"/>
        <v>7</v>
      </c>
      <c r="U192" s="250">
        <f t="shared" si="57"/>
        <v>1.0016617538194876</v>
      </c>
      <c r="V192" s="382">
        <f t="shared" si="58"/>
        <v>55.9835579049656</v>
      </c>
      <c r="W192" s="400">
        <f t="shared" si="59"/>
        <v>15.743542327717629</v>
      </c>
      <c r="X192" s="157">
        <f t="shared" si="60"/>
        <v>45469</v>
      </c>
      <c r="Y192" s="383">
        <f t="shared" si="61"/>
        <v>15.55717947481272</v>
      </c>
      <c r="Z192" s="383">
        <f t="shared" si="62"/>
        <v>16.163201658811662</v>
      </c>
      <c r="AA192" s="384">
        <f t="shared" si="63"/>
        <v>17.110361544936175</v>
      </c>
      <c r="AB192" s="197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5.535592474986737E-2</v>
      </c>
      <c r="AD192" s="230">
        <f>(INDEX(Models!$BJ192:$BT192,,AH192)*(1-AF192)+INDEX(Models!$BJ192:$BT192,,AH192+1)*AF192-ERP_i)*AE192*Ramure*Pc/MaxiM</f>
        <v>4.000120944540894E-4</v>
      </c>
      <c r="AE192" s="304">
        <f t="shared" si="65"/>
        <v>0.7</v>
      </c>
      <c r="AF192" s="177">
        <f t="shared" si="66"/>
        <v>6.5993976079319783E-2</v>
      </c>
      <c r="AG192" s="799">
        <f t="shared" si="74"/>
        <v>1</v>
      </c>
      <c r="AH192" s="176">
        <f t="shared" si="67"/>
        <v>7</v>
      </c>
      <c r="AI192" s="224">
        <f t="shared" si="68"/>
        <v>1.0659939760793198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45470</v>
      </c>
      <c r="B193" s="409">
        <f>'2023'!Wh/'2023'!Env_an*'2024'!Env_an</f>
        <v>55.539748616809959</v>
      </c>
      <c r="C193" s="829"/>
      <c r="D193" s="391">
        <f t="shared" si="50"/>
        <v>57.704377774586526</v>
      </c>
      <c r="E193" s="383">
        <f t="shared" si="75"/>
        <v>60.367820599388132</v>
      </c>
      <c r="F193" s="383">
        <f t="shared" si="51"/>
        <v>60.390344740123808</v>
      </c>
      <c r="G193" s="110">
        <f t="shared" si="76"/>
        <v>0.99361805897147604</v>
      </c>
      <c r="H193" s="412" t="b">
        <f>Wh_hp&gt;='2023'!Maxi_hp</f>
        <v>0</v>
      </c>
      <c r="I193" s="388">
        <f>IF(H193,Wh_hp,'2023'!Maxi_hp)</f>
        <v>60.390455526303775</v>
      </c>
      <c r="J193" s="85">
        <f>IF(H193,An,'2023'!An_max)</f>
        <v>2022</v>
      </c>
      <c r="K193" s="197">
        <f t="shared" si="52"/>
        <v>45470</v>
      </c>
      <c r="L193" s="147">
        <f>IF(t&lt;Tvie,1-EXP((T0-t)*PertePVj)+'2023'!Pspv,1-EXP((T0-t)*PertePVj)+Pspv)</f>
        <v>3.7512390589018452E-2</v>
      </c>
      <c r="M193" s="832"/>
      <c r="N193" s="832"/>
      <c r="O193" s="48">
        <f>IF(t&lt;Tnet,'2023'!Resal+('2023'!Salim-'2023'!Resal)*(1-EXP(('2023'!Tnet-t)/('2023'!Tau_j))),Resal+(Salim-Resal)*(1-EXP((Tnet-t)/(Tau_j))))*Salcycl</f>
        <v>4.4120241518684163E-2</v>
      </c>
      <c r="P193" s="169">
        <f>(INDEX(Models!$BJ193:$BT193,,T193)*(1-R193)+INDEX(Models!$BJ193:$BT193,,T193+1)*R193-ERP_i)*Q193*Ramure*Pc/MaxiM</f>
        <v>3.7640573945737571E-4</v>
      </c>
      <c r="Q193" s="304">
        <f t="shared" si="53"/>
        <v>0.7</v>
      </c>
      <c r="R193" s="177">
        <f t="shared" si="54"/>
        <v>5.288777444151016E-3</v>
      </c>
      <c r="S193" s="799">
        <f t="shared" si="55"/>
        <v>1</v>
      </c>
      <c r="T193" s="176">
        <f t="shared" si="56"/>
        <v>7</v>
      </c>
      <c r="U193" s="250">
        <f t="shared" si="57"/>
        <v>1.005288777444151</v>
      </c>
      <c r="V193" s="382">
        <f t="shared" si="58"/>
        <v>55.89628484465576</v>
      </c>
      <c r="W193" s="400">
        <f t="shared" si="59"/>
        <v>55.539748616809959</v>
      </c>
      <c r="X193" s="157">
        <f t="shared" si="60"/>
        <v>45470</v>
      </c>
      <c r="Y193" s="383">
        <f t="shared" si="61"/>
        <v>54.881412339863367</v>
      </c>
      <c r="Z193" s="383">
        <f t="shared" si="62"/>
        <v>57.020383227010498</v>
      </c>
      <c r="AA193" s="384">
        <f t="shared" si="63"/>
        <v>60.366274667382399</v>
      </c>
      <c r="AB193" s="197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5.5426501946786257E-2</v>
      </c>
      <c r="AD193" s="230">
        <f>(INDEX(Models!$BJ193:$BT193,,AH193)*(1-AF193)+INDEX(Models!$BJ193:$BT193,,AH193+1)*AF193-ERP_i)*AE193*Ramure*Pc/MaxiM</f>
        <v>4.0224014027191648E-4</v>
      </c>
      <c r="AE193" s="304">
        <f t="shared" si="65"/>
        <v>0.7</v>
      </c>
      <c r="AF193" s="177">
        <f t="shared" si="66"/>
        <v>6.9620999703983166E-2</v>
      </c>
      <c r="AG193" s="799">
        <f t="shared" si="74"/>
        <v>1</v>
      </c>
      <c r="AH193" s="176">
        <f t="shared" si="67"/>
        <v>7</v>
      </c>
      <c r="AI193" s="224">
        <f t="shared" si="68"/>
        <v>1.0696209997039832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45471</v>
      </c>
      <c r="B194" s="409">
        <f>'2023'!Wh/'2023'!Env_an*'2024'!Env_an</f>
        <v>56.585318017812554</v>
      </c>
      <c r="C194" s="829"/>
      <c r="D194" s="391">
        <f t="shared" si="50"/>
        <v>58.791824362223409</v>
      </c>
      <c r="E194" s="383">
        <f t="shared" si="75"/>
        <v>61.510586446019985</v>
      </c>
      <c r="F194" s="383">
        <f t="shared" si="51"/>
        <v>61.533873329482425</v>
      </c>
      <c r="G194" s="110">
        <f t="shared" si="76"/>
        <v>1.013968753642656</v>
      </c>
      <c r="H194" s="412" t="b">
        <f>Wh_hp&gt;='2023'!Maxi_hp</f>
        <v>1</v>
      </c>
      <c r="I194" s="388">
        <f>IF(H194,Wh_hp,'2023'!Maxi_hp)</f>
        <v>61.533873329482425</v>
      </c>
      <c r="J194" s="85">
        <f>IF(H194,An,'2023'!An_max)</f>
        <v>2024</v>
      </c>
      <c r="K194" s="197">
        <f t="shared" si="52"/>
        <v>45471</v>
      </c>
      <c r="L194" s="147">
        <f>IF(t&lt;Tvie,1-EXP((T0-t)*PertePVj)+'2023'!Pspv,1-EXP((T0-t)*PertePVj)+Pspv)</f>
        <v>3.7530836444474081E-2</v>
      </c>
      <c r="M194" s="832"/>
      <c r="N194" s="832"/>
      <c r="O194" s="48">
        <f>IF(t&lt;Tnet,'2023'!Resal+('2023'!Salim-'2023'!Resal)*(1-EXP(('2023'!Tnet-t)/('2023'!Tau_j))),Resal+(Salim-Resal)*(1-EXP((Tnet-t)/(Tau_j))))*Salcycl</f>
        <v>4.419990510385538E-2</v>
      </c>
      <c r="P194" s="169">
        <f>(INDEX(Models!$BJ194:$BT194,,T194)*(1-R194)+INDEX(Models!$BJ194:$BT194,,T194+1)*R194-ERP_i)*Q194*Ramure*Pc/MaxiM</f>
        <v>3.7844007214943217E-4</v>
      </c>
      <c r="Q194" s="304">
        <f t="shared" si="53"/>
        <v>0.7</v>
      </c>
      <c r="R194" s="177">
        <f t="shared" si="54"/>
        <v>8.8634425095690528E-3</v>
      </c>
      <c r="S194" s="799">
        <f t="shared" si="55"/>
        <v>1</v>
      </c>
      <c r="T194" s="176">
        <f t="shared" si="56"/>
        <v>7</v>
      </c>
      <c r="U194" s="250">
        <f t="shared" si="57"/>
        <v>1.0088634425095691</v>
      </c>
      <c r="V194" s="382">
        <f t="shared" si="58"/>
        <v>55.805780813788679</v>
      </c>
      <c r="W194" s="400">
        <f t="shared" si="59"/>
        <v>56.585318017812554</v>
      </c>
      <c r="X194" s="157">
        <f t="shared" si="60"/>
        <v>45471</v>
      </c>
      <c r="Y194" s="383">
        <f t="shared" si="61"/>
        <v>55.915106458204995</v>
      </c>
      <c r="Z194" s="383">
        <f t="shared" si="62"/>
        <v>58.095478354490879</v>
      </c>
      <c r="AA194" s="384">
        <f t="shared" si="63"/>
        <v>61.508990738572933</v>
      </c>
      <c r="AB194" s="197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5.5496153376833154E-2</v>
      </c>
      <c r="AD194" s="230">
        <f>(INDEX(Models!$BJ194:$BT194,,AH194)*(1-AF194)+INDEX(Models!$BJ194:$BT194,,AH194+1)*AF194-ERP_i)*AE194*Ramure*Pc/MaxiM</f>
        <v>4.0437225162575795E-4</v>
      </c>
      <c r="AE194" s="304">
        <f t="shared" si="65"/>
        <v>0.7</v>
      </c>
      <c r="AF194" s="177">
        <f t="shared" si="66"/>
        <v>7.3195664769401203E-2</v>
      </c>
      <c r="AG194" s="799">
        <f t="shared" si="74"/>
        <v>1</v>
      </c>
      <c r="AH194" s="176">
        <f t="shared" si="67"/>
        <v>7</v>
      </c>
      <c r="AI194" s="224">
        <f t="shared" si="68"/>
        <v>1.0731956647694012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45472</v>
      </c>
      <c r="B195" s="409">
        <f>'2023'!Wh/'2023'!Env_an*'2024'!Env_an</f>
        <v>12.484800582233007</v>
      </c>
      <c r="C195" s="829"/>
      <c r="D195" s="391">
        <f t="shared" si="50"/>
        <v>12.97188557091186</v>
      </c>
      <c r="E195" s="383">
        <f t="shared" si="75"/>
        <v>13.572876599308147</v>
      </c>
      <c r="F195" s="383">
        <f t="shared" si="51"/>
        <v>13.572876599308147</v>
      </c>
      <c r="G195" s="110">
        <f t="shared" si="76"/>
        <v>0.22400872690734669</v>
      </c>
      <c r="H195" s="412" t="b">
        <f>Wh_hp&gt;='2023'!Maxi_hp</f>
        <v>0</v>
      </c>
      <c r="I195" s="388">
        <f>IF(H195,Wh_hp,'2023'!Maxi_hp)</f>
        <v>46.176742952915681</v>
      </c>
      <c r="J195" s="85">
        <f>IF(H195,An,'2023'!An_max)</f>
        <v>2018</v>
      </c>
      <c r="K195" s="197">
        <f t="shared" si="52"/>
        <v>45472</v>
      </c>
      <c r="L195" s="147">
        <f>IF(t&lt;Tvie,1-EXP((T0-t)*PertePVj)+'2023'!Pspv,1-EXP((T0-t)*PertePVj)+Pspv)</f>
        <v>3.7549281946419044E-2</v>
      </c>
      <c r="M195" s="832"/>
      <c r="N195" s="832"/>
      <c r="O195" s="48">
        <f>IF(t&lt;Tnet,'2023'!Resal+('2023'!Salim-'2023'!Resal)*(1-EXP(('2023'!Tnet-t)/('2023'!Tau_j))),Resal+(Salim-Resal)*(1-EXP((Tnet-t)/(Tau_j))))*Salcycl</f>
        <v>4.4278825052231116E-2</v>
      </c>
      <c r="P195" s="169">
        <f>(INDEX(Models!$BJ195:$BT195,,T195)*(1-R195)+INDEX(Models!$BJ195:$BT195,,T195+1)*R195-ERP_i)*Q195*Ramure*Pc/MaxiM</f>
        <v>3.8037179616276929E-4</v>
      </c>
      <c r="Q195" s="304">
        <f t="shared" si="53"/>
        <v>0.7</v>
      </c>
      <c r="R195" s="177">
        <f t="shared" si="54"/>
        <v>1.2383922706013406E-2</v>
      </c>
      <c r="S195" s="799">
        <f t="shared" si="55"/>
        <v>1</v>
      </c>
      <c r="T195" s="176">
        <f t="shared" si="56"/>
        <v>7</v>
      </c>
      <c r="U195" s="250">
        <f t="shared" si="57"/>
        <v>1.0123839227060134</v>
      </c>
      <c r="V195" s="382">
        <f t="shared" si="58"/>
        <v>55.712346070216903</v>
      </c>
      <c r="W195" s="400">
        <f t="shared" si="59"/>
        <v>12.484800582233007</v>
      </c>
      <c r="X195" s="157">
        <f t="shared" si="60"/>
        <v>45472</v>
      </c>
      <c r="Y195" s="383">
        <f t="shared" si="61"/>
        <v>12.337368181648307</v>
      </c>
      <c r="Z195" s="383">
        <f t="shared" si="62"/>
        <v>12.818701207474675</v>
      </c>
      <c r="AA195" s="384">
        <f t="shared" si="63"/>
        <v>13.572876599308147</v>
      </c>
      <c r="AB195" s="197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5.556488975018857E-2</v>
      </c>
      <c r="AD195" s="230">
        <f>(INDEX(Models!$BJ195:$BT195,,AH195)*(1-AF195)+INDEX(Models!$BJ195:$BT195,,AH195+1)*AF195-ERP_i)*AE195*Ramure*Pc/MaxiM</f>
        <v>4.0640632786100776E-4</v>
      </c>
      <c r="AE195" s="304">
        <f t="shared" si="65"/>
        <v>0.7</v>
      </c>
      <c r="AF195" s="177">
        <f t="shared" si="66"/>
        <v>7.6716144965845556E-2</v>
      </c>
      <c r="AG195" s="799">
        <f t="shared" si="74"/>
        <v>1</v>
      </c>
      <c r="AH195" s="176">
        <f t="shared" si="67"/>
        <v>7</v>
      </c>
      <c r="AI195" s="224">
        <f t="shared" si="68"/>
        <v>1.0767161449658456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45473</v>
      </c>
      <c r="B196" s="409">
        <f>'2023'!Wh/'2023'!Env_an*'2024'!Env_an</f>
        <v>39.795801693918243</v>
      </c>
      <c r="C196" s="829"/>
      <c r="D196" s="391">
        <f t="shared" si="50"/>
        <v>41.349197044061135</v>
      </c>
      <c r="E196" s="383">
        <f t="shared" si="75"/>
        <v>43.26845641882219</v>
      </c>
      <c r="F196" s="383">
        <f t="shared" si="51"/>
        <v>43.278275630175585</v>
      </c>
      <c r="G196" s="110">
        <f t="shared" si="76"/>
        <v>0.71543114745895864</v>
      </c>
      <c r="H196" s="412" t="b">
        <f>Wh_hp&gt;='2023'!Maxi_hp</f>
        <v>0</v>
      </c>
      <c r="I196" s="388">
        <f>IF(H196,Wh_hp,'2023'!Maxi_hp)</f>
        <v>60.353143786946767</v>
      </c>
      <c r="J196" s="85">
        <f>IF(H196,An,'2023'!An_max)</f>
        <v>2020</v>
      </c>
      <c r="K196" s="197">
        <f t="shared" si="52"/>
        <v>45473</v>
      </c>
      <c r="L196" s="147">
        <f>IF(t&lt;Tvie,1-EXP((T0-t)*PertePVj)+'2023'!Pspv,1-EXP((T0-t)*PertePVj)+Pspv)</f>
        <v>3.7567727094860337E-2</v>
      </c>
      <c r="M196" s="832"/>
      <c r="N196" s="832"/>
      <c r="O196" s="48">
        <f>IF(t&lt;Tnet,'2023'!Resal+('2023'!Salim-'2023'!Resal)*(1-EXP(('2023'!Tnet-t)/('2023'!Tau_j))),Resal+(Salim-Resal)*(1-EXP((Tnet-t)/(Tau_j))))*Salcycl</f>
        <v>4.4357010478565509E-2</v>
      </c>
      <c r="P196" s="169">
        <f>(INDEX(Models!$BJ196:$BT196,,T196)*(1-R196)+INDEX(Models!$BJ196:$BT196,,T196+1)*R196-ERP_i)*Q196*Ramure*Pc/MaxiM</f>
        <v>3.8219891870975561E-4</v>
      </c>
      <c r="Q196" s="304">
        <f t="shared" si="53"/>
        <v>0.7</v>
      </c>
      <c r="R196" s="177">
        <f t="shared" si="54"/>
        <v>1.5848536722767648E-2</v>
      </c>
      <c r="S196" s="799">
        <f t="shared" si="55"/>
        <v>1</v>
      </c>
      <c r="T196" s="176">
        <f t="shared" si="56"/>
        <v>7</v>
      </c>
      <c r="U196" s="250">
        <f t="shared" si="57"/>
        <v>1.0158485367227676</v>
      </c>
      <c r="V196" s="382">
        <f t="shared" si="58"/>
        <v>55.616280628638847</v>
      </c>
      <c r="W196" s="400">
        <f t="shared" si="59"/>
        <v>39.795801693918243</v>
      </c>
      <c r="X196" s="157">
        <f t="shared" si="60"/>
        <v>45473</v>
      </c>
      <c r="Y196" s="383">
        <f t="shared" si="61"/>
        <v>39.325637204872407</v>
      </c>
      <c r="Z196" s="383">
        <f t="shared" si="62"/>
        <v>40.860680083146448</v>
      </c>
      <c r="AA196" s="384">
        <f t="shared" si="63"/>
        <v>43.26778481051165</v>
      </c>
      <c r="AB196" s="197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5.5632723928598457E-2</v>
      </c>
      <c r="AD196" s="230">
        <f>(INDEX(Models!$BJ196:$BT196,,AH196)*(1-AF196)+INDEX(Models!$BJ196:$BT196,,AH196+1)*AF196-ERP_i)*AE196*Ramure*Pc/MaxiM</f>
        <v>4.0834032262184258E-4</v>
      </c>
      <c r="AE196" s="304">
        <f t="shared" si="65"/>
        <v>0.7</v>
      </c>
      <c r="AF196" s="177">
        <f t="shared" si="66"/>
        <v>8.0180758982599798E-2</v>
      </c>
      <c r="AG196" s="799">
        <f t="shared" si="74"/>
        <v>1</v>
      </c>
      <c r="AH196" s="176">
        <f t="shared" si="67"/>
        <v>7</v>
      </c>
      <c r="AI196" s="224">
        <f t="shared" si="68"/>
        <v>1.0801807589825998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45474</v>
      </c>
      <c r="B197" s="409">
        <f>'2023'!Wh/'2023'!Env_an*'2024'!Env_an</f>
        <v>55.831048218050519</v>
      </c>
      <c r="C197" s="829"/>
      <c r="D197" s="391">
        <f t="shared" si="50"/>
        <v>58.011477586186459</v>
      </c>
      <c r="E197" s="383">
        <f t="shared" si="75"/>
        <v>60.709052278753582</v>
      </c>
      <c r="F197" s="383">
        <f t="shared" si="51"/>
        <v>60.732368619296246</v>
      </c>
      <c r="G197" s="110">
        <f t="shared" si="76"/>
        <v>1.0056407759433339</v>
      </c>
      <c r="H197" s="412" t="b">
        <f>Wh_hp&gt;='2023'!Maxi_hp</f>
        <v>0</v>
      </c>
      <c r="I197" s="388">
        <f>IF(H197,Wh_hp,'2023'!Maxi_hp)</f>
        <v>60.73236861929626</v>
      </c>
      <c r="J197" s="85">
        <f>IF(H197,An,'2023'!An_max)</f>
        <v>2022</v>
      </c>
      <c r="K197" s="197">
        <f t="shared" si="52"/>
        <v>45474</v>
      </c>
      <c r="L197" s="147">
        <f>IF(t&lt;Tvie,1-EXP((T0-t)*PertePVj)+'2023'!Pspv,1-EXP((T0-t)*PertePVj)+Pspv)</f>
        <v>3.7586171889804398E-2</v>
      </c>
      <c r="M197" s="832"/>
      <c r="N197" s="832"/>
      <c r="O197" s="48">
        <f>IF(t&lt;Tnet,'2023'!Resal+('2023'!Salim-'2023'!Resal)*(1-EXP(('2023'!Tnet-t)/('2023'!Tau_j))),Resal+(Salim-Resal)*(1-EXP((Tnet-t)/(Tau_j))))*Salcycl</f>
        <v>4.4434472147264981E-2</v>
      </c>
      <c r="P197" s="169">
        <f>(INDEX(Models!$BJ197:$BT197,,T197)*(1-R197)+INDEX(Models!$BJ197:$BT197,,T197+1)*R197-ERP_i)*Q197*Ramure*Pc/MaxiM</f>
        <v>3.8391949915251119E-4</v>
      </c>
      <c r="Q197" s="304">
        <f t="shared" si="53"/>
        <v>0.7</v>
      </c>
      <c r="R197" s="177">
        <f t="shared" si="54"/>
        <v>1.9255748968896258E-2</v>
      </c>
      <c r="S197" s="799">
        <f t="shared" si="55"/>
        <v>1</v>
      </c>
      <c r="T197" s="176">
        <f t="shared" si="56"/>
        <v>7</v>
      </c>
      <c r="U197" s="250">
        <f t="shared" si="57"/>
        <v>1.0192557489688963</v>
      </c>
      <c r="V197" s="382">
        <f t="shared" si="58"/>
        <v>55.517884272024077</v>
      </c>
      <c r="W197" s="400">
        <f t="shared" si="59"/>
        <v>55.831048218050519</v>
      </c>
      <c r="X197" s="157">
        <f t="shared" si="60"/>
        <v>45474</v>
      </c>
      <c r="Y197" s="383">
        <f t="shared" si="61"/>
        <v>55.171404854167704</v>
      </c>
      <c r="Z197" s="383">
        <f t="shared" si="62"/>
        <v>57.326072467706297</v>
      </c>
      <c r="AA197" s="384">
        <f t="shared" si="63"/>
        <v>60.707457887441109</v>
      </c>
      <c r="AB197" s="197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5.5699670804933099E-2</v>
      </c>
      <c r="AD197" s="230">
        <f>(INDEX(Models!$BJ197:$BT197,,AH197)*(1-AF197)+INDEX(Models!$BJ197:$BT197,,AH197+1)*AF197-ERP_i)*AE197*Ramure*Pc/MaxiM</f>
        <v>4.1017224293187019E-4</v>
      </c>
      <c r="AE197" s="304">
        <f t="shared" si="65"/>
        <v>0.7</v>
      </c>
      <c r="AF197" s="177">
        <f t="shared" si="66"/>
        <v>8.3587971228728408E-2</v>
      </c>
      <c r="AG197" s="799">
        <f t="shared" si="74"/>
        <v>1</v>
      </c>
      <c r="AH197" s="176">
        <f t="shared" si="67"/>
        <v>7</v>
      </c>
      <c r="AI197" s="224">
        <f t="shared" si="68"/>
        <v>1.0835879712287284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45475</v>
      </c>
      <c r="B198" s="409">
        <f>'2023'!Wh/'2023'!Env_an*'2024'!Env_an</f>
        <v>50.71028305966847</v>
      </c>
      <c r="C198" s="829"/>
      <c r="D198" s="391">
        <f t="shared" si="50"/>
        <v>52.691735559200318</v>
      </c>
      <c r="E198" s="383">
        <f t="shared" si="75"/>
        <v>55.146367799350706</v>
      </c>
      <c r="F198" s="383">
        <f t="shared" si="51"/>
        <v>55.16516980956694</v>
      </c>
      <c r="G198" s="110">
        <f t="shared" si="76"/>
        <v>0.91501881653460082</v>
      </c>
      <c r="H198" s="412" t="b">
        <f>Wh_hp&gt;='2023'!Maxi_hp</f>
        <v>0</v>
      </c>
      <c r="I198" s="388">
        <f>IF(H198,Wh_hp,'2023'!Maxi_hp)</f>
        <v>55.166547577749505</v>
      </c>
      <c r="J198" s="85">
        <f>IF(H198,An,'2023'!An_max)</f>
        <v>2022</v>
      </c>
      <c r="K198" s="197">
        <f t="shared" si="52"/>
        <v>45475</v>
      </c>
      <c r="L198" s="147">
        <f>IF(t&lt;Tvie,1-EXP((T0-t)*PertePVj)+'2023'!Pspv,1-EXP((T0-t)*PertePVj)+Pspv)</f>
        <v>3.7604616331258334E-2</v>
      </c>
      <c r="M198" s="832"/>
      <c r="N198" s="832"/>
      <c r="O198" s="48">
        <f>IF(t&lt;Tnet,'2023'!Resal+('2023'!Salim-'2023'!Resal)*(1-EXP(('2023'!Tnet-t)/('2023'!Tau_j))),Resal+(Salim-Resal)*(1-EXP((Tnet-t)/(Tau_j))))*Salcycl</f>
        <v>4.4511222372460364E-2</v>
      </c>
      <c r="P198" s="169">
        <f>(INDEX(Models!$BJ198:$BT198,,T198)*(1-R198)+INDEX(Models!$BJ198:$BT198,,T198+1)*R198-ERP_i)*Q198*Ramure*Pc/MaxiM</f>
        <v>3.8789889168001852E-4</v>
      </c>
      <c r="Q198" s="304">
        <f t="shared" si="53"/>
        <v>0.7</v>
      </c>
      <c r="R198" s="177">
        <f t="shared" si="54"/>
        <v>2.260416958273348E-2</v>
      </c>
      <c r="S198" s="799">
        <f t="shared" si="55"/>
        <v>1</v>
      </c>
      <c r="T198" s="176">
        <f t="shared" si="56"/>
        <v>7</v>
      </c>
      <c r="U198" s="250">
        <f t="shared" si="57"/>
        <v>1.0226041695827335</v>
      </c>
      <c r="V198" s="382">
        <f t="shared" si="58"/>
        <v>55.4173253192997</v>
      </c>
      <c r="W198" s="400">
        <f t="shared" si="59"/>
        <v>50.71028305966847</v>
      </c>
      <c r="X198" s="157">
        <f t="shared" si="60"/>
        <v>45475</v>
      </c>
      <c r="Y198" s="383">
        <f t="shared" si="61"/>
        <v>50.111801880440979</v>
      </c>
      <c r="Z198" s="383">
        <f t="shared" si="62"/>
        <v>52.069869339366612</v>
      </c>
      <c r="AA198" s="384">
        <f t="shared" si="63"/>
        <v>55.14507568800839</v>
      </c>
      <c r="AB198" s="197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5.5765747172788829E-2</v>
      </c>
      <c r="AD198" s="230">
        <f>(INDEX(Models!$BJ198:$BT198,,AH198)*(1-AF198)+INDEX(Models!$BJ198:$BT198,,AH198+1)*AF198-ERP_i)*AE198*Ramure*Pc/MaxiM</f>
        <v>4.1455607098403262E-4</v>
      </c>
      <c r="AE198" s="304">
        <f t="shared" si="65"/>
        <v>0.7</v>
      </c>
      <c r="AF198" s="177">
        <f t="shared" si="66"/>
        <v>8.693639184256563E-2</v>
      </c>
      <c r="AG198" s="799">
        <f t="shared" si="74"/>
        <v>1</v>
      </c>
      <c r="AH198" s="176">
        <f t="shared" si="67"/>
        <v>7</v>
      </c>
      <c r="AI198" s="224">
        <f t="shared" si="68"/>
        <v>1.0869363918425656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45476</v>
      </c>
      <c r="B199" s="409">
        <f>'2023'!Wh/'2023'!Env_an*'2024'!Env_an</f>
        <v>42.862839773842374</v>
      </c>
      <c r="C199" s="829"/>
      <c r="D199" s="391">
        <f t="shared" si="50"/>
        <v>44.538515015243604</v>
      </c>
      <c r="E199" s="383">
        <f t="shared" si="75"/>
        <v>46.617041876927367</v>
      </c>
      <c r="F199" s="383">
        <f t="shared" si="51"/>
        <v>46.629511735032352</v>
      </c>
      <c r="G199" s="110">
        <f t="shared" si="76"/>
        <v>0.77478950787625334</v>
      </c>
      <c r="H199" s="412" t="b">
        <f>Wh_hp&gt;='2023'!Maxi_hp</f>
        <v>0</v>
      </c>
      <c r="I199" s="388">
        <f>IF(H199,Wh_hp,'2023'!Maxi_hp)</f>
        <v>58.802223324731905</v>
      </c>
      <c r="J199" s="85">
        <f>IF(H199,An,'2023'!An_max)</f>
        <v>2018</v>
      </c>
      <c r="K199" s="197">
        <f t="shared" si="52"/>
        <v>45476</v>
      </c>
      <c r="L199" s="147">
        <f>IF(t&lt;Tvie,1-EXP((T0-t)*PertePVj)+'2023'!Pspv,1-EXP((T0-t)*PertePVj)+Pspv)</f>
        <v>3.7623060419228582E-2</v>
      </c>
      <c r="M199" s="832"/>
      <c r="N199" s="832"/>
      <c r="O199" s="48">
        <f>IF(t&lt;Tnet,'2023'!Resal+('2023'!Salim-'2023'!Resal)*(1-EXP(('2023'!Tnet-t)/('2023'!Tau_j))),Resal+(Salim-Resal)*(1-EXP((Tnet-t)/(Tau_j))))*Salcycl</f>
        <v>4.458727491056251E-2</v>
      </c>
      <c r="P199" s="169">
        <f>(INDEX(Models!$BJ199:$BT199,,T199)*(1-R199)+INDEX(Models!$BJ199:$BT199,,T199+1)*R199-ERP_i)*Q199*Ramure*Pc/MaxiM</f>
        <v>3.9419190658772428E-4</v>
      </c>
      <c r="Q199" s="304">
        <f t="shared" si="53"/>
        <v>0.7</v>
      </c>
      <c r="R199" s="177">
        <f t="shared" si="54"/>
        <v>2.5892553761899251E-2</v>
      </c>
      <c r="S199" s="799">
        <f t="shared" si="55"/>
        <v>1</v>
      </c>
      <c r="T199" s="176">
        <f t="shared" si="56"/>
        <v>7</v>
      </c>
      <c r="U199" s="250">
        <f t="shared" si="57"/>
        <v>1.0258925537618993</v>
      </c>
      <c r="V199" s="382">
        <f t="shared" si="58"/>
        <v>55.31490070422533</v>
      </c>
      <c r="W199" s="400">
        <f t="shared" si="59"/>
        <v>42.862839773842374</v>
      </c>
      <c r="X199" s="157">
        <f t="shared" si="60"/>
        <v>45476</v>
      </c>
      <c r="Y199" s="383">
        <f t="shared" si="61"/>
        <v>42.357625698876262</v>
      </c>
      <c r="Z199" s="383">
        <f t="shared" si="62"/>
        <v>44.013550155646911</v>
      </c>
      <c r="AA199" s="384">
        <f t="shared" si="63"/>
        <v>46.616176586128482</v>
      </c>
      <c r="AB199" s="197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5.5830971587147164E-2</v>
      </c>
      <c r="AD199" s="230">
        <f>(INDEX(Models!$BJ199:$BT199,,AH199)*(1-AF199)+INDEX(Models!$BJ199:$BT199,,AH199+1)*AF199-ERP_i)*AE199*Ramure*Pc/MaxiM</f>
        <v>4.2154511517228821E-4</v>
      </c>
      <c r="AE199" s="304">
        <f t="shared" si="65"/>
        <v>0.7</v>
      </c>
      <c r="AF199" s="177">
        <f t="shared" si="66"/>
        <v>9.0224776021731401E-2</v>
      </c>
      <c r="AG199" s="799">
        <f t="shared" si="74"/>
        <v>1</v>
      </c>
      <c r="AH199" s="176">
        <f t="shared" si="67"/>
        <v>7</v>
      </c>
      <c r="AI199" s="224">
        <f t="shared" si="68"/>
        <v>1.0902247760217314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45477</v>
      </c>
      <c r="B200" s="409">
        <f>'2023'!Wh/'2023'!Env_an*'2024'!Env_an</f>
        <v>55.009875552206552</v>
      </c>
      <c r="C200" s="829"/>
      <c r="D200" s="391">
        <f t="shared" si="50"/>
        <v>57.161521189493975</v>
      </c>
      <c r="E200" s="383">
        <f t="shared" si="75"/>
        <v>59.833859611077457</v>
      </c>
      <c r="F200" s="383">
        <f t="shared" si="51"/>
        <v>59.857848176317212</v>
      </c>
      <c r="G200" s="110">
        <f t="shared" si="76"/>
        <v>0.99635675410178093</v>
      </c>
      <c r="H200" s="412" t="b">
        <f>Wh_hp&gt;='2023'!Maxi_hp</f>
        <v>0</v>
      </c>
      <c r="I200" s="388">
        <f>IF(H200,Wh_hp,'2023'!Maxi_hp)</f>
        <v>59.857915461970457</v>
      </c>
      <c r="J200" s="85">
        <f>IF(H200,An,'2023'!An_max)</f>
        <v>2022</v>
      </c>
      <c r="K200" s="197">
        <f t="shared" si="52"/>
        <v>45477</v>
      </c>
      <c r="L200" s="147">
        <f>IF(t&lt;Tvie,1-EXP((T0-t)*PertePVj)+'2023'!Pspv,1-EXP((T0-t)*PertePVj)+Pspv)</f>
        <v>3.7641504153722249E-2</v>
      </c>
      <c r="M200" s="832"/>
      <c r="N200" s="832"/>
      <c r="O200" s="48">
        <f>IF(t&lt;Tnet,'2023'!Resal+('2023'!Salim-'2023'!Resal)*(1-EXP(('2023'!Tnet-t)/('2023'!Tau_j))),Resal+(Salim-Resal)*(1-EXP((Tnet-t)/(Tau_j))))*Salcycl</f>
        <v>4.466264484614213E-2</v>
      </c>
      <c r="P200" s="169">
        <f>(INDEX(Models!$BJ200:$BT200,,T200)*(1-R200)+INDEX(Models!$BJ200:$BT200,,T200+1)*R200-ERP_i)*Q200*Ramure*Pc/MaxiM</f>
        <v>4.028544063434242E-4</v>
      </c>
      <c r="Q200" s="304">
        <f t="shared" si="53"/>
        <v>0.7</v>
      </c>
      <c r="R200" s="177">
        <f t="shared" si="54"/>
        <v>2.9119800449878275E-2</v>
      </c>
      <c r="S200" s="799">
        <f t="shared" si="55"/>
        <v>1</v>
      </c>
      <c r="T200" s="176">
        <f t="shared" si="56"/>
        <v>7</v>
      </c>
      <c r="U200" s="250">
        <f t="shared" si="57"/>
        <v>1.0291198004498783</v>
      </c>
      <c r="V200" s="382">
        <f t="shared" si="58"/>
        <v>55.210907143295209</v>
      </c>
      <c r="W200" s="400">
        <f t="shared" si="59"/>
        <v>55.009875552206552</v>
      </c>
      <c r="X200" s="157">
        <f t="shared" si="60"/>
        <v>45477</v>
      </c>
      <c r="Y200" s="383">
        <f t="shared" si="61"/>
        <v>54.361543947851587</v>
      </c>
      <c r="Z200" s="383">
        <f t="shared" si="62"/>
        <v>56.48783086810824</v>
      </c>
      <c r="AA200" s="384">
        <f t="shared" si="63"/>
        <v>59.832171908858307</v>
      </c>
      <c r="AB200" s="197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5.5895364217171783E-2</v>
      </c>
      <c r="AD200" s="230">
        <f>(INDEX(Models!$BJ200:$BT200,,AH200)*(1-AF200)+INDEX(Models!$BJ200:$BT200,,AH200+1)*AF200-ERP_i)*AE200*Ramure*Pc/MaxiM</f>
        <v>4.3119700494346699E-4</v>
      </c>
      <c r="AE200" s="304">
        <f t="shared" si="65"/>
        <v>0.7</v>
      </c>
      <c r="AF200" s="177">
        <f t="shared" si="66"/>
        <v>9.3452022709710425E-2</v>
      </c>
      <c r="AG200" s="799">
        <f t="shared" si="74"/>
        <v>1</v>
      </c>
      <c r="AH200" s="176">
        <f t="shared" si="67"/>
        <v>7</v>
      </c>
      <c r="AI200" s="224">
        <f t="shared" si="68"/>
        <v>1.0934520227097104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45478</v>
      </c>
      <c r="B201" s="409">
        <f>'2023'!Wh/'2023'!Env_an*'2024'!Env_an</f>
        <v>39.151990466101985</v>
      </c>
      <c r="C201" s="829"/>
      <c r="D201" s="391">
        <f t="shared" si="50"/>
        <v>40.684153554458433</v>
      </c>
      <c r="E201" s="383">
        <f t="shared" si="75"/>
        <v>42.58949461635779</v>
      </c>
      <c r="F201" s="383">
        <f t="shared" si="51"/>
        <v>42.599835322303228</v>
      </c>
      <c r="G201" s="110">
        <f t="shared" si="76"/>
        <v>0.71036803305343288</v>
      </c>
      <c r="H201" s="412" t="b">
        <f>Wh_hp&gt;='2023'!Maxi_hp</f>
        <v>0</v>
      </c>
      <c r="I201" s="388">
        <f>IF(H201,Wh_hp,'2023'!Maxi_hp)</f>
        <v>58.562115804958381</v>
      </c>
      <c r="J201" s="85">
        <f>IF(H201,An,'2023'!An_max)</f>
        <v>2020</v>
      </c>
      <c r="K201" s="197">
        <f t="shared" si="52"/>
        <v>45478</v>
      </c>
      <c r="L201" s="147">
        <f>IF(t&lt;Tvie,1-EXP((T0-t)*PertePVj)+'2023'!Pspv,1-EXP((T0-t)*PertePVj)+Pspv)</f>
        <v>3.7659947534745886E-2</v>
      </c>
      <c r="M201" s="832"/>
      <c r="N201" s="832"/>
      <c r="O201" s="48">
        <f>IF(t&lt;Tnet,'2023'!Resal+('2023'!Salim-'2023'!Resal)*(1-EXP(('2023'!Tnet-t)/('2023'!Tau_j))),Resal+(Salim-Resal)*(1-EXP((Tnet-t)/(Tau_j))))*Salcycl</f>
        <v>4.4737348472023208E-2</v>
      </c>
      <c r="P201" s="169">
        <f>(INDEX(Models!$BJ201:$BT201,,T201)*(1-R201)+INDEX(Models!$BJ201:$BT201,,T201+1)*R201-ERP_i)*Q201*Ramure*Pc/MaxiM</f>
        <v>4.1394061970279457E-4</v>
      </c>
      <c r="Q201" s="304">
        <f t="shared" si="53"/>
        <v>0.7</v>
      </c>
      <c r="R201" s="177">
        <f t="shared" si="54"/>
        <v>3.228495041877899E-2</v>
      </c>
      <c r="S201" s="799">
        <f t="shared" si="55"/>
        <v>1</v>
      </c>
      <c r="T201" s="176">
        <f t="shared" si="56"/>
        <v>7</v>
      </c>
      <c r="U201" s="250">
        <f t="shared" si="57"/>
        <v>1.032284950418779</v>
      </c>
      <c r="V201" s="382">
        <f t="shared" si="58"/>
        <v>55.105641290632484</v>
      </c>
      <c r="W201" s="400">
        <f t="shared" si="59"/>
        <v>39.151990466101985</v>
      </c>
      <c r="X201" s="157">
        <f t="shared" si="60"/>
        <v>45478</v>
      </c>
      <c r="Y201" s="383">
        <f t="shared" si="61"/>
        <v>38.691394405380549</v>
      </c>
      <c r="Z201" s="383">
        <f t="shared" si="62"/>
        <v>40.205532655804667</v>
      </c>
      <c r="AA201" s="384">
        <f t="shared" si="63"/>
        <v>42.588754498475467</v>
      </c>
      <c r="AB201" s="197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5.5958946692280236E-2</v>
      </c>
      <c r="AD201" s="230">
        <f>(INDEX(Models!$BJ201:$BT201,,AH201)*(1-AF201)+INDEX(Models!$BJ201:$BT201,,AH201+1)*AF201-ERP_i)*AE201*Ramure*Pc/MaxiM</f>
        <v>4.4356769318094441E-4</v>
      </c>
      <c r="AE201" s="304">
        <f t="shared" si="65"/>
        <v>0.7</v>
      </c>
      <c r="AF201" s="177">
        <f t="shared" si="66"/>
        <v>9.6617172678611141E-2</v>
      </c>
      <c r="AG201" s="799">
        <f t="shared" si="74"/>
        <v>1</v>
      </c>
      <c r="AH201" s="176">
        <f t="shared" si="67"/>
        <v>7</v>
      </c>
      <c r="AI201" s="224">
        <f t="shared" si="68"/>
        <v>1.0966171726786111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45479</v>
      </c>
      <c r="B202" s="409">
        <f>'2023'!Wh/'2023'!Env_an*'2024'!Env_an</f>
        <v>54.688769184898902</v>
      </c>
      <c r="C202" s="829"/>
      <c r="D202" s="391">
        <f t="shared" si="50"/>
        <v>56.830033378191295</v>
      </c>
      <c r="E202" s="383">
        <f t="shared" si="75"/>
        <v>59.496138842599279</v>
      </c>
      <c r="F202" s="383">
        <f t="shared" si="51"/>
        <v>59.521379105843351</v>
      </c>
      <c r="G202" s="110">
        <f t="shared" si="76"/>
        <v>0.99434867872038835</v>
      </c>
      <c r="H202" s="412" t="b">
        <f>Wh_hp&gt;='2023'!Maxi_hp</f>
        <v>0</v>
      </c>
      <c r="I202" s="388">
        <f>IF(H202,Wh_hp,'2023'!Maxi_hp)</f>
        <v>59.521491557725845</v>
      </c>
      <c r="J202" s="85">
        <f>IF(H202,An,'2023'!An_max)</f>
        <v>2022</v>
      </c>
      <c r="K202" s="197">
        <f t="shared" si="52"/>
        <v>45479</v>
      </c>
      <c r="L202" s="147">
        <f>IF(t&lt;Tvie,1-EXP((T0-t)*PertePVj)+'2023'!Pspv,1-EXP((T0-t)*PertePVj)+Pspv)</f>
        <v>3.7678390562306263E-2</v>
      </c>
      <c r="M202" s="832"/>
      <c r="N202" s="832"/>
      <c r="O202" s="48">
        <f>IF(t&lt;Tnet,'2023'!Resal+('2023'!Salim-'2023'!Resal)*(1-EXP(('2023'!Tnet-t)/('2023'!Tau_j))),Resal+(Salim-Resal)*(1-EXP((Tnet-t)/(Tau_j))))*Salcycl</f>
        <v>4.4811403164520119E-2</v>
      </c>
      <c r="P202" s="169">
        <f>(INDEX(Models!$BJ202:$BT202,,T202)*(1-R202)+INDEX(Models!$BJ202:$BT202,,T202+1)*R202-ERP_i)*Q202*Ramure*Pc/MaxiM</f>
        <v>4.2750300844924725E-4</v>
      </c>
      <c r="Q202" s="304">
        <f t="shared" si="53"/>
        <v>0.7</v>
      </c>
      <c r="R202" s="177">
        <f t="shared" si="54"/>
        <v>3.538718379081085E-2</v>
      </c>
      <c r="S202" s="799">
        <f t="shared" si="55"/>
        <v>1</v>
      </c>
      <c r="T202" s="176">
        <f t="shared" si="56"/>
        <v>7</v>
      </c>
      <c r="U202" s="250">
        <f t="shared" si="57"/>
        <v>1.0353871837908108</v>
      </c>
      <c r="V202" s="382">
        <f t="shared" si="58"/>
        <v>54.999399746619403</v>
      </c>
      <c r="W202" s="400">
        <f t="shared" si="59"/>
        <v>54.688769184898902</v>
      </c>
      <c r="X202" s="157">
        <f t="shared" si="60"/>
        <v>45479</v>
      </c>
      <c r="Y202" s="383">
        <f t="shared" si="61"/>
        <v>54.045253925445884</v>
      </c>
      <c r="Z202" s="383">
        <f t="shared" si="62"/>
        <v>56.16132215614045</v>
      </c>
      <c r="AA202" s="384">
        <f t="shared" si="63"/>
        <v>59.494296268770412</v>
      </c>
      <c r="AB202" s="197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5.6021741942672454E-2</v>
      </c>
      <c r="AD202" s="230">
        <f>(INDEX(Models!$BJ202:$BT202,,AH202)*(1-AF202)+INDEX(Models!$BJ202:$BT202,,AH202+1)*AF202-ERP_i)*AE202*Ramure*Pc/MaxiM</f>
        <v>4.587113143023071E-4</v>
      </c>
      <c r="AE202" s="304">
        <f t="shared" si="65"/>
        <v>0.7</v>
      </c>
      <c r="AF202" s="177">
        <f t="shared" si="66"/>
        <v>9.9719406050643E-2</v>
      </c>
      <c r="AG202" s="799">
        <f t="shared" si="74"/>
        <v>1</v>
      </c>
      <c r="AH202" s="176">
        <f t="shared" si="67"/>
        <v>7</v>
      </c>
      <c r="AI202" s="224">
        <f t="shared" si="68"/>
        <v>1.099719406050643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45480</v>
      </c>
      <c r="B203" s="409">
        <f>'2023'!Wh/'2023'!Env_an*'2024'!Env_an</f>
        <v>55.842334097600521</v>
      </c>
      <c r="C203" s="829"/>
      <c r="D203" s="391">
        <f t="shared" si="50"/>
        <v>58.029876681596107</v>
      </c>
      <c r="E203" s="383">
        <f t="shared" si="75"/>
        <v>60.756941505603955</v>
      </c>
      <c r="F203" s="383">
        <f t="shared" si="51"/>
        <v>60.783904768053461</v>
      </c>
      <c r="G203" s="110">
        <f t="shared" si="76"/>
        <v>1.0173039193298981</v>
      </c>
      <c r="H203" s="412" t="b">
        <f>Wh_hp&gt;='2023'!Maxi_hp</f>
        <v>0</v>
      </c>
      <c r="I203" s="388">
        <f>IF(H203,Wh_hp,'2023'!Maxi_hp)</f>
        <v>61.731530922923696</v>
      </c>
      <c r="J203" s="85">
        <f>IF(H203,An,'2023'!An_max)</f>
        <v>2020</v>
      </c>
      <c r="K203" s="197">
        <f t="shared" si="52"/>
        <v>45480</v>
      </c>
      <c r="L203" s="147">
        <f>IF(t&lt;Tvie,1-EXP((T0-t)*PertePVj)+'2023'!Pspv,1-EXP((T0-t)*PertePVj)+Pspv)</f>
        <v>3.7696833236410376E-2</v>
      </c>
      <c r="M203" s="832"/>
      <c r="N203" s="832"/>
      <c r="O203" s="48">
        <f>IF(t&lt;Tnet,'2023'!Resal+('2023'!Salim-'2023'!Resal)*(1-EXP(('2023'!Tnet-t)/('2023'!Tau_j))),Resal+(Salim-Resal)*(1-EXP((Tnet-t)/(Tau_j))))*Salcycl</f>
        <v>4.4884827254780664E-2</v>
      </c>
      <c r="P203" s="169">
        <f>(INDEX(Models!$BJ203:$BT203,,T203)*(1-R203)+INDEX(Models!$BJ203:$BT203,,T203+1)*R203-ERP_i)*Q203*Ramure*Pc/MaxiM</f>
        <v>4.4359214091945365E-4</v>
      </c>
      <c r="Q203" s="304">
        <f t="shared" si="53"/>
        <v>0.7</v>
      </c>
      <c r="R203" s="177">
        <f t="shared" si="54"/>
        <v>3.8425817043292732E-2</v>
      </c>
      <c r="S203" s="799">
        <f t="shared" si="55"/>
        <v>1</v>
      </c>
      <c r="T203" s="176">
        <f t="shared" si="56"/>
        <v>7</v>
      </c>
      <c r="U203" s="250">
        <f t="shared" si="57"/>
        <v>1.0384258170432927</v>
      </c>
      <c r="V203" s="382">
        <f t="shared" si="58"/>
        <v>54.892479067989896</v>
      </c>
      <c r="W203" s="400">
        <f t="shared" si="59"/>
        <v>55.842334097600521</v>
      </c>
      <c r="X203" s="157">
        <f t="shared" si="60"/>
        <v>45480</v>
      </c>
      <c r="Y203" s="383">
        <f t="shared" si="61"/>
        <v>55.185742935331497</v>
      </c>
      <c r="Z203" s="383">
        <f t="shared" si="62"/>
        <v>57.34756451122545</v>
      </c>
      <c r="AA203" s="384">
        <f t="shared" si="63"/>
        <v>60.754930293341815</v>
      </c>
      <c r="AB203" s="197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5.6083774035533468E-2</v>
      </c>
      <c r="AD203" s="230">
        <f>(INDEX(Models!$BJ203:$BT203,,AH203)*(1-AF203)+INDEX(Models!$BJ203:$BT203,,AH203+1)*AF203-ERP_i)*AE203*Ramure*Pc/MaxiM</f>
        <v>4.766800491381689E-4</v>
      </c>
      <c r="AE203" s="304">
        <f t="shared" si="65"/>
        <v>0.7</v>
      </c>
      <c r="AF203" s="177">
        <f t="shared" si="66"/>
        <v>0.10275803930312488</v>
      </c>
      <c r="AG203" s="799">
        <f t="shared" si="74"/>
        <v>1</v>
      </c>
      <c r="AH203" s="176">
        <f t="shared" si="67"/>
        <v>7</v>
      </c>
      <c r="AI203" s="224">
        <f t="shared" si="68"/>
        <v>1.1027580393031249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45481</v>
      </c>
      <c r="B204" s="409">
        <f>'2023'!Wh/'2023'!Env_an*'2024'!Env_an</f>
        <v>55.488234529663536</v>
      </c>
      <c r="C204" s="829"/>
      <c r="D204" s="391">
        <f t="shared" si="50"/>
        <v>57.663010874235347</v>
      </c>
      <c r="E204" s="383">
        <f t="shared" si="75"/>
        <v>60.377437989273879</v>
      </c>
      <c r="F204" s="383">
        <f t="shared" si="51"/>
        <v>60.405360764254944</v>
      </c>
      <c r="G204" s="110">
        <f t="shared" si="76"/>
        <v>1.012833010801764</v>
      </c>
      <c r="H204" s="412" t="b">
        <f>Wh_hp&gt;='2023'!Maxi_hp</f>
        <v>1</v>
      </c>
      <c r="I204" s="388">
        <f>IF(H204,Wh_hp,'2023'!Maxi_hp)</f>
        <v>60.405360764254944</v>
      </c>
      <c r="J204" s="85">
        <f>IF(H204,An,'2023'!An_max)</f>
        <v>2024</v>
      </c>
      <c r="K204" s="197">
        <f t="shared" si="52"/>
        <v>45481</v>
      </c>
      <c r="L204" s="147">
        <f>IF(t&lt;Tvie,1-EXP((T0-t)*PertePVj)+'2023'!Pspv,1-EXP((T0-t)*PertePVj)+Pspv)</f>
        <v>3.7715275557064776E-2</v>
      </c>
      <c r="M204" s="832"/>
      <c r="N204" s="832"/>
      <c r="O204" s="48">
        <f>IF(t&lt;Tnet,'2023'!Resal+('2023'!Salim-'2023'!Resal)*(1-EXP(('2023'!Tnet-t)/('2023'!Tau_j))),Resal+(Salim-Resal)*(1-EXP((Tnet-t)/(Tau_j))))*Salcycl</f>
        <v>4.4957639897220472E-2</v>
      </c>
      <c r="P204" s="169">
        <f>(INDEX(Models!$BJ204:$BT204,,T204)*(1-R204)+INDEX(Models!$BJ204:$BT204,,T204+1)*R204-ERP_i)*Q204*Ramure*Pc/MaxiM</f>
        <v>4.622565717310666E-4</v>
      </c>
      <c r="Q204" s="304">
        <f t="shared" si="53"/>
        <v>0.7</v>
      </c>
      <c r="R204" s="177">
        <f t="shared" si="54"/>
        <v>4.1400299543654429E-2</v>
      </c>
      <c r="S204" s="799">
        <f t="shared" si="55"/>
        <v>1</v>
      </c>
      <c r="T204" s="176">
        <f t="shared" si="56"/>
        <v>7</v>
      </c>
      <c r="U204" s="250">
        <f t="shared" si="57"/>
        <v>1.0414002995436544</v>
      </c>
      <c r="V204" s="382">
        <f t="shared" si="58"/>
        <v>54.785175777138974</v>
      </c>
      <c r="W204" s="400">
        <f t="shared" si="59"/>
        <v>55.488234529663536</v>
      </c>
      <c r="X204" s="157">
        <f t="shared" si="60"/>
        <v>45481</v>
      </c>
      <c r="Y204" s="383">
        <f t="shared" si="61"/>
        <v>54.836306855749136</v>
      </c>
      <c r="Z204" s="383">
        <f t="shared" si="62"/>
        <v>56.985531893893224</v>
      </c>
      <c r="AA204" s="384">
        <f t="shared" si="63"/>
        <v>60.37530764779153</v>
      </c>
      <c r="AB204" s="197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5.6145068008151215E-2</v>
      </c>
      <c r="AD204" s="230">
        <f>(INDEX(Models!$BJ204:$BT204,,AH204)*(1-AF204)+INDEX(Models!$BJ204:$BT204,,AH204+1)*AF204-ERP_i)*AE204*Ramure*Pc/MaxiM</f>
        <v>4.9752399593641476E-4</v>
      </c>
      <c r="AE204" s="304">
        <f t="shared" si="65"/>
        <v>0.7</v>
      </c>
      <c r="AF204" s="177">
        <f t="shared" si="66"/>
        <v>0.10573252180348658</v>
      </c>
      <c r="AG204" s="799">
        <f t="shared" si="74"/>
        <v>1</v>
      </c>
      <c r="AH204" s="176">
        <f t="shared" si="67"/>
        <v>7</v>
      </c>
      <c r="AI204" s="224">
        <f t="shared" si="68"/>
        <v>1.1057325218034866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45482</v>
      </c>
      <c r="B205" s="409">
        <f>'2023'!Wh/'2023'!Env_an*'2024'!Env_an</f>
        <v>55.089310602118161</v>
      </c>
      <c r="C205" s="829"/>
      <c r="D205" s="391">
        <f t="shared" si="50"/>
        <v>57.249548909044272</v>
      </c>
      <c r="E205" s="383">
        <f t="shared" si="75"/>
        <v>59.949046119033078</v>
      </c>
      <c r="F205" s="383">
        <f t="shared" si="51"/>
        <v>59.978048580009023</v>
      </c>
      <c r="G205" s="110">
        <f t="shared" si="76"/>
        <v>1.0075441398630591</v>
      </c>
      <c r="H205" s="412" t="b">
        <f>Wh_hp&gt;='2023'!Maxi_hp</f>
        <v>1</v>
      </c>
      <c r="I205" s="388">
        <f>IF(H205,Wh_hp,'2023'!Maxi_hp)</f>
        <v>59.978048580009023</v>
      </c>
      <c r="J205" s="85">
        <f>IF(H205,An,'2023'!An_max)</f>
        <v>2024</v>
      </c>
      <c r="K205" s="197">
        <f t="shared" si="52"/>
        <v>45482</v>
      </c>
      <c r="L205" s="147">
        <f>IF(t&lt;Tvie,1-EXP((T0-t)*PertePVj)+'2023'!Pspv,1-EXP((T0-t)*PertePVj)+Pspv)</f>
        <v>3.7733717524276233E-2</v>
      </c>
      <c r="M205" s="832"/>
      <c r="N205" s="832"/>
      <c r="O205" s="48">
        <f>IF(t&lt;Tnet,'2023'!Resal+('2023'!Salim-'2023'!Resal)*(1-EXP(('2023'!Tnet-t)/('2023'!Tau_j))),Resal+(Salim-Resal)*(1-EXP((Tnet-t)/(Tau_j))))*Salcycl</f>
        <v>4.5029860936048285E-2</v>
      </c>
      <c r="P205" s="169">
        <f>(INDEX(Models!$BJ205:$BT205,,T205)*(1-R205)+INDEX(Models!$BJ205:$BT205,,T205+1)*R205-ERP_i)*Q205*Ramure*Pc/MaxiM</f>
        <v>4.8355126021234048E-4</v>
      </c>
      <c r="Q205" s="304">
        <f t="shared" si="53"/>
        <v>0.7</v>
      </c>
      <c r="R205" s="177">
        <f t="shared" si="54"/>
        <v>4.4310209661917455E-2</v>
      </c>
      <c r="S205" s="799">
        <f t="shared" si="55"/>
        <v>1</v>
      </c>
      <c r="T205" s="176">
        <f t="shared" si="56"/>
        <v>7</v>
      </c>
      <c r="U205" s="250">
        <f t="shared" si="57"/>
        <v>1.0443102096619175</v>
      </c>
      <c r="V205" s="382">
        <f t="shared" si="58"/>
        <v>54.676821017097723</v>
      </c>
      <c r="W205" s="400">
        <f t="shared" si="59"/>
        <v>55.089310602118161</v>
      </c>
      <c r="X205" s="157">
        <f t="shared" si="60"/>
        <v>45482</v>
      </c>
      <c r="Y205" s="383">
        <f t="shared" si="61"/>
        <v>54.442557258825197</v>
      </c>
      <c r="Z205" s="383">
        <f t="shared" si="62"/>
        <v>56.577434178359752</v>
      </c>
      <c r="AA205" s="384">
        <f t="shared" si="63"/>
        <v>59.946782008525375</v>
      </c>
      <c r="AB205" s="197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5.6205649699202401E-2</v>
      </c>
      <c r="AD205" s="230">
        <f>(INDEX(Models!$BJ205:$BT205,,AH205)*(1-AF205)+INDEX(Models!$BJ205:$BT205,,AH205+1)*AF205-ERP_i)*AE205*Ramure*Pc/MaxiM</f>
        <v>5.2130024607156594E-4</v>
      </c>
      <c r="AE205" s="304">
        <f t="shared" si="65"/>
        <v>0.7</v>
      </c>
      <c r="AF205" s="177">
        <f t="shared" si="66"/>
        <v>0.1086424319217496</v>
      </c>
      <c r="AG205" s="799">
        <f t="shared" si="74"/>
        <v>1</v>
      </c>
      <c r="AH205" s="176">
        <f t="shared" si="67"/>
        <v>7</v>
      </c>
      <c r="AI205" s="224">
        <f t="shared" si="68"/>
        <v>1.1086424319217496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45483</v>
      </c>
      <c r="B206" s="409">
        <f>'2023'!Wh/'2023'!Env_an*'2024'!Env_an</f>
        <v>54.230233025038061</v>
      </c>
      <c r="C206" s="829"/>
      <c r="D206" s="391">
        <f t="shared" si="50"/>
        <v>56.357864078406763</v>
      </c>
      <c r="E206" s="383">
        <f t="shared" si="75"/>
        <v>59.019743683859311</v>
      </c>
      <c r="F206" s="383">
        <f t="shared" si="51"/>
        <v>59.049725709648293</v>
      </c>
      <c r="G206" s="110">
        <f t="shared" si="76"/>
        <v>0.9938356314628165</v>
      </c>
      <c r="H206" s="412" t="b">
        <f>Wh_hp&gt;='2023'!Maxi_hp</f>
        <v>0</v>
      </c>
      <c r="I206" s="388">
        <f>IF(H206,Wh_hp,'2023'!Maxi_hp)</f>
        <v>59.049880258417886</v>
      </c>
      <c r="J206" s="85">
        <f>IF(H206,An,'2023'!An_max)</f>
        <v>2022</v>
      </c>
      <c r="K206" s="197">
        <f t="shared" si="52"/>
        <v>45483</v>
      </c>
      <c r="L206" s="147">
        <f>IF(t&lt;Tvie,1-EXP((T0-t)*PertePVj)+'2023'!Pspv,1-EXP((T0-t)*PertePVj)+Pspv)</f>
        <v>3.7752159138051744E-2</v>
      </c>
      <c r="M206" s="832"/>
      <c r="N206" s="832"/>
      <c r="O206" s="48">
        <f>IF(t&lt;Tnet,'2023'!Resal+('2023'!Salim-'2023'!Resal)*(1-EXP(('2023'!Tnet-t)/('2023'!Tau_j))),Resal+(Salim-Resal)*(1-EXP((Tnet-t)/(Tau_j))))*Salcycl</f>
        <v>4.5101510770886623E-2</v>
      </c>
      <c r="P206" s="169">
        <f>(INDEX(Models!$BJ206:$BT206,,T206)*(1-R206)+INDEX(Models!$BJ206:$BT206,,T206+1)*R206-ERP_i)*Q206*Ramure*Pc/MaxiM</f>
        <v>5.1224971356961019E-4</v>
      </c>
      <c r="Q206" s="304">
        <f t="shared" si="53"/>
        <v>0.7</v>
      </c>
      <c r="R206" s="177">
        <f t="shared" si="54"/>
        <v>4.7155250508608804E-2</v>
      </c>
      <c r="S206" s="799">
        <f t="shared" si="55"/>
        <v>1</v>
      </c>
      <c r="T206" s="176">
        <f t="shared" si="56"/>
        <v>7</v>
      </c>
      <c r="U206" s="250">
        <f t="shared" si="57"/>
        <v>1.0471552505086088</v>
      </c>
      <c r="V206" s="382">
        <f t="shared" si="58"/>
        <v>54.566355571935524</v>
      </c>
      <c r="W206" s="400">
        <f t="shared" si="59"/>
        <v>54.230233025038061</v>
      </c>
      <c r="X206" s="157">
        <f t="shared" si="60"/>
        <v>45483</v>
      </c>
      <c r="Y206" s="383">
        <f t="shared" si="61"/>
        <v>53.594037714050344</v>
      </c>
      <c r="Z206" s="383">
        <f t="shared" si="62"/>
        <v>55.696708725314117</v>
      </c>
      <c r="AA206" s="384">
        <f t="shared" si="63"/>
        <v>59.017352248215154</v>
      </c>
      <c r="AB206" s="197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5.6265545579460681E-2</v>
      </c>
      <c r="AD206" s="230">
        <f>(INDEX(Models!$BJ206:$BT206,,AH206)*(1-AF206)+INDEX(Models!$BJ206:$BT206,,AH206+1)*AF206-ERP_i)*AE206*Ramure*Pc/MaxiM</f>
        <v>5.5310793417025087E-4</v>
      </c>
      <c r="AE206" s="304">
        <f t="shared" si="65"/>
        <v>0.7</v>
      </c>
      <c r="AF206" s="177">
        <f t="shared" si="66"/>
        <v>0.11148747276844095</v>
      </c>
      <c r="AG206" s="799">
        <f t="shared" si="74"/>
        <v>1</v>
      </c>
      <c r="AH206" s="176">
        <f t="shared" si="67"/>
        <v>7</v>
      </c>
      <c r="AI206" s="224">
        <f t="shared" si="68"/>
        <v>1.111487472768441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45484</v>
      </c>
      <c r="B207" s="409">
        <f>'2023'!Wh/'2023'!Env_an*'2024'!Env_an</f>
        <v>53.070077213907716</v>
      </c>
      <c r="C207" s="829"/>
      <c r="D207" s="391">
        <f t="shared" ref="D207:D270" si="77">Wh/(1-Ppv)</f>
        <v>55.153248524604059</v>
      </c>
      <c r="E207" s="383">
        <f t="shared" si="75"/>
        <v>57.762532909173778</v>
      </c>
      <c r="F207" s="383">
        <f t="shared" ref="F207:F270" si="78">Wh_sa/(1-Pvg*MEDIAN((-Sdif+Wh/Env_an)/Csdif,0,1))</f>
        <v>57.793085065346688</v>
      </c>
      <c r="G207" s="110">
        <f t="shared" si="76"/>
        <v>0.97456838768920917</v>
      </c>
      <c r="H207" s="412" t="b">
        <f>Wh_hp&gt;='2023'!Maxi_hp</f>
        <v>0</v>
      </c>
      <c r="I207" s="388">
        <f>IF(H207,Wh_hp,'2023'!Maxi_hp)</f>
        <v>57.793763813977158</v>
      </c>
      <c r="J207" s="85">
        <f>IF(H207,An,'2023'!An_max)</f>
        <v>2022</v>
      </c>
      <c r="K207" s="197">
        <f t="shared" ref="K207:K270" si="79">t</f>
        <v>45484</v>
      </c>
      <c r="L207" s="147">
        <f>IF(t&lt;Tvie,1-EXP((T0-t)*PertePVj)+'2023'!Pspv,1-EXP((T0-t)*PertePVj)+Pspv)</f>
        <v>3.7770600398397858E-2</v>
      </c>
      <c r="M207" s="832"/>
      <c r="N207" s="832"/>
      <c r="O207" s="48">
        <f>IF(t&lt;Tnet,'2023'!Resal+('2023'!Salim-'2023'!Resal)*(1-EXP(('2023'!Tnet-t)/('2023'!Tau_j))),Resal+(Salim-Resal)*(1-EXP((Tnet-t)/(Tau_j))))*Salcycl</f>
        <v>4.517261022248769E-2</v>
      </c>
      <c r="P207" s="169">
        <f>(INDEX(Models!$BJ207:$BT207,,T207)*(1-R207)+INDEX(Models!$BJ207:$BT207,,T207+1)*R207-ERP_i)*Q207*Ramure*Pc/MaxiM</f>
        <v>5.4856177324572649E-4</v>
      </c>
      <c r="Q207" s="304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4.993524534598337E-2</v>
      </c>
      <c r="S207" s="799">
        <f t="shared" ref="S207:S270" si="82">INDEX(Echel_vg,T207)</f>
        <v>1</v>
      </c>
      <c r="T207" s="176">
        <f t="shared" ref="T207:T270" si="83">MIN(MATCH(Hp_vg,Echel_vg),10)</f>
        <v>7</v>
      </c>
      <c r="U207" s="250">
        <f t="shared" ref="U207:U270" si="84">IF(OR(t&lt;Ttai,Notai),Hdd+PousH*Croivg,Hdtf+PousH*(Croivg-Croi_tai))</f>
        <v>1.0499352453459834</v>
      </c>
      <c r="V207" s="382">
        <f t="shared" ref="V207:V270" si="85">MaxiM*(1-Ppv)*(1-Pvg)*(1-Psa)</f>
        <v>54.453869487883715</v>
      </c>
      <c r="W207" s="400">
        <f t="shared" ref="W207:W270" si="86">Wh*(A207&gt;Tmaj)</f>
        <v>53.070077213907716</v>
      </c>
      <c r="X207" s="157">
        <f t="shared" ref="X207:X270" si="87">t</f>
        <v>45484</v>
      </c>
      <c r="Y207" s="383">
        <f t="shared" ref="Y207:Y270" si="88">Wh_pvt_s*(1-Ppv)</f>
        <v>52.447975040984815</v>
      </c>
      <c r="Z207" s="383">
        <f t="shared" ref="Z207:Z270" si="89">Wh_sa_s*(1-Psa_s)</f>
        <v>54.506726839462793</v>
      </c>
      <c r="AA207" s="384">
        <f t="shared" ref="AA207:AA270" si="90">Wh_hp*(1-Pvg_s*MEDIAN((-Sdif+Wh/Env_an)/Csdif,0,1))</f>
        <v>57.76004904385092</v>
      </c>
      <c r="AB207" s="197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5.6324782583169739E-2</v>
      </c>
      <c r="AD207" s="230">
        <f>(INDEX(Models!$BJ207:$BT207,,AH207)*(1-AF207)+INDEX(Models!$BJ207:$BT207,,AH207+1)*AF207-ERP_i)*AE207*Ramure*Pc/MaxiM</f>
        <v>5.9315939700431831E-4</v>
      </c>
      <c r="AE207" s="304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0.11426746760581552</v>
      </c>
      <c r="AG207" s="799">
        <f t="shared" si="74"/>
        <v>1</v>
      </c>
      <c r="AH207" s="176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1.1142674676058155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45485</v>
      </c>
      <c r="B208" s="409">
        <f>'2023'!Wh/'2023'!Env_an*'2024'!Env_an</f>
        <v>53.12758600319976</v>
      </c>
      <c r="C208" s="829"/>
      <c r="D208" s="391">
        <f t="shared" si="77"/>
        <v>55.214072884050154</v>
      </c>
      <c r="E208" s="383">
        <f t="shared" si="75"/>
        <v>57.83050903700822</v>
      </c>
      <c r="F208" s="383">
        <f t="shared" si="78"/>
        <v>57.863706718710837</v>
      </c>
      <c r="G208" s="110">
        <f t="shared" si="76"/>
        <v>0.97767965013859459</v>
      </c>
      <c r="H208" s="412" t="b">
        <f>Wh_hp&gt;='2023'!Maxi_hp</f>
        <v>0</v>
      </c>
      <c r="I208" s="388">
        <f>IF(H208,Wh_hp,'2023'!Maxi_hp)</f>
        <v>57.86436059666881</v>
      </c>
      <c r="J208" s="85">
        <f>IF(H208,An,'2023'!An_max)</f>
        <v>2022</v>
      </c>
      <c r="K208" s="197">
        <f t="shared" si="79"/>
        <v>45485</v>
      </c>
      <c r="L208" s="147">
        <f>IF(t&lt;Tvie,1-EXP((T0-t)*PertePVj)+'2023'!Pspv,1-EXP((T0-t)*PertePVj)+Pspv)</f>
        <v>3.7789041305321347E-2</v>
      </c>
      <c r="M208" s="832"/>
      <c r="N208" s="832"/>
      <c r="O208" s="48">
        <f>IF(t&lt;Tnet,'2023'!Resal+('2023'!Salim-'2023'!Resal)*(1-EXP(('2023'!Tnet-t)/('2023'!Tau_j))),Resal+(Salim-Resal)*(1-EXP((Tnet-t)/(Tau_j))))*Salcycl</f>
        <v>4.5243180399530944E-2</v>
      </c>
      <c r="P208" s="169">
        <f>(INDEX(Models!$BJ208:$BT208,,T208)*(1-R208)+INDEX(Models!$BJ208:$BT208,,T208+1)*R208-ERP_i)*Q208*Ramure*Pc/MaxiM</f>
        <v>5.926022075542892E-4</v>
      </c>
      <c r="Q208" s="304">
        <f t="shared" si="80"/>
        <v>0.7</v>
      </c>
      <c r="R208" s="177">
        <f t="shared" si="81"/>
        <v>5.2650132719859633E-2</v>
      </c>
      <c r="S208" s="799">
        <f t="shared" si="82"/>
        <v>1</v>
      </c>
      <c r="T208" s="176">
        <f t="shared" si="83"/>
        <v>7</v>
      </c>
      <c r="U208" s="250">
        <f t="shared" si="84"/>
        <v>1.0526501327198596</v>
      </c>
      <c r="V208" s="382">
        <f t="shared" si="85"/>
        <v>54.339458083385452</v>
      </c>
      <c r="W208" s="400">
        <f t="shared" si="86"/>
        <v>53.12758600319976</v>
      </c>
      <c r="X208" s="157">
        <f t="shared" si="87"/>
        <v>45485</v>
      </c>
      <c r="Y208" s="383">
        <f t="shared" si="88"/>
        <v>52.505196630399773</v>
      </c>
      <c r="Z208" s="383">
        <f t="shared" si="89"/>
        <v>54.567240329114064</v>
      </c>
      <c r="AA208" s="384">
        <f t="shared" si="90"/>
        <v>57.82776567494313</v>
      </c>
      <c r="AB208" s="197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5.6383387941302675E-2</v>
      </c>
      <c r="AD208" s="230">
        <f>(INDEX(Models!$BJ208:$BT208,,AH208)*(1-AF208)+INDEX(Models!$BJ208:$BT208,,AH208+1)*AF208-ERP_i)*AE208*Ramure*Pc/MaxiM</f>
        <v>6.4157316975737796E-4</v>
      </c>
      <c r="AE208" s="304">
        <f t="shared" si="92"/>
        <v>0.7</v>
      </c>
      <c r="AF208" s="177">
        <f t="shared" si="93"/>
        <v>0.11698235497969178</v>
      </c>
      <c r="AG208" s="799">
        <f t="shared" ref="AG208:AG271" si="99">INDEX(Echel_vg,AH208)</f>
        <v>1</v>
      </c>
      <c r="AH208" s="176">
        <f t="shared" si="94"/>
        <v>7</v>
      </c>
      <c r="AI208" s="224">
        <f t="shared" si="95"/>
        <v>1.1169823549796918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45486</v>
      </c>
      <c r="B209" s="409">
        <f>'2023'!Wh/'2023'!Env_an*'2024'!Env_an</f>
        <v>52.876352490324095</v>
      </c>
      <c r="C209" s="829"/>
      <c r="D209" s="391">
        <f t="shared" si="77"/>
        <v>54.95402582476347</v>
      </c>
      <c r="E209" s="383">
        <f t="shared" si="75"/>
        <v>57.56236314888546</v>
      </c>
      <c r="F209" s="383">
        <f t="shared" si="78"/>
        <v>57.598166960501963</v>
      </c>
      <c r="G209" s="110">
        <f t="shared" si="76"/>
        <v>0.97513842826635733</v>
      </c>
      <c r="H209" s="412" t="b">
        <f>Wh_hp&gt;='2023'!Maxi_hp</f>
        <v>0</v>
      </c>
      <c r="I209" s="388">
        <f>IF(H209,Wh_hp,'2023'!Maxi_hp)</f>
        <v>58.629820417743659</v>
      </c>
      <c r="J209" s="85">
        <f>IF(H209,An,'2023'!An_max)</f>
        <v>2018</v>
      </c>
      <c r="K209" s="197">
        <f t="shared" si="79"/>
        <v>45486</v>
      </c>
      <c r="L209" s="147">
        <f>IF(t&lt;Tvie,1-EXP((T0-t)*PertePVj)+'2023'!Pspv,1-EXP((T0-t)*PertePVj)+Pspv)</f>
        <v>3.7807481858829206E-2</v>
      </c>
      <c r="M209" s="832"/>
      <c r="N209" s="832"/>
      <c r="O209" s="48">
        <f>IF(t&lt;Tnet,'2023'!Resal+('2023'!Salim-'2023'!Resal)*(1-EXP(('2023'!Tnet-t)/('2023'!Tau_j))),Resal+(Salim-Resal)*(1-EXP((Tnet-t)/(Tau_j))))*Salcycl</f>
        <v>4.5313242567465627E-2</v>
      </c>
      <c r="P209" s="169">
        <f>(INDEX(Models!$BJ209:$BT209,,T209)*(1-R209)+INDEX(Models!$BJ209:$BT209,,T209+1)*R209-ERP_i)*Q209*Ramure*Pc/MaxiM</f>
        <v>6.4448298847152679E-4</v>
      </c>
      <c r="Q209" s="304">
        <f t="shared" si="80"/>
        <v>0.7</v>
      </c>
      <c r="R209" s="177">
        <f t="shared" si="81"/>
        <v>5.5299961358366012E-2</v>
      </c>
      <c r="S209" s="799">
        <f t="shared" si="82"/>
        <v>1</v>
      </c>
      <c r="T209" s="176">
        <f t="shared" si="83"/>
        <v>7</v>
      </c>
      <c r="U209" s="250">
        <f t="shared" si="84"/>
        <v>1.055299961358366</v>
      </c>
      <c r="V209" s="382">
        <f t="shared" si="85"/>
        <v>54.223216891780069</v>
      </c>
      <c r="W209" s="400">
        <f t="shared" si="86"/>
        <v>52.876352490324095</v>
      </c>
      <c r="X209" s="157">
        <f t="shared" si="87"/>
        <v>45486</v>
      </c>
      <c r="Y209" s="383">
        <f t="shared" si="88"/>
        <v>52.257285446535739</v>
      </c>
      <c r="Z209" s="383">
        <f t="shared" si="89"/>
        <v>54.31063374665387</v>
      </c>
      <c r="AA209" s="384">
        <f t="shared" si="90"/>
        <v>57.559364213871696</v>
      </c>
      <c r="AB209" s="197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5.6441389017894736E-2</v>
      </c>
      <c r="AD209" s="230">
        <f>(INDEX(Models!$BJ209:$BT209,,AH209)*(1-AF209)+INDEX(Models!$BJ209:$BT209,,AH209+1)*AF209-ERP_i)*AE209*Ramure*Pc/MaxiM</f>
        <v>6.9846502313885401E-4</v>
      </c>
      <c r="AE209" s="304">
        <f t="shared" si="92"/>
        <v>0.7</v>
      </c>
      <c r="AF209" s="177">
        <f t="shared" si="93"/>
        <v>0.11963218361819816</v>
      </c>
      <c r="AG209" s="799">
        <f t="shared" si="99"/>
        <v>1</v>
      </c>
      <c r="AH209" s="176">
        <f t="shared" si="94"/>
        <v>7</v>
      </c>
      <c r="AI209" s="224">
        <f t="shared" si="95"/>
        <v>1.1196321836181982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45487</v>
      </c>
      <c r="B210" s="409">
        <f>'2023'!Wh/'2023'!Env_an*'2024'!Env_an</f>
        <v>50.371373812630651</v>
      </c>
      <c r="C210" s="829"/>
      <c r="D210" s="391">
        <f t="shared" si="77"/>
        <v>52.351622193375725</v>
      </c>
      <c r="E210" s="383">
        <f t="shared" si="75"/>
        <v>54.840435707232672</v>
      </c>
      <c r="F210" s="383">
        <f t="shared" si="78"/>
        <v>54.875274752960564</v>
      </c>
      <c r="G210" s="110">
        <f t="shared" si="76"/>
        <v>0.93092411081979021</v>
      </c>
      <c r="H210" s="412" t="b">
        <f>Wh_hp&gt;='2023'!Maxi_hp</f>
        <v>0</v>
      </c>
      <c r="I210" s="388">
        <f>IF(H210,Wh_hp,'2023'!Maxi_hp)</f>
        <v>60.732811241786656</v>
      </c>
      <c r="J210" s="85">
        <f>IF(H210,An,'2023'!An_max)</f>
        <v>2018</v>
      </c>
      <c r="K210" s="197">
        <f t="shared" si="79"/>
        <v>45487</v>
      </c>
      <c r="L210" s="147">
        <f>IF(t&lt;Tvie,1-EXP((T0-t)*PertePVj)+'2023'!Pspv,1-EXP((T0-t)*PertePVj)+Pspv)</f>
        <v>3.7825922058927985E-2</v>
      </c>
      <c r="M210" s="832"/>
      <c r="N210" s="832"/>
      <c r="O210" s="48">
        <f>IF(t&lt;Tnet,'2023'!Resal+('2023'!Salim-'2023'!Resal)*(1-EXP(('2023'!Tnet-t)/('2023'!Tau_j))),Resal+(Salim-Resal)*(1-EXP((Tnet-t)/(Tau_j))))*Salcycl</f>
        <v>4.5382818020329944E-2</v>
      </c>
      <c r="P210" s="169">
        <f>(INDEX(Models!$BJ210:$BT210,,T210)*(1-R210)+INDEX(Models!$BJ210:$BT210,,T210+1)*R210-ERP_i)*Q210*Ramure*Pc/MaxiM</f>
        <v>7.0431337361610618E-4</v>
      </c>
      <c r="Q210" s="304">
        <f t="shared" si="80"/>
        <v>0.7</v>
      </c>
      <c r="R210" s="177">
        <f t="shared" si="81"/>
        <v>5.7884884882487997E-2</v>
      </c>
      <c r="S210" s="799">
        <f t="shared" si="82"/>
        <v>1</v>
      </c>
      <c r="T210" s="176">
        <f t="shared" si="83"/>
        <v>7</v>
      </c>
      <c r="U210" s="250">
        <f t="shared" si="84"/>
        <v>1.057884884882488</v>
      </c>
      <c r="V210" s="382">
        <f t="shared" si="85"/>
        <v>54.105241658243806</v>
      </c>
      <c r="W210" s="400">
        <f t="shared" si="86"/>
        <v>50.371373812630651</v>
      </c>
      <c r="X210" s="157">
        <f t="shared" si="87"/>
        <v>45487</v>
      </c>
      <c r="Y210" s="383">
        <f t="shared" si="88"/>
        <v>49.782148800209299</v>
      </c>
      <c r="Z210" s="383">
        <f t="shared" si="89"/>
        <v>51.739232994861652</v>
      </c>
      <c r="AA210" s="384">
        <f t="shared" si="90"/>
        <v>54.837485862240662</v>
      </c>
      <c r="AB210" s="197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5.6498813150592742E-2</v>
      </c>
      <c r="AD210" s="230">
        <f>(INDEX(Models!$BJ210:$BT210,,AH210)*(1-AF210)+INDEX(Models!$BJ210:$BT210,,AH210+1)*AF210-ERP_i)*AE210*Ramure*Pc/MaxiM</f>
        <v>7.6394805173543882E-4</v>
      </c>
      <c r="AE210" s="304">
        <f t="shared" si="92"/>
        <v>0.7</v>
      </c>
      <c r="AF210" s="177">
        <f t="shared" si="93"/>
        <v>0.12221710714232015</v>
      </c>
      <c r="AG210" s="799">
        <f t="shared" si="99"/>
        <v>1</v>
      </c>
      <c r="AH210" s="176">
        <f t="shared" si="94"/>
        <v>7</v>
      </c>
      <c r="AI210" s="224">
        <f t="shared" si="95"/>
        <v>1.1222171071423201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45488</v>
      </c>
      <c r="B211" s="409">
        <f>'2023'!Wh/'2023'!Env_an*'2024'!Env_an</f>
        <v>51.551624819382234</v>
      </c>
      <c r="C211" s="829"/>
      <c r="D211" s="391">
        <f t="shared" si="77"/>
        <v>53.579299209309063</v>
      </c>
      <c r="E211" s="383">
        <f t="shared" si="75"/>
        <v>56.130540491902991</v>
      </c>
      <c r="F211" s="383">
        <f t="shared" si="78"/>
        <v>56.171122079935309</v>
      </c>
      <c r="G211" s="110">
        <f t="shared" si="76"/>
        <v>0.95486633315572667</v>
      </c>
      <c r="H211" s="412" t="b">
        <f>Wh_hp&gt;='2023'!Maxi_hp</f>
        <v>0</v>
      </c>
      <c r="I211" s="388">
        <f>IF(H211,Wh_hp,'2023'!Maxi_hp)</f>
        <v>60.019024315602991</v>
      </c>
      <c r="J211" s="85">
        <f>IF(H211,An,'2023'!An_max)</f>
        <v>2018</v>
      </c>
      <c r="K211" s="197">
        <f t="shared" si="79"/>
        <v>45488</v>
      </c>
      <c r="L211" s="147">
        <f>IF(t&lt;Tvie,1-EXP((T0-t)*PertePVj)+'2023'!Pspv,1-EXP((T0-t)*PertePVj)+Pspv)</f>
        <v>3.7844361905624457E-2</v>
      </c>
      <c r="M211" s="832"/>
      <c r="N211" s="832"/>
      <c r="O211" s="48">
        <f>IF(t&lt;Tnet,'2023'!Resal+('2023'!Salim-'2023'!Resal)*(1-EXP(('2023'!Tnet-t)/('2023'!Tau_j))),Resal+(Salim-Resal)*(1-EXP((Tnet-t)/(Tau_j))))*Salcycl</f>
        <v>4.5451927956438459E-2</v>
      </c>
      <c r="P211" s="169">
        <f>(INDEX(Models!$BJ211:$BT211,,T211)*(1-R211)+INDEX(Models!$BJ211:$BT211,,T211+1)*R211-ERP_i)*Q211*Ramure*Pc/MaxiM</f>
        <v>7.7219999729738172E-4</v>
      </c>
      <c r="Q211" s="304">
        <f t="shared" si="80"/>
        <v>0.7</v>
      </c>
      <c r="R211" s="177">
        <f t="shared" si="81"/>
        <v>6.0405156371561075E-2</v>
      </c>
      <c r="S211" s="799">
        <f t="shared" si="82"/>
        <v>1</v>
      </c>
      <c r="T211" s="176">
        <f t="shared" si="83"/>
        <v>7</v>
      </c>
      <c r="U211" s="250">
        <f t="shared" si="84"/>
        <v>1.0604051563715611</v>
      </c>
      <c r="V211" s="382">
        <f t="shared" si="85"/>
        <v>53.985628334388394</v>
      </c>
      <c r="W211" s="400">
        <f t="shared" si="86"/>
        <v>51.551624819382234</v>
      </c>
      <c r="X211" s="157">
        <f t="shared" si="87"/>
        <v>45488</v>
      </c>
      <c r="Y211" s="383">
        <f t="shared" si="88"/>
        <v>50.948806372016683</v>
      </c>
      <c r="Z211" s="383">
        <f t="shared" si="89"/>
        <v>52.952770170244783</v>
      </c>
      <c r="AA211" s="384">
        <f t="shared" si="90"/>
        <v>56.127075513054073</v>
      </c>
      <c r="AB211" s="197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5.6555687496509778E-2</v>
      </c>
      <c r="AD211" s="230">
        <f>(INDEX(Models!$BJ211:$BT211,,AH211)*(1-AF211)+INDEX(Models!$BJ211:$BT211,,AH211+1)*AF211-ERP_i)*AE211*Ramure*Pc/MaxiM</f>
        <v>8.3813277093951752E-4</v>
      </c>
      <c r="AE211" s="304">
        <f t="shared" si="92"/>
        <v>0.7</v>
      </c>
      <c r="AF211" s="177">
        <f t="shared" si="93"/>
        <v>0.12473737863139323</v>
      </c>
      <c r="AG211" s="799">
        <f t="shared" si="99"/>
        <v>1</v>
      </c>
      <c r="AH211" s="176">
        <f t="shared" si="94"/>
        <v>7</v>
      </c>
      <c r="AI211" s="224">
        <f t="shared" si="95"/>
        <v>1.1247373786313932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45489</v>
      </c>
      <c r="B212" s="409">
        <f>'2023'!Wh/'2023'!Env_an*'2024'!Env_an</f>
        <v>52.119348058301725</v>
      </c>
      <c r="C212" s="829"/>
      <c r="D212" s="391">
        <f t="shared" si="77"/>
        <v>54.170390807134439</v>
      </c>
      <c r="E212" s="383">
        <f t="shared" si="75"/>
        <v>56.753860198784388</v>
      </c>
      <c r="F212" s="383">
        <f t="shared" si="78"/>
        <v>56.799987942817324</v>
      </c>
      <c r="G212" s="110">
        <f t="shared" si="76"/>
        <v>0.96756656165541266</v>
      </c>
      <c r="H212" s="412" t="b">
        <f>Wh_hp&gt;='2023'!Maxi_hp</f>
        <v>0</v>
      </c>
      <c r="I212" s="388">
        <f>IF(H212,Wh_hp,'2023'!Maxi_hp)</f>
        <v>58.588907311846619</v>
      </c>
      <c r="J212" s="85">
        <f>IF(H212,An,'2023'!An_max)</f>
        <v>2021</v>
      </c>
      <c r="K212" s="197">
        <f t="shared" si="79"/>
        <v>45489</v>
      </c>
      <c r="L212" s="147">
        <f>IF(t&lt;Tvie,1-EXP((T0-t)*PertePVj)+'2023'!Pspv,1-EXP((T0-t)*PertePVj)+Pspv)</f>
        <v>3.7862801398925616E-2</v>
      </c>
      <c r="M212" s="832"/>
      <c r="N212" s="832"/>
      <c r="O212" s="48">
        <f>IF(t&lt;Tnet,'2023'!Resal+('2023'!Salim-'2023'!Resal)*(1-EXP(('2023'!Tnet-t)/('2023'!Tau_j))),Resal+(Salim-Resal)*(1-EXP((Tnet-t)/(Tau_j))))*Salcycl</f>
        <v>4.5520593358780628E-2</v>
      </c>
      <c r="P212" s="169">
        <f>(INDEX(Models!$BJ212:$BT212,,T212)*(1-R212)+INDEX(Models!$BJ212:$BT212,,T212+1)*R212-ERP_i)*Q212*Ramure*Pc/MaxiM</f>
        <v>8.5151560429146535E-4</v>
      </c>
      <c r="Q212" s="304">
        <f t="shared" si="80"/>
        <v>0.7</v>
      </c>
      <c r="R212" s="177">
        <f t="shared" si="81"/>
        <v>6.2861122824822147E-2</v>
      </c>
      <c r="S212" s="799">
        <f t="shared" si="82"/>
        <v>1</v>
      </c>
      <c r="T212" s="176">
        <f t="shared" si="83"/>
        <v>7</v>
      </c>
      <c r="U212" s="250">
        <f t="shared" si="84"/>
        <v>1.0628611228248221</v>
      </c>
      <c r="V212" s="382">
        <f t="shared" si="85"/>
        <v>53.864296859313136</v>
      </c>
      <c r="W212" s="400">
        <f t="shared" si="86"/>
        <v>52.119348058301725</v>
      </c>
      <c r="X212" s="157">
        <f t="shared" si="87"/>
        <v>45489</v>
      </c>
      <c r="Y212" s="383">
        <f t="shared" si="88"/>
        <v>51.510129372625251</v>
      </c>
      <c r="Z212" s="383">
        <f t="shared" si="89"/>
        <v>53.537197654887272</v>
      </c>
      <c r="AA212" s="384">
        <f t="shared" si="90"/>
        <v>56.749926712630064</v>
      </c>
      <c r="AB212" s="197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5.6612038884409278E-2</v>
      </c>
      <c r="AD212" s="230">
        <f>(INDEX(Models!$BJ212:$BT212,,AH212)*(1-AF212)+INDEX(Models!$BJ212:$BT212,,AH212+1)*AF212-ERP_i)*AE212*Ramure*Pc/MaxiM</f>
        <v>9.2412754120469115E-4</v>
      </c>
      <c r="AE212" s="304">
        <f t="shared" si="92"/>
        <v>0.7</v>
      </c>
      <c r="AF212" s="177">
        <f t="shared" si="93"/>
        <v>0.1271933450846543</v>
      </c>
      <c r="AG212" s="799">
        <f t="shared" si="99"/>
        <v>1</v>
      </c>
      <c r="AH212" s="176">
        <f t="shared" si="94"/>
        <v>7</v>
      </c>
      <c r="AI212" s="224">
        <f t="shared" si="95"/>
        <v>1.1271933450846543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45490</v>
      </c>
      <c r="B213" s="409">
        <f>'2023'!Wh/'2023'!Env_an*'2024'!Env_an</f>
        <v>54.214558684623917</v>
      </c>
      <c r="C213" s="829"/>
      <c r="D213" s="391">
        <f t="shared" si="77"/>
        <v>56.349133775322052</v>
      </c>
      <c r="E213" s="383">
        <f t="shared" si="75"/>
        <v>59.040731955698917</v>
      </c>
      <c r="F213" s="383">
        <f t="shared" si="78"/>
        <v>59.09626552839137</v>
      </c>
      <c r="G213" s="110">
        <f t="shared" si="76"/>
        <v>1.0088027243466917</v>
      </c>
      <c r="H213" s="412" t="b">
        <f>Wh_hp&gt;='2023'!Maxi_hp</f>
        <v>1</v>
      </c>
      <c r="I213" s="388">
        <f>IF(H213,Wh_hp,'2023'!Maxi_hp)</f>
        <v>59.09626552839137</v>
      </c>
      <c r="J213" s="85">
        <f>IF(H213,An,'2023'!An_max)</f>
        <v>2024</v>
      </c>
      <c r="K213" s="197">
        <f t="shared" si="79"/>
        <v>45490</v>
      </c>
      <c r="L213" s="147">
        <f>IF(t&lt;Tvie,1-EXP((T0-t)*PertePVj)+'2023'!Pspv,1-EXP((T0-t)*PertePVj)+Pspv)</f>
        <v>3.7881240538838012E-2</v>
      </c>
      <c r="M213" s="832"/>
      <c r="N213" s="832"/>
      <c r="O213" s="48">
        <f>IF(t&lt;Tnet,'2023'!Resal+('2023'!Salim-'2023'!Resal)*(1-EXP(('2023'!Tnet-t)/('2023'!Tau_j))),Resal+(Salim-Resal)*(1-EXP((Tnet-t)/(Tau_j))))*Salcycl</f>
        <v>4.5588834880917424E-2</v>
      </c>
      <c r="P213" s="169">
        <f>(INDEX(Models!$BJ213:$BT213,,T213)*(1-R213)+INDEX(Models!$BJ213:$BT213,,T213+1)*R213-ERP_i)*Q213*Ramure*Pc/MaxiM</f>
        <v>9.3971373987710187E-4</v>
      </c>
      <c r="Q213" s="304">
        <f t="shared" si="80"/>
        <v>0.7</v>
      </c>
      <c r="R213" s="177">
        <f t="shared" si="81"/>
        <v>6.5253219557854347E-2</v>
      </c>
      <c r="S213" s="799">
        <f t="shared" si="82"/>
        <v>1</v>
      </c>
      <c r="T213" s="176">
        <f t="shared" si="83"/>
        <v>7</v>
      </c>
      <c r="U213" s="250">
        <f t="shared" si="84"/>
        <v>1.0652532195578543</v>
      </c>
      <c r="V213" s="382">
        <f t="shared" si="85"/>
        <v>53.741487186936055</v>
      </c>
      <c r="W213" s="400">
        <f t="shared" si="86"/>
        <v>54.214558684623917</v>
      </c>
      <c r="X213" s="157">
        <f t="shared" si="87"/>
        <v>45490</v>
      </c>
      <c r="Y213" s="383">
        <f t="shared" si="88"/>
        <v>53.580964228907661</v>
      </c>
      <c r="Z213" s="383">
        <f t="shared" si="89"/>
        <v>55.690592977228576</v>
      </c>
      <c r="AA213" s="384">
        <f t="shared" si="90"/>
        <v>59.036041075859245</v>
      </c>
      <c r="AB213" s="197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5.6667893674169016E-2</v>
      </c>
      <c r="AD213" s="230">
        <f>(INDEX(Models!$BJ213:$BT213,,AH213)*(1-AF213)+INDEX(Models!$BJ213:$BT213,,AH213+1)*AF213-ERP_i)*AE213*Ramure*Pc/MaxiM</f>
        <v>1.019090664928527E-3</v>
      </c>
      <c r="AE213" s="304">
        <f t="shared" si="92"/>
        <v>0.7</v>
      </c>
      <c r="AF213" s="177">
        <f t="shared" si="93"/>
        <v>0.1295854418176865</v>
      </c>
      <c r="AG213" s="799">
        <f t="shared" si="99"/>
        <v>1</v>
      </c>
      <c r="AH213" s="176">
        <f t="shared" si="94"/>
        <v>7</v>
      </c>
      <c r="AI213" s="224">
        <f t="shared" si="95"/>
        <v>1.1295854418176865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45491</v>
      </c>
      <c r="B214" s="409">
        <f>'2023'!Wh/'2023'!Env_an*'2024'!Env_an</f>
        <v>32.684718120270972</v>
      </c>
      <c r="C214" s="829"/>
      <c r="D214" s="391">
        <f t="shared" si="77"/>
        <v>33.972255717940328</v>
      </c>
      <c r="E214" s="383">
        <f t="shared" si="75"/>
        <v>35.59752004076509</v>
      </c>
      <c r="F214" s="383">
        <f t="shared" si="78"/>
        <v>35.61385139020836</v>
      </c>
      <c r="G214" s="110">
        <f t="shared" si="76"/>
        <v>0.60924010347867608</v>
      </c>
      <c r="H214" s="412" t="b">
        <f>Wh_hp&gt;='2023'!Maxi_hp</f>
        <v>0</v>
      </c>
      <c r="I214" s="388">
        <f>IF(H214,Wh_hp,'2023'!Maxi_hp)</f>
        <v>58.821936669758294</v>
      </c>
      <c r="J214" s="85">
        <f>IF(H214,An,'2023'!An_max)</f>
        <v>2020</v>
      </c>
      <c r="K214" s="197">
        <f t="shared" si="79"/>
        <v>45491</v>
      </c>
      <c r="L214" s="147">
        <f>IF(t&lt;Tvie,1-EXP((T0-t)*PertePVj)+'2023'!Pspv,1-EXP((T0-t)*PertePVj)+Pspv)</f>
        <v>3.7899679325368529E-2</v>
      </c>
      <c r="M214" s="832"/>
      <c r="N214" s="832"/>
      <c r="O214" s="48">
        <f>IF(t&lt;Tnet,'2023'!Resal+('2023'!Salim-'2023'!Resal)*(1-EXP(('2023'!Tnet-t)/('2023'!Tau_j))),Resal+(Salim-Resal)*(1-EXP((Tnet-t)/(Tau_j))))*Salcycl</f>
        <v>4.5656672739099909E-2</v>
      </c>
      <c r="P214" s="169">
        <f>(INDEX(Models!$BJ214:$BT214,,T214)*(1-R214)+INDEX(Models!$BJ214:$BT214,,T214+1)*R214-ERP_i)*Q214*Ramure*Pc/MaxiM</f>
        <v>1.0368366826112069E-3</v>
      </c>
      <c r="Q214" s="304">
        <f t="shared" si="80"/>
        <v>0.7</v>
      </c>
      <c r="R214" s="177">
        <f t="shared" si="81"/>
        <v>6.7581964570305519E-2</v>
      </c>
      <c r="S214" s="799">
        <f t="shared" si="82"/>
        <v>1</v>
      </c>
      <c r="T214" s="176">
        <f t="shared" si="83"/>
        <v>7</v>
      </c>
      <c r="U214" s="250">
        <f t="shared" si="84"/>
        <v>1.0675819645703055</v>
      </c>
      <c r="V214" s="382">
        <f t="shared" si="85"/>
        <v>53.61729914437354</v>
      </c>
      <c r="W214" s="400">
        <f t="shared" si="86"/>
        <v>32.684718120270972</v>
      </c>
      <c r="X214" s="157">
        <f t="shared" si="87"/>
        <v>45491</v>
      </c>
      <c r="Y214" s="383">
        <f t="shared" si="88"/>
        <v>32.3044721730462</v>
      </c>
      <c r="Z214" s="383">
        <f t="shared" si="89"/>
        <v>33.577030875942413</v>
      </c>
      <c r="AA214" s="384">
        <f t="shared" si="90"/>
        <v>35.596161846737765</v>
      </c>
      <c r="AB214" s="197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5.6723277624393539E-2</v>
      </c>
      <c r="AD214" s="230">
        <f>(INDEX(Models!$BJ214:$BT214,,AH214)*(1-AF214)+INDEX(Models!$BJ214:$BT214,,AH214+1)*AF214-ERP_i)*AE214*Ramure*Pc/MaxiM</f>
        <v>1.1230650371339599E-3</v>
      </c>
      <c r="AE214" s="304">
        <f t="shared" si="92"/>
        <v>0.7</v>
      </c>
      <c r="AF214" s="177">
        <f t="shared" si="93"/>
        <v>0.13191418683013767</v>
      </c>
      <c r="AG214" s="799">
        <f t="shared" si="99"/>
        <v>1</v>
      </c>
      <c r="AH214" s="176">
        <f t="shared" si="94"/>
        <v>7</v>
      </c>
      <c r="AI214" s="224">
        <f t="shared" si="95"/>
        <v>1.1319141868301377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45492</v>
      </c>
      <c r="B215" s="409">
        <f>'2023'!Wh/'2023'!Env_an*'2024'!Env_an</f>
        <v>39.706869297977889</v>
      </c>
      <c r="C215" s="829"/>
      <c r="D215" s="391">
        <f t="shared" si="77"/>
        <v>41.271818990570836</v>
      </c>
      <c r="E215" s="383">
        <f t="shared" si="75"/>
        <v>43.249358116966931</v>
      </c>
      <c r="F215" s="383">
        <f t="shared" si="78"/>
        <v>43.28061378430619</v>
      </c>
      <c r="G215" s="110">
        <f t="shared" si="76"/>
        <v>0.74198523585186293</v>
      </c>
      <c r="H215" s="412" t="b">
        <f>Wh_hp&gt;='2023'!Maxi_hp</f>
        <v>0</v>
      </c>
      <c r="I215" s="388">
        <f>IF(H215,Wh_hp,'2023'!Maxi_hp)</f>
        <v>57.966887791855576</v>
      </c>
      <c r="J215" s="85">
        <f>IF(H215,An,'2023'!An_max)</f>
        <v>2020</v>
      </c>
      <c r="K215" s="197">
        <f t="shared" si="79"/>
        <v>45492</v>
      </c>
      <c r="L215" s="147">
        <f>IF(t&lt;Tvie,1-EXP((T0-t)*PertePVj)+'2023'!Pspv,1-EXP((T0-t)*PertePVj)+Pspv)</f>
        <v>3.7918117758523939E-2</v>
      </c>
      <c r="M215" s="832"/>
      <c r="N215" s="832"/>
      <c r="O215" s="48">
        <f>IF(t&lt;Tnet,'2023'!Resal+('2023'!Salim-'2023'!Resal)*(1-EXP(('2023'!Tnet-t)/('2023'!Tau_j))),Resal+(Salim-Resal)*(1-EXP((Tnet-t)/(Tau_j))))*Salcycl</f>
        <v>4.5724126611264015E-2</v>
      </c>
      <c r="P215" s="169">
        <f>(INDEX(Models!$BJ215:$BT215,,T215)*(1-R215)+INDEX(Models!$BJ215:$BT215,,T215+1)*R215-ERP_i)*Q215*Ramure*Pc/MaxiM</f>
        <v>1.1429273665796147E-3</v>
      </c>
      <c r="Q215" s="304">
        <f t="shared" si="80"/>
        <v>0.7</v>
      </c>
      <c r="R215" s="177">
        <f t="shared" si="81"/>
        <v>6.9847952918653533E-2</v>
      </c>
      <c r="S215" s="799">
        <f t="shared" si="82"/>
        <v>1</v>
      </c>
      <c r="T215" s="176">
        <f t="shared" si="83"/>
        <v>7</v>
      </c>
      <c r="U215" s="250">
        <f t="shared" si="84"/>
        <v>1.0698479529186535</v>
      </c>
      <c r="V215" s="382">
        <f t="shared" si="85"/>
        <v>53.491832558236496</v>
      </c>
      <c r="W215" s="400">
        <f t="shared" si="86"/>
        <v>39.706869297977889</v>
      </c>
      <c r="X215" s="157">
        <f t="shared" si="87"/>
        <v>45492</v>
      </c>
      <c r="Y215" s="383">
        <f t="shared" si="88"/>
        <v>39.244602965423105</v>
      </c>
      <c r="Z215" s="383">
        <f t="shared" si="89"/>
        <v>40.791333554676562</v>
      </c>
      <c r="AA215" s="384">
        <f t="shared" si="90"/>
        <v>43.246810280077852</v>
      </c>
      <c r="AB215" s="197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5.6778215768954206E-2</v>
      </c>
      <c r="AD215" s="230">
        <f>(INDEX(Models!$BJ215:$BT215,,AH215)*(1-AF215)+INDEX(Models!$BJ215:$BT215,,AH215+1)*AF215-ERP_i)*AE215*Ramure*Pc/MaxiM</f>
        <v>1.2360942305115299E-3</v>
      </c>
      <c r="AE215" s="304">
        <f t="shared" si="92"/>
        <v>0.7</v>
      </c>
      <c r="AF215" s="177">
        <f t="shared" si="93"/>
        <v>0.13418017517848568</v>
      </c>
      <c r="AG215" s="799">
        <f t="shared" si="99"/>
        <v>1</v>
      </c>
      <c r="AH215" s="176">
        <f t="shared" si="94"/>
        <v>7</v>
      </c>
      <c r="AI215" s="224">
        <f t="shared" si="95"/>
        <v>1.1341801751784857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45493</v>
      </c>
      <c r="B216" s="409">
        <f>'2023'!Wh/'2023'!Env_an*'2024'!Env_an</f>
        <v>51.814325327657578</v>
      </c>
      <c r="C216" s="829"/>
      <c r="D216" s="391">
        <f t="shared" si="77"/>
        <v>53.857493122823001</v>
      </c>
      <c r="E216" s="383">
        <f t="shared" si="75"/>
        <v>56.442042873770191</v>
      </c>
      <c r="F216" s="383">
        <f t="shared" si="78"/>
        <v>56.510182903717286</v>
      </c>
      <c r="G216" s="110">
        <f t="shared" si="76"/>
        <v>0.97088792424789327</v>
      </c>
      <c r="H216" s="412" t="b">
        <f>Wh_hp&gt;='2023'!Maxi_hp</f>
        <v>0</v>
      </c>
      <c r="I216" s="388">
        <f>IF(H216,Wh_hp,'2023'!Maxi_hp)</f>
        <v>56.512013586305258</v>
      </c>
      <c r="J216" s="85">
        <f>IF(H216,An,'2023'!An_max)</f>
        <v>2022</v>
      </c>
      <c r="K216" s="197">
        <f t="shared" si="79"/>
        <v>45493</v>
      </c>
      <c r="L216" s="147">
        <f>IF(t&lt;Tvie,1-EXP((T0-t)*PertePVj)+'2023'!Pspv,1-EXP((T0-t)*PertePVj)+Pspv)</f>
        <v>3.7936555838310904E-2</v>
      </c>
      <c r="M216" s="832"/>
      <c r="N216" s="832"/>
      <c r="O216" s="48">
        <f>IF(t&lt;Tnet,'2023'!Resal+('2023'!Salim-'2023'!Resal)*(1-EXP(('2023'!Tnet-t)/('2023'!Tau_j))),Resal+(Salim-Resal)*(1-EXP((Tnet-t)/(Tau_j))))*Salcycl</f>
        <v>4.5791215543480666E-2</v>
      </c>
      <c r="P216" s="169">
        <f>(INDEX(Models!$BJ216:$BT216,,T216)*(1-R216)+INDEX(Models!$BJ216:$BT216,,T216+1)*R216-ERP_i)*Q216*Ramure*Pc/MaxiM</f>
        <v>1.2580294467016714E-3</v>
      </c>
      <c r="Q216" s="304">
        <f t="shared" si="80"/>
        <v>0.7</v>
      </c>
      <c r="R216" s="177">
        <f t="shared" si="81"/>
        <v>7.2051851125101596E-2</v>
      </c>
      <c r="S216" s="799">
        <f t="shared" si="82"/>
        <v>1</v>
      </c>
      <c r="T216" s="176">
        <f t="shared" si="83"/>
        <v>7</v>
      </c>
      <c r="U216" s="250">
        <f t="shared" si="84"/>
        <v>1.0720518511251016</v>
      </c>
      <c r="V216" s="382">
        <f t="shared" si="85"/>
        <v>53.365187247868775</v>
      </c>
      <c r="W216" s="400">
        <f t="shared" si="86"/>
        <v>51.814325327657578</v>
      </c>
      <c r="X216" s="157">
        <f t="shared" si="87"/>
        <v>45493</v>
      </c>
      <c r="Y216" s="383">
        <f t="shared" si="88"/>
        <v>51.209837576064601</v>
      </c>
      <c r="Z216" s="383">
        <f t="shared" si="89"/>
        <v>53.22916891482889</v>
      </c>
      <c r="AA216" s="384">
        <f t="shared" si="90"/>
        <v>56.436616004296141</v>
      </c>
      <c r="AB216" s="197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5.6832732303139642E-2</v>
      </c>
      <c r="AD216" s="230">
        <f>(INDEX(Models!$BJ216:$BT216,,AH216)*(1-AF216)+INDEX(Models!$BJ216:$BT216,,AH216+1)*AF216-ERP_i)*AE216*Ramure*Pc/MaxiM</f>
        <v>1.3582225579619183E-3</v>
      </c>
      <c r="AE216" s="304">
        <f t="shared" si="92"/>
        <v>0.7</v>
      </c>
      <c r="AF216" s="177">
        <f t="shared" si="93"/>
        <v>0.13638407338493375</v>
      </c>
      <c r="AG216" s="799">
        <f t="shared" si="99"/>
        <v>1</v>
      </c>
      <c r="AH216" s="176">
        <f t="shared" si="94"/>
        <v>7</v>
      </c>
      <c r="AI216" s="224">
        <f t="shared" si="95"/>
        <v>1.1363840733849337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45494</v>
      </c>
      <c r="B217" s="409">
        <f>'2023'!Wh/'2023'!Env_an*'2024'!Env_an</f>
        <v>43.52562023238297</v>
      </c>
      <c r="C217" s="829"/>
      <c r="D217" s="391">
        <f t="shared" si="77"/>
        <v>45.242810826139682</v>
      </c>
      <c r="E217" s="383">
        <f t="shared" si="75"/>
        <v>47.417269995642862</v>
      </c>
      <c r="F217" s="383">
        <f t="shared" si="78"/>
        <v>47.465779048962339</v>
      </c>
      <c r="G217" s="110">
        <f t="shared" si="76"/>
        <v>0.81728022815510293</v>
      </c>
      <c r="H217" s="412" t="b">
        <f>Wh_hp&gt;='2023'!Maxi_hp</f>
        <v>0</v>
      </c>
      <c r="I217" s="388">
        <f>IF(H217,Wh_hp,'2023'!Maxi_hp)</f>
        <v>54.98806790169472</v>
      </c>
      <c r="J217" s="85">
        <f>IF(H217,An,'2023'!An_max)</f>
        <v>2021</v>
      </c>
      <c r="K217" s="197">
        <f t="shared" si="79"/>
        <v>45494</v>
      </c>
      <c r="L217" s="147">
        <f>IF(t&lt;Tvie,1-EXP((T0-t)*PertePVj)+'2023'!Pspv,1-EXP((T0-t)*PertePVj)+Pspv)</f>
        <v>3.7954993564736306E-2</v>
      </c>
      <c r="M217" s="832"/>
      <c r="N217" s="832"/>
      <c r="O217" s="48">
        <f>IF(t&lt;Tnet,'2023'!Resal+('2023'!Salim-'2023'!Resal)*(1-EXP(('2023'!Tnet-t)/('2023'!Tau_j))),Resal+(Salim-Resal)*(1-EXP((Tnet-t)/(Tau_j))))*Salcycl</f>
        <v>4.5857957864360213E-2</v>
      </c>
      <c r="P217" s="169">
        <f>(INDEX(Models!$BJ217:$BT217,,T217)*(1-R217)+INDEX(Models!$BJ217:$BT217,,T217+1)*R217-ERP_i)*Q217*Ramure*Pc/MaxiM</f>
        <v>1.3821873471575937E-3</v>
      </c>
      <c r="Q217" s="304">
        <f t="shared" si="80"/>
        <v>0.7</v>
      </c>
      <c r="R217" s="177">
        <f t="shared" si="81"/>
        <v>7.4194391650924896E-2</v>
      </c>
      <c r="S217" s="799">
        <f t="shared" si="82"/>
        <v>1</v>
      </c>
      <c r="T217" s="176">
        <f t="shared" si="83"/>
        <v>7</v>
      </c>
      <c r="U217" s="250">
        <f t="shared" si="84"/>
        <v>1.0741943916509249</v>
      </c>
      <c r="V217" s="382">
        <f t="shared" si="85"/>
        <v>53.237463019928057</v>
      </c>
      <c r="W217" s="400">
        <f t="shared" si="86"/>
        <v>43.52562023238297</v>
      </c>
      <c r="X217" s="157">
        <f t="shared" si="87"/>
        <v>45494</v>
      </c>
      <c r="Y217" s="383">
        <f t="shared" si="88"/>
        <v>43.019092186116268</v>
      </c>
      <c r="Z217" s="383">
        <f t="shared" si="89"/>
        <v>44.716299027961369</v>
      </c>
      <c r="AA217" s="384">
        <f t="shared" si="90"/>
        <v>47.413503937167839</v>
      </c>
      <c r="AB217" s="197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5.6886850479998058E-2</v>
      </c>
      <c r="AD217" s="230">
        <f>(INDEX(Models!$BJ217:$BT217,,AH217)*(1-AF217)+INDEX(Models!$BJ217:$BT217,,AH217+1)*AF217-ERP_i)*AE217*Ramure*Pc/MaxiM</f>
        <v>1.4894951179060295E-3</v>
      </c>
      <c r="AE217" s="304">
        <f t="shared" si="92"/>
        <v>0.7</v>
      </c>
      <c r="AF217" s="177">
        <f t="shared" si="93"/>
        <v>0.13852661391075705</v>
      </c>
      <c r="AG217" s="799">
        <f t="shared" si="99"/>
        <v>1</v>
      </c>
      <c r="AH217" s="176">
        <f t="shared" si="94"/>
        <v>7</v>
      </c>
      <c r="AI217" s="224">
        <f t="shared" si="95"/>
        <v>1.138526613910757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45495</v>
      </c>
      <c r="B218" s="409">
        <f>'2023'!Wh/'2023'!Env_an*'2024'!Env_an</f>
        <v>38.386644414417063</v>
      </c>
      <c r="C218" s="829"/>
      <c r="D218" s="391">
        <f t="shared" si="77"/>
        <v>39.901854739664103</v>
      </c>
      <c r="E218" s="383">
        <f t="shared" si="75"/>
        <v>41.822528037946199</v>
      </c>
      <c r="F218" s="383">
        <f t="shared" si="78"/>
        <v>41.860843879399368</v>
      </c>
      <c r="G218" s="110">
        <f t="shared" si="76"/>
        <v>0.72235891989173873</v>
      </c>
      <c r="H218" s="412" t="b">
        <f>Wh_hp&gt;='2023'!Maxi_hp</f>
        <v>0</v>
      </c>
      <c r="I218" s="388">
        <f>IF(H218,Wh_hp,'2023'!Maxi_hp)</f>
        <v>56.499257606465072</v>
      </c>
      <c r="J218" s="85">
        <f>IF(H218,An,'2023'!An_max)</f>
        <v>2018</v>
      </c>
      <c r="K218" s="197">
        <f t="shared" si="79"/>
        <v>45495</v>
      </c>
      <c r="L218" s="147">
        <f>IF(t&lt;Tvie,1-EXP((T0-t)*PertePVj)+'2023'!Pspv,1-EXP((T0-t)*PertePVj)+Pspv)</f>
        <v>3.7973430937806918E-2</v>
      </c>
      <c r="M218" s="832"/>
      <c r="N218" s="832"/>
      <c r="O218" s="48">
        <f>IF(t&lt;Tnet,'2023'!Resal+('2023'!Salim-'2023'!Resal)*(1-EXP(('2023'!Tnet-t)/('2023'!Tau_j))),Resal+(Salim-Resal)*(1-EXP((Tnet-t)/(Tau_j))))*Salcycl</f>
        <v>4.5924371107825934E-2</v>
      </c>
      <c r="P218" s="169">
        <f>(INDEX(Models!$BJ218:$BT218,,T218)*(1-R218)+INDEX(Models!$BJ218:$BT218,,T218+1)*R218-ERP_i)*Q218*Ramure*Pc/MaxiM</f>
        <v>1.5154462920686331E-3</v>
      </c>
      <c r="Q218" s="304">
        <f t="shared" si="80"/>
        <v>0.7</v>
      </c>
      <c r="R218" s="177">
        <f t="shared" si="81"/>
        <v>7.6276367459830574E-2</v>
      </c>
      <c r="S218" s="799">
        <f t="shared" si="82"/>
        <v>1</v>
      </c>
      <c r="T218" s="176">
        <f t="shared" si="83"/>
        <v>7</v>
      </c>
      <c r="U218" s="250">
        <f t="shared" si="84"/>
        <v>1.0762763674598306</v>
      </c>
      <c r="V218" s="382">
        <f t="shared" si="85"/>
        <v>53.108759663041639</v>
      </c>
      <c r="W218" s="400">
        <f t="shared" si="86"/>
        <v>38.386644414417063</v>
      </c>
      <c r="X218" s="157">
        <f t="shared" si="87"/>
        <v>45495</v>
      </c>
      <c r="Y218" s="383">
        <f t="shared" si="88"/>
        <v>37.940786825080657</v>
      </c>
      <c r="Z218" s="383">
        <f t="shared" si="89"/>
        <v>39.438398112087754</v>
      </c>
      <c r="AA218" s="384">
        <f t="shared" si="90"/>
        <v>41.819632781525662</v>
      </c>
      <c r="AB218" s="197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5.6940592517346296E-2</v>
      </c>
      <c r="AD218" s="230">
        <f>(INDEX(Models!$BJ218:$BT218,,AH218)*(1-AF218)+INDEX(Models!$BJ218:$BT218,,AH218+1)*AF218-ERP_i)*AE218*Ramure*Pc/MaxiM</f>
        <v>1.6299578215219822E-3</v>
      </c>
      <c r="AE218" s="304">
        <f t="shared" si="92"/>
        <v>0.7</v>
      </c>
      <c r="AF218" s="177">
        <f t="shared" si="93"/>
        <v>0.14060858971966272</v>
      </c>
      <c r="AG218" s="799">
        <f t="shared" si="99"/>
        <v>1</v>
      </c>
      <c r="AH218" s="176">
        <f t="shared" si="94"/>
        <v>7</v>
      </c>
      <c r="AI218" s="224">
        <f t="shared" si="95"/>
        <v>1.1406085897196627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45496</v>
      </c>
      <c r="B219" s="409">
        <f>'2023'!Wh/'2023'!Env_an*'2024'!Env_an</f>
        <v>52.161261715000734</v>
      </c>
      <c r="C219" s="829"/>
      <c r="D219" s="391">
        <f t="shared" si="77"/>
        <v>54.221227427938139</v>
      </c>
      <c r="E219" s="383">
        <f t="shared" si="75"/>
        <v>56.835100524057417</v>
      </c>
      <c r="F219" s="383">
        <f t="shared" si="78"/>
        <v>56.92739808933252</v>
      </c>
      <c r="G219" s="110">
        <f t="shared" si="76"/>
        <v>0.98453418063871034</v>
      </c>
      <c r="H219" s="412" t="b">
        <f>Wh_hp&gt;='2023'!Maxi_hp</f>
        <v>0</v>
      </c>
      <c r="I219" s="388">
        <f>IF(H219,Wh_hp,'2023'!Maxi_hp)</f>
        <v>56.928661050654043</v>
      </c>
      <c r="J219" s="85">
        <f>IF(H219,An,'2023'!An_max)</f>
        <v>2022</v>
      </c>
      <c r="K219" s="197">
        <f t="shared" si="79"/>
        <v>45496</v>
      </c>
      <c r="L219" s="147">
        <f>IF(t&lt;Tvie,1-EXP((T0-t)*PertePVj)+'2023'!Pspv,1-EXP((T0-t)*PertePVj)+Pspv)</f>
        <v>3.7991867957529513E-2</v>
      </c>
      <c r="M219" s="832"/>
      <c r="N219" s="832"/>
      <c r="O219" s="48">
        <f>IF(t&lt;Tnet,'2023'!Resal+('2023'!Salim-'2023'!Resal)*(1-EXP(('2023'!Tnet-t)/('2023'!Tau_j))),Resal+(Salim-Resal)*(1-EXP((Tnet-t)/(Tau_j))))*Salcycl</f>
        <v>4.599047194458409E-2</v>
      </c>
      <c r="P219" s="169">
        <f>(INDEX(Models!$BJ219:$BT219,,T219)*(1-R219)+INDEX(Models!$BJ219:$BT219,,T219+1)*R219-ERP_i)*Q219*Ramure*Pc/MaxiM</f>
        <v>1.6578641811993671E-3</v>
      </c>
      <c r="Q219" s="304">
        <f t="shared" si="80"/>
        <v>0.7</v>
      </c>
      <c r="R219" s="177">
        <f t="shared" si="81"/>
        <v>7.8298626694132345E-2</v>
      </c>
      <c r="S219" s="799">
        <f t="shared" si="82"/>
        <v>1</v>
      </c>
      <c r="T219" s="176">
        <f t="shared" si="83"/>
        <v>7</v>
      </c>
      <c r="U219" s="250">
        <f t="shared" si="84"/>
        <v>1.0782986266941323</v>
      </c>
      <c r="V219" s="382">
        <f t="shared" si="85"/>
        <v>52.978711646380347</v>
      </c>
      <c r="W219" s="400">
        <f t="shared" si="86"/>
        <v>52.161261715000734</v>
      </c>
      <c r="X219" s="157">
        <f t="shared" si="87"/>
        <v>45496</v>
      </c>
      <c r="Y219" s="383">
        <f t="shared" si="88"/>
        <v>51.55348400625163</v>
      </c>
      <c r="Z219" s="383">
        <f t="shared" si="89"/>
        <v>53.589447208514514</v>
      </c>
      <c r="AA219" s="384">
        <f t="shared" si="90"/>
        <v>56.828319273082542</v>
      </c>
      <c r="AB219" s="197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5.6993979515810901E-2</v>
      </c>
      <c r="AD219" s="230">
        <f>(INDEX(Models!$BJ219:$BT219,,AH219)*(1-AF219)+INDEX(Models!$BJ219:$BT219,,AH219+1)*AF219-ERP_i)*AE219*Ramure*Pc/MaxiM</f>
        <v>1.7796701363343415E-3</v>
      </c>
      <c r="AE219" s="304">
        <f t="shared" si="92"/>
        <v>0.7</v>
      </c>
      <c r="AF219" s="177">
        <f t="shared" si="93"/>
        <v>0.1426308489539645</v>
      </c>
      <c r="AG219" s="799">
        <f t="shared" si="99"/>
        <v>1</v>
      </c>
      <c r="AH219" s="176">
        <f t="shared" si="94"/>
        <v>7</v>
      </c>
      <c r="AI219" s="224">
        <f t="shared" si="95"/>
        <v>1.1426308489539645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45497</v>
      </c>
      <c r="B220" s="409">
        <f>'2023'!Wh/'2023'!Env_an*'2024'!Env_an</f>
        <v>27.891401177595604</v>
      </c>
      <c r="C220" s="829"/>
      <c r="D220" s="391">
        <f t="shared" si="77"/>
        <v>28.993451085452094</v>
      </c>
      <c r="E220" s="383">
        <f t="shared" si="75"/>
        <v>30.393251047979145</v>
      </c>
      <c r="F220" s="383">
        <f t="shared" si="78"/>
        <v>30.411154221451334</v>
      </c>
      <c r="G220" s="110">
        <f t="shared" si="76"/>
        <v>0.5271322069854254</v>
      </c>
      <c r="H220" s="412" t="b">
        <f>Wh_hp&gt;='2023'!Maxi_hp</f>
        <v>0</v>
      </c>
      <c r="I220" s="388">
        <f>IF(H220,Wh_hp,'2023'!Maxi_hp)</f>
        <v>57.091704599474085</v>
      </c>
      <c r="J220" s="85">
        <f>IF(H220,An,'2023'!An_max)</f>
        <v>2018</v>
      </c>
      <c r="K220" s="197">
        <f t="shared" si="79"/>
        <v>45497</v>
      </c>
      <c r="L220" s="147">
        <f>IF(t&lt;Tvie,1-EXP((T0-t)*PertePVj)+'2023'!Pspv,1-EXP((T0-t)*PertePVj)+Pspv)</f>
        <v>3.8010304623910751E-2</v>
      </c>
      <c r="M220" s="832"/>
      <c r="N220" s="832"/>
      <c r="O220" s="48">
        <f>IF(t&lt;Tnet,'2023'!Resal+('2023'!Salim-'2023'!Resal)*(1-EXP(('2023'!Tnet-t)/('2023'!Tau_j))),Resal+(Salim-Resal)*(1-EXP((Tnet-t)/(Tau_j))))*Salcycl</f>
        <v>4.6056276122528397E-2</v>
      </c>
      <c r="P220" s="169">
        <f>(INDEX(Models!$BJ220:$BT220,,T220)*(1-R220)+INDEX(Models!$BJ220:$BT220,,T220+1)*R220-ERP_i)*Q220*Ramure*Pc/MaxiM</f>
        <v>1.8091967323652812E-3</v>
      </c>
      <c r="Q220" s="304">
        <f t="shared" si="80"/>
        <v>0.7</v>
      </c>
      <c r="R220" s="177">
        <f t="shared" si="81"/>
        <v>8.0262067483840349E-2</v>
      </c>
      <c r="S220" s="799">
        <f t="shared" si="82"/>
        <v>1</v>
      </c>
      <c r="T220" s="176">
        <f t="shared" si="83"/>
        <v>7</v>
      </c>
      <c r="U220" s="250">
        <f t="shared" si="84"/>
        <v>1.0802620674838403</v>
      </c>
      <c r="V220" s="382">
        <f t="shared" si="85"/>
        <v>52.846969904077547</v>
      </c>
      <c r="W220" s="400">
        <f t="shared" si="86"/>
        <v>27.891401177595604</v>
      </c>
      <c r="X220" s="157">
        <f t="shared" si="87"/>
        <v>45497</v>
      </c>
      <c r="Y220" s="383">
        <f t="shared" si="88"/>
        <v>27.568896656013724</v>
      </c>
      <c r="Z220" s="383">
        <f t="shared" si="89"/>
        <v>28.658203708965594</v>
      </c>
      <c r="AA220" s="384">
        <f t="shared" si="90"/>
        <v>30.391975700712159</v>
      </c>
      <c r="AB220" s="197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5.7047031388154763E-2</v>
      </c>
      <c r="AD220" s="230">
        <f>(INDEX(Models!$BJ220:$BT220,,AH220)*(1-AF220)+INDEX(Models!$BJ220:$BT220,,AH220+1)*AF220-ERP_i)*AE220*Ramure*Pc/MaxiM</f>
        <v>1.9380763475715459E-3</v>
      </c>
      <c r="AE220" s="304">
        <f t="shared" si="92"/>
        <v>0.7</v>
      </c>
      <c r="AF220" s="177">
        <f t="shared" si="93"/>
        <v>0.1445942897436725</v>
      </c>
      <c r="AG220" s="799">
        <f t="shared" si="99"/>
        <v>1</v>
      </c>
      <c r="AH220" s="176">
        <f t="shared" si="94"/>
        <v>7</v>
      </c>
      <c r="AI220" s="224">
        <f t="shared" si="95"/>
        <v>1.1445942897436725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45498</v>
      </c>
      <c r="B221" s="409">
        <f>'2023'!Wh/'2023'!Env_an*'2024'!Env_an</f>
        <v>43.929290693710051</v>
      </c>
      <c r="C221" s="829"/>
      <c r="D221" s="391">
        <f t="shared" si="77"/>
        <v>45.66590766599105</v>
      </c>
      <c r="E221" s="383">
        <f t="shared" si="75"/>
        <v>47.873939870068874</v>
      </c>
      <c r="F221" s="383">
        <f t="shared" si="78"/>
        <v>47.945702999996996</v>
      </c>
      <c r="G221" s="110">
        <f t="shared" si="76"/>
        <v>0.83296272287797257</v>
      </c>
      <c r="H221" s="412" t="b">
        <f>Wh_hp&gt;='2023'!Maxi_hp</f>
        <v>0</v>
      </c>
      <c r="I221" s="388">
        <f>IF(H221,Wh_hp,'2023'!Maxi_hp)</f>
        <v>56.969060465949205</v>
      </c>
      <c r="J221" s="85">
        <f>IF(H221,An,'2023'!An_max)</f>
        <v>2020</v>
      </c>
      <c r="K221" s="197">
        <f t="shared" si="79"/>
        <v>45498</v>
      </c>
      <c r="L221" s="147">
        <f>IF(t&lt;Tvie,1-EXP((T0-t)*PertePVj)+'2023'!Pspv,1-EXP((T0-t)*PertePVj)+Pspv)</f>
        <v>3.8028740936957517E-2</v>
      </c>
      <c r="M221" s="832"/>
      <c r="N221" s="832"/>
      <c r="O221" s="48">
        <f>IF(t&lt;Tnet,'2023'!Resal+('2023'!Salim-'2023'!Resal)*(1-EXP(('2023'!Tnet-t)/('2023'!Tau_j))),Resal+(Salim-Resal)*(1-EXP((Tnet-t)/(Tau_j))))*Salcycl</f>
        <v>4.6121798416225615E-2</v>
      </c>
      <c r="P221" s="169">
        <f>(INDEX(Models!$BJ221:$BT221,,T221)*(1-R221)+INDEX(Models!$BJ221:$BT221,,T221+1)*R221-ERP_i)*Q221*Ramure*Pc/MaxiM</f>
        <v>1.964422723476971E-3</v>
      </c>
      <c r="Q221" s="304">
        <f t="shared" si="80"/>
        <v>0.7</v>
      </c>
      <c r="R221" s="177">
        <f t="shared" si="81"/>
        <v>8.2167632906127386E-2</v>
      </c>
      <c r="S221" s="799">
        <f t="shared" si="82"/>
        <v>1</v>
      </c>
      <c r="T221" s="176">
        <f t="shared" si="83"/>
        <v>7</v>
      </c>
      <c r="U221" s="250">
        <f t="shared" si="84"/>
        <v>1.0821676329061274</v>
      </c>
      <c r="V221" s="382">
        <f t="shared" si="85"/>
        <v>52.713902467062489</v>
      </c>
      <c r="W221" s="400">
        <f t="shared" si="86"/>
        <v>43.929290693710051</v>
      </c>
      <c r="X221" s="157">
        <f t="shared" si="87"/>
        <v>45498</v>
      </c>
      <c r="Y221" s="383">
        <f t="shared" si="88"/>
        <v>43.419231932274023</v>
      </c>
      <c r="Z221" s="383">
        <f t="shared" si="89"/>
        <v>45.135685212221667</v>
      </c>
      <c r="AA221" s="384">
        <f t="shared" si="90"/>
        <v>47.868993582748708</v>
      </c>
      <c r="AB221" s="197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5.7099766800029157E-2</v>
      </c>
      <c r="AD221" s="230">
        <f>(INDEX(Models!$BJ221:$BT221,,AH221)*(1-AF221)+INDEX(Models!$BJ221:$BT221,,AH221+1)*AF221-ERP_i)*AE221*Ramure*Pc/MaxiM</f>
        <v>2.0998209316976449E-3</v>
      </c>
      <c r="AE221" s="304">
        <f t="shared" si="92"/>
        <v>0.7</v>
      </c>
      <c r="AF221" s="177">
        <f t="shared" si="93"/>
        <v>0.14649985516595954</v>
      </c>
      <c r="AG221" s="799">
        <f t="shared" si="99"/>
        <v>1</v>
      </c>
      <c r="AH221" s="176">
        <f t="shared" si="94"/>
        <v>7</v>
      </c>
      <c r="AI221" s="224">
        <f t="shared" si="95"/>
        <v>1.1464998551659595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45499</v>
      </c>
      <c r="B222" s="409">
        <f>'2023'!Wh/'2023'!Env_an*'2024'!Env_an</f>
        <v>54.0977308958214</v>
      </c>
      <c r="C222" s="829"/>
      <c r="D222" s="391">
        <f t="shared" si="77"/>
        <v>56.237405407573462</v>
      </c>
      <c r="E222" s="383">
        <f t="shared" si="75"/>
        <v>58.960622792989334</v>
      </c>
      <c r="F222" s="383">
        <f t="shared" si="78"/>
        <v>59.086092502375408</v>
      </c>
      <c r="G222" s="110">
        <f t="shared" si="76"/>
        <v>1.0288727641708302</v>
      </c>
      <c r="H222" s="412" t="b">
        <f>Wh_hp&gt;='2023'!Maxi_hp</f>
        <v>1</v>
      </c>
      <c r="I222" s="388">
        <f>IF(H222,Wh_hp,'2023'!Maxi_hp)</f>
        <v>59.086092502375408</v>
      </c>
      <c r="J222" s="85">
        <f>IF(H222,An,'2023'!An_max)</f>
        <v>2024</v>
      </c>
      <c r="K222" s="197">
        <f t="shared" si="79"/>
        <v>45499</v>
      </c>
      <c r="L222" s="147">
        <f>IF(t&lt;Tvie,1-EXP((T0-t)*PertePVj)+'2023'!Pspv,1-EXP((T0-t)*PertePVj)+Pspv)</f>
        <v>3.8047176896676582E-2</v>
      </c>
      <c r="M222" s="832"/>
      <c r="N222" s="832"/>
      <c r="O222" s="48">
        <f>IF(t&lt;Tnet,'2023'!Resal+('2023'!Salim-'2023'!Resal)*(1-EXP(('2023'!Tnet-t)/('2023'!Tau_j))),Resal+(Salim-Resal)*(1-EXP((Tnet-t)/(Tau_j))))*Salcycl</f>
        <v>4.6187052585537985E-2</v>
      </c>
      <c r="P222" s="169">
        <f>(INDEX(Models!$BJ222:$BT222,,T222)*(1-R222)+INDEX(Models!$BJ222:$BT222,,T222+1)*R222-ERP_i)*Q222*Ramure*Pc/MaxiM</f>
        <v>2.1235066336638651E-3</v>
      </c>
      <c r="Q222" s="304">
        <f t="shared" si="80"/>
        <v>0.7</v>
      </c>
      <c r="R222" s="177">
        <f t="shared" si="81"/>
        <v>8.4016306110100025E-2</v>
      </c>
      <c r="S222" s="799">
        <f t="shared" si="82"/>
        <v>1</v>
      </c>
      <c r="T222" s="176">
        <f t="shared" si="83"/>
        <v>7</v>
      </c>
      <c r="U222" s="250">
        <f t="shared" si="84"/>
        <v>1.0840163061101</v>
      </c>
      <c r="V222" s="382">
        <f t="shared" si="85"/>
        <v>52.579612153907902</v>
      </c>
      <c r="W222" s="400">
        <f t="shared" si="86"/>
        <v>54.0977308958214</v>
      </c>
      <c r="X222" s="157">
        <f t="shared" si="87"/>
        <v>45499</v>
      </c>
      <c r="Y222" s="383">
        <f t="shared" si="88"/>
        <v>53.468241405843379</v>
      </c>
      <c r="Z222" s="383">
        <f t="shared" si="89"/>
        <v>55.583018336960954</v>
      </c>
      <c r="AA222" s="384">
        <f t="shared" si="90"/>
        <v>58.952270473580654</v>
      </c>
      <c r="AB222" s="197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5.7152203122178696E-2</v>
      </c>
      <c r="AD222" s="230">
        <f>(INDEX(Models!$BJ222:$BT222,,AH222)*(1-AF222)+INDEX(Models!$BJ222:$BT222,,AH222+1)*AF222-ERP_i)*AE222*Ramure*Pc/MaxiM</f>
        <v>2.2648650998434612E-3</v>
      </c>
      <c r="AE222" s="304">
        <f t="shared" si="92"/>
        <v>0.7</v>
      </c>
      <c r="AF222" s="177">
        <f t="shared" si="93"/>
        <v>0.14834852836993218</v>
      </c>
      <c r="AG222" s="799">
        <f t="shared" si="99"/>
        <v>1</v>
      </c>
      <c r="AH222" s="176">
        <f t="shared" si="94"/>
        <v>7</v>
      </c>
      <c r="AI222" s="224">
        <f t="shared" si="95"/>
        <v>1.1483485283699322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45500</v>
      </c>
      <c r="B223" s="409">
        <f>'2023'!Wh/'2023'!Env_an*'2024'!Env_an</f>
        <v>43.123518421960078</v>
      </c>
      <c r="C223" s="829"/>
      <c r="D223" s="391">
        <f t="shared" si="77"/>
        <v>44.829999823764396</v>
      </c>
      <c r="E223" s="383">
        <f t="shared" si="75"/>
        <v>47.00403276034001</v>
      </c>
      <c r="F223" s="383">
        <f t="shared" si="78"/>
        <v>47.084354377659714</v>
      </c>
      <c r="G223" s="110">
        <f t="shared" si="76"/>
        <v>0.82179613422036291</v>
      </c>
      <c r="H223" s="412" t="b">
        <f>Wh_hp&gt;='2023'!Maxi_hp</f>
        <v>0</v>
      </c>
      <c r="I223" s="388">
        <f>IF(H223,Wh_hp,'2023'!Maxi_hp)</f>
        <v>55.235892081296527</v>
      </c>
      <c r="J223" s="85">
        <f>IF(H223,An,'2023'!An_max)</f>
        <v>2020</v>
      </c>
      <c r="K223" s="197">
        <f t="shared" si="79"/>
        <v>45500</v>
      </c>
      <c r="L223" s="147">
        <f>IF(t&lt;Tvie,1-EXP((T0-t)*PertePVj)+'2023'!Pspv,1-EXP((T0-t)*PertePVj)+Pspv)</f>
        <v>3.8065612503074608E-2</v>
      </c>
      <c r="M223" s="832"/>
      <c r="N223" s="832"/>
      <c r="O223" s="48">
        <f>IF(t&lt;Tnet,'2023'!Resal+('2023'!Salim-'2023'!Resal)*(1-EXP(('2023'!Tnet-t)/('2023'!Tau_j))),Resal+(Salim-Resal)*(1-EXP((Tnet-t)/(Tau_j))))*Salcycl</f>
        <v>4.6252051343347131E-2</v>
      </c>
      <c r="P223" s="169">
        <f>(INDEX(Models!$BJ223:$BT223,,T223)*(1-R223)+INDEX(Models!$BJ223:$BT223,,T223+1)*R223-ERP_i)*Q223*Ramure*Pc/MaxiM</f>
        <v>2.2864158443151139E-3</v>
      </c>
      <c r="Q223" s="304">
        <f t="shared" si="80"/>
        <v>0.7</v>
      </c>
      <c r="R223" s="177">
        <f t="shared" si="81"/>
        <v>8.5809105619365278E-2</v>
      </c>
      <c r="S223" s="799">
        <f t="shared" si="82"/>
        <v>1</v>
      </c>
      <c r="T223" s="176">
        <f t="shared" si="83"/>
        <v>7</v>
      </c>
      <c r="U223" s="250">
        <f t="shared" si="84"/>
        <v>1.0858091056193653</v>
      </c>
      <c r="V223" s="382">
        <f t="shared" si="85"/>
        <v>52.444201604066237</v>
      </c>
      <c r="W223" s="400">
        <f t="shared" si="86"/>
        <v>43.123518421960078</v>
      </c>
      <c r="X223" s="157">
        <f t="shared" si="87"/>
        <v>45500</v>
      </c>
      <c r="Y223" s="383">
        <f t="shared" si="88"/>
        <v>42.623636570870666</v>
      </c>
      <c r="Z223" s="383">
        <f t="shared" si="89"/>
        <v>44.310336676686177</v>
      </c>
      <c r="AA223" s="384">
        <f t="shared" si="90"/>
        <v>46.998877198041441</v>
      </c>
      <c r="AB223" s="197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5.7204356394014159E-2</v>
      </c>
      <c r="AD223" s="230">
        <f>(INDEX(Models!$BJ223:$BT223,,AH223)*(1-AF223)+INDEX(Models!$BJ223:$BT223,,AH223+1)*AF223-ERP_i)*AE223*Ramure*Pc/MaxiM</f>
        <v>2.433172840988655E-3</v>
      </c>
      <c r="AE223" s="304">
        <f t="shared" si="92"/>
        <v>0.7</v>
      </c>
      <c r="AF223" s="177">
        <f t="shared" si="93"/>
        <v>0.15014132787919743</v>
      </c>
      <c r="AG223" s="799">
        <f t="shared" si="99"/>
        <v>1</v>
      </c>
      <c r="AH223" s="176">
        <f t="shared" si="94"/>
        <v>7</v>
      </c>
      <c r="AI223" s="224">
        <f t="shared" si="95"/>
        <v>1.1501413278791974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45501</v>
      </c>
      <c r="B224" s="409">
        <f>'2023'!Wh/'2023'!Env_an*'2024'!Env_an</f>
        <v>25.402273194034667</v>
      </c>
      <c r="C224" s="829"/>
      <c r="D224" s="391">
        <f t="shared" si="77"/>
        <v>26.407996597602221</v>
      </c>
      <c r="E224" s="383">
        <f t="shared" si="75"/>
        <v>27.690533683455623</v>
      </c>
      <c r="F224" s="383">
        <f t="shared" si="78"/>
        <v>27.708559093060643</v>
      </c>
      <c r="G224" s="110">
        <f t="shared" si="76"/>
        <v>0.48475498089069702</v>
      </c>
      <c r="H224" s="412" t="b">
        <f>Wh_hp&gt;='2023'!Maxi_hp</f>
        <v>0</v>
      </c>
      <c r="I224" s="388">
        <f>IF(H224,Wh_hp,'2023'!Maxi_hp)</f>
        <v>58.807397280234632</v>
      </c>
      <c r="J224" s="85">
        <f>IF(H224,An,'2023'!An_max)</f>
        <v>2018</v>
      </c>
      <c r="K224" s="197">
        <f t="shared" si="79"/>
        <v>45501</v>
      </c>
      <c r="L224" s="147">
        <f>IF(t&lt;Tvie,1-EXP((T0-t)*PertePVj)+'2023'!Pspv,1-EXP((T0-t)*PertePVj)+Pspv)</f>
        <v>3.8084047756158479E-2</v>
      </c>
      <c r="M224" s="832"/>
      <c r="N224" s="832"/>
      <c r="O224" s="48">
        <f>IF(t&lt;Tnet,'2023'!Resal+('2023'!Salim-'2023'!Resal)*(1-EXP(('2023'!Tnet-t)/('2023'!Tau_j))),Resal+(Salim-Resal)*(1-EXP((Tnet-t)/(Tau_j))))*Salcycl</f>
        <v>4.6316806332255087E-2</v>
      </c>
      <c r="P224" s="169">
        <f>(INDEX(Models!$BJ224:$BT224,,T224)*(1-R224)+INDEX(Models!$BJ224:$BT224,,T224+1)*R224-ERP_i)*Q224*Ramure*Pc/MaxiM</f>
        <v>2.4531204482281907E-3</v>
      </c>
      <c r="Q224" s="304">
        <f t="shared" si="80"/>
        <v>0.7</v>
      </c>
      <c r="R224" s="177">
        <f t="shared" si="81"/>
        <v>8.7547080822591994E-2</v>
      </c>
      <c r="S224" s="799">
        <f t="shared" si="82"/>
        <v>1</v>
      </c>
      <c r="T224" s="176">
        <f t="shared" si="83"/>
        <v>7</v>
      </c>
      <c r="U224" s="250">
        <f t="shared" si="84"/>
        <v>1.087547080822592</v>
      </c>
      <c r="V224" s="382">
        <f t="shared" si="85"/>
        <v>52.3077732846534</v>
      </c>
      <c r="W224" s="400">
        <f t="shared" si="86"/>
        <v>25.402273194034667</v>
      </c>
      <c r="X224" s="157">
        <f t="shared" si="87"/>
        <v>45501</v>
      </c>
      <c r="Y224" s="383">
        <f t="shared" si="88"/>
        <v>25.109880665953298</v>
      </c>
      <c r="Z224" s="383">
        <f t="shared" si="89"/>
        <v>26.104027703647077</v>
      </c>
      <c r="AA224" s="384">
        <f t="shared" si="90"/>
        <v>27.689419805438853</v>
      </c>
      <c r="AB224" s="197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5.7256241298359239E-2</v>
      </c>
      <c r="AD224" s="230">
        <f>(INDEX(Models!$BJ224:$BT224,,AH224)*(1-AF224)+INDEX(Models!$BJ224:$BT224,,AH224+1)*AF224-ERP_i)*AE224*Ramure*Pc/MaxiM</f>
        <v>2.6047107310367122E-3</v>
      </c>
      <c r="AE224" s="304">
        <f t="shared" si="92"/>
        <v>0.7</v>
      </c>
      <c r="AF224" s="177">
        <f t="shared" si="93"/>
        <v>0.15187930308242414</v>
      </c>
      <c r="AG224" s="799">
        <f t="shared" si="99"/>
        <v>1</v>
      </c>
      <c r="AH224" s="176">
        <f t="shared" si="94"/>
        <v>7</v>
      </c>
      <c r="AI224" s="224">
        <f t="shared" si="95"/>
        <v>1.1518793030824241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45502</v>
      </c>
      <c r="B225" s="409">
        <f>'2023'!Wh/'2023'!Env_an*'2024'!Env_an</f>
        <v>42.15854470247838</v>
      </c>
      <c r="C225" s="829"/>
      <c r="D225" s="391">
        <f t="shared" si="77"/>
        <v>43.82852013058946</v>
      </c>
      <c r="E225" s="383">
        <f t="shared" si="75"/>
        <v>45.960215988354136</v>
      </c>
      <c r="F225" s="383">
        <f t="shared" si="78"/>
        <v>46.047906236384094</v>
      </c>
      <c r="G225" s="110">
        <f t="shared" si="76"/>
        <v>0.80751038509324002</v>
      </c>
      <c r="H225" s="412" t="b">
        <f>Wh_hp&gt;='2023'!Maxi_hp</f>
        <v>0</v>
      </c>
      <c r="I225" s="388">
        <f>IF(H225,Wh_hp,'2023'!Maxi_hp)</f>
        <v>48.678240079056877</v>
      </c>
      <c r="J225" s="85">
        <f>IF(H225,An,'2023'!An_max)</f>
        <v>2020</v>
      </c>
      <c r="K225" s="197">
        <f t="shared" si="79"/>
        <v>45502</v>
      </c>
      <c r="L225" s="147">
        <f>IF(t&lt;Tvie,1-EXP((T0-t)*PertePVj)+'2023'!Pspv,1-EXP((T0-t)*PertePVj)+Pspv)</f>
        <v>3.8102482655934966E-2</v>
      </c>
      <c r="M225" s="832"/>
      <c r="N225" s="832"/>
      <c r="O225" s="48">
        <f>IF(t&lt;Tnet,'2023'!Resal+('2023'!Salim-'2023'!Resal)*(1-EXP(('2023'!Tnet-t)/('2023'!Tau_j))),Resal+(Salim-Resal)*(1-EXP((Tnet-t)/(Tau_j))))*Salcycl</f>
        <v>4.6381328110051252E-2</v>
      </c>
      <c r="P225" s="169">
        <f>(INDEX(Models!$BJ225:$BT225,,T225)*(1-R225)+INDEX(Models!$BJ225:$BT225,,T225+1)*R225-ERP_i)*Q225*Ramure*Pc/MaxiM</f>
        <v>2.6235930468848537E-3</v>
      </c>
      <c r="Q225" s="304">
        <f t="shared" si="80"/>
        <v>0.7</v>
      </c>
      <c r="R225" s="177">
        <f t="shared" si="81"/>
        <v>8.9231307660098125E-2</v>
      </c>
      <c r="S225" s="799">
        <f t="shared" si="82"/>
        <v>1</v>
      </c>
      <c r="T225" s="176">
        <f t="shared" si="83"/>
        <v>7</v>
      </c>
      <c r="U225" s="250">
        <f t="shared" si="84"/>
        <v>1.0892313076600981</v>
      </c>
      <c r="V225" s="382">
        <f t="shared" si="85"/>
        <v>52.170429499996956</v>
      </c>
      <c r="W225" s="400">
        <f t="shared" si="86"/>
        <v>42.15854470247838</v>
      </c>
      <c r="X225" s="157">
        <f t="shared" si="87"/>
        <v>45502</v>
      </c>
      <c r="Y225" s="383">
        <f t="shared" si="88"/>
        <v>41.670769365635593</v>
      </c>
      <c r="Z225" s="383">
        <f t="shared" si="89"/>
        <v>43.321423139436391</v>
      </c>
      <c r="AA225" s="384">
        <f t="shared" si="90"/>
        <v>45.95500674451376</v>
      </c>
      <c r="AB225" s="197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5.7307871147070935E-2</v>
      </c>
      <c r="AD225" s="230">
        <f>(INDEX(Models!$BJ225:$BT225,,AH225)*(1-AF225)+INDEX(Models!$BJ225:$BT225,,AH225+1)*AF225-ERP_i)*AE225*Ramure*Pc/MaxiM</f>
        <v>2.7794477311419759E-3</v>
      </c>
      <c r="AE225" s="304">
        <f t="shared" si="92"/>
        <v>0.7</v>
      </c>
      <c r="AF225" s="177">
        <f t="shared" si="93"/>
        <v>0.15356352991993028</v>
      </c>
      <c r="AG225" s="799">
        <f t="shared" si="99"/>
        <v>1</v>
      </c>
      <c r="AH225" s="176">
        <f t="shared" si="94"/>
        <v>7</v>
      </c>
      <c r="AI225" s="224">
        <f t="shared" si="95"/>
        <v>1.1535635299199303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45503</v>
      </c>
      <c r="B226" s="409">
        <f>'2023'!Wh/'2023'!Env_an*'2024'!Env_an</f>
        <v>52.775759319573133</v>
      </c>
      <c r="C226" s="829"/>
      <c r="D226" s="391">
        <f t="shared" si="77"/>
        <v>54.867353145965929</v>
      </c>
      <c r="E226" s="383">
        <f t="shared" si="75"/>
        <v>57.539826411861817</v>
      </c>
      <c r="F226" s="383">
        <f t="shared" si="78"/>
        <v>57.700833981931638</v>
      </c>
      <c r="G226" s="110">
        <f t="shared" si="76"/>
        <v>1.0142814071359794</v>
      </c>
      <c r="H226" s="412" t="b">
        <f>Wh_hp&gt;='2023'!Maxi_hp</f>
        <v>1</v>
      </c>
      <c r="I226" s="388">
        <f>IF(H226,Wh_hp,'2023'!Maxi_hp)</f>
        <v>57.700833981931638</v>
      </c>
      <c r="J226" s="85">
        <f>IF(H226,An,'2023'!An_max)</f>
        <v>2024</v>
      </c>
      <c r="K226" s="197">
        <f t="shared" si="79"/>
        <v>45503</v>
      </c>
      <c r="L226" s="147">
        <f>IF(t&lt;Tvie,1-EXP((T0-t)*PertePVj)+'2023'!Pspv,1-EXP((T0-t)*PertePVj)+Pspv)</f>
        <v>3.8120917202410731E-2</v>
      </c>
      <c r="M226" s="832"/>
      <c r="N226" s="832"/>
      <c r="O226" s="48">
        <f>IF(t&lt;Tnet,'2023'!Resal+('2023'!Salim-'2023'!Resal)*(1-EXP(('2023'!Tnet-t)/('2023'!Tau_j))),Resal+(Salim-Resal)*(1-EXP((Tnet-t)/(Tau_j))))*Salcycl</f>
        <v>4.6445626143650678E-2</v>
      </c>
      <c r="P226" s="169">
        <f>(INDEX(Models!$BJ226:$BT226,,T226)*(1-R226)+INDEX(Models!$BJ226:$BT226,,T226+1)*R226-ERP_i)*Q226*Ramure*Pc/MaxiM</f>
        <v>2.7903854928723651E-3</v>
      </c>
      <c r="Q226" s="304">
        <f t="shared" si="80"/>
        <v>0.7</v>
      </c>
      <c r="R226" s="177">
        <f t="shared" si="81"/>
        <v>9.0862884512476594E-2</v>
      </c>
      <c r="S226" s="799">
        <f t="shared" si="82"/>
        <v>1</v>
      </c>
      <c r="T226" s="176">
        <f t="shared" si="83"/>
        <v>7</v>
      </c>
      <c r="U226" s="250">
        <f t="shared" si="84"/>
        <v>1.0908628845124766</v>
      </c>
      <c r="V226" s="382">
        <f t="shared" si="85"/>
        <v>52.032659721719384</v>
      </c>
      <c r="W226" s="400">
        <f t="shared" si="86"/>
        <v>52.775759319573133</v>
      </c>
      <c r="X226" s="157">
        <f t="shared" si="87"/>
        <v>45503</v>
      </c>
      <c r="Y226" s="383">
        <f t="shared" si="88"/>
        <v>52.163376773241218</v>
      </c>
      <c r="Z226" s="383">
        <f t="shared" si="89"/>
        <v>54.230700829386983</v>
      </c>
      <c r="AA226" s="384">
        <f t="shared" si="90"/>
        <v>57.530614162991824</v>
      </c>
      <c r="AB226" s="197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5.735925787713228E-2</v>
      </c>
      <c r="AD226" s="230">
        <f>(INDEX(Models!$BJ226:$BT226,,AH226)*(1-AF226)+INDEX(Models!$BJ226:$BT226,,AH226+1)*AF226-ERP_i)*AE226*Ramure*Pc/MaxiM</f>
        <v>2.9500408779727138E-3</v>
      </c>
      <c r="AE226" s="304">
        <f t="shared" si="92"/>
        <v>0.7</v>
      </c>
      <c r="AF226" s="177">
        <f t="shared" si="93"/>
        <v>0.15519510677230874</v>
      </c>
      <c r="AG226" s="799">
        <f t="shared" si="99"/>
        <v>1</v>
      </c>
      <c r="AH226" s="176">
        <f t="shared" si="94"/>
        <v>7</v>
      </c>
      <c r="AI226" s="224">
        <f t="shared" si="95"/>
        <v>1.1551951067723087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45504</v>
      </c>
      <c r="B227" s="409">
        <f>'2023'!Wh/'2023'!Env_an*'2024'!Env_an</f>
        <v>52.444835010866647</v>
      </c>
      <c r="C227" s="829"/>
      <c r="D227" s="391">
        <f t="shared" si="77"/>
        <v>54.524358686427647</v>
      </c>
      <c r="E227" s="383">
        <f t="shared" si="75"/>
        <v>57.18396840563878</v>
      </c>
      <c r="F227" s="383">
        <f t="shared" si="78"/>
        <v>57.35317102352402</v>
      </c>
      <c r="G227" s="110">
        <f t="shared" si="76"/>
        <v>1.010600321451337</v>
      </c>
      <c r="H227" s="412" t="b">
        <f>Wh_hp&gt;='2023'!Maxi_hp</f>
        <v>1</v>
      </c>
      <c r="I227" s="388">
        <f>IF(H227,Wh_hp,'2023'!Maxi_hp)</f>
        <v>57.35317102352402</v>
      </c>
      <c r="J227" s="85">
        <f>IF(H227,An,'2023'!An_max)</f>
        <v>2024</v>
      </c>
      <c r="K227" s="197">
        <f t="shared" si="79"/>
        <v>45504</v>
      </c>
      <c r="L227" s="147">
        <f>IF(t&lt;Tvie,1-EXP((T0-t)*PertePVj)+'2023'!Pspv,1-EXP((T0-t)*PertePVj)+Pspv)</f>
        <v>3.8139351395592658E-2</v>
      </c>
      <c r="M227" s="832"/>
      <c r="N227" s="832"/>
      <c r="O227" s="48">
        <f>IF(t&lt;Tnet,'2023'!Resal+('2023'!Salim-'2023'!Resal)*(1-EXP(('2023'!Tnet-t)/('2023'!Tau_j))),Resal+(Salim-Resal)*(1-EXP((Tnet-t)/(Tau_j))))*Salcycl</f>
        <v>4.6509708811130271E-2</v>
      </c>
      <c r="P227" s="169">
        <f>(INDEX(Models!$BJ227:$BT227,,T227)*(1-R227)+INDEX(Models!$BJ227:$BT227,,T227+1)*R227-ERP_i)*Q227*Ramure*Pc/MaxiM</f>
        <v>2.9501876681908993E-3</v>
      </c>
      <c r="Q227" s="304">
        <f t="shared" si="80"/>
        <v>0.7</v>
      </c>
      <c r="R227" s="177">
        <f t="shared" si="81"/>
        <v>9.2442928295411786E-2</v>
      </c>
      <c r="S227" s="799">
        <f t="shared" si="82"/>
        <v>1</v>
      </c>
      <c r="T227" s="176">
        <f t="shared" si="83"/>
        <v>7</v>
      </c>
      <c r="U227" s="250">
        <f t="shared" si="84"/>
        <v>1.0924429282954118</v>
      </c>
      <c r="V227" s="382">
        <f t="shared" si="85"/>
        <v>51.894734147273859</v>
      </c>
      <c r="W227" s="400">
        <f t="shared" si="86"/>
        <v>52.444835010866647</v>
      </c>
      <c r="X227" s="157">
        <f t="shared" si="87"/>
        <v>45504</v>
      </c>
      <c r="Y227" s="383">
        <f t="shared" si="88"/>
        <v>51.836773912352662</v>
      </c>
      <c r="Z227" s="383">
        <f t="shared" si="89"/>
        <v>53.892186968626071</v>
      </c>
      <c r="AA227" s="384">
        <f t="shared" si="90"/>
        <v>57.174604576545612</v>
      </c>
      <c r="AB227" s="197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5.7410412056720428E-2</v>
      </c>
      <c r="AD227" s="230">
        <f>(INDEX(Models!$BJ227:$BT227,,AH227)*(1-AF227)+INDEX(Models!$BJ227:$BT227,,AH227+1)*AF227-ERP_i)*AE227*Ramure*Pc/MaxiM</f>
        <v>3.1134537775629862E-3</v>
      </c>
      <c r="AE227" s="304">
        <f t="shared" si="92"/>
        <v>0.7</v>
      </c>
      <c r="AF227" s="177">
        <f t="shared" si="93"/>
        <v>0.15677515055524394</v>
      </c>
      <c r="AG227" s="799">
        <f t="shared" si="99"/>
        <v>1</v>
      </c>
      <c r="AH227" s="176">
        <f t="shared" si="94"/>
        <v>7</v>
      </c>
      <c r="AI227" s="224">
        <f t="shared" si="95"/>
        <v>1.1567751505552439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45505</v>
      </c>
      <c r="B228" s="409">
        <f>'2023'!Wh/'2023'!Env_an*'2024'!Env_an</f>
        <v>52.664726576608409</v>
      </c>
      <c r="C228" s="829"/>
      <c r="D228" s="391">
        <f t="shared" si="77"/>
        <v>54.754018661472763</v>
      </c>
      <c r="E228" s="383">
        <f t="shared" si="75"/>
        <v>57.42867798585425</v>
      </c>
      <c r="F228" s="383">
        <f t="shared" si="78"/>
        <v>57.607430014049783</v>
      </c>
      <c r="G228" s="110">
        <f t="shared" si="76"/>
        <v>1.0175430984044598</v>
      </c>
      <c r="H228" s="412" t="b">
        <f>Wh_hp&gt;='2023'!Maxi_hp</f>
        <v>1</v>
      </c>
      <c r="I228" s="388">
        <f>IF(H228,Wh_hp,'2023'!Maxi_hp)</f>
        <v>57.607430014049783</v>
      </c>
      <c r="J228" s="85">
        <f>IF(H228,An,'2023'!An_max)</f>
        <v>2024</v>
      </c>
      <c r="K228" s="197">
        <f t="shared" si="79"/>
        <v>45505</v>
      </c>
      <c r="L228" s="147">
        <f>IF(t&lt;Tvie,1-EXP((T0-t)*PertePVj)+'2023'!Pspv,1-EXP((T0-t)*PertePVj)+Pspv)</f>
        <v>3.8157785235487518E-2</v>
      </c>
      <c r="M228" s="832"/>
      <c r="N228" s="832"/>
      <c r="O228" s="48">
        <f>IF(t&lt;Tnet,'2023'!Resal+('2023'!Salim-'2023'!Resal)*(1-EXP(('2023'!Tnet-t)/('2023'!Tau_j))),Resal+(Salim-Resal)*(1-EXP((Tnet-t)/(Tau_j))))*Salcycl</f>
        <v>4.6573583411415161E-2</v>
      </c>
      <c r="P228" s="169">
        <f>(INDEX(Models!$BJ228:$BT228,,T228)*(1-R228)+INDEX(Models!$BJ228:$BT228,,T228+1)*R228-ERP_i)*Q228*Ramure*Pc/MaxiM</f>
        <v>3.1029335652004008E-3</v>
      </c>
      <c r="Q228" s="304">
        <f t="shared" si="80"/>
        <v>0.7</v>
      </c>
      <c r="R228" s="177">
        <f t="shared" si="81"/>
        <v>9.3972570763121377E-2</v>
      </c>
      <c r="S228" s="799">
        <f t="shared" si="82"/>
        <v>1</v>
      </c>
      <c r="T228" s="176">
        <f t="shared" si="83"/>
        <v>7</v>
      </c>
      <c r="U228" s="250">
        <f t="shared" si="84"/>
        <v>1.0939725707631214</v>
      </c>
      <c r="V228" s="382">
        <f t="shared" si="85"/>
        <v>51.756752769674712</v>
      </c>
      <c r="W228" s="400">
        <f t="shared" si="86"/>
        <v>52.664726576608409</v>
      </c>
      <c r="X228" s="157">
        <f t="shared" si="87"/>
        <v>45505</v>
      </c>
      <c r="Y228" s="383">
        <f t="shared" si="88"/>
        <v>52.054610637643819</v>
      </c>
      <c r="Z228" s="383">
        <f t="shared" si="89"/>
        <v>54.119698468826648</v>
      </c>
      <c r="AA228" s="384">
        <f t="shared" si="90"/>
        <v>57.419075664631194</v>
      </c>
      <c r="AB228" s="197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5.7461342900664104E-2</v>
      </c>
      <c r="AD228" s="230">
        <f>(INDEX(Models!$BJ228:$BT228,,AH228)*(1-AF228)+INDEX(Models!$BJ228:$BT228,,AH228+1)*AF228-ERP_i)*AE228*Ramure*Pc/MaxiM</f>
        <v>3.2696190295704139E-3</v>
      </c>
      <c r="AE228" s="304">
        <f t="shared" si="92"/>
        <v>0.7</v>
      </c>
      <c r="AF228" s="177">
        <f t="shared" si="93"/>
        <v>0.15830479302295353</v>
      </c>
      <c r="AG228" s="799">
        <f t="shared" si="99"/>
        <v>1</v>
      </c>
      <c r="AH228" s="176">
        <f t="shared" si="94"/>
        <v>7</v>
      </c>
      <c r="AI228" s="224">
        <f t="shared" si="95"/>
        <v>1.1583047930229535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45506</v>
      </c>
      <c r="B229" s="409">
        <f>'2023'!Wh/'2023'!Env_an*'2024'!Env_an</f>
        <v>52.767041828242888</v>
      </c>
      <c r="C229" s="829"/>
      <c r="D229" s="391">
        <f t="shared" si="77"/>
        <v>54.861444326252318</v>
      </c>
      <c r="E229" s="383">
        <f t="shared" si="75"/>
        <v>57.545194294558819</v>
      </c>
      <c r="F229" s="383">
        <f t="shared" si="78"/>
        <v>57.73274234612979</v>
      </c>
      <c r="G229" s="110">
        <f t="shared" si="76"/>
        <v>1.0222443360490967</v>
      </c>
      <c r="H229" s="412" t="b">
        <f>Wh_hp&gt;='2023'!Maxi_hp</f>
        <v>1</v>
      </c>
      <c r="I229" s="388">
        <f>IF(H229,Wh_hp,'2023'!Maxi_hp)</f>
        <v>57.73274234612979</v>
      </c>
      <c r="J229" s="85">
        <f>IF(H229,An,'2023'!An_max)</f>
        <v>2024</v>
      </c>
      <c r="K229" s="197">
        <f t="shared" si="79"/>
        <v>45506</v>
      </c>
      <c r="L229" s="147">
        <f>IF(t&lt;Tvie,1-EXP((T0-t)*PertePVj)+'2023'!Pspv,1-EXP((T0-t)*PertePVj)+Pspv)</f>
        <v>3.8176218722101973E-2</v>
      </c>
      <c r="M229" s="832"/>
      <c r="N229" s="832"/>
      <c r="O229" s="48">
        <f>IF(t&lt;Tnet,'2023'!Resal+('2023'!Salim-'2023'!Resal)*(1-EXP(('2023'!Tnet-t)/('2023'!Tau_j))),Resal+(Salim-Resal)*(1-EXP((Tnet-t)/(Tau_j))))*Salcycl</f>
        <v>4.6637256181099804E-2</v>
      </c>
      <c r="P229" s="169">
        <f>(INDEX(Models!$BJ229:$BT229,,T229)*(1-R229)+INDEX(Models!$BJ229:$BT229,,T229+1)*R229-ERP_i)*Q229*Ramure*Pc/MaxiM</f>
        <v>3.2485560870563206E-3</v>
      </c>
      <c r="Q229" s="304">
        <f t="shared" si="80"/>
        <v>0.7</v>
      </c>
      <c r="R229" s="177">
        <f t="shared" si="81"/>
        <v>9.545295502129969E-2</v>
      </c>
      <c r="S229" s="799">
        <f t="shared" si="82"/>
        <v>1</v>
      </c>
      <c r="T229" s="176">
        <f t="shared" si="83"/>
        <v>7</v>
      </c>
      <c r="U229" s="250">
        <f t="shared" si="84"/>
        <v>1.0954529550212997</v>
      </c>
      <c r="V229" s="382">
        <f t="shared" si="85"/>
        <v>51.618815548720804</v>
      </c>
      <c r="W229" s="400">
        <f t="shared" si="86"/>
        <v>52.767041828242888</v>
      </c>
      <c r="X229" s="157">
        <f t="shared" si="87"/>
        <v>45506</v>
      </c>
      <c r="Y229" s="383">
        <f t="shared" si="88"/>
        <v>52.156247252665636</v>
      </c>
      <c r="Z229" s="383">
        <f t="shared" si="89"/>
        <v>54.226406404060647</v>
      </c>
      <c r="AA229" s="384">
        <f t="shared" si="90"/>
        <v>57.535384809211614</v>
      </c>
      <c r="AB229" s="197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5.7512058294623372E-2</v>
      </c>
      <c r="AD229" s="230">
        <f>(INDEX(Models!$BJ229:$BT229,,AH229)*(1-AF229)+INDEX(Models!$BJ229:$BT229,,AH229+1)*AF229-ERP_i)*AE229*Ramure*Pc/MaxiM</f>
        <v>3.4184680806420239E-3</v>
      </c>
      <c r="AE229" s="304">
        <f t="shared" si="92"/>
        <v>0.7</v>
      </c>
      <c r="AF229" s="177">
        <f t="shared" si="93"/>
        <v>0.15978517728113184</v>
      </c>
      <c r="AG229" s="799">
        <f t="shared" si="99"/>
        <v>1</v>
      </c>
      <c r="AH229" s="176">
        <f t="shared" si="94"/>
        <v>7</v>
      </c>
      <c r="AI229" s="224">
        <f t="shared" si="95"/>
        <v>1.1597851772811318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45507</v>
      </c>
      <c r="B230" s="409">
        <f>'2023'!Wh/'2023'!Env_an*'2024'!Env_an</f>
        <v>50.163406707065064</v>
      </c>
      <c r="C230" s="829"/>
      <c r="D230" s="391">
        <f t="shared" si="77"/>
        <v>52.155466596059746</v>
      </c>
      <c r="E230" s="383">
        <f t="shared" si="75"/>
        <v>54.710486375248308</v>
      </c>
      <c r="F230" s="383">
        <f t="shared" si="78"/>
        <v>54.88959926852511</v>
      </c>
      <c r="G230" s="110">
        <f t="shared" si="76"/>
        <v>0.9742847331813862</v>
      </c>
      <c r="H230" s="412" t="b">
        <f>Wh_hp&gt;='2023'!Maxi_hp</f>
        <v>0</v>
      </c>
      <c r="I230" s="388">
        <f>IF(H230,Wh_hp,'2023'!Maxi_hp)</f>
        <v>54.940621976631377</v>
      </c>
      <c r="J230" s="85">
        <f>IF(H230,An,'2023'!An_max)</f>
        <v>2018</v>
      </c>
      <c r="K230" s="197">
        <f t="shared" si="79"/>
        <v>45507</v>
      </c>
      <c r="L230" s="147">
        <f>IF(t&lt;Tvie,1-EXP((T0-t)*PertePVj)+'2023'!Pspv,1-EXP((T0-t)*PertePVj)+Pspv)</f>
        <v>3.8194651855442907E-2</v>
      </c>
      <c r="M230" s="832"/>
      <c r="N230" s="832"/>
      <c r="O230" s="48">
        <f>IF(t&lt;Tnet,'2023'!Resal+('2023'!Salim-'2023'!Resal)*(1-EXP(('2023'!Tnet-t)/('2023'!Tau_j))),Resal+(Salim-Resal)*(1-EXP((Tnet-t)/(Tau_j))))*Salcycl</f>
        <v>4.6700732317826413E-2</v>
      </c>
      <c r="P230" s="169">
        <f>(INDEX(Models!$BJ230:$BT230,,T230)*(1-R230)+INDEX(Models!$BJ230:$BT230,,T230+1)*R230-ERP_i)*Q230*Ramure*Pc/MaxiM</f>
        <v>3.3869870337183468E-3</v>
      </c>
      <c r="Q230" s="304">
        <f t="shared" si="80"/>
        <v>0.7</v>
      </c>
      <c r="R230" s="177">
        <f t="shared" si="81"/>
        <v>9.688523224904122E-2</v>
      </c>
      <c r="S230" s="799">
        <f t="shared" si="82"/>
        <v>1</v>
      </c>
      <c r="T230" s="176">
        <f t="shared" si="83"/>
        <v>7</v>
      </c>
      <c r="U230" s="250">
        <f t="shared" si="84"/>
        <v>1.0968852322490412</v>
      </c>
      <c r="V230" s="382">
        <f t="shared" si="85"/>
        <v>51.481022415716041</v>
      </c>
      <c r="W230" s="400">
        <f t="shared" si="86"/>
        <v>50.163406707065064</v>
      </c>
      <c r="X230" s="157">
        <f t="shared" si="87"/>
        <v>45507</v>
      </c>
      <c r="Y230" s="383">
        <f t="shared" si="88"/>
        <v>49.583557889020803</v>
      </c>
      <c r="Z230" s="383">
        <f t="shared" si="89"/>
        <v>51.552591160647722</v>
      </c>
      <c r="AA230" s="384">
        <f t="shared" si="90"/>
        <v>54.701340626604193</v>
      </c>
      <c r="AB230" s="197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5.7562564827251535E-2</v>
      </c>
      <c r="AD230" s="230">
        <f>(INDEX(Models!$BJ230:$BT230,,AH230)*(1-AF230)+INDEX(Models!$BJ230:$BT230,,AH230+1)*AF230-ERP_i)*AE230*Ramure*Pc/MaxiM</f>
        <v>3.5599312115749183E-3</v>
      </c>
      <c r="AE230" s="304">
        <f t="shared" si="92"/>
        <v>0.7</v>
      </c>
      <c r="AF230" s="177">
        <f t="shared" si="93"/>
        <v>0.16121745450887337</v>
      </c>
      <c r="AG230" s="799">
        <f t="shared" si="99"/>
        <v>1</v>
      </c>
      <c r="AH230" s="176">
        <f t="shared" si="94"/>
        <v>7</v>
      </c>
      <c r="AI230" s="224">
        <f t="shared" si="95"/>
        <v>1.1612174545088734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45508</v>
      </c>
      <c r="B231" s="409">
        <f>'2023'!Wh/'2023'!Env_an*'2024'!Env_an</f>
        <v>40.50082216692045</v>
      </c>
      <c r="C231" s="829"/>
      <c r="D231" s="391">
        <f t="shared" si="77"/>
        <v>42.109974174032182</v>
      </c>
      <c r="E231" s="383">
        <f t="shared" si="75"/>
        <v>44.175812580797214</v>
      </c>
      <c r="F231" s="383">
        <f t="shared" si="78"/>
        <v>44.284610373390827</v>
      </c>
      <c r="G231" s="110">
        <f t="shared" si="76"/>
        <v>0.78798194388577192</v>
      </c>
      <c r="H231" s="412" t="b">
        <f>Wh_hp&gt;='2023'!Maxi_hp</f>
        <v>0</v>
      </c>
      <c r="I231" s="388">
        <f>IF(H231,Wh_hp,'2023'!Maxi_hp)</f>
        <v>53.590627988169963</v>
      </c>
      <c r="J231" s="85">
        <f>IF(H231,An,'2023'!An_max)</f>
        <v>2018</v>
      </c>
      <c r="K231" s="197">
        <f t="shared" si="79"/>
        <v>45508</v>
      </c>
      <c r="L231" s="147">
        <f>IF(t&lt;Tvie,1-EXP((T0-t)*PertePVj)+'2023'!Pspv,1-EXP((T0-t)*PertePVj)+Pspv)</f>
        <v>3.8213084635517092E-2</v>
      </c>
      <c r="M231" s="832"/>
      <c r="N231" s="832"/>
      <c r="O231" s="48">
        <f>IF(t&lt;Tnet,'2023'!Resal+('2023'!Salim-'2023'!Resal)*(1-EXP(('2023'!Tnet-t)/('2023'!Tau_j))),Resal+(Salim-Resal)*(1-EXP((Tnet-t)/(Tau_j))))*Salcycl</f>
        <v>4.6764016009589564E-2</v>
      </c>
      <c r="P231" s="169">
        <f>(INDEX(Models!$BJ231:$BT231,,T231)*(1-R231)+INDEX(Models!$BJ231:$BT231,,T231+1)*R231-ERP_i)*Q231*Ramure*Pc/MaxiM</f>
        <v>3.5181571052245331E-3</v>
      </c>
      <c r="Q231" s="304">
        <f t="shared" si="80"/>
        <v>0.7</v>
      </c>
      <c r="R231" s="177">
        <f t="shared" si="81"/>
        <v>9.8270558627954863E-2</v>
      </c>
      <c r="S231" s="799">
        <f t="shared" si="82"/>
        <v>1</v>
      </c>
      <c r="T231" s="176">
        <f t="shared" si="83"/>
        <v>7</v>
      </c>
      <c r="U231" s="250">
        <f t="shared" si="84"/>
        <v>1.0982705586279549</v>
      </c>
      <c r="V231" s="382">
        <f t="shared" si="85"/>
        <v>51.343473277929917</v>
      </c>
      <c r="W231" s="400">
        <f t="shared" si="86"/>
        <v>40.50082216692045</v>
      </c>
      <c r="X231" s="157">
        <f t="shared" si="87"/>
        <v>45508</v>
      </c>
      <c r="Y231" s="383">
        <f t="shared" si="88"/>
        <v>40.034952192728092</v>
      </c>
      <c r="Z231" s="383">
        <f t="shared" si="89"/>
        <v>41.625594560679041</v>
      </c>
      <c r="AA231" s="384">
        <f t="shared" si="90"/>
        <v>44.170376631532321</v>
      </c>
      <c r="AB231" s="197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5.7612867829535508E-2</v>
      </c>
      <c r="AD231" s="230">
        <f>(INDEX(Models!$BJ231:$BT231,,AH231)*(1-AF231)+INDEX(Models!$BJ231:$BT231,,AH231+1)*AF231-ERP_i)*AE231*Ramure*Pc/MaxiM</f>
        <v>3.6939375422536825E-3</v>
      </c>
      <c r="AE231" s="304">
        <f t="shared" si="92"/>
        <v>0.7</v>
      </c>
      <c r="AF231" s="177">
        <f t="shared" si="93"/>
        <v>0.16260278088778701</v>
      </c>
      <c r="AG231" s="799">
        <f t="shared" si="99"/>
        <v>1</v>
      </c>
      <c r="AH231" s="176">
        <f t="shared" si="94"/>
        <v>7</v>
      </c>
      <c r="AI231" s="224">
        <f t="shared" si="95"/>
        <v>1.162602780887787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45509</v>
      </c>
      <c r="B232" s="409">
        <f>'2023'!Wh/'2023'!Env_an*'2024'!Env_an</f>
        <v>48.045955264205048</v>
      </c>
      <c r="C232" s="829"/>
      <c r="D232" s="391">
        <f t="shared" si="77"/>
        <v>49.955842925369446</v>
      </c>
      <c r="E232" s="383">
        <f t="shared" si="75"/>
        <v>52.410054329141609</v>
      </c>
      <c r="F232" s="383">
        <f t="shared" si="78"/>
        <v>52.584682273165491</v>
      </c>
      <c r="G232" s="110">
        <f t="shared" si="76"/>
        <v>0.93798040500167301</v>
      </c>
      <c r="H232" s="412" t="b">
        <f>Wh_hp&gt;='2023'!Maxi_hp</f>
        <v>0</v>
      </c>
      <c r="I232" s="388">
        <f>IF(H232,Wh_hp,'2023'!Maxi_hp)</f>
        <v>56.645072121276598</v>
      </c>
      <c r="J232" s="85">
        <f>IF(H232,An,'2023'!An_max)</f>
        <v>2020</v>
      </c>
      <c r="K232" s="197">
        <f t="shared" si="79"/>
        <v>45509</v>
      </c>
      <c r="L232" s="147">
        <f>IF(t&lt;Tvie,1-EXP((T0-t)*PertePVj)+'2023'!Pspv,1-EXP((T0-t)*PertePVj)+Pspv)</f>
        <v>3.8231517062331188E-2</v>
      </c>
      <c r="M232" s="832"/>
      <c r="N232" s="832"/>
      <c r="O232" s="48">
        <f>IF(t&lt;Tnet,'2023'!Resal+('2023'!Salim-'2023'!Resal)*(1-EXP(('2023'!Tnet-t)/('2023'!Tau_j))),Resal+(Salim-Resal)*(1-EXP((Tnet-t)/(Tau_j))))*Salcycl</f>
        <v>4.6827110469289196E-2</v>
      </c>
      <c r="P232" s="169">
        <f>(INDEX(Models!$BJ232:$BT232,,T232)*(1-R232)+INDEX(Models!$BJ232:$BT232,,T232+1)*R232-ERP_i)*Q232*Ramure*Pc/MaxiM</f>
        <v>3.6419959227304093E-3</v>
      </c>
      <c r="Q232" s="304">
        <f t="shared" si="80"/>
        <v>0.7</v>
      </c>
      <c r="R232" s="177">
        <f t="shared" si="81"/>
        <v>9.9610092475580281E-2</v>
      </c>
      <c r="S232" s="799">
        <f t="shared" si="82"/>
        <v>1</v>
      </c>
      <c r="T232" s="176">
        <f t="shared" si="83"/>
        <v>7</v>
      </c>
      <c r="U232" s="250">
        <f t="shared" si="84"/>
        <v>1.0996100924755803</v>
      </c>
      <c r="V232" s="382">
        <f t="shared" si="85"/>
        <v>51.206268021220467</v>
      </c>
      <c r="W232" s="400">
        <f t="shared" si="86"/>
        <v>48.045955264205048</v>
      </c>
      <c r="X232" s="157">
        <f t="shared" si="87"/>
        <v>45509</v>
      </c>
      <c r="Y232" s="383">
        <f t="shared" si="88"/>
        <v>47.492005784135372</v>
      </c>
      <c r="Z232" s="383">
        <f t="shared" si="89"/>
        <v>49.379873250861429</v>
      </c>
      <c r="AA232" s="384">
        <f t="shared" si="90"/>
        <v>52.401499413957588</v>
      </c>
      <c r="AB232" s="197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5.7662971420457503E-2</v>
      </c>
      <c r="AD232" s="230">
        <f>(INDEX(Models!$BJ232:$BT232,,AH232)*(1-AF232)+INDEX(Models!$BJ232:$BT232,,AH232+1)*AF232-ERP_i)*AE232*Ramure*Pc/MaxiM</f>
        <v>3.8204150548668387E-3</v>
      </c>
      <c r="AE232" s="304">
        <f t="shared" si="92"/>
        <v>0.7</v>
      </c>
      <c r="AF232" s="177">
        <f t="shared" si="93"/>
        <v>0.16394231473541243</v>
      </c>
      <c r="AG232" s="799">
        <f t="shared" si="99"/>
        <v>1</v>
      </c>
      <c r="AH232" s="176">
        <f t="shared" si="94"/>
        <v>7</v>
      </c>
      <c r="AI232" s="224">
        <f t="shared" si="95"/>
        <v>1.1639423147354124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45510</v>
      </c>
      <c r="B233" s="409">
        <f>'2023'!Wh/'2023'!Env_an*'2024'!Env_an</f>
        <v>50.854720341139377</v>
      </c>
      <c r="C233" s="829"/>
      <c r="D233" s="391">
        <f t="shared" si="77"/>
        <v>52.877273357508741</v>
      </c>
      <c r="E233" s="383">
        <f t="shared" ref="E233:E296" si="100">Wh_pvt/(1-Psa)</f>
        <v>55.478669151170507</v>
      </c>
      <c r="F233" s="383">
        <f t="shared" si="78"/>
        <v>55.68670240834404</v>
      </c>
      <c r="G233" s="110">
        <f t="shared" ref="G233:G296" si="101">+Wh_hp/MaxiM</f>
        <v>0.99576385665432365</v>
      </c>
      <c r="H233" s="412" t="b">
        <f>Wh_hp&gt;='2023'!Maxi_hp</f>
        <v>0</v>
      </c>
      <c r="I233" s="388">
        <f>IF(H233,Wh_hp,'2023'!Maxi_hp)</f>
        <v>55.687322865809392</v>
      </c>
      <c r="J233" s="85">
        <f>IF(H233,An,'2023'!An_max)</f>
        <v>2022</v>
      </c>
      <c r="K233" s="197">
        <f t="shared" si="79"/>
        <v>45510</v>
      </c>
      <c r="L233" s="147">
        <f>IF(t&lt;Tvie,1-EXP((T0-t)*PertePVj)+'2023'!Pspv,1-EXP((T0-t)*PertePVj)+Pspv)</f>
        <v>3.824994913589197E-2</v>
      </c>
      <c r="M233" s="832"/>
      <c r="N233" s="832"/>
      <c r="O233" s="48">
        <f>IF(t&lt;Tnet,'2023'!Resal+('2023'!Salim-'2023'!Resal)*(1-EXP(('2023'!Tnet-t)/('2023'!Tau_j))),Resal+(Salim-Resal)*(1-EXP((Tnet-t)/(Tau_j))))*Salcycl</f>
        <v>4.6890017973815833E-2</v>
      </c>
      <c r="P233" s="169">
        <f>(INDEX(Models!$BJ233:$BT233,,T233)*(1-R233)+INDEX(Models!$BJ233:$BT233,,T233+1)*R233-ERP_i)*Q233*Ramure*Pc/MaxiM</f>
        <v>3.758402853141541E-3</v>
      </c>
      <c r="Q233" s="304">
        <f t="shared" si="80"/>
        <v>0.7</v>
      </c>
      <c r="R233" s="177">
        <f t="shared" si="81"/>
        <v>0.10090499157923105</v>
      </c>
      <c r="S233" s="799">
        <f t="shared" si="82"/>
        <v>1</v>
      </c>
      <c r="T233" s="176">
        <f t="shared" si="83"/>
        <v>7</v>
      </c>
      <c r="U233" s="250">
        <f t="shared" si="84"/>
        <v>1.1009049915792311</v>
      </c>
      <c r="V233" s="382">
        <f t="shared" si="85"/>
        <v>51.06990497538974</v>
      </c>
      <c r="W233" s="400">
        <f t="shared" si="86"/>
        <v>50.854720341139377</v>
      </c>
      <c r="X233" s="157">
        <f t="shared" si="87"/>
        <v>45510</v>
      </c>
      <c r="Y233" s="383">
        <f t="shared" si="88"/>
        <v>50.268177000289946</v>
      </c>
      <c r="Z233" s="383">
        <f t="shared" si="89"/>
        <v>52.267402486878233</v>
      </c>
      <c r="AA233" s="384">
        <f t="shared" si="90"/>
        <v>55.468658434911731</v>
      </c>
      <c r="AB233" s="197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5.771287855807667E-2</v>
      </c>
      <c r="AD233" s="230">
        <f>(INDEX(Models!$BJ233:$BT233,,AH233)*(1-AF233)+INDEX(Models!$BJ233:$BT233,,AH233+1)*AF233-ERP_i)*AE233*Ramure*Pc/MaxiM</f>
        <v>3.9392600154055995E-3</v>
      </c>
      <c r="AE233" s="304">
        <f t="shared" si="92"/>
        <v>0.7</v>
      </c>
      <c r="AF233" s="177">
        <f t="shared" si="93"/>
        <v>0.1652372138390632</v>
      </c>
      <c r="AG233" s="799">
        <f t="shared" si="99"/>
        <v>1</v>
      </c>
      <c r="AH233" s="176">
        <f t="shared" si="94"/>
        <v>7</v>
      </c>
      <c r="AI233" s="224">
        <f t="shared" si="95"/>
        <v>1.1652372138390632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45511</v>
      </c>
      <c r="B234" s="409">
        <f>'2023'!Wh/'2023'!Env_an*'2024'!Env_an</f>
        <v>51.782691690338389</v>
      </c>
      <c r="C234" s="829"/>
      <c r="D234" s="391">
        <f t="shared" si="77"/>
        <v>53.843183128822638</v>
      </c>
      <c r="E234" s="383">
        <f t="shared" si="100"/>
        <v>56.495816507110241</v>
      </c>
      <c r="F234" s="383">
        <f t="shared" si="78"/>
        <v>56.714919727372148</v>
      </c>
      <c r="G234" s="110">
        <f t="shared" si="101"/>
        <v>1.0166461290976148</v>
      </c>
      <c r="H234" s="412" t="b">
        <f>Wh_hp&gt;='2023'!Maxi_hp</f>
        <v>1</v>
      </c>
      <c r="I234" s="388">
        <f>IF(H234,Wh_hp,'2023'!Maxi_hp)</f>
        <v>56.714919727372148</v>
      </c>
      <c r="J234" s="85">
        <f>IF(H234,An,'2023'!An_max)</f>
        <v>2024</v>
      </c>
      <c r="K234" s="197">
        <f t="shared" si="79"/>
        <v>45511</v>
      </c>
      <c r="L234" s="147">
        <f>IF(t&lt;Tvie,1-EXP((T0-t)*PertePVj)+'2023'!Pspv,1-EXP((T0-t)*PertePVj)+Pspv)</f>
        <v>3.8268380856206319E-2</v>
      </c>
      <c r="M234" s="832"/>
      <c r="N234" s="832"/>
      <c r="O234" s="48">
        <f>IF(t&lt;Tnet,'2023'!Resal+('2023'!Salim-'2023'!Resal)*(1-EXP(('2023'!Tnet-t)/('2023'!Tau_j))),Resal+(Salim-Resal)*(1-EXP((Tnet-t)/(Tau_j))))*Salcycl</f>
        <v>4.6952739906923155E-2</v>
      </c>
      <c r="P234" s="169">
        <f>(INDEX(Models!$BJ234:$BT234,,T234)*(1-R234)+INDEX(Models!$BJ234:$BT234,,T234+1)*R234-ERP_i)*Q234*Ramure*Pc/MaxiM</f>
        <v>3.8632377743834522E-3</v>
      </c>
      <c r="Q234" s="304">
        <f t="shared" si="80"/>
        <v>0.7</v>
      </c>
      <c r="R234" s="177">
        <f t="shared" si="81"/>
        <v>0.10215641072556836</v>
      </c>
      <c r="S234" s="799">
        <f t="shared" si="82"/>
        <v>1</v>
      </c>
      <c r="T234" s="176">
        <f t="shared" si="83"/>
        <v>7</v>
      </c>
      <c r="U234" s="250">
        <f t="shared" si="84"/>
        <v>1.1021564107255684</v>
      </c>
      <c r="V234" s="382">
        <f t="shared" si="85"/>
        <v>50.934824033905706</v>
      </c>
      <c r="W234" s="400">
        <f t="shared" si="86"/>
        <v>51.782691690338389</v>
      </c>
      <c r="X234" s="157">
        <f t="shared" si="87"/>
        <v>45511</v>
      </c>
      <c r="Y234" s="383">
        <f t="shared" si="88"/>
        <v>51.185926645477529</v>
      </c>
      <c r="Z234" s="383">
        <f t="shared" si="89"/>
        <v>53.222672132842128</v>
      </c>
      <c r="AA234" s="384">
        <f t="shared" si="90"/>
        <v>56.485416127448374</v>
      </c>
      <c r="AB234" s="197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5.7762591095097904E-2</v>
      </c>
      <c r="AD234" s="230">
        <f>(INDEX(Models!$BJ234:$BT234,,AH234)*(1-AF234)+INDEX(Models!$BJ234:$BT234,,AH234+1)*AF234-ERP_i)*AE234*Ramure*Pc/MaxiM</f>
        <v>4.0466177335170151E-3</v>
      </c>
      <c r="AE234" s="304">
        <f t="shared" si="92"/>
        <v>0.7</v>
      </c>
      <c r="AF234" s="177">
        <f t="shared" si="93"/>
        <v>0.16648863298540051</v>
      </c>
      <c r="AG234" s="799">
        <f t="shared" si="99"/>
        <v>1</v>
      </c>
      <c r="AH234" s="176">
        <f t="shared" si="94"/>
        <v>7</v>
      </c>
      <c r="AI234" s="224">
        <f t="shared" si="95"/>
        <v>1.1664886329854005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45512</v>
      </c>
      <c r="B235" s="409">
        <f>'2023'!Wh/'2023'!Env_an*'2024'!Env_an</f>
        <v>50.093389171608891</v>
      </c>
      <c r="C235" s="829"/>
      <c r="D235" s="391">
        <f t="shared" si="77"/>
        <v>52.087659614416225</v>
      </c>
      <c r="E235" s="383">
        <f t="shared" si="100"/>
        <v>54.657392030160253</v>
      </c>
      <c r="F235" s="383">
        <f t="shared" si="78"/>
        <v>54.870188089491258</v>
      </c>
      <c r="G235" s="110">
        <f t="shared" si="101"/>
        <v>0.98599877368221178</v>
      </c>
      <c r="H235" s="412" t="b">
        <f>Wh_hp&gt;='2023'!Maxi_hp</f>
        <v>0</v>
      </c>
      <c r="I235" s="388">
        <f>IF(H235,Wh_hp,'2023'!Maxi_hp)</f>
        <v>54.928479355291955</v>
      </c>
      <c r="J235" s="85">
        <f>IF(H235,An,'2023'!An_max)</f>
        <v>2018</v>
      </c>
      <c r="K235" s="197">
        <f t="shared" si="79"/>
        <v>45512</v>
      </c>
      <c r="L235" s="147">
        <f>IF(t&lt;Tvie,1-EXP((T0-t)*PertePVj)+'2023'!Pspv,1-EXP((T0-t)*PertePVj)+Pspv)</f>
        <v>3.8286812223281008E-2</v>
      </c>
      <c r="M235" s="832"/>
      <c r="N235" s="832"/>
      <c r="O235" s="48">
        <f>IF(t&lt;Tnet,'2023'!Resal+('2023'!Salim-'2023'!Resal)*(1-EXP(('2023'!Tnet-t)/('2023'!Tau_j))),Resal+(Salim-Resal)*(1-EXP((Tnet-t)/(Tau_j))))*Salcycl</f>
        <v>4.7015276805121527E-2</v>
      </c>
      <c r="P235" s="169">
        <f>(INDEX(Models!$BJ235:$BT235,,T235)*(1-R235)+INDEX(Models!$BJ235:$BT235,,T235+1)*R235-ERP_i)*Q235*Ramure*Pc/MaxiM</f>
        <v>3.9568766501122546E-3</v>
      </c>
      <c r="Q235" s="304">
        <f t="shared" si="80"/>
        <v>0.7</v>
      </c>
      <c r="R235" s="177">
        <f t="shared" si="81"/>
        <v>0.10336549942047091</v>
      </c>
      <c r="S235" s="799">
        <f t="shared" si="82"/>
        <v>1</v>
      </c>
      <c r="T235" s="176">
        <f t="shared" si="83"/>
        <v>7</v>
      </c>
      <c r="U235" s="250">
        <f t="shared" si="84"/>
        <v>1.1033654994204709</v>
      </c>
      <c r="V235" s="382">
        <f t="shared" si="85"/>
        <v>50.800703414561987</v>
      </c>
      <c r="W235" s="400">
        <f t="shared" si="86"/>
        <v>50.093389171608891</v>
      </c>
      <c r="X235" s="157">
        <f t="shared" si="87"/>
        <v>45512</v>
      </c>
      <c r="Y235" s="383">
        <f t="shared" si="88"/>
        <v>49.516777531192524</v>
      </c>
      <c r="Z235" s="383">
        <f t="shared" si="89"/>
        <v>51.488092458901413</v>
      </c>
      <c r="AA235" s="384">
        <f t="shared" si="90"/>
        <v>54.64737235165169</v>
      </c>
      <c r="AB235" s="197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5.7812109837972657E-2</v>
      </c>
      <c r="AD235" s="230">
        <f>(INDEX(Models!$BJ235:$BT235,,AH235)*(1-AF235)+INDEX(Models!$BJ235:$BT235,,AH235+1)*AF235-ERP_i)*AE235*Ramure*Pc/MaxiM</f>
        <v>4.1431894608701504E-3</v>
      </c>
      <c r="AE235" s="304">
        <f t="shared" si="92"/>
        <v>0.7</v>
      </c>
      <c r="AF235" s="177">
        <f t="shared" si="93"/>
        <v>0.16769772168030306</v>
      </c>
      <c r="AG235" s="799">
        <f t="shared" si="99"/>
        <v>1</v>
      </c>
      <c r="AH235" s="176">
        <f t="shared" si="94"/>
        <v>7</v>
      </c>
      <c r="AI235" s="224">
        <f t="shared" si="95"/>
        <v>1.1676977216803031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45513</v>
      </c>
      <c r="B236" s="409">
        <f>'2023'!Wh/'2023'!Env_an*'2024'!Env_an</f>
        <v>48.713202385988922</v>
      </c>
      <c r="C236" s="829"/>
      <c r="D236" s="391">
        <f t="shared" si="77"/>
        <v>50.653496905775491</v>
      </c>
      <c r="E236" s="383">
        <f t="shared" si="100"/>
        <v>53.155953114035029</v>
      </c>
      <c r="F236" s="383">
        <f t="shared" si="78"/>
        <v>53.359613009943395</v>
      </c>
      <c r="G236" s="110">
        <f t="shared" si="101"/>
        <v>0.96121907357342773</v>
      </c>
      <c r="H236" s="412" t="b">
        <f>Wh_hp&gt;='2023'!Maxi_hp</f>
        <v>0</v>
      </c>
      <c r="I236" s="388">
        <f>IF(H236,Wh_hp,'2023'!Maxi_hp)</f>
        <v>53.365205787332016</v>
      </c>
      <c r="J236" s="85">
        <f>IF(H236,An,'2023'!An_max)</f>
        <v>2022</v>
      </c>
      <c r="K236" s="197">
        <f t="shared" si="79"/>
        <v>45513</v>
      </c>
      <c r="L236" s="147">
        <f>IF(t&lt;Tvie,1-EXP((T0-t)*PertePVj)+'2023'!Pspv,1-EXP((T0-t)*PertePVj)+Pspv)</f>
        <v>3.8305243237122699E-2</v>
      </c>
      <c r="M236" s="832"/>
      <c r="N236" s="832"/>
      <c r="O236" s="48">
        <f>IF(t&lt;Tnet,'2023'!Resal+('2023'!Salim-'2023'!Resal)*(1-EXP(('2023'!Tnet-t)/('2023'!Tau_j))),Resal+(Salim-Resal)*(1-EXP((Tnet-t)/(Tau_j))))*Salcycl</f>
        <v>4.7077628405816321E-2</v>
      </c>
      <c r="P236" s="169">
        <f>(INDEX(Models!$BJ236:$BT236,,T236)*(1-R236)+INDEX(Models!$BJ236:$BT236,,T236+1)*R236-ERP_i)*Q236*Ramure*Pc/MaxiM</f>
        <v>4.0392847261659735E-3</v>
      </c>
      <c r="Q236" s="304">
        <f t="shared" si="80"/>
        <v>0.7</v>
      </c>
      <c r="R236" s="177">
        <f t="shared" si="81"/>
        <v>0.10453339979318876</v>
      </c>
      <c r="S236" s="799">
        <f t="shared" si="82"/>
        <v>1</v>
      </c>
      <c r="T236" s="176">
        <f t="shared" si="83"/>
        <v>7</v>
      </c>
      <c r="U236" s="250">
        <f t="shared" si="84"/>
        <v>1.1045333997931888</v>
      </c>
      <c r="V236" s="382">
        <f t="shared" si="85"/>
        <v>50.66724271221139</v>
      </c>
      <c r="W236" s="400">
        <f t="shared" si="86"/>
        <v>48.713202385988922</v>
      </c>
      <c r="X236" s="157">
        <f t="shared" si="87"/>
        <v>45513</v>
      </c>
      <c r="Y236" s="383">
        <f t="shared" si="88"/>
        <v>48.153272168861243</v>
      </c>
      <c r="Z236" s="383">
        <f t="shared" si="89"/>
        <v>50.071264120174753</v>
      </c>
      <c r="AA236" s="384">
        <f t="shared" si="90"/>
        <v>53.146390519924758</v>
      </c>
      <c r="AB236" s="197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5.7861434608567353E-2</v>
      </c>
      <c r="AD236" s="230">
        <f>(INDEX(Models!$BJ236:$BT236,,AH236)*(1-AF236)+INDEX(Models!$BJ236:$BT236,,AH236+1)*AF236-ERP_i)*AE236*Ramure*Pc/MaxiM</f>
        <v>4.2289442571201083E-3</v>
      </c>
      <c r="AE236" s="304">
        <f t="shared" si="92"/>
        <v>0.7</v>
      </c>
      <c r="AF236" s="177">
        <f t="shared" si="93"/>
        <v>0.16886562205302091</v>
      </c>
      <c r="AG236" s="799">
        <f t="shared" si="99"/>
        <v>1</v>
      </c>
      <c r="AH236" s="176">
        <f t="shared" si="94"/>
        <v>7</v>
      </c>
      <c r="AI236" s="224">
        <f t="shared" si="95"/>
        <v>1.1688656220530209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45514</v>
      </c>
      <c r="B237" s="409">
        <f>'2023'!Wh/'2023'!Env_an*'2024'!Env_an</f>
        <v>46.618565785023662</v>
      </c>
      <c r="C237" s="829"/>
      <c r="D237" s="391">
        <f t="shared" si="77"/>
        <v>48.476357917608119</v>
      </c>
      <c r="E237" s="383">
        <f t="shared" si="100"/>
        <v>50.874574881961877</v>
      </c>
      <c r="F237" s="383">
        <f t="shared" si="78"/>
        <v>51.061226106377291</v>
      </c>
      <c r="G237" s="110">
        <f t="shared" si="101"/>
        <v>0.92209495349526227</v>
      </c>
      <c r="H237" s="412" t="b">
        <f>Wh_hp&gt;='2023'!Maxi_hp</f>
        <v>0</v>
      </c>
      <c r="I237" s="388">
        <f>IF(H237,Wh_hp,'2023'!Maxi_hp)</f>
        <v>51.137114320029383</v>
      </c>
      <c r="J237" s="85">
        <f>IF(H237,An,'2023'!An_max)</f>
        <v>2021</v>
      </c>
      <c r="K237" s="197">
        <f t="shared" si="79"/>
        <v>45514</v>
      </c>
      <c r="L237" s="147">
        <f>IF(t&lt;Tvie,1-EXP((T0-t)*PertePVj)+'2023'!Pspv,1-EXP((T0-t)*PertePVj)+Pspv)</f>
        <v>3.8323673897738275E-2</v>
      </c>
      <c r="M237" s="832"/>
      <c r="N237" s="832"/>
      <c r="O237" s="48">
        <f>IF(t&lt;Tnet,'2023'!Resal+('2023'!Salim-'2023'!Resal)*(1-EXP(('2023'!Tnet-t)/('2023'!Tau_j))),Resal+(Salim-Resal)*(1-EXP((Tnet-t)/(Tau_j))))*Salcycl</f>
        <v>4.7139793696911472E-2</v>
      </c>
      <c r="P237" s="169">
        <f>(INDEX(Models!$BJ237:$BT237,,T237)*(1-R237)+INDEX(Models!$BJ237:$BT237,,T237+1)*R237-ERP_i)*Q237*Ramure*Pc/MaxiM</f>
        <v>4.1104272640250673E-3</v>
      </c>
      <c r="Q237" s="304">
        <f t="shared" si="80"/>
        <v>0.7</v>
      </c>
      <c r="R237" s="177">
        <f t="shared" si="81"/>
        <v>0.10566124467826254</v>
      </c>
      <c r="S237" s="799">
        <f t="shared" si="82"/>
        <v>1</v>
      </c>
      <c r="T237" s="176">
        <f t="shared" si="83"/>
        <v>7</v>
      </c>
      <c r="U237" s="250">
        <f t="shared" si="84"/>
        <v>1.1056612446782625</v>
      </c>
      <c r="V237" s="382">
        <f t="shared" si="85"/>
        <v>50.534141753294456</v>
      </c>
      <c r="W237" s="400">
        <f t="shared" si="86"/>
        <v>46.618565785023662</v>
      </c>
      <c r="X237" s="157">
        <f t="shared" si="87"/>
        <v>45514</v>
      </c>
      <c r="Y237" s="383">
        <f t="shared" si="88"/>
        <v>46.083649710846601</v>
      </c>
      <c r="Z237" s="383">
        <f t="shared" si="89"/>
        <v>47.920124952671657</v>
      </c>
      <c r="AA237" s="384">
        <f t="shared" si="90"/>
        <v>50.865791651133236</v>
      </c>
      <c r="AB237" s="197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5.7910564307435838E-2</v>
      </c>
      <c r="AD237" s="230">
        <f>(INDEX(Models!$BJ237:$BT237,,AH237)*(1-AF237)+INDEX(Models!$BJ237:$BT237,,AH237+1)*AF237-ERP_i)*AE237*Ramure*Pc/MaxiM</f>
        <v>4.3038512909895944E-3</v>
      </c>
      <c r="AE237" s="304">
        <f t="shared" si="92"/>
        <v>0.7</v>
      </c>
      <c r="AF237" s="177">
        <f t="shared" si="93"/>
        <v>0.16999346693809469</v>
      </c>
      <c r="AG237" s="799">
        <f t="shared" si="99"/>
        <v>1</v>
      </c>
      <c r="AH237" s="176">
        <f t="shared" si="94"/>
        <v>7</v>
      </c>
      <c r="AI237" s="224">
        <f t="shared" si="95"/>
        <v>1.1699934669380947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45515</v>
      </c>
      <c r="B238" s="409">
        <f>'2023'!Wh/'2023'!Env_an*'2024'!Env_an</f>
        <v>47.033990515277246</v>
      </c>
      <c r="C238" s="829"/>
      <c r="D238" s="391">
        <f t="shared" si="77"/>
        <v>48.909275035277432</v>
      </c>
      <c r="E238" s="383">
        <f t="shared" si="100"/>
        <v>51.332248051007838</v>
      </c>
      <c r="F238" s="383">
        <f t="shared" si="78"/>
        <v>51.526620310708914</v>
      </c>
      <c r="G238" s="110">
        <f t="shared" si="101"/>
        <v>0.93282090165993714</v>
      </c>
      <c r="H238" s="412" t="b">
        <f>Wh_hp&gt;='2023'!Maxi_hp</f>
        <v>0</v>
      </c>
      <c r="I238" s="388">
        <f>IF(H238,Wh_hp,'2023'!Maxi_hp)</f>
        <v>51.536068308654343</v>
      </c>
      <c r="J238" s="85">
        <f>IF(H238,An,'2023'!An_max)</f>
        <v>2022</v>
      </c>
      <c r="K238" s="197">
        <f t="shared" si="79"/>
        <v>45515</v>
      </c>
      <c r="L238" s="147">
        <f>IF(t&lt;Tvie,1-EXP((T0-t)*PertePVj)+'2023'!Pspv,1-EXP((T0-t)*PertePVj)+Pspv)</f>
        <v>3.8342104205134397E-2</v>
      </c>
      <c r="M238" s="832"/>
      <c r="N238" s="832"/>
      <c r="O238" s="48">
        <f>IF(t&lt;Tnet,'2023'!Resal+('2023'!Salim-'2023'!Resal)*(1-EXP(('2023'!Tnet-t)/('2023'!Tau_j))),Resal+(Salim-Resal)*(1-EXP((Tnet-t)/(Tau_j))))*Salcycl</f>
        <v>4.7201770967107252E-2</v>
      </c>
      <c r="P238" s="169">
        <f>(INDEX(Models!$BJ238:$BT238,,T238)*(1-R238)+INDEX(Models!$BJ238:$BT238,,T238+1)*R238-ERP_i)*Q238*Ramure*Pc/MaxiM</f>
        <v>4.1702689806160818E-3</v>
      </c>
      <c r="Q238" s="304">
        <f t="shared" si="80"/>
        <v>0.7</v>
      </c>
      <c r="R238" s="177">
        <f t="shared" si="81"/>
        <v>0.10675015586831549</v>
      </c>
      <c r="S238" s="799">
        <f t="shared" si="82"/>
        <v>1</v>
      </c>
      <c r="T238" s="176">
        <f t="shared" si="83"/>
        <v>7</v>
      </c>
      <c r="U238" s="250">
        <f t="shared" si="84"/>
        <v>1.1067501558683155</v>
      </c>
      <c r="V238" s="382">
        <f t="shared" si="85"/>
        <v>50.401100586536138</v>
      </c>
      <c r="W238" s="400">
        <f t="shared" si="86"/>
        <v>47.033990515277246</v>
      </c>
      <c r="X238" s="157">
        <f t="shared" si="87"/>
        <v>45515</v>
      </c>
      <c r="Y238" s="383">
        <f t="shared" si="88"/>
        <v>46.494601547388086</v>
      </c>
      <c r="Z238" s="383">
        <f t="shared" si="89"/>
        <v>48.348380178335269</v>
      </c>
      <c r="AA238" s="384">
        <f t="shared" si="90"/>
        <v>51.323037622293299</v>
      </c>
      <c r="AB238" s="197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5.795949697774553E-2</v>
      </c>
      <c r="AD238" s="230">
        <f>(INDEX(Models!$BJ238:$BT238,,AH238)*(1-AF238)+INDEX(Models!$BJ238:$BT238,,AH238+1)*AF238-ERP_i)*AE238*Ramure*Pc/MaxiM</f>
        <v>4.3678793043602799E-3</v>
      </c>
      <c r="AE238" s="304">
        <f t="shared" si="92"/>
        <v>0.7</v>
      </c>
      <c r="AF238" s="177">
        <f t="shared" si="93"/>
        <v>0.17108237812814764</v>
      </c>
      <c r="AG238" s="799">
        <f t="shared" si="99"/>
        <v>1</v>
      </c>
      <c r="AH238" s="176">
        <f t="shared" si="94"/>
        <v>7</v>
      </c>
      <c r="AI238" s="224">
        <f t="shared" si="95"/>
        <v>1.1710823781281476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45516</v>
      </c>
      <c r="B239" s="409">
        <f>'2023'!Wh/'2023'!Env_an*'2024'!Env_an</f>
        <v>35.348155070765543</v>
      </c>
      <c r="C239" s="829"/>
      <c r="D239" s="391">
        <f t="shared" si="77"/>
        <v>36.758220025697014</v>
      </c>
      <c r="E239" s="383">
        <f t="shared" si="100"/>
        <v>38.581729846486276</v>
      </c>
      <c r="F239" s="383">
        <f t="shared" si="78"/>
        <v>38.675711534568279</v>
      </c>
      <c r="G239" s="110">
        <f t="shared" si="101"/>
        <v>0.70193557846362786</v>
      </c>
      <c r="H239" s="412" t="b">
        <f>Wh_hp&gt;='2023'!Maxi_hp</f>
        <v>0</v>
      </c>
      <c r="I239" s="388">
        <f>IF(H239,Wh_hp,'2023'!Maxi_hp)</f>
        <v>44.585045141201746</v>
      </c>
      <c r="J239" s="85">
        <f>IF(H239,An,'2023'!An_max)</f>
        <v>2018</v>
      </c>
      <c r="K239" s="197">
        <f t="shared" si="79"/>
        <v>45516</v>
      </c>
      <c r="L239" s="147">
        <f>IF(t&lt;Tvie,1-EXP((T0-t)*PertePVj)+'2023'!Pspv,1-EXP((T0-t)*PertePVj)+Pspv)</f>
        <v>3.8360534159317838E-2</v>
      </c>
      <c r="M239" s="832"/>
      <c r="N239" s="832"/>
      <c r="O239" s="48">
        <f>IF(t&lt;Tnet,'2023'!Resal+('2023'!Salim-'2023'!Resal)*(1-EXP(('2023'!Tnet-t)/('2023'!Tau_j))),Resal+(Salim-Resal)*(1-EXP((Tnet-t)/(Tau_j))))*Salcycl</f>
        <v>4.7263557856137318E-2</v>
      </c>
      <c r="P239" s="169">
        <f>(INDEX(Models!$BJ239:$BT239,,T239)*(1-R239)+INDEX(Models!$BJ239:$BT239,,T239+1)*R239-ERP_i)*Q239*Ramure*Pc/MaxiM</f>
        <v>4.2187734870389624E-3</v>
      </c>
      <c r="Q239" s="304">
        <f t="shared" si="80"/>
        <v>0.7</v>
      </c>
      <c r="R239" s="177">
        <f t="shared" si="81"/>
        <v>0.10780124253051038</v>
      </c>
      <c r="S239" s="799">
        <f t="shared" si="82"/>
        <v>1</v>
      </c>
      <c r="T239" s="176">
        <f t="shared" si="83"/>
        <v>7</v>
      </c>
      <c r="U239" s="250">
        <f t="shared" si="84"/>
        <v>1.1078012425305104</v>
      </c>
      <c r="V239" s="382">
        <f t="shared" si="85"/>
        <v>50.267819472140047</v>
      </c>
      <c r="W239" s="400">
        <f t="shared" si="86"/>
        <v>35.348155070765543</v>
      </c>
      <c r="X239" s="157">
        <f t="shared" si="87"/>
        <v>45516</v>
      </c>
      <c r="Y239" s="383">
        <f t="shared" si="88"/>
        <v>34.945428514565322</v>
      </c>
      <c r="Z239" s="383">
        <f t="shared" si="89"/>
        <v>36.339428398995054</v>
      </c>
      <c r="AA239" s="384">
        <f t="shared" si="90"/>
        <v>38.577224930467025</v>
      </c>
      <c r="AB239" s="197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5.8008229868930561E-2</v>
      </c>
      <c r="AD239" s="230">
        <f>(INDEX(Models!$BJ239:$BT239,,AH239)*(1-AF239)+INDEX(Models!$BJ239:$BT239,,AH239+1)*AF239-ERP_i)*AE239*Ramure*Pc/MaxiM</f>
        <v>4.4209960758346562E-3</v>
      </c>
      <c r="AE239" s="304">
        <f t="shared" si="92"/>
        <v>0.7</v>
      </c>
      <c r="AF239" s="177">
        <f t="shared" si="93"/>
        <v>0.17213346479034253</v>
      </c>
      <c r="AG239" s="799">
        <f t="shared" si="99"/>
        <v>1</v>
      </c>
      <c r="AH239" s="176">
        <f t="shared" si="94"/>
        <v>7</v>
      </c>
      <c r="AI239" s="224">
        <f t="shared" si="95"/>
        <v>1.1721334647903425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45517</v>
      </c>
      <c r="B240" s="409">
        <f>'2023'!Wh/'2023'!Env_an*'2024'!Env_an</f>
        <v>35.22212276815435</v>
      </c>
      <c r="C240" s="829"/>
      <c r="D240" s="391">
        <f t="shared" si="77"/>
        <v>36.627862162714258</v>
      </c>
      <c r="E240" s="383">
        <f t="shared" si="100"/>
        <v>38.447390751107463</v>
      </c>
      <c r="F240" s="383">
        <f t="shared" si="78"/>
        <v>38.541927585004721</v>
      </c>
      <c r="G240" s="110">
        <f t="shared" si="101"/>
        <v>0.70128973123949101</v>
      </c>
      <c r="H240" s="412" t="b">
        <f>Wh_hp&gt;='2023'!Maxi_hp</f>
        <v>0</v>
      </c>
      <c r="I240" s="388">
        <f>IF(H240,Wh_hp,'2023'!Maxi_hp)</f>
        <v>56.167943192678834</v>
      </c>
      <c r="J240" s="85">
        <f>IF(H240,An,'2023'!An_max)</f>
        <v>2018</v>
      </c>
      <c r="K240" s="197">
        <f t="shared" si="79"/>
        <v>45517</v>
      </c>
      <c r="L240" s="147">
        <f>IF(t&lt;Tvie,1-EXP((T0-t)*PertePVj)+'2023'!Pspv,1-EXP((T0-t)*PertePVj)+Pspv)</f>
        <v>3.8378963760295481E-2</v>
      </c>
      <c r="M240" s="832"/>
      <c r="N240" s="832"/>
      <c r="O240" s="48">
        <f>IF(t&lt;Tnet,'2023'!Resal+('2023'!Salim-'2023'!Resal)*(1-EXP(('2023'!Tnet-t)/('2023'!Tau_j))),Resal+(Salim-Resal)*(1-EXP((Tnet-t)/(Tau_j))))*Salcycl</f>
        <v>4.7325151404215712E-2</v>
      </c>
      <c r="P240" s="169">
        <f>(INDEX(Models!$BJ240:$BT240,,T240)*(1-R240)+INDEX(Models!$BJ240:$BT240,,T240+1)*R240-ERP_i)*Q240*Ramure*Pc/MaxiM</f>
        <v>4.2650926220899775E-3</v>
      </c>
      <c r="Q240" s="304">
        <f t="shared" si="80"/>
        <v>0.7</v>
      </c>
      <c r="R240" s="177">
        <f t="shared" si="81"/>
        <v>0.10881559977926947</v>
      </c>
      <c r="S240" s="799">
        <f t="shared" si="82"/>
        <v>1</v>
      </c>
      <c r="T240" s="176">
        <f t="shared" si="83"/>
        <v>7</v>
      </c>
      <c r="U240" s="250">
        <f t="shared" si="84"/>
        <v>1.1088155997792695</v>
      </c>
      <c r="V240" s="382">
        <f t="shared" si="85"/>
        <v>50.1335361784204</v>
      </c>
      <c r="W240" s="400">
        <f t="shared" si="86"/>
        <v>35.22212276815435</v>
      </c>
      <c r="X240" s="157">
        <f t="shared" si="87"/>
        <v>45517</v>
      </c>
      <c r="Y240" s="383">
        <f t="shared" si="88"/>
        <v>34.821192424011976</v>
      </c>
      <c r="Z240" s="383">
        <f t="shared" si="89"/>
        <v>36.21093040994171</v>
      </c>
      <c r="AA240" s="384">
        <f t="shared" si="90"/>
        <v>38.442794483761887</v>
      </c>
      <c r="AB240" s="197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5.8056759499180377E-2</v>
      </c>
      <c r="AD240" s="230">
        <f>(INDEX(Models!$BJ240:$BT240,,AH240)*(1-AF240)+INDEX(Models!$BJ240:$BT240,,AH240+1)*AF240-ERP_i)*AE240*Ramure*Pc/MaxiM</f>
        <v>4.4724563039122787E-3</v>
      </c>
      <c r="AE240" s="304">
        <f t="shared" si="92"/>
        <v>0.7</v>
      </c>
      <c r="AF240" s="177">
        <f t="shared" si="93"/>
        <v>0.17314782203910162</v>
      </c>
      <c r="AG240" s="799">
        <f t="shared" si="99"/>
        <v>1</v>
      </c>
      <c r="AH240" s="176">
        <f t="shared" si="94"/>
        <v>7</v>
      </c>
      <c r="AI240" s="224">
        <f t="shared" si="95"/>
        <v>1.1731478220391016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45518</v>
      </c>
      <c r="B241" s="409">
        <f>'2023'!Wh/'2023'!Env_an*'2024'!Env_an</f>
        <v>32.895961619318996</v>
      </c>
      <c r="C241" s="829"/>
      <c r="D241" s="391">
        <f t="shared" si="77"/>
        <v>34.209517923650139</v>
      </c>
      <c r="E241" s="383">
        <f t="shared" si="100"/>
        <v>35.91122700967405</v>
      </c>
      <c r="F241" s="383">
        <f t="shared" si="78"/>
        <v>35.990675998590724</v>
      </c>
      <c r="G241" s="110">
        <f t="shared" si="101"/>
        <v>0.65656027831819241</v>
      </c>
      <c r="H241" s="412" t="b">
        <f>Wh_hp&gt;='2023'!Maxi_hp</f>
        <v>0</v>
      </c>
      <c r="I241" s="388">
        <f>IF(H241,Wh_hp,'2023'!Maxi_hp)</f>
        <v>48.01365532613444</v>
      </c>
      <c r="J241" s="85">
        <f>IF(H241,An,'2023'!An_max)</f>
        <v>2020</v>
      </c>
      <c r="K241" s="197">
        <f t="shared" si="79"/>
        <v>45518</v>
      </c>
      <c r="L241" s="147">
        <f>IF(t&lt;Tvie,1-EXP((T0-t)*PertePVj)+'2023'!Pspv,1-EXP((T0-t)*PertePVj)+Pspv)</f>
        <v>3.8397393008073988E-2</v>
      </c>
      <c r="M241" s="832"/>
      <c r="N241" s="832"/>
      <c r="O241" s="48">
        <f>IF(t&lt;Tnet,'2023'!Resal+('2023'!Salim-'2023'!Resal)*(1-EXP(('2023'!Tnet-t)/('2023'!Tau_j))),Resal+(Salim-Resal)*(1-EXP((Tnet-t)/(Tau_j))))*Salcycl</f>
        <v>4.7386548099999162E-2</v>
      </c>
      <c r="P241" s="169">
        <f>(INDEX(Models!$BJ241:$BT241,,T241)*(1-R241)+INDEX(Models!$BJ241:$BT241,,T241+1)*R241-ERP_i)*Q241*Ramure*Pc/MaxiM</f>
        <v>4.3169054463866215E-3</v>
      </c>
      <c r="Q241" s="304">
        <f t="shared" si="80"/>
        <v>0.7</v>
      </c>
      <c r="R241" s="177">
        <f t="shared" si="81"/>
        <v>0.10979430739770168</v>
      </c>
      <c r="S241" s="799">
        <f t="shared" si="82"/>
        <v>1</v>
      </c>
      <c r="T241" s="176">
        <f t="shared" si="83"/>
        <v>7</v>
      </c>
      <c r="U241" s="250">
        <f t="shared" si="84"/>
        <v>1.1097943073977017</v>
      </c>
      <c r="V241" s="382">
        <f t="shared" si="85"/>
        <v>49.997567431120963</v>
      </c>
      <c r="W241" s="400">
        <f t="shared" si="86"/>
        <v>32.895961619318996</v>
      </c>
      <c r="X241" s="157">
        <f t="shared" si="87"/>
        <v>45518</v>
      </c>
      <c r="Y241" s="383">
        <f t="shared" si="88"/>
        <v>32.522276383800879</v>
      </c>
      <c r="Z241" s="383">
        <f t="shared" si="89"/>
        <v>33.820911203159774</v>
      </c>
      <c r="AA241" s="384">
        <f t="shared" si="90"/>
        <v>35.907308285274283</v>
      </c>
      <c r="AB241" s="197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5.8105081715917571E-2</v>
      </c>
      <c r="AD241" s="230">
        <f>(INDEX(Models!$BJ241:$BT241,,AH241)*(1-AF241)+INDEX(Models!$BJ241:$BT241,,AH241+1)*AF241-ERP_i)*AE241*Ramure*Pc/MaxiM</f>
        <v>4.5298315381459165E-3</v>
      </c>
      <c r="AE241" s="304">
        <f t="shared" si="92"/>
        <v>0.7</v>
      </c>
      <c r="AF241" s="177">
        <f t="shared" si="93"/>
        <v>0.17412652965753384</v>
      </c>
      <c r="AG241" s="799">
        <f t="shared" si="99"/>
        <v>1</v>
      </c>
      <c r="AH241" s="176">
        <f t="shared" si="94"/>
        <v>7</v>
      </c>
      <c r="AI241" s="224">
        <f t="shared" si="95"/>
        <v>1.1741265296575338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45519</v>
      </c>
      <c r="B242" s="409">
        <f>'2023'!Wh/'2023'!Env_an*'2024'!Env_an</f>
        <v>37.821106822252567</v>
      </c>
      <c r="C242" s="829"/>
      <c r="D242" s="391">
        <f t="shared" si="77"/>
        <v>39.332081042647928</v>
      </c>
      <c r="E242" s="383">
        <f t="shared" si="100"/>
        <v>41.291258082548069</v>
      </c>
      <c r="F242" s="383">
        <f t="shared" si="78"/>
        <v>41.409917617998232</v>
      </c>
      <c r="G242" s="110">
        <f t="shared" si="101"/>
        <v>0.75740412852233086</v>
      </c>
      <c r="H242" s="412" t="b">
        <f>Wh_hp&gt;='2023'!Maxi_hp</f>
        <v>0</v>
      </c>
      <c r="I242" s="388">
        <f>IF(H242,Wh_hp,'2023'!Maxi_hp)</f>
        <v>56.53449474291795</v>
      </c>
      <c r="J242" s="85">
        <f>IF(H242,An,'2023'!An_max)</f>
        <v>2018</v>
      </c>
      <c r="K242" s="197">
        <f t="shared" si="79"/>
        <v>45519</v>
      </c>
      <c r="L242" s="147">
        <f>IF(t&lt;Tvie,1-EXP((T0-t)*PertePVj)+'2023'!Pspv,1-EXP((T0-t)*PertePVj)+Pspv)</f>
        <v>3.8415821902660241E-2</v>
      </c>
      <c r="M242" s="832"/>
      <c r="N242" s="832"/>
      <c r="O242" s="48">
        <f>IF(t&lt;Tnet,'2023'!Resal+('2023'!Salim-'2023'!Resal)*(1-EXP(('2023'!Tnet-t)/('2023'!Tau_j))),Resal+(Salim-Resal)*(1-EXP((Tnet-t)/(Tau_j))))*Salcycl</f>
        <v>4.7447743926412288E-2</v>
      </c>
      <c r="P242" s="169">
        <f>(INDEX(Models!$BJ242:$BT242,,T242)*(1-R242)+INDEX(Models!$BJ242:$BT242,,T242+1)*R242-ERP_i)*Q242*Ramure*Pc/MaxiM</f>
        <v>4.3742922562104705E-3</v>
      </c>
      <c r="Q242" s="304">
        <f t="shared" si="80"/>
        <v>0.7</v>
      </c>
      <c r="R242" s="177">
        <f t="shared" si="81"/>
        <v>0.11073842870011674</v>
      </c>
      <c r="S242" s="799">
        <f t="shared" si="82"/>
        <v>1</v>
      </c>
      <c r="T242" s="176">
        <f t="shared" si="83"/>
        <v>7</v>
      </c>
      <c r="U242" s="250">
        <f t="shared" si="84"/>
        <v>1.1107384287001167</v>
      </c>
      <c r="V242" s="382">
        <f t="shared" si="85"/>
        <v>49.859614815994938</v>
      </c>
      <c r="W242" s="400">
        <f t="shared" si="86"/>
        <v>37.821106822252567</v>
      </c>
      <c r="X242" s="157">
        <f t="shared" si="87"/>
        <v>45519</v>
      </c>
      <c r="Y242" s="383">
        <f t="shared" si="88"/>
        <v>37.390668597574745</v>
      </c>
      <c r="Z242" s="383">
        <f t="shared" si="89"/>
        <v>38.884446571862938</v>
      </c>
      <c r="AA242" s="384">
        <f t="shared" si="90"/>
        <v>41.28531968405315</v>
      </c>
      <c r="AB242" s="197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5.8153191753473783E-2</v>
      </c>
      <c r="AD242" s="230">
        <f>(INDEX(Models!$BJ242:$BT242,,AH242)*(1-AF242)+INDEX(Models!$BJ242:$BT242,,AH242+1)*AF242-ERP_i)*AE242*Ramure*Pc/MaxiM</f>
        <v>4.5932067366361989E-3</v>
      </c>
      <c r="AE242" s="304">
        <f t="shared" si="92"/>
        <v>0.7</v>
      </c>
      <c r="AF242" s="177">
        <f t="shared" si="93"/>
        <v>0.17507065095994889</v>
      </c>
      <c r="AG242" s="799">
        <f t="shared" si="99"/>
        <v>1</v>
      </c>
      <c r="AH242" s="176">
        <f t="shared" si="94"/>
        <v>7</v>
      </c>
      <c r="AI242" s="224">
        <f t="shared" si="95"/>
        <v>1.1750706509599489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45520</v>
      </c>
      <c r="B243" s="409">
        <f>'2023'!Wh/'2023'!Env_an*'2024'!Env_an</f>
        <v>23.626287952204468</v>
      </c>
      <c r="C243" s="829"/>
      <c r="D243" s="391">
        <f t="shared" si="77"/>
        <v>24.570642166815244</v>
      </c>
      <c r="E243" s="383">
        <f t="shared" si="100"/>
        <v>25.796186331886048</v>
      </c>
      <c r="F243" s="383">
        <f t="shared" si="78"/>
        <v>25.82486628037357</v>
      </c>
      <c r="G243" s="110">
        <f t="shared" si="101"/>
        <v>0.47361011056358837</v>
      </c>
      <c r="H243" s="412" t="b">
        <f>Wh_hp&gt;='2023'!Maxi_hp</f>
        <v>0</v>
      </c>
      <c r="I243" s="388">
        <f>IF(H243,Wh_hp,'2023'!Maxi_hp)</f>
        <v>53.858600637454124</v>
      </c>
      <c r="J243" s="85">
        <f>IF(H243,An,'2023'!An_max)</f>
        <v>2018</v>
      </c>
      <c r="K243" s="197">
        <f t="shared" si="79"/>
        <v>45520</v>
      </c>
      <c r="L243" s="147">
        <f>IF(t&lt;Tvie,1-EXP((T0-t)*PertePVj)+'2023'!Pspv,1-EXP((T0-t)*PertePVj)+Pspv)</f>
        <v>3.8434250444060791E-2</v>
      </c>
      <c r="M243" s="832"/>
      <c r="N243" s="832"/>
      <c r="O243" s="48">
        <f>IF(t&lt;Tnet,'2023'!Resal+('2023'!Salim-'2023'!Resal)*(1-EXP(('2023'!Tnet-t)/('2023'!Tau_j))),Resal+(Salim-Resal)*(1-EXP((Tnet-t)/(Tau_j))))*Salcycl</f>
        <v>4.7508734403733925E-2</v>
      </c>
      <c r="P243" s="169">
        <f>(INDEX(Models!$BJ243:$BT243,,T243)*(1-R243)+INDEX(Models!$BJ243:$BT243,,T243+1)*R243-ERP_i)*Q243*Ramure*Pc/MaxiM</f>
        <v>4.4373352932298629E-3</v>
      </c>
      <c r="Q243" s="304">
        <f t="shared" si="80"/>
        <v>0.7</v>
      </c>
      <c r="R243" s="177">
        <f t="shared" si="81"/>
        <v>0.11164900952799872</v>
      </c>
      <c r="S243" s="799">
        <f t="shared" si="82"/>
        <v>1</v>
      </c>
      <c r="T243" s="176">
        <f t="shared" si="83"/>
        <v>7</v>
      </c>
      <c r="U243" s="250">
        <f t="shared" si="84"/>
        <v>1.1116490095279987</v>
      </c>
      <c r="V243" s="382">
        <f t="shared" si="85"/>
        <v>49.719380107460587</v>
      </c>
      <c r="W243" s="400">
        <f t="shared" si="86"/>
        <v>23.626287952204468</v>
      </c>
      <c r="X243" s="157">
        <f t="shared" si="87"/>
        <v>45520</v>
      </c>
      <c r="Y243" s="383">
        <f t="shared" si="88"/>
        <v>23.359748185014183</v>
      </c>
      <c r="Z243" s="383">
        <f t="shared" si="89"/>
        <v>24.293448675560619</v>
      </c>
      <c r="AA243" s="384">
        <f t="shared" si="90"/>
        <v>25.794729926159562</v>
      </c>
      <c r="AB243" s="197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5.8201084287237595E-2</v>
      </c>
      <c r="AD243" s="230">
        <f>(INDEX(Models!$BJ243:$BT243,,AH243)*(1-AF243)+INDEX(Models!$BJ243:$BT243,,AH243+1)*AF243-ERP_i)*AE243*Ramure*Pc/MaxiM</f>
        <v>4.6626690498164369E-3</v>
      </c>
      <c r="AE243" s="304">
        <f t="shared" si="92"/>
        <v>0.7</v>
      </c>
      <c r="AF243" s="177">
        <f t="shared" si="93"/>
        <v>0.17598123178783087</v>
      </c>
      <c r="AG243" s="799">
        <f t="shared" si="99"/>
        <v>1</v>
      </c>
      <c r="AH243" s="176">
        <f t="shared" si="94"/>
        <v>7</v>
      </c>
      <c r="AI243" s="224">
        <f t="shared" si="95"/>
        <v>1.1759812317878309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45521</v>
      </c>
      <c r="B244" s="409">
        <f>'2023'!Wh/'2023'!Env_an*'2024'!Env_an</f>
        <v>31.663797439517545</v>
      </c>
      <c r="C244" s="829"/>
      <c r="D244" s="391">
        <f t="shared" si="77"/>
        <v>32.930045912330712</v>
      </c>
      <c r="E244" s="383">
        <f t="shared" si="100"/>
        <v>34.5747499876774</v>
      </c>
      <c r="F244" s="383">
        <f t="shared" si="78"/>
        <v>34.650295252225497</v>
      </c>
      <c r="G244" s="110">
        <f t="shared" si="101"/>
        <v>0.63719601292545447</v>
      </c>
      <c r="H244" s="412" t="b">
        <f>Wh_hp&gt;='2023'!Maxi_hp</f>
        <v>0</v>
      </c>
      <c r="I244" s="388">
        <f>IF(H244,Wh_hp,'2023'!Maxi_hp)</f>
        <v>45.332057361760235</v>
      </c>
      <c r="J244" s="85">
        <f>IF(H244,An,'2023'!An_max)</f>
        <v>2021</v>
      </c>
      <c r="K244" s="197">
        <f t="shared" si="79"/>
        <v>45521</v>
      </c>
      <c r="L244" s="147">
        <f>IF(t&lt;Tvie,1-EXP((T0-t)*PertePVj)+'2023'!Pspv,1-EXP((T0-t)*PertePVj)+Pspv)</f>
        <v>3.8452678632282633E-2</v>
      </c>
      <c r="M244" s="832"/>
      <c r="N244" s="832"/>
      <c r="O244" s="48">
        <f>IF(t&lt;Tnet,'2023'!Resal+('2023'!Salim-'2023'!Resal)*(1-EXP(('2023'!Tnet-t)/('2023'!Tau_j))),Resal+(Salim-Resal)*(1-EXP((Tnet-t)/(Tau_j))))*Salcycl</f>
        <v>4.7569514629400629E-2</v>
      </c>
      <c r="P244" s="169">
        <f>(INDEX(Models!$BJ244:$BT244,,T244)*(1-R244)+INDEX(Models!$BJ244:$BT244,,T244+1)*R244-ERP_i)*Q244*Ramure*Pc/MaxiM</f>
        <v>4.5061191646981295E-3</v>
      </c>
      <c r="Q244" s="304">
        <f t="shared" si="80"/>
        <v>0.7</v>
      </c>
      <c r="R244" s="177">
        <f t="shared" si="81"/>
        <v>0.11252707737184964</v>
      </c>
      <c r="S244" s="799">
        <f t="shared" si="82"/>
        <v>1</v>
      </c>
      <c r="T244" s="176">
        <f t="shared" si="83"/>
        <v>7</v>
      </c>
      <c r="U244" s="250">
        <f t="shared" si="84"/>
        <v>1.1125270773718496</v>
      </c>
      <c r="V244" s="382">
        <f t="shared" si="85"/>
        <v>49.576565263532061</v>
      </c>
      <c r="W244" s="400">
        <f t="shared" si="86"/>
        <v>31.663797439517545</v>
      </c>
      <c r="X244" s="157">
        <f t="shared" si="87"/>
        <v>45521</v>
      </c>
      <c r="Y244" s="383">
        <f t="shared" si="88"/>
        <v>31.305238433476621</v>
      </c>
      <c r="Z244" s="383">
        <f t="shared" si="89"/>
        <v>32.557147982012623</v>
      </c>
      <c r="AA244" s="384">
        <f t="shared" si="90"/>
        <v>34.57085732824288</v>
      </c>
      <c r="AB244" s="197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5.8248753483621178E-2</v>
      </c>
      <c r="AD244" s="230">
        <f>(INDEX(Models!$BJ244:$BT244,,AH244)*(1-AF244)+INDEX(Models!$BJ244:$BT244,,AH244+1)*AF244-ERP_i)*AE244*Ramure*Pc/MaxiM</f>
        <v>4.7383082686011813E-3</v>
      </c>
      <c r="AE244" s="304">
        <f t="shared" si="92"/>
        <v>0.7</v>
      </c>
      <c r="AF244" s="177">
        <f t="shared" si="93"/>
        <v>0.17685929963168179</v>
      </c>
      <c r="AG244" s="799">
        <f t="shared" si="99"/>
        <v>1</v>
      </c>
      <c r="AH244" s="176">
        <f t="shared" si="94"/>
        <v>7</v>
      </c>
      <c r="AI244" s="224">
        <f t="shared" si="95"/>
        <v>1.1768592996316818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45522</v>
      </c>
      <c r="B245" s="409">
        <f>'2023'!Wh/'2023'!Env_an*'2024'!Env_an</f>
        <v>33.068425637723585</v>
      </c>
      <c r="C245" s="829"/>
      <c r="D245" s="391">
        <f t="shared" si="77"/>
        <v>34.391504883675246</v>
      </c>
      <c r="E245" s="383">
        <f t="shared" si="100"/>
        <v>36.111498417447351</v>
      </c>
      <c r="F245" s="383">
        <f t="shared" si="78"/>
        <v>36.198903934564868</v>
      </c>
      <c r="G245" s="110">
        <f t="shared" si="101"/>
        <v>0.66753062946689545</v>
      </c>
      <c r="H245" s="412" t="b">
        <f>Wh_hp&gt;='2023'!Maxi_hp</f>
        <v>0</v>
      </c>
      <c r="I245" s="388">
        <f>IF(H245,Wh_hp,'2023'!Maxi_hp)</f>
        <v>41.817185675969036</v>
      </c>
      <c r="J245" s="85">
        <f>IF(H245,An,'2023'!An_max)</f>
        <v>2021</v>
      </c>
      <c r="K245" s="197">
        <f t="shared" si="79"/>
        <v>45522</v>
      </c>
      <c r="L245" s="147">
        <f>IF(t&lt;Tvie,1-EXP((T0-t)*PertePVj)+'2023'!Pspv,1-EXP((T0-t)*PertePVj)+Pspv)</f>
        <v>3.8471106467332539E-2</v>
      </c>
      <c r="M245" s="832"/>
      <c r="N245" s="832"/>
      <c r="O245" s="48">
        <f>IF(t&lt;Tnet,'2023'!Resal+('2023'!Salim-'2023'!Resal)*(1-EXP(('2023'!Tnet-t)/('2023'!Tau_j))),Resal+(Salim-Resal)*(1-EXP((Tnet-t)/(Tau_j))))*Salcycl</f>
        <v>4.7630079314047065E-2</v>
      </c>
      <c r="P245" s="169">
        <f>(INDEX(Models!$BJ245:$BT245,,T245)*(1-R245)+INDEX(Models!$BJ245:$BT245,,T245+1)*R245-ERP_i)*Q245*Ramure*Pc/MaxiM</f>
        <v>4.5807312766070135E-3</v>
      </c>
      <c r="Q245" s="304">
        <f t="shared" si="80"/>
        <v>0.7</v>
      </c>
      <c r="R245" s="177">
        <f t="shared" si="81"/>
        <v>0.11337364061140121</v>
      </c>
      <c r="S245" s="799">
        <f t="shared" si="82"/>
        <v>1</v>
      </c>
      <c r="T245" s="176">
        <f t="shared" si="83"/>
        <v>7</v>
      </c>
      <c r="U245" s="250">
        <f t="shared" si="84"/>
        <v>1.1133736406114012</v>
      </c>
      <c r="V245" s="382">
        <f t="shared" si="85"/>
        <v>49.430872422557478</v>
      </c>
      <c r="W245" s="400">
        <f t="shared" si="86"/>
        <v>33.068425637723585</v>
      </c>
      <c r="X245" s="157">
        <f t="shared" si="87"/>
        <v>45522</v>
      </c>
      <c r="Y245" s="383">
        <f t="shared" si="88"/>
        <v>32.693936462052285</v>
      </c>
      <c r="Z245" s="383">
        <f t="shared" si="89"/>
        <v>34.00203226544177</v>
      </c>
      <c r="AA245" s="384">
        <f t="shared" si="90"/>
        <v>36.10692875437897</v>
      </c>
      <c r="AB245" s="197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5.8296193045273122E-2</v>
      </c>
      <c r="AD245" s="230">
        <f>(INDEX(Models!$BJ245:$BT245,,AH245)*(1-AF245)+INDEX(Models!$BJ245:$BT245,,AH245+1)*AF245-ERP_i)*AE245*Ramure*Pc/MaxiM</f>
        <v>4.8202172865435856E-3</v>
      </c>
      <c r="AE245" s="304">
        <f t="shared" si="92"/>
        <v>0.7</v>
      </c>
      <c r="AF245" s="177">
        <f t="shared" si="93"/>
        <v>0.17770586287123336</v>
      </c>
      <c r="AG245" s="799">
        <f t="shared" si="99"/>
        <v>1</v>
      </c>
      <c r="AH245" s="176">
        <f t="shared" si="94"/>
        <v>7</v>
      </c>
      <c r="AI245" s="224">
        <f t="shared" si="95"/>
        <v>1.1777058628712334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45523</v>
      </c>
      <c r="B246" s="409">
        <f>'2023'!Wh/'2023'!Env_an*'2024'!Env_an</f>
        <v>48.272587356581589</v>
      </c>
      <c r="C246" s="829"/>
      <c r="D246" s="391">
        <f t="shared" si="77"/>
        <v>50.204952583461562</v>
      </c>
      <c r="E246" s="383">
        <f t="shared" si="100"/>
        <v>52.719151194278915</v>
      </c>
      <c r="F246" s="383">
        <f t="shared" si="78"/>
        <v>52.958782839165472</v>
      </c>
      <c r="G246" s="110">
        <f t="shared" si="101"/>
        <v>0.97938333750712681</v>
      </c>
      <c r="H246" s="412" t="b">
        <f>Wh_hp&gt;='2023'!Maxi_hp</f>
        <v>0</v>
      </c>
      <c r="I246" s="388">
        <f>IF(H246,Wh_hp,'2023'!Maxi_hp)</f>
        <v>52.962065320582475</v>
      </c>
      <c r="J246" s="85">
        <f>IF(H246,An,'2023'!An_max)</f>
        <v>2022</v>
      </c>
      <c r="K246" s="197">
        <f t="shared" si="79"/>
        <v>45523</v>
      </c>
      <c r="L246" s="147">
        <f>IF(t&lt;Tvie,1-EXP((T0-t)*PertePVj)+'2023'!Pspv,1-EXP((T0-t)*PertePVj)+Pspv)</f>
        <v>3.8489533949217059E-2</v>
      </c>
      <c r="M246" s="832"/>
      <c r="N246" s="832"/>
      <c r="O246" s="48">
        <f>IF(t&lt;Tnet,'2023'!Resal+('2023'!Salim-'2023'!Resal)*(1-EXP(('2023'!Tnet-t)/('2023'!Tau_j))),Resal+(Salim-Resal)*(1-EXP((Tnet-t)/(Tau_j))))*Salcycl</f>
        <v>4.7690422813373955E-2</v>
      </c>
      <c r="P246" s="169">
        <f>(INDEX(Models!$BJ246:$BT246,,T246)*(1-R246)+INDEX(Models!$BJ246:$BT246,,T246+1)*R246-ERP_i)*Q246*Ramure*Pc/MaxiM</f>
        <v>4.6612622814815718E-3</v>
      </c>
      <c r="Q246" s="304">
        <f t="shared" si="80"/>
        <v>0.7</v>
      </c>
      <c r="R246" s="177">
        <f t="shared" si="81"/>
        <v>0.11418968786682937</v>
      </c>
      <c r="S246" s="799">
        <f t="shared" si="82"/>
        <v>1</v>
      </c>
      <c r="T246" s="176">
        <f t="shared" si="83"/>
        <v>7</v>
      </c>
      <c r="U246" s="250">
        <f t="shared" si="84"/>
        <v>1.1141896878668294</v>
      </c>
      <c r="V246" s="382">
        <f t="shared" si="85"/>
        <v>49.282003896405662</v>
      </c>
      <c r="W246" s="400">
        <f t="shared" si="86"/>
        <v>48.272587356581589</v>
      </c>
      <c r="X246" s="157">
        <f t="shared" si="87"/>
        <v>45523</v>
      </c>
      <c r="Y246" s="383">
        <f t="shared" si="88"/>
        <v>47.721080256973025</v>
      </c>
      <c r="Z246" s="383">
        <f t="shared" si="89"/>
        <v>49.631368499791868</v>
      </c>
      <c r="AA246" s="384">
        <f t="shared" si="90"/>
        <v>52.706441288892599</v>
      </c>
      <c r="AB246" s="197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5.8343396251053177E-2</v>
      </c>
      <c r="AD246" s="230">
        <f>(INDEX(Models!$BJ246:$BT246,,AH246)*(1-AF246)+INDEX(Models!$BJ246:$BT246,,AH246+1)*AF246-ERP_i)*AE246*Ramure*Pc/MaxiM</f>
        <v>4.9084925778245022E-3</v>
      </c>
      <c r="AE246" s="304">
        <f t="shared" si="92"/>
        <v>0.7</v>
      </c>
      <c r="AF246" s="177">
        <f t="shared" si="93"/>
        <v>0.17852191012666152</v>
      </c>
      <c r="AG246" s="799">
        <f t="shared" si="99"/>
        <v>1</v>
      </c>
      <c r="AH246" s="176">
        <f t="shared" si="94"/>
        <v>7</v>
      </c>
      <c r="AI246" s="224">
        <f t="shared" si="95"/>
        <v>1.1785219101266615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45524</v>
      </c>
      <c r="B247" s="409">
        <f>'2023'!Wh/'2023'!Env_an*'2024'!Env_an</f>
        <v>38.236390611507893</v>
      </c>
      <c r="C247" s="829"/>
      <c r="D247" s="391">
        <f t="shared" si="77"/>
        <v>39.767766204674231</v>
      </c>
      <c r="E247" s="383">
        <f t="shared" si="100"/>
        <v>41.761920420943724</v>
      </c>
      <c r="F247" s="383">
        <f t="shared" si="78"/>
        <v>41.897824310103651</v>
      </c>
      <c r="G247" s="110">
        <f t="shared" si="101"/>
        <v>0.77707870889943831</v>
      </c>
      <c r="H247" s="412" t="b">
        <f>Wh_hp&gt;='2023'!Maxi_hp</f>
        <v>0</v>
      </c>
      <c r="I247" s="388">
        <f>IF(H247,Wh_hp,'2023'!Maxi_hp)</f>
        <v>53.982802943625828</v>
      </c>
      <c r="J247" s="85">
        <f>IF(H247,An,'2023'!An_max)</f>
        <v>2020</v>
      </c>
      <c r="K247" s="197">
        <f t="shared" si="79"/>
        <v>45524</v>
      </c>
      <c r="L247" s="147">
        <f>IF(t&lt;Tvie,1-EXP((T0-t)*PertePVj)+'2023'!Pspv,1-EXP((T0-t)*PertePVj)+Pspv)</f>
        <v>3.8507961077943076E-2</v>
      </c>
      <c r="M247" s="832"/>
      <c r="N247" s="832"/>
      <c r="O247" s="48">
        <f>IF(t&lt;Tnet,'2023'!Resal+('2023'!Salim-'2023'!Resal)*(1-EXP(('2023'!Tnet-t)/('2023'!Tau_j))),Resal+(Salim-Resal)*(1-EXP((Tnet-t)/(Tau_j))))*Salcycl</f>
        <v>4.7750539155508344E-2</v>
      </c>
      <c r="P247" s="169">
        <f>(INDEX(Models!$BJ247:$BT247,,T247)*(1-R247)+INDEX(Models!$BJ247:$BT247,,T247+1)*R247-ERP_i)*Q247*Ramure*Pc/MaxiM</f>
        <v>4.7476725678239325E-3</v>
      </c>
      <c r="Q247" s="304">
        <f t="shared" si="80"/>
        <v>0.7</v>
      </c>
      <c r="R247" s="177">
        <f t="shared" si="81"/>
        <v>0.1149761874537607</v>
      </c>
      <c r="S247" s="799">
        <f t="shared" si="82"/>
        <v>1</v>
      </c>
      <c r="T247" s="176">
        <f t="shared" si="83"/>
        <v>7</v>
      </c>
      <c r="U247" s="250">
        <f t="shared" si="84"/>
        <v>1.1149761874537607</v>
      </c>
      <c r="V247" s="382">
        <f t="shared" si="85"/>
        <v>49.131055161472034</v>
      </c>
      <c r="W247" s="400">
        <f t="shared" si="86"/>
        <v>38.236390611507893</v>
      </c>
      <c r="X247" s="157">
        <f t="shared" si="87"/>
        <v>45524</v>
      </c>
      <c r="Y247" s="383">
        <f t="shared" si="88"/>
        <v>37.802542538293494</v>
      </c>
      <c r="Z247" s="383">
        <f t="shared" si="89"/>
        <v>39.316542423663215</v>
      </c>
      <c r="AA247" s="384">
        <f t="shared" si="90"/>
        <v>41.75460890167075</v>
      </c>
      <c r="AB247" s="197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5.8390355990377299E-2</v>
      </c>
      <c r="AD247" s="230">
        <f>(INDEX(Models!$BJ247:$BT247,,AH247)*(1-AF247)+INDEX(Models!$BJ247:$BT247,,AH247+1)*AF247-ERP_i)*AE247*Ramure*Pc/MaxiM</f>
        <v>5.0030935104913273E-3</v>
      </c>
      <c r="AE247" s="304">
        <f t="shared" si="92"/>
        <v>0.7</v>
      </c>
      <c r="AF247" s="177">
        <f t="shared" si="93"/>
        <v>0.17930840971359285</v>
      </c>
      <c r="AG247" s="799">
        <f t="shared" si="99"/>
        <v>1</v>
      </c>
      <c r="AH247" s="176">
        <f t="shared" si="94"/>
        <v>7</v>
      </c>
      <c r="AI247" s="224">
        <f t="shared" si="95"/>
        <v>1.1793084097135929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45525</v>
      </c>
      <c r="B248" s="409">
        <f>'2023'!Wh/'2023'!Env_an*'2024'!Env_an</f>
        <v>26.852365920194167</v>
      </c>
      <c r="C248" s="829"/>
      <c r="D248" s="391">
        <f t="shared" si="77"/>
        <v>27.928344138583757</v>
      </c>
      <c r="E248" s="383">
        <f t="shared" si="100"/>
        <v>29.330655140240591</v>
      </c>
      <c r="F248" s="383">
        <f t="shared" si="78"/>
        <v>29.381118050917728</v>
      </c>
      <c r="G248" s="110">
        <f t="shared" si="101"/>
        <v>0.54652630440214334</v>
      </c>
      <c r="H248" s="412" t="b">
        <f>Wh_hp&gt;='2023'!Maxi_hp</f>
        <v>0</v>
      </c>
      <c r="I248" s="388">
        <f>IF(H248,Wh_hp,'2023'!Maxi_hp)</f>
        <v>55.500972969341134</v>
      </c>
      <c r="J248" s="85">
        <f>IF(H248,An,'2023'!An_max)</f>
        <v>2018</v>
      </c>
      <c r="K248" s="197">
        <f t="shared" si="79"/>
        <v>45525</v>
      </c>
      <c r="L248" s="147">
        <f>IF(t&lt;Tvie,1-EXP((T0-t)*PertePVj)+'2023'!Pspv,1-EXP((T0-t)*PertePVj)+Pspv)</f>
        <v>3.8526387853517474E-2</v>
      </c>
      <c r="M248" s="832"/>
      <c r="N248" s="832"/>
      <c r="O248" s="48">
        <f>IF(t&lt;Tnet,'2023'!Resal+('2023'!Salim-'2023'!Resal)*(1-EXP(('2023'!Tnet-t)/('2023'!Tau_j))),Resal+(Salim-Resal)*(1-EXP((Tnet-t)/(Tau_j))))*Salcycl</f>
        <v>4.7810422063601074E-2</v>
      </c>
      <c r="P248" s="169">
        <f>(INDEX(Models!$BJ248:$BT248,,T248)*(1-R248)+INDEX(Models!$BJ248:$BT248,,T248+1)*R248-ERP_i)*Q248*Ramure*Pc/MaxiM</f>
        <v>4.8431207198356297E-3</v>
      </c>
      <c r="Q248" s="304">
        <f t="shared" si="80"/>
        <v>0.7</v>
      </c>
      <c r="R248" s="177">
        <f t="shared" si="81"/>
        <v>0.11573408693505538</v>
      </c>
      <c r="S248" s="799">
        <f t="shared" si="82"/>
        <v>1</v>
      </c>
      <c r="T248" s="176">
        <f t="shared" si="83"/>
        <v>7</v>
      </c>
      <c r="U248" s="250">
        <f t="shared" si="84"/>
        <v>1.1157340869350554</v>
      </c>
      <c r="V248" s="382">
        <f t="shared" si="85"/>
        <v>48.978963614331697</v>
      </c>
      <c r="W248" s="400">
        <f t="shared" si="86"/>
        <v>26.852365920194167</v>
      </c>
      <c r="X248" s="157">
        <f t="shared" si="87"/>
        <v>45525</v>
      </c>
      <c r="Y248" s="383">
        <f t="shared" si="88"/>
        <v>26.550198174980782</v>
      </c>
      <c r="Z248" s="383">
        <f t="shared" si="89"/>
        <v>27.61406848775357</v>
      </c>
      <c r="AA248" s="384">
        <f t="shared" si="90"/>
        <v>29.327905183144026</v>
      </c>
      <c r="AB248" s="197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5.8437064791639778E-2</v>
      </c>
      <c r="AD248" s="230">
        <f>(INDEX(Models!$BJ248:$BT248,,AH248)*(1-AF248)+INDEX(Models!$BJ248:$BT248,,AH248+1)*AF248-ERP_i)*AE248*Ramure*Pc/MaxiM</f>
        <v>5.1070447387699678E-3</v>
      </c>
      <c r="AE248" s="304">
        <f t="shared" si="92"/>
        <v>0.7</v>
      </c>
      <c r="AF248" s="177">
        <f t="shared" si="93"/>
        <v>0.18006630919488753</v>
      </c>
      <c r="AG248" s="799">
        <f t="shared" si="99"/>
        <v>1</v>
      </c>
      <c r="AH248" s="176">
        <f t="shared" si="94"/>
        <v>7</v>
      </c>
      <c r="AI248" s="224">
        <f t="shared" si="95"/>
        <v>1.1800663091948875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45526</v>
      </c>
      <c r="B249" s="409">
        <f>'2023'!Wh/'2023'!Env_an*'2024'!Env_an</f>
        <v>41.780702809693352</v>
      </c>
      <c r="C249" s="829"/>
      <c r="D249" s="391">
        <f t="shared" si="77"/>
        <v>43.455694482763775</v>
      </c>
      <c r="E249" s="383">
        <f t="shared" si="100"/>
        <v>45.640508594610829</v>
      </c>
      <c r="F249" s="383">
        <f t="shared" si="78"/>
        <v>45.820638785632561</v>
      </c>
      <c r="G249" s="110">
        <f t="shared" si="101"/>
        <v>0.85484271600520212</v>
      </c>
      <c r="H249" s="412" t="b">
        <f>Wh_hp&gt;='2023'!Maxi_hp</f>
        <v>0</v>
      </c>
      <c r="I249" s="388">
        <f>IF(H249,Wh_hp,'2023'!Maxi_hp)</f>
        <v>53.062243382697936</v>
      </c>
      <c r="J249" s="85">
        <f>IF(H249,An,'2023'!An_max)</f>
        <v>2018</v>
      </c>
      <c r="K249" s="197">
        <f t="shared" si="79"/>
        <v>45526</v>
      </c>
      <c r="L249" s="147">
        <f>IF(t&lt;Tvie,1-EXP((T0-t)*PertePVj)+'2023'!Pspv,1-EXP((T0-t)*PertePVj)+Pspv)</f>
        <v>3.8544814275946915E-2</v>
      </c>
      <c r="M249" s="832"/>
      <c r="N249" s="832"/>
      <c r="O249" s="48">
        <f>IF(t&lt;Tnet,'2023'!Resal+('2023'!Salim-'2023'!Resal)*(1-EXP(('2023'!Tnet-t)/('2023'!Tau_j))),Resal+(Salim-Resal)*(1-EXP((Tnet-t)/(Tau_j))))*Salcycl</f>
        <v>4.7870064973487871E-2</v>
      </c>
      <c r="P249" s="169">
        <f>(INDEX(Models!$BJ249:$BT249,,T249)*(1-R249)+INDEX(Models!$BJ249:$BT249,,T249+1)*R249-ERP_i)*Q249*Ramure*Pc/MaxiM</f>
        <v>4.9518528633098061E-3</v>
      </c>
      <c r="Q249" s="304">
        <f t="shared" si="80"/>
        <v>0.7</v>
      </c>
      <c r="R249" s="177">
        <f t="shared" si="81"/>
        <v>0.11646431276256441</v>
      </c>
      <c r="S249" s="799">
        <f t="shared" si="82"/>
        <v>1</v>
      </c>
      <c r="T249" s="176">
        <f t="shared" si="83"/>
        <v>7</v>
      </c>
      <c r="U249" s="250">
        <f t="shared" si="84"/>
        <v>1.1164643127625644</v>
      </c>
      <c r="V249" s="382">
        <f t="shared" si="85"/>
        <v>48.825228571045493</v>
      </c>
      <c r="W249" s="400">
        <f t="shared" si="86"/>
        <v>41.780702809693352</v>
      </c>
      <c r="X249" s="157">
        <f t="shared" si="87"/>
        <v>45526</v>
      </c>
      <c r="Y249" s="383">
        <f t="shared" si="88"/>
        <v>41.305999502985507</v>
      </c>
      <c r="Z249" s="383">
        <f t="shared" si="89"/>
        <v>42.961960283025327</v>
      </c>
      <c r="AA249" s="384">
        <f t="shared" si="90"/>
        <v>45.630598040915572</v>
      </c>
      <c r="AB249" s="197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5.8483514844520773E-2</v>
      </c>
      <c r="AD249" s="230">
        <f>(INDEX(Models!$BJ249:$BT249,,AH249)*(1-AF249)+INDEX(Models!$BJ249:$BT249,,AH249+1)*AF249-ERP_i)*AE249*Ramure*Pc/MaxiM</f>
        <v>5.2242980509513209E-3</v>
      </c>
      <c r="AE249" s="304">
        <f t="shared" si="92"/>
        <v>0.7</v>
      </c>
      <c r="AF249" s="177">
        <f t="shared" si="93"/>
        <v>0.18079653502239657</v>
      </c>
      <c r="AG249" s="799">
        <f t="shared" si="99"/>
        <v>1</v>
      </c>
      <c r="AH249" s="176">
        <f t="shared" si="94"/>
        <v>7</v>
      </c>
      <c r="AI249" s="224">
        <f t="shared" si="95"/>
        <v>1.1807965350223966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45527</v>
      </c>
      <c r="B250" s="409">
        <f>'2023'!Wh/'2023'!Env_an*'2024'!Env_an</f>
        <v>48.862110388428093</v>
      </c>
      <c r="C250" s="829"/>
      <c r="D250" s="391">
        <f t="shared" si="77"/>
        <v>50.821970241676397</v>
      </c>
      <c r="E250" s="383">
        <f t="shared" si="100"/>
        <v>53.380467268244402</v>
      </c>
      <c r="F250" s="383">
        <f t="shared" si="78"/>
        <v>53.652701401553536</v>
      </c>
      <c r="G250" s="110">
        <f t="shared" si="101"/>
        <v>1.003956420084732</v>
      </c>
      <c r="H250" s="412" t="b">
        <f>Wh_hp&gt;='2023'!Maxi_hp</f>
        <v>1</v>
      </c>
      <c r="I250" s="388">
        <f>IF(H250,Wh_hp,'2023'!Maxi_hp)</f>
        <v>53.652701401553536</v>
      </c>
      <c r="J250" s="85">
        <f>IF(H250,An,'2023'!An_max)</f>
        <v>2024</v>
      </c>
      <c r="K250" s="197">
        <f t="shared" si="79"/>
        <v>45527</v>
      </c>
      <c r="L250" s="147">
        <f>IF(t&lt;Tvie,1-EXP((T0-t)*PertePVj)+'2023'!Pspv,1-EXP((T0-t)*PertePVj)+Pspv)</f>
        <v>3.8563240345238059E-2</v>
      </c>
      <c r="M250" s="832"/>
      <c r="N250" s="832"/>
      <c r="O250" s="48">
        <f>IF(t&lt;Tnet,'2023'!Resal+('2023'!Salim-'2023'!Resal)*(1-EXP(('2023'!Tnet-t)/('2023'!Tau_j))),Resal+(Salim-Resal)*(1-EXP((Tnet-t)/(Tau_j))))*Salcycl</f>
        <v>4.7929461046326061E-2</v>
      </c>
      <c r="P250" s="169">
        <f>(INDEX(Models!$BJ250:$BT250,,T250)*(1-R250)+INDEX(Models!$BJ250:$BT250,,T250+1)*R250-ERP_i)*Q250*Ramure*Pc/MaxiM</f>
        <v>5.0740060835269508E-3</v>
      </c>
      <c r="Q250" s="304">
        <f t="shared" si="80"/>
        <v>0.7</v>
      </c>
      <c r="R250" s="177">
        <f t="shared" si="81"/>
        <v>0.11716777000229595</v>
      </c>
      <c r="S250" s="799">
        <f t="shared" si="82"/>
        <v>1</v>
      </c>
      <c r="T250" s="176">
        <f t="shared" si="83"/>
        <v>7</v>
      </c>
      <c r="U250" s="250">
        <f t="shared" si="84"/>
        <v>1.1171677700022959</v>
      </c>
      <c r="V250" s="382">
        <f t="shared" si="85"/>
        <v>48.669553190669596</v>
      </c>
      <c r="W250" s="400">
        <f t="shared" si="86"/>
        <v>48.862110388428093</v>
      </c>
      <c r="X250" s="157">
        <f t="shared" si="87"/>
        <v>45527</v>
      </c>
      <c r="Y250" s="383">
        <f t="shared" si="88"/>
        <v>48.304439647532107</v>
      </c>
      <c r="Z250" s="383">
        <f t="shared" si="89"/>
        <v>50.241931320451627</v>
      </c>
      <c r="AA250" s="384">
        <f t="shared" si="90"/>
        <v>53.365391573775142</v>
      </c>
      <c r="AB250" s="197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5.8529698016091258E-2</v>
      </c>
      <c r="AD250" s="230">
        <f>(INDEX(Models!$BJ250:$BT250,,AH250)*(1-AF250)+INDEX(Models!$BJ250:$BT250,,AH250+1)*AF250-ERP_i)*AE250*Ramure*Pc/MaxiM</f>
        <v>5.3549927640750014E-3</v>
      </c>
      <c r="AE250" s="304">
        <f t="shared" si="92"/>
        <v>0.7</v>
      </c>
      <c r="AF250" s="177">
        <f t="shared" si="93"/>
        <v>0.1814999922621281</v>
      </c>
      <c r="AG250" s="799">
        <f t="shared" si="99"/>
        <v>1</v>
      </c>
      <c r="AH250" s="176">
        <f t="shared" si="94"/>
        <v>7</v>
      </c>
      <c r="AI250" s="224">
        <f t="shared" si="95"/>
        <v>1.1814999922621281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45528</v>
      </c>
      <c r="B251" s="409">
        <f>'2023'!Wh/'2023'!Env_an*'2024'!Env_an</f>
        <v>27.512836199885243</v>
      </c>
      <c r="C251" s="829"/>
      <c r="D251" s="391">
        <f t="shared" si="77"/>
        <v>28.616924837676606</v>
      </c>
      <c r="E251" s="383">
        <f t="shared" si="100"/>
        <v>30.059435142427404</v>
      </c>
      <c r="F251" s="383">
        <f t="shared" si="78"/>
        <v>30.119317512731229</v>
      </c>
      <c r="G251" s="110">
        <f t="shared" si="101"/>
        <v>0.565308143857981</v>
      </c>
      <c r="H251" s="412" t="b">
        <f>Wh_hp&gt;='2023'!Maxi_hp</f>
        <v>0</v>
      </c>
      <c r="I251" s="388">
        <f>IF(H251,Wh_hp,'2023'!Maxi_hp)</f>
        <v>51.419146627981888</v>
      </c>
      <c r="J251" s="85">
        <f>IF(H251,An,'2023'!An_max)</f>
        <v>2021</v>
      </c>
      <c r="K251" s="197">
        <f t="shared" si="79"/>
        <v>45528</v>
      </c>
      <c r="L251" s="147">
        <f>IF(t&lt;Tvie,1-EXP((T0-t)*PertePVj)+'2023'!Pspv,1-EXP((T0-t)*PertePVj)+Pspv)</f>
        <v>3.8581666061397901E-2</v>
      </c>
      <c r="M251" s="832"/>
      <c r="N251" s="832"/>
      <c r="O251" s="48">
        <f>IF(t&lt;Tnet,'2023'!Resal+('2023'!Salim-'2023'!Resal)*(1-EXP(('2023'!Tnet-t)/('2023'!Tau_j))),Resal+(Salim-Resal)*(1-EXP((Tnet-t)/(Tau_j))))*Salcycl</f>
        <v>4.7988603176204223E-2</v>
      </c>
      <c r="P251" s="169">
        <f>(INDEX(Models!$BJ251:$BT251,,T251)*(1-R251)+INDEX(Models!$BJ251:$BT251,,T251+1)*R251-ERP_i)*Q251*Ramure*Pc/MaxiM</f>
        <v>5.2097254938390219E-3</v>
      </c>
      <c r="Q251" s="304">
        <f t="shared" si="80"/>
        <v>0.7</v>
      </c>
      <c r="R251" s="177">
        <f t="shared" si="81"/>
        <v>0.11784534213666764</v>
      </c>
      <c r="S251" s="799">
        <f t="shared" si="82"/>
        <v>1</v>
      </c>
      <c r="T251" s="176">
        <f t="shared" si="83"/>
        <v>7</v>
      </c>
      <c r="U251" s="250">
        <f t="shared" si="84"/>
        <v>1.1178453421366676</v>
      </c>
      <c r="V251" s="382">
        <f t="shared" si="85"/>
        <v>48.511640670962684</v>
      </c>
      <c r="W251" s="400">
        <f t="shared" si="86"/>
        <v>27.512836199885243</v>
      </c>
      <c r="X251" s="157">
        <f t="shared" si="87"/>
        <v>45528</v>
      </c>
      <c r="Y251" s="383">
        <f t="shared" si="88"/>
        <v>27.203862720658098</v>
      </c>
      <c r="Z251" s="383">
        <f t="shared" si="89"/>
        <v>28.295552269336468</v>
      </c>
      <c r="AA251" s="384">
        <f t="shared" si="90"/>
        <v>30.056106943358682</v>
      </c>
      <c r="AB251" s="197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5.8575605860732842E-2</v>
      </c>
      <c r="AD251" s="230">
        <f>(INDEX(Models!$BJ251:$BT251,,AH251)*(1-AF251)+INDEX(Models!$BJ251:$BT251,,AH251+1)*AF251-ERP_i)*AE251*Ramure*Pc/MaxiM</f>
        <v>5.4992765494993219E-3</v>
      </c>
      <c r="AE251" s="304">
        <f t="shared" si="92"/>
        <v>0.7</v>
      </c>
      <c r="AF251" s="177">
        <f t="shared" si="93"/>
        <v>0.18217756439649979</v>
      </c>
      <c r="AG251" s="799">
        <f t="shared" si="99"/>
        <v>1</v>
      </c>
      <c r="AH251" s="176">
        <f t="shared" si="94"/>
        <v>7</v>
      </c>
      <c r="AI251" s="224">
        <f t="shared" si="95"/>
        <v>1.1821775643964998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45529</v>
      </c>
      <c r="B252" s="409">
        <f>'2023'!Wh/'2023'!Env_an*'2024'!Env_an</f>
        <v>35.159894801247205</v>
      </c>
      <c r="C252" s="829"/>
      <c r="D252" s="391">
        <f t="shared" si="77"/>
        <v>36.571560375266671</v>
      </c>
      <c r="E252" s="383">
        <f t="shared" si="100"/>
        <v>38.417420785503126</v>
      </c>
      <c r="F252" s="383">
        <f t="shared" si="78"/>
        <v>38.543475128772783</v>
      </c>
      <c r="G252" s="110">
        <f t="shared" si="101"/>
        <v>0.72565352774790248</v>
      </c>
      <c r="H252" s="412" t="b">
        <f>Wh_hp&gt;='2023'!Maxi_hp</f>
        <v>0</v>
      </c>
      <c r="I252" s="388">
        <f>IF(H252,Wh_hp,'2023'!Maxi_hp)</f>
        <v>52.553587232779272</v>
      </c>
      <c r="J252" s="85">
        <f>IF(H252,An,'2023'!An_max)</f>
        <v>2020</v>
      </c>
      <c r="K252" s="197">
        <f t="shared" si="79"/>
        <v>45529</v>
      </c>
      <c r="L252" s="147">
        <f>IF(t&lt;Tvie,1-EXP((T0-t)*PertePVj)+'2023'!Pspv,1-EXP((T0-t)*PertePVj)+Pspv)</f>
        <v>3.8600091424433103E-2</v>
      </c>
      <c r="M252" s="832"/>
      <c r="N252" s="832"/>
      <c r="O252" s="48">
        <f>IF(t&lt;Tnet,'2023'!Resal+('2023'!Salim-'2023'!Resal)*(1-EXP(('2023'!Tnet-t)/('2023'!Tau_j))),Resal+(Salim-Resal)*(1-EXP((Tnet-t)/(Tau_j))))*Salcycl</f>
        <v>4.8047483992808726E-2</v>
      </c>
      <c r="P252" s="169">
        <f>(INDEX(Models!$BJ252:$BT252,,T252)*(1-R252)+INDEX(Models!$BJ252:$BT252,,T252+1)*R252-ERP_i)*Q252*Ramure*Pc/MaxiM</f>
        <v>5.3591602117674421E-3</v>
      </c>
      <c r="Q252" s="304">
        <f t="shared" si="80"/>
        <v>0.7</v>
      </c>
      <c r="R252" s="177">
        <f t="shared" si="81"/>
        <v>0.11849789093779051</v>
      </c>
      <c r="S252" s="799">
        <f t="shared" si="82"/>
        <v>1</v>
      </c>
      <c r="T252" s="176">
        <f t="shared" si="83"/>
        <v>7</v>
      </c>
      <c r="U252" s="250">
        <f t="shared" si="84"/>
        <v>1.1184978909377905</v>
      </c>
      <c r="V252" s="382">
        <f t="shared" si="85"/>
        <v>48.351194490941658</v>
      </c>
      <c r="W252" s="400">
        <f t="shared" si="86"/>
        <v>35.159894801247205</v>
      </c>
      <c r="X252" s="157">
        <f t="shared" si="87"/>
        <v>45529</v>
      </c>
      <c r="Y252" s="383">
        <f t="shared" si="88"/>
        <v>34.763011995717392</v>
      </c>
      <c r="Z252" s="383">
        <f t="shared" si="89"/>
        <v>36.158742772529592</v>
      </c>
      <c r="AA252" s="384">
        <f t="shared" si="90"/>
        <v>38.410408127312088</v>
      </c>
      <c r="AB252" s="197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5.8621229623994318E-2</v>
      </c>
      <c r="AD252" s="230">
        <f>(INDEX(Models!$BJ252:$BT252,,AH252)*(1-AF252)+INDEX(Models!$BJ252:$BT252,,AH252+1)*AF252-ERP_i)*AE252*Ramure*Pc/MaxiM</f>
        <v>5.6573011387777749E-3</v>
      </c>
      <c r="AE252" s="304">
        <f t="shared" si="92"/>
        <v>0.7</v>
      </c>
      <c r="AF252" s="177">
        <f t="shared" si="93"/>
        <v>0.18283011319762266</v>
      </c>
      <c r="AG252" s="799">
        <f t="shared" si="99"/>
        <v>1</v>
      </c>
      <c r="AH252" s="176">
        <f t="shared" si="94"/>
        <v>7</v>
      </c>
      <c r="AI252" s="224">
        <f t="shared" si="95"/>
        <v>1.1828301131976227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45530</v>
      </c>
      <c r="B253" s="409">
        <f>'2023'!Wh/'2023'!Env_an*'2024'!Env_an</f>
        <v>44.497553637009112</v>
      </c>
      <c r="C253" s="829"/>
      <c r="D253" s="391">
        <f t="shared" si="77"/>
        <v>46.285012138961712</v>
      </c>
      <c r="E253" s="383">
        <f t="shared" si="100"/>
        <v>48.62412915727748</v>
      </c>
      <c r="F253" s="383">
        <f t="shared" si="78"/>
        <v>48.864458615857728</v>
      </c>
      <c r="G253" s="110">
        <f t="shared" si="101"/>
        <v>0.92285655486070262</v>
      </c>
      <c r="H253" s="412" t="b">
        <f>Wh_hp&gt;='2023'!Maxi_hp</f>
        <v>0</v>
      </c>
      <c r="I253" s="388">
        <f>IF(H253,Wh_hp,'2023'!Maxi_hp)</f>
        <v>48.878387229783151</v>
      </c>
      <c r="J253" s="85">
        <f>IF(H253,An,'2023'!An_max)</f>
        <v>2022</v>
      </c>
      <c r="K253" s="197">
        <f t="shared" si="79"/>
        <v>45530</v>
      </c>
      <c r="L253" s="147">
        <f>IF(t&lt;Tvie,1-EXP((T0-t)*PertePVj)+'2023'!Pspv,1-EXP((T0-t)*PertePVj)+Pspv)</f>
        <v>3.8618516434350325E-2</v>
      </c>
      <c r="M253" s="832"/>
      <c r="N253" s="832"/>
      <c r="O253" s="48">
        <f>IF(t&lt;Tnet,'2023'!Resal+('2023'!Salim-'2023'!Resal)*(1-EXP(('2023'!Tnet-t)/('2023'!Tau_j))),Resal+(Salim-Resal)*(1-EXP((Tnet-t)/(Tau_j))))*Salcycl</f>
        <v>4.810609585931637E-2</v>
      </c>
      <c r="P253" s="169">
        <f>(INDEX(Models!$BJ253:$BT253,,T253)*(1-R253)+INDEX(Models!$BJ253:$BT253,,T253+1)*R253-ERP_i)*Q253*Ramure*Pc/MaxiM</f>
        <v>5.5224673988124705E-3</v>
      </c>
      <c r="Q253" s="304">
        <f t="shared" si="80"/>
        <v>0.7</v>
      </c>
      <c r="R253" s="177">
        <f t="shared" si="81"/>
        <v>0.11912625640598828</v>
      </c>
      <c r="S253" s="799">
        <f t="shared" si="82"/>
        <v>1</v>
      </c>
      <c r="T253" s="176">
        <f t="shared" si="83"/>
        <v>7</v>
      </c>
      <c r="U253" s="250">
        <f t="shared" si="84"/>
        <v>1.1191262564059883</v>
      </c>
      <c r="V253" s="382">
        <f t="shared" si="85"/>
        <v>48.187918261304503</v>
      </c>
      <c r="W253" s="400">
        <f t="shared" si="86"/>
        <v>44.497553637009112</v>
      </c>
      <c r="X253" s="157">
        <f t="shared" si="87"/>
        <v>45530</v>
      </c>
      <c r="Y253" s="383">
        <f t="shared" si="88"/>
        <v>43.991809391061743</v>
      </c>
      <c r="Z253" s="383">
        <f t="shared" si="89"/>
        <v>45.758952240167297</v>
      </c>
      <c r="AA253" s="384">
        <f t="shared" si="90"/>
        <v>48.610779461806416</v>
      </c>
      <c r="AB253" s="197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5.8666560240610871E-2</v>
      </c>
      <c r="AD253" s="230">
        <f>(INDEX(Models!$BJ253:$BT253,,AH253)*(1-AF253)+INDEX(Models!$BJ253:$BT253,,AH253+1)*AF253-ERP_i)*AE253*Ramure*Pc/MaxiM</f>
        <v>5.829226538780187E-3</v>
      </c>
      <c r="AE253" s="304">
        <f t="shared" si="92"/>
        <v>0.7</v>
      </c>
      <c r="AF253" s="177">
        <f t="shared" si="93"/>
        <v>0.18345847866582043</v>
      </c>
      <c r="AG253" s="799">
        <f t="shared" si="99"/>
        <v>1</v>
      </c>
      <c r="AH253" s="176">
        <f t="shared" si="94"/>
        <v>7</v>
      </c>
      <c r="AI253" s="224">
        <f t="shared" si="95"/>
        <v>1.1834584786658204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45531</v>
      </c>
      <c r="B254" s="409">
        <f>'2023'!Wh/'2023'!Env_an*'2024'!Env_an</f>
        <v>47.573528129864471</v>
      </c>
      <c r="C254" s="829"/>
      <c r="D254" s="391">
        <f t="shared" si="77"/>
        <v>49.485496336691881</v>
      </c>
      <c r="E254" s="383">
        <f t="shared" si="100"/>
        <v>51.989543090622959</v>
      </c>
      <c r="F254" s="383">
        <f t="shared" si="78"/>
        <v>52.283309198706611</v>
      </c>
      <c r="G254" s="110">
        <f t="shared" si="101"/>
        <v>0.9905903318924425</v>
      </c>
      <c r="H254" s="412" t="b">
        <f>Wh_hp&gt;='2023'!Maxi_hp</f>
        <v>0</v>
      </c>
      <c r="I254" s="388">
        <f>IF(H254,Wh_hp,'2023'!Maxi_hp)</f>
        <v>53.319342181775433</v>
      </c>
      <c r="J254" s="85">
        <f>IF(H254,An,'2023'!An_max)</f>
        <v>2021</v>
      </c>
      <c r="K254" s="197">
        <f t="shared" si="79"/>
        <v>45531</v>
      </c>
      <c r="L254" s="147">
        <f>IF(t&lt;Tvie,1-EXP((T0-t)*PertePVj)+'2023'!Pspv,1-EXP((T0-t)*PertePVj)+Pspv)</f>
        <v>3.8636941091156562E-2</v>
      </c>
      <c r="M254" s="832"/>
      <c r="N254" s="832"/>
      <c r="O254" s="48">
        <f>IF(t&lt;Tnet,'2023'!Resal+('2023'!Salim-'2023'!Resal)*(1-EXP(('2023'!Tnet-t)/('2023'!Tau_j))),Resal+(Salim-Resal)*(1-EXP((Tnet-t)/(Tau_j))))*Salcycl</f>
        <v>4.8164430865766147E-2</v>
      </c>
      <c r="P254" s="169">
        <f>(INDEX(Models!$BJ254:$BT254,,T254)*(1-R254)+INDEX(Models!$BJ254:$BT254,,T254+1)*R254-ERP_i)*Q254*Ramure*Pc/MaxiM</f>
        <v>5.6946704363797654E-3</v>
      </c>
      <c r="Q254" s="304">
        <f t="shared" si="80"/>
        <v>0.7</v>
      </c>
      <c r="R254" s="177">
        <f t="shared" si="81"/>
        <v>0.1197312567680362</v>
      </c>
      <c r="S254" s="799">
        <f t="shared" si="82"/>
        <v>1</v>
      </c>
      <c r="T254" s="176">
        <f t="shared" si="83"/>
        <v>7</v>
      </c>
      <c r="U254" s="250">
        <f t="shared" si="84"/>
        <v>1.1197312567680362</v>
      </c>
      <c r="V254" s="382">
        <f t="shared" si="85"/>
        <v>48.02176410759877</v>
      </c>
      <c r="W254" s="400">
        <f t="shared" si="86"/>
        <v>47.573528129864471</v>
      </c>
      <c r="X254" s="157">
        <f t="shared" si="87"/>
        <v>45531</v>
      </c>
      <c r="Y254" s="383">
        <f t="shared" si="88"/>
        <v>47.031668124937063</v>
      </c>
      <c r="Z254" s="383">
        <f t="shared" si="89"/>
        <v>48.921859113578243</v>
      </c>
      <c r="AA254" s="384">
        <f t="shared" si="90"/>
        <v>51.973293739617567</v>
      </c>
      <c r="AB254" s="197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5.8711588327012509E-2</v>
      </c>
      <c r="AD254" s="230">
        <f>(INDEX(Models!$BJ254:$BT254,,AH254)*(1-AF254)+INDEX(Models!$BJ254:$BT254,,AH254+1)*AF254-ERP_i)*AE254*Ramure*Pc/MaxiM</f>
        <v>6.0096649038641533E-3</v>
      </c>
      <c r="AE254" s="304">
        <f t="shared" si="92"/>
        <v>0.7</v>
      </c>
      <c r="AF254" s="177">
        <f t="shared" si="93"/>
        <v>0.18406347902786835</v>
      </c>
      <c r="AG254" s="799">
        <f t="shared" si="99"/>
        <v>1</v>
      </c>
      <c r="AH254" s="176">
        <f t="shared" si="94"/>
        <v>7</v>
      </c>
      <c r="AI254" s="224">
        <f t="shared" si="95"/>
        <v>1.1840634790278683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45532</v>
      </c>
      <c r="B255" s="409">
        <f>'2023'!Wh/'2023'!Env_an*'2024'!Env_an</f>
        <v>31.917621298903704</v>
      </c>
      <c r="C255" s="829"/>
      <c r="D255" s="391">
        <f t="shared" si="77"/>
        <v>33.201018812585772</v>
      </c>
      <c r="E255" s="383">
        <f t="shared" si="100"/>
        <v>34.883171900433965</v>
      </c>
      <c r="F255" s="383">
        <f t="shared" si="78"/>
        <v>34.990788628146419</v>
      </c>
      <c r="G255" s="110">
        <f t="shared" si="101"/>
        <v>0.6651273937770128</v>
      </c>
      <c r="H255" s="412" t="b">
        <f>Wh_hp&gt;='2023'!Maxi_hp</f>
        <v>0</v>
      </c>
      <c r="I255" s="388">
        <f>IF(H255,Wh_hp,'2023'!Maxi_hp)</f>
        <v>52.692719517671406</v>
      </c>
      <c r="J255" s="85">
        <f>IF(H255,An,'2023'!An_max)</f>
        <v>2021</v>
      </c>
      <c r="K255" s="197">
        <f t="shared" si="79"/>
        <v>45532</v>
      </c>
      <c r="L255" s="147">
        <f>IF(t&lt;Tvie,1-EXP((T0-t)*PertePVj)+'2023'!Pspv,1-EXP((T0-t)*PertePVj)+Pspv)</f>
        <v>3.8655365394858365E-2</v>
      </c>
      <c r="M255" s="832"/>
      <c r="N255" s="832"/>
      <c r="O255" s="48">
        <f>IF(t&lt;Tnet,'2023'!Resal+('2023'!Salim-'2023'!Resal)*(1-EXP(('2023'!Tnet-t)/('2023'!Tau_j))),Resal+(Salim-Resal)*(1-EXP((Tnet-t)/(Tau_j))))*Salcycl</f>
        <v>4.8222480818244207E-2</v>
      </c>
      <c r="P255" s="169">
        <f>(INDEX(Models!$BJ255:$BT255,,T255)*(1-R255)+INDEX(Models!$BJ255:$BT255,,T255+1)*R255-ERP_i)*Q255*Ramure*Pc/MaxiM</f>
        <v>5.8663030010209999E-3</v>
      </c>
      <c r="Q255" s="304">
        <f t="shared" si="80"/>
        <v>0.7</v>
      </c>
      <c r="R255" s="177">
        <f t="shared" si="81"/>
        <v>0.1203136885298719</v>
      </c>
      <c r="S255" s="799">
        <f t="shared" si="82"/>
        <v>1</v>
      </c>
      <c r="T255" s="176">
        <f t="shared" si="83"/>
        <v>7</v>
      </c>
      <c r="U255" s="250">
        <f t="shared" si="84"/>
        <v>1.1203136885298719</v>
      </c>
      <c r="V255" s="382">
        <f t="shared" si="85"/>
        <v>47.852897563645911</v>
      </c>
      <c r="W255" s="400">
        <f t="shared" si="86"/>
        <v>31.917621298903704</v>
      </c>
      <c r="X255" s="157">
        <f t="shared" si="87"/>
        <v>45532</v>
      </c>
      <c r="Y255" s="383">
        <f t="shared" si="88"/>
        <v>31.559014758173646</v>
      </c>
      <c r="Z255" s="383">
        <f t="shared" si="89"/>
        <v>32.827992815642077</v>
      </c>
      <c r="AA255" s="384">
        <f t="shared" si="90"/>
        <v>34.877251195451798</v>
      </c>
      <c r="AB255" s="197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5.8756304168745936E-2</v>
      </c>
      <c r="AD255" s="230">
        <f>(INDEX(Models!$BJ255:$BT255,,AH255)*(1-AF255)+INDEX(Models!$BJ255:$BT255,,AH255+1)*AF255-ERP_i)*AE255*Ramure*Pc/MaxiM</f>
        <v>6.1890469660468937E-3</v>
      </c>
      <c r="AE255" s="304">
        <f t="shared" si="92"/>
        <v>0.7</v>
      </c>
      <c r="AF255" s="177">
        <f t="shared" si="93"/>
        <v>0.18464591078970405</v>
      </c>
      <c r="AG255" s="799">
        <f t="shared" si="99"/>
        <v>1</v>
      </c>
      <c r="AH255" s="176">
        <f t="shared" si="94"/>
        <v>7</v>
      </c>
      <c r="AI255" s="224">
        <f t="shared" si="95"/>
        <v>1.184645910789704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45533</v>
      </c>
      <c r="B256" s="409">
        <f>'2023'!Wh/'2023'!Env_an*'2024'!Env_an</f>
        <v>46.945368071069673</v>
      </c>
      <c r="C256" s="829"/>
      <c r="D256" s="391">
        <f t="shared" si="77"/>
        <v>48.833962447675297</v>
      </c>
      <c r="E256" s="383">
        <f t="shared" si="100"/>
        <v>51.311283381622978</v>
      </c>
      <c r="F256" s="383">
        <f t="shared" si="78"/>
        <v>51.616041681924344</v>
      </c>
      <c r="G256" s="110">
        <f t="shared" si="101"/>
        <v>0.98443954262588629</v>
      </c>
      <c r="H256" s="412" t="b">
        <f>Wh_hp&gt;='2023'!Maxi_hp</f>
        <v>0</v>
      </c>
      <c r="I256" s="388">
        <f>IF(H256,Wh_hp,'2023'!Maxi_hp)</f>
        <v>51.619286910358419</v>
      </c>
      <c r="J256" s="85">
        <f>IF(H256,An,'2023'!An_max)</f>
        <v>2022</v>
      </c>
      <c r="K256" s="197">
        <f t="shared" si="79"/>
        <v>45533</v>
      </c>
      <c r="L256" s="147">
        <f>IF(t&lt;Tvie,1-EXP((T0-t)*PertePVj)+'2023'!Pspv,1-EXP((T0-t)*PertePVj)+Pspv)</f>
        <v>3.8673789345462617E-2</v>
      </c>
      <c r="M256" s="832"/>
      <c r="N256" s="832"/>
      <c r="O256" s="48">
        <f>IF(t&lt;Tnet,'2023'!Resal+('2023'!Salim-'2023'!Resal)*(1-EXP(('2023'!Tnet-t)/('2023'!Tau_j))),Resal+(Salim-Resal)*(1-EXP((Tnet-t)/(Tau_j))))*Salcycl</f>
        <v>4.8280237224292977E-2</v>
      </c>
      <c r="P256" s="169">
        <f>(INDEX(Models!$BJ256:$BT256,,T256)*(1-R256)+INDEX(Models!$BJ256:$BT256,,T256+1)*R256-ERP_i)*Q256*Ramure*Pc/MaxiM</f>
        <v>6.0374031164082279E-3</v>
      </c>
      <c r="Q256" s="304">
        <f t="shared" si="80"/>
        <v>0.7</v>
      </c>
      <c r="R256" s="177">
        <f t="shared" si="81"/>
        <v>0.1208743265788117</v>
      </c>
      <c r="S256" s="799">
        <f t="shared" si="82"/>
        <v>1</v>
      </c>
      <c r="T256" s="176">
        <f t="shared" si="83"/>
        <v>7</v>
      </c>
      <c r="U256" s="250">
        <f t="shared" si="84"/>
        <v>1.1208743265788117</v>
      </c>
      <c r="V256" s="382">
        <f t="shared" si="85"/>
        <v>47.681022461341236</v>
      </c>
      <c r="W256" s="400">
        <f t="shared" si="86"/>
        <v>46.945368071069673</v>
      </c>
      <c r="X256" s="157">
        <f t="shared" si="87"/>
        <v>45533</v>
      </c>
      <c r="Y256" s="383">
        <f t="shared" si="88"/>
        <v>46.411354243184391</v>
      </c>
      <c r="Z256" s="383">
        <f t="shared" si="89"/>
        <v>48.278465445755742</v>
      </c>
      <c r="AA256" s="384">
        <f t="shared" si="90"/>
        <v>51.294625195693094</v>
      </c>
      <c r="AB256" s="197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5.880069770332589E-2</v>
      </c>
      <c r="AD256" s="230">
        <f>(INDEX(Models!$BJ256:$BT256,,AH256)*(1-AF256)+INDEX(Models!$BJ256:$BT256,,AH256+1)*AF256-ERP_i)*AE256*Ramure*Pc/MaxiM</f>
        <v>6.367409497029494E-3</v>
      </c>
      <c r="AE256" s="304">
        <f t="shared" si="92"/>
        <v>0.7</v>
      </c>
      <c r="AF256" s="177">
        <f t="shared" si="93"/>
        <v>0.18520654883864385</v>
      </c>
      <c r="AG256" s="799">
        <f t="shared" si="99"/>
        <v>1</v>
      </c>
      <c r="AH256" s="176">
        <f t="shared" si="94"/>
        <v>7</v>
      </c>
      <c r="AI256" s="224">
        <f t="shared" si="95"/>
        <v>1.1852065488386438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45534</v>
      </c>
      <c r="B257" s="409">
        <f>'2023'!Wh/'2023'!Env_an*'2024'!Env_an</f>
        <v>19.776363963926581</v>
      </c>
      <c r="C257" s="829"/>
      <c r="D257" s="391">
        <f t="shared" si="77"/>
        <v>20.572353860224649</v>
      </c>
      <c r="E257" s="383">
        <f t="shared" si="100"/>
        <v>21.617283433014485</v>
      </c>
      <c r="F257" s="383">
        <f t="shared" si="78"/>
        <v>21.639601605250885</v>
      </c>
      <c r="G257" s="110">
        <f t="shared" si="101"/>
        <v>0.41413606650303741</v>
      </c>
      <c r="H257" s="412" t="b">
        <f>Wh_hp&gt;='2023'!Maxi_hp</f>
        <v>0</v>
      </c>
      <c r="I257" s="388">
        <f>IF(H257,Wh_hp,'2023'!Maxi_hp)</f>
        <v>51.112198719060622</v>
      </c>
      <c r="J257" s="85">
        <f>IF(H257,An,'2023'!An_max)</f>
        <v>2021</v>
      </c>
      <c r="K257" s="197">
        <f t="shared" si="79"/>
        <v>45534</v>
      </c>
      <c r="L257" s="147">
        <f>IF(t&lt;Tvie,1-EXP((T0-t)*PertePVj)+'2023'!Pspv,1-EXP((T0-t)*PertePVj)+Pspv)</f>
        <v>3.869221294297609E-2</v>
      </c>
      <c r="M257" s="832"/>
      <c r="N257" s="832"/>
      <c r="O257" s="48">
        <f>IF(t&lt;Tnet,'2023'!Resal+('2023'!Salim-'2023'!Resal)*(1-EXP(('2023'!Tnet-t)/('2023'!Tau_j))),Resal+(Salim-Resal)*(1-EXP((Tnet-t)/(Tau_j))))*Salcycl</f>
        <v>4.8337691275028176E-2</v>
      </c>
      <c r="P257" s="169">
        <f>(INDEX(Models!$BJ257:$BT257,,T257)*(1-R257)+INDEX(Models!$BJ257:$BT257,,T257+1)*R257-ERP_i)*Q257*Ramure*Pc/MaxiM</f>
        <v>6.208014374680805E-3</v>
      </c>
      <c r="Q257" s="304">
        <f t="shared" si="80"/>
        <v>0.7</v>
      </c>
      <c r="R257" s="177">
        <f t="shared" si="81"/>
        <v>0.12141392433057163</v>
      </c>
      <c r="S257" s="799">
        <f t="shared" si="82"/>
        <v>1</v>
      </c>
      <c r="T257" s="176">
        <f t="shared" si="83"/>
        <v>7</v>
      </c>
      <c r="U257" s="250">
        <f t="shared" si="84"/>
        <v>1.1214139243305716</v>
      </c>
      <c r="V257" s="382">
        <f t="shared" si="85"/>
        <v>47.505842683771441</v>
      </c>
      <c r="W257" s="400">
        <f t="shared" si="86"/>
        <v>19.776363963926581</v>
      </c>
      <c r="X257" s="157">
        <f t="shared" si="87"/>
        <v>45534</v>
      </c>
      <c r="Y257" s="383">
        <f t="shared" si="88"/>
        <v>19.556922630940715</v>
      </c>
      <c r="Z257" s="383">
        <f t="shared" si="89"/>
        <v>20.344080110713403</v>
      </c>
      <c r="AA257" s="384">
        <f t="shared" si="90"/>
        <v>21.61607268772179</v>
      </c>
      <c r="AB257" s="197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5.8844758499118723E-2</v>
      </c>
      <c r="AD257" s="230">
        <f>(INDEX(Models!$BJ257:$BT257,,AH257)*(1-AF257)+INDEX(Models!$BJ257:$BT257,,AH257+1)*AF257-ERP_i)*AE257*Ramure*Pc/MaxiM</f>
        <v>6.5447948288110281E-3</v>
      </c>
      <c r="AE257" s="304">
        <f t="shared" si="92"/>
        <v>0.7</v>
      </c>
      <c r="AF257" s="177">
        <f t="shared" si="93"/>
        <v>0.18574614659040378</v>
      </c>
      <c r="AG257" s="799">
        <f t="shared" si="99"/>
        <v>1</v>
      </c>
      <c r="AH257" s="176">
        <f t="shared" si="94"/>
        <v>7</v>
      </c>
      <c r="AI257" s="224">
        <f t="shared" si="95"/>
        <v>1.1857461465904038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45535</v>
      </c>
      <c r="B258" s="409">
        <f>'2023'!Wh/'2023'!Env_an*'2024'!Env_an</f>
        <v>41.971952021146194</v>
      </c>
      <c r="C258" s="829"/>
      <c r="D258" s="391">
        <f t="shared" si="77"/>
        <v>43.662141287697338</v>
      </c>
      <c r="E258" s="383">
        <f t="shared" si="100"/>
        <v>45.882623213549877</v>
      </c>
      <c r="F258" s="383">
        <f t="shared" si="78"/>
        <v>46.129285151406719</v>
      </c>
      <c r="G258" s="110">
        <f t="shared" si="101"/>
        <v>0.88592962356725613</v>
      </c>
      <c r="H258" s="412" t="b">
        <f>Wh_hp&gt;='2023'!Maxi_hp</f>
        <v>0</v>
      </c>
      <c r="I258" s="388">
        <f>IF(H258,Wh_hp,'2023'!Maxi_hp)</f>
        <v>46.151627874383863</v>
      </c>
      <c r="J258" s="85">
        <f>IF(H258,An,'2023'!An_max)</f>
        <v>2022</v>
      </c>
      <c r="K258" s="197">
        <f t="shared" si="79"/>
        <v>45535</v>
      </c>
      <c r="L258" s="147">
        <f>IF(t&lt;Tvie,1-EXP((T0-t)*PertePVj)+'2023'!Pspv,1-EXP((T0-t)*PertePVj)+Pspv)</f>
        <v>3.8710636187405445E-2</v>
      </c>
      <c r="M258" s="832"/>
      <c r="N258" s="832"/>
      <c r="O258" s="48">
        <f>IF(t&lt;Tnet,'2023'!Resal+('2023'!Salim-'2023'!Resal)*(1-EXP(('2023'!Tnet-t)/('2023'!Tau_j))),Resal+(Salim-Resal)*(1-EXP((Tnet-t)/(Tau_j))))*Salcycl</f>
        <v>4.8394833824514101E-2</v>
      </c>
      <c r="P258" s="169">
        <f>(INDEX(Models!$BJ258:$BT258,,T258)*(1-R258)+INDEX(Models!$BJ258:$BT258,,T258+1)*R258-ERP_i)*Q258*Ramure*Pc/MaxiM</f>
        <v>6.3781859336265647E-3</v>
      </c>
      <c r="Q258" s="304">
        <f t="shared" si="80"/>
        <v>0.7</v>
      </c>
      <c r="R258" s="177">
        <f t="shared" si="81"/>
        <v>0.12193321391666889</v>
      </c>
      <c r="S258" s="799">
        <f t="shared" si="82"/>
        <v>1</v>
      </c>
      <c r="T258" s="176">
        <f t="shared" si="83"/>
        <v>7</v>
      </c>
      <c r="U258" s="250">
        <f t="shared" si="84"/>
        <v>1.1219332139166689</v>
      </c>
      <c r="V258" s="382">
        <f t="shared" si="85"/>
        <v>47.32706216944765</v>
      </c>
      <c r="W258" s="400">
        <f t="shared" si="86"/>
        <v>41.971952021146194</v>
      </c>
      <c r="X258" s="157">
        <f t="shared" si="87"/>
        <v>45535</v>
      </c>
      <c r="Y258" s="383">
        <f t="shared" si="88"/>
        <v>41.497111807408359</v>
      </c>
      <c r="Z258" s="383">
        <f t="shared" si="89"/>
        <v>43.168179498861399</v>
      </c>
      <c r="AA258" s="384">
        <f t="shared" si="90"/>
        <v>45.869355953736857</v>
      </c>
      <c r="AB258" s="197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5.8888475730939624E-2</v>
      </c>
      <c r="AD258" s="230">
        <f>(INDEX(Models!$BJ258:$BT258,,AH258)*(1-AF258)+INDEX(Models!$BJ258:$BT258,,AH258+1)*AF258-ERP_i)*AE258*Ramure*Pc/MaxiM</f>
        <v>6.7212508209474183E-3</v>
      </c>
      <c r="AE258" s="304">
        <f t="shared" si="92"/>
        <v>0.7</v>
      </c>
      <c r="AF258" s="177">
        <f t="shared" si="93"/>
        <v>0.18626543617650104</v>
      </c>
      <c r="AG258" s="799">
        <f t="shared" si="99"/>
        <v>1</v>
      </c>
      <c r="AH258" s="176">
        <f t="shared" si="94"/>
        <v>7</v>
      </c>
      <c r="AI258" s="224">
        <f t="shared" si="95"/>
        <v>1.186265436176501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45536</v>
      </c>
      <c r="B259" s="409">
        <f>'2023'!Wh/'2023'!Env_an*'2024'!Env_an</f>
        <v>37.139911927274156</v>
      </c>
      <c r="C259" s="829"/>
      <c r="D259" s="391">
        <f t="shared" si="77"/>
        <v>38.636257839731215</v>
      </c>
      <c r="E259" s="383">
        <f t="shared" si="100"/>
        <v>40.603567919224389</v>
      </c>
      <c r="F259" s="383">
        <f t="shared" si="78"/>
        <v>40.789687806228109</v>
      </c>
      <c r="G259" s="110">
        <f t="shared" si="101"/>
        <v>0.7862198053297994</v>
      </c>
      <c r="H259" s="412" t="b">
        <f>Wh_hp&gt;='2023'!Maxi_hp</f>
        <v>0</v>
      </c>
      <c r="I259" s="388">
        <f>IF(H259,Wh_hp,'2023'!Maxi_hp)</f>
        <v>43.932172595785929</v>
      </c>
      <c r="J259" s="85">
        <f>IF(H259,An,'2023'!An_max)</f>
        <v>2018</v>
      </c>
      <c r="K259" s="197">
        <f t="shared" si="79"/>
        <v>45536</v>
      </c>
      <c r="L259" s="147">
        <f>IF(t&lt;Tvie,1-EXP((T0-t)*PertePVj)+'2023'!Pspv,1-EXP((T0-t)*PertePVj)+Pspv)</f>
        <v>3.8729059078757566E-2</v>
      </c>
      <c r="M259" s="832"/>
      <c r="N259" s="832"/>
      <c r="O259" s="48">
        <f>IF(t&lt;Tnet,'2023'!Resal+('2023'!Salim-'2023'!Resal)*(1-EXP(('2023'!Tnet-t)/('2023'!Tau_j))),Resal+(Salim-Resal)*(1-EXP((Tnet-t)/(Tau_j))))*Salcycl</f>
        <v>4.8451655367008274E-2</v>
      </c>
      <c r="P259" s="169">
        <f>(INDEX(Models!$BJ259:$BT259,,T259)*(1-R259)+INDEX(Models!$BJ259:$BT259,,T259+1)*R259-ERP_i)*Q259*Ramure*Pc/MaxiM</f>
        <v>6.5479725268806441E-3</v>
      </c>
      <c r="Q259" s="304">
        <f t="shared" si="80"/>
        <v>0.7</v>
      </c>
      <c r="R259" s="177">
        <f t="shared" si="81"/>
        <v>0.12243290640803428</v>
      </c>
      <c r="S259" s="799">
        <f t="shared" si="82"/>
        <v>1</v>
      </c>
      <c r="T259" s="176">
        <f t="shared" si="83"/>
        <v>7</v>
      </c>
      <c r="U259" s="250">
        <f t="shared" si="84"/>
        <v>1.1224329064080343</v>
      </c>
      <c r="V259" s="382">
        <f t="shared" si="85"/>
        <v>47.14438491617485</v>
      </c>
      <c r="W259" s="400">
        <f t="shared" si="86"/>
        <v>37.139911927274156</v>
      </c>
      <c r="X259" s="157">
        <f t="shared" si="87"/>
        <v>45536</v>
      </c>
      <c r="Y259" s="383">
        <f t="shared" si="88"/>
        <v>36.721889403805221</v>
      </c>
      <c r="Z259" s="383">
        <f t="shared" si="89"/>
        <v>38.201393426719498</v>
      </c>
      <c r="AA259" s="384">
        <f t="shared" si="90"/>
        <v>40.59365195369881</v>
      </c>
      <c r="AB259" s="197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5.893183815311636E-2</v>
      </c>
      <c r="AD259" s="230">
        <f>(INDEX(Models!$BJ259:$BT259,,AH259)*(1-AF259)+INDEX(Models!$BJ259:$BT259,,AH259+1)*AF259-ERP_i)*AE259*Ramure*Pc/MaxiM</f>
        <v>6.8968308401123456E-3</v>
      </c>
      <c r="AE259" s="304">
        <f t="shared" si="92"/>
        <v>0.7</v>
      </c>
      <c r="AF259" s="177">
        <f t="shared" si="93"/>
        <v>0.18676512866786643</v>
      </c>
      <c r="AG259" s="799">
        <f t="shared" si="99"/>
        <v>1</v>
      </c>
      <c r="AH259" s="176">
        <f t="shared" si="94"/>
        <v>7</v>
      </c>
      <c r="AI259" s="224">
        <f t="shared" si="95"/>
        <v>1.1867651286678664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45537</v>
      </c>
      <c r="B260" s="409">
        <f>'2023'!Wh/'2023'!Env_an*'2024'!Env_an</f>
        <v>31.197394106217466</v>
      </c>
      <c r="C260" s="829"/>
      <c r="D260" s="391">
        <f t="shared" si="77"/>
        <v>32.454941349540888</v>
      </c>
      <c r="E260" s="383">
        <f t="shared" si="100"/>
        <v>34.109531483151734</v>
      </c>
      <c r="F260" s="383">
        <f t="shared" si="78"/>
        <v>34.229219547677367</v>
      </c>
      <c r="G260" s="110">
        <f t="shared" si="101"/>
        <v>0.66222758759763278</v>
      </c>
      <c r="H260" s="412" t="b">
        <f>Wh_hp&gt;='2023'!Maxi_hp</f>
        <v>0</v>
      </c>
      <c r="I260" s="388">
        <f>IF(H260,Wh_hp,'2023'!Maxi_hp)</f>
        <v>53.184089947763461</v>
      </c>
      <c r="J260" s="85">
        <f>IF(H260,An,'2023'!An_max)</f>
        <v>2018</v>
      </c>
      <c r="K260" s="197">
        <f t="shared" si="79"/>
        <v>45537</v>
      </c>
      <c r="L260" s="147">
        <f>IF(t&lt;Tvie,1-EXP((T0-t)*PertePVj)+'2023'!Pspv,1-EXP((T0-t)*PertePVj)+Pspv)</f>
        <v>3.8747481617039226E-2</v>
      </c>
      <c r="M260" s="832"/>
      <c r="N260" s="832"/>
      <c r="O260" s="48">
        <f>IF(t&lt;Tnet,'2023'!Resal+('2023'!Salim-'2023'!Resal)*(1-EXP(('2023'!Tnet-t)/('2023'!Tau_j))),Resal+(Salim-Resal)*(1-EXP((Tnet-t)/(Tau_j))))*Salcycl</f>
        <v>4.8508146012739159E-2</v>
      </c>
      <c r="P260" s="169">
        <f>(INDEX(Models!$BJ260:$BT260,,T260)*(1-R260)+INDEX(Models!$BJ260:$BT260,,T260+1)*R260-ERP_i)*Q260*Ramure*Pc/MaxiM</f>
        <v>6.7174344885073808E-3</v>
      </c>
      <c r="Q260" s="304">
        <f t="shared" si="80"/>
        <v>0.7</v>
      </c>
      <c r="R260" s="177">
        <f t="shared" si="81"/>
        <v>0.12291369207093461</v>
      </c>
      <c r="S260" s="799">
        <f t="shared" si="82"/>
        <v>1</v>
      </c>
      <c r="T260" s="176">
        <f t="shared" si="83"/>
        <v>7</v>
      </c>
      <c r="U260" s="250">
        <f t="shared" si="84"/>
        <v>1.1229136920709346</v>
      </c>
      <c r="V260" s="382">
        <f t="shared" si="85"/>
        <v>46.95751498740357</v>
      </c>
      <c r="W260" s="400">
        <f t="shared" si="86"/>
        <v>31.197394106217466</v>
      </c>
      <c r="X260" s="157">
        <f t="shared" si="87"/>
        <v>45537</v>
      </c>
      <c r="Y260" s="383">
        <f t="shared" si="88"/>
        <v>30.848505656831925</v>
      </c>
      <c r="Z260" s="383">
        <f t="shared" si="89"/>
        <v>32.091989427217243</v>
      </c>
      <c r="AA260" s="384">
        <f t="shared" si="90"/>
        <v>34.103221241197815</v>
      </c>
      <c r="AB260" s="197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5.8974834070833593E-2</v>
      </c>
      <c r="AD260" s="230">
        <f>(INDEX(Models!$BJ260:$BT260,,AH260)*(1-AF260)+INDEX(Models!$BJ260:$BT260,,AH260+1)*AF260-ERP_i)*AE260*Ramure*Pc/MaxiM</f>
        <v>7.0715937532602408E-3</v>
      </c>
      <c r="AE260" s="304">
        <f t="shared" si="92"/>
        <v>0.7</v>
      </c>
      <c r="AF260" s="177">
        <f t="shared" si="93"/>
        <v>0.18724591433076676</v>
      </c>
      <c r="AG260" s="799">
        <f t="shared" si="99"/>
        <v>1</v>
      </c>
      <c r="AH260" s="176">
        <f t="shared" si="94"/>
        <v>7</v>
      </c>
      <c r="AI260" s="224">
        <f t="shared" si="95"/>
        <v>1.1872459143307668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45538</v>
      </c>
      <c r="B261" s="409">
        <f>'2023'!Wh/'2023'!Env_an*'2024'!Env_an</f>
        <v>47.380003335441707</v>
      </c>
      <c r="C261" s="829"/>
      <c r="D261" s="391">
        <f t="shared" si="77"/>
        <v>49.290805978333502</v>
      </c>
      <c r="E261" s="383">
        <f t="shared" si="100"/>
        <v>51.806765021832177</v>
      </c>
      <c r="F261" s="383">
        <f t="shared" si="78"/>
        <v>52.166009389945366</v>
      </c>
      <c r="G261" s="110">
        <f t="shared" si="101"/>
        <v>1.0131143940679883</v>
      </c>
      <c r="H261" s="412" t="b">
        <f>Wh_hp&gt;='2023'!Maxi_hp</f>
        <v>0</v>
      </c>
      <c r="I261" s="388">
        <f>IF(H261,Wh_hp,'2023'!Maxi_hp)</f>
        <v>52.707977140675048</v>
      </c>
      <c r="J261" s="85">
        <f>IF(H261,An,'2023'!An_max)</f>
        <v>2018</v>
      </c>
      <c r="K261" s="197">
        <f t="shared" si="79"/>
        <v>45538</v>
      </c>
      <c r="L261" s="147">
        <f>IF(t&lt;Tvie,1-EXP((T0-t)*PertePVj)+'2023'!Pspv,1-EXP((T0-t)*PertePVj)+Pspv)</f>
        <v>3.8765903802257085E-2</v>
      </c>
      <c r="M261" s="832"/>
      <c r="N261" s="832"/>
      <c r="O261" s="48">
        <f>IF(t&lt;Tnet,'2023'!Resal+('2023'!Salim-'2023'!Resal)*(1-EXP(('2023'!Tnet-t)/('2023'!Tau_j))),Resal+(Salim-Resal)*(1-EXP((Tnet-t)/(Tau_j))))*Salcycl</f>
        <v>4.856429546292676E-2</v>
      </c>
      <c r="P261" s="169">
        <f>(INDEX(Models!$BJ261:$BT261,,T261)*(1-R261)+INDEX(Models!$BJ261:$BT261,,T261+1)*R261-ERP_i)*Q261*Ramure*Pc/MaxiM</f>
        <v>6.8865602777435277E-3</v>
      </c>
      <c r="Q261" s="304">
        <f t="shared" si="80"/>
        <v>0.7</v>
      </c>
      <c r="R261" s="177">
        <f t="shared" si="81"/>
        <v>0.12337624065154595</v>
      </c>
      <c r="S261" s="799">
        <f t="shared" si="82"/>
        <v>1</v>
      </c>
      <c r="T261" s="176">
        <f t="shared" si="83"/>
        <v>7</v>
      </c>
      <c r="U261" s="250">
        <f t="shared" si="84"/>
        <v>1.123376240651546</v>
      </c>
      <c r="V261" s="382">
        <f t="shared" si="85"/>
        <v>46.766686578398492</v>
      </c>
      <c r="W261" s="400">
        <f t="shared" si="86"/>
        <v>47.380003335441707</v>
      </c>
      <c r="X261" s="157">
        <f t="shared" si="87"/>
        <v>45538</v>
      </c>
      <c r="Y261" s="383">
        <f t="shared" si="88"/>
        <v>46.842515188551708</v>
      </c>
      <c r="Z261" s="383">
        <f t="shared" si="89"/>
        <v>48.731641307608562</v>
      </c>
      <c r="AA261" s="384">
        <f t="shared" si="90"/>
        <v>51.788039401456764</v>
      </c>
      <c r="AB261" s="197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5.9017451310624948E-2</v>
      </c>
      <c r="AD261" s="230">
        <f>(INDEX(Models!$BJ261:$BT261,,AH261)*(1-AF261)+INDEX(Models!$BJ261:$BT261,,AH261+1)*AF261-ERP_i)*AE261*Ramure*Pc/MaxiM</f>
        <v>7.2455223795870839E-3</v>
      </c>
      <c r="AE261" s="304">
        <f t="shared" si="92"/>
        <v>0.7</v>
      </c>
      <c r="AF261" s="177">
        <f t="shared" si="93"/>
        <v>0.1877084629113781</v>
      </c>
      <c r="AG261" s="799">
        <f t="shared" si="99"/>
        <v>1</v>
      </c>
      <c r="AH261" s="176">
        <f t="shared" si="94"/>
        <v>7</v>
      </c>
      <c r="AI261" s="224">
        <f t="shared" si="95"/>
        <v>1.1877084629113781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45539</v>
      </c>
      <c r="B262" s="409">
        <f>'2023'!Wh/'2023'!Env_an*'2024'!Env_an</f>
        <v>40.584061075054628</v>
      </c>
      <c r="C262" s="829"/>
      <c r="D262" s="391">
        <f t="shared" si="77"/>
        <v>42.221597251668584</v>
      </c>
      <c r="E262" s="383">
        <f t="shared" si="100"/>
        <v>44.379324116831121</v>
      </c>
      <c r="F262" s="383">
        <f t="shared" si="78"/>
        <v>44.636124713236228</v>
      </c>
      <c r="G262" s="110">
        <f t="shared" si="101"/>
        <v>0.87027750459878439</v>
      </c>
      <c r="H262" s="412" t="b">
        <f>Wh_hp&gt;='2023'!Maxi_hp</f>
        <v>0</v>
      </c>
      <c r="I262" s="388">
        <f>IF(H262,Wh_hp,'2023'!Maxi_hp)</f>
        <v>52.360214050968047</v>
      </c>
      <c r="J262" s="85">
        <f>IF(H262,An,'2023'!An_max)</f>
        <v>2020</v>
      </c>
      <c r="K262" s="197">
        <f t="shared" si="79"/>
        <v>45539</v>
      </c>
      <c r="L262" s="147">
        <f>IF(t&lt;Tvie,1-EXP((T0-t)*PertePVj)+'2023'!Pspv,1-EXP((T0-t)*PertePVj)+Pspv)</f>
        <v>3.8784325634417915E-2</v>
      </c>
      <c r="M262" s="832"/>
      <c r="N262" s="832"/>
      <c r="O262" s="48">
        <f>IF(t&lt;Tnet,'2023'!Resal+('2023'!Salim-'2023'!Resal)*(1-EXP(('2023'!Tnet-t)/('2023'!Tau_j))),Resal+(Salim-Resal)*(1-EXP((Tnet-t)/(Tau_j))))*Salcycl</f>
        <v>4.8620092984791759E-2</v>
      </c>
      <c r="P262" s="169">
        <f>(INDEX(Models!$BJ262:$BT262,,T262)*(1-R262)+INDEX(Models!$BJ262:$BT262,,T262+1)*R262-ERP_i)*Q262*Ramure*Pc/MaxiM</f>
        <v>7.0478728036060543E-3</v>
      </c>
      <c r="Q262" s="304">
        <f t="shared" si="80"/>
        <v>0.7</v>
      </c>
      <c r="R262" s="177">
        <f t="shared" si="81"/>
        <v>0.1238212016857636</v>
      </c>
      <c r="S262" s="799">
        <f t="shared" si="82"/>
        <v>1</v>
      </c>
      <c r="T262" s="176">
        <f t="shared" si="83"/>
        <v>7</v>
      </c>
      <c r="U262" s="250">
        <f t="shared" si="84"/>
        <v>1.1238212016857636</v>
      </c>
      <c r="V262" s="382">
        <f t="shared" si="85"/>
        <v>46.572746946354776</v>
      </c>
      <c r="W262" s="400">
        <f t="shared" si="86"/>
        <v>40.584061075054628</v>
      </c>
      <c r="X262" s="157">
        <f t="shared" si="87"/>
        <v>45539</v>
      </c>
      <c r="Y262" s="383">
        <f t="shared" si="88"/>
        <v>40.12678585609703</v>
      </c>
      <c r="Z262" s="383">
        <f t="shared" si="89"/>
        <v>41.745871323396138</v>
      </c>
      <c r="AA262" s="384">
        <f t="shared" si="90"/>
        <v>44.366120051873409</v>
      </c>
      <c r="AB262" s="197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5.9059677190920527E-2</v>
      </c>
      <c r="AD262" s="230">
        <f>(INDEX(Models!$BJ262:$BT262,,AH262)*(1-AF262)+INDEX(Models!$BJ262:$BT262,,AH262+1)*AF262-ERP_i)*AE262*Ramure*Pc/MaxiM</f>
        <v>7.4102573603993423E-3</v>
      </c>
      <c r="AE262" s="304">
        <f t="shared" si="92"/>
        <v>0.7</v>
      </c>
      <c r="AF262" s="177">
        <f t="shared" si="93"/>
        <v>0.18815342394559575</v>
      </c>
      <c r="AG262" s="799">
        <f t="shared" si="99"/>
        <v>1</v>
      </c>
      <c r="AH262" s="176">
        <f t="shared" si="94"/>
        <v>7</v>
      </c>
      <c r="AI262" s="224">
        <f t="shared" si="95"/>
        <v>1.1881534239455958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45540</v>
      </c>
      <c r="B263" s="409">
        <f>'2023'!Wh/'2023'!Env_an*'2024'!Env_an</f>
        <v>44.118481136320412</v>
      </c>
      <c r="C263" s="829"/>
      <c r="D263" s="391">
        <f t="shared" si="77"/>
        <v>45.899508143445892</v>
      </c>
      <c r="E263" s="383">
        <f t="shared" si="100"/>
        <v>48.248005244088411</v>
      </c>
      <c r="F263" s="383">
        <f t="shared" si="78"/>
        <v>48.573319832833292</v>
      </c>
      <c r="G263" s="110">
        <f t="shared" si="101"/>
        <v>0.95084295734969004</v>
      </c>
      <c r="H263" s="412" t="b">
        <f>Wh_hp&gt;='2023'!Maxi_hp</f>
        <v>0</v>
      </c>
      <c r="I263" s="388">
        <f>IF(H263,Wh_hp,'2023'!Maxi_hp)</f>
        <v>51.253626858987126</v>
      </c>
      <c r="J263" s="85">
        <f>IF(H263,An,'2023'!An_max)</f>
        <v>2018</v>
      </c>
      <c r="K263" s="197">
        <f t="shared" si="79"/>
        <v>45540</v>
      </c>
      <c r="L263" s="147">
        <f>IF(t&lt;Tvie,1-EXP((T0-t)*PertePVj)+'2023'!Pspv,1-EXP((T0-t)*PertePVj)+Pspv)</f>
        <v>3.8802747113528602E-2</v>
      </c>
      <c r="M263" s="832"/>
      <c r="N263" s="832"/>
      <c r="O263" s="48">
        <f>IF(t&lt;Tnet,'2023'!Resal+('2023'!Salim-'2023'!Resal)*(1-EXP(('2023'!Tnet-t)/('2023'!Tau_j))),Resal+(Salim-Resal)*(1-EXP((Tnet-t)/(Tau_j))))*Salcycl</f>
        <v>4.8675527387326986E-2</v>
      </c>
      <c r="P263" s="169">
        <f>(INDEX(Models!$BJ263:$BT263,,T263)*(1-R263)+INDEX(Models!$BJ263:$BT263,,T263+1)*R263-ERP_i)*Q263*Ramure*Pc/MaxiM</f>
        <v>7.1979332624851414E-3</v>
      </c>
      <c r="Q263" s="304">
        <f t="shared" si="80"/>
        <v>0.7</v>
      </c>
      <c r="R263" s="177">
        <f t="shared" si="81"/>
        <v>0.12424920483106883</v>
      </c>
      <c r="S263" s="799">
        <f t="shared" si="82"/>
        <v>1</v>
      </c>
      <c r="T263" s="176">
        <f t="shared" si="83"/>
        <v>7</v>
      </c>
      <c r="U263" s="250">
        <f t="shared" si="84"/>
        <v>1.1242492048310688</v>
      </c>
      <c r="V263" s="382">
        <f t="shared" si="85"/>
        <v>46.375953885568521</v>
      </c>
      <c r="W263" s="400">
        <f t="shared" si="86"/>
        <v>44.118481136320412</v>
      </c>
      <c r="X263" s="157">
        <f t="shared" si="87"/>
        <v>45540</v>
      </c>
      <c r="Y263" s="383">
        <f t="shared" si="88"/>
        <v>43.620067107005909</v>
      </c>
      <c r="Z263" s="383">
        <f t="shared" si="89"/>
        <v>45.38097354732863</v>
      </c>
      <c r="AA263" s="384">
        <f t="shared" si="90"/>
        <v>48.231529197540539</v>
      </c>
      <c r="AB263" s="197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5.9101498493588443E-2</v>
      </c>
      <c r="AD263" s="230">
        <f>(INDEX(Models!$BJ263:$BT263,,AH263)*(1-AF263)+INDEX(Models!$BJ263:$BT263,,AH263+1)*AF263-ERP_i)*AE263*Ramure*Pc/MaxiM</f>
        <v>7.5624834166566129E-3</v>
      </c>
      <c r="AE263" s="304">
        <f t="shared" si="92"/>
        <v>0.7</v>
      </c>
      <c r="AF263" s="177">
        <f t="shared" si="93"/>
        <v>0.18858142709090098</v>
      </c>
      <c r="AG263" s="799">
        <f t="shared" si="99"/>
        <v>1</v>
      </c>
      <c r="AH263" s="176">
        <f t="shared" si="94"/>
        <v>7</v>
      </c>
      <c r="AI263" s="224">
        <f t="shared" si="95"/>
        <v>1.188581427090901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45541</v>
      </c>
      <c r="B264" s="409">
        <f>'2023'!Wh/'2023'!Env_an*'2024'!Env_an</f>
        <v>34.372174139480364</v>
      </c>
      <c r="C264" s="829"/>
      <c r="D264" s="391">
        <f t="shared" si="77"/>
        <v>35.760436043444223</v>
      </c>
      <c r="E264" s="383">
        <f t="shared" si="100"/>
        <v>37.592332471424115</v>
      </c>
      <c r="F264" s="383">
        <f t="shared" si="78"/>
        <v>37.768232166998352</v>
      </c>
      <c r="G264" s="110">
        <f t="shared" si="101"/>
        <v>0.7423628697437018</v>
      </c>
      <c r="H264" s="412" t="b">
        <f>Wh_hp&gt;='2023'!Maxi_hp</f>
        <v>0</v>
      </c>
      <c r="I264" s="388">
        <f>IF(H264,Wh_hp,'2023'!Maxi_hp)</f>
        <v>52.759985924745806</v>
      </c>
      <c r="J264" s="85">
        <f>IF(H264,An,'2023'!An_max)</f>
        <v>2018</v>
      </c>
      <c r="K264" s="197">
        <f t="shared" si="79"/>
        <v>45541</v>
      </c>
      <c r="L264" s="147">
        <f>IF(t&lt;Tvie,1-EXP((T0-t)*PertePVj)+'2023'!Pspv,1-EXP((T0-t)*PertePVj)+Pspv)</f>
        <v>3.8821168239595916E-2</v>
      </c>
      <c r="M264" s="832"/>
      <c r="N264" s="832"/>
      <c r="O264" s="48">
        <f>IF(t&lt;Tnet,'2023'!Resal+('2023'!Salim-'2023'!Resal)*(1-EXP(('2023'!Tnet-t)/('2023'!Tau_j))),Resal+(Salim-Resal)*(1-EXP((Tnet-t)/(Tau_j))))*Salcycl</f>
        <v>4.8730586998622955E-2</v>
      </c>
      <c r="P264" s="169">
        <f>(INDEX(Models!$BJ264:$BT264,,T264)*(1-R264)+INDEX(Models!$BJ264:$BT264,,T264+1)*R264-ERP_i)*Q264*Ramure*Pc/MaxiM</f>
        <v>7.3366045114004897E-3</v>
      </c>
      <c r="Q264" s="304">
        <f t="shared" si="80"/>
        <v>0.7</v>
      </c>
      <c r="R264" s="177">
        <f t="shared" si="81"/>
        <v>0.124660860217499</v>
      </c>
      <c r="S264" s="799">
        <f t="shared" si="82"/>
        <v>1</v>
      </c>
      <c r="T264" s="176">
        <f t="shared" si="83"/>
        <v>7</v>
      </c>
      <c r="U264" s="250">
        <f t="shared" si="84"/>
        <v>1.124660860217499</v>
      </c>
      <c r="V264" s="382">
        <f t="shared" si="85"/>
        <v>46.176408679254969</v>
      </c>
      <c r="W264" s="400">
        <f t="shared" si="86"/>
        <v>34.372174139480364</v>
      </c>
      <c r="X264" s="157">
        <f t="shared" si="87"/>
        <v>45541</v>
      </c>
      <c r="Y264" s="383">
        <f t="shared" si="88"/>
        <v>33.98802291513239</v>
      </c>
      <c r="Z264" s="383">
        <f t="shared" si="89"/>
        <v>35.360769288773398</v>
      </c>
      <c r="AA264" s="384">
        <f t="shared" si="90"/>
        <v>37.583570706749263</v>
      </c>
      <c r="AB264" s="197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5.9142901437427745E-2</v>
      </c>
      <c r="AD264" s="230">
        <f>(INDEX(Models!$BJ264:$BT264,,AH264)*(1-AF264)+INDEX(Models!$BJ264:$BT264,,AH264+1)*AF264-ERP_i)*AE264*Ramure*Pc/MaxiM</f>
        <v>7.7020491588828902E-3</v>
      </c>
      <c r="AE264" s="304">
        <f t="shared" si="92"/>
        <v>0.7</v>
      </c>
      <c r="AF264" s="177">
        <f t="shared" si="93"/>
        <v>0.18899308247733115</v>
      </c>
      <c r="AG264" s="799">
        <f t="shared" si="99"/>
        <v>1</v>
      </c>
      <c r="AH264" s="176">
        <f t="shared" si="94"/>
        <v>7</v>
      </c>
      <c r="AI264" s="224">
        <f t="shared" si="95"/>
        <v>1.1889930824773312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45542</v>
      </c>
      <c r="B265" s="409">
        <f>'2023'!Wh/'2023'!Env_an*'2024'!Env_an</f>
        <v>39.178505952376518</v>
      </c>
      <c r="C265" s="829"/>
      <c r="D265" s="391">
        <f t="shared" si="77"/>
        <v>40.761672562157983</v>
      </c>
      <c r="E265" s="383">
        <f t="shared" si="100"/>
        <v>42.852229715204892</v>
      </c>
      <c r="F265" s="383">
        <f t="shared" si="78"/>
        <v>43.106023359176753</v>
      </c>
      <c r="G265" s="110">
        <f t="shared" si="101"/>
        <v>0.85083331675177865</v>
      </c>
      <c r="H265" s="412" t="b">
        <f>Wh_hp&gt;='2023'!Maxi_hp</f>
        <v>0</v>
      </c>
      <c r="I265" s="388">
        <f>IF(H265,Wh_hp,'2023'!Maxi_hp)</f>
        <v>48.227232610216525</v>
      </c>
      <c r="J265" s="85">
        <f>IF(H265,An,'2023'!An_max)</f>
        <v>2020</v>
      </c>
      <c r="K265" s="197">
        <f t="shared" si="79"/>
        <v>45542</v>
      </c>
      <c r="L265" s="147">
        <f>IF(t&lt;Tvie,1-EXP((T0-t)*PertePVj)+'2023'!Pspv,1-EXP((T0-t)*PertePVj)+Pspv)</f>
        <v>3.8839589012626408E-2</v>
      </c>
      <c r="M265" s="832"/>
      <c r="N265" s="832"/>
      <c r="O265" s="48">
        <f>IF(t&lt;Tnet,'2023'!Resal+('2023'!Salim-'2023'!Resal)*(1-EXP(('2023'!Tnet-t)/('2023'!Tau_j))),Resal+(Salim-Resal)*(1-EXP((Tnet-t)/(Tau_j))))*Salcycl</f>
        <v>4.8785259645547308E-2</v>
      </c>
      <c r="P265" s="169">
        <f>(INDEX(Models!$BJ265:$BT265,,T265)*(1-R265)+INDEX(Models!$BJ265:$BT265,,T265+1)*R265-ERP_i)*Q265*Ramure*Pc/MaxiM</f>
        <v>7.4637434100049208E-3</v>
      </c>
      <c r="Q265" s="304">
        <f t="shared" si="80"/>
        <v>0.7</v>
      </c>
      <c r="R265" s="177">
        <f t="shared" si="81"/>
        <v>0.12505675881497558</v>
      </c>
      <c r="S265" s="799">
        <f t="shared" si="82"/>
        <v>1</v>
      </c>
      <c r="T265" s="176">
        <f t="shared" si="83"/>
        <v>7</v>
      </c>
      <c r="U265" s="250">
        <f t="shared" si="84"/>
        <v>1.1250567588149756</v>
      </c>
      <c r="V265" s="382">
        <f t="shared" si="85"/>
        <v>45.974212472119994</v>
      </c>
      <c r="W265" s="400">
        <f t="shared" si="86"/>
        <v>39.178505952376518</v>
      </c>
      <c r="X265" s="157">
        <f t="shared" si="87"/>
        <v>45542</v>
      </c>
      <c r="Y265" s="383">
        <f t="shared" si="88"/>
        <v>38.738984452777942</v>
      </c>
      <c r="Z265" s="383">
        <f t="shared" si="89"/>
        <v>40.304390411775749</v>
      </c>
      <c r="AA265" s="384">
        <f t="shared" si="90"/>
        <v>42.839816620339512</v>
      </c>
      <c r="AB265" s="197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5.918387165457642E-2</v>
      </c>
      <c r="AD265" s="230">
        <f>(INDEX(Models!$BJ265:$BT265,,AH265)*(1-AF265)+INDEX(Models!$BJ265:$BT265,,AH265+1)*AF265-ERP_i)*AE265*Ramure*Pc/MaxiM</f>
        <v>7.8287965041225083E-3</v>
      </c>
      <c r="AE265" s="304">
        <f t="shared" si="92"/>
        <v>0.7</v>
      </c>
      <c r="AF265" s="177">
        <f t="shared" si="93"/>
        <v>0.18938898107480773</v>
      </c>
      <c r="AG265" s="799">
        <f t="shared" si="99"/>
        <v>1</v>
      </c>
      <c r="AH265" s="176">
        <f t="shared" si="94"/>
        <v>7</v>
      </c>
      <c r="AI265" s="224">
        <f t="shared" si="95"/>
        <v>1.1893889810748077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45543</v>
      </c>
      <c r="B266" s="409">
        <f>'2023'!Wh/'2023'!Env_an*'2024'!Env_an</f>
        <v>16.533209063306753</v>
      </c>
      <c r="C266" s="829"/>
      <c r="D266" s="391">
        <f t="shared" si="77"/>
        <v>17.201630170737847</v>
      </c>
      <c r="E266" s="383">
        <f t="shared" si="100"/>
        <v>18.084887630391151</v>
      </c>
      <c r="F266" s="383">
        <f t="shared" si="78"/>
        <v>18.096884797131782</v>
      </c>
      <c r="G266" s="110">
        <f t="shared" si="101"/>
        <v>0.358727915688559</v>
      </c>
      <c r="H266" s="412" t="b">
        <f>Wh_hp&gt;='2023'!Maxi_hp</f>
        <v>0</v>
      </c>
      <c r="I266" s="388">
        <f>IF(H266,Wh_hp,'2023'!Maxi_hp)</f>
        <v>49.53769434119436</v>
      </c>
      <c r="J266" s="85">
        <f>IF(H266,An,'2023'!An_max)</f>
        <v>2020</v>
      </c>
      <c r="K266" s="197">
        <f t="shared" si="79"/>
        <v>45543</v>
      </c>
      <c r="L266" s="147">
        <f>IF(t&lt;Tvie,1-EXP((T0-t)*PertePVj)+'2023'!Pspv,1-EXP((T0-t)*PertePVj)+Pspv)</f>
        <v>3.8858009432627072E-2</v>
      </c>
      <c r="M266" s="832"/>
      <c r="N266" s="832"/>
      <c r="O266" s="48">
        <f>IF(t&lt;Tnet,'2023'!Resal+('2023'!Salim-'2023'!Resal)*(1-EXP(('2023'!Tnet-t)/('2023'!Tau_j))),Resal+(Salim-Resal)*(1-EXP((Tnet-t)/(Tau_j))))*Salcycl</f>
        <v>4.8839532636576248E-2</v>
      </c>
      <c r="P266" s="169">
        <f>(INDEX(Models!$BJ266:$BT266,,T266)*(1-R266)+INDEX(Models!$BJ266:$BT266,,T266+1)*R266-ERP_i)*Q266*Ramure*Pc/MaxiM</f>
        <v>7.5792007940237351E-3</v>
      </c>
      <c r="Q266" s="304">
        <f t="shared" si="80"/>
        <v>0.7</v>
      </c>
      <c r="R266" s="177">
        <f t="shared" si="81"/>
        <v>0.12543747281445983</v>
      </c>
      <c r="S266" s="799">
        <f t="shared" si="82"/>
        <v>1</v>
      </c>
      <c r="T266" s="176">
        <f t="shared" si="83"/>
        <v>7</v>
      </c>
      <c r="U266" s="250">
        <f t="shared" si="84"/>
        <v>1.1254374728144598</v>
      </c>
      <c r="V266" s="382">
        <f t="shared" si="85"/>
        <v>45.769466271637228</v>
      </c>
      <c r="W266" s="400">
        <f t="shared" si="86"/>
        <v>16.533209063306753</v>
      </c>
      <c r="X266" s="157">
        <f t="shared" si="87"/>
        <v>45543</v>
      </c>
      <c r="Y266" s="383">
        <f t="shared" si="88"/>
        <v>16.352177820556239</v>
      </c>
      <c r="Z266" s="383">
        <f t="shared" si="89"/>
        <v>17.013280015893766</v>
      </c>
      <c r="AA266" s="384">
        <f t="shared" si="90"/>
        <v>18.08431246566829</v>
      </c>
      <c r="AB266" s="197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5.9224394170793067E-2</v>
      </c>
      <c r="AD266" s="230">
        <f>(INDEX(Models!$BJ266:$BT266,,AH266)*(1-AF266)+INDEX(Models!$BJ266:$BT266,,AH266+1)*AF266-ERP_i)*AE266*Ramure*Pc/MaxiM</f>
        <v>7.9425606620999421E-3</v>
      </c>
      <c r="AE266" s="304">
        <f t="shared" si="92"/>
        <v>0.7</v>
      </c>
      <c r="AF266" s="177">
        <f t="shared" si="93"/>
        <v>0.18976969507429198</v>
      </c>
      <c r="AG266" s="799">
        <f t="shared" si="99"/>
        <v>1</v>
      </c>
      <c r="AH266" s="176">
        <f t="shared" si="94"/>
        <v>7</v>
      </c>
      <c r="AI266" s="224">
        <f t="shared" si="95"/>
        <v>1.189769695074292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45544</v>
      </c>
      <c r="B267" s="409">
        <f>'2023'!Wh/'2023'!Env_an*'2024'!Env_an</f>
        <v>43.39287089089202</v>
      </c>
      <c r="C267" s="829"/>
      <c r="D267" s="391">
        <f t="shared" si="77"/>
        <v>45.148066515838472</v>
      </c>
      <c r="E267" s="383">
        <f t="shared" si="100"/>
        <v>47.46898630670858</v>
      </c>
      <c r="F267" s="383">
        <f t="shared" si="78"/>
        <v>47.811326708927844</v>
      </c>
      <c r="G267" s="110">
        <f t="shared" si="101"/>
        <v>0.95188474986564353</v>
      </c>
      <c r="H267" s="412" t="b">
        <f>Wh_hp&gt;='2023'!Maxi_hp</f>
        <v>0</v>
      </c>
      <c r="I267" s="388">
        <f>IF(H267,Wh_hp,'2023'!Maxi_hp)</f>
        <v>47.822346507728497</v>
      </c>
      <c r="J267" s="85">
        <f>IF(H267,An,'2023'!An_max)</f>
        <v>2022</v>
      </c>
      <c r="K267" s="197">
        <f t="shared" si="79"/>
        <v>45544</v>
      </c>
      <c r="L267" s="147">
        <f>IF(t&lt;Tvie,1-EXP((T0-t)*PertePVj)+'2023'!Pspv,1-EXP((T0-t)*PertePVj)+Pspv)</f>
        <v>3.887642949960457E-2</v>
      </c>
      <c r="M267" s="832"/>
      <c r="N267" s="832"/>
      <c r="O267" s="48">
        <f>IF(t&lt;Tnet,'2023'!Resal+('2023'!Salim-'2023'!Resal)*(1-EXP(('2023'!Tnet-t)/('2023'!Tau_j))),Resal+(Salim-Resal)*(1-EXP((Tnet-t)/(Tau_j))))*Salcycl</f>
        <v>4.8893392748563955E-2</v>
      </c>
      <c r="P267" s="169">
        <f>(INDEX(Models!$BJ267:$BT267,,T267)*(1-R267)+INDEX(Models!$BJ267:$BT267,,T267+1)*R267-ERP_i)*Q267*Ramure*Pc/MaxiM</f>
        <v>7.6828214636231957E-3</v>
      </c>
      <c r="Q267" s="304">
        <f t="shared" si="80"/>
        <v>0.7</v>
      </c>
      <c r="R267" s="177">
        <f t="shared" si="81"/>
        <v>0.12580355602059168</v>
      </c>
      <c r="S267" s="799">
        <f t="shared" si="82"/>
        <v>1</v>
      </c>
      <c r="T267" s="176">
        <f t="shared" si="83"/>
        <v>7</v>
      </c>
      <c r="U267" s="250">
        <f t="shared" si="84"/>
        <v>1.1258035560205917</v>
      </c>
      <c r="V267" s="382">
        <f t="shared" si="85"/>
        <v>45.562270948587091</v>
      </c>
      <c r="W267" s="400">
        <f t="shared" si="86"/>
        <v>43.39287089089202</v>
      </c>
      <c r="X267" s="157">
        <f t="shared" si="87"/>
        <v>45544</v>
      </c>
      <c r="Y267" s="383">
        <f t="shared" si="88"/>
        <v>42.905188155587737</v>
      </c>
      <c r="Z267" s="383">
        <f t="shared" si="89"/>
        <v>44.640657530903916</v>
      </c>
      <c r="AA267" s="384">
        <f t="shared" si="90"/>
        <v>47.45292945695055</v>
      </c>
      <c r="AB267" s="197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5.9264453390552724E-2</v>
      </c>
      <c r="AD267" s="230">
        <f>(INDEX(Models!$BJ267:$BT267,,AH267)*(1-AF267)+INDEX(Models!$BJ267:$BT267,,AH267+1)*AF267-ERP_i)*AE267*Ramure*Pc/MaxiM</f>
        <v>8.0431701375145801E-3</v>
      </c>
      <c r="AE267" s="304">
        <f t="shared" si="92"/>
        <v>0.7</v>
      </c>
      <c r="AF267" s="177">
        <f t="shared" si="93"/>
        <v>0.19013577828042383</v>
      </c>
      <c r="AG267" s="799">
        <f t="shared" si="99"/>
        <v>1</v>
      </c>
      <c r="AH267" s="176">
        <f t="shared" si="94"/>
        <v>7</v>
      </c>
      <c r="AI267" s="224">
        <f t="shared" si="95"/>
        <v>1.1901357782804238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45545</v>
      </c>
      <c r="B268" s="409">
        <f>'2023'!Wh/'2023'!Env_an*'2024'!Env_an</f>
        <v>45.583176713374378</v>
      </c>
      <c r="C268" s="829"/>
      <c r="D268" s="391">
        <f t="shared" si="77"/>
        <v>47.427876831245229</v>
      </c>
      <c r="E268" s="383">
        <f t="shared" si="100"/>
        <v>49.86879612908718</v>
      </c>
      <c r="F268" s="383">
        <f t="shared" si="78"/>
        <v>50.2588012823322</v>
      </c>
      <c r="G268" s="110">
        <f t="shared" si="101"/>
        <v>1.0050665759483837</v>
      </c>
      <c r="H268" s="412" t="b">
        <f>Wh_hp&gt;='2023'!Maxi_hp</f>
        <v>1</v>
      </c>
      <c r="I268" s="388">
        <f>IF(H268,Wh_hp,'2023'!Maxi_hp)</f>
        <v>50.2588012823322</v>
      </c>
      <c r="J268" s="85">
        <f>IF(H268,An,'2023'!An_max)</f>
        <v>2024</v>
      </c>
      <c r="K268" s="197">
        <f t="shared" si="79"/>
        <v>45545</v>
      </c>
      <c r="L268" s="147">
        <f>IF(t&lt;Tvie,1-EXP((T0-t)*PertePVj)+'2023'!Pspv,1-EXP((T0-t)*PertePVj)+Pspv)</f>
        <v>3.8894849213565674E-2</v>
      </c>
      <c r="M268" s="832"/>
      <c r="N268" s="832"/>
      <c r="O268" s="48">
        <f>IF(t&lt;Tnet,'2023'!Resal+('2023'!Salim-'2023'!Resal)*(1-EXP(('2023'!Tnet-t)/('2023'!Tau_j))),Resal+(Salim-Resal)*(1-EXP((Tnet-t)/(Tau_j))))*Salcycl</f>
        <v>4.894682621821355E-2</v>
      </c>
      <c r="P268" s="169">
        <f>(INDEX(Models!$BJ268:$BT268,,T268)*(1-R268)+INDEX(Models!$BJ268:$BT268,,T268+1)*R268-ERP_i)*Q268*Ramure*Pc/MaxiM</f>
        <v>7.7599374297476409E-3</v>
      </c>
      <c r="Q268" s="304">
        <f t="shared" si="80"/>
        <v>0.7</v>
      </c>
      <c r="R268" s="177">
        <f t="shared" si="81"/>
        <v>0.12615554425366104</v>
      </c>
      <c r="S268" s="799">
        <f t="shared" si="82"/>
        <v>1</v>
      </c>
      <c r="T268" s="176">
        <f t="shared" si="83"/>
        <v>7</v>
      </c>
      <c r="U268" s="250">
        <f t="shared" si="84"/>
        <v>1.126155544253661</v>
      </c>
      <c r="V268" s="382">
        <f t="shared" si="85"/>
        <v>45.353390316817531</v>
      </c>
      <c r="W268" s="400">
        <f t="shared" si="86"/>
        <v>45.583176713374378</v>
      </c>
      <c r="X268" s="157">
        <f t="shared" si="87"/>
        <v>45545</v>
      </c>
      <c r="Y268" s="383">
        <f t="shared" si="88"/>
        <v>45.070577242425664</v>
      </c>
      <c r="Z268" s="383">
        <f t="shared" si="89"/>
        <v>46.894533033712484</v>
      </c>
      <c r="AA268" s="384">
        <f t="shared" si="90"/>
        <v>49.850891981226873</v>
      </c>
      <c r="AB268" s="197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5.9304033087867448E-2</v>
      </c>
      <c r="AD268" s="230">
        <f>(INDEX(Models!$BJ268:$BT268,,AH268)*(1-AF268)+INDEX(Models!$BJ268:$BT268,,AH268+1)*AF268-ERP_i)*AE268*Ramure*Pc/MaxiM</f>
        <v>8.1161764844702392E-3</v>
      </c>
      <c r="AE268" s="304">
        <f t="shared" si="92"/>
        <v>0.7</v>
      </c>
      <c r="AF268" s="177">
        <f t="shared" si="93"/>
        <v>0.1904877665134932</v>
      </c>
      <c r="AG268" s="799">
        <f t="shared" si="99"/>
        <v>1</v>
      </c>
      <c r="AH268" s="176">
        <f t="shared" si="94"/>
        <v>7</v>
      </c>
      <c r="AI268" s="224">
        <f t="shared" si="95"/>
        <v>1.1904877665134932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45546</v>
      </c>
      <c r="B269" s="409">
        <f>'2023'!Wh/'2023'!Env_an*'2024'!Env_an</f>
        <v>35.117671502518725</v>
      </c>
      <c r="C269" s="829"/>
      <c r="D269" s="391">
        <f t="shared" si="77"/>
        <v>36.539544615741633</v>
      </c>
      <c r="E269" s="383">
        <f t="shared" si="100"/>
        <v>38.422226762659989</v>
      </c>
      <c r="F269" s="383">
        <f t="shared" si="78"/>
        <v>38.628354122097377</v>
      </c>
      <c r="G269" s="110">
        <f t="shared" si="101"/>
        <v>0.7759870195662163</v>
      </c>
      <c r="H269" s="412" t="b">
        <f>Wh_hp&gt;='2023'!Maxi_hp</f>
        <v>0</v>
      </c>
      <c r="I269" s="388">
        <f>IF(H269,Wh_hp,'2023'!Maxi_hp)</f>
        <v>50.45491962020855</v>
      </c>
      <c r="J269" s="85">
        <f>IF(H269,An,'2023'!An_max)</f>
        <v>2018</v>
      </c>
      <c r="K269" s="197">
        <f t="shared" si="79"/>
        <v>45546</v>
      </c>
      <c r="L269" s="147">
        <f>IF(t&lt;Tvie,1-EXP((T0-t)*PertePVj)+'2023'!Pspv,1-EXP((T0-t)*PertePVj)+Pspv)</f>
        <v>3.8913268574517157E-2</v>
      </c>
      <c r="M269" s="832"/>
      <c r="N269" s="832"/>
      <c r="O269" s="48">
        <f>IF(t&lt;Tnet,'2023'!Resal+('2023'!Salim-'2023'!Resal)*(1-EXP(('2023'!Tnet-t)/('2023'!Tau_j))),Resal+(Salim-Resal)*(1-EXP((Tnet-t)/(Tau_j))))*Salcycl</f>
        <v>4.8999818738980801E-2</v>
      </c>
      <c r="P269" s="169">
        <f>(INDEX(Models!$BJ269:$BT269,,T269)*(1-R269)+INDEX(Models!$BJ269:$BT269,,T269+1)*R269-ERP_i)*Q269*Ramure*Pc/MaxiM</f>
        <v>7.8156768976120235E-3</v>
      </c>
      <c r="Q269" s="304">
        <f t="shared" si="80"/>
        <v>0.7</v>
      </c>
      <c r="R269" s="177">
        <f t="shared" si="81"/>
        <v>0.12649395575893063</v>
      </c>
      <c r="S269" s="799">
        <f t="shared" si="82"/>
        <v>1</v>
      </c>
      <c r="T269" s="176">
        <f t="shared" si="83"/>
        <v>7</v>
      </c>
      <c r="U269" s="250">
        <f t="shared" si="84"/>
        <v>1.1264939557589306</v>
      </c>
      <c r="V269" s="382">
        <f t="shared" si="85"/>
        <v>45.142674913000199</v>
      </c>
      <c r="W269" s="400">
        <f t="shared" si="86"/>
        <v>35.117671502518725</v>
      </c>
      <c r="X269" s="157">
        <f t="shared" si="87"/>
        <v>45546</v>
      </c>
      <c r="Y269" s="383">
        <f t="shared" si="88"/>
        <v>34.727343862971253</v>
      </c>
      <c r="Z269" s="383">
        <f t="shared" si="89"/>
        <v>36.133413070289393</v>
      </c>
      <c r="AA269" s="384">
        <f t="shared" si="90"/>
        <v>38.412957689890987</v>
      </c>
      <c r="AB269" s="197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5.9343116403699818E-2</v>
      </c>
      <c r="AD269" s="230">
        <f>(INDEX(Models!$BJ269:$BT269,,AH269)*(1-AF269)+INDEX(Models!$BJ269:$BT269,,AH269+1)*AF269-ERP_i)*AE269*Ramure*Pc/MaxiM</f>
        <v>8.1671298929866694E-3</v>
      </c>
      <c r="AE269" s="304">
        <f t="shared" si="92"/>
        <v>0.7</v>
      </c>
      <c r="AF269" s="177">
        <f t="shared" si="93"/>
        <v>0.19082617801876278</v>
      </c>
      <c r="AG269" s="799">
        <f t="shared" si="99"/>
        <v>1</v>
      </c>
      <c r="AH269" s="176">
        <f t="shared" si="94"/>
        <v>7</v>
      </c>
      <c r="AI269" s="224">
        <f t="shared" si="95"/>
        <v>1.1908261780187628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45547</v>
      </c>
      <c r="B270" s="409">
        <f>'2023'!Wh/'2023'!Env_an*'2024'!Env_an</f>
        <v>11.084266566818631</v>
      </c>
      <c r="C270" s="829"/>
      <c r="D270" s="391">
        <f t="shared" si="77"/>
        <v>11.533276483683601</v>
      </c>
      <c r="E270" s="383">
        <f t="shared" si="100"/>
        <v>12.128192913619644</v>
      </c>
      <c r="F270" s="383">
        <f t="shared" si="78"/>
        <v>12.128192913619644</v>
      </c>
      <c r="G270" s="110">
        <f t="shared" si="101"/>
        <v>0.24476302911295703</v>
      </c>
      <c r="H270" s="412" t="b">
        <f>Wh_hp&gt;='2023'!Maxi_hp</f>
        <v>0</v>
      </c>
      <c r="I270" s="388">
        <f>IF(H270,Wh_hp,'2023'!Maxi_hp)</f>
        <v>48.157798418886934</v>
      </c>
      <c r="J270" s="85">
        <f>IF(H270,An,'2023'!An_max)</f>
        <v>2020</v>
      </c>
      <c r="K270" s="197">
        <f t="shared" si="79"/>
        <v>45547</v>
      </c>
      <c r="L270" s="147">
        <f>IF(t&lt;Tvie,1-EXP((T0-t)*PertePVj)+'2023'!Pspv,1-EXP((T0-t)*PertePVj)+Pspv)</f>
        <v>3.893168758246579E-2</v>
      </c>
      <c r="M270" s="832"/>
      <c r="N270" s="832"/>
      <c r="O270" s="48">
        <f>IF(t&lt;Tnet,'2023'!Resal+('2023'!Salim-'2023'!Resal)*(1-EXP(('2023'!Tnet-t)/('2023'!Tau_j))),Resal+(Salim-Resal)*(1-EXP((Tnet-t)/(Tau_j))))*Salcycl</f>
        <v>4.9052355464099508E-2</v>
      </c>
      <c r="P270" s="169">
        <f>(INDEX(Models!$BJ270:$BT270,,T270)*(1-R270)+INDEX(Models!$BJ270:$BT270,,T270+1)*R270-ERP_i)*Q270*Ramure*Pc/MaxiM</f>
        <v>7.8497619704625439E-3</v>
      </c>
      <c r="Q270" s="304">
        <f t="shared" si="80"/>
        <v>0.7</v>
      </c>
      <c r="R270" s="177">
        <f t="shared" si="81"/>
        <v>0.12681929162149874</v>
      </c>
      <c r="S270" s="799">
        <f t="shared" si="82"/>
        <v>1</v>
      </c>
      <c r="T270" s="176">
        <f t="shared" si="83"/>
        <v>7</v>
      </c>
      <c r="U270" s="250">
        <f t="shared" si="84"/>
        <v>1.1268192916214987</v>
      </c>
      <c r="V270" s="382">
        <f t="shared" si="85"/>
        <v>44.930223949699389</v>
      </c>
      <c r="W270" s="400">
        <f t="shared" si="86"/>
        <v>11.084266566818631</v>
      </c>
      <c r="X270" s="157">
        <f t="shared" si="87"/>
        <v>45547</v>
      </c>
      <c r="Y270" s="383">
        <f t="shared" si="88"/>
        <v>10.963867665658697</v>
      </c>
      <c r="Z270" s="383">
        <f t="shared" si="89"/>
        <v>11.408000372085379</v>
      </c>
      <c r="AA270" s="384">
        <f t="shared" si="90"/>
        <v>12.128192913619644</v>
      </c>
      <c r="AB270" s="197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5.9381685850783801E-2</v>
      </c>
      <c r="AD270" s="230">
        <f>(INDEX(Models!$BJ270:$BT270,,AH270)*(1-AF270)+INDEX(Models!$BJ270:$BT270,,AH270+1)*AF270-ERP_i)*AE270*Ramure*Pc/MaxiM</f>
        <v>8.1957425772701733E-3</v>
      </c>
      <c r="AE270" s="304">
        <f t="shared" si="92"/>
        <v>0.7</v>
      </c>
      <c r="AF270" s="177">
        <f t="shared" si="93"/>
        <v>0.19115151388133089</v>
      </c>
      <c r="AG270" s="799">
        <f t="shared" si="99"/>
        <v>1</v>
      </c>
      <c r="AH270" s="176">
        <f t="shared" si="94"/>
        <v>7</v>
      </c>
      <c r="AI270" s="224">
        <f t="shared" si="95"/>
        <v>1.1911515138813309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45548</v>
      </c>
      <c r="B271" s="409">
        <f>'2023'!Wh/'2023'!Env_an*'2024'!Env_an</f>
        <v>37.181376875255062</v>
      </c>
      <c r="C271" s="829"/>
      <c r="D271" s="391">
        <f t="shared" ref="D271:D334" si="102">Wh/(1-Ppv)</f>
        <v>38.688289876072112</v>
      </c>
      <c r="E271" s="383">
        <f t="shared" si="100"/>
        <v>40.686160216902174</v>
      </c>
      <c r="F271" s="383">
        <f t="shared" ref="F271:F334" si="103">Wh_sa/(1-Pvg*MEDIAN((-Sdif+Wh/Env_an)/Csdif,0,1))</f>
        <v>40.930491049775739</v>
      </c>
      <c r="G271" s="110">
        <f t="shared" si="101"/>
        <v>0.8299149177763081</v>
      </c>
      <c r="H271" s="412" t="b">
        <f>Wh_hp&gt;='2023'!Maxi_hp</f>
        <v>0</v>
      </c>
      <c r="I271" s="388">
        <f>IF(H271,Wh_hp,'2023'!Maxi_hp)</f>
        <v>47.866073313841895</v>
      </c>
      <c r="J271" s="85">
        <f>IF(H271,An,'2023'!An_max)</f>
        <v>2020</v>
      </c>
      <c r="K271" s="197">
        <f t="shared" ref="K271:K334" si="104">t</f>
        <v>45548</v>
      </c>
      <c r="L271" s="147">
        <f>IF(t&lt;Tvie,1-EXP((T0-t)*PertePVj)+'2023'!Pspv,1-EXP((T0-t)*PertePVj)+Pspv)</f>
        <v>3.8950106237418458E-2</v>
      </c>
      <c r="M271" s="832"/>
      <c r="N271" s="832"/>
      <c r="O271" s="48">
        <f>IF(t&lt;Tnet,'2023'!Resal+('2023'!Salim-'2023'!Resal)*(1-EXP(('2023'!Tnet-t)/('2023'!Tau_j))),Resal+(Salim-Resal)*(1-EXP((Tnet-t)/(Tau_j))))*Salcycl</f>
        <v>4.9104421016365481E-2</v>
      </c>
      <c r="P271" s="169">
        <f>(INDEX(Models!$BJ271:$BT271,,T271)*(1-R271)+INDEX(Models!$BJ271:$BT271,,T271+1)*R271-ERP_i)*Q271*Ramure*Pc/MaxiM</f>
        <v>7.8619041954414645E-3</v>
      </c>
      <c r="Q271" s="304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0.12713203618504698</v>
      </c>
      <c r="S271" s="799">
        <f t="shared" ref="S271:S334" si="107">INDEX(Echel_vg,T271)</f>
        <v>1</v>
      </c>
      <c r="T271" s="176">
        <f t="shared" ref="T271:T334" si="108">MIN(MATCH(Hp_vg,Echel_vg),10)</f>
        <v>7</v>
      </c>
      <c r="U271" s="250">
        <f t="shared" ref="U271:U334" si="109">IF(OR(t&lt;Ttai,Notai),Hdd+PousH*Croivg,Hdtf+PousH*(Croivg-Croi_tai))</f>
        <v>1.127132036185047</v>
      </c>
      <c r="V271" s="382">
        <f t="shared" ref="V271:V334" si="110">MaxiM*(1-Ppv)*(1-Pvg)*(1-Psa)</f>
        <v>44.716136476048099</v>
      </c>
      <c r="W271" s="400">
        <f t="shared" ref="W271:W334" si="111">Wh*(A271&gt;Tmaj)</f>
        <v>37.181376875255062</v>
      </c>
      <c r="X271" s="157">
        <f t="shared" ref="X271:X334" si="112">t</f>
        <v>45548</v>
      </c>
      <c r="Y271" s="383">
        <f t="shared" ref="Y271:Y334" si="113">Wh_pvt_s*(1-Ppv)</f>
        <v>36.768487601502628</v>
      </c>
      <c r="Z271" s="383">
        <f t="shared" ref="Z271:Z334" si="114">Wh_sa_s*(1-Psa_s)</f>
        <v>38.258666735346353</v>
      </c>
      <c r="AA271" s="384">
        <f t="shared" ref="AA271:AA334" si="115">Wh_hp*(1-Pvg_s*MEDIAN((-Sdif+Wh/Env_an)/Csdif,0,1))</f>
        <v>40.675599610336164</v>
      </c>
      <c r="AB271" s="197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5.9419723326601982E-2</v>
      </c>
      <c r="AD271" s="230">
        <f>(INDEX(Models!$BJ271:$BT271,,AH271)*(1-AF271)+INDEX(Models!$BJ271:$BT271,,AH271+1)*AF271-ERP_i)*AE271*Ramure*Pc/MaxiM</f>
        <v>8.2017159011161991E-3</v>
      </c>
      <c r="AE271" s="304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0.19146425844487913</v>
      </c>
      <c r="AG271" s="799">
        <f t="shared" si="99"/>
        <v>1</v>
      </c>
      <c r="AH271" s="176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1.1914642584448791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45549</v>
      </c>
      <c r="B272" s="409">
        <f>'2023'!Wh/'2023'!Env_an*'2024'!Env_an</f>
        <v>41.556438069583727</v>
      </c>
      <c r="C272" s="829"/>
      <c r="D272" s="391">
        <f t="shared" si="102"/>
        <v>43.241495341935497</v>
      </c>
      <c r="E272" s="383">
        <f t="shared" si="100"/>
        <v>45.476960804754512</v>
      </c>
      <c r="F272" s="383">
        <f t="shared" si="103"/>
        <v>45.802604378659694</v>
      </c>
      <c r="G272" s="110">
        <f t="shared" si="101"/>
        <v>0.9331438551310447</v>
      </c>
      <c r="H272" s="412" t="b">
        <f>Wh_hp&gt;='2023'!Maxi_hp</f>
        <v>0</v>
      </c>
      <c r="I272" s="388">
        <f>IF(H272,Wh_hp,'2023'!Maxi_hp)</f>
        <v>49.308768016515323</v>
      </c>
      <c r="J272" s="85">
        <f>IF(H272,An,'2023'!An_max)</f>
        <v>2020</v>
      </c>
      <c r="K272" s="197">
        <f t="shared" si="104"/>
        <v>45549</v>
      </c>
      <c r="L272" s="147">
        <f>IF(t&lt;Tvie,1-EXP((T0-t)*PertePVj)+'2023'!Pspv,1-EXP((T0-t)*PertePVj)+Pspv)</f>
        <v>3.8968524539381599E-2</v>
      </c>
      <c r="M272" s="832"/>
      <c r="N272" s="832"/>
      <c r="O272" s="48">
        <f>IF(t&lt;Tnet,'2023'!Resal+('2023'!Salim-'2023'!Resal)*(1-EXP(('2023'!Tnet-t)/('2023'!Tau_j))),Resal+(Salim-Resal)*(1-EXP((Tnet-t)/(Tau_j))))*Salcycl</f>
        <v>4.9155999505255094E-2</v>
      </c>
      <c r="P272" s="169">
        <f>(INDEX(Models!$BJ272:$BT272,,T272)*(1-R272)+INDEX(Models!$BJ272:$BT272,,T272+1)*R272-ERP_i)*Q272*Ramure*Pc/MaxiM</f>
        <v>7.8518048402277801E-3</v>
      </c>
      <c r="Q272" s="304">
        <f t="shared" si="105"/>
        <v>0.7</v>
      </c>
      <c r="R272" s="177">
        <f t="shared" si="106"/>
        <v>0.12743265747296562</v>
      </c>
      <c r="S272" s="799">
        <f t="shared" si="107"/>
        <v>1</v>
      </c>
      <c r="T272" s="176">
        <f t="shared" si="108"/>
        <v>7</v>
      </c>
      <c r="U272" s="250">
        <f t="shared" si="109"/>
        <v>1.1274326574729656</v>
      </c>
      <c r="V272" s="382">
        <f t="shared" si="110"/>
        <v>44.500511371262952</v>
      </c>
      <c r="W272" s="400">
        <f t="shared" si="111"/>
        <v>41.556438069583727</v>
      </c>
      <c r="X272" s="157">
        <f t="shared" si="112"/>
        <v>45549</v>
      </c>
      <c r="Y272" s="383">
        <f t="shared" si="113"/>
        <v>41.093744805039051</v>
      </c>
      <c r="Z272" s="383">
        <f t="shared" si="114"/>
        <v>42.760040492266903</v>
      </c>
      <c r="AA272" s="384">
        <f t="shared" si="115"/>
        <v>45.463152716755353</v>
      </c>
      <c r="AB272" s="197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5.9457210135192028E-2</v>
      </c>
      <c r="AD272" s="230">
        <f>(INDEX(Models!$BJ272:$BT272,,AH272)*(1-AF272)+INDEX(Models!$BJ272:$BT272,,AH272+1)*AF272-ERP_i)*AE272*Ramure*Pc/MaxiM</f>
        <v>8.1847406660016889E-3</v>
      </c>
      <c r="AE272" s="304">
        <f t="shared" si="117"/>
        <v>0.7</v>
      </c>
      <c r="AF272" s="177">
        <f t="shared" si="118"/>
        <v>0.19176487973279777</v>
      </c>
      <c r="AG272" s="799">
        <f t="shared" ref="AG272:AG335" si="124">INDEX(Echel_vg,AH272)</f>
        <v>1</v>
      </c>
      <c r="AH272" s="176">
        <f t="shared" si="119"/>
        <v>7</v>
      </c>
      <c r="AI272" s="224">
        <f t="shared" si="120"/>
        <v>1.1917648797327978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45550</v>
      </c>
      <c r="B273" s="409">
        <f>'2023'!Wh/'2023'!Env_an*'2024'!Env_an</f>
        <v>24.726665708867369</v>
      </c>
      <c r="C273" s="829"/>
      <c r="D273" s="391">
        <f t="shared" si="102"/>
        <v>25.729791614790763</v>
      </c>
      <c r="E273" s="383">
        <f t="shared" si="100"/>
        <v>27.061404146085891</v>
      </c>
      <c r="F273" s="383">
        <f t="shared" si="103"/>
        <v>27.139731575940115</v>
      </c>
      <c r="G273" s="110">
        <f t="shared" si="101"/>
        <v>0.55561018002474516</v>
      </c>
      <c r="H273" s="412" t="b">
        <f>Wh_hp&gt;='2023'!Maxi_hp</f>
        <v>0</v>
      </c>
      <c r="I273" s="388">
        <f>IF(H273,Wh_hp,'2023'!Maxi_hp)</f>
        <v>44.025352482191991</v>
      </c>
      <c r="J273" s="85">
        <f>IF(H273,An,'2023'!An_max)</f>
        <v>2018</v>
      </c>
      <c r="K273" s="197">
        <f t="shared" si="104"/>
        <v>45550</v>
      </c>
      <c r="L273" s="147">
        <f>IF(t&lt;Tvie,1-EXP((T0-t)*PertePVj)+'2023'!Pspv,1-EXP((T0-t)*PertePVj)+Pspv)</f>
        <v>3.8986942488362319E-2</v>
      </c>
      <c r="M273" s="832"/>
      <c r="N273" s="832"/>
      <c r="O273" s="48">
        <f>IF(t&lt;Tnet,'2023'!Resal+('2023'!Salim-'2023'!Resal)*(1-EXP(('2023'!Tnet-t)/('2023'!Tau_j))),Resal+(Salim-Resal)*(1-EXP((Tnet-t)/(Tau_j))))*Salcycl</f>
        <v>4.9207074551884673E-2</v>
      </c>
      <c r="P273" s="169">
        <f>(INDEX(Models!$BJ273:$BT273,,T273)*(1-R273)+INDEX(Models!$BJ273:$BT273,,T273+1)*R273-ERP_i)*Q273*Ramure*Pc/MaxiM</f>
        <v>7.8191552043833153E-3</v>
      </c>
      <c r="Q273" s="304">
        <f t="shared" si="105"/>
        <v>0.7</v>
      </c>
      <c r="R273" s="177">
        <f t="shared" si="106"/>
        <v>0.12772160761048212</v>
      </c>
      <c r="S273" s="799">
        <f t="shared" si="107"/>
        <v>1</v>
      </c>
      <c r="T273" s="176">
        <f t="shared" si="108"/>
        <v>7</v>
      </c>
      <c r="U273" s="250">
        <f t="shared" si="109"/>
        <v>1.1277216076104821</v>
      </c>
      <c r="V273" s="382">
        <f t="shared" si="110"/>
        <v>44.283447329130048</v>
      </c>
      <c r="W273" s="400">
        <f t="shared" si="111"/>
        <v>24.726665708867369</v>
      </c>
      <c r="X273" s="157">
        <f t="shared" si="112"/>
        <v>45550</v>
      </c>
      <c r="Y273" s="383">
        <f t="shared" si="113"/>
        <v>24.45619121282801</v>
      </c>
      <c r="Z273" s="383">
        <f t="shared" si="114"/>
        <v>25.448344350442763</v>
      </c>
      <c r="AA273" s="384">
        <f t="shared" si="115"/>
        <v>27.058145070126319</v>
      </c>
      <c r="AB273" s="197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5.9494127018369175E-2</v>
      </c>
      <c r="AD273" s="230">
        <f>(INDEX(Models!$BJ273:$BT273,,AH273)*(1-AF273)+INDEX(Models!$BJ273:$BT273,,AH273+1)*AF273-ERP_i)*AE273*Ramure*Pc/MaxiM</f>
        <v>8.1444974350453336E-3</v>
      </c>
      <c r="AE273" s="304">
        <f t="shared" si="117"/>
        <v>0.7</v>
      </c>
      <c r="AF273" s="177">
        <f t="shared" si="118"/>
        <v>0.19205382987031427</v>
      </c>
      <c r="AG273" s="799">
        <f t="shared" si="124"/>
        <v>1</v>
      </c>
      <c r="AH273" s="176">
        <f t="shared" si="119"/>
        <v>7</v>
      </c>
      <c r="AI273" s="224">
        <f t="shared" si="120"/>
        <v>1.1920538298703143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45551</v>
      </c>
      <c r="B274" s="409">
        <f>'2023'!Wh/'2023'!Env_an*'2024'!Env_an</f>
        <v>45.51884090474902</v>
      </c>
      <c r="C274" s="829"/>
      <c r="D274" s="391">
        <f t="shared" si="102"/>
        <v>47.366383759169764</v>
      </c>
      <c r="E274" s="383">
        <f t="shared" si="100"/>
        <v>49.820419516386394</v>
      </c>
      <c r="F274" s="383">
        <f t="shared" si="103"/>
        <v>50.210233541506355</v>
      </c>
      <c r="G274" s="110">
        <f t="shared" si="101"/>
        <v>1.0329920945130595</v>
      </c>
      <c r="H274" s="412" t="b">
        <f>Wh_hp&gt;='2023'!Maxi_hp</f>
        <v>1</v>
      </c>
      <c r="I274" s="388">
        <f>IF(H274,Wh_hp,'2023'!Maxi_hp)</f>
        <v>50.210233541506355</v>
      </c>
      <c r="J274" s="85">
        <f>IF(H274,An,'2023'!An_max)</f>
        <v>2024</v>
      </c>
      <c r="K274" s="197">
        <f t="shared" si="104"/>
        <v>45551</v>
      </c>
      <c r="L274" s="147">
        <f>IF(t&lt;Tvie,1-EXP((T0-t)*PertePVj)+'2023'!Pspv,1-EXP((T0-t)*PertePVj)+Pspv)</f>
        <v>3.900536008436728E-2</v>
      </c>
      <c r="M274" s="832"/>
      <c r="N274" s="832"/>
      <c r="O274" s="48">
        <f>IF(t&lt;Tnet,'2023'!Resal+('2023'!Salim-'2023'!Resal)*(1-EXP(('2023'!Tnet-t)/('2023'!Tau_j))),Resal+(Salim-Resal)*(1-EXP((Tnet-t)/(Tau_j))))*Salcycl</f>
        <v>4.9257629322239559E-2</v>
      </c>
      <c r="P274" s="169">
        <f>(INDEX(Models!$BJ274:$BT274,,T274)*(1-R274)+INDEX(Models!$BJ274:$BT274,,T274+1)*R274-ERP_i)*Q274*Ramure*Pc/MaxiM</f>
        <v>7.7636369645187825E-3</v>
      </c>
      <c r="Q274" s="304">
        <f t="shared" si="105"/>
        <v>0.7</v>
      </c>
      <c r="R274" s="177">
        <f t="shared" si="106"/>
        <v>0.1279993232465606</v>
      </c>
      <c r="S274" s="799">
        <f t="shared" si="107"/>
        <v>1</v>
      </c>
      <c r="T274" s="176">
        <f t="shared" si="108"/>
        <v>7</v>
      </c>
      <c r="U274" s="250">
        <f t="shared" si="109"/>
        <v>1.1279993232465606</v>
      </c>
      <c r="V274" s="382">
        <f t="shared" si="110"/>
        <v>44.06504284643735</v>
      </c>
      <c r="W274" s="400">
        <f t="shared" si="111"/>
        <v>45.51884090474902</v>
      </c>
      <c r="X274" s="157">
        <f t="shared" si="112"/>
        <v>45551</v>
      </c>
      <c r="Y274" s="383">
        <f t="shared" si="113"/>
        <v>45.012621117101794</v>
      </c>
      <c r="Z274" s="383">
        <f t="shared" si="114"/>
        <v>46.839617254320508</v>
      </c>
      <c r="AA274" s="384">
        <f t="shared" si="115"/>
        <v>49.804501871796731</v>
      </c>
      <c r="AB274" s="197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5.9530454196856035E-2</v>
      </c>
      <c r="AD274" s="230">
        <f>(INDEX(Models!$BJ274:$BT274,,AH274)*(1-AF274)+INDEX(Models!$BJ274:$BT274,,AH274+1)*AF274-ERP_i)*AE274*Ramure*Pc/MaxiM</f>
        <v>8.0806568918709541E-3</v>
      </c>
      <c r="AE274" s="304">
        <f t="shared" si="117"/>
        <v>0.7</v>
      </c>
      <c r="AF274" s="177">
        <f t="shared" si="118"/>
        <v>0.19233154550639275</v>
      </c>
      <c r="AG274" s="799">
        <f t="shared" si="124"/>
        <v>1</v>
      </c>
      <c r="AH274" s="176">
        <f t="shared" si="119"/>
        <v>7</v>
      </c>
      <c r="AI274" s="224">
        <f t="shared" si="120"/>
        <v>1.1923315455063928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45552</v>
      </c>
      <c r="B275" s="409">
        <f>'2023'!Wh/'2023'!Env_an*'2024'!Env_an</f>
        <v>44.803174530577678</v>
      </c>
      <c r="C275" s="829"/>
      <c r="D275" s="391">
        <f t="shared" si="102"/>
        <v>46.622563049452317</v>
      </c>
      <c r="E275" s="383">
        <f t="shared" si="100"/>
        <v>49.040641676768189</v>
      </c>
      <c r="F275" s="383">
        <f t="shared" si="103"/>
        <v>49.420439760582553</v>
      </c>
      <c r="G275" s="110">
        <f t="shared" si="101"/>
        <v>1.0218602561464742</v>
      </c>
      <c r="H275" s="412" t="b">
        <f>Wh_hp&gt;='2023'!Maxi_hp</f>
        <v>1</v>
      </c>
      <c r="I275" s="388">
        <f>IF(H275,Wh_hp,'2023'!Maxi_hp)</f>
        <v>49.420439760582553</v>
      </c>
      <c r="J275" s="85">
        <f>IF(H275,An,'2023'!An_max)</f>
        <v>2024</v>
      </c>
      <c r="K275" s="197">
        <f t="shared" si="104"/>
        <v>45552</v>
      </c>
      <c r="L275" s="147">
        <f>IF(t&lt;Tvie,1-EXP((T0-t)*PertePVj)+'2023'!Pspv,1-EXP((T0-t)*PertePVj)+Pspv)</f>
        <v>3.9023777327403142E-2</v>
      </c>
      <c r="M275" s="832"/>
      <c r="N275" s="832"/>
      <c r="O275" s="48">
        <f>IF(t&lt;Tnet,'2023'!Resal+('2023'!Salim-'2023'!Resal)*(1-EXP(('2023'!Tnet-t)/('2023'!Tau_j))),Resal+(Salim-Resal)*(1-EXP((Tnet-t)/(Tau_j))))*Salcycl</f>
        <v>4.9307646569016671E-2</v>
      </c>
      <c r="P275" s="169">
        <f>(INDEX(Models!$BJ275:$BT275,,T275)*(1-R275)+INDEX(Models!$BJ275:$BT275,,T275+1)*R275-ERP_i)*Q275*Ramure*Pc/MaxiM</f>
        <v>7.6850405551691032E-3</v>
      </c>
      <c r="Q275" s="304">
        <f t="shared" si="105"/>
        <v>0.7</v>
      </c>
      <c r="R275" s="177">
        <f t="shared" si="106"/>
        <v>0.12826622597444715</v>
      </c>
      <c r="S275" s="799">
        <f t="shared" si="107"/>
        <v>1</v>
      </c>
      <c r="T275" s="176">
        <f t="shared" si="108"/>
        <v>7</v>
      </c>
      <c r="U275" s="250">
        <f t="shared" si="109"/>
        <v>1.1282662259744471</v>
      </c>
      <c r="V275" s="382">
        <f t="shared" si="110"/>
        <v>43.844717769467245</v>
      </c>
      <c r="W275" s="400">
        <f t="shared" si="111"/>
        <v>44.803174530577678</v>
      </c>
      <c r="X275" s="157">
        <f t="shared" si="112"/>
        <v>45552</v>
      </c>
      <c r="Y275" s="383">
        <f t="shared" si="113"/>
        <v>44.30596763974949</v>
      </c>
      <c r="Z275" s="383">
        <f t="shared" si="114"/>
        <v>46.105165345849002</v>
      </c>
      <c r="AA275" s="384">
        <f t="shared" si="115"/>
        <v>49.025422039048514</v>
      </c>
      <c r="AB275" s="197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5.9566171421707441E-2</v>
      </c>
      <c r="AD275" s="230">
        <f>(INDEX(Models!$BJ275:$BT275,,AH275)*(1-AF275)+INDEX(Models!$BJ275:$BT275,,AH275+1)*AF275-ERP_i)*AE275*Ramure*Pc/MaxiM</f>
        <v>7.9930029649210796E-3</v>
      </c>
      <c r="AE275" s="304">
        <f t="shared" si="117"/>
        <v>0.7</v>
      </c>
      <c r="AF275" s="177">
        <f t="shared" si="118"/>
        <v>0.1925984482342793</v>
      </c>
      <c r="AG275" s="799">
        <f t="shared" si="124"/>
        <v>1</v>
      </c>
      <c r="AH275" s="176">
        <f t="shared" si="119"/>
        <v>7</v>
      </c>
      <c r="AI275" s="224">
        <f t="shared" si="120"/>
        <v>1.1925984482342793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45553</v>
      </c>
      <c r="B276" s="409">
        <f>'2023'!Wh/'2023'!Env_an*'2024'!Env_an</f>
        <v>43.202140288887144</v>
      </c>
      <c r="C276" s="829"/>
      <c r="D276" s="391">
        <f t="shared" si="102"/>
        <v>44.95737484925985</v>
      </c>
      <c r="E276" s="383">
        <f t="shared" si="100"/>
        <v>47.291548971607376</v>
      </c>
      <c r="F276" s="383">
        <f t="shared" si="103"/>
        <v>47.648061148876351</v>
      </c>
      <c r="G276" s="110">
        <f t="shared" si="101"/>
        <v>0.99027528058119685</v>
      </c>
      <c r="H276" s="412" t="b">
        <f>Wh_hp&gt;='2023'!Maxi_hp</f>
        <v>0</v>
      </c>
      <c r="I276" s="388">
        <f>IF(H276,Wh_hp,'2023'!Maxi_hp)</f>
        <v>47.650088972377581</v>
      </c>
      <c r="J276" s="85">
        <f>IF(H276,An,'2023'!An_max)</f>
        <v>2022</v>
      </c>
      <c r="K276" s="197">
        <f t="shared" si="104"/>
        <v>45553</v>
      </c>
      <c r="L276" s="147">
        <f>IF(t&lt;Tvie,1-EXP((T0-t)*PertePVj)+'2023'!Pspv,1-EXP((T0-t)*PertePVj)+Pspv)</f>
        <v>3.9042194217476678E-2</v>
      </c>
      <c r="M276" s="832"/>
      <c r="N276" s="832"/>
      <c r="O276" s="48">
        <f>IF(t&lt;Tnet,'2023'!Resal+('2023'!Salim-'2023'!Resal)*(1-EXP(('2023'!Tnet-t)/('2023'!Tau_j))),Resal+(Salim-Resal)*(1-EXP((Tnet-t)/(Tau_j))))*Salcycl</f>
        <v>4.9357108682333603E-2</v>
      </c>
      <c r="P276" s="169">
        <f>(INDEX(Models!$BJ276:$BT276,,T276)*(1-R276)+INDEX(Models!$BJ276:$BT276,,T276+1)*R276-ERP_i)*Q276*Ramure*Pc/MaxiM</f>
        <v>7.5864639670177132E-3</v>
      </c>
      <c r="Q276" s="304">
        <f t="shared" si="105"/>
        <v>0.7</v>
      </c>
      <c r="R276" s="177">
        <f t="shared" si="106"/>
        <v>0.12852272274985621</v>
      </c>
      <c r="S276" s="799">
        <f t="shared" si="107"/>
        <v>1</v>
      </c>
      <c r="T276" s="176">
        <f t="shared" si="108"/>
        <v>7</v>
      </c>
      <c r="U276" s="250">
        <f t="shared" si="109"/>
        <v>1.1285227227498562</v>
      </c>
      <c r="V276" s="382">
        <f t="shared" si="110"/>
        <v>43.621811650875287</v>
      </c>
      <c r="W276" s="400">
        <f t="shared" si="111"/>
        <v>43.202140288887144</v>
      </c>
      <c r="X276" s="157">
        <f t="shared" si="112"/>
        <v>45553</v>
      </c>
      <c r="Y276" s="383">
        <f t="shared" si="113"/>
        <v>42.72385473358905</v>
      </c>
      <c r="Z276" s="383">
        <f t="shared" si="114"/>
        <v>44.459657309093117</v>
      </c>
      <c r="AA276" s="384">
        <f t="shared" si="115"/>
        <v>47.277452983672333</v>
      </c>
      <c r="AB276" s="197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5.960125803630683E-2</v>
      </c>
      <c r="AD276" s="230">
        <f>(INDEX(Models!$BJ276:$BT276,,AH276)*(1-AF276)+INDEX(Models!$BJ276:$BT276,,AH276+1)*AF276-ERP_i)*AE276*Ramure*Pc/MaxiM</f>
        <v>7.8864220368034688E-3</v>
      </c>
      <c r="AE276" s="304">
        <f t="shared" si="117"/>
        <v>0.7</v>
      </c>
      <c r="AF276" s="177">
        <f t="shared" si="118"/>
        <v>0.19285494500968836</v>
      </c>
      <c r="AG276" s="799">
        <f t="shared" si="124"/>
        <v>1</v>
      </c>
      <c r="AH276" s="176">
        <f t="shared" si="119"/>
        <v>7</v>
      </c>
      <c r="AI276" s="224">
        <f t="shared" si="120"/>
        <v>1.1928549450096884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45554</v>
      </c>
      <c r="B277" s="409">
        <f>'2023'!Wh/'2023'!Env_an*'2024'!Env_an</f>
        <v>43.204756377833206</v>
      </c>
      <c r="C277" s="829"/>
      <c r="D277" s="391">
        <f t="shared" si="102"/>
        <v>44.960958892277809</v>
      </c>
      <c r="E277" s="383">
        <f t="shared" si="100"/>
        <v>47.297751496256382</v>
      </c>
      <c r="F277" s="383">
        <f t="shared" si="103"/>
        <v>47.651730343906991</v>
      </c>
      <c r="G277" s="110">
        <f t="shared" si="101"/>
        <v>0.99554183567915788</v>
      </c>
      <c r="H277" s="412" t="b">
        <f>Wh_hp&gt;='2023'!Maxi_hp</f>
        <v>0</v>
      </c>
      <c r="I277" s="388">
        <f>IF(H277,Wh_hp,'2023'!Maxi_hp)</f>
        <v>48.889969383535792</v>
      </c>
      <c r="J277" s="85">
        <f>IF(H277,An,'2023'!An_max)</f>
        <v>2018</v>
      </c>
      <c r="K277" s="197">
        <f t="shared" si="104"/>
        <v>45554</v>
      </c>
      <c r="L277" s="147">
        <f>IF(t&lt;Tvie,1-EXP((T0-t)*PertePVj)+'2023'!Pspv,1-EXP((T0-t)*PertePVj)+Pspv)</f>
        <v>3.9060610754594882E-2</v>
      </c>
      <c r="M277" s="832"/>
      <c r="N277" s="832"/>
      <c r="O277" s="48">
        <f>IF(t&lt;Tnet,'2023'!Resal+('2023'!Salim-'2023'!Resal)*(1-EXP(('2023'!Tnet-t)/('2023'!Tau_j))),Resal+(Salim-Resal)*(1-EXP((Tnet-t)/(Tau_j))))*Salcycl</f>
        <v>4.9405997749460293E-2</v>
      </c>
      <c r="P277" s="169">
        <f>(INDEX(Models!$BJ277:$BT277,,T277)*(1-R277)+INDEX(Models!$BJ277:$BT277,,T277+1)*R277-ERP_i)*Q277*Ramure*Pc/MaxiM</f>
        <v>7.475563196734065E-3</v>
      </c>
      <c r="Q277" s="304">
        <f t="shared" si="105"/>
        <v>0.7</v>
      </c>
      <c r="R277" s="177">
        <f t="shared" si="106"/>
        <v>0.12876920630590316</v>
      </c>
      <c r="S277" s="799">
        <f t="shared" si="107"/>
        <v>1</v>
      </c>
      <c r="T277" s="176">
        <f t="shared" si="108"/>
        <v>7</v>
      </c>
      <c r="U277" s="250">
        <f t="shared" si="109"/>
        <v>1.1287692063059032</v>
      </c>
      <c r="V277" s="382">
        <f t="shared" si="110"/>
        <v>43.396173221840449</v>
      </c>
      <c r="W277" s="400">
        <f t="shared" si="111"/>
        <v>43.204756377833206</v>
      </c>
      <c r="X277" s="157">
        <f t="shared" si="112"/>
        <v>45554</v>
      </c>
      <c r="Y277" s="383">
        <f t="shared" si="113"/>
        <v>42.727236424671723</v>
      </c>
      <c r="Z277" s="383">
        <f t="shared" si="114"/>
        <v>44.464028535893455</v>
      </c>
      <c r="AA277" s="384">
        <f t="shared" si="115"/>
        <v>47.283832667007836</v>
      </c>
      <c r="AB277" s="197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5.9635693049093511E-2</v>
      </c>
      <c r="AD277" s="230">
        <f>(INDEX(Models!$BJ277:$BT277,,AH277)*(1-AF277)+INDEX(Models!$BJ277:$BT277,,AH277+1)*AF277-ERP_i)*AE277*Ramure*Pc/MaxiM</f>
        <v>7.7695103869762751E-3</v>
      </c>
      <c r="AE277" s="304">
        <f t="shared" si="117"/>
        <v>0.7</v>
      </c>
      <c r="AF277" s="177">
        <f t="shared" si="118"/>
        <v>0.19310142856573531</v>
      </c>
      <c r="AG277" s="799">
        <f t="shared" si="124"/>
        <v>1</v>
      </c>
      <c r="AH277" s="176">
        <f t="shared" si="119"/>
        <v>7</v>
      </c>
      <c r="AI277" s="224">
        <f t="shared" si="120"/>
        <v>1.1931014285657353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45555</v>
      </c>
      <c r="B278" s="409">
        <f>'2023'!Wh/'2023'!Env_an*'2024'!Env_an</f>
        <v>44.650913811840894</v>
      </c>
      <c r="C278" s="829"/>
      <c r="D278" s="391">
        <f t="shared" si="102"/>
        <v>46.466790780510379</v>
      </c>
      <c r="E278" s="383">
        <f t="shared" si="100"/>
        <v>48.884330933877635</v>
      </c>
      <c r="F278" s="383">
        <f t="shared" si="103"/>
        <v>49.24639747322302</v>
      </c>
      <c r="G278" s="110">
        <f t="shared" si="101"/>
        <v>1.0343521668497802</v>
      </c>
      <c r="H278" s="412" t="b">
        <f>Wh_hp&gt;='2023'!Maxi_hp</f>
        <v>1</v>
      </c>
      <c r="I278" s="388">
        <f>IF(H278,Wh_hp,'2023'!Maxi_hp)</f>
        <v>49.24639747322302</v>
      </c>
      <c r="J278" s="85">
        <f>IF(H278,An,'2023'!An_max)</f>
        <v>2024</v>
      </c>
      <c r="K278" s="197">
        <f t="shared" si="104"/>
        <v>45555</v>
      </c>
      <c r="L278" s="147">
        <f>IF(t&lt;Tvie,1-EXP((T0-t)*PertePVj)+'2023'!Pspv,1-EXP((T0-t)*PertePVj)+Pspv)</f>
        <v>3.9079026938764194E-2</v>
      </c>
      <c r="M278" s="832"/>
      <c r="N278" s="832"/>
      <c r="O278" s="48">
        <f>IF(t&lt;Tnet,'2023'!Resal+('2023'!Salim-'2023'!Resal)*(1-EXP(('2023'!Tnet-t)/('2023'!Tau_j))),Resal+(Salim-Resal)*(1-EXP((Tnet-t)/(Tau_j))))*Salcycl</f>
        <v>4.9454295623628082E-2</v>
      </c>
      <c r="P278" s="169">
        <f>(INDEX(Models!$BJ278:$BT278,,T278)*(1-R278)+INDEX(Models!$BJ278:$BT278,,T278+1)*R278-ERP_i)*Q278*Ramure*Pc/MaxiM</f>
        <v>7.35214265251081E-3</v>
      </c>
      <c r="Q278" s="304">
        <f t="shared" si="105"/>
        <v>0.7</v>
      </c>
      <c r="R278" s="177">
        <f t="shared" si="106"/>
        <v>0.12900605556397338</v>
      </c>
      <c r="S278" s="799">
        <f t="shared" si="107"/>
        <v>1</v>
      </c>
      <c r="T278" s="176">
        <f t="shared" si="108"/>
        <v>7</v>
      </c>
      <c r="U278" s="250">
        <f t="shared" si="109"/>
        <v>1.1290060555639734</v>
      </c>
      <c r="V278" s="382">
        <f t="shared" si="110"/>
        <v>43.167999490762988</v>
      </c>
      <c r="W278" s="400">
        <f t="shared" si="111"/>
        <v>44.650913811840894</v>
      </c>
      <c r="X278" s="157">
        <f t="shared" si="112"/>
        <v>45555</v>
      </c>
      <c r="Y278" s="383">
        <f t="shared" si="113"/>
        <v>44.15816466420965</v>
      </c>
      <c r="Z278" s="383">
        <f t="shared" si="114"/>
        <v>45.954002360395585</v>
      </c>
      <c r="AA278" s="384">
        <f t="shared" si="115"/>
        <v>48.870051723145075</v>
      </c>
      <c r="AB278" s="197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5.9669455217057583E-2</v>
      </c>
      <c r="AD278" s="230">
        <f>(INDEX(Models!$BJ278:$BT278,,AH278)*(1-AF278)+INDEX(Models!$BJ278:$BT278,,AH278+1)*AF278-ERP_i)*AE278*Ramure*Pc/MaxiM</f>
        <v>7.6420970748688252E-3</v>
      </c>
      <c r="AE278" s="304">
        <f t="shared" si="117"/>
        <v>0.7</v>
      </c>
      <c r="AF278" s="177">
        <f t="shared" si="118"/>
        <v>0.19333827782380553</v>
      </c>
      <c r="AG278" s="799">
        <f t="shared" si="124"/>
        <v>1</v>
      </c>
      <c r="AH278" s="176">
        <f t="shared" si="119"/>
        <v>7</v>
      </c>
      <c r="AI278" s="224">
        <f t="shared" si="120"/>
        <v>1.1933382778238055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45556</v>
      </c>
      <c r="B279" s="409">
        <f>'2023'!Wh/'2023'!Env_an*'2024'!Env_an</f>
        <v>43.486026986840287</v>
      </c>
      <c r="C279" s="829"/>
      <c r="D279" s="391">
        <f t="shared" si="102"/>
        <v>45.255397292517735</v>
      </c>
      <c r="E279" s="383">
        <f t="shared" si="100"/>
        <v>47.612300636939608</v>
      </c>
      <c r="F279" s="383">
        <f t="shared" si="103"/>
        <v>47.958368246020818</v>
      </c>
      <c r="G279" s="110">
        <f t="shared" si="101"/>
        <v>1.0127753085273887</v>
      </c>
      <c r="H279" s="412" t="b">
        <f>Wh_hp&gt;='2023'!Maxi_hp</f>
        <v>1</v>
      </c>
      <c r="I279" s="388">
        <f>IF(H279,Wh_hp,'2023'!Maxi_hp)</f>
        <v>47.958368246020818</v>
      </c>
      <c r="J279" s="85">
        <f>IF(H279,An,'2023'!An_max)</f>
        <v>2024</v>
      </c>
      <c r="K279" s="197">
        <f t="shared" si="104"/>
        <v>45556</v>
      </c>
      <c r="L279" s="147">
        <f>IF(t&lt;Tvie,1-EXP((T0-t)*PertePVj)+'2023'!Pspv,1-EXP((T0-t)*PertePVj)+Pspv)</f>
        <v>3.9097442769991608E-2</v>
      </c>
      <c r="M279" s="832"/>
      <c r="N279" s="832"/>
      <c r="O279" s="48">
        <f>IF(t&lt;Tnet,'2023'!Resal+('2023'!Salim-'2023'!Resal)*(1-EXP(('2023'!Tnet-t)/('2023'!Tau_j))),Resal+(Salim-Resal)*(1-EXP((Tnet-t)/(Tau_j))))*Salcycl</f>
        <v>4.9501984001867061E-2</v>
      </c>
      <c r="P279" s="169">
        <f>(INDEX(Models!$BJ279:$BT279,,T279)*(1-R279)+INDEX(Models!$BJ279:$BT279,,T279+1)*R279-ERP_i)*Q279*Ramure*Pc/MaxiM</f>
        <v>7.216000496637536E-3</v>
      </c>
      <c r="Q279" s="304">
        <f t="shared" si="105"/>
        <v>0.7</v>
      </c>
      <c r="R279" s="177">
        <f t="shared" si="106"/>
        <v>0.12923363603982141</v>
      </c>
      <c r="S279" s="799">
        <f t="shared" si="107"/>
        <v>1</v>
      </c>
      <c r="T279" s="176">
        <f t="shared" si="108"/>
        <v>7</v>
      </c>
      <c r="U279" s="250">
        <f t="shared" si="109"/>
        <v>1.1292336360398214</v>
      </c>
      <c r="V279" s="382">
        <f t="shared" si="110"/>
        <v>42.937487338697586</v>
      </c>
      <c r="W279" s="400">
        <f t="shared" si="111"/>
        <v>43.486026986840287</v>
      </c>
      <c r="X279" s="157">
        <f t="shared" si="112"/>
        <v>45556</v>
      </c>
      <c r="Y279" s="383">
        <f t="shared" si="113"/>
        <v>43.006864485274789</v>
      </c>
      <c r="Z279" s="383">
        <f t="shared" si="114"/>
        <v>44.756738507649082</v>
      </c>
      <c r="AA279" s="384">
        <f t="shared" si="115"/>
        <v>47.598488360411487</v>
      </c>
      <c r="AB279" s="197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5.9702523139914192E-2</v>
      </c>
      <c r="AD279" s="230">
        <f>(INDEX(Models!$BJ279:$BT279,,AH279)*(1-AF279)+INDEX(Models!$BJ279:$BT279,,AH279+1)*AF279-ERP_i)*AE279*Ramure*Pc/MaxiM</f>
        <v>7.5040060529830447E-3</v>
      </c>
      <c r="AE279" s="304">
        <f t="shared" si="117"/>
        <v>0.7</v>
      </c>
      <c r="AF279" s="177">
        <f t="shared" si="118"/>
        <v>0.19356585829965356</v>
      </c>
      <c r="AG279" s="799">
        <f t="shared" si="124"/>
        <v>1</v>
      </c>
      <c r="AH279" s="176">
        <f t="shared" si="119"/>
        <v>7</v>
      </c>
      <c r="AI279" s="224">
        <f t="shared" si="120"/>
        <v>1.1935658582996536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45557</v>
      </c>
      <c r="B280" s="409">
        <f>'2023'!Wh/'2023'!Env_an*'2024'!Env_an</f>
        <v>32.722441291701813</v>
      </c>
      <c r="C280" s="829"/>
      <c r="D280" s="391">
        <f t="shared" si="102"/>
        <v>34.054512786575884</v>
      </c>
      <c r="E280" s="383">
        <f t="shared" si="100"/>
        <v>35.82984749495116</v>
      </c>
      <c r="F280" s="383">
        <f t="shared" si="103"/>
        <v>35.999298802591561</v>
      </c>
      <c r="G280" s="110">
        <f t="shared" si="101"/>
        <v>0.7644299985683729</v>
      </c>
      <c r="H280" s="412" t="b">
        <f>Wh_hp&gt;='2023'!Maxi_hp</f>
        <v>0</v>
      </c>
      <c r="I280" s="388">
        <f>IF(H280,Wh_hp,'2023'!Maxi_hp)</f>
        <v>41.960409852229127</v>
      </c>
      <c r="J280" s="85">
        <f>IF(H280,An,'2023'!An_max)</f>
        <v>2021</v>
      </c>
      <c r="K280" s="197">
        <f t="shared" si="104"/>
        <v>45557</v>
      </c>
      <c r="L280" s="147">
        <f>IF(t&lt;Tvie,1-EXP((T0-t)*PertePVj)+'2023'!Pspv,1-EXP((T0-t)*PertePVj)+Pspv)</f>
        <v>3.9115858248283897E-2</v>
      </c>
      <c r="M280" s="832"/>
      <c r="N280" s="832"/>
      <c r="O280" s="48">
        <f>IF(t&lt;Tnet,'2023'!Resal+('2023'!Salim-'2023'!Resal)*(1-EXP(('2023'!Tnet-t)/('2023'!Tau_j))),Resal+(Salim-Resal)*(1-EXP((Tnet-t)/(Tau_j))))*Salcycl</f>
        <v>4.9549044511714449E-2</v>
      </c>
      <c r="P280" s="169">
        <f>(INDEX(Models!$BJ280:$BT280,,T280)*(1-R280)+INDEX(Models!$BJ280:$BT280,,T280+1)*R280-ERP_i)*Q280*Ramure*Pc/MaxiM</f>
        <v>7.0669667465534571E-3</v>
      </c>
      <c r="Q280" s="304">
        <f t="shared" si="105"/>
        <v>0.7</v>
      </c>
      <c r="R280" s="177">
        <f t="shared" si="106"/>
        <v>0.12945230024427379</v>
      </c>
      <c r="S280" s="799">
        <f t="shared" si="107"/>
        <v>1</v>
      </c>
      <c r="T280" s="176">
        <f t="shared" si="108"/>
        <v>7</v>
      </c>
      <c r="U280" s="250">
        <f t="shared" si="109"/>
        <v>1.1294523002442738</v>
      </c>
      <c r="V280" s="382">
        <f t="shared" si="110"/>
        <v>42.704831893084972</v>
      </c>
      <c r="W280" s="400">
        <f t="shared" si="111"/>
        <v>32.722441291701813</v>
      </c>
      <c r="X280" s="157">
        <f t="shared" si="112"/>
        <v>45557</v>
      </c>
      <c r="Y280" s="383">
        <f t="shared" si="113"/>
        <v>32.365518174363196</v>
      </c>
      <c r="Z280" s="383">
        <f t="shared" si="114"/>
        <v>33.683059973661379</v>
      </c>
      <c r="AA280" s="384">
        <f t="shared" si="115"/>
        <v>35.822938755414768</v>
      </c>
      <c r="AB280" s="197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5.9734875364739176E-2</v>
      </c>
      <c r="AD280" s="230">
        <f>(INDEX(Models!$BJ280:$BT280,,AH280)*(1-AF280)+INDEX(Models!$BJ280:$BT280,,AH280+1)*AF280-ERP_i)*AE280*Ramure*Pc/MaxiM</f>
        <v>7.3550957273455968E-3</v>
      </c>
      <c r="AE280" s="304">
        <f t="shared" si="117"/>
        <v>0.7</v>
      </c>
      <c r="AF280" s="177">
        <f t="shared" si="118"/>
        <v>0.19378452250410594</v>
      </c>
      <c r="AG280" s="799">
        <f t="shared" si="124"/>
        <v>1</v>
      </c>
      <c r="AH280" s="176">
        <f t="shared" si="119"/>
        <v>7</v>
      </c>
      <c r="AI280" s="224">
        <f t="shared" si="120"/>
        <v>1.1937845225041059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45558</v>
      </c>
      <c r="B281" s="409">
        <f>'2023'!Wh/'2023'!Env_an*'2024'!Env_an</f>
        <v>21.956657898791818</v>
      </c>
      <c r="C281" s="829"/>
      <c r="D281" s="391">
        <f t="shared" si="102"/>
        <v>22.850911725078113</v>
      </c>
      <c r="E281" s="383">
        <f t="shared" si="100"/>
        <v>24.043352840447376</v>
      </c>
      <c r="F281" s="383">
        <f t="shared" si="103"/>
        <v>24.094925549700726</v>
      </c>
      <c r="G281" s="110">
        <f t="shared" si="101"/>
        <v>0.51452093937666565</v>
      </c>
      <c r="H281" s="412" t="b">
        <f>Wh_hp&gt;='2023'!Maxi_hp</f>
        <v>0</v>
      </c>
      <c r="I281" s="388">
        <f>IF(H281,Wh_hp,'2023'!Maxi_hp)</f>
        <v>41.038887067631343</v>
      </c>
      <c r="J281" s="85">
        <f>IF(H281,An,'2023'!An_max)</f>
        <v>2021</v>
      </c>
      <c r="K281" s="197">
        <f t="shared" si="104"/>
        <v>45558</v>
      </c>
      <c r="L281" s="147">
        <f>IF(t&lt;Tvie,1-EXP((T0-t)*PertePVj)+'2023'!Pspv,1-EXP((T0-t)*PertePVj)+Pspv)</f>
        <v>3.913427337364761E-2</v>
      </c>
      <c r="M281" s="832"/>
      <c r="N281" s="832"/>
      <c r="O281" s="48">
        <f>IF(t&lt;Tnet,'2023'!Resal+('2023'!Salim-'2023'!Resal)*(1-EXP(('2023'!Tnet-t)/('2023'!Tau_j))),Resal+(Salim-Resal)*(1-EXP((Tnet-t)/(Tau_j))))*Salcycl</f>
        <v>4.9595458806529519E-2</v>
      </c>
      <c r="P281" s="169">
        <f>(INDEX(Models!$BJ281:$BT281,,T281)*(1-R281)+INDEX(Models!$BJ281:$BT281,,T281+1)*R281-ERP_i)*Q281*Ramure*Pc/MaxiM</f>
        <v>6.9048443951776695E-3</v>
      </c>
      <c r="Q281" s="304">
        <f t="shared" si="105"/>
        <v>0.7</v>
      </c>
      <c r="R281" s="177">
        <f t="shared" si="106"/>
        <v>0.12966238807798258</v>
      </c>
      <c r="S281" s="799">
        <f t="shared" si="107"/>
        <v>1</v>
      </c>
      <c r="T281" s="176">
        <f t="shared" si="108"/>
        <v>7</v>
      </c>
      <c r="U281" s="250">
        <f t="shared" si="109"/>
        <v>1.1296623880779826</v>
      </c>
      <c r="V281" s="382">
        <f t="shared" si="110"/>
        <v>42.470229095583157</v>
      </c>
      <c r="W281" s="400">
        <f t="shared" si="111"/>
        <v>21.956657898791818</v>
      </c>
      <c r="X281" s="157">
        <f t="shared" si="112"/>
        <v>45558</v>
      </c>
      <c r="Y281" s="383">
        <f t="shared" si="113"/>
        <v>21.719723056840923</v>
      </c>
      <c r="Z281" s="383">
        <f t="shared" si="114"/>
        <v>22.604326967827188</v>
      </c>
      <c r="AA281" s="384">
        <f t="shared" si="115"/>
        <v>24.041184173349745</v>
      </c>
      <c r="AB281" s="197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5.9766490500719638E-2</v>
      </c>
      <c r="AD281" s="230">
        <f>(INDEX(Models!$BJ281:$BT281,,AH281)*(1-AF281)+INDEX(Models!$BJ281:$BT281,,AH281+1)*AF281-ERP_i)*AE281*Ramure*Pc/MaxiM</f>
        <v>7.1951977442816445E-3</v>
      </c>
      <c r="AE281" s="304">
        <f t="shared" si="117"/>
        <v>0.7</v>
      </c>
      <c r="AF281" s="177">
        <f t="shared" si="118"/>
        <v>0.19399461033781473</v>
      </c>
      <c r="AG281" s="799">
        <f t="shared" si="124"/>
        <v>1</v>
      </c>
      <c r="AH281" s="176">
        <f t="shared" si="119"/>
        <v>7</v>
      </c>
      <c r="AI281" s="224">
        <f t="shared" si="120"/>
        <v>1.1939946103378147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45559</v>
      </c>
      <c r="B282" s="409">
        <f>'2023'!Wh/'2023'!Env_an*'2024'!Env_an</f>
        <v>33.235021301608434</v>
      </c>
      <c r="C282" s="829"/>
      <c r="D282" s="391">
        <f t="shared" si="102"/>
        <v>34.589284781869246</v>
      </c>
      <c r="E282" s="383">
        <f t="shared" si="100"/>
        <v>36.396027581780615</v>
      </c>
      <c r="F282" s="383">
        <f t="shared" si="103"/>
        <v>36.568327077120536</v>
      </c>
      <c r="G282" s="110">
        <f t="shared" si="101"/>
        <v>0.78533274889325977</v>
      </c>
      <c r="H282" s="412" t="b">
        <f>Wh_hp&gt;='2023'!Maxi_hp</f>
        <v>0</v>
      </c>
      <c r="I282" s="388">
        <f>IF(H282,Wh_hp,'2023'!Maxi_hp)</f>
        <v>36.599123491462763</v>
      </c>
      <c r="J282" s="85">
        <f>IF(H282,An,'2023'!An_max)</f>
        <v>2022</v>
      </c>
      <c r="K282" s="197">
        <f t="shared" si="104"/>
        <v>45559</v>
      </c>
      <c r="L282" s="147">
        <f>IF(t&lt;Tvie,1-EXP((T0-t)*PertePVj)+'2023'!Pspv,1-EXP((T0-t)*PertePVj)+Pspv)</f>
        <v>3.9152688146089742E-2</v>
      </c>
      <c r="M282" s="832"/>
      <c r="N282" s="832"/>
      <c r="O282" s="48">
        <f>IF(t&lt;Tnet,'2023'!Resal+('2023'!Salim-'2023'!Resal)*(1-EXP(('2023'!Tnet-t)/('2023'!Tau_j))),Resal+(Salim-Resal)*(1-EXP((Tnet-t)/(Tau_j))))*Salcycl</f>
        <v>4.9641208669041592E-2</v>
      </c>
      <c r="P282" s="169">
        <f>(INDEX(Models!$BJ282:$BT282,,T282)*(1-R282)+INDEX(Models!$BJ282:$BT282,,T282+1)*R282-ERP_i)*Q282*Ramure*Pc/MaxiM</f>
        <v>6.77300438828639E-3</v>
      </c>
      <c r="Q282" s="304">
        <f t="shared" si="105"/>
        <v>0.7</v>
      </c>
      <c r="R282" s="177">
        <f t="shared" si="106"/>
        <v>0.12986422721975721</v>
      </c>
      <c r="S282" s="799">
        <f t="shared" si="107"/>
        <v>1</v>
      </c>
      <c r="T282" s="176">
        <f t="shared" si="108"/>
        <v>7</v>
      </c>
      <c r="U282" s="250">
        <f t="shared" si="109"/>
        <v>1.1298642272197572</v>
      </c>
      <c r="V282" s="382">
        <f t="shared" si="110"/>
        <v>42.232022033675698</v>
      </c>
      <c r="W282" s="400">
        <f t="shared" si="111"/>
        <v>33.235021301608434</v>
      </c>
      <c r="X282" s="157">
        <f t="shared" si="112"/>
        <v>45559</v>
      </c>
      <c r="Y282" s="383">
        <f t="shared" si="113"/>
        <v>32.873033529538198</v>
      </c>
      <c r="Z282" s="383">
        <f t="shared" si="114"/>
        <v>34.212546701214379</v>
      </c>
      <c r="AA282" s="384">
        <f t="shared" si="115"/>
        <v>36.388481360427939</v>
      </c>
      <c r="AB282" s="197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5.9797347343543417E-2</v>
      </c>
      <c r="AD282" s="230">
        <f>(INDEX(Models!$BJ282:$BT282,,AH282)*(1-AF282)+INDEX(Models!$BJ282:$BT282,,AH282+1)*AF282-ERP_i)*AE282*Ramure*Pc/MaxiM</f>
        <v>7.0696424616357618E-3</v>
      </c>
      <c r="AE282" s="304">
        <f t="shared" si="117"/>
        <v>0.7</v>
      </c>
      <c r="AF282" s="177">
        <f t="shared" si="118"/>
        <v>0.19419644947958936</v>
      </c>
      <c r="AG282" s="799">
        <f t="shared" si="124"/>
        <v>1</v>
      </c>
      <c r="AH282" s="176">
        <f t="shared" si="119"/>
        <v>7</v>
      </c>
      <c r="AI282" s="224">
        <f t="shared" si="120"/>
        <v>1.1941964494795894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45560</v>
      </c>
      <c r="B283" s="409">
        <f>'2023'!Wh/'2023'!Env_an*'2024'!Env_an</f>
        <v>34.593483807272413</v>
      </c>
      <c r="C283" s="829"/>
      <c r="D283" s="391">
        <f t="shared" si="102"/>
        <v>36.003792037941771</v>
      </c>
      <c r="E283" s="383">
        <f t="shared" si="100"/>
        <v>37.886217081074719</v>
      </c>
      <c r="F283" s="383">
        <f t="shared" si="103"/>
        <v>38.076775442927648</v>
      </c>
      <c r="G283" s="110">
        <f t="shared" si="101"/>
        <v>0.82246195463974781</v>
      </c>
      <c r="H283" s="412" t="b">
        <f>Wh_hp&gt;='2023'!Maxi_hp</f>
        <v>0</v>
      </c>
      <c r="I283" s="388">
        <f>IF(H283,Wh_hp,'2023'!Maxi_hp)</f>
        <v>39.791402666859739</v>
      </c>
      <c r="J283" s="85">
        <f>IF(H283,An,'2023'!An_max)</f>
        <v>2018</v>
      </c>
      <c r="K283" s="197">
        <f t="shared" si="104"/>
        <v>45560</v>
      </c>
      <c r="L283" s="147">
        <f>IF(t&lt;Tvie,1-EXP((T0-t)*PertePVj)+'2023'!Pspv,1-EXP((T0-t)*PertePVj)+Pspv)</f>
        <v>3.9171102565616955E-2</v>
      </c>
      <c r="M283" s="832"/>
      <c r="N283" s="832"/>
      <c r="O283" s="48">
        <f>IF(t&lt;Tnet,'2023'!Resal+('2023'!Salim-'2023'!Resal)*(1-EXP(('2023'!Tnet-t)/('2023'!Tau_j))),Resal+(Salim-Resal)*(1-EXP((Tnet-t)/(Tau_j))))*Salcycl</f>
        <v>4.9686276122650148E-2</v>
      </c>
      <c r="P283" s="169">
        <f>(INDEX(Models!$BJ283:$BT283,,T283)*(1-R283)+INDEX(Models!$BJ283:$BT283,,T283+1)*R283-ERP_i)*Q283*Ramure*Pc/MaxiM</f>
        <v>6.6873576921314421E-3</v>
      </c>
      <c r="Q283" s="304">
        <f t="shared" si="105"/>
        <v>0.7</v>
      </c>
      <c r="R283" s="177">
        <f t="shared" si="106"/>
        <v>0.1300581335080595</v>
      </c>
      <c r="S283" s="799">
        <f t="shared" si="107"/>
        <v>1</v>
      </c>
      <c r="T283" s="176">
        <f t="shared" si="108"/>
        <v>7</v>
      </c>
      <c r="U283" s="250">
        <f t="shared" si="109"/>
        <v>1.1300581335080595</v>
      </c>
      <c r="V283" s="382">
        <f t="shared" si="110"/>
        <v>41.98975740668201</v>
      </c>
      <c r="W283" s="400">
        <f t="shared" si="111"/>
        <v>34.593483807272413</v>
      </c>
      <c r="X283" s="157">
        <f t="shared" si="112"/>
        <v>45560</v>
      </c>
      <c r="Y283" s="383">
        <f t="shared" si="113"/>
        <v>34.21642689925951</v>
      </c>
      <c r="Z283" s="383">
        <f t="shared" si="114"/>
        <v>35.611363262100703</v>
      </c>
      <c r="AA283" s="384">
        <f t="shared" si="115"/>
        <v>37.877475060825866</v>
      </c>
      <c r="AB283" s="197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5.9827425008823945E-2</v>
      </c>
      <c r="AD283" s="230">
        <f>(INDEX(Models!$BJ283:$BT283,,AH283)*(1-AF283)+INDEX(Models!$BJ283:$BT283,,AH283+1)*AF283-ERP_i)*AE283*Ramure*Pc/MaxiM</f>
        <v>6.9941456797456489E-3</v>
      </c>
      <c r="AE283" s="304">
        <f t="shared" si="117"/>
        <v>0.7</v>
      </c>
      <c r="AF283" s="177">
        <f t="shared" si="118"/>
        <v>0.19439035576789165</v>
      </c>
      <c r="AG283" s="799">
        <f t="shared" si="124"/>
        <v>1</v>
      </c>
      <c r="AH283" s="176">
        <f t="shared" si="119"/>
        <v>7</v>
      </c>
      <c r="AI283" s="224">
        <f t="shared" si="120"/>
        <v>1.1943903557678917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45561</v>
      </c>
      <c r="B284" s="409">
        <f>'2023'!Wh/'2023'!Env_an*'2024'!Env_an</f>
        <v>14.816245555861563</v>
      </c>
      <c r="C284" s="829"/>
      <c r="D284" s="391">
        <f t="shared" si="102"/>
        <v>15.42057025015872</v>
      </c>
      <c r="E284" s="383">
        <f t="shared" si="100"/>
        <v>16.227578155066336</v>
      </c>
      <c r="F284" s="383">
        <f t="shared" si="103"/>
        <v>16.236049514525174</v>
      </c>
      <c r="G284" s="110">
        <f t="shared" si="101"/>
        <v>0.35275846332840499</v>
      </c>
      <c r="H284" s="412" t="b">
        <f>Wh_hp&gt;='2023'!Maxi_hp</f>
        <v>0</v>
      </c>
      <c r="I284" s="388">
        <f>IF(H284,Wh_hp,'2023'!Maxi_hp)</f>
        <v>40.257199501289676</v>
      </c>
      <c r="J284" s="85">
        <f>IF(H284,An,'2023'!An_max)</f>
        <v>2018</v>
      </c>
      <c r="K284" s="197">
        <f t="shared" si="104"/>
        <v>45561</v>
      </c>
      <c r="L284" s="147">
        <f>IF(t&lt;Tvie,1-EXP((T0-t)*PertePVj)+'2023'!Pspv,1-EXP((T0-t)*PertePVj)+Pspv)</f>
        <v>3.918951663223591E-2</v>
      </c>
      <c r="M284" s="832"/>
      <c r="N284" s="832"/>
      <c r="O284" s="48">
        <f>IF(t&lt;Tnet,'2023'!Resal+('2023'!Salim-'2023'!Resal)*(1-EXP(('2023'!Tnet-t)/('2023'!Tau_j))),Resal+(Salim-Resal)*(1-EXP((Tnet-t)/(Tau_j))))*Salcycl</f>
        <v>4.973064354989188E-2</v>
      </c>
      <c r="P284" s="169">
        <f>(INDEX(Models!$BJ284:$BT284,,T284)*(1-R284)+INDEX(Models!$BJ284:$BT284,,T284+1)*R284-ERP_i)*Q284*Ramure*Pc/MaxiM</f>
        <v>6.6485646699359037E-3</v>
      </c>
      <c r="Q284" s="304">
        <f t="shared" si="105"/>
        <v>0.7</v>
      </c>
      <c r="R284" s="177">
        <f t="shared" si="106"/>
        <v>0.13024441131531495</v>
      </c>
      <c r="S284" s="799">
        <f t="shared" si="107"/>
        <v>1</v>
      </c>
      <c r="T284" s="176">
        <f t="shared" si="108"/>
        <v>7</v>
      </c>
      <c r="U284" s="250">
        <f t="shared" si="109"/>
        <v>1.1302444113153149</v>
      </c>
      <c r="V284" s="382">
        <f t="shared" si="110"/>
        <v>41.743639035740934</v>
      </c>
      <c r="W284" s="400">
        <f t="shared" si="111"/>
        <v>14.816245555861563</v>
      </c>
      <c r="X284" s="157">
        <f t="shared" si="112"/>
        <v>45561</v>
      </c>
      <c r="Y284" s="383">
        <f t="shared" si="113"/>
        <v>14.657994518053442</v>
      </c>
      <c r="Z284" s="383">
        <f t="shared" si="114"/>
        <v>15.255864472539152</v>
      </c>
      <c r="AA284" s="384">
        <f t="shared" si="115"/>
        <v>16.227169328780796</v>
      </c>
      <c r="AB284" s="197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5.9856703073833145E-2</v>
      </c>
      <c r="AD284" s="230">
        <f>(INDEX(Models!$BJ284:$BT284,,AH284)*(1-AF284)+INDEX(Models!$BJ284:$BT284,,AH284+1)*AF284-ERP_i)*AE284*Ramure*Pc/MaxiM</f>
        <v>6.9694232064434038E-3</v>
      </c>
      <c r="AE284" s="304">
        <f t="shared" si="117"/>
        <v>0.7</v>
      </c>
      <c r="AF284" s="177">
        <f t="shared" si="118"/>
        <v>0.1945766335751471</v>
      </c>
      <c r="AG284" s="799">
        <f t="shared" si="124"/>
        <v>1</v>
      </c>
      <c r="AH284" s="176">
        <f t="shared" si="119"/>
        <v>7</v>
      </c>
      <c r="AI284" s="224">
        <f t="shared" si="120"/>
        <v>1.1945766335751471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45562</v>
      </c>
      <c r="B285" s="409">
        <f>'2023'!Wh/'2023'!Env_an*'2024'!Env_an</f>
        <v>14.884632056408053</v>
      </c>
      <c r="C285" s="829"/>
      <c r="D285" s="391">
        <f t="shared" si="102"/>
        <v>15.492042999238723</v>
      </c>
      <c r="E285" s="383">
        <f t="shared" si="100"/>
        <v>16.303540199386557</v>
      </c>
      <c r="F285" s="383">
        <f t="shared" si="103"/>
        <v>16.31264985771525</v>
      </c>
      <c r="G285" s="110">
        <f t="shared" si="101"/>
        <v>0.35652981063264061</v>
      </c>
      <c r="H285" s="412" t="b">
        <f>Wh_hp&gt;='2023'!Maxi_hp</f>
        <v>0</v>
      </c>
      <c r="I285" s="388">
        <f>IF(H285,Wh_hp,'2023'!Maxi_hp)</f>
        <v>31.058972746779887</v>
      </c>
      <c r="J285" s="85">
        <f>IF(H285,An,'2023'!An_max)</f>
        <v>2021</v>
      </c>
      <c r="K285" s="197">
        <f t="shared" si="104"/>
        <v>45562</v>
      </c>
      <c r="L285" s="147">
        <f>IF(t&lt;Tvie,1-EXP((T0-t)*PertePVj)+'2023'!Pspv,1-EXP((T0-t)*PertePVj)+Pspv)</f>
        <v>3.9207930345953601E-2</v>
      </c>
      <c r="M285" s="832"/>
      <c r="N285" s="832"/>
      <c r="O285" s="48">
        <f>IF(t&lt;Tnet,'2023'!Resal+('2023'!Salim-'2023'!Resal)*(1-EXP(('2023'!Tnet-t)/('2023'!Tau_j))),Resal+(Salim-Resal)*(1-EXP((Tnet-t)/(Tau_j))))*Salcycl</f>
        <v>4.9774293817386142E-2</v>
      </c>
      <c r="P285" s="169">
        <f>(INDEX(Models!$BJ285:$BT285,,T285)*(1-R285)+INDEX(Models!$BJ285:$BT285,,T285+1)*R285-ERP_i)*Q285*Ramure*Pc/MaxiM</f>
        <v>6.6573037175868535E-3</v>
      </c>
      <c r="Q285" s="304">
        <f t="shared" si="105"/>
        <v>0.7</v>
      </c>
      <c r="R285" s="177">
        <f t="shared" si="106"/>
        <v>0.13042335391474413</v>
      </c>
      <c r="S285" s="799">
        <f t="shared" si="107"/>
        <v>1</v>
      </c>
      <c r="T285" s="176">
        <f t="shared" si="108"/>
        <v>7</v>
      </c>
      <c r="U285" s="250">
        <f t="shared" si="109"/>
        <v>1.1304233539147441</v>
      </c>
      <c r="V285" s="382">
        <f t="shared" si="110"/>
        <v>41.493871114757091</v>
      </c>
      <c r="W285" s="400">
        <f t="shared" si="111"/>
        <v>14.884632056408053</v>
      </c>
      <c r="X285" s="157">
        <f t="shared" si="112"/>
        <v>45562</v>
      </c>
      <c r="Y285" s="383">
        <f t="shared" si="113"/>
        <v>14.72583338152233</v>
      </c>
      <c r="Z285" s="383">
        <f t="shared" si="114"/>
        <v>15.326764079999826</v>
      </c>
      <c r="AA285" s="384">
        <f t="shared" si="115"/>
        <v>16.303076449841228</v>
      </c>
      <c r="AB285" s="197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5.9885161726694169E-2</v>
      </c>
      <c r="AD285" s="230">
        <f>(INDEX(Models!$BJ285:$BT285,,AH285)*(1-AF285)+INDEX(Models!$BJ285:$BT285,,AH285+1)*AF285-ERP_i)*AE285*Ramure*Pc/MaxiM</f>
        <v>6.9962101244734282E-3</v>
      </c>
      <c r="AE285" s="304">
        <f t="shared" si="117"/>
        <v>0.7</v>
      </c>
      <c r="AF285" s="177">
        <f t="shared" si="118"/>
        <v>0.19475557617457628</v>
      </c>
      <c r="AG285" s="799">
        <f t="shared" si="124"/>
        <v>1</v>
      </c>
      <c r="AH285" s="176">
        <f t="shared" si="119"/>
        <v>7</v>
      </c>
      <c r="AI285" s="224">
        <f t="shared" si="120"/>
        <v>1.1947555761745763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45563</v>
      </c>
      <c r="B286" s="409">
        <f>'2023'!Wh/'2023'!Env_an*'2024'!Env_an</f>
        <v>21.100981869631426</v>
      </c>
      <c r="C286" s="829"/>
      <c r="D286" s="391">
        <f t="shared" si="102"/>
        <v>21.962490053111438</v>
      </c>
      <c r="E286" s="383">
        <f t="shared" si="100"/>
        <v>23.113963222283456</v>
      </c>
      <c r="F286" s="383">
        <f t="shared" si="103"/>
        <v>23.160983572906694</v>
      </c>
      <c r="G286" s="110">
        <f t="shared" si="101"/>
        <v>0.50925330146912839</v>
      </c>
      <c r="H286" s="412" t="b">
        <f>Wh_hp&gt;='2023'!Maxi_hp</f>
        <v>0</v>
      </c>
      <c r="I286" s="388">
        <f>IF(H286,Wh_hp,'2023'!Maxi_hp)</f>
        <v>45.479306908151436</v>
      </c>
      <c r="J286" s="85">
        <f>IF(H286,An,'2023'!An_max)</f>
        <v>2018</v>
      </c>
      <c r="K286" s="197">
        <f t="shared" si="104"/>
        <v>45563</v>
      </c>
      <c r="L286" s="147">
        <f>IF(t&lt;Tvie,1-EXP((T0-t)*PertePVj)+'2023'!Pspv,1-EXP((T0-t)*PertePVj)+Pspv)</f>
        <v>3.9226343706776579E-2</v>
      </c>
      <c r="M286" s="832"/>
      <c r="N286" s="832"/>
      <c r="O286" s="48">
        <f>IF(t&lt;Tnet,'2023'!Resal+('2023'!Salim-'2023'!Resal)*(1-EXP(('2023'!Tnet-t)/('2023'!Tau_j))),Resal+(Salim-Resal)*(1-EXP((Tnet-t)/(Tau_j))))*Salcycl</f>
        <v>4.9817210406474945E-2</v>
      </c>
      <c r="P286" s="169">
        <f>(INDEX(Models!$BJ286:$BT286,,T286)*(1-R286)+INDEX(Models!$BJ286:$BT286,,T286+1)*R286-ERP_i)*Q286*Ramure*Pc/MaxiM</f>
        <v>6.714268846894595E-3</v>
      </c>
      <c r="Q286" s="304">
        <f t="shared" si="105"/>
        <v>0.7</v>
      </c>
      <c r="R286" s="177">
        <f t="shared" si="106"/>
        <v>0.13059524383947241</v>
      </c>
      <c r="S286" s="799">
        <f t="shared" si="107"/>
        <v>1</v>
      </c>
      <c r="T286" s="176">
        <f t="shared" si="108"/>
        <v>7</v>
      </c>
      <c r="U286" s="250">
        <f t="shared" si="109"/>
        <v>1.1305952438394724</v>
      </c>
      <c r="V286" s="382">
        <f t="shared" si="110"/>
        <v>41.240658249023738</v>
      </c>
      <c r="W286" s="400">
        <f t="shared" si="111"/>
        <v>21.100981869631426</v>
      </c>
      <c r="X286" s="157">
        <f t="shared" si="112"/>
        <v>45563</v>
      </c>
      <c r="Y286" s="383">
        <f t="shared" si="113"/>
        <v>20.874503275325786</v>
      </c>
      <c r="Z286" s="383">
        <f t="shared" si="114"/>
        <v>21.72676481978289</v>
      </c>
      <c r="AA286" s="384">
        <f t="shared" si="115"/>
        <v>23.111435196624374</v>
      </c>
      <c r="AB286" s="197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5.9912781922073249E-2</v>
      </c>
      <c r="AD286" s="230">
        <f>(INDEX(Models!$BJ286:$BT286,,AH286)*(1-AF286)+INDEX(Models!$BJ286:$BT286,,AH286+1)*AF286-ERP_i)*AE286*Ramure*Pc/MaxiM</f>
        <v>7.0752581568835947E-3</v>
      </c>
      <c r="AE286" s="304">
        <f t="shared" si="117"/>
        <v>0.7</v>
      </c>
      <c r="AF286" s="177">
        <f t="shared" si="118"/>
        <v>0.19492746609930456</v>
      </c>
      <c r="AG286" s="799">
        <f t="shared" si="124"/>
        <v>1</v>
      </c>
      <c r="AH286" s="176">
        <f t="shared" si="119"/>
        <v>7</v>
      </c>
      <c r="AI286" s="224">
        <f t="shared" si="120"/>
        <v>1.1949274660993046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45564</v>
      </c>
      <c r="B287" s="409">
        <f>'2023'!Wh/'2023'!Env_an*'2024'!Env_an</f>
        <v>29.148792725566437</v>
      </c>
      <c r="C287" s="829"/>
      <c r="D287" s="391">
        <f t="shared" si="102"/>
        <v>30.33945734804691</v>
      </c>
      <c r="E287" s="383">
        <f t="shared" si="100"/>
        <v>31.931544269491908</v>
      </c>
      <c r="F287" s="383">
        <f t="shared" si="103"/>
        <v>32.059994476365809</v>
      </c>
      <c r="G287" s="110">
        <f t="shared" si="101"/>
        <v>0.70921100301135931</v>
      </c>
      <c r="H287" s="412" t="b">
        <f>Wh_hp&gt;='2023'!Maxi_hp</f>
        <v>0</v>
      </c>
      <c r="I287" s="388">
        <f>IF(H287,Wh_hp,'2023'!Maxi_hp)</f>
        <v>37.731180167005817</v>
      </c>
      <c r="J287" s="85">
        <f>IF(H287,An,'2023'!An_max)</f>
        <v>2020</v>
      </c>
      <c r="K287" s="197">
        <f t="shared" si="104"/>
        <v>45564</v>
      </c>
      <c r="L287" s="147">
        <f>IF(t&lt;Tvie,1-EXP((T0-t)*PertePVj)+'2023'!Pspv,1-EXP((T0-t)*PertePVj)+Pspv)</f>
        <v>3.9244756714711726E-2</v>
      </c>
      <c r="M287" s="832"/>
      <c r="N287" s="832"/>
      <c r="O287" s="48">
        <f>IF(t&lt;Tnet,'2023'!Resal+('2023'!Salim-'2023'!Resal)*(1-EXP(('2023'!Tnet-t)/('2023'!Tau_j))),Resal+(Salim-Resal)*(1-EXP((Tnet-t)/(Tau_j))))*Salcycl</f>
        <v>4.9859377548680368E-2</v>
      </c>
      <c r="P287" s="169">
        <f>(INDEX(Models!$BJ287:$BT287,,T287)*(1-R287)+INDEX(Models!$BJ287:$BT287,,T287+1)*R287-ERP_i)*Q287*Ramure*Pc/MaxiM</f>
        <v>6.8201671573928204E-3</v>
      </c>
      <c r="Q287" s="304">
        <f t="shared" si="105"/>
        <v>0.7</v>
      </c>
      <c r="R287" s="177">
        <f t="shared" si="106"/>
        <v>0.1307603532337196</v>
      </c>
      <c r="S287" s="799">
        <f t="shared" si="107"/>
        <v>1</v>
      </c>
      <c r="T287" s="176">
        <f t="shared" si="108"/>
        <v>7</v>
      </c>
      <c r="U287" s="250">
        <f t="shared" si="109"/>
        <v>1.1307603532337196</v>
      </c>
      <c r="V287" s="382">
        <f t="shared" si="110"/>
        <v>40.984205490991386</v>
      </c>
      <c r="W287" s="400">
        <f t="shared" si="111"/>
        <v>29.148792725566437</v>
      </c>
      <c r="X287" s="157">
        <f t="shared" si="112"/>
        <v>45564</v>
      </c>
      <c r="Y287" s="383">
        <f t="shared" si="113"/>
        <v>28.832963563578868</v>
      </c>
      <c r="Z287" s="383">
        <f t="shared" si="114"/>
        <v>30.010727253472986</v>
      </c>
      <c r="AA287" s="384">
        <f t="shared" si="115"/>
        <v>31.924252436281407</v>
      </c>
      <c r="AB287" s="197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5.9939545542301541E-2</v>
      </c>
      <c r="AD287" s="230">
        <f>(INDEX(Models!$BJ287:$BT287,,AH287)*(1-AF287)+INDEX(Models!$BJ287:$BT287,,AH287+1)*AF287-ERP_i)*AE287*Ramure*Pc/MaxiM</f>
        <v>7.2073329128225323E-3</v>
      </c>
      <c r="AE287" s="304">
        <f t="shared" si="117"/>
        <v>0.7</v>
      </c>
      <c r="AF287" s="177">
        <f t="shared" si="118"/>
        <v>0.19509257549355175</v>
      </c>
      <c r="AG287" s="799">
        <f t="shared" si="124"/>
        <v>1</v>
      </c>
      <c r="AH287" s="176">
        <f t="shared" si="119"/>
        <v>7</v>
      </c>
      <c r="AI287" s="224">
        <f t="shared" si="120"/>
        <v>1.1950925754935517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45565</v>
      </c>
      <c r="B288" s="409">
        <f>'2023'!Wh/'2023'!Env_an*'2024'!Env_an</f>
        <v>34.146606360081073</v>
      </c>
      <c r="C288" s="829"/>
      <c r="D288" s="391">
        <f t="shared" si="102"/>
        <v>35.542101927830984</v>
      </c>
      <c r="E288" s="383">
        <f t="shared" si="100"/>
        <v>37.408831828623015</v>
      </c>
      <c r="F288" s="383">
        <f t="shared" si="103"/>
        <v>37.610652734699144</v>
      </c>
      <c r="G288" s="110">
        <f t="shared" si="101"/>
        <v>0.8371167877798078</v>
      </c>
      <c r="H288" s="412" t="b">
        <f>Wh_hp&gt;='2023'!Maxi_hp</f>
        <v>0</v>
      </c>
      <c r="I288" s="388">
        <f>IF(H288,Wh_hp,'2023'!Maxi_hp)</f>
        <v>44.215885035477228</v>
      </c>
      <c r="J288" s="85">
        <f>IF(H288,An,'2023'!An_max)</f>
        <v>2020</v>
      </c>
      <c r="K288" s="197">
        <f t="shared" si="104"/>
        <v>45565</v>
      </c>
      <c r="L288" s="147">
        <f>IF(t&lt;Tvie,1-EXP((T0-t)*PertePVj)+'2023'!Pspv,1-EXP((T0-t)*PertePVj)+Pspv)</f>
        <v>3.9263169369765816E-2</v>
      </c>
      <c r="M288" s="832"/>
      <c r="N288" s="832"/>
      <c r="O288" s="48">
        <f>IF(t&lt;Tnet,'2023'!Resal+('2023'!Salim-'2023'!Resal)*(1-EXP(('2023'!Tnet-t)/('2023'!Tau_j))),Resal+(Salim-Resal)*(1-EXP((Tnet-t)/(Tau_j))))*Salcycl</f>
        <v>4.99007803650185E-2</v>
      </c>
      <c r="P288" s="169">
        <f>(INDEX(Models!$BJ288:$BT288,,T288)*(1-R288)+INDEX(Models!$BJ288:$BT288,,T288+1)*R288-ERP_i)*Q288*Ramure*Pc/MaxiM</f>
        <v>6.9757161992437906E-3</v>
      </c>
      <c r="Q288" s="304">
        <f t="shared" si="105"/>
        <v>0.7</v>
      </c>
      <c r="R288" s="177">
        <f t="shared" si="106"/>
        <v>0.13091894419591821</v>
      </c>
      <c r="S288" s="799">
        <f t="shared" si="107"/>
        <v>1</v>
      </c>
      <c r="T288" s="176">
        <f t="shared" si="108"/>
        <v>7</v>
      </c>
      <c r="U288" s="250">
        <f t="shared" si="109"/>
        <v>1.1309189441959182</v>
      </c>
      <c r="V288" s="382">
        <f t="shared" si="110"/>
        <v>40.72471837275657</v>
      </c>
      <c r="W288" s="400">
        <f t="shared" si="111"/>
        <v>34.146606360081073</v>
      </c>
      <c r="X288" s="157">
        <f t="shared" si="112"/>
        <v>45565</v>
      </c>
      <c r="Y288" s="383">
        <f t="shared" si="113"/>
        <v>33.773973431272083</v>
      </c>
      <c r="Z288" s="383">
        <f t="shared" si="114"/>
        <v>35.154240323145181</v>
      </c>
      <c r="AA288" s="384">
        <f t="shared" si="115"/>
        <v>37.396752899390037</v>
      </c>
      <c r="AB288" s="197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5.9965435562760683E-2</v>
      </c>
      <c r="AD288" s="230">
        <f>(INDEX(Models!$BJ288:$BT288,,AH288)*(1-AF288)+INDEX(Models!$BJ288:$BT288,,AH288+1)*AF288-ERP_i)*AE288*Ramure*Pc/MaxiM</f>
        <v>7.3932110165956452E-3</v>
      </c>
      <c r="AE288" s="304">
        <f t="shared" si="117"/>
        <v>0.7</v>
      </c>
      <c r="AF288" s="177">
        <f t="shared" si="118"/>
        <v>0.19525116645575036</v>
      </c>
      <c r="AG288" s="799">
        <f t="shared" si="124"/>
        <v>1</v>
      </c>
      <c r="AH288" s="176">
        <f t="shared" si="119"/>
        <v>7</v>
      </c>
      <c r="AI288" s="224">
        <f t="shared" si="120"/>
        <v>1.1952511664557504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45566</v>
      </c>
      <c r="B289" s="409">
        <f>'2023'!Wh/'2023'!Env_an*'2024'!Env_an</f>
        <v>38.64065628042335</v>
      </c>
      <c r="C289" s="829"/>
      <c r="D289" s="391">
        <f t="shared" si="102"/>
        <v>40.220584453527998</v>
      </c>
      <c r="E289" s="383">
        <f t="shared" si="100"/>
        <v>42.334846151117901</v>
      </c>
      <c r="F289" s="383">
        <f t="shared" si="103"/>
        <v>42.621272958967239</v>
      </c>
      <c r="G289" s="110">
        <f t="shared" si="101"/>
        <v>0.95456498390933464</v>
      </c>
      <c r="H289" s="412" t="b">
        <f>Wh_hp&gt;='2023'!Maxi_hp</f>
        <v>0</v>
      </c>
      <c r="I289" s="388">
        <f>IF(H289,Wh_hp,'2023'!Maxi_hp)</f>
        <v>42.630714957104409</v>
      </c>
      <c r="J289" s="85">
        <f>IF(H289,An,'2023'!An_max)</f>
        <v>2022</v>
      </c>
      <c r="K289" s="197">
        <f t="shared" si="104"/>
        <v>45566</v>
      </c>
      <c r="L289" s="147">
        <f>IF(t&lt;Tvie,1-EXP((T0-t)*PertePVj)+'2023'!Pspv,1-EXP((T0-t)*PertePVj)+Pspv)</f>
        <v>3.928158167194562E-2</v>
      </c>
      <c r="M289" s="832"/>
      <c r="N289" s="832"/>
      <c r="O289" s="48">
        <f>IF(t&lt;Tnet,'2023'!Resal+('2023'!Salim-'2023'!Resal)*(1-EXP(('2023'!Tnet-t)/('2023'!Tau_j))),Resal+(Salim-Resal)*(1-EXP((Tnet-t)/(Tau_j))))*Salcycl</f>
        <v>4.9941405008131108E-2</v>
      </c>
      <c r="P289" s="169">
        <f>(INDEX(Models!$BJ289:$BT289,,T289)*(1-R289)+INDEX(Models!$BJ289:$BT289,,T289+1)*R289-ERP_i)*Q289*Ramure*Pc/MaxiM</f>
        <v>7.1818801158286894E-3</v>
      </c>
      <c r="Q289" s="304">
        <f t="shared" si="105"/>
        <v>0.7</v>
      </c>
      <c r="R289" s="177">
        <f t="shared" si="106"/>
        <v>0.13107126911364331</v>
      </c>
      <c r="S289" s="799">
        <f t="shared" si="107"/>
        <v>1</v>
      </c>
      <c r="T289" s="176">
        <f t="shared" si="108"/>
        <v>7</v>
      </c>
      <c r="U289" s="250">
        <f t="shared" si="109"/>
        <v>1.1310712691136433</v>
      </c>
      <c r="V289" s="382">
        <f t="shared" si="110"/>
        <v>40.461047334901075</v>
      </c>
      <c r="W289" s="400">
        <f t="shared" si="111"/>
        <v>38.64065628042335</v>
      </c>
      <c r="X289" s="157">
        <f t="shared" si="112"/>
        <v>45566</v>
      </c>
      <c r="Y289" s="383">
        <f t="shared" si="113"/>
        <v>38.215662043131317</v>
      </c>
      <c r="Z289" s="383">
        <f t="shared" si="114"/>
        <v>39.778213172636292</v>
      </c>
      <c r="AA289" s="384">
        <f t="shared" si="115"/>
        <v>42.316817514803148</v>
      </c>
      <c r="AB289" s="197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5.9990436220275951E-2</v>
      </c>
      <c r="AD289" s="230">
        <f>(INDEX(Models!$BJ289:$BT289,,AH289)*(1-AF289)+INDEX(Models!$BJ289:$BT289,,AH289+1)*AF289-ERP_i)*AE289*Ramure*Pc/MaxiM</f>
        <v>7.6339310451277688E-3</v>
      </c>
      <c r="AE289" s="304">
        <f t="shared" si="117"/>
        <v>0.7</v>
      </c>
      <c r="AF289" s="177">
        <f t="shared" si="118"/>
        <v>0.19540349137347546</v>
      </c>
      <c r="AG289" s="799">
        <f t="shared" si="124"/>
        <v>1</v>
      </c>
      <c r="AH289" s="176">
        <f t="shared" si="119"/>
        <v>7</v>
      </c>
      <c r="AI289" s="224">
        <f t="shared" si="120"/>
        <v>1.1954034913734755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45567</v>
      </c>
      <c r="B290" s="409">
        <f>'2023'!Wh/'2023'!Env_an*'2024'!Env_an</f>
        <v>34.367937484058814</v>
      </c>
      <c r="C290" s="829"/>
      <c r="D290" s="391">
        <f t="shared" si="102"/>
        <v>35.773849542902724</v>
      </c>
      <c r="E290" s="383">
        <f t="shared" si="100"/>
        <v>37.655940076326878</v>
      </c>
      <c r="F290" s="383">
        <f t="shared" si="103"/>
        <v>37.881118189860636</v>
      </c>
      <c r="G290" s="110">
        <f t="shared" si="101"/>
        <v>0.85380397389193596</v>
      </c>
      <c r="H290" s="412" t="b">
        <f>Wh_hp&gt;='2023'!Maxi_hp</f>
        <v>0</v>
      </c>
      <c r="I290" s="388">
        <f>IF(H290,Wh_hp,'2023'!Maxi_hp)</f>
        <v>37.910091301325672</v>
      </c>
      <c r="J290" s="85">
        <f>IF(H290,An,'2023'!An_max)</f>
        <v>2022</v>
      </c>
      <c r="K290" s="197">
        <f t="shared" si="104"/>
        <v>45567</v>
      </c>
      <c r="L290" s="147">
        <f>IF(t&lt;Tvie,1-EXP((T0-t)*PertePVj)+'2023'!Pspv,1-EXP((T0-t)*PertePVj)+Pspv)</f>
        <v>3.9299993621257689E-2</v>
      </c>
      <c r="M290" s="832"/>
      <c r="N290" s="832"/>
      <c r="O290" s="48">
        <f>IF(t&lt;Tnet,'2023'!Resal+('2023'!Salim-'2023'!Resal)*(1-EXP(('2023'!Tnet-t)/('2023'!Tau_j))),Resal+(Salim-Resal)*(1-EXP((Tnet-t)/(Tau_j))))*Salcycl</f>
        <v>4.9981238806128321E-2</v>
      </c>
      <c r="P290" s="169">
        <f>(INDEX(Models!$BJ290:$BT290,,T290)*(1-R290)+INDEX(Models!$BJ290:$BT290,,T290+1)*R290-ERP_i)*Q290*Ramure*Pc/MaxiM</f>
        <v>7.4954927574006434E-3</v>
      </c>
      <c r="Q290" s="304">
        <f t="shared" si="105"/>
        <v>0.7</v>
      </c>
      <c r="R290" s="177">
        <f t="shared" si="106"/>
        <v>0.13121757099027387</v>
      </c>
      <c r="S290" s="799">
        <f t="shared" si="107"/>
        <v>1</v>
      </c>
      <c r="T290" s="176">
        <f t="shared" si="108"/>
        <v>7</v>
      </c>
      <c r="U290" s="250">
        <f t="shared" si="109"/>
        <v>1.1312175709902739</v>
      </c>
      <c r="V290" s="382">
        <f t="shared" si="110"/>
        <v>40.189914435006827</v>
      </c>
      <c r="W290" s="400">
        <f t="shared" si="111"/>
        <v>34.367937484058814</v>
      </c>
      <c r="X290" s="157">
        <f t="shared" si="112"/>
        <v>45567</v>
      </c>
      <c r="Y290" s="383">
        <f t="shared" si="113"/>
        <v>33.991638374960623</v>
      </c>
      <c r="Z290" s="383">
        <f t="shared" si="114"/>
        <v>35.382156916068453</v>
      </c>
      <c r="AA290" s="384">
        <f t="shared" si="115"/>
        <v>37.641174427820907</v>
      </c>
      <c r="AB290" s="197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6.0014533183183408E-2</v>
      </c>
      <c r="AD290" s="230">
        <f>(INDEX(Models!$BJ290:$BT290,,AH290)*(1-AF290)+INDEX(Models!$BJ290:$BT290,,AH290+1)*AF290-ERP_i)*AE290*Ramure*Pc/MaxiM</f>
        <v>7.9869961708450652E-3</v>
      </c>
      <c r="AE290" s="304">
        <f t="shared" si="117"/>
        <v>0.7</v>
      </c>
      <c r="AF290" s="177">
        <f t="shared" si="118"/>
        <v>0.19554979325010602</v>
      </c>
      <c r="AG290" s="799">
        <f t="shared" si="124"/>
        <v>1</v>
      </c>
      <c r="AH290" s="176">
        <f t="shared" si="119"/>
        <v>7</v>
      </c>
      <c r="AI290" s="224">
        <f t="shared" si="120"/>
        <v>1.195549793250106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45568</v>
      </c>
      <c r="B291" s="409">
        <f>'2023'!Wh/'2023'!Env_an*'2024'!Env_an</f>
        <v>40.98559584808968</v>
      </c>
      <c r="C291" s="829"/>
      <c r="D291" s="391">
        <f t="shared" si="102"/>
        <v>42.663038482982294</v>
      </c>
      <c r="E291" s="383">
        <f t="shared" si="100"/>
        <v>44.90941980547241</v>
      </c>
      <c r="F291" s="383">
        <f t="shared" si="103"/>
        <v>45.267692249825409</v>
      </c>
      <c r="G291" s="110">
        <f t="shared" si="101"/>
        <v>1.026902106932625</v>
      </c>
      <c r="H291" s="412" t="b">
        <f>Wh_hp&gt;='2023'!Maxi_hp</f>
        <v>1</v>
      </c>
      <c r="I291" s="388">
        <f>IF(H291,Wh_hp,'2023'!Maxi_hp)</f>
        <v>45.267692249825409</v>
      </c>
      <c r="J291" s="85">
        <f>IF(H291,An,'2023'!An_max)</f>
        <v>2024</v>
      </c>
      <c r="K291" s="197">
        <f t="shared" si="104"/>
        <v>45568</v>
      </c>
      <c r="L291" s="147">
        <f>IF(t&lt;Tvie,1-EXP((T0-t)*PertePVj)+'2023'!Pspv,1-EXP((T0-t)*PertePVj)+Pspv)</f>
        <v>3.9318405217709129E-2</v>
      </c>
      <c r="M291" s="832"/>
      <c r="N291" s="832"/>
      <c r="O291" s="48">
        <f>IF(t&lt;Tnet,'2023'!Resal+('2023'!Salim-'2023'!Resal)*(1-EXP(('2023'!Tnet-t)/('2023'!Tau_j))),Resal+(Salim-Resal)*(1-EXP((Tnet-t)/(Tau_j))))*Salcycl</f>
        <v>5.0020270406975709E-2</v>
      </c>
      <c r="P291" s="169">
        <f>(INDEX(Models!$BJ291:$BT291,,T291)*(1-R291)+INDEX(Models!$BJ291:$BT291,,T291+1)*R291-ERP_i)*Q291*Ramure*Pc/MaxiM</f>
        <v>7.9145285864309564E-3</v>
      </c>
      <c r="Q291" s="304">
        <f t="shared" si="105"/>
        <v>0.7</v>
      </c>
      <c r="R291" s="177">
        <f t="shared" si="106"/>
        <v>0.13135808376333813</v>
      </c>
      <c r="S291" s="799">
        <f t="shared" si="107"/>
        <v>1</v>
      </c>
      <c r="T291" s="176">
        <f t="shared" si="108"/>
        <v>7</v>
      </c>
      <c r="U291" s="250">
        <f t="shared" si="109"/>
        <v>1.1313580837633381</v>
      </c>
      <c r="V291" s="382">
        <f t="shared" si="110"/>
        <v>39.911882127220856</v>
      </c>
      <c r="W291" s="400">
        <f t="shared" si="111"/>
        <v>40.98559584808968</v>
      </c>
      <c r="X291" s="157">
        <f t="shared" si="112"/>
        <v>45568</v>
      </c>
      <c r="Y291" s="383">
        <f t="shared" si="113"/>
        <v>40.531578661975217</v>
      </c>
      <c r="Z291" s="383">
        <f t="shared" si="114"/>
        <v>42.190439456852985</v>
      </c>
      <c r="AA291" s="384">
        <f t="shared" si="115"/>
        <v>44.88524707081713</v>
      </c>
      <c r="AB291" s="197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6.0037713721670036E-2</v>
      </c>
      <c r="AD291" s="230">
        <f>(INDEX(Models!$BJ291:$BT291,,AH291)*(1-AF291)+INDEX(Models!$BJ291:$BT291,,AH291+1)*AF291-ERP_i)*AE291*Ramure*Pc/MaxiM</f>
        <v>8.4485238809529958E-3</v>
      </c>
      <c r="AE291" s="304">
        <f t="shared" si="117"/>
        <v>0.7</v>
      </c>
      <c r="AF291" s="177">
        <f t="shared" si="118"/>
        <v>0.19569030602317028</v>
      </c>
      <c r="AG291" s="799">
        <f t="shared" si="124"/>
        <v>1</v>
      </c>
      <c r="AH291" s="176">
        <f t="shared" si="119"/>
        <v>7</v>
      </c>
      <c r="AI291" s="224">
        <f t="shared" si="120"/>
        <v>1.1956903060231703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45569</v>
      </c>
      <c r="B292" s="409">
        <f>'2023'!Wh/'2023'!Env_an*'2024'!Env_an</f>
        <v>40.647449625324953</v>
      </c>
      <c r="C292" s="829"/>
      <c r="D292" s="391">
        <f t="shared" si="102"/>
        <v>42.311863639445647</v>
      </c>
      <c r="E292" s="383">
        <f t="shared" si="100"/>
        <v>44.541546180017789</v>
      </c>
      <c r="F292" s="383">
        <f t="shared" si="103"/>
        <v>44.920703887087058</v>
      </c>
      <c r="G292" s="110">
        <f t="shared" si="101"/>
        <v>1.0257418885232878</v>
      </c>
      <c r="H292" s="412" t="b">
        <f>Wh_hp&gt;='2023'!Maxi_hp</f>
        <v>1</v>
      </c>
      <c r="I292" s="388">
        <f>IF(H292,Wh_hp,'2023'!Maxi_hp)</f>
        <v>44.920703887087058</v>
      </c>
      <c r="J292" s="85">
        <f>IF(H292,An,'2023'!An_max)</f>
        <v>2024</v>
      </c>
      <c r="K292" s="197">
        <f t="shared" si="104"/>
        <v>45569</v>
      </c>
      <c r="L292" s="147">
        <f>IF(t&lt;Tvie,1-EXP((T0-t)*PertePVj)+'2023'!Pspv,1-EXP((T0-t)*PertePVj)+Pspv)</f>
        <v>3.9336816461306379E-2</v>
      </c>
      <c r="M292" s="832"/>
      <c r="N292" s="832"/>
      <c r="O292" s="48">
        <f>IF(t&lt;Tnet,'2023'!Resal+('2023'!Salim-'2023'!Resal)*(1-EXP(('2023'!Tnet-t)/('2023'!Tau_j))),Resal+(Salim-Resal)*(1-EXP((Tnet-t)/(Tau_j))))*Salcycl</f>
        <v>5.0058489922211596E-2</v>
      </c>
      <c r="P292" s="169">
        <f>(INDEX(Models!$BJ292:$BT292,,T292)*(1-R292)+INDEX(Models!$BJ292:$BT292,,T292+1)*R292-ERP_i)*Q292*Ramure*Pc/MaxiM</f>
        <v>8.4406003080967126E-3</v>
      </c>
      <c r="Q292" s="304">
        <f t="shared" si="105"/>
        <v>0.7</v>
      </c>
      <c r="R292" s="177">
        <f t="shared" si="106"/>
        <v>0.13149303261452339</v>
      </c>
      <c r="S292" s="799">
        <f t="shared" si="107"/>
        <v>1</v>
      </c>
      <c r="T292" s="176">
        <f t="shared" si="108"/>
        <v>7</v>
      </c>
      <c r="U292" s="250">
        <f t="shared" si="109"/>
        <v>1.1314930326145234</v>
      </c>
      <c r="V292" s="382">
        <f t="shared" si="110"/>
        <v>39.627366377562254</v>
      </c>
      <c r="W292" s="400">
        <f t="shared" si="111"/>
        <v>40.647449625324953</v>
      </c>
      <c r="X292" s="157">
        <f t="shared" si="112"/>
        <v>45569</v>
      </c>
      <c r="Y292" s="383">
        <f t="shared" si="113"/>
        <v>40.195983666589122</v>
      </c>
      <c r="Z292" s="383">
        <f t="shared" si="114"/>
        <v>41.8419112498133</v>
      </c>
      <c r="AA292" s="384">
        <f t="shared" si="115"/>
        <v>44.515511389368491</v>
      </c>
      <c r="AB292" s="197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6.0059966876932706E-2</v>
      </c>
      <c r="AD292" s="230">
        <f>(INDEX(Models!$BJ292:$BT292,,AH292)*(1-AF292)+INDEX(Models!$BJ292:$BT292,,AH292+1)*AF292-ERP_i)*AE292*Ramure*Pc/MaxiM</f>
        <v>9.0201724963407236E-3</v>
      </c>
      <c r="AE292" s="304">
        <f t="shared" si="117"/>
        <v>0.7</v>
      </c>
      <c r="AF292" s="177">
        <f t="shared" si="118"/>
        <v>0.19582525487435554</v>
      </c>
      <c r="AG292" s="799">
        <f t="shared" si="124"/>
        <v>1</v>
      </c>
      <c r="AH292" s="176">
        <f t="shared" si="119"/>
        <v>7</v>
      </c>
      <c r="AI292" s="224">
        <f t="shared" si="120"/>
        <v>1.1958252548743555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45570</v>
      </c>
      <c r="B293" s="409">
        <f>'2023'!Wh/'2023'!Env_an*'2024'!Env_an</f>
        <v>14.449958180960541</v>
      </c>
      <c r="C293" s="829"/>
      <c r="D293" s="391">
        <f t="shared" si="102"/>
        <v>15.041937032697675</v>
      </c>
      <c r="E293" s="383">
        <f t="shared" si="100"/>
        <v>15.835216270357005</v>
      </c>
      <c r="F293" s="383">
        <f t="shared" si="103"/>
        <v>15.849053178477721</v>
      </c>
      <c r="G293" s="110">
        <f t="shared" si="101"/>
        <v>0.3643239240053982</v>
      </c>
      <c r="H293" s="412" t="b">
        <f>Wh_hp&gt;='2023'!Maxi_hp</f>
        <v>0</v>
      </c>
      <c r="I293" s="388">
        <f>IF(H293,Wh_hp,'2023'!Maxi_hp)</f>
        <v>37.456299477721394</v>
      </c>
      <c r="J293" s="85">
        <f>IF(H293,An,'2023'!An_max)</f>
        <v>2021</v>
      </c>
      <c r="K293" s="197">
        <f t="shared" si="104"/>
        <v>45570</v>
      </c>
      <c r="L293" s="147">
        <f>IF(t&lt;Tvie,1-EXP((T0-t)*PertePVj)+'2023'!Pspv,1-EXP((T0-t)*PertePVj)+Pspv)</f>
        <v>3.9355227352056432E-2</v>
      </c>
      <c r="M293" s="832"/>
      <c r="N293" s="832"/>
      <c r="O293" s="48">
        <f>IF(t&lt;Tnet,'2023'!Resal+('2023'!Salim-'2023'!Resal)*(1-EXP(('2023'!Tnet-t)/('2023'!Tau_j))),Resal+(Salim-Resal)*(1-EXP((Tnet-t)/(Tau_j))))*Salcycl</f>
        <v>5.0095889068741184E-2</v>
      </c>
      <c r="P293" s="169">
        <f>(INDEX(Models!$BJ293:$BT293,,T293)*(1-R293)+INDEX(Models!$BJ293:$BT293,,T293+1)*R293-ERP_i)*Q293*Ramure*Pc/MaxiM</f>
        <v>9.075348633221493E-3</v>
      </c>
      <c r="Q293" s="304">
        <f t="shared" si="105"/>
        <v>0.7</v>
      </c>
      <c r="R293" s="177">
        <f t="shared" si="106"/>
        <v>0.1316226342713549</v>
      </c>
      <c r="S293" s="799">
        <f t="shared" si="107"/>
        <v>1</v>
      </c>
      <c r="T293" s="176">
        <f t="shared" si="108"/>
        <v>7</v>
      </c>
      <c r="U293" s="250">
        <f t="shared" si="109"/>
        <v>1.1316226342713549</v>
      </c>
      <c r="V293" s="382">
        <f t="shared" si="110"/>
        <v>39.336784383599195</v>
      </c>
      <c r="W293" s="400">
        <f t="shared" si="111"/>
        <v>14.449958180960541</v>
      </c>
      <c r="X293" s="157">
        <f t="shared" si="112"/>
        <v>45570</v>
      </c>
      <c r="Y293" s="383">
        <f t="shared" si="113"/>
        <v>14.297195250630052</v>
      </c>
      <c r="Z293" s="383">
        <f t="shared" si="114"/>
        <v>14.882915785010656</v>
      </c>
      <c r="AA293" s="384">
        <f t="shared" si="115"/>
        <v>15.834258352096619</v>
      </c>
      <c r="AB293" s="197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6.008128362766002E-2</v>
      </c>
      <c r="AD293" s="230">
        <f>(INDEX(Models!$BJ293:$BT293,,AH293)*(1-AF293)+INDEX(Models!$BJ293:$BT293,,AH293+1)*AF293-ERP_i)*AE293*Ramure*Pc/MaxiM</f>
        <v>9.7036278773478864E-3</v>
      </c>
      <c r="AE293" s="304">
        <f t="shared" si="117"/>
        <v>0.7</v>
      </c>
      <c r="AF293" s="177">
        <f t="shared" si="118"/>
        <v>0.19595485653118705</v>
      </c>
      <c r="AG293" s="799">
        <f t="shared" si="124"/>
        <v>1</v>
      </c>
      <c r="AH293" s="176">
        <f t="shared" si="119"/>
        <v>7</v>
      </c>
      <c r="AI293" s="224">
        <f t="shared" si="120"/>
        <v>1.195954856531187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45571</v>
      </c>
      <c r="B294" s="409">
        <f>'2023'!Wh/'2023'!Env_an*'2024'!Env_an</f>
        <v>30.587132029587519</v>
      </c>
      <c r="C294" s="829"/>
      <c r="D294" s="391">
        <f t="shared" si="102"/>
        <v>31.84082098517711</v>
      </c>
      <c r="E294" s="383">
        <f t="shared" si="100"/>
        <v>33.521327646383064</v>
      </c>
      <c r="F294" s="383">
        <f t="shared" si="103"/>
        <v>33.750245509128334</v>
      </c>
      <c r="G294" s="110">
        <f t="shared" si="101"/>
        <v>0.78107450980858995</v>
      </c>
      <c r="H294" s="412" t="b">
        <f>Wh_hp&gt;='2023'!Maxi_hp</f>
        <v>0</v>
      </c>
      <c r="I294" s="388">
        <f>IF(H294,Wh_hp,'2023'!Maxi_hp)</f>
        <v>42.329866448649689</v>
      </c>
      <c r="J294" s="85">
        <f>IF(H294,An,'2023'!An_max)</f>
        <v>2021</v>
      </c>
      <c r="K294" s="197">
        <f t="shared" si="104"/>
        <v>45571</v>
      </c>
      <c r="L294" s="147">
        <f>IF(t&lt;Tvie,1-EXP((T0-t)*PertePVj)+'2023'!Pspv,1-EXP((T0-t)*PertePVj)+Pspv)</f>
        <v>3.9373637889965951E-2</v>
      </c>
      <c r="M294" s="832"/>
      <c r="N294" s="832"/>
      <c r="O294" s="48">
        <f>IF(t&lt;Tnet,'2023'!Resal+('2023'!Salim-'2023'!Resal)*(1-EXP(('2023'!Tnet-t)/('2023'!Tau_j))),Resal+(Salim-Resal)*(1-EXP((Tnet-t)/(Tau_j))))*Salcycl</f>
        <v>5.0132461307429224E-2</v>
      </c>
      <c r="P294" s="169">
        <f>(INDEX(Models!$BJ294:$BT294,,T294)*(1-R294)+INDEX(Models!$BJ294:$BT294,,T294+1)*R294-ERP_i)*Q294*Ramure*Pc/MaxiM</f>
        <v>9.8204320528956397E-3</v>
      </c>
      <c r="Q294" s="304">
        <f t="shared" si="105"/>
        <v>0.7</v>
      </c>
      <c r="R294" s="177">
        <f t="shared" si="106"/>
        <v>0.13174709730057321</v>
      </c>
      <c r="S294" s="799">
        <f t="shared" si="107"/>
        <v>1</v>
      </c>
      <c r="T294" s="176">
        <f t="shared" si="108"/>
        <v>7</v>
      </c>
      <c r="U294" s="250">
        <f t="shared" si="109"/>
        <v>1.1317470973005732</v>
      </c>
      <c r="V294" s="382">
        <f t="shared" si="110"/>
        <v>39.040554619887814</v>
      </c>
      <c r="W294" s="400">
        <f t="shared" si="111"/>
        <v>30.587132029587519</v>
      </c>
      <c r="X294" s="157">
        <f t="shared" si="112"/>
        <v>45571</v>
      </c>
      <c r="Y294" s="383">
        <f t="shared" si="113"/>
        <v>30.251794105318524</v>
      </c>
      <c r="Z294" s="383">
        <f t="shared" si="114"/>
        <v>31.491738409999371</v>
      </c>
      <c r="AA294" s="384">
        <f t="shared" si="115"/>
        <v>33.505472848516568</v>
      </c>
      <c r="AB294" s="197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6.0101657052315099E-2</v>
      </c>
      <c r="AD294" s="230">
        <f>(INDEX(Models!$BJ294:$BT294,,AH294)*(1-AF294)+INDEX(Models!$BJ294:$BT294,,AH294+1)*AF294-ERP_i)*AE294*Ramure*Pc/MaxiM</f>
        <v>1.0500592890031933E-2</v>
      </c>
      <c r="AE294" s="304">
        <f t="shared" si="117"/>
        <v>0.7</v>
      </c>
      <c r="AF294" s="177">
        <f t="shared" si="118"/>
        <v>0.19607931956040536</v>
      </c>
      <c r="AG294" s="799">
        <f t="shared" si="124"/>
        <v>1</v>
      </c>
      <c r="AH294" s="176">
        <f t="shared" si="119"/>
        <v>7</v>
      </c>
      <c r="AI294" s="224">
        <f t="shared" si="120"/>
        <v>1.1960793195604054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45572</v>
      </c>
      <c r="B295" s="409">
        <f>'2023'!Wh/'2023'!Env_an*'2024'!Env_an</f>
        <v>14.731800820430868</v>
      </c>
      <c r="C295" s="829"/>
      <c r="D295" s="391">
        <f t="shared" si="102"/>
        <v>15.335913877154434</v>
      </c>
      <c r="E295" s="383">
        <f t="shared" si="100"/>
        <v>16.145925951392783</v>
      </c>
      <c r="F295" s="383">
        <f t="shared" si="103"/>
        <v>16.16572244311805</v>
      </c>
      <c r="G295" s="110">
        <f t="shared" si="101"/>
        <v>0.37668331804658994</v>
      </c>
      <c r="H295" s="412" t="b">
        <f>Wh_hp&gt;='2023'!Maxi_hp</f>
        <v>0</v>
      </c>
      <c r="I295" s="388">
        <f>IF(H295,Wh_hp,'2023'!Maxi_hp)</f>
        <v>42.692090541725008</v>
      </c>
      <c r="J295" s="85">
        <f>IF(H295,An,'2023'!An_max)</f>
        <v>2021</v>
      </c>
      <c r="K295" s="197">
        <f t="shared" si="104"/>
        <v>45572</v>
      </c>
      <c r="L295" s="147">
        <f>IF(t&lt;Tvie,1-EXP((T0-t)*PertePVj)+'2023'!Pspv,1-EXP((T0-t)*PertePVj)+Pspv)</f>
        <v>3.9392048075041708E-2</v>
      </c>
      <c r="M295" s="832"/>
      <c r="N295" s="832"/>
      <c r="O295" s="48">
        <f>IF(t&lt;Tnet,'2023'!Resal+('2023'!Salim-'2023'!Resal)*(1-EXP(('2023'!Tnet-t)/('2023'!Tau_j))),Resal+(Salim-Resal)*(1-EXP((Tnet-t)/(Tau_j))))*Salcycl</f>
        <v>5.0168201977197534E-2</v>
      </c>
      <c r="P295" s="169">
        <f>(INDEX(Models!$BJ295:$BT295,,T295)*(1-R295)+INDEX(Models!$BJ295:$BT295,,T295+1)*R295-ERP_i)*Q295*Ramure*Pc/MaxiM</f>
        <v>1.0677516157550856E-2</v>
      </c>
      <c r="Q295" s="304">
        <f t="shared" si="105"/>
        <v>0.7</v>
      </c>
      <c r="R295" s="177">
        <f t="shared" si="106"/>
        <v>0.13186662239326208</v>
      </c>
      <c r="S295" s="799">
        <f t="shared" si="107"/>
        <v>1</v>
      </c>
      <c r="T295" s="176">
        <f t="shared" si="108"/>
        <v>7</v>
      </c>
      <c r="U295" s="250">
        <f t="shared" si="109"/>
        <v>1.1318666223932621</v>
      </c>
      <c r="V295" s="382">
        <f t="shared" si="110"/>
        <v>38.739096878765949</v>
      </c>
      <c r="W295" s="400">
        <f t="shared" si="111"/>
        <v>14.731800820430868</v>
      </c>
      <c r="X295" s="157">
        <f t="shared" si="112"/>
        <v>45572</v>
      </c>
      <c r="Y295" s="383">
        <f t="shared" si="113"/>
        <v>14.57620181991062</v>
      </c>
      <c r="Z295" s="383">
        <f t="shared" si="114"/>
        <v>15.173934163985869</v>
      </c>
      <c r="AA295" s="384">
        <f t="shared" si="115"/>
        <v>16.144562752951362</v>
      </c>
      <c r="AB295" s="197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6.0121082485684138E-2</v>
      </c>
      <c r="AD295" s="230">
        <f>(INDEX(Models!$BJ295:$BT295,,AH295)*(1-AF295)+INDEX(Models!$BJ295:$BT295,,AH295+1)*AF295-ERP_i)*AE295*Ramure*Pc/MaxiM</f>
        <v>1.1412776403974251E-2</v>
      </c>
      <c r="AE295" s="304">
        <f t="shared" si="117"/>
        <v>0.7</v>
      </c>
      <c r="AF295" s="177">
        <f t="shared" si="118"/>
        <v>0.19619884465309423</v>
      </c>
      <c r="AG295" s="799">
        <f t="shared" si="124"/>
        <v>1</v>
      </c>
      <c r="AH295" s="176">
        <f t="shared" si="119"/>
        <v>7</v>
      </c>
      <c r="AI295" s="224">
        <f t="shared" si="120"/>
        <v>1.1961988446530942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45573</v>
      </c>
      <c r="B296" s="409">
        <f>'2023'!Wh/'2023'!Env_an*'2024'!Env_an</f>
        <v>38.528235515638045</v>
      </c>
      <c r="C296" s="829"/>
      <c r="D296" s="391">
        <f t="shared" si="102"/>
        <v>40.108947502907085</v>
      </c>
      <c r="E296" s="383">
        <f t="shared" si="100"/>
        <v>42.228973224292247</v>
      </c>
      <c r="F296" s="383">
        <f t="shared" si="103"/>
        <v>42.727093613485295</v>
      </c>
      <c r="G296" s="110">
        <f t="shared" si="101"/>
        <v>1.0024924014672847</v>
      </c>
      <c r="H296" s="412" t="b">
        <f>Wh_hp&gt;='2023'!Maxi_hp</f>
        <v>1</v>
      </c>
      <c r="I296" s="388">
        <f>IF(H296,Wh_hp,'2023'!Maxi_hp)</f>
        <v>42.727093613485295</v>
      </c>
      <c r="J296" s="85">
        <f>IF(H296,An,'2023'!An_max)</f>
        <v>2024</v>
      </c>
      <c r="K296" s="197">
        <f t="shared" si="104"/>
        <v>45573</v>
      </c>
      <c r="L296" s="147">
        <f>IF(t&lt;Tvie,1-EXP((T0-t)*PertePVj)+'2023'!Pspv,1-EXP((T0-t)*PertePVj)+Pspv)</f>
        <v>3.9410457907290475E-2</v>
      </c>
      <c r="M296" s="832"/>
      <c r="N296" s="832"/>
      <c r="O296" s="48">
        <f>IF(t&lt;Tnet,'2023'!Resal+('2023'!Salim-'2023'!Resal)*(1-EXP(('2023'!Tnet-t)/('2023'!Tau_j))),Resal+(Salim-Resal)*(1-EXP((Tnet-t)/(Tau_j))))*Salcycl</f>
        <v>5.0203108423332726E-2</v>
      </c>
      <c r="P296" s="169">
        <f>(INDEX(Models!$BJ296:$BT296,,T296)*(1-R296)+INDEX(Models!$BJ296:$BT296,,T296+1)*R296-ERP_i)*Q296*Ramure*Pc/MaxiM</f>
        <v>1.1658185639751427E-2</v>
      </c>
      <c r="Q296" s="304">
        <f t="shared" si="105"/>
        <v>0.7</v>
      </c>
      <c r="R296" s="177">
        <f t="shared" si="106"/>
        <v>0.13198140264179203</v>
      </c>
      <c r="S296" s="799">
        <f t="shared" si="107"/>
        <v>1</v>
      </c>
      <c r="T296" s="176">
        <f t="shared" si="108"/>
        <v>7</v>
      </c>
      <c r="U296" s="250">
        <f t="shared" si="109"/>
        <v>1.131981402641792</v>
      </c>
      <c r="V296" s="382">
        <f t="shared" si="110"/>
        <v>38.432446429765157</v>
      </c>
      <c r="W296" s="400">
        <f t="shared" si="111"/>
        <v>38.528235515638045</v>
      </c>
      <c r="X296" s="157">
        <f t="shared" si="112"/>
        <v>45573</v>
      </c>
      <c r="Y296" s="383">
        <f t="shared" si="113"/>
        <v>38.094635037821803</v>
      </c>
      <c r="Z296" s="383">
        <f t="shared" si="114"/>
        <v>39.657557539956194</v>
      </c>
      <c r="AA296" s="384">
        <f t="shared" si="115"/>
        <v>42.195155529222816</v>
      </c>
      <c r="AB296" s="197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6.0139557668158691E-2</v>
      </c>
      <c r="AD296" s="230">
        <f>(INDEX(Models!$BJ296:$BT296,,AH296)*(1-AF296)+INDEX(Models!$BJ296:$BT296,,AH296+1)*AF296-ERP_i)*AE296*Ramure*Pc/MaxiM</f>
        <v>1.2449666927370715E-2</v>
      </c>
      <c r="AE296" s="304">
        <f t="shared" si="117"/>
        <v>0.7</v>
      </c>
      <c r="AF296" s="177">
        <f t="shared" si="118"/>
        <v>0.19631362490162418</v>
      </c>
      <c r="AG296" s="799">
        <f t="shared" si="124"/>
        <v>1</v>
      </c>
      <c r="AH296" s="176">
        <f t="shared" si="119"/>
        <v>7</v>
      </c>
      <c r="AI296" s="224">
        <f t="shared" si="120"/>
        <v>1.1963136249016242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45574</v>
      </c>
      <c r="B297" s="409">
        <f>'2023'!Wh/'2023'!Env_an*'2024'!Env_an</f>
        <v>33.594543526346918</v>
      </c>
      <c r="C297" s="829"/>
      <c r="D297" s="391">
        <f t="shared" si="102"/>
        <v>34.973509390138872</v>
      </c>
      <c r="E297" s="383">
        <f t="shared" ref="E297:E360" si="125">Wh_pvt/(1-Psa)</f>
        <v>36.823413865064246</v>
      </c>
      <c r="F297" s="383">
        <f t="shared" si="103"/>
        <v>37.21638665229726</v>
      </c>
      <c r="G297" s="110">
        <f t="shared" ref="G297:G360" si="126">+Wh_hp/MaxiM</f>
        <v>0.87929615820377494</v>
      </c>
      <c r="H297" s="412" t="b">
        <f>Wh_hp&gt;='2023'!Maxi_hp</f>
        <v>0</v>
      </c>
      <c r="I297" s="388">
        <f>IF(H297,Wh_hp,'2023'!Maxi_hp)</f>
        <v>37.259576820741849</v>
      </c>
      <c r="J297" s="85">
        <f>IF(H297,An,'2023'!An_max)</f>
        <v>2022</v>
      </c>
      <c r="K297" s="197">
        <f t="shared" si="104"/>
        <v>45574</v>
      </c>
      <c r="L297" s="147">
        <f>IF(t&lt;Tvie,1-EXP((T0-t)*PertePVj)+'2023'!Pspv,1-EXP((T0-t)*PertePVj)+Pspv)</f>
        <v>3.9428867386718913E-2</v>
      </c>
      <c r="M297" s="832"/>
      <c r="N297" s="832"/>
      <c r="O297" s="48">
        <f>IF(t&lt;Tnet,'2023'!Resal+('2023'!Salim-'2023'!Resal)*(1-EXP(('2023'!Tnet-t)/('2023'!Tau_j))),Resal+(Salim-Resal)*(1-EXP((Tnet-t)/(Tau_j))))*Salcycl</f>
        <v>5.0237180118719152E-2</v>
      </c>
      <c r="P297" s="169">
        <f>(INDEX(Models!$BJ297:$BT297,,T297)*(1-R297)+INDEX(Models!$BJ297:$BT297,,T297+1)*R297-ERP_i)*Q297*Ramure*Pc/MaxiM</f>
        <v>1.2717074200630349E-2</v>
      </c>
      <c r="Q297" s="304">
        <f t="shared" si="105"/>
        <v>0.7</v>
      </c>
      <c r="R297" s="177">
        <f t="shared" si="106"/>
        <v>0.13209162380866513</v>
      </c>
      <c r="S297" s="799">
        <f t="shared" si="107"/>
        <v>1</v>
      </c>
      <c r="T297" s="176">
        <f t="shared" si="108"/>
        <v>7</v>
      </c>
      <c r="U297" s="250">
        <f t="shared" si="109"/>
        <v>1.1320916238086651</v>
      </c>
      <c r="V297" s="382">
        <f t="shared" si="110"/>
        <v>38.122849190050665</v>
      </c>
      <c r="W297" s="400">
        <f t="shared" si="111"/>
        <v>33.594543526346918</v>
      </c>
      <c r="X297" s="157">
        <f t="shared" si="112"/>
        <v>45574</v>
      </c>
      <c r="Y297" s="383">
        <f t="shared" si="113"/>
        <v>33.220039833087242</v>
      </c>
      <c r="Z297" s="383">
        <f t="shared" si="114"/>
        <v>34.58363332521818</v>
      </c>
      <c r="AA297" s="384">
        <f t="shared" si="115"/>
        <v>36.797248450223705</v>
      </c>
      <c r="AB297" s="197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6.0157082886235835E-2</v>
      </c>
      <c r="AD297" s="230">
        <f>(INDEX(Models!$BJ297:$BT297,,AH297)*(1-AF297)+INDEX(Models!$BJ297:$BT297,,AH297+1)*AF297-ERP_i)*AE297*Ramure*Pc/MaxiM</f>
        <v>1.3563818638993228E-2</v>
      </c>
      <c r="AE297" s="304">
        <f t="shared" si="117"/>
        <v>0.7</v>
      </c>
      <c r="AF297" s="177">
        <f t="shared" si="118"/>
        <v>0.19642384606849728</v>
      </c>
      <c r="AG297" s="799">
        <f t="shared" si="124"/>
        <v>1</v>
      </c>
      <c r="AH297" s="176">
        <f t="shared" si="119"/>
        <v>7</v>
      </c>
      <c r="AI297" s="224">
        <f t="shared" si="120"/>
        <v>1.1964238460684973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45575</v>
      </c>
      <c r="B298" s="409">
        <f>'2023'!Wh/'2023'!Env_an*'2024'!Env_an</f>
        <v>24.15335313647941</v>
      </c>
      <c r="C298" s="829"/>
      <c r="D298" s="391">
        <f t="shared" si="102"/>
        <v>25.145265372634903</v>
      </c>
      <c r="E298" s="383">
        <f t="shared" si="125"/>
        <v>26.476236888659919</v>
      </c>
      <c r="F298" s="383">
        <f t="shared" si="103"/>
        <v>26.654980872738783</v>
      </c>
      <c r="G298" s="110">
        <f t="shared" si="126"/>
        <v>0.63419858598743861</v>
      </c>
      <c r="H298" s="412" t="b">
        <f>Wh_hp&gt;='2023'!Maxi_hp</f>
        <v>0</v>
      </c>
      <c r="I298" s="388">
        <f>IF(H298,Wh_hp,'2023'!Maxi_hp)</f>
        <v>42.840909894173365</v>
      </c>
      <c r="J298" s="85">
        <f>IF(H298,An,'2023'!An_max)</f>
        <v>2018</v>
      </c>
      <c r="K298" s="197">
        <f t="shared" si="104"/>
        <v>45575</v>
      </c>
      <c r="L298" s="147">
        <f>IF(t&lt;Tvie,1-EXP((T0-t)*PertePVj)+'2023'!Pspv,1-EXP((T0-t)*PertePVj)+Pspv)</f>
        <v>3.9447276513334018E-2</v>
      </c>
      <c r="M298" s="832"/>
      <c r="N298" s="832"/>
      <c r="O298" s="48">
        <f>IF(t&lt;Tnet,'2023'!Resal+('2023'!Salim-'2023'!Resal)*(1-EXP(('2023'!Tnet-t)/('2023'!Tau_j))),Resal+(Salim-Resal)*(1-EXP((Tnet-t)/(Tau_j))))*Salcycl</f>
        <v>5.0270418776736686E-2</v>
      </c>
      <c r="P298" s="169">
        <f>(INDEX(Models!$BJ298:$BT298,,T298)*(1-R298)+INDEX(Models!$BJ298:$BT298,,T298+1)*R298-ERP_i)*Q298*Ramure*Pc/MaxiM</f>
        <v>1.385518465098365E-2</v>
      </c>
      <c r="Q298" s="304">
        <f t="shared" si="105"/>
        <v>0.7</v>
      </c>
      <c r="R298" s="177">
        <f t="shared" si="106"/>
        <v>0.13219746458735804</v>
      </c>
      <c r="S298" s="799">
        <f t="shared" si="107"/>
        <v>1</v>
      </c>
      <c r="T298" s="176">
        <f t="shared" si="108"/>
        <v>7</v>
      </c>
      <c r="U298" s="250">
        <f t="shared" si="109"/>
        <v>1.132197464587358</v>
      </c>
      <c r="V298" s="382">
        <f t="shared" si="110"/>
        <v>37.810722360506965</v>
      </c>
      <c r="W298" s="400">
        <f t="shared" si="111"/>
        <v>24.15335313647941</v>
      </c>
      <c r="X298" s="157">
        <f t="shared" si="112"/>
        <v>45575</v>
      </c>
      <c r="Y298" s="383">
        <f t="shared" si="113"/>
        <v>23.891002100182977</v>
      </c>
      <c r="Z298" s="383">
        <f t="shared" si="114"/>
        <v>24.872140295914349</v>
      </c>
      <c r="AA298" s="384">
        <f t="shared" si="115"/>
        <v>26.464612946577251</v>
      </c>
      <c r="AB298" s="197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6.0173661102754197E-2</v>
      </c>
      <c r="AD298" s="230">
        <f>(INDEX(Models!$BJ298:$BT298,,AH298)*(1-AF298)+INDEX(Models!$BJ298:$BT298,,AH298+1)*AF298-ERP_i)*AE298*Ramure*Pc/MaxiM</f>
        <v>1.4756204423803754E-2</v>
      </c>
      <c r="AE298" s="304">
        <f t="shared" si="117"/>
        <v>0.7</v>
      </c>
      <c r="AF298" s="177">
        <f t="shared" si="118"/>
        <v>0.19652968684719019</v>
      </c>
      <c r="AG298" s="799">
        <f t="shared" si="124"/>
        <v>1</v>
      </c>
      <c r="AH298" s="176">
        <f t="shared" si="119"/>
        <v>7</v>
      </c>
      <c r="AI298" s="224">
        <f t="shared" si="120"/>
        <v>1.1965296868471902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45576</v>
      </c>
      <c r="B299" s="409">
        <f>'2023'!Wh/'2023'!Env_an*'2024'!Env_an</f>
        <v>22.967709709245369</v>
      </c>
      <c r="C299" s="829"/>
      <c r="D299" s="391">
        <f t="shared" si="102"/>
        <v>23.911389064857449</v>
      </c>
      <c r="E299" s="383">
        <f t="shared" si="125"/>
        <v>25.177909107539453</v>
      </c>
      <c r="F299" s="383">
        <f t="shared" si="103"/>
        <v>25.348501253874556</v>
      </c>
      <c r="G299" s="110">
        <f t="shared" si="126"/>
        <v>0.60738435631382093</v>
      </c>
      <c r="H299" s="412" t="b">
        <f>Wh_hp&gt;='2023'!Maxi_hp</f>
        <v>0</v>
      </c>
      <c r="I299" s="388">
        <f>IF(H299,Wh_hp,'2023'!Maxi_hp)</f>
        <v>40.800834584500151</v>
      </c>
      <c r="J299" s="85">
        <f>IF(H299,An,'2023'!An_max)</f>
        <v>2021</v>
      </c>
      <c r="K299" s="197">
        <f t="shared" si="104"/>
        <v>45576</v>
      </c>
      <c r="L299" s="147">
        <f>IF(t&lt;Tvie,1-EXP((T0-t)*PertePVj)+'2023'!Pspv,1-EXP((T0-t)*PertePVj)+Pspv)</f>
        <v>3.9465685287142338E-2</v>
      </c>
      <c r="M299" s="832"/>
      <c r="N299" s="832"/>
      <c r="O299" s="48">
        <f>IF(t&lt;Tnet,'2023'!Resal+('2023'!Salim-'2023'!Resal)*(1-EXP(('2023'!Tnet-t)/('2023'!Tau_j))),Resal+(Salim-Resal)*(1-EXP((Tnet-t)/(Tau_j))))*Salcycl</f>
        <v>5.0302828454597416E-2</v>
      </c>
      <c r="P299" s="169">
        <f>(INDEX(Models!$BJ299:$BT299,,T299)*(1-R299)+INDEX(Models!$BJ299:$BT299,,T299+1)*R299-ERP_i)*Q299*Ramure*Pc/MaxiM</f>
        <v>1.5073479123693015E-2</v>
      </c>
      <c r="Q299" s="304">
        <f t="shared" si="105"/>
        <v>0.7</v>
      </c>
      <c r="R299" s="177">
        <f t="shared" si="106"/>
        <v>0.13229909685527907</v>
      </c>
      <c r="S299" s="799">
        <f t="shared" si="107"/>
        <v>1</v>
      </c>
      <c r="T299" s="176">
        <f t="shared" si="108"/>
        <v>7</v>
      </c>
      <c r="U299" s="250">
        <f t="shared" si="109"/>
        <v>1.1322990968552791</v>
      </c>
      <c r="V299" s="382">
        <f t="shared" si="110"/>
        <v>37.496483895992689</v>
      </c>
      <c r="W299" s="400">
        <f t="shared" si="111"/>
        <v>22.967709709245369</v>
      </c>
      <c r="X299" s="157">
        <f t="shared" si="112"/>
        <v>45576</v>
      </c>
      <c r="Y299" s="383">
        <f t="shared" si="113"/>
        <v>22.718863625322133</v>
      </c>
      <c r="Z299" s="383">
        <f t="shared" si="114"/>
        <v>23.652318586987406</v>
      </c>
      <c r="AA299" s="384">
        <f t="shared" si="115"/>
        <v>25.167109225880843</v>
      </c>
      <c r="AB299" s="197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6.0189298075429581E-2</v>
      </c>
      <c r="AD299" s="230">
        <f>(INDEX(Models!$BJ299:$BT299,,AH299)*(1-AF299)+INDEX(Models!$BJ299:$BT299,,AH299+1)*AF299-ERP_i)*AE299*Ramure*Pc/MaxiM</f>
        <v>1.6027753949449546E-2</v>
      </c>
      <c r="AE299" s="304">
        <f t="shared" si="117"/>
        <v>0.7</v>
      </c>
      <c r="AF299" s="177">
        <f t="shared" si="118"/>
        <v>0.19663131911511122</v>
      </c>
      <c r="AG299" s="799">
        <f t="shared" si="124"/>
        <v>1</v>
      </c>
      <c r="AH299" s="176">
        <f t="shared" si="119"/>
        <v>7</v>
      </c>
      <c r="AI299" s="224">
        <f t="shared" si="120"/>
        <v>1.1966313191151112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45577</v>
      </c>
      <c r="B300" s="409">
        <f>'2023'!Wh/'2023'!Env_an*'2024'!Env_an</f>
        <v>23.598964571953822</v>
      </c>
      <c r="C300" s="829"/>
      <c r="D300" s="391">
        <f t="shared" si="102"/>
        <v>24.569051295630871</v>
      </c>
      <c r="E300" s="383">
        <f t="shared" si="125"/>
        <v>25.871266370405845</v>
      </c>
      <c r="F300" s="383">
        <f t="shared" si="103"/>
        <v>26.075407218729321</v>
      </c>
      <c r="G300" s="110">
        <f t="shared" si="126"/>
        <v>0.62924680663129917</v>
      </c>
      <c r="H300" s="412" t="b">
        <f>Wh_hp&gt;='2023'!Maxi_hp</f>
        <v>0</v>
      </c>
      <c r="I300" s="388">
        <f>IF(H300,Wh_hp,'2023'!Maxi_hp)</f>
        <v>40.05086474432693</v>
      </c>
      <c r="J300" s="85">
        <f>IF(H300,An,'2023'!An_max)</f>
        <v>2021</v>
      </c>
      <c r="K300" s="197">
        <f t="shared" si="104"/>
        <v>45577</v>
      </c>
      <c r="L300" s="147">
        <f>IF(t&lt;Tvie,1-EXP((T0-t)*PertePVj)+'2023'!Pspv,1-EXP((T0-t)*PertePVj)+Pspv)</f>
        <v>3.9484093708150647E-2</v>
      </c>
      <c r="M300" s="832"/>
      <c r="N300" s="832"/>
      <c r="O300" s="48">
        <f>IF(t&lt;Tnet,'2023'!Resal+('2023'!Salim-'2023'!Resal)*(1-EXP(('2023'!Tnet-t)/('2023'!Tau_j))),Resal+(Salim-Resal)*(1-EXP((Tnet-t)/(Tau_j))))*Salcycl</f>
        <v>5.0334415645945305E-2</v>
      </c>
      <c r="P300" s="169">
        <f>(INDEX(Models!$BJ300:$BT300,,T300)*(1-R300)+INDEX(Models!$BJ300:$BT300,,T300+1)*R300-ERP_i)*Q300*Ramure*Pc/MaxiM</f>
        <v>1.6372870016516515E-2</v>
      </c>
      <c r="Q300" s="304">
        <f t="shared" si="105"/>
        <v>0.7</v>
      </c>
      <c r="R300" s="177">
        <f t="shared" si="106"/>
        <v>0.13239668591895448</v>
      </c>
      <c r="S300" s="799">
        <f t="shared" si="107"/>
        <v>1</v>
      </c>
      <c r="T300" s="176">
        <f t="shared" si="108"/>
        <v>7</v>
      </c>
      <c r="U300" s="250">
        <f t="shared" si="109"/>
        <v>1.1323966859189545</v>
      </c>
      <c r="V300" s="382">
        <f t="shared" si="110"/>
        <v>37.180552481920706</v>
      </c>
      <c r="W300" s="400">
        <f t="shared" si="111"/>
        <v>23.598964571953822</v>
      </c>
      <c r="X300" s="157">
        <f t="shared" si="112"/>
        <v>45577</v>
      </c>
      <c r="Y300" s="383">
        <f t="shared" si="113"/>
        <v>23.342379866054451</v>
      </c>
      <c r="Z300" s="383">
        <f t="shared" si="114"/>
        <v>24.301919117789133</v>
      </c>
      <c r="AA300" s="384">
        <f t="shared" si="115"/>
        <v>25.858717404055238</v>
      </c>
      <c r="AB300" s="197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6.0204002462317149E-2</v>
      </c>
      <c r="AD300" s="230">
        <f>(INDEX(Models!$BJ300:$BT300,,AH300)*(1-AF300)+INDEX(Models!$BJ300:$BT300,,AH300+1)*AF300-ERP_i)*AE300*Ramure*Pc/MaxiM</f>
        <v>1.7379344696069787E-2</v>
      </c>
      <c r="AE300" s="304">
        <f t="shared" si="117"/>
        <v>0.7</v>
      </c>
      <c r="AF300" s="177">
        <f t="shared" si="118"/>
        <v>0.19672890817878663</v>
      </c>
      <c r="AG300" s="799">
        <f t="shared" si="124"/>
        <v>1</v>
      </c>
      <c r="AH300" s="176">
        <f t="shared" si="119"/>
        <v>7</v>
      </c>
      <c r="AI300" s="224">
        <f t="shared" si="120"/>
        <v>1.1967289081787866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45578</v>
      </c>
      <c r="B301" s="409">
        <f>'2023'!Wh/'2023'!Env_an*'2024'!Env_an</f>
        <v>14.680512025077618</v>
      </c>
      <c r="C301" s="829"/>
      <c r="D301" s="391">
        <f t="shared" si="102"/>
        <v>15.284279295082071</v>
      </c>
      <c r="E301" s="383">
        <f t="shared" si="125"/>
        <v>16.094902086421122</v>
      </c>
      <c r="F301" s="383">
        <f t="shared" si="103"/>
        <v>16.135106136567121</v>
      </c>
      <c r="G301" s="110">
        <f t="shared" si="126"/>
        <v>0.39214808290534403</v>
      </c>
      <c r="H301" s="412" t="b">
        <f>Wh_hp&gt;='2023'!Maxi_hp</f>
        <v>0</v>
      </c>
      <c r="I301" s="388">
        <f>IF(H301,Wh_hp,'2023'!Maxi_hp)</f>
        <v>42.197658918664054</v>
      </c>
      <c r="J301" s="85">
        <f>IF(H301,An,'2023'!An_max)</f>
        <v>2021</v>
      </c>
      <c r="K301" s="197">
        <f t="shared" si="104"/>
        <v>45578</v>
      </c>
      <c r="L301" s="147">
        <f>IF(t&lt;Tvie,1-EXP((T0-t)*PertePVj)+'2023'!Pspv,1-EXP((T0-t)*PertePVj)+Pspv)</f>
        <v>3.9502501776365939E-2</v>
      </c>
      <c r="M301" s="832"/>
      <c r="N301" s="832"/>
      <c r="O301" s="48">
        <f>IF(t&lt;Tnet,'2023'!Resal+('2023'!Salim-'2023'!Resal)*(1-EXP(('2023'!Tnet-t)/('2023'!Tau_j))),Resal+(Salim-Resal)*(1-EXP((Tnet-t)/(Tau_j))))*Salcycl</f>
        <v>5.0365189361602503E-2</v>
      </c>
      <c r="P301" s="169">
        <f>(INDEX(Models!$BJ301:$BT301,,T301)*(1-R301)+INDEX(Models!$BJ301:$BT301,,T301+1)*R301-ERP_i)*Q301*Ramure*Pc/MaxiM</f>
        <v>1.7754210622791981E-2</v>
      </c>
      <c r="Q301" s="304">
        <f t="shared" si="105"/>
        <v>0.7</v>
      </c>
      <c r="R301" s="177">
        <f t="shared" si="106"/>
        <v>0.13249039075157931</v>
      </c>
      <c r="S301" s="799">
        <f t="shared" si="107"/>
        <v>1</v>
      </c>
      <c r="T301" s="176">
        <f t="shared" si="108"/>
        <v>7</v>
      </c>
      <c r="U301" s="250">
        <f t="shared" si="109"/>
        <v>1.1324903907515793</v>
      </c>
      <c r="V301" s="382">
        <f t="shared" si="110"/>
        <v>36.863347498456093</v>
      </c>
      <c r="W301" s="400">
        <f t="shared" si="111"/>
        <v>14.680512025077618</v>
      </c>
      <c r="X301" s="157">
        <f t="shared" si="112"/>
        <v>45578</v>
      </c>
      <c r="Y301" s="383">
        <f t="shared" si="113"/>
        <v>14.526037867281573</v>
      </c>
      <c r="Z301" s="383">
        <f t="shared" si="114"/>
        <v>15.123452059111406</v>
      </c>
      <c r="AA301" s="384">
        <f t="shared" si="115"/>
        <v>16.092507213282719</v>
      </c>
      <c r="AB301" s="197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6.0217785912903332E-2</v>
      </c>
      <c r="AD301" s="230">
        <f>(INDEX(Models!$BJ301:$BT301,,AH301)*(1-AF301)+INDEX(Models!$BJ301:$BT301,,AH301+1)*AF301-ERP_i)*AE301*Ramure*Pc/MaxiM</f>
        <v>1.8811792681306005E-2</v>
      </c>
      <c r="AE301" s="304">
        <f t="shared" si="117"/>
        <v>0.7</v>
      </c>
      <c r="AF301" s="177">
        <f t="shared" si="118"/>
        <v>0.19682261301141146</v>
      </c>
      <c r="AG301" s="799">
        <f t="shared" si="124"/>
        <v>1</v>
      </c>
      <c r="AH301" s="176">
        <f t="shared" si="119"/>
        <v>7</v>
      </c>
      <c r="AI301" s="224">
        <f t="shared" si="120"/>
        <v>1.1968226130114115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45579</v>
      </c>
      <c r="B302" s="409">
        <f>'2023'!Wh/'2023'!Env_an*'2024'!Env_an</f>
        <v>37.393102890665908</v>
      </c>
      <c r="C302" s="829"/>
      <c r="D302" s="391">
        <f t="shared" si="102"/>
        <v>38.93171986792612</v>
      </c>
      <c r="E302" s="383">
        <f t="shared" si="125"/>
        <v>40.997811170610376</v>
      </c>
      <c r="F302" s="383">
        <f t="shared" si="103"/>
        <v>41.80115775263846</v>
      </c>
      <c r="G302" s="110">
        <f t="shared" si="126"/>
        <v>1.0231989932940342</v>
      </c>
      <c r="H302" s="412" t="b">
        <f>Wh_hp&gt;='2023'!Maxi_hp</f>
        <v>1</v>
      </c>
      <c r="I302" s="388">
        <f>IF(H302,Wh_hp,'2023'!Maxi_hp)</f>
        <v>41.80115775263846</v>
      </c>
      <c r="J302" s="85">
        <f>IF(H302,An,'2023'!An_max)</f>
        <v>2024</v>
      </c>
      <c r="K302" s="197">
        <f t="shared" si="104"/>
        <v>45579</v>
      </c>
      <c r="L302" s="147">
        <f>IF(t&lt;Tvie,1-EXP((T0-t)*PertePVj)+'2023'!Pspv,1-EXP((T0-t)*PertePVj)+Pspv)</f>
        <v>3.9520909491794654E-2</v>
      </c>
      <c r="M302" s="832"/>
      <c r="N302" s="832"/>
      <c r="O302" s="48">
        <f>IF(t&lt;Tnet,'2023'!Resal+('2023'!Salim-'2023'!Resal)*(1-EXP(('2023'!Tnet-t)/('2023'!Tau_j))),Resal+(Salim-Resal)*(1-EXP((Tnet-t)/(Tau_j))))*Salcycl</f>
        <v>5.0395161197419096E-2</v>
      </c>
      <c r="P302" s="169">
        <f>(INDEX(Models!$BJ302:$BT302,,T302)*(1-R302)+INDEX(Models!$BJ302:$BT302,,T302+1)*R302-ERP_i)*Q302*Ramure*Pc/MaxiM</f>
        <v>1.9218285454722355E-2</v>
      </c>
      <c r="Q302" s="304">
        <f t="shared" si="105"/>
        <v>0.7</v>
      </c>
      <c r="R302" s="177">
        <f t="shared" si="106"/>
        <v>0.13258036422307207</v>
      </c>
      <c r="S302" s="799">
        <f t="shared" si="107"/>
        <v>1</v>
      </c>
      <c r="T302" s="176">
        <f t="shared" si="108"/>
        <v>7</v>
      </c>
      <c r="U302" s="250">
        <f t="shared" si="109"/>
        <v>1.1325803642230721</v>
      </c>
      <c r="V302" s="382">
        <f t="shared" si="110"/>
        <v>36.545288976765384</v>
      </c>
      <c r="W302" s="400">
        <f t="shared" si="111"/>
        <v>37.393102890665908</v>
      </c>
      <c r="X302" s="157">
        <f t="shared" si="112"/>
        <v>45579</v>
      </c>
      <c r="Y302" s="383">
        <f t="shared" si="113"/>
        <v>36.964015845024299</v>
      </c>
      <c r="Z302" s="383">
        <f t="shared" si="114"/>
        <v>38.484977143506612</v>
      </c>
      <c r="AA302" s="384">
        <f t="shared" si="115"/>
        <v>40.951513987722365</v>
      </c>
      <c r="AB302" s="197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6.0230663143620133E-2</v>
      </c>
      <c r="AD302" s="230">
        <f>(INDEX(Models!$BJ302:$BT302,,AH302)*(1-AF302)+INDEX(Models!$BJ302:$BT302,,AH302+1)*AF302-ERP_i)*AE302*Ramure*Pc/MaxiM</f>
        <v>2.0325842885594858E-2</v>
      </c>
      <c r="AE302" s="304">
        <f t="shared" si="117"/>
        <v>0.7</v>
      </c>
      <c r="AF302" s="177">
        <f t="shared" si="118"/>
        <v>0.19691258648290422</v>
      </c>
      <c r="AG302" s="799">
        <f t="shared" si="124"/>
        <v>1</v>
      </c>
      <c r="AH302" s="176">
        <f t="shared" si="119"/>
        <v>7</v>
      </c>
      <c r="AI302" s="224">
        <f t="shared" si="120"/>
        <v>1.1969125864829042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45580</v>
      </c>
      <c r="B303" s="409">
        <f>'2023'!Wh/'2023'!Env_an*'2024'!Env_an</f>
        <v>33.362974051802212</v>
      </c>
      <c r="C303" s="829"/>
      <c r="D303" s="391">
        <f t="shared" si="102"/>
        <v>34.7364287130805</v>
      </c>
      <c r="E303" s="383">
        <f t="shared" si="125"/>
        <v>36.581001781562811</v>
      </c>
      <c r="F303" s="383">
        <f t="shared" si="103"/>
        <v>37.267571744173026</v>
      </c>
      <c r="G303" s="110">
        <f t="shared" si="126"/>
        <v>0.91878963363864874</v>
      </c>
      <c r="H303" s="412" t="b">
        <f>Wh_hp&gt;='2023'!Maxi_hp</f>
        <v>0</v>
      </c>
      <c r="I303" s="388">
        <f>IF(H303,Wh_hp,'2023'!Maxi_hp)</f>
        <v>39.40385171327874</v>
      </c>
      <c r="J303" s="85">
        <f>IF(H303,An,'2023'!An_max)</f>
        <v>2018</v>
      </c>
      <c r="K303" s="197">
        <f t="shared" si="104"/>
        <v>45580</v>
      </c>
      <c r="L303" s="147">
        <f>IF(t&lt;Tvie,1-EXP((T0-t)*PertePVj)+'2023'!Pspv,1-EXP((T0-t)*PertePVj)+Pspv)</f>
        <v>3.9539316854443785E-2</v>
      </c>
      <c r="M303" s="832"/>
      <c r="N303" s="832"/>
      <c r="O303" s="48">
        <f>IF(t&lt;Tnet,'2023'!Resal+('2023'!Salim-'2023'!Resal)*(1-EXP(('2023'!Tnet-t)/('2023'!Tau_j))),Resal+(Salim-Resal)*(1-EXP((Tnet-t)/(Tau_j))))*Salcycl</f>
        <v>5.0424345388266477E-2</v>
      </c>
      <c r="P303" s="169">
        <f>(INDEX(Models!$BJ303:$BT303,,T303)*(1-R303)+INDEX(Models!$BJ303:$BT303,,T303+1)*R303-ERP_i)*Q303*Ramure*Pc/MaxiM</f>
        <v>2.0766718266664218E-2</v>
      </c>
      <c r="Q303" s="304">
        <f t="shared" si="105"/>
        <v>0.7</v>
      </c>
      <c r="R303" s="177">
        <f t="shared" si="106"/>
        <v>0.13266675332277833</v>
      </c>
      <c r="S303" s="799">
        <f t="shared" si="107"/>
        <v>1</v>
      </c>
      <c r="T303" s="176">
        <f t="shared" si="108"/>
        <v>7</v>
      </c>
      <c r="U303" s="250">
        <f t="shared" si="109"/>
        <v>1.1326667533227783</v>
      </c>
      <c r="V303" s="382">
        <f t="shared" si="110"/>
        <v>36.225162172890514</v>
      </c>
      <c r="W303" s="400">
        <f t="shared" si="111"/>
        <v>33.362974051802212</v>
      </c>
      <c r="X303" s="157">
        <f t="shared" si="112"/>
        <v>45580</v>
      </c>
      <c r="Y303" s="383">
        <f t="shared" si="113"/>
        <v>32.983503290658255</v>
      </c>
      <c r="Z303" s="383">
        <f t="shared" si="114"/>
        <v>34.341336266504584</v>
      </c>
      <c r="AA303" s="384">
        <f t="shared" si="115"/>
        <v>36.542769619698909</v>
      </c>
      <c r="AB303" s="197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6.0242651996678831E-2</v>
      </c>
      <c r="AD303" s="230">
        <f>(INDEX(Models!$BJ303:$BT303,,AH303)*(1-AF303)+INDEX(Models!$BJ303:$BT303,,AH303+1)*AF303-ERP_i)*AE303*Ramure*Pc/MaxiM</f>
        <v>2.1923128505083045E-2</v>
      </c>
      <c r="AE303" s="304">
        <f t="shared" si="117"/>
        <v>0.7</v>
      </c>
      <c r="AF303" s="177">
        <f t="shared" si="118"/>
        <v>0.19699897558261048</v>
      </c>
      <c r="AG303" s="799">
        <f t="shared" si="124"/>
        <v>1</v>
      </c>
      <c r="AH303" s="176">
        <f t="shared" si="119"/>
        <v>7</v>
      </c>
      <c r="AI303" s="224">
        <f t="shared" si="120"/>
        <v>1.1969989755826105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45581</v>
      </c>
      <c r="B304" s="409">
        <f>'2023'!Wh/'2023'!Env_an*'2024'!Env_an</f>
        <v>18.290550964445213</v>
      </c>
      <c r="C304" s="829"/>
      <c r="D304" s="391">
        <f t="shared" si="102"/>
        <v>19.04388365538934</v>
      </c>
      <c r="E304" s="383">
        <f t="shared" si="125"/>
        <v>20.055751657254323</v>
      </c>
      <c r="F304" s="383">
        <f t="shared" si="103"/>
        <v>20.190767974746947</v>
      </c>
      <c r="G304" s="110">
        <f t="shared" si="126"/>
        <v>0.50140238468287346</v>
      </c>
      <c r="H304" s="412" t="b">
        <f>Wh_hp&gt;='2023'!Maxi_hp</f>
        <v>0</v>
      </c>
      <c r="I304" s="388">
        <f>IF(H304,Wh_hp,'2023'!Maxi_hp)</f>
        <v>38.717430776256577</v>
      </c>
      <c r="J304" s="85">
        <f>IF(H304,An,'2023'!An_max)</f>
        <v>2021</v>
      </c>
      <c r="K304" s="197">
        <f t="shared" si="104"/>
        <v>45581</v>
      </c>
      <c r="L304" s="147">
        <f>IF(t&lt;Tvie,1-EXP((T0-t)*PertePVj)+'2023'!Pspv,1-EXP((T0-t)*PertePVj)+Pspv)</f>
        <v>3.9557723864319994E-2</v>
      </c>
      <c r="M304" s="832"/>
      <c r="N304" s="832"/>
      <c r="O304" s="48">
        <f>IF(t&lt;Tnet,'2023'!Resal+('2023'!Salim-'2023'!Resal)*(1-EXP(('2023'!Tnet-t)/('2023'!Tau_j))),Resal+(Salim-Resal)*(1-EXP((Tnet-t)/(Tau_j))))*Salcycl</f>
        <v>5.045275884730957E-2</v>
      </c>
      <c r="P304" s="169">
        <f>(INDEX(Models!$BJ304:$BT304,,T304)*(1-R304)+INDEX(Models!$BJ304:$BT304,,T304+1)*R304-ERP_i)*Q304*Ramure*Pc/MaxiM</f>
        <v>2.2350190235514534E-2</v>
      </c>
      <c r="Q304" s="304">
        <f t="shared" si="105"/>
        <v>0.7</v>
      </c>
      <c r="R304" s="177">
        <f t="shared" si="106"/>
        <v>0.13274969937497438</v>
      </c>
      <c r="S304" s="799">
        <f t="shared" si="107"/>
        <v>1</v>
      </c>
      <c r="T304" s="176">
        <f t="shared" si="108"/>
        <v>7</v>
      </c>
      <c r="U304" s="250">
        <f t="shared" si="109"/>
        <v>1.1327496993749744</v>
      </c>
      <c r="V304" s="382">
        <f t="shared" si="110"/>
        <v>35.903567824478621</v>
      </c>
      <c r="W304" s="400">
        <f t="shared" si="111"/>
        <v>18.290550964445213</v>
      </c>
      <c r="X304" s="157">
        <f t="shared" si="112"/>
        <v>45581</v>
      </c>
      <c r="Y304" s="383">
        <f t="shared" si="113"/>
        <v>18.095208894310836</v>
      </c>
      <c r="Z304" s="383">
        <f t="shared" si="114"/>
        <v>18.840496033886119</v>
      </c>
      <c r="AA304" s="384">
        <f t="shared" si="115"/>
        <v>20.048493414737763</v>
      </c>
      <c r="AB304" s="197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6.0253773481235208E-2</v>
      </c>
      <c r="AD304" s="230">
        <f>(INDEX(Models!$BJ304:$BT304,,AH304)*(1-AF304)+INDEX(Models!$BJ304:$BT304,,AH304+1)*AF304-ERP_i)*AE304*Ramure*Pc/MaxiM</f>
        <v>2.3551697609091916E-2</v>
      </c>
      <c r="AE304" s="304">
        <f t="shared" si="117"/>
        <v>0.7</v>
      </c>
      <c r="AF304" s="177">
        <f t="shared" si="118"/>
        <v>0.19708192163480653</v>
      </c>
      <c r="AG304" s="799">
        <f t="shared" si="124"/>
        <v>1</v>
      </c>
      <c r="AH304" s="176">
        <f t="shared" si="119"/>
        <v>7</v>
      </c>
      <c r="AI304" s="224">
        <f t="shared" si="120"/>
        <v>1.1970819216348065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45582</v>
      </c>
      <c r="B305" s="409">
        <f>'2023'!Wh/'2023'!Env_an*'2024'!Env_an</f>
        <v>34.735180904367404</v>
      </c>
      <c r="C305" s="829"/>
      <c r="D305" s="391">
        <f t="shared" si="102"/>
        <v>36.166511483336734</v>
      </c>
      <c r="E305" s="383">
        <f t="shared" si="125"/>
        <v>38.08927408179958</v>
      </c>
      <c r="F305" s="383">
        <f t="shared" si="103"/>
        <v>38.989732438916256</v>
      </c>
      <c r="G305" s="110">
        <f t="shared" si="126"/>
        <v>0.97535972214388034</v>
      </c>
      <c r="H305" s="412" t="b">
        <f>Wh_hp&gt;='2023'!Maxi_hp</f>
        <v>0</v>
      </c>
      <c r="I305" s="388">
        <f>IF(H305,Wh_hp,'2023'!Maxi_hp)</f>
        <v>39.005969343907886</v>
      </c>
      <c r="J305" s="85">
        <f>IF(H305,An,'2023'!An_max)</f>
        <v>2022</v>
      </c>
      <c r="K305" s="197">
        <f t="shared" si="104"/>
        <v>45582</v>
      </c>
      <c r="L305" s="147">
        <f>IF(t&lt;Tvie,1-EXP((T0-t)*PertePVj)+'2023'!Pspv,1-EXP((T0-t)*PertePVj)+Pspv)</f>
        <v>3.9576130521429942E-2</v>
      </c>
      <c r="M305" s="832"/>
      <c r="N305" s="832"/>
      <c r="O305" s="48">
        <f>IF(t&lt;Tnet,'2023'!Resal+('2023'!Salim-'2023'!Resal)*(1-EXP(('2023'!Tnet-t)/('2023'!Tau_j))),Resal+(Salim-Resal)*(1-EXP((Tnet-t)/(Tau_j))))*Salcycl</f>
        <v>5.0480421189796558E-2</v>
      </c>
      <c r="P305" s="169">
        <f>(INDEX(Models!$BJ305:$BT305,,T305)*(1-R305)+INDEX(Models!$BJ305:$BT305,,T305+1)*R305-ERP_i)*Q305*Ramure*Pc/MaxiM</f>
        <v>2.3908572090320698E-2</v>
      </c>
      <c r="Q305" s="304">
        <f t="shared" si="105"/>
        <v>0.7</v>
      </c>
      <c r="R305" s="177">
        <f t="shared" si="106"/>
        <v>0.13282933824732668</v>
      </c>
      <c r="S305" s="799">
        <f t="shared" si="107"/>
        <v>1</v>
      </c>
      <c r="T305" s="176">
        <f t="shared" si="108"/>
        <v>7</v>
      </c>
      <c r="U305" s="250">
        <f t="shared" si="109"/>
        <v>1.1328293382473267</v>
      </c>
      <c r="V305" s="382">
        <f t="shared" si="110"/>
        <v>35.583020079506042</v>
      </c>
      <c r="W305" s="400">
        <f t="shared" si="111"/>
        <v>34.735180904367404</v>
      </c>
      <c r="X305" s="157">
        <f t="shared" si="112"/>
        <v>45582</v>
      </c>
      <c r="Y305" s="383">
        <f t="shared" si="113"/>
        <v>34.335054548596098</v>
      </c>
      <c r="Z305" s="383">
        <f t="shared" si="114"/>
        <v>35.74989714409864</v>
      </c>
      <c r="AA305" s="384">
        <f t="shared" si="115"/>
        <v>38.042491842973462</v>
      </c>
      <c r="AB305" s="197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6.0264051796025307E-2</v>
      </c>
      <c r="AD305" s="230">
        <f>(INDEX(Models!$BJ305:$BT305,,AH305)*(1-AF305)+INDEX(Models!$BJ305:$BT305,,AH305+1)*AF305-ERP_i)*AE305*Ramure*Pc/MaxiM</f>
        <v>2.5150713407218719E-2</v>
      </c>
      <c r="AE305" s="304">
        <f t="shared" si="117"/>
        <v>0.7</v>
      </c>
      <c r="AF305" s="177">
        <f t="shared" si="118"/>
        <v>0.19716156050715883</v>
      </c>
      <c r="AG305" s="799">
        <f t="shared" si="124"/>
        <v>1</v>
      </c>
      <c r="AH305" s="176">
        <f t="shared" si="119"/>
        <v>7</v>
      </c>
      <c r="AI305" s="224">
        <f t="shared" si="120"/>
        <v>1.1971615605071588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45583</v>
      </c>
      <c r="B306" s="409">
        <f>'2023'!Wh/'2023'!Env_an*'2024'!Env_an</f>
        <v>15.5147212150183</v>
      </c>
      <c r="C306" s="829"/>
      <c r="D306" s="391">
        <f t="shared" si="102"/>
        <v>16.154345023966091</v>
      </c>
      <c r="E306" s="383">
        <f t="shared" si="125"/>
        <v>17.013659984227445</v>
      </c>
      <c r="F306" s="383">
        <f t="shared" si="103"/>
        <v>17.100648263480132</v>
      </c>
      <c r="G306" s="110">
        <f t="shared" si="126"/>
        <v>0.43096059316493313</v>
      </c>
      <c r="H306" s="412" t="b">
        <f>Wh_hp&gt;='2023'!Maxi_hp</f>
        <v>0</v>
      </c>
      <c r="I306" s="388">
        <f>IF(H306,Wh_hp,'2023'!Maxi_hp)</f>
        <v>39.339930108632885</v>
      </c>
      <c r="J306" s="85">
        <f>IF(H306,An,'2023'!An_max)</f>
        <v>2020</v>
      </c>
      <c r="K306" s="197">
        <f t="shared" si="104"/>
        <v>45583</v>
      </c>
      <c r="L306" s="147">
        <f>IF(t&lt;Tvie,1-EXP((T0-t)*PertePVj)+'2023'!Pspv,1-EXP((T0-t)*PertePVj)+Pspv)</f>
        <v>3.9594536825780624E-2</v>
      </c>
      <c r="M306" s="832"/>
      <c r="N306" s="832"/>
      <c r="O306" s="48">
        <f>IF(t&lt;Tnet,'2023'!Resal+('2023'!Salim-'2023'!Resal)*(1-EXP(('2023'!Tnet-t)/('2023'!Tau_j))),Resal+(Salim-Resal)*(1-EXP((Tnet-t)/(Tau_j))))*Salcycl</f>
        <v>5.0507354740719108E-2</v>
      </c>
      <c r="P306" s="169">
        <f>(INDEX(Models!$BJ306:$BT306,,T306)*(1-R306)+INDEX(Models!$BJ306:$BT306,,T306+1)*R306-ERP_i)*Q306*Ramure*Pc/MaxiM</f>
        <v>2.5441199022309565E-2</v>
      </c>
      <c r="Q306" s="304">
        <f t="shared" si="105"/>
        <v>0.7</v>
      </c>
      <c r="R306" s="177">
        <f t="shared" si="106"/>
        <v>0.13290580055247059</v>
      </c>
      <c r="S306" s="799">
        <f t="shared" si="107"/>
        <v>1</v>
      </c>
      <c r="T306" s="176">
        <f t="shared" si="108"/>
        <v>7</v>
      </c>
      <c r="U306" s="250">
        <f t="shared" si="109"/>
        <v>1.1329058005524706</v>
      </c>
      <c r="V306" s="382">
        <f t="shared" si="110"/>
        <v>35.263814530703129</v>
      </c>
      <c r="W306" s="400">
        <f t="shared" si="111"/>
        <v>15.5147212150183</v>
      </c>
      <c r="X306" s="157">
        <f t="shared" si="112"/>
        <v>45583</v>
      </c>
      <c r="Y306" s="383">
        <f t="shared" si="113"/>
        <v>15.351197577660491</v>
      </c>
      <c r="Z306" s="383">
        <f t="shared" si="114"/>
        <v>15.984079814502007</v>
      </c>
      <c r="AA306" s="384">
        <f t="shared" si="115"/>
        <v>17.00928946697989</v>
      </c>
      <c r="AB306" s="197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6.0273514332748683E-2</v>
      </c>
      <c r="AD306" s="230">
        <f>(INDEX(Models!$BJ306:$BT306,,AH306)*(1-AF306)+INDEX(Models!$BJ306:$BT306,,AH306+1)*AF306-ERP_i)*AE306*Ramure*Pc/MaxiM</f>
        <v>2.6719430987358649E-2</v>
      </c>
      <c r="AE306" s="304">
        <f t="shared" si="117"/>
        <v>0.7</v>
      </c>
      <c r="AF306" s="177">
        <f t="shared" si="118"/>
        <v>0.19723802281230274</v>
      </c>
      <c r="AG306" s="799">
        <f t="shared" si="124"/>
        <v>1</v>
      </c>
      <c r="AH306" s="176">
        <f t="shared" si="119"/>
        <v>7</v>
      </c>
      <c r="AI306" s="224">
        <f t="shared" si="120"/>
        <v>1.1972380228123027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45584</v>
      </c>
      <c r="B307" s="409">
        <f>'2023'!Wh/'2023'!Env_an*'2024'!Env_an</f>
        <v>12.045256619306715</v>
      </c>
      <c r="C307" s="829"/>
      <c r="D307" s="391">
        <f t="shared" si="102"/>
        <v>12.542085535951344</v>
      </c>
      <c r="E307" s="383">
        <f t="shared" si="125"/>
        <v>13.20961471784925</v>
      </c>
      <c r="F307" s="383">
        <f t="shared" si="103"/>
        <v>13.232374333068472</v>
      </c>
      <c r="G307" s="110">
        <f t="shared" si="126"/>
        <v>0.33596922206345825</v>
      </c>
      <c r="H307" s="412" t="b">
        <f>Wh_hp&gt;='2023'!Maxi_hp</f>
        <v>0</v>
      </c>
      <c r="I307" s="388">
        <f>IF(H307,Wh_hp,'2023'!Maxi_hp)</f>
        <v>36.661931071686425</v>
      </c>
      <c r="J307" s="85">
        <f>IF(H307,An,'2023'!An_max)</f>
        <v>2020</v>
      </c>
      <c r="K307" s="197">
        <f t="shared" si="104"/>
        <v>45584</v>
      </c>
      <c r="L307" s="147">
        <f>IF(t&lt;Tvie,1-EXP((T0-t)*PertePVj)+'2023'!Pspv,1-EXP((T0-t)*PertePVj)+Pspv)</f>
        <v>3.9612942777378701E-2</v>
      </c>
      <c r="M307" s="832"/>
      <c r="N307" s="832"/>
      <c r="O307" s="48">
        <f>IF(t&lt;Tnet,'2023'!Resal+('2023'!Salim-'2023'!Resal)*(1-EXP(('2023'!Tnet-t)/('2023'!Tau_j))),Resal+(Salim-Resal)*(1-EXP((Tnet-t)/(Tau_j))))*Salcycl</f>
        <v>5.0533584525816674E-2</v>
      </c>
      <c r="P307" s="169">
        <f>(INDEX(Models!$BJ307:$BT307,,T307)*(1-R307)+INDEX(Models!$BJ307:$BT307,,T307+1)*R307-ERP_i)*Q307*Ramure*Pc/MaxiM</f>
        <v>2.6947362867074064E-2</v>
      </c>
      <c r="Q307" s="304">
        <f t="shared" si="105"/>
        <v>0.7</v>
      </c>
      <c r="R307" s="177">
        <f t="shared" si="106"/>
        <v>0.13297921184286543</v>
      </c>
      <c r="S307" s="799">
        <f t="shared" si="107"/>
        <v>1</v>
      </c>
      <c r="T307" s="176">
        <f t="shared" si="108"/>
        <v>7</v>
      </c>
      <c r="U307" s="250">
        <f t="shared" si="109"/>
        <v>1.1329792118428654</v>
      </c>
      <c r="V307" s="382">
        <f t="shared" si="110"/>
        <v>34.946245580506996</v>
      </c>
      <c r="W307" s="400">
        <f t="shared" si="111"/>
        <v>12.045256619306715</v>
      </c>
      <c r="X307" s="157">
        <f t="shared" si="112"/>
        <v>45584</v>
      </c>
      <c r="Y307" s="383">
        <f t="shared" si="113"/>
        <v>11.920584140039512</v>
      </c>
      <c r="Z307" s="383">
        <f t="shared" si="114"/>
        <v>12.412270709387826</v>
      </c>
      <c r="AA307" s="384">
        <f t="shared" si="115"/>
        <v>13.208508553550727</v>
      </c>
      <c r="AB307" s="197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6.0282191659621946E-2</v>
      </c>
      <c r="AD307" s="230">
        <f>(INDEX(Models!$BJ307:$BT307,,AH307)*(1-AF307)+INDEX(Models!$BJ307:$BT307,,AH307+1)*AF307-ERP_i)*AE307*Ramure*Pc/MaxiM</f>
        <v>2.8257060349031533E-2</v>
      </c>
      <c r="AE307" s="304">
        <f t="shared" si="117"/>
        <v>0.7</v>
      </c>
      <c r="AF307" s="177">
        <f t="shared" si="118"/>
        <v>0.19731143410269758</v>
      </c>
      <c r="AG307" s="799">
        <f t="shared" si="124"/>
        <v>1</v>
      </c>
      <c r="AH307" s="176">
        <f t="shared" si="119"/>
        <v>7</v>
      </c>
      <c r="AI307" s="224">
        <f t="shared" si="120"/>
        <v>1.1973114341026976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45585</v>
      </c>
      <c r="B308" s="409">
        <f>'2023'!Wh/'2023'!Env_an*'2024'!Env_an</f>
        <v>16.354553872716764</v>
      </c>
      <c r="C308" s="829"/>
      <c r="D308" s="391">
        <f t="shared" si="102"/>
        <v>17.029454100844358</v>
      </c>
      <c r="E308" s="383">
        <f t="shared" si="125"/>
        <v>17.936297864171983</v>
      </c>
      <c r="F308" s="383">
        <f t="shared" si="103"/>
        <v>18.062649652416237</v>
      </c>
      <c r="G308" s="110">
        <f t="shared" si="126"/>
        <v>0.46206492213630673</v>
      </c>
      <c r="H308" s="412" t="b">
        <f>Wh_hp&gt;='2023'!Maxi_hp</f>
        <v>0</v>
      </c>
      <c r="I308" s="388">
        <f>IF(H308,Wh_hp,'2023'!Maxi_hp)</f>
        <v>22.202361362008595</v>
      </c>
      <c r="J308" s="85">
        <f>IF(H308,An,'2023'!An_max)</f>
        <v>2018</v>
      </c>
      <c r="K308" s="197">
        <f t="shared" si="104"/>
        <v>45585</v>
      </c>
      <c r="L308" s="147">
        <f>IF(t&lt;Tvie,1-EXP((T0-t)*PertePVj)+'2023'!Pspv,1-EXP((T0-t)*PertePVj)+Pspv)</f>
        <v>3.9631348376230835E-2</v>
      </c>
      <c r="M308" s="832"/>
      <c r="N308" s="832"/>
      <c r="O308" s="48">
        <f>IF(t&lt;Tnet,'2023'!Resal+('2023'!Salim-'2023'!Resal)*(1-EXP(('2023'!Tnet-t)/('2023'!Tau_j))),Resal+(Salim-Resal)*(1-EXP((Tnet-t)/(Tau_j))))*Salcycl</f>
        <v>5.0559138245527241E-2</v>
      </c>
      <c r="P308" s="169">
        <f>(INDEX(Models!$BJ308:$BT308,,T308)*(1-R308)+INDEX(Models!$BJ308:$BT308,,T308+1)*R308-ERP_i)*Q308*Ramure*Pc/MaxiM</f>
        <v>2.8426313624913328E-2</v>
      </c>
      <c r="Q308" s="304">
        <f t="shared" si="105"/>
        <v>0.7</v>
      </c>
      <c r="R308" s="177">
        <f t="shared" si="106"/>
        <v>0.13304969279909362</v>
      </c>
      <c r="S308" s="799">
        <f t="shared" si="107"/>
        <v>1</v>
      </c>
      <c r="T308" s="176">
        <f t="shared" si="108"/>
        <v>7</v>
      </c>
      <c r="U308" s="250">
        <f t="shared" si="109"/>
        <v>1.1330496927990936</v>
      </c>
      <c r="V308" s="382">
        <f t="shared" si="110"/>
        <v>34.630606410881448</v>
      </c>
      <c r="W308" s="400">
        <f t="shared" si="111"/>
        <v>16.354553872716764</v>
      </c>
      <c r="X308" s="157">
        <f t="shared" si="112"/>
        <v>45585</v>
      </c>
      <c r="Y308" s="383">
        <f t="shared" si="113"/>
        <v>16.181572284107641</v>
      </c>
      <c r="Z308" s="383">
        <f t="shared" si="114"/>
        <v>16.849334114298934</v>
      </c>
      <c r="AA308" s="384">
        <f t="shared" si="115"/>
        <v>17.930357472881251</v>
      </c>
      <c r="AB308" s="197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6.0290117484679863E-2</v>
      </c>
      <c r="AD308" s="230">
        <f>(INDEX(Models!$BJ308:$BT308,,AH308)*(1-AF308)+INDEX(Models!$BJ308:$BT308,,AH308+1)*AF308-ERP_i)*AE308*Ramure*Pc/MaxiM</f>
        <v>2.9762768203289824E-2</v>
      </c>
      <c r="AE308" s="304">
        <f t="shared" si="117"/>
        <v>0.7</v>
      </c>
      <c r="AF308" s="177">
        <f t="shared" si="118"/>
        <v>0.19738191505892577</v>
      </c>
      <c r="AG308" s="799">
        <f t="shared" si="124"/>
        <v>1</v>
      </c>
      <c r="AH308" s="176">
        <f t="shared" si="119"/>
        <v>7</v>
      </c>
      <c r="AI308" s="224">
        <f t="shared" si="120"/>
        <v>1.1973819150589258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45586</v>
      </c>
      <c r="B309" s="409">
        <f>'2023'!Wh/'2023'!Env_an*'2024'!Env_an</f>
        <v>34.040177241418533</v>
      </c>
      <c r="C309" s="829"/>
      <c r="D309" s="391">
        <f t="shared" si="102"/>
        <v>35.445585993042265</v>
      </c>
      <c r="E309" s="383">
        <f t="shared" si="125"/>
        <v>37.334095611468555</v>
      </c>
      <c r="F309" s="383">
        <f t="shared" si="103"/>
        <v>38.470226391881106</v>
      </c>
      <c r="G309" s="110">
        <f t="shared" si="126"/>
        <v>0.99157575117353425</v>
      </c>
      <c r="H309" s="412" t="b">
        <f>Wh_hp&gt;='2023'!Maxi_hp</f>
        <v>0</v>
      </c>
      <c r="I309" s="388">
        <f>IF(H309,Wh_hp,'2023'!Maxi_hp)</f>
        <v>38.476732251780895</v>
      </c>
      <c r="J309" s="85">
        <f>IF(H309,An,'2023'!An_max)</f>
        <v>2022</v>
      </c>
      <c r="K309" s="197">
        <f t="shared" si="104"/>
        <v>45586</v>
      </c>
      <c r="L309" s="147">
        <f>IF(t&lt;Tvie,1-EXP((T0-t)*PertePVj)+'2023'!Pspv,1-EXP((T0-t)*PertePVj)+Pspv)</f>
        <v>3.9649753622343908E-2</v>
      </c>
      <c r="M309" s="832"/>
      <c r="N309" s="832"/>
      <c r="O309" s="48">
        <f>IF(t&lt;Tnet,'2023'!Resal+('2023'!Salim-'2023'!Resal)*(1-EXP(('2023'!Tnet-t)/('2023'!Tau_j))),Resal+(Salim-Resal)*(1-EXP((Tnet-t)/(Tau_j))))*Salcycl</f>
        <v>5.0584046231621174E-2</v>
      </c>
      <c r="P309" s="169">
        <f>(INDEX(Models!$BJ309:$BT309,,T309)*(1-R309)+INDEX(Models!$BJ309:$BT309,,T309+1)*R309-ERP_i)*Q309*Ramure*Pc/MaxiM</f>
        <v>2.9877260949459999E-2</v>
      </c>
      <c r="Q309" s="304">
        <f t="shared" si="105"/>
        <v>0.7</v>
      </c>
      <c r="R309" s="177">
        <f t="shared" si="106"/>
        <v>0.1331173594117705</v>
      </c>
      <c r="S309" s="799">
        <f t="shared" si="107"/>
        <v>1</v>
      </c>
      <c r="T309" s="176">
        <f t="shared" si="108"/>
        <v>7</v>
      </c>
      <c r="U309" s="250">
        <f t="shared" si="109"/>
        <v>1.1331173594117705</v>
      </c>
      <c r="V309" s="382">
        <f t="shared" si="110"/>
        <v>34.317188962676603</v>
      </c>
      <c r="W309" s="400">
        <f t="shared" si="111"/>
        <v>34.040177241418533</v>
      </c>
      <c r="X309" s="157">
        <f t="shared" si="112"/>
        <v>45586</v>
      </c>
      <c r="Y309" s="383">
        <f t="shared" si="113"/>
        <v>33.645302401002184</v>
      </c>
      <c r="Z309" s="383">
        <f t="shared" si="114"/>
        <v>35.034408048426975</v>
      </c>
      <c r="AA309" s="384">
        <f t="shared" si="115"/>
        <v>37.282439557373991</v>
      </c>
      <c r="AB309" s="197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6.0297328598562343E-2</v>
      </c>
      <c r="AD309" s="230">
        <f>(INDEX(Models!$BJ309:$BT309,,AH309)*(1-AF309)+INDEX(Models!$BJ309:$BT309,,AH309+1)*AF309-ERP_i)*AE309*Ramure*Pc/MaxiM</f>
        <v>3.1235679746319214E-2</v>
      </c>
      <c r="AE309" s="304">
        <f t="shared" si="117"/>
        <v>0.7</v>
      </c>
      <c r="AF309" s="177">
        <f t="shared" si="118"/>
        <v>0.19744958167160265</v>
      </c>
      <c r="AG309" s="799">
        <f t="shared" si="124"/>
        <v>1</v>
      </c>
      <c r="AH309" s="176">
        <f t="shared" si="119"/>
        <v>7</v>
      </c>
      <c r="AI309" s="224">
        <f t="shared" si="120"/>
        <v>1.1974495816716026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45587</v>
      </c>
      <c r="B310" s="409">
        <f>'2023'!Wh/'2023'!Env_an*'2024'!Env_an</f>
        <v>19.979863306092714</v>
      </c>
      <c r="C310" s="829"/>
      <c r="D310" s="391">
        <f t="shared" si="102"/>
        <v>20.805165925990874</v>
      </c>
      <c r="E310" s="383">
        <f t="shared" si="125"/>
        <v>21.914207626779227</v>
      </c>
      <c r="F310" s="383">
        <f t="shared" si="103"/>
        <v>22.19896154102069</v>
      </c>
      <c r="G310" s="110">
        <f t="shared" si="126"/>
        <v>0.5765404763343307</v>
      </c>
      <c r="H310" s="412" t="b">
        <f>Wh_hp&gt;='2023'!Maxi_hp</f>
        <v>0</v>
      </c>
      <c r="I310" s="388">
        <f>IF(H310,Wh_hp,'2023'!Maxi_hp)</f>
        <v>34.945512770955865</v>
      </c>
      <c r="J310" s="85">
        <f>IF(H310,An,'2023'!An_max)</f>
        <v>2021</v>
      </c>
      <c r="K310" s="197">
        <f t="shared" si="104"/>
        <v>45587</v>
      </c>
      <c r="L310" s="147">
        <f>IF(t&lt;Tvie,1-EXP((T0-t)*PertePVj)+'2023'!Pspv,1-EXP((T0-t)*PertePVj)+Pspv)</f>
        <v>3.9668158515724694E-2</v>
      </c>
      <c r="M310" s="832"/>
      <c r="N310" s="832"/>
      <c r="O310" s="48">
        <f>IF(t&lt;Tnet,'2023'!Resal+('2023'!Salim-'2023'!Resal)*(1-EXP(('2023'!Tnet-t)/('2023'!Tau_j))),Resal+(Salim-Resal)*(1-EXP((Tnet-t)/(Tau_j))))*Salcycl</f>
        <v>5.0608341386393557E-2</v>
      </c>
      <c r="P310" s="169">
        <f>(INDEX(Models!$BJ310:$BT310,,T310)*(1-R310)+INDEX(Models!$BJ310:$BT310,,T310+1)*R310-ERP_i)*Q310*Ramure*Pc/MaxiM</f>
        <v>3.1232480721958219E-2</v>
      </c>
      <c r="Q310" s="304">
        <f t="shared" si="105"/>
        <v>0.7</v>
      </c>
      <c r="R310" s="177">
        <f t="shared" si="106"/>
        <v>0.13318232315722778</v>
      </c>
      <c r="S310" s="799">
        <f t="shared" si="107"/>
        <v>1</v>
      </c>
      <c r="T310" s="176">
        <f t="shared" si="108"/>
        <v>7</v>
      </c>
      <c r="U310" s="250">
        <f t="shared" si="109"/>
        <v>1.1331823231572278</v>
      </c>
      <c r="V310" s="382">
        <f t="shared" si="110"/>
        <v>34.008632269293734</v>
      </c>
      <c r="W310" s="400">
        <f t="shared" si="111"/>
        <v>19.979863306092714</v>
      </c>
      <c r="X310" s="157">
        <f t="shared" si="112"/>
        <v>45587</v>
      </c>
      <c r="Y310" s="383">
        <f t="shared" si="113"/>
        <v>19.764509478070622</v>
      </c>
      <c r="Z310" s="383">
        <f t="shared" si="114"/>
        <v>20.58091653768647</v>
      </c>
      <c r="AA310" s="384">
        <f t="shared" si="115"/>
        <v>21.901672005103713</v>
      </c>
      <c r="AB310" s="197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6.0303864796690809E-2</v>
      </c>
      <c r="AD310" s="230">
        <f>(INDEX(Models!$BJ310:$BT310,,AH310)*(1-AF310)+INDEX(Models!$BJ310:$BT310,,AH310+1)*AF310-ERP_i)*AE310*Ramure*Pc/MaxiM</f>
        <v>3.2607417264485683E-2</v>
      </c>
      <c r="AE310" s="304">
        <f t="shared" si="117"/>
        <v>0.7</v>
      </c>
      <c r="AF310" s="177">
        <f t="shared" si="118"/>
        <v>0.19751454541705993</v>
      </c>
      <c r="AG310" s="799">
        <f t="shared" si="124"/>
        <v>1</v>
      </c>
      <c r="AH310" s="176">
        <f t="shared" si="119"/>
        <v>7</v>
      </c>
      <c r="AI310" s="224">
        <f t="shared" si="120"/>
        <v>1.1975145454170599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45588</v>
      </c>
      <c r="B311" s="409">
        <f>'2023'!Wh/'2023'!Env_an*'2024'!Env_an</f>
        <v>28.616635945807968</v>
      </c>
      <c r="C311" s="829"/>
      <c r="D311" s="391">
        <f t="shared" si="102"/>
        <v>29.799266411272807</v>
      </c>
      <c r="E311" s="383">
        <f t="shared" si="125"/>
        <v>31.38853244102836</v>
      </c>
      <c r="F311" s="383">
        <f t="shared" si="103"/>
        <v>32.209034453709052</v>
      </c>
      <c r="G311" s="110">
        <f t="shared" si="126"/>
        <v>0.84291482484695879</v>
      </c>
      <c r="H311" s="412" t="b">
        <f>Wh_hp&gt;='2023'!Maxi_hp</f>
        <v>0</v>
      </c>
      <c r="I311" s="388">
        <f>IF(H311,Wh_hp,'2023'!Maxi_hp)</f>
        <v>39.130239680184168</v>
      </c>
      <c r="J311" s="85">
        <f>IF(H311,An,'2023'!An_max)</f>
        <v>2021</v>
      </c>
      <c r="K311" s="197">
        <f t="shared" si="104"/>
        <v>45588</v>
      </c>
      <c r="L311" s="147">
        <f>IF(t&lt;Tvie,1-EXP((T0-t)*PertePVj)+'2023'!Pspv,1-EXP((T0-t)*PertePVj)+Pspv)</f>
        <v>3.9686563056379853E-2</v>
      </c>
      <c r="M311" s="832"/>
      <c r="N311" s="832"/>
      <c r="O311" s="48">
        <f>IF(t&lt;Tnet,'2023'!Resal+('2023'!Salim-'2023'!Resal)*(1-EXP(('2023'!Tnet-t)/('2023'!Tau_j))),Resal+(Salim-Resal)*(1-EXP((Tnet-t)/(Tau_j))))*Salcycl</f>
        <v>5.0632059104432817E-2</v>
      </c>
      <c r="P311" s="169">
        <f>(INDEX(Models!$BJ311:$BT311,,T311)*(1-R311)+INDEX(Models!$BJ311:$BT311,,T311+1)*R311-ERP_i)*Q311*Ramure*Pc/MaxiM</f>
        <v>3.2479797514570641E-2</v>
      </c>
      <c r="Q311" s="304">
        <f t="shared" si="105"/>
        <v>0.7</v>
      </c>
      <c r="R311" s="177">
        <f t="shared" si="106"/>
        <v>0.1332446911671421</v>
      </c>
      <c r="S311" s="799">
        <f t="shared" si="107"/>
        <v>1</v>
      </c>
      <c r="T311" s="176">
        <f t="shared" si="108"/>
        <v>7</v>
      </c>
      <c r="U311" s="250">
        <f t="shared" si="109"/>
        <v>1.1332446911671421</v>
      </c>
      <c r="V311" s="382">
        <f t="shared" si="110"/>
        <v>33.705565940682995</v>
      </c>
      <c r="W311" s="400">
        <f t="shared" si="111"/>
        <v>28.616635945807968</v>
      </c>
      <c r="X311" s="157">
        <f t="shared" si="112"/>
        <v>45588</v>
      </c>
      <c r="Y311" s="383">
        <f t="shared" si="113"/>
        <v>28.293275656411698</v>
      </c>
      <c r="Z311" s="383">
        <f t="shared" si="114"/>
        <v>29.462542715699595</v>
      </c>
      <c r="AA311" s="384">
        <f t="shared" si="115"/>
        <v>31.353462808139248</v>
      </c>
      <c r="AB311" s="197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6.030976878090738E-2</v>
      </c>
      <c r="AD311" s="230">
        <f>(INDEX(Models!$BJ311:$BT311,,AH311)*(1-AF311)+INDEX(Models!$BJ311:$BT311,,AH311+1)*AF311-ERP_i)*AE311*Ramure*Pc/MaxiM</f>
        <v>3.3868038564007316E-2</v>
      </c>
      <c r="AE311" s="304">
        <f t="shared" si="117"/>
        <v>0.7</v>
      </c>
      <c r="AF311" s="177">
        <f t="shared" si="118"/>
        <v>0.19757691342697425</v>
      </c>
      <c r="AG311" s="799">
        <f t="shared" si="124"/>
        <v>1</v>
      </c>
      <c r="AH311" s="176">
        <f t="shared" si="119"/>
        <v>7</v>
      </c>
      <c r="AI311" s="224">
        <f t="shared" si="120"/>
        <v>1.1975769134269743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45589</v>
      </c>
      <c r="B312" s="409">
        <f>'2023'!Wh/'2023'!Env_an*'2024'!Env_an</f>
        <v>22.249216486487178</v>
      </c>
      <c r="C312" s="829"/>
      <c r="D312" s="391">
        <f t="shared" si="102"/>
        <v>23.169146697177361</v>
      </c>
      <c r="E312" s="383">
        <f t="shared" si="125"/>
        <v>24.405408450649709</v>
      </c>
      <c r="F312" s="383">
        <f t="shared" si="103"/>
        <v>24.842036034851255</v>
      </c>
      <c r="G312" s="110">
        <f t="shared" si="126"/>
        <v>0.65510549021983289</v>
      </c>
      <c r="H312" s="412" t="b">
        <f>Wh_hp&gt;='2023'!Maxi_hp</f>
        <v>0</v>
      </c>
      <c r="I312" s="388">
        <f>IF(H312,Wh_hp,'2023'!Maxi_hp)</f>
        <v>36.653360755544639</v>
      </c>
      <c r="J312" s="85">
        <f>IF(H312,An,'2023'!An_max)</f>
        <v>2021</v>
      </c>
      <c r="K312" s="197">
        <f t="shared" si="104"/>
        <v>45589</v>
      </c>
      <c r="L312" s="147">
        <f>IF(t&lt;Tvie,1-EXP((T0-t)*PertePVj)+'2023'!Pspv,1-EXP((T0-t)*PertePVj)+Pspv)</f>
        <v>3.9704967244316158E-2</v>
      </c>
      <c r="M312" s="832"/>
      <c r="N312" s="832"/>
      <c r="O312" s="48">
        <f>IF(t&lt;Tnet,'2023'!Resal+('2023'!Salim-'2023'!Resal)*(1-EXP(('2023'!Tnet-t)/('2023'!Tau_j))),Resal+(Salim-Resal)*(1-EXP((Tnet-t)/(Tau_j))))*Salcycl</f>
        <v>5.0655237177128158E-2</v>
      </c>
      <c r="P312" s="169">
        <f>(INDEX(Models!$BJ312:$BT312,,T312)*(1-R312)+INDEX(Models!$BJ312:$BT312,,T312+1)*R312-ERP_i)*Q312*Ramure*Pc/MaxiM</f>
        <v>3.3617460591546293E-2</v>
      </c>
      <c r="Q312" s="304">
        <f t="shared" si="105"/>
        <v>0.7</v>
      </c>
      <c r="R312" s="177">
        <f t="shared" si="106"/>
        <v>0.13330456639226851</v>
      </c>
      <c r="S312" s="799">
        <f t="shared" si="107"/>
        <v>1</v>
      </c>
      <c r="T312" s="176">
        <f t="shared" si="108"/>
        <v>7</v>
      </c>
      <c r="U312" s="250">
        <f t="shared" si="109"/>
        <v>1.1333045663922685</v>
      </c>
      <c r="V312" s="382">
        <f t="shared" si="110"/>
        <v>33.408245171786227</v>
      </c>
      <c r="W312" s="400">
        <f t="shared" si="111"/>
        <v>22.249216486487178</v>
      </c>
      <c r="X312" s="157">
        <f t="shared" si="112"/>
        <v>45589</v>
      </c>
      <c r="Y312" s="383">
        <f t="shared" si="113"/>
        <v>22.006436370314638</v>
      </c>
      <c r="Z312" s="383">
        <f t="shared" si="114"/>
        <v>22.91632844040074</v>
      </c>
      <c r="AA312" s="384">
        <f t="shared" si="115"/>
        <v>24.387247363424471</v>
      </c>
      <c r="AB312" s="197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6.0315086040821031E-2</v>
      </c>
      <c r="AD312" s="230">
        <f>(INDEX(Models!$BJ312:$BT312,,AH312)*(1-AF312)+INDEX(Models!$BJ312:$BT312,,AH312+1)*AF312-ERP_i)*AE312*Ramure*Pc/MaxiM</f>
        <v>3.5015745207967158E-2</v>
      </c>
      <c r="AE312" s="304">
        <f t="shared" si="117"/>
        <v>0.7</v>
      </c>
      <c r="AF312" s="177">
        <f t="shared" si="118"/>
        <v>0.19763678865210066</v>
      </c>
      <c r="AG312" s="799">
        <f t="shared" si="124"/>
        <v>1</v>
      </c>
      <c r="AH312" s="176">
        <f t="shared" si="119"/>
        <v>7</v>
      </c>
      <c r="AI312" s="224">
        <f t="shared" si="120"/>
        <v>1.1976367886521007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45590</v>
      </c>
      <c r="B313" s="409">
        <f>'2023'!Wh/'2023'!Env_an*'2024'!Env_an</f>
        <v>15.305871166520713</v>
      </c>
      <c r="C313" s="829"/>
      <c r="D313" s="391">
        <f t="shared" si="102"/>
        <v>15.939022887318972</v>
      </c>
      <c r="E313" s="383">
        <f t="shared" si="125"/>
        <v>16.789900025068782</v>
      </c>
      <c r="F313" s="383">
        <f t="shared" si="103"/>
        <v>16.925749824216677</v>
      </c>
      <c r="G313" s="110">
        <f t="shared" si="126"/>
        <v>0.44977520818795363</v>
      </c>
      <c r="H313" s="412" t="b">
        <f>Wh_hp&gt;='2023'!Maxi_hp</f>
        <v>0</v>
      </c>
      <c r="I313" s="388">
        <f>IF(H313,Wh_hp,'2023'!Maxi_hp)</f>
        <v>37.378397618671073</v>
      </c>
      <c r="J313" s="85">
        <f>IF(H313,An,'2023'!An_max)</f>
        <v>2018</v>
      </c>
      <c r="K313" s="197">
        <f t="shared" si="104"/>
        <v>45590</v>
      </c>
      <c r="L313" s="147">
        <f>IF(t&lt;Tvie,1-EXP((T0-t)*PertePVj)+'2023'!Pspv,1-EXP((T0-t)*PertePVj)+Pspv)</f>
        <v>3.9723371079540382E-2</v>
      </c>
      <c r="M313" s="832"/>
      <c r="N313" s="832"/>
      <c r="O313" s="48">
        <f>IF(t&lt;Tnet,'2023'!Resal+('2023'!Salim-'2023'!Resal)*(1-EXP(('2023'!Tnet-t)/('2023'!Tau_j))),Resal+(Salim-Resal)*(1-EXP((Tnet-t)/(Tau_j))))*Salcycl</f>
        <v>5.0677915680223083E-2</v>
      </c>
      <c r="P313" s="169">
        <f>(INDEX(Models!$BJ313:$BT313,,T313)*(1-R313)+INDEX(Models!$BJ313:$BT313,,T313+1)*R313-ERP_i)*Q313*Ramure*Pc/MaxiM</f>
        <v>3.4643434267292675E-2</v>
      </c>
      <c r="Q313" s="304">
        <f t="shared" si="105"/>
        <v>0.7</v>
      </c>
      <c r="R313" s="177">
        <f t="shared" si="106"/>
        <v>0.13336204776045202</v>
      </c>
      <c r="S313" s="799">
        <f t="shared" si="107"/>
        <v>1</v>
      </c>
      <c r="T313" s="176">
        <f t="shared" si="108"/>
        <v>7</v>
      </c>
      <c r="U313" s="250">
        <f t="shared" si="109"/>
        <v>1.133362047760452</v>
      </c>
      <c r="V313" s="382">
        <f t="shared" si="110"/>
        <v>33.116932443528562</v>
      </c>
      <c r="W313" s="400">
        <f t="shared" si="111"/>
        <v>15.305871166520713</v>
      </c>
      <c r="X313" s="157">
        <f t="shared" si="112"/>
        <v>45590</v>
      </c>
      <c r="Y313" s="383">
        <f t="shared" si="113"/>
        <v>15.145442952050441</v>
      </c>
      <c r="Z313" s="383">
        <f t="shared" si="114"/>
        <v>15.771958304428285</v>
      </c>
      <c r="AA313" s="384">
        <f t="shared" si="115"/>
        <v>16.784390466708523</v>
      </c>
      <c r="AB313" s="197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6.0319864715276679E-2</v>
      </c>
      <c r="AD313" s="230">
        <f>(INDEX(Models!$BJ313:$BT313,,AH313)*(1-AF313)+INDEX(Models!$BJ313:$BT313,,AH313+1)*AF313-ERP_i)*AE313*Ramure*Pc/MaxiM</f>
        <v>3.6048442033905635E-2</v>
      </c>
      <c r="AE313" s="304">
        <f t="shared" si="117"/>
        <v>0.7</v>
      </c>
      <c r="AF313" s="177">
        <f t="shared" si="118"/>
        <v>0.19769427002028417</v>
      </c>
      <c r="AG313" s="799">
        <f t="shared" si="124"/>
        <v>1</v>
      </c>
      <c r="AH313" s="176">
        <f t="shared" si="119"/>
        <v>7</v>
      </c>
      <c r="AI313" s="224">
        <f t="shared" si="120"/>
        <v>1.1976942700202842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45591</v>
      </c>
      <c r="B314" s="409">
        <f>'2023'!Wh/'2023'!Env_an*'2024'!Env_an</f>
        <v>15.481675135274259</v>
      </c>
      <c r="C314" s="829"/>
      <c r="D314" s="391">
        <f t="shared" si="102"/>
        <v>16.122408249316063</v>
      </c>
      <c r="E314" s="383">
        <f t="shared" si="125"/>
        <v>16.983472636065656</v>
      </c>
      <c r="F314" s="383">
        <f t="shared" si="103"/>
        <v>17.1327565406235</v>
      </c>
      <c r="G314" s="110">
        <f t="shared" si="126"/>
        <v>0.45877527169187188</v>
      </c>
      <c r="H314" s="412" t="b">
        <f>Wh_hp&gt;='2023'!Maxi_hp</f>
        <v>0</v>
      </c>
      <c r="I314" s="388">
        <f>IF(H314,Wh_hp,'2023'!Maxi_hp)</f>
        <v>34.064654173647206</v>
      </c>
      <c r="J314" s="85">
        <f>IF(H314,An,'2023'!An_max)</f>
        <v>2021</v>
      </c>
      <c r="K314" s="197">
        <f t="shared" si="104"/>
        <v>45591</v>
      </c>
      <c r="L314" s="147">
        <f>IF(t&lt;Tvie,1-EXP((T0-t)*PertePVj)+'2023'!Pspv,1-EXP((T0-t)*PertePVj)+Pspv)</f>
        <v>3.9741774562059295E-2</v>
      </c>
      <c r="M314" s="832"/>
      <c r="N314" s="832"/>
      <c r="O314" s="48">
        <f>IF(t&lt;Tnet,'2023'!Resal+('2023'!Salim-'2023'!Resal)*(1-EXP(('2023'!Tnet-t)/('2023'!Tau_j))),Resal+(Salim-Resal)*(1-EXP((Tnet-t)/(Tau_j))))*Salcycl</f>
        <v>5.0700136844867488E-2</v>
      </c>
      <c r="P314" s="169">
        <f>(INDEX(Models!$BJ314:$BT314,,T314)*(1-R314)+INDEX(Models!$BJ314:$BT314,,T314+1)*R314-ERP_i)*Q314*Ramure*Pc/MaxiM</f>
        <v>3.55556515011375E-2</v>
      </c>
      <c r="Q314" s="304">
        <f t="shared" si="105"/>
        <v>0.7</v>
      </c>
      <c r="R314" s="177">
        <f t="shared" si="106"/>
        <v>0.13341723032907393</v>
      </c>
      <c r="S314" s="799">
        <f t="shared" si="107"/>
        <v>1</v>
      </c>
      <c r="T314" s="176">
        <f t="shared" si="108"/>
        <v>7</v>
      </c>
      <c r="U314" s="250">
        <f t="shared" si="109"/>
        <v>1.1334172303290739</v>
      </c>
      <c r="V314" s="382">
        <f t="shared" si="110"/>
        <v>32.831888878783793</v>
      </c>
      <c r="W314" s="400">
        <f t="shared" si="111"/>
        <v>15.481675135274259</v>
      </c>
      <c r="X314" s="157">
        <f t="shared" si="112"/>
        <v>45591</v>
      </c>
      <c r="Y314" s="383">
        <f t="shared" si="113"/>
        <v>15.319386067137563</v>
      </c>
      <c r="Z314" s="383">
        <f t="shared" si="114"/>
        <v>15.953402596630628</v>
      </c>
      <c r="AA314" s="384">
        <f t="shared" si="115"/>
        <v>16.977559537042215</v>
      </c>
      <c r="AB314" s="197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6.0324155434533823E-2</v>
      </c>
      <c r="AD314" s="230">
        <f>(INDEX(Models!$BJ314:$BT314,,AH314)*(1-AF314)+INDEX(Models!$BJ314:$BT314,,AH314+1)*AF314-ERP_i)*AE314*Ramure*Pc/MaxiM</f>
        <v>3.696400217894108E-2</v>
      </c>
      <c r="AE314" s="304">
        <f t="shared" si="117"/>
        <v>0.7</v>
      </c>
      <c r="AF314" s="177">
        <f t="shared" si="118"/>
        <v>0.19774945258890608</v>
      </c>
      <c r="AG314" s="799">
        <f t="shared" si="124"/>
        <v>1</v>
      </c>
      <c r="AH314" s="176">
        <f t="shared" si="119"/>
        <v>7</v>
      </c>
      <c r="AI314" s="224">
        <f t="shared" si="120"/>
        <v>1.1977494525889061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45592</v>
      </c>
      <c r="B315" s="409">
        <f>'2023'!Wh/'2023'!Env_an*'2024'!Env_an</f>
        <v>16.92133372306353</v>
      </c>
      <c r="C315" s="829"/>
      <c r="D315" s="391">
        <f t="shared" si="102"/>
        <v>17.621987059847054</v>
      </c>
      <c r="E315" s="383">
        <f t="shared" si="125"/>
        <v>18.563567297705649</v>
      </c>
      <c r="F315" s="383">
        <f t="shared" si="103"/>
        <v>18.777911098442015</v>
      </c>
      <c r="G315" s="110">
        <f t="shared" si="126"/>
        <v>0.50669058573385883</v>
      </c>
      <c r="H315" s="412" t="b">
        <f>Wh_hp&gt;='2023'!Maxi_hp</f>
        <v>0</v>
      </c>
      <c r="I315" s="388">
        <f>IF(H315,Wh_hp,'2023'!Maxi_hp)</f>
        <v>36.268866308329294</v>
      </c>
      <c r="J315" s="85">
        <f>IF(H315,An,'2023'!An_max)</f>
        <v>2021</v>
      </c>
      <c r="K315" s="197">
        <f t="shared" si="104"/>
        <v>45592</v>
      </c>
      <c r="L315" s="147">
        <f>IF(t&lt;Tvie,1-EXP((T0-t)*PertePVj)+'2023'!Pspv,1-EXP((T0-t)*PertePVj)+Pspv)</f>
        <v>3.9760177691879783E-2</v>
      </c>
      <c r="M315" s="832"/>
      <c r="N315" s="832"/>
      <c r="O315" s="48">
        <f>IF(t&lt;Tnet,'2023'!Resal+('2023'!Salim-'2023'!Resal)*(1-EXP(('2023'!Tnet-t)/('2023'!Tau_j))),Resal+(Salim-Resal)*(1-EXP((Tnet-t)/(Tau_j))))*Salcycl</f>
        <v>5.0721944912763058E-2</v>
      </c>
      <c r="P315" s="169">
        <f>(INDEX(Models!$BJ315:$BT315,,T315)*(1-R315)+INDEX(Models!$BJ315:$BT315,,T315+1)*R315-ERP_i)*Q315*Ramure*Pc/MaxiM</f>
        <v>3.6352020465794152E-2</v>
      </c>
      <c r="Q315" s="304">
        <f t="shared" si="105"/>
        <v>0.7</v>
      </c>
      <c r="R315" s="177">
        <f t="shared" si="106"/>
        <v>0.13347020543209975</v>
      </c>
      <c r="S315" s="799">
        <f t="shared" si="107"/>
        <v>1</v>
      </c>
      <c r="T315" s="176">
        <f t="shared" si="108"/>
        <v>7</v>
      </c>
      <c r="U315" s="250">
        <f t="shared" si="109"/>
        <v>1.1334702054320998</v>
      </c>
      <c r="V315" s="382">
        <f t="shared" si="110"/>
        <v>32.553374354304552</v>
      </c>
      <c r="W315" s="400">
        <f t="shared" si="111"/>
        <v>16.92133372306353</v>
      </c>
      <c r="X315" s="157">
        <f t="shared" si="112"/>
        <v>45592</v>
      </c>
      <c r="Y315" s="383">
        <f t="shared" si="113"/>
        <v>16.74260864541105</v>
      </c>
      <c r="Z315" s="383">
        <f t="shared" si="114"/>
        <v>17.435861600872773</v>
      </c>
      <c r="AA315" s="384">
        <f t="shared" si="115"/>
        <v>18.555263759749067</v>
      </c>
      <c r="AB315" s="197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6.032801114390806E-2</v>
      </c>
      <c r="AD315" s="230">
        <f>(INDEX(Models!$BJ315:$BT315,,AH315)*(1-AF315)+INDEX(Models!$BJ315:$BT315,,AH315+1)*AF315-ERP_i)*AE315*Ramure*Pc/MaxiM</f>
        <v>3.7760273845174296E-2</v>
      </c>
      <c r="AE315" s="304">
        <f t="shared" si="117"/>
        <v>0.7</v>
      </c>
      <c r="AF315" s="177">
        <f t="shared" si="118"/>
        <v>0.1978024276919319</v>
      </c>
      <c r="AG315" s="799">
        <f t="shared" si="124"/>
        <v>1</v>
      </c>
      <c r="AH315" s="176">
        <f t="shared" si="119"/>
        <v>7</v>
      </c>
      <c r="AI315" s="224">
        <f t="shared" si="120"/>
        <v>1.1978024276919319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45593</v>
      </c>
      <c r="B316" s="409">
        <f>'2023'!Wh/'2023'!Env_an*'2024'!Env_an</f>
        <v>27.18945518010911</v>
      </c>
      <c r="C316" s="829"/>
      <c r="D316" s="391">
        <f t="shared" si="102"/>
        <v>28.315818234287534</v>
      </c>
      <c r="E316" s="383">
        <f t="shared" si="125"/>
        <v>29.829466359215377</v>
      </c>
      <c r="F316" s="383">
        <f t="shared" si="103"/>
        <v>30.710417670195351</v>
      </c>
      <c r="G316" s="110">
        <f t="shared" si="126"/>
        <v>0.83502141688226139</v>
      </c>
      <c r="H316" s="412" t="b">
        <f>Wh_hp&gt;='2023'!Maxi_hp</f>
        <v>0</v>
      </c>
      <c r="I316" s="388">
        <f>IF(H316,Wh_hp,'2023'!Maxi_hp)</f>
        <v>30.826089408528631</v>
      </c>
      <c r="J316" s="85">
        <f>IF(H316,An,'2023'!An_max)</f>
        <v>2022</v>
      </c>
      <c r="K316" s="197">
        <f t="shared" si="104"/>
        <v>45593</v>
      </c>
      <c r="L316" s="147">
        <f>IF(t&lt;Tvie,1-EXP((T0-t)*PertePVj)+'2023'!Pspv,1-EXP((T0-t)*PertePVj)+Pspv)</f>
        <v>3.9778580469008396E-2</v>
      </c>
      <c r="M316" s="832"/>
      <c r="N316" s="832"/>
      <c r="O316" s="48">
        <f>IF(t&lt;Tnet,'2023'!Resal+('2023'!Salim-'2023'!Resal)*(1-EXP(('2023'!Tnet-t)/('2023'!Tau_j))),Resal+(Salim-Resal)*(1-EXP((Tnet-t)/(Tau_j))))*Salcycl</f>
        <v>5.07433859761365E-2</v>
      </c>
      <c r="P316" s="169">
        <f>(INDEX(Models!$BJ316:$BT316,,T316)*(1-R316)+INDEX(Models!$BJ316:$BT316,,T316+1)*R316-ERP_i)*Q316*Ramure*Pc/MaxiM</f>
        <v>3.7030431362053133E-2</v>
      </c>
      <c r="Q316" s="304">
        <f t="shared" si="105"/>
        <v>0.7</v>
      </c>
      <c r="R316" s="177">
        <f t="shared" si="106"/>
        <v>0.13352106082188864</v>
      </c>
      <c r="S316" s="799">
        <f t="shared" si="107"/>
        <v>1</v>
      </c>
      <c r="T316" s="176">
        <f t="shared" si="108"/>
        <v>7</v>
      </c>
      <c r="U316" s="250">
        <f t="shared" si="109"/>
        <v>1.1335210608218886</v>
      </c>
      <c r="V316" s="382">
        <f t="shared" si="110"/>
        <v>32.281647633255233</v>
      </c>
      <c r="W316" s="400">
        <f t="shared" si="111"/>
        <v>27.18945518010911</v>
      </c>
      <c r="X316" s="157">
        <f t="shared" si="112"/>
        <v>45593</v>
      </c>
      <c r="Y316" s="383">
        <f t="shared" si="113"/>
        <v>26.884672718678168</v>
      </c>
      <c r="Z316" s="383">
        <f t="shared" si="114"/>
        <v>27.998409712428263</v>
      </c>
      <c r="AA316" s="384">
        <f t="shared" si="115"/>
        <v>29.79604969453781</v>
      </c>
      <c r="AB316" s="197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6.0331486909792988E-2</v>
      </c>
      <c r="AD316" s="230">
        <f>(INDEX(Models!$BJ316:$BT316,,AH316)*(1-AF316)+INDEX(Models!$BJ316:$BT316,,AH316+1)*AF316-ERP_i)*AE316*Ramure*Pc/MaxiM</f>
        <v>3.8435087320070616E-2</v>
      </c>
      <c r="AE316" s="304">
        <f t="shared" si="117"/>
        <v>0.7</v>
      </c>
      <c r="AF316" s="177">
        <f t="shared" si="118"/>
        <v>0.19785328308172079</v>
      </c>
      <c r="AG316" s="799">
        <f t="shared" si="124"/>
        <v>1</v>
      </c>
      <c r="AH316" s="176">
        <f t="shared" si="119"/>
        <v>7</v>
      </c>
      <c r="AI316" s="224">
        <f t="shared" si="120"/>
        <v>1.1978532830817208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45594</v>
      </c>
      <c r="B317" s="409">
        <f>'2023'!Wh/'2023'!Env_an*'2024'!Env_an</f>
        <v>24.249350936067106</v>
      </c>
      <c r="C317" s="829"/>
      <c r="D317" s="391">
        <f t="shared" si="102"/>
        <v>25.254399855084294</v>
      </c>
      <c r="E317" s="383">
        <f t="shared" si="125"/>
        <v>26.604989028216842</v>
      </c>
      <c r="F317" s="383">
        <f t="shared" si="103"/>
        <v>27.274919161780776</v>
      </c>
      <c r="G317" s="110">
        <f t="shared" si="126"/>
        <v>0.74728782434767194</v>
      </c>
      <c r="H317" s="412" t="b">
        <f>Wh_hp&gt;='2023'!Maxi_hp</f>
        <v>0</v>
      </c>
      <c r="I317" s="388">
        <f>IF(H317,Wh_hp,'2023'!Maxi_hp)</f>
        <v>31.493556755699309</v>
      </c>
      <c r="J317" s="85">
        <f>IF(H317,An,'2023'!An_max)</f>
        <v>2020</v>
      </c>
      <c r="K317" s="197">
        <f t="shared" si="104"/>
        <v>45594</v>
      </c>
      <c r="L317" s="147">
        <f>IF(t&lt;Tvie,1-EXP((T0-t)*PertePVj)+'2023'!Pspv,1-EXP((T0-t)*PertePVj)+Pspv)</f>
        <v>3.9796982893452015E-2</v>
      </c>
      <c r="M317" s="832"/>
      <c r="N317" s="832"/>
      <c r="O317" s="48">
        <f>IF(t&lt;Tnet,'2023'!Resal+('2023'!Salim-'2023'!Resal)*(1-EXP(('2023'!Tnet-t)/('2023'!Tau_j))),Resal+(Salim-Resal)*(1-EXP((Tnet-t)/(Tau_j))))*Salcycl</f>
        <v>5.0764507803409867E-2</v>
      </c>
      <c r="P317" s="169">
        <f>(INDEX(Models!$BJ317:$BT317,,T317)*(1-R317)+INDEX(Models!$BJ317:$BT317,,T317+1)*R317-ERP_i)*Q317*Ramure*Pc/MaxiM</f>
        <v>3.7589360441345782E-2</v>
      </c>
      <c r="Q317" s="304">
        <f t="shared" si="105"/>
        <v>0.7</v>
      </c>
      <c r="R317" s="177">
        <f t="shared" si="106"/>
        <v>0.13356988080592269</v>
      </c>
      <c r="S317" s="799">
        <f t="shared" si="107"/>
        <v>1</v>
      </c>
      <c r="T317" s="176">
        <f t="shared" si="108"/>
        <v>7</v>
      </c>
      <c r="U317" s="250">
        <f t="shared" si="109"/>
        <v>1.1335698808059227</v>
      </c>
      <c r="V317" s="382">
        <f t="shared" si="110"/>
        <v>32.016438231303901</v>
      </c>
      <c r="W317" s="400">
        <f t="shared" si="111"/>
        <v>24.249350936067106</v>
      </c>
      <c r="X317" s="157">
        <f t="shared" si="112"/>
        <v>45594</v>
      </c>
      <c r="Y317" s="383">
        <f t="shared" si="113"/>
        <v>23.98239761728053</v>
      </c>
      <c r="Z317" s="383">
        <f t="shared" si="114"/>
        <v>24.976382275436389</v>
      </c>
      <c r="AA317" s="384">
        <f t="shared" si="115"/>
        <v>26.580081942900616</v>
      </c>
      <c r="AB317" s="197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6.0334639709136252E-2</v>
      </c>
      <c r="AD317" s="230">
        <f>(INDEX(Models!$BJ317:$BT317,,AH317)*(1-AF317)+INDEX(Models!$BJ317:$BT317,,AH317+1)*AF317-ERP_i)*AE317*Ramure*Pc/MaxiM</f>
        <v>3.8986881407471453E-2</v>
      </c>
      <c r="AE317" s="304">
        <f t="shared" si="117"/>
        <v>0.7</v>
      </c>
      <c r="AF317" s="177">
        <f t="shared" si="118"/>
        <v>0.19790210306575484</v>
      </c>
      <c r="AG317" s="799">
        <f t="shared" si="124"/>
        <v>1</v>
      </c>
      <c r="AH317" s="176">
        <f t="shared" si="119"/>
        <v>7</v>
      </c>
      <c r="AI317" s="224">
        <f t="shared" si="120"/>
        <v>1.1979021030657548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45595</v>
      </c>
      <c r="B318" s="409">
        <f>'2023'!Wh/'2023'!Env_an*'2024'!Env_an</f>
        <v>23.591896092062129</v>
      </c>
      <c r="C318" s="829"/>
      <c r="D318" s="391">
        <f t="shared" si="102"/>
        <v>24.570166739453029</v>
      </c>
      <c r="E318" s="383">
        <f t="shared" si="125"/>
        <v>25.884732172308166</v>
      </c>
      <c r="F318" s="383">
        <f t="shared" si="103"/>
        <v>26.522400723295277</v>
      </c>
      <c r="G318" s="110">
        <f t="shared" si="126"/>
        <v>0.73223797679038671</v>
      </c>
      <c r="H318" s="412" t="b">
        <f>Wh_hp&gt;='2023'!Maxi_hp</f>
        <v>0</v>
      </c>
      <c r="I318" s="388">
        <f>IF(H318,Wh_hp,'2023'!Maxi_hp)</f>
        <v>35.545081569193108</v>
      </c>
      <c r="J318" s="85">
        <f>IF(H318,An,'2023'!An_max)</f>
        <v>2020</v>
      </c>
      <c r="K318" s="197">
        <f t="shared" si="104"/>
        <v>45595</v>
      </c>
      <c r="L318" s="147">
        <f>IF(t&lt;Tvie,1-EXP((T0-t)*PertePVj)+'2023'!Pspv,1-EXP((T0-t)*PertePVj)+Pspv)</f>
        <v>3.9815384965217304E-2</v>
      </c>
      <c r="M318" s="832"/>
      <c r="N318" s="832"/>
      <c r="O318" s="48">
        <f>IF(t&lt;Tnet,'2023'!Resal+('2023'!Salim-'2023'!Resal)*(1-EXP(('2023'!Tnet-t)/('2023'!Tau_j))),Resal+(Salim-Resal)*(1-EXP((Tnet-t)/(Tau_j))))*Salcycl</f>
        <v>5.0785359651566109E-2</v>
      </c>
      <c r="P318" s="169">
        <f>(INDEX(Models!$BJ318:$BT318,,T318)*(1-R318)+INDEX(Models!$BJ318:$BT318,,T318+1)*R318-ERP_i)*Q318*Ramure*Pc/MaxiM</f>
        <v>3.8002330454729741E-2</v>
      </c>
      <c r="Q318" s="304">
        <f t="shared" si="105"/>
        <v>0.7</v>
      </c>
      <c r="R318" s="177">
        <f t="shared" si="106"/>
        <v>0.13361674637861132</v>
      </c>
      <c r="S318" s="799">
        <f t="shared" si="107"/>
        <v>1</v>
      </c>
      <c r="T318" s="176">
        <f t="shared" si="108"/>
        <v>7</v>
      </c>
      <c r="U318" s="250">
        <f t="shared" si="109"/>
        <v>1.1336167463786113</v>
      </c>
      <c r="V318" s="382">
        <f t="shared" si="110"/>
        <v>31.758046046289401</v>
      </c>
      <c r="W318" s="400">
        <f t="shared" si="111"/>
        <v>23.591896092062129</v>
      </c>
      <c r="X318" s="157">
        <f t="shared" si="112"/>
        <v>45595</v>
      </c>
      <c r="Y318" s="383">
        <f t="shared" si="113"/>
        <v>23.333460156967782</v>
      </c>
      <c r="Z318" s="383">
        <f t="shared" si="114"/>
        <v>24.301014400363545</v>
      </c>
      <c r="AA318" s="384">
        <f t="shared" si="115"/>
        <v>25.861429108588226</v>
      </c>
      <c r="AB318" s="197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6.0337528203593567E-2</v>
      </c>
      <c r="AD318" s="230">
        <f>(INDEX(Models!$BJ318:$BT318,,AH318)*(1-AF318)+INDEX(Models!$BJ318:$BT318,,AH318+1)*AF318-ERP_i)*AE318*Ramure*Pc/MaxiM</f>
        <v>3.9391093828306564E-2</v>
      </c>
      <c r="AE318" s="304">
        <f t="shared" si="117"/>
        <v>0.7</v>
      </c>
      <c r="AF318" s="177">
        <f t="shared" si="118"/>
        <v>0.19794896863844347</v>
      </c>
      <c r="AG318" s="799">
        <f t="shared" si="124"/>
        <v>1</v>
      </c>
      <c r="AH318" s="176">
        <f t="shared" si="119"/>
        <v>7</v>
      </c>
      <c r="AI318" s="224">
        <f t="shared" si="120"/>
        <v>1.1979489686384435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45596</v>
      </c>
      <c r="B319" s="409">
        <f>'2023'!Wh/'2023'!Env_an*'2024'!Env_an</f>
        <v>25.354112260138173</v>
      </c>
      <c r="C319" s="829"/>
      <c r="D319" s="391">
        <f t="shared" si="102"/>
        <v>26.405961705926124</v>
      </c>
      <c r="E319" s="383">
        <f t="shared" si="125"/>
        <v>27.819351455252093</v>
      </c>
      <c r="F319" s="383">
        <f t="shared" si="103"/>
        <v>28.609984428029421</v>
      </c>
      <c r="G319" s="110">
        <f t="shared" si="126"/>
        <v>0.7959313944461438</v>
      </c>
      <c r="H319" s="412" t="b">
        <f>Wh_hp&gt;='2023'!Maxi_hp</f>
        <v>0</v>
      </c>
      <c r="I319" s="388">
        <f>IF(H319,Wh_hp,'2023'!Maxi_hp)</f>
        <v>28.832623963315033</v>
      </c>
      <c r="J319" s="85">
        <f>IF(H319,An,'2023'!An_max)</f>
        <v>2020</v>
      </c>
      <c r="K319" s="197">
        <f t="shared" si="104"/>
        <v>45596</v>
      </c>
      <c r="L319" s="147">
        <f>IF(t&lt;Tvie,1-EXP((T0-t)*PertePVj)+'2023'!Pspv,1-EXP((T0-t)*PertePVj)+Pspv)</f>
        <v>3.9833786684311145E-2</v>
      </c>
      <c r="M319" s="832"/>
      <c r="N319" s="832"/>
      <c r="O319" s="48">
        <f>IF(t&lt;Tnet,'2023'!Resal+('2023'!Salim-'2023'!Resal)*(1-EXP(('2023'!Tnet-t)/('2023'!Tau_j))),Resal+(Salim-Resal)*(1-EXP((Tnet-t)/(Tau_j))))*Salcycl</f>
        <v>5.0805992066329554E-2</v>
      </c>
      <c r="P319" s="169">
        <f>(INDEX(Models!$BJ319:$BT319,,T319)*(1-R319)+INDEX(Models!$BJ319:$BT319,,T319+1)*R319-ERP_i)*Q319*Ramure*Pc/MaxiM</f>
        <v>3.8322661275229555E-2</v>
      </c>
      <c r="Q319" s="304">
        <f t="shared" si="105"/>
        <v>0.7</v>
      </c>
      <c r="R319" s="177">
        <f t="shared" si="106"/>
        <v>0.13366173534832493</v>
      </c>
      <c r="S319" s="799">
        <f t="shared" si="107"/>
        <v>1</v>
      </c>
      <c r="T319" s="176">
        <f t="shared" si="108"/>
        <v>7</v>
      </c>
      <c r="U319" s="250">
        <f t="shared" si="109"/>
        <v>1.1336617353483249</v>
      </c>
      <c r="V319" s="382">
        <f t="shared" si="110"/>
        <v>31.504513408321682</v>
      </c>
      <c r="W319" s="400">
        <f t="shared" si="111"/>
        <v>25.354112260138173</v>
      </c>
      <c r="X319" s="157">
        <f t="shared" si="112"/>
        <v>45596</v>
      </c>
      <c r="Y319" s="383">
        <f t="shared" si="113"/>
        <v>25.073731757670895</v>
      </c>
      <c r="Z319" s="383">
        <f t="shared" si="114"/>
        <v>26.113949241231023</v>
      </c>
      <c r="AA319" s="384">
        <f t="shared" si="115"/>
        <v>27.79085535915133</v>
      </c>
      <c r="AB319" s="197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6.03402124997248E-2</v>
      </c>
      <c r="AD319" s="230">
        <f>(INDEX(Models!$BJ319:$BT319,,AH319)*(1-AF319)+INDEX(Models!$BJ319:$BT319,,AH319+1)*AF319-ERP_i)*AE319*Ramure*Pc/MaxiM</f>
        <v>3.9703891600977169E-2</v>
      </c>
      <c r="AE319" s="304">
        <f t="shared" si="117"/>
        <v>0.7</v>
      </c>
      <c r="AF319" s="177">
        <f t="shared" si="118"/>
        <v>0.19799395760815708</v>
      </c>
      <c r="AG319" s="799">
        <f t="shared" si="124"/>
        <v>1</v>
      </c>
      <c r="AH319" s="176">
        <f t="shared" si="119"/>
        <v>7</v>
      </c>
      <c r="AI319" s="224">
        <f t="shared" si="120"/>
        <v>1.1979939576081571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45597</v>
      </c>
      <c r="B320" s="409">
        <f>'2023'!Wh/'2023'!Env_an*'2024'!Env_an</f>
        <v>28.156449865267408</v>
      </c>
      <c r="C320" s="829"/>
      <c r="D320" s="391">
        <f t="shared" si="102"/>
        <v>29.325120064696218</v>
      </c>
      <c r="E320" s="383">
        <f t="shared" si="125"/>
        <v>30.895425047202171</v>
      </c>
      <c r="F320" s="383">
        <f t="shared" si="103"/>
        <v>31.952693228869745</v>
      </c>
      <c r="G320" s="110">
        <f t="shared" si="126"/>
        <v>0.89575430808438727</v>
      </c>
      <c r="H320" s="412" t="b">
        <f>Wh_hp&gt;='2023'!Maxi_hp</f>
        <v>0</v>
      </c>
      <c r="I320" s="388">
        <f>IF(H320,Wh_hp,'2023'!Maxi_hp)</f>
        <v>32.061506207065662</v>
      </c>
      <c r="J320" s="85">
        <f>IF(H320,An,'2023'!An_max)</f>
        <v>2020</v>
      </c>
      <c r="K320" s="197">
        <f t="shared" si="104"/>
        <v>45597</v>
      </c>
      <c r="L320" s="147">
        <f>IF(t&lt;Tvie,1-EXP((T0-t)*PertePVj)+'2023'!Pspv,1-EXP((T0-t)*PertePVj)+Pspv)</f>
        <v>3.98521880507402E-2</v>
      </c>
      <c r="M320" s="832"/>
      <c r="N320" s="832"/>
      <c r="O320" s="48">
        <f>IF(t&lt;Tnet,'2023'!Resal+('2023'!Salim-'2023'!Resal)*(1-EXP(('2023'!Tnet-t)/('2023'!Tau_j))),Resal+(Salim-Resal)*(1-EXP((Tnet-t)/(Tau_j))))*Salcycl</f>
        <v>5.0826456671395001E-2</v>
      </c>
      <c r="P320" s="169">
        <f>(INDEX(Models!$BJ320:$BT320,,T320)*(1-R320)+INDEX(Models!$BJ320:$BT320,,T320+1)*R320-ERP_i)*Q320*Ramure*Pc/MaxiM</f>
        <v>3.8549216859542768E-2</v>
      </c>
      <c r="Q320" s="304">
        <f t="shared" si="105"/>
        <v>0.7</v>
      </c>
      <c r="R320" s="177">
        <f t="shared" si="106"/>
        <v>0.13370492245980814</v>
      </c>
      <c r="S320" s="799">
        <f t="shared" si="107"/>
        <v>1</v>
      </c>
      <c r="T320" s="176">
        <f t="shared" si="108"/>
        <v>7</v>
      </c>
      <c r="U320" s="250">
        <f t="shared" si="109"/>
        <v>1.1337049224598081</v>
      </c>
      <c r="V320" s="382">
        <f t="shared" si="110"/>
        <v>31.255708136676258</v>
      </c>
      <c r="W320" s="400">
        <f t="shared" si="111"/>
        <v>28.156449865267408</v>
      </c>
      <c r="X320" s="157">
        <f t="shared" si="112"/>
        <v>45597</v>
      </c>
      <c r="Y320" s="383">
        <f t="shared" si="113"/>
        <v>27.840134435359676</v>
      </c>
      <c r="Z320" s="383">
        <f t="shared" si="114"/>
        <v>28.99567555003804</v>
      </c>
      <c r="AA320" s="384">
        <f t="shared" si="115"/>
        <v>30.857715055444029</v>
      </c>
      <c r="AB320" s="197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6.0342753896727032E-2</v>
      </c>
      <c r="AD320" s="230">
        <f>(INDEX(Models!$BJ320:$BT320,,AH320)*(1-AF320)+INDEX(Models!$BJ320:$BT320,,AH320+1)*AF320-ERP_i)*AE320*Ramure*Pc/MaxiM</f>
        <v>3.9924166636015959E-2</v>
      </c>
      <c r="AE320" s="304">
        <f t="shared" si="117"/>
        <v>0.7</v>
      </c>
      <c r="AF320" s="177">
        <f t="shared" si="118"/>
        <v>0.19803714471964029</v>
      </c>
      <c r="AG320" s="799">
        <f t="shared" si="124"/>
        <v>1</v>
      </c>
      <c r="AH320" s="176">
        <f t="shared" si="119"/>
        <v>7</v>
      </c>
      <c r="AI320" s="224">
        <f t="shared" si="120"/>
        <v>1.1980371447196403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45598</v>
      </c>
      <c r="B321" s="409">
        <f>'2023'!Wh/'2023'!Env_an*'2024'!Env_an</f>
        <v>8.8306328103894476</v>
      </c>
      <c r="C321" s="829"/>
      <c r="D321" s="391">
        <f t="shared" si="102"/>
        <v>9.1973360151372141</v>
      </c>
      <c r="E321" s="383">
        <f t="shared" si="125"/>
        <v>9.6900437914279838</v>
      </c>
      <c r="F321" s="383">
        <f t="shared" si="103"/>
        <v>9.6900437914279838</v>
      </c>
      <c r="G321" s="110">
        <f t="shared" si="126"/>
        <v>0.27373899651787759</v>
      </c>
      <c r="H321" s="412" t="b">
        <f>Wh_hp&gt;='2023'!Maxi_hp</f>
        <v>0</v>
      </c>
      <c r="I321" s="388">
        <f>IF(H321,Wh_hp,'2023'!Maxi_hp)</f>
        <v>28.049300463393088</v>
      </c>
      <c r="J321" s="85">
        <f>IF(H321,An,'2023'!An_max)</f>
        <v>2020</v>
      </c>
      <c r="K321" s="197">
        <f t="shared" si="104"/>
        <v>45598</v>
      </c>
      <c r="L321" s="147">
        <f>IF(t&lt;Tvie,1-EXP((T0-t)*PertePVj)+'2023'!Pspv,1-EXP((T0-t)*PertePVj)+Pspv)</f>
        <v>3.9870589064511353E-2</v>
      </c>
      <c r="M321" s="832"/>
      <c r="N321" s="832"/>
      <c r="O321" s="48">
        <f>IF(t&lt;Tnet,'2023'!Resal+('2023'!Salim-'2023'!Resal)*(1-EXP(('2023'!Tnet-t)/('2023'!Tau_j))),Resal+(Salim-Resal)*(1-EXP((Tnet-t)/(Tau_j))))*Salcycl</f>
        <v>5.0846805948042154E-2</v>
      </c>
      <c r="P321" s="169">
        <f>(INDEX(Models!$BJ321:$BT321,,T321)*(1-R321)+INDEX(Models!$BJ321:$BT321,,T321+1)*R321-ERP_i)*Q321*Ramure*Pc/MaxiM</f>
        <v>3.8680863486810851E-2</v>
      </c>
      <c r="Q321" s="304">
        <f t="shared" si="105"/>
        <v>0.7</v>
      </c>
      <c r="R321" s="177">
        <f t="shared" si="106"/>
        <v>0.13374637951212254</v>
      </c>
      <c r="S321" s="799">
        <f t="shared" si="107"/>
        <v>1</v>
      </c>
      <c r="T321" s="176">
        <f t="shared" si="108"/>
        <v>7</v>
      </c>
      <c r="U321" s="250">
        <f t="shared" si="109"/>
        <v>1.1337463795121225</v>
      </c>
      <c r="V321" s="382">
        <f t="shared" si="110"/>
        <v>31.011497872551786</v>
      </c>
      <c r="W321" s="400">
        <f t="shared" si="111"/>
        <v>8.8306328103894476</v>
      </c>
      <c r="X321" s="157">
        <f t="shared" si="112"/>
        <v>45598</v>
      </c>
      <c r="Y321" s="383">
        <f t="shared" si="113"/>
        <v>8.7422625032356542</v>
      </c>
      <c r="Z321" s="383">
        <f t="shared" si="114"/>
        <v>9.1052960191249142</v>
      </c>
      <c r="AA321" s="384">
        <f t="shared" si="115"/>
        <v>9.6900437914279838</v>
      </c>
      <c r="AB321" s="197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6.0345214623317753E-2</v>
      </c>
      <c r="AD321" s="230">
        <f>(INDEX(Models!$BJ321:$BT321,,AH321)*(1-AF321)+INDEX(Models!$BJ321:$BT321,,AH321+1)*AF321-ERP_i)*AE321*Ramure*Pc/MaxiM</f>
        <v>4.0050813441615873E-2</v>
      </c>
      <c r="AE321" s="304">
        <f t="shared" si="117"/>
        <v>0.7</v>
      </c>
      <c r="AF321" s="177">
        <f t="shared" si="118"/>
        <v>0.19807860177195469</v>
      </c>
      <c r="AG321" s="799">
        <f t="shared" si="124"/>
        <v>1</v>
      </c>
      <c r="AH321" s="176">
        <f t="shared" si="119"/>
        <v>7</v>
      </c>
      <c r="AI321" s="224">
        <f t="shared" si="120"/>
        <v>1.1980786017719547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45599</v>
      </c>
      <c r="B322" s="409">
        <f>'2023'!Wh/'2023'!Env_an*'2024'!Env_an</f>
        <v>12.325220663218978</v>
      </c>
      <c r="C322" s="829"/>
      <c r="D322" s="391">
        <f t="shared" si="102"/>
        <v>12.837287075477684</v>
      </c>
      <c r="E322" s="383">
        <f t="shared" si="125"/>
        <v>13.525278684249114</v>
      </c>
      <c r="F322" s="383">
        <f t="shared" si="103"/>
        <v>13.600908130757906</v>
      </c>
      <c r="G322" s="110">
        <f t="shared" si="126"/>
        <v>0.38718247719333321</v>
      </c>
      <c r="H322" s="412" t="b">
        <f>Wh_hp&gt;='2023'!Maxi_hp</f>
        <v>0</v>
      </c>
      <c r="I322" s="388">
        <f>IF(H322,Wh_hp,'2023'!Maxi_hp)</f>
        <v>18.973893501694523</v>
      </c>
      <c r="J322" s="85">
        <f>IF(H322,An,'2023'!An_max)</f>
        <v>2018</v>
      </c>
      <c r="K322" s="197">
        <f t="shared" si="104"/>
        <v>45599</v>
      </c>
      <c r="L322" s="147">
        <f>IF(t&lt;Tvie,1-EXP((T0-t)*PertePVj)+'2023'!Pspv,1-EXP((T0-t)*PertePVj)+Pspv)</f>
        <v>3.9888989725631152E-2</v>
      </c>
      <c r="M322" s="832"/>
      <c r="N322" s="832"/>
      <c r="O322" s="48">
        <f>IF(t&lt;Tnet,'2023'!Resal+('2023'!Salim-'2023'!Resal)*(1-EXP(('2023'!Tnet-t)/('2023'!Tau_j))),Resal+(Salim-Resal)*(1-EXP((Tnet-t)/(Tau_j))))*Salcycl</f>
        <v>5.0867093006566465E-2</v>
      </c>
      <c r="P322" s="169">
        <f>(INDEX(Models!$BJ322:$BT322,,T322)*(1-R322)+INDEX(Models!$BJ322:$BT322,,T322+1)*R322-ERP_i)*Q322*Ramure*Pc/MaxiM</f>
        <v>3.8716462977249233E-2</v>
      </c>
      <c r="Q322" s="304">
        <f t="shared" si="105"/>
        <v>0.7</v>
      </c>
      <c r="R322" s="177">
        <f t="shared" si="106"/>
        <v>0.13378617547226046</v>
      </c>
      <c r="S322" s="799">
        <f t="shared" si="107"/>
        <v>1</v>
      </c>
      <c r="T322" s="176">
        <f t="shared" si="108"/>
        <v>7</v>
      </c>
      <c r="U322" s="250">
        <f t="shared" si="109"/>
        <v>1.1337861754722605</v>
      </c>
      <c r="V322" s="382">
        <f t="shared" si="110"/>
        <v>30.771750226528884</v>
      </c>
      <c r="W322" s="400">
        <f t="shared" si="111"/>
        <v>12.325220663218978</v>
      </c>
      <c r="X322" s="157">
        <f t="shared" si="112"/>
        <v>45599</v>
      </c>
      <c r="Y322" s="383">
        <f t="shared" si="113"/>
        <v>12.199700460569904</v>
      </c>
      <c r="Z322" s="383">
        <f t="shared" si="114"/>
        <v>12.706551982029268</v>
      </c>
      <c r="AA322" s="384">
        <f t="shared" si="115"/>
        <v>13.522609808121487</v>
      </c>
      <c r="AB322" s="197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6.034765756548751E-2</v>
      </c>
      <c r="AD322" s="230">
        <f>(INDEX(Models!$BJ322:$BT322,,AH322)*(1-AF322)+INDEX(Models!$BJ322:$BT322,,AH322+1)*AF322-ERP_i)*AE322*Ramure*Pc/MaxiM</f>
        <v>4.008272239809766E-2</v>
      </c>
      <c r="AE322" s="304">
        <f t="shared" si="117"/>
        <v>0.7</v>
      </c>
      <c r="AF322" s="177">
        <f t="shared" si="118"/>
        <v>0.19811839773209261</v>
      </c>
      <c r="AG322" s="799">
        <f t="shared" si="124"/>
        <v>1</v>
      </c>
      <c r="AH322" s="176">
        <f t="shared" si="119"/>
        <v>7</v>
      </c>
      <c r="AI322" s="224">
        <f t="shared" si="120"/>
        <v>1.1981183977320926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45600</v>
      </c>
      <c r="B323" s="409">
        <f>'2023'!Wh/'2023'!Env_an*'2024'!Env_an</f>
        <v>29.879260731909788</v>
      </c>
      <c r="C323" s="829"/>
      <c r="D323" s="391">
        <f t="shared" si="102"/>
        <v>31.121227704243267</v>
      </c>
      <c r="E323" s="383">
        <f t="shared" si="125"/>
        <v>32.789815207225267</v>
      </c>
      <c r="F323" s="383">
        <f t="shared" si="103"/>
        <v>34.066159411847003</v>
      </c>
      <c r="G323" s="110">
        <f t="shared" si="126"/>
        <v>0.97727435830000198</v>
      </c>
      <c r="H323" s="412" t="b">
        <f>Wh_hp&gt;='2023'!Maxi_hp</f>
        <v>0</v>
      </c>
      <c r="I323" s="388">
        <f>IF(H323,Wh_hp,'2023'!Maxi_hp)</f>
        <v>34.083177611383562</v>
      </c>
      <c r="J323" s="85">
        <f>IF(H323,An,'2023'!An_max)</f>
        <v>2022</v>
      </c>
      <c r="K323" s="197">
        <f t="shared" si="104"/>
        <v>45600</v>
      </c>
      <c r="L323" s="147">
        <f>IF(t&lt;Tvie,1-EXP((T0-t)*PertePVj)+'2023'!Pspv,1-EXP((T0-t)*PertePVj)+Pspv)</f>
        <v>3.9907390034106593E-2</v>
      </c>
      <c r="M323" s="832"/>
      <c r="N323" s="832"/>
      <c r="O323" s="48">
        <f>IF(t&lt;Tnet,'2023'!Resal+('2023'!Salim-'2023'!Resal)*(1-EXP(('2023'!Tnet-t)/('2023'!Tau_j))),Resal+(Salim-Resal)*(1-EXP((Tnet-t)/(Tau_j))))*Salcycl</f>
        <v>5.0887371351038373E-2</v>
      </c>
      <c r="P323" s="169">
        <f>(INDEX(Models!$BJ323:$BT323,,T323)*(1-R323)+INDEX(Models!$BJ323:$BT323,,T323+1)*R323-ERP_i)*Q323*Ramure*Pc/MaxiM</f>
        <v>3.865486541274666E-2</v>
      </c>
      <c r="Q323" s="304">
        <f t="shared" si="105"/>
        <v>0.7</v>
      </c>
      <c r="R323" s="177">
        <f t="shared" si="106"/>
        <v>0.13382437658457214</v>
      </c>
      <c r="S323" s="799">
        <f t="shared" si="107"/>
        <v>1</v>
      </c>
      <c r="T323" s="176">
        <f t="shared" si="108"/>
        <v>7</v>
      </c>
      <c r="U323" s="250">
        <f t="shared" si="109"/>
        <v>1.1338243765845721</v>
      </c>
      <c r="V323" s="382">
        <f t="shared" si="110"/>
        <v>30.536332932224113</v>
      </c>
      <c r="W323" s="400">
        <f t="shared" si="111"/>
        <v>29.879260731909788</v>
      </c>
      <c r="X323" s="157">
        <f t="shared" si="112"/>
        <v>45600</v>
      </c>
      <c r="Y323" s="383">
        <f t="shared" si="113"/>
        <v>29.540732466512456</v>
      </c>
      <c r="Z323" s="383">
        <f t="shared" si="114"/>
        <v>30.76862810928403</v>
      </c>
      <c r="AA323" s="384">
        <f t="shared" si="115"/>
        <v>32.744780385882073</v>
      </c>
      <c r="AB323" s="197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6.0350145986933008E-2</v>
      </c>
      <c r="AD323" s="230">
        <f>(INDEX(Models!$BJ323:$BT323,,AH323)*(1-AF323)+INDEX(Models!$BJ323:$BT323,,AH323+1)*AF323-ERP_i)*AE323*Ramure*Pc/MaxiM</f>
        <v>4.0018772540310561E-2</v>
      </c>
      <c r="AE323" s="304">
        <f t="shared" si="117"/>
        <v>0.7</v>
      </c>
      <c r="AF323" s="177">
        <f t="shared" si="118"/>
        <v>0.19815659884440429</v>
      </c>
      <c r="AG323" s="799">
        <f t="shared" si="124"/>
        <v>1</v>
      </c>
      <c r="AH323" s="176">
        <f t="shared" si="119"/>
        <v>7</v>
      </c>
      <c r="AI323" s="224">
        <f t="shared" si="120"/>
        <v>1.1981565988444043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45601</v>
      </c>
      <c r="B324" s="409">
        <f>'2023'!Wh/'2023'!Env_an*'2024'!Env_an</f>
        <v>30.920124998669547</v>
      </c>
      <c r="C324" s="829"/>
      <c r="D324" s="391">
        <f t="shared" si="102"/>
        <v>32.205973951061232</v>
      </c>
      <c r="E324" s="383">
        <f t="shared" si="125"/>
        <v>33.933447536286117</v>
      </c>
      <c r="F324" s="383">
        <f t="shared" si="103"/>
        <v>35.292571273233243</v>
      </c>
      <c r="G324" s="110">
        <f t="shared" si="126"/>
        <v>1.0203101945035624</v>
      </c>
      <c r="H324" s="412" t="b">
        <f>Wh_hp&gt;='2023'!Maxi_hp</f>
        <v>1</v>
      </c>
      <c r="I324" s="388">
        <f>IF(H324,Wh_hp,'2023'!Maxi_hp)</f>
        <v>35.292571273233243</v>
      </c>
      <c r="J324" s="85">
        <f>IF(H324,An,'2023'!An_max)</f>
        <v>2024</v>
      </c>
      <c r="K324" s="197">
        <f t="shared" si="104"/>
        <v>45601</v>
      </c>
      <c r="L324" s="147">
        <f>IF(t&lt;Tvie,1-EXP((T0-t)*PertePVj)+'2023'!Pspv,1-EXP((T0-t)*PertePVj)+Pspv)</f>
        <v>3.9925789989944227E-2</v>
      </c>
      <c r="M324" s="832"/>
      <c r="N324" s="832"/>
      <c r="O324" s="48">
        <f>IF(t&lt;Tnet,'2023'!Resal+('2023'!Salim-'2023'!Resal)*(1-EXP(('2023'!Tnet-t)/('2023'!Tau_j))),Resal+(Salim-Resal)*(1-EXP((Tnet-t)/(Tau_j))))*Salcycl</f>
        <v>5.0907694638973586E-2</v>
      </c>
      <c r="P324" s="169">
        <f>(INDEX(Models!$BJ324:$BT324,,T324)*(1-R324)+INDEX(Models!$BJ324:$BT324,,T324+1)*R324-ERP_i)*Q324*Ramure*Pc/MaxiM</f>
        <v>3.8510193162885703E-2</v>
      </c>
      <c r="Q324" s="304">
        <f t="shared" si="105"/>
        <v>0.7</v>
      </c>
      <c r="R324" s="177">
        <f t="shared" si="106"/>
        <v>0.13386104647614738</v>
      </c>
      <c r="S324" s="799">
        <f t="shared" si="107"/>
        <v>1</v>
      </c>
      <c r="T324" s="176">
        <f t="shared" si="108"/>
        <v>7</v>
      </c>
      <c r="U324" s="250">
        <f t="shared" si="109"/>
        <v>1.1338610464761474</v>
      </c>
      <c r="V324" s="382">
        <f t="shared" si="110"/>
        <v>30.304632027825523</v>
      </c>
      <c r="W324" s="400">
        <f t="shared" si="111"/>
        <v>30.920124998669547</v>
      </c>
      <c r="X324" s="157">
        <f t="shared" si="112"/>
        <v>45601</v>
      </c>
      <c r="Y324" s="383">
        <f t="shared" si="113"/>
        <v>30.568948787086946</v>
      </c>
      <c r="Z324" s="383">
        <f t="shared" si="114"/>
        <v>31.840193672910729</v>
      </c>
      <c r="AA324" s="384">
        <f t="shared" si="115"/>
        <v>33.885262202367869</v>
      </c>
      <c r="AB324" s="197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6.0352743244059454E-2</v>
      </c>
      <c r="AD324" s="230">
        <f>(INDEX(Models!$BJ324:$BT324,,AH324)*(1-AF324)+INDEX(Models!$BJ324:$BT324,,AH324+1)*AF324-ERP_i)*AE324*Ramure*Pc/MaxiM</f>
        <v>3.9875504110201056E-2</v>
      </c>
      <c r="AE324" s="304">
        <f t="shared" si="117"/>
        <v>0.7</v>
      </c>
      <c r="AF324" s="177">
        <f t="shared" si="118"/>
        <v>0.19819326873597953</v>
      </c>
      <c r="AG324" s="799">
        <f t="shared" si="124"/>
        <v>1</v>
      </c>
      <c r="AH324" s="176">
        <f t="shared" si="119"/>
        <v>7</v>
      </c>
      <c r="AI324" s="224">
        <f t="shared" si="120"/>
        <v>1.1981932687359795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45602</v>
      </c>
      <c r="B325" s="409">
        <f>'2023'!Wh/'2023'!Env_an*'2024'!Env_an</f>
        <v>31.026781248347529</v>
      </c>
      <c r="C325" s="829"/>
      <c r="D325" s="391">
        <f t="shared" si="102"/>
        <v>32.317684984583458</v>
      </c>
      <c r="E325" s="383">
        <f t="shared" si="125"/>
        <v>34.051883260175643</v>
      </c>
      <c r="F325" s="383">
        <f t="shared" si="103"/>
        <v>35.409981593380145</v>
      </c>
      <c r="G325" s="110">
        <f t="shared" si="126"/>
        <v>1.0316720956581411</v>
      </c>
      <c r="H325" s="412" t="b">
        <f>Wh_hp&gt;='2023'!Maxi_hp</f>
        <v>0</v>
      </c>
      <c r="I325" s="388">
        <f>IF(H325,Wh_hp,'2023'!Maxi_hp)</f>
        <v>35.409981593380152</v>
      </c>
      <c r="J325" s="85">
        <f>IF(H325,An,'2023'!An_max)</f>
        <v>2022</v>
      </c>
      <c r="K325" s="197">
        <f t="shared" si="104"/>
        <v>45602</v>
      </c>
      <c r="L325" s="147">
        <f>IF(t&lt;Tvie,1-EXP((T0-t)*PertePVj)+'2023'!Pspv,1-EXP((T0-t)*PertePVj)+Pspv)</f>
        <v>3.9944189593150936E-2</v>
      </c>
      <c r="M325" s="832"/>
      <c r="N325" s="832"/>
      <c r="O325" s="48">
        <f>IF(t&lt;Tnet,'2023'!Resal+('2023'!Salim-'2023'!Resal)*(1-EXP(('2023'!Tnet-t)/('2023'!Tau_j))),Resal+(Salim-Resal)*(1-EXP((Tnet-t)/(Tau_j))))*Salcycl</f>
        <v>5.0928116437552871E-2</v>
      </c>
      <c r="P325" s="169">
        <f>(INDEX(Models!$BJ325:$BT325,,T325)*(1-R325)+INDEX(Models!$BJ325:$BT325,,T325+1)*R325-ERP_i)*Q325*Ramure*Pc/MaxiM</f>
        <v>3.8353545302559494E-2</v>
      </c>
      <c r="Q325" s="304">
        <f t="shared" si="105"/>
        <v>0.7</v>
      </c>
      <c r="R325" s="177">
        <f t="shared" si="106"/>
        <v>0.13389624625828445</v>
      </c>
      <c r="S325" s="799">
        <f t="shared" si="107"/>
        <v>1</v>
      </c>
      <c r="T325" s="176">
        <f t="shared" si="108"/>
        <v>7</v>
      </c>
      <c r="U325" s="250">
        <f t="shared" si="109"/>
        <v>1.1338962462582844</v>
      </c>
      <c r="V325" s="382">
        <f t="shared" si="110"/>
        <v>30.07426621203166</v>
      </c>
      <c r="W325" s="400">
        <f t="shared" si="111"/>
        <v>31.026781248347529</v>
      </c>
      <c r="X325" s="157">
        <f t="shared" si="112"/>
        <v>45602</v>
      </c>
      <c r="Y325" s="383">
        <f t="shared" si="113"/>
        <v>30.674783946849384</v>
      </c>
      <c r="Z325" s="383">
        <f t="shared" si="114"/>
        <v>31.951042443928475</v>
      </c>
      <c r="AA325" s="384">
        <f t="shared" si="115"/>
        <v>34.003330907471032</v>
      </c>
      <c r="AB325" s="197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6.0355512497501797E-2</v>
      </c>
      <c r="AD325" s="230">
        <f>(INDEX(Models!$BJ325:$BT325,,AH325)*(1-AF325)+INDEX(Models!$BJ325:$BT325,,AH325+1)*AF325-ERP_i)*AE325*Ramure*Pc/MaxiM</f>
        <v>3.9724694072478306E-2</v>
      </c>
      <c r="AE325" s="304">
        <f t="shared" si="117"/>
        <v>0.7</v>
      </c>
      <c r="AF325" s="177">
        <f t="shared" si="118"/>
        <v>0.1982284685181166</v>
      </c>
      <c r="AG325" s="799">
        <f t="shared" si="124"/>
        <v>1</v>
      </c>
      <c r="AH325" s="176">
        <f t="shared" si="119"/>
        <v>7</v>
      </c>
      <c r="AI325" s="224">
        <f t="shared" si="120"/>
        <v>1.1982284685181166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45603</v>
      </c>
      <c r="B326" s="409">
        <f>'2023'!Wh/'2023'!Env_an*'2024'!Env_an</f>
        <v>20.091526249159525</v>
      </c>
      <c r="C326" s="829"/>
      <c r="D326" s="391">
        <f t="shared" si="102"/>
        <v>20.927857618549826</v>
      </c>
      <c r="E326" s="383">
        <f t="shared" si="125"/>
        <v>22.051344745592633</v>
      </c>
      <c r="F326" s="383">
        <f t="shared" si="103"/>
        <v>22.50958766438589</v>
      </c>
      <c r="G326" s="110">
        <f t="shared" si="126"/>
        <v>0.66094221634175365</v>
      </c>
      <c r="H326" s="412" t="b">
        <f>Wh_hp&gt;='2023'!Maxi_hp</f>
        <v>0</v>
      </c>
      <c r="I326" s="388">
        <f>IF(H326,Wh_hp,'2023'!Maxi_hp)</f>
        <v>29.721733914268235</v>
      </c>
      <c r="J326" s="85">
        <f>IF(H326,An,'2023'!An_max)</f>
        <v>2021</v>
      </c>
      <c r="K326" s="197">
        <f t="shared" si="104"/>
        <v>45603</v>
      </c>
      <c r="L326" s="147">
        <f>IF(t&lt;Tvie,1-EXP((T0-t)*PertePVj)+'2023'!Pspv,1-EXP((T0-t)*PertePVj)+Pspv)</f>
        <v>3.9962588843733493E-2</v>
      </c>
      <c r="M326" s="832"/>
      <c r="N326" s="832"/>
      <c r="O326" s="48">
        <f>IF(t&lt;Tnet,'2023'!Resal+('2023'!Salim-'2023'!Resal)*(1-EXP(('2023'!Tnet-t)/('2023'!Tau_j))),Resal+(Salim-Resal)*(1-EXP((Tnet-t)/(Tau_j))))*Salcycl</f>
        <v>5.0948689978073024E-2</v>
      </c>
      <c r="P326" s="169">
        <f>(INDEX(Models!$BJ326:$BT326,,T326)*(1-R326)+INDEX(Models!$BJ326:$BT326,,T326+1)*R326-ERP_i)*Q326*Ramure*Pc/MaxiM</f>
        <v>3.8185013883706417E-2</v>
      </c>
      <c r="Q326" s="304">
        <f t="shared" si="105"/>
        <v>0.7</v>
      </c>
      <c r="R326" s="177">
        <f t="shared" si="106"/>
        <v>0.13393003462417719</v>
      </c>
      <c r="S326" s="799">
        <f t="shared" si="107"/>
        <v>1</v>
      </c>
      <c r="T326" s="176">
        <f t="shared" si="108"/>
        <v>7</v>
      </c>
      <c r="U326" s="250">
        <f t="shared" si="109"/>
        <v>1.1339300346241772</v>
      </c>
      <c r="V326" s="382">
        <f t="shared" si="110"/>
        <v>29.845127381936457</v>
      </c>
      <c r="W326" s="400">
        <f t="shared" si="111"/>
        <v>20.091526249159525</v>
      </c>
      <c r="X326" s="157">
        <f t="shared" si="112"/>
        <v>45603</v>
      </c>
      <c r="Y326" s="383">
        <f t="shared" si="113"/>
        <v>19.877363557926959</v>
      </c>
      <c r="Z326" s="383">
        <f t="shared" si="114"/>
        <v>20.704780175167045</v>
      </c>
      <c r="AA326" s="384">
        <f t="shared" si="115"/>
        <v>22.034765958107968</v>
      </c>
      <c r="AB326" s="197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6.0358516422160467E-2</v>
      </c>
      <c r="AD326" s="230">
        <f>(INDEX(Models!$BJ326:$BT326,,AH326)*(1-AF326)+INDEX(Models!$BJ326:$BT326,,AH326+1)*AF326-ERP_i)*AE326*Ramure*Pc/MaxiM</f>
        <v>3.9566510911405194E-2</v>
      </c>
      <c r="AE326" s="304">
        <f t="shared" si="117"/>
        <v>0.7</v>
      </c>
      <c r="AF326" s="177">
        <f t="shared" si="118"/>
        <v>0.19826225688400934</v>
      </c>
      <c r="AG326" s="799">
        <f t="shared" si="124"/>
        <v>1</v>
      </c>
      <c r="AH326" s="176">
        <f t="shared" si="119"/>
        <v>7</v>
      </c>
      <c r="AI326" s="224">
        <f t="shared" si="120"/>
        <v>1.1982622568840093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45604</v>
      </c>
      <c r="B327" s="409">
        <f>'2023'!Wh/'2023'!Env_an*'2024'!Env_an</f>
        <v>11.911543657943996</v>
      </c>
      <c r="C327" s="829"/>
      <c r="D327" s="391">
        <f t="shared" si="102"/>
        <v>12.407612251265595</v>
      </c>
      <c r="E327" s="383">
        <f t="shared" si="125"/>
        <v>13.07398638054922</v>
      </c>
      <c r="F327" s="383">
        <f t="shared" si="103"/>
        <v>13.146923487075584</v>
      </c>
      <c r="G327" s="110">
        <f t="shared" si="126"/>
        <v>0.38905810309275429</v>
      </c>
      <c r="H327" s="412" t="b">
        <f>Wh_hp&gt;='2023'!Maxi_hp</f>
        <v>0</v>
      </c>
      <c r="I327" s="388">
        <f>IF(H327,Wh_hp,'2023'!Maxi_hp)</f>
        <v>28.934926580180637</v>
      </c>
      <c r="J327" s="85">
        <f>IF(H327,An,'2023'!An_max)</f>
        <v>2020</v>
      </c>
      <c r="K327" s="197">
        <f t="shared" si="104"/>
        <v>45604</v>
      </c>
      <c r="L327" s="147">
        <f>IF(t&lt;Tvie,1-EXP((T0-t)*PertePVj)+'2023'!Pspv,1-EXP((T0-t)*PertePVj)+Pspv)</f>
        <v>3.9980987741698559E-2</v>
      </c>
      <c r="M327" s="832"/>
      <c r="N327" s="832"/>
      <c r="O327" s="48">
        <f>IF(t&lt;Tnet,'2023'!Resal+('2023'!Salim-'2023'!Resal)*(1-EXP(('2023'!Tnet-t)/('2023'!Tau_j))),Resal+(Salim-Resal)*(1-EXP((Tnet-t)/(Tau_j))))*Salcycl</f>
        <v>5.0969467910339926E-2</v>
      </c>
      <c r="P327" s="169">
        <f>(INDEX(Models!$BJ327:$BT327,,T327)*(1-R327)+INDEX(Models!$BJ327:$BT327,,T327+1)*R327-ERP_i)*Q327*Ramure*Pc/MaxiM</f>
        <v>3.8004684343449564E-2</v>
      </c>
      <c r="Q327" s="304">
        <f t="shared" si="105"/>
        <v>0.7</v>
      </c>
      <c r="R327" s="177">
        <f t="shared" si="106"/>
        <v>0.13396246794295275</v>
      </c>
      <c r="S327" s="799">
        <f t="shared" si="107"/>
        <v>1</v>
      </c>
      <c r="T327" s="176">
        <f t="shared" si="108"/>
        <v>7</v>
      </c>
      <c r="U327" s="250">
        <f t="shared" si="109"/>
        <v>1.1339624679429527</v>
      </c>
      <c r="V327" s="382">
        <f t="shared" si="110"/>
        <v>29.617107817130094</v>
      </c>
      <c r="W327" s="400">
        <f t="shared" si="111"/>
        <v>11.911543657943996</v>
      </c>
      <c r="X327" s="157">
        <f t="shared" si="112"/>
        <v>45604</v>
      </c>
      <c r="Y327" s="383">
        <f t="shared" si="113"/>
        <v>11.79124016519089</v>
      </c>
      <c r="Z327" s="383">
        <f t="shared" si="114"/>
        <v>12.282298594747367</v>
      </c>
      <c r="AA327" s="384">
        <f t="shared" si="115"/>
        <v>13.07130639844654</v>
      </c>
      <c r="AB327" s="197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6.0361816917775146E-2</v>
      </c>
      <c r="AD327" s="230">
        <f>(INDEX(Models!$BJ327:$BT327,,AH327)*(1-AF327)+INDEX(Models!$BJ327:$BT327,,AH327+1)*AF327-ERP_i)*AE327*Ramure*Pc/MaxiM</f>
        <v>3.9401118596316474E-2</v>
      </c>
      <c r="AE327" s="304">
        <f t="shared" si="117"/>
        <v>0.7</v>
      </c>
      <c r="AF327" s="177">
        <f t="shared" si="118"/>
        <v>0.1982946902027849</v>
      </c>
      <c r="AG327" s="799">
        <f t="shared" si="124"/>
        <v>1</v>
      </c>
      <c r="AH327" s="176">
        <f t="shared" si="119"/>
        <v>7</v>
      </c>
      <c r="AI327" s="224">
        <f t="shared" si="120"/>
        <v>1.1982946902027849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45605</v>
      </c>
      <c r="B328" s="409">
        <f>'2023'!Wh/'2023'!Env_an*'2024'!Env_an</f>
        <v>20.797470812953701</v>
      </c>
      <c r="C328" s="829"/>
      <c r="D328" s="391">
        <f t="shared" si="102"/>
        <v>21.6640182473596</v>
      </c>
      <c r="E328" s="383">
        <f t="shared" si="125"/>
        <v>22.828031009548702</v>
      </c>
      <c r="F328" s="383">
        <f t="shared" si="103"/>
        <v>23.342014235195485</v>
      </c>
      <c r="G328" s="110">
        <f t="shared" si="126"/>
        <v>0.69620795683367709</v>
      </c>
      <c r="H328" s="412" t="b">
        <f>Wh_hp&gt;='2023'!Maxi_hp</f>
        <v>0</v>
      </c>
      <c r="I328" s="388">
        <f>IF(H328,Wh_hp,'2023'!Maxi_hp)</f>
        <v>23.492007073605752</v>
      </c>
      <c r="J328" s="85">
        <f>IF(H328,An,'2023'!An_max)</f>
        <v>2022</v>
      </c>
      <c r="K328" s="197">
        <f t="shared" si="104"/>
        <v>45605</v>
      </c>
      <c r="L328" s="147">
        <f>IF(t&lt;Tvie,1-EXP((T0-t)*PertePVj)+'2023'!Pspv,1-EXP((T0-t)*PertePVj)+Pspv)</f>
        <v>3.9999386287052907E-2</v>
      </c>
      <c r="M328" s="832"/>
      <c r="N328" s="832"/>
      <c r="O328" s="48">
        <f>IF(t&lt;Tnet,'2023'!Resal+('2023'!Salim-'2023'!Resal)*(1-EXP(('2023'!Tnet-t)/('2023'!Tau_j))),Resal+(Salim-Resal)*(1-EXP((Tnet-t)/(Tau_j))))*Salcycl</f>
        <v>5.0990502058728113E-2</v>
      </c>
      <c r="P328" s="169">
        <f>(INDEX(Models!$BJ328:$BT328,,T328)*(1-R328)+INDEX(Models!$BJ328:$BT328,,T328+1)*R328-ERP_i)*Q328*Ramure*Pc/MaxiM</f>
        <v>3.7812633692843448E-2</v>
      </c>
      <c r="Q328" s="304">
        <f t="shared" si="105"/>
        <v>0.7</v>
      </c>
      <c r="R328" s="177">
        <f t="shared" si="106"/>
        <v>0.13399360035018093</v>
      </c>
      <c r="S328" s="799">
        <f t="shared" si="107"/>
        <v>1</v>
      </c>
      <c r="T328" s="176">
        <f t="shared" si="108"/>
        <v>7</v>
      </c>
      <c r="U328" s="250">
        <f t="shared" si="109"/>
        <v>1.1339936003501809</v>
      </c>
      <c r="V328" s="382">
        <f t="shared" si="110"/>
        <v>29.390100221068622</v>
      </c>
      <c r="W328" s="400">
        <f t="shared" si="111"/>
        <v>20.797470812953701</v>
      </c>
      <c r="X328" s="157">
        <f t="shared" si="112"/>
        <v>45605</v>
      </c>
      <c r="Y328" s="383">
        <f t="shared" si="113"/>
        <v>20.574656251750429</v>
      </c>
      <c r="Z328" s="383">
        <f t="shared" si="114"/>
        <v>21.43191989448303</v>
      </c>
      <c r="AA328" s="384">
        <f t="shared" si="115"/>
        <v>22.808782904634867</v>
      </c>
      <c r="AB328" s="197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6.0365474822071788E-2</v>
      </c>
      <c r="AD328" s="230">
        <f>(INDEX(Models!$BJ328:$BT328,,AH328)*(1-AF328)+INDEX(Models!$BJ328:$BT328,,AH328+1)*AF328-ERP_i)*AE328*Ramure*Pc/MaxiM</f>
        <v>3.9228675120017334E-2</v>
      </c>
      <c r="AE328" s="304">
        <f t="shared" si="117"/>
        <v>0.7</v>
      </c>
      <c r="AF328" s="177">
        <f t="shared" si="118"/>
        <v>0.19832582261001308</v>
      </c>
      <c r="AG328" s="799">
        <f t="shared" si="124"/>
        <v>1</v>
      </c>
      <c r="AH328" s="176">
        <f t="shared" si="119"/>
        <v>7</v>
      </c>
      <c r="AI328" s="224">
        <f t="shared" si="120"/>
        <v>1.1983258226100131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45606</v>
      </c>
      <c r="B329" s="409">
        <f>'2023'!Wh/'2023'!Env_an*'2024'!Env_an</f>
        <v>28.228728387586276</v>
      </c>
      <c r="C329" s="829"/>
      <c r="D329" s="391">
        <f t="shared" si="102"/>
        <v>29.405470154767034</v>
      </c>
      <c r="E329" s="383">
        <f t="shared" si="125"/>
        <v>30.986129746185131</v>
      </c>
      <c r="F329" s="383">
        <f t="shared" si="103"/>
        <v>32.139485370727982</v>
      </c>
      <c r="G329" s="110">
        <f t="shared" si="126"/>
        <v>0.9662008769266951</v>
      </c>
      <c r="H329" s="412" t="b">
        <f>Wh_hp&gt;='2023'!Maxi_hp</f>
        <v>0</v>
      </c>
      <c r="I329" s="388">
        <f>IF(H329,Wh_hp,'2023'!Maxi_hp)</f>
        <v>32.162208991726168</v>
      </c>
      <c r="J329" s="85">
        <f>IF(H329,An,'2023'!An_max)</f>
        <v>2022</v>
      </c>
      <c r="K329" s="197">
        <f t="shared" si="104"/>
        <v>45606</v>
      </c>
      <c r="L329" s="147">
        <f>IF(t&lt;Tvie,1-EXP((T0-t)*PertePVj)+'2023'!Pspv,1-EXP((T0-t)*PertePVj)+Pspv)</f>
        <v>4.001778447980342E-2</v>
      </c>
      <c r="M329" s="832"/>
      <c r="N329" s="832"/>
      <c r="O329" s="48">
        <f>IF(t&lt;Tnet,'2023'!Resal+('2023'!Salim-'2023'!Resal)*(1-EXP(('2023'!Tnet-t)/('2023'!Tau_j))),Resal+(Salim-Resal)*(1-EXP((Tnet-t)/(Tau_j))))*Salcycl</f>
        <v>5.1011843181631995E-2</v>
      </c>
      <c r="P329" s="169">
        <f>(INDEX(Models!$BJ329:$BT329,,T329)*(1-R329)+INDEX(Models!$BJ329:$BT329,,T329+1)*R329-ERP_i)*Q329*Ramure*Pc/MaxiM</f>
        <v>3.7608928700182759E-2</v>
      </c>
      <c r="Q329" s="304">
        <f t="shared" si="105"/>
        <v>0.7</v>
      </c>
      <c r="R329" s="177">
        <f t="shared" si="106"/>
        <v>0.13402348383497853</v>
      </c>
      <c r="S329" s="799">
        <f t="shared" si="107"/>
        <v>1</v>
      </c>
      <c r="T329" s="176">
        <f t="shared" si="108"/>
        <v>7</v>
      </c>
      <c r="U329" s="250">
        <f t="shared" si="109"/>
        <v>1.1340234838349785</v>
      </c>
      <c r="V329" s="382">
        <f t="shared" si="110"/>
        <v>29.163997760157276</v>
      </c>
      <c r="W329" s="400">
        <f t="shared" si="111"/>
        <v>28.228728387586276</v>
      </c>
      <c r="X329" s="157">
        <f t="shared" si="112"/>
        <v>45606</v>
      </c>
      <c r="Y329" s="383">
        <f t="shared" si="113"/>
        <v>27.910527570000987</v>
      </c>
      <c r="Z329" s="383">
        <f t="shared" si="114"/>
        <v>29.07400482922154</v>
      </c>
      <c r="AA329" s="384">
        <f t="shared" si="115"/>
        <v>30.941956827524031</v>
      </c>
      <c r="AB329" s="197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6.0369549628512112E-2</v>
      </c>
      <c r="AD329" s="230">
        <f>(INDEX(Models!$BJ329:$BT329,,AH329)*(1-AF329)+INDEX(Models!$BJ329:$BT329,,AH329+1)*AF329-ERP_i)*AE329*Ramure*Pc/MaxiM</f>
        <v>3.9049331047085009E-2</v>
      </c>
      <c r="AE329" s="304">
        <f t="shared" si="117"/>
        <v>0.7</v>
      </c>
      <c r="AF329" s="177">
        <f t="shared" si="118"/>
        <v>0.19835570609481068</v>
      </c>
      <c r="AG329" s="799">
        <f t="shared" si="124"/>
        <v>1</v>
      </c>
      <c r="AH329" s="176">
        <f t="shared" si="119"/>
        <v>7</v>
      </c>
      <c r="AI329" s="224">
        <f t="shared" si="120"/>
        <v>1.1983557060948107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45607</v>
      </c>
      <c r="B330" s="409">
        <f>'2023'!Wh/'2023'!Env_an*'2024'!Env_an</f>
        <v>28.001998253678671</v>
      </c>
      <c r="C330" s="829"/>
      <c r="D330" s="391">
        <f t="shared" si="102"/>
        <v>29.169847590038817</v>
      </c>
      <c r="E330" s="383">
        <f t="shared" si="125"/>
        <v>30.738544345037162</v>
      </c>
      <c r="F330" s="383">
        <f t="shared" si="103"/>
        <v>31.875364155445045</v>
      </c>
      <c r="G330" s="110">
        <f t="shared" si="126"/>
        <v>0.96589671024091495</v>
      </c>
      <c r="H330" s="412" t="b">
        <f>Wh_hp&gt;='2023'!Maxi_hp</f>
        <v>0</v>
      </c>
      <c r="I330" s="388">
        <f>IF(H330,Wh_hp,'2023'!Maxi_hp)</f>
        <v>33.228636444643307</v>
      </c>
      <c r="J330" s="85">
        <f>IF(H330,An,'2023'!An_max)</f>
        <v>2020</v>
      </c>
      <c r="K330" s="197">
        <f t="shared" si="104"/>
        <v>45607</v>
      </c>
      <c r="L330" s="147">
        <f>IF(t&lt;Tvie,1-EXP((T0-t)*PertePVj)+'2023'!Pspv,1-EXP((T0-t)*PertePVj)+Pspv)</f>
        <v>4.0036182319956759E-2</v>
      </c>
      <c r="M330" s="832"/>
      <c r="N330" s="832"/>
      <c r="O330" s="48">
        <f>IF(t&lt;Tnet,'2023'!Resal+('2023'!Salim-'2023'!Resal)*(1-EXP(('2023'!Tnet-t)/('2023'!Tau_j))),Resal+(Salim-Resal)*(1-EXP((Tnet-t)/(Tau_j))))*Salcycl</f>
        <v>5.1033540736017791E-2</v>
      </c>
      <c r="P330" s="169">
        <f>(INDEX(Models!$BJ330:$BT330,,T330)*(1-R330)+INDEX(Models!$BJ330:$BT330,,T330+1)*R330-ERP_i)*Q330*Ramure*Pc/MaxiM</f>
        <v>3.7393624082572491E-2</v>
      </c>
      <c r="Q330" s="304">
        <f t="shared" si="105"/>
        <v>0.7</v>
      </c>
      <c r="R330" s="177">
        <f t="shared" si="106"/>
        <v>0.13405216832382916</v>
      </c>
      <c r="S330" s="799">
        <f t="shared" si="107"/>
        <v>1</v>
      </c>
      <c r="T330" s="176">
        <f t="shared" si="108"/>
        <v>7</v>
      </c>
      <c r="U330" s="250">
        <f t="shared" si="109"/>
        <v>1.1340521683238292</v>
      </c>
      <c r="V330" s="382">
        <f t="shared" si="110"/>
        <v>28.938694098038855</v>
      </c>
      <c r="W330" s="400">
        <f t="shared" si="111"/>
        <v>28.001998253678671</v>
      </c>
      <c r="X330" s="157">
        <f t="shared" si="112"/>
        <v>45607</v>
      </c>
      <c r="Y330" s="383">
        <f t="shared" si="113"/>
        <v>27.686078152449959</v>
      </c>
      <c r="Z330" s="383">
        <f t="shared" si="114"/>
        <v>28.840751747664047</v>
      </c>
      <c r="AA330" s="384">
        <f t="shared" si="115"/>
        <v>30.693866275329231</v>
      </c>
      <c r="AB330" s="197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6.0374099210651032E-2</v>
      </c>
      <c r="AD330" s="230">
        <f>(INDEX(Models!$BJ330:$BT330,,AH330)*(1-AF330)+INDEX(Models!$BJ330:$BT330,,AH330+1)*AF330-ERP_i)*AE330*Ramure*Pc/MaxiM</f>
        <v>3.8863228084981612E-2</v>
      </c>
      <c r="AE330" s="304">
        <f t="shared" si="117"/>
        <v>0.7</v>
      </c>
      <c r="AF330" s="177">
        <f t="shared" si="118"/>
        <v>0.19838439058366131</v>
      </c>
      <c r="AG330" s="799">
        <f t="shared" si="124"/>
        <v>1</v>
      </c>
      <c r="AH330" s="176">
        <f t="shared" si="119"/>
        <v>7</v>
      </c>
      <c r="AI330" s="224">
        <f t="shared" si="120"/>
        <v>1.1983843905836613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45608</v>
      </c>
      <c r="B331" s="409">
        <f>'2023'!Wh/'2023'!Env_an*'2024'!Env_an</f>
        <v>28.150018885768386</v>
      </c>
      <c r="C331" s="829"/>
      <c r="D331" s="391">
        <f t="shared" si="102"/>
        <v>29.324603559360671</v>
      </c>
      <c r="E331" s="383">
        <f t="shared" si="125"/>
        <v>30.902342515859882</v>
      </c>
      <c r="F331" s="383">
        <f t="shared" si="103"/>
        <v>32.060548820486012</v>
      </c>
      <c r="G331" s="110">
        <f t="shared" si="126"/>
        <v>0.9793168975445774</v>
      </c>
      <c r="H331" s="412" t="b">
        <f>Wh_hp&gt;='2023'!Maxi_hp</f>
        <v>0</v>
      </c>
      <c r="I331" s="388">
        <f>IF(H331,Wh_hp,'2023'!Maxi_hp)</f>
        <v>32.07432066777686</v>
      </c>
      <c r="J331" s="85">
        <f>IF(H331,An,'2023'!An_max)</f>
        <v>2022</v>
      </c>
      <c r="K331" s="197">
        <f t="shared" si="104"/>
        <v>45608</v>
      </c>
      <c r="L331" s="147">
        <f>IF(t&lt;Tvie,1-EXP((T0-t)*PertePVj)+'2023'!Pspv,1-EXP((T0-t)*PertePVj)+Pspv)</f>
        <v>4.0054579807519586E-2</v>
      </c>
      <c r="M331" s="832"/>
      <c r="N331" s="832"/>
      <c r="O331" s="48">
        <f>IF(t&lt;Tnet,'2023'!Resal+('2023'!Salim-'2023'!Resal)*(1-EXP(('2023'!Tnet-t)/('2023'!Tau_j))),Resal+(Salim-Resal)*(1-EXP((Tnet-t)/(Tau_j))))*Salcycl</f>
        <v>5.1055642648756228E-2</v>
      </c>
      <c r="P331" s="169">
        <f>(INDEX(Models!$BJ331:$BT331,,T331)*(1-R331)+INDEX(Models!$BJ331:$BT331,,T331+1)*R331-ERP_i)*Q331*Ramure*Pc/MaxiM</f>
        <v>3.7167521527221761E-2</v>
      </c>
      <c r="Q331" s="304">
        <f t="shared" si="105"/>
        <v>0.7</v>
      </c>
      <c r="R331" s="177">
        <f t="shared" si="106"/>
        <v>0.13407970176122985</v>
      </c>
      <c r="S331" s="799">
        <f t="shared" si="107"/>
        <v>1</v>
      </c>
      <c r="T331" s="176">
        <f t="shared" si="108"/>
        <v>7</v>
      </c>
      <c r="U331" s="250">
        <f t="shared" si="109"/>
        <v>1.1340797017612299</v>
      </c>
      <c r="V331" s="382">
        <f t="shared" si="110"/>
        <v>28.713472963637688</v>
      </c>
      <c r="W331" s="400">
        <f t="shared" si="111"/>
        <v>28.150018885768386</v>
      </c>
      <c r="X331" s="157">
        <f t="shared" si="112"/>
        <v>45608</v>
      </c>
      <c r="Y331" s="383">
        <f t="shared" si="113"/>
        <v>27.831173163882131</v>
      </c>
      <c r="Z331" s="383">
        <f t="shared" si="114"/>
        <v>28.992453715026475</v>
      </c>
      <c r="AA331" s="384">
        <f t="shared" si="115"/>
        <v>30.855482428856632</v>
      </c>
      <c r="AB331" s="197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6.0379179555067185E-2</v>
      </c>
      <c r="AD331" s="230">
        <f>(INDEX(Models!$BJ331:$BT331,,AH331)*(1-AF331)+INDEX(Models!$BJ331:$BT331,,AH331+1)*AF331-ERP_i)*AE331*Ramure*Pc/MaxiM</f>
        <v>3.867128928043146E-2</v>
      </c>
      <c r="AE331" s="304">
        <f t="shared" si="117"/>
        <v>0.7</v>
      </c>
      <c r="AF331" s="177">
        <f t="shared" si="118"/>
        <v>0.198411924021062</v>
      </c>
      <c r="AG331" s="799">
        <f t="shared" si="124"/>
        <v>1</v>
      </c>
      <c r="AH331" s="176">
        <f t="shared" si="119"/>
        <v>7</v>
      </c>
      <c r="AI331" s="224">
        <f t="shared" si="120"/>
        <v>1.198411924021062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45609</v>
      </c>
      <c r="B332" s="409">
        <f>'2023'!Wh/'2023'!Env_an*'2024'!Env_an</f>
        <v>11.957295506144707</v>
      </c>
      <c r="C332" s="829"/>
      <c r="D332" s="391">
        <f t="shared" si="102"/>
        <v>12.456463063263973</v>
      </c>
      <c r="E332" s="383">
        <f t="shared" si="125"/>
        <v>13.126964728699681</v>
      </c>
      <c r="F332" s="383">
        <f t="shared" si="103"/>
        <v>13.210488307941766</v>
      </c>
      <c r="G332" s="110">
        <f t="shared" si="126"/>
        <v>0.40680261849443983</v>
      </c>
      <c r="H332" s="412" t="b">
        <f>Wh_hp&gt;='2023'!Maxi_hp</f>
        <v>0</v>
      </c>
      <c r="I332" s="388">
        <f>IF(H332,Wh_hp,'2023'!Maxi_hp)</f>
        <v>18.993319038472997</v>
      </c>
      <c r="J332" s="85">
        <f>IF(H332,An,'2023'!An_max)</f>
        <v>2020</v>
      </c>
      <c r="K332" s="197">
        <f t="shared" si="104"/>
        <v>45609</v>
      </c>
      <c r="L332" s="147">
        <f>IF(t&lt;Tvie,1-EXP((T0-t)*PertePVj)+'2023'!Pspv,1-EXP((T0-t)*PertePVj)+Pspv)</f>
        <v>4.0072976942498895E-2</v>
      </c>
      <c r="M332" s="832"/>
      <c r="N332" s="832"/>
      <c r="O332" s="48">
        <f>IF(t&lt;Tnet,'2023'!Resal+('2023'!Salim-'2023'!Resal)*(1-EXP(('2023'!Tnet-t)/('2023'!Tau_j))),Resal+(Salim-Resal)*(1-EXP((Tnet-t)/(Tau_j))))*Salcycl</f>
        <v>5.1078195096371334E-2</v>
      </c>
      <c r="P332" s="169">
        <f>(INDEX(Models!$BJ332:$BT332,,T332)*(1-R332)+INDEX(Models!$BJ332:$BT332,,T332+1)*R332-ERP_i)*Q332*Ramure*Pc/MaxiM</f>
        <v>3.6960094915450173E-2</v>
      </c>
      <c r="Q332" s="304">
        <f t="shared" si="105"/>
        <v>0.7</v>
      </c>
      <c r="R332" s="177">
        <f t="shared" si="106"/>
        <v>0.13410613018727902</v>
      </c>
      <c r="S332" s="799">
        <f t="shared" si="107"/>
        <v>1</v>
      </c>
      <c r="T332" s="176">
        <f t="shared" si="108"/>
        <v>7</v>
      </c>
      <c r="U332" s="250">
        <f t="shared" si="109"/>
        <v>1.134106130187279</v>
      </c>
      <c r="V332" s="382">
        <f t="shared" si="110"/>
        <v>28.487088084882345</v>
      </c>
      <c r="W332" s="400">
        <f t="shared" si="111"/>
        <v>11.957295506144707</v>
      </c>
      <c r="X332" s="157">
        <f t="shared" si="112"/>
        <v>45609</v>
      </c>
      <c r="Y332" s="383">
        <f t="shared" si="113"/>
        <v>11.836877049879726</v>
      </c>
      <c r="Z332" s="383">
        <f t="shared" si="114"/>
        <v>12.331017635254842</v>
      </c>
      <c r="AA332" s="384">
        <f t="shared" si="115"/>
        <v>13.123476737405065</v>
      </c>
      <c r="AB332" s="197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6.0384844504774014E-2</v>
      </c>
      <c r="AD332" s="230">
        <f>(INDEX(Models!$BJ332:$BT332,,AH332)*(1-AF332)+INDEX(Models!$BJ332:$BT332,,AH332+1)*AF332-ERP_i)*AE332*Ramure*Pc/MaxiM</f>
        <v>3.8503569111397108E-2</v>
      </c>
      <c r="AE332" s="304">
        <f t="shared" si="117"/>
        <v>0.7</v>
      </c>
      <c r="AF332" s="177">
        <f t="shared" si="118"/>
        <v>0.19843835244711117</v>
      </c>
      <c r="AG332" s="799">
        <f t="shared" si="124"/>
        <v>1</v>
      </c>
      <c r="AH332" s="176">
        <f t="shared" si="119"/>
        <v>7</v>
      </c>
      <c r="AI332" s="224">
        <f t="shared" si="120"/>
        <v>1.1984383524471112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45610</v>
      </c>
      <c r="B333" s="409">
        <f>'2023'!Wh/'2023'!Env_an*'2024'!Env_an</f>
        <v>13.086977853473767</v>
      </c>
      <c r="C333" s="829"/>
      <c r="D333" s="391">
        <f t="shared" si="102"/>
        <v>13.633566253339607</v>
      </c>
      <c r="E333" s="383">
        <f t="shared" si="125"/>
        <v>14.367777534360489</v>
      </c>
      <c r="F333" s="383">
        <f t="shared" si="103"/>
        <v>14.49203768810577</v>
      </c>
      <c r="G333" s="110">
        <f t="shared" si="126"/>
        <v>0.44992227161627563</v>
      </c>
      <c r="H333" s="412" t="b">
        <f>Wh_hp&gt;='2023'!Maxi_hp</f>
        <v>0</v>
      </c>
      <c r="I333" s="388">
        <f>IF(H333,Wh_hp,'2023'!Maxi_hp)</f>
        <v>31.702886154707713</v>
      </c>
      <c r="J333" s="85">
        <f>IF(H333,An,'2023'!An_max)</f>
        <v>2020</v>
      </c>
      <c r="K333" s="197">
        <f t="shared" si="104"/>
        <v>45610</v>
      </c>
      <c r="L333" s="147">
        <f>IF(t&lt;Tvie,1-EXP((T0-t)*PertePVj)+'2023'!Pspv,1-EXP((T0-t)*PertePVj)+Pspv)</f>
        <v>4.0091373724901236E-2</v>
      </c>
      <c r="M333" s="832"/>
      <c r="N333" s="832"/>
      <c r="O333" s="48">
        <f>IF(t&lt;Tnet,'2023'!Resal+('2023'!Salim-'2023'!Resal)*(1-EXP(('2023'!Tnet-t)/('2023'!Tau_j))),Resal+(Salim-Resal)*(1-EXP((Tnet-t)/(Tau_j))))*Salcycl</f>
        <v>5.1101242294782127E-2</v>
      </c>
      <c r="P333" s="169">
        <f>(INDEX(Models!$BJ333:$BT333,,T333)*(1-R333)+INDEX(Models!$BJ333:$BT333,,T333+1)*R333-ERP_i)*Q333*Ramure*Pc/MaxiM</f>
        <v>3.6798515963092929E-2</v>
      </c>
      <c r="Q333" s="304">
        <f t="shared" si="105"/>
        <v>0.7</v>
      </c>
      <c r="R333" s="177">
        <f t="shared" si="106"/>
        <v>0.13413149781231515</v>
      </c>
      <c r="S333" s="799">
        <f t="shared" si="107"/>
        <v>1</v>
      </c>
      <c r="T333" s="176">
        <f t="shared" si="108"/>
        <v>7</v>
      </c>
      <c r="U333" s="250">
        <f t="shared" si="109"/>
        <v>1.1341314978123151</v>
      </c>
      <c r="V333" s="382">
        <f t="shared" si="110"/>
        <v>28.259135945682669</v>
      </c>
      <c r="W333" s="400">
        <f t="shared" si="111"/>
        <v>13.086977853473767</v>
      </c>
      <c r="X333" s="157">
        <f t="shared" si="112"/>
        <v>45610</v>
      </c>
      <c r="Y333" s="383">
        <f t="shared" si="113"/>
        <v>12.954021237191828</v>
      </c>
      <c r="Z333" s="383">
        <f t="shared" si="114"/>
        <v>13.495056594563152</v>
      </c>
      <c r="AA333" s="384">
        <f t="shared" si="115"/>
        <v>14.36241956442503</v>
      </c>
      <c r="AB333" s="197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6.0391145514944469E-2</v>
      </c>
      <c r="AD333" s="230">
        <f>(INDEX(Models!$BJ333:$BT333,,AH333)*(1-AF333)+INDEX(Models!$BJ333:$BT333,,AH333+1)*AF333-ERP_i)*AE333*Ramure*Pc/MaxiM</f>
        <v>3.8385230096763701E-2</v>
      </c>
      <c r="AE333" s="304">
        <f t="shared" si="117"/>
        <v>0.7</v>
      </c>
      <c r="AF333" s="177">
        <f t="shared" si="118"/>
        <v>0.1984637200721473</v>
      </c>
      <c r="AG333" s="799">
        <f t="shared" si="124"/>
        <v>1</v>
      </c>
      <c r="AH333" s="176">
        <f t="shared" si="119"/>
        <v>7</v>
      </c>
      <c r="AI333" s="224">
        <f t="shared" si="120"/>
        <v>1.1984637200721473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45611</v>
      </c>
      <c r="B334" s="409">
        <f>'2023'!Wh/'2023'!Env_an*'2024'!Env_an</f>
        <v>27.562433002505657</v>
      </c>
      <c r="C334" s="829"/>
      <c r="D334" s="391">
        <f t="shared" si="102"/>
        <v>28.714150999274882</v>
      </c>
      <c r="E334" s="383">
        <f t="shared" si="125"/>
        <v>30.261252264957736</v>
      </c>
      <c r="F334" s="383">
        <f t="shared" si="103"/>
        <v>31.385119943244007</v>
      </c>
      <c r="G334" s="110">
        <f t="shared" si="126"/>
        <v>0.98242680383153003</v>
      </c>
      <c r="H334" s="412" t="b">
        <f>Wh_hp&gt;='2023'!Maxi_hp</f>
        <v>0</v>
      </c>
      <c r="I334" s="388">
        <f>IF(H334,Wh_hp,'2023'!Maxi_hp)</f>
        <v>31.396638682128184</v>
      </c>
      <c r="J334" s="85">
        <f>IF(H334,An,'2023'!An_max)</f>
        <v>2022</v>
      </c>
      <c r="K334" s="197">
        <f t="shared" si="104"/>
        <v>45611</v>
      </c>
      <c r="L334" s="147">
        <f>IF(t&lt;Tvie,1-EXP((T0-t)*PertePVj)+'2023'!Pspv,1-EXP((T0-t)*PertePVj)+Pspv)</f>
        <v>4.0109770154733382E-2</v>
      </c>
      <c r="M334" s="832"/>
      <c r="N334" s="832"/>
      <c r="O334" s="48">
        <f>IF(t&lt;Tnet,'2023'!Resal+('2023'!Salim-'2023'!Resal)*(1-EXP(('2023'!Tnet-t)/('2023'!Tau_j))),Resal+(Salim-Resal)*(1-EXP((Tnet-t)/(Tau_j))))*Salcycl</f>
        <v>5.1124826300542318E-2</v>
      </c>
      <c r="P334" s="169">
        <f>(INDEX(Models!$BJ334:$BT334,,T334)*(1-R334)+INDEX(Models!$BJ334:$BT334,,T334+1)*R334-ERP_i)*Q334*Ramure*Pc/MaxiM</f>
        <v>3.6683127215030441E-2</v>
      </c>
      <c r="Q334" s="304">
        <f t="shared" si="105"/>
        <v>0.7</v>
      </c>
      <c r="R334" s="177">
        <f t="shared" si="106"/>
        <v>0.13415584708870676</v>
      </c>
      <c r="S334" s="799">
        <f t="shared" si="107"/>
        <v>1</v>
      </c>
      <c r="T334" s="176">
        <f t="shared" si="108"/>
        <v>7</v>
      </c>
      <c r="U334" s="250">
        <f t="shared" si="109"/>
        <v>1.1341558470887068</v>
      </c>
      <c r="V334" s="382">
        <f t="shared" si="110"/>
        <v>28.030020290094072</v>
      </c>
      <c r="W334" s="400">
        <f t="shared" si="111"/>
        <v>27.562433002505657</v>
      </c>
      <c r="X334" s="157">
        <f t="shared" si="112"/>
        <v>45611</v>
      </c>
      <c r="Y334" s="383">
        <f t="shared" si="113"/>
        <v>27.247928685656689</v>
      </c>
      <c r="Z334" s="383">
        <f t="shared" si="114"/>
        <v>28.386504871550812</v>
      </c>
      <c r="AA334" s="384">
        <f t="shared" si="115"/>
        <v>30.211205214536324</v>
      </c>
      <c r="AB334" s="197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6.0398131422692965E-2</v>
      </c>
      <c r="AD334" s="230">
        <f>(INDEX(Models!$BJ334:$BT334,,AH334)*(1-AF334)+INDEX(Models!$BJ334:$BT334,,AH334+1)*AF334-ERP_i)*AE334*Ramure*Pc/MaxiM</f>
        <v>3.8316666779176708E-2</v>
      </c>
      <c r="AE334" s="304">
        <f t="shared" si="117"/>
        <v>0.7</v>
      </c>
      <c r="AF334" s="177">
        <f t="shared" si="118"/>
        <v>0.19848806934853891</v>
      </c>
      <c r="AG334" s="799">
        <f t="shared" si="124"/>
        <v>1</v>
      </c>
      <c r="AH334" s="176">
        <f t="shared" si="119"/>
        <v>7</v>
      </c>
      <c r="AI334" s="224">
        <f t="shared" si="120"/>
        <v>1.1984880693485389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45612</v>
      </c>
      <c r="B335" s="409">
        <f>'2023'!Wh/'2023'!Env_an*'2024'!Env_an</f>
        <v>12.11135541387241</v>
      </c>
      <c r="C335" s="829"/>
      <c r="D335" s="391">
        <f t="shared" ref="D335:D379" si="127">Wh/(1-Ppv)</f>
        <v>12.617679764942181</v>
      </c>
      <c r="E335" s="383">
        <f t="shared" si="125"/>
        <v>13.297851390516476</v>
      </c>
      <c r="F335" s="383">
        <f t="shared" ref="F335:F379" si="128">Wh_sa/(1-Pvg*MEDIAN((-Sdif+Wh/Env_an)/Csdif,0,1))</f>
        <v>13.392883868372646</v>
      </c>
      <c r="G335" s="110">
        <f t="shared" si="126"/>
        <v>0.42270610305958778</v>
      </c>
      <c r="H335" s="412" t="b">
        <f>Wh_hp&gt;='2023'!Maxi_hp</f>
        <v>0</v>
      </c>
      <c r="I335" s="388">
        <f>IF(H335,Wh_hp,'2023'!Maxi_hp)</f>
        <v>19.304439918384041</v>
      </c>
      <c r="J335" s="85">
        <f>IF(H335,An,'2023'!An_max)</f>
        <v>2020</v>
      </c>
      <c r="K335" s="197">
        <f t="shared" ref="K335:K379" si="129">t</f>
        <v>45612</v>
      </c>
      <c r="L335" s="147">
        <f>IF(t&lt;Tvie,1-EXP((T0-t)*PertePVj)+'2023'!Pspv,1-EXP((T0-t)*PertePVj)+Pspv)</f>
        <v>4.0128166232002327E-2</v>
      </c>
      <c r="M335" s="832"/>
      <c r="N335" s="832"/>
      <c r="O335" s="48">
        <f>IF(t&lt;Tnet,'2023'!Resal+('2023'!Salim-'2023'!Resal)*(1-EXP(('2023'!Tnet-t)/('2023'!Tau_j))),Resal+(Salim-Resal)*(1-EXP((Tnet-t)/(Tau_j))))*Salcycl</f>
        <v>5.1148986824996939E-2</v>
      </c>
      <c r="P335" s="169">
        <f>(INDEX(Models!$BJ335:$BT335,,T335)*(1-R335)+INDEX(Models!$BJ335:$BT335,,T335+1)*R335-ERP_i)*Q335*Ramure*Pc/MaxiM</f>
        <v>3.6614287967502893E-2</v>
      </c>
      <c r="Q335" s="304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0.13417921877990224</v>
      </c>
      <c r="S335" s="799">
        <f t="shared" ref="S335:S379" si="132">INDEX(Echel_vg,T335)</f>
        <v>1</v>
      </c>
      <c r="T335" s="176">
        <f t="shared" ref="T335:T379" si="133">MIN(MATCH(Hp_vg,Echel_vg),10)</f>
        <v>7</v>
      </c>
      <c r="U335" s="250">
        <f t="shared" ref="U335:U379" si="134">IF(OR(t&lt;Ttai,Notai),Hdd+PousH*Croivg,Hdtf+PousH*(Croivg-Croi_tai))</f>
        <v>1.1341792187799022</v>
      </c>
      <c r="V335" s="382">
        <f t="shared" ref="V335:V379" si="135">MaxiM*(1-Ppv)*(1-Pvg)*(1-Psa)</f>
        <v>27.800144895478521</v>
      </c>
      <c r="W335" s="400">
        <f t="shared" ref="W335:W380" si="136">Wh*(A335&gt;Tmaj)</f>
        <v>12.11135541387241</v>
      </c>
      <c r="X335" s="157">
        <f t="shared" ref="X335:X379" si="137">t</f>
        <v>45612</v>
      </c>
      <c r="Y335" s="383">
        <f t="shared" ref="Y335:Y379" si="138">Wh_pvt_s*(1-Ppv)</f>
        <v>11.989256667921852</v>
      </c>
      <c r="Z335" s="383">
        <f t="shared" ref="Z335:Z379" si="139">Wh_sa_s*(1-Psa_s)</f>
        <v>12.490476588793907</v>
      </c>
      <c r="AA335" s="384">
        <f t="shared" ref="AA335:AA379" si="140">Wh_hp*(1-Pvg_s*MEDIAN((-Sdif+Wh/Env_an)/Csdif,0,1))</f>
        <v>13.29348055785402</v>
      </c>
      <c r="AB335" s="197">
        <f t="shared" ref="AB335:AB379" si="141">t</f>
        <v>45612</v>
      </c>
      <c r="AC335" s="119">
        <f>IF(OR(t&lt;Tnet,NoTnet),'2023'!Resal_s+('2023'!Salim-'2023'!Resal_s)*(1-EXP(('2023'!Tnet_s-t)/'2023'!Tau_j)),Resal_s+(Salim-Resal_s)*(1-EXP((Tnet_s-t)/Tau_j)))*Salcycl</f>
        <v>6.0405848232552121E-2</v>
      </c>
      <c r="AD335" s="230">
        <f>(INDEX(Models!$BJ335:$BT335,,AH335)*(1-AF335)+INDEX(Models!$BJ335:$BT335,,AH335+1)*AF335-ERP_i)*AE335*Ramure*Pc/MaxiM</f>
        <v>3.8298290419834249E-2</v>
      </c>
      <c r="AE335" s="304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0.19851144103973439</v>
      </c>
      <c r="AG335" s="799">
        <f t="shared" si="124"/>
        <v>1</v>
      </c>
      <c r="AH335" s="176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1.1985114410397344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80" si="148">A335+1</f>
        <v>45613</v>
      </c>
      <c r="B336" s="409">
        <f>'2023'!Wh/'2023'!Env_an*'2024'!Env_an</f>
        <v>13.923432601894227</v>
      </c>
      <c r="C336" s="829"/>
      <c r="D336" s="391">
        <f t="shared" si="127"/>
        <v>14.505790207177792</v>
      </c>
      <c r="E336" s="383">
        <f t="shared" si="125"/>
        <v>15.288141929363348</v>
      </c>
      <c r="F336" s="383">
        <f t="shared" si="128"/>
        <v>15.45376806328102</v>
      </c>
      <c r="G336" s="110">
        <f t="shared" si="126"/>
        <v>0.49181376354303746</v>
      </c>
      <c r="H336" s="412" t="b">
        <f>Wh_hp&gt;='2023'!Maxi_hp</f>
        <v>0</v>
      </c>
      <c r="I336" s="388">
        <f>IF(H336,Wh_hp,'2023'!Maxi_hp)</f>
        <v>28.981060402104621</v>
      </c>
      <c r="J336" s="85">
        <f>IF(H336,An,'2023'!An_max)</f>
        <v>2020</v>
      </c>
      <c r="K336" s="197">
        <f t="shared" si="129"/>
        <v>45613</v>
      </c>
      <c r="L336" s="147">
        <f>IF(t&lt;Tvie,1-EXP((T0-t)*PertePVj)+'2023'!Pspv,1-EXP((T0-t)*PertePVj)+Pspv)</f>
        <v>4.014656195671451E-2</v>
      </c>
      <c r="M336" s="832"/>
      <c r="N336" s="832"/>
      <c r="O336" s="48">
        <f>IF(t&lt;Tnet,'2023'!Resal+('2023'!Salim-'2023'!Resal)*(1-EXP(('2023'!Tnet-t)/('2023'!Tau_j))),Resal+(Salim-Resal)*(1-EXP((Tnet-t)/(Tau_j))))*Salcycl</f>
        <v>5.1173761062678472E-2</v>
      </c>
      <c r="P336" s="169">
        <f>(INDEX(Models!$BJ336:$BT336,,T336)*(1-R336)+INDEX(Models!$BJ336:$BT336,,T336+1)*R336-ERP_i)*Q336*Ramure*Pc/MaxiM</f>
        <v>3.6592369563080464E-2</v>
      </c>
      <c r="Q336" s="304">
        <f t="shared" si="130"/>
        <v>0.7</v>
      </c>
      <c r="R336" s="177">
        <f t="shared" si="131"/>
        <v>0.13420165202683298</v>
      </c>
      <c r="S336" s="799">
        <f t="shared" si="132"/>
        <v>1</v>
      </c>
      <c r="T336" s="176">
        <f t="shared" si="133"/>
        <v>7</v>
      </c>
      <c r="U336" s="250">
        <f t="shared" si="134"/>
        <v>1.134201652026833</v>
      </c>
      <c r="V336" s="382">
        <f t="shared" si="135"/>
        <v>27.569913542435611</v>
      </c>
      <c r="W336" s="400">
        <f t="shared" si="136"/>
        <v>13.923432601894227</v>
      </c>
      <c r="X336" s="157">
        <f t="shared" si="137"/>
        <v>45613</v>
      </c>
      <c r="Y336" s="383">
        <f t="shared" si="138"/>
        <v>13.780737637742867</v>
      </c>
      <c r="Z336" s="383">
        <f t="shared" si="139"/>
        <v>14.357126923289107</v>
      </c>
      <c r="AA336" s="384">
        <f t="shared" si="140"/>
        <v>15.280274612506997</v>
      </c>
      <c r="AB336" s="197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6.0414338919163681E-2</v>
      </c>
      <c r="AD336" s="230">
        <f>(INDEX(Models!$BJ336:$BT336,,AH336)*(1-AF336)+INDEX(Models!$BJ336:$BT336,,AH336+1)*AF336-ERP_i)*AE336*Ramure*Pc/MaxiM</f>
        <v>3.8330523796762841E-2</v>
      </c>
      <c r="AE336" s="304">
        <f t="shared" si="142"/>
        <v>0.7</v>
      </c>
      <c r="AF336" s="177">
        <f t="shared" si="143"/>
        <v>0.19853387428666514</v>
      </c>
      <c r="AG336" s="799">
        <f t="shared" ref="AG336:AG379" si="149">INDEX(Echel_vg,AH336)</f>
        <v>1</v>
      </c>
      <c r="AH336" s="176">
        <f t="shared" si="144"/>
        <v>7</v>
      </c>
      <c r="AI336" s="224">
        <f t="shared" si="145"/>
        <v>1.1985338742866651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45614</v>
      </c>
      <c r="B337" s="409">
        <f>'2023'!Wh/'2023'!Env_an*'2024'!Env_an</f>
        <v>5.8279857302520854</v>
      </c>
      <c r="C337" s="829"/>
      <c r="D337" s="391">
        <f t="shared" si="127"/>
        <v>6.071861800370816</v>
      </c>
      <c r="E337" s="383">
        <f t="shared" si="125"/>
        <v>6.3995115676587186</v>
      </c>
      <c r="F337" s="383">
        <f t="shared" si="128"/>
        <v>6.3995115676587186</v>
      </c>
      <c r="G337" s="110">
        <f t="shared" si="126"/>
        <v>0.20536333046452276</v>
      </c>
      <c r="H337" s="412" t="b">
        <f>Wh_hp&gt;='2023'!Maxi_hp</f>
        <v>0</v>
      </c>
      <c r="I337" s="388">
        <f>IF(H337,Wh_hp,'2023'!Maxi_hp)</f>
        <v>31.083466174894443</v>
      </c>
      <c r="J337" s="85">
        <f>IF(H337,An,'2023'!An_max)</f>
        <v>2020</v>
      </c>
      <c r="K337" s="197">
        <f t="shared" si="129"/>
        <v>45614</v>
      </c>
      <c r="L337" s="147">
        <f>IF(t&lt;Tvie,1-EXP((T0-t)*PertePVj)+'2023'!Pspv,1-EXP((T0-t)*PertePVj)+Pspv)</f>
        <v>4.0164957328876816E-2</v>
      </c>
      <c r="M337" s="832"/>
      <c r="N337" s="832"/>
      <c r="O337" s="48">
        <f>IF(t&lt;Tnet,'2023'!Resal+('2023'!Salim-'2023'!Resal)*(1-EXP(('2023'!Tnet-t)/('2023'!Tau_j))),Resal+(Salim-Resal)*(1-EXP((Tnet-t)/(Tau_j))))*Salcycl</f>
        <v>5.1199183535154451E-2</v>
      </c>
      <c r="P337" s="169">
        <f>(INDEX(Models!$BJ337:$BT337,,T337)*(1-R337)+INDEX(Models!$BJ337:$BT337,,T337+1)*R337-ERP_i)*Q337*Ramure*Pc/MaxiM</f>
        <v>3.6617750256037626E-2</v>
      </c>
      <c r="Q337" s="304">
        <f t="shared" si="130"/>
        <v>0.7</v>
      </c>
      <c r="R337" s="177">
        <f t="shared" si="131"/>
        <v>0.13422318441176939</v>
      </c>
      <c r="S337" s="799">
        <f t="shared" si="132"/>
        <v>1</v>
      </c>
      <c r="T337" s="176">
        <f t="shared" si="133"/>
        <v>7</v>
      </c>
      <c r="U337" s="250">
        <f t="shared" si="134"/>
        <v>1.1342231844117694</v>
      </c>
      <c r="V337" s="382">
        <f t="shared" si="135"/>
        <v>27.339729987754076</v>
      </c>
      <c r="W337" s="400">
        <f t="shared" si="136"/>
        <v>5.8279857302520854</v>
      </c>
      <c r="X337" s="157">
        <f t="shared" si="137"/>
        <v>45614</v>
      </c>
      <c r="Y337" s="383">
        <f t="shared" si="138"/>
        <v>5.7713247128434251</v>
      </c>
      <c r="Z337" s="383">
        <f t="shared" si="139"/>
        <v>6.0128297637294175</v>
      </c>
      <c r="AA337" s="384">
        <f t="shared" si="140"/>
        <v>6.3995115676587186</v>
      </c>
      <c r="AB337" s="197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6.0423643248569039E-2</v>
      </c>
      <c r="AD337" s="230">
        <f>(INDEX(Models!$BJ337:$BT337,,AH337)*(1-AF337)+INDEX(Models!$BJ337:$BT337,,AH337+1)*AF337-ERP_i)*AE337*Ramure*Pc/MaxiM</f>
        <v>3.8413795521854692E-2</v>
      </c>
      <c r="AE337" s="304">
        <f t="shared" si="142"/>
        <v>0.7</v>
      </c>
      <c r="AF337" s="177">
        <f t="shared" si="143"/>
        <v>0.19855540667160154</v>
      </c>
      <c r="AG337" s="799">
        <f t="shared" si="149"/>
        <v>1</v>
      </c>
      <c r="AH337" s="176">
        <f t="shared" si="144"/>
        <v>7</v>
      </c>
      <c r="AI337" s="224">
        <f t="shared" si="145"/>
        <v>1.1985554066716015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45615</v>
      </c>
      <c r="B338" s="409">
        <f>'2023'!Wh/'2023'!Env_an*'2024'!Env_an</f>
        <v>19.329843150157686</v>
      </c>
      <c r="C338" s="829"/>
      <c r="D338" s="391">
        <f t="shared" si="127"/>
        <v>20.13909968893984</v>
      </c>
      <c r="E338" s="383">
        <f t="shared" si="125"/>
        <v>21.226429615733473</v>
      </c>
      <c r="F338" s="383">
        <f t="shared" si="128"/>
        <v>21.696480094463404</v>
      </c>
      <c r="G338" s="110">
        <f t="shared" si="126"/>
        <v>0.70206428672586318</v>
      </c>
      <c r="H338" s="412" t="b">
        <f>Wh_hp&gt;='2023'!Maxi_hp</f>
        <v>0</v>
      </c>
      <c r="I338" s="388">
        <f>IF(H338,Wh_hp,'2023'!Maxi_hp)</f>
        <v>30.262737933685557</v>
      </c>
      <c r="J338" s="85">
        <f>IF(H338,An,'2023'!An_max)</f>
        <v>2018</v>
      </c>
      <c r="K338" s="197">
        <f t="shared" si="129"/>
        <v>45615</v>
      </c>
      <c r="L338" s="147">
        <f>IF(t&lt;Tvie,1-EXP((T0-t)*PertePVj)+'2023'!Pspv,1-EXP((T0-t)*PertePVj)+Pspv)</f>
        <v>4.0183352348496015E-2</v>
      </c>
      <c r="M338" s="832"/>
      <c r="N338" s="832"/>
      <c r="O338" s="48">
        <f>IF(t&lt;Tnet,'2023'!Resal+('2023'!Salim-'2023'!Resal)*(1-EXP(('2023'!Tnet-t)/('2023'!Tau_j))),Resal+(Salim-Resal)*(1-EXP((Tnet-t)/(Tau_j))))*Salcycl</f>
        <v>5.1225285951419848E-2</v>
      </c>
      <c r="P338" s="169">
        <f>(INDEX(Models!$BJ338:$BT338,,T338)*(1-R338)+INDEX(Models!$BJ338:$BT338,,T338+1)*R338-ERP_i)*Q338*Ramure*Pc/MaxiM</f>
        <v>3.6716964247743671E-2</v>
      </c>
      <c r="Q338" s="304">
        <f t="shared" si="130"/>
        <v>0.7</v>
      </c>
      <c r="R338" s="177">
        <f t="shared" si="131"/>
        <v>0.13424385201972067</v>
      </c>
      <c r="S338" s="799">
        <f t="shared" si="132"/>
        <v>1</v>
      </c>
      <c r="T338" s="176">
        <f t="shared" si="133"/>
        <v>7</v>
      </c>
      <c r="U338" s="250">
        <f t="shared" si="134"/>
        <v>1.1342438520197207</v>
      </c>
      <c r="V338" s="382">
        <f t="shared" si="135"/>
        <v>27.109261875193688</v>
      </c>
      <c r="W338" s="400">
        <f t="shared" si="136"/>
        <v>19.329843150157686</v>
      </c>
      <c r="X338" s="157">
        <f t="shared" si="137"/>
        <v>45615</v>
      </c>
      <c r="Y338" s="383">
        <f t="shared" si="138"/>
        <v>19.120796139548691</v>
      </c>
      <c r="Z338" s="383">
        <f t="shared" si="139"/>
        <v>19.921300788368058</v>
      </c>
      <c r="AA338" s="384">
        <f t="shared" si="140"/>
        <v>21.20265792648966</v>
      </c>
      <c r="AB338" s="197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6.0433797619341444E-2</v>
      </c>
      <c r="AD338" s="230">
        <f>(INDEX(Models!$BJ338:$BT338,,AH338)*(1-AF338)+INDEX(Models!$BJ338:$BT338,,AH338+1)*AF338-ERP_i)*AE338*Ramure*Pc/MaxiM</f>
        <v>3.8573837718933218E-2</v>
      </c>
      <c r="AE338" s="304">
        <f t="shared" si="142"/>
        <v>0.7</v>
      </c>
      <c r="AF338" s="177">
        <f t="shared" si="143"/>
        <v>0.19857607427955282</v>
      </c>
      <c r="AG338" s="799">
        <f t="shared" si="149"/>
        <v>1</v>
      </c>
      <c r="AH338" s="176">
        <f t="shared" si="144"/>
        <v>7</v>
      </c>
      <c r="AI338" s="224">
        <f t="shared" si="145"/>
        <v>1.1985760742795528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45616</v>
      </c>
      <c r="B339" s="409">
        <f>'2023'!Wh/'2023'!Env_an*'2024'!Env_an</f>
        <v>3.1138319036649418</v>
      </c>
      <c r="C339" s="829"/>
      <c r="D339" s="391">
        <f t="shared" si="127"/>
        <v>3.2442566903854155</v>
      </c>
      <c r="E339" s="383">
        <f t="shared" si="125"/>
        <v>3.419513951409284</v>
      </c>
      <c r="F339" s="383">
        <f t="shared" si="128"/>
        <v>3.419513951409284</v>
      </c>
      <c r="G339" s="110">
        <f t="shared" si="126"/>
        <v>0.11157294238372108</v>
      </c>
      <c r="H339" s="412" t="b">
        <f>Wh_hp&gt;='2023'!Maxi_hp</f>
        <v>0</v>
      </c>
      <c r="I339" s="388">
        <f>IF(H339,Wh_hp,'2023'!Maxi_hp)</f>
        <v>27.490335001003508</v>
      </c>
      <c r="J339" s="85">
        <f>IF(H339,An,'2023'!An_max)</f>
        <v>2018</v>
      </c>
      <c r="K339" s="197">
        <f t="shared" si="129"/>
        <v>45616</v>
      </c>
      <c r="L339" s="147">
        <f>IF(t&lt;Tvie,1-EXP((T0-t)*PertePVj)+'2023'!Pspv,1-EXP((T0-t)*PertePVj)+Pspv)</f>
        <v>4.0201747015578881E-2</v>
      </c>
      <c r="M339" s="832"/>
      <c r="N339" s="832"/>
      <c r="O339" s="48">
        <f>IF(t&lt;Tnet,'2023'!Resal+('2023'!Salim-'2023'!Resal)*(1-EXP(('2023'!Tnet-t)/('2023'!Tau_j))),Resal+(Salim-Resal)*(1-EXP((Tnet-t)/(Tau_j))))*Salcycl</f>
        <v>5.1252097085797664E-2</v>
      </c>
      <c r="P339" s="169">
        <f>(INDEX(Models!$BJ339:$BT339,,T339)*(1-R339)+INDEX(Models!$BJ339:$BT339,,T339+1)*R339-ERP_i)*Q339*Ramure*Pc/MaxiM</f>
        <v>3.687424188838144E-2</v>
      </c>
      <c r="Q339" s="304">
        <f t="shared" si="130"/>
        <v>0.7</v>
      </c>
      <c r="R339" s="177">
        <f t="shared" si="131"/>
        <v>0.1342636894974687</v>
      </c>
      <c r="S339" s="799">
        <f t="shared" si="132"/>
        <v>1</v>
      </c>
      <c r="T339" s="176">
        <f t="shared" si="133"/>
        <v>7</v>
      </c>
      <c r="U339" s="250">
        <f t="shared" si="134"/>
        <v>1.1342636894974687</v>
      </c>
      <c r="V339" s="382">
        <f t="shared" si="135"/>
        <v>26.879381763862213</v>
      </c>
      <c r="W339" s="400">
        <f t="shared" si="136"/>
        <v>3.1138319036649418</v>
      </c>
      <c r="X339" s="157">
        <f t="shared" si="137"/>
        <v>45616</v>
      </c>
      <c r="Y339" s="383">
        <f t="shared" si="138"/>
        <v>3.0836609380409774</v>
      </c>
      <c r="Z339" s="383">
        <f t="shared" si="139"/>
        <v>3.2128219950938268</v>
      </c>
      <c r="AA339" s="384">
        <f t="shared" si="140"/>
        <v>3.419513951409284</v>
      </c>
      <c r="AB339" s="197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6.0444834924645717E-2</v>
      </c>
      <c r="AD339" s="230">
        <f>(INDEX(Models!$BJ339:$BT339,,AH339)*(1-AF339)+INDEX(Models!$BJ339:$BT339,,AH339+1)*AF339-ERP_i)*AE339*Ramure*Pc/MaxiM</f>
        <v>3.8792319054946497E-2</v>
      </c>
      <c r="AE339" s="304">
        <f t="shared" si="142"/>
        <v>0.7</v>
      </c>
      <c r="AF339" s="177">
        <f t="shared" si="143"/>
        <v>0.19859591175730085</v>
      </c>
      <c r="AG339" s="799">
        <f t="shared" si="149"/>
        <v>1</v>
      </c>
      <c r="AH339" s="176">
        <f t="shared" si="144"/>
        <v>7</v>
      </c>
      <c r="AI339" s="224">
        <f t="shared" si="145"/>
        <v>1.1985959117573008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45617</v>
      </c>
      <c r="B340" s="409">
        <f>'2023'!Wh/'2023'!Env_an*'2024'!Env_an</f>
        <v>9.5217375492836709</v>
      </c>
      <c r="C340" s="829"/>
      <c r="D340" s="391">
        <f t="shared" si="127"/>
        <v>9.9207515799295702</v>
      </c>
      <c r="E340" s="383">
        <f t="shared" si="125"/>
        <v>10.456981873872042</v>
      </c>
      <c r="F340" s="383">
        <f t="shared" si="128"/>
        <v>10.488816780496411</v>
      </c>
      <c r="G340" s="110">
        <f t="shared" si="126"/>
        <v>0.3450775545159695</v>
      </c>
      <c r="H340" s="412" t="b">
        <f>Wh_hp&gt;='2023'!Maxi_hp</f>
        <v>0</v>
      </c>
      <c r="I340" s="388">
        <f>IF(H340,Wh_hp,'2023'!Maxi_hp)</f>
        <v>31.520653340989391</v>
      </c>
      <c r="J340" s="85">
        <f>IF(H340,An,'2023'!An_max)</f>
        <v>2020</v>
      </c>
      <c r="K340" s="197">
        <f t="shared" si="129"/>
        <v>45617</v>
      </c>
      <c r="L340" s="147">
        <f>IF(t&lt;Tvie,1-EXP((T0-t)*PertePVj)+'2023'!Pspv,1-EXP((T0-t)*PertePVj)+Pspv)</f>
        <v>4.0220141330132186E-2</v>
      </c>
      <c r="M340" s="832"/>
      <c r="N340" s="832"/>
      <c r="O340" s="48">
        <f>IF(t&lt;Tnet,'2023'!Resal+('2023'!Salim-'2023'!Resal)*(1-EXP(('2023'!Tnet-t)/('2023'!Tau_j))),Resal+(Salim-Resal)*(1-EXP((Tnet-t)/(Tau_j))))*Salcycl</f>
        <v>5.1279642674173898E-2</v>
      </c>
      <c r="P340" s="169">
        <f>(INDEX(Models!$BJ340:$BT340,,T340)*(1-R340)+INDEX(Models!$BJ340:$BT340,,T340+1)*R340-ERP_i)*Q340*Ramure*Pc/MaxiM</f>
        <v>3.7090122215959143E-2</v>
      </c>
      <c r="Q340" s="304">
        <f t="shared" si="130"/>
        <v>0.7</v>
      </c>
      <c r="R340" s="177">
        <f t="shared" si="131"/>
        <v>0.13428273011032354</v>
      </c>
      <c r="S340" s="799">
        <f t="shared" si="132"/>
        <v>1</v>
      </c>
      <c r="T340" s="176">
        <f t="shared" si="133"/>
        <v>7</v>
      </c>
      <c r="U340" s="250">
        <f t="shared" si="134"/>
        <v>1.1342827301103235</v>
      </c>
      <c r="V340" s="382">
        <f t="shared" si="135"/>
        <v>26.65049505891713</v>
      </c>
      <c r="W340" s="400">
        <f t="shared" si="136"/>
        <v>9.5217375492836709</v>
      </c>
      <c r="X340" s="157">
        <f t="shared" si="137"/>
        <v>45617</v>
      </c>
      <c r="Y340" s="383">
        <f t="shared" si="138"/>
        <v>9.4280998650075567</v>
      </c>
      <c r="Z340" s="383">
        <f t="shared" si="139"/>
        <v>9.8231899532395879</v>
      </c>
      <c r="AA340" s="384">
        <f t="shared" si="140"/>
        <v>10.455282727303125</v>
      </c>
      <c r="AB340" s="197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6.0456784436147146E-2</v>
      </c>
      <c r="AD340" s="230">
        <f>(INDEX(Models!$BJ340:$BT340,,AH340)*(1-AF340)+INDEX(Models!$BJ340:$BT340,,AH340+1)*AF340-ERP_i)*AE340*Ramure*Pc/MaxiM</f>
        <v>3.9069759054462971E-2</v>
      </c>
      <c r="AE340" s="304">
        <f t="shared" si="142"/>
        <v>0.7</v>
      </c>
      <c r="AF340" s="177">
        <f t="shared" si="143"/>
        <v>0.1986149523701557</v>
      </c>
      <c r="AG340" s="799">
        <f t="shared" si="149"/>
        <v>1</v>
      </c>
      <c r="AH340" s="176">
        <f t="shared" si="144"/>
        <v>7</v>
      </c>
      <c r="AI340" s="224">
        <f t="shared" si="145"/>
        <v>1.1986149523701557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45618</v>
      </c>
      <c r="B341" s="409">
        <f>'2023'!Wh/'2023'!Env_an*'2024'!Env_an</f>
        <v>13.009409233999607</v>
      </c>
      <c r="C341" s="829"/>
      <c r="D341" s="391">
        <f t="shared" si="127"/>
        <v>13.554835979958648</v>
      </c>
      <c r="E341" s="383">
        <f t="shared" si="125"/>
        <v>14.287919787272713</v>
      </c>
      <c r="F341" s="383">
        <f t="shared" si="128"/>
        <v>14.436141679189753</v>
      </c>
      <c r="G341" s="110">
        <f t="shared" si="126"/>
        <v>0.47887157561006743</v>
      </c>
      <c r="H341" s="412" t="b">
        <f>Wh_hp&gt;='2023'!Maxi_hp</f>
        <v>0</v>
      </c>
      <c r="I341" s="388">
        <f>IF(H341,Wh_hp,'2023'!Maxi_hp)</f>
        <v>31.418721073336016</v>
      </c>
      <c r="J341" s="85">
        <f>IF(H341,An,'2023'!An_max)</f>
        <v>2020</v>
      </c>
      <c r="K341" s="197">
        <f t="shared" si="129"/>
        <v>45618</v>
      </c>
      <c r="L341" s="147">
        <f>IF(t&lt;Tvie,1-EXP((T0-t)*PertePVj)+'2023'!Pspv,1-EXP((T0-t)*PertePVj)+Pspv)</f>
        <v>4.0238535292162592E-2</v>
      </c>
      <c r="M341" s="832"/>
      <c r="N341" s="832"/>
      <c r="O341" s="48">
        <f>IF(t&lt;Tnet,'2023'!Resal+('2023'!Salim-'2023'!Resal)*(1-EXP(('2023'!Tnet-t)/('2023'!Tau_j))),Resal+(Salim-Resal)*(1-EXP((Tnet-t)/(Tau_j))))*Salcycl</f>
        <v>5.1307945329247741E-2</v>
      </c>
      <c r="P341" s="169">
        <f>(INDEX(Models!$BJ341:$BT341,,T341)*(1-R341)+INDEX(Models!$BJ341:$BT341,,T341+1)*R341-ERP_i)*Q341*Ramure*Pc/MaxiM</f>
        <v>3.736489492493443E-2</v>
      </c>
      <c r="Q341" s="304">
        <f t="shared" si="130"/>
        <v>0.7</v>
      </c>
      <c r="R341" s="177">
        <f t="shared" si="131"/>
        <v>0.13430100579668336</v>
      </c>
      <c r="S341" s="799">
        <f t="shared" si="132"/>
        <v>1</v>
      </c>
      <c r="T341" s="176">
        <f t="shared" si="133"/>
        <v>7</v>
      </c>
      <c r="U341" s="250">
        <f t="shared" si="134"/>
        <v>1.1343010057966834</v>
      </c>
      <c r="V341" s="382">
        <f t="shared" si="135"/>
        <v>26.423013315355689</v>
      </c>
      <c r="W341" s="400">
        <f t="shared" si="136"/>
        <v>13.009409233999607</v>
      </c>
      <c r="X341" s="157">
        <f t="shared" si="137"/>
        <v>45618</v>
      </c>
      <c r="Y341" s="383">
        <f t="shared" si="138"/>
        <v>12.876471963740491</v>
      </c>
      <c r="Z341" s="383">
        <f t="shared" si="139"/>
        <v>13.416325240418189</v>
      </c>
      <c r="AA341" s="384">
        <f t="shared" si="140"/>
        <v>14.279821349507772</v>
      </c>
      <c r="AB341" s="197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6.0469671710518202E-2</v>
      </c>
      <c r="AD341" s="230">
        <f>(INDEX(Models!$BJ341:$BT341,,AH341)*(1-AF341)+INDEX(Models!$BJ341:$BT341,,AH341+1)*AF341-ERP_i)*AE341*Ramure*Pc/MaxiM</f>
        <v>3.9406410332877555E-2</v>
      </c>
      <c r="AE341" s="304">
        <f t="shared" si="142"/>
        <v>0.7</v>
      </c>
      <c r="AF341" s="177">
        <f t="shared" si="143"/>
        <v>0.19863322805651551</v>
      </c>
      <c r="AG341" s="799">
        <f t="shared" si="149"/>
        <v>1</v>
      </c>
      <c r="AH341" s="176">
        <f t="shared" si="144"/>
        <v>7</v>
      </c>
      <c r="AI341" s="224">
        <f t="shared" si="145"/>
        <v>1.1986332280565155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45619</v>
      </c>
      <c r="B342" s="409">
        <f>'2023'!Wh/'2023'!Env_an*'2024'!Env_an</f>
        <v>13.615698286275929</v>
      </c>
      <c r="C342" s="829"/>
      <c r="D342" s="391">
        <f t="shared" si="127"/>
        <v>14.186815926364774</v>
      </c>
      <c r="E342" s="383">
        <f t="shared" si="125"/>
        <v>14.954537377743184</v>
      </c>
      <c r="F342" s="383">
        <f t="shared" si="128"/>
        <v>15.133629068832608</v>
      </c>
      <c r="G342" s="110">
        <f t="shared" si="126"/>
        <v>0.50613190575593958</v>
      </c>
      <c r="H342" s="412" t="b">
        <f>Wh_hp&gt;='2023'!Maxi_hp</f>
        <v>0</v>
      </c>
      <c r="I342" s="388">
        <f>IF(H342,Wh_hp,'2023'!Maxi_hp)</f>
        <v>29.328916242000091</v>
      </c>
      <c r="J342" s="85">
        <f>IF(H342,An,'2023'!An_max)</f>
        <v>2020</v>
      </c>
      <c r="K342" s="197">
        <f t="shared" si="129"/>
        <v>45619</v>
      </c>
      <c r="L342" s="147">
        <f>IF(t&lt;Tvie,1-EXP((T0-t)*PertePVj)+'2023'!Pspv,1-EXP((T0-t)*PertePVj)+Pspv)</f>
        <v>4.025692890167698E-2</v>
      </c>
      <c r="M342" s="832"/>
      <c r="N342" s="832"/>
      <c r="O342" s="48">
        <f>IF(t&lt;Tnet,'2023'!Resal+('2023'!Salim-'2023'!Resal)*(1-EXP(('2023'!Tnet-t)/('2023'!Tau_j))),Resal+(Salim-Resal)*(1-EXP((Tnet-t)/(Tau_j))))*Salcycl</f>
        <v>5.1337024475328091E-2</v>
      </c>
      <c r="P342" s="169">
        <f>(INDEX(Models!$BJ342:$BT342,,T342)*(1-R342)+INDEX(Models!$BJ342:$BT342,,T342+1)*R342-ERP_i)*Q342*Ramure*Pc/MaxiM</f>
        <v>3.7698971433606017E-2</v>
      </c>
      <c r="Q342" s="304">
        <f t="shared" si="130"/>
        <v>0.7</v>
      </c>
      <c r="R342" s="177">
        <f t="shared" si="131"/>
        <v>0.13431854722048175</v>
      </c>
      <c r="S342" s="799">
        <f t="shared" si="132"/>
        <v>1</v>
      </c>
      <c r="T342" s="176">
        <f t="shared" si="133"/>
        <v>7</v>
      </c>
      <c r="U342" s="250">
        <f t="shared" si="134"/>
        <v>1.1343185472204818</v>
      </c>
      <c r="V342" s="382">
        <f t="shared" si="135"/>
        <v>26.19734359920497</v>
      </c>
      <c r="W342" s="400">
        <f t="shared" si="136"/>
        <v>13.615698286275929</v>
      </c>
      <c r="X342" s="157">
        <f t="shared" si="137"/>
        <v>45619</v>
      </c>
      <c r="Y342" s="383">
        <f t="shared" si="138"/>
        <v>13.475411866077234</v>
      </c>
      <c r="Z342" s="383">
        <f t="shared" si="139"/>
        <v>14.040645118339922</v>
      </c>
      <c r="AA342" s="384">
        <f t="shared" si="140"/>
        <v>14.944543704234702</v>
      </c>
      <c r="AB342" s="197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6.0483518519113481E-2</v>
      </c>
      <c r="AD342" s="230">
        <f>(INDEX(Models!$BJ342:$BT342,,AH342)*(1-AF342)+INDEX(Models!$BJ342:$BT342,,AH342+1)*AF342-ERP_i)*AE342*Ramure*Pc/MaxiM</f>
        <v>3.980264921910958E-2</v>
      </c>
      <c r="AE342" s="304">
        <f t="shared" si="142"/>
        <v>0.7</v>
      </c>
      <c r="AF342" s="177">
        <f t="shared" si="143"/>
        <v>0.1986507694803139</v>
      </c>
      <c r="AG342" s="799">
        <f t="shared" si="149"/>
        <v>1</v>
      </c>
      <c r="AH342" s="176">
        <f t="shared" si="144"/>
        <v>7</v>
      </c>
      <c r="AI342" s="224">
        <f t="shared" si="145"/>
        <v>1.1986507694803139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45620</v>
      </c>
      <c r="B343" s="409">
        <f>'2023'!Wh/'2023'!Env_an*'2024'!Env_an</f>
        <v>3.9927939006028299</v>
      </c>
      <c r="C343" s="829"/>
      <c r="D343" s="391">
        <f t="shared" si="127"/>
        <v>4.1603534771906769</v>
      </c>
      <c r="E343" s="383">
        <f t="shared" si="125"/>
        <v>4.3856296612222669</v>
      </c>
      <c r="F343" s="383">
        <f t="shared" si="128"/>
        <v>4.3856296612222669</v>
      </c>
      <c r="G343" s="110">
        <f t="shared" si="126"/>
        <v>0.14786761251338076</v>
      </c>
      <c r="H343" s="412" t="b">
        <f>Wh_hp&gt;='2023'!Maxi_hp</f>
        <v>0</v>
      </c>
      <c r="I343" s="388">
        <f>IF(H343,Wh_hp,'2023'!Maxi_hp)</f>
        <v>27.79857439619018</v>
      </c>
      <c r="J343" s="85">
        <f>IF(H343,An,'2023'!An_max)</f>
        <v>2020</v>
      </c>
      <c r="K343" s="197">
        <f t="shared" si="129"/>
        <v>45620</v>
      </c>
      <c r="L343" s="147">
        <f>IF(t&lt;Tvie,1-EXP((T0-t)*PertePVj)+'2023'!Pspv,1-EXP((T0-t)*PertePVj)+Pspv)</f>
        <v>4.0275322158682014E-2</v>
      </c>
      <c r="M343" s="832"/>
      <c r="N343" s="832"/>
      <c r="O343" s="48">
        <f>IF(t&lt;Tnet,'2023'!Resal+('2023'!Salim-'2023'!Resal)*(1-EXP(('2023'!Tnet-t)/('2023'!Tau_j))),Resal+(Salim-Resal)*(1-EXP((Tnet-t)/(Tau_j))))*Salcycl</f>
        <v>5.1366896303051211E-2</v>
      </c>
      <c r="P343" s="169">
        <f>(INDEX(Models!$BJ343:$BT343,,T343)*(1-R343)+INDEX(Models!$BJ343:$BT343,,T343+1)*R343-ERP_i)*Q343*Ramure*Pc/MaxiM</f>
        <v>3.8092916405993396E-2</v>
      </c>
      <c r="Q343" s="304">
        <f t="shared" si="130"/>
        <v>0.7</v>
      </c>
      <c r="R343" s="177">
        <f t="shared" si="131"/>
        <v>0.13433538382159949</v>
      </c>
      <c r="S343" s="799">
        <f t="shared" si="132"/>
        <v>1</v>
      </c>
      <c r="T343" s="176">
        <f t="shared" si="133"/>
        <v>7</v>
      </c>
      <c r="U343" s="250">
        <f t="shared" si="134"/>
        <v>1.1343353838215995</v>
      </c>
      <c r="V343" s="382">
        <f t="shared" si="135"/>
        <v>25.973887527082752</v>
      </c>
      <c r="W343" s="400">
        <f t="shared" si="136"/>
        <v>3.9927939006028299</v>
      </c>
      <c r="X343" s="157">
        <f t="shared" si="137"/>
        <v>45620</v>
      </c>
      <c r="Y343" s="383">
        <f t="shared" si="138"/>
        <v>3.9543596695609295</v>
      </c>
      <c r="Z343" s="383">
        <f t="shared" si="139"/>
        <v>4.1203063345785385</v>
      </c>
      <c r="AA343" s="384">
        <f t="shared" si="140"/>
        <v>4.3856296612222669</v>
      </c>
      <c r="AB343" s="197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6.0498342801198521E-2</v>
      </c>
      <c r="AD343" s="230">
        <f>(INDEX(Models!$BJ343:$BT343,,AH343)*(1-AF343)+INDEX(Models!$BJ343:$BT343,,AH343+1)*AF343-ERP_i)*AE343*Ramure*Pc/MaxiM</f>
        <v>4.0259010356734778E-2</v>
      </c>
      <c r="AE343" s="304">
        <f t="shared" si="142"/>
        <v>0.7</v>
      </c>
      <c r="AF343" s="177">
        <f t="shared" si="143"/>
        <v>0.19866760608143164</v>
      </c>
      <c r="AG343" s="799">
        <f t="shared" si="149"/>
        <v>1</v>
      </c>
      <c r="AH343" s="176">
        <f t="shared" si="144"/>
        <v>7</v>
      </c>
      <c r="AI343" s="224">
        <f t="shared" si="145"/>
        <v>1.1986676060814316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45621</v>
      </c>
      <c r="B344" s="409">
        <f>'2023'!Wh/'2023'!Env_an*'2024'!Env_an</f>
        <v>14.111222460036723</v>
      </c>
      <c r="C344" s="829"/>
      <c r="D344" s="391">
        <f t="shared" si="127"/>
        <v>14.703688703013722</v>
      </c>
      <c r="E344" s="383">
        <f t="shared" si="125"/>
        <v>15.500370119282517</v>
      </c>
      <c r="F344" s="383">
        <f t="shared" si="128"/>
        <v>15.714936290938855</v>
      </c>
      <c r="G344" s="110">
        <f t="shared" si="126"/>
        <v>0.53411469800456657</v>
      </c>
      <c r="H344" s="412" t="b">
        <f>Wh_hp&gt;='2023'!Maxi_hp</f>
        <v>0</v>
      </c>
      <c r="I344" s="388">
        <f>IF(H344,Wh_hp,'2023'!Maxi_hp)</f>
        <v>28.034337428546774</v>
      </c>
      <c r="J344" s="85">
        <f>IF(H344,An,'2023'!An_max)</f>
        <v>2020</v>
      </c>
      <c r="K344" s="197">
        <f t="shared" si="129"/>
        <v>45621</v>
      </c>
      <c r="L344" s="147">
        <f>IF(t&lt;Tvie,1-EXP((T0-t)*PertePVj)+'2023'!Pspv,1-EXP((T0-t)*PertePVj)+Pspv)</f>
        <v>4.0293715063184465E-2</v>
      </c>
      <c r="M344" s="832"/>
      <c r="N344" s="832"/>
      <c r="O344" s="48">
        <f>IF(t&lt;Tnet,'2023'!Resal+('2023'!Salim-'2023'!Resal)*(1-EXP(('2023'!Tnet-t)/('2023'!Tau_j))),Resal+(Salim-Resal)*(1-EXP((Tnet-t)/(Tau_j))))*Salcycl</f>
        <v>5.1397573744237209E-2</v>
      </c>
      <c r="P344" s="169">
        <f>(INDEX(Models!$BJ344:$BT344,,T344)*(1-R344)+INDEX(Models!$BJ344:$BT344,,T344+1)*R344-ERP_i)*Q344*Ramure*Pc/MaxiM</f>
        <v>3.854724941523216E-2</v>
      </c>
      <c r="Q344" s="304">
        <f t="shared" si="130"/>
        <v>0.7</v>
      </c>
      <c r="R344" s="177">
        <f t="shared" si="131"/>
        <v>0.13435154386431813</v>
      </c>
      <c r="S344" s="799">
        <f t="shared" si="132"/>
        <v>1</v>
      </c>
      <c r="T344" s="176">
        <f t="shared" si="133"/>
        <v>7</v>
      </c>
      <c r="U344" s="250">
        <f t="shared" si="134"/>
        <v>1.1343515438643181</v>
      </c>
      <c r="V344" s="382">
        <f t="shared" si="135"/>
        <v>25.753046483903351</v>
      </c>
      <c r="W344" s="400">
        <f t="shared" si="136"/>
        <v>14.111222460036723</v>
      </c>
      <c r="X344" s="157">
        <f t="shared" si="137"/>
        <v>45621</v>
      </c>
      <c r="Y344" s="383">
        <f t="shared" si="138"/>
        <v>13.96442048727342</v>
      </c>
      <c r="Z344" s="383">
        <f t="shared" si="139"/>
        <v>14.550723181095766</v>
      </c>
      <c r="AA344" s="384">
        <f t="shared" si="140"/>
        <v>15.487964310400439</v>
      </c>
      <c r="AB344" s="197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6.0514158640932618E-2</v>
      </c>
      <c r="AD344" s="230">
        <f>(INDEX(Models!$BJ344:$BT344,,AH344)*(1-AF344)+INDEX(Models!$BJ344:$BT344,,AH344+1)*AF344-ERP_i)*AE344*Ramure*Pc/MaxiM</f>
        <v>4.07759782287428E-2</v>
      </c>
      <c r="AE344" s="304">
        <f t="shared" si="142"/>
        <v>0.7</v>
      </c>
      <c r="AF344" s="177">
        <f t="shared" si="143"/>
        <v>0.19868376612415029</v>
      </c>
      <c r="AG344" s="799">
        <f t="shared" si="149"/>
        <v>1</v>
      </c>
      <c r="AH344" s="176">
        <f t="shared" si="144"/>
        <v>7</v>
      </c>
      <c r="AI344" s="224">
        <f t="shared" si="145"/>
        <v>1.1986837661241503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45622</v>
      </c>
      <c r="B345" s="409">
        <f>'2023'!Wh/'2023'!Env_an*'2024'!Env_an</f>
        <v>15.933824084457697</v>
      </c>
      <c r="C345" s="829"/>
      <c r="D345" s="391">
        <f t="shared" si="127"/>
        <v>16.60313130017969</v>
      </c>
      <c r="E345" s="383">
        <f t="shared" si="125"/>
        <v>17.503310204055577</v>
      </c>
      <c r="F345" s="383">
        <f t="shared" si="128"/>
        <v>17.825752877675441</v>
      </c>
      <c r="G345" s="110">
        <f t="shared" si="126"/>
        <v>0.61076194713797383</v>
      </c>
      <c r="H345" s="412" t="b">
        <f>Wh_hp&gt;='2023'!Maxi_hp</f>
        <v>0</v>
      </c>
      <c r="I345" s="388">
        <f>IF(H345,Wh_hp,'2023'!Maxi_hp)</f>
        <v>23.110543581605093</v>
      </c>
      <c r="J345" s="85">
        <f>IF(H345,An,'2023'!An_max)</f>
        <v>2020</v>
      </c>
      <c r="K345" s="197">
        <f t="shared" si="129"/>
        <v>45622</v>
      </c>
      <c r="L345" s="147">
        <f>IF(t&lt;Tvie,1-EXP((T0-t)*PertePVj)+'2023'!Pspv,1-EXP((T0-t)*PertePVj)+Pspv)</f>
        <v>4.0312107615191106E-2</v>
      </c>
      <c r="M345" s="832"/>
      <c r="N345" s="832"/>
      <c r="O345" s="48">
        <f>IF(t&lt;Tnet,'2023'!Resal+('2023'!Salim-'2023'!Resal)*(1-EXP(('2023'!Tnet-t)/('2023'!Tau_j))),Resal+(Salim-Resal)*(1-EXP((Tnet-t)/(Tau_j))))*Salcycl</f>
        <v>5.1429066466942439E-2</v>
      </c>
      <c r="P345" s="169">
        <f>(INDEX(Models!$BJ345:$BT345,,T345)*(1-R345)+INDEX(Models!$BJ345:$BT345,,T345+1)*R345-ERP_i)*Q345*Ramure*Pc/MaxiM</f>
        <v>3.9068616578603652E-2</v>
      </c>
      <c r="Q345" s="304">
        <f t="shared" si="130"/>
        <v>0.7</v>
      </c>
      <c r="R345" s="177">
        <f t="shared" si="131"/>
        <v>0.13436705448388664</v>
      </c>
      <c r="S345" s="799">
        <f t="shared" si="132"/>
        <v>1</v>
      </c>
      <c r="T345" s="176">
        <f t="shared" si="133"/>
        <v>7</v>
      </c>
      <c r="U345" s="250">
        <f t="shared" si="134"/>
        <v>1.1343670544838866</v>
      </c>
      <c r="V345" s="382">
        <f t="shared" si="135"/>
        <v>25.531017090373687</v>
      </c>
      <c r="W345" s="400">
        <f t="shared" si="136"/>
        <v>15.933824084457697</v>
      </c>
      <c r="X345" s="157">
        <f t="shared" si="137"/>
        <v>45622</v>
      </c>
      <c r="Y345" s="383">
        <f t="shared" si="138"/>
        <v>15.763878514802281</v>
      </c>
      <c r="Z345" s="383">
        <f t="shared" si="139"/>
        <v>16.426047092903609</v>
      </c>
      <c r="AA345" s="384">
        <f t="shared" si="140"/>
        <v>17.484394565404497</v>
      </c>
      <c r="AB345" s="197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6.0530976268116654E-2</v>
      </c>
      <c r="AD345" s="230">
        <f>(INDEX(Models!$BJ345:$BT345,,AH345)*(1-AF345)+INDEX(Models!$BJ345:$BT345,,AH345+1)*AF345-ERP_i)*AE345*Ramure*Pc/MaxiM</f>
        <v>4.1360521137953597E-2</v>
      </c>
      <c r="AE345" s="304">
        <f t="shared" si="142"/>
        <v>0.7</v>
      </c>
      <c r="AF345" s="177">
        <f t="shared" si="143"/>
        <v>0.19869927674371879</v>
      </c>
      <c r="AG345" s="799">
        <f t="shared" si="149"/>
        <v>1</v>
      </c>
      <c r="AH345" s="176">
        <f t="shared" si="144"/>
        <v>7</v>
      </c>
      <c r="AI345" s="224">
        <f t="shared" si="145"/>
        <v>1.1986992767437188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45623</v>
      </c>
      <c r="B346" s="409">
        <f>'2023'!Wh/'2023'!Env_an*'2024'!Env_an</f>
        <v>8.9846441726201345</v>
      </c>
      <c r="C346" s="829"/>
      <c r="D346" s="391">
        <f t="shared" si="127"/>
        <v>9.3622274865309301</v>
      </c>
      <c r="E346" s="383">
        <f t="shared" si="125"/>
        <v>9.8701595253141559</v>
      </c>
      <c r="F346" s="383">
        <f t="shared" si="128"/>
        <v>9.9010366205357325</v>
      </c>
      <c r="G346" s="110">
        <f t="shared" si="126"/>
        <v>0.34204199646201788</v>
      </c>
      <c r="H346" s="412" t="b">
        <f>Wh_hp&gt;='2023'!Maxi_hp</f>
        <v>0</v>
      </c>
      <c r="I346" s="388">
        <f>IF(H346,Wh_hp,'2023'!Maxi_hp)</f>
        <v>17.324015395081876</v>
      </c>
      <c r="J346" s="85">
        <f>IF(H346,An,'2023'!An_max)</f>
        <v>2020</v>
      </c>
      <c r="K346" s="197">
        <f t="shared" si="129"/>
        <v>45623</v>
      </c>
      <c r="L346" s="147">
        <f>IF(t&lt;Tvie,1-EXP((T0-t)*PertePVj)+'2023'!Pspv,1-EXP((T0-t)*PertePVj)+Pspv)</f>
        <v>4.0330499814708598E-2</v>
      </c>
      <c r="M346" s="832"/>
      <c r="N346" s="832"/>
      <c r="O346" s="48">
        <f>IF(t&lt;Tnet,'2023'!Resal+('2023'!Salim-'2023'!Resal)*(1-EXP(('2023'!Tnet-t)/('2023'!Tau_j))),Resal+(Salim-Resal)*(1-EXP((Tnet-t)/(Tau_j))))*Salcycl</f>
        <v>5.1461380890605014E-2</v>
      </c>
      <c r="P346" s="169">
        <f>(INDEX(Models!$BJ346:$BT346,,T346)*(1-R346)+INDEX(Models!$BJ346:$BT346,,T346+1)*R346-ERP_i)*Q346*Ramure*Pc/MaxiM</f>
        <v>3.965203834038325E-2</v>
      </c>
      <c r="Q346" s="304">
        <f t="shared" si="130"/>
        <v>0.7</v>
      </c>
      <c r="R346" s="177">
        <f t="shared" si="131"/>
        <v>0.1343819417312746</v>
      </c>
      <c r="S346" s="799">
        <f t="shared" si="132"/>
        <v>1</v>
      </c>
      <c r="T346" s="176">
        <f t="shared" si="133"/>
        <v>7</v>
      </c>
      <c r="U346" s="250">
        <f t="shared" si="134"/>
        <v>1.1343819417312746</v>
      </c>
      <c r="V346" s="382">
        <f t="shared" si="135"/>
        <v>25.305012903125668</v>
      </c>
      <c r="W346" s="400">
        <f t="shared" si="136"/>
        <v>8.9846441726201345</v>
      </c>
      <c r="X346" s="157">
        <f t="shared" si="137"/>
        <v>45623</v>
      </c>
      <c r="Y346" s="383">
        <f t="shared" si="138"/>
        <v>8.8969147603040923</v>
      </c>
      <c r="Z346" s="383">
        <f t="shared" si="139"/>
        <v>9.2708112100950277</v>
      </c>
      <c r="AA346" s="384">
        <f t="shared" si="140"/>
        <v>9.8683265619822613</v>
      </c>
      <c r="AB346" s="197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6.0548802082529697E-2</v>
      </c>
      <c r="AD346" s="230">
        <f>(INDEX(Models!$BJ346:$BT346,,AH346)*(1-AF346)+INDEX(Models!$BJ346:$BT346,,AH346+1)*AF346-ERP_i)*AE346*Ramure*Pc/MaxiM</f>
        <v>4.2005910419062542E-2</v>
      </c>
      <c r="AE346" s="304">
        <f t="shared" si="142"/>
        <v>0.7</v>
      </c>
      <c r="AF346" s="177">
        <f t="shared" si="143"/>
        <v>0.19871416399110675</v>
      </c>
      <c r="AG346" s="799">
        <f t="shared" si="149"/>
        <v>1</v>
      </c>
      <c r="AH346" s="176">
        <f t="shared" si="144"/>
        <v>7</v>
      </c>
      <c r="AI346" s="224">
        <f t="shared" si="145"/>
        <v>1.1987141639911068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45624</v>
      </c>
      <c r="B347" s="409">
        <f>'2023'!Wh/'2023'!Env_an*'2024'!Env_an</f>
        <v>9.9886378013548054</v>
      </c>
      <c r="C347" s="829"/>
      <c r="D347" s="391">
        <f t="shared" si="127"/>
        <v>10.408613833262024</v>
      </c>
      <c r="E347" s="383">
        <f t="shared" si="125"/>
        <v>10.973699209083589</v>
      </c>
      <c r="F347" s="383">
        <f t="shared" si="128"/>
        <v>11.036109621261993</v>
      </c>
      <c r="G347" s="110">
        <f t="shared" si="126"/>
        <v>0.38444909626483381</v>
      </c>
      <c r="H347" s="412" t="b">
        <f>Wh_hp&gt;='2023'!Maxi_hp</f>
        <v>0</v>
      </c>
      <c r="I347" s="388">
        <f>IF(H347,Wh_hp,'2023'!Maxi_hp)</f>
        <v>14.807733331286865</v>
      </c>
      <c r="J347" s="85">
        <f>IF(H347,An,'2023'!An_max)</f>
        <v>2018</v>
      </c>
      <c r="K347" s="197">
        <f t="shared" si="129"/>
        <v>45624</v>
      </c>
      <c r="L347" s="147">
        <f>IF(t&lt;Tvie,1-EXP((T0-t)*PertePVj)+'2023'!Pspv,1-EXP((T0-t)*PertePVj)+Pspv)</f>
        <v>4.0348891661743935E-2</v>
      </c>
      <c r="M347" s="832"/>
      <c r="N347" s="832"/>
      <c r="O347" s="48">
        <f>IF(t&lt;Tnet,'2023'!Resal+('2023'!Salim-'2023'!Resal)*(1-EXP(('2023'!Tnet-t)/('2023'!Tau_j))),Resal+(Salim-Resal)*(1-EXP((Tnet-t)/(Tau_j))))*Salcycl</f>
        <v>5.1494520221021689E-2</v>
      </c>
      <c r="P347" s="169">
        <f>(INDEX(Models!$BJ347:$BT347,,T347)*(1-R347)+INDEX(Models!$BJ347:$BT347,,T347+1)*R347-ERP_i)*Q347*Ramure*Pc/MaxiM</f>
        <v>4.0265009753058398E-2</v>
      </c>
      <c r="Q347" s="304">
        <f t="shared" si="130"/>
        <v>0.7</v>
      </c>
      <c r="R347" s="177">
        <f t="shared" si="131"/>
        <v>0.13439623061617789</v>
      </c>
      <c r="S347" s="799">
        <f t="shared" si="132"/>
        <v>1</v>
      </c>
      <c r="T347" s="176">
        <f t="shared" si="133"/>
        <v>7</v>
      </c>
      <c r="U347" s="250">
        <f t="shared" si="134"/>
        <v>1.1343962306161779</v>
      </c>
      <c r="V347" s="382">
        <f t="shared" si="135"/>
        <v>25.077353589466952</v>
      </c>
      <c r="W347" s="400">
        <f t="shared" si="136"/>
        <v>9.9886378013548054</v>
      </c>
      <c r="X347" s="157">
        <f t="shared" si="137"/>
        <v>45624</v>
      </c>
      <c r="Y347" s="383">
        <f t="shared" si="138"/>
        <v>9.8897162669341228</v>
      </c>
      <c r="Z347" s="383">
        <f t="shared" si="139"/>
        <v>10.305533105733895</v>
      </c>
      <c r="AA347" s="384">
        <f t="shared" si="140"/>
        <v>10.96995752998046</v>
      </c>
      <c r="AB347" s="197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6.0567638701491788E-2</v>
      </c>
      <c r="AD347" s="230">
        <f>(INDEX(Models!$BJ347:$BT347,,AH347)*(1-AF347)+INDEX(Models!$BJ347:$BT347,,AH347+1)*AF347-ERP_i)*AE347*Ramure*Pc/MaxiM</f>
        <v>4.2679009922607786E-2</v>
      </c>
      <c r="AE347" s="304">
        <f t="shared" si="142"/>
        <v>0.7</v>
      </c>
      <c r="AF347" s="177">
        <f t="shared" si="143"/>
        <v>0.19872845287601004</v>
      </c>
      <c r="AG347" s="799">
        <f t="shared" si="149"/>
        <v>1</v>
      </c>
      <c r="AH347" s="176">
        <f t="shared" si="144"/>
        <v>7</v>
      </c>
      <c r="AI347" s="224">
        <f t="shared" si="145"/>
        <v>1.19872845287601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45625</v>
      </c>
      <c r="B348" s="409">
        <f>'2023'!Wh/'2023'!Env_an*'2024'!Env_an</f>
        <v>4.4513398966050497</v>
      </c>
      <c r="C348" s="829"/>
      <c r="D348" s="391">
        <f t="shared" si="127"/>
        <v>4.6385870536446889</v>
      </c>
      <c r="E348" s="383">
        <f t="shared" si="125"/>
        <v>4.8905918394634815</v>
      </c>
      <c r="F348" s="383">
        <f t="shared" si="128"/>
        <v>4.8905918394634815</v>
      </c>
      <c r="G348" s="110">
        <f t="shared" si="126"/>
        <v>0.17180423020161448</v>
      </c>
      <c r="H348" s="412" t="b">
        <f>Wh_hp&gt;='2023'!Maxi_hp</f>
        <v>0</v>
      </c>
      <c r="I348" s="388">
        <f>IF(H348,Wh_hp,'2023'!Maxi_hp)</f>
        <v>27.039927040267969</v>
      </c>
      <c r="J348" s="85">
        <f>IF(H348,An,'2023'!An_max)</f>
        <v>2020</v>
      </c>
      <c r="K348" s="197">
        <f t="shared" si="129"/>
        <v>45625</v>
      </c>
      <c r="L348" s="147">
        <f>IF(t&lt;Tvie,1-EXP((T0-t)*PertePVj)+'2023'!Pspv,1-EXP((T0-t)*PertePVj)+Pspv)</f>
        <v>4.0367283156303557E-2</v>
      </c>
      <c r="M348" s="832"/>
      <c r="N348" s="832"/>
      <c r="O348" s="48">
        <f>IF(t&lt;Tnet,'2023'!Resal+('2023'!Salim-'2023'!Resal)*(1-EXP(('2023'!Tnet-t)/('2023'!Tau_j))),Resal+(Salim-Resal)*(1-EXP((Tnet-t)/(Tau_j))))*Salcycl</f>
        <v>5.152848450473814E-2</v>
      </c>
      <c r="P348" s="169">
        <f>(INDEX(Models!$BJ348:$BT348,,T348)*(1-R348)+INDEX(Models!$BJ348:$BT348,,T348+1)*R348-ERP_i)*Q348*Ramure*Pc/MaxiM</f>
        <v>4.090607963412702E-2</v>
      </c>
      <c r="Q348" s="304">
        <f t="shared" si="130"/>
        <v>0.7</v>
      </c>
      <c r="R348" s="177">
        <f t="shared" si="131"/>
        <v>0.13440994514834514</v>
      </c>
      <c r="S348" s="799">
        <f t="shared" si="132"/>
        <v>1</v>
      </c>
      <c r="T348" s="176">
        <f t="shared" si="133"/>
        <v>7</v>
      </c>
      <c r="U348" s="250">
        <f t="shared" si="134"/>
        <v>1.1344099451483451</v>
      </c>
      <c r="V348" s="382">
        <f t="shared" si="135"/>
        <v>24.849522199226019</v>
      </c>
      <c r="W348" s="400">
        <f t="shared" si="136"/>
        <v>4.4513398966050497</v>
      </c>
      <c r="X348" s="157">
        <f t="shared" si="137"/>
        <v>45625</v>
      </c>
      <c r="Y348" s="383">
        <f t="shared" si="138"/>
        <v>4.4088244495903961</v>
      </c>
      <c r="Z348" s="383">
        <f t="shared" si="139"/>
        <v>4.594283179601617</v>
      </c>
      <c r="AA348" s="384">
        <f t="shared" si="140"/>
        <v>4.8905918394634815</v>
      </c>
      <c r="AB348" s="197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6.0587485030108586E-2</v>
      </c>
      <c r="AD348" s="230">
        <f>(INDEX(Models!$BJ348:$BT348,,AH348)*(1-AF348)+INDEX(Models!$BJ348:$BT348,,AH348+1)*AF348-ERP_i)*AE348*Ramure*Pc/MaxiM</f>
        <v>4.3378219357279278E-2</v>
      </c>
      <c r="AE348" s="304">
        <f t="shared" si="142"/>
        <v>0.7</v>
      </c>
      <c r="AF348" s="177">
        <f t="shared" si="143"/>
        <v>0.19874216740817729</v>
      </c>
      <c r="AG348" s="799">
        <f t="shared" si="149"/>
        <v>1</v>
      </c>
      <c r="AH348" s="176">
        <f t="shared" si="144"/>
        <v>7</v>
      </c>
      <c r="AI348" s="224">
        <f t="shared" si="145"/>
        <v>1.1987421674081773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45626</v>
      </c>
      <c r="B349" s="409">
        <f>'2023'!Wh/'2023'!Env_an*'2024'!Env_an</f>
        <v>3.3015104503365835</v>
      </c>
      <c r="C349" s="829"/>
      <c r="D349" s="391">
        <f t="shared" si="127"/>
        <v>3.4404555683584035</v>
      </c>
      <c r="E349" s="383">
        <f t="shared" si="125"/>
        <v>3.6275014052924046</v>
      </c>
      <c r="F349" s="383">
        <f t="shared" si="128"/>
        <v>3.6275014052924046</v>
      </c>
      <c r="G349" s="110">
        <f t="shared" si="126"/>
        <v>0.12850808493888516</v>
      </c>
      <c r="H349" s="412" t="b">
        <f>Wh_hp&gt;='2023'!Maxi_hp</f>
        <v>0</v>
      </c>
      <c r="I349" s="388">
        <f>IF(H349,Wh_hp,'2023'!Maxi_hp)</f>
        <v>27.868335200452961</v>
      </c>
      <c r="J349" s="85">
        <f>IF(H349,An,'2023'!An_max)</f>
        <v>2020</v>
      </c>
      <c r="K349" s="197">
        <f t="shared" si="129"/>
        <v>45626</v>
      </c>
      <c r="L349" s="147">
        <f>IF(t&lt;Tvie,1-EXP((T0-t)*PertePVj)+'2023'!Pspv,1-EXP((T0-t)*PertePVj)+Pspv)</f>
        <v>4.0385674298394458E-2</v>
      </c>
      <c r="M349" s="832"/>
      <c r="N349" s="832"/>
      <c r="O349" s="48">
        <f>IF(t&lt;Tnet,'2023'!Resal+('2023'!Salim-'2023'!Resal)*(1-EXP(('2023'!Tnet-t)/('2023'!Tau_j))),Resal+(Salim-Resal)*(1-EXP((Tnet-t)/(Tau_j))))*Salcycl</f>
        <v>5.1563270702282171E-2</v>
      </c>
      <c r="P349" s="169">
        <f>(INDEX(Models!$BJ349:$BT349,,T349)*(1-R349)+INDEX(Models!$BJ349:$BT349,,T349+1)*R349-ERP_i)*Q349*Ramure*Pc/MaxiM</f>
        <v>4.1573597839678685E-2</v>
      </c>
      <c r="Q349" s="304">
        <f t="shared" si="130"/>
        <v>0.7</v>
      </c>
      <c r="R349" s="177">
        <f t="shared" si="131"/>
        <v>0.13442310837728533</v>
      </c>
      <c r="S349" s="799">
        <f t="shared" si="132"/>
        <v>1</v>
      </c>
      <c r="T349" s="176">
        <f t="shared" si="133"/>
        <v>7</v>
      </c>
      <c r="U349" s="250">
        <f t="shared" si="134"/>
        <v>1.1344231083772853</v>
      </c>
      <c r="V349" s="382">
        <f t="shared" si="135"/>
        <v>24.62300161204351</v>
      </c>
      <c r="W349" s="400">
        <f t="shared" si="136"/>
        <v>3.3015104503365835</v>
      </c>
      <c r="X349" s="157">
        <f t="shared" si="137"/>
        <v>45626</v>
      </c>
      <c r="Y349" s="383">
        <f t="shared" si="138"/>
        <v>3.2700245558652576</v>
      </c>
      <c r="Z349" s="383">
        <f t="shared" si="139"/>
        <v>3.4076445799977355</v>
      </c>
      <c r="AA349" s="384">
        <f t="shared" si="140"/>
        <v>3.6275014052924046</v>
      </c>
      <c r="AB349" s="197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6.0608336353476039E-2</v>
      </c>
      <c r="AD349" s="230">
        <f>(INDEX(Models!$BJ349:$BT349,,AH349)*(1-AF349)+INDEX(Models!$BJ349:$BT349,,AH349+1)*AF349-ERP_i)*AE349*Ramure*Pc/MaxiM</f>
        <v>4.4101719139816427E-2</v>
      </c>
      <c r="AE349" s="304">
        <f t="shared" si="142"/>
        <v>0.7</v>
      </c>
      <c r="AF349" s="177">
        <f t="shared" si="143"/>
        <v>0.19875533063711748</v>
      </c>
      <c r="AG349" s="799">
        <f t="shared" si="149"/>
        <v>1</v>
      </c>
      <c r="AH349" s="176">
        <f t="shared" si="144"/>
        <v>7</v>
      </c>
      <c r="AI349" s="224">
        <f t="shared" si="145"/>
        <v>1.1987553306371175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45627</v>
      </c>
      <c r="B350" s="409">
        <f>'2023'!Wh/'2023'!Env_an*'2024'!Env_an</f>
        <v>5.7568291633109281</v>
      </c>
      <c r="C350" s="829"/>
      <c r="D350" s="391">
        <f t="shared" si="127"/>
        <v>5.9992221245070194</v>
      </c>
      <c r="E350" s="383">
        <f t="shared" si="125"/>
        <v>6.325616822165971</v>
      </c>
      <c r="F350" s="383">
        <f t="shared" si="128"/>
        <v>6.325616822165971</v>
      </c>
      <c r="G350" s="110">
        <f t="shared" si="126"/>
        <v>0.2259703579352858</v>
      </c>
      <c r="H350" s="412" t="b">
        <f>Wh_hp&gt;='2023'!Maxi_hp</f>
        <v>0</v>
      </c>
      <c r="I350" s="388">
        <f>IF(H350,Wh_hp,'2023'!Maxi_hp)</f>
        <v>10.826785026069079</v>
      </c>
      <c r="J350" s="85">
        <f>IF(H350,An,'2023'!An_max)</f>
        <v>2021</v>
      </c>
      <c r="K350" s="197">
        <f t="shared" si="129"/>
        <v>45627</v>
      </c>
      <c r="L350" s="147">
        <f>IF(t&lt;Tvie,1-EXP((T0-t)*PertePVj)+'2023'!Pspv,1-EXP((T0-t)*PertePVj)+Pspv)</f>
        <v>4.0404065088023411E-2</v>
      </c>
      <c r="M350" s="832"/>
      <c r="N350" s="832"/>
      <c r="O350" s="48">
        <f>IF(t&lt;Tnet,'2023'!Resal+('2023'!Salim-'2023'!Resal)*(1-EXP(('2023'!Tnet-t)/('2023'!Tau_j))),Resal+(Salim-Resal)*(1-EXP((Tnet-t)/(Tau_j))))*Salcycl</f>
        <v>5.1598872779522957E-2</v>
      </c>
      <c r="P350" s="169">
        <f>(INDEX(Models!$BJ350:$BT350,,T350)*(1-R350)+INDEX(Models!$BJ350:$BT350,,T350+1)*R350-ERP_i)*Q350*Ramure*Pc/MaxiM</f>
        <v>4.2265691732292887E-2</v>
      </c>
      <c r="Q350" s="304">
        <f t="shared" si="130"/>
        <v>0.7</v>
      </c>
      <c r="R350" s="177">
        <f t="shared" si="131"/>
        <v>0.134435742430423</v>
      </c>
      <c r="S350" s="799">
        <f t="shared" si="132"/>
        <v>1</v>
      </c>
      <c r="T350" s="176">
        <f t="shared" si="133"/>
        <v>7</v>
      </c>
      <c r="U350" s="250">
        <f t="shared" si="134"/>
        <v>1.134435742430423</v>
      </c>
      <c r="V350" s="382">
        <f t="shared" si="135"/>
        <v>24.399274519527619</v>
      </c>
      <c r="W350" s="400">
        <f t="shared" si="136"/>
        <v>5.7568291633109281</v>
      </c>
      <c r="X350" s="157">
        <f t="shared" si="137"/>
        <v>45627</v>
      </c>
      <c r="Y350" s="383">
        <f t="shared" si="138"/>
        <v>5.7020087746430423</v>
      </c>
      <c r="Z350" s="383">
        <f t="shared" si="139"/>
        <v>5.9420935074783179</v>
      </c>
      <c r="AA350" s="384">
        <f t="shared" si="140"/>
        <v>6.325616822165971</v>
      </c>
      <c r="AB350" s="197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6.0630184449953703E-2</v>
      </c>
      <c r="AD350" s="230">
        <f>(INDEX(Models!$BJ350:$BT350,,AH350)*(1-AF350)+INDEX(Models!$BJ350:$BT350,,AH350+1)*AF350-ERP_i)*AE350*Ramure*Pc/MaxiM</f>
        <v>4.4847447186821238E-2</v>
      </c>
      <c r="AE350" s="304">
        <f t="shared" si="142"/>
        <v>0.7</v>
      </c>
      <c r="AF350" s="177">
        <f t="shared" si="143"/>
        <v>0.19876796469025515</v>
      </c>
      <c r="AG350" s="799">
        <f t="shared" si="149"/>
        <v>1</v>
      </c>
      <c r="AH350" s="176">
        <f t="shared" si="144"/>
        <v>7</v>
      </c>
      <c r="AI350" s="224">
        <f t="shared" si="145"/>
        <v>1.1987679646902552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45628</v>
      </c>
      <c r="B351" s="409">
        <f>'2023'!Wh/'2023'!Env_an*'2024'!Env_an</f>
        <v>10.63348792092725</v>
      </c>
      <c r="C351" s="829"/>
      <c r="D351" s="391">
        <f t="shared" si="127"/>
        <v>11.081426386178286</v>
      </c>
      <c r="E351" s="383">
        <f t="shared" si="125"/>
        <v>11.684772929344447</v>
      </c>
      <c r="F351" s="383">
        <f t="shared" si="128"/>
        <v>11.785916616359087</v>
      </c>
      <c r="G351" s="110">
        <f t="shared" si="126"/>
        <v>0.42450871226075232</v>
      </c>
      <c r="H351" s="412" t="b">
        <f>Wh_hp&gt;='2023'!Maxi_hp</f>
        <v>0</v>
      </c>
      <c r="I351" s="388">
        <f>IF(H351,Wh_hp,'2023'!Maxi_hp)</f>
        <v>17.956998625515752</v>
      </c>
      <c r="J351" s="85">
        <f>IF(H351,An,'2023'!An_max)</f>
        <v>2021</v>
      </c>
      <c r="K351" s="197">
        <f t="shared" si="129"/>
        <v>45628</v>
      </c>
      <c r="L351" s="147">
        <f>IF(t&lt;Tvie,1-EXP((T0-t)*PertePVj)+'2023'!Pspv,1-EXP((T0-t)*PertePVj)+Pspv)</f>
        <v>4.0422455525196965E-2</v>
      </c>
      <c r="M351" s="832"/>
      <c r="N351" s="832"/>
      <c r="O351" s="48">
        <f>IF(t&lt;Tnet,'2023'!Resal+('2023'!Salim-'2023'!Resal)*(1-EXP(('2023'!Tnet-t)/('2023'!Tau_j))),Resal+(Salim-Resal)*(1-EXP((Tnet-t)/(Tau_j))))*Salcycl</f>
        <v>5.1635281816298985E-2</v>
      </c>
      <c r="P351" s="169">
        <f>(INDEX(Models!$BJ351:$BT351,,T351)*(1-R351)+INDEX(Models!$BJ351:$BT351,,T351+1)*R351-ERP_i)*Q351*Ramure*Pc/MaxiM</f>
        <v>4.2980243781696202E-2</v>
      </c>
      <c r="Q351" s="304">
        <f t="shared" si="130"/>
        <v>0.7</v>
      </c>
      <c r="R351" s="177">
        <f t="shared" si="131"/>
        <v>0.13444786854975321</v>
      </c>
      <c r="S351" s="799">
        <f t="shared" si="132"/>
        <v>1</v>
      </c>
      <c r="T351" s="176">
        <f t="shared" si="133"/>
        <v>7</v>
      </c>
      <c r="U351" s="250">
        <f t="shared" si="134"/>
        <v>1.1344478685497532</v>
      </c>
      <c r="V351" s="382">
        <f t="shared" si="135"/>
        <v>24.179823397616879</v>
      </c>
      <c r="W351" s="400">
        <f t="shared" si="136"/>
        <v>10.63348792092725</v>
      </c>
      <c r="X351" s="157">
        <f t="shared" si="137"/>
        <v>45628</v>
      </c>
      <c r="Y351" s="383">
        <f t="shared" si="138"/>
        <v>10.526792352424318</v>
      </c>
      <c r="Z351" s="383">
        <f t="shared" si="139"/>
        <v>10.970236238891827</v>
      </c>
      <c r="AA351" s="384">
        <f t="shared" si="140"/>
        <v>11.678577188076634</v>
      </c>
      <c r="AB351" s="197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6.0653017724453168E-2</v>
      </c>
      <c r="AD351" s="230">
        <f>(INDEX(Models!$BJ351:$BT351,,AH351)*(1-AF351)+INDEX(Models!$BJ351:$BT351,,AH351+1)*AF351-ERP_i)*AE351*Ramure*Pc/MaxiM</f>
        <v>4.561307710979564E-2</v>
      </c>
      <c r="AE351" s="304">
        <f t="shared" si="142"/>
        <v>0.7</v>
      </c>
      <c r="AF351" s="177">
        <f t="shared" si="143"/>
        <v>0.19878009080958536</v>
      </c>
      <c r="AG351" s="799">
        <f t="shared" si="149"/>
        <v>1</v>
      </c>
      <c r="AH351" s="176">
        <f t="shared" si="144"/>
        <v>7</v>
      </c>
      <c r="AI351" s="224">
        <f t="shared" si="145"/>
        <v>1.1987800908095854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45629</v>
      </c>
      <c r="B352" s="409">
        <f>'2023'!Wh/'2023'!Env_an*'2024'!Env_an</f>
        <v>20.799787381195852</v>
      </c>
      <c r="C352" s="829"/>
      <c r="D352" s="391">
        <f t="shared" si="127"/>
        <v>21.676399298609958</v>
      </c>
      <c r="E352" s="383">
        <f t="shared" si="125"/>
        <v>22.857503322013415</v>
      </c>
      <c r="F352" s="383">
        <f t="shared" si="128"/>
        <v>23.697490293452407</v>
      </c>
      <c r="G352" s="110">
        <f t="shared" si="126"/>
        <v>0.86044267310240463</v>
      </c>
      <c r="H352" s="412" t="b">
        <f>Wh_hp&gt;='2023'!Maxi_hp</f>
        <v>0</v>
      </c>
      <c r="I352" s="388">
        <f>IF(H352,Wh_hp,'2023'!Maxi_hp)</f>
        <v>23.797511851297955</v>
      </c>
      <c r="J352" s="85">
        <f>IF(H352,An,'2023'!An_max)</f>
        <v>2022</v>
      </c>
      <c r="K352" s="197">
        <f t="shared" si="129"/>
        <v>45629</v>
      </c>
      <c r="L352" s="147">
        <f>IF(t&lt;Tvie,1-EXP((T0-t)*PertePVj)+'2023'!Pspv,1-EXP((T0-t)*PertePVj)+Pspv)</f>
        <v>4.0440845609922005E-2</v>
      </c>
      <c r="M352" s="832"/>
      <c r="N352" s="832"/>
      <c r="O352" s="48">
        <f>IF(t&lt;Tnet,'2023'!Resal+('2023'!Salim-'2023'!Resal)*(1-EXP(('2023'!Tnet-t)/('2023'!Tau_j))),Resal+(Salim-Resal)*(1-EXP((Tnet-t)/(Tau_j))))*Salcycl</f>
        <v>5.1672486131325156E-2</v>
      </c>
      <c r="P352" s="169">
        <f>(INDEX(Models!$BJ352:$BT352,,T352)*(1-R352)+INDEX(Models!$BJ352:$BT352,,T352+1)*R352-ERP_i)*Q352*Ramure*Pc/MaxiM</f>
        <v>4.3694222256846695E-2</v>
      </c>
      <c r="Q352" s="304">
        <f t="shared" si="130"/>
        <v>0.7</v>
      </c>
      <c r="R352" s="177">
        <f t="shared" si="131"/>
        <v>0.13445950712706112</v>
      </c>
      <c r="S352" s="799">
        <f t="shared" si="132"/>
        <v>1</v>
      </c>
      <c r="T352" s="176">
        <f t="shared" si="133"/>
        <v>7</v>
      </c>
      <c r="U352" s="250">
        <f t="shared" si="134"/>
        <v>1.1344595071270611</v>
      </c>
      <c r="V352" s="382">
        <f t="shared" si="135"/>
        <v>23.966647972974709</v>
      </c>
      <c r="W352" s="400">
        <f t="shared" si="136"/>
        <v>20.799787381195852</v>
      </c>
      <c r="X352" s="157">
        <f t="shared" si="137"/>
        <v>45629</v>
      </c>
      <c r="Y352" s="383">
        <f t="shared" si="138"/>
        <v>20.555859142086941</v>
      </c>
      <c r="Z352" s="383">
        <f t="shared" si="139"/>
        <v>21.422190646654617</v>
      </c>
      <c r="AA352" s="384">
        <f t="shared" si="140"/>
        <v>22.805985345409006</v>
      </c>
      <c r="AB352" s="197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6.0676821360536162E-2</v>
      </c>
      <c r="AD352" s="230">
        <f>(INDEX(Models!$BJ352:$BT352,,AH352)*(1-AF352)+INDEX(Models!$BJ352:$BT352,,AH352+1)*AF352-ERP_i)*AE352*Ramure*Pc/MaxiM</f>
        <v>4.6374070869403011E-2</v>
      </c>
      <c r="AE352" s="304">
        <f t="shared" si="142"/>
        <v>0.7</v>
      </c>
      <c r="AF352" s="177">
        <f t="shared" si="143"/>
        <v>0.19879172938689327</v>
      </c>
      <c r="AG352" s="799">
        <f t="shared" si="149"/>
        <v>1</v>
      </c>
      <c r="AH352" s="176">
        <f t="shared" si="144"/>
        <v>7</v>
      </c>
      <c r="AI352" s="224">
        <f t="shared" si="145"/>
        <v>1.1987917293868933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45630</v>
      </c>
      <c r="B353" s="409">
        <f>'2023'!Wh/'2023'!Env_an*'2024'!Env_an</f>
        <v>24.636275202576268</v>
      </c>
      <c r="C353" s="829"/>
      <c r="D353" s="391">
        <f t="shared" si="127"/>
        <v>25.675068855842106</v>
      </c>
      <c r="E353" s="383">
        <f t="shared" si="125"/>
        <v>27.075136951422611</v>
      </c>
      <c r="F353" s="383">
        <f t="shared" si="128"/>
        <v>28.332410903227839</v>
      </c>
      <c r="G353" s="110">
        <f t="shared" si="126"/>
        <v>1.0367954994143609</v>
      </c>
      <c r="H353" s="412" t="b">
        <f>Wh_hp&gt;='2023'!Maxi_hp</f>
        <v>1</v>
      </c>
      <c r="I353" s="388">
        <f>IF(H353,Wh_hp,'2023'!Maxi_hp)</f>
        <v>28.332410903227839</v>
      </c>
      <c r="J353" s="85">
        <f>IF(H353,An,'2023'!An_max)</f>
        <v>2024</v>
      </c>
      <c r="K353" s="197">
        <f t="shared" si="129"/>
        <v>45630</v>
      </c>
      <c r="L353" s="147">
        <f>IF(t&lt;Tvie,1-EXP((T0-t)*PertePVj)+'2023'!Pspv,1-EXP((T0-t)*PertePVj)+Pspv)</f>
        <v>4.0459235342205191E-2</v>
      </c>
      <c r="M353" s="832"/>
      <c r="N353" s="832"/>
      <c r="O353" s="48">
        <f>IF(t&lt;Tnet,'2023'!Resal+('2023'!Salim-'2023'!Resal)*(1-EXP(('2023'!Tnet-t)/('2023'!Tau_j))),Resal+(Salim-Resal)*(1-EXP((Tnet-t)/(Tau_j))))*Salcycl</f>
        <v>5.1710471422267056E-2</v>
      </c>
      <c r="P353" s="169">
        <f>(INDEX(Models!$BJ353:$BT353,,T353)*(1-R353)+INDEX(Models!$BJ353:$BT353,,T353+1)*R353-ERP_i)*Q353*Ramure*Pc/MaxiM</f>
        <v>4.437581948460264E-2</v>
      </c>
      <c r="Q353" s="304">
        <f t="shared" si="130"/>
        <v>0.7</v>
      </c>
      <c r="R353" s="177">
        <f t="shared" si="131"/>
        <v>0.13447067773775623</v>
      </c>
      <c r="S353" s="799">
        <f t="shared" si="132"/>
        <v>1</v>
      </c>
      <c r="T353" s="176">
        <f t="shared" si="133"/>
        <v>7</v>
      </c>
      <c r="U353" s="250">
        <f t="shared" si="134"/>
        <v>1.1344706777377562</v>
      </c>
      <c r="V353" s="382">
        <f t="shared" si="135"/>
        <v>23.761942655511323</v>
      </c>
      <c r="W353" s="400">
        <f t="shared" si="136"/>
        <v>24.636275202576268</v>
      </c>
      <c r="X353" s="157">
        <f t="shared" si="137"/>
        <v>45630</v>
      </c>
      <c r="Y353" s="383">
        <f t="shared" si="138"/>
        <v>24.333142895920261</v>
      </c>
      <c r="Z353" s="383">
        <f t="shared" si="139"/>
        <v>25.359154912608947</v>
      </c>
      <c r="AA353" s="384">
        <f t="shared" si="140"/>
        <v>26.997974557269455</v>
      </c>
      <c r="AB353" s="197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6.070157748997667E-2</v>
      </c>
      <c r="AD353" s="230">
        <f>(INDEX(Models!$BJ353:$BT353,,AH353)*(1-AF353)+INDEX(Models!$BJ353:$BT353,,AH353+1)*AF353-ERP_i)*AE353*Ramure*Pc/MaxiM</f>
        <v>4.7099286767945218E-2</v>
      </c>
      <c r="AE353" s="304">
        <f t="shared" si="142"/>
        <v>0.7</v>
      </c>
      <c r="AF353" s="177">
        <f t="shared" si="143"/>
        <v>0.19880289999758838</v>
      </c>
      <c r="AG353" s="799">
        <f t="shared" si="149"/>
        <v>1</v>
      </c>
      <c r="AH353" s="176">
        <f t="shared" si="144"/>
        <v>7</v>
      </c>
      <c r="AI353" s="224">
        <f t="shared" si="145"/>
        <v>1.1988028999975884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45631</v>
      </c>
      <c r="B354" s="409">
        <f>'2023'!Wh/'2023'!Env_an*'2024'!Env_an</f>
        <v>15.606139277599226</v>
      </c>
      <c r="C354" s="829"/>
      <c r="D354" s="391">
        <f t="shared" si="127"/>
        <v>16.264487082001157</v>
      </c>
      <c r="E354" s="383">
        <f t="shared" si="125"/>
        <v>17.152094615494978</v>
      </c>
      <c r="F354" s="383">
        <f t="shared" si="128"/>
        <v>17.561184180046805</v>
      </c>
      <c r="G354" s="110">
        <f t="shared" si="126"/>
        <v>0.64746778549052941</v>
      </c>
      <c r="H354" s="412" t="b">
        <f>Wh_hp&gt;='2023'!Maxi_hp</f>
        <v>0</v>
      </c>
      <c r="I354" s="388">
        <f>IF(H354,Wh_hp,'2023'!Maxi_hp)</f>
        <v>24.344380996305986</v>
      </c>
      <c r="J354" s="85">
        <f>IF(H354,An,'2023'!An_max)</f>
        <v>2020</v>
      </c>
      <c r="K354" s="197">
        <f t="shared" si="129"/>
        <v>45631</v>
      </c>
      <c r="L354" s="147">
        <f>IF(t&lt;Tvie,1-EXP((T0-t)*PertePVj)+'2023'!Pspv,1-EXP((T0-t)*PertePVj)+Pspv)</f>
        <v>4.0477624722053518E-2</v>
      </c>
      <c r="M354" s="832"/>
      <c r="N354" s="832"/>
      <c r="O354" s="48">
        <f>IF(t&lt;Tnet,'2023'!Resal+('2023'!Salim-'2023'!Resal)*(1-EXP(('2023'!Tnet-t)/('2023'!Tau_j))),Resal+(Salim-Resal)*(1-EXP((Tnet-t)/(Tau_j))))*Salcycl</f>
        <v>5.1749220919756818E-2</v>
      </c>
      <c r="P354" s="169">
        <f>(INDEX(Models!$BJ354:$BT354,,T354)*(1-R354)+INDEX(Models!$BJ354:$BT354,,T354+1)*R354-ERP_i)*Q354*Ramure*Pc/MaxiM</f>
        <v>4.50211662665592E-2</v>
      </c>
      <c r="Q354" s="304">
        <f t="shared" si="130"/>
        <v>0.7</v>
      </c>
      <c r="R354" s="177">
        <f t="shared" si="131"/>
        <v>0.13448139917337465</v>
      </c>
      <c r="S354" s="799">
        <f t="shared" si="132"/>
        <v>1</v>
      </c>
      <c r="T354" s="176">
        <f t="shared" si="133"/>
        <v>7</v>
      </c>
      <c r="U354" s="250">
        <f t="shared" si="134"/>
        <v>1.1344813991733746</v>
      </c>
      <c r="V354" s="382">
        <f t="shared" si="135"/>
        <v>23.567184041574539</v>
      </c>
      <c r="W354" s="400">
        <f t="shared" si="136"/>
        <v>15.606139277599226</v>
      </c>
      <c r="X354" s="157">
        <f t="shared" si="137"/>
        <v>45631</v>
      </c>
      <c r="Y354" s="383">
        <f t="shared" si="138"/>
        <v>15.435749657455714</v>
      </c>
      <c r="Z354" s="383">
        <f t="shared" si="139"/>
        <v>16.086909544953983</v>
      </c>
      <c r="AA354" s="384">
        <f t="shared" si="140"/>
        <v>17.126984476381431</v>
      </c>
      <c r="AB354" s="197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6.072726537831203E-2</v>
      </c>
      <c r="AD354" s="230">
        <f>(INDEX(Models!$BJ354:$BT354,,AH354)*(1-AF354)+INDEX(Models!$BJ354:$BT354,,AH354+1)*AF354-ERP_i)*AE354*Ramure*Pc/MaxiM</f>
        <v>4.7784589844097676E-2</v>
      </c>
      <c r="AE354" s="304">
        <f t="shared" si="142"/>
        <v>0.7</v>
      </c>
      <c r="AF354" s="177">
        <f t="shared" si="143"/>
        <v>0.1988136214332068</v>
      </c>
      <c r="AG354" s="799">
        <f t="shared" si="149"/>
        <v>1</v>
      </c>
      <c r="AH354" s="176">
        <f t="shared" si="144"/>
        <v>7</v>
      </c>
      <c r="AI354" s="224">
        <f t="shared" si="145"/>
        <v>1.1988136214332068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45632</v>
      </c>
      <c r="B355" s="409">
        <f>'2023'!Wh/'2023'!Env_an*'2024'!Env_an</f>
        <v>18.253036834374306</v>
      </c>
      <c r="C355" s="829"/>
      <c r="D355" s="391">
        <f t="shared" si="127"/>
        <v>19.023409069619476</v>
      </c>
      <c r="E355" s="383">
        <f t="shared" si="125"/>
        <v>20.06241581562124</v>
      </c>
      <c r="F355" s="383">
        <f t="shared" si="128"/>
        <v>20.71118373813789</v>
      </c>
      <c r="G355" s="110">
        <f t="shared" si="126"/>
        <v>0.76905845075168444</v>
      </c>
      <c r="H355" s="412" t="b">
        <f>Wh_hp&gt;='2023'!Maxi_hp</f>
        <v>0</v>
      </c>
      <c r="I355" s="388">
        <f>IF(H355,Wh_hp,'2023'!Maxi_hp)</f>
        <v>20.865678044403491</v>
      </c>
      <c r="J355" s="85">
        <f>IF(H355,An,'2023'!An_max)</f>
        <v>2022</v>
      </c>
      <c r="K355" s="197">
        <f t="shared" si="129"/>
        <v>45632</v>
      </c>
      <c r="L355" s="147">
        <f>IF(t&lt;Tvie,1-EXP((T0-t)*PertePVj)+'2023'!Pspv,1-EXP((T0-t)*PertePVj)+Pspv)</f>
        <v>4.0496013749473425E-2</v>
      </c>
      <c r="M355" s="832"/>
      <c r="N355" s="832"/>
      <c r="O355" s="48">
        <f>IF(t&lt;Tnet,'2023'!Resal+('2023'!Salim-'2023'!Resal)*(1-EXP(('2023'!Tnet-t)/('2023'!Tau_j))),Resal+(Salim-Resal)*(1-EXP((Tnet-t)/(Tau_j))))*Salcycl</f>
        <v>5.1788715554024048E-2</v>
      </c>
      <c r="P355" s="169">
        <f>(INDEX(Models!$BJ355:$BT355,,T355)*(1-R355)+INDEX(Models!$BJ355:$BT355,,T355+1)*R355-ERP_i)*Q355*Ramure*Pc/MaxiM</f>
        <v>4.5626169740517634E-2</v>
      </c>
      <c r="Q355" s="304">
        <f t="shared" si="130"/>
        <v>0.7</v>
      </c>
      <c r="R355" s="177">
        <f t="shared" si="131"/>
        <v>0.13449168947280254</v>
      </c>
      <c r="S355" s="799">
        <f t="shared" si="132"/>
        <v>1</v>
      </c>
      <c r="T355" s="176">
        <f t="shared" si="133"/>
        <v>7</v>
      </c>
      <c r="U355" s="250">
        <f t="shared" si="134"/>
        <v>1.1344916894728025</v>
      </c>
      <c r="V355" s="382">
        <f t="shared" si="135"/>
        <v>23.383848986083688</v>
      </c>
      <c r="W355" s="400">
        <f t="shared" si="136"/>
        <v>18.253036834374306</v>
      </c>
      <c r="X355" s="157">
        <f t="shared" si="137"/>
        <v>45632</v>
      </c>
      <c r="Y355" s="383">
        <f t="shared" si="138"/>
        <v>18.044584652291796</v>
      </c>
      <c r="Z355" s="383">
        <f t="shared" si="139"/>
        <v>18.806159131037059</v>
      </c>
      <c r="AA355" s="384">
        <f t="shared" si="140"/>
        <v>20.022610008884008</v>
      </c>
      <c r="AB355" s="197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6.0753861624793792E-2</v>
      </c>
      <c r="AD355" s="230">
        <f>(INDEX(Models!$BJ355:$BT355,,AH355)*(1-AF355)+INDEX(Models!$BJ355:$BT355,,AH355+1)*AF355-ERP_i)*AE355*Ramure*Pc/MaxiM</f>
        <v>4.8425609157630049E-2</v>
      </c>
      <c r="AE355" s="304">
        <f t="shared" si="142"/>
        <v>0.7</v>
      </c>
      <c r="AF355" s="177">
        <f t="shared" si="143"/>
        <v>0.19882391173263469</v>
      </c>
      <c r="AG355" s="799">
        <f t="shared" si="149"/>
        <v>1</v>
      </c>
      <c r="AH355" s="176">
        <f t="shared" si="144"/>
        <v>7</v>
      </c>
      <c r="AI355" s="224">
        <f t="shared" si="145"/>
        <v>1.1988239117326347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45633</v>
      </c>
      <c r="B356" s="409">
        <f>'2023'!Wh/'2023'!Env_an*'2024'!Env_an</f>
        <v>4.4457724858950902</v>
      </c>
      <c r="C356" s="829"/>
      <c r="D356" s="391">
        <f t="shared" si="127"/>
        <v>4.6334957993417207</v>
      </c>
      <c r="E356" s="383">
        <f t="shared" si="125"/>
        <v>4.8867719825467875</v>
      </c>
      <c r="F356" s="383">
        <f t="shared" si="128"/>
        <v>4.8867719825467875</v>
      </c>
      <c r="G356" s="110">
        <f t="shared" si="126"/>
        <v>0.18267185985840562</v>
      </c>
      <c r="H356" s="412" t="b">
        <f>Wh_hp&gt;='2023'!Maxi_hp</f>
        <v>0</v>
      </c>
      <c r="I356" s="388">
        <f>IF(H356,Wh_hp,'2023'!Maxi_hp)</f>
        <v>18.164839905008368</v>
      </c>
      <c r="J356" s="85">
        <f>IF(H356,An,'2023'!An_max)</f>
        <v>2018</v>
      </c>
      <c r="K356" s="197">
        <f t="shared" si="129"/>
        <v>45633</v>
      </c>
      <c r="L356" s="147">
        <f>IF(t&lt;Tvie,1-EXP((T0-t)*PertePVj)+'2023'!Pspv,1-EXP((T0-t)*PertePVj)+Pspv)</f>
        <v>4.0514402424471907E-2</v>
      </c>
      <c r="M356" s="832"/>
      <c r="N356" s="832"/>
      <c r="O356" s="48">
        <f>IF(t&lt;Tnet,'2023'!Resal+('2023'!Salim-'2023'!Resal)*(1-EXP(('2023'!Tnet-t)/('2023'!Tau_j))),Resal+(Salim-Resal)*(1-EXP((Tnet-t)/(Tau_j))))*Salcycl</f>
        <v>5.1828934132725712E-2</v>
      </c>
      <c r="P356" s="169">
        <f>(INDEX(Models!$BJ356:$BT356,,T356)*(1-R356)+INDEX(Models!$BJ356:$BT356,,T356+1)*R356-ERP_i)*Q356*Ramure*Pc/MaxiM</f>
        <v>4.618654544298291E-2</v>
      </c>
      <c r="Q356" s="304">
        <f t="shared" si="130"/>
        <v>0.7</v>
      </c>
      <c r="R356" s="177">
        <f t="shared" si="131"/>
        <v>0.13450156595226992</v>
      </c>
      <c r="S356" s="799">
        <f t="shared" si="132"/>
        <v>1</v>
      </c>
      <c r="T356" s="176">
        <f t="shared" si="133"/>
        <v>7</v>
      </c>
      <c r="U356" s="250">
        <f t="shared" si="134"/>
        <v>1.1345015659522699</v>
      </c>
      <c r="V356" s="382">
        <f t="shared" si="135"/>
        <v>23.213414568795777</v>
      </c>
      <c r="W356" s="400">
        <f t="shared" si="136"/>
        <v>4.4457724858950902</v>
      </c>
      <c r="X356" s="157">
        <f t="shared" si="137"/>
        <v>45633</v>
      </c>
      <c r="Y356" s="383">
        <f t="shared" si="138"/>
        <v>4.4037965568803505</v>
      </c>
      <c r="Z356" s="383">
        <f t="shared" si="139"/>
        <v>4.5897474313403599</v>
      </c>
      <c r="AA356" s="384">
        <f t="shared" si="140"/>
        <v>4.8867719825467875</v>
      </c>
      <c r="AB356" s="197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6.0781340375048648E-2</v>
      </c>
      <c r="AD356" s="230">
        <f>(INDEX(Models!$BJ356:$BT356,,AH356)*(1-AF356)+INDEX(Models!$BJ356:$BT356,,AH356+1)*AF356-ERP_i)*AE356*Ramure*Pc/MaxiM</f>
        <v>4.9017772866954287E-2</v>
      </c>
      <c r="AE356" s="304">
        <f t="shared" si="142"/>
        <v>0.7</v>
      </c>
      <c r="AF356" s="177">
        <f t="shared" si="143"/>
        <v>0.19883378821210207</v>
      </c>
      <c r="AG356" s="799">
        <f t="shared" si="149"/>
        <v>1</v>
      </c>
      <c r="AH356" s="176">
        <f t="shared" si="144"/>
        <v>7</v>
      </c>
      <c r="AI356" s="224">
        <f t="shared" si="145"/>
        <v>1.1988337882121021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45634</v>
      </c>
      <c r="B357" s="409">
        <f>'2023'!Wh/'2023'!Env_an*'2024'!Env_an</f>
        <v>8.982163321990555</v>
      </c>
      <c r="C357" s="829"/>
      <c r="D357" s="391">
        <f t="shared" si="127"/>
        <v>9.3616157335738475</v>
      </c>
      <c r="E357" s="383">
        <f t="shared" si="125"/>
        <v>9.8737665587506651</v>
      </c>
      <c r="F357" s="383">
        <f t="shared" si="128"/>
        <v>9.9331117417551447</v>
      </c>
      <c r="G357" s="110">
        <f t="shared" si="126"/>
        <v>0.3735979106169019</v>
      </c>
      <c r="H357" s="412" t="b">
        <f>Wh_hp&gt;='2023'!Maxi_hp</f>
        <v>0</v>
      </c>
      <c r="I357" s="388">
        <f>IF(H357,Wh_hp,'2023'!Maxi_hp)</f>
        <v>10.143572329853523</v>
      </c>
      <c r="J357" s="85">
        <f>IF(H357,An,'2023'!An_max)</f>
        <v>2022</v>
      </c>
      <c r="K357" s="197">
        <f t="shared" si="129"/>
        <v>45634</v>
      </c>
      <c r="L357" s="147">
        <f>IF(t&lt;Tvie,1-EXP((T0-t)*PertePVj)+'2023'!Pspv,1-EXP((T0-t)*PertePVj)+Pspv)</f>
        <v>4.0532790747055625E-2</v>
      </c>
      <c r="M357" s="832"/>
      <c r="N357" s="832"/>
      <c r="O357" s="48">
        <f>IF(t&lt;Tnet,'2023'!Resal+('2023'!Salim-'2023'!Resal)*(1-EXP(('2023'!Tnet-t)/('2023'!Tau_j))),Resal+(Salim-Resal)*(1-EXP((Tnet-t)/(Tau_j))))*Salcycl</f>
        <v>5.1869853528481731E-2</v>
      </c>
      <c r="P357" s="169">
        <f>(INDEX(Models!$BJ357:$BT357,,T357)*(1-R357)+INDEX(Models!$BJ357:$BT357,,T357+1)*R357-ERP_i)*Q357*Ramure*Pc/MaxiM</f>
        <v>4.6697857367302087E-2</v>
      </c>
      <c r="Q357" s="304">
        <f t="shared" si="130"/>
        <v>0.7</v>
      </c>
      <c r="R357" s="177">
        <f t="shared" si="131"/>
        <v>0.13451104523415802</v>
      </c>
      <c r="S357" s="799">
        <f t="shared" si="132"/>
        <v>1</v>
      </c>
      <c r="T357" s="176">
        <f t="shared" si="133"/>
        <v>7</v>
      </c>
      <c r="U357" s="250">
        <f t="shared" si="134"/>
        <v>1.134511045234158</v>
      </c>
      <c r="V357" s="382">
        <f t="shared" si="135"/>
        <v>23.057358061278268</v>
      </c>
      <c r="W357" s="400">
        <f t="shared" si="136"/>
        <v>8.982163321990555</v>
      </c>
      <c r="X357" s="157">
        <f t="shared" si="137"/>
        <v>45634</v>
      </c>
      <c r="Y357" s="383">
        <f t="shared" si="138"/>
        <v>8.894197963680833</v>
      </c>
      <c r="Z357" s="383">
        <f t="shared" si="139"/>
        <v>9.2699342696724258</v>
      </c>
      <c r="AA357" s="384">
        <f t="shared" si="140"/>
        <v>9.8701338893244674</v>
      </c>
      <c r="AB357" s="197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6.0809673544673655E-2</v>
      </c>
      <c r="AD357" s="230">
        <f>(INDEX(Models!$BJ357:$BT357,,AH357)*(1-AF357)+INDEX(Models!$BJ357:$BT357,,AH357+1)*AF357-ERP_i)*AE357*Ramure*Pc/MaxiM</f>
        <v>4.9556351859001126E-2</v>
      </c>
      <c r="AE357" s="304">
        <f t="shared" si="142"/>
        <v>0.7</v>
      </c>
      <c r="AF357" s="177">
        <f t="shared" si="143"/>
        <v>0.19884326749399017</v>
      </c>
      <c r="AG357" s="799">
        <f t="shared" si="149"/>
        <v>1</v>
      </c>
      <c r="AH357" s="176">
        <f t="shared" si="144"/>
        <v>7</v>
      </c>
      <c r="AI357" s="224">
        <f t="shared" si="145"/>
        <v>1.1988432674939902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45635</v>
      </c>
      <c r="B358" s="409">
        <f>'2023'!Wh/'2023'!Env_an*'2024'!Env_an</f>
        <v>15.019206739612297</v>
      </c>
      <c r="C358" s="829"/>
      <c r="D358" s="391">
        <f t="shared" si="127"/>
        <v>15.653994675330198</v>
      </c>
      <c r="E358" s="383">
        <f t="shared" si="125"/>
        <v>16.511110335366823</v>
      </c>
      <c r="F358" s="383">
        <f t="shared" si="128"/>
        <v>16.916072712657929</v>
      </c>
      <c r="G358" s="110">
        <f t="shared" si="126"/>
        <v>0.63978127073737989</v>
      </c>
      <c r="H358" s="412" t="b">
        <f>Wh_hp&gt;='2023'!Maxi_hp</f>
        <v>0</v>
      </c>
      <c r="I358" s="388">
        <f>IF(H358,Wh_hp,'2023'!Maxi_hp)</f>
        <v>19.483808473016875</v>
      </c>
      <c r="J358" s="85">
        <f>IF(H358,An,'2023'!An_max)</f>
        <v>2018</v>
      </c>
      <c r="K358" s="197">
        <f t="shared" si="129"/>
        <v>45635</v>
      </c>
      <c r="L358" s="147">
        <f>IF(t&lt;Tvie,1-EXP((T0-t)*PertePVj)+'2023'!Pspv,1-EXP((T0-t)*PertePVj)+Pspv)</f>
        <v>4.055117871723124E-2</v>
      </c>
      <c r="M358" s="832"/>
      <c r="N358" s="832"/>
      <c r="O358" s="48">
        <f>IF(t&lt;Tnet,'2023'!Resal+('2023'!Salim-'2023'!Resal)*(1-EXP(('2023'!Tnet-t)/('2023'!Tau_j))),Resal+(Salim-Resal)*(1-EXP((Tnet-t)/(Tau_j))))*Salcycl</f>
        <v>5.1911448874560673E-2</v>
      </c>
      <c r="P358" s="169">
        <f>(INDEX(Models!$BJ358:$BT358,,T358)*(1-R358)+INDEX(Models!$BJ358:$BT358,,T358+1)*R358-ERP_i)*Q358*Ramure*Pc/MaxiM</f>
        <v>4.7155566354079186E-2</v>
      </c>
      <c r="Q358" s="304">
        <f t="shared" si="130"/>
        <v>0.7</v>
      </c>
      <c r="R358" s="177">
        <f t="shared" si="131"/>
        <v>0.13452014327467365</v>
      </c>
      <c r="S358" s="799">
        <f t="shared" si="132"/>
        <v>1</v>
      </c>
      <c r="T358" s="176">
        <f t="shared" si="133"/>
        <v>7</v>
      </c>
      <c r="U358" s="250">
        <f t="shared" si="134"/>
        <v>1.1345201432746737</v>
      </c>
      <c r="V358" s="382">
        <f t="shared" si="135"/>
        <v>22.917156901643065</v>
      </c>
      <c r="W358" s="400">
        <f t="shared" si="136"/>
        <v>15.019206739612297</v>
      </c>
      <c r="X358" s="157">
        <f t="shared" si="137"/>
        <v>45635</v>
      </c>
      <c r="Y358" s="383">
        <f t="shared" si="138"/>
        <v>14.855489505641112</v>
      </c>
      <c r="Z358" s="383">
        <f t="shared" si="139"/>
        <v>15.483357919789347</v>
      </c>
      <c r="AA358" s="384">
        <f t="shared" si="140"/>
        <v>16.486369359938212</v>
      </c>
      <c r="AB358" s="197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6.0838831051922095E-2</v>
      </c>
      <c r="AD358" s="230">
        <f>(INDEX(Models!$BJ358:$BT358,,AH358)*(1-AF358)+INDEX(Models!$BJ358:$BT358,,AH358+1)*AF358-ERP_i)*AE358*Ramure*Pc/MaxiM</f>
        <v>5.0036512273778602E-2</v>
      </c>
      <c r="AE358" s="304">
        <f t="shared" si="142"/>
        <v>0.7</v>
      </c>
      <c r="AF358" s="177">
        <f t="shared" si="143"/>
        <v>0.1988523655345058</v>
      </c>
      <c r="AG358" s="799">
        <f t="shared" si="149"/>
        <v>1</v>
      </c>
      <c r="AH358" s="176">
        <f t="shared" si="144"/>
        <v>7</v>
      </c>
      <c r="AI358" s="224">
        <f t="shared" si="145"/>
        <v>1.1988523655345058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45636</v>
      </c>
      <c r="B359" s="409">
        <f>'2023'!Wh/'2023'!Env_an*'2024'!Env_an</f>
        <v>14.312950823930359</v>
      </c>
      <c r="C359" s="829"/>
      <c r="D359" s="391">
        <f t="shared" si="127"/>
        <v>14.918174702104597</v>
      </c>
      <c r="E359" s="383">
        <f t="shared" si="125"/>
        <v>15.735702574890796</v>
      </c>
      <c r="F359" s="383">
        <f t="shared" si="128"/>
        <v>16.094512532825998</v>
      </c>
      <c r="G359" s="110">
        <f t="shared" si="126"/>
        <v>0.61184537888192037</v>
      </c>
      <c r="H359" s="412" t="b">
        <f>Wh_hp&gt;='2023'!Maxi_hp</f>
        <v>0</v>
      </c>
      <c r="I359" s="388">
        <f>IF(H359,Wh_hp,'2023'!Maxi_hp)</f>
        <v>16.447360617108369</v>
      </c>
      <c r="J359" s="85">
        <f>IF(H359,An,'2023'!An_max)</f>
        <v>2021</v>
      </c>
      <c r="K359" s="197">
        <f t="shared" si="129"/>
        <v>45636</v>
      </c>
      <c r="L359" s="147">
        <f>IF(t&lt;Tvie,1-EXP((T0-t)*PertePVj)+'2023'!Pspv,1-EXP((T0-t)*PertePVj)+Pspv)</f>
        <v>4.0569566335005747E-2</v>
      </c>
      <c r="M359" s="832"/>
      <c r="N359" s="832"/>
      <c r="O359" s="48">
        <f>IF(t&lt;Tnet,'2023'!Resal+('2023'!Salim-'2023'!Resal)*(1-EXP(('2023'!Tnet-t)/('2023'!Tau_j))),Resal+(Salim-Resal)*(1-EXP((Tnet-t)/(Tau_j))))*Salcycl</f>
        <v>5.1953693767109926E-2</v>
      </c>
      <c r="P359" s="169">
        <f>(INDEX(Models!$BJ359:$BT359,,T359)*(1-R359)+INDEX(Models!$BJ359:$BT359,,T359+1)*R359-ERP_i)*Q359*Ramure*Pc/MaxiM</f>
        <v>4.7566804096198151E-2</v>
      </c>
      <c r="Q359" s="304">
        <f t="shared" si="130"/>
        <v>0.7</v>
      </c>
      <c r="R359" s="177">
        <f t="shared" si="131"/>
        <v>0.13452887539042657</v>
      </c>
      <c r="S359" s="799">
        <f t="shared" si="132"/>
        <v>1</v>
      </c>
      <c r="T359" s="176">
        <f t="shared" si="133"/>
        <v>7</v>
      </c>
      <c r="U359" s="250">
        <f t="shared" si="134"/>
        <v>1.1345288753904266</v>
      </c>
      <c r="V359" s="382">
        <f t="shared" si="135"/>
        <v>22.788393382745205</v>
      </c>
      <c r="W359" s="400">
        <f t="shared" si="136"/>
        <v>14.312950823930359</v>
      </c>
      <c r="X359" s="157">
        <f t="shared" si="137"/>
        <v>45636</v>
      </c>
      <c r="Y359" s="383">
        <f t="shared" si="138"/>
        <v>14.158653209200377</v>
      </c>
      <c r="Z359" s="383">
        <f t="shared" si="139"/>
        <v>14.757352604622687</v>
      </c>
      <c r="AA359" s="384">
        <f t="shared" si="140"/>
        <v>15.713834560032371</v>
      </c>
      <c r="AB359" s="197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6.086878105758254E-2</v>
      </c>
      <c r="AD359" s="230">
        <f>(INDEX(Models!$BJ359:$BT359,,AH359)*(1-AF359)+INDEX(Models!$BJ359:$BT359,,AH359+1)*AF359-ERP_i)*AE359*Ramure*Pc/MaxiM</f>
        <v>5.0465808306475332E-2</v>
      </c>
      <c r="AE359" s="304">
        <f t="shared" si="142"/>
        <v>0.7</v>
      </c>
      <c r="AF359" s="177">
        <f t="shared" si="143"/>
        <v>0.19886109765025872</v>
      </c>
      <c r="AG359" s="799">
        <f t="shared" si="149"/>
        <v>1</v>
      </c>
      <c r="AH359" s="176">
        <f t="shared" si="144"/>
        <v>7</v>
      </c>
      <c r="AI359" s="224">
        <f t="shared" si="145"/>
        <v>1.1988610976502587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45637</v>
      </c>
      <c r="B360" s="409">
        <f>'2023'!Wh/'2023'!Env_an*'2024'!Env_an</f>
        <v>6.6007290441157229</v>
      </c>
      <c r="C360" s="829"/>
      <c r="D360" s="391">
        <f t="shared" si="127"/>
        <v>6.8799730719311682</v>
      </c>
      <c r="E360" s="383">
        <f t="shared" si="125"/>
        <v>7.2573292301120089</v>
      </c>
      <c r="F360" s="383">
        <f t="shared" si="128"/>
        <v>7.2573292301120089</v>
      </c>
      <c r="G360" s="110">
        <f t="shared" si="126"/>
        <v>0.27725215647541807</v>
      </c>
      <c r="H360" s="412" t="b">
        <f>Wh_hp&gt;='2023'!Maxi_hp</f>
        <v>0</v>
      </c>
      <c r="I360" s="388">
        <f>IF(H360,Wh_hp,'2023'!Maxi_hp)</f>
        <v>25.134038937177625</v>
      </c>
      <c r="J360" s="85">
        <f>IF(H360,An,'2023'!An_max)</f>
        <v>2021</v>
      </c>
      <c r="K360" s="197">
        <f t="shared" si="129"/>
        <v>45637</v>
      </c>
      <c r="L360" s="147">
        <f>IF(t&lt;Tvie,1-EXP((T0-t)*PertePVj)+'2023'!Pspv,1-EXP((T0-t)*PertePVj)+Pspv)</f>
        <v>4.0587953600385696E-2</v>
      </c>
      <c r="M360" s="832"/>
      <c r="N360" s="832"/>
      <c r="O360" s="48">
        <f>IF(t&lt;Tnet,'2023'!Resal+('2023'!Salim-'2023'!Resal)*(1-EXP(('2023'!Tnet-t)/('2023'!Tau_j))),Resal+(Salim-Resal)*(1-EXP((Tnet-t)/(Tau_j))))*Salcycl</f>
        <v>5.1996560472290537E-2</v>
      </c>
      <c r="P360" s="169">
        <f>(INDEX(Models!$BJ360:$BT360,,T360)*(1-R360)+INDEX(Models!$BJ360:$BT360,,T360+1)*R360-ERP_i)*Q360*Ramure*Pc/MaxiM</f>
        <v>4.7939919333419199E-2</v>
      </c>
      <c r="Q360" s="304">
        <f t="shared" si="130"/>
        <v>0.7</v>
      </c>
      <c r="R360" s="177">
        <f t="shared" si="131"/>
        <v>0.13453725628395841</v>
      </c>
      <c r="S360" s="799">
        <f t="shared" si="132"/>
        <v>1</v>
      </c>
      <c r="T360" s="176">
        <f t="shared" si="133"/>
        <v>7</v>
      </c>
      <c r="U360" s="250">
        <f t="shared" si="134"/>
        <v>1.1345372562839584</v>
      </c>
      <c r="V360" s="382">
        <f t="shared" si="135"/>
        <v>22.666336327509288</v>
      </c>
      <c r="W360" s="400">
        <f t="shared" si="136"/>
        <v>6.6007290441157229</v>
      </c>
      <c r="X360" s="157">
        <f t="shared" si="137"/>
        <v>45637</v>
      </c>
      <c r="Y360" s="383">
        <f t="shared" si="138"/>
        <v>6.5387400001440268</v>
      </c>
      <c r="Z360" s="383">
        <f t="shared" si="139"/>
        <v>6.8153615797111966</v>
      </c>
      <c r="AA360" s="384">
        <f t="shared" si="140"/>
        <v>7.2573292301120089</v>
      </c>
      <c r="AB360" s="197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6.0899490210118382E-2</v>
      </c>
      <c r="AD360" s="230">
        <f>(INDEX(Models!$BJ360:$BT360,,AH360)*(1-AF360)+INDEX(Models!$BJ360:$BT360,,AH360+1)*AF360-ERP_i)*AE360*Ramure*Pc/MaxiM</f>
        <v>5.0853083909787246E-2</v>
      </c>
      <c r="AE360" s="304">
        <f t="shared" si="142"/>
        <v>0.7</v>
      </c>
      <c r="AF360" s="177">
        <f t="shared" si="143"/>
        <v>0.19886947854379056</v>
      </c>
      <c r="AG360" s="799">
        <f t="shared" si="149"/>
        <v>1</v>
      </c>
      <c r="AH360" s="176">
        <f t="shared" si="144"/>
        <v>7</v>
      </c>
      <c r="AI360" s="224">
        <f t="shared" si="145"/>
        <v>1.1988694785437906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45638</v>
      </c>
      <c r="B361" s="409">
        <f>'2023'!Wh/'2023'!Env_an*'2024'!Env_an</f>
        <v>6.1810654526830824</v>
      </c>
      <c r="C361" s="829"/>
      <c r="D361" s="391">
        <f t="shared" si="127"/>
        <v>6.4426790729371834</v>
      </c>
      <c r="E361" s="383">
        <f t="shared" ref="E361:E379" si="150">Wh_pvt/(1-Psa)</f>
        <v>6.7963618821397391</v>
      </c>
      <c r="F361" s="383">
        <f t="shared" si="128"/>
        <v>6.7963618821397391</v>
      </c>
      <c r="G361" s="110">
        <f t="shared" ref="G361:G379" si="151">+Wh_hp/MaxiM</f>
        <v>0.26085022393961849</v>
      </c>
      <c r="H361" s="412" t="b">
        <f>Wh_hp&gt;='2023'!Maxi_hp</f>
        <v>0</v>
      </c>
      <c r="I361" s="388">
        <f>IF(H361,Wh_hp,'2023'!Maxi_hp)</f>
        <v>25.832835378767957</v>
      </c>
      <c r="J361" s="85">
        <f>IF(H361,An,'2023'!An_max)</f>
        <v>2021</v>
      </c>
      <c r="K361" s="197">
        <f t="shared" si="129"/>
        <v>45638</v>
      </c>
      <c r="L361" s="147">
        <f>IF(t&lt;Tvie,1-EXP((T0-t)*PertePVj)+'2023'!Pspv,1-EXP((T0-t)*PertePVj)+Pspv)</f>
        <v>4.0606340513377859E-2</v>
      </c>
      <c r="M361" s="832"/>
      <c r="N361" s="832"/>
      <c r="O361" s="48">
        <f>IF(t&lt;Tnet,'2023'!Resal+('2023'!Salim-'2023'!Resal)*(1-EXP(('2023'!Tnet-t)/('2023'!Tau_j))),Resal+(Salim-Resal)*(1-EXP((Tnet-t)/(Tau_j))))*Salcycl</f>
        <v>5.2040020136656366E-2</v>
      </c>
      <c r="P361" s="169">
        <f>(INDEX(Models!$BJ361:$BT361,,T361)*(1-R361)+INDEX(Models!$BJ361:$BT361,,T361+1)*R361-ERP_i)*Q361*Ramure*Pc/MaxiM</f>
        <v>4.8280626989733684E-2</v>
      </c>
      <c r="Q361" s="304">
        <f t="shared" si="130"/>
        <v>0.7</v>
      </c>
      <c r="R361" s="177">
        <f t="shared" si="131"/>
        <v>0.13454530006825927</v>
      </c>
      <c r="S361" s="799">
        <f t="shared" si="132"/>
        <v>1</v>
      </c>
      <c r="T361" s="176">
        <f t="shared" si="133"/>
        <v>7</v>
      </c>
      <c r="U361" s="250">
        <f t="shared" si="134"/>
        <v>1.1345453000682593</v>
      </c>
      <c r="V361" s="382">
        <f t="shared" si="135"/>
        <v>22.551791017533002</v>
      </c>
      <c r="W361" s="400">
        <f t="shared" si="136"/>
        <v>6.1810654526830824</v>
      </c>
      <c r="X361" s="157">
        <f t="shared" si="137"/>
        <v>45638</v>
      </c>
      <c r="Y361" s="383">
        <f t="shared" si="138"/>
        <v>6.1230933238741319</v>
      </c>
      <c r="Z361" s="383">
        <f t="shared" si="139"/>
        <v>6.3822532735422071</v>
      </c>
      <c r="AA361" s="384">
        <f t="shared" si="140"/>
        <v>6.7963618821397391</v>
      </c>
      <c r="AB361" s="197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6.0930923894116688E-2</v>
      </c>
      <c r="AD361" s="230">
        <f>(INDEX(Models!$BJ361:$BT361,,AH361)*(1-AF361)+INDEX(Models!$BJ361:$BT361,,AH361+1)*AF361-ERP_i)*AE361*Ramure*Pc/MaxiM</f>
        <v>5.1206471876777501E-2</v>
      </c>
      <c r="AE361" s="304">
        <f t="shared" si="142"/>
        <v>0.7</v>
      </c>
      <c r="AF361" s="177">
        <f t="shared" si="143"/>
        <v>0.19887752232809142</v>
      </c>
      <c r="AG361" s="799">
        <f t="shared" si="149"/>
        <v>1</v>
      </c>
      <c r="AH361" s="176">
        <f t="shared" si="144"/>
        <v>7</v>
      </c>
      <c r="AI361" s="224">
        <f t="shared" si="145"/>
        <v>1.1988775223280914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45639</v>
      </c>
      <c r="B362" s="409">
        <f>'2023'!Wh/'2023'!Env_an*'2024'!Env_an</f>
        <v>14.503304053652522</v>
      </c>
      <c r="C362" s="829"/>
      <c r="D362" s="391">
        <f t="shared" si="127"/>
        <v>15.117446178718687</v>
      </c>
      <c r="E362" s="383">
        <f t="shared" si="150"/>
        <v>15.948087029306668</v>
      </c>
      <c r="F362" s="383">
        <f t="shared" si="128"/>
        <v>16.340684420735474</v>
      </c>
      <c r="G362" s="110">
        <f t="shared" si="151"/>
        <v>0.62988845512964675</v>
      </c>
      <c r="H362" s="412" t="b">
        <f>Wh_hp&gt;='2023'!Maxi_hp</f>
        <v>0</v>
      </c>
      <c r="I362" s="388">
        <f>IF(H362,Wh_hp,'2023'!Maxi_hp)</f>
        <v>25.956270173874294</v>
      </c>
      <c r="J362" s="85">
        <f>IF(H362,An,'2023'!An_max)</f>
        <v>2021</v>
      </c>
      <c r="K362" s="197">
        <f t="shared" si="129"/>
        <v>45639</v>
      </c>
      <c r="L362" s="147">
        <f>IF(t&lt;Tvie,1-EXP((T0-t)*PertePVj)+'2023'!Pspv,1-EXP((T0-t)*PertePVj)+Pspv)</f>
        <v>4.0624727073989009E-2</v>
      </c>
      <c r="M362" s="832"/>
      <c r="N362" s="832"/>
      <c r="O362" s="48">
        <f>IF(t&lt;Tnet,'2023'!Resal+('2023'!Salim-'2023'!Resal)*(1-EXP(('2023'!Tnet-t)/('2023'!Tau_j))),Resal+(Salim-Resal)*(1-EXP((Tnet-t)/(Tau_j))))*Salcycl</f>
        <v>5.2084042999111541E-2</v>
      </c>
      <c r="P362" s="169">
        <f>(INDEX(Models!$BJ362:$BT362,,T362)*(1-R362)+INDEX(Models!$BJ362:$BT362,,T362+1)*R362-ERP_i)*Q362*Ramure*Pc/MaxiM</f>
        <v>4.8586140414587163E-2</v>
      </c>
      <c r="Q362" s="304">
        <f t="shared" si="130"/>
        <v>0.7</v>
      </c>
      <c r="R362" s="177">
        <f t="shared" si="131"/>
        <v>0.13455302029031468</v>
      </c>
      <c r="S362" s="799">
        <f t="shared" si="132"/>
        <v>1</v>
      </c>
      <c r="T362" s="176">
        <f t="shared" si="133"/>
        <v>7</v>
      </c>
      <c r="U362" s="250">
        <f t="shared" si="134"/>
        <v>1.1345530202903147</v>
      </c>
      <c r="V362" s="382">
        <f t="shared" si="135"/>
        <v>22.445765573922028</v>
      </c>
      <c r="W362" s="400">
        <f t="shared" si="136"/>
        <v>14.503304053652522</v>
      </c>
      <c r="X362" s="157">
        <f t="shared" si="137"/>
        <v>45639</v>
      </c>
      <c r="Y362" s="383">
        <f t="shared" si="138"/>
        <v>14.346074221039194</v>
      </c>
      <c r="Z362" s="383">
        <f t="shared" si="139"/>
        <v>14.953558451933953</v>
      </c>
      <c r="AA362" s="384">
        <f t="shared" si="140"/>
        <v>15.924355687900999</v>
      </c>
      <c r="AB362" s="197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6.0963046480093208E-2</v>
      </c>
      <c r="AD362" s="230">
        <f>(INDEX(Models!$BJ362:$BT362,,AH362)*(1-AF362)+INDEX(Models!$BJ362:$BT362,,AH362+1)*AF362-ERP_i)*AE362*Ramure*Pc/MaxiM</f>
        <v>5.1523027696405495E-2</v>
      </c>
      <c r="AE362" s="304">
        <f t="shared" si="142"/>
        <v>0.7</v>
      </c>
      <c r="AF362" s="177">
        <f t="shared" si="143"/>
        <v>0.19888524255014683</v>
      </c>
      <c r="AG362" s="799">
        <f t="shared" si="149"/>
        <v>1</v>
      </c>
      <c r="AH362" s="176">
        <f t="shared" si="144"/>
        <v>7</v>
      </c>
      <c r="AI362" s="224">
        <f t="shared" si="145"/>
        <v>1.1988852425501468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45640</v>
      </c>
      <c r="B363" s="409">
        <f>'2023'!Wh/'2023'!Env_an*'2024'!Env_an</f>
        <v>6.9001815542349183</v>
      </c>
      <c r="C363" s="829"/>
      <c r="D363" s="391">
        <f t="shared" si="127"/>
        <v>7.1925074492792289</v>
      </c>
      <c r="E363" s="383">
        <f t="shared" si="150"/>
        <v>7.5880625142578531</v>
      </c>
      <c r="F363" s="383">
        <f t="shared" si="128"/>
        <v>7.5926954729956302</v>
      </c>
      <c r="G363" s="110">
        <f t="shared" si="151"/>
        <v>0.29383914367730862</v>
      </c>
      <c r="H363" s="412" t="b">
        <f>Wh_hp&gt;='2023'!Maxi_hp</f>
        <v>0</v>
      </c>
      <c r="I363" s="388">
        <f>IF(H363,Wh_hp,'2023'!Maxi_hp)</f>
        <v>25.992364486751338</v>
      </c>
      <c r="J363" s="85">
        <f>IF(H363,An,'2023'!An_max)</f>
        <v>2018</v>
      </c>
      <c r="K363" s="197">
        <f t="shared" si="129"/>
        <v>45640</v>
      </c>
      <c r="L363" s="147">
        <f>IF(t&lt;Tvie,1-EXP((T0-t)*PertePVj)+'2023'!Pspv,1-EXP((T0-t)*PertePVj)+Pspv)</f>
        <v>4.0643113282226029E-2</v>
      </c>
      <c r="M363" s="832"/>
      <c r="N363" s="832"/>
      <c r="O363" s="48">
        <f>IF(t&lt;Tnet,'2023'!Resal+('2023'!Salim-'2023'!Resal)*(1-EXP(('2023'!Tnet-t)/('2023'!Tau_j))),Resal+(Salim-Resal)*(1-EXP((Tnet-t)/(Tau_j))))*Salcycl</f>
        <v>5.2128598602789893E-2</v>
      </c>
      <c r="P363" s="169">
        <f>(INDEX(Models!$BJ363:$BT363,,T363)*(1-R363)+INDEX(Models!$BJ363:$BT363,,T363+1)*R363-ERP_i)*Q363*Ramure*Pc/MaxiM</f>
        <v>4.8853624613074235E-2</v>
      </c>
      <c r="Q363" s="304">
        <f t="shared" si="130"/>
        <v>0.7</v>
      </c>
      <c r="R363" s="177">
        <f t="shared" si="131"/>
        <v>0.13456042995371975</v>
      </c>
      <c r="S363" s="799">
        <f t="shared" si="132"/>
        <v>1</v>
      </c>
      <c r="T363" s="176">
        <f t="shared" si="133"/>
        <v>7</v>
      </c>
      <c r="U363" s="250">
        <f t="shared" si="134"/>
        <v>1.1345604299537198</v>
      </c>
      <c r="V363" s="382">
        <f t="shared" si="135"/>
        <v>22.349268177346204</v>
      </c>
      <c r="W363" s="400">
        <f t="shared" si="136"/>
        <v>6.9001815542349183</v>
      </c>
      <c r="X363" s="157">
        <f t="shared" si="137"/>
        <v>45640</v>
      </c>
      <c r="Y363" s="383">
        <f t="shared" si="138"/>
        <v>6.8353794981652287</v>
      </c>
      <c r="Z363" s="383">
        <f t="shared" si="139"/>
        <v>7.1249600568886917</v>
      </c>
      <c r="AA363" s="384">
        <f t="shared" si="140"/>
        <v>7.5877831223602357</v>
      </c>
      <c r="AB363" s="197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6.0995821573716698E-2</v>
      </c>
      <c r="AD363" s="230">
        <f>(INDEX(Models!$BJ363:$BT363,,AH363)*(1-AF363)+INDEX(Models!$BJ363:$BT363,,AH363+1)*AF363-ERP_i)*AE363*Ramure*Pc/MaxiM</f>
        <v>5.1799756374364694E-2</v>
      </c>
      <c r="AE363" s="304">
        <f t="shared" si="142"/>
        <v>0.7</v>
      </c>
      <c r="AF363" s="177">
        <f t="shared" si="143"/>
        <v>0.1988926522135519</v>
      </c>
      <c r="AG363" s="799">
        <f t="shared" si="149"/>
        <v>1</v>
      </c>
      <c r="AH363" s="176">
        <f t="shared" si="144"/>
        <v>7</v>
      </c>
      <c r="AI363" s="224">
        <f t="shared" si="145"/>
        <v>1.1988926522135519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45641</v>
      </c>
      <c r="B364" s="409">
        <f>'2023'!Wh/'2023'!Env_an*'2024'!Env_an</f>
        <v>4.9472921786648119</v>
      </c>
      <c r="C364" s="829"/>
      <c r="D364" s="391">
        <f t="shared" si="127"/>
        <v>5.1569828316282367</v>
      </c>
      <c r="E364" s="383">
        <f t="shared" si="150"/>
        <v>5.4408519707241361</v>
      </c>
      <c r="F364" s="383">
        <f t="shared" si="128"/>
        <v>5.4408519707241361</v>
      </c>
      <c r="G364" s="110">
        <f t="shared" si="151"/>
        <v>0.21131083425187996</v>
      </c>
      <c r="H364" s="412" t="b">
        <f>Wh_hp&gt;='2023'!Maxi_hp</f>
        <v>0</v>
      </c>
      <c r="I364" s="388">
        <f>IF(H364,Wh_hp,'2023'!Maxi_hp)</f>
        <v>25.444176400080966</v>
      </c>
      <c r="J364" s="85">
        <f>IF(H364,An,'2023'!An_max)</f>
        <v>2021</v>
      </c>
      <c r="K364" s="197">
        <f t="shared" si="129"/>
        <v>45641</v>
      </c>
      <c r="L364" s="147">
        <f>IF(t&lt;Tvie,1-EXP((T0-t)*PertePVj)+'2023'!Pspv,1-EXP((T0-t)*PertePVj)+Pspv)</f>
        <v>4.0661499138095469E-2</v>
      </c>
      <c r="M364" s="832"/>
      <c r="N364" s="832"/>
      <c r="O364" s="48">
        <f>IF(t&lt;Tnet,'2023'!Resal+('2023'!Salim-'2023'!Resal)*(1-EXP(('2023'!Tnet-t)/('2023'!Tau_j))),Resal+(Salim-Resal)*(1-EXP((Tnet-t)/(Tau_j))))*Salcycl</f>
        <v>5.2173656005222682E-2</v>
      </c>
      <c r="P364" s="169">
        <f>(INDEX(Models!$BJ364:$BT364,,T364)*(1-R364)+INDEX(Models!$BJ364:$BT364,,T364+1)*R364-ERP_i)*Q364*Ramure*Pc/MaxiM</f>
        <v>4.9080222589595317E-2</v>
      </c>
      <c r="Q364" s="304">
        <f t="shared" si="130"/>
        <v>0.7</v>
      </c>
      <c r="R364" s="177">
        <f t="shared" si="131"/>
        <v>0.13456754154039596</v>
      </c>
      <c r="S364" s="799">
        <f t="shared" si="132"/>
        <v>1</v>
      </c>
      <c r="T364" s="176">
        <f t="shared" si="133"/>
        <v>7</v>
      </c>
      <c r="U364" s="250">
        <f t="shared" si="134"/>
        <v>1.134567541540396</v>
      </c>
      <c r="V364" s="382">
        <f t="shared" si="135"/>
        <v>22.263307009201899</v>
      </c>
      <c r="W364" s="400">
        <f t="shared" si="136"/>
        <v>4.9472921786648119</v>
      </c>
      <c r="X364" s="157">
        <f t="shared" si="137"/>
        <v>45641</v>
      </c>
      <c r="Y364" s="383">
        <f t="shared" si="138"/>
        <v>4.9010695509786686</v>
      </c>
      <c r="Z364" s="383">
        <f t="shared" si="139"/>
        <v>5.1088010609137129</v>
      </c>
      <c r="AA364" s="384">
        <f t="shared" si="140"/>
        <v>5.4408519707241361</v>
      </c>
      <c r="AB364" s="197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6.1029212262547525E-2</v>
      </c>
      <c r="AD364" s="230">
        <f>(INDEX(Models!$BJ364:$BT364,,AH364)*(1-AF364)+INDEX(Models!$BJ364:$BT364,,AH364+1)*AF364-ERP_i)*AE364*Ramure*Pc/MaxiM</f>
        <v>5.203364012739755E-2</v>
      </c>
      <c r="AE364" s="304">
        <f t="shared" si="142"/>
        <v>0.7</v>
      </c>
      <c r="AF364" s="177">
        <f t="shared" si="143"/>
        <v>0.19889976380022811</v>
      </c>
      <c r="AG364" s="799">
        <f t="shared" si="149"/>
        <v>1</v>
      </c>
      <c r="AH364" s="176">
        <f t="shared" si="144"/>
        <v>7</v>
      </c>
      <c r="AI364" s="224">
        <f t="shared" si="145"/>
        <v>1.1988997638002281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45642</v>
      </c>
      <c r="B365" s="409">
        <f>'2023'!Wh/'2023'!Env_an*'2024'!Env_an</f>
        <v>2.7574324450804961</v>
      </c>
      <c r="C365" s="829"/>
      <c r="D365" s="391">
        <f t="shared" si="127"/>
        <v>2.8743611240241087</v>
      </c>
      <c r="E365" s="383">
        <f t="shared" si="150"/>
        <v>3.0327276892036434</v>
      </c>
      <c r="F365" s="383">
        <f t="shared" si="128"/>
        <v>3.0327276892036434</v>
      </c>
      <c r="G365" s="110">
        <f t="shared" si="151"/>
        <v>0.11814889290020475</v>
      </c>
      <c r="H365" s="412" t="b">
        <f>Wh_hp&gt;='2023'!Maxi_hp</f>
        <v>0</v>
      </c>
      <c r="I365" s="388">
        <f>IF(H365,Wh_hp,'2023'!Maxi_hp)</f>
        <v>25.822433356414916</v>
      </c>
      <c r="J365" s="85">
        <f>IF(H365,An,'2023'!An_max)</f>
        <v>2021</v>
      </c>
      <c r="K365" s="197">
        <f t="shared" si="129"/>
        <v>45642</v>
      </c>
      <c r="L365" s="147">
        <f>IF(t&lt;Tvie,1-EXP((T0-t)*PertePVj)+'2023'!Pspv,1-EXP((T0-t)*PertePVj)+Pspv)</f>
        <v>4.0679884641604214E-2</v>
      </c>
      <c r="M365" s="832"/>
      <c r="N365" s="832"/>
      <c r="O365" s="48">
        <f>IF(t&lt;Tnet,'2023'!Resal+('2023'!Salim-'2023'!Resal)*(1-EXP(('2023'!Tnet-t)/('2023'!Tau_j))),Resal+(Salim-Resal)*(1-EXP((Tnet-t)/(Tau_j))))*Salcycl</f>
        <v>5.2219183985199785E-2</v>
      </c>
      <c r="P365" s="169">
        <f>(INDEX(Models!$BJ365:$BT365,,T365)*(1-R365)+INDEX(Models!$BJ365:$BT365,,T365+1)*R365-ERP_i)*Q365*Ramure*Pc/MaxiM</f>
        <v>4.9263084838987427E-2</v>
      </c>
      <c r="Q365" s="304">
        <f t="shared" si="130"/>
        <v>0.7</v>
      </c>
      <c r="R365" s="177">
        <f t="shared" si="131"/>
        <v>0.13457436703144587</v>
      </c>
      <c r="S365" s="799">
        <f t="shared" si="132"/>
        <v>1</v>
      </c>
      <c r="T365" s="176">
        <f t="shared" si="133"/>
        <v>7</v>
      </c>
      <c r="U365" s="250">
        <f t="shared" si="134"/>
        <v>1.1345743670314459</v>
      </c>
      <c r="V365" s="382">
        <f t="shared" si="135"/>
        <v>22.188890240512581</v>
      </c>
      <c r="W365" s="400">
        <f t="shared" si="136"/>
        <v>2.7574324450804961</v>
      </c>
      <c r="X365" s="157">
        <f t="shared" si="137"/>
        <v>45642</v>
      </c>
      <c r="Y365" s="383">
        <f t="shared" si="138"/>
        <v>2.7317021022743329</v>
      </c>
      <c r="Z365" s="383">
        <f t="shared" si="139"/>
        <v>2.8475396883070534</v>
      </c>
      <c r="AA365" s="384">
        <f t="shared" si="140"/>
        <v>3.0327276892036434</v>
      </c>
      <c r="AB365" s="197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6.1063181358435095E-2</v>
      </c>
      <c r="AD365" s="230">
        <f>(INDEX(Models!$BJ365:$BT365,,AH365)*(1-AF365)+INDEX(Models!$BJ365:$BT365,,AH365+1)*AF365-ERP_i)*AE365*Ramure*Pc/MaxiM</f>
        <v>5.2221669394939239E-2</v>
      </c>
      <c r="AE365" s="304">
        <f t="shared" si="142"/>
        <v>0.7</v>
      </c>
      <c r="AF365" s="177">
        <f t="shared" si="143"/>
        <v>0.19890658929127802</v>
      </c>
      <c r="AG365" s="799">
        <f t="shared" si="149"/>
        <v>1</v>
      </c>
      <c r="AH365" s="176">
        <f t="shared" si="144"/>
        <v>7</v>
      </c>
      <c r="AI365" s="224">
        <f t="shared" si="145"/>
        <v>1.198906589291278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45643</v>
      </c>
      <c r="B366" s="409">
        <f>'2023'!Wh/'2023'!Env_an*'2024'!Env_an</f>
        <v>18.642092756716103</v>
      </c>
      <c r="C366" s="829"/>
      <c r="D366" s="391">
        <f t="shared" si="127"/>
        <v>19.43298147986118</v>
      </c>
      <c r="E366" s="383">
        <f t="shared" si="150"/>
        <v>20.504660671056858</v>
      </c>
      <c r="F366" s="383">
        <f t="shared" si="128"/>
        <v>21.320861675642604</v>
      </c>
      <c r="G366" s="110">
        <f t="shared" si="151"/>
        <v>0.83276385712024503</v>
      </c>
      <c r="H366" s="412" t="b">
        <f>Wh_hp&gt;='2023'!Maxi_hp</f>
        <v>0</v>
      </c>
      <c r="I366" s="388">
        <f>IF(H366,Wh_hp,'2023'!Maxi_hp)</f>
        <v>24.301759677464336</v>
      </c>
      <c r="J366" s="85">
        <f>IF(H366,An,'2023'!An_max)</f>
        <v>2021</v>
      </c>
      <c r="K366" s="197">
        <f t="shared" si="129"/>
        <v>45643</v>
      </c>
      <c r="L366" s="147">
        <f>IF(t&lt;Tvie,1-EXP((T0-t)*PertePVj)+'2023'!Pspv,1-EXP((T0-t)*PertePVj)+Pspv)</f>
        <v>4.0698269792758923E-2</v>
      </c>
      <c r="M366" s="832"/>
      <c r="N366" s="832"/>
      <c r="O366" s="48">
        <f>IF(t&lt;Tnet,'2023'!Resal+('2023'!Salim-'2023'!Resal)*(1-EXP(('2023'!Tnet-t)/('2023'!Tau_j))),Resal+(Salim-Resal)*(1-EXP((Tnet-t)/(Tau_j))))*Salcycl</f>
        <v>5.2265151244779956E-2</v>
      </c>
      <c r="P366" s="169">
        <f>(INDEX(Models!$BJ366:$BT366,,T366)*(1-R366)+INDEX(Models!$BJ366:$BT366,,T366+1)*R366-ERP_i)*Q366*Ramure*Pc/MaxiM</f>
        <v>4.9395857606894605E-2</v>
      </c>
      <c r="Q366" s="304">
        <f t="shared" si="130"/>
        <v>0.7</v>
      </c>
      <c r="R366" s="177">
        <f t="shared" si="131"/>
        <v>0.1345809179271813</v>
      </c>
      <c r="S366" s="799">
        <f t="shared" si="132"/>
        <v>1</v>
      </c>
      <c r="T366" s="176">
        <f t="shared" si="133"/>
        <v>7</v>
      </c>
      <c r="U366" s="250">
        <f t="shared" si="134"/>
        <v>1.1345809179271813</v>
      </c>
      <c r="V366" s="382">
        <f t="shared" si="135"/>
        <v>22.127108475708962</v>
      </c>
      <c r="W366" s="400">
        <f t="shared" si="136"/>
        <v>18.642092756716103</v>
      </c>
      <c r="X366" s="157">
        <f t="shared" si="137"/>
        <v>45643</v>
      </c>
      <c r="Y366" s="383">
        <f t="shared" si="138"/>
        <v>18.424274947743026</v>
      </c>
      <c r="Z366" s="383">
        <f t="shared" si="139"/>
        <v>19.205922774435912</v>
      </c>
      <c r="AA366" s="384">
        <f t="shared" si="140"/>
        <v>20.455720050210672</v>
      </c>
      <c r="AB366" s="197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6.1097691633782793E-2</v>
      </c>
      <c r="AD366" s="230">
        <f>(INDEX(Models!$BJ366:$BT366,,AH366)*(1-AF366)+INDEX(Models!$BJ366:$BT366,,AH366+1)*AF366-ERP_i)*AE366*Ramure*Pc/MaxiM</f>
        <v>5.2357706373226544E-2</v>
      </c>
      <c r="AE366" s="304">
        <f t="shared" si="142"/>
        <v>0.7</v>
      </c>
      <c r="AF366" s="177">
        <f t="shared" si="143"/>
        <v>0.19891314018701345</v>
      </c>
      <c r="AG366" s="799">
        <f t="shared" si="149"/>
        <v>1</v>
      </c>
      <c r="AH366" s="176">
        <f t="shared" si="144"/>
        <v>7</v>
      </c>
      <c r="AI366" s="224">
        <f t="shared" si="145"/>
        <v>1.1989131401870134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45644</v>
      </c>
      <c r="B367" s="409">
        <f>'2023'!Wh/'2023'!Env_an*'2024'!Env_an</f>
        <v>16.667265819408392</v>
      </c>
      <c r="C367" s="829"/>
      <c r="D367" s="391">
        <f t="shared" si="127"/>
        <v>17.374705710450939</v>
      </c>
      <c r="E367" s="383">
        <f t="shared" si="150"/>
        <v>18.333773384630554</v>
      </c>
      <c r="F367" s="383">
        <f t="shared" si="128"/>
        <v>18.943121006659126</v>
      </c>
      <c r="G367" s="110">
        <f t="shared" si="151"/>
        <v>0.74139289168365885</v>
      </c>
      <c r="H367" s="412" t="b">
        <f>Wh_hp&gt;='2023'!Maxi_hp</f>
        <v>0</v>
      </c>
      <c r="I367" s="388">
        <f>IF(H367,Wh_hp,'2023'!Maxi_hp)</f>
        <v>25.50206749437104</v>
      </c>
      <c r="J367" s="85">
        <f>IF(H367,An,'2023'!An_max)</f>
        <v>2021</v>
      </c>
      <c r="K367" s="197">
        <f t="shared" si="129"/>
        <v>45644</v>
      </c>
      <c r="L367" s="147">
        <f>IF(t&lt;Tvie,1-EXP((T0-t)*PertePVj)+'2023'!Pspv,1-EXP((T0-t)*PertePVj)+Pspv)</f>
        <v>4.0716654591566481E-2</v>
      </c>
      <c r="M367" s="832"/>
      <c r="N367" s="832"/>
      <c r="O367" s="48">
        <f>IF(t&lt;Tnet,'2023'!Resal+('2023'!Salim-'2023'!Resal)*(1-EXP(('2023'!Tnet-t)/('2023'!Tau_j))),Resal+(Salim-Resal)*(1-EXP((Tnet-t)/(Tau_j))))*Salcycl</f>
        <v>5.2311526604971133E-2</v>
      </c>
      <c r="P367" s="169">
        <f>(INDEX(Models!$BJ367:$BT367,,T367)*(1-R367)+INDEX(Models!$BJ367:$BT367,,T367+1)*R367-ERP_i)*Q367*Ramure*Pc/MaxiM</f>
        <v>4.9497749564087562E-2</v>
      </c>
      <c r="Q367" s="304">
        <f t="shared" si="130"/>
        <v>0.7</v>
      </c>
      <c r="R367" s="177">
        <f t="shared" si="131"/>
        <v>0.13458720526635437</v>
      </c>
      <c r="S367" s="799">
        <f t="shared" si="132"/>
        <v>1</v>
      </c>
      <c r="T367" s="176">
        <f t="shared" si="133"/>
        <v>7</v>
      </c>
      <c r="U367" s="250">
        <f t="shared" si="134"/>
        <v>1.1345872052663544</v>
      </c>
      <c r="V367" s="382">
        <f t="shared" si="135"/>
        <v>22.07845951975488</v>
      </c>
      <c r="W367" s="400">
        <f t="shared" si="136"/>
        <v>16.667265819408392</v>
      </c>
      <c r="X367" s="157">
        <f t="shared" si="137"/>
        <v>45644</v>
      </c>
      <c r="Y367" s="383">
        <f t="shared" si="138"/>
        <v>16.479257460330416</v>
      </c>
      <c r="Z367" s="383">
        <f t="shared" si="139"/>
        <v>17.178717361463264</v>
      </c>
      <c r="AA367" s="384">
        <f t="shared" si="140"/>
        <v>18.297279575251203</v>
      </c>
      <c r="AB367" s="197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6.1132706049969392E-2</v>
      </c>
      <c r="AD367" s="230">
        <f>(INDEX(Models!$BJ367:$BT367,,AH367)*(1-AF367)+INDEX(Models!$BJ367:$BT367,,AH367+1)*AF367-ERP_i)*AE367*Ramure*Pc/MaxiM</f>
        <v>5.246216818491533E-2</v>
      </c>
      <c r="AE367" s="304">
        <f t="shared" si="142"/>
        <v>0.7</v>
      </c>
      <c r="AF367" s="177">
        <f t="shared" si="143"/>
        <v>0.19891942752618652</v>
      </c>
      <c r="AG367" s="799">
        <f t="shared" si="149"/>
        <v>1</v>
      </c>
      <c r="AH367" s="176">
        <f t="shared" si="144"/>
        <v>7</v>
      </c>
      <c r="AI367" s="224">
        <f t="shared" si="145"/>
        <v>1.1989194275261865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45645</v>
      </c>
      <c r="B368" s="409">
        <f>'2023'!Wh/'2023'!Env_an*'2024'!Env_an</f>
        <v>3.7324328930427479</v>
      </c>
      <c r="C368" s="829"/>
      <c r="D368" s="391">
        <f t="shared" si="127"/>
        <v>3.8909300818199424</v>
      </c>
      <c r="E368" s="383">
        <f t="shared" si="150"/>
        <v>4.1059083790752249</v>
      </c>
      <c r="F368" s="383">
        <f t="shared" si="128"/>
        <v>4.1059083790752249</v>
      </c>
      <c r="G368" s="110">
        <f t="shared" si="151"/>
        <v>0.16092533628816497</v>
      </c>
      <c r="H368" s="412" t="b">
        <f>Wh_hp&gt;='2023'!Maxi_hp</f>
        <v>0</v>
      </c>
      <c r="I368" s="388">
        <f>IF(H368,Wh_hp,'2023'!Maxi_hp)</f>
        <v>25.974540677970943</v>
      </c>
      <c r="J368" s="85">
        <f>IF(H368,An,'2023'!An_max)</f>
        <v>2021</v>
      </c>
      <c r="K368" s="197">
        <f t="shared" si="129"/>
        <v>45645</v>
      </c>
      <c r="L368" s="147">
        <f>IF(t&lt;Tvie,1-EXP((T0-t)*PertePVj)+'2023'!Pspv,1-EXP((T0-t)*PertePVj)+Pspv)</f>
        <v>4.0735039038033549E-2</v>
      </c>
      <c r="M368" s="832"/>
      <c r="N368" s="832"/>
      <c r="O368" s="48">
        <f>IF(t&lt;Tnet,'2023'!Resal+('2023'!Salim-'2023'!Resal)*(1-EXP(('2023'!Tnet-t)/('2023'!Tau_j))),Resal+(Salim-Resal)*(1-EXP((Tnet-t)/(Tau_j))))*Salcycl</f>
        <v>5.235827919367813E-2</v>
      </c>
      <c r="P368" s="169">
        <f>(INDEX(Models!$BJ368:$BT368,,T368)*(1-R368)+INDEX(Models!$BJ368:$BT368,,T368+1)*R368-ERP_i)*Q368*Ramure*Pc/MaxiM</f>
        <v>4.9566206548791937E-2</v>
      </c>
      <c r="Q368" s="304">
        <f t="shared" si="130"/>
        <v>0.7</v>
      </c>
      <c r="R368" s="177">
        <f t="shared" si="131"/>
        <v>0.134593239644625</v>
      </c>
      <c r="S368" s="799">
        <f t="shared" si="132"/>
        <v>1</v>
      </c>
      <c r="T368" s="176">
        <f t="shared" si="133"/>
        <v>7</v>
      </c>
      <c r="U368" s="250">
        <f t="shared" si="134"/>
        <v>1.134593239644625</v>
      </c>
      <c r="V368" s="382">
        <f t="shared" si="135"/>
        <v>22.043951780124857</v>
      </c>
      <c r="W368" s="400">
        <f t="shared" si="136"/>
        <v>3.7324328930427479</v>
      </c>
      <c r="X368" s="157">
        <f t="shared" si="137"/>
        <v>45645</v>
      </c>
      <c r="Y368" s="383">
        <f t="shared" si="138"/>
        <v>3.6977337102154855</v>
      </c>
      <c r="Z368" s="383">
        <f t="shared" si="139"/>
        <v>3.854757403530447</v>
      </c>
      <c r="AA368" s="384">
        <f t="shared" si="140"/>
        <v>4.1059083790752249</v>
      </c>
      <c r="AB368" s="197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6.1168187976309497E-2</v>
      </c>
      <c r="AD368" s="230">
        <f>(INDEX(Models!$BJ368:$BT368,,AH368)*(1-AF368)+INDEX(Models!$BJ368:$BT368,,AH368+1)*AF368-ERP_i)*AE368*Ramure*Pc/MaxiM</f>
        <v>5.253235861454552E-2</v>
      </c>
      <c r="AE368" s="304">
        <f t="shared" si="142"/>
        <v>0.7</v>
      </c>
      <c r="AF368" s="177">
        <f t="shared" si="143"/>
        <v>0.19892546190445715</v>
      </c>
      <c r="AG368" s="799">
        <f t="shared" si="149"/>
        <v>1</v>
      </c>
      <c r="AH368" s="176">
        <f t="shared" si="144"/>
        <v>7</v>
      </c>
      <c r="AI368" s="224">
        <f t="shared" si="145"/>
        <v>1.1989254619044571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45646</v>
      </c>
      <c r="B369" s="409">
        <f>'2023'!Wh/'2023'!Env_an*'2024'!Env_an</f>
        <v>19.023691880062483</v>
      </c>
      <c r="C369" s="829"/>
      <c r="D369" s="391">
        <f t="shared" si="127"/>
        <v>19.83191010405201</v>
      </c>
      <c r="E369" s="383">
        <f t="shared" si="150"/>
        <v>20.928685807932073</v>
      </c>
      <c r="F369" s="383">
        <f t="shared" si="128"/>
        <v>21.799455368468344</v>
      </c>
      <c r="G369" s="110">
        <f t="shared" si="151"/>
        <v>0.85506195343961955</v>
      </c>
      <c r="H369" s="412" t="b">
        <f>Wh_hp&gt;='2023'!Maxi_hp</f>
        <v>0</v>
      </c>
      <c r="I369" s="388">
        <f>IF(H369,Wh_hp,'2023'!Maxi_hp)</f>
        <v>22.295003218801163</v>
      </c>
      <c r="J369" s="85">
        <f>IF(H369,An,'2023'!An_max)</f>
        <v>2018</v>
      </c>
      <c r="K369" s="197">
        <f t="shared" si="129"/>
        <v>45646</v>
      </c>
      <c r="L369" s="147">
        <f>IF(t&lt;Tvie,1-EXP((T0-t)*PertePVj)+'2023'!Pspv,1-EXP((T0-t)*PertePVj)+Pspv)</f>
        <v>4.0753423132166899E-2</v>
      </c>
      <c r="M369" s="832"/>
      <c r="N369" s="832"/>
      <c r="O369" s="48">
        <f>IF(t&lt;Tnet,'2023'!Resal+('2023'!Salim-'2023'!Resal)*(1-EXP(('2023'!Tnet-t)/('2023'!Tau_j))),Resal+(Salim-Resal)*(1-EXP((Tnet-t)/(Tau_j))))*Salcycl</f>
        <v>5.2405378624604301E-2</v>
      </c>
      <c r="P369" s="169">
        <f>(INDEX(Models!$BJ369:$BT369,,T369)*(1-R369)+INDEX(Models!$BJ369:$BT369,,T369+1)*R369-ERP_i)*Q369*Ramure*Pc/MaxiM</f>
        <v>4.9598763682410389E-2</v>
      </c>
      <c r="Q369" s="304">
        <f t="shared" si="130"/>
        <v>0.7</v>
      </c>
      <c r="R369" s="177">
        <f t="shared" si="131"/>
        <v>0.13459903123229466</v>
      </c>
      <c r="S369" s="799">
        <f t="shared" si="132"/>
        <v>1</v>
      </c>
      <c r="T369" s="176">
        <f t="shared" si="133"/>
        <v>7</v>
      </c>
      <c r="U369" s="250">
        <f t="shared" si="134"/>
        <v>1.1345990312322947</v>
      </c>
      <c r="V369" s="382">
        <f t="shared" si="135"/>
        <v>22.024593342071558</v>
      </c>
      <c r="W369" s="400">
        <f t="shared" si="136"/>
        <v>19.023691880062483</v>
      </c>
      <c r="X369" s="157">
        <f t="shared" si="137"/>
        <v>45646</v>
      </c>
      <c r="Y369" s="383">
        <f t="shared" si="138"/>
        <v>18.800143696857841</v>
      </c>
      <c r="Z369" s="383">
        <f t="shared" si="139"/>
        <v>19.598864515362418</v>
      </c>
      <c r="AA369" s="384">
        <f t="shared" si="140"/>
        <v>20.876597932041257</v>
      </c>
      <c r="AB369" s="197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6.1204101398043581E-2</v>
      </c>
      <c r="AD369" s="230">
        <f>(INDEX(Models!$BJ369:$BT369,,AH369)*(1-AF369)+INDEX(Models!$BJ369:$BT369,,AH369+1)*AF369-ERP_i)*AE369*Ramure*Pc/MaxiM</f>
        <v>5.2565672913178867E-2</v>
      </c>
      <c r="AE369" s="304">
        <f t="shared" si="142"/>
        <v>0.7</v>
      </c>
      <c r="AF369" s="177">
        <f t="shared" si="143"/>
        <v>0.19893125349212681</v>
      </c>
      <c r="AG369" s="799">
        <f t="shared" si="149"/>
        <v>1</v>
      </c>
      <c r="AH369" s="176">
        <f t="shared" si="144"/>
        <v>7</v>
      </c>
      <c r="AI369" s="224">
        <f t="shared" si="145"/>
        <v>1.1989312534921268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45647</v>
      </c>
      <c r="B370" s="409">
        <f>'2023'!Wh/'2023'!Env_an*'2024'!Env_an</f>
        <v>18.602261539884662</v>
      </c>
      <c r="C370" s="829"/>
      <c r="D370" s="391">
        <f t="shared" si="127"/>
        <v>19.392947030947653</v>
      </c>
      <c r="E370" s="383">
        <f t="shared" si="150"/>
        <v>20.466470622266137</v>
      </c>
      <c r="F370" s="383">
        <f t="shared" si="128"/>
        <v>21.288040972196729</v>
      </c>
      <c r="G370" s="110">
        <f t="shared" si="151"/>
        <v>0.83507082591107362</v>
      </c>
      <c r="H370" s="412" t="b">
        <f>Wh_hp&gt;='2023'!Maxi_hp</f>
        <v>0</v>
      </c>
      <c r="I370" s="388">
        <f>IF(H370,Wh_hp,'2023'!Maxi_hp)</f>
        <v>25.041210642089073</v>
      </c>
      <c r="J370" s="85">
        <f>IF(H370,An,'2023'!An_max)</f>
        <v>2021</v>
      </c>
      <c r="K370" s="197">
        <f t="shared" si="129"/>
        <v>45647</v>
      </c>
      <c r="L370" s="147">
        <f>IF(t&lt;Tvie,1-EXP((T0-t)*PertePVj)+'2023'!Pspv,1-EXP((T0-t)*PertePVj)+Pspv)</f>
        <v>4.0771806873973193E-2</v>
      </c>
      <c r="M370" s="832"/>
      <c r="N370" s="832"/>
      <c r="O370" s="48">
        <f>IF(t&lt;Tnet,'2023'!Resal+('2023'!Salim-'2023'!Resal)*(1-EXP(('2023'!Tnet-t)/('2023'!Tau_j))),Resal+(Salim-Resal)*(1-EXP((Tnet-t)/(Tau_j))))*Salcycl</f>
        <v>5.2452795165892671E-2</v>
      </c>
      <c r="P370" s="169">
        <f>(INDEX(Models!$BJ370:$BT370,,T370)*(1-R370)+INDEX(Models!$BJ370:$BT370,,T370+1)*R370-ERP_i)*Q370*Ramure*Pc/MaxiM</f>
        <v>4.9593077444452363E-2</v>
      </c>
      <c r="Q370" s="304">
        <f t="shared" si="130"/>
        <v>0.7</v>
      </c>
      <c r="R370" s="177">
        <f t="shared" si="131"/>
        <v>0.13460458979133239</v>
      </c>
      <c r="S370" s="799">
        <f t="shared" si="132"/>
        <v>1</v>
      </c>
      <c r="T370" s="176">
        <f t="shared" si="133"/>
        <v>7</v>
      </c>
      <c r="U370" s="250">
        <f t="shared" si="134"/>
        <v>1.1346045897913324</v>
      </c>
      <c r="V370" s="382">
        <f t="shared" si="135"/>
        <v>22.021391939716501</v>
      </c>
      <c r="W370" s="400">
        <f t="shared" si="136"/>
        <v>18.602261539884662</v>
      </c>
      <c r="X370" s="157">
        <f t="shared" si="137"/>
        <v>45647</v>
      </c>
      <c r="Y370" s="383">
        <f t="shared" si="138"/>
        <v>18.38548895572006</v>
      </c>
      <c r="Z370" s="383">
        <f t="shared" si="139"/>
        <v>19.16696057045991</v>
      </c>
      <c r="AA370" s="384">
        <f t="shared" si="140"/>
        <v>20.41732600906192</v>
      </c>
      <c r="AB370" s="197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6.1240411111967069E-2</v>
      </c>
      <c r="AD370" s="230">
        <f>(INDEX(Models!$BJ370:$BT370,,AH370)*(1-AF370)+INDEX(Models!$BJ370:$BT370,,AH370+1)*AF370-ERP_i)*AE370*Ramure*Pc/MaxiM</f>
        <v>5.2559631201924716E-2</v>
      </c>
      <c r="AE370" s="304">
        <f t="shared" si="142"/>
        <v>0.7</v>
      </c>
      <c r="AF370" s="177">
        <f t="shared" si="143"/>
        <v>0.19893681205116454</v>
      </c>
      <c r="AG370" s="799">
        <f t="shared" si="149"/>
        <v>1</v>
      </c>
      <c r="AH370" s="176">
        <f t="shared" si="144"/>
        <v>7</v>
      </c>
      <c r="AI370" s="224">
        <f t="shared" si="145"/>
        <v>1.1989368120511645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45648</v>
      </c>
      <c r="B371" s="409">
        <f>'2023'!Wh/'2023'!Env_an*'2024'!Env_an</f>
        <v>18.73081047943127</v>
      </c>
      <c r="C371" s="829"/>
      <c r="D371" s="391">
        <f t="shared" si="127"/>
        <v>19.52733415494982</v>
      </c>
      <c r="E371" s="383">
        <f t="shared" si="150"/>
        <v>20.609334519791648</v>
      </c>
      <c r="F371" s="383">
        <f t="shared" si="128"/>
        <v>21.444200363279514</v>
      </c>
      <c r="G371" s="110">
        <f t="shared" si="151"/>
        <v>0.84064584688408595</v>
      </c>
      <c r="H371" s="412" t="b">
        <f>Wh_hp&gt;='2023'!Maxi_hp</f>
        <v>0</v>
      </c>
      <c r="I371" s="388">
        <f>IF(H371,Wh_hp,'2023'!Maxi_hp)</f>
        <v>22.181600514114333</v>
      </c>
      <c r="J371" s="85">
        <f>IF(H371,An,'2023'!An_max)</f>
        <v>2020</v>
      </c>
      <c r="K371" s="197">
        <f t="shared" si="129"/>
        <v>45648</v>
      </c>
      <c r="L371" s="147">
        <f>IF(t&lt;Tvie,1-EXP((T0-t)*PertePVj)+'2023'!Pspv,1-EXP((T0-t)*PertePVj)+Pspv)</f>
        <v>4.0790190263459314E-2</v>
      </c>
      <c r="M371" s="832"/>
      <c r="N371" s="832"/>
      <c r="O371" s="48">
        <f>IF(t&lt;Tnet,'2023'!Resal+('2023'!Salim-'2023'!Resal)*(1-EXP(('2023'!Tnet-t)/('2023'!Tau_j))),Resal+(Salim-Resal)*(1-EXP((Tnet-t)/(Tau_j))))*Salcycl</f>
        <v>5.2500499897401187E-2</v>
      </c>
      <c r="P371" s="169">
        <f>(INDEX(Models!$BJ371:$BT371,,T371)*(1-R371)+INDEX(Models!$BJ371:$BT371,,T371+1)*R371-ERP_i)*Q371*Ramure*Pc/MaxiM</f>
        <v>4.9546747131796964E-2</v>
      </c>
      <c r="Q371" s="304">
        <f t="shared" si="130"/>
        <v>0.7</v>
      </c>
      <c r="R371" s="177">
        <f t="shared" si="131"/>
        <v>0.13460458979133239</v>
      </c>
      <c r="S371" s="799">
        <f t="shared" si="132"/>
        <v>1</v>
      </c>
      <c r="T371" s="176">
        <f t="shared" si="133"/>
        <v>7</v>
      </c>
      <c r="U371" s="250">
        <f t="shared" si="134"/>
        <v>1.1346045897913324</v>
      </c>
      <c r="V371" s="382">
        <f t="shared" si="135"/>
        <v>22.03535984745934</v>
      </c>
      <c r="W371" s="400">
        <f t="shared" si="136"/>
        <v>18.73081047943127</v>
      </c>
      <c r="X371" s="157">
        <f t="shared" si="137"/>
        <v>45648</v>
      </c>
      <c r="Y371" s="383">
        <f t="shared" si="138"/>
        <v>18.51232372908272</v>
      </c>
      <c r="Z371" s="383">
        <f t="shared" si="139"/>
        <v>19.299556302668933</v>
      </c>
      <c r="AA371" s="384">
        <f t="shared" si="140"/>
        <v>20.559374817933083</v>
      </c>
      <c r="AB371" s="197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6.1277082908438606E-2</v>
      </c>
      <c r="AD371" s="230">
        <f>(INDEX(Models!$BJ371:$BT371,,AH371)*(1-AF371)+INDEX(Models!$BJ371:$BT371,,AH371+1)*AF371-ERP_i)*AE371*Ramure*Pc/MaxiM</f>
        <v>5.251170339881208E-2</v>
      </c>
      <c r="AE371" s="304">
        <f t="shared" si="142"/>
        <v>0.7</v>
      </c>
      <c r="AF371" s="177">
        <f t="shared" si="143"/>
        <v>0.19893681205116454</v>
      </c>
      <c r="AG371" s="799">
        <f t="shared" si="149"/>
        <v>1</v>
      </c>
      <c r="AH371" s="176">
        <f t="shared" si="144"/>
        <v>7</v>
      </c>
      <c r="AI371" s="224">
        <f t="shared" si="145"/>
        <v>1.1989368120511645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45649</v>
      </c>
      <c r="B372" s="409">
        <f>'2023'!Wh/'2023'!Env_an*'2024'!Env_an</f>
        <v>19.890257894229396</v>
      </c>
      <c r="C372" s="829"/>
      <c r="D372" s="391">
        <f t="shared" si="127"/>
        <v>20.73648423096618</v>
      </c>
      <c r="E372" s="383">
        <f t="shared" si="150"/>
        <v>21.886590988325636</v>
      </c>
      <c r="F372" s="383">
        <f t="shared" si="128"/>
        <v>22.857747537383116</v>
      </c>
      <c r="G372" s="110">
        <f t="shared" si="151"/>
        <v>0.89477517017797037</v>
      </c>
      <c r="H372" s="412" t="b">
        <f>Wh_hp&gt;='2023'!Maxi_hp</f>
        <v>0</v>
      </c>
      <c r="I372" s="388">
        <f>IF(H372,Wh_hp,'2023'!Maxi_hp)</f>
        <v>22.944010562809719</v>
      </c>
      <c r="J372" s="85">
        <f>IF(H372,An,'2023'!An_max)</f>
        <v>2022</v>
      </c>
      <c r="K372" s="197">
        <f t="shared" si="129"/>
        <v>45649</v>
      </c>
      <c r="L372" s="147">
        <f>IF(t&lt;Tvie,1-EXP((T0-t)*PertePVj)+'2023'!Pspv,1-EXP((T0-t)*PertePVj)+Pspv)</f>
        <v>4.0808573300632034E-2</v>
      </c>
      <c r="M372" s="832"/>
      <c r="N372" s="832"/>
      <c r="O372" s="48">
        <f>IF(t&lt;Tnet,'2023'!Resal+('2023'!Salim-'2023'!Resal)*(1-EXP(('2023'!Tnet-t)/('2023'!Tau_j))),Resal+(Salim-Resal)*(1-EXP((Tnet-t)/(Tau_j))))*Salcycl</f>
        <v>5.2548464855624442E-2</v>
      </c>
      <c r="P372" s="169">
        <f>(INDEX(Models!$BJ372:$BT372,,T372)*(1-R372)+INDEX(Models!$BJ372:$BT372,,T372+1)*R372-ERP_i)*Q372*Ramure*Pc/MaxiM</f>
        <v>4.9457917474272917E-2</v>
      </c>
      <c r="Q372" s="304">
        <f t="shared" si="130"/>
        <v>0.7</v>
      </c>
      <c r="R372" s="177">
        <f t="shared" si="131"/>
        <v>0.13460458979133239</v>
      </c>
      <c r="S372" s="799">
        <f t="shared" si="132"/>
        <v>1</v>
      </c>
      <c r="T372" s="176">
        <f t="shared" si="133"/>
        <v>7</v>
      </c>
      <c r="U372" s="250">
        <f t="shared" si="134"/>
        <v>1.1346045897913324</v>
      </c>
      <c r="V372" s="382">
        <f t="shared" si="135"/>
        <v>22.067500676384494</v>
      </c>
      <c r="W372" s="400">
        <f t="shared" si="136"/>
        <v>19.890257894229396</v>
      </c>
      <c r="X372" s="157">
        <f t="shared" si="137"/>
        <v>45649</v>
      </c>
      <c r="Y372" s="383">
        <f t="shared" si="138"/>
        <v>19.65386997890883</v>
      </c>
      <c r="Z372" s="383">
        <f t="shared" si="139"/>
        <v>20.490039247472122</v>
      </c>
      <c r="AA372" s="384">
        <f t="shared" si="140"/>
        <v>21.828429395298624</v>
      </c>
      <c r="AB372" s="197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6.131408373864787E-2</v>
      </c>
      <c r="AD372" s="230">
        <f>(INDEX(Models!$BJ372:$BT372,,AH372)*(1-AF372)+INDEX(Models!$BJ372:$BT372,,AH372+1)*AF372-ERP_i)*AE372*Ramure*Pc/MaxiM</f>
        <v>5.2419902615488054E-2</v>
      </c>
      <c r="AE372" s="304">
        <f t="shared" si="142"/>
        <v>0.7</v>
      </c>
      <c r="AF372" s="177">
        <f t="shared" si="143"/>
        <v>0.19893681205116454</v>
      </c>
      <c r="AG372" s="799">
        <f t="shared" si="149"/>
        <v>1</v>
      </c>
      <c r="AH372" s="176">
        <f t="shared" si="144"/>
        <v>7</v>
      </c>
      <c r="AI372" s="224">
        <f t="shared" si="145"/>
        <v>1.1989368120511645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45650</v>
      </c>
      <c r="B373" s="409">
        <f>'2023'!Wh/'2023'!Env_an*'2024'!Env_an</f>
        <v>11.163446760240605</v>
      </c>
      <c r="C373" s="829"/>
      <c r="D373" s="391">
        <f t="shared" si="127"/>
        <v>11.638616024400934</v>
      </c>
      <c r="E373" s="383">
        <f t="shared" si="150"/>
        <v>12.284753042233399</v>
      </c>
      <c r="F373" s="383">
        <f t="shared" si="128"/>
        <v>12.464540532987076</v>
      </c>
      <c r="G373" s="110">
        <f t="shared" si="151"/>
        <v>0.48682887547704534</v>
      </c>
      <c r="H373" s="412" t="b">
        <f>Wh_hp&gt;='2023'!Maxi_hp</f>
        <v>0</v>
      </c>
      <c r="I373" s="388">
        <f>IF(H373,Wh_hp,'2023'!Maxi_hp)</f>
        <v>15.402591944038759</v>
      </c>
      <c r="J373" s="85">
        <f>IF(H373,An,'2023'!An_max)</f>
        <v>2018</v>
      </c>
      <c r="K373" s="197">
        <f t="shared" si="129"/>
        <v>45650</v>
      </c>
      <c r="L373" s="147">
        <f>IF(t&lt;Tvie,1-EXP((T0-t)*PertePVj)+'2023'!Pspv,1-EXP((T0-t)*PertePVj)+Pspv)</f>
        <v>4.0826955985498015E-2</v>
      </c>
      <c r="M373" s="832"/>
      <c r="N373" s="832"/>
      <c r="O373" s="48">
        <f>IF(t&lt;Tnet,'2023'!Resal+('2023'!Salim-'2023'!Resal)*(1-EXP(('2023'!Tnet-t)/('2023'!Tau_j))),Resal+(Salim-Resal)*(1-EXP((Tnet-t)/(Tau_j))))*Salcycl</f>
        <v>5.2596663165399377E-2</v>
      </c>
      <c r="P373" s="169">
        <f>(INDEX(Models!$BJ373:$BT373,,T373)*(1-R373)+INDEX(Models!$BJ373:$BT373,,T373+1)*R373-ERP_i)*Q373*Ramure*Pc/MaxiM</f>
        <v>4.9324352424303324E-2</v>
      </c>
      <c r="Q373" s="304">
        <f t="shared" si="130"/>
        <v>0.7</v>
      </c>
      <c r="R373" s="177">
        <f t="shared" si="131"/>
        <v>0.13460458979133239</v>
      </c>
      <c r="S373" s="799">
        <f t="shared" si="132"/>
        <v>1</v>
      </c>
      <c r="T373" s="176">
        <f t="shared" si="133"/>
        <v>7</v>
      </c>
      <c r="U373" s="250">
        <f t="shared" si="134"/>
        <v>1.1346045897913324</v>
      </c>
      <c r="V373" s="382">
        <f t="shared" si="135"/>
        <v>22.118933796151303</v>
      </c>
      <c r="W373" s="400">
        <f t="shared" si="136"/>
        <v>11.163446760240605</v>
      </c>
      <c r="X373" s="157">
        <f t="shared" si="137"/>
        <v>45650</v>
      </c>
      <c r="Y373" s="383">
        <f t="shared" si="138"/>
        <v>11.050582527210141</v>
      </c>
      <c r="Z373" s="383">
        <f t="shared" si="139"/>
        <v>11.520947754077067</v>
      </c>
      <c r="AA373" s="384">
        <f t="shared" si="140"/>
        <v>12.273972955910173</v>
      </c>
      <c r="AB373" s="197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6.1351381866171437E-2</v>
      </c>
      <c r="AD373" s="230">
        <f>(INDEX(Models!$BJ373:$BT373,,AH373)*(1-AF373)+INDEX(Models!$BJ373:$BT373,,AH373+1)*AF373-ERP_i)*AE373*Ramure*Pc/MaxiM</f>
        <v>5.228184838101415E-2</v>
      </c>
      <c r="AE373" s="304">
        <f t="shared" si="142"/>
        <v>0.7</v>
      </c>
      <c r="AF373" s="177">
        <f t="shared" si="143"/>
        <v>0.19893681205116454</v>
      </c>
      <c r="AG373" s="799">
        <f t="shared" si="149"/>
        <v>1</v>
      </c>
      <c r="AH373" s="176">
        <f t="shared" si="144"/>
        <v>7</v>
      </c>
      <c r="AI373" s="224">
        <f t="shared" si="145"/>
        <v>1.1989368120511645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45651</v>
      </c>
      <c r="B374" s="409">
        <f>'2023'!Wh/'2023'!Env_an*'2024'!Env_an</f>
        <v>19.061108053679529</v>
      </c>
      <c r="C374" s="829"/>
      <c r="D374" s="391">
        <f t="shared" si="127"/>
        <v>19.872820114594155</v>
      </c>
      <c r="E374" s="383">
        <f t="shared" si="150"/>
        <v>20.977164384339371</v>
      </c>
      <c r="F374" s="383">
        <f t="shared" si="128"/>
        <v>21.834129645079631</v>
      </c>
      <c r="G374" s="110">
        <f t="shared" si="151"/>
        <v>0.85017030921292158</v>
      </c>
      <c r="H374" s="412" t="b">
        <f>Wh_hp&gt;='2023'!Maxi_hp</f>
        <v>0</v>
      </c>
      <c r="I374" s="388">
        <f>IF(H374,Wh_hp,'2023'!Maxi_hp)</f>
        <v>21.950785142907936</v>
      </c>
      <c r="J374" s="85">
        <f>IF(H374,An,'2023'!An_max)</f>
        <v>2022</v>
      </c>
      <c r="K374" s="197">
        <f t="shared" si="129"/>
        <v>45651</v>
      </c>
      <c r="L374" s="147">
        <f>IF(t&lt;Tvie,1-EXP((T0-t)*PertePVj)+'2023'!Pspv,1-EXP((T0-t)*PertePVj)+Pspv)</f>
        <v>4.0845338318064028E-2</v>
      </c>
      <c r="M374" s="832"/>
      <c r="N374" s="832"/>
      <c r="O374" s="48">
        <f>IF(t&lt;Tnet,'2023'!Resal+('2023'!Salim-'2023'!Resal)*(1-EXP(('2023'!Tnet-t)/('2023'!Tau_j))),Resal+(Salim-Resal)*(1-EXP((Tnet-t)/(Tau_j))))*Salcycl</f>
        <v>5.2645069157663156E-2</v>
      </c>
      <c r="P374" s="169">
        <f>(INDEX(Models!$BJ374:$BT374,,T374)*(1-R374)+INDEX(Models!$BJ374:$BT374,,T374+1)*R374-ERP_i)*Q374*Ramure*Pc/MaxiM</f>
        <v>4.9147078170828924E-2</v>
      </c>
      <c r="Q374" s="304">
        <f t="shared" si="130"/>
        <v>0.7</v>
      </c>
      <c r="R374" s="177">
        <f t="shared" si="131"/>
        <v>0.13460458979133239</v>
      </c>
      <c r="S374" s="799">
        <f t="shared" si="132"/>
        <v>1</v>
      </c>
      <c r="T374" s="176">
        <f t="shared" si="133"/>
        <v>7</v>
      </c>
      <c r="U374" s="250">
        <f t="shared" si="134"/>
        <v>1.1346045897913324</v>
      </c>
      <c r="V374" s="382">
        <f t="shared" si="135"/>
        <v>22.189353958410607</v>
      </c>
      <c r="W374" s="400">
        <f t="shared" si="136"/>
        <v>19.061108053679529</v>
      </c>
      <c r="X374" s="157">
        <f t="shared" si="137"/>
        <v>45651</v>
      </c>
      <c r="Y374" s="383">
        <f t="shared" si="138"/>
        <v>18.838845510155828</v>
      </c>
      <c r="Z374" s="383">
        <f t="shared" si="139"/>
        <v>19.641092581587174</v>
      </c>
      <c r="AA374" s="384">
        <f t="shared" si="140"/>
        <v>20.925699222113277</v>
      </c>
      <c r="AB374" s="197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6.1388947001999969E-2</v>
      </c>
      <c r="AD374" s="230">
        <f>(INDEX(Models!$BJ374:$BT374,,AH374)*(1-AF374)+INDEX(Models!$BJ374:$BT374,,AH374+1)*AF374-ERP_i)*AE374*Ramure*Pc/MaxiM</f>
        <v>5.2098612459179697E-2</v>
      </c>
      <c r="AE374" s="304">
        <f t="shared" si="142"/>
        <v>0.7</v>
      </c>
      <c r="AF374" s="177">
        <f t="shared" si="143"/>
        <v>0.19893681205116454</v>
      </c>
      <c r="AG374" s="799">
        <f t="shared" si="149"/>
        <v>1</v>
      </c>
      <c r="AH374" s="176">
        <f t="shared" si="144"/>
        <v>7</v>
      </c>
      <c r="AI374" s="224">
        <f t="shared" si="145"/>
        <v>1.1989368120511645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45652</v>
      </c>
      <c r="B375" s="409">
        <f>'2023'!Wh/'2023'!Env_an*'2024'!Env_an</f>
        <v>6.4555568044817822</v>
      </c>
      <c r="C375" s="829"/>
      <c r="D375" s="391">
        <f t="shared" si="127"/>
        <v>6.7305939115239868</v>
      </c>
      <c r="E375" s="383">
        <f t="shared" si="150"/>
        <v>7.1049813734724125</v>
      </c>
      <c r="F375" s="383">
        <f t="shared" si="128"/>
        <v>7.1049813734724125</v>
      </c>
      <c r="G375" s="110">
        <f t="shared" si="151"/>
        <v>0.27559892628015048</v>
      </c>
      <c r="H375" s="412" t="b">
        <f>Wh_hp&gt;='2023'!Maxi_hp</f>
        <v>0</v>
      </c>
      <c r="I375" s="388">
        <f>IF(H375,Wh_hp,'2023'!Maxi_hp)</f>
        <v>24.49923801757005</v>
      </c>
      <c r="J375" s="85">
        <f>IF(H375,An,'2023'!An_max)</f>
        <v>2018</v>
      </c>
      <c r="K375" s="197">
        <f t="shared" si="129"/>
        <v>45652</v>
      </c>
      <c r="L375" s="147">
        <f>IF(t&lt;Tvie,1-EXP((T0-t)*PertePVj)+'2023'!Pspv,1-EXP((T0-t)*PertePVj)+Pspv)</f>
        <v>4.0863720298336736E-2</v>
      </c>
      <c r="M375" s="832"/>
      <c r="N375" s="832"/>
      <c r="O375" s="48">
        <f>IF(t&lt;Tnet,'2023'!Resal+('2023'!Salim-'2023'!Resal)*(1-EXP(('2023'!Tnet-t)/('2023'!Tau_j))),Resal+(Salim-Resal)*(1-EXP((Tnet-t)/(Tau_j))))*Salcycl</f>
        <v>5.2693658472668402E-2</v>
      </c>
      <c r="P375" s="169">
        <f>(INDEX(Models!$BJ375:$BT375,,T375)*(1-R375)+INDEX(Models!$BJ375:$BT375,,T375+1)*R375-ERP_i)*Q375*Ramure*Pc/MaxiM</f>
        <v>4.8907285325104265E-2</v>
      </c>
      <c r="Q375" s="304">
        <f t="shared" si="130"/>
        <v>0.7</v>
      </c>
      <c r="R375" s="177">
        <f t="shared" si="131"/>
        <v>0.13460458979133239</v>
      </c>
      <c r="S375" s="799">
        <f t="shared" si="132"/>
        <v>1</v>
      </c>
      <c r="T375" s="176">
        <f t="shared" si="133"/>
        <v>7</v>
      </c>
      <c r="U375" s="250">
        <f t="shared" si="134"/>
        <v>1.1346045897913324</v>
      </c>
      <c r="V375" s="382">
        <f t="shared" si="135"/>
        <v>22.27814574165409</v>
      </c>
      <c r="W375" s="400">
        <f t="shared" si="136"/>
        <v>6.4555568044817822</v>
      </c>
      <c r="X375" s="157">
        <f t="shared" si="137"/>
        <v>45652</v>
      </c>
      <c r="Y375" s="383">
        <f t="shared" si="138"/>
        <v>6.3960438795822858</v>
      </c>
      <c r="Z375" s="383">
        <f t="shared" si="139"/>
        <v>6.6685454558884558</v>
      </c>
      <c r="AA375" s="384">
        <f t="shared" si="140"/>
        <v>7.1049813734724125</v>
      </c>
      <c r="AB375" s="197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6.1426750422381077E-2</v>
      </c>
      <c r="AD375" s="230">
        <f>(INDEX(Models!$BJ375:$BT375,,AH375)*(1-AF375)+INDEX(Models!$BJ375:$BT375,,AH375+1)*AF375-ERP_i)*AE375*Ramure*Pc/MaxiM</f>
        <v>5.1850194325123E-2</v>
      </c>
      <c r="AE375" s="304">
        <f t="shared" si="142"/>
        <v>0.7</v>
      </c>
      <c r="AF375" s="177">
        <f t="shared" si="143"/>
        <v>0.19893681205116454</v>
      </c>
      <c r="AG375" s="799">
        <f t="shared" si="149"/>
        <v>1</v>
      </c>
      <c r="AH375" s="176">
        <f t="shared" si="144"/>
        <v>7</v>
      </c>
      <c r="AI375" s="224">
        <f t="shared" si="145"/>
        <v>1.1989368120511645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45653</v>
      </c>
      <c r="B376" s="409">
        <f>'2023'!Wh/'2023'!Env_an*'2024'!Env_an</f>
        <v>20.760643318223508</v>
      </c>
      <c r="C376" s="829"/>
      <c r="D376" s="391">
        <f t="shared" si="127"/>
        <v>21.645559278916441</v>
      </c>
      <c r="E376" s="383">
        <f t="shared" si="150"/>
        <v>22.850763578047864</v>
      </c>
      <c r="F376" s="383">
        <f t="shared" si="128"/>
        <v>23.891853867862</v>
      </c>
      <c r="G376" s="110">
        <f t="shared" si="151"/>
        <v>0.92258845581567739</v>
      </c>
      <c r="H376" s="412" t="b">
        <f>Wh_hp&gt;='2023'!Maxi_hp</f>
        <v>0</v>
      </c>
      <c r="I376" s="388">
        <f>IF(H376,Wh_hp,'2023'!Maxi_hp)</f>
        <v>23.956772054277653</v>
      </c>
      <c r="J376" s="85">
        <f>IF(H376,An,'2023'!An_max)</f>
        <v>2022</v>
      </c>
      <c r="K376" s="197">
        <f t="shared" si="129"/>
        <v>45653</v>
      </c>
      <c r="L376" s="147">
        <f>IF(t&lt;Tvie,1-EXP((T0-t)*PertePVj)+'2023'!Pspv,1-EXP((T0-t)*PertePVj)+Pspv)</f>
        <v>4.0882101926323133E-2</v>
      </c>
      <c r="M376" s="832"/>
      <c r="N376" s="832"/>
      <c r="O376" s="48">
        <f>IF(t&lt;Tnet,'2023'!Resal+('2023'!Salim-'2023'!Resal)*(1-EXP(('2023'!Tnet-t)/('2023'!Tau_j))),Resal+(Salim-Resal)*(1-EXP((Tnet-t)/(Tau_j))))*Salcycl</f>
        <v>5.2742408148200075E-2</v>
      </c>
      <c r="P376" s="169">
        <f>(INDEX(Models!$BJ376:$BT376,,T376)*(1-R376)+INDEX(Models!$BJ376:$BT376,,T376+1)*R376-ERP_i)*Q376*Ramure*Pc/MaxiM</f>
        <v>4.86118069393527E-2</v>
      </c>
      <c r="Q376" s="304">
        <f t="shared" si="130"/>
        <v>0.7</v>
      </c>
      <c r="R376" s="177">
        <f t="shared" si="131"/>
        <v>0.13460458979133239</v>
      </c>
      <c r="S376" s="799">
        <f t="shared" si="132"/>
        <v>1</v>
      </c>
      <c r="T376" s="176">
        <f t="shared" si="133"/>
        <v>7</v>
      </c>
      <c r="U376" s="250">
        <f t="shared" si="134"/>
        <v>1.1346045897913324</v>
      </c>
      <c r="V376" s="382">
        <f t="shared" si="135"/>
        <v>22.384102260287076</v>
      </c>
      <c r="W376" s="400">
        <f t="shared" si="136"/>
        <v>20.760643318223508</v>
      </c>
      <c r="X376" s="157">
        <f t="shared" si="137"/>
        <v>45653</v>
      </c>
      <c r="Y376" s="383">
        <f t="shared" si="138"/>
        <v>20.512966115912743</v>
      </c>
      <c r="Z376" s="383">
        <f t="shared" si="139"/>
        <v>21.38732491293473</v>
      </c>
      <c r="AA376" s="384">
        <f t="shared" si="140"/>
        <v>22.78798293013131</v>
      </c>
      <c r="AB376" s="197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6.1464765068985752E-2</v>
      </c>
      <c r="AD376" s="230">
        <f>(INDEX(Models!$BJ376:$BT376,,AH376)*(1-AF376)+INDEX(Models!$BJ376:$BT376,,AH376+1)*AF376-ERP_i)*AE376*Ramure*Pc/MaxiM</f>
        <v>5.1543234468651659E-2</v>
      </c>
      <c r="AE376" s="304">
        <f t="shared" si="142"/>
        <v>0.7</v>
      </c>
      <c r="AF376" s="177">
        <f t="shared" si="143"/>
        <v>0.19893681205116454</v>
      </c>
      <c r="AG376" s="799">
        <f t="shared" si="149"/>
        <v>1</v>
      </c>
      <c r="AH376" s="176">
        <f t="shared" si="144"/>
        <v>7</v>
      </c>
      <c r="AI376" s="224">
        <f t="shared" si="145"/>
        <v>1.1989368120511645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45654</v>
      </c>
      <c r="B377" s="409">
        <f>'2023'!Wh/'2023'!Env_an*'2024'!Env_an</f>
        <v>10.567027733544183</v>
      </c>
      <c r="C377" s="829"/>
      <c r="D377" s="391">
        <f t="shared" si="127"/>
        <v>11.017655153057571</v>
      </c>
      <c r="E377" s="383">
        <f t="shared" si="150"/>
        <v>11.631708106761966</v>
      </c>
      <c r="F377" s="383">
        <f t="shared" si="128"/>
        <v>11.769268118084771</v>
      </c>
      <c r="G377" s="110">
        <f t="shared" si="151"/>
        <v>0.45214220267046867</v>
      </c>
      <c r="H377" s="412" t="b">
        <f>Wh_hp&gt;='2023'!Maxi_hp</f>
        <v>0</v>
      </c>
      <c r="I377" s="388">
        <f>IF(H377,Wh_hp,'2023'!Maxi_hp)</f>
        <v>25.350843824112598</v>
      </c>
      <c r="J377" s="85">
        <f>IF(H377,An,'2023'!An_max)</f>
        <v>2018</v>
      </c>
      <c r="K377" s="197">
        <f t="shared" si="129"/>
        <v>45654</v>
      </c>
      <c r="L377" s="147">
        <f>IF(t&lt;Tvie,1-EXP((T0-t)*PertePVj)+'2023'!Pspv,1-EXP((T0-t)*PertePVj)+Pspv)</f>
        <v>4.0900483202029769E-2</v>
      </c>
      <c r="M377" s="832"/>
      <c r="N377" s="832"/>
      <c r="O377" s="48">
        <f>IF(t&lt;Tnet,'2023'!Resal+('2023'!Salim-'2023'!Resal)*(1-EXP(('2023'!Tnet-t)/('2023'!Tau_j))),Resal+(Salim-Resal)*(1-EXP((Tnet-t)/(Tau_j))))*Salcycl</f>
        <v>5.2791296692480005E-2</v>
      </c>
      <c r="P377" s="169">
        <f>(INDEX(Models!$BJ377:$BT377,,T377)*(1-R377)+INDEX(Models!$BJ377:$BT377,,T377+1)*R377-ERP_i)*Q377*Ramure*Pc/MaxiM</f>
        <v>4.8264069261984947E-2</v>
      </c>
      <c r="Q377" s="304">
        <f t="shared" si="130"/>
        <v>0.7</v>
      </c>
      <c r="R377" s="177">
        <f t="shared" si="131"/>
        <v>0.13460458979133239</v>
      </c>
      <c r="S377" s="799">
        <f t="shared" si="132"/>
        <v>1</v>
      </c>
      <c r="T377" s="176">
        <f t="shared" si="133"/>
        <v>7</v>
      </c>
      <c r="U377" s="250">
        <f t="shared" si="134"/>
        <v>1.1346045897913324</v>
      </c>
      <c r="V377" s="382">
        <f t="shared" si="135"/>
        <v>22.506099187326502</v>
      </c>
      <c r="W377" s="400">
        <f t="shared" si="136"/>
        <v>10.567027733544183</v>
      </c>
      <c r="X377" s="157">
        <f t="shared" si="137"/>
        <v>45654</v>
      </c>
      <c r="Y377" s="383">
        <f t="shared" si="138"/>
        <v>10.462356502076686</v>
      </c>
      <c r="Z377" s="383">
        <f t="shared" si="139"/>
        <v>10.908520251377139</v>
      </c>
      <c r="AA377" s="384">
        <f t="shared" si="140"/>
        <v>11.623393417233689</v>
      </c>
      <c r="AB377" s="197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6.1502965631071944E-2</v>
      </c>
      <c r="AD377" s="230">
        <f>(INDEX(Models!$BJ377:$BT377,,AH377)*(1-AF377)+INDEX(Models!$BJ377:$BT377,,AH377+1)*AF377-ERP_i)*AE377*Ramure*Pc/MaxiM</f>
        <v>5.1181346946289501E-2</v>
      </c>
      <c r="AE377" s="304">
        <f t="shared" si="142"/>
        <v>0.7</v>
      </c>
      <c r="AF377" s="177">
        <f t="shared" si="143"/>
        <v>0.19893681205116454</v>
      </c>
      <c r="AG377" s="799">
        <f t="shared" si="149"/>
        <v>1</v>
      </c>
      <c r="AH377" s="176">
        <f t="shared" si="144"/>
        <v>7</v>
      </c>
      <c r="AI377" s="224">
        <f t="shared" si="145"/>
        <v>1.1989368120511645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45655</v>
      </c>
      <c r="B378" s="409">
        <f>'2023'!Wh/'2023'!Env_an*'2024'!Env_an</f>
        <v>14.427794176322736</v>
      </c>
      <c r="C378" s="829"/>
      <c r="D378" s="391">
        <f t="shared" si="127"/>
        <v>15.043351012390392</v>
      </c>
      <c r="E378" s="383">
        <f t="shared" si="150"/>
        <v>15.882592004462987</v>
      </c>
      <c r="F378" s="383">
        <f t="shared" si="128"/>
        <v>16.257447959247038</v>
      </c>
      <c r="G378" s="110">
        <f t="shared" si="151"/>
        <v>0.62100354515178369</v>
      </c>
      <c r="H378" s="412" t="b">
        <f>Wh_hp&gt;='2023'!Maxi_hp</f>
        <v>0</v>
      </c>
      <c r="I378" s="388">
        <f>IF(H378,Wh_hp,'2023'!Maxi_hp)</f>
        <v>26.258304943114872</v>
      </c>
      <c r="J378" s="85">
        <f>IF(H378,An,'2023'!An_max)</f>
        <v>2018</v>
      </c>
      <c r="K378" s="197">
        <f t="shared" si="129"/>
        <v>45655</v>
      </c>
      <c r="L378" s="147">
        <f>IF(t&lt;Tvie,1-EXP((T0-t)*PertePVj)+'2023'!Pspv,1-EXP((T0-t)*PertePVj)+Pspv)</f>
        <v>4.0918864125463417E-2</v>
      </c>
      <c r="M378" s="832"/>
      <c r="N378" s="832"/>
      <c r="O378" s="48">
        <f>IF(t&lt;Tnet,'2023'!Resal+('2023'!Salim-'2023'!Resal)*(1-EXP(('2023'!Tnet-t)/('2023'!Tau_j))),Resal+(Salim-Resal)*(1-EXP((Tnet-t)/(Tau_j))))*Salcycl</f>
        <v>5.2840304141589002E-2</v>
      </c>
      <c r="P378" s="169">
        <f>(INDEX(Models!$BJ378:$BT378,,T378)*(1-R378)+INDEX(Models!$BJ378:$BT378,,T378+1)*R378-ERP_i)*Q378*Ramure*Pc/MaxiM</f>
        <v>4.7867580425640384E-2</v>
      </c>
      <c r="Q378" s="304">
        <f t="shared" si="130"/>
        <v>0.7</v>
      </c>
      <c r="R378" s="177">
        <f t="shared" si="131"/>
        <v>0.13460458979133239</v>
      </c>
      <c r="S378" s="799">
        <f t="shared" si="132"/>
        <v>1</v>
      </c>
      <c r="T378" s="176">
        <f t="shared" si="133"/>
        <v>7</v>
      </c>
      <c r="U378" s="250">
        <f t="shared" si="134"/>
        <v>1.1346045897913324</v>
      </c>
      <c r="V378" s="382">
        <f t="shared" si="135"/>
        <v>22.643012393749135</v>
      </c>
      <c r="W378" s="400">
        <f t="shared" si="136"/>
        <v>14.427794176322736</v>
      </c>
      <c r="X378" s="157">
        <f t="shared" si="137"/>
        <v>45655</v>
      </c>
      <c r="Y378" s="383">
        <f t="shared" si="138"/>
        <v>14.2748090383917</v>
      </c>
      <c r="Z378" s="383">
        <f t="shared" si="139"/>
        <v>14.883838816593174</v>
      </c>
      <c r="AA378" s="384">
        <f t="shared" si="140"/>
        <v>15.859876700313089</v>
      </c>
      <c r="AB378" s="197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6.1541328609487071E-2</v>
      </c>
      <c r="AD378" s="230">
        <f>(INDEX(Models!$BJ378:$BT378,,AH378)*(1-AF378)+INDEX(Models!$BJ378:$BT378,,AH378+1)*AF378-ERP_i)*AE378*Ramure*Pc/MaxiM</f>
        <v>5.0768232354497893E-2</v>
      </c>
      <c r="AE378" s="304">
        <f t="shared" si="142"/>
        <v>0.7</v>
      </c>
      <c r="AF378" s="177">
        <f t="shared" si="143"/>
        <v>0.19893681205116454</v>
      </c>
      <c r="AG378" s="799">
        <f t="shared" si="149"/>
        <v>1</v>
      </c>
      <c r="AH378" s="176">
        <f t="shared" si="144"/>
        <v>7</v>
      </c>
      <c r="AI378" s="224">
        <f t="shared" si="145"/>
        <v>1.1989368120511645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45656</v>
      </c>
      <c r="B379" s="409">
        <f>'2023'!Wh/'2023'!Env_an*'2024'!Env_an</f>
        <v>12.426127602909654</v>
      </c>
      <c r="C379" s="829"/>
      <c r="D379" s="391">
        <f t="shared" si="127"/>
        <v>12.956532337635238</v>
      </c>
      <c r="E379" s="383">
        <f t="shared" si="150"/>
        <v>13.680062817566224</v>
      </c>
      <c r="F379" s="383">
        <f t="shared" si="128"/>
        <v>13.911121187825771</v>
      </c>
      <c r="G379" s="110">
        <f t="shared" si="151"/>
        <v>0.52807238663652811</v>
      </c>
      <c r="H379" s="412" t="b">
        <f>Wh_hp&gt;='2023'!Maxi_hp</f>
        <v>0</v>
      </c>
      <c r="I379" s="388">
        <f>IF(H379,Wh_hp,'2023'!Maxi_hp)</f>
        <v>25.860373589041732</v>
      </c>
      <c r="J379" s="85">
        <f>IF(H379,An,'2023'!An_max)</f>
        <v>2021</v>
      </c>
      <c r="K379" s="197">
        <f t="shared" si="129"/>
        <v>45656</v>
      </c>
      <c r="L379" s="147">
        <f>IF(t&lt;Tvie,1-EXP((T0-t)*PertePVj)+'2023'!Pspv,1-EXP((T0-t)*PertePVj)+Pspv)</f>
        <v>4.0937244696630848E-2</v>
      </c>
      <c r="M379" s="832"/>
      <c r="N379" s="832"/>
      <c r="O379" s="48">
        <f>IF(t&lt;Tnet,'2023'!Resal+('2023'!Salim-'2023'!Resal)*(1-EXP(('2023'!Tnet-t)/('2023'!Tau_j))),Resal+(Salim-Resal)*(1-EXP((Tnet-t)/(Tau_j))))*Salcycl</f>
        <v>5.2889412101377084E-2</v>
      </c>
      <c r="P379" s="169">
        <f>(INDEX(Models!$BJ379:$BT379,,T379)*(1-R379)+INDEX(Models!$BJ379:$BT379,,T379+1)*R379-ERP_i)*Q379*Ramure*Pc/MaxiM</f>
        <v>4.7425883866592695E-2</v>
      </c>
      <c r="Q379" s="305">
        <f t="shared" si="130"/>
        <v>0.7</v>
      </c>
      <c r="R379" s="177">
        <f t="shared" si="131"/>
        <v>0.13460458979133239</v>
      </c>
      <c r="S379" s="799">
        <f t="shared" si="132"/>
        <v>1</v>
      </c>
      <c r="T379" s="176">
        <f t="shared" si="133"/>
        <v>7</v>
      </c>
      <c r="U379" s="306">
        <f t="shared" si="134"/>
        <v>1.1346045897913324</v>
      </c>
      <c r="V379" s="382">
        <f t="shared" si="135"/>
        <v>22.793717920037246</v>
      </c>
      <c r="W379" s="400">
        <f t="shared" si="136"/>
        <v>12.426127602909654</v>
      </c>
      <c r="X379" s="157">
        <f t="shared" si="137"/>
        <v>45656</v>
      </c>
      <c r="Y379" s="383">
        <f t="shared" si="138"/>
        <v>12.299473052888168</v>
      </c>
      <c r="Z379" s="383">
        <f t="shared" si="139"/>
        <v>12.82447158423707</v>
      </c>
      <c r="AA379" s="384">
        <f t="shared" si="140"/>
        <v>13.666022988959471</v>
      </c>
      <c r="AB379" s="197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6.157983236251495E-2</v>
      </c>
      <c r="AD379" s="230">
        <f>(INDEX(Models!$BJ379:$BT379,,AH379)*(1-AF379)+INDEX(Models!$BJ379:$BT379,,AH379+1)*AF379-ERP_i)*AE379*Ramure*Pc/MaxiM</f>
        <v>5.0307628770544004E-2</v>
      </c>
      <c r="AE379" s="305">
        <f t="shared" si="142"/>
        <v>0.7</v>
      </c>
      <c r="AF379" s="177">
        <f t="shared" si="143"/>
        <v>0.19893681205116454</v>
      </c>
      <c r="AG379" s="799">
        <f t="shared" si="149"/>
        <v>1</v>
      </c>
      <c r="AH379" s="176">
        <f t="shared" si="144"/>
        <v>7</v>
      </c>
      <c r="AI379" s="221">
        <f t="shared" si="145"/>
        <v>1.1989368120511645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604">
        <f t="shared" si="148"/>
        <v>45657</v>
      </c>
      <c r="B380" s="792">
        <f>AVERAGE(B366:B379)</f>
        <v>15.010751265155504</v>
      </c>
      <c r="C380" s="837"/>
      <c r="D380" s="603">
        <f t="shared" ref="D380" si="152">Wh/(1-Ppv)</f>
        <v>15.651779683117935</v>
      </c>
      <c r="E380" s="599">
        <f t="shared" ref="E380" si="153">Wh_pvt/(1-Psa)</f>
        <v>16.526678994085497</v>
      </c>
      <c r="F380" s="599">
        <f t="shared" ref="F380" si="154">Wh_sa/(1-Pvg*MEDIAN((-Sdif+Wh/Env_an)/Csdif,0,1))</f>
        <v>16.92839300504739</v>
      </c>
      <c r="G380" s="110">
        <f t="shared" ref="G380" si="155">+Wh_hp/MaxiM</f>
        <v>0.6383146204980823</v>
      </c>
      <c r="H380" s="412" t="b">
        <f>Wh_hp&gt;='2023'!Maxi_hp</f>
        <v>1</v>
      </c>
      <c r="I380" s="388">
        <f>IF(H380,Wh_hp,'2023'!Maxi_hp)</f>
        <v>16.92839300504739</v>
      </c>
      <c r="J380" s="85">
        <f>IF(H380,An,'2023'!An_max)</f>
        <v>2024</v>
      </c>
      <c r="K380" s="233">
        <f t="shared" ref="K380" si="156">t</f>
        <v>45657</v>
      </c>
      <c r="L380" s="147">
        <f>IF(t&lt;Tvie,1-EXP((T0-t)*PertePVj)+'2020'!Pspv,1-EXP((T0-t)*PertePVj)+Pspv)</f>
        <v>4.0955624915538946E-2</v>
      </c>
      <c r="M380" s="832"/>
      <c r="N380" s="832"/>
      <c r="O380" s="323">
        <f>IF(t&lt;Tnet,'2020'!Resal+('2020'!Salim-'2020'!Resal)*(1-EXP(('2020'!Tnet-t)/('2020'!Tau_j))),Resal+(Salim-Resal)*(1-EXP((Tnet-t)/(Tau_j))))*Salcycl</f>
        <v>5.2938603773974718E-2</v>
      </c>
      <c r="P380" s="230">
        <f>(INDEX(Models!$BJ380:$BT380,,T380)*(1-R380)+INDEX(Models!$BJ380:$BT380,,T380+1)*R380-ERP_i)*Q380*Ramure*Pc/MaxiM</f>
        <v>4.6942516058825018E-2</v>
      </c>
      <c r="Q380" s="327">
        <f t="shared" ref="Q380" si="157">IF(OR(t&lt;Ttai,Notai),Dd+PousD*Croivg,Dens+PousD*(Croivg-Croi_tai))</f>
        <v>0.7</v>
      </c>
      <c r="R380" s="313">
        <f>(Hp_vg-S380)/(INDEX(Echel_vg,T380+1)-S380)</f>
        <v>0.13460458979133239</v>
      </c>
      <c r="S380" s="800">
        <f>INDEX(Echel_vg,T380)</f>
        <v>1</v>
      </c>
      <c r="T380" s="232">
        <f t="shared" ref="T380" si="158">MIN(MATCH(Hp_vg,Echel_vg),10)</f>
        <v>7</v>
      </c>
      <c r="U380" s="300">
        <f t="shared" ref="U380" si="159">IF(OR(t&lt;Ttai,Notai),Hdd+PousH*Croivg,Hdtf+PousH*(Croivg-Croi_tai))</f>
        <v>1.1346045897913324</v>
      </c>
      <c r="V380" s="382">
        <f t="shared" ref="V380" si="160">MaxiM*(1-Ppv)*(1-Pvg)*(1-Psa)</f>
        <v>22.957091959042689</v>
      </c>
      <c r="W380" s="400">
        <f t="shared" si="136"/>
        <v>15.010751265155504</v>
      </c>
      <c r="X380" s="325">
        <f t="shared" ref="X380" si="161">t</f>
        <v>45657</v>
      </c>
      <c r="Y380" s="396">
        <f t="shared" ref="Y380" si="162">Wh_pvt_s*(1-Ppv)</f>
        <v>14.732212501656477</v>
      </c>
      <c r="Z380" s="396">
        <f t="shared" ref="Z380" si="163">Wh_sa_s*(1-Psa_s)</f>
        <v>15.361346027767528</v>
      </c>
      <c r="AA380" s="397">
        <f t="shared" ref="AA380" si="164">Wh_hp*(1-Pvg_s*MEDIAN((-Sdif+Wh/Env_an)/Csdif,0,1))</f>
        <v>16.502197906828709</v>
      </c>
      <c r="AB380" s="198">
        <f t="shared" ref="AB380" si="165">t</f>
        <v>45657</v>
      </c>
      <c r="AC380" s="326">
        <f>IF(OR(t&lt;Tnet,NoTnet),'2020'!Resal_s+('2020'!Salim-'2020'!Resal_s)*(1-EXP(('2020'!Tnet_s-t)/'2020'!Tau_j)),Resal_s+(Salim-Resal_s)*(1-EXP((Tnet_s-t)/Tau_j)))*Salcycl</f>
        <v>6.9133329117880032E-2</v>
      </c>
      <c r="AD380" s="801">
        <f>(INDEX(Models!$BJ380:$BT380,,AH380)*(1-AF380)+INDEX(Models!$BJ380:$BT380,,AH380+1)*AF380-ERP_i)*AE380*Ramure*Pc/MaxiM</f>
        <v>4.9803267240835156E-2</v>
      </c>
      <c r="AE380" s="327">
        <f t="shared" ref="AE380" si="166">IF(OR(t&lt;Ttai,Notai),Dd_s+PousD*Croivg,Dens_s+PousD*(Croivg-Croi_tai))</f>
        <v>0.7</v>
      </c>
      <c r="AF380" s="313">
        <f>(Hp_vg_s-AG380)/(INDEX(Echel_vg,AH380+1)-AG380)</f>
        <v>0.19893681205116454</v>
      </c>
      <c r="AG380" s="800">
        <f>INDEX(Echel_vg,AH380)</f>
        <v>1</v>
      </c>
      <c r="AH380" s="232">
        <f t="shared" ref="AH380" si="167">MIN(MATCH(Hp_vg_s,Echel_vg),10)</f>
        <v>7</v>
      </c>
      <c r="AI380" s="226">
        <f t="shared" ref="AI380" si="168">IF(OR(t&lt;Ttai,Notai),Hdd_s+PousH*Croivg,Hdtai_s+PousH*(Croivg-Croi_tai))</f>
        <v>1.1989368120511645</v>
      </c>
      <c r="AJ380" s="264" t="b">
        <f t="shared" si="146"/>
        <v>0</v>
      </c>
      <c r="AK380" s="264" t="b">
        <f t="shared" si="147"/>
        <v>0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1.3854596868169593</v>
      </c>
      <c r="C381" s="374"/>
      <c r="D381" s="372">
        <f>MIN(D15:D380)</f>
        <v>1.4348024829170902</v>
      </c>
      <c r="E381" s="372">
        <f>MIN(E15:E380)</f>
        <v>1.479497099875575</v>
      </c>
      <c r="F381" s="373">
        <f>MIN(F15:F380)</f>
        <v>1.479497099875575</v>
      </c>
      <c r="G381" s="125">
        <f>+MIN(G15:G380)</f>
        <v>5.1846208661960817E-2</v>
      </c>
      <c r="H381" s="94"/>
      <c r="I381" s="373">
        <f>MIN(I15:I380)</f>
        <v>10.143572329853523</v>
      </c>
      <c r="J381" s="57">
        <f>MIN(J15:J380)</f>
        <v>2018</v>
      </c>
      <c r="K381" s="200" t="s">
        <v>7</v>
      </c>
      <c r="L381" s="146">
        <f t="shared" ref="L381:T381" si="169">MIN(L15:L380)</f>
        <v>3.4223390058834791E-2</v>
      </c>
      <c r="M381" s="833"/>
      <c r="N381" s="833"/>
      <c r="O381" s="47">
        <f t="shared" si="169"/>
        <v>2.9511734569786206E-2</v>
      </c>
      <c r="P381" s="168">
        <f t="shared" si="169"/>
        <v>3.4506581249437433E-4</v>
      </c>
      <c r="Q381" s="309">
        <f t="shared" si="169"/>
        <v>0.7</v>
      </c>
      <c r="R381" s="310">
        <f t="shared" si="169"/>
        <v>1.6617538194876325E-3</v>
      </c>
      <c r="S381" s="799">
        <f t="shared" si="169"/>
        <v>0</v>
      </c>
      <c r="T381" s="176">
        <f t="shared" si="169"/>
        <v>6</v>
      </c>
      <c r="U381" s="251">
        <f>+MIN(U15:U380)</f>
        <v>0.73460560822026932</v>
      </c>
      <c r="V381" s="57">
        <f>MIN(V15:V380)</f>
        <v>22.021391939716501</v>
      </c>
      <c r="W381" s="793" t="s">
        <v>40</v>
      </c>
      <c r="X381" s="112" t="s">
        <v>7</v>
      </c>
      <c r="Y381" s="372">
        <f>MIN(Y15:Y380)</f>
        <v>1.3666302641559613</v>
      </c>
      <c r="Z381" s="372">
        <f>MIN(Z15:Z380)</f>
        <v>1.4153024551335576</v>
      </c>
      <c r="AA381" s="372">
        <f>MIN(AA15:AA380)</f>
        <v>1.479497099875575</v>
      </c>
      <c r="AB381" s="200" t="s">
        <v>7</v>
      </c>
      <c r="AC381" s="47">
        <f t="shared" ref="AC381:AH381" si="170">MIN(AC15:AC380)</f>
        <v>4.2835856388117821E-2</v>
      </c>
      <c r="AD381" s="168">
        <f t="shared" si="170"/>
        <v>3.6094852686970871E-4</v>
      </c>
      <c r="AE381" s="309">
        <f t="shared" si="170"/>
        <v>0.7</v>
      </c>
      <c r="AF381" s="310">
        <f t="shared" si="170"/>
        <v>2.8407288087270999E-3</v>
      </c>
      <c r="AG381" s="799">
        <f t="shared" si="170"/>
        <v>0</v>
      </c>
      <c r="AH381" s="176">
        <f t="shared" si="170"/>
        <v>6</v>
      </c>
      <c r="AI381" s="225">
        <f>MIN(AI15:AI380)</f>
        <v>0.79893783048010147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30.388299249279669</v>
      </c>
      <c r="C382" s="374"/>
      <c r="D382" s="374">
        <f>AVERAGE(D15:D380)</f>
        <v>31.572170236674136</v>
      </c>
      <c r="E382" s="374">
        <f>AVERAGE(E15:E380)</f>
        <v>32.993610066505312</v>
      </c>
      <c r="F382" s="375">
        <f>AVERAGE(F15:F380)</f>
        <v>33.20785087799409</v>
      </c>
      <c r="G382" s="126">
        <f>AVERAGE(G15:G380)</f>
        <v>0.68583758077358825</v>
      </c>
      <c r="H382" s="94"/>
      <c r="I382" s="375">
        <f>AVERAGE(I15:I380)</f>
        <v>43.49535709906209</v>
      </c>
      <c r="J382" s="59">
        <f>AVERAGE(J15:J380)</f>
        <v>2020.5655737704917</v>
      </c>
      <c r="K382" s="200" t="s">
        <v>8</v>
      </c>
      <c r="L382" s="147">
        <f t="shared" ref="L382:V382" si="171">AVERAGE(L15:L380)</f>
        <v>3.7593421181100845E-2</v>
      </c>
      <c r="M382" s="832"/>
      <c r="N382" s="832"/>
      <c r="O382" s="48">
        <f t="shared" si="171"/>
        <v>4.3011091965113921E-2</v>
      </c>
      <c r="P382" s="169">
        <f t="shared" si="171"/>
        <v>1.5100178824957572E-2</v>
      </c>
      <c r="Q382" s="311">
        <f t="shared" si="171"/>
        <v>0.69999999999999529</v>
      </c>
      <c r="R382" s="177">
        <f t="shared" si="171"/>
        <v>0.44260016916376971</v>
      </c>
      <c r="S382" s="799">
        <f t="shared" si="171"/>
        <v>0.51639344262295084</v>
      </c>
      <c r="T382" s="176">
        <f t="shared" si="171"/>
        <v>6.5163934426229506</v>
      </c>
      <c r="U382" s="250">
        <f t="shared" si="171"/>
        <v>0.95899361178671927</v>
      </c>
      <c r="V382" s="59">
        <f t="shared" si="171"/>
        <v>42.860167113286295</v>
      </c>
      <c r="X382" s="112" t="s">
        <v>8</v>
      </c>
      <c r="Y382" s="374">
        <f>AVERAGE(Y15:Y380)</f>
        <v>30.024492874611909</v>
      </c>
      <c r="Z382" s="374">
        <f>AVERAGE(Z15:Z380)</f>
        <v>31.194233609387734</v>
      </c>
      <c r="AA382" s="374">
        <f>AVERAGE(AA15:AA380)</f>
        <v>32.983333919870873</v>
      </c>
      <c r="AB382" s="200" t="s">
        <v>8</v>
      </c>
      <c r="AC382" s="48">
        <f t="shared" ref="AC382:AH382" si="172">AVERAGE(AC15:AC380)</f>
        <v>5.4088255158448097E-2</v>
      </c>
      <c r="AD382" s="169">
        <f t="shared" si="172"/>
        <v>1.5850304731202969E-2</v>
      </c>
      <c r="AE382" s="311">
        <f t="shared" si="172"/>
        <v>0.69999999999999529</v>
      </c>
      <c r="AF382" s="177">
        <f t="shared" si="172"/>
        <v>0.46321654442906579</v>
      </c>
      <c r="AG382" s="799">
        <f t="shared" si="172"/>
        <v>0.56010928961748629</v>
      </c>
      <c r="AH382" s="176">
        <f t="shared" si="172"/>
        <v>6.5601092896174862</v>
      </c>
      <c r="AI382" s="224">
        <f>AVERAGE(AI15:AI380)</f>
        <v>1.0233258340465519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58.591294701001573</v>
      </c>
      <c r="C383" s="376"/>
      <c r="D383" s="376">
        <f>MAX(D15:D380)</f>
        <v>60.839866221695345</v>
      </c>
      <c r="E383" s="376">
        <f>MAX(E15:E380)</f>
        <v>63.468624322126637</v>
      </c>
      <c r="F383" s="377">
        <f>MAX(F15:F380)</f>
        <v>63.505407005756894</v>
      </c>
      <c r="G383" s="127">
        <f>+MAX(G15:G380)</f>
        <v>1.0482441826576601</v>
      </c>
      <c r="H383" s="94"/>
      <c r="I383" s="377">
        <f>MAX(I15:I380)</f>
        <v>64.215122991320413</v>
      </c>
      <c r="J383" s="60">
        <f>MAX(J15:J380)</f>
        <v>2024</v>
      </c>
      <c r="K383" s="200" t="s">
        <v>9</v>
      </c>
      <c r="L383" s="148">
        <f t="shared" ref="L383:T383" si="173">MAX(L15:L380)</f>
        <v>4.0955624915538946E-2</v>
      </c>
      <c r="M383" s="834"/>
      <c r="N383" s="834"/>
      <c r="O383" s="49">
        <f t="shared" si="173"/>
        <v>5.2938603773974718E-2</v>
      </c>
      <c r="P383" s="170">
        <f t="shared" si="173"/>
        <v>4.9598763682410389E-2</v>
      </c>
      <c r="Q383" s="312">
        <f t="shared" si="173"/>
        <v>0.7</v>
      </c>
      <c r="R383" s="313">
        <f t="shared" si="173"/>
        <v>0.99798434148531379</v>
      </c>
      <c r="S383" s="800">
        <f t="shared" si="173"/>
        <v>1</v>
      </c>
      <c r="T383" s="232">
        <f t="shared" si="173"/>
        <v>7</v>
      </c>
      <c r="U383" s="252">
        <f>+MAX(U15:U380)</f>
        <v>1.1346045897913324</v>
      </c>
      <c r="V383" s="60">
        <f>MAX(V15:V380)</f>
        <v>57.231143546767562</v>
      </c>
      <c r="X383" s="112" t="s">
        <v>9</v>
      </c>
      <c r="Y383" s="376">
        <f>MAX(Y15:Y380)</f>
        <v>57.884745691892149</v>
      </c>
      <c r="Z383" s="376">
        <f>MAX(Z15:Z380)</f>
        <v>60.106201819625838</v>
      </c>
      <c r="AA383" s="376">
        <f>MAX(AA15:AA380)</f>
        <v>63.466559597853959</v>
      </c>
      <c r="AB383" s="200" t="s">
        <v>9</v>
      </c>
      <c r="AC383" s="49">
        <f t="shared" ref="AC383:AH383" si="174">MAX(AC15:AC380)</f>
        <v>6.9133329117880032E-2</v>
      </c>
      <c r="AD383" s="170">
        <f t="shared" si="174"/>
        <v>5.2565672913178867E-2</v>
      </c>
      <c r="AE383" s="312">
        <f t="shared" si="174"/>
        <v>0.7</v>
      </c>
      <c r="AF383" s="313">
        <f t="shared" si="174"/>
        <v>0.99872463575991788</v>
      </c>
      <c r="AG383" s="800">
        <f t="shared" si="174"/>
        <v>1</v>
      </c>
      <c r="AH383" s="232">
        <f t="shared" si="174"/>
        <v>7</v>
      </c>
      <c r="AI383" s="226">
        <f>MAX(AI15:AI380)</f>
        <v>1.1989368120511645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9" priority="3" stopIfTrue="1" operator="lessThan">
      <formula>0.01</formula>
    </cfRule>
    <cfRule type="cellIs" dxfId="8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A380" sqref="A380:G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3">
        <f>'2024'!An+1</f>
        <v>2025</v>
      </c>
      <c r="K1" s="1274"/>
      <c r="L1" s="113" t="str">
        <f>"Calcul pertes et enveloppes en "&amp;TEXT(An,0)</f>
        <v>Calcul pertes et enveloppes en 2025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2025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3">
        <f>Tmaj</f>
        <v>44926</v>
      </c>
      <c r="F3" s="1283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165</v>
      </c>
      <c r="V3" s="622">
        <f>Salim_i</f>
        <v>0.08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24.333251827096774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4" t="str">
        <f>Station</f>
        <v>Noueilles salle des fêtes</v>
      </c>
      <c r="F4" s="1215"/>
      <c r="G4" s="1215"/>
      <c r="H4" s="1215"/>
      <c r="I4" s="1216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0.8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404.10710803359802</v>
      </c>
      <c r="AK4" s="822">
        <f>AM12-AK12</f>
        <v>0.23767508376685953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4">
        <f>T0</f>
        <v>43475</v>
      </c>
      <c r="F5" s="1284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428.70205468710157</v>
      </c>
      <c r="AA5" s="236">
        <f>Wh_Pvg_s-Wh_Pvg</f>
        <v>0.23767508376685953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2873.4505613908491</v>
      </c>
      <c r="AK5" s="514">
        <f>SUMIF(AK15:AK380,"VRAI",Wh)</f>
        <v>0</v>
      </c>
      <c r="AL5" s="514">
        <f>SUMIF(AJ15:AJ380,"VRAI",Wh_s)</f>
        <v>2847.484055541715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5">
        <f>Tservice</f>
        <v>43522</v>
      </c>
      <c r="F6" s="1285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8299.6208405618418</v>
      </c>
      <c r="AK6" s="514">
        <f>SUMIF(AK15:AK380,"FAUX",Wh)</f>
        <v>11173.071401952695</v>
      </c>
      <c r="AL6" s="514">
        <f>SUMIF(AJ15:AJ380,"FAUX",Wh_s)</f>
        <v>7892.9492310062287</v>
      </c>
      <c r="AM6" s="514">
        <f>SUMIF(AK15:AK380,"FAUX",Wh_s)</f>
        <v>10740.433286547934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AND(YEAR(Tnet)=An,Resal_2025="I")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3000.1016655552803</v>
      </c>
      <c r="AK7" s="514">
        <f>SUMIF(AK15:AK380,"VRAI",Wh_sa)</f>
        <v>0</v>
      </c>
      <c r="AL7" s="514">
        <f>SUMIF(AJ15:AJ380,"VRAI",Wh_pvt_s)</f>
        <v>2972.9921441905431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AND(YEAR(Tnet)=An,Resal_2025&lt;&gt;"I")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1" t="s">
        <v>102</v>
      </c>
      <c r="Y8" s="1272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8690.2013198283112</v>
      </c>
      <c r="AK8" s="514">
        <f>SUMIF(AK15:AK380,"FAUX",Wh_sa)</f>
        <v>12020.967011409208</v>
      </c>
      <c r="AL8" s="514">
        <f>SUMIF(AJ15:AJ380,"FAUX",Wh_pvt_s)</f>
        <v>8264.4222482370315</v>
      </c>
      <c r="AM8" s="514">
        <f>SUMIF(AK15:AK380,"FAUX",Wh_sa_s)</f>
        <v>12016.610818908748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11690.302985383592</v>
      </c>
      <c r="E9" s="184">
        <f>SUM(E$15:E$380)</f>
        <v>12020.967011409208</v>
      </c>
      <c r="F9" s="184">
        <f>SUM(F$15:F$380)</f>
        <v>12123.469238279462</v>
      </c>
      <c r="H9" s="1275">
        <f>+SUM(Wh)</f>
        <v>11173.071401952695</v>
      </c>
      <c r="I9" s="1276"/>
      <c r="J9" s="1277"/>
      <c r="K9" s="191"/>
      <c r="L9" s="231"/>
      <c r="M9" s="231"/>
      <c r="N9" s="231"/>
      <c r="O9" s="222">
        <f>Tnet_2025</f>
        <v>45777</v>
      </c>
      <c r="P9" s="243" t="s">
        <v>91</v>
      </c>
      <c r="Q9" s="244"/>
      <c r="R9" s="244"/>
      <c r="S9" s="244"/>
      <c r="T9" s="244"/>
      <c r="U9" s="245"/>
      <c r="V9" s="460"/>
      <c r="W9" s="519"/>
      <c r="X9" s="1269">
        <f>+SUM(Wh_s)</f>
        <v>10740.433286547934</v>
      </c>
      <c r="Y9" s="1270"/>
      <c r="Z9" s="514">
        <f>SUM(Z$15:Z$380)</f>
        <v>11237.414392427572</v>
      </c>
      <c r="AA9" s="514">
        <f>SUM(AA$15:AA$380)</f>
        <v>12016.610818908748</v>
      </c>
      <c r="AB9" s="514">
        <f>F9</f>
        <v>12123.469238279462</v>
      </c>
      <c r="AC9" s="324">
        <f>IF(An_Tnet,Tnet,'2024'!Tnet_s)</f>
        <v>45777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3179.3730007506033</v>
      </c>
      <c r="AK9" s="514">
        <f>SUMIF(AK15:AK380,"VRAI",Wh_hp)</f>
        <v>0</v>
      </c>
      <c r="AL9" s="514">
        <f>SUMIF(AJ15:AJ380,"VRAI",Wh_sa_s)</f>
        <v>3177.6693539568928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IF(Inflex,'2024'!Resal+('2024'!Salim-'2024'!Resal)*(1-EXP(-(Tnet-'2024'!Tnet)/('2024'!Tau_j))),IF(An_Tnet,Resal_2025,'2024'!Resal))</f>
        <v>7.0000000000000001E-3</v>
      </c>
      <c r="P10" s="419" t="b">
        <f>NOT(Acti_tai)</f>
        <v>1</v>
      </c>
      <c r="Q10" s="256">
        <f>IF(Acti_tai,'2024'!PousD,Dens-Dd)</f>
        <v>0</v>
      </c>
      <c r="R10" s="273"/>
      <c r="S10" s="274"/>
      <c r="T10" s="275"/>
      <c r="U10" s="265">
        <f>IF(Acti_tai,'2024'!PousH,Hdtf-Hdd)</f>
        <v>0.40000000000000013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IF(OR(Inflex,GainD),'2024'!Resal_s+('2024'!Salim-'2024'!Resal_s)*(1-EXP(('2024'!Tnet_s-Tnet)/('2024'!Tau_j))),IF(Acti_net,'2024'!Resal+('2024'!Salim-'2024'!Resal)*(1-EXP(('2024'!Tnet-Tnet)/'2024'!Tau_j)),'2024'!Resal_s))</f>
        <v>5.8659221518269557E-2</v>
      </c>
      <c r="AD10" s="426"/>
      <c r="AE10" s="426"/>
      <c r="AF10" s="259"/>
      <c r="AG10" s="260"/>
      <c r="AH10" s="261"/>
      <c r="AI10" s="471"/>
      <c r="AJ10" s="514">
        <f>SUMIF(AJ15:AJ380,"FAUX",Wh_sa)</f>
        <v>8841.594010658604</v>
      </c>
      <c r="AK10" s="514">
        <f>SUMIF(AK15:AK380,"FAUX",Wh_hp)</f>
        <v>12123.469238279462</v>
      </c>
      <c r="AL10" s="514">
        <f>SUMIF(AJ15:AJ380,"FAUX",Wh_sa_s)</f>
        <v>8838.9414649518621</v>
      </c>
      <c r="AM10" s="514">
        <f>SUMIF(AK15:AK380,"FAUX",Wh_hp)</f>
        <v>12123.469238279462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517.23158343089744</v>
      </c>
      <c r="E11" s="51">
        <f>(E$9-D$9)*Prod_an/D$9</f>
        <v>316.03396228999594</v>
      </c>
      <c r="F11" s="186">
        <f>(F$9-E$9)*Prod_an/E$9</f>
        <v>95.272260425764657</v>
      </c>
      <c r="G11" s="185" t="s">
        <v>6</v>
      </c>
      <c r="K11" s="194"/>
      <c r="L11" s="211">
        <f>Tvie_2025</f>
        <v>43475</v>
      </c>
      <c r="M11" s="831"/>
      <c r="N11" s="831"/>
      <c r="O11" s="202">
        <f>IF(An_Tnet,Salim_2025,'2024'!Salim)</f>
        <v>9.6666666666666679E-2</v>
      </c>
      <c r="P11" s="255">
        <f>Ttai_2025</f>
        <v>43586</v>
      </c>
      <c r="Q11" s="271">
        <f>Dens_2025</f>
        <v>0.7</v>
      </c>
      <c r="R11" s="276"/>
      <c r="S11" s="229"/>
      <c r="T11" s="229"/>
      <c r="U11" s="265">
        <f>Htf_2025</f>
        <v>1.5346045897913325</v>
      </c>
      <c r="V11" s="426"/>
      <c r="W11" s="517"/>
      <c r="X11" s="524" t="s">
        <v>43</v>
      </c>
      <c r="Y11" s="50">
        <f>Z$9-Prod_an_s</f>
        <v>496.98110587963856</v>
      </c>
      <c r="Z11" s="51">
        <f>(AA$9-Z$9)*Prod_an_s/Z$9</f>
        <v>744.73601697709751</v>
      </c>
      <c r="AA11" s="186">
        <f>(AB$9-AA$9)*Prod_an_s/AA$9</f>
        <v>95.509935509531516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171.70328748274085</v>
      </c>
      <c r="AK11" s="822">
        <f>IF($AK7=0,0,($AK9-$AK7)*$AK5/$AK7)</f>
        <v>0</v>
      </c>
      <c r="AL11" s="821">
        <f>IF($AL7=0,0,($AL9-$AL7)*$AL5/$AL7)</f>
        <v>196.03653930983762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4.8244182657660062E-2</v>
      </c>
      <c r="K12" s="191"/>
      <c r="L12" s="212">
        <f>Pspv_2025</f>
        <v>0</v>
      </c>
      <c r="M12" s="212"/>
      <c r="N12" s="212"/>
      <c r="O12" s="205">
        <f>IF(An_Tnet,Tau_2025*365,'2024'!Tau_j)</f>
        <v>851.66666666666674</v>
      </c>
      <c r="P12" s="280">
        <f>INDEX(Croivg,MIN(MAX(Ttai-$A$15,0)+1,366))</f>
        <v>2.3909964587625958E-6</v>
      </c>
      <c r="Q12" s="279">
        <f>'2024'!Df</f>
        <v>0.7</v>
      </c>
      <c r="R12" s="277"/>
      <c r="S12" s="278"/>
      <c r="T12" s="278"/>
      <c r="U12" s="266">
        <f>'2024'!Hdf</f>
        <v>1.1346045897913324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'2024'!Df_s</f>
        <v>0.7</v>
      </c>
      <c r="AF12" s="203"/>
      <c r="AG12" s="203"/>
      <c r="AH12" s="203"/>
      <c r="AI12" s="296">
        <f>'2024'!Hdf_s</f>
        <v>1.1989368120511645</v>
      </c>
      <c r="AJ12" s="821">
        <f>IF($AJ8=0,0,($AJ10-$AJ8)*$AJ6/$AJ8)</f>
        <v>144.58835712550078</v>
      </c>
      <c r="AK12" s="822">
        <f>IF($AK8=0,0,($AK10-$AK8)*$AK6/$AK8)</f>
        <v>95.272260425764657</v>
      </c>
      <c r="AL12" s="821">
        <f>IF($AL8=0,0,($AL10-$AL8)*$AL6/$AL8)</f>
        <v>548.69546515909883</v>
      </c>
      <c r="AM12" s="822">
        <f>IF($AM8=0,0,($AM10-$AM8)*$AM6/$AM8)</f>
        <v>95.509935509531516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202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206</v>
      </c>
      <c r="AJ13" s="73">
        <f>+AJ11+AJ12</f>
        <v>316.29164460824165</v>
      </c>
      <c r="AK13" s="73">
        <f>+AK11+AK12</f>
        <v>95.272260425764657</v>
      </c>
      <c r="AL13" s="73">
        <f>+AL11+AL12</f>
        <v>744.73200446893645</v>
      </c>
      <c r="AM13" s="73">
        <f>+AM11+AM12</f>
        <v>95.509935509531516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188</v>
      </c>
      <c r="C14" s="414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2025</v>
      </c>
      <c r="W14" s="826" t="s">
        <v>116</v>
      </c>
      <c r="X14" s="257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45658</v>
      </c>
      <c r="B15" s="408">
        <f>'2024'!Wh/'2024'!Env_an*'2025'!Env_an</f>
        <v>22.703565007609498</v>
      </c>
      <c r="C15" s="829"/>
      <c r="D15" s="391">
        <f t="shared" ref="D15:D78" si="0">Wh/(1-Ppv)</f>
        <v>23.673565806162802</v>
      </c>
      <c r="E15" s="398">
        <f t="shared" ref="E15:E79" si="1">Wh_pvt/(1-Psa)</f>
        <v>24.998221109427178</v>
      </c>
      <c r="F15" s="398">
        <f t="shared" ref="F15:F78" si="2">Wh_sa/(1-Pvg*MEDIAN((-Sdif+Wh/Env_an)/Csdif,0,1))</f>
        <v>26.209268698337738</v>
      </c>
      <c r="G15" s="123">
        <f>+Wh_hp/MaxiM</f>
        <v>0.98826624577400157</v>
      </c>
      <c r="H15" s="412" t="b">
        <f>Wh_hp&gt;='2024'!Maxi_hp</f>
        <v>0</v>
      </c>
      <c r="I15" s="394">
        <f>IF(H15,Wh_hp,'2024'!Maxi_hp)</f>
        <v>26.223670689072435</v>
      </c>
      <c r="J15" s="84">
        <f>IF(H15,An,'2024'!An_max)</f>
        <v>2022</v>
      </c>
      <c r="K15" s="197">
        <f t="shared" ref="K15:K78" si="3">t</f>
        <v>45658</v>
      </c>
      <c r="L15" s="146">
        <f>IF(t&lt;Tvie,1-EXP((T0-t)*PertePVj)+'2024'!Pspv,1-EXP((T0-t)*PertePVj)+Pspv)</f>
        <v>4.0974004782194262E-2</v>
      </c>
      <c r="M15" s="832"/>
      <c r="N15" s="832"/>
      <c r="O15" s="48">
        <f>IF(t&lt;Tnet,'2024'!Resal+('2024'!Salim-'2024'!Resal)*(1-EXP(('2024'!Tnet-t)/('2024'!Tau_j))),Resal+(Salim-Resal)*(1-EXP((Tnet-t)/(Tau_j))))*Salcycl</f>
        <v>5.2989982665799677E-2</v>
      </c>
      <c r="P15" s="301">
        <f>(INDEX(Models!$BJ15:$BT15,,T15)*(1-R15)+INDEX(Models!$BJ15:$BT15,,T15+1)*R15-ERP_i)*Q15*Ramure*Pc/MaxiM</f>
        <v>4.6942558586584214E-2</v>
      </c>
      <c r="Q15" s="302">
        <f t="shared" ref="Q15:Q78" si="4">IF(OR(t&lt;Ttai,Notai),Dd+PousD*Croivg,Dens+PousD*(Croivg-Croi_tai))</f>
        <v>0.7</v>
      </c>
      <c r="R15" s="303">
        <f t="shared" ref="R15:R78" si="5">(Hp_vg-S15)/(INDEX(Echel_vg,T15+1)-S15)</f>
        <v>0.13460554618991583</v>
      </c>
      <c r="S15" s="798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1.1346055461899158</v>
      </c>
      <c r="V15" s="381">
        <f t="shared" ref="V15:V78" si="9">MaxiM*(1-Ppv)*(1-Pvg)*(1-Psa)</f>
        <v>22.955405550115039</v>
      </c>
      <c r="W15" s="400">
        <f t="shared" ref="W15:W78" si="10">Wh*(A15&gt;Tmaj)</f>
        <v>22.703565007609498</v>
      </c>
      <c r="X15" s="156">
        <f t="shared" ref="X15:X78" si="11">t</f>
        <v>45658</v>
      </c>
      <c r="Y15" s="383">
        <f t="shared" ref="Y15:Y78" si="12">Wh_pvt_s*(1-Ppv)</f>
        <v>22.429304012613915</v>
      </c>
      <c r="Z15" s="383">
        <f>Wh_sa_s*(1-Psa_s)</f>
        <v>23.387587119074873</v>
      </c>
      <c r="AA15" s="384">
        <f t="shared" ref="AA15:AA78" si="13">Wh_hp*(1-Pvg_s*MEDIAN((-Sdif+Wh/Env_an)/Csdif,0,1))</f>
        <v>24.924418020596249</v>
      </c>
      <c r="AB15" s="197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6.1659650397911756E-2</v>
      </c>
      <c r="AD15" s="230">
        <f>(INDEX(Models!$BJ15:$BT15,,AH15)*(1-AF15)+INDEX(Models!$BJ15:$BT15,,AH15+1)*AF15-ERP_i)*AE15*Ramure*Pc/MaxiM</f>
        <v>4.9803309768487194E-2</v>
      </c>
      <c r="AE15" s="302">
        <f t="shared" ref="AE15:AE78" si="15">IF(OR(t&lt;Ttai,Notai),Dd_s+PousD*Croivg,Dens_s+PousD*(Croivg-Croi_tai))</f>
        <v>0.7</v>
      </c>
      <c r="AF15" s="303">
        <f>(Hp_vg_s-AG15)/(INDEX(Echel_vg,AH15+1)-AG15)</f>
        <v>0.19893776844974798</v>
      </c>
      <c r="AG15" s="798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1.198937768449748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45659</v>
      </c>
      <c r="B16" s="409">
        <f>'2024'!Wh/'2024'!Env_an*'2025'!Env_an</f>
        <v>15.375987417254779</v>
      </c>
      <c r="C16" s="829"/>
      <c r="D16" s="391">
        <f t="shared" si="0"/>
        <v>16.033227646453113</v>
      </c>
      <c r="E16" s="383">
        <f t="shared" si="1"/>
        <v>16.931247118763952</v>
      </c>
      <c r="F16" s="383">
        <f t="shared" si="2"/>
        <v>17.350875596651985</v>
      </c>
      <c r="G16" s="110">
        <f t="shared" ref="G16:G79" si="21">+Wh_hp/MaxiM</f>
        <v>0.64960689412502004</v>
      </c>
      <c r="H16" s="412" t="b">
        <f>Wh_hp&gt;='2024'!Maxi_hp</f>
        <v>0</v>
      </c>
      <c r="I16" s="388">
        <f>IF(H16,Wh_hp,'2024'!Maxi_hp)</f>
        <v>26.138638462365517</v>
      </c>
      <c r="J16" s="85">
        <f>IF(H16,An,'2024'!An_max)</f>
        <v>2020</v>
      </c>
      <c r="K16" s="197">
        <f t="shared" si="3"/>
        <v>45659</v>
      </c>
      <c r="L16" s="147">
        <f>IF(t&lt;Tvie,1-EXP((T0-t)*PertePVj)+'2024'!Pspv,1-EXP((T0-t)*PertePVj)+Pspv)</f>
        <v>4.0992384296603568E-2</v>
      </c>
      <c r="M16" s="832"/>
      <c r="N16" s="832"/>
      <c r="O16" s="48">
        <f>IF(t&lt;Tnet,'2024'!Resal+('2024'!Salim-'2024'!Resal)*(1-EXP(('2024'!Tnet-t)/('2024'!Tau_j))),Resal+(Salim-Resal)*(1-EXP((Tnet-t)/(Tau_j))))*Salcycl</f>
        <v>5.3039180517046293E-2</v>
      </c>
      <c r="P16" s="169">
        <f>(INDEX(Models!$BJ16:$BT16,,T16)*(1-R16)+INDEX(Models!$BJ16:$BT16,,T16+1)*R16-ERP_i)*Q16*Ramure*Pc/MaxiM</f>
        <v>4.6413741068020105E-2</v>
      </c>
      <c r="Q16" s="304">
        <f t="shared" si="4"/>
        <v>0.7</v>
      </c>
      <c r="R16" s="177">
        <f t="shared" si="5"/>
        <v>0.13462891788111131</v>
      </c>
      <c r="S16" s="799">
        <f t="shared" si="6"/>
        <v>1</v>
      </c>
      <c r="T16" s="176">
        <f t="shared" si="7"/>
        <v>7</v>
      </c>
      <c r="U16" s="250">
        <f t="shared" si="8"/>
        <v>1.1346289178811113</v>
      </c>
      <c r="V16" s="382">
        <f t="shared" si="9"/>
        <v>23.130489380838497</v>
      </c>
      <c r="W16" s="400">
        <f t="shared" si="10"/>
        <v>15.375987417254779</v>
      </c>
      <c r="X16" s="157">
        <f t="shared" si="11"/>
        <v>45659</v>
      </c>
      <c r="Y16" s="383">
        <f t="shared" si="12"/>
        <v>15.212320376369776</v>
      </c>
      <c r="Z16" s="383">
        <f t="shared" ref="Z16:Z78" si="22">Wh_sa_s*(1-Psa_s)</f>
        <v>15.862564725528383</v>
      </c>
      <c r="AA16" s="384">
        <f t="shared" si="13"/>
        <v>16.905612773231898</v>
      </c>
      <c r="AB16" s="197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6.1698328341878356E-2</v>
      </c>
      <c r="AD16" s="230">
        <f>(INDEX(Models!$BJ16:$BT16,,AH16)*(1-AF16)+INDEX(Models!$BJ16:$BT16,,AH16+1)*AF16-ERP_i)*AE16*Ramure*Pc/MaxiM</f>
        <v>4.9249072649806533E-2</v>
      </c>
      <c r="AE16" s="304">
        <f t="shared" si="15"/>
        <v>0.7</v>
      </c>
      <c r="AF16" s="177">
        <f t="shared" ref="AF16:AF78" si="23">(Hp_vg_s-AG16)/(INDEX(Echel_vg,AH16+1)-AG16)</f>
        <v>0.19896114014094346</v>
      </c>
      <c r="AG16" s="799">
        <f t="shared" ref="AG16:AG79" si="24">INDEX(Echel_vg,AH16)</f>
        <v>1</v>
      </c>
      <c r="AH16" s="176">
        <f t="shared" si="16"/>
        <v>7</v>
      </c>
      <c r="AI16" s="224">
        <f t="shared" si="17"/>
        <v>1.1989611401409435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45660</v>
      </c>
      <c r="B17" s="409">
        <f>'2024'!Wh/'2024'!Env_an*'2025'!Env_an</f>
        <v>17.441382631349974</v>
      </c>
      <c r="C17" s="829"/>
      <c r="D17" s="391">
        <f t="shared" si="0"/>
        <v>18.187255880217776</v>
      </c>
      <c r="E17" s="383">
        <f t="shared" si="1"/>
        <v>19.206921241189114</v>
      </c>
      <c r="F17" s="383">
        <f t="shared" si="2"/>
        <v>19.787513782999408</v>
      </c>
      <c r="G17" s="110">
        <f t="shared" si="21"/>
        <v>0.73532103274204763</v>
      </c>
      <c r="H17" s="412" t="b">
        <f>Wh_hp&gt;='2024'!Maxi_hp</f>
        <v>0</v>
      </c>
      <c r="I17" s="388">
        <f>IF(H17,Wh_hp,'2024'!Maxi_hp)</f>
        <v>25.752586103343905</v>
      </c>
      <c r="J17" s="85">
        <f>IF(H17,An,'2024'!An_max)</f>
        <v>2021</v>
      </c>
      <c r="K17" s="197">
        <f t="shared" si="3"/>
        <v>45660</v>
      </c>
      <c r="L17" s="147">
        <f>IF(t&lt;Tvie,1-EXP((T0-t)*PertePVj)+'2024'!Pspv,1-EXP((T0-t)*PertePVj)+Pspv)</f>
        <v>4.1010763458773747E-2</v>
      </c>
      <c r="M17" s="832"/>
      <c r="N17" s="832"/>
      <c r="O17" s="48">
        <f>IF(t&lt;Tnet,'2024'!Resal+('2024'!Salim-'2024'!Resal)*(1-EXP(('2024'!Tnet-t)/('2024'!Tau_j))),Resal+(Salim-Resal)*(1-EXP((Tnet-t)/(Tau_j))))*Salcycl</f>
        <v>5.3088433495768701E-2</v>
      </c>
      <c r="P17" s="169">
        <f>(INDEX(Models!$BJ17:$BT17,,T17)*(1-R17)+INDEX(Models!$BJ17:$BT17,,T17+1)*R17-ERP_i)*Q17*Ramure*Pc/MaxiM</f>
        <v>4.5842058107131628E-2</v>
      </c>
      <c r="Q17" s="304">
        <f t="shared" si="4"/>
        <v>0.7</v>
      </c>
      <c r="R17" s="177">
        <f t="shared" si="5"/>
        <v>0.13465326715750292</v>
      </c>
      <c r="S17" s="799">
        <f t="shared" si="6"/>
        <v>1</v>
      </c>
      <c r="T17" s="176">
        <f t="shared" si="7"/>
        <v>7</v>
      </c>
      <c r="U17" s="250">
        <f t="shared" si="8"/>
        <v>1.1346532671575029</v>
      </c>
      <c r="V17" s="382">
        <f t="shared" si="9"/>
        <v>23.3161942938967</v>
      </c>
      <c r="W17" s="400">
        <f t="shared" si="10"/>
        <v>17.441382631349974</v>
      </c>
      <c r="X17" s="157">
        <f t="shared" si="11"/>
        <v>45660</v>
      </c>
      <c r="Y17" s="383">
        <f t="shared" si="12"/>
        <v>17.250107377146744</v>
      </c>
      <c r="Z17" s="383">
        <f t="shared" si="22"/>
        <v>17.987800821792824</v>
      </c>
      <c r="AA17" s="384">
        <f t="shared" si="13"/>
        <v>19.171386505372876</v>
      </c>
      <c r="AB17" s="197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6.1737093623789097E-2</v>
      </c>
      <c r="AD17" s="230">
        <f>(INDEX(Models!$BJ17:$BT17,,AH17)*(1-AF17)+INDEX(Models!$BJ17:$BT17,,AH17+1)*AF17-ERP_i)*AE17*Ramure*Pc/MaxiM</f>
        <v>4.8647787266225269E-2</v>
      </c>
      <c r="AE17" s="304">
        <f t="shared" si="15"/>
        <v>0.7</v>
      </c>
      <c r="AF17" s="177">
        <f>(Hp_vg_s-AG17)/(INDEX(Echel_vg,AH17+1)-AG17)</f>
        <v>0.19898548941733507</v>
      </c>
      <c r="AG17" s="799">
        <f>INDEX(Echel_vg,AH17)</f>
        <v>1</v>
      </c>
      <c r="AH17" s="176">
        <f t="shared" si="16"/>
        <v>7</v>
      </c>
      <c r="AI17" s="224">
        <f t="shared" si="17"/>
        <v>1.1989854894173351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45661</v>
      </c>
      <c r="B18" s="409">
        <f>'2024'!Wh/'2024'!Env_an*'2025'!Env_an</f>
        <v>17.734654821225654</v>
      </c>
      <c r="C18" s="829"/>
      <c r="D18" s="391">
        <f t="shared" si="0"/>
        <v>18.493424151784858</v>
      </c>
      <c r="E18" s="383">
        <f t="shared" si="1"/>
        <v>19.531271579527932</v>
      </c>
      <c r="F18" s="383">
        <f t="shared" si="2"/>
        <v>20.121950307884347</v>
      </c>
      <c r="G18" s="110">
        <f t="shared" si="21"/>
        <v>0.74196285525861361</v>
      </c>
      <c r="H18" s="412" t="b">
        <f>Wh_hp&gt;='2024'!Maxi_hp</f>
        <v>0</v>
      </c>
      <c r="I18" s="388">
        <f>IF(H18,Wh_hp,'2024'!Maxi_hp)</f>
        <v>23.895973120339946</v>
      </c>
      <c r="J18" s="85">
        <f>IF(H18,An,'2024'!An_max)</f>
        <v>2021</v>
      </c>
      <c r="K18" s="197">
        <f t="shared" si="3"/>
        <v>45661</v>
      </c>
      <c r="L18" s="147">
        <f>IF(t&lt;Tvie,1-EXP((T0-t)*PertePVj)+'2024'!Pspv,1-EXP((T0-t)*PertePVj)+Pspv)</f>
        <v>4.102914226871146E-2</v>
      </c>
      <c r="M18" s="832"/>
      <c r="N18" s="832"/>
      <c r="O18" s="48">
        <f>IF(t&lt;Tnet,'2024'!Resal+('2024'!Salim-'2024'!Resal)*(1-EXP(('2024'!Tnet-t)/('2024'!Tau_j))),Resal+(Salim-Resal)*(1-EXP((Tnet-t)/(Tau_j))))*Salcycl</f>
        <v>5.313772959006486E-2</v>
      </c>
      <c r="P18" s="169">
        <f>(INDEX(Models!$BJ18:$BT18,,T18)*(1-R18)+INDEX(Models!$BJ18:$BT18,,T18+1)*R18-ERP_i)*Q18*Ramure*Pc/MaxiM</f>
        <v>4.5231005018972578E-2</v>
      </c>
      <c r="Q18" s="304">
        <f t="shared" si="4"/>
        <v>0.7</v>
      </c>
      <c r="R18" s="177">
        <f t="shared" si="5"/>
        <v>0.13467863478253905</v>
      </c>
      <c r="S18" s="799">
        <f t="shared" si="6"/>
        <v>1</v>
      </c>
      <c r="T18" s="176">
        <f t="shared" si="7"/>
        <v>7</v>
      </c>
      <c r="U18" s="250">
        <f t="shared" si="8"/>
        <v>1.1346786347825391</v>
      </c>
      <c r="V18" s="382">
        <f t="shared" si="9"/>
        <v>23.511397109030771</v>
      </c>
      <c r="W18" s="400">
        <f t="shared" si="10"/>
        <v>17.734654821225654</v>
      </c>
      <c r="X18" s="157">
        <f t="shared" si="11"/>
        <v>45661</v>
      </c>
      <c r="Y18" s="383">
        <f t="shared" si="12"/>
        <v>17.540289609683075</v>
      </c>
      <c r="Z18" s="383">
        <f>Wh_sa_s*(1-Psa_s)</f>
        <v>18.290743110984096</v>
      </c>
      <c r="AA18" s="384">
        <f t="shared" si="13"/>
        <v>19.495069181539968</v>
      </c>
      <c r="AB18" s="197">
        <f>t</f>
        <v>45661</v>
      </c>
      <c r="AC18" s="119">
        <f>IF(OR(t&lt;Tnet,NoTnet),'2024'!Resal_s+('2024'!Salim-'2024'!Resal_s)*(1-EXP(('2024'!Tnet_s-t)/'2024'!Tau_j)),Resal_s+(Salim-Resal_s)*(1-EXP((Tnet_s-t)/Tau_j)))*Salcycl</f>
        <v>6.1775932126276148E-2</v>
      </c>
      <c r="AD18" s="230">
        <f>(INDEX(Models!$BJ18:$BT18,,AH18)*(1-AF18)+INDEX(Models!$BJ18:$BT18,,AH18+1)*AF18-ERP_i)*AE18*Ramure*Pc/MaxiM</f>
        <v>4.8003190246717127E-2</v>
      </c>
      <c r="AE18" s="304">
        <f t="shared" si="15"/>
        <v>0.7</v>
      </c>
      <c r="AF18" s="177">
        <f t="shared" si="23"/>
        <v>0.1990108570423712</v>
      </c>
      <c r="AG18" s="799">
        <f t="shared" si="24"/>
        <v>1</v>
      </c>
      <c r="AH18" s="176">
        <f t="shared" si="16"/>
        <v>7</v>
      </c>
      <c r="AI18" s="224">
        <f t="shared" si="17"/>
        <v>1.1990108570423712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45662</v>
      </c>
      <c r="B19" s="409">
        <f>'2024'!Wh/'2024'!Env_an*'2025'!Env_an</f>
        <v>12.828319766103151</v>
      </c>
      <c r="C19" s="829"/>
      <c r="D19" s="391">
        <f t="shared" si="0"/>
        <v>13.377430105630292</v>
      </c>
      <c r="E19" s="383">
        <f t="shared" si="1"/>
        <v>14.128905000227057</v>
      </c>
      <c r="F19" s="383">
        <f t="shared" si="2"/>
        <v>14.349101142248987</v>
      </c>
      <c r="G19" s="110">
        <f t="shared" si="21"/>
        <v>0.52487493297686494</v>
      </c>
      <c r="H19" s="412" t="b">
        <f>Wh_hp&gt;='2024'!Maxi_hp</f>
        <v>0</v>
      </c>
      <c r="I19" s="388">
        <f>IF(H19,Wh_hp,'2024'!Maxi_hp)</f>
        <v>14.653566209757251</v>
      </c>
      <c r="J19" s="85">
        <f>IF(H19,An,'2024'!An_max)</f>
        <v>2022</v>
      </c>
      <c r="K19" s="197">
        <f t="shared" si="3"/>
        <v>45662</v>
      </c>
      <c r="L19" s="147">
        <f>IF(t&lt;Tvie,1-EXP((T0-t)*PertePVj)+'2024'!Pspv,1-EXP((T0-t)*PertePVj)+Pspv)</f>
        <v>4.1047520726423481E-2</v>
      </c>
      <c r="M19" s="832"/>
      <c r="N19" s="832"/>
      <c r="O19" s="48">
        <f>IF(t&lt;Tnet,'2024'!Resal+('2024'!Salim-'2024'!Resal)*(1-EXP(('2024'!Tnet-t)/('2024'!Tau_j))),Resal+(Salim-Resal)*(1-EXP((Tnet-t)/(Tau_j))))*Salcycl</f>
        <v>5.3187058344909784E-2</v>
      </c>
      <c r="P19" s="169">
        <f>(INDEX(Models!$BJ19:$BT19,,T19)*(1-R19)+INDEX(Models!$BJ19:$BT19,,T19+1)*R19-ERP_i)*Q19*Ramure*Pc/MaxiM</f>
        <v>4.4583956068069024E-2</v>
      </c>
      <c r="Q19" s="304">
        <f t="shared" si="4"/>
        <v>0.7</v>
      </c>
      <c r="R19" s="177">
        <f t="shared" si="5"/>
        <v>0.13470506320858844</v>
      </c>
      <c r="S19" s="799">
        <f t="shared" si="6"/>
        <v>1</v>
      </c>
      <c r="T19" s="176">
        <f t="shared" si="7"/>
        <v>7</v>
      </c>
      <c r="U19" s="250">
        <f t="shared" si="8"/>
        <v>1.1347050632085884</v>
      </c>
      <c r="V19" s="382">
        <f t="shared" si="9"/>
        <v>23.714974739834439</v>
      </c>
      <c r="W19" s="400">
        <f t="shared" si="10"/>
        <v>12.828319766103151</v>
      </c>
      <c r="X19" s="157">
        <f t="shared" si="11"/>
        <v>45662</v>
      </c>
      <c r="Y19" s="383">
        <f t="shared" si="12"/>
        <v>12.699270055666158</v>
      </c>
      <c r="Z19" s="383">
        <f t="shared" si="22"/>
        <v>13.242856481570474</v>
      </c>
      <c r="AA19" s="384">
        <f t="shared" si="13"/>
        <v>14.115397393859965</v>
      </c>
      <c r="AB19" s="197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6.1814831558978087E-2</v>
      </c>
      <c r="AD19" s="230">
        <f>(INDEX(Models!$BJ19:$BT19,,AH19)*(1-AF19)+INDEX(Models!$BJ19:$BT19,,AH19+1)*AF19-ERP_i)*AE19*Ramure*Pc/MaxiM</f>
        <v>4.7318892853633658E-2</v>
      </c>
      <c r="AE19" s="304">
        <f t="shared" si="15"/>
        <v>0.7</v>
      </c>
      <c r="AF19" s="177">
        <f t="shared" si="23"/>
        <v>0.19903728546842059</v>
      </c>
      <c r="AG19" s="799">
        <f t="shared" si="24"/>
        <v>1</v>
      </c>
      <c r="AH19" s="176">
        <f t="shared" si="16"/>
        <v>7</v>
      </c>
      <c r="AI19" s="224">
        <f t="shared" si="17"/>
        <v>1.1990372854684206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45663</v>
      </c>
      <c r="B20" s="409">
        <f>'2024'!Wh/'2024'!Env_an*'2025'!Env_an</f>
        <v>24.138505884455775</v>
      </c>
      <c r="C20" s="829"/>
      <c r="D20" s="391">
        <f t="shared" si="0"/>
        <v>25.17222596949312</v>
      </c>
      <c r="E20" s="383">
        <f t="shared" si="1"/>
        <v>26.587657422735962</v>
      </c>
      <c r="F20" s="383">
        <f t="shared" si="2"/>
        <v>27.80856876746417</v>
      </c>
      <c r="G20" s="110">
        <f t="shared" si="21"/>
        <v>1.0088900542938466</v>
      </c>
      <c r="H20" s="412" t="b">
        <f>Wh_hp&gt;='2024'!Maxi_hp</f>
        <v>1</v>
      </c>
      <c r="I20" s="388">
        <f>IF(H20,Wh_hp,'2024'!Maxi_hp)</f>
        <v>27.80856876746417</v>
      </c>
      <c r="J20" s="85">
        <f>IF(H20,An,'2024'!An_max)</f>
        <v>2025</v>
      </c>
      <c r="K20" s="197">
        <f t="shared" si="3"/>
        <v>45663</v>
      </c>
      <c r="L20" s="147">
        <f>IF(t&lt;Tvie,1-EXP((T0-t)*PertePVj)+'2024'!Pspv,1-EXP((T0-t)*PertePVj)+Pspv)</f>
        <v>4.106589883191647E-2</v>
      </c>
      <c r="M20" s="832"/>
      <c r="N20" s="832"/>
      <c r="O20" s="48">
        <f>IF(t&lt;Tnet,'2024'!Resal+('2024'!Salim-'2024'!Resal)*(1-EXP(('2024'!Tnet-t)/('2024'!Tau_j))),Resal+(Salim-Resal)*(1-EXP((Tnet-t)/(Tau_j))))*Salcycl</f>
        <v>5.3236410817918134E-2</v>
      </c>
      <c r="P20" s="169">
        <f>(INDEX(Models!$BJ20:$BT20,,T20)*(1-R20)+INDEX(Models!$BJ20:$BT20,,T20+1)*R20-ERP_i)*Q20*Ramure*Pc/MaxiM</f>
        <v>4.390414173909829E-2</v>
      </c>
      <c r="Q20" s="304">
        <f t="shared" si="4"/>
        <v>0.7</v>
      </c>
      <c r="R20" s="177">
        <f t="shared" si="5"/>
        <v>0.13473259664598891</v>
      </c>
      <c r="S20" s="799">
        <f t="shared" si="6"/>
        <v>1</v>
      </c>
      <c r="T20" s="176">
        <f t="shared" si="7"/>
        <v>7</v>
      </c>
      <c r="U20" s="250">
        <f t="shared" si="8"/>
        <v>1.1347325966459889</v>
      </c>
      <c r="V20" s="382">
        <f t="shared" si="9"/>
        <v>23.925804186216368</v>
      </c>
      <c r="W20" s="400">
        <f t="shared" si="10"/>
        <v>24.138505884455775</v>
      </c>
      <c r="X20" s="157">
        <f t="shared" si="11"/>
        <v>45663</v>
      </c>
      <c r="Y20" s="383">
        <f t="shared" si="12"/>
        <v>23.851397451126772</v>
      </c>
      <c r="Z20" s="383">
        <f t="shared" si="22"/>
        <v>24.87282225345124</v>
      </c>
      <c r="AA20" s="384">
        <f t="shared" si="13"/>
        <v>26.512735179686018</v>
      </c>
      <c r="AB20" s="197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6.1853781404314495E-2</v>
      </c>
      <c r="AD20" s="230">
        <f>(INDEX(Models!$BJ20:$BT20,,AH20)*(1-AF20)+INDEX(Models!$BJ20:$BT20,,AH20+1)*AF20-ERP_i)*AE20*Ramure*Pc/MaxiM</f>
        <v>4.6598356018029523E-2</v>
      </c>
      <c r="AE20" s="304">
        <f t="shared" si="15"/>
        <v>0.7</v>
      </c>
      <c r="AF20" s="177">
        <f t="shared" si="23"/>
        <v>0.19906481890582106</v>
      </c>
      <c r="AG20" s="799">
        <f t="shared" si="24"/>
        <v>1</v>
      </c>
      <c r="AH20" s="176">
        <f t="shared" si="16"/>
        <v>7</v>
      </c>
      <c r="AI20" s="224">
        <f t="shared" si="17"/>
        <v>1.1990648189058211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45664</v>
      </c>
      <c r="B21" s="409">
        <f>'2024'!Wh/'2024'!Env_an*'2025'!Env_an</f>
        <v>8.2979579432929906</v>
      </c>
      <c r="C21" s="829"/>
      <c r="D21" s="391">
        <f t="shared" si="0"/>
        <v>8.6534799051402196</v>
      </c>
      <c r="E21" s="383">
        <f t="shared" si="1"/>
        <v>9.1405407439435198</v>
      </c>
      <c r="F21" s="383">
        <f t="shared" si="2"/>
        <v>9.1652577054199682</v>
      </c>
      <c r="G21" s="110">
        <f t="shared" si="21"/>
        <v>0.32974685557704086</v>
      </c>
      <c r="H21" s="412" t="b">
        <f>Wh_hp&gt;='2024'!Maxi_hp</f>
        <v>0</v>
      </c>
      <c r="I21" s="388">
        <f>IF(H21,Wh_hp,'2024'!Maxi_hp)</f>
        <v>14.667527811072381</v>
      </c>
      <c r="J21" s="85">
        <f>IF(H21,An,'2024'!An_max)</f>
        <v>2021</v>
      </c>
      <c r="K21" s="197">
        <f t="shared" si="3"/>
        <v>45664</v>
      </c>
      <c r="L21" s="147">
        <f>IF(t&lt;Tvie,1-EXP((T0-t)*PertePVj)+'2024'!Pspv,1-EXP((T0-t)*PertePVj)+Pspv)</f>
        <v>4.1084276585197421E-2</v>
      </c>
      <c r="M21" s="832"/>
      <c r="N21" s="832"/>
      <c r="O21" s="48">
        <f>IF(t&lt;Tnet,'2024'!Resal+('2024'!Salim-'2024'!Resal)*(1-EXP(('2024'!Tnet-t)/('2024'!Tau_j))),Resal+(Salim-Resal)*(1-EXP((Tnet-t)/(Tau_j))))*Salcycl</f>
        <v>5.3285779523057727E-2</v>
      </c>
      <c r="P21" s="169">
        <f>(INDEX(Models!$BJ21:$BT21,,T21)*(1-R21)+INDEX(Models!$BJ21:$BT21,,T21+1)*R21-ERP_i)*Q21*Ramure*Pc/MaxiM</f>
        <v>4.31946305773502E-2</v>
      </c>
      <c r="Q21" s="304">
        <f t="shared" si="4"/>
        <v>0.7</v>
      </c>
      <c r="R21" s="177">
        <f t="shared" si="5"/>
        <v>0.13476128113483954</v>
      </c>
      <c r="S21" s="799">
        <f t="shared" si="6"/>
        <v>1</v>
      </c>
      <c r="T21" s="176">
        <f t="shared" si="7"/>
        <v>7</v>
      </c>
      <c r="U21" s="250">
        <f t="shared" si="8"/>
        <v>1.1347612811348395</v>
      </c>
      <c r="V21" s="382">
        <f t="shared" si="9"/>
        <v>24.14276250912275</v>
      </c>
      <c r="W21" s="400">
        <f t="shared" si="10"/>
        <v>8.2979579432929906</v>
      </c>
      <c r="X21" s="157">
        <f t="shared" si="11"/>
        <v>45664</v>
      </c>
      <c r="Y21" s="383">
        <f t="shared" si="12"/>
        <v>8.2211533590663866</v>
      </c>
      <c r="Z21" s="383">
        <f t="shared" si="22"/>
        <v>8.5733846659537196</v>
      </c>
      <c r="AA21" s="384">
        <f t="shared" si="13"/>
        <v>9.1390242158077157</v>
      </c>
      <c r="AB21" s="197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6.1892772849382847E-2</v>
      </c>
      <c r="AD21" s="230">
        <f>(INDEX(Models!$BJ21:$BT21,,AH21)*(1-AF21)+INDEX(Models!$BJ21:$BT21,,AH21+1)*AF21-ERP_i)*AE21*Ramure*Pc/MaxiM</f>
        <v>4.5844870278076391E-2</v>
      </c>
      <c r="AE21" s="304">
        <f t="shared" si="15"/>
        <v>0.7</v>
      </c>
      <c r="AF21" s="177">
        <f t="shared" si="23"/>
        <v>0.19909350339467169</v>
      </c>
      <c r="AG21" s="799">
        <f t="shared" si="24"/>
        <v>1</v>
      </c>
      <c r="AH21" s="176">
        <f t="shared" si="16"/>
        <v>7</v>
      </c>
      <c r="AI21" s="224">
        <f t="shared" si="17"/>
        <v>1.1990935033946717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45665</v>
      </c>
      <c r="B22" s="409">
        <f>'2024'!Wh/'2024'!Env_an*'2025'!Env_an</f>
        <v>5.779060869331305</v>
      </c>
      <c r="C22" s="829"/>
      <c r="D22" s="391">
        <f t="shared" si="0"/>
        <v>6.026777416118299</v>
      </c>
      <c r="E22" s="383">
        <f t="shared" si="1"/>
        <v>6.3663264452688999</v>
      </c>
      <c r="F22" s="383">
        <f t="shared" si="2"/>
        <v>6.3663264452688999</v>
      </c>
      <c r="G22" s="110">
        <f t="shared" si="21"/>
        <v>0.22711897075027485</v>
      </c>
      <c r="H22" s="412" t="b">
        <f>Wh_hp&gt;='2024'!Maxi_hp</f>
        <v>0</v>
      </c>
      <c r="I22" s="388">
        <f>IF(H22,Wh_hp,'2024'!Maxi_hp)</f>
        <v>22.512666153472253</v>
      </c>
      <c r="J22" s="85">
        <f>IF(H22,An,'2024'!An_max)</f>
        <v>2021</v>
      </c>
      <c r="K22" s="197">
        <f t="shared" si="3"/>
        <v>45665</v>
      </c>
      <c r="L22" s="147">
        <f>IF(t&lt;Tvie,1-EXP((T0-t)*PertePVj)+'2024'!Pspv,1-EXP((T0-t)*PertePVj)+Pspv)</f>
        <v>4.1102653986272775E-2</v>
      </c>
      <c r="M22" s="832"/>
      <c r="N22" s="832"/>
      <c r="O22" s="48">
        <f>IF(t&lt;Tnet,'2024'!Resal+('2024'!Salim-'2024'!Resal)*(1-EXP(('2024'!Tnet-t)/('2024'!Tau_j))),Resal+(Salim-Resal)*(1-EXP((Tnet-t)/(Tau_j))))*Salcycl</f>
        <v>5.3335158363256009E-2</v>
      </c>
      <c r="P22" s="169">
        <f>(INDEX(Models!$BJ22:$BT22,,T22)*(1-R22)+INDEX(Models!$BJ22:$BT22,,T22+1)*R22-ERP_i)*Q22*Ramure*Pc/MaxiM</f>
        <v>4.2458315143683235E-2</v>
      </c>
      <c r="Q22" s="304">
        <f t="shared" si="4"/>
        <v>0.7</v>
      </c>
      <c r="R22" s="177">
        <f t="shared" si="5"/>
        <v>0.13479116461963714</v>
      </c>
      <c r="S22" s="799">
        <f t="shared" si="6"/>
        <v>1</v>
      </c>
      <c r="T22" s="176">
        <f t="shared" si="7"/>
        <v>7</v>
      </c>
      <c r="U22" s="250">
        <f t="shared" si="8"/>
        <v>1.1347911646196371</v>
      </c>
      <c r="V22" s="382">
        <f t="shared" si="9"/>
        <v>24.364726836452572</v>
      </c>
      <c r="W22" s="400">
        <f t="shared" si="10"/>
        <v>5.779060869331305</v>
      </c>
      <c r="X22" s="157">
        <f t="shared" si="11"/>
        <v>45665</v>
      </c>
      <c r="Y22" s="383">
        <f t="shared" si="12"/>
        <v>5.7265813585031982</v>
      </c>
      <c r="Z22" s="383">
        <f t="shared" si="22"/>
        <v>5.9720483973695542</v>
      </c>
      <c r="AA22" s="384">
        <f t="shared" si="13"/>
        <v>6.3663264452688999</v>
      </c>
      <c r="AB22" s="197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6.1931798705099572E-2</v>
      </c>
      <c r="AD22" s="230">
        <f>(INDEX(Models!$BJ22:$BT22,,AH22)*(1-AF22)+INDEX(Models!$BJ22:$BT22,,AH22+1)*AF22-ERP_i)*AE22*Ramure*Pc/MaxiM</f>
        <v>4.5061540142146778E-2</v>
      </c>
      <c r="AE22" s="304">
        <f t="shared" si="15"/>
        <v>0.7</v>
      </c>
      <c r="AF22" s="177">
        <f t="shared" si="23"/>
        <v>0.19912338687946929</v>
      </c>
      <c r="AG22" s="799">
        <f t="shared" si="24"/>
        <v>1</v>
      </c>
      <c r="AH22" s="176">
        <f t="shared" si="16"/>
        <v>7</v>
      </c>
      <c r="AI22" s="224">
        <f t="shared" si="17"/>
        <v>1.1991233868794693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45666</v>
      </c>
      <c r="B23" s="409">
        <f>'2024'!Wh/'2024'!Env_an*'2025'!Env_an</f>
        <v>1.649014679553608</v>
      </c>
      <c r="C23" s="829"/>
      <c r="D23" s="391">
        <f t="shared" si="0"/>
        <v>1.7197318253145</v>
      </c>
      <c r="E23" s="383">
        <f t="shared" si="1"/>
        <v>1.8167163992361184</v>
      </c>
      <c r="F23" s="383">
        <f t="shared" si="2"/>
        <v>1.8167163992361184</v>
      </c>
      <c r="G23" s="110">
        <f t="shared" si="21"/>
        <v>6.4248666366543042E-2</v>
      </c>
      <c r="H23" s="412" t="b">
        <f>Wh_hp&gt;='2024'!Maxi_hp</f>
        <v>0</v>
      </c>
      <c r="I23" s="388">
        <f>IF(H23,Wh_hp,'2024'!Maxi_hp)</f>
        <v>26.668518012021664</v>
      </c>
      <c r="J23" s="85">
        <f>IF(H23,An,'2024'!An_max)</f>
        <v>2020</v>
      </c>
      <c r="K23" s="197">
        <f t="shared" si="3"/>
        <v>45666</v>
      </c>
      <c r="L23" s="147">
        <f>IF(t&lt;Tvie,1-EXP((T0-t)*PertePVj)+'2024'!Pspv,1-EXP((T0-t)*PertePVj)+Pspv)</f>
        <v>4.1121031035149525E-2</v>
      </c>
      <c r="M23" s="832"/>
      <c r="N23" s="832"/>
      <c r="O23" s="48">
        <f>IF(t&lt;Tnet,'2024'!Resal+('2024'!Salim-'2024'!Resal)*(1-EXP(('2024'!Tnet-t)/('2024'!Tau_j))),Resal+(Salim-Resal)*(1-EXP((Tnet-t)/(Tau_j))))*Salcycl</f>
        <v>5.3384542552925691E-2</v>
      </c>
      <c r="P23" s="169">
        <f>(INDEX(Models!$BJ23:$BT23,,T23)*(1-R23)+INDEX(Models!$BJ23:$BT23,,T23+1)*R23-ERP_i)*Q23*Ramure*Pc/MaxiM</f>
        <v>4.1688861101021726E-2</v>
      </c>
      <c r="Q23" s="304">
        <f t="shared" si="4"/>
        <v>0.7</v>
      </c>
      <c r="R23" s="177">
        <f t="shared" si="5"/>
        <v>0.13482229702686532</v>
      </c>
      <c r="S23" s="799">
        <f t="shared" si="6"/>
        <v>1</v>
      </c>
      <c r="T23" s="176">
        <f t="shared" si="7"/>
        <v>7</v>
      </c>
      <c r="U23" s="250">
        <f t="shared" si="8"/>
        <v>1.1348222970268653</v>
      </c>
      <c r="V23" s="382">
        <f t="shared" si="9"/>
        <v>24.596139110633175</v>
      </c>
      <c r="W23" s="400">
        <f t="shared" si="10"/>
        <v>1.649014679553608</v>
      </c>
      <c r="X23" s="157">
        <f t="shared" si="11"/>
        <v>45666</v>
      </c>
      <c r="Y23" s="383">
        <f t="shared" si="12"/>
        <v>1.6340572304896785</v>
      </c>
      <c r="Z23" s="383">
        <f t="shared" si="22"/>
        <v>1.7041329337462798</v>
      </c>
      <c r="AA23" s="384">
        <f t="shared" si="13"/>
        <v>1.8167163992361184</v>
      </c>
      <c r="AB23" s="197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6.1970853313801144E-2</v>
      </c>
      <c r="AD23" s="230">
        <f>(INDEX(Models!$BJ23:$BT23,,AH23)*(1-AF23)+INDEX(Models!$BJ23:$BT23,,AH23+1)*AF23-ERP_i)*AE23*Ramure*Pc/MaxiM</f>
        <v>4.4241678271304805E-2</v>
      </c>
      <c r="AE23" s="304">
        <f t="shared" si="15"/>
        <v>0.7</v>
      </c>
      <c r="AF23" s="177">
        <f t="shared" si="23"/>
        <v>0.19915451928669747</v>
      </c>
      <c r="AG23" s="799">
        <f t="shared" si="24"/>
        <v>1</v>
      </c>
      <c r="AH23" s="176">
        <f t="shared" si="16"/>
        <v>7</v>
      </c>
      <c r="AI23" s="224">
        <f t="shared" si="17"/>
        <v>1.1991545192866975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45667</v>
      </c>
      <c r="B24" s="409">
        <f>'2024'!Wh/'2024'!Env_an*'2025'!Env_an</f>
        <v>1.3278076330372159</v>
      </c>
      <c r="C24" s="829"/>
      <c r="D24" s="391">
        <f t="shared" si="0"/>
        <v>1.384776518864242</v>
      </c>
      <c r="E24" s="383">
        <f t="shared" si="1"/>
        <v>1.462947553904943</v>
      </c>
      <c r="F24" s="383">
        <f t="shared" si="2"/>
        <v>1.462947553904943</v>
      </c>
      <c r="G24" s="110">
        <f t="shared" si="21"/>
        <v>5.1266260777151677E-2</v>
      </c>
      <c r="H24" s="412" t="b">
        <f>Wh_hp&gt;='2024'!Maxi_hp</f>
        <v>0</v>
      </c>
      <c r="I24" s="388">
        <f>IF(H24,Wh_hp,'2024'!Maxi_hp)</f>
        <v>10.460260744050126</v>
      </c>
      <c r="J24" s="85">
        <f>IF(H24,An,'2024'!An_max)</f>
        <v>2020</v>
      </c>
      <c r="K24" s="197">
        <f t="shared" si="3"/>
        <v>45667</v>
      </c>
      <c r="L24" s="147">
        <f>IF(t&lt;Tvie,1-EXP((T0-t)*PertePVj)+'2024'!Pspv,1-EXP((T0-t)*PertePVj)+Pspv)</f>
        <v>4.1139407731834221E-2</v>
      </c>
      <c r="M24" s="832"/>
      <c r="N24" s="832"/>
      <c r="O24" s="48">
        <f>IF(t&lt;Tnet,'2024'!Resal+('2024'!Salim-'2024'!Resal)*(1-EXP(('2024'!Tnet-t)/('2024'!Tau_j))),Resal+(Salim-Resal)*(1-EXP((Tnet-t)/(Tau_j))))*Salcycl</f>
        <v>5.3433928531507843E-2</v>
      </c>
      <c r="P24" s="169">
        <f>(INDEX(Models!$BJ24:$BT24,,T24)*(1-R24)+INDEX(Models!$BJ24:$BT24,,T24+1)*R24-ERP_i)*Q24*Ramure*Pc/MaxiM</f>
        <v>4.0908066689051642E-2</v>
      </c>
      <c r="Q24" s="304">
        <f t="shared" si="4"/>
        <v>0.7</v>
      </c>
      <c r="R24" s="177">
        <f t="shared" si="5"/>
        <v>0.13485473034564088</v>
      </c>
      <c r="S24" s="799">
        <f t="shared" si="6"/>
        <v>1</v>
      </c>
      <c r="T24" s="176">
        <f t="shared" si="7"/>
        <v>7</v>
      </c>
      <c r="U24" s="250">
        <f t="shared" si="8"/>
        <v>1.1348547303456409</v>
      </c>
      <c r="V24" s="382">
        <f t="shared" si="9"/>
        <v>24.840695820793428</v>
      </c>
      <c r="W24" s="400">
        <f t="shared" si="10"/>
        <v>1.3278076330372159</v>
      </c>
      <c r="X24" s="157">
        <f t="shared" si="11"/>
        <v>45667</v>
      </c>
      <c r="Y24" s="383">
        <f t="shared" si="12"/>
        <v>1.3157775341327056</v>
      </c>
      <c r="Z24" s="383">
        <f t="shared" si="22"/>
        <v>1.3722302749143751</v>
      </c>
      <c r="AA24" s="384">
        <f t="shared" si="13"/>
        <v>1.462947553904943</v>
      </c>
      <c r="AB24" s="197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6.2009932446602481E-2</v>
      </c>
      <c r="AD24" s="230">
        <f>(INDEX(Models!$BJ24:$BT24,,AH24)*(1-AF24)+INDEX(Models!$BJ24:$BT24,,AH24+1)*AF24-ERP_i)*AE24*Ramure*Pc/MaxiM</f>
        <v>4.3405899323025902E-2</v>
      </c>
      <c r="AE24" s="304">
        <f t="shared" si="15"/>
        <v>0.7</v>
      </c>
      <c r="AF24" s="177">
        <f t="shared" si="23"/>
        <v>0.19918695260547303</v>
      </c>
      <c r="AG24" s="799">
        <f t="shared" si="24"/>
        <v>1</v>
      </c>
      <c r="AH24" s="176">
        <f t="shared" si="16"/>
        <v>7</v>
      </c>
      <c r="AI24" s="224">
        <f t="shared" si="17"/>
        <v>1.199186952605473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45668</v>
      </c>
      <c r="B25" s="409">
        <f>'2024'!Wh/'2024'!Env_an*'2025'!Env_an</f>
        <v>23.097758222756713</v>
      </c>
      <c r="C25" s="829"/>
      <c r="D25" s="391">
        <f t="shared" si="0"/>
        <v>24.089217015237818</v>
      </c>
      <c r="E25" s="383">
        <f t="shared" si="1"/>
        <v>25.450388110652611</v>
      </c>
      <c r="F25" s="383">
        <f t="shared" si="2"/>
        <v>26.389086544856621</v>
      </c>
      <c r="G25" s="110">
        <f t="shared" si="21"/>
        <v>0.91599182270809787</v>
      </c>
      <c r="H25" s="412" t="b">
        <f>Wh_hp&gt;='2024'!Maxi_hp</f>
        <v>0</v>
      </c>
      <c r="I25" s="388">
        <f>IF(H25,Wh_hp,'2024'!Maxi_hp)</f>
        <v>28.239972558041078</v>
      </c>
      <c r="J25" s="85">
        <f>IF(H25,An,'2024'!An_max)</f>
        <v>2020</v>
      </c>
      <c r="K25" s="197">
        <f t="shared" si="3"/>
        <v>45668</v>
      </c>
      <c r="L25" s="147">
        <f>IF(t&lt;Tvie,1-EXP((T0-t)*PertePVj)+'2024'!Pspv,1-EXP((T0-t)*PertePVj)+Pspv)</f>
        <v>4.1157784076333859E-2</v>
      </c>
      <c r="M25" s="832"/>
      <c r="N25" s="832"/>
      <c r="O25" s="48">
        <f>IF(t&lt;Tnet,'2024'!Resal+('2024'!Salim-'2024'!Resal)*(1-EXP(('2024'!Tnet-t)/('2024'!Tau_j))),Resal+(Salim-Resal)*(1-EXP((Tnet-t)/(Tau_j))))*Salcycl</f>
        <v>5.3483313869192237E-2</v>
      </c>
      <c r="P25" s="169">
        <f>(INDEX(Models!$BJ25:$BT25,,T25)*(1-R25)+INDEX(Models!$BJ25:$BT25,,T25+1)*R25-ERP_i)*Q25*Ramure*Pc/MaxiM</f>
        <v>4.0138653368576374E-2</v>
      </c>
      <c r="Q25" s="304">
        <f t="shared" si="4"/>
        <v>0.7</v>
      </c>
      <c r="R25" s="177">
        <f t="shared" si="5"/>
        <v>0.13488851871153384</v>
      </c>
      <c r="S25" s="799">
        <f t="shared" si="6"/>
        <v>1</v>
      </c>
      <c r="T25" s="176">
        <f t="shared" si="7"/>
        <v>7</v>
      </c>
      <c r="U25" s="250">
        <f t="shared" si="8"/>
        <v>1.1348885187115338</v>
      </c>
      <c r="V25" s="382">
        <f t="shared" si="9"/>
        <v>25.096703819624537</v>
      </c>
      <c r="W25" s="400">
        <f t="shared" si="10"/>
        <v>23.097758222756713</v>
      </c>
      <c r="X25" s="157">
        <f t="shared" si="11"/>
        <v>45668</v>
      </c>
      <c r="Y25" s="383">
        <f t="shared" si="12"/>
        <v>22.837414973176958</v>
      </c>
      <c r="Z25" s="383">
        <f t="shared" si="22"/>
        <v>23.817698672327811</v>
      </c>
      <c r="AA25" s="384">
        <f t="shared" si="13"/>
        <v>25.393330264779422</v>
      </c>
      <c r="AB25" s="197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6.2049033191877719E-2</v>
      </c>
      <c r="AD25" s="230">
        <f>(INDEX(Models!$BJ25:$BT25,,AH25)*(1-AF25)+INDEX(Models!$BJ25:$BT25,,AH25+1)*AF25-ERP_i)*AE25*Ramure*Pc/MaxiM</f>
        <v>4.2578441285559064E-2</v>
      </c>
      <c r="AE25" s="304">
        <f t="shared" si="15"/>
        <v>0.7</v>
      </c>
      <c r="AF25" s="177">
        <f t="shared" si="23"/>
        <v>0.19922074097136599</v>
      </c>
      <c r="AG25" s="799">
        <f t="shared" si="24"/>
        <v>1</v>
      </c>
      <c r="AH25" s="176">
        <f t="shared" si="16"/>
        <v>7</v>
      </c>
      <c r="AI25" s="224">
        <f t="shared" si="17"/>
        <v>1.199220740971366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45669</v>
      </c>
      <c r="B26" s="409">
        <f>'2024'!Wh/'2024'!Env_an*'2025'!Env_an</f>
        <v>19.75221730908876</v>
      </c>
      <c r="C26" s="829"/>
      <c r="D26" s="391">
        <f t="shared" si="0"/>
        <v>20.600465368594804</v>
      </c>
      <c r="E26" s="383">
        <f t="shared" si="1"/>
        <v>21.76563871452451</v>
      </c>
      <c r="F26" s="383">
        <f t="shared" si="2"/>
        <v>22.368168675667139</v>
      </c>
      <c r="G26" s="110">
        <f t="shared" si="21"/>
        <v>0.7688202921886006</v>
      </c>
      <c r="H26" s="412" t="b">
        <f>Wh_hp&gt;='2024'!Maxi_hp</f>
        <v>0</v>
      </c>
      <c r="I26" s="388">
        <f>IF(H26,Wh_hp,'2024'!Maxi_hp)</f>
        <v>29.063431932857039</v>
      </c>
      <c r="J26" s="85">
        <f>IF(H26,An,'2024'!An_max)</f>
        <v>2020</v>
      </c>
      <c r="K26" s="197">
        <f t="shared" si="3"/>
        <v>45669</v>
      </c>
      <c r="L26" s="147">
        <f>IF(t&lt;Tvie,1-EXP((T0-t)*PertePVj)+'2024'!Pspv,1-EXP((T0-t)*PertePVj)+Pspv)</f>
        <v>4.1176160068654988E-2</v>
      </c>
      <c r="M26" s="832"/>
      <c r="N26" s="832"/>
      <c r="O26" s="48">
        <f>IF(t&lt;Tnet,'2024'!Resal+('2024'!Salim-'2024'!Resal)*(1-EXP(('2024'!Tnet-t)/('2024'!Tau_j))),Resal+(Salim-Resal)*(1-EXP((Tnet-t)/(Tau_j))))*Salcycl</f>
        <v>5.3532697166022908E-2</v>
      </c>
      <c r="P26" s="169">
        <f>(INDEX(Models!$BJ26:$BT26,,T26)*(1-R26)+INDEX(Models!$BJ26:$BT26,,T26+1)*R26-ERP_i)*Q26*Ramure*Pc/MaxiM</f>
        <v>3.9383018300951138E-2</v>
      </c>
      <c r="Q26" s="304">
        <f t="shared" si="4"/>
        <v>0.7</v>
      </c>
      <c r="R26" s="177">
        <f t="shared" si="5"/>
        <v>0.13492371849367069</v>
      </c>
      <c r="S26" s="799">
        <f t="shared" si="6"/>
        <v>1</v>
      </c>
      <c r="T26" s="176">
        <f t="shared" si="7"/>
        <v>7</v>
      </c>
      <c r="U26" s="250">
        <f t="shared" si="8"/>
        <v>1.1349237184936707</v>
      </c>
      <c r="V26" s="382">
        <f t="shared" si="9"/>
        <v>25.36298063683769</v>
      </c>
      <c r="W26" s="400">
        <f t="shared" si="10"/>
        <v>19.75221730908876</v>
      </c>
      <c r="X26" s="157">
        <f t="shared" si="11"/>
        <v>45669</v>
      </c>
      <c r="Y26" s="383">
        <f t="shared" si="12"/>
        <v>19.540939263577901</v>
      </c>
      <c r="Z26" s="383">
        <f t="shared" si="22"/>
        <v>20.38011410414774</v>
      </c>
      <c r="AA26" s="384">
        <f t="shared" si="13"/>
        <v>21.729242665509783</v>
      </c>
      <c r="AB26" s="197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6.2088153836280566E-2</v>
      </c>
      <c r="AD26" s="230">
        <f>(INDEX(Models!$BJ26:$BT26,,AH26)*(1-AF26)+INDEX(Models!$BJ26:$BT26,,AH26+1)*AF26-ERP_i)*AE26*Ramure*Pc/MaxiM</f>
        <v>4.1761964339935211E-2</v>
      </c>
      <c r="AE26" s="304">
        <f t="shared" si="15"/>
        <v>0.7</v>
      </c>
      <c r="AF26" s="177">
        <f t="shared" si="23"/>
        <v>0.19925594075350284</v>
      </c>
      <c r="AG26" s="799">
        <f t="shared" si="24"/>
        <v>1</v>
      </c>
      <c r="AH26" s="176">
        <f t="shared" si="16"/>
        <v>7</v>
      </c>
      <c r="AI26" s="224">
        <f t="shared" si="17"/>
        <v>1.1992559407535028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45670</v>
      </c>
      <c r="B27" s="409">
        <f>'2024'!Wh/'2024'!Env_an*'2025'!Env_an</f>
        <v>5.9978538184777976</v>
      </c>
      <c r="C27" s="829"/>
      <c r="D27" s="391">
        <f t="shared" si="0"/>
        <v>6.2555482231338324</v>
      </c>
      <c r="E27" s="383">
        <f t="shared" si="1"/>
        <v>6.6097102319819427</v>
      </c>
      <c r="F27" s="383">
        <f t="shared" si="2"/>
        <v>6.6097102319819427</v>
      </c>
      <c r="G27" s="110">
        <f t="shared" si="21"/>
        <v>0.22490052141357056</v>
      </c>
      <c r="H27" s="412" t="b">
        <f>Wh_hp&gt;='2024'!Maxi_hp</f>
        <v>0</v>
      </c>
      <c r="I27" s="388">
        <f>IF(H27,Wh_hp,'2024'!Maxi_hp)</f>
        <v>18.417034678656321</v>
      </c>
      <c r="J27" s="85">
        <f>IF(H27,An,'2024'!An_max)</f>
        <v>2020</v>
      </c>
      <c r="K27" s="197">
        <f t="shared" si="3"/>
        <v>45670</v>
      </c>
      <c r="L27" s="147">
        <f>IF(t&lt;Tvie,1-EXP((T0-t)*PertePVj)+'2024'!Pspv,1-EXP((T0-t)*PertePVj)+Pspv)</f>
        <v>4.1194535708804381E-2</v>
      </c>
      <c r="M27" s="832"/>
      <c r="N27" s="832"/>
      <c r="O27" s="48">
        <f>IF(t&lt;Tnet,'2024'!Resal+('2024'!Salim-'2024'!Resal)*(1-EXP(('2024'!Tnet-t)/('2024'!Tau_j))),Resal+(Salim-Resal)*(1-EXP((Tnet-t)/(Tau_j))))*Salcycl</f>
        <v>5.3582077945633862E-2</v>
      </c>
      <c r="P27" s="169">
        <f>(INDEX(Models!$BJ27:$BT27,,T27)*(1-R27)+INDEX(Models!$BJ27:$BT27,,T27+1)*R27-ERP_i)*Q27*Ramure*Pc/MaxiM</f>
        <v>3.864330538905273E-2</v>
      </c>
      <c r="Q27" s="304">
        <f t="shared" si="4"/>
        <v>0.7</v>
      </c>
      <c r="R27" s="177">
        <f t="shared" si="5"/>
        <v>0.13496038838524593</v>
      </c>
      <c r="S27" s="799">
        <f t="shared" si="6"/>
        <v>1</v>
      </c>
      <c r="T27" s="176">
        <f t="shared" si="7"/>
        <v>7</v>
      </c>
      <c r="U27" s="250">
        <f t="shared" si="8"/>
        <v>1.1349603883852459</v>
      </c>
      <c r="V27" s="382">
        <f t="shared" si="9"/>
        <v>25.63834394624724</v>
      </c>
      <c r="W27" s="400">
        <f t="shared" si="10"/>
        <v>5.9978538184777976</v>
      </c>
      <c r="X27" s="157">
        <f t="shared" si="11"/>
        <v>45670</v>
      </c>
      <c r="Y27" s="383">
        <f t="shared" si="12"/>
        <v>5.9436991432691224</v>
      </c>
      <c r="Z27" s="383">
        <f t="shared" si="22"/>
        <v>6.1990668228648946</v>
      </c>
      <c r="AA27" s="384">
        <f t="shared" si="13"/>
        <v>6.6097102319819427</v>
      </c>
      <c r="AB27" s="197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6.2127293739761336E-2</v>
      </c>
      <c r="AD27" s="230">
        <f>(INDEX(Models!$BJ27:$BT27,,AH27)*(1-AF27)+INDEX(Models!$BJ27:$BT27,,AH27+1)*AF27-ERP_i)*AE27*Ramure*Pc/MaxiM</f>
        <v>4.0958862427117007E-2</v>
      </c>
      <c r="AE27" s="304">
        <f t="shared" si="15"/>
        <v>0.7</v>
      </c>
      <c r="AF27" s="177">
        <f t="shared" si="23"/>
        <v>0.19929261064507808</v>
      </c>
      <c r="AG27" s="799">
        <f t="shared" si="24"/>
        <v>1</v>
      </c>
      <c r="AH27" s="176">
        <f t="shared" si="16"/>
        <v>7</v>
      </c>
      <c r="AI27" s="224">
        <f t="shared" si="17"/>
        <v>1.1992926106450781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45671</v>
      </c>
      <c r="B28" s="409">
        <f>'2024'!Wh/'2024'!Env_an*'2025'!Env_an</f>
        <v>25.754326839278168</v>
      </c>
      <c r="C28" s="829"/>
      <c r="D28" s="391">
        <f t="shared" si="0"/>
        <v>26.8613617503478</v>
      </c>
      <c r="E28" s="383">
        <f t="shared" si="1"/>
        <v>28.383616442151681</v>
      </c>
      <c r="F28" s="383">
        <f t="shared" si="2"/>
        <v>29.4916718498304</v>
      </c>
      <c r="G28" s="110">
        <f t="shared" si="21"/>
        <v>0.99318560171079862</v>
      </c>
      <c r="H28" s="412" t="b">
        <f>Wh_hp&gt;='2024'!Maxi_hp</f>
        <v>0</v>
      </c>
      <c r="I28" s="388">
        <f>IF(H28,Wh_hp,'2024'!Maxi_hp)</f>
        <v>29.498621369457005</v>
      </c>
      <c r="J28" s="85">
        <f>IF(H28,An,'2024'!An_max)</f>
        <v>2022</v>
      </c>
      <c r="K28" s="197">
        <f t="shared" si="3"/>
        <v>45671</v>
      </c>
      <c r="L28" s="147">
        <f>IF(t&lt;Tvie,1-EXP((T0-t)*PertePVj)+'2024'!Pspv,1-EXP((T0-t)*PertePVj)+Pspv)</f>
        <v>4.121291099678881E-2</v>
      </c>
      <c r="M28" s="832"/>
      <c r="N28" s="832"/>
      <c r="O28" s="48">
        <f>IF(t&lt;Tnet,'2024'!Resal+('2024'!Salim-'2024'!Resal)*(1-EXP(('2024'!Tnet-t)/('2024'!Tau_j))),Resal+(Salim-Resal)*(1-EXP((Tnet-t)/(Tau_j))))*Salcycl</f>
        <v>5.3631456544882869E-2</v>
      </c>
      <c r="P28" s="169">
        <f>(INDEX(Models!$BJ28:$BT28,,T28)*(1-R28)+INDEX(Models!$BJ28:$BT28,,T28+1)*R28-ERP_i)*Q28*Ramure*Pc/MaxiM</f>
        <v>3.7921414803122312E-2</v>
      </c>
      <c r="Q28" s="304">
        <f t="shared" si="4"/>
        <v>0.7</v>
      </c>
      <c r="R28" s="177">
        <f t="shared" si="5"/>
        <v>0.13499858949755761</v>
      </c>
      <c r="S28" s="799">
        <f t="shared" si="6"/>
        <v>1</v>
      </c>
      <c r="T28" s="176">
        <f t="shared" si="7"/>
        <v>7</v>
      </c>
      <c r="U28" s="250">
        <f t="shared" si="8"/>
        <v>1.1349985894975576</v>
      </c>
      <c r="V28" s="382">
        <f t="shared" si="9"/>
        <v>25.921611616094424</v>
      </c>
      <c r="W28" s="400">
        <f t="shared" si="10"/>
        <v>25.754326839278168</v>
      </c>
      <c r="X28" s="157">
        <f t="shared" si="11"/>
        <v>45671</v>
      </c>
      <c r="Y28" s="383">
        <f t="shared" si="12"/>
        <v>25.462944211442458</v>
      </c>
      <c r="Z28" s="383">
        <f t="shared" si="22"/>
        <v>26.557454208018832</v>
      </c>
      <c r="AA28" s="384">
        <f t="shared" si="13"/>
        <v>28.317876129306381</v>
      </c>
      <c r="AB28" s="197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6.2166453206060686E-2</v>
      </c>
      <c r="AD28" s="230">
        <f>(INDEX(Models!$BJ28:$BT28,,AH28)*(1-AF28)+INDEX(Models!$BJ28:$BT28,,AH28+1)*AF28-ERP_i)*AE28*Ramure*Pc/MaxiM</f>
        <v>4.0171271313381246E-2</v>
      </c>
      <c r="AE28" s="304">
        <f t="shared" si="15"/>
        <v>0.7</v>
      </c>
      <c r="AF28" s="177">
        <f t="shared" si="23"/>
        <v>0.19933081175738976</v>
      </c>
      <c r="AG28" s="799">
        <f t="shared" si="24"/>
        <v>1</v>
      </c>
      <c r="AH28" s="176">
        <f t="shared" si="16"/>
        <v>7</v>
      </c>
      <c r="AI28" s="224">
        <f t="shared" si="17"/>
        <v>1.1993308117573898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45672</v>
      </c>
      <c r="B29" s="409">
        <f>'2024'!Wh/'2024'!Env_an*'2025'!Env_an</f>
        <v>26.535490787853998</v>
      </c>
      <c r="C29" s="829"/>
      <c r="D29" s="391">
        <f t="shared" si="0"/>
        <v>27.676633997872617</v>
      </c>
      <c r="E29" s="383">
        <f t="shared" si="1"/>
        <v>29.246616778225537</v>
      </c>
      <c r="F29" s="383">
        <f t="shared" si="2"/>
        <v>30.377227257533896</v>
      </c>
      <c r="G29" s="110">
        <f t="shared" si="21"/>
        <v>1.0123567064288315</v>
      </c>
      <c r="H29" s="412" t="b">
        <f>Wh_hp&gt;='2024'!Maxi_hp</f>
        <v>1</v>
      </c>
      <c r="I29" s="388">
        <f>IF(H29,Wh_hp,'2024'!Maxi_hp)</f>
        <v>30.377227257533896</v>
      </c>
      <c r="J29" s="85">
        <f>IF(H29,An,'2024'!An_max)</f>
        <v>2025</v>
      </c>
      <c r="K29" s="197">
        <f t="shared" si="3"/>
        <v>45672</v>
      </c>
      <c r="L29" s="147">
        <f>IF(t&lt;Tvie,1-EXP((T0-t)*PertePVj)+'2024'!Pspv,1-EXP((T0-t)*PertePVj)+Pspv)</f>
        <v>4.1231285932615047E-2</v>
      </c>
      <c r="M29" s="832"/>
      <c r="N29" s="832"/>
      <c r="O29" s="48">
        <f>IF(t&lt;Tnet,'2024'!Resal+('2024'!Salim-'2024'!Resal)*(1-EXP(('2024'!Tnet-t)/('2024'!Tau_j))),Resal+(Salim-Resal)*(1-EXP((Tnet-t)/(Tau_j))))*Salcycl</f>
        <v>5.3680834000662564E-2</v>
      </c>
      <c r="P29" s="169">
        <f>(INDEX(Models!$BJ29:$BT29,,T29)*(1-R29)+INDEX(Models!$BJ29:$BT29,,T29+1)*R29-ERP_i)*Q29*Ramure*Pc/MaxiM</f>
        <v>3.7219015077419801E-2</v>
      </c>
      <c r="Q29" s="304">
        <f t="shared" si="4"/>
        <v>0.7</v>
      </c>
      <c r="R29" s="177">
        <f t="shared" si="5"/>
        <v>0.13503838545769531</v>
      </c>
      <c r="S29" s="799">
        <f t="shared" si="6"/>
        <v>1</v>
      </c>
      <c r="T29" s="176">
        <f t="shared" si="7"/>
        <v>7</v>
      </c>
      <c r="U29" s="250">
        <f t="shared" si="8"/>
        <v>1.1350383854576953</v>
      </c>
      <c r="V29" s="382">
        <f t="shared" si="9"/>
        <v>26.211601720365984</v>
      </c>
      <c r="W29" s="400">
        <f t="shared" si="10"/>
        <v>26.535490787853998</v>
      </c>
      <c r="X29" s="157">
        <f t="shared" si="11"/>
        <v>45672</v>
      </c>
      <c r="Y29" s="383">
        <f t="shared" si="12"/>
        <v>26.236850340250012</v>
      </c>
      <c r="Z29" s="383">
        <f t="shared" si="22"/>
        <v>27.365150693064869</v>
      </c>
      <c r="AA29" s="384">
        <f t="shared" si="13"/>
        <v>29.180331708350867</v>
      </c>
      <c r="AB29" s="197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6.2205633350169487E-2</v>
      </c>
      <c r="AD29" s="230">
        <f>(INDEX(Models!$BJ29:$BT29,,AH29)*(1-AF29)+INDEX(Models!$BJ29:$BT29,,AH29+1)*AF29-ERP_i)*AE29*Ramure*Pc/MaxiM</f>
        <v>3.9401079599395809E-2</v>
      </c>
      <c r="AE29" s="304">
        <f t="shared" si="15"/>
        <v>0.7</v>
      </c>
      <c r="AF29" s="177">
        <f t="shared" si="23"/>
        <v>0.19937060771752746</v>
      </c>
      <c r="AG29" s="799">
        <f t="shared" si="24"/>
        <v>1</v>
      </c>
      <c r="AH29" s="176">
        <f t="shared" si="16"/>
        <v>7</v>
      </c>
      <c r="AI29" s="224">
        <f t="shared" si="17"/>
        <v>1.1993706077175275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45673</v>
      </c>
      <c r="B30" s="409">
        <f>'2024'!Wh/'2024'!Env_an*'2025'!Env_an</f>
        <v>26.269524336386919</v>
      </c>
      <c r="C30" s="829"/>
      <c r="D30" s="391">
        <f t="shared" si="0"/>
        <v>27.399754925284444</v>
      </c>
      <c r="E30" s="383">
        <f t="shared" si="1"/>
        <v>28.955542352586615</v>
      </c>
      <c r="F30" s="383">
        <f t="shared" si="2"/>
        <v>30.040001215457668</v>
      </c>
      <c r="G30" s="110">
        <f t="shared" si="21"/>
        <v>0.99058669559036228</v>
      </c>
      <c r="H30" s="412" t="b">
        <f>Wh_hp&gt;='2024'!Maxi_hp</f>
        <v>0</v>
      </c>
      <c r="I30" s="388">
        <f>IF(H30,Wh_hp,'2024'!Maxi_hp)</f>
        <v>30.049231450929494</v>
      </c>
      <c r="J30" s="85">
        <f>IF(H30,An,'2024'!An_max)</f>
        <v>2022</v>
      </c>
      <c r="K30" s="197">
        <f t="shared" si="3"/>
        <v>45673</v>
      </c>
      <c r="L30" s="147">
        <f>IF(t&lt;Tvie,1-EXP((T0-t)*PertePVj)+'2024'!Pspv,1-EXP((T0-t)*PertePVj)+Pspv)</f>
        <v>4.1249660516289866E-2</v>
      </c>
      <c r="M30" s="832"/>
      <c r="N30" s="832"/>
      <c r="O30" s="48">
        <f>IF(t&lt;Tnet,'2024'!Resal+('2024'!Salim-'2024'!Resal)*(1-EXP(('2024'!Tnet-t)/('2024'!Tau_j))),Resal+(Salim-Resal)*(1-EXP((Tnet-t)/(Tau_j))))*Salcycl</f>
        <v>5.3730211935166639E-2</v>
      </c>
      <c r="P30" s="169">
        <f>(INDEX(Models!$BJ30:$BT30,,T30)*(1-R30)+INDEX(Models!$BJ30:$BT30,,T30+1)*R30-ERP_i)*Q30*Ramure*Pc/MaxiM</f>
        <v>3.6567167534054285E-2</v>
      </c>
      <c r="Q30" s="304">
        <f t="shared" si="4"/>
        <v>0.7</v>
      </c>
      <c r="R30" s="177">
        <f t="shared" si="5"/>
        <v>0.13507984251000993</v>
      </c>
      <c r="S30" s="799">
        <f t="shared" si="6"/>
        <v>1</v>
      </c>
      <c r="T30" s="176">
        <f t="shared" si="7"/>
        <v>7</v>
      </c>
      <c r="U30" s="250">
        <f t="shared" si="8"/>
        <v>1.1350798425100099</v>
      </c>
      <c r="V30" s="382">
        <f t="shared" si="9"/>
        <v>26.506317923455111</v>
      </c>
      <c r="W30" s="400">
        <f t="shared" si="10"/>
        <v>26.269524336386919</v>
      </c>
      <c r="X30" s="157">
        <f t="shared" si="11"/>
        <v>45673</v>
      </c>
      <c r="Y30" s="383">
        <f t="shared" si="12"/>
        <v>25.976812476061554</v>
      </c>
      <c r="Z30" s="383">
        <f t="shared" si="22"/>
        <v>27.094449312059847</v>
      </c>
      <c r="AA30" s="384">
        <f t="shared" si="13"/>
        <v>28.892882013525888</v>
      </c>
      <c r="AB30" s="197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6.2244835964239374E-2</v>
      </c>
      <c r="AD30" s="230">
        <f>(INDEX(Models!$BJ30:$BT30,,AH30)*(1-AF30)+INDEX(Models!$BJ30:$BT30,,AH30+1)*AF30-ERP_i)*AE30*Ramure*Pc/MaxiM</f>
        <v>3.8680028791057697E-2</v>
      </c>
      <c r="AE30" s="304">
        <f t="shared" si="15"/>
        <v>0.7</v>
      </c>
      <c r="AF30" s="177">
        <f t="shared" si="23"/>
        <v>0.19941206476984208</v>
      </c>
      <c r="AG30" s="799">
        <f t="shared" si="24"/>
        <v>1</v>
      </c>
      <c r="AH30" s="176">
        <f t="shared" si="16"/>
        <v>7</v>
      </c>
      <c r="AI30" s="224">
        <f t="shared" si="17"/>
        <v>1.1994120647698421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45674</v>
      </c>
      <c r="B31" s="409">
        <f>'2024'!Wh/'2024'!Env_an*'2025'!Env_an</f>
        <v>17.026366549946779</v>
      </c>
      <c r="C31" s="829"/>
      <c r="D31" s="391">
        <f t="shared" si="0"/>
        <v>17.759256149833547</v>
      </c>
      <c r="E31" s="383">
        <f t="shared" si="1"/>
        <v>18.768625161705614</v>
      </c>
      <c r="F31" s="383">
        <f t="shared" si="2"/>
        <v>19.097641557307377</v>
      </c>
      <c r="G31" s="110">
        <f t="shared" si="21"/>
        <v>0.62309251641938057</v>
      </c>
      <c r="H31" s="412" t="b">
        <f>Wh_hp&gt;='2024'!Maxi_hp</f>
        <v>0</v>
      </c>
      <c r="I31" s="388">
        <f>IF(H31,Wh_hp,'2024'!Maxi_hp)</f>
        <v>19.329055345753776</v>
      </c>
      <c r="J31" s="85">
        <f>IF(H31,An,'2024'!An_max)</f>
        <v>2022</v>
      </c>
      <c r="K31" s="197">
        <f t="shared" si="3"/>
        <v>45674</v>
      </c>
      <c r="L31" s="147">
        <f>IF(t&lt;Tvie,1-EXP((T0-t)*PertePVj)+'2024'!Pspv,1-EXP((T0-t)*PertePVj)+Pspv)</f>
        <v>4.1268034747820037E-2</v>
      </c>
      <c r="M31" s="832"/>
      <c r="N31" s="832"/>
      <c r="O31" s="48">
        <f>IF(t&lt;Tnet,'2024'!Resal+('2024'!Salim-'2024'!Resal)*(1-EXP(('2024'!Tnet-t)/('2024'!Tau_j))),Resal+(Salim-Resal)*(1-EXP((Tnet-t)/(Tau_j))))*Salcycl</f>
        <v>5.3779592440874248E-2</v>
      </c>
      <c r="P31" s="169">
        <f>(INDEX(Models!$BJ31:$BT31,,T31)*(1-R31)+INDEX(Models!$BJ31:$BT31,,T31+1)*R31-ERP_i)*Q31*Ramure*Pc/MaxiM</f>
        <v>3.5976451784410779E-2</v>
      </c>
      <c r="Q31" s="304">
        <f t="shared" si="4"/>
        <v>0.7</v>
      </c>
      <c r="R31" s="177">
        <f t="shared" si="5"/>
        <v>0.13512302962149336</v>
      </c>
      <c r="S31" s="799">
        <f t="shared" si="6"/>
        <v>1</v>
      </c>
      <c r="T31" s="176">
        <f t="shared" si="7"/>
        <v>7</v>
      </c>
      <c r="U31" s="250">
        <f t="shared" si="8"/>
        <v>1.1351230296214934</v>
      </c>
      <c r="V31" s="382">
        <f t="shared" si="9"/>
        <v>26.804293399668552</v>
      </c>
      <c r="W31" s="400">
        <f t="shared" si="10"/>
        <v>17.026366549946779</v>
      </c>
      <c r="X31" s="157">
        <f t="shared" si="11"/>
        <v>45674</v>
      </c>
      <c r="Y31" s="383">
        <f t="shared" si="12"/>
        <v>16.856528380190579</v>
      </c>
      <c r="Z31" s="383">
        <f t="shared" si="22"/>
        <v>17.582107399284141</v>
      </c>
      <c r="AA31" s="384">
        <f t="shared" si="13"/>
        <v>18.749929176550836</v>
      </c>
      <c r="AB31" s="197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6.2284063383407674E-2</v>
      </c>
      <c r="AD31" s="230">
        <f>(INDEX(Models!$BJ31:$BT31,,AH31)*(1-AF31)+INDEX(Models!$BJ31:$BT31,,AH31+1)*AF31-ERP_i)*AE31*Ramure*Pc/MaxiM</f>
        <v>3.8020773032453055E-2</v>
      </c>
      <c r="AE31" s="304">
        <f t="shared" si="15"/>
        <v>0.7</v>
      </c>
      <c r="AF31" s="177">
        <f t="shared" si="23"/>
        <v>0.19945525188132551</v>
      </c>
      <c r="AG31" s="799">
        <f t="shared" si="24"/>
        <v>1</v>
      </c>
      <c r="AH31" s="176">
        <f t="shared" si="16"/>
        <v>7</v>
      </c>
      <c r="AI31" s="224">
        <f t="shared" si="17"/>
        <v>1.1994552518813255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45675</v>
      </c>
      <c r="B32" s="409">
        <f>'2024'!Wh/'2024'!Env_an*'2025'!Env_an</f>
        <v>4.4822199492478187</v>
      </c>
      <c r="C32" s="829"/>
      <c r="D32" s="391">
        <f t="shared" si="0"/>
        <v>4.675243982751617</v>
      </c>
      <c r="E32" s="383">
        <f t="shared" si="1"/>
        <v>4.9412250786370375</v>
      </c>
      <c r="F32" s="383">
        <f t="shared" si="2"/>
        <v>4.9412250786370375</v>
      </c>
      <c r="G32" s="110">
        <f t="shared" si="21"/>
        <v>0.15950725867195054</v>
      </c>
      <c r="H32" s="412" t="b">
        <f>Wh_hp&gt;='2024'!Maxi_hp</f>
        <v>0</v>
      </c>
      <c r="I32" s="388">
        <f>IF(H32,Wh_hp,'2024'!Maxi_hp)</f>
        <v>30.433829557852597</v>
      </c>
      <c r="J32" s="85">
        <f>IF(H32,An,'2024'!An_max)</f>
        <v>2021</v>
      </c>
      <c r="K32" s="197">
        <f t="shared" si="3"/>
        <v>45675</v>
      </c>
      <c r="L32" s="147">
        <f>IF(t&lt;Tvie,1-EXP((T0-t)*PertePVj)+'2024'!Pspv,1-EXP((T0-t)*PertePVj)+Pspv)</f>
        <v>4.1286408627212112E-2</v>
      </c>
      <c r="M32" s="832"/>
      <c r="N32" s="832"/>
      <c r="O32" s="48">
        <f>IF(t&lt;Tnet,'2024'!Resal+('2024'!Salim-'2024'!Resal)*(1-EXP(('2024'!Tnet-t)/('2024'!Tau_j))),Resal+(Salim-Resal)*(1-EXP((Tnet-t)/(Tau_j))))*Salcycl</f>
        <v>5.3828977966489971E-2</v>
      </c>
      <c r="P32" s="169">
        <f>(INDEX(Models!$BJ32:$BT32,,T32)*(1-R32)+INDEX(Models!$BJ32:$BT32,,T32+1)*R32-ERP_i)*Q32*Ramure*Pc/MaxiM</f>
        <v>3.5446703580308804E-2</v>
      </c>
      <c r="Q32" s="304">
        <f t="shared" si="4"/>
        <v>0.7</v>
      </c>
      <c r="R32" s="177">
        <f t="shared" si="5"/>
        <v>0.13516801859120675</v>
      </c>
      <c r="S32" s="799">
        <f t="shared" si="6"/>
        <v>1</v>
      </c>
      <c r="T32" s="176">
        <f t="shared" si="7"/>
        <v>7</v>
      </c>
      <c r="U32" s="250">
        <f t="shared" si="8"/>
        <v>1.1351680185912068</v>
      </c>
      <c r="V32" s="382">
        <f t="shared" si="9"/>
        <v>27.10434661921343</v>
      </c>
      <c r="W32" s="400">
        <f t="shared" si="10"/>
        <v>4.4822199492478187</v>
      </c>
      <c r="X32" s="157">
        <f t="shared" si="11"/>
        <v>45675</v>
      </c>
      <c r="Y32" s="383">
        <f t="shared" si="12"/>
        <v>4.441980393132325</v>
      </c>
      <c r="Z32" s="383">
        <f t="shared" si="22"/>
        <v>4.6332715350074736</v>
      </c>
      <c r="AA32" s="384">
        <f t="shared" si="13"/>
        <v>4.9412250786370375</v>
      </c>
      <c r="AB32" s="197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6.2323318352967699E-2</v>
      </c>
      <c r="AD32" s="230">
        <f>(INDEX(Models!$BJ32:$BT32,,AH32)*(1-AF32)+INDEX(Models!$BJ32:$BT32,,AH32+1)*AF32-ERP_i)*AE32*Ramure*Pc/MaxiM</f>
        <v>3.7423243945113885E-2</v>
      </c>
      <c r="AE32" s="304">
        <f t="shared" si="15"/>
        <v>0.7</v>
      </c>
      <c r="AF32" s="177">
        <f t="shared" si="23"/>
        <v>0.1995002408510389</v>
      </c>
      <c r="AG32" s="799">
        <f t="shared" si="24"/>
        <v>1</v>
      </c>
      <c r="AH32" s="176">
        <f t="shared" si="16"/>
        <v>7</v>
      </c>
      <c r="AI32" s="224">
        <f t="shared" si="17"/>
        <v>1.1995002408510389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45676</v>
      </c>
      <c r="B33" s="409">
        <f>'2024'!Wh/'2024'!Env_an*'2025'!Env_an</f>
        <v>11.329301923985989</v>
      </c>
      <c r="C33" s="829"/>
      <c r="D33" s="391">
        <f t="shared" si="0"/>
        <v>11.817417791491959</v>
      </c>
      <c r="E33" s="383">
        <f t="shared" si="1"/>
        <v>12.49037907160346</v>
      </c>
      <c r="F33" s="383">
        <f t="shared" si="2"/>
        <v>12.561556461469673</v>
      </c>
      <c r="G33" s="110">
        <f t="shared" si="21"/>
        <v>0.40121195573289348</v>
      </c>
      <c r="H33" s="412" t="b">
        <f>Wh_hp&gt;='2024'!Maxi_hp</f>
        <v>0</v>
      </c>
      <c r="I33" s="388">
        <f>IF(H33,Wh_hp,'2024'!Maxi_hp)</f>
        <v>32.683118262088648</v>
      </c>
      <c r="J33" s="85">
        <f>IF(H33,An,'2024'!An_max)</f>
        <v>2021</v>
      </c>
      <c r="K33" s="197">
        <f t="shared" si="3"/>
        <v>45676</v>
      </c>
      <c r="L33" s="147">
        <f>IF(t&lt;Tvie,1-EXP((T0-t)*PertePVj)+'2024'!Pspv,1-EXP((T0-t)*PertePVj)+Pspv)</f>
        <v>4.1304782154473085E-2</v>
      </c>
      <c r="M33" s="832"/>
      <c r="N33" s="832"/>
      <c r="O33" s="48">
        <f>IF(t&lt;Tnet,'2024'!Resal+('2024'!Salim-'2024'!Resal)*(1-EXP(('2024'!Tnet-t)/('2024'!Tau_j))),Resal+(Salim-Resal)*(1-EXP((Tnet-t)/(Tau_j))))*Salcycl</f>
        <v>5.3878371205038883E-2</v>
      </c>
      <c r="P33" s="169">
        <f>(INDEX(Models!$BJ33:$BT33,,T33)*(1-R33)+INDEX(Models!$BJ33:$BT33,,T33+1)*R33-ERP_i)*Q33*Ramure*Pc/MaxiM</f>
        <v>3.4977619610985833E-2</v>
      </c>
      <c r="Q33" s="304">
        <f t="shared" si="4"/>
        <v>0.7</v>
      </c>
      <c r="R33" s="177">
        <f t="shared" si="5"/>
        <v>0.13521488416389538</v>
      </c>
      <c r="S33" s="799">
        <f t="shared" si="6"/>
        <v>1</v>
      </c>
      <c r="T33" s="176">
        <f t="shared" si="7"/>
        <v>7</v>
      </c>
      <c r="U33" s="250">
        <f t="shared" si="8"/>
        <v>1.1352148841638954</v>
      </c>
      <c r="V33" s="382">
        <f t="shared" si="9"/>
        <v>27.405296549882966</v>
      </c>
      <c r="W33" s="400">
        <f t="shared" si="10"/>
        <v>11.329301923985989</v>
      </c>
      <c r="X33" s="157">
        <f t="shared" si="11"/>
        <v>45676</v>
      </c>
      <c r="Y33" s="383">
        <f t="shared" si="12"/>
        <v>11.224214674576123</v>
      </c>
      <c r="Z33" s="383">
        <f t="shared" si="22"/>
        <v>11.707802923853389</v>
      </c>
      <c r="AA33" s="384">
        <f t="shared" si="13"/>
        <v>12.486493150261587</v>
      </c>
      <c r="AB33" s="197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6.236260389826781E-2</v>
      </c>
      <c r="AD33" s="230">
        <f>(INDEX(Models!$BJ33:$BT33,,AH33)*(1-AF33)+INDEX(Models!$BJ33:$BT33,,AH33+1)*AF33-ERP_i)*AE33*Ramure*Pc/MaxiM</f>
        <v>3.6887218695606835E-2</v>
      </c>
      <c r="AE33" s="304">
        <f t="shared" si="15"/>
        <v>0.7</v>
      </c>
      <c r="AF33" s="177">
        <f t="shared" si="23"/>
        <v>0.19954710642372753</v>
      </c>
      <c r="AG33" s="799">
        <f t="shared" si="24"/>
        <v>1</v>
      </c>
      <c r="AH33" s="176">
        <f t="shared" si="16"/>
        <v>7</v>
      </c>
      <c r="AI33" s="224">
        <f t="shared" si="17"/>
        <v>1.1995471064237275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45677</v>
      </c>
      <c r="B34" s="409">
        <f>'2024'!Wh/'2024'!Env_an*'2025'!Env_an</f>
        <v>4.6999673071427495</v>
      </c>
      <c r="C34" s="829"/>
      <c r="D34" s="391">
        <f t="shared" si="0"/>
        <v>4.9025564070640284</v>
      </c>
      <c r="E34" s="383">
        <f t="shared" si="1"/>
        <v>5.1820107148665961</v>
      </c>
      <c r="F34" s="383">
        <f t="shared" si="2"/>
        <v>5.1820107148665961</v>
      </c>
      <c r="G34" s="110">
        <f t="shared" si="21"/>
        <v>0.1637732346261635</v>
      </c>
      <c r="H34" s="412" t="b">
        <f>Wh_hp&gt;='2024'!Maxi_hp</f>
        <v>0</v>
      </c>
      <c r="I34" s="388">
        <f>IF(H34,Wh_hp,'2024'!Maxi_hp)</f>
        <v>11.30286271509741</v>
      </c>
      <c r="J34" s="85">
        <f>IF(H34,An,'2024'!An_max)</f>
        <v>2020</v>
      </c>
      <c r="K34" s="197">
        <f t="shared" si="3"/>
        <v>45677</v>
      </c>
      <c r="L34" s="147">
        <f>IF(t&lt;Tvie,1-EXP((T0-t)*PertePVj)+'2024'!Pspv,1-EXP((T0-t)*PertePVj)+Pspv)</f>
        <v>4.1323155329609507E-2</v>
      </c>
      <c r="M34" s="832"/>
      <c r="N34" s="832"/>
      <c r="O34" s="48">
        <f>IF(t&lt;Tnet,'2024'!Resal+('2024'!Salim-'2024'!Resal)*(1-EXP(('2024'!Tnet-t)/('2024'!Tau_j))),Resal+(Salim-Resal)*(1-EXP((Tnet-t)/(Tau_j))))*Salcycl</f>
        <v>5.3927774985266942E-2</v>
      </c>
      <c r="P34" s="169">
        <f>(INDEX(Models!$BJ34:$BT34,,T34)*(1-R34)+INDEX(Models!$BJ34:$BT34,,T34+1)*R34-ERP_i)*Q34*Ramure*Pc/MaxiM</f>
        <v>3.4568981261034137E-2</v>
      </c>
      <c r="Q34" s="304">
        <f t="shared" si="4"/>
        <v>0.7</v>
      </c>
      <c r="R34" s="177">
        <f t="shared" si="5"/>
        <v>0.13526370414792943</v>
      </c>
      <c r="S34" s="799">
        <f t="shared" si="6"/>
        <v>1</v>
      </c>
      <c r="T34" s="176">
        <f t="shared" si="7"/>
        <v>7</v>
      </c>
      <c r="U34" s="250">
        <f t="shared" si="8"/>
        <v>1.1352637041479294</v>
      </c>
      <c r="V34" s="382">
        <f t="shared" si="9"/>
        <v>27.705957177509234</v>
      </c>
      <c r="W34" s="400">
        <f t="shared" si="10"/>
        <v>4.6999673071427495</v>
      </c>
      <c r="X34" s="157">
        <f t="shared" si="11"/>
        <v>45677</v>
      </c>
      <c r="Y34" s="383">
        <f t="shared" si="12"/>
        <v>4.6578688092630314</v>
      </c>
      <c r="Z34" s="383">
        <f t="shared" si="22"/>
        <v>4.858643280222843</v>
      </c>
      <c r="AA34" s="384">
        <f t="shared" si="13"/>
        <v>5.1820107148665961</v>
      </c>
      <c r="AB34" s="197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6.2401923198662917E-2</v>
      </c>
      <c r="AD34" s="230">
        <f>(INDEX(Models!$BJ34:$BT34,,AH34)*(1-AF34)+INDEX(Models!$BJ34:$BT34,,AH34+1)*AF34-ERP_i)*AE34*Ramure*Pc/MaxiM</f>
        <v>3.6412555059852622E-2</v>
      </c>
      <c r="AE34" s="304">
        <f t="shared" si="15"/>
        <v>0.7</v>
      </c>
      <c r="AF34" s="177">
        <f t="shared" si="23"/>
        <v>0.19959592640776158</v>
      </c>
      <c r="AG34" s="799">
        <f t="shared" si="24"/>
        <v>1</v>
      </c>
      <c r="AH34" s="176">
        <f t="shared" si="16"/>
        <v>7</v>
      </c>
      <c r="AI34" s="224">
        <f t="shared" si="17"/>
        <v>1.1995959264077616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45678</v>
      </c>
      <c r="B35" s="409">
        <f>'2024'!Wh/'2024'!Env_an*'2025'!Env_an</f>
        <v>17.949346519846223</v>
      </c>
      <c r="C35" s="829"/>
      <c r="D35" s="391">
        <f t="shared" si="0"/>
        <v>18.72340050910638</v>
      </c>
      <c r="E35" s="383">
        <f t="shared" si="1"/>
        <v>19.791700954867736</v>
      </c>
      <c r="F35" s="383">
        <f t="shared" si="2"/>
        <v>20.127158377779462</v>
      </c>
      <c r="G35" s="110">
        <f t="shared" si="21"/>
        <v>0.62948905026692681</v>
      </c>
      <c r="H35" s="412" t="b">
        <f>Wh_hp&gt;='2024'!Maxi_hp</f>
        <v>0</v>
      </c>
      <c r="I35" s="388">
        <f>IF(H35,Wh_hp,'2024'!Maxi_hp)</f>
        <v>20.346103196063709</v>
      </c>
      <c r="J35" s="85">
        <f>IF(H35,An,'2024'!An_max)</f>
        <v>2022</v>
      </c>
      <c r="K35" s="197">
        <f t="shared" si="3"/>
        <v>45678</v>
      </c>
      <c r="L35" s="147">
        <f>IF(t&lt;Tvie,1-EXP((T0-t)*PertePVj)+'2024'!Pspv,1-EXP((T0-t)*PertePVj)+Pspv)</f>
        <v>4.1341528152628371E-2</v>
      </c>
      <c r="M35" s="832"/>
      <c r="N35" s="832"/>
      <c r="O35" s="48">
        <f>IF(t&lt;Tnet,'2024'!Resal+('2024'!Salim-'2024'!Resal)*(1-EXP(('2024'!Tnet-t)/('2024'!Tau_j))),Resal+(Salim-Resal)*(1-EXP((Tnet-t)/(Tau_j))))*Salcycl</f>
        <v>5.397719216743771E-2</v>
      </c>
      <c r="P35" s="169">
        <f>(INDEX(Models!$BJ35:$BT35,,T35)*(1-R35)+INDEX(Models!$BJ35:$BT35,,T35+1)*R35-ERP_i)*Q35*Ramure*Pc/MaxiM</f>
        <v>3.422056915526598E-2</v>
      </c>
      <c r="Q35" s="304">
        <f t="shared" si="4"/>
        <v>0.7</v>
      </c>
      <c r="R35" s="177">
        <f t="shared" si="5"/>
        <v>0.13531455953771854</v>
      </c>
      <c r="S35" s="799">
        <f t="shared" si="6"/>
        <v>1</v>
      </c>
      <c r="T35" s="176">
        <f t="shared" si="7"/>
        <v>7</v>
      </c>
      <c r="U35" s="250">
        <f t="shared" si="8"/>
        <v>1.1353145595377185</v>
      </c>
      <c r="V35" s="382">
        <f t="shared" si="9"/>
        <v>28.005140577336157</v>
      </c>
      <c r="W35" s="400">
        <f t="shared" si="10"/>
        <v>17.949346519846223</v>
      </c>
      <c r="X35" s="157">
        <f t="shared" si="11"/>
        <v>45678</v>
      </c>
      <c r="Y35" s="383">
        <f t="shared" si="12"/>
        <v>17.773083136213987</v>
      </c>
      <c r="Z35" s="383">
        <f t="shared" si="22"/>
        <v>18.53953588076531</v>
      </c>
      <c r="AA35" s="384">
        <f t="shared" si="13"/>
        <v>19.774266373652932</v>
      </c>
      <c r="AB35" s="197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6.2441279466770402E-2</v>
      </c>
      <c r="AD35" s="230">
        <f>(INDEX(Models!$BJ35:$BT35,,AH35)*(1-AF35)+INDEX(Models!$BJ35:$BT35,,AH35+1)*AF35-ERP_i)*AE35*Ramure*Pc/MaxiM</f>
        <v>3.5999099756782428E-2</v>
      </c>
      <c r="AE35" s="304">
        <f t="shared" si="15"/>
        <v>0.7</v>
      </c>
      <c r="AF35" s="177">
        <f t="shared" si="23"/>
        <v>0.19964678179755069</v>
      </c>
      <c r="AG35" s="799">
        <f t="shared" si="24"/>
        <v>1</v>
      </c>
      <c r="AH35" s="176">
        <f t="shared" si="16"/>
        <v>7</v>
      </c>
      <c r="AI35" s="224">
        <f t="shared" si="17"/>
        <v>1.1996467817975507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45679</v>
      </c>
      <c r="B36" s="409">
        <f>'2024'!Wh/'2024'!Env_an*'2025'!Env_an</f>
        <v>27.759143863562883</v>
      </c>
      <c r="C36" s="829"/>
      <c r="D36" s="391">
        <f t="shared" si="0"/>
        <v>28.95679398516554</v>
      </c>
      <c r="E36" s="383">
        <f t="shared" si="1"/>
        <v>30.610580347289851</v>
      </c>
      <c r="F36" s="383">
        <f t="shared" si="2"/>
        <v>31.655291917196564</v>
      </c>
      <c r="G36" s="110">
        <f t="shared" si="21"/>
        <v>0.97988831194826165</v>
      </c>
      <c r="H36" s="412" t="b">
        <f>Wh_hp&gt;='2024'!Maxi_hp</f>
        <v>0</v>
      </c>
      <c r="I36" s="388">
        <f>IF(H36,Wh_hp,'2024'!Maxi_hp)</f>
        <v>31.673476071580343</v>
      </c>
      <c r="J36" s="85">
        <f>IF(H36,An,'2024'!An_max)</f>
        <v>2022</v>
      </c>
      <c r="K36" s="197">
        <f t="shared" si="3"/>
        <v>45679</v>
      </c>
      <c r="L36" s="147">
        <f>IF(t&lt;Tvie,1-EXP((T0-t)*PertePVj)+'2024'!Pspv,1-EXP((T0-t)*PertePVj)+Pspv)</f>
        <v>4.1359900623536117E-2</v>
      </c>
      <c r="M36" s="832"/>
      <c r="N36" s="832"/>
      <c r="O36" s="48">
        <f>IF(t&lt;Tnet,'2024'!Resal+('2024'!Salim-'2024'!Resal)*(1-EXP(('2024'!Tnet-t)/('2024'!Tau_j))),Resal+(Salim-Resal)*(1-EXP((Tnet-t)/(Tau_j))))*Salcycl</f>
        <v>5.4026625544547353E-2</v>
      </c>
      <c r="P36" s="169">
        <f>(INDEX(Models!$BJ36:$BT36,,T36)*(1-R36)+INDEX(Models!$BJ36:$BT36,,T36+1)*R36-ERP_i)*Q36*Ramure*Pc/MaxiM</f>
        <v>3.3931957683465498E-2</v>
      </c>
      <c r="Q36" s="304">
        <f t="shared" si="4"/>
        <v>0.7</v>
      </c>
      <c r="R36" s="177">
        <f t="shared" si="5"/>
        <v>0.13536753464074414</v>
      </c>
      <c r="S36" s="799">
        <f t="shared" si="6"/>
        <v>1</v>
      </c>
      <c r="T36" s="176">
        <f t="shared" si="7"/>
        <v>7</v>
      </c>
      <c r="U36" s="250">
        <f t="shared" si="8"/>
        <v>1.1353675346407441</v>
      </c>
      <c r="V36" s="382">
        <f t="shared" si="9"/>
        <v>28.301663653532039</v>
      </c>
      <c r="W36" s="400">
        <f t="shared" si="10"/>
        <v>27.759143863562883</v>
      </c>
      <c r="X36" s="157">
        <f t="shared" si="11"/>
        <v>45679</v>
      </c>
      <c r="Y36" s="383">
        <f t="shared" si="12"/>
        <v>27.463621589163957</v>
      </c>
      <c r="Z36" s="383">
        <f t="shared" si="22"/>
        <v>28.648521595359242</v>
      </c>
      <c r="AA36" s="384">
        <f t="shared" si="13"/>
        <v>30.557793164264158</v>
      </c>
      <c r="AB36" s="197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6.2480675834199778E-2</v>
      </c>
      <c r="AD36" s="230">
        <f>(INDEX(Models!$BJ36:$BT36,,AH36)*(1-AF36)+INDEX(Models!$BJ36:$BT36,,AH36+1)*AF36-ERP_i)*AE36*Ramure*Pc/MaxiM</f>
        <v>3.5646471538057077E-2</v>
      </c>
      <c r="AE36" s="304">
        <f t="shared" si="15"/>
        <v>0.7</v>
      </c>
      <c r="AF36" s="177">
        <f t="shared" si="23"/>
        <v>0.19969975690057629</v>
      </c>
      <c r="AG36" s="799">
        <f t="shared" si="24"/>
        <v>1</v>
      </c>
      <c r="AH36" s="176">
        <f t="shared" si="16"/>
        <v>7</v>
      </c>
      <c r="AI36" s="224">
        <f t="shared" si="17"/>
        <v>1.1996997569005763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45680</v>
      </c>
      <c r="B37" s="409">
        <f>'2024'!Wh/'2024'!Env_an*'2025'!Env_an</f>
        <v>28.104195024277924</v>
      </c>
      <c r="C37" s="829"/>
      <c r="D37" s="391">
        <f t="shared" si="0"/>
        <v>29.317294011972695</v>
      </c>
      <c r="E37" s="383">
        <f t="shared" si="1"/>
        <v>30.993289547255287</v>
      </c>
      <c r="F37" s="383">
        <f t="shared" si="2"/>
        <v>32.046500680919024</v>
      </c>
      <c r="G37" s="110">
        <f t="shared" si="21"/>
        <v>0.98185972992457704</v>
      </c>
      <c r="H37" s="412" t="b">
        <f>Wh_hp&gt;='2024'!Maxi_hp</f>
        <v>0</v>
      </c>
      <c r="I37" s="388">
        <f>IF(H37,Wh_hp,'2024'!Maxi_hp)</f>
        <v>32.062853586562348</v>
      </c>
      <c r="J37" s="85">
        <f>IF(H37,An,'2024'!An_max)</f>
        <v>2022</v>
      </c>
      <c r="K37" s="197">
        <f t="shared" si="3"/>
        <v>45680</v>
      </c>
      <c r="L37" s="147">
        <f>IF(t&lt;Tvie,1-EXP((T0-t)*PertePVj)+'2024'!Pspv,1-EXP((T0-t)*PertePVj)+Pspv)</f>
        <v>4.1378272742339739E-2</v>
      </c>
      <c r="M37" s="832"/>
      <c r="N37" s="832"/>
      <c r="O37" s="48">
        <f>IF(t&lt;Tnet,'2024'!Resal+('2024'!Salim-'2024'!Resal)*(1-EXP(('2024'!Tnet-t)/('2024'!Tau_j))),Resal+(Salim-Resal)*(1-EXP((Tnet-t)/(Tau_j))))*Salcycl</f>
        <v>5.4076077749901599E-2</v>
      </c>
      <c r="P37" s="169">
        <f>(INDEX(Models!$BJ37:$BT37,,T37)*(1-R37)+INDEX(Models!$BJ37:$BT37,,T37+1)*R37-ERP_i)*Q37*Ramure*Pc/MaxiM</f>
        <v>3.3697629879079906E-2</v>
      </c>
      <c r="Q37" s="304">
        <f t="shared" si="4"/>
        <v>0.7</v>
      </c>
      <c r="R37" s="177">
        <f t="shared" si="5"/>
        <v>0.13542271720936605</v>
      </c>
      <c r="S37" s="799">
        <f t="shared" si="6"/>
        <v>1</v>
      </c>
      <c r="T37" s="176">
        <f t="shared" si="7"/>
        <v>7</v>
      </c>
      <c r="U37" s="250">
        <f t="shared" si="8"/>
        <v>1.1354227172093661</v>
      </c>
      <c r="V37" s="382">
        <f t="shared" si="9"/>
        <v>28.598791869620943</v>
      </c>
      <c r="W37" s="400">
        <f t="shared" si="10"/>
        <v>28.104195024277924</v>
      </c>
      <c r="X37" s="157">
        <f t="shared" si="11"/>
        <v>45680</v>
      </c>
      <c r="Y37" s="383">
        <f t="shared" si="12"/>
        <v>27.806933163832866</v>
      </c>
      <c r="Z37" s="383">
        <f t="shared" si="22"/>
        <v>29.007201039956048</v>
      </c>
      <c r="AA37" s="384">
        <f t="shared" si="13"/>
        <v>30.941678335350716</v>
      </c>
      <c r="AB37" s="197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6.25201152448326E-2</v>
      </c>
      <c r="AD37" s="230">
        <f>(INDEX(Models!$BJ37:$BT37,,AH37)*(1-AF37)+INDEX(Models!$BJ37:$BT37,,AH37+1)*AF37-ERP_i)*AE37*Ramure*Pc/MaxiM</f>
        <v>3.534893744769739E-2</v>
      </c>
      <c r="AE37" s="304">
        <f t="shared" si="15"/>
        <v>0.7</v>
      </c>
      <c r="AF37" s="177">
        <f t="shared" si="23"/>
        <v>0.1997549394691982</v>
      </c>
      <c r="AG37" s="799">
        <f t="shared" si="24"/>
        <v>1</v>
      </c>
      <c r="AH37" s="176">
        <f t="shared" si="16"/>
        <v>7</v>
      </c>
      <c r="AI37" s="224">
        <f t="shared" si="17"/>
        <v>1.1997549394691982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45681</v>
      </c>
      <c r="B38" s="409">
        <f>'2024'!Wh/'2024'!Env_an*'2025'!Env_an</f>
        <v>28.598630336390155</v>
      </c>
      <c r="C38" s="829"/>
      <c r="D38" s="391">
        <f t="shared" si="0"/>
        <v>29.833643052233221</v>
      </c>
      <c r="E38" s="383">
        <f t="shared" si="1"/>
        <v>31.540806593513853</v>
      </c>
      <c r="F38" s="383">
        <f t="shared" si="2"/>
        <v>32.618120467454581</v>
      </c>
      <c r="G38" s="110">
        <f t="shared" si="21"/>
        <v>0.98907271699520016</v>
      </c>
      <c r="H38" s="412" t="b">
        <f>Wh_hp&gt;='2024'!Maxi_hp</f>
        <v>0</v>
      </c>
      <c r="I38" s="388">
        <f>IF(H38,Wh_hp,'2024'!Maxi_hp)</f>
        <v>32.62802258873004</v>
      </c>
      <c r="J38" s="85">
        <f>IF(H38,An,'2024'!An_max)</f>
        <v>2022</v>
      </c>
      <c r="K38" s="197">
        <f t="shared" si="3"/>
        <v>45681</v>
      </c>
      <c r="L38" s="147">
        <f>IF(t&lt;Tvie,1-EXP((T0-t)*PertePVj)+'2024'!Pspv,1-EXP((T0-t)*PertePVj)+Pspv)</f>
        <v>4.1396644509045899E-2</v>
      </c>
      <c r="M38" s="832"/>
      <c r="N38" s="832"/>
      <c r="O38" s="48">
        <f>IF(t&lt;Tnet,'2024'!Resal+('2024'!Salim-'2024'!Resal)*(1-EXP(('2024'!Tnet-t)/('2024'!Tau_j))),Resal+(Salim-Resal)*(1-EXP((Tnet-t)/(Tau_j))))*Salcycl</f>
        <v>5.4125551171912631E-2</v>
      </c>
      <c r="P38" s="169">
        <f>(INDEX(Models!$BJ38:$BT38,,T38)*(1-R38)+INDEX(Models!$BJ38:$BT38,,T38+1)*R38-ERP_i)*Q38*Ramure*Pc/MaxiM</f>
        <v>3.3526994706973852E-2</v>
      </c>
      <c r="Q38" s="304">
        <f t="shared" si="4"/>
        <v>0.7</v>
      </c>
      <c r="R38" s="177">
        <f t="shared" si="5"/>
        <v>0.13548019857754956</v>
      </c>
      <c r="S38" s="799">
        <f t="shared" si="6"/>
        <v>1</v>
      </c>
      <c r="T38" s="176">
        <f t="shared" si="7"/>
        <v>7</v>
      </c>
      <c r="U38" s="250">
        <f t="shared" si="8"/>
        <v>1.1354801985775496</v>
      </c>
      <c r="V38" s="382">
        <f t="shared" si="9"/>
        <v>28.899669560518003</v>
      </c>
      <c r="W38" s="400">
        <f t="shared" si="10"/>
        <v>28.598630336390155</v>
      </c>
      <c r="X38" s="157">
        <f t="shared" si="11"/>
        <v>45681</v>
      </c>
      <c r="Y38" s="383">
        <f t="shared" si="12"/>
        <v>28.297683509577553</v>
      </c>
      <c r="Z38" s="383">
        <f t="shared" si="22"/>
        <v>29.519700038067086</v>
      </c>
      <c r="AA38" s="384">
        <f t="shared" si="13"/>
        <v>31.489681956631244</v>
      </c>
      <c r="AB38" s="197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6.2559600356627679E-2</v>
      </c>
      <c r="AD38" s="230">
        <f>(INDEX(Models!$BJ38:$BT38,,AH38)*(1-AF38)+INDEX(Models!$BJ38:$BT38,,AH38+1)*AF38-ERP_i)*AE38*Ramure*Pc/MaxiM</f>
        <v>3.5118040243117613E-2</v>
      </c>
      <c r="AE38" s="304">
        <f t="shared" si="15"/>
        <v>0.7</v>
      </c>
      <c r="AF38" s="177">
        <f t="shared" si="23"/>
        <v>0.19981242083738171</v>
      </c>
      <c r="AG38" s="799">
        <f t="shared" si="24"/>
        <v>1</v>
      </c>
      <c r="AH38" s="176">
        <f t="shared" si="16"/>
        <v>7</v>
      </c>
      <c r="AI38" s="224">
        <f t="shared" si="17"/>
        <v>1.1998124208373817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45682</v>
      </c>
      <c r="B39" s="409">
        <f>'2024'!Wh/'2024'!Env_an*'2025'!Env_an</f>
        <v>26.715741839534431</v>
      </c>
      <c r="C39" s="829"/>
      <c r="D39" s="391">
        <f t="shared" si="0"/>
        <v>27.869977397232912</v>
      </c>
      <c r="E39" s="383">
        <f t="shared" si="1"/>
        <v>29.466316504626363</v>
      </c>
      <c r="F39" s="383">
        <f t="shared" si="2"/>
        <v>30.356687286027778</v>
      </c>
      <c r="G39" s="110">
        <f t="shared" si="21"/>
        <v>0.91095632078143673</v>
      </c>
      <c r="H39" s="412" t="b">
        <f>Wh_hp&gt;='2024'!Maxi_hp</f>
        <v>0</v>
      </c>
      <c r="I39" s="388">
        <f>IF(H39,Wh_hp,'2024'!Maxi_hp)</f>
        <v>30.431174944513202</v>
      </c>
      <c r="J39" s="85">
        <f>IF(H39,An,'2024'!An_max)</f>
        <v>2022</v>
      </c>
      <c r="K39" s="197">
        <f t="shared" si="3"/>
        <v>45682</v>
      </c>
      <c r="L39" s="147">
        <f>IF(t&lt;Tvie,1-EXP((T0-t)*PertePVj)+'2024'!Pspv,1-EXP((T0-t)*PertePVj)+Pspv)</f>
        <v>4.1415015923661258E-2</v>
      </c>
      <c r="M39" s="832"/>
      <c r="N39" s="832"/>
      <c r="O39" s="48">
        <f>IF(t&lt;Tnet,'2024'!Resal+('2024'!Salim-'2024'!Resal)*(1-EXP(('2024'!Tnet-t)/('2024'!Tau_j))),Resal+(Salim-Resal)*(1-EXP((Tnet-t)/(Tau_j))))*Salcycl</f>
        <v>5.4175047876880635E-2</v>
      </c>
      <c r="P39" s="169">
        <f>(INDEX(Models!$BJ39:$BT39,,T39)*(1-R39)+INDEX(Models!$BJ39:$BT39,,T39+1)*R39-ERP_i)*Q39*Ramure*Pc/MaxiM</f>
        <v>3.3395616727310583E-2</v>
      </c>
      <c r="Q39" s="304">
        <f t="shared" si="4"/>
        <v>0.7</v>
      </c>
      <c r="R39" s="177">
        <f t="shared" si="5"/>
        <v>0.13554007380267619</v>
      </c>
      <c r="S39" s="799">
        <f t="shared" si="6"/>
        <v>1</v>
      </c>
      <c r="T39" s="176">
        <f t="shared" si="7"/>
        <v>7</v>
      </c>
      <c r="U39" s="250">
        <f t="shared" si="8"/>
        <v>1.1355400738026762</v>
      </c>
      <c r="V39" s="382">
        <f t="shared" si="9"/>
        <v>29.204311506956458</v>
      </c>
      <c r="W39" s="400">
        <f t="shared" si="10"/>
        <v>26.715741839534431</v>
      </c>
      <c r="X39" s="157">
        <f t="shared" si="11"/>
        <v>45682</v>
      </c>
      <c r="Y39" s="383">
        <f t="shared" si="12"/>
        <v>26.441033591530687</v>
      </c>
      <c r="Z39" s="383">
        <f t="shared" si="22"/>
        <v>27.583400565165753</v>
      </c>
      <c r="AA39" s="384">
        <f t="shared" si="13"/>
        <v>29.42540544768887</v>
      </c>
      <c r="AB39" s="197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6.2599133452816716E-2</v>
      </c>
      <c r="AD39" s="230">
        <f>(INDEX(Models!$BJ39:$BT39,,AH39)*(1-AF39)+INDEX(Models!$BJ39:$BT39,,AH39+1)*AF39-ERP_i)*AE39*Ramure*Pc/MaxiM</f>
        <v>3.4930089787222993E-2</v>
      </c>
      <c r="AE39" s="304">
        <f t="shared" si="15"/>
        <v>0.7</v>
      </c>
      <c r="AF39" s="177">
        <f t="shared" si="23"/>
        <v>0.19987229606250834</v>
      </c>
      <c r="AG39" s="799">
        <f t="shared" si="24"/>
        <v>1</v>
      </c>
      <c r="AH39" s="176">
        <f t="shared" si="16"/>
        <v>7</v>
      </c>
      <c r="AI39" s="224">
        <f t="shared" si="17"/>
        <v>1.1998722960625083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45683</v>
      </c>
      <c r="B40" s="409">
        <f>'2024'!Wh/'2024'!Env_an*'2025'!Env_an</f>
        <v>28.781101879758307</v>
      </c>
      <c r="C40" s="829"/>
      <c r="D40" s="391">
        <f t="shared" si="0"/>
        <v>30.025145346204273</v>
      </c>
      <c r="E40" s="383">
        <f t="shared" si="1"/>
        <v>31.746590553335032</v>
      </c>
      <c r="F40" s="383">
        <f t="shared" si="2"/>
        <v>32.800294789520422</v>
      </c>
      <c r="G40" s="110">
        <f t="shared" si="21"/>
        <v>0.97404574719537029</v>
      </c>
      <c r="H40" s="412" t="b">
        <f>Wh_hp&gt;='2024'!Maxi_hp</f>
        <v>0</v>
      </c>
      <c r="I40" s="388">
        <f>IF(H40,Wh_hp,'2024'!Maxi_hp)</f>
        <v>32.823520357866578</v>
      </c>
      <c r="J40" s="85">
        <f>IF(H40,An,'2024'!An_max)</f>
        <v>2022</v>
      </c>
      <c r="K40" s="197">
        <f t="shared" si="3"/>
        <v>45683</v>
      </c>
      <c r="L40" s="147">
        <f>IF(t&lt;Tvie,1-EXP((T0-t)*PertePVj)+'2024'!Pspv,1-EXP((T0-t)*PertePVj)+Pspv)</f>
        <v>4.14333869861927E-2</v>
      </c>
      <c r="M40" s="832"/>
      <c r="N40" s="832"/>
      <c r="O40" s="48">
        <f>IF(t&lt;Tnet,'2024'!Resal+('2024'!Salim-'2024'!Resal)*(1-EXP(('2024'!Tnet-t)/('2024'!Tau_j))),Resal+(Salim-Resal)*(1-EXP((Tnet-t)/(Tau_j))))*Salcycl</f>
        <v>5.4224569540426461E-2</v>
      </c>
      <c r="P40" s="169">
        <f>(INDEX(Models!$BJ40:$BT40,,T40)*(1-R40)+INDEX(Models!$BJ40:$BT40,,T40+1)*R40-ERP_i)*Q40*Ramure*Pc/MaxiM</f>
        <v>3.3303152735837463E-2</v>
      </c>
      <c r="Q40" s="304">
        <f t="shared" si="4"/>
        <v>0.7</v>
      </c>
      <c r="R40" s="177">
        <f t="shared" si="5"/>
        <v>0.13560244181259029</v>
      </c>
      <c r="S40" s="799">
        <f t="shared" si="6"/>
        <v>1</v>
      </c>
      <c r="T40" s="176">
        <f t="shared" si="7"/>
        <v>7</v>
      </c>
      <c r="U40" s="250">
        <f t="shared" si="8"/>
        <v>1.1356024418125903</v>
      </c>
      <c r="V40" s="382">
        <f t="shared" si="9"/>
        <v>29.512025715501995</v>
      </c>
      <c r="W40" s="400">
        <f t="shared" si="10"/>
        <v>28.781101879758307</v>
      </c>
      <c r="X40" s="157">
        <f t="shared" si="11"/>
        <v>45683</v>
      </c>
      <c r="Y40" s="383">
        <f t="shared" si="12"/>
        <v>28.482930244438109</v>
      </c>
      <c r="Z40" s="383">
        <f t="shared" si="22"/>
        <v>29.714085445648458</v>
      </c>
      <c r="AA40" s="384">
        <f t="shared" si="13"/>
        <v>31.699714895802192</v>
      </c>
      <c r="AB40" s="197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6.263871636324031E-2</v>
      </c>
      <c r="AD40" s="230">
        <f>(INDEX(Models!$BJ40:$BT40,,AH40)*(1-AF40)+INDEX(Models!$BJ40:$BT40,,AH40+1)*AF40-ERP_i)*AE40*Ramure*Pc/MaxiM</f>
        <v>3.4784694831616163E-2</v>
      </c>
      <c r="AE40" s="304">
        <f t="shared" si="15"/>
        <v>0.7</v>
      </c>
      <c r="AF40" s="177">
        <f t="shared" si="23"/>
        <v>0.19993466407242244</v>
      </c>
      <c r="AG40" s="799">
        <f t="shared" si="24"/>
        <v>1</v>
      </c>
      <c r="AH40" s="176">
        <f t="shared" si="16"/>
        <v>7</v>
      </c>
      <c r="AI40" s="224">
        <f t="shared" si="17"/>
        <v>1.1999346640724224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45684</v>
      </c>
      <c r="B41" s="409">
        <f>'2024'!Wh/'2024'!Env_an*'2025'!Env_an</f>
        <v>28.584574276476555</v>
      </c>
      <c r="C41" s="829"/>
      <c r="D41" s="391">
        <f t="shared" si="0"/>
        <v>29.820694478338378</v>
      </c>
      <c r="E41" s="383">
        <f t="shared" si="1"/>
        <v>31.532069732490505</v>
      </c>
      <c r="F41" s="383">
        <f t="shared" si="2"/>
        <v>32.550178714549368</v>
      </c>
      <c r="G41" s="110">
        <f t="shared" si="21"/>
        <v>0.95655211143323005</v>
      </c>
      <c r="H41" s="412" t="b">
        <f>Wh_hp&gt;='2024'!Maxi_hp</f>
        <v>0</v>
      </c>
      <c r="I41" s="388">
        <f>IF(H41,Wh_hp,'2024'!Maxi_hp)</f>
        <v>32.588540192320359</v>
      </c>
      <c r="J41" s="85">
        <f>IF(H41,An,'2024'!An_max)</f>
        <v>2022</v>
      </c>
      <c r="K41" s="197">
        <f t="shared" si="3"/>
        <v>45684</v>
      </c>
      <c r="L41" s="147">
        <f>IF(t&lt;Tvie,1-EXP((T0-t)*PertePVj)+'2024'!Pspv,1-EXP((T0-t)*PertePVj)+Pspv)</f>
        <v>4.1451757696646996E-2</v>
      </c>
      <c r="M41" s="832"/>
      <c r="N41" s="832"/>
      <c r="O41" s="48">
        <f>IF(t&lt;Tnet,'2024'!Resal+('2024'!Salim-'2024'!Resal)*(1-EXP(('2024'!Tnet-t)/('2024'!Tau_j))),Resal+(Salim-Resal)*(1-EXP((Tnet-t)/(Tau_j))))*Salcycl</f>
        <v>5.4274117388137463E-2</v>
      </c>
      <c r="P41" s="169">
        <f>(INDEX(Models!$BJ41:$BT41,,T41)*(1-R41)+INDEX(Models!$BJ41:$BT41,,T41+1)*R41-ERP_i)*Q41*Ramure*Pc/MaxiM</f>
        <v>3.3249227882473892E-2</v>
      </c>
      <c r="Q41" s="304">
        <f t="shared" si="4"/>
        <v>0.7</v>
      </c>
      <c r="R41" s="177">
        <f t="shared" si="5"/>
        <v>0.13566740555804757</v>
      </c>
      <c r="S41" s="799">
        <f t="shared" si="6"/>
        <v>1</v>
      </c>
      <c r="T41" s="176">
        <f t="shared" si="7"/>
        <v>7</v>
      </c>
      <c r="U41" s="250">
        <f t="shared" si="8"/>
        <v>1.1356674055580476</v>
      </c>
      <c r="V41" s="382">
        <f t="shared" si="9"/>
        <v>29.822120481181535</v>
      </c>
      <c r="W41" s="400">
        <f t="shared" si="10"/>
        <v>28.584574276476555</v>
      </c>
      <c r="X41" s="157">
        <f t="shared" si="11"/>
        <v>45684</v>
      </c>
      <c r="Y41" s="383">
        <f t="shared" si="12"/>
        <v>28.29115423534537</v>
      </c>
      <c r="Z41" s="383">
        <f t="shared" si="22"/>
        <v>29.514585689879166</v>
      </c>
      <c r="AA41" s="384">
        <f t="shared" si="13"/>
        <v>31.488215067221319</v>
      </c>
      <c r="AB41" s="197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6.2678350396452504E-2</v>
      </c>
      <c r="AD41" s="230">
        <f>(INDEX(Models!$BJ41:$BT41,,AH41)*(1-AF41)+INDEX(Models!$BJ41:$BT41,,AH41+1)*AF41-ERP_i)*AE41*Ramure*Pc/MaxiM</f>
        <v>3.4681425991851277E-2</v>
      </c>
      <c r="AE41" s="304">
        <f t="shared" si="15"/>
        <v>0.7</v>
      </c>
      <c r="AF41" s="177">
        <f t="shared" si="23"/>
        <v>0.19999962781787972</v>
      </c>
      <c r="AG41" s="799">
        <f t="shared" si="24"/>
        <v>1</v>
      </c>
      <c r="AH41" s="176">
        <f t="shared" si="16"/>
        <v>7</v>
      </c>
      <c r="AI41" s="224">
        <f t="shared" si="17"/>
        <v>1.1999996278178797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45685</v>
      </c>
      <c r="B42" s="409">
        <f>'2024'!Wh/'2024'!Env_an*'2025'!Env_an</f>
        <v>3.8991474867663096</v>
      </c>
      <c r="C42" s="829"/>
      <c r="D42" s="391">
        <f t="shared" si="0"/>
        <v>4.0678413901222328</v>
      </c>
      <c r="E42" s="383">
        <f t="shared" si="1"/>
        <v>4.3015155992992753</v>
      </c>
      <c r="F42" s="383">
        <f t="shared" si="2"/>
        <v>4.3015155992992753</v>
      </c>
      <c r="G42" s="110">
        <f t="shared" si="21"/>
        <v>0.12509382551404388</v>
      </c>
      <c r="H42" s="412" t="b">
        <f>Wh_hp&gt;='2024'!Maxi_hp</f>
        <v>0</v>
      </c>
      <c r="I42" s="388">
        <f>IF(H42,Wh_hp,'2024'!Maxi_hp)</f>
        <v>18.718380052919283</v>
      </c>
      <c r="J42" s="85">
        <f>IF(H42,An,'2024'!An_max)</f>
        <v>2021</v>
      </c>
      <c r="K42" s="197">
        <f t="shared" si="3"/>
        <v>45685</v>
      </c>
      <c r="L42" s="147">
        <f>IF(t&lt;Tvie,1-EXP((T0-t)*PertePVj)+'2024'!Pspv,1-EXP((T0-t)*PertePVj)+Pspv)</f>
        <v>4.1470128055030697E-2</v>
      </c>
      <c r="M42" s="832"/>
      <c r="N42" s="832"/>
      <c r="O42" s="48">
        <f>IF(t&lt;Tnet,'2024'!Resal+('2024'!Salim-'2024'!Resal)*(1-EXP(('2024'!Tnet-t)/('2024'!Tau_j))),Resal+(Salim-Resal)*(1-EXP((Tnet-t)/(Tau_j))))*Salcycl</f>
        <v>5.4323692145881793E-2</v>
      </c>
      <c r="P42" s="169">
        <f>(INDEX(Models!$BJ42:$BT42,,T42)*(1-R42)+INDEX(Models!$BJ42:$BT42,,T42+1)*R42-ERP_i)*Q42*Ramure*Pc/MaxiM</f>
        <v>3.3233446707965436E-2</v>
      </c>
      <c r="Q42" s="304">
        <f t="shared" si="4"/>
        <v>0.7</v>
      </c>
      <c r="R42" s="177">
        <f t="shared" si="5"/>
        <v>0.13573507217072445</v>
      </c>
      <c r="S42" s="799">
        <f t="shared" si="6"/>
        <v>1</v>
      </c>
      <c r="T42" s="176">
        <f t="shared" si="7"/>
        <v>7</v>
      </c>
      <c r="U42" s="250">
        <f t="shared" si="8"/>
        <v>1.1357350721707244</v>
      </c>
      <c r="V42" s="382">
        <f t="shared" si="9"/>
        <v>30.13390437991816</v>
      </c>
      <c r="W42" s="400">
        <f t="shared" si="10"/>
        <v>3.8991474867663096</v>
      </c>
      <c r="X42" s="157">
        <f t="shared" si="11"/>
        <v>45685</v>
      </c>
      <c r="Y42" s="383">
        <f t="shared" si="12"/>
        <v>3.86453650457945</v>
      </c>
      <c r="Z42" s="383">
        <f t="shared" si="22"/>
        <v>4.0317329878701154</v>
      </c>
      <c r="AA42" s="384">
        <f t="shared" si="13"/>
        <v>4.3015155992992753</v>
      </c>
      <c r="AB42" s="197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6.2718036283097009E-2</v>
      </c>
      <c r="AD42" s="230">
        <f>(INDEX(Models!$BJ42:$BT42,,AH42)*(1-AF42)+INDEX(Models!$BJ42:$BT42,,AH42+1)*AF42-ERP_i)*AE42*Ramure*Pc/MaxiM</f>
        <v>3.4619828021157165E-2</v>
      </c>
      <c r="AE42" s="304">
        <f t="shared" si="15"/>
        <v>0.7</v>
      </c>
      <c r="AF42" s="177">
        <f t="shared" si="23"/>
        <v>0.2000672944305566</v>
      </c>
      <c r="AG42" s="799">
        <f t="shared" si="24"/>
        <v>1</v>
      </c>
      <c r="AH42" s="176">
        <f t="shared" si="16"/>
        <v>7</v>
      </c>
      <c r="AI42" s="224">
        <f t="shared" si="17"/>
        <v>1.2000672944305566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45686</v>
      </c>
      <c r="B43" s="409">
        <f>'2024'!Wh/'2024'!Env_an*'2025'!Env_an</f>
        <v>6.0019947527015463</v>
      </c>
      <c r="C43" s="829"/>
      <c r="D43" s="391">
        <f t="shared" si="0"/>
        <v>6.2617868857725103</v>
      </c>
      <c r="E43" s="383">
        <f t="shared" si="1"/>
        <v>6.6218380319024259</v>
      </c>
      <c r="F43" s="383">
        <f t="shared" si="2"/>
        <v>6.6218380319024259</v>
      </c>
      <c r="G43" s="110">
        <f t="shared" si="21"/>
        <v>0.19057561624227148</v>
      </c>
      <c r="H43" s="412" t="b">
        <f>Wh_hp&gt;='2024'!Maxi_hp</f>
        <v>0</v>
      </c>
      <c r="I43" s="388">
        <f>IF(H43,Wh_hp,'2024'!Maxi_hp)</f>
        <v>27.689355662253256</v>
      </c>
      <c r="J43" s="85">
        <f>IF(H43,An,'2024'!An_max)</f>
        <v>2020</v>
      </c>
      <c r="K43" s="197">
        <f t="shared" si="3"/>
        <v>45686</v>
      </c>
      <c r="L43" s="147">
        <f>IF(t&lt;Tvie,1-EXP((T0-t)*PertePVj)+'2024'!Pspv,1-EXP((T0-t)*PertePVj)+Pspv)</f>
        <v>4.1488498061350687E-2</v>
      </c>
      <c r="M43" s="832"/>
      <c r="N43" s="832"/>
      <c r="O43" s="48">
        <f>IF(t&lt;Tnet,'2024'!Resal+('2024'!Salim-'2024'!Resal)*(1-EXP(('2024'!Tnet-t)/('2024'!Tau_j))),Resal+(Salim-Resal)*(1-EXP((Tnet-t)/(Tau_j))))*Salcycl</f>
        <v>5.4373294000136442E-2</v>
      </c>
      <c r="P43" s="169">
        <f>(INDEX(Models!$BJ43:$BT43,,T43)*(1-R43)+INDEX(Models!$BJ43:$BT43,,T43+1)*R43-ERP_i)*Q43*Ramure*Pc/MaxiM</f>
        <v>3.3255403381134051E-2</v>
      </c>
      <c r="Q43" s="304">
        <f t="shared" si="4"/>
        <v>0.7</v>
      </c>
      <c r="R43" s="177">
        <f t="shared" si="5"/>
        <v>0.13580555312695264</v>
      </c>
      <c r="S43" s="799">
        <f t="shared" si="6"/>
        <v>1</v>
      </c>
      <c r="T43" s="176">
        <f t="shared" si="7"/>
        <v>7</v>
      </c>
      <c r="U43" s="250">
        <f t="shared" si="8"/>
        <v>1.1358055531269526</v>
      </c>
      <c r="V43" s="382">
        <f t="shared" si="9"/>
        <v>30.4466862577668</v>
      </c>
      <c r="W43" s="400">
        <f t="shared" si="10"/>
        <v>6.0019947527015463</v>
      </c>
      <c r="X43" s="157">
        <f t="shared" si="11"/>
        <v>45686</v>
      </c>
      <c r="Y43" s="383">
        <f t="shared" si="12"/>
        <v>5.9487775524788145</v>
      </c>
      <c r="Z43" s="383">
        <f t="shared" si="22"/>
        <v>6.2062662163646873</v>
      </c>
      <c r="AA43" s="384">
        <f t="shared" si="13"/>
        <v>6.6218380319024259</v>
      </c>
      <c r="AB43" s="197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6.2757774130930657E-2</v>
      </c>
      <c r="AD43" s="230">
        <f>(INDEX(Models!$BJ43:$BT43,,AH43)*(1-AF43)+INDEX(Models!$BJ43:$BT43,,AH43+1)*AF43-ERP_i)*AE43*Ramure*Pc/MaxiM</f>
        <v>3.4599431194374232E-2</v>
      </c>
      <c r="AE43" s="304">
        <f t="shared" si="15"/>
        <v>0.7</v>
      </c>
      <c r="AF43" s="177">
        <f t="shared" si="23"/>
        <v>0.20013777538678479</v>
      </c>
      <c r="AG43" s="799">
        <f t="shared" si="24"/>
        <v>1</v>
      </c>
      <c r="AH43" s="176">
        <f t="shared" si="16"/>
        <v>7</v>
      </c>
      <c r="AI43" s="224">
        <f t="shared" si="17"/>
        <v>1.2001377753867848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45687</v>
      </c>
      <c r="B44" s="409">
        <f>'2024'!Wh/'2024'!Env_an*'2025'!Env_an</f>
        <v>5.4120171840197342</v>
      </c>
      <c r="C44" s="829"/>
      <c r="D44" s="391">
        <f t="shared" si="0"/>
        <v>5.6463807634398169</v>
      </c>
      <c r="E44" s="383">
        <f t="shared" si="1"/>
        <v>5.9713596048432436</v>
      </c>
      <c r="F44" s="383">
        <f t="shared" si="2"/>
        <v>5.9713596048432436</v>
      </c>
      <c r="G44" s="110">
        <f t="shared" si="21"/>
        <v>0.1700830862796002</v>
      </c>
      <c r="H44" s="412" t="b">
        <f>Wh_hp&gt;='2024'!Maxi_hp</f>
        <v>0</v>
      </c>
      <c r="I44" s="388">
        <f>IF(H44,Wh_hp,'2024'!Maxi_hp)</f>
        <v>10.667841852164717</v>
      </c>
      <c r="J44" s="85">
        <f>IF(H44,An,'2024'!An_max)</f>
        <v>2020</v>
      </c>
      <c r="K44" s="197">
        <f t="shared" si="3"/>
        <v>45687</v>
      </c>
      <c r="L44" s="147">
        <f>IF(t&lt;Tvie,1-EXP((T0-t)*PertePVj)+'2024'!Pspv,1-EXP((T0-t)*PertePVj)+Pspv)</f>
        <v>4.1506867715613738E-2</v>
      </c>
      <c r="M44" s="832"/>
      <c r="N44" s="832"/>
      <c r="O44" s="48">
        <f>IF(t&lt;Tnet,'2024'!Resal+('2024'!Salim-'2024'!Resal)*(1-EXP(('2024'!Tnet-t)/('2024'!Tau_j))),Resal+(Salim-Resal)*(1-EXP((Tnet-t)/(Tau_j))))*Salcycl</f>
        <v>5.4422922568562654E-2</v>
      </c>
      <c r="P44" s="169">
        <f>(INDEX(Models!$BJ44:$BT44,,T44)*(1-R44)+INDEX(Models!$BJ44:$BT44,,T44+1)*R44-ERP_i)*Q44*Ramure*Pc/MaxiM</f>
        <v>3.3290865555810581E-2</v>
      </c>
      <c r="Q44" s="304">
        <f t="shared" si="4"/>
        <v>0.7</v>
      </c>
      <c r="R44" s="177">
        <f t="shared" si="5"/>
        <v>0.13587896441734748</v>
      </c>
      <c r="S44" s="799">
        <f t="shared" si="6"/>
        <v>1</v>
      </c>
      <c r="T44" s="176">
        <f t="shared" si="7"/>
        <v>7</v>
      </c>
      <c r="U44" s="250">
        <f t="shared" si="8"/>
        <v>1.1358789644173475</v>
      </c>
      <c r="V44" s="382">
        <f t="shared" si="9"/>
        <v>30.760533348743124</v>
      </c>
      <c r="W44" s="400">
        <f t="shared" si="10"/>
        <v>5.4120171840197342</v>
      </c>
      <c r="X44" s="157">
        <f t="shared" si="11"/>
        <v>45687</v>
      </c>
      <c r="Y44" s="383">
        <f t="shared" si="12"/>
        <v>5.3640848672083452</v>
      </c>
      <c r="Z44" s="383">
        <f t="shared" si="22"/>
        <v>5.5963727715232219</v>
      </c>
      <c r="AA44" s="384">
        <f t="shared" si="13"/>
        <v>5.9713596048432436</v>
      </c>
      <c r="AB44" s="197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6.2797563391740502E-2</v>
      </c>
      <c r="AD44" s="230">
        <f>(INDEX(Models!$BJ44:$BT44,,AH44)*(1-AF44)+INDEX(Models!$BJ44:$BT44,,AH44+1)*AF44-ERP_i)*AE44*Ramure*Pc/MaxiM</f>
        <v>3.459776885011491E-2</v>
      </c>
      <c r="AE44" s="304">
        <f t="shared" si="15"/>
        <v>0.7</v>
      </c>
      <c r="AF44" s="177">
        <f t="shared" si="23"/>
        <v>0.20021118667717963</v>
      </c>
      <c r="AG44" s="799">
        <f t="shared" si="24"/>
        <v>1</v>
      </c>
      <c r="AH44" s="176">
        <f t="shared" si="16"/>
        <v>7</v>
      </c>
      <c r="AI44" s="224">
        <f t="shared" si="17"/>
        <v>1.2002111866771796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45688</v>
      </c>
      <c r="B45" s="409">
        <f>'2024'!Wh/'2024'!Env_an*'2025'!Env_an</f>
        <v>6.7703541667437293</v>
      </c>
      <c r="C45" s="829"/>
      <c r="D45" s="391">
        <f t="shared" si="0"/>
        <v>7.0636749429673307</v>
      </c>
      <c r="E45" s="383">
        <f t="shared" si="1"/>
        <v>7.4706187998927716</v>
      </c>
      <c r="F45" s="383">
        <f t="shared" si="2"/>
        <v>7.4706187998927716</v>
      </c>
      <c r="G45" s="110">
        <f t="shared" si="21"/>
        <v>0.21060920573489572</v>
      </c>
      <c r="H45" s="412" t="b">
        <f>Wh_hp&gt;='2024'!Maxi_hp</f>
        <v>0</v>
      </c>
      <c r="I45" s="388">
        <f>IF(H45,Wh_hp,'2024'!Maxi_hp)</f>
        <v>21.848733659114771</v>
      </c>
      <c r="J45" s="85">
        <f>IF(H45,An,'2024'!An_max)</f>
        <v>2020</v>
      </c>
      <c r="K45" s="197">
        <f t="shared" si="3"/>
        <v>45688</v>
      </c>
      <c r="L45" s="147">
        <f>IF(t&lt;Tvie,1-EXP((T0-t)*PertePVj)+'2024'!Pspv,1-EXP((T0-t)*PertePVj)+Pspv)</f>
        <v>4.1525237017826622E-2</v>
      </c>
      <c r="M45" s="832"/>
      <c r="N45" s="832"/>
      <c r="O45" s="48">
        <f>IF(t&lt;Tnet,'2024'!Resal+('2024'!Salim-'2024'!Resal)*(1-EXP(('2024'!Tnet-t)/('2024'!Tau_j))),Resal+(Salim-Resal)*(1-EXP((Tnet-t)/(Tau_j))))*Salcycl</f>
        <v>5.447257688095155E-2</v>
      </c>
      <c r="P45" s="169">
        <f>(INDEX(Models!$BJ45:$BT45,,T45)*(1-R45)+INDEX(Models!$BJ45:$BT45,,T45+1)*R45-ERP_i)*Q45*Ramure*Pc/MaxiM</f>
        <v>3.3314828310358161E-2</v>
      </c>
      <c r="Q45" s="304">
        <f t="shared" si="4"/>
        <v>0.7</v>
      </c>
      <c r="R45" s="177">
        <f t="shared" si="5"/>
        <v>0.13595542672249139</v>
      </c>
      <c r="S45" s="799">
        <f t="shared" si="6"/>
        <v>1</v>
      </c>
      <c r="T45" s="176">
        <f t="shared" si="7"/>
        <v>7</v>
      </c>
      <c r="U45" s="250">
        <f t="shared" si="8"/>
        <v>1.1359554267224914</v>
      </c>
      <c r="V45" s="382">
        <f t="shared" si="9"/>
        <v>31.075569357194247</v>
      </c>
      <c r="W45" s="400">
        <f t="shared" si="10"/>
        <v>6.7703541667437293</v>
      </c>
      <c r="X45" s="157">
        <f t="shared" si="11"/>
        <v>45688</v>
      </c>
      <c r="Y45" s="383">
        <f t="shared" si="12"/>
        <v>6.7104586704280793</v>
      </c>
      <c r="Z45" s="383">
        <f t="shared" si="22"/>
        <v>7.0011845168977986</v>
      </c>
      <c r="AA45" s="384">
        <f t="shared" si="13"/>
        <v>7.4706187998927716</v>
      </c>
      <c r="AB45" s="197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6.2837402840272186E-2</v>
      </c>
      <c r="AD45" s="230">
        <f>(INDEX(Models!$BJ45:$BT45,,AH45)*(1-AF45)+INDEX(Models!$BJ45:$BT45,,AH45+1)*AF45-ERP_i)*AE45*Ramure*Pc/MaxiM</f>
        <v>3.4589303001842923E-2</v>
      </c>
      <c r="AE45" s="304">
        <f t="shared" si="15"/>
        <v>0.7</v>
      </c>
      <c r="AF45" s="177">
        <f t="shared" si="23"/>
        <v>0.20028764898232354</v>
      </c>
      <c r="AG45" s="799">
        <f t="shared" si="24"/>
        <v>1</v>
      </c>
      <c r="AH45" s="176">
        <f t="shared" si="16"/>
        <v>7</v>
      </c>
      <c r="AI45" s="224">
        <f t="shared" si="17"/>
        <v>1.2002876489823235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45689</v>
      </c>
      <c r="B46" s="409">
        <f>'2024'!Wh/'2024'!Env_an*'2025'!Env_an</f>
        <v>16.984487375146951</v>
      </c>
      <c r="C46" s="829"/>
      <c r="D46" s="391">
        <f t="shared" si="0"/>
        <v>17.720667816401271</v>
      </c>
      <c r="E46" s="383">
        <f t="shared" si="1"/>
        <v>18.742554139490984</v>
      </c>
      <c r="F46" s="383">
        <f t="shared" si="2"/>
        <v>18.96016701636314</v>
      </c>
      <c r="G46" s="110">
        <f t="shared" si="21"/>
        <v>0.52910054940718831</v>
      </c>
      <c r="H46" s="412" t="b">
        <f>Wh_hp&gt;='2024'!Maxi_hp</f>
        <v>0</v>
      </c>
      <c r="I46" s="388">
        <f>IF(H46,Wh_hp,'2024'!Maxi_hp)</f>
        <v>19.204267390617314</v>
      </c>
      <c r="J46" s="85">
        <f>IF(H46,An,'2024'!An_max)</f>
        <v>2022</v>
      </c>
      <c r="K46" s="197">
        <f t="shared" si="3"/>
        <v>45689</v>
      </c>
      <c r="L46" s="147">
        <f>IF(t&lt;Tvie,1-EXP((T0-t)*PertePVj)+'2024'!Pspv,1-EXP((T0-t)*PertePVj)+Pspv)</f>
        <v>4.1543605967995889E-2</v>
      </c>
      <c r="M46" s="832"/>
      <c r="N46" s="832"/>
      <c r="O46" s="48">
        <f>IF(t&lt;Tnet,'2024'!Resal+('2024'!Salim-'2024'!Resal)*(1-EXP(('2024'!Tnet-t)/('2024'!Tau_j))),Resal+(Salim-Resal)*(1-EXP((Tnet-t)/(Tau_j))))*Salcycl</f>
        <v>5.4522255370551449E-2</v>
      </c>
      <c r="P46" s="169">
        <f>(INDEX(Models!$BJ46:$BT46,,T46)*(1-R46)+INDEX(Models!$BJ46:$BT46,,T46+1)*R46-ERP_i)*Q46*Ramure*Pc/MaxiM</f>
        <v>3.332839051098329E-2</v>
      </c>
      <c r="Q46" s="304">
        <f t="shared" si="4"/>
        <v>0.7</v>
      </c>
      <c r="R46" s="177">
        <f t="shared" si="5"/>
        <v>0.13603506559484391</v>
      </c>
      <c r="S46" s="799">
        <f t="shared" si="6"/>
        <v>1</v>
      </c>
      <c r="T46" s="176">
        <f t="shared" si="7"/>
        <v>7</v>
      </c>
      <c r="U46" s="250">
        <f t="shared" si="8"/>
        <v>1.1360350655948439</v>
      </c>
      <c r="V46" s="382">
        <f t="shared" si="9"/>
        <v>31.391103259221488</v>
      </c>
      <c r="W46" s="400">
        <f t="shared" si="10"/>
        <v>16.984487375146951</v>
      </c>
      <c r="X46" s="157">
        <f t="shared" si="11"/>
        <v>45689</v>
      </c>
      <c r="Y46" s="383">
        <f t="shared" si="12"/>
        <v>16.827087186483286</v>
      </c>
      <c r="Z46" s="383">
        <f t="shared" si="22"/>
        <v>17.556445229287508</v>
      </c>
      <c r="AA46" s="384">
        <f t="shared" si="13"/>
        <v>18.734414450243598</v>
      </c>
      <c r="AB46" s="197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6.2877290565159477E-2</v>
      </c>
      <c r="AD46" s="230">
        <f>(INDEX(Models!$BJ46:$BT46,,AH46)*(1-AF46)+INDEX(Models!$BJ46:$BT46,,AH46+1)*AF46-ERP_i)*AE46*Ramure*Pc/MaxiM</f>
        <v>3.4575020516404847E-2</v>
      </c>
      <c r="AE46" s="304">
        <f t="shared" si="15"/>
        <v>0.7</v>
      </c>
      <c r="AF46" s="177">
        <f t="shared" si="23"/>
        <v>0.20036728785467606</v>
      </c>
      <c r="AG46" s="799">
        <f t="shared" si="24"/>
        <v>1</v>
      </c>
      <c r="AH46" s="176">
        <f t="shared" si="16"/>
        <v>7</v>
      </c>
      <c r="AI46" s="224">
        <f t="shared" si="17"/>
        <v>1.2003672878546761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45690</v>
      </c>
      <c r="B47" s="409">
        <f>'2024'!Wh/'2024'!Env_an*'2025'!Env_an</f>
        <v>6.2343510454191504</v>
      </c>
      <c r="C47" s="829"/>
      <c r="D47" s="391">
        <f t="shared" si="0"/>
        <v>6.5046991876151266</v>
      </c>
      <c r="E47" s="383">
        <f t="shared" si="1"/>
        <v>6.8801631473074725</v>
      </c>
      <c r="F47" s="383">
        <f t="shared" si="2"/>
        <v>6.8801631473074725</v>
      </c>
      <c r="G47" s="110">
        <f t="shared" si="21"/>
        <v>0.19007315395815641</v>
      </c>
      <c r="H47" s="412" t="b">
        <f>Wh_hp&gt;='2024'!Maxi_hp</f>
        <v>0</v>
      </c>
      <c r="I47" s="388">
        <f>IF(H47,Wh_hp,'2024'!Maxi_hp)</f>
        <v>33.054204591173026</v>
      </c>
      <c r="J47" s="85">
        <f>IF(H47,An,'2024'!An_max)</f>
        <v>2021</v>
      </c>
      <c r="K47" s="197">
        <f t="shared" si="3"/>
        <v>45690</v>
      </c>
      <c r="L47" s="147">
        <f>IF(t&lt;Tvie,1-EXP((T0-t)*PertePVj)+'2024'!Pspv,1-EXP((T0-t)*PertePVj)+Pspv)</f>
        <v>4.1561974566128423E-2</v>
      </c>
      <c r="M47" s="832"/>
      <c r="N47" s="832"/>
      <c r="O47" s="48">
        <f>IF(t&lt;Tnet,'2024'!Resal+('2024'!Salim-'2024'!Resal)*(1-EXP(('2024'!Tnet-t)/('2024'!Tau_j))),Resal+(Salim-Resal)*(1-EXP((Tnet-t)/(Tau_j))))*Salcycl</f>
        <v>5.457195587568045E-2</v>
      </c>
      <c r="P47" s="169">
        <f>(INDEX(Models!$BJ47:$BT47,,T47)*(1-R47)+INDEX(Models!$BJ47:$BT47,,T47+1)*R47-ERP_i)*Q47*Ramure*Pc/MaxiM</f>
        <v>3.3332610088327434E-2</v>
      </c>
      <c r="Q47" s="304">
        <f t="shared" si="4"/>
        <v>0.7</v>
      </c>
      <c r="R47" s="177">
        <f t="shared" si="5"/>
        <v>0.13611801164703974</v>
      </c>
      <c r="S47" s="799">
        <f t="shared" si="6"/>
        <v>1</v>
      </c>
      <c r="T47" s="176">
        <f t="shared" si="7"/>
        <v>7</v>
      </c>
      <c r="U47" s="250">
        <f t="shared" si="8"/>
        <v>1.1361180116470397</v>
      </c>
      <c r="V47" s="382">
        <f t="shared" si="9"/>
        <v>31.706444215657875</v>
      </c>
      <c r="W47" s="400">
        <f t="shared" si="10"/>
        <v>6.2343510454191504</v>
      </c>
      <c r="X47" s="157">
        <f t="shared" si="11"/>
        <v>45690</v>
      </c>
      <c r="Y47" s="383">
        <f t="shared" si="12"/>
        <v>6.1793205952413839</v>
      </c>
      <c r="Z47" s="383">
        <f t="shared" si="22"/>
        <v>6.4472823816063549</v>
      </c>
      <c r="AA47" s="384">
        <f t="shared" si="13"/>
        <v>6.8801631473074725</v>
      </c>
      <c r="AB47" s="197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6.2917223971719921E-2</v>
      </c>
      <c r="AD47" s="230">
        <f>(INDEX(Models!$BJ47:$BT47,,AH47)*(1-AF47)+INDEX(Models!$BJ47:$BT47,,AH47+1)*AF47-ERP_i)*AE47*Ramure*Pc/MaxiM</f>
        <v>3.4555868840612312E-2</v>
      </c>
      <c r="AE47" s="304">
        <f t="shared" si="15"/>
        <v>0.7</v>
      </c>
      <c r="AF47" s="177">
        <f t="shared" si="23"/>
        <v>0.20045023390687189</v>
      </c>
      <c r="AG47" s="799">
        <f t="shared" si="24"/>
        <v>1</v>
      </c>
      <c r="AH47" s="176">
        <f t="shared" si="16"/>
        <v>7</v>
      </c>
      <c r="AI47" s="224">
        <f t="shared" si="17"/>
        <v>1.2004502339068719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45691</v>
      </c>
      <c r="B48" s="409">
        <f>'2024'!Wh/'2024'!Env_an*'2025'!Env_an</f>
        <v>14.727176567858837</v>
      </c>
      <c r="C48" s="829"/>
      <c r="D48" s="391">
        <f t="shared" si="0"/>
        <v>15.366104458950554</v>
      </c>
      <c r="E48" s="383">
        <f t="shared" si="1"/>
        <v>16.253920851780389</v>
      </c>
      <c r="F48" s="383">
        <f t="shared" si="2"/>
        <v>16.378632979107625</v>
      </c>
      <c r="G48" s="110">
        <f t="shared" si="21"/>
        <v>0.44800654776441057</v>
      </c>
      <c r="H48" s="412" t="b">
        <f>Wh_hp&gt;='2024'!Maxi_hp</f>
        <v>0</v>
      </c>
      <c r="I48" s="388">
        <f>IF(H48,Wh_hp,'2024'!Maxi_hp)</f>
        <v>27.412753039742405</v>
      </c>
      <c r="J48" s="85">
        <f>IF(H48,An,'2024'!An_max)</f>
        <v>2020</v>
      </c>
      <c r="K48" s="197">
        <f t="shared" si="3"/>
        <v>45691</v>
      </c>
      <c r="L48" s="147">
        <f>IF(t&lt;Tvie,1-EXP((T0-t)*PertePVj)+'2024'!Pspv,1-EXP((T0-t)*PertePVj)+Pspv)</f>
        <v>4.1580342812231108E-2</v>
      </c>
      <c r="M48" s="832"/>
      <c r="N48" s="832"/>
      <c r="O48" s="48">
        <f>IF(t&lt;Tnet,'2024'!Resal+('2024'!Salim-'2024'!Resal)*(1-EXP(('2024'!Tnet-t)/('2024'!Tau_j))),Resal+(Salim-Resal)*(1-EXP((Tnet-t)/(Tau_j))))*Salcycl</f>
        <v>5.462167565142214E-2</v>
      </c>
      <c r="P48" s="169">
        <f>(INDEX(Models!$BJ48:$BT48,,T48)*(1-R48)+INDEX(Models!$BJ48:$BT48,,T48+1)*R48-ERP_i)*Q48*Ramure*Pc/MaxiM</f>
        <v>3.332850398489922E-2</v>
      </c>
      <c r="Q48" s="304">
        <f t="shared" si="4"/>
        <v>0.7</v>
      </c>
      <c r="R48" s="177">
        <f t="shared" si="5"/>
        <v>0.13620440074674622</v>
      </c>
      <c r="S48" s="799">
        <f t="shared" si="6"/>
        <v>1</v>
      </c>
      <c r="T48" s="176">
        <f t="shared" si="7"/>
        <v>7</v>
      </c>
      <c r="U48" s="250">
        <f t="shared" si="8"/>
        <v>1.1362044007467462</v>
      </c>
      <c r="V48" s="382">
        <f t="shared" si="9"/>
        <v>32.020901574033722</v>
      </c>
      <c r="W48" s="400">
        <f t="shared" si="10"/>
        <v>14.727176567858837</v>
      </c>
      <c r="X48" s="157">
        <f t="shared" si="11"/>
        <v>45691</v>
      </c>
      <c r="Y48" s="383">
        <f t="shared" si="12"/>
        <v>14.593278198742576</v>
      </c>
      <c r="Z48" s="383">
        <f t="shared" si="22"/>
        <v>15.226397006049233</v>
      </c>
      <c r="AA48" s="384">
        <f t="shared" si="13"/>
        <v>16.249414650793131</v>
      </c>
      <c r="AB48" s="197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6.2957199796360996E-2</v>
      </c>
      <c r="AD48" s="230">
        <f>(INDEX(Models!$BJ48:$BT48,,AH48)*(1-AF48)+INDEX(Models!$BJ48:$BT48,,AH48+1)*AF48-ERP_i)*AE48*Ramure*Pc/MaxiM</f>
        <v>3.4532756857327686E-2</v>
      </c>
      <c r="AE48" s="304">
        <f t="shared" si="15"/>
        <v>0.7</v>
      </c>
      <c r="AF48" s="177">
        <f t="shared" si="23"/>
        <v>0.20053662300657837</v>
      </c>
      <c r="AG48" s="799">
        <f t="shared" si="24"/>
        <v>1</v>
      </c>
      <c r="AH48" s="176">
        <f t="shared" si="16"/>
        <v>7</v>
      </c>
      <c r="AI48" s="224">
        <f t="shared" si="17"/>
        <v>1.2005366230065784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45692</v>
      </c>
      <c r="B49" s="409">
        <f>'2024'!Wh/'2024'!Env_an*'2025'!Env_an</f>
        <v>13.300741039498329</v>
      </c>
      <c r="C49" s="829"/>
      <c r="D49" s="391">
        <f t="shared" si="0"/>
        <v>13.878050027771289</v>
      </c>
      <c r="E49" s="383">
        <f t="shared" si="1"/>
        <v>14.680662570666115</v>
      </c>
      <c r="F49" s="383">
        <f t="shared" si="2"/>
        <v>14.758886763067725</v>
      </c>
      <c r="G49" s="110">
        <f t="shared" si="21"/>
        <v>0.39977100951718791</v>
      </c>
      <c r="H49" s="412" t="b">
        <f>Wh_hp&gt;='2024'!Maxi_hp</f>
        <v>0</v>
      </c>
      <c r="I49" s="388">
        <f>IF(H49,Wh_hp,'2024'!Maxi_hp)</f>
        <v>16.754733277342279</v>
      </c>
      <c r="J49" s="85">
        <f>IF(H49,An,'2024'!An_max)</f>
        <v>2020</v>
      </c>
      <c r="K49" s="197">
        <f t="shared" si="3"/>
        <v>45692</v>
      </c>
      <c r="L49" s="147">
        <f>IF(t&lt;Tvie,1-EXP((T0-t)*PertePVj)+'2024'!Pspv,1-EXP((T0-t)*PertePVj)+Pspv)</f>
        <v>4.1598710706310382E-2</v>
      </c>
      <c r="M49" s="832"/>
      <c r="N49" s="832"/>
      <c r="O49" s="48">
        <f>IF(t&lt;Tnet,'2024'!Resal+('2024'!Salim-'2024'!Resal)*(1-EXP(('2024'!Tnet-t)/('2024'!Tau_j))),Resal+(Salim-Resal)*(1-EXP((Tnet-t)/(Tau_j))))*Salcycl</f>
        <v>5.4671411391101023E-2</v>
      </c>
      <c r="P49" s="169">
        <f>(INDEX(Models!$BJ49:$BT49,,T49)*(1-R49)+INDEX(Models!$BJ49:$BT49,,T49+1)*R49-ERP_i)*Q49*Ramure*Pc/MaxiM</f>
        <v>3.3317048568006845E-2</v>
      </c>
      <c r="Q49" s="304">
        <f t="shared" si="4"/>
        <v>0.7</v>
      </c>
      <c r="R49" s="177">
        <f t="shared" si="5"/>
        <v>0.13629437421823898</v>
      </c>
      <c r="S49" s="799">
        <f t="shared" si="6"/>
        <v>1</v>
      </c>
      <c r="T49" s="176">
        <f t="shared" si="7"/>
        <v>7</v>
      </c>
      <c r="U49" s="250">
        <f t="shared" si="8"/>
        <v>1.136294374218239</v>
      </c>
      <c r="V49" s="382">
        <f t="shared" si="9"/>
        <v>32.333784870113249</v>
      </c>
      <c r="W49" s="400">
        <f t="shared" si="10"/>
        <v>13.300741039498329</v>
      </c>
      <c r="X49" s="157">
        <f t="shared" si="11"/>
        <v>45692</v>
      </c>
      <c r="Y49" s="383">
        <f t="shared" si="12"/>
        <v>13.181089264083589</v>
      </c>
      <c r="Z49" s="383">
        <f t="shared" si="22"/>
        <v>13.753204854093655</v>
      </c>
      <c r="AA49" s="384">
        <f t="shared" si="13"/>
        <v>14.677869758259645</v>
      </c>
      <c r="AB49" s="197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6.2997214132224852E-2</v>
      </c>
      <c r="AD49" s="230">
        <f>(INDEX(Models!$BJ49:$BT49,,AH49)*(1-AF49)+INDEX(Models!$BJ49:$BT49,,AH49+1)*AF49-ERP_i)*AE49*Ramure*Pc/MaxiM</f>
        <v>3.4506556106928134E-2</v>
      </c>
      <c r="AE49" s="304">
        <f t="shared" si="15"/>
        <v>0.7</v>
      </c>
      <c r="AF49" s="177">
        <f t="shared" si="23"/>
        <v>0.20062659647807113</v>
      </c>
      <c r="AG49" s="799">
        <f t="shared" si="24"/>
        <v>1</v>
      </c>
      <c r="AH49" s="176">
        <f t="shared" si="16"/>
        <v>7</v>
      </c>
      <c r="AI49" s="224">
        <f t="shared" si="17"/>
        <v>1.2006265964780711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45693</v>
      </c>
      <c r="B50" s="409">
        <f>'2024'!Wh/'2024'!Env_an*'2025'!Env_an</f>
        <v>9.7693817543716186</v>
      </c>
      <c r="C50" s="829"/>
      <c r="D50" s="391">
        <f t="shared" si="0"/>
        <v>10.193610020216365</v>
      </c>
      <c r="E50" s="383">
        <f t="shared" si="1"/>
        <v>10.783706966513247</v>
      </c>
      <c r="F50" s="383">
        <f t="shared" si="2"/>
        <v>10.783706966513247</v>
      </c>
      <c r="G50" s="110">
        <f t="shared" si="21"/>
        <v>0.28930132706943656</v>
      </c>
      <c r="H50" s="412" t="b">
        <f>Wh_hp&gt;='2024'!Maxi_hp</f>
        <v>0</v>
      </c>
      <c r="I50" s="388">
        <f>IF(H50,Wh_hp,'2024'!Maxi_hp)</f>
        <v>35.887391837973411</v>
      </c>
      <c r="J50" s="85">
        <f>IF(H50,An,'2024'!An_max)</f>
        <v>2020</v>
      </c>
      <c r="K50" s="197">
        <f t="shared" si="3"/>
        <v>45693</v>
      </c>
      <c r="L50" s="147">
        <f>IF(t&lt;Tvie,1-EXP((T0-t)*PertePVj)+'2024'!Pspv,1-EXP((T0-t)*PertePVj)+Pspv)</f>
        <v>4.161707824837324E-2</v>
      </c>
      <c r="M50" s="832"/>
      <c r="N50" s="832"/>
      <c r="O50" s="48">
        <f>IF(t&lt;Tnet,'2024'!Resal+('2024'!Salim-'2024'!Resal)*(1-EXP(('2024'!Tnet-t)/('2024'!Tau_j))),Resal+(Salim-Resal)*(1-EXP((Tnet-t)/(Tau_j))))*Salcycl</f>
        <v>5.4721159257138142E-2</v>
      </c>
      <c r="P50" s="169">
        <f>(INDEX(Models!$BJ50:$BT50,,T50)*(1-R50)+INDEX(Models!$BJ50:$BT50,,T50+1)*R50-ERP_i)*Q50*Ramure*Pc/MaxiM</f>
        <v>3.3299180450146126E-2</v>
      </c>
      <c r="Q50" s="304">
        <f t="shared" si="4"/>
        <v>0.7</v>
      </c>
      <c r="R50" s="177">
        <f t="shared" si="5"/>
        <v>0.13638807905086359</v>
      </c>
      <c r="S50" s="799">
        <f t="shared" si="6"/>
        <v>1</v>
      </c>
      <c r="T50" s="176">
        <f t="shared" si="7"/>
        <v>7</v>
      </c>
      <c r="U50" s="250">
        <f t="shared" si="8"/>
        <v>1.1363880790508636</v>
      </c>
      <c r="V50" s="382">
        <f t="shared" si="9"/>
        <v>32.644403826670732</v>
      </c>
      <c r="W50" s="400">
        <f t="shared" si="10"/>
        <v>9.7693817543716186</v>
      </c>
      <c r="X50" s="157">
        <f t="shared" si="11"/>
        <v>45693</v>
      </c>
      <c r="Y50" s="383">
        <f t="shared" si="12"/>
        <v>9.6834354880950197</v>
      </c>
      <c r="Z50" s="383">
        <f t="shared" si="22"/>
        <v>10.103931600113139</v>
      </c>
      <c r="AA50" s="384">
        <f t="shared" si="13"/>
        <v>10.783706966513247</v>
      </c>
      <c r="AB50" s="197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6.3037262465590119E-2</v>
      </c>
      <c r="AD50" s="230">
        <f>(INDEX(Models!$BJ50:$BT50,,AH50)*(1-AF50)+INDEX(Models!$BJ50:$BT50,,AH50+1)*AF50-ERP_i)*AE50*Ramure*Pc/MaxiM</f>
        <v>3.4478102325465693E-2</v>
      </c>
      <c r="AE50" s="304">
        <f t="shared" si="15"/>
        <v>0.7</v>
      </c>
      <c r="AF50" s="177">
        <f t="shared" si="23"/>
        <v>0.20072030131069574</v>
      </c>
      <c r="AG50" s="799">
        <f t="shared" si="24"/>
        <v>1</v>
      </c>
      <c r="AH50" s="176">
        <f t="shared" si="16"/>
        <v>7</v>
      </c>
      <c r="AI50" s="224">
        <f t="shared" si="17"/>
        <v>1.2007203013106957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45694</v>
      </c>
      <c r="B51" s="409">
        <f>'2024'!Wh/'2024'!Env_an*'2025'!Env_an</f>
        <v>25.712457274983038</v>
      </c>
      <c r="C51" s="829"/>
      <c r="D51" s="391">
        <f t="shared" si="0"/>
        <v>26.829516129950992</v>
      </c>
      <c r="E51" s="383">
        <f t="shared" si="1"/>
        <v>28.384141530836303</v>
      </c>
      <c r="F51" s="383">
        <f t="shared" si="2"/>
        <v>29.047244070359625</v>
      </c>
      <c r="G51" s="110">
        <f t="shared" si="21"/>
        <v>0.77191236557268628</v>
      </c>
      <c r="H51" s="412" t="b">
        <f>Wh_hp&gt;='2024'!Maxi_hp</f>
        <v>0</v>
      </c>
      <c r="I51" s="388">
        <f>IF(H51,Wh_hp,'2024'!Maxi_hp)</f>
        <v>39.205696557026307</v>
      </c>
      <c r="J51" s="85">
        <f>IF(H51,An,'2024'!An_max)</f>
        <v>2020</v>
      </c>
      <c r="K51" s="197">
        <f t="shared" si="3"/>
        <v>45694</v>
      </c>
      <c r="L51" s="147">
        <f>IF(t&lt;Tvie,1-EXP((T0-t)*PertePVj)+'2024'!Pspv,1-EXP((T0-t)*PertePVj)+Pspv)</f>
        <v>4.1635445438426344E-2</v>
      </c>
      <c r="M51" s="832"/>
      <c r="N51" s="832"/>
      <c r="O51" s="48">
        <f>IF(t&lt;Tnet,'2024'!Resal+('2024'!Salim-'2024'!Resal)*(1-EXP(('2024'!Tnet-t)/('2024'!Tau_j))),Resal+(Salim-Resal)*(1-EXP((Tnet-t)/(Tau_j))))*Salcycl</f>
        <v>5.4770914920797518E-2</v>
      </c>
      <c r="P51" s="169">
        <f>(INDEX(Models!$BJ51:$BT51,,T51)*(1-R51)+INDEX(Models!$BJ51:$BT51,,T51+1)*R51-ERP_i)*Q51*Ramure*Pc/MaxiM</f>
        <v>3.3273907729730968E-2</v>
      </c>
      <c r="Q51" s="304">
        <f t="shared" si="4"/>
        <v>0.7</v>
      </c>
      <c r="R51" s="177">
        <f t="shared" si="5"/>
        <v>0.13648566811453899</v>
      </c>
      <c r="S51" s="799">
        <f t="shared" si="6"/>
        <v>1</v>
      </c>
      <c r="T51" s="176">
        <f t="shared" si="7"/>
        <v>7</v>
      </c>
      <c r="U51" s="250">
        <f t="shared" si="8"/>
        <v>1.136485668114539</v>
      </c>
      <c r="V51" s="382">
        <f t="shared" si="9"/>
        <v>32.954004425640299</v>
      </c>
      <c r="W51" s="400">
        <f t="shared" si="10"/>
        <v>25.712457274983038</v>
      </c>
      <c r="X51" s="157">
        <f t="shared" si="11"/>
        <v>45694</v>
      </c>
      <c r="Y51" s="383">
        <f t="shared" si="12"/>
        <v>25.465525040564003</v>
      </c>
      <c r="Z51" s="383">
        <f t="shared" si="22"/>
        <v>26.571856105648447</v>
      </c>
      <c r="AA51" s="384">
        <f t="shared" si="13"/>
        <v>28.360778570321717</v>
      </c>
      <c r="AB51" s="197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6.3077339722446751E-2</v>
      </c>
      <c r="AD51" s="230">
        <f>(INDEX(Models!$BJ51:$BT51,,AH51)*(1-AF51)+INDEX(Models!$BJ51:$BT51,,AH51+1)*AF51-ERP_i)*AE51*Ramure*Pc/MaxiM</f>
        <v>3.444624073423793E-2</v>
      </c>
      <c r="AE51" s="304">
        <f t="shared" si="15"/>
        <v>0.7</v>
      </c>
      <c r="AF51" s="177">
        <f t="shared" si="23"/>
        <v>0.20081789037437114</v>
      </c>
      <c r="AG51" s="799">
        <f t="shared" si="24"/>
        <v>1</v>
      </c>
      <c r="AH51" s="176">
        <f t="shared" si="16"/>
        <v>7</v>
      </c>
      <c r="AI51" s="224">
        <f t="shared" si="17"/>
        <v>1.2008178903743711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45695</v>
      </c>
      <c r="B52" s="409">
        <f>'2024'!Wh/'2024'!Env_an*'2025'!Env_an</f>
        <v>11.610314908073414</v>
      </c>
      <c r="C52" s="829"/>
      <c r="D52" s="391">
        <f t="shared" si="0"/>
        <v>12.11494870726497</v>
      </c>
      <c r="E52" s="383">
        <f t="shared" si="1"/>
        <v>12.817619227390198</v>
      </c>
      <c r="F52" s="383">
        <f t="shared" si="2"/>
        <v>12.847464735719875</v>
      </c>
      <c r="G52" s="110">
        <f t="shared" si="21"/>
        <v>0.3382169460061516</v>
      </c>
      <c r="H52" s="412" t="b">
        <f>Wh_hp&gt;='2024'!Maxi_hp</f>
        <v>0</v>
      </c>
      <c r="I52" s="388">
        <f>IF(H52,Wh_hp,'2024'!Maxi_hp)</f>
        <v>26.902092201697947</v>
      </c>
      <c r="J52" s="85">
        <f>IF(H52,An,'2024'!An_max)</f>
        <v>2020</v>
      </c>
      <c r="K52" s="197">
        <f t="shared" si="3"/>
        <v>45695</v>
      </c>
      <c r="L52" s="147">
        <f>IF(t&lt;Tvie,1-EXP((T0-t)*PertePVj)+'2024'!Pspv,1-EXP((T0-t)*PertePVj)+Pspv)</f>
        <v>4.1653812276476465E-2</v>
      </c>
      <c r="M52" s="832"/>
      <c r="N52" s="832"/>
      <c r="O52" s="48">
        <f>IF(t&lt;Tnet,'2024'!Resal+('2024'!Salim-'2024'!Resal)*(1-EXP(('2024'!Tnet-t)/('2024'!Tau_j))),Resal+(Salim-Resal)*(1-EXP((Tnet-t)/(Tau_j))))*Salcycl</f>
        <v>5.4820673610250378E-2</v>
      </c>
      <c r="P52" s="169">
        <f>(INDEX(Models!$BJ52:$BT52,,T52)*(1-R52)+INDEX(Models!$BJ52:$BT52,,T52+1)*R52-ERP_i)*Q52*Ramure*Pc/MaxiM</f>
        <v>3.3179121621428782E-2</v>
      </c>
      <c r="Q52" s="304">
        <f t="shared" si="4"/>
        <v>0.7</v>
      </c>
      <c r="R52" s="177">
        <f t="shared" si="5"/>
        <v>0.13658730038246003</v>
      </c>
      <c r="S52" s="799">
        <f t="shared" si="6"/>
        <v>1</v>
      </c>
      <c r="T52" s="176">
        <f t="shared" si="7"/>
        <v>7</v>
      </c>
      <c r="U52" s="250">
        <f t="shared" si="8"/>
        <v>1.13658730038246</v>
      </c>
      <c r="V52" s="382">
        <f t="shared" si="9"/>
        <v>33.266317212622859</v>
      </c>
      <c r="W52" s="400">
        <f t="shared" si="10"/>
        <v>11.610314908073414</v>
      </c>
      <c r="X52" s="157">
        <f t="shared" si="11"/>
        <v>45695</v>
      </c>
      <c r="Y52" s="383">
        <f t="shared" si="12"/>
        <v>11.507455592360483</v>
      </c>
      <c r="Z52" s="383">
        <f t="shared" si="22"/>
        <v>12.007618687037869</v>
      </c>
      <c r="AA52" s="384">
        <f t="shared" si="13"/>
        <v>12.816567629562545</v>
      </c>
      <c r="AB52" s="197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6.3117440324565732E-2</v>
      </c>
      <c r="AD52" s="230">
        <f>(INDEX(Models!$BJ52:$BT52,,AH52)*(1-AF52)+INDEX(Models!$BJ52:$BT52,,AH52+1)*AF52-ERP_i)*AE52*Ramure*Pc/MaxiM</f>
        <v>3.4348178346318814E-2</v>
      </c>
      <c r="AE52" s="304">
        <f t="shared" si="15"/>
        <v>0.7</v>
      </c>
      <c r="AF52" s="177">
        <f t="shared" si="23"/>
        <v>0.20091952264229218</v>
      </c>
      <c r="AG52" s="799">
        <f t="shared" si="24"/>
        <v>1</v>
      </c>
      <c r="AH52" s="176">
        <f t="shared" si="16"/>
        <v>7</v>
      </c>
      <c r="AI52" s="224">
        <f t="shared" si="17"/>
        <v>1.2009195226422922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45696</v>
      </c>
      <c r="B53" s="409">
        <f>'2024'!Wh/'2024'!Env_an*'2025'!Env_an</f>
        <v>33.418910027891414</v>
      </c>
      <c r="C53" s="829"/>
      <c r="D53" s="391">
        <f t="shared" si="0"/>
        <v>34.872106691777184</v>
      </c>
      <c r="E53" s="383">
        <f t="shared" si="1"/>
        <v>36.896641269951395</v>
      </c>
      <c r="F53" s="383">
        <f t="shared" si="2"/>
        <v>38.146923353625894</v>
      </c>
      <c r="G53" s="110">
        <f t="shared" si="21"/>
        <v>0.99491756272170251</v>
      </c>
      <c r="H53" s="412" t="b">
        <f>Wh_hp&gt;='2024'!Maxi_hp</f>
        <v>0</v>
      </c>
      <c r="I53" s="388">
        <f>IF(H53,Wh_hp,'2024'!Maxi_hp)</f>
        <v>38.152331128620446</v>
      </c>
      <c r="J53" s="85">
        <f>IF(H53,An,'2024'!An_max)</f>
        <v>2022</v>
      </c>
      <c r="K53" s="197">
        <f t="shared" si="3"/>
        <v>45696</v>
      </c>
      <c r="L53" s="147">
        <f>IF(t&lt;Tvie,1-EXP((T0-t)*PertePVj)+'2024'!Pspv,1-EXP((T0-t)*PertePVj)+Pspv)</f>
        <v>4.1672178762530265E-2</v>
      </c>
      <c r="M53" s="832"/>
      <c r="N53" s="832"/>
      <c r="O53" s="48">
        <f>IF(t&lt;Tnet,'2024'!Resal+('2024'!Salim-'2024'!Resal)*(1-EXP(('2024'!Tnet-t)/('2024'!Tau_j))),Resal+(Salim-Resal)*(1-EXP((Tnet-t)/(Tau_j))))*Salcycl</f>
        <v>5.4870430166308777E-2</v>
      </c>
      <c r="P53" s="169">
        <f>(INDEX(Models!$BJ53:$BT53,,T53)*(1-R53)+INDEX(Models!$BJ53:$BT53,,T53+1)*R53-ERP_i)*Q53*Ramure*Pc/MaxiM</f>
        <v>3.3003979924305663E-2</v>
      </c>
      <c r="Q53" s="304">
        <f t="shared" si="4"/>
        <v>0.7</v>
      </c>
      <c r="R53" s="177">
        <f t="shared" si="5"/>
        <v>0.13669314116115316</v>
      </c>
      <c r="S53" s="799">
        <f t="shared" si="6"/>
        <v>1</v>
      </c>
      <c r="T53" s="176">
        <f t="shared" si="7"/>
        <v>7</v>
      </c>
      <c r="U53" s="250">
        <f t="shared" si="8"/>
        <v>1.1366931411611532</v>
      </c>
      <c r="V53" s="382">
        <f t="shared" si="9"/>
        <v>33.581690398006565</v>
      </c>
      <c r="W53" s="400">
        <f t="shared" si="10"/>
        <v>33.418910027891414</v>
      </c>
      <c r="X53" s="157">
        <f t="shared" si="11"/>
        <v>45696</v>
      </c>
      <c r="Y53" s="383">
        <f t="shared" si="12"/>
        <v>33.086193712237055</v>
      </c>
      <c r="Z53" s="383">
        <f t="shared" si="22"/>
        <v>34.524922452437529</v>
      </c>
      <c r="AA53" s="384">
        <f t="shared" si="13"/>
        <v>36.852432078231026</v>
      </c>
      <c r="AB53" s="197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6.3157558254299737E-2</v>
      </c>
      <c r="AD53" s="230">
        <f>(INDEX(Models!$BJ53:$BT53,,AH53)*(1-AF53)+INDEX(Models!$BJ53:$BT53,,AH53+1)*AF53-ERP_i)*AE53*Ramure*Pc/MaxiM</f>
        <v>3.4170979991778976E-2</v>
      </c>
      <c r="AE53" s="304">
        <f t="shared" si="15"/>
        <v>0.7</v>
      </c>
      <c r="AF53" s="177">
        <f t="shared" si="23"/>
        <v>0.20102536342098531</v>
      </c>
      <c r="AG53" s="799">
        <f t="shared" si="24"/>
        <v>1</v>
      </c>
      <c r="AH53" s="176">
        <f t="shared" si="16"/>
        <v>7</v>
      </c>
      <c r="AI53" s="224">
        <f t="shared" si="17"/>
        <v>1.2010253634209853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45697</v>
      </c>
      <c r="B54" s="409">
        <f>'2024'!Wh/'2024'!Env_an*'2025'!Env_an</f>
        <v>34.03091343976714</v>
      </c>
      <c r="C54" s="829"/>
      <c r="D54" s="391">
        <f t="shared" si="0"/>
        <v>35.511403188748737</v>
      </c>
      <c r="E54" s="383">
        <f t="shared" si="1"/>
        <v>37.575030599133221</v>
      </c>
      <c r="F54" s="383">
        <f t="shared" si="2"/>
        <v>38.847312619802175</v>
      </c>
      <c r="G54" s="110">
        <f t="shared" si="21"/>
        <v>1.0038610536611314</v>
      </c>
      <c r="H54" s="412" t="b">
        <f>Wh_hp&gt;='2024'!Maxi_hp</f>
        <v>1</v>
      </c>
      <c r="I54" s="388">
        <f>IF(H54,Wh_hp,'2024'!Maxi_hp)</f>
        <v>38.847312619802175</v>
      </c>
      <c r="J54" s="85">
        <f>IF(H54,An,'2024'!An_max)</f>
        <v>2025</v>
      </c>
      <c r="K54" s="197">
        <f t="shared" si="3"/>
        <v>45697</v>
      </c>
      <c r="L54" s="147">
        <f>IF(t&lt;Tvie,1-EXP((T0-t)*PertePVj)+'2024'!Pspv,1-EXP((T0-t)*PertePVj)+Pspv)</f>
        <v>4.1690544896594517E-2</v>
      </c>
      <c r="M54" s="832"/>
      <c r="N54" s="832"/>
      <c r="O54" s="48">
        <f>IF(t&lt;Tnet,'2024'!Resal+('2024'!Salim-'2024'!Resal)*(1-EXP(('2024'!Tnet-t)/('2024'!Tau_j))),Resal+(Salim-Resal)*(1-EXP((Tnet-t)/(Tau_j))))*Salcycl</f>
        <v>5.4920179105112758E-2</v>
      </c>
      <c r="P54" s="169">
        <f>(INDEX(Models!$BJ54:$BT54,,T54)*(1-R54)+INDEX(Models!$BJ54:$BT54,,T54+1)*R54-ERP_i)*Q54*Ramure*Pc/MaxiM</f>
        <v>3.2750837441980797E-2</v>
      </c>
      <c r="Q54" s="304">
        <f t="shared" si="4"/>
        <v>0.7</v>
      </c>
      <c r="R54" s="177">
        <f t="shared" si="5"/>
        <v>0.13680336232802603</v>
      </c>
      <c r="S54" s="799">
        <f t="shared" si="6"/>
        <v>1</v>
      </c>
      <c r="T54" s="176">
        <f t="shared" si="7"/>
        <v>7</v>
      </c>
      <c r="U54" s="250">
        <f t="shared" si="8"/>
        <v>1.136803362328026</v>
      </c>
      <c r="V54" s="382">
        <f t="shared" si="9"/>
        <v>33.900023629420325</v>
      </c>
      <c r="W54" s="400">
        <f t="shared" si="10"/>
        <v>34.03091343976714</v>
      </c>
      <c r="X54" s="157">
        <f t="shared" si="11"/>
        <v>45697</v>
      </c>
      <c r="Y54" s="383">
        <f t="shared" si="12"/>
        <v>33.692183781611334</v>
      </c>
      <c r="Z54" s="383">
        <f t="shared" si="22"/>
        <v>35.157937347050186</v>
      </c>
      <c r="AA54" s="384">
        <f t="shared" si="13"/>
        <v>37.529729446586863</v>
      </c>
      <c r="AB54" s="197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6.319768712727504E-2</v>
      </c>
      <c r="AD54" s="230">
        <f>(INDEX(Models!$BJ54:$BT54,,AH54)*(1-AF54)+INDEX(Models!$BJ54:$BT54,,AH54+1)*AF54-ERP_i)*AE54*Ramure*Pc/MaxiM</f>
        <v>3.3916970939804059E-2</v>
      </c>
      <c r="AE54" s="304">
        <f t="shared" si="15"/>
        <v>0.7</v>
      </c>
      <c r="AF54" s="177">
        <f t="shared" si="23"/>
        <v>0.20113558458785818</v>
      </c>
      <c r="AG54" s="799">
        <f t="shared" si="24"/>
        <v>1</v>
      </c>
      <c r="AH54" s="176">
        <f t="shared" si="16"/>
        <v>7</v>
      </c>
      <c r="AI54" s="224">
        <f t="shared" si="17"/>
        <v>1.2011355845878582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45698</v>
      </c>
      <c r="B55" s="409">
        <f>'2024'!Wh/'2024'!Env_an*'2025'!Env_an</f>
        <v>32.104496177795539</v>
      </c>
      <c r="C55" s="829"/>
      <c r="D55" s="391">
        <f t="shared" si="0"/>
        <v>33.501820621678142</v>
      </c>
      <c r="E55" s="383">
        <f t="shared" si="1"/>
        <v>35.450533419348247</v>
      </c>
      <c r="F55" s="383">
        <f t="shared" si="2"/>
        <v>36.530260639010713</v>
      </c>
      <c r="G55" s="110">
        <f t="shared" si="21"/>
        <v>0.93537640823433665</v>
      </c>
      <c r="H55" s="412" t="b">
        <f>Wh_hp&gt;='2024'!Maxi_hp</f>
        <v>0</v>
      </c>
      <c r="I55" s="388">
        <f>IF(H55,Wh_hp,'2024'!Maxi_hp)</f>
        <v>36.596337758972943</v>
      </c>
      <c r="J55" s="85">
        <f>IF(H55,An,'2024'!An_max)</f>
        <v>2022</v>
      </c>
      <c r="K55" s="197">
        <f t="shared" si="3"/>
        <v>45698</v>
      </c>
      <c r="L55" s="147">
        <f>IF(t&lt;Tvie,1-EXP((T0-t)*PertePVj)+'2024'!Pspv,1-EXP((T0-t)*PertePVj)+Pspv)</f>
        <v>4.1708910678676103E-2</v>
      </c>
      <c r="M55" s="832"/>
      <c r="N55" s="832"/>
      <c r="O55" s="48">
        <f>IF(t&lt;Tnet,'2024'!Resal+('2024'!Salim-'2024'!Resal)*(1-EXP(('2024'!Tnet-t)/('2024'!Tau_j))),Resal+(Salim-Resal)*(1-EXP((Tnet-t)/(Tau_j))))*Salcycl</f>
        <v>5.4969914686996899E-2</v>
      </c>
      <c r="P55" s="169">
        <f>(INDEX(Models!$BJ55:$BT55,,T55)*(1-R55)+INDEX(Models!$BJ55:$BT55,,T55+1)*R55-ERP_i)*Q55*Ramure*Pc/MaxiM</f>
        <v>3.2421962113707091E-2</v>
      </c>
      <c r="Q55" s="304">
        <f t="shared" si="4"/>
        <v>0.7</v>
      </c>
      <c r="R55" s="177">
        <f t="shared" si="5"/>
        <v>0.13691814257655599</v>
      </c>
      <c r="S55" s="799">
        <f t="shared" si="6"/>
        <v>1</v>
      </c>
      <c r="T55" s="176">
        <f t="shared" si="7"/>
        <v>7</v>
      </c>
      <c r="U55" s="250">
        <f t="shared" si="8"/>
        <v>1.136918142576556</v>
      </c>
      <c r="V55" s="382">
        <f t="shared" si="9"/>
        <v>34.221216628215011</v>
      </c>
      <c r="W55" s="400">
        <f t="shared" si="10"/>
        <v>32.104496177795539</v>
      </c>
      <c r="X55" s="157">
        <f t="shared" si="11"/>
        <v>45698</v>
      </c>
      <c r="Y55" s="383">
        <f t="shared" si="12"/>
        <v>31.788748844224013</v>
      </c>
      <c r="Z55" s="383">
        <f t="shared" si="22"/>
        <v>33.172330619016066</v>
      </c>
      <c r="AA55" s="384">
        <f t="shared" si="13"/>
        <v>35.411688619464272</v>
      </c>
      <c r="AB55" s="197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6.3237820272070561E-2</v>
      </c>
      <c r="AD55" s="230">
        <f>(INDEX(Models!$BJ55:$BT55,,AH55)*(1-AF55)+INDEX(Models!$BJ55:$BT55,,AH55+1)*AF55-ERP_i)*AE55*Ramure*Pc/MaxiM</f>
        <v>3.35883906404848E-2</v>
      </c>
      <c r="AE55" s="304">
        <f t="shared" si="15"/>
        <v>0.7</v>
      </c>
      <c r="AF55" s="177">
        <f t="shared" si="23"/>
        <v>0.20125036483638814</v>
      </c>
      <c r="AG55" s="799">
        <f t="shared" si="24"/>
        <v>1</v>
      </c>
      <c r="AH55" s="176">
        <f t="shared" si="16"/>
        <v>7</v>
      </c>
      <c r="AI55" s="224">
        <f t="shared" si="17"/>
        <v>1.2012503648363881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45699</v>
      </c>
      <c r="B56" s="409">
        <f>'2024'!Wh/'2024'!Env_an*'2025'!Env_an</f>
        <v>13.468642387400356</v>
      </c>
      <c r="C56" s="829"/>
      <c r="D56" s="391">
        <f t="shared" si="0"/>
        <v>14.055124445897611</v>
      </c>
      <c r="E56" s="383">
        <f t="shared" si="1"/>
        <v>14.873456536068494</v>
      </c>
      <c r="F56" s="383">
        <f t="shared" si="2"/>
        <v>14.934861757696074</v>
      </c>
      <c r="G56" s="110">
        <f t="shared" si="21"/>
        <v>0.37895914181133206</v>
      </c>
      <c r="H56" s="412" t="b">
        <f>Wh_hp&gt;='2024'!Maxi_hp</f>
        <v>0</v>
      </c>
      <c r="I56" s="388">
        <f>IF(H56,Wh_hp,'2024'!Maxi_hp)</f>
        <v>36.404215155133031</v>
      </c>
      <c r="J56" s="85">
        <f>IF(H56,An,'2024'!An_max)</f>
        <v>2021</v>
      </c>
      <c r="K56" s="197">
        <f t="shared" si="3"/>
        <v>45699</v>
      </c>
      <c r="L56" s="147">
        <f>IF(t&lt;Tvie,1-EXP((T0-t)*PertePVj)+'2024'!Pspv,1-EXP((T0-t)*PertePVj)+Pspv)</f>
        <v>4.1727276108781575E-2</v>
      </c>
      <c r="M56" s="832"/>
      <c r="N56" s="832"/>
      <c r="O56" s="48">
        <f>IF(t&lt;Tnet,'2024'!Resal+('2024'!Salim-'2024'!Resal)*(1-EXP(('2024'!Tnet-t)/('2024'!Tau_j))),Resal+(Salim-Resal)*(1-EXP((Tnet-t)/(Tau_j))))*Salcycl</f>
        <v>5.5019630990712096E-2</v>
      </c>
      <c r="P56" s="169">
        <f>(INDEX(Models!$BJ56:$BT56,,T56)*(1-R56)+INDEX(Models!$BJ56:$BT56,,T56+1)*R56-ERP_i)*Q56*Ramure*Pc/MaxiM</f>
        <v>3.2019536436853055E-2</v>
      </c>
      <c r="Q56" s="304">
        <f t="shared" si="4"/>
        <v>0.7</v>
      </c>
      <c r="R56" s="177">
        <f t="shared" si="5"/>
        <v>0.13703766766924486</v>
      </c>
      <c r="S56" s="799">
        <f t="shared" si="6"/>
        <v>1</v>
      </c>
      <c r="T56" s="176">
        <f t="shared" si="7"/>
        <v>7</v>
      </c>
      <c r="U56" s="250">
        <f t="shared" si="8"/>
        <v>1.1370376676692449</v>
      </c>
      <c r="V56" s="382">
        <f t="shared" si="9"/>
        <v>34.54516919859703</v>
      </c>
      <c r="W56" s="400">
        <f t="shared" si="10"/>
        <v>13.468642387400356</v>
      </c>
      <c r="X56" s="157">
        <f t="shared" si="11"/>
        <v>45699</v>
      </c>
      <c r="Y56" s="383">
        <f t="shared" si="12"/>
        <v>13.348927588925996</v>
      </c>
      <c r="Z56" s="383">
        <f t="shared" si="22"/>
        <v>13.930196755179002</v>
      </c>
      <c r="AA56" s="384">
        <f t="shared" si="13"/>
        <v>14.87121688585507</v>
      </c>
      <c r="AB56" s="197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6.3277950815923495E-2</v>
      </c>
      <c r="AD56" s="230">
        <f>(INDEX(Models!$BJ56:$BT56,,AH56)*(1-AF56)+INDEX(Models!$BJ56:$BT56,,AH56+1)*AF56-ERP_i)*AE56*Ramure*Pc/MaxiM</f>
        <v>3.3187394148522148E-2</v>
      </c>
      <c r="AE56" s="304">
        <f t="shared" si="15"/>
        <v>0.7</v>
      </c>
      <c r="AF56" s="177">
        <f t="shared" si="23"/>
        <v>0.20136988992907701</v>
      </c>
      <c r="AG56" s="799">
        <f t="shared" si="24"/>
        <v>1</v>
      </c>
      <c r="AH56" s="176">
        <f t="shared" si="16"/>
        <v>7</v>
      </c>
      <c r="AI56" s="224">
        <f t="shared" si="17"/>
        <v>1.201369889929077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45700</v>
      </c>
      <c r="B57" s="409">
        <f>'2024'!Wh/'2024'!Env_an*'2025'!Env_an</f>
        <v>25.547846578483245</v>
      </c>
      <c r="C57" s="829"/>
      <c r="D57" s="391">
        <f t="shared" si="0"/>
        <v>26.660819586698722</v>
      </c>
      <c r="E57" s="383">
        <f t="shared" si="1"/>
        <v>28.214577224761182</v>
      </c>
      <c r="F57" s="383">
        <f t="shared" si="2"/>
        <v>28.775592647424897</v>
      </c>
      <c r="G57" s="110">
        <f t="shared" si="21"/>
        <v>0.72361914395105553</v>
      </c>
      <c r="H57" s="412" t="b">
        <f>Wh_hp&gt;='2024'!Maxi_hp</f>
        <v>0</v>
      </c>
      <c r="I57" s="388">
        <f>IF(H57,Wh_hp,'2024'!Maxi_hp)</f>
        <v>28.998434960170048</v>
      </c>
      <c r="J57" s="85">
        <f>IF(H57,An,'2024'!An_max)</f>
        <v>2022</v>
      </c>
      <c r="K57" s="197">
        <f t="shared" si="3"/>
        <v>45700</v>
      </c>
      <c r="L57" s="147">
        <f>IF(t&lt;Tvie,1-EXP((T0-t)*PertePVj)+'2024'!Pspv,1-EXP((T0-t)*PertePVj)+Pspv)</f>
        <v>4.1745641186917815E-2</v>
      </c>
      <c r="M57" s="832"/>
      <c r="N57" s="832"/>
      <c r="O57" s="48">
        <f>IF(t&lt;Tnet,'2024'!Resal+('2024'!Salim-'2024'!Resal)*(1-EXP(('2024'!Tnet-t)/('2024'!Tau_j))),Resal+(Salim-Resal)*(1-EXP((Tnet-t)/(Tau_j))))*Salcycl</f>
        <v>5.5069321992139562E-2</v>
      </c>
      <c r="P57" s="169">
        <f>(INDEX(Models!$BJ57:$BT57,,T57)*(1-R57)+INDEX(Models!$BJ57:$BT57,,T57+1)*R57-ERP_i)*Q57*Ramure*Pc/MaxiM</f>
        <v>3.1545658967906329E-2</v>
      </c>
      <c r="Q57" s="304">
        <f t="shared" si="4"/>
        <v>0.7</v>
      </c>
      <c r="R57" s="177">
        <f t="shared" si="5"/>
        <v>0.13716213069846317</v>
      </c>
      <c r="S57" s="799">
        <f t="shared" si="6"/>
        <v>1</v>
      </c>
      <c r="T57" s="176">
        <f t="shared" si="7"/>
        <v>7</v>
      </c>
      <c r="U57" s="250">
        <f t="shared" si="8"/>
        <v>1.1371621306984632</v>
      </c>
      <c r="V57" s="382">
        <f t="shared" si="9"/>
        <v>34.871781234748205</v>
      </c>
      <c r="W57" s="400">
        <f t="shared" si="10"/>
        <v>25.547846578483245</v>
      </c>
      <c r="X57" s="157">
        <f t="shared" si="11"/>
        <v>45700</v>
      </c>
      <c r="Y57" s="383">
        <f t="shared" si="12"/>
        <v>25.306144526238903</v>
      </c>
      <c r="Z57" s="383">
        <f t="shared" si="22"/>
        <v>26.408587963621397</v>
      </c>
      <c r="AA57" s="384">
        <f t="shared" si="13"/>
        <v>28.193762650762658</v>
      </c>
      <c r="AB57" s="197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6.3318071775459589E-2</v>
      </c>
      <c r="AD57" s="230">
        <f>(INDEX(Models!$BJ57:$BT57,,AH57)*(1-AF57)+INDEX(Models!$BJ57:$BT57,,AH57+1)*AF57-ERP_i)*AE57*Ramure*Pc/MaxiM</f>
        <v>3.2716053624442049E-2</v>
      </c>
      <c r="AE57" s="304">
        <f t="shared" si="15"/>
        <v>0.7</v>
      </c>
      <c r="AF57" s="177">
        <f t="shared" si="23"/>
        <v>0.20149435295829532</v>
      </c>
      <c r="AG57" s="799">
        <f t="shared" si="24"/>
        <v>1</v>
      </c>
      <c r="AH57" s="176">
        <f t="shared" si="16"/>
        <v>7</v>
      </c>
      <c r="AI57" s="224">
        <f t="shared" si="17"/>
        <v>1.2014943529582953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45701</v>
      </c>
      <c r="B58" s="409">
        <f>'2024'!Wh/'2024'!Env_an*'2025'!Env_an</f>
        <v>32.341079767598622</v>
      </c>
      <c r="C58" s="829"/>
      <c r="D58" s="391">
        <f t="shared" si="0"/>
        <v>33.750641770053782</v>
      </c>
      <c r="E58" s="383">
        <f t="shared" si="1"/>
        <v>35.719462148651886</v>
      </c>
      <c r="F58" s="383">
        <f t="shared" si="2"/>
        <v>36.724310020275148</v>
      </c>
      <c r="G58" s="110">
        <f t="shared" si="21"/>
        <v>0.91531706086760589</v>
      </c>
      <c r="H58" s="412" t="b">
        <f>Wh_hp&gt;='2024'!Maxi_hp</f>
        <v>0</v>
      </c>
      <c r="I58" s="388">
        <f>IF(H58,Wh_hp,'2024'!Maxi_hp)</f>
        <v>36.810381507352595</v>
      </c>
      <c r="J58" s="85">
        <f>IF(H58,An,'2024'!An_max)</f>
        <v>2022</v>
      </c>
      <c r="K58" s="197">
        <f t="shared" si="3"/>
        <v>45701</v>
      </c>
      <c r="L58" s="147">
        <f>IF(t&lt;Tvie,1-EXP((T0-t)*PertePVj)+'2024'!Pspv,1-EXP((T0-t)*PertePVj)+Pspv)</f>
        <v>4.1764005913091484E-2</v>
      </c>
      <c r="M58" s="832"/>
      <c r="N58" s="832"/>
      <c r="O58" s="48">
        <f>IF(t&lt;Tnet,'2024'!Resal+('2024'!Salim-'2024'!Resal)*(1-EXP(('2024'!Tnet-t)/('2024'!Tau_j))),Resal+(Salim-Resal)*(1-EXP((Tnet-t)/(Tau_j))))*Salcycl</f>
        <v>5.5118981646603803E-2</v>
      </c>
      <c r="P58" s="169">
        <f>(INDEX(Models!$BJ58:$BT58,,T58)*(1-R58)+INDEX(Models!$BJ58:$BT58,,T58+1)*R58-ERP_i)*Q58*Ramure*Pc/MaxiM</f>
        <v>3.0956777686222351E-2</v>
      </c>
      <c r="Q58" s="304">
        <f t="shared" si="4"/>
        <v>0.7</v>
      </c>
      <c r="R58" s="177">
        <f t="shared" si="5"/>
        <v>0.13729173235529446</v>
      </c>
      <c r="S58" s="799">
        <f t="shared" si="6"/>
        <v>1</v>
      </c>
      <c r="T58" s="176">
        <f t="shared" si="7"/>
        <v>7</v>
      </c>
      <c r="U58" s="250">
        <f t="shared" si="8"/>
        <v>1.1372917323552945</v>
      </c>
      <c r="V58" s="382">
        <f t="shared" si="9"/>
        <v>35.202608091360368</v>
      </c>
      <c r="W58" s="400">
        <f t="shared" si="10"/>
        <v>32.341079767598622</v>
      </c>
      <c r="X58" s="157">
        <f t="shared" si="11"/>
        <v>45701</v>
      </c>
      <c r="Y58" s="383">
        <f t="shared" si="12"/>
        <v>32.024936841513757</v>
      </c>
      <c r="Z58" s="383">
        <f t="shared" si="22"/>
        <v>33.420719988743414</v>
      </c>
      <c r="AA58" s="384">
        <f t="shared" si="13"/>
        <v>35.681430337394396</v>
      </c>
      <c r="AB58" s="197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6.3358176151412371E-2</v>
      </c>
      <c r="AD58" s="230">
        <f>(INDEX(Models!$BJ58:$BT58,,AH58)*(1-AF58)+INDEX(Models!$BJ58:$BT58,,AH58+1)*AF58-ERP_i)*AE58*Ramure*Pc/MaxiM</f>
        <v>3.2128439944112831E-2</v>
      </c>
      <c r="AE58" s="304">
        <f t="shared" si="15"/>
        <v>0.7</v>
      </c>
      <c r="AF58" s="177">
        <f t="shared" si="23"/>
        <v>0.20162395461512661</v>
      </c>
      <c r="AG58" s="799">
        <f t="shared" si="24"/>
        <v>1</v>
      </c>
      <c r="AH58" s="176">
        <f t="shared" si="16"/>
        <v>7</v>
      </c>
      <c r="AI58" s="224">
        <f t="shared" si="17"/>
        <v>1.2016239546151266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45702</v>
      </c>
      <c r="B59" s="409">
        <f>'2024'!Wh/'2024'!Env_an*'2025'!Env_an</f>
        <v>15.403617012267629</v>
      </c>
      <c r="C59" s="829"/>
      <c r="D59" s="391">
        <f t="shared" si="0"/>
        <v>16.075280327378458</v>
      </c>
      <c r="E59" s="383">
        <f t="shared" si="1"/>
        <v>17.013914223203802</v>
      </c>
      <c r="F59" s="383">
        <f t="shared" si="2"/>
        <v>17.112693130542436</v>
      </c>
      <c r="G59" s="110">
        <f t="shared" si="21"/>
        <v>0.42277222392234015</v>
      </c>
      <c r="H59" s="412" t="b">
        <f>Wh_hp&gt;='2024'!Maxi_hp</f>
        <v>0</v>
      </c>
      <c r="I59" s="388">
        <f>IF(H59,Wh_hp,'2024'!Maxi_hp)</f>
        <v>33.094825571206165</v>
      </c>
      <c r="J59" s="85">
        <f>IF(H59,An,'2024'!An_max)</f>
        <v>2021</v>
      </c>
      <c r="K59" s="197">
        <f t="shared" si="3"/>
        <v>45702</v>
      </c>
      <c r="L59" s="147">
        <f>IF(t&lt;Tvie,1-EXP((T0-t)*PertePVj)+'2024'!Pspv,1-EXP((T0-t)*PertePVj)+Pspv)</f>
        <v>4.1782370287309467E-2</v>
      </c>
      <c r="M59" s="832"/>
      <c r="N59" s="832"/>
      <c r="O59" s="48">
        <f>IF(t&lt;Tnet,'2024'!Resal+('2024'!Salim-'2024'!Resal)*(1-EXP(('2024'!Tnet-t)/('2024'!Tau_j))),Resal+(Salim-Resal)*(1-EXP((Tnet-t)/(Tau_j))))*Salcycl</f>
        <v>5.5168603973871098E-2</v>
      </c>
      <c r="P59" s="169">
        <f>(INDEX(Models!$BJ59:$BT59,,T59)*(1-R59)+INDEX(Models!$BJ59:$BT59,,T59+1)*R59-ERP_i)*Q59*Ramure*Pc/MaxiM</f>
        <v>3.0276634473341758E-2</v>
      </c>
      <c r="Q59" s="304">
        <f t="shared" si="4"/>
        <v>0.7</v>
      </c>
      <c r="R59" s="177">
        <f t="shared" si="5"/>
        <v>0.13742668120647994</v>
      </c>
      <c r="S59" s="799">
        <f t="shared" si="6"/>
        <v>1</v>
      </c>
      <c r="T59" s="176">
        <f t="shared" si="7"/>
        <v>7</v>
      </c>
      <c r="U59" s="250">
        <f t="shared" si="8"/>
        <v>1.1374266812064799</v>
      </c>
      <c r="V59" s="382">
        <f t="shared" si="9"/>
        <v>35.536794361291783</v>
      </c>
      <c r="W59" s="400">
        <f t="shared" si="10"/>
        <v>15.403617012267629</v>
      </c>
      <c r="X59" s="157">
        <f t="shared" si="11"/>
        <v>45702</v>
      </c>
      <c r="Y59" s="383">
        <f t="shared" si="12"/>
        <v>15.266022594233712</v>
      </c>
      <c r="Z59" s="383">
        <f t="shared" si="22"/>
        <v>15.931686206619927</v>
      </c>
      <c r="AA59" s="384">
        <f t="shared" si="13"/>
        <v>17.010096688520562</v>
      </c>
      <c r="AB59" s="197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6.339825702627605E-2</v>
      </c>
      <c r="AD59" s="230">
        <f>(INDEX(Models!$BJ59:$BT59,,AH59)*(1-AF59)+INDEX(Models!$BJ59:$BT59,,AH59+1)*AF59-ERP_i)*AE59*Ramure*Pc/MaxiM</f>
        <v>3.1446743612103083E-2</v>
      </c>
      <c r="AE59" s="304">
        <f t="shared" si="15"/>
        <v>0.7</v>
      </c>
      <c r="AF59" s="177">
        <f t="shared" si="23"/>
        <v>0.20175890346631209</v>
      </c>
      <c r="AG59" s="799">
        <f t="shared" si="24"/>
        <v>1</v>
      </c>
      <c r="AH59" s="176">
        <f t="shared" si="16"/>
        <v>7</v>
      </c>
      <c r="AI59" s="224">
        <f t="shared" si="17"/>
        <v>1.2017589034663121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45703</v>
      </c>
      <c r="B60" s="409">
        <f>'2024'!Wh/'2024'!Env_an*'2025'!Env_an</f>
        <v>20.363797846514846</v>
      </c>
      <c r="C60" s="829"/>
      <c r="D60" s="391">
        <f t="shared" si="0"/>
        <v>21.252153467099454</v>
      </c>
      <c r="E60" s="383">
        <f t="shared" si="1"/>
        <v>22.494244795948607</v>
      </c>
      <c r="F60" s="383">
        <f t="shared" si="2"/>
        <v>22.750925701035047</v>
      </c>
      <c r="G60" s="110">
        <f t="shared" si="21"/>
        <v>0.55718037932676634</v>
      </c>
      <c r="H60" s="412" t="b">
        <f>Wh_hp&gt;='2024'!Maxi_hp</f>
        <v>0</v>
      </c>
      <c r="I60" s="388">
        <f>IF(H60,Wh_hp,'2024'!Maxi_hp)</f>
        <v>40.783875694870723</v>
      </c>
      <c r="J60" s="85">
        <f>IF(H60,An,'2024'!An_max)</f>
        <v>2020</v>
      </c>
      <c r="K60" s="197">
        <f t="shared" si="3"/>
        <v>45703</v>
      </c>
      <c r="L60" s="147">
        <f>IF(t&lt;Tvie,1-EXP((T0-t)*PertePVj)+'2024'!Pspv,1-EXP((T0-t)*PertePVj)+Pspv)</f>
        <v>4.1800734309578313E-2</v>
      </c>
      <c r="M60" s="832"/>
      <c r="N60" s="832"/>
      <c r="O60" s="48">
        <f>IF(t&lt;Tnet,'2024'!Resal+('2024'!Salim-'2024'!Resal)*(1-EXP(('2024'!Tnet-t)/('2024'!Tau_j))),Resal+(Salim-Resal)*(1-EXP((Tnet-t)/(Tau_j))))*Salcycl</f>
        <v>5.5218183144911163E-2</v>
      </c>
      <c r="P60" s="169">
        <f>(INDEX(Models!$BJ60:$BT60,,T60)*(1-R60)+INDEX(Models!$BJ60:$BT60,,T60+1)*R60-ERP_i)*Q60*Ramure*Pc/MaxiM</f>
        <v>2.9507676324750515E-2</v>
      </c>
      <c r="Q60" s="304">
        <f t="shared" si="4"/>
        <v>0.7</v>
      </c>
      <c r="R60" s="177">
        <f t="shared" si="5"/>
        <v>0.1375671939795442</v>
      </c>
      <c r="S60" s="799">
        <f t="shared" si="6"/>
        <v>1</v>
      </c>
      <c r="T60" s="176">
        <f t="shared" si="7"/>
        <v>7</v>
      </c>
      <c r="U60" s="250">
        <f t="shared" si="8"/>
        <v>1.1375671939795442</v>
      </c>
      <c r="V60" s="382">
        <f t="shared" si="9"/>
        <v>35.874241058122699</v>
      </c>
      <c r="W60" s="400">
        <f t="shared" si="10"/>
        <v>20.363797846514846</v>
      </c>
      <c r="X60" s="157">
        <f t="shared" si="11"/>
        <v>45703</v>
      </c>
      <c r="Y60" s="383">
        <f t="shared" si="12"/>
        <v>20.177520736511841</v>
      </c>
      <c r="Z60" s="383">
        <f t="shared" si="22"/>
        <v>21.057750155937672</v>
      </c>
      <c r="AA60" s="384">
        <f t="shared" si="13"/>
        <v>22.484103640210751</v>
      </c>
      <c r="AB60" s="197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6.3438307663827784E-2</v>
      </c>
      <c r="AD60" s="230">
        <f>(INDEX(Models!$BJ60:$BT60,,AH60)*(1-AF60)+INDEX(Models!$BJ60:$BT60,,AH60+1)*AF60-ERP_i)*AE60*Ramure*Pc/MaxiM</f>
        <v>3.0673489344502279E-2</v>
      </c>
      <c r="AE60" s="304">
        <f t="shared" si="15"/>
        <v>0.7</v>
      </c>
      <c r="AF60" s="177">
        <f t="shared" si="23"/>
        <v>0.20189941623937635</v>
      </c>
      <c r="AG60" s="799">
        <f t="shared" si="24"/>
        <v>1</v>
      </c>
      <c r="AH60" s="176">
        <f t="shared" si="16"/>
        <v>7</v>
      </c>
      <c r="AI60" s="224">
        <f t="shared" si="17"/>
        <v>1.2018994162393764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45704</v>
      </c>
      <c r="B61" s="409">
        <f>'2024'!Wh/'2024'!Env_an*'2025'!Env_an</f>
        <v>8.6980083162038362</v>
      </c>
      <c r="C61" s="829"/>
      <c r="D61" s="391">
        <f t="shared" si="0"/>
        <v>9.0776264668458406</v>
      </c>
      <c r="E61" s="383">
        <f t="shared" si="1"/>
        <v>9.6086760209540323</v>
      </c>
      <c r="F61" s="383">
        <f t="shared" si="2"/>
        <v>9.6086760209540323</v>
      </c>
      <c r="G61" s="110">
        <f t="shared" si="21"/>
        <v>0.23329631270471354</v>
      </c>
      <c r="H61" s="412" t="b">
        <f>Wh_hp&gt;='2024'!Maxi_hp</f>
        <v>0</v>
      </c>
      <c r="I61" s="388">
        <f>IF(H61,Wh_hp,'2024'!Maxi_hp)</f>
        <v>34.426764095706375</v>
      </c>
      <c r="J61" s="85">
        <f>IF(H61,An,'2024'!An_max)</f>
        <v>2021</v>
      </c>
      <c r="K61" s="197">
        <f t="shared" si="3"/>
        <v>45704</v>
      </c>
      <c r="L61" s="147">
        <f>IF(t&lt;Tvie,1-EXP((T0-t)*PertePVj)+'2024'!Pspv,1-EXP((T0-t)*PertePVj)+Pspv)</f>
        <v>4.1819097979904907E-2</v>
      </c>
      <c r="M61" s="832"/>
      <c r="N61" s="832"/>
      <c r="O61" s="48">
        <f>IF(t&lt;Tnet,'2024'!Resal+('2024'!Salim-'2024'!Resal)*(1-EXP(('2024'!Tnet-t)/('2024'!Tau_j))),Resal+(Salim-Resal)*(1-EXP((Tnet-t)/(Tau_j))))*Salcycl</f>
        <v>5.5267713569498104E-2</v>
      </c>
      <c r="P61" s="169">
        <f>(INDEX(Models!$BJ61:$BT61,,T61)*(1-R61)+INDEX(Models!$BJ61:$BT61,,T61+1)*R61-ERP_i)*Q61*Ramure*Pc/MaxiM</f>
        <v>2.8652246454514262E-2</v>
      </c>
      <c r="Q61" s="304">
        <f t="shared" si="4"/>
        <v>0.7</v>
      </c>
      <c r="R61" s="177">
        <f t="shared" si="5"/>
        <v>0.13771349585617476</v>
      </c>
      <c r="S61" s="799">
        <f t="shared" si="6"/>
        <v>1</v>
      </c>
      <c r="T61" s="176">
        <f t="shared" si="7"/>
        <v>7</v>
      </c>
      <c r="U61" s="250">
        <f t="shared" si="8"/>
        <v>1.1377134958561748</v>
      </c>
      <c r="V61" s="382">
        <f t="shared" si="9"/>
        <v>36.21484943466853</v>
      </c>
      <c r="W61" s="400">
        <f t="shared" si="10"/>
        <v>8.6980083162038362</v>
      </c>
      <c r="X61" s="157">
        <f t="shared" si="11"/>
        <v>45704</v>
      </c>
      <c r="Y61" s="383">
        <f t="shared" si="12"/>
        <v>8.6224144807454568</v>
      </c>
      <c r="Z61" s="383">
        <f t="shared" si="22"/>
        <v>8.9987333942548418</v>
      </c>
      <c r="AA61" s="384">
        <f t="shared" si="13"/>
        <v>9.6086760209540323</v>
      </c>
      <c r="AB61" s="197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6.3478321609456295E-2</v>
      </c>
      <c r="AD61" s="230">
        <f>(INDEX(Models!$BJ61:$BT61,,AH61)*(1-AF61)+INDEX(Models!$BJ61:$BT61,,AH61+1)*AF61-ERP_i)*AE61*Ramure*Pc/MaxiM</f>
        <v>2.9811095118465705E-2</v>
      </c>
      <c r="AE61" s="304">
        <f t="shared" si="15"/>
        <v>0.7</v>
      </c>
      <c r="AF61" s="177">
        <f t="shared" si="23"/>
        <v>0.20204571811600691</v>
      </c>
      <c r="AG61" s="799">
        <f t="shared" si="24"/>
        <v>1</v>
      </c>
      <c r="AH61" s="176">
        <f t="shared" si="16"/>
        <v>7</v>
      </c>
      <c r="AI61" s="224">
        <f t="shared" si="17"/>
        <v>1.2020457181160069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45705</v>
      </c>
      <c r="B62" s="409">
        <f>'2024'!Wh/'2024'!Env_an*'2025'!Env_an</f>
        <v>9.6024384384013377</v>
      </c>
      <c r="C62" s="829"/>
      <c r="D62" s="391">
        <f t="shared" si="0"/>
        <v>10.021721837938371</v>
      </c>
      <c r="E62" s="383">
        <f t="shared" si="1"/>
        <v>10.608557424439487</v>
      </c>
      <c r="F62" s="383">
        <f t="shared" si="2"/>
        <v>10.608557424439487</v>
      </c>
      <c r="G62" s="110">
        <f t="shared" si="21"/>
        <v>0.25538040873619222</v>
      </c>
      <c r="H62" s="412" t="b">
        <f>Wh_hp&gt;='2024'!Maxi_hp</f>
        <v>0</v>
      </c>
      <c r="I62" s="388">
        <f>IF(H62,Wh_hp,'2024'!Maxi_hp)</f>
        <v>38.684101035723138</v>
      </c>
      <c r="J62" s="85">
        <f>IF(H62,An,'2024'!An_max)</f>
        <v>2021</v>
      </c>
      <c r="K62" s="197">
        <f t="shared" si="3"/>
        <v>45705</v>
      </c>
      <c r="L62" s="147">
        <f>IF(t&lt;Tvie,1-EXP((T0-t)*PertePVj)+'2024'!Pspv,1-EXP((T0-t)*PertePVj)+Pspv)</f>
        <v>4.1837461298295908E-2</v>
      </c>
      <c r="M62" s="832"/>
      <c r="N62" s="832"/>
      <c r="O62" s="48">
        <f>IF(t&lt;Tnet,'2024'!Resal+('2024'!Salim-'2024'!Resal)*(1-EXP(('2024'!Tnet-t)/('2024'!Tau_j))),Resal+(Salim-Resal)*(1-EXP((Tnet-t)/(Tau_j))))*Salcycl</f>
        <v>5.531718998373833E-2</v>
      </c>
      <c r="P62" s="169">
        <f>(INDEX(Models!$BJ62:$BT62,,T62)*(1-R62)+INDEX(Models!$BJ62:$BT62,,T62+1)*R62-ERP_i)*Q62*Ramure*Pc/MaxiM</f>
        <v>2.7712586064508205E-2</v>
      </c>
      <c r="Q62" s="304">
        <f t="shared" si="4"/>
        <v>0.7</v>
      </c>
      <c r="R62" s="177">
        <f t="shared" si="5"/>
        <v>0.13786582077389986</v>
      </c>
      <c r="S62" s="799">
        <f t="shared" si="6"/>
        <v>1</v>
      </c>
      <c r="T62" s="176">
        <f t="shared" si="7"/>
        <v>7</v>
      </c>
      <c r="U62" s="250">
        <f t="shared" si="8"/>
        <v>1.1378658207738999</v>
      </c>
      <c r="V62" s="382">
        <f t="shared" si="9"/>
        <v>36.558521003826961</v>
      </c>
      <c r="W62" s="400">
        <f t="shared" si="10"/>
        <v>9.6024384384013377</v>
      </c>
      <c r="X62" s="157">
        <f t="shared" si="11"/>
        <v>45705</v>
      </c>
      <c r="Y62" s="383">
        <f t="shared" si="12"/>
        <v>9.519076505706531</v>
      </c>
      <c r="Z62" s="383">
        <f t="shared" si="22"/>
        <v>9.9347199678717732</v>
      </c>
      <c r="AA62" s="384">
        <f t="shared" si="13"/>
        <v>10.608557424439487</v>
      </c>
      <c r="AB62" s="197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6.3518292790248787E-2</v>
      </c>
      <c r="AD62" s="230">
        <f>(INDEX(Models!$BJ62:$BT62,,AH62)*(1-AF62)+INDEX(Models!$BJ62:$BT62,,AH62+1)*AF62-ERP_i)*AE62*Ramure*Pc/MaxiM</f>
        <v>2.8861873995806777E-2</v>
      </c>
      <c r="AE62" s="304">
        <f t="shared" si="15"/>
        <v>0.7</v>
      </c>
      <c r="AF62" s="177">
        <f t="shared" si="23"/>
        <v>0.20219804303373201</v>
      </c>
      <c r="AG62" s="799">
        <f t="shared" si="24"/>
        <v>1</v>
      </c>
      <c r="AH62" s="176">
        <f t="shared" si="16"/>
        <v>7</v>
      </c>
      <c r="AI62" s="224">
        <f t="shared" si="17"/>
        <v>1.202198043033732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45706</v>
      </c>
      <c r="B63" s="409">
        <f>'2024'!Wh/'2024'!Env_an*'2025'!Env_an</f>
        <v>32.010579377886266</v>
      </c>
      <c r="C63" s="829"/>
      <c r="D63" s="391">
        <f t="shared" si="0"/>
        <v>33.408938016371714</v>
      </c>
      <c r="E63" s="383">
        <f t="shared" si="1"/>
        <v>35.367094031314622</v>
      </c>
      <c r="F63" s="383">
        <f t="shared" si="2"/>
        <v>36.14913883034896</v>
      </c>
      <c r="G63" s="110">
        <f t="shared" si="21"/>
        <v>0.86289084621505496</v>
      </c>
      <c r="H63" s="412" t="b">
        <f>Wh_hp&gt;='2024'!Maxi_hp</f>
        <v>0</v>
      </c>
      <c r="I63" s="388">
        <f>IF(H63,Wh_hp,'2024'!Maxi_hp)</f>
        <v>38.693234723420318</v>
      </c>
      <c r="J63" s="85">
        <f>IF(H63,An,'2024'!An_max)</f>
        <v>2020</v>
      </c>
      <c r="K63" s="197">
        <f t="shared" si="3"/>
        <v>45706</v>
      </c>
      <c r="L63" s="147">
        <f>IF(t&lt;Tvie,1-EXP((T0-t)*PertePVj)+'2024'!Pspv,1-EXP((T0-t)*PertePVj)+Pspv)</f>
        <v>4.185582426475809E-2</v>
      </c>
      <c r="M63" s="832"/>
      <c r="N63" s="832"/>
      <c r="O63" s="48">
        <f>IF(t&lt;Tnet,'2024'!Resal+('2024'!Salim-'2024'!Resal)*(1-EXP(('2024'!Tnet-t)/('2024'!Tau_j))),Resal+(Salim-Resal)*(1-EXP((Tnet-t)/(Tau_j))))*Salcycl</f>
        <v>5.5366607536630551E-2</v>
      </c>
      <c r="P63" s="169">
        <f>(INDEX(Models!$BJ63:$BT63,,T63)*(1-R63)+INDEX(Models!$BJ63:$BT63,,T63+1)*R63-ERP_i)*Q63*Ramure*Pc/MaxiM</f>
        <v>2.6690836038141638E-2</v>
      </c>
      <c r="Q63" s="304">
        <f t="shared" si="4"/>
        <v>0.7</v>
      </c>
      <c r="R63" s="177">
        <f t="shared" si="5"/>
        <v>0.13802441173609847</v>
      </c>
      <c r="S63" s="799">
        <f t="shared" si="6"/>
        <v>1</v>
      </c>
      <c r="T63" s="176">
        <f t="shared" si="7"/>
        <v>7</v>
      </c>
      <c r="U63" s="250">
        <f t="shared" si="8"/>
        <v>1.1380244117360985</v>
      </c>
      <c r="V63" s="382">
        <f t="shared" si="9"/>
        <v>36.905157564042405</v>
      </c>
      <c r="W63" s="400">
        <f t="shared" si="10"/>
        <v>32.010579377886266</v>
      </c>
      <c r="X63" s="157">
        <f t="shared" si="11"/>
        <v>45706</v>
      </c>
      <c r="Y63" s="383">
        <f t="shared" si="12"/>
        <v>31.703095866046976</v>
      </c>
      <c r="Z63" s="383">
        <f t="shared" si="22"/>
        <v>33.088022313259145</v>
      </c>
      <c r="AA63" s="384">
        <f t="shared" si="13"/>
        <v>35.333773935501398</v>
      </c>
      <c r="AB63" s="197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6.3558215613811031E-2</v>
      </c>
      <c r="AD63" s="230">
        <f>(INDEX(Models!$BJ63:$BT63,,AH63)*(1-AF63)+INDEX(Models!$BJ63:$BT63,,AH63+1)*AF63-ERP_i)*AE63*Ramure*Pc/MaxiM</f>
        <v>2.7828035870202255E-2</v>
      </c>
      <c r="AE63" s="304">
        <f t="shared" si="15"/>
        <v>0.7</v>
      </c>
      <c r="AF63" s="177">
        <f t="shared" si="23"/>
        <v>0.20235663399593062</v>
      </c>
      <c r="AG63" s="799">
        <f t="shared" si="24"/>
        <v>1</v>
      </c>
      <c r="AH63" s="176">
        <f t="shared" si="16"/>
        <v>7</v>
      </c>
      <c r="AI63" s="224">
        <f t="shared" si="17"/>
        <v>1.2023566339959306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45707</v>
      </c>
      <c r="B64" s="409">
        <f>'2024'!Wh/'2024'!Env_an*'2025'!Env_an</f>
        <v>14.683920647149892</v>
      </c>
      <c r="C64" s="829"/>
      <c r="D64" s="391">
        <f t="shared" si="0"/>
        <v>15.325670643736281</v>
      </c>
      <c r="E64" s="383">
        <f t="shared" si="1"/>
        <v>16.224782576417844</v>
      </c>
      <c r="F64" s="383">
        <f t="shared" si="2"/>
        <v>16.280816616018416</v>
      </c>
      <c r="G64" s="110">
        <f t="shared" si="21"/>
        <v>0.38539038030562761</v>
      </c>
      <c r="H64" s="412" t="b">
        <f>Wh_hp&gt;='2024'!Maxi_hp</f>
        <v>0</v>
      </c>
      <c r="I64" s="388">
        <f>IF(H64,Wh_hp,'2024'!Maxi_hp)</f>
        <v>39.852198656392886</v>
      </c>
      <c r="J64" s="85">
        <f>IF(H64,An,'2024'!An_max)</f>
        <v>2021</v>
      </c>
      <c r="K64" s="197">
        <f t="shared" si="3"/>
        <v>45707</v>
      </c>
      <c r="L64" s="147">
        <f>IF(t&lt;Tvie,1-EXP((T0-t)*PertePVj)+'2024'!Pspv,1-EXP((T0-t)*PertePVj)+Pspv)</f>
        <v>4.1874186879298336E-2</v>
      </c>
      <c r="M64" s="832"/>
      <c r="N64" s="832"/>
      <c r="O64" s="48">
        <f>IF(t&lt;Tnet,'2024'!Resal+('2024'!Salim-'2024'!Resal)*(1-EXP(('2024'!Tnet-t)/('2024'!Tau_j))),Resal+(Salim-Resal)*(1-EXP((Tnet-t)/(Tau_j))))*Salcycl</f>
        <v>5.5415961874792183E-2</v>
      </c>
      <c r="P64" s="169">
        <f>(INDEX(Models!$BJ64:$BT64,,T64)*(1-R64)+INDEX(Models!$BJ64:$BT64,,T64+1)*R64-ERP_i)*Q64*Ramure*Pc/MaxiM</f>
        <v>2.5589038540942809E-2</v>
      </c>
      <c r="Q64" s="304">
        <f t="shared" si="4"/>
        <v>0.7</v>
      </c>
      <c r="R64" s="177">
        <f t="shared" si="5"/>
        <v>0.13818952113034566</v>
      </c>
      <c r="S64" s="799">
        <f t="shared" si="6"/>
        <v>1</v>
      </c>
      <c r="T64" s="176">
        <f t="shared" si="7"/>
        <v>7</v>
      </c>
      <c r="U64" s="250">
        <f t="shared" si="8"/>
        <v>1.1381895211303457</v>
      </c>
      <c r="V64" s="382">
        <f t="shared" si="9"/>
        <v>37.254661225737848</v>
      </c>
      <c r="W64" s="400">
        <f t="shared" si="10"/>
        <v>14.683920647149892</v>
      </c>
      <c r="X64" s="157">
        <f t="shared" si="11"/>
        <v>45707</v>
      </c>
      <c r="Y64" s="383">
        <f t="shared" si="12"/>
        <v>14.554520805118052</v>
      </c>
      <c r="Z64" s="383">
        <f t="shared" si="22"/>
        <v>15.19061547638788</v>
      </c>
      <c r="AA64" s="384">
        <f t="shared" si="13"/>
        <v>16.22232423290119</v>
      </c>
      <c r="AB64" s="197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6.3598085064830445E-2</v>
      </c>
      <c r="AD64" s="230">
        <f>(INDEX(Models!$BJ64:$BT64,,AH64)*(1-AF64)+INDEX(Models!$BJ64:$BT64,,AH64+1)*AF64-ERP_i)*AE64*Ramure*Pc/MaxiM</f>
        <v>2.6711689119822368E-2</v>
      </c>
      <c r="AE64" s="304">
        <f t="shared" si="15"/>
        <v>0.7</v>
      </c>
      <c r="AF64" s="177">
        <f t="shared" si="23"/>
        <v>0.20252174339017781</v>
      </c>
      <c r="AG64" s="799">
        <f t="shared" si="24"/>
        <v>1</v>
      </c>
      <c r="AH64" s="176">
        <f t="shared" si="16"/>
        <v>7</v>
      </c>
      <c r="AI64" s="224">
        <f t="shared" si="17"/>
        <v>1.2025217433901778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45708</v>
      </c>
      <c r="B65" s="409">
        <f>'2024'!Wh/'2024'!Env_an*'2025'!Env_an</f>
        <v>25.499038841287039</v>
      </c>
      <c r="C65" s="829"/>
      <c r="D65" s="391">
        <f t="shared" si="0"/>
        <v>26.613965707552122</v>
      </c>
      <c r="E65" s="383">
        <f t="shared" si="1"/>
        <v>28.176798879767688</v>
      </c>
      <c r="F65" s="383">
        <f t="shared" si="2"/>
        <v>28.553190507914028</v>
      </c>
      <c r="G65" s="110">
        <f t="shared" si="21"/>
        <v>0.6703225382056941</v>
      </c>
      <c r="H65" s="412" t="b">
        <f>Wh_hp&gt;='2024'!Maxi_hp</f>
        <v>0</v>
      </c>
      <c r="I65" s="388">
        <f>IF(H65,Wh_hp,'2024'!Maxi_hp)</f>
        <v>42.526823693851945</v>
      </c>
      <c r="J65" s="85">
        <f>IF(H65,An,'2024'!An_max)</f>
        <v>2020</v>
      </c>
      <c r="K65" s="197">
        <f t="shared" si="3"/>
        <v>45708</v>
      </c>
      <c r="L65" s="147">
        <f>IF(t&lt;Tvie,1-EXP((T0-t)*PertePVj)+'2024'!Pspv,1-EXP((T0-t)*PertePVj)+Pspv)</f>
        <v>4.1892549141923086E-2</v>
      </c>
      <c r="M65" s="832"/>
      <c r="N65" s="832"/>
      <c r="O65" s="48">
        <f>IF(t&lt;Tnet,'2024'!Resal+('2024'!Salim-'2024'!Resal)*(1-EXP(('2024'!Tnet-t)/('2024'!Tau_j))),Resal+(Salim-Resal)*(1-EXP((Tnet-t)/(Tau_j))))*Salcycl</f>
        <v>5.5465249224522645E-2</v>
      </c>
      <c r="P65" s="169">
        <f>(INDEX(Models!$BJ65:$BT65,,T65)*(1-R65)+INDEX(Models!$BJ65:$BT65,,T65+1)*R65-ERP_i)*Q65*Ramure*Pc/MaxiM</f>
        <v>2.4408982820723561E-2</v>
      </c>
      <c r="Q65" s="304">
        <f t="shared" si="4"/>
        <v>0.7</v>
      </c>
      <c r="R65" s="177">
        <f t="shared" si="5"/>
        <v>0.13836141105507394</v>
      </c>
      <c r="S65" s="799">
        <f t="shared" si="6"/>
        <v>1</v>
      </c>
      <c r="T65" s="176">
        <f t="shared" si="7"/>
        <v>7</v>
      </c>
      <c r="U65" s="250">
        <f t="shared" si="8"/>
        <v>1.1383614110550739</v>
      </c>
      <c r="V65" s="382">
        <f t="shared" si="9"/>
        <v>37.607180308369003</v>
      </c>
      <c r="W65" s="400">
        <f t="shared" si="10"/>
        <v>25.499038841287039</v>
      </c>
      <c r="X65" s="157">
        <f t="shared" si="11"/>
        <v>45708</v>
      </c>
      <c r="Y65" s="383">
        <f t="shared" si="12"/>
        <v>25.263110544726114</v>
      </c>
      <c r="Z65" s="383">
        <f t="shared" si="22"/>
        <v>26.367721618384849</v>
      </c>
      <c r="AA65" s="384">
        <f t="shared" si="13"/>
        <v>28.159748806823352</v>
      </c>
      <c r="AB65" s="197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6.3637896798435914E-2</v>
      </c>
      <c r="AD65" s="230">
        <f>(INDEX(Models!$BJ65:$BT65,,AH65)*(1-AF65)+INDEX(Models!$BJ65:$BT65,,AH65+1)*AF65-ERP_i)*AE65*Ramure*Pc/MaxiM</f>
        <v>2.55146794049965E-2</v>
      </c>
      <c r="AE65" s="304">
        <f t="shared" si="15"/>
        <v>0.7</v>
      </c>
      <c r="AF65" s="177">
        <f t="shared" si="23"/>
        <v>0.20269363331490609</v>
      </c>
      <c r="AG65" s="799">
        <f t="shared" si="24"/>
        <v>1</v>
      </c>
      <c r="AH65" s="176">
        <f t="shared" si="16"/>
        <v>7</v>
      </c>
      <c r="AI65" s="224">
        <f t="shared" si="17"/>
        <v>1.2026936333149061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45709</v>
      </c>
      <c r="B66" s="409">
        <f>'2024'!Wh/'2024'!Env_an*'2025'!Env_an</f>
        <v>19.126633656893418</v>
      </c>
      <c r="C66" s="829"/>
      <c r="D66" s="391">
        <f t="shared" si="0"/>
        <v>19.963314348885433</v>
      </c>
      <c r="E66" s="383">
        <f t="shared" si="1"/>
        <v>21.13670738214666</v>
      </c>
      <c r="F66" s="383">
        <f t="shared" si="2"/>
        <v>21.280221650903883</v>
      </c>
      <c r="G66" s="110">
        <f t="shared" si="21"/>
        <v>0.49550092624824998</v>
      </c>
      <c r="H66" s="412" t="b">
        <f>Wh_hp&gt;='2024'!Maxi_hp</f>
        <v>0</v>
      </c>
      <c r="I66" s="388">
        <f>IF(H66,Wh_hp,'2024'!Maxi_hp)</f>
        <v>21.52544485018046</v>
      </c>
      <c r="J66" s="85">
        <f>IF(H66,An,'2024'!An_max)</f>
        <v>2022</v>
      </c>
      <c r="K66" s="197">
        <f t="shared" si="3"/>
        <v>45709</v>
      </c>
      <c r="L66" s="147">
        <f>IF(t&lt;Tvie,1-EXP((T0-t)*PertePVj)+'2024'!Pspv,1-EXP((T0-t)*PertePVj)+Pspv)</f>
        <v>4.1910911052639332E-2</v>
      </c>
      <c r="M66" s="832"/>
      <c r="N66" s="832"/>
      <c r="O66" s="48">
        <f>IF(t&lt;Tnet,'2024'!Resal+('2024'!Salim-'2024'!Resal)*(1-EXP(('2024'!Tnet-t)/('2024'!Tau_j))),Resal+(Salim-Resal)*(1-EXP((Tnet-t)/(Tau_j))))*Salcycl</f>
        <v>5.5514466470418473E-2</v>
      </c>
      <c r="P66" s="169">
        <f>(INDEX(Models!$BJ66:$BT66,,T66)*(1-R66)+INDEX(Models!$BJ66:$BT66,,T66+1)*R66-ERP_i)*Q66*Ramure*Pc/MaxiM</f>
        <v>2.3160743803984127E-2</v>
      </c>
      <c r="Q66" s="304">
        <f t="shared" si="4"/>
        <v>0.7</v>
      </c>
      <c r="R66" s="177">
        <f t="shared" si="5"/>
        <v>0.13854035365450312</v>
      </c>
      <c r="S66" s="799">
        <f t="shared" si="6"/>
        <v>1</v>
      </c>
      <c r="T66" s="176">
        <f t="shared" si="7"/>
        <v>7</v>
      </c>
      <c r="U66" s="250">
        <f t="shared" si="8"/>
        <v>1.1385403536545031</v>
      </c>
      <c r="V66" s="382">
        <f t="shared" si="9"/>
        <v>37.96260318749448</v>
      </c>
      <c r="W66" s="400">
        <f t="shared" si="10"/>
        <v>19.126633656893418</v>
      </c>
      <c r="X66" s="157">
        <f t="shared" si="11"/>
        <v>45709</v>
      </c>
      <c r="Y66" s="383">
        <f t="shared" si="12"/>
        <v>18.955293657469788</v>
      </c>
      <c r="Z66" s="383">
        <f t="shared" si="22"/>
        <v>19.784479205681915</v>
      </c>
      <c r="AA66" s="384">
        <f t="shared" si="13"/>
        <v>21.129987068172056</v>
      </c>
      <c r="AB66" s="197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6.3677647229461315E-2</v>
      </c>
      <c r="AD66" s="230">
        <f>(INDEX(Models!$BJ66:$BT66,,AH66)*(1-AF66)+INDEX(Models!$BJ66:$BT66,,AH66+1)*AF66-ERP_i)*AE66*Ramure*Pc/MaxiM</f>
        <v>2.424528732426184E-2</v>
      </c>
      <c r="AE66" s="304">
        <f t="shared" si="15"/>
        <v>0.7</v>
      </c>
      <c r="AF66" s="177">
        <f t="shared" si="23"/>
        <v>0.20287257591433527</v>
      </c>
      <c r="AG66" s="799">
        <f t="shared" si="24"/>
        <v>1</v>
      </c>
      <c r="AH66" s="176">
        <f t="shared" si="16"/>
        <v>7</v>
      </c>
      <c r="AI66" s="224">
        <f t="shared" si="17"/>
        <v>1.2028725759143353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45710</v>
      </c>
      <c r="B67" s="409">
        <f>'2024'!Wh/'2024'!Env_an*'2025'!Env_an</f>
        <v>31.694698202577552</v>
      </c>
      <c r="C67" s="829"/>
      <c r="D67" s="391">
        <f t="shared" si="0"/>
        <v>33.081793751249585</v>
      </c>
      <c r="E67" s="383">
        <f t="shared" si="1"/>
        <v>35.028080392293418</v>
      </c>
      <c r="F67" s="383">
        <f t="shared" si="2"/>
        <v>35.615413481216514</v>
      </c>
      <c r="G67" s="110">
        <f t="shared" si="21"/>
        <v>0.82258257299745785</v>
      </c>
      <c r="H67" s="412" t="b">
        <f>Wh_hp&gt;='2024'!Maxi_hp</f>
        <v>0</v>
      </c>
      <c r="I67" s="388">
        <f>IF(H67,Wh_hp,'2024'!Maxi_hp)</f>
        <v>41.235374874521426</v>
      </c>
      <c r="J67" s="85">
        <f>IF(H67,An,'2024'!An_max)</f>
        <v>2020</v>
      </c>
      <c r="K67" s="197">
        <f t="shared" si="3"/>
        <v>45710</v>
      </c>
      <c r="L67" s="147">
        <f>IF(t&lt;Tvie,1-EXP((T0-t)*PertePVj)+'2024'!Pspv,1-EXP((T0-t)*PertePVj)+Pspv)</f>
        <v>4.1929272611453849E-2</v>
      </c>
      <c r="M67" s="832"/>
      <c r="N67" s="832"/>
      <c r="O67" s="48">
        <f>IF(t&lt;Tnet,'2024'!Resal+('2024'!Salim-'2024'!Resal)*(1-EXP(('2024'!Tnet-t)/('2024'!Tau_j))),Resal+(Salim-Resal)*(1-EXP((Tnet-t)/(Tau_j))))*Salcycl</f>
        <v>5.556361122980754E-2</v>
      </c>
      <c r="P67" s="169">
        <f>(INDEX(Models!$BJ67:$BT67,,T67)*(1-R67)+INDEX(Models!$BJ67:$BT67,,T67+1)*R67-ERP_i)*Q67*Ramure*Pc/MaxiM</f>
        <v>2.1899093115294269E-2</v>
      </c>
      <c r="Q67" s="304">
        <f t="shared" si="4"/>
        <v>0.7</v>
      </c>
      <c r="R67" s="177">
        <f t="shared" si="5"/>
        <v>0.13872663146175856</v>
      </c>
      <c r="S67" s="799">
        <f t="shared" si="6"/>
        <v>1</v>
      </c>
      <c r="T67" s="176">
        <f t="shared" si="7"/>
        <v>7</v>
      </c>
      <c r="U67" s="250">
        <f t="shared" si="8"/>
        <v>1.1387266314617586</v>
      </c>
      <c r="V67" s="382">
        <f t="shared" si="9"/>
        <v>38.318846823494283</v>
      </c>
      <c r="W67" s="400">
        <f t="shared" si="10"/>
        <v>31.694698202577552</v>
      </c>
      <c r="X67" s="157">
        <f t="shared" si="11"/>
        <v>45710</v>
      </c>
      <c r="Y67" s="383">
        <f t="shared" si="12"/>
        <v>31.39556893243547</v>
      </c>
      <c r="Z67" s="383">
        <f t="shared" si="22"/>
        <v>32.769573304897541</v>
      </c>
      <c r="AA67" s="384">
        <f t="shared" si="13"/>
        <v>34.999658203097603</v>
      </c>
      <c r="AB67" s="197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6.37173336167806E-2</v>
      </c>
      <c r="AD67" s="230">
        <f>(INDEX(Models!$BJ67:$BT67,,AH67)*(1-AF67)+INDEX(Models!$BJ67:$BT67,,AH67+1)*AF67-ERP_i)*AE67*Ramure*Pc/MaxiM</f>
        <v>2.2958832774915536E-2</v>
      </c>
      <c r="AE67" s="304">
        <f t="shared" si="15"/>
        <v>0.7</v>
      </c>
      <c r="AF67" s="177">
        <f t="shared" si="23"/>
        <v>0.20305885372159072</v>
      </c>
      <c r="AG67" s="799">
        <f t="shared" si="24"/>
        <v>1</v>
      </c>
      <c r="AH67" s="176">
        <f t="shared" si="16"/>
        <v>7</v>
      </c>
      <c r="AI67" s="224">
        <f t="shared" si="17"/>
        <v>1.2030588537215907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45711</v>
      </c>
      <c r="B68" s="409">
        <f>'2024'!Wh/'2024'!Env_an*'2025'!Env_an</f>
        <v>36.731389329597924</v>
      </c>
      <c r="C68" s="829"/>
      <c r="D68" s="391">
        <f t="shared" si="0"/>
        <v>38.339646794040085</v>
      </c>
      <c r="E68" s="383">
        <f t="shared" si="1"/>
        <v>40.597375737829189</v>
      </c>
      <c r="F68" s="383">
        <f t="shared" si="2"/>
        <v>41.389690461204538</v>
      </c>
      <c r="G68" s="110">
        <f t="shared" si="21"/>
        <v>0.94828818261709524</v>
      </c>
      <c r="H68" s="412" t="b">
        <f>Wh_hp&gt;='2024'!Maxi_hp</f>
        <v>0</v>
      </c>
      <c r="I68" s="388">
        <f>IF(H68,Wh_hp,'2024'!Maxi_hp)</f>
        <v>41.868249695321026</v>
      </c>
      <c r="J68" s="85">
        <f>IF(H68,An,'2024'!An_max)</f>
        <v>2020</v>
      </c>
      <c r="K68" s="197">
        <f t="shared" si="3"/>
        <v>45711</v>
      </c>
      <c r="L68" s="147">
        <f>IF(t&lt;Tvie,1-EXP((T0-t)*PertePVj)+'2024'!Pspv,1-EXP((T0-t)*PertePVj)+Pspv)</f>
        <v>4.1947633818373187E-2</v>
      </c>
      <c r="M68" s="832"/>
      <c r="N68" s="832"/>
      <c r="O68" s="48">
        <f>IF(t&lt;Tnet,'2024'!Resal+('2024'!Salim-'2024'!Resal)*(1-EXP(('2024'!Tnet-t)/('2024'!Tau_j))),Resal+(Salim-Resal)*(1-EXP((Tnet-t)/(Tau_j))))*Salcycl</f>
        <v>5.5612681922327399E-2</v>
      </c>
      <c r="P68" s="169">
        <f>(INDEX(Models!$BJ68:$BT68,,T68)*(1-R68)+INDEX(Models!$BJ68:$BT68,,T68+1)*R68-ERP_i)*Q68*Ramure*Pc/MaxiM</f>
        <v>2.0624132380759483E-2</v>
      </c>
      <c r="Q68" s="304">
        <f t="shared" si="4"/>
        <v>0.7</v>
      </c>
      <c r="R68" s="177">
        <f t="shared" si="5"/>
        <v>0.13892053775006086</v>
      </c>
      <c r="S68" s="799">
        <f t="shared" si="6"/>
        <v>1</v>
      </c>
      <c r="T68" s="176">
        <f t="shared" si="7"/>
        <v>7</v>
      </c>
      <c r="U68" s="250">
        <f t="shared" si="8"/>
        <v>1.1389205377500609</v>
      </c>
      <c r="V68" s="382">
        <f t="shared" si="9"/>
        <v>38.675918178318447</v>
      </c>
      <c r="W68" s="400">
        <f t="shared" si="10"/>
        <v>36.731389329597924</v>
      </c>
      <c r="X68" s="157">
        <f t="shared" si="11"/>
        <v>45711</v>
      </c>
      <c r="Y68" s="383">
        <f t="shared" si="12"/>
        <v>36.379083063542751</v>
      </c>
      <c r="Z68" s="383">
        <f t="shared" si="22"/>
        <v>37.971915051505682</v>
      </c>
      <c r="AA68" s="384">
        <f t="shared" si="13"/>
        <v>40.557753907485797</v>
      </c>
      <c r="AB68" s="197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6.3756954141951233E-2</v>
      </c>
      <c r="AD68" s="230">
        <f>(INDEX(Models!$BJ68:$BT68,,AH68)*(1-AF68)+INDEX(Models!$BJ68:$BT68,,AH68+1)*AF68-ERP_i)*AE68*Ramure*Pc/MaxiM</f>
        <v>2.1655497632548454E-2</v>
      </c>
      <c r="AE68" s="304">
        <f t="shared" si="15"/>
        <v>0.7</v>
      </c>
      <c r="AF68" s="177">
        <f t="shared" si="23"/>
        <v>0.20325276000989301</v>
      </c>
      <c r="AG68" s="799">
        <f t="shared" si="24"/>
        <v>1</v>
      </c>
      <c r="AH68" s="176">
        <f t="shared" si="16"/>
        <v>7</v>
      </c>
      <c r="AI68" s="224">
        <f t="shared" si="17"/>
        <v>1.203252760009893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45712</v>
      </c>
      <c r="B69" s="409">
        <f>'2024'!Wh/'2024'!Env_an*'2025'!Env_an</f>
        <v>23.623419740230862</v>
      </c>
      <c r="C69" s="829"/>
      <c r="D69" s="391">
        <f t="shared" si="0"/>
        <v>24.658226752794214</v>
      </c>
      <c r="E69" s="383">
        <f t="shared" si="1"/>
        <v>26.111644708262357</v>
      </c>
      <c r="F69" s="383">
        <f t="shared" si="2"/>
        <v>26.333654190404978</v>
      </c>
      <c r="G69" s="110">
        <f t="shared" si="21"/>
        <v>0.5985477687089128</v>
      </c>
      <c r="H69" s="412" t="b">
        <f>Wh_hp&gt;='2024'!Maxi_hp</f>
        <v>0</v>
      </c>
      <c r="I69" s="388">
        <f>IF(H69,Wh_hp,'2024'!Maxi_hp)</f>
        <v>42.008924715628446</v>
      </c>
      <c r="J69" s="85">
        <f>IF(H69,An,'2024'!An_max)</f>
        <v>2020</v>
      </c>
      <c r="K69" s="197">
        <f t="shared" si="3"/>
        <v>45712</v>
      </c>
      <c r="L69" s="147">
        <f>IF(t&lt;Tvie,1-EXP((T0-t)*PertePVj)+'2024'!Pspv,1-EXP((T0-t)*PertePVj)+Pspv)</f>
        <v>4.1965994673404117E-2</v>
      </c>
      <c r="M69" s="832"/>
      <c r="N69" s="832"/>
      <c r="O69" s="48">
        <f>IF(t&lt;Tnet,'2024'!Resal+('2024'!Salim-'2024'!Resal)*(1-EXP(('2024'!Tnet-t)/('2024'!Tau_j))),Resal+(Salim-Resal)*(1-EXP((Tnet-t)/(Tau_j))))*Salcycl</f>
        <v>5.5661677834037269E-2</v>
      </c>
      <c r="P69" s="169">
        <f>(INDEX(Models!$BJ69:$BT69,,T69)*(1-R69)+INDEX(Models!$BJ69:$BT69,,T69+1)*R69-ERP_i)*Q69*Ramure*Pc/MaxiM</f>
        <v>1.9336076636260736E-2</v>
      </c>
      <c r="Q69" s="304">
        <f t="shared" si="4"/>
        <v>0.7</v>
      </c>
      <c r="R69" s="177">
        <f t="shared" si="5"/>
        <v>0.13912237689183549</v>
      </c>
      <c r="S69" s="799">
        <f t="shared" si="6"/>
        <v>1</v>
      </c>
      <c r="T69" s="176">
        <f t="shared" si="7"/>
        <v>7</v>
      </c>
      <c r="U69" s="250">
        <f t="shared" si="8"/>
        <v>1.1391223768918355</v>
      </c>
      <c r="V69" s="382">
        <f t="shared" si="9"/>
        <v>39.03381949968896</v>
      </c>
      <c r="W69" s="400">
        <f t="shared" si="10"/>
        <v>23.623419740230862</v>
      </c>
      <c r="X69" s="157">
        <f t="shared" si="11"/>
        <v>45712</v>
      </c>
      <c r="Y69" s="383">
        <f t="shared" si="12"/>
        <v>23.409627184022096</v>
      </c>
      <c r="Z69" s="383">
        <f t="shared" si="22"/>
        <v>24.435069166508033</v>
      </c>
      <c r="AA69" s="384">
        <f t="shared" si="13"/>
        <v>26.100168793244148</v>
      </c>
      <c r="AB69" s="197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6.3796507981477582E-2</v>
      </c>
      <c r="AD69" s="230">
        <f>(INDEX(Models!$BJ69:$BT69,,AH69)*(1-AF69)+INDEX(Models!$BJ69:$BT69,,AH69+1)*AF69-ERP_i)*AE69*Ramure*Pc/MaxiM</f>
        <v>2.0335579766135217E-2</v>
      </c>
      <c r="AE69" s="304">
        <f t="shared" si="15"/>
        <v>0.7</v>
      </c>
      <c r="AF69" s="177">
        <f t="shared" si="23"/>
        <v>0.20345459915166764</v>
      </c>
      <c r="AG69" s="799">
        <f t="shared" si="24"/>
        <v>1</v>
      </c>
      <c r="AH69" s="176">
        <f t="shared" si="16"/>
        <v>7</v>
      </c>
      <c r="AI69" s="224">
        <f t="shared" si="17"/>
        <v>1.2034545991516676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45713</v>
      </c>
      <c r="B70" s="409">
        <f>'2024'!Wh/'2024'!Env_an*'2025'!Env_an</f>
        <v>25.716128242219032</v>
      </c>
      <c r="C70" s="829"/>
      <c r="D70" s="391">
        <f t="shared" si="0"/>
        <v>26.843119296823467</v>
      </c>
      <c r="E70" s="383">
        <f t="shared" si="1"/>
        <v>28.426792965574126</v>
      </c>
      <c r="F70" s="383">
        <f t="shared" si="2"/>
        <v>28.687567114724885</v>
      </c>
      <c r="G70" s="110">
        <f t="shared" si="21"/>
        <v>0.64692399070631046</v>
      </c>
      <c r="H70" s="412" t="b">
        <f>Wh_hp&gt;='2024'!Maxi_hp</f>
        <v>0</v>
      </c>
      <c r="I70" s="388">
        <f>IF(H70,Wh_hp,'2024'!Maxi_hp)</f>
        <v>38.500224990742687</v>
      </c>
      <c r="J70" s="85">
        <f>IF(H70,An,'2024'!An_max)</f>
        <v>2021</v>
      </c>
      <c r="K70" s="197">
        <f t="shared" si="3"/>
        <v>45713</v>
      </c>
      <c r="L70" s="147">
        <f>IF(t&lt;Tvie,1-EXP((T0-t)*PertePVj)+'2024'!Pspv,1-EXP((T0-t)*PertePVj)+Pspv)</f>
        <v>4.1984355176553523E-2</v>
      </c>
      <c r="M70" s="832"/>
      <c r="N70" s="832"/>
      <c r="O70" s="48">
        <f>IF(t&lt;Tnet,'2024'!Resal+('2024'!Salim-'2024'!Resal)*(1-EXP(('2024'!Tnet-t)/('2024'!Tau_j))),Resal+(Salim-Resal)*(1-EXP((Tnet-t)/(Tau_j))))*Salcycl</f>
        <v>5.5710599175522374E-2</v>
      </c>
      <c r="P70" s="169">
        <f>(INDEX(Models!$BJ70:$BT70,,T70)*(1-R70)+INDEX(Models!$BJ70:$BT70,,T70+1)*R70-ERP_i)*Q70*Ramure*Pc/MaxiM</f>
        <v>1.8035133282026095E-2</v>
      </c>
      <c r="Q70" s="304">
        <f t="shared" si="4"/>
        <v>0.7</v>
      </c>
      <c r="R70" s="177">
        <f t="shared" si="5"/>
        <v>0.13933246472554428</v>
      </c>
      <c r="S70" s="799">
        <f t="shared" si="6"/>
        <v>1</v>
      </c>
      <c r="T70" s="176">
        <f t="shared" si="7"/>
        <v>7</v>
      </c>
      <c r="U70" s="250">
        <f t="shared" si="8"/>
        <v>1.1393324647255443</v>
      </c>
      <c r="V70" s="382">
        <f t="shared" si="9"/>
        <v>39.392552995747224</v>
      </c>
      <c r="W70" s="400">
        <f t="shared" si="10"/>
        <v>25.716128242219032</v>
      </c>
      <c r="X70" s="157">
        <f t="shared" si="11"/>
        <v>45713</v>
      </c>
      <c r="Y70" s="383">
        <f t="shared" si="12"/>
        <v>25.48234270542855</v>
      </c>
      <c r="Z70" s="383">
        <f t="shared" si="22"/>
        <v>26.599088274935962</v>
      </c>
      <c r="AA70" s="384">
        <f t="shared" si="13"/>
        <v>28.412850893052649</v>
      </c>
      <c r="AB70" s="197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6.3835995372086299E-2</v>
      </c>
      <c r="AD70" s="230">
        <f>(INDEX(Models!$BJ70:$BT70,,AH70)*(1-AF70)+INDEX(Models!$BJ70:$BT70,,AH70+1)*AF70-ERP_i)*AE70*Ramure*Pc/MaxiM</f>
        <v>1.8999366650139307E-2</v>
      </c>
      <c r="AE70" s="304">
        <f t="shared" si="15"/>
        <v>0.7</v>
      </c>
      <c r="AF70" s="177">
        <f t="shared" si="23"/>
        <v>0.20366468698537643</v>
      </c>
      <c r="AG70" s="799">
        <f t="shared" si="24"/>
        <v>1</v>
      </c>
      <c r="AH70" s="176">
        <f t="shared" si="16"/>
        <v>7</v>
      </c>
      <c r="AI70" s="224">
        <f t="shared" si="17"/>
        <v>1.2036646869853764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45714</v>
      </c>
      <c r="B71" s="409">
        <f>'2024'!Wh/'2024'!Env_an*'2025'!Env_an</f>
        <v>39.853719069475666</v>
      </c>
      <c r="C71" s="829"/>
      <c r="D71" s="391">
        <f t="shared" si="0"/>
        <v>41.601077275614273</v>
      </c>
      <c r="E71" s="383">
        <f t="shared" si="1"/>
        <v>44.057710876030278</v>
      </c>
      <c r="F71" s="383">
        <f t="shared" si="2"/>
        <v>44.806950383067353</v>
      </c>
      <c r="G71" s="110">
        <f t="shared" si="21"/>
        <v>1.0025557936565526</v>
      </c>
      <c r="H71" s="412" t="b">
        <f>Wh_hp&gt;='2024'!Maxi_hp</f>
        <v>1</v>
      </c>
      <c r="I71" s="388">
        <f>IF(H71,Wh_hp,'2024'!Maxi_hp)</f>
        <v>44.806950383067353</v>
      </c>
      <c r="J71" s="85">
        <f>IF(H71,An,'2024'!An_max)</f>
        <v>2025</v>
      </c>
      <c r="K71" s="197">
        <f t="shared" si="3"/>
        <v>45714</v>
      </c>
      <c r="L71" s="147">
        <f>IF(t&lt;Tvie,1-EXP((T0-t)*PertePVj)+'2024'!Pspv,1-EXP((T0-t)*PertePVj)+Pspv)</f>
        <v>4.2002715327828066E-2</v>
      </c>
      <c r="M71" s="832"/>
      <c r="N71" s="832"/>
      <c r="O71" s="48">
        <f>IF(t&lt;Tnet,'2024'!Resal+('2024'!Salim-'2024'!Resal)*(1-EXP(('2024'!Tnet-t)/('2024'!Tau_j))),Resal+(Salim-Resal)*(1-EXP((Tnet-t)/(Tau_j))))*Salcycl</f>
        <v>5.5759447133521899E-2</v>
      </c>
      <c r="P71" s="169">
        <f>(INDEX(Models!$BJ71:$BT71,,T71)*(1-R71)+INDEX(Models!$BJ71:$BT71,,T71+1)*R71-ERP_i)*Q71*Ramure*Pc/MaxiM</f>
        <v>1.6721501923956276E-2</v>
      </c>
      <c r="Q71" s="304">
        <f t="shared" si="4"/>
        <v>0.7</v>
      </c>
      <c r="R71" s="177">
        <f t="shared" si="5"/>
        <v>0.13955112892999666</v>
      </c>
      <c r="S71" s="799">
        <f t="shared" si="6"/>
        <v>1</v>
      </c>
      <c r="T71" s="176">
        <f t="shared" si="7"/>
        <v>7</v>
      </c>
      <c r="U71" s="250">
        <f t="shared" si="8"/>
        <v>1.1395511289299967</v>
      </c>
      <c r="V71" s="382">
        <f t="shared" si="9"/>
        <v>39.752120851169735</v>
      </c>
      <c r="W71" s="400">
        <f t="shared" si="10"/>
        <v>39.853719069475666</v>
      </c>
      <c r="X71" s="157">
        <f t="shared" si="11"/>
        <v>45714</v>
      </c>
      <c r="Y71" s="383">
        <f t="shared" si="12"/>
        <v>39.473972133459121</v>
      </c>
      <c r="Z71" s="383">
        <f t="shared" si="22"/>
        <v>41.204680603001052</v>
      </c>
      <c r="AA71" s="384">
        <f t="shared" si="13"/>
        <v>44.016236065905666</v>
      </c>
      <c r="AB71" s="197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6.3875417668490767E-2</v>
      </c>
      <c r="AD71" s="230">
        <f>(INDEX(Models!$BJ71:$BT71,,AH71)*(1-AF71)+INDEX(Models!$BJ71:$BT71,,AH71+1)*AF71-ERP_i)*AE71*Ramure*Pc/MaxiM</f>
        <v>1.7647135330604812E-2</v>
      </c>
      <c r="AE71" s="304">
        <f t="shared" si="15"/>
        <v>0.7</v>
      </c>
      <c r="AF71" s="177">
        <f t="shared" si="23"/>
        <v>0.20388335118982881</v>
      </c>
      <c r="AG71" s="799">
        <f t="shared" si="24"/>
        <v>1</v>
      </c>
      <c r="AH71" s="176">
        <f t="shared" si="16"/>
        <v>7</v>
      </c>
      <c r="AI71" s="224">
        <f t="shared" si="17"/>
        <v>1.2038833511898288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45715</v>
      </c>
      <c r="B72" s="409">
        <f>'2024'!Wh/'2024'!Env_an*'2025'!Env_an</f>
        <v>21.125882114297813</v>
      </c>
      <c r="C72" s="829"/>
      <c r="D72" s="391">
        <f t="shared" si="0"/>
        <v>22.052554148937734</v>
      </c>
      <c r="E72" s="383">
        <f t="shared" si="1"/>
        <v>23.356011678467066</v>
      </c>
      <c r="F72" s="383">
        <f t="shared" si="2"/>
        <v>23.473404688706921</v>
      </c>
      <c r="G72" s="110">
        <f t="shared" si="21"/>
        <v>0.52116365705344503</v>
      </c>
      <c r="H72" s="412" t="b">
        <f>Wh_hp&gt;='2024'!Maxi_hp</f>
        <v>0</v>
      </c>
      <c r="I72" s="388">
        <f>IF(H72,Wh_hp,'2024'!Maxi_hp)</f>
        <v>43.222165638946798</v>
      </c>
      <c r="J72" s="85">
        <f>IF(H72,An,'2024'!An_max)</f>
        <v>2021</v>
      </c>
      <c r="K72" s="197">
        <f t="shared" si="3"/>
        <v>45715</v>
      </c>
      <c r="L72" s="147">
        <f>IF(t&lt;Tvie,1-EXP((T0-t)*PertePVj)+'2024'!Pspv,1-EXP((T0-t)*PertePVj)+Pspv)</f>
        <v>4.202107512723452E-2</v>
      </c>
      <c r="M72" s="832"/>
      <c r="N72" s="832"/>
      <c r="O72" s="48">
        <f>IF(t&lt;Tnet,'2024'!Resal+('2024'!Salim-'2024'!Resal)*(1-EXP(('2024'!Tnet-t)/('2024'!Tau_j))),Resal+(Salim-Resal)*(1-EXP((Tnet-t)/(Tau_j))))*Salcycl</f>
        <v>5.5808223915688814E-2</v>
      </c>
      <c r="P72" s="169">
        <f>(INDEX(Models!$BJ72:$BT72,,T72)*(1-R72)+INDEX(Models!$BJ72:$BT72,,T72+1)*R72-ERP_i)*Q72*Ramure*Pc/MaxiM</f>
        <v>1.5442943004263398E-2</v>
      </c>
      <c r="Q72" s="304">
        <f t="shared" si="4"/>
        <v>0.7</v>
      </c>
      <c r="R72" s="177">
        <f t="shared" si="5"/>
        <v>0.13977870940584469</v>
      </c>
      <c r="S72" s="799">
        <f t="shared" si="6"/>
        <v>1</v>
      </c>
      <c r="T72" s="176">
        <f t="shared" si="7"/>
        <v>7</v>
      </c>
      <c r="U72" s="250">
        <f t="shared" si="8"/>
        <v>1.1397787094058447</v>
      </c>
      <c r="V72" s="382">
        <f t="shared" si="9"/>
        <v>40.110587302615798</v>
      </c>
      <c r="W72" s="400">
        <f t="shared" si="10"/>
        <v>21.125882114297813</v>
      </c>
      <c r="X72" s="157">
        <f t="shared" si="11"/>
        <v>45715</v>
      </c>
      <c r="Y72" s="383">
        <f t="shared" si="12"/>
        <v>20.938473484932235</v>
      </c>
      <c r="Z72" s="383">
        <f t="shared" si="22"/>
        <v>21.856924971197241</v>
      </c>
      <c r="AA72" s="384">
        <f t="shared" si="13"/>
        <v>23.349289619518345</v>
      </c>
      <c r="AB72" s="197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6.3914777393209971E-2</v>
      </c>
      <c r="AD72" s="230">
        <f>(INDEX(Models!$BJ72:$BT72,,AH72)*(1-AF72)+INDEX(Models!$BJ72:$BT72,,AH72+1)*AF72-ERP_i)*AE72*Ramure*Pc/MaxiM</f>
        <v>1.6327223703806595E-2</v>
      </c>
      <c r="AE72" s="304">
        <f t="shared" si="15"/>
        <v>0.7</v>
      </c>
      <c r="AF72" s="177">
        <f t="shared" si="23"/>
        <v>0.20411093166567684</v>
      </c>
      <c r="AG72" s="799">
        <f t="shared" si="24"/>
        <v>1</v>
      </c>
      <c r="AH72" s="176">
        <f t="shared" si="16"/>
        <v>7</v>
      </c>
      <c r="AI72" s="224">
        <f t="shared" si="17"/>
        <v>1.2041109316656768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45716</v>
      </c>
      <c r="B73" s="409">
        <f>'2024'!Wh/'2024'!Env_an*'2025'!Env_an</f>
        <v>36.595030956596361</v>
      </c>
      <c r="C73" s="829"/>
      <c r="D73" s="391">
        <f t="shared" si="0"/>
        <v>38.200978492629837</v>
      </c>
      <c r="E73" s="383">
        <f t="shared" si="1"/>
        <v>40.461006196276912</v>
      </c>
      <c r="F73" s="383">
        <f t="shared" si="2"/>
        <v>40.964582775537572</v>
      </c>
      <c r="G73" s="110">
        <f t="shared" si="21"/>
        <v>0.90255187233109135</v>
      </c>
      <c r="H73" s="412" t="b">
        <f>Wh_hp&gt;='2024'!Maxi_hp</f>
        <v>0</v>
      </c>
      <c r="I73" s="388">
        <f>IF(H73,Wh_hp,'2024'!Maxi_hp)</f>
        <v>41.02375672593805</v>
      </c>
      <c r="J73" s="85">
        <f>IF(H73,An,'2024'!An_max)</f>
        <v>2022</v>
      </c>
      <c r="K73" s="197">
        <f t="shared" si="3"/>
        <v>45716</v>
      </c>
      <c r="L73" s="147">
        <f>IF(t&lt;Tvie,1-EXP((T0-t)*PertePVj)+'2024'!Pspv,1-EXP((T0-t)*PertePVj)+Pspv)</f>
        <v>4.2039434574779655E-2</v>
      </c>
      <c r="M73" s="832"/>
      <c r="N73" s="832"/>
      <c r="O73" s="48">
        <f>IF(t&lt;Tnet,'2024'!Resal+('2024'!Salim-'2024'!Resal)*(1-EXP(('2024'!Tnet-t)/('2024'!Tau_j))),Resal+(Salim-Resal)*(1-EXP((Tnet-t)/(Tau_j))))*Salcycl</f>
        <v>5.5856932788167682E-2</v>
      </c>
      <c r="P73" s="169">
        <f>(INDEX(Models!$BJ73:$BT73,,T73)*(1-R73)+INDEX(Models!$BJ73:$BT73,,T73+1)*R73-ERP_i)*Q73*Ramure*Pc/MaxiM</f>
        <v>1.4238960646138821E-2</v>
      </c>
      <c r="Q73" s="304">
        <f t="shared" si="4"/>
        <v>0.7</v>
      </c>
      <c r="R73" s="177">
        <f t="shared" si="5"/>
        <v>0.14001555866391491</v>
      </c>
      <c r="S73" s="799">
        <f t="shared" si="6"/>
        <v>1</v>
      </c>
      <c r="T73" s="176">
        <f t="shared" si="7"/>
        <v>7</v>
      </c>
      <c r="U73" s="250">
        <f t="shared" si="8"/>
        <v>1.1400155586639149</v>
      </c>
      <c r="V73" s="382">
        <f t="shared" si="9"/>
        <v>40.466295998850903</v>
      </c>
      <c r="W73" s="400">
        <f t="shared" si="10"/>
        <v>36.595030956596361</v>
      </c>
      <c r="X73" s="157">
        <f t="shared" si="11"/>
        <v>45716</v>
      </c>
      <c r="Y73" s="383">
        <f t="shared" si="12"/>
        <v>36.254473144478595</v>
      </c>
      <c r="Z73" s="383">
        <f t="shared" si="22"/>
        <v>37.845475537279484</v>
      </c>
      <c r="AA73" s="384">
        <f t="shared" si="13"/>
        <v>40.431216737380645</v>
      </c>
      <c r="AB73" s="197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6.395407827809732E-2</v>
      </c>
      <c r="AD73" s="230">
        <f>(INDEX(Models!$BJ73:$BT73,,AH73)*(1-AF73)+INDEX(Models!$BJ73:$BT73,,AH73+1)*AF73-ERP_i)*AE73*Ramure*Pc/MaxiM</f>
        <v>1.5081277287465861E-2</v>
      </c>
      <c r="AE73" s="304">
        <f t="shared" si="15"/>
        <v>0.7</v>
      </c>
      <c r="AF73" s="177">
        <f t="shared" si="23"/>
        <v>0.20434778092374706</v>
      </c>
      <c r="AG73" s="799">
        <f t="shared" si="24"/>
        <v>1</v>
      </c>
      <c r="AH73" s="176">
        <f t="shared" si="16"/>
        <v>7</v>
      </c>
      <c r="AI73" s="224">
        <f t="shared" si="17"/>
        <v>1.2043477809237471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45717</v>
      </c>
      <c r="B74" s="409">
        <f>'2024'!Wh/'2024'!Env_an*'2025'!Env_an</f>
        <v>40.547368848239863</v>
      </c>
      <c r="C74" s="829"/>
      <c r="D74" s="391">
        <f t="shared" si="0"/>
        <v>42.327573187950399</v>
      </c>
      <c r="E74" s="383">
        <f t="shared" si="1"/>
        <v>44.834046474952999</v>
      </c>
      <c r="F74" s="383">
        <f t="shared" si="2"/>
        <v>45.423787196521765</v>
      </c>
      <c r="G74" s="110">
        <f t="shared" si="21"/>
        <v>0.99321391762941469</v>
      </c>
      <c r="H74" s="412" t="b">
        <f>Wh_hp&gt;='2024'!Maxi_hp</f>
        <v>0</v>
      </c>
      <c r="I74" s="388">
        <f>IF(H74,Wh_hp,'2024'!Maxi_hp)</f>
        <v>45.428013886424807</v>
      </c>
      <c r="J74" s="85">
        <f>IF(H74,An,'2024'!An_max)</f>
        <v>2022</v>
      </c>
      <c r="K74" s="197">
        <f t="shared" si="3"/>
        <v>45717</v>
      </c>
      <c r="L74" s="147">
        <f>IF(t&lt;Tvie,1-EXP((T0-t)*PertePVj)+'2024'!Pspv,1-EXP((T0-t)*PertePVj)+Pspv)</f>
        <v>4.2057793670470023E-2</v>
      </c>
      <c r="M74" s="832"/>
      <c r="N74" s="832"/>
      <c r="O74" s="48">
        <f>IF(t&lt;Tnet,'2024'!Resal+('2024'!Salim-'2024'!Resal)*(1-EXP(('2024'!Tnet-t)/('2024'!Tau_j))),Resal+(Salim-Resal)*(1-EXP((Tnet-t)/(Tau_j))))*Salcycl</f>
        <v>5.5905578105756443E-2</v>
      </c>
      <c r="P74" s="169">
        <f>(INDEX(Models!$BJ74:$BT74,,T74)*(1-R74)+INDEX(Models!$BJ74:$BT74,,T74+1)*R74-ERP_i)*Q74*Ramure*Pc/MaxiM</f>
        <v>1.3107803187447272E-2</v>
      </c>
      <c r="Q74" s="304">
        <f t="shared" si="4"/>
        <v>0.7</v>
      </c>
      <c r="R74" s="177">
        <f t="shared" si="5"/>
        <v>0.14026204221996186</v>
      </c>
      <c r="S74" s="799">
        <f t="shared" si="6"/>
        <v>1</v>
      </c>
      <c r="T74" s="176">
        <f t="shared" si="7"/>
        <v>7</v>
      </c>
      <c r="U74" s="250">
        <f t="shared" si="8"/>
        <v>1.1402620422199619</v>
      </c>
      <c r="V74" s="382">
        <f t="shared" si="9"/>
        <v>40.819247961369456</v>
      </c>
      <c r="W74" s="400">
        <f t="shared" si="10"/>
        <v>40.547368848239863</v>
      </c>
      <c r="X74" s="157">
        <f t="shared" si="11"/>
        <v>45717</v>
      </c>
      <c r="Y74" s="383">
        <f t="shared" si="12"/>
        <v>40.167749778077805</v>
      </c>
      <c r="Z74" s="383">
        <f t="shared" si="22"/>
        <v>41.931287203625089</v>
      </c>
      <c r="AA74" s="384">
        <f t="shared" si="13"/>
        <v>44.798064305411906</v>
      </c>
      <c r="AB74" s="197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6.39933252973275E-2</v>
      </c>
      <c r="AD74" s="230">
        <f>(INDEX(Models!$BJ74:$BT74,,AH74)*(1-AF74)+INDEX(Models!$BJ74:$BT74,,AH74+1)*AF74-ERP_i)*AE74*Ramure*Pc/MaxiM</f>
        <v>1.3907556671228059E-2</v>
      </c>
      <c r="AE74" s="304">
        <f t="shared" si="15"/>
        <v>0.7</v>
      </c>
      <c r="AF74" s="177">
        <f t="shared" si="23"/>
        <v>0.20459426447979401</v>
      </c>
      <c r="AG74" s="799">
        <f t="shared" si="24"/>
        <v>1</v>
      </c>
      <c r="AH74" s="176">
        <f t="shared" si="16"/>
        <v>7</v>
      </c>
      <c r="AI74" s="224">
        <f t="shared" si="17"/>
        <v>1.204594264479794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45718</v>
      </c>
      <c r="B75" s="409">
        <f>'2024'!Wh/'2024'!Env_an*'2025'!Env_an</f>
        <v>14.063373232986384</v>
      </c>
      <c r="C75" s="829"/>
      <c r="D75" s="391">
        <f t="shared" si="0"/>
        <v>14.681097321494963</v>
      </c>
      <c r="E75" s="383">
        <f t="shared" si="1"/>
        <v>15.551254803954338</v>
      </c>
      <c r="F75" s="383">
        <f t="shared" si="2"/>
        <v>15.562396493006469</v>
      </c>
      <c r="G75" s="110">
        <f t="shared" si="21"/>
        <v>0.3377236551935342</v>
      </c>
      <c r="H75" s="412" t="b">
        <f>Wh_hp&gt;='2024'!Maxi_hp</f>
        <v>0</v>
      </c>
      <c r="I75" s="388">
        <f>IF(H75,Wh_hp,'2024'!Maxi_hp)</f>
        <v>33.203726330911472</v>
      </c>
      <c r="J75" s="85">
        <f>IF(H75,An,'2024'!An_max)</f>
        <v>2020</v>
      </c>
      <c r="K75" s="197">
        <f t="shared" si="3"/>
        <v>45718</v>
      </c>
      <c r="L75" s="147">
        <f>IF(t&lt;Tvie,1-EXP((T0-t)*PertePVj)+'2024'!Pspv,1-EXP((T0-t)*PertePVj)+Pspv)</f>
        <v>4.2076152414312618E-2</v>
      </c>
      <c r="M75" s="832"/>
      <c r="N75" s="832"/>
      <c r="O75" s="48">
        <f>IF(t&lt;Tnet,'2024'!Resal+('2024'!Salim-'2024'!Resal)*(1-EXP(('2024'!Tnet-t)/('2024'!Tau_j))),Resal+(Salim-Resal)*(1-EXP((Tnet-t)/(Tau_j))))*Salcycl</f>
        <v>5.5954165334498443E-2</v>
      </c>
      <c r="P75" s="169">
        <f>(INDEX(Models!$BJ75:$BT75,,T75)*(1-R75)+INDEX(Models!$BJ75:$BT75,,T75+1)*R75-ERP_i)*Q75*Ramure*Pc/MaxiM</f>
        <v>1.2047775956394583E-2</v>
      </c>
      <c r="Q75" s="304">
        <f t="shared" si="4"/>
        <v>0.7</v>
      </c>
      <c r="R75" s="177">
        <f t="shared" si="5"/>
        <v>0.14051853899537115</v>
      </c>
      <c r="S75" s="799">
        <f t="shared" si="6"/>
        <v>1</v>
      </c>
      <c r="T75" s="176">
        <f t="shared" si="7"/>
        <v>7</v>
      </c>
      <c r="U75" s="250">
        <f t="shared" si="8"/>
        <v>1.1405185389953711</v>
      </c>
      <c r="V75" s="382">
        <f t="shared" si="9"/>
        <v>41.169444178820967</v>
      </c>
      <c r="W75" s="400">
        <f t="shared" si="10"/>
        <v>14.063373232986384</v>
      </c>
      <c r="X75" s="157">
        <f t="shared" si="11"/>
        <v>45718</v>
      </c>
      <c r="Y75" s="383">
        <f t="shared" si="12"/>
        <v>13.942403235866481</v>
      </c>
      <c r="Z75" s="383">
        <f t="shared" si="22"/>
        <v>14.554813799663043</v>
      </c>
      <c r="AA75" s="384">
        <f t="shared" si="13"/>
        <v>15.550555103283376</v>
      </c>
      <c r="AB75" s="197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6.4032524691680665E-2</v>
      </c>
      <c r="AD75" s="230">
        <f>(INDEX(Models!$BJ75:$BT75,,AH75)*(1-AF75)+INDEX(Models!$BJ75:$BT75,,AH75+1)*AF75-ERP_i)*AE75*Ramure*Pc/MaxiM</f>
        <v>1.2804379096262558E-2</v>
      </c>
      <c r="AE75" s="304">
        <f t="shared" si="15"/>
        <v>0.7</v>
      </c>
      <c r="AF75" s="177">
        <f t="shared" si="23"/>
        <v>0.2048507612552033</v>
      </c>
      <c r="AG75" s="799">
        <f t="shared" si="24"/>
        <v>1</v>
      </c>
      <c r="AH75" s="176">
        <f t="shared" si="16"/>
        <v>7</v>
      </c>
      <c r="AI75" s="224">
        <f t="shared" si="17"/>
        <v>1.2048507612552033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45719</v>
      </c>
      <c r="B76" s="409">
        <f>'2024'!Wh/'2024'!Env_an*'2025'!Env_an</f>
        <v>36.686121839703446</v>
      </c>
      <c r="C76" s="829"/>
      <c r="D76" s="391">
        <f t="shared" si="0"/>
        <v>38.29826872647309</v>
      </c>
      <c r="E76" s="383">
        <f t="shared" si="1"/>
        <v>40.570316005932014</v>
      </c>
      <c r="F76" s="383">
        <f t="shared" si="2"/>
        <v>40.947824777546721</v>
      </c>
      <c r="G76" s="110">
        <f t="shared" si="21"/>
        <v>0.88200416960300421</v>
      </c>
      <c r="H76" s="412" t="b">
        <f>Wh_hp&gt;='2024'!Maxi_hp</f>
        <v>0</v>
      </c>
      <c r="I76" s="388">
        <f>IF(H76,Wh_hp,'2024'!Maxi_hp)</f>
        <v>41.004251522825243</v>
      </c>
      <c r="J76" s="85">
        <f>IF(H76,An,'2024'!An_max)</f>
        <v>2022</v>
      </c>
      <c r="K76" s="197">
        <f t="shared" si="3"/>
        <v>45719</v>
      </c>
      <c r="L76" s="147">
        <f>IF(t&lt;Tvie,1-EXP((T0-t)*PertePVj)+'2024'!Pspv,1-EXP((T0-t)*PertePVj)+Pspv)</f>
        <v>4.20945108063141E-2</v>
      </c>
      <c r="M76" s="832"/>
      <c r="N76" s="832"/>
      <c r="O76" s="48">
        <f>IF(t&lt;Tnet,'2024'!Resal+('2024'!Salim-'2024'!Resal)*(1-EXP(('2024'!Tnet-t)/('2024'!Tau_j))),Resal+(Salim-Resal)*(1-EXP((Tnet-t)/(Tau_j))))*Salcycl</f>
        <v>5.6002701066629947E-2</v>
      </c>
      <c r="P76" s="169">
        <f>(INDEX(Models!$BJ76:$BT76,,T76)*(1-R76)+INDEX(Models!$BJ76:$BT76,,T76+1)*R76-ERP_i)*Q76*Ramure*Pc/MaxiM</f>
        <v>1.1057238431949324E-2</v>
      </c>
      <c r="Q76" s="304">
        <f t="shared" si="4"/>
        <v>0.7</v>
      </c>
      <c r="R76" s="177">
        <f t="shared" si="5"/>
        <v>0.14078544172325747</v>
      </c>
      <c r="S76" s="799">
        <f t="shared" si="6"/>
        <v>1</v>
      </c>
      <c r="T76" s="176">
        <f t="shared" si="7"/>
        <v>7</v>
      </c>
      <c r="U76" s="250">
        <f t="shared" si="8"/>
        <v>1.1407854417232575</v>
      </c>
      <c r="V76" s="382">
        <f t="shared" si="9"/>
        <v>41.516885626640153</v>
      </c>
      <c r="W76" s="400">
        <f t="shared" si="10"/>
        <v>36.686121839703446</v>
      </c>
      <c r="X76" s="157">
        <f t="shared" si="11"/>
        <v>45719</v>
      </c>
      <c r="Y76" s="383">
        <f t="shared" si="12"/>
        <v>36.350720481182606</v>
      </c>
      <c r="Z76" s="383">
        <f t="shared" si="22"/>
        <v>37.948128381413404</v>
      </c>
      <c r="AA76" s="384">
        <f t="shared" si="13"/>
        <v>40.545977434415917</v>
      </c>
      <c r="AB76" s="197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6.4071683984054772E-2</v>
      </c>
      <c r="AD76" s="230">
        <f>(INDEX(Models!$BJ76:$BT76,,AH76)*(1-AF76)+INDEX(Models!$BJ76:$BT76,,AH76+1)*AF76-ERP_i)*AE76*Ramure*Pc/MaxiM</f>
        <v>1.1770115611452763E-2</v>
      </c>
      <c r="AE76" s="304">
        <f t="shared" si="15"/>
        <v>0.7</v>
      </c>
      <c r="AF76" s="177">
        <f t="shared" si="23"/>
        <v>0.20511766398308962</v>
      </c>
      <c r="AG76" s="799">
        <f t="shared" si="24"/>
        <v>1</v>
      </c>
      <c r="AH76" s="176">
        <f t="shared" si="16"/>
        <v>7</v>
      </c>
      <c r="AI76" s="224">
        <f t="shared" si="17"/>
        <v>1.2051176639830896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45720</v>
      </c>
      <c r="B77" s="409">
        <f>'2024'!Wh/'2024'!Env_an*'2025'!Env_an</f>
        <v>4.8893768974692415</v>
      </c>
      <c r="C77" s="829"/>
      <c r="D77" s="391">
        <f t="shared" si="0"/>
        <v>5.1043350917360115</v>
      </c>
      <c r="E77" s="383">
        <f t="shared" si="1"/>
        <v>5.4074278753623215</v>
      </c>
      <c r="F77" s="383">
        <f t="shared" si="2"/>
        <v>5.4074278753623215</v>
      </c>
      <c r="G77" s="110">
        <f t="shared" si="21"/>
        <v>0.11561498125492797</v>
      </c>
      <c r="H77" s="412" t="b">
        <f>Wh_hp&gt;='2024'!Maxi_hp</f>
        <v>0</v>
      </c>
      <c r="I77" s="388">
        <f>IF(H77,Wh_hp,'2024'!Maxi_hp)</f>
        <v>31.937048727030085</v>
      </c>
      <c r="J77" s="85">
        <f>IF(H77,An,'2024'!An_max)</f>
        <v>2021</v>
      </c>
      <c r="K77" s="197">
        <f t="shared" si="3"/>
        <v>45720</v>
      </c>
      <c r="L77" s="147">
        <f>IF(t&lt;Tvie,1-EXP((T0-t)*PertePVj)+'2024'!Pspv,1-EXP((T0-t)*PertePVj)+Pspv)</f>
        <v>4.2112868846481133E-2</v>
      </c>
      <c r="M77" s="832"/>
      <c r="N77" s="832"/>
      <c r="O77" s="48">
        <f>IF(t&lt;Tnet,'2024'!Resal+('2024'!Salim-'2024'!Resal)*(1-EXP(('2024'!Tnet-t)/('2024'!Tau_j))),Resal+(Salim-Resal)*(1-EXP((Tnet-t)/(Tau_j))))*Salcycl</f>
        <v>5.6051193027887011E-2</v>
      </c>
      <c r="P77" s="169">
        <f>(INDEX(Models!$BJ77:$BT77,,T77)*(1-R77)+INDEX(Models!$BJ77:$BT77,,T77+1)*R77-ERP_i)*Q77*Ramure*Pc/MaxiM</f>
        <v>1.0134601600493887E-2</v>
      </c>
      <c r="Q77" s="304">
        <f t="shared" si="4"/>
        <v>0.7</v>
      </c>
      <c r="R77" s="177">
        <f t="shared" si="5"/>
        <v>0.14106315735933594</v>
      </c>
      <c r="S77" s="799">
        <f t="shared" si="6"/>
        <v>1</v>
      </c>
      <c r="T77" s="176">
        <f t="shared" si="7"/>
        <v>7</v>
      </c>
      <c r="U77" s="250">
        <f t="shared" si="8"/>
        <v>1.1410631573593359</v>
      </c>
      <c r="V77" s="382">
        <f t="shared" si="9"/>
        <v>41.861573284062956</v>
      </c>
      <c r="W77" s="400">
        <f t="shared" si="10"/>
        <v>4.8893768974692415</v>
      </c>
      <c r="X77" s="157">
        <f t="shared" si="11"/>
        <v>45720</v>
      </c>
      <c r="Y77" s="383">
        <f t="shared" si="12"/>
        <v>4.8476304442227862</v>
      </c>
      <c r="Z77" s="383">
        <f t="shared" si="22"/>
        <v>5.0607532835158899</v>
      </c>
      <c r="AA77" s="384">
        <f t="shared" si="13"/>
        <v>5.4074278753623215</v>
      </c>
      <c r="AB77" s="197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6.4110811986226035E-2</v>
      </c>
      <c r="AD77" s="230">
        <f>(INDEX(Models!$BJ77:$BT77,,AH77)*(1-AF77)+INDEX(Models!$BJ77:$BT77,,AH77+1)*AF77-ERP_i)*AE77*Ramure*Pc/MaxiM</f>
        <v>1.0803188423498757E-2</v>
      </c>
      <c r="AE77" s="304">
        <f t="shared" si="15"/>
        <v>0.7</v>
      </c>
      <c r="AF77" s="177">
        <f t="shared" si="23"/>
        <v>0.20539537961916809</v>
      </c>
      <c r="AG77" s="799">
        <f t="shared" si="24"/>
        <v>1</v>
      </c>
      <c r="AH77" s="176">
        <f t="shared" si="16"/>
        <v>7</v>
      </c>
      <c r="AI77" s="224">
        <f t="shared" si="17"/>
        <v>1.2053953796191681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45721</v>
      </c>
      <c r="B78" s="409">
        <f>'2024'!Wh/'2024'!Env_an*'2025'!Env_an</f>
        <v>15.061844089364939</v>
      </c>
      <c r="C78" s="829"/>
      <c r="D78" s="391">
        <f t="shared" si="0"/>
        <v>15.724329372255569</v>
      </c>
      <c r="E78" s="383">
        <f t="shared" si="1"/>
        <v>16.658887109791269</v>
      </c>
      <c r="F78" s="383">
        <f t="shared" si="2"/>
        <v>16.67145756641143</v>
      </c>
      <c r="G78" s="110">
        <f t="shared" si="21"/>
        <v>0.35384156344103251</v>
      </c>
      <c r="H78" s="412" t="b">
        <f>Wh_hp&gt;='2024'!Maxi_hp</f>
        <v>0</v>
      </c>
      <c r="I78" s="388">
        <f>IF(H78,Wh_hp,'2024'!Maxi_hp)</f>
        <v>34.948583246258117</v>
      </c>
      <c r="J78" s="85">
        <f>IF(H78,An,'2024'!An_max)</f>
        <v>2021</v>
      </c>
      <c r="K78" s="197">
        <f t="shared" si="3"/>
        <v>45721</v>
      </c>
      <c r="L78" s="147">
        <f>IF(t&lt;Tvie,1-EXP((T0-t)*PertePVj)+'2024'!Pspv,1-EXP((T0-t)*PertePVj)+Pspv)</f>
        <v>4.2131226534820487E-2</v>
      </c>
      <c r="M78" s="832"/>
      <c r="N78" s="832"/>
      <c r="O78" s="48">
        <f>IF(t&lt;Tnet,'2024'!Resal+('2024'!Salim-'2024'!Resal)*(1-EXP(('2024'!Tnet-t)/('2024'!Tau_j))),Resal+(Salim-Resal)*(1-EXP((Tnet-t)/(Tau_j))))*Salcycl</f>
        <v>5.6099650077249937E-2</v>
      </c>
      <c r="P78" s="169">
        <f>(INDEX(Models!$BJ78:$BT78,,T78)*(1-R78)+INDEX(Models!$BJ78:$BT78,,T78+1)*R78-ERP_i)*Q78*Ramure*Pc/MaxiM</f>
        <v>9.2783255023947096E-3</v>
      </c>
      <c r="Q78" s="304">
        <f t="shared" si="4"/>
        <v>0.7</v>
      </c>
      <c r="R78" s="177">
        <f t="shared" si="5"/>
        <v>0.14135210749685245</v>
      </c>
      <c r="S78" s="799">
        <f t="shared" si="6"/>
        <v>1</v>
      </c>
      <c r="T78" s="176">
        <f t="shared" si="7"/>
        <v>7</v>
      </c>
      <c r="U78" s="250">
        <f t="shared" si="8"/>
        <v>1.1413521074968525</v>
      </c>
      <c r="V78" s="382">
        <f t="shared" si="9"/>
        <v>42.203508149275528</v>
      </c>
      <c r="W78" s="400">
        <f t="shared" si="10"/>
        <v>15.061844089364939</v>
      </c>
      <c r="X78" s="157">
        <f t="shared" si="11"/>
        <v>45721</v>
      </c>
      <c r="Y78" s="383">
        <f t="shared" si="12"/>
        <v>14.932628198691566</v>
      </c>
      <c r="Z78" s="383">
        <f t="shared" si="22"/>
        <v>15.589430005815299</v>
      </c>
      <c r="AA78" s="384">
        <f t="shared" si="13"/>
        <v>16.658042050683008</v>
      </c>
      <c r="AB78" s="197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6.4149918796962926E-2</v>
      </c>
      <c r="AD78" s="230">
        <f>(INDEX(Models!$BJ78:$BT78,,AH78)*(1-AF78)+INDEX(Models!$BJ78:$BT78,,AH78+1)*AF78-ERP_i)*AE78*Ramure*Pc/MaxiM</f>
        <v>9.9020684349014551E-3</v>
      </c>
      <c r="AE78" s="304">
        <f t="shared" si="15"/>
        <v>0.7</v>
      </c>
      <c r="AF78" s="177">
        <f t="shared" si="23"/>
        <v>0.2056843297566846</v>
      </c>
      <c r="AG78" s="799">
        <f t="shared" si="24"/>
        <v>1</v>
      </c>
      <c r="AH78" s="176">
        <f t="shared" si="16"/>
        <v>7</v>
      </c>
      <c r="AI78" s="224">
        <f t="shared" si="17"/>
        <v>1.2056843297566846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45722</v>
      </c>
      <c r="B79" s="409">
        <f>'2024'!Wh/'2024'!Env_an*'2025'!Env_an</f>
        <v>21.734120913399373</v>
      </c>
      <c r="C79" s="829"/>
      <c r="D79" s="391">
        <f t="shared" ref="D79:D142" si="25">Wh/(1-Ppv)</f>
        <v>22.690516752335981</v>
      </c>
      <c r="E79" s="383">
        <f t="shared" si="1"/>
        <v>24.040335485260602</v>
      </c>
      <c r="F79" s="383">
        <f t="shared" ref="F79:F142" si="26">Wh_sa/(1-Pvg*MEDIAN((-Sdif+Wh/Env_an)/Csdif,0,1))</f>
        <v>24.101952139381535</v>
      </c>
      <c r="G79" s="110">
        <f t="shared" si="21"/>
        <v>0.50782782211971855</v>
      </c>
      <c r="H79" s="412" t="b">
        <f>Wh_hp&gt;='2024'!Maxi_hp</f>
        <v>0</v>
      </c>
      <c r="I79" s="388">
        <f>IF(H79,Wh_hp,'2024'!Maxi_hp)</f>
        <v>24.208113232054881</v>
      </c>
      <c r="J79" s="85">
        <f>IF(H79,An,'2024'!An_max)</f>
        <v>2022</v>
      </c>
      <c r="K79" s="197">
        <f t="shared" ref="K79:K142" si="27">t</f>
        <v>45722</v>
      </c>
      <c r="L79" s="147">
        <f>IF(t&lt;Tvie,1-EXP((T0-t)*PertePVj)+'2024'!Pspv,1-EXP((T0-t)*PertePVj)+Pspv)</f>
        <v>4.2149583871338936E-2</v>
      </c>
      <c r="M79" s="832"/>
      <c r="N79" s="832"/>
      <c r="O79" s="48">
        <f>IF(t&lt;Tnet,'2024'!Resal+('2024'!Salim-'2024'!Resal)*(1-EXP(('2024'!Tnet-t)/('2024'!Tau_j))),Resal+(Salim-Resal)*(1-EXP((Tnet-t)/(Tau_j))))*Salcycl</f>
        <v>5.6148082199277624E-2</v>
      </c>
      <c r="P79" s="169">
        <f>(INDEX(Models!$BJ79:$BT79,,T79)*(1-R79)+INDEX(Models!$BJ79:$BT79,,T79+1)*R79-ERP_i)*Q79*Ramure*Pc/MaxiM</f>
        <v>8.486706438777877E-3</v>
      </c>
      <c r="Q79" s="304">
        <f t="shared" ref="Q79:Q142" si="28">IF(OR(t&lt;Ttai,Notai),Dd+PousD*Croivg,Dens+PousD*(Croivg-Croi_tai))</f>
        <v>0.7</v>
      </c>
      <c r="R79" s="177">
        <f t="shared" ref="R79:R142" si="29">(Hp_vg-S79)/(INDEX(Echel_vg,T79+1)-S79)</f>
        <v>0.14165272878477109</v>
      </c>
      <c r="S79" s="799">
        <f t="shared" ref="S79:S142" si="30">INDEX(Echel_vg,T79)</f>
        <v>1</v>
      </c>
      <c r="T79" s="176">
        <f t="shared" ref="T79:T142" si="31">MIN(MATCH(Hp_vg,Echel_vg),10)</f>
        <v>7</v>
      </c>
      <c r="U79" s="250">
        <f t="shared" ref="U79:U142" si="32">IF(OR(t&lt;Ttai,Notai),Hdd+PousH*Croivg,Hdtf+PousH*(Croivg-Croi_tai))</f>
        <v>1.1416527287847711</v>
      </c>
      <c r="V79" s="382">
        <f t="shared" ref="V79:V142" si="33">MaxiM*(1-Ppv)*(1-Pvg)*(1-Psa)</f>
        <v>42.543755608537587</v>
      </c>
      <c r="W79" s="400">
        <f t="shared" ref="W79:W142" si="34">Wh*(A79&gt;Tmaj)</f>
        <v>21.734120913399373</v>
      </c>
      <c r="X79" s="157">
        <f t="shared" ref="X79:X142" si="35">t</f>
        <v>45722</v>
      </c>
      <c r="Y79" s="383">
        <f t="shared" ref="Y79:Y142" si="36">Wh_pvt_s*(1-Ppv)</f>
        <v>21.545198147538862</v>
      </c>
      <c r="Z79" s="383">
        <f t="shared" ref="Z79:Z142" si="37">Wh_sa_s*(1-Psa_s)</f>
        <v>22.493280563178097</v>
      </c>
      <c r="AA79" s="384">
        <f t="shared" ref="AA79:AA142" si="38">Wh_hp*(1-Pvg_s*MEDIAN((-Sdif+Wh/Env_an)/Csdif,0,1))</f>
        <v>24.036136509133943</v>
      </c>
      <c r="AB79" s="197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6.4189015791682985E-2</v>
      </c>
      <c r="AD79" s="230">
        <f>(INDEX(Models!$BJ79:$BT79,,AH79)*(1-AF79)+INDEX(Models!$BJ79:$BT79,,AH79+1)*AF79-ERP_i)*AE79*Ramure*Pc/MaxiM</f>
        <v>9.0650480939490734E-3</v>
      </c>
      <c r="AE79" s="304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0.20598495104460324</v>
      </c>
      <c r="AG79" s="799">
        <f t="shared" si="24"/>
        <v>1</v>
      </c>
      <c r="AH79" s="176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1.2059849510446032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45723</v>
      </c>
      <c r="B80" s="409">
        <f>'2024'!Wh/'2024'!Env_an*'2025'!Env_an</f>
        <v>33.892820264540617</v>
      </c>
      <c r="C80" s="829"/>
      <c r="D80" s="391">
        <f t="shared" si="25"/>
        <v>35.384929895572348</v>
      </c>
      <c r="E80" s="383">
        <f t="shared" ref="E80:E143" si="47">Wh_pvt/(1-Psa)</f>
        <v>37.491840106457808</v>
      </c>
      <c r="F80" s="383">
        <f t="shared" si="26"/>
        <v>37.697696291892058</v>
      </c>
      <c r="G80" s="110">
        <f t="shared" ref="G80:G143" si="48">+Wh_hp/MaxiM</f>
        <v>0.78852882269732838</v>
      </c>
      <c r="H80" s="412" t="b">
        <f>Wh_hp&gt;='2024'!Maxi_hp</f>
        <v>0</v>
      </c>
      <c r="I80" s="388">
        <f>IF(H80,Wh_hp,'2024'!Maxi_hp)</f>
        <v>37.762488842107338</v>
      </c>
      <c r="J80" s="85">
        <f>IF(H80,An,'2024'!An_max)</f>
        <v>2022</v>
      </c>
      <c r="K80" s="197">
        <f t="shared" si="27"/>
        <v>45723</v>
      </c>
      <c r="L80" s="147">
        <f>IF(t&lt;Tvie,1-EXP((T0-t)*PertePVj)+'2024'!Pspv,1-EXP((T0-t)*PertePVj)+Pspv)</f>
        <v>4.2167940856043251E-2</v>
      </c>
      <c r="M80" s="832"/>
      <c r="N80" s="832"/>
      <c r="O80" s="48">
        <f>IF(t&lt;Tnet,'2024'!Resal+('2024'!Salim-'2024'!Resal)*(1-EXP(('2024'!Tnet-t)/('2024'!Tau_j))),Resal+(Salim-Resal)*(1-EXP((Tnet-t)/(Tau_j))))*Salcycl</f>
        <v>5.6196500489250567E-2</v>
      </c>
      <c r="P80" s="169">
        <f>(INDEX(Models!$BJ80:$BT80,,T80)*(1-R80)+INDEX(Models!$BJ80:$BT80,,T80+1)*R80-ERP_i)*Q80*Ramure*Pc/MaxiM</f>
        <v>7.7949077104994312E-3</v>
      </c>
      <c r="Q80" s="304">
        <f t="shared" si="28"/>
        <v>0.7</v>
      </c>
      <c r="R80" s="177">
        <f t="shared" si="29"/>
        <v>0.14196547334831955</v>
      </c>
      <c r="S80" s="799">
        <f t="shared" si="30"/>
        <v>1</v>
      </c>
      <c r="T80" s="176">
        <f t="shared" si="31"/>
        <v>7</v>
      </c>
      <c r="U80" s="250">
        <f t="shared" si="32"/>
        <v>1.1419654733483195</v>
      </c>
      <c r="V80" s="382">
        <f t="shared" si="33"/>
        <v>42.881467821553528</v>
      </c>
      <c r="W80" s="400">
        <f t="shared" si="34"/>
        <v>33.892820264540617</v>
      </c>
      <c r="X80" s="157">
        <f t="shared" si="35"/>
        <v>45723</v>
      </c>
      <c r="Y80" s="383">
        <f t="shared" si="36"/>
        <v>33.591757682706771</v>
      </c>
      <c r="Z80" s="383">
        <f t="shared" si="37"/>
        <v>35.070613227050188</v>
      </c>
      <c r="AA80" s="384">
        <f t="shared" si="38"/>
        <v>37.477737696387031</v>
      </c>
      <c r="AB80" s="197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6.4228115603917474E-2</v>
      </c>
      <c r="AD80" s="230">
        <f>(INDEX(Models!$BJ80:$BT80,,AH80)*(1-AF80)+INDEX(Models!$BJ80:$BT80,,AH80+1)*AF80-ERP_i)*AE80*Ramure*Pc/MaxiM</f>
        <v>8.3289066513883032E-3</v>
      </c>
      <c r="AE80" s="304">
        <f t="shared" si="40"/>
        <v>0.7</v>
      </c>
      <c r="AF80" s="177">
        <f t="shared" si="41"/>
        <v>0.2062976956081517</v>
      </c>
      <c r="AG80" s="799">
        <f t="shared" ref="AG80:AG143" si="49">INDEX(Echel_vg,AH80)</f>
        <v>1</v>
      </c>
      <c r="AH80" s="176">
        <f t="shared" si="42"/>
        <v>7</v>
      </c>
      <c r="AI80" s="224">
        <f t="shared" si="43"/>
        <v>1.2062976956081517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45724</v>
      </c>
      <c r="B81" s="409">
        <f>'2024'!Wh/'2024'!Env_an*'2025'!Env_an</f>
        <v>34.288575619778712</v>
      </c>
      <c r="C81" s="829"/>
      <c r="D81" s="391">
        <f t="shared" si="25"/>
        <v>35.798794201717726</v>
      </c>
      <c r="E81" s="383">
        <f t="shared" si="47"/>
        <v>37.93229287084251</v>
      </c>
      <c r="F81" s="383">
        <f t="shared" si="26"/>
        <v>38.125611252799565</v>
      </c>
      <c r="G81" s="110">
        <f t="shared" si="48"/>
        <v>0.79172146772572183</v>
      </c>
      <c r="H81" s="412" t="b">
        <f>Wh_hp&gt;='2024'!Maxi_hp</f>
        <v>0</v>
      </c>
      <c r="I81" s="388">
        <f>IF(H81,Wh_hp,'2024'!Maxi_hp)</f>
        <v>38.184491330413124</v>
      </c>
      <c r="J81" s="85">
        <f>IF(H81,An,'2024'!An_max)</f>
        <v>2022</v>
      </c>
      <c r="K81" s="197">
        <f t="shared" si="27"/>
        <v>45724</v>
      </c>
      <c r="L81" s="147">
        <f>IF(t&lt;Tvie,1-EXP((T0-t)*PertePVj)+'2024'!Pspv,1-EXP((T0-t)*PertePVj)+Pspv)</f>
        <v>4.2186297488940205E-2</v>
      </c>
      <c r="M81" s="832"/>
      <c r="N81" s="832"/>
      <c r="O81" s="48">
        <f>IF(t&lt;Tnet,'2024'!Resal+('2024'!Salim-'2024'!Resal)*(1-EXP(('2024'!Tnet-t)/('2024'!Tau_j))),Resal+(Salim-Resal)*(1-EXP((Tnet-t)/(Tau_j))))*Salcycl</f>
        <v>5.6244917131406641E-2</v>
      </c>
      <c r="P81" s="169">
        <f>(INDEX(Models!$BJ81:$BT81,,T81)*(1-R81)+INDEX(Models!$BJ81:$BT81,,T81+1)*R81-ERP_i)*Q81*Ramure*Pc/MaxiM</f>
        <v>7.1935375153729117E-3</v>
      </c>
      <c r="Q81" s="304">
        <f t="shared" si="28"/>
        <v>0.7</v>
      </c>
      <c r="R81" s="177">
        <f t="shared" si="29"/>
        <v>0.14229080921088744</v>
      </c>
      <c r="S81" s="799">
        <f t="shared" si="30"/>
        <v>1</v>
      </c>
      <c r="T81" s="176">
        <f t="shared" si="31"/>
        <v>7</v>
      </c>
      <c r="U81" s="250">
        <f t="shared" si="32"/>
        <v>1.1422908092108874</v>
      </c>
      <c r="V81" s="382">
        <f t="shared" si="33"/>
        <v>43.216474880796284</v>
      </c>
      <c r="W81" s="400">
        <f t="shared" si="34"/>
        <v>34.288575619778712</v>
      </c>
      <c r="X81" s="157">
        <f t="shared" si="35"/>
        <v>45724</v>
      </c>
      <c r="Y81" s="383">
        <f t="shared" si="36"/>
        <v>33.985249585984711</v>
      </c>
      <c r="Z81" s="383">
        <f t="shared" si="37"/>
        <v>35.482108365005651</v>
      </c>
      <c r="AA81" s="384">
        <f t="shared" si="38"/>
        <v>37.91906149080878</v>
      </c>
      <c r="AB81" s="197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6.4267232098922628E-2</v>
      </c>
      <c r="AD81" s="230">
        <f>(INDEX(Models!$BJ81:$BT81,,AH81)*(1-AF81)+INDEX(Models!$BJ81:$BT81,,AH81+1)*AF81-ERP_i)*AE81*Ramure*Pc/MaxiM</f>
        <v>7.685888153161396E-3</v>
      </c>
      <c r="AE81" s="304">
        <f t="shared" si="40"/>
        <v>0.7</v>
      </c>
      <c r="AF81" s="177">
        <f t="shared" si="41"/>
        <v>0.20662303147071959</v>
      </c>
      <c r="AG81" s="799">
        <f t="shared" si="49"/>
        <v>1</v>
      </c>
      <c r="AH81" s="176">
        <f t="shared" si="42"/>
        <v>7</v>
      </c>
      <c r="AI81" s="224">
        <f t="shared" si="43"/>
        <v>1.2066230314707196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45725</v>
      </c>
      <c r="B82" s="409">
        <f>'2024'!Wh/'2024'!Env_an*'2025'!Env_an</f>
        <v>31.256831093005001</v>
      </c>
      <c r="C82" s="829"/>
      <c r="D82" s="391">
        <f t="shared" si="25"/>
        <v>32.634143834626997</v>
      </c>
      <c r="E82" s="383">
        <f t="shared" si="47"/>
        <v>34.580813512905678</v>
      </c>
      <c r="F82" s="383">
        <f t="shared" si="26"/>
        <v>34.719239568560099</v>
      </c>
      <c r="G82" s="110">
        <f t="shared" si="48"/>
        <v>0.71580994724442792</v>
      </c>
      <c r="H82" s="412" t="b">
        <f>Wh_hp&gt;='2024'!Maxi_hp</f>
        <v>0</v>
      </c>
      <c r="I82" s="388">
        <f>IF(H82,Wh_hp,'2024'!Maxi_hp)</f>
        <v>44.80891493400317</v>
      </c>
      <c r="J82" s="85">
        <f>IF(H82,An,'2024'!An_max)</f>
        <v>2021</v>
      </c>
      <c r="K82" s="197">
        <f t="shared" si="27"/>
        <v>45725</v>
      </c>
      <c r="L82" s="147">
        <f>IF(t&lt;Tvie,1-EXP((T0-t)*PertePVj)+'2024'!Pspv,1-EXP((T0-t)*PertePVj)+Pspv)</f>
        <v>4.2204653770036349E-2</v>
      </c>
      <c r="M82" s="832"/>
      <c r="N82" s="832"/>
      <c r="O82" s="48">
        <f>IF(t&lt;Tnet,'2024'!Resal+('2024'!Salim-'2024'!Resal)*(1-EXP(('2024'!Tnet-t)/('2024'!Tau_j))),Resal+(Salim-Resal)*(1-EXP((Tnet-t)/(Tau_j))))*Salcycl</f>
        <v>5.6293345370610676E-2</v>
      </c>
      <c r="P82" s="169">
        <f>(INDEX(Models!$BJ82:$BT82,,T82)*(1-R82)+INDEX(Models!$BJ82:$BT82,,T82+1)*R82-ERP_i)*Q82*Ramure*Pc/MaxiM</f>
        <v>6.6807931406870236E-3</v>
      </c>
      <c r="Q82" s="304">
        <f t="shared" si="28"/>
        <v>0.7</v>
      </c>
      <c r="R82" s="177">
        <f t="shared" si="29"/>
        <v>0.14262922071615702</v>
      </c>
      <c r="S82" s="799">
        <f t="shared" si="30"/>
        <v>1</v>
      </c>
      <c r="T82" s="176">
        <f t="shared" si="31"/>
        <v>7</v>
      </c>
      <c r="U82" s="250">
        <f t="shared" si="32"/>
        <v>1.142629220716157</v>
      </c>
      <c r="V82" s="382">
        <f t="shared" si="33"/>
        <v>43.548284195031968</v>
      </c>
      <c r="W82" s="400">
        <f t="shared" si="34"/>
        <v>31.256831093005001</v>
      </c>
      <c r="X82" s="157">
        <f t="shared" si="35"/>
        <v>45725</v>
      </c>
      <c r="Y82" s="383">
        <f t="shared" si="36"/>
        <v>30.983010273288254</v>
      </c>
      <c r="Z82" s="383">
        <f t="shared" si="37"/>
        <v>32.348257271495797</v>
      </c>
      <c r="AA82" s="384">
        <f t="shared" si="38"/>
        <v>34.571420165550101</v>
      </c>
      <c r="AB82" s="197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6.4306380339840777E-2</v>
      </c>
      <c r="AD82" s="230">
        <f>(INDEX(Models!$BJ82:$BT82,,AH82)*(1-AF82)+INDEX(Models!$BJ82:$BT82,,AH82+1)*AF82-ERP_i)*AE82*Ramure*Pc/MaxiM</f>
        <v>7.1341399494543739E-3</v>
      </c>
      <c r="AE82" s="304">
        <f t="shared" si="40"/>
        <v>0.7</v>
      </c>
      <c r="AF82" s="177">
        <f t="shared" si="41"/>
        <v>0.20696144297598917</v>
      </c>
      <c r="AG82" s="799">
        <f t="shared" si="49"/>
        <v>1</v>
      </c>
      <c r="AH82" s="176">
        <f t="shared" si="42"/>
        <v>7</v>
      </c>
      <c r="AI82" s="224">
        <f t="shared" si="43"/>
        <v>1.2069614429759892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45726</v>
      </c>
      <c r="B83" s="409">
        <f>'2024'!Wh/'2024'!Env_an*'2025'!Env_an</f>
        <v>25.147589394104433</v>
      </c>
      <c r="C83" s="829"/>
      <c r="D83" s="391">
        <f t="shared" si="25"/>
        <v>26.256205409789818</v>
      </c>
      <c r="E83" s="383">
        <f t="shared" si="47"/>
        <v>27.823851258073809</v>
      </c>
      <c r="F83" s="383">
        <f t="shared" si="26"/>
        <v>27.891927506658273</v>
      </c>
      <c r="G83" s="110">
        <f t="shared" si="48"/>
        <v>0.5709546693618327</v>
      </c>
      <c r="H83" s="412" t="b">
        <f>Wh_hp&gt;='2024'!Maxi_hp</f>
        <v>0</v>
      </c>
      <c r="I83" s="388">
        <f>IF(H83,Wh_hp,'2024'!Maxi_hp)</f>
        <v>45.219822593394703</v>
      </c>
      <c r="J83" s="85">
        <f>IF(H83,An,'2024'!An_max)</f>
        <v>2021</v>
      </c>
      <c r="K83" s="197">
        <f t="shared" si="27"/>
        <v>45726</v>
      </c>
      <c r="L83" s="147">
        <f>IF(t&lt;Tvie,1-EXP((T0-t)*PertePVj)+'2024'!Pspv,1-EXP((T0-t)*PertePVj)+Pspv)</f>
        <v>4.2223009699338676E-2</v>
      </c>
      <c r="M83" s="832"/>
      <c r="N83" s="832"/>
      <c r="O83" s="48">
        <f>IF(t&lt;Tnet,'2024'!Resal+('2024'!Salim-'2024'!Resal)*(1-EXP(('2024'!Tnet-t)/('2024'!Tau_j))),Resal+(Salim-Resal)*(1-EXP((Tnet-t)/(Tau_j))))*Salcycl</f>
        <v>5.6341799477852506E-2</v>
      </c>
      <c r="P83" s="169">
        <f>(INDEX(Models!$BJ83:$BT83,,T83)*(1-R83)+INDEX(Models!$BJ83:$BT83,,T83+1)*R83-ERP_i)*Q83*Ramure*Pc/MaxiM</f>
        <v>6.2548964141540637E-3</v>
      </c>
      <c r="Q83" s="304">
        <f t="shared" si="28"/>
        <v>0.7</v>
      </c>
      <c r="R83" s="177">
        <f t="shared" si="29"/>
        <v>0.14298120894922639</v>
      </c>
      <c r="S83" s="799">
        <f t="shared" si="30"/>
        <v>1</v>
      </c>
      <c r="T83" s="176">
        <f t="shared" si="31"/>
        <v>7</v>
      </c>
      <c r="U83" s="250">
        <f t="shared" si="32"/>
        <v>1.1429812089492264</v>
      </c>
      <c r="V83" s="382">
        <f t="shared" si="33"/>
        <v>43.876403141608606</v>
      </c>
      <c r="W83" s="400">
        <f t="shared" si="34"/>
        <v>25.147589394104433</v>
      </c>
      <c r="X83" s="157">
        <f t="shared" si="35"/>
        <v>45726</v>
      </c>
      <c r="Y83" s="383">
        <f t="shared" si="36"/>
        <v>24.930229835757672</v>
      </c>
      <c r="Z83" s="383">
        <f t="shared" si="37"/>
        <v>26.029263688963418</v>
      </c>
      <c r="AA83" s="384">
        <f t="shared" si="38"/>
        <v>27.819313452182314</v>
      </c>
      <c r="AB83" s="197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6.4345576546874603E-2</v>
      </c>
      <c r="AD83" s="230">
        <f>(INDEX(Models!$BJ83:$BT83,,AH83)*(1-AF83)+INDEX(Models!$BJ83:$BT83,,AH83+1)*AF83-ERP_i)*AE83*Ramure*Pc/MaxiM</f>
        <v>6.6718333986241218E-3</v>
      </c>
      <c r="AE83" s="304">
        <f t="shared" si="40"/>
        <v>0.7</v>
      </c>
      <c r="AF83" s="177">
        <f t="shared" si="41"/>
        <v>0.20731343120905854</v>
      </c>
      <c r="AG83" s="799">
        <f t="shared" si="49"/>
        <v>1</v>
      </c>
      <c r="AH83" s="176">
        <f t="shared" si="42"/>
        <v>7</v>
      </c>
      <c r="AI83" s="224">
        <f t="shared" si="43"/>
        <v>1.2073134312090585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45727</v>
      </c>
      <c r="B84" s="409">
        <f>'2024'!Wh/'2024'!Env_an*'2025'!Env_an</f>
        <v>17.599557975319819</v>
      </c>
      <c r="C84" s="829"/>
      <c r="D84" s="391">
        <f t="shared" si="25"/>
        <v>18.375775834594506</v>
      </c>
      <c r="E84" s="383">
        <f t="shared" si="47"/>
        <v>19.473915678884762</v>
      </c>
      <c r="F84" s="383">
        <f t="shared" si="26"/>
        <v>19.490082113093894</v>
      </c>
      <c r="G84" s="110">
        <f t="shared" si="48"/>
        <v>0.39615072569062665</v>
      </c>
      <c r="H84" s="412" t="b">
        <f>Wh_hp&gt;='2024'!Maxi_hp</f>
        <v>0</v>
      </c>
      <c r="I84" s="388">
        <f>IF(H84,Wh_hp,'2024'!Maxi_hp)</f>
        <v>39.829659361090641</v>
      </c>
      <c r="J84" s="85">
        <f>IF(H84,An,'2024'!An_max)</f>
        <v>2021</v>
      </c>
      <c r="K84" s="197">
        <f t="shared" si="27"/>
        <v>45727</v>
      </c>
      <c r="L84" s="147">
        <f>IF(t&lt;Tvie,1-EXP((T0-t)*PertePVj)+'2024'!Pspv,1-EXP((T0-t)*PertePVj)+Pspv)</f>
        <v>4.2241365276853737E-2</v>
      </c>
      <c r="M84" s="832"/>
      <c r="N84" s="832"/>
      <c r="O84" s="48">
        <f>IF(t&lt;Tnet,'2024'!Resal+('2024'!Salim-'2024'!Resal)*(1-EXP(('2024'!Tnet-t)/('2024'!Tau_j))),Resal+(Salim-Resal)*(1-EXP((Tnet-t)/(Tau_j))))*Salcycl</f>
        <v>5.6390294710013035E-2</v>
      </c>
      <c r="P84" s="169">
        <f>(INDEX(Models!$BJ84:$BT84,,T84)*(1-R84)+INDEX(Models!$BJ84:$BT84,,T84+1)*R84-ERP_i)*Q84*Ramure*Pc/MaxiM</f>
        <v>5.9141031576487556E-3</v>
      </c>
      <c r="Q84" s="304">
        <f t="shared" si="28"/>
        <v>0.7</v>
      </c>
      <c r="R84" s="177">
        <f t="shared" si="29"/>
        <v>0.14334729215535846</v>
      </c>
      <c r="S84" s="799">
        <f t="shared" si="30"/>
        <v>1</v>
      </c>
      <c r="T84" s="176">
        <f t="shared" si="31"/>
        <v>7</v>
      </c>
      <c r="U84" s="250">
        <f t="shared" si="32"/>
        <v>1.1433472921553585</v>
      </c>
      <c r="V84" s="382">
        <f t="shared" si="33"/>
        <v>44.200339040973439</v>
      </c>
      <c r="W84" s="400">
        <f t="shared" si="34"/>
        <v>17.599557975319819</v>
      </c>
      <c r="X84" s="157">
        <f t="shared" si="35"/>
        <v>45727</v>
      </c>
      <c r="Y84" s="383">
        <f t="shared" si="36"/>
        <v>17.449510928259453</v>
      </c>
      <c r="Z84" s="383">
        <f t="shared" si="37"/>
        <v>18.219111053280646</v>
      </c>
      <c r="AA84" s="384">
        <f t="shared" si="38"/>
        <v>19.472868540638355</v>
      </c>
      <c r="AB84" s="197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6.4384838049988152E-2</v>
      </c>
      <c r="AD84" s="230">
        <f>(INDEX(Models!$BJ84:$BT84,,AH84)*(1-AF84)+INDEX(Models!$BJ84:$BT84,,AH84+1)*AF84-ERP_i)*AE84*Ramure*Pc/MaxiM</f>
        <v>6.2971736312892887E-3</v>
      </c>
      <c r="AE84" s="304">
        <f t="shared" si="40"/>
        <v>0.7</v>
      </c>
      <c r="AF84" s="177">
        <f t="shared" si="41"/>
        <v>0.20767951441519061</v>
      </c>
      <c r="AG84" s="799">
        <f t="shared" si="49"/>
        <v>1</v>
      </c>
      <c r="AH84" s="176">
        <f t="shared" si="42"/>
        <v>7</v>
      </c>
      <c r="AI84" s="224">
        <f t="shared" si="43"/>
        <v>1.2076795144151906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45728</v>
      </c>
      <c r="B85" s="409">
        <f>'2024'!Wh/'2024'!Env_an*'2025'!Env_an</f>
        <v>12.840871639763261</v>
      </c>
      <c r="C85" s="829"/>
      <c r="D85" s="391">
        <f t="shared" si="25"/>
        <v>13.407467467591211</v>
      </c>
      <c r="E85" s="383">
        <f t="shared" si="47"/>
        <v>14.209431395855558</v>
      </c>
      <c r="F85" s="383">
        <f t="shared" si="26"/>
        <v>14.209431395855558</v>
      </c>
      <c r="G85" s="110">
        <f t="shared" si="48"/>
        <v>0.28680030317717037</v>
      </c>
      <c r="H85" s="412" t="b">
        <f>Wh_hp&gt;='2024'!Maxi_hp</f>
        <v>0</v>
      </c>
      <c r="I85" s="388">
        <f>IF(H85,Wh_hp,'2024'!Maxi_hp)</f>
        <v>46.64301638858592</v>
      </c>
      <c r="J85" s="85">
        <f>IF(H85,An,'2024'!An_max)</f>
        <v>2018</v>
      </c>
      <c r="K85" s="197">
        <f t="shared" si="27"/>
        <v>45728</v>
      </c>
      <c r="L85" s="147">
        <f>IF(t&lt;Tvie,1-EXP((T0-t)*PertePVj)+'2024'!Pspv,1-EXP((T0-t)*PertePVj)+Pspv)</f>
        <v>4.2259720502588305E-2</v>
      </c>
      <c r="M85" s="832"/>
      <c r="N85" s="832"/>
      <c r="O85" s="48">
        <f>IF(t&lt;Tnet,'2024'!Resal+('2024'!Salim-'2024'!Resal)*(1-EXP(('2024'!Tnet-t)/('2024'!Tau_j))),Resal+(Salim-Resal)*(1-EXP((Tnet-t)/(Tau_j))))*Salcycl</f>
        <v>5.6438847264377909E-2</v>
      </c>
      <c r="P85" s="169">
        <f>(INDEX(Models!$BJ85:$BT85,,T85)*(1-R85)+INDEX(Models!$BJ85:$BT85,,T85+1)*R85-ERP_i)*Q85*Ramure*Pc/MaxiM</f>
        <v>5.6567119702277324E-3</v>
      </c>
      <c r="Q85" s="304">
        <f t="shared" si="28"/>
        <v>0.7</v>
      </c>
      <c r="R85" s="177">
        <f t="shared" si="29"/>
        <v>0.14372800615484249</v>
      </c>
      <c r="S85" s="799">
        <f t="shared" si="30"/>
        <v>1</v>
      </c>
      <c r="T85" s="176">
        <f t="shared" si="31"/>
        <v>7</v>
      </c>
      <c r="U85" s="250">
        <f t="shared" si="32"/>
        <v>1.1437280061548425</v>
      </c>
      <c r="V85" s="382">
        <f t="shared" si="33"/>
        <v>44.519599128746037</v>
      </c>
      <c r="W85" s="400">
        <f t="shared" si="34"/>
        <v>12.840871639763261</v>
      </c>
      <c r="X85" s="157">
        <f t="shared" si="35"/>
        <v>45728</v>
      </c>
      <c r="Y85" s="383">
        <f t="shared" si="36"/>
        <v>12.732199643347602</v>
      </c>
      <c r="Z85" s="383">
        <f t="shared" si="37"/>
        <v>13.294000383933954</v>
      </c>
      <c r="AA85" s="384">
        <f t="shared" si="38"/>
        <v>14.209431395855558</v>
      </c>
      <c r="AB85" s="197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6.4424183235692906E-2</v>
      </c>
      <c r="AD85" s="230">
        <f>(INDEX(Models!$BJ85:$BT85,,AH85)*(1-AF85)+INDEX(Models!$BJ85:$BT85,,AH85+1)*AF85-ERP_i)*AE85*Ramure*Pc/MaxiM</f>
        <v>6.0084086226746521E-3</v>
      </c>
      <c r="AE85" s="304">
        <f t="shared" si="40"/>
        <v>0.7</v>
      </c>
      <c r="AF85" s="177">
        <f t="shared" si="41"/>
        <v>0.20806022841467464</v>
      </c>
      <c r="AG85" s="799">
        <f t="shared" si="49"/>
        <v>1</v>
      </c>
      <c r="AH85" s="176">
        <f t="shared" si="42"/>
        <v>7</v>
      </c>
      <c r="AI85" s="224">
        <f t="shared" si="43"/>
        <v>1.2080602284146746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45729</v>
      </c>
      <c r="B86" s="409">
        <f>'2024'!Wh/'2024'!Env_an*'2025'!Env_an</f>
        <v>9.5390410787764335</v>
      </c>
      <c r="C86" s="829"/>
      <c r="D86" s="391">
        <f t="shared" si="25"/>
        <v>9.960136479622637</v>
      </c>
      <c r="E86" s="383">
        <f t="shared" si="47"/>
        <v>10.55644329838376</v>
      </c>
      <c r="F86" s="383">
        <f t="shared" si="26"/>
        <v>10.55644329838376</v>
      </c>
      <c r="G86" s="110">
        <f t="shared" si="48"/>
        <v>0.21159883994575293</v>
      </c>
      <c r="H86" s="412" t="b">
        <f>Wh_hp&gt;='2024'!Maxi_hp</f>
        <v>0</v>
      </c>
      <c r="I86" s="388">
        <f>IF(H86,Wh_hp,'2024'!Maxi_hp)</f>
        <v>40.981762819051319</v>
      </c>
      <c r="J86" s="85">
        <f>IF(H86,An,'2024'!An_max)</f>
        <v>2021</v>
      </c>
      <c r="K86" s="197">
        <f t="shared" si="27"/>
        <v>45729</v>
      </c>
      <c r="L86" s="147">
        <f>IF(t&lt;Tvie,1-EXP((T0-t)*PertePVj)+'2024'!Pspv,1-EXP((T0-t)*PertePVj)+Pspv)</f>
        <v>4.2278075376549151E-2</v>
      </c>
      <c r="M86" s="832"/>
      <c r="N86" s="832"/>
      <c r="O86" s="48">
        <f>IF(t&lt;Tnet,'2024'!Resal+('2024'!Salim-'2024'!Resal)*(1-EXP(('2024'!Tnet-t)/('2024'!Tau_j))),Resal+(Salim-Resal)*(1-EXP((Tnet-t)/(Tau_j))))*Salcycl</f>
        <v>5.6487474228409773E-2</v>
      </c>
      <c r="P86" s="169">
        <f>(INDEX(Models!$BJ86:$BT86,,T86)*(1-R86)+INDEX(Models!$BJ86:$BT86,,T86+1)*R86-ERP_i)*Q86*Ramure*Pc/MaxiM</f>
        <v>5.4841719631145008E-3</v>
      </c>
      <c r="Q86" s="304">
        <f t="shared" si="28"/>
        <v>0.7</v>
      </c>
      <c r="R86" s="177">
        <f t="shared" si="29"/>
        <v>0.14412390475231929</v>
      </c>
      <c r="S86" s="799">
        <f t="shared" si="30"/>
        <v>1</v>
      </c>
      <c r="T86" s="176">
        <f t="shared" si="31"/>
        <v>7</v>
      </c>
      <c r="U86" s="250">
        <f t="shared" si="32"/>
        <v>1.1441239047523193</v>
      </c>
      <c r="V86" s="382">
        <f t="shared" si="33"/>
        <v>44.833550786806299</v>
      </c>
      <c r="W86" s="400">
        <f t="shared" si="34"/>
        <v>9.5390410787764335</v>
      </c>
      <c r="X86" s="157">
        <f t="shared" si="35"/>
        <v>45729</v>
      </c>
      <c r="Y86" s="383">
        <f t="shared" si="36"/>
        <v>9.458401034604611</v>
      </c>
      <c r="Z86" s="383">
        <f t="shared" si="37"/>
        <v>9.8759366277673823</v>
      </c>
      <c r="AA86" s="384">
        <f t="shared" si="38"/>
        <v>10.55644329838376</v>
      </c>
      <c r="AB86" s="197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6.4463631488511572E-2</v>
      </c>
      <c r="AD86" s="230">
        <f>(INDEX(Models!$BJ86:$BT86,,AH86)*(1-AF86)+INDEX(Models!$BJ86:$BT86,,AH86+1)*AF86-ERP_i)*AE86*Ramure*Pc/MaxiM</f>
        <v>5.8084149566604709E-3</v>
      </c>
      <c r="AE86" s="304">
        <f t="shared" si="40"/>
        <v>0.7</v>
      </c>
      <c r="AF86" s="177">
        <f t="shared" si="41"/>
        <v>0.20845612701215144</v>
      </c>
      <c r="AG86" s="799">
        <f t="shared" si="49"/>
        <v>1</v>
      </c>
      <c r="AH86" s="176">
        <f t="shared" si="42"/>
        <v>7</v>
      </c>
      <c r="AI86" s="224">
        <f t="shared" si="43"/>
        <v>1.2084561270121514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45730</v>
      </c>
      <c r="B87" s="409">
        <f>'2024'!Wh/'2024'!Env_an*'2025'!Env_an</f>
        <v>12.929038325431113</v>
      </c>
      <c r="C87" s="829"/>
      <c r="D87" s="391">
        <f t="shared" si="25"/>
        <v>13.500041901341291</v>
      </c>
      <c r="E87" s="383">
        <f t="shared" si="47"/>
        <v>14.309019390775672</v>
      </c>
      <c r="F87" s="383">
        <f t="shared" si="26"/>
        <v>14.309019390775672</v>
      </c>
      <c r="G87" s="110">
        <f t="shared" si="48"/>
        <v>0.28486494978584187</v>
      </c>
      <c r="H87" s="412" t="b">
        <f>Wh_hp&gt;='2024'!Maxi_hp</f>
        <v>0</v>
      </c>
      <c r="I87" s="388">
        <f>IF(H87,Wh_hp,'2024'!Maxi_hp)</f>
        <v>38.557146236700596</v>
      </c>
      <c r="J87" s="85">
        <f>IF(H87,An,'2024'!An_max)</f>
        <v>2020</v>
      </c>
      <c r="K87" s="197">
        <f t="shared" si="27"/>
        <v>45730</v>
      </c>
      <c r="L87" s="147">
        <f>IF(t&lt;Tvie,1-EXP((T0-t)*PertePVj)+'2024'!Pspv,1-EXP((T0-t)*PertePVj)+Pspv)</f>
        <v>4.229642989874316E-2</v>
      </c>
      <c r="M87" s="832"/>
      <c r="N87" s="832"/>
      <c r="O87" s="48">
        <f>IF(t&lt;Tnet,'2024'!Resal+('2024'!Salim-'2024'!Resal)*(1-EXP(('2024'!Tnet-t)/('2024'!Tau_j))),Resal+(Salim-Resal)*(1-EXP((Tnet-t)/(Tau_j))))*Salcycl</f>
        <v>5.6536193525315213E-2</v>
      </c>
      <c r="P87" s="169">
        <f>(INDEX(Models!$BJ87:$BT87,,T87)*(1-R87)+INDEX(Models!$BJ87:$BT87,,T87+1)*R87-ERP_i)*Q87*Ramure*Pc/MaxiM</f>
        <v>5.3521165425773915E-3</v>
      </c>
      <c r="Q87" s="304">
        <f t="shared" si="28"/>
        <v>0.7</v>
      </c>
      <c r="R87" s="177">
        <f t="shared" si="29"/>
        <v>0.14453556013874924</v>
      </c>
      <c r="S87" s="799">
        <f t="shared" si="30"/>
        <v>1</v>
      </c>
      <c r="T87" s="176">
        <f t="shared" si="31"/>
        <v>7</v>
      </c>
      <c r="U87" s="250">
        <f t="shared" si="32"/>
        <v>1.1445355601387492</v>
      </c>
      <c r="V87" s="382">
        <f t="shared" si="33"/>
        <v>45.143639521807906</v>
      </c>
      <c r="W87" s="400">
        <f t="shared" si="34"/>
        <v>12.929038325431113</v>
      </c>
      <c r="X87" s="157">
        <f t="shared" si="35"/>
        <v>45730</v>
      </c>
      <c r="Y87" s="383">
        <f t="shared" si="36"/>
        <v>12.819860027565388</v>
      </c>
      <c r="Z87" s="383">
        <f t="shared" si="37"/>
        <v>13.386041806453703</v>
      </c>
      <c r="AA87" s="384">
        <f t="shared" si="38"/>
        <v>14.309019390775672</v>
      </c>
      <c r="AB87" s="197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6.4503203127739731E-2</v>
      </c>
      <c r="AD87" s="230">
        <f>(INDEX(Models!$BJ87:$BT87,,AH87)*(1-AF87)+INDEX(Models!$BJ87:$BT87,,AH87+1)*AF87-ERP_i)*AE87*Ramure*Pc/MaxiM</f>
        <v>5.652295508019674E-3</v>
      </c>
      <c r="AE87" s="304">
        <f t="shared" si="40"/>
        <v>0.7</v>
      </c>
      <c r="AF87" s="177">
        <f t="shared" si="41"/>
        <v>0.20886778239858139</v>
      </c>
      <c r="AG87" s="799">
        <f t="shared" si="49"/>
        <v>1</v>
      </c>
      <c r="AH87" s="176">
        <f t="shared" si="42"/>
        <v>7</v>
      </c>
      <c r="AI87" s="224">
        <f t="shared" si="43"/>
        <v>1.2088677823985814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45731</v>
      </c>
      <c r="B88" s="409">
        <f>'2024'!Wh/'2024'!Env_an*'2025'!Env_an</f>
        <v>15.80091370191762</v>
      </c>
      <c r="C88" s="829"/>
      <c r="D88" s="391">
        <f t="shared" si="25"/>
        <v>16.499068210591414</v>
      </c>
      <c r="E88" s="383">
        <f t="shared" si="47"/>
        <v>17.488664721040355</v>
      </c>
      <c r="F88" s="383">
        <f t="shared" si="26"/>
        <v>17.494929942959637</v>
      </c>
      <c r="G88" s="110">
        <f t="shared" si="48"/>
        <v>0.34595493848948472</v>
      </c>
      <c r="H88" s="412" t="b">
        <f>Wh_hp&gt;='2024'!Maxi_hp</f>
        <v>0</v>
      </c>
      <c r="I88" s="388">
        <f>IF(H88,Wh_hp,'2024'!Maxi_hp)</f>
        <v>34.117673354504483</v>
      </c>
      <c r="J88" s="85">
        <f>IF(H88,An,'2024'!An_max)</f>
        <v>2020</v>
      </c>
      <c r="K88" s="197">
        <f t="shared" si="27"/>
        <v>45731</v>
      </c>
      <c r="L88" s="147">
        <f>IF(t&lt;Tvie,1-EXP((T0-t)*PertePVj)+'2024'!Pspv,1-EXP((T0-t)*PertePVj)+Pspv)</f>
        <v>4.231478406917677E-2</v>
      </c>
      <c r="M88" s="832"/>
      <c r="N88" s="832"/>
      <c r="O88" s="48">
        <f>IF(t&lt;Tnet,'2024'!Resal+('2024'!Salim-'2024'!Resal)*(1-EXP(('2024'!Tnet-t)/('2024'!Tau_j))),Resal+(Salim-Resal)*(1-EXP((Tnet-t)/(Tau_j))))*Salcycl</f>
        <v>5.6585023855959239E-2</v>
      </c>
      <c r="P88" s="169">
        <f>(INDEX(Models!$BJ88:$BT88,,T88)*(1-R88)+INDEX(Models!$BJ88:$BT88,,T88+1)*R88-ERP_i)*Q88*Ramure*Pc/MaxiM</f>
        <v>5.2598240197193943E-3</v>
      </c>
      <c r="Q88" s="304">
        <f t="shared" si="28"/>
        <v>0.7</v>
      </c>
      <c r="R88" s="177">
        <f t="shared" si="29"/>
        <v>0.14496356328405446</v>
      </c>
      <c r="S88" s="799">
        <f t="shared" si="30"/>
        <v>1</v>
      </c>
      <c r="T88" s="176">
        <f t="shared" si="31"/>
        <v>7</v>
      </c>
      <c r="U88" s="250">
        <f t="shared" si="32"/>
        <v>1.1449635632840545</v>
      </c>
      <c r="V88" s="382">
        <f t="shared" si="33"/>
        <v>45.44937142806657</v>
      </c>
      <c r="W88" s="400">
        <f t="shared" si="34"/>
        <v>15.80091370191762</v>
      </c>
      <c r="X88" s="157">
        <f t="shared" si="35"/>
        <v>45731</v>
      </c>
      <c r="Y88" s="383">
        <f t="shared" si="36"/>
        <v>15.667331618765028</v>
      </c>
      <c r="Z88" s="383">
        <f t="shared" si="37"/>
        <v>16.359583878025251</v>
      </c>
      <c r="AA88" s="384">
        <f t="shared" si="38"/>
        <v>17.488331871394315</v>
      </c>
      <c r="AB88" s="197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6.4542919340143598E-2</v>
      </c>
      <c r="AD88" s="230">
        <f>(INDEX(Models!$BJ88:$BT88,,AH88)*(1-AF88)+INDEX(Models!$BJ88:$BT88,,AH88+1)*AF88-ERP_i)*AE88*Ramure*Pc/MaxiM</f>
        <v>5.5392603406928661E-3</v>
      </c>
      <c r="AE88" s="304">
        <f t="shared" si="40"/>
        <v>0.7</v>
      </c>
      <c r="AF88" s="177">
        <f t="shared" si="41"/>
        <v>0.20929578554388661</v>
      </c>
      <c r="AG88" s="799">
        <f t="shared" si="49"/>
        <v>1</v>
      </c>
      <c r="AH88" s="176">
        <f t="shared" si="42"/>
        <v>7</v>
      </c>
      <c r="AI88" s="224">
        <f t="shared" si="43"/>
        <v>1.2092957855438866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45732</v>
      </c>
      <c r="B89" s="409">
        <f>'2024'!Wh/'2024'!Env_an*'2025'!Env_an</f>
        <v>11.519044177532338</v>
      </c>
      <c r="C89" s="829"/>
      <c r="D89" s="391">
        <f t="shared" si="25"/>
        <v>12.028237201532672</v>
      </c>
      <c r="E89" s="383">
        <f t="shared" si="47"/>
        <v>12.750339746882974</v>
      </c>
      <c r="F89" s="383">
        <f t="shared" si="26"/>
        <v>12.750339746882974</v>
      </c>
      <c r="G89" s="110">
        <f t="shared" si="48"/>
        <v>0.25047007268153887</v>
      </c>
      <c r="H89" s="412" t="b">
        <f>Wh_hp&gt;='2024'!Maxi_hp</f>
        <v>0</v>
      </c>
      <c r="I89" s="388">
        <f>IF(H89,Wh_hp,'2024'!Maxi_hp)</f>
        <v>53.119225306767447</v>
      </c>
      <c r="J89" s="85">
        <f>IF(H89,An,'2024'!An_max)</f>
        <v>2020</v>
      </c>
      <c r="K89" s="197">
        <f t="shared" si="27"/>
        <v>45732</v>
      </c>
      <c r="L89" s="147">
        <f>IF(t&lt;Tvie,1-EXP((T0-t)*PertePVj)+'2024'!Pspv,1-EXP((T0-t)*PertePVj)+Pspv)</f>
        <v>4.2333137887856975E-2</v>
      </c>
      <c r="M89" s="832"/>
      <c r="N89" s="832"/>
      <c r="O89" s="48">
        <f>IF(t&lt;Tnet,'2024'!Resal+('2024'!Salim-'2024'!Resal)*(1-EXP(('2024'!Tnet-t)/('2024'!Tau_j))),Resal+(Salim-Resal)*(1-EXP((Tnet-t)/(Tau_j))))*Salcycl</f>
        <v>5.6633984637690191E-2</v>
      </c>
      <c r="P89" s="169">
        <f>(INDEX(Models!$BJ89:$BT89,,T89)*(1-R89)+INDEX(Models!$BJ89:$BT89,,T89+1)*R89-ERP_i)*Q89*Ramure*Pc/MaxiM</f>
        <v>5.2066067334456748E-3</v>
      </c>
      <c r="Q89" s="304">
        <f t="shared" si="28"/>
        <v>0.7</v>
      </c>
      <c r="R89" s="177">
        <f t="shared" si="29"/>
        <v>0.14540852431827211</v>
      </c>
      <c r="S89" s="799">
        <f t="shared" si="30"/>
        <v>1</v>
      </c>
      <c r="T89" s="176">
        <f t="shared" si="31"/>
        <v>7</v>
      </c>
      <c r="U89" s="250">
        <f t="shared" si="32"/>
        <v>1.1454085243182721</v>
      </c>
      <c r="V89" s="382">
        <f t="shared" si="33"/>
        <v>45.750252402906504</v>
      </c>
      <c r="W89" s="400">
        <f t="shared" si="34"/>
        <v>11.519044177532338</v>
      </c>
      <c r="X89" s="157">
        <f t="shared" si="35"/>
        <v>45732</v>
      </c>
      <c r="Y89" s="383">
        <f t="shared" si="36"/>
        <v>11.421984522930751</v>
      </c>
      <c r="Z89" s="383">
        <f t="shared" si="37"/>
        <v>11.926887078184432</v>
      </c>
      <c r="AA89" s="384">
        <f t="shared" si="38"/>
        <v>12.750339746882974</v>
      </c>
      <c r="AB89" s="197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6.458280210924161E-2</v>
      </c>
      <c r="AD89" s="230">
        <f>(INDEX(Models!$BJ89:$BT89,,AH89)*(1-AF89)+INDEX(Models!$BJ89:$BT89,,AH89+1)*AF89-ERP_i)*AE89*Ramure*Pc/MaxiM</f>
        <v>5.4685556329051562E-3</v>
      </c>
      <c r="AE89" s="304">
        <f t="shared" si="40"/>
        <v>0.7</v>
      </c>
      <c r="AF89" s="177">
        <f t="shared" si="41"/>
        <v>0.20974074657810426</v>
      </c>
      <c r="AG89" s="799">
        <f t="shared" si="49"/>
        <v>1</v>
      </c>
      <c r="AH89" s="176">
        <f t="shared" si="42"/>
        <v>7</v>
      </c>
      <c r="AI89" s="224">
        <f t="shared" si="43"/>
        <v>1.2097407465781043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45733</v>
      </c>
      <c r="B90" s="409">
        <f>'2024'!Wh/'2024'!Env_an*'2025'!Env_an</f>
        <v>9.9149328972262918</v>
      </c>
      <c r="C90" s="829"/>
      <c r="D90" s="391">
        <f t="shared" si="25"/>
        <v>10.353415483571316</v>
      </c>
      <c r="E90" s="383">
        <f t="shared" si="47"/>
        <v>10.975543254888819</v>
      </c>
      <c r="F90" s="383">
        <f t="shared" si="26"/>
        <v>10.975543254888819</v>
      </c>
      <c r="G90" s="110">
        <f t="shared" si="48"/>
        <v>0.21420974228789491</v>
      </c>
      <c r="H90" s="412" t="b">
        <f>Wh_hp&gt;='2024'!Maxi_hp</f>
        <v>0</v>
      </c>
      <c r="I90" s="388">
        <f>IF(H90,Wh_hp,'2024'!Maxi_hp)</f>
        <v>33.792366122986927</v>
      </c>
      <c r="J90" s="85">
        <f>IF(H90,An,'2024'!An_max)</f>
        <v>2021</v>
      </c>
      <c r="K90" s="197">
        <f t="shared" si="27"/>
        <v>45733</v>
      </c>
      <c r="L90" s="147">
        <f>IF(t&lt;Tvie,1-EXP((T0-t)*PertePVj)+'2024'!Pspv,1-EXP((T0-t)*PertePVj)+Pspv)</f>
        <v>4.2351491354790438E-2</v>
      </c>
      <c r="M90" s="832"/>
      <c r="N90" s="832"/>
      <c r="O90" s="48">
        <f>IF(t&lt;Tnet,'2024'!Resal+('2024'!Salim-'2024'!Resal)*(1-EXP(('2024'!Tnet-t)/('2024'!Tau_j))),Resal+(Salim-Resal)*(1-EXP((Tnet-t)/(Tau_j))))*Salcycl</f>
        <v>5.6683095940639715E-2</v>
      </c>
      <c r="P90" s="169">
        <f>(INDEX(Models!$BJ90:$BT90,,T90)*(1-R90)+INDEX(Models!$BJ90:$BT90,,T90+1)*R90-ERP_i)*Q90*Ramure*Pc/MaxiM</f>
        <v>5.1918143818568052E-3</v>
      </c>
      <c r="Q90" s="304">
        <f t="shared" si="28"/>
        <v>0.7</v>
      </c>
      <c r="R90" s="177">
        <f t="shared" si="29"/>
        <v>0.14587107289888346</v>
      </c>
      <c r="S90" s="799">
        <f t="shared" si="30"/>
        <v>1</v>
      </c>
      <c r="T90" s="176">
        <f t="shared" si="31"/>
        <v>7</v>
      </c>
      <c r="U90" s="250">
        <f t="shared" si="32"/>
        <v>1.1458710728988835</v>
      </c>
      <c r="V90" s="382">
        <f t="shared" si="33"/>
        <v>46.045788117138855</v>
      </c>
      <c r="W90" s="400">
        <f t="shared" si="34"/>
        <v>9.9149328972262918</v>
      </c>
      <c r="X90" s="157">
        <f t="shared" si="35"/>
        <v>45733</v>
      </c>
      <c r="Y90" s="383">
        <f t="shared" si="36"/>
        <v>9.8314801702108134</v>
      </c>
      <c r="Z90" s="383">
        <f t="shared" si="37"/>
        <v>10.266272104490049</v>
      </c>
      <c r="AA90" s="384">
        <f t="shared" si="38"/>
        <v>10.975543254888819</v>
      </c>
      <c r="AB90" s="197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6.4622874141818873E-2</v>
      </c>
      <c r="AD90" s="230">
        <f>(INDEX(Models!$BJ90:$BT90,,AH90)*(1-AF90)+INDEX(Models!$BJ90:$BT90,,AH90+1)*AF90-ERP_i)*AE90*Ramure*Pc/MaxiM</f>
        <v>5.4394672792799038E-3</v>
      </c>
      <c r="AE90" s="304">
        <f t="shared" si="40"/>
        <v>0.7</v>
      </c>
      <c r="AF90" s="177">
        <f t="shared" si="41"/>
        <v>0.21020329515871561</v>
      </c>
      <c r="AG90" s="799">
        <f t="shared" si="49"/>
        <v>1</v>
      </c>
      <c r="AH90" s="176">
        <f t="shared" si="42"/>
        <v>7</v>
      </c>
      <c r="AI90" s="224">
        <f t="shared" si="43"/>
        <v>1.2102032951587156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45734</v>
      </c>
      <c r="B91" s="409">
        <f>'2024'!Wh/'2024'!Env_an*'2025'!Env_an</f>
        <v>13.01919256400061</v>
      </c>
      <c r="C91" s="829"/>
      <c r="D91" s="391">
        <f t="shared" si="25"/>
        <v>13.595219917437673</v>
      </c>
      <c r="E91" s="383">
        <f t="shared" si="47"/>
        <v>14.412897894973804</v>
      </c>
      <c r="F91" s="383">
        <f t="shared" si="26"/>
        <v>14.412897894973804</v>
      </c>
      <c r="G91" s="110">
        <f t="shared" si="48"/>
        <v>0.27951147761388823</v>
      </c>
      <c r="H91" s="412" t="b">
        <f>Wh_hp&gt;='2024'!Maxi_hp</f>
        <v>0</v>
      </c>
      <c r="I91" s="388">
        <f>IF(H91,Wh_hp,'2024'!Maxi_hp)</f>
        <v>34.313153622269041</v>
      </c>
      <c r="J91" s="85">
        <f>IF(H91,An,'2024'!An_max)</f>
        <v>2018</v>
      </c>
      <c r="K91" s="197">
        <f t="shared" si="27"/>
        <v>45734</v>
      </c>
      <c r="L91" s="147">
        <f>IF(t&lt;Tvie,1-EXP((T0-t)*PertePVj)+'2024'!Pspv,1-EXP((T0-t)*PertePVj)+Pspv)</f>
        <v>4.2369844469983931E-2</v>
      </c>
      <c r="M91" s="832"/>
      <c r="N91" s="832"/>
      <c r="O91" s="48">
        <f>IF(t&lt;Tnet,'2024'!Resal+('2024'!Salim-'2024'!Resal)*(1-EXP(('2024'!Tnet-t)/('2024'!Tau_j))),Resal+(Salim-Resal)*(1-EXP((Tnet-t)/(Tau_j))))*Salcycl</f>
        <v>5.6732378422057736E-2</v>
      </c>
      <c r="P91" s="169">
        <f>(INDEX(Models!$BJ91:$BT91,,T91)*(1-R91)+INDEX(Models!$BJ91:$BT91,,T91+1)*R91-ERP_i)*Q91*Ramure*Pc/MaxiM</f>
        <v>5.2148371627416118E-3</v>
      </c>
      <c r="Q91" s="304">
        <f t="shared" si="28"/>
        <v>0.7</v>
      </c>
      <c r="R91" s="177">
        <f t="shared" si="29"/>
        <v>0.14635185856178379</v>
      </c>
      <c r="S91" s="799">
        <f t="shared" si="30"/>
        <v>1</v>
      </c>
      <c r="T91" s="176">
        <f t="shared" si="31"/>
        <v>7</v>
      </c>
      <c r="U91" s="250">
        <f t="shared" si="32"/>
        <v>1.1463518585617838</v>
      </c>
      <c r="V91" s="382">
        <f t="shared" si="33"/>
        <v>46.335483985668908</v>
      </c>
      <c r="W91" s="400">
        <f t="shared" si="34"/>
        <v>13.01919256400061</v>
      </c>
      <c r="X91" s="157">
        <f t="shared" si="35"/>
        <v>45734</v>
      </c>
      <c r="Y91" s="383">
        <f t="shared" si="36"/>
        <v>12.909730143727488</v>
      </c>
      <c r="Z91" s="383">
        <f t="shared" si="37"/>
        <v>13.480914389733671</v>
      </c>
      <c r="AA91" s="384">
        <f t="shared" si="38"/>
        <v>14.412897894973804</v>
      </c>
      <c r="AB91" s="197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6.466315879231635E-2</v>
      </c>
      <c r="AD91" s="230">
        <f>(INDEX(Models!$BJ91:$BT91,,AH91)*(1-AF91)+INDEX(Models!$BJ91:$BT91,,AH91+1)*AF91-ERP_i)*AE91*Ramure*Pc/MaxiM</f>
        <v>5.4513242828906992E-3</v>
      </c>
      <c r="AE91" s="304">
        <f t="shared" si="40"/>
        <v>0.7</v>
      </c>
      <c r="AF91" s="177">
        <f t="shared" si="41"/>
        <v>0.21068408082161594</v>
      </c>
      <c r="AG91" s="799">
        <f t="shared" si="49"/>
        <v>1</v>
      </c>
      <c r="AH91" s="176">
        <f t="shared" si="42"/>
        <v>7</v>
      </c>
      <c r="AI91" s="224">
        <f t="shared" si="43"/>
        <v>1.2106840808216159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45735</v>
      </c>
      <c r="B92" s="409">
        <f>'2024'!Wh/'2024'!Env_an*'2025'!Env_an</f>
        <v>27.128733204502318</v>
      </c>
      <c r="C92" s="829"/>
      <c r="D92" s="391">
        <f t="shared" si="25"/>
        <v>28.329572720518868</v>
      </c>
      <c r="E92" s="383">
        <f t="shared" si="47"/>
        <v>30.035016627288062</v>
      </c>
      <c r="F92" s="383">
        <f t="shared" si="26"/>
        <v>30.098963682455015</v>
      </c>
      <c r="G92" s="110">
        <f t="shared" si="48"/>
        <v>0.58008903386212729</v>
      </c>
      <c r="H92" s="412" t="b">
        <f>Wh_hp&gt;='2024'!Maxi_hp</f>
        <v>0</v>
      </c>
      <c r="I92" s="388">
        <f>IF(H92,Wh_hp,'2024'!Maxi_hp)</f>
        <v>45.384654125633041</v>
      </c>
      <c r="J92" s="85">
        <f>IF(H92,An,'2024'!An_max)</f>
        <v>2020</v>
      </c>
      <c r="K92" s="197">
        <f t="shared" si="27"/>
        <v>45735</v>
      </c>
      <c r="L92" s="147">
        <f>IF(t&lt;Tvie,1-EXP((T0-t)*PertePVj)+'2024'!Pspv,1-EXP((T0-t)*PertePVj)+Pspv)</f>
        <v>4.2388197233444114E-2</v>
      </c>
      <c r="M92" s="832"/>
      <c r="N92" s="832"/>
      <c r="O92" s="48">
        <f>IF(t&lt;Tnet,'2024'!Resal+('2024'!Salim-'2024'!Resal)*(1-EXP(('2024'!Tnet-t)/('2024'!Tau_j))),Resal+(Salim-Resal)*(1-EXP((Tnet-t)/(Tau_j))))*Salcycl</f>
        <v>5.6781853259229638E-2</v>
      </c>
      <c r="P92" s="169">
        <f>(INDEX(Models!$BJ92:$BT92,,T92)*(1-R92)+INDEX(Models!$BJ92:$BT92,,T92+1)*R92-ERP_i)*Q92*Ramure*Pc/MaxiM</f>
        <v>5.27510874718149E-3</v>
      </c>
      <c r="Q92" s="304">
        <f t="shared" si="28"/>
        <v>0.7</v>
      </c>
      <c r="R92" s="177">
        <f t="shared" si="29"/>
        <v>0.14685155105314918</v>
      </c>
      <c r="S92" s="799">
        <f t="shared" si="30"/>
        <v>1</v>
      </c>
      <c r="T92" s="176">
        <f t="shared" si="31"/>
        <v>7</v>
      </c>
      <c r="U92" s="250">
        <f t="shared" si="32"/>
        <v>1.1468515510531492</v>
      </c>
      <c r="V92" s="382">
        <f t="shared" si="33"/>
        <v>46.61884513700015</v>
      </c>
      <c r="W92" s="400">
        <f t="shared" si="34"/>
        <v>27.128733204502318</v>
      </c>
      <c r="X92" s="157">
        <f t="shared" si="35"/>
        <v>45735</v>
      </c>
      <c r="Y92" s="383">
        <f t="shared" si="36"/>
        <v>26.898406755987352</v>
      </c>
      <c r="Z92" s="383">
        <f t="shared" si="37"/>
        <v>28.089050989427474</v>
      </c>
      <c r="AA92" s="384">
        <f t="shared" si="38"/>
        <v>30.032247950038606</v>
      </c>
      <c r="AB92" s="197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6.4703679985721227E-2</v>
      </c>
      <c r="AD92" s="230">
        <f>(INDEX(Models!$BJ92:$BT92,,AH92)*(1-AF92)+INDEX(Models!$BJ92:$BT92,,AH92+1)*AF92-ERP_i)*AE92*Ramure*Pc/MaxiM</f>
        <v>5.503501963078904E-3</v>
      </c>
      <c r="AE92" s="304">
        <f t="shared" si="40"/>
        <v>0.7</v>
      </c>
      <c r="AF92" s="177">
        <f t="shared" si="41"/>
        <v>0.21118377331298133</v>
      </c>
      <c r="AG92" s="799">
        <f t="shared" si="49"/>
        <v>1</v>
      </c>
      <c r="AH92" s="176">
        <f t="shared" si="42"/>
        <v>7</v>
      </c>
      <c r="AI92" s="224">
        <f t="shared" si="43"/>
        <v>1.2111837733129813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45736</v>
      </c>
      <c r="B93" s="409">
        <f>'2024'!Wh/'2024'!Env_an*'2025'!Env_an</f>
        <v>31.7599566333</v>
      </c>
      <c r="C93" s="829"/>
      <c r="D93" s="391">
        <f t="shared" si="25"/>
        <v>33.166430515509283</v>
      </c>
      <c r="E93" s="383">
        <f t="shared" si="47"/>
        <v>35.164906371768609</v>
      </c>
      <c r="F93" s="383">
        <f t="shared" si="26"/>
        <v>35.266993356655597</v>
      </c>
      <c r="G93" s="110">
        <f t="shared" si="48"/>
        <v>0.67552668260923698</v>
      </c>
      <c r="H93" s="412" t="b">
        <f>Wh_hp&gt;='2024'!Maxi_hp</f>
        <v>0</v>
      </c>
      <c r="I93" s="388">
        <f>IF(H93,Wh_hp,'2024'!Maxi_hp)</f>
        <v>51.000305055199313</v>
      </c>
      <c r="J93" s="85">
        <f>IF(H93,An,'2024'!An_max)</f>
        <v>2018</v>
      </c>
      <c r="K93" s="197">
        <f t="shared" si="27"/>
        <v>45736</v>
      </c>
      <c r="L93" s="147">
        <f>IF(t&lt;Tvie,1-EXP((T0-t)*PertePVj)+'2024'!Pspv,1-EXP((T0-t)*PertePVj)+Pspv)</f>
        <v>4.240654964517776E-2</v>
      </c>
      <c r="M93" s="832"/>
      <c r="N93" s="832"/>
      <c r="O93" s="48">
        <f>IF(t&lt;Tnet,'2024'!Resal+('2024'!Salim-'2024'!Resal)*(1-EXP(('2024'!Tnet-t)/('2024'!Tau_j))),Resal+(Salim-Resal)*(1-EXP((Tnet-t)/(Tau_j))))*Salcycl</f>
        <v>5.6831542081504177E-2</v>
      </c>
      <c r="P93" s="169">
        <f>(INDEX(Models!$BJ93:$BT93,,T93)*(1-R93)+INDEX(Models!$BJ93:$BT93,,T93+1)*R93-ERP_i)*Q93*Ramure*Pc/MaxiM</f>
        <v>5.3717756751824643E-3</v>
      </c>
      <c r="Q93" s="304">
        <f t="shared" si="28"/>
        <v>0.7</v>
      </c>
      <c r="R93" s="177">
        <f t="shared" si="29"/>
        <v>0.14737084063924621</v>
      </c>
      <c r="S93" s="799">
        <f t="shared" si="30"/>
        <v>1</v>
      </c>
      <c r="T93" s="176">
        <f t="shared" si="31"/>
        <v>7</v>
      </c>
      <c r="U93" s="250">
        <f t="shared" si="32"/>
        <v>1.1473708406392462</v>
      </c>
      <c r="V93" s="382">
        <f t="shared" si="33"/>
        <v>46.898304533906611</v>
      </c>
      <c r="W93" s="400">
        <f t="shared" si="34"/>
        <v>31.7599566333</v>
      </c>
      <c r="X93" s="157">
        <f t="shared" si="35"/>
        <v>45736</v>
      </c>
      <c r="Y93" s="383">
        <f t="shared" si="36"/>
        <v>31.489698824361394</v>
      </c>
      <c r="Z93" s="383">
        <f t="shared" si="37"/>
        <v>32.884204473927163</v>
      </c>
      <c r="AA93" s="384">
        <f t="shared" si="38"/>
        <v>35.16066266675692</v>
      </c>
      <c r="AB93" s="197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6.4744462139562087E-2</v>
      </c>
      <c r="AD93" s="230">
        <f>(INDEX(Models!$BJ93:$BT93,,AH93)*(1-AF93)+INDEX(Models!$BJ93:$BT93,,AH93+1)*AF93-ERP_i)*AE93*Ramure*Pc/MaxiM</f>
        <v>5.5950777090280849E-3</v>
      </c>
      <c r="AE93" s="304">
        <f t="shared" si="40"/>
        <v>0.7</v>
      </c>
      <c r="AF93" s="177">
        <f t="shared" si="41"/>
        <v>0.21170306289907836</v>
      </c>
      <c r="AG93" s="799">
        <f t="shared" si="49"/>
        <v>1</v>
      </c>
      <c r="AH93" s="176">
        <f t="shared" si="42"/>
        <v>7</v>
      </c>
      <c r="AI93" s="224">
        <f t="shared" si="43"/>
        <v>1.2117030628990784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45737</v>
      </c>
      <c r="B94" s="409">
        <f>'2024'!Wh/'2024'!Env_an*'2025'!Env_an</f>
        <v>44.235363910258933</v>
      </c>
      <c r="C94" s="829"/>
      <c r="D94" s="391">
        <f t="shared" si="25"/>
        <v>46.195190318786054</v>
      </c>
      <c r="E94" s="383">
        <f t="shared" si="47"/>
        <v>48.981319630141037</v>
      </c>
      <c r="F94" s="383">
        <f t="shared" si="26"/>
        <v>49.227614857895702</v>
      </c>
      <c r="G94" s="110">
        <f t="shared" si="48"/>
        <v>0.93719277142849278</v>
      </c>
      <c r="H94" s="412" t="b">
        <f>Wh_hp&gt;='2024'!Maxi_hp</f>
        <v>0</v>
      </c>
      <c r="I94" s="388">
        <f>IF(H94,Wh_hp,'2024'!Maxi_hp)</f>
        <v>51.582949818940655</v>
      </c>
      <c r="J94" s="85">
        <f>IF(H94,An,'2024'!An_max)</f>
        <v>2020</v>
      </c>
      <c r="K94" s="197">
        <f t="shared" si="27"/>
        <v>45737</v>
      </c>
      <c r="L94" s="147">
        <f>IF(t&lt;Tvie,1-EXP((T0-t)*PertePVj)+'2024'!Pspv,1-EXP((T0-t)*PertePVj)+Pspv)</f>
        <v>4.2424901705191642E-2</v>
      </c>
      <c r="M94" s="832"/>
      <c r="N94" s="832"/>
      <c r="O94" s="48">
        <f>IF(t&lt;Tnet,'2024'!Resal+('2024'!Salim-'2024'!Resal)*(1-EXP(('2024'!Tnet-t)/('2024'!Tau_j))),Resal+(Salim-Resal)*(1-EXP((Tnet-t)/(Tau_j))))*Salcycl</f>
        <v>5.6881466901935386E-2</v>
      </c>
      <c r="P94" s="169">
        <f>(INDEX(Models!$BJ94:$BT94,,T94)*(1-R94)+INDEX(Models!$BJ94:$BT94,,T94+1)*R94-ERP_i)*Q94*Ramure*Pc/MaxiM</f>
        <v>5.4923766943846281E-3</v>
      </c>
      <c r="Q94" s="304">
        <f t="shared" si="28"/>
        <v>0.7</v>
      </c>
      <c r="R94" s="177">
        <f t="shared" si="29"/>
        <v>0.14791043839100637</v>
      </c>
      <c r="S94" s="799">
        <f t="shared" si="30"/>
        <v>1</v>
      </c>
      <c r="T94" s="176">
        <f t="shared" si="31"/>
        <v>7</v>
      </c>
      <c r="U94" s="250">
        <f t="shared" si="32"/>
        <v>1.1479104383910064</v>
      </c>
      <c r="V94" s="382">
        <f t="shared" si="33"/>
        <v>47.176650527495461</v>
      </c>
      <c r="W94" s="400">
        <f t="shared" si="34"/>
        <v>44.235363910258933</v>
      </c>
      <c r="X94" s="157">
        <f t="shared" si="35"/>
        <v>45737</v>
      </c>
      <c r="Y94" s="383">
        <f t="shared" si="36"/>
        <v>43.855748528953825</v>
      </c>
      <c r="Z94" s="383">
        <f t="shared" si="37"/>
        <v>45.798756261571008</v>
      </c>
      <c r="AA94" s="384">
        <f t="shared" si="38"/>
        <v>48.971393979567175</v>
      </c>
      <c r="AB94" s="197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6.4785530085582577E-2</v>
      </c>
      <c r="AD94" s="230">
        <f>(INDEX(Models!$BJ94:$BT94,,AH94)*(1-AF94)+INDEX(Models!$BJ94:$BT94,,AH94+1)*AF94-ERP_i)*AE94*Ramure*Pc/MaxiM</f>
        <v>5.713718424735767E-3</v>
      </c>
      <c r="AE94" s="304">
        <f t="shared" si="40"/>
        <v>0.7</v>
      </c>
      <c r="AF94" s="177">
        <f t="shared" si="41"/>
        <v>0.21224266065083852</v>
      </c>
      <c r="AG94" s="799">
        <f t="shared" si="49"/>
        <v>1</v>
      </c>
      <c r="AH94" s="176">
        <f t="shared" si="42"/>
        <v>7</v>
      </c>
      <c r="AI94" s="224">
        <f t="shared" si="43"/>
        <v>1.2122426606508385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45738</v>
      </c>
      <c r="B95" s="409">
        <f>'2024'!Wh/'2024'!Env_an*'2025'!Env_an</f>
        <v>40.655573697135061</v>
      </c>
      <c r="C95" s="829"/>
      <c r="D95" s="391">
        <f t="shared" si="25"/>
        <v>42.457612921702868</v>
      </c>
      <c r="E95" s="383">
        <f t="shared" si="47"/>
        <v>45.020716604379032</v>
      </c>
      <c r="F95" s="383">
        <f t="shared" si="26"/>
        <v>45.222245513753357</v>
      </c>
      <c r="G95" s="110">
        <f t="shared" si="48"/>
        <v>0.85573717129166949</v>
      </c>
      <c r="H95" s="412" t="b">
        <f>Wh_hp&gt;='2024'!Maxi_hp</f>
        <v>0</v>
      </c>
      <c r="I95" s="388">
        <f>IF(H95,Wh_hp,'2024'!Maxi_hp)</f>
        <v>50.061246590023678</v>
      </c>
      <c r="J95" s="85">
        <f>IF(H95,An,'2024'!An_max)</f>
        <v>2020</v>
      </c>
      <c r="K95" s="197">
        <f t="shared" si="27"/>
        <v>45738</v>
      </c>
      <c r="L95" s="147">
        <f>IF(t&lt;Tvie,1-EXP((T0-t)*PertePVj)+'2024'!Pspv,1-EXP((T0-t)*PertePVj)+Pspv)</f>
        <v>4.2443253413492532E-2</v>
      </c>
      <c r="M95" s="832"/>
      <c r="N95" s="832"/>
      <c r="O95" s="48">
        <f>IF(t&lt;Tnet,'2024'!Resal+('2024'!Salim-'2024'!Resal)*(1-EXP(('2024'!Tnet-t)/('2024'!Tau_j))),Resal+(Salim-Resal)*(1-EXP((Tnet-t)/(Tau_j))))*Salcycl</f>
        <v>5.6931650049010109E-2</v>
      </c>
      <c r="P95" s="169">
        <f>(INDEX(Models!$BJ95:$BT95,,T95)*(1-R95)+INDEX(Models!$BJ95:$BT95,,T95+1)*R95-ERP_i)*Q95*Ramure*Pc/MaxiM</f>
        <v>5.6032916234643815E-3</v>
      </c>
      <c r="Q95" s="304">
        <f t="shared" si="28"/>
        <v>0.7</v>
      </c>
      <c r="R95" s="177">
        <f t="shared" si="29"/>
        <v>0.14847107643994617</v>
      </c>
      <c r="S95" s="799">
        <f t="shared" si="30"/>
        <v>1</v>
      </c>
      <c r="T95" s="176">
        <f t="shared" si="31"/>
        <v>7</v>
      </c>
      <c r="U95" s="250">
        <f t="shared" si="32"/>
        <v>1.1484710764399462</v>
      </c>
      <c r="V95" s="382">
        <f t="shared" si="33"/>
        <v>47.454684975093819</v>
      </c>
      <c r="W95" s="400">
        <f t="shared" si="34"/>
        <v>40.655573697135061</v>
      </c>
      <c r="X95" s="157">
        <f t="shared" si="35"/>
        <v>45738</v>
      </c>
      <c r="Y95" s="383">
        <f t="shared" si="36"/>
        <v>40.308092148874621</v>
      </c>
      <c r="Z95" s="383">
        <f t="shared" si="37"/>
        <v>42.094729416888001</v>
      </c>
      <c r="AA95" s="384">
        <f t="shared" si="38"/>
        <v>45.012768033667967</v>
      </c>
      <c r="AB95" s="197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6.4826908991630433E-2</v>
      </c>
      <c r="AD95" s="230">
        <f>(INDEX(Models!$BJ95:$BT95,,AH95)*(1-AF95)+INDEX(Models!$BJ95:$BT95,,AH95+1)*AF95-ERP_i)*AE95*Ramure*Pc/MaxiM</f>
        <v>5.8242929667559444E-3</v>
      </c>
      <c r="AE95" s="304">
        <f t="shared" si="40"/>
        <v>0.7</v>
      </c>
      <c r="AF95" s="177">
        <f t="shared" si="41"/>
        <v>0.21280329869977832</v>
      </c>
      <c r="AG95" s="799">
        <f t="shared" si="49"/>
        <v>1</v>
      </c>
      <c r="AH95" s="176">
        <f t="shared" si="42"/>
        <v>7</v>
      </c>
      <c r="AI95" s="224">
        <f t="shared" si="43"/>
        <v>1.2128032986997783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45739</v>
      </c>
      <c r="B96" s="409">
        <f>'2024'!Wh/'2024'!Env_an*'2025'!Env_an</f>
        <v>47.939736221724552</v>
      </c>
      <c r="C96" s="829"/>
      <c r="D96" s="391">
        <f t="shared" si="25"/>
        <v>50.065602027596832</v>
      </c>
      <c r="E96" s="383">
        <f t="shared" si="47"/>
        <v>53.090829745775729</v>
      </c>
      <c r="F96" s="383">
        <f t="shared" si="26"/>
        <v>53.395442827230923</v>
      </c>
      <c r="G96" s="110">
        <f t="shared" si="48"/>
        <v>1.0043601605751804</v>
      </c>
      <c r="H96" s="412" t="b">
        <f>Wh_hp&gt;='2024'!Maxi_hp</f>
        <v>1</v>
      </c>
      <c r="I96" s="388">
        <f>IF(H96,Wh_hp,'2024'!Maxi_hp)</f>
        <v>53.395442827230923</v>
      </c>
      <c r="J96" s="85">
        <f>IF(H96,An,'2024'!An_max)</f>
        <v>2025</v>
      </c>
      <c r="K96" s="197">
        <f t="shared" si="27"/>
        <v>45739</v>
      </c>
      <c r="L96" s="147">
        <f>IF(t&lt;Tvie,1-EXP((T0-t)*PertePVj)+'2024'!Pspv,1-EXP((T0-t)*PertePVj)+Pspv)</f>
        <v>4.246160477008698E-2</v>
      </c>
      <c r="M96" s="832"/>
      <c r="N96" s="832"/>
      <c r="O96" s="48">
        <f>IF(t&lt;Tnet,'2024'!Resal+('2024'!Salim-'2024'!Resal)*(1-EXP(('2024'!Tnet-t)/('2024'!Tau_j))),Resal+(Salim-Resal)*(1-EXP((Tnet-t)/(Tau_j))))*Salcycl</f>
        <v>5.6982114098896842E-2</v>
      </c>
      <c r="P96" s="169">
        <f>(INDEX(Models!$BJ96:$BT96,,T96)*(1-R96)+INDEX(Models!$BJ96:$BT96,,T96+1)*R96-ERP_i)*Q96*Ramure*Pc/MaxiM</f>
        <v>5.7048516750916713E-3</v>
      </c>
      <c r="Q96" s="304">
        <f t="shared" si="28"/>
        <v>0.7</v>
      </c>
      <c r="R96" s="177">
        <f t="shared" si="29"/>
        <v>0.14905350820178187</v>
      </c>
      <c r="S96" s="799">
        <f t="shared" si="30"/>
        <v>1</v>
      </c>
      <c r="T96" s="176">
        <f t="shared" si="31"/>
        <v>7</v>
      </c>
      <c r="U96" s="250">
        <f t="shared" si="32"/>
        <v>1.1490535082017819</v>
      </c>
      <c r="V96" s="382">
        <f t="shared" si="33"/>
        <v>47.731618699680659</v>
      </c>
      <c r="W96" s="400">
        <f t="shared" si="34"/>
        <v>47.939736221724552</v>
      </c>
      <c r="X96" s="157">
        <f t="shared" si="35"/>
        <v>45739</v>
      </c>
      <c r="Y96" s="383">
        <f t="shared" si="36"/>
        <v>47.528187131708336</v>
      </c>
      <c r="Z96" s="383">
        <f t="shared" si="37"/>
        <v>49.635802980303907</v>
      </c>
      <c r="AA96" s="384">
        <f t="shared" si="38"/>
        <v>53.078962239196571</v>
      </c>
      <c r="AB96" s="197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6.4868624284256216E-2</v>
      </c>
      <c r="AD96" s="230">
        <f>(INDEX(Models!$BJ96:$BT96,,AH96)*(1-AF96)+INDEX(Models!$BJ96:$BT96,,AH96+1)*AF96-ERP_i)*AE96*Ramure*Pc/MaxiM</f>
        <v>5.9271085934875399E-3</v>
      </c>
      <c r="AE96" s="304">
        <f t="shared" si="40"/>
        <v>0.7</v>
      </c>
      <c r="AF96" s="177">
        <f t="shared" si="41"/>
        <v>0.21338573046161402</v>
      </c>
      <c r="AG96" s="799">
        <f t="shared" si="49"/>
        <v>1</v>
      </c>
      <c r="AH96" s="176">
        <f t="shared" si="42"/>
        <v>7</v>
      </c>
      <c r="AI96" s="224">
        <f t="shared" si="43"/>
        <v>1.213385730461614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45740</v>
      </c>
      <c r="B97" s="409">
        <f>'2024'!Wh/'2024'!Env_an*'2025'!Env_an</f>
        <v>46.850802026999382</v>
      </c>
      <c r="C97" s="829"/>
      <c r="D97" s="391">
        <f t="shared" si="25"/>
        <v>48.929317260317745</v>
      </c>
      <c r="E97" s="383">
        <f t="shared" si="47"/>
        <v>51.888678105938766</v>
      </c>
      <c r="F97" s="383">
        <f t="shared" si="26"/>
        <v>52.180785216487259</v>
      </c>
      <c r="G97" s="110">
        <f t="shared" si="48"/>
        <v>0.97572721338984914</v>
      </c>
      <c r="H97" s="412" t="b">
        <f>Wh_hp&gt;='2024'!Maxi_hp</f>
        <v>0</v>
      </c>
      <c r="I97" s="388">
        <f>IF(H97,Wh_hp,'2024'!Maxi_hp)</f>
        <v>52.18691136739492</v>
      </c>
      <c r="J97" s="85">
        <f>IF(H97,An,'2024'!An_max)</f>
        <v>2022</v>
      </c>
      <c r="K97" s="197">
        <f t="shared" si="27"/>
        <v>45740</v>
      </c>
      <c r="L97" s="147">
        <f>IF(t&lt;Tvie,1-EXP((T0-t)*PertePVj)+'2024'!Pspv,1-EXP((T0-t)*PertePVj)+Pspv)</f>
        <v>4.2479955774981981E-2</v>
      </c>
      <c r="M97" s="832"/>
      <c r="N97" s="832"/>
      <c r="O97" s="48">
        <f>IF(t&lt;Tnet,'2024'!Resal+('2024'!Salim-'2024'!Resal)*(1-EXP(('2024'!Tnet-t)/('2024'!Tau_j))),Resal+(Salim-Resal)*(1-EXP((Tnet-t)/(Tau_j))))*Salcycl</f>
        <v>5.7032881808610061E-2</v>
      </c>
      <c r="P97" s="169">
        <f>(INDEX(Models!$BJ97:$BT97,,T97)*(1-R97)+INDEX(Models!$BJ97:$BT97,,T97+1)*R97-ERP_i)*Q97*Ramure*Pc/MaxiM</f>
        <v>5.7973882965159278E-3</v>
      </c>
      <c r="Q97" s="304">
        <f t="shared" si="28"/>
        <v>0.7</v>
      </c>
      <c r="R97" s="177">
        <f t="shared" si="29"/>
        <v>0.14965850856382978</v>
      </c>
      <c r="S97" s="799">
        <f t="shared" si="30"/>
        <v>1</v>
      </c>
      <c r="T97" s="176">
        <f t="shared" si="31"/>
        <v>7</v>
      </c>
      <c r="U97" s="250">
        <f t="shared" si="32"/>
        <v>1.1496585085638298</v>
      </c>
      <c r="V97" s="382">
        <f t="shared" si="33"/>
        <v>48.006662578811031</v>
      </c>
      <c r="W97" s="400">
        <f t="shared" si="34"/>
        <v>46.850802026999382</v>
      </c>
      <c r="X97" s="157">
        <f t="shared" si="35"/>
        <v>45740</v>
      </c>
      <c r="Y97" s="383">
        <f t="shared" si="36"/>
        <v>46.449242389975872</v>
      </c>
      <c r="Z97" s="383">
        <f t="shared" si="37"/>
        <v>48.509942606548989</v>
      </c>
      <c r="AA97" s="384">
        <f t="shared" si="38"/>
        <v>51.877336943246455</v>
      </c>
      <c r="AB97" s="197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6.4910701572468518E-2</v>
      </c>
      <c r="AD97" s="230">
        <f>(INDEX(Models!$BJ97:$BT97,,AH97)*(1-AF97)+INDEX(Models!$BJ97:$BT97,,AH97+1)*AF97-ERP_i)*AE97*Ramure*Pc/MaxiM</f>
        <v>6.0224739636804102E-3</v>
      </c>
      <c r="AE97" s="304">
        <f t="shared" si="40"/>
        <v>0.7</v>
      </c>
      <c r="AF97" s="177">
        <f t="shared" si="41"/>
        <v>0.21399073082366193</v>
      </c>
      <c r="AG97" s="799">
        <f t="shared" si="49"/>
        <v>1</v>
      </c>
      <c r="AH97" s="176">
        <f t="shared" si="42"/>
        <v>7</v>
      </c>
      <c r="AI97" s="224">
        <f t="shared" si="43"/>
        <v>1.2139907308236619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45741</v>
      </c>
      <c r="B98" s="409">
        <f>'2024'!Wh/'2024'!Env_an*'2025'!Env_an</f>
        <v>36.95862671764904</v>
      </c>
      <c r="C98" s="829"/>
      <c r="D98" s="391">
        <f t="shared" si="25"/>
        <v>38.599019684007501</v>
      </c>
      <c r="E98" s="383">
        <f t="shared" si="47"/>
        <v>40.935797784334042</v>
      </c>
      <c r="F98" s="383">
        <f t="shared" si="26"/>
        <v>41.09653449353533</v>
      </c>
      <c r="G98" s="110">
        <f t="shared" si="48"/>
        <v>0.76400733355269501</v>
      </c>
      <c r="H98" s="412" t="b">
        <f>Wh_hp&gt;='2024'!Maxi_hp</f>
        <v>0</v>
      </c>
      <c r="I98" s="388">
        <f>IF(H98,Wh_hp,'2024'!Maxi_hp)</f>
        <v>52.042805728748291</v>
      </c>
      <c r="J98" s="85">
        <f>IF(H98,An,'2024'!An_max)</f>
        <v>2020</v>
      </c>
      <c r="K98" s="197">
        <f t="shared" si="27"/>
        <v>45741</v>
      </c>
      <c r="L98" s="147">
        <f>IF(t&lt;Tvie,1-EXP((T0-t)*PertePVj)+'2024'!Pspv,1-EXP((T0-t)*PertePVj)+Pspv)</f>
        <v>4.2498306428184085E-2</v>
      </c>
      <c r="M98" s="832"/>
      <c r="N98" s="832"/>
      <c r="O98" s="48">
        <f>IF(t&lt;Tnet,'2024'!Resal+('2024'!Salim-'2024'!Resal)*(1-EXP(('2024'!Tnet-t)/('2024'!Tau_j))),Resal+(Salim-Resal)*(1-EXP((Tnet-t)/(Tau_j))))*Salcycl</f>
        <v>5.7083976050439057E-2</v>
      </c>
      <c r="P98" s="169">
        <f>(INDEX(Models!$BJ98:$BT98,,T98)*(1-R98)+INDEX(Models!$BJ98:$BT98,,T98+1)*R98-ERP_i)*Q98*Ramure*Pc/MaxiM</f>
        <v>5.8812318534862164E-3</v>
      </c>
      <c r="Q98" s="304">
        <f t="shared" si="28"/>
        <v>0.7</v>
      </c>
      <c r="R98" s="177">
        <f t="shared" si="29"/>
        <v>0.15028687403202756</v>
      </c>
      <c r="S98" s="799">
        <f t="shared" si="30"/>
        <v>1</v>
      </c>
      <c r="T98" s="176">
        <f t="shared" si="31"/>
        <v>7</v>
      </c>
      <c r="U98" s="250">
        <f t="shared" si="32"/>
        <v>1.1502868740320276</v>
      </c>
      <c r="V98" s="382">
        <f t="shared" si="33"/>
        <v>48.279027548005132</v>
      </c>
      <c r="W98" s="400">
        <f t="shared" si="34"/>
        <v>36.95862671764904</v>
      </c>
      <c r="X98" s="157">
        <f t="shared" si="35"/>
        <v>45741</v>
      </c>
      <c r="Y98" s="383">
        <f t="shared" si="36"/>
        <v>36.644570319454672</v>
      </c>
      <c r="Z98" s="383">
        <f t="shared" si="37"/>
        <v>38.271024025824559</v>
      </c>
      <c r="AA98" s="384">
        <f t="shared" si="38"/>
        <v>40.929526369883199</v>
      </c>
      <c r="AB98" s="197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6.4953166573039678E-2</v>
      </c>
      <c r="AD98" s="230">
        <f>(INDEX(Models!$BJ98:$BT98,,AH98)*(1-AF98)+INDEX(Models!$BJ98:$BT98,,AH98+1)*AF98-ERP_i)*AE98*Ramure*Pc/MaxiM</f>
        <v>6.1106980570558864E-3</v>
      </c>
      <c r="AE98" s="304">
        <f t="shared" si="40"/>
        <v>0.7</v>
      </c>
      <c r="AF98" s="177">
        <f t="shared" si="41"/>
        <v>0.21461909629185971</v>
      </c>
      <c r="AG98" s="799">
        <f t="shared" si="49"/>
        <v>1</v>
      </c>
      <c r="AH98" s="176">
        <f t="shared" si="42"/>
        <v>7</v>
      </c>
      <c r="AI98" s="224">
        <f t="shared" si="43"/>
        <v>1.2146190962918597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45742</v>
      </c>
      <c r="B99" s="409">
        <f>'2024'!Wh/'2024'!Env_an*'2025'!Env_an</f>
        <v>42.246755888158226</v>
      </c>
      <c r="C99" s="829"/>
      <c r="D99" s="391">
        <f t="shared" si="25"/>
        <v>44.12270582573661</v>
      </c>
      <c r="E99" s="383">
        <f t="shared" si="47"/>
        <v>46.796440071957306</v>
      </c>
      <c r="F99" s="383">
        <f t="shared" si="26"/>
        <v>47.024614214214438</v>
      </c>
      <c r="G99" s="110">
        <f t="shared" si="48"/>
        <v>0.86924143323940906</v>
      </c>
      <c r="H99" s="412" t="b">
        <f>Wh_hp&gt;='2024'!Maxi_hp</f>
        <v>0</v>
      </c>
      <c r="I99" s="388">
        <f>IF(H99,Wh_hp,'2024'!Maxi_hp)</f>
        <v>54.406274588280766</v>
      </c>
      <c r="J99" s="85">
        <f>IF(H99,An,'2024'!An_max)</f>
        <v>2020</v>
      </c>
      <c r="K99" s="197">
        <f t="shared" si="27"/>
        <v>45742</v>
      </c>
      <c r="L99" s="147">
        <f>IF(t&lt;Tvie,1-EXP((T0-t)*PertePVj)+'2024'!Pspv,1-EXP((T0-t)*PertePVj)+Pspv)</f>
        <v>4.2516656729700175E-2</v>
      </c>
      <c r="M99" s="832"/>
      <c r="N99" s="832"/>
      <c r="O99" s="48">
        <f>IF(t&lt;Tnet,'2024'!Resal+('2024'!Salim-'2024'!Resal)*(1-EXP(('2024'!Tnet-t)/('2024'!Tau_j))),Resal+(Salim-Resal)*(1-EXP((Tnet-t)/(Tau_j))))*Salcycl</f>
        <v>5.7135419747941972E-2</v>
      </c>
      <c r="P99" s="169">
        <f>(INDEX(Models!$BJ99:$BT99,,T99)*(1-R99)+INDEX(Models!$BJ99:$BT99,,T99+1)*R99-ERP_i)*Q99*Ramure*Pc/MaxiM</f>
        <v>5.956710472608138E-3</v>
      </c>
      <c r="Q99" s="304">
        <f t="shared" si="28"/>
        <v>0.7</v>
      </c>
      <c r="R99" s="177">
        <f t="shared" si="29"/>
        <v>0.15093942283315043</v>
      </c>
      <c r="S99" s="799">
        <f t="shared" si="30"/>
        <v>1</v>
      </c>
      <c r="T99" s="176">
        <f t="shared" si="31"/>
        <v>7</v>
      </c>
      <c r="U99" s="250">
        <f t="shared" si="32"/>
        <v>1.1509394228331504</v>
      </c>
      <c r="V99" s="382">
        <f t="shared" si="33"/>
        <v>48.547924608142765</v>
      </c>
      <c r="W99" s="400">
        <f t="shared" si="34"/>
        <v>42.246755888158226</v>
      </c>
      <c r="X99" s="157">
        <f t="shared" si="35"/>
        <v>45742</v>
      </c>
      <c r="Y99" s="383">
        <f t="shared" si="36"/>
        <v>41.886474501555107</v>
      </c>
      <c r="Z99" s="383">
        <f t="shared" si="37"/>
        <v>43.746426291334927</v>
      </c>
      <c r="AA99" s="384">
        <f t="shared" si="38"/>
        <v>46.787423795548378</v>
      </c>
      <c r="AB99" s="197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6.4996045037700678E-2</v>
      </c>
      <c r="AD99" s="230">
        <f>(INDEX(Models!$BJ99:$BT99,,AH99)*(1-AF99)+INDEX(Models!$BJ99:$BT99,,AH99+1)*AF99-ERP_i)*AE99*Ramure*Pc/MaxiM</f>
        <v>6.1920892389210839E-3</v>
      </c>
      <c r="AE99" s="304">
        <f t="shared" si="40"/>
        <v>0.7</v>
      </c>
      <c r="AF99" s="177">
        <f t="shared" si="41"/>
        <v>0.21527164509298258</v>
      </c>
      <c r="AG99" s="799">
        <f t="shared" si="49"/>
        <v>1</v>
      </c>
      <c r="AH99" s="176">
        <f t="shared" si="42"/>
        <v>7</v>
      </c>
      <c r="AI99" s="224">
        <f t="shared" si="43"/>
        <v>1.2152716450929826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45743</v>
      </c>
      <c r="B100" s="409">
        <f>'2024'!Wh/'2024'!Env_an*'2025'!Env_an</f>
        <v>44.812394706679584</v>
      </c>
      <c r="C100" s="829"/>
      <c r="D100" s="391">
        <f t="shared" si="25"/>
        <v>46.803167759973547</v>
      </c>
      <c r="E100" s="383">
        <f t="shared" si="47"/>
        <v>49.642059948530708</v>
      </c>
      <c r="F100" s="383">
        <f t="shared" si="26"/>
        <v>49.907233590988625</v>
      </c>
      <c r="G100" s="110">
        <f t="shared" si="48"/>
        <v>0.91739434816871135</v>
      </c>
      <c r="H100" s="412" t="b">
        <f>Wh_hp&gt;='2024'!Maxi_hp</f>
        <v>0</v>
      </c>
      <c r="I100" s="388">
        <f>IF(H100,Wh_hp,'2024'!Maxi_hp)</f>
        <v>53.384217171307384</v>
      </c>
      <c r="J100" s="85">
        <f>IF(H100,An,'2024'!An_max)</f>
        <v>2018</v>
      </c>
      <c r="K100" s="197">
        <f t="shared" si="27"/>
        <v>45743</v>
      </c>
      <c r="L100" s="147">
        <f>IF(t&lt;Tvie,1-EXP((T0-t)*PertePVj)+'2024'!Pspv,1-EXP((T0-t)*PertePVj)+Pspv)</f>
        <v>4.2535006679536913E-2</v>
      </c>
      <c r="M100" s="832"/>
      <c r="N100" s="832"/>
      <c r="O100" s="48">
        <f>IF(t&lt;Tnet,'2024'!Resal+('2024'!Salim-'2024'!Resal)*(1-EXP(('2024'!Tnet-t)/('2024'!Tau_j))),Resal+(Salim-Resal)*(1-EXP((Tnet-t)/(Tau_j))))*Salcycl</f>
        <v>5.7187235813754539E-2</v>
      </c>
      <c r="P100" s="169">
        <f>(INDEX(Models!$BJ100:$BT100,,T100)*(1-R100)+INDEX(Models!$BJ100:$BT100,,T100+1)*R100-ERP_i)*Q100*Ramure*Pc/MaxiM</f>
        <v>6.0179012837726096E-3</v>
      </c>
      <c r="Q100" s="304">
        <f t="shared" si="28"/>
        <v>0.7</v>
      </c>
      <c r="R100" s="177">
        <f t="shared" si="29"/>
        <v>0.15161699496752212</v>
      </c>
      <c r="S100" s="799">
        <f t="shared" si="30"/>
        <v>1</v>
      </c>
      <c r="T100" s="176">
        <f t="shared" si="31"/>
        <v>7</v>
      </c>
      <c r="U100" s="250">
        <f t="shared" si="32"/>
        <v>1.1516169949675221</v>
      </c>
      <c r="V100" s="382">
        <f t="shared" si="33"/>
        <v>48.812871640091522</v>
      </c>
      <c r="W100" s="400">
        <f t="shared" si="34"/>
        <v>44.812394706679584</v>
      </c>
      <c r="X100" s="157">
        <f t="shared" si="35"/>
        <v>45743</v>
      </c>
      <c r="Y100" s="383">
        <f t="shared" si="36"/>
        <v>44.429628866626636</v>
      </c>
      <c r="Z100" s="383">
        <f t="shared" si="37"/>
        <v>46.403397697649361</v>
      </c>
      <c r="AA100" s="384">
        <f t="shared" si="38"/>
        <v>49.631391788627397</v>
      </c>
      <c r="AB100" s="197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6.5039362682504945E-2</v>
      </c>
      <c r="AD100" s="230">
        <f>(INDEX(Models!$BJ100:$BT100,,AH100)*(1-AF100)+INDEX(Models!$BJ100:$BT100,,AH100+1)*AF100-ERP_i)*AE100*Ramure*Pc/MaxiM</f>
        <v>6.2600065419820532E-3</v>
      </c>
      <c r="AE100" s="304">
        <f t="shared" si="40"/>
        <v>0.7</v>
      </c>
      <c r="AF100" s="177">
        <f t="shared" si="41"/>
        <v>0.21594921722735427</v>
      </c>
      <c r="AG100" s="799">
        <f t="shared" si="49"/>
        <v>1</v>
      </c>
      <c r="AH100" s="176">
        <f t="shared" si="42"/>
        <v>7</v>
      </c>
      <c r="AI100" s="224">
        <f t="shared" si="43"/>
        <v>1.2159492172273543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45744</v>
      </c>
      <c r="B101" s="409">
        <f>'2024'!Wh/'2024'!Env_an*'2025'!Env_an</f>
        <v>38.240283101147519</v>
      </c>
      <c r="C101" s="829"/>
      <c r="D101" s="391">
        <f t="shared" si="25"/>
        <v>39.939858113115761</v>
      </c>
      <c r="E101" s="383">
        <f t="shared" si="47"/>
        <v>42.364795588666951</v>
      </c>
      <c r="F101" s="383">
        <f t="shared" si="26"/>
        <v>42.541360380780198</v>
      </c>
      <c r="G101" s="110">
        <f t="shared" si="48"/>
        <v>0.77775341704235845</v>
      </c>
      <c r="H101" s="412" t="b">
        <f>Wh_hp&gt;='2024'!Maxi_hp</f>
        <v>0</v>
      </c>
      <c r="I101" s="388">
        <f>IF(H101,Wh_hp,'2024'!Maxi_hp)</f>
        <v>52.671348096668545</v>
      </c>
      <c r="J101" s="85">
        <f>IF(H101,An,'2024'!An_max)</f>
        <v>2021</v>
      </c>
      <c r="K101" s="197">
        <f t="shared" si="27"/>
        <v>45744</v>
      </c>
      <c r="L101" s="147">
        <f>IF(t&lt;Tvie,1-EXP((T0-t)*PertePVj)+'2024'!Pspv,1-EXP((T0-t)*PertePVj)+Pspv)</f>
        <v>4.2553356277701071E-2</v>
      </c>
      <c r="M101" s="832"/>
      <c r="N101" s="832"/>
      <c r="O101" s="48">
        <f>IF(t&lt;Tnet,'2024'!Resal+('2024'!Salim-'2024'!Resal)*(1-EXP(('2024'!Tnet-t)/('2024'!Tau_j))),Resal+(Salim-Resal)*(1-EXP((Tnet-t)/(Tau_j))))*Salcycl</f>
        <v>5.723944708941045E-2</v>
      </c>
      <c r="P101" s="169">
        <f>(INDEX(Models!$BJ101:$BT101,,T101)*(1-R101)+INDEX(Models!$BJ101:$BT101,,T101+1)*R101-ERP_i)*Q101*Ramure*Pc/MaxiM</f>
        <v>6.062185614668399E-3</v>
      </c>
      <c r="Q101" s="304">
        <f t="shared" si="28"/>
        <v>0.7</v>
      </c>
      <c r="R101" s="177">
        <f t="shared" si="29"/>
        <v>0.15232045220725365</v>
      </c>
      <c r="S101" s="799">
        <f t="shared" si="30"/>
        <v>1</v>
      </c>
      <c r="T101" s="176">
        <f t="shared" si="31"/>
        <v>7</v>
      </c>
      <c r="U101" s="250">
        <f t="shared" si="32"/>
        <v>1.1523204522072537</v>
      </c>
      <c r="V101" s="382">
        <f t="shared" si="33"/>
        <v>49.073229857830739</v>
      </c>
      <c r="W101" s="400">
        <f t="shared" si="34"/>
        <v>38.240283101147519</v>
      </c>
      <c r="X101" s="157">
        <f t="shared" si="35"/>
        <v>45744</v>
      </c>
      <c r="Y101" s="383">
        <f t="shared" si="36"/>
        <v>37.915653604421699</v>
      </c>
      <c r="Z101" s="383">
        <f t="shared" si="37"/>
        <v>39.600800580401724</v>
      </c>
      <c r="AA101" s="384">
        <f t="shared" si="38"/>
        <v>42.357564069659269</v>
      </c>
      <c r="AB101" s="197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6.508314511958016E-2</v>
      </c>
      <c r="AD101" s="230">
        <f>(INDEX(Models!$BJ101:$BT101,,AH101)*(1-AF101)+INDEX(Models!$BJ101:$BT101,,AH101+1)*AF101-ERP_i)*AE101*Ramure*Pc/MaxiM</f>
        <v>6.3104729995758398E-3</v>
      </c>
      <c r="AE101" s="304">
        <f t="shared" si="40"/>
        <v>0.7</v>
      </c>
      <c r="AF101" s="177">
        <f t="shared" si="41"/>
        <v>0.2166526744670858</v>
      </c>
      <c r="AG101" s="799">
        <f t="shared" si="49"/>
        <v>1</v>
      </c>
      <c r="AH101" s="176">
        <f t="shared" si="42"/>
        <v>7</v>
      </c>
      <c r="AI101" s="224">
        <f t="shared" si="43"/>
        <v>1.2166526744670858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45745</v>
      </c>
      <c r="B102" s="409">
        <f>'2024'!Wh/'2024'!Env_an*'2025'!Env_an</f>
        <v>26.664184108812314</v>
      </c>
      <c r="C102" s="829"/>
      <c r="D102" s="391">
        <f t="shared" si="25"/>
        <v>27.849797486308006</v>
      </c>
      <c r="E102" s="383">
        <f t="shared" si="47"/>
        <v>29.542339451891571</v>
      </c>
      <c r="F102" s="383">
        <f t="shared" si="26"/>
        <v>29.604293291076807</v>
      </c>
      <c r="G102" s="110">
        <f t="shared" si="48"/>
        <v>0.53838109865644912</v>
      </c>
      <c r="H102" s="412" t="b">
        <f>Wh_hp&gt;='2024'!Maxi_hp</f>
        <v>0</v>
      </c>
      <c r="I102" s="388">
        <f>IF(H102,Wh_hp,'2024'!Maxi_hp)</f>
        <v>55.509547390631532</v>
      </c>
      <c r="J102" s="85">
        <f>IF(H102,An,'2024'!An_max)</f>
        <v>2021</v>
      </c>
      <c r="K102" s="197">
        <f t="shared" si="27"/>
        <v>45745</v>
      </c>
      <c r="L102" s="147">
        <f>IF(t&lt;Tvie,1-EXP((T0-t)*PertePVj)+'2024'!Pspv,1-EXP((T0-t)*PertePVj)+Pspv)</f>
        <v>4.257170552419931E-2</v>
      </c>
      <c r="M102" s="832"/>
      <c r="N102" s="832"/>
      <c r="O102" s="48">
        <f>IF(t&lt;Tnet,'2024'!Resal+('2024'!Salim-'2024'!Resal)*(1-EXP(('2024'!Tnet-t)/('2024'!Tau_j))),Resal+(Salim-Resal)*(1-EXP((Tnet-t)/(Tau_j))))*Salcycl</f>
        <v>5.7292076287316265E-2</v>
      </c>
      <c r="P102" s="169">
        <f>(INDEX(Models!$BJ102:$BT102,,T102)*(1-R102)+INDEX(Models!$BJ102:$BT102,,T102+1)*R102-ERP_i)*Q102*Ramure*Pc/MaxiM</f>
        <v>6.0899380635071219E-3</v>
      </c>
      <c r="Q102" s="304">
        <f t="shared" si="28"/>
        <v>0.7</v>
      </c>
      <c r="R102" s="177">
        <f t="shared" si="29"/>
        <v>0.15305067803476269</v>
      </c>
      <c r="S102" s="799">
        <f t="shared" si="30"/>
        <v>1</v>
      </c>
      <c r="T102" s="176">
        <f t="shared" si="31"/>
        <v>7</v>
      </c>
      <c r="U102" s="250">
        <f t="shared" si="32"/>
        <v>1.1530506780347627</v>
      </c>
      <c r="V102" s="382">
        <f t="shared" si="33"/>
        <v>49.328214548082236</v>
      </c>
      <c r="W102" s="400">
        <f t="shared" si="34"/>
        <v>26.664184108812314</v>
      </c>
      <c r="X102" s="157">
        <f t="shared" si="35"/>
        <v>45745</v>
      </c>
      <c r="Y102" s="383">
        <f t="shared" si="36"/>
        <v>26.440251737300613</v>
      </c>
      <c r="Z102" s="383">
        <f t="shared" si="37"/>
        <v>27.615908042259033</v>
      </c>
      <c r="AA102" s="384">
        <f t="shared" si="38"/>
        <v>29.539756077794372</v>
      </c>
      <c r="AB102" s="197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6.5127417791426376E-2</v>
      </c>
      <c r="AD102" s="230">
        <f>(INDEX(Models!$BJ102:$BT102,,AH102)*(1-AF102)+INDEX(Models!$BJ102:$BT102,,AH102+1)*AF102-ERP_i)*AE102*Ramure*Pc/MaxiM</f>
        <v>6.3438785529701227E-3</v>
      </c>
      <c r="AE102" s="304">
        <f t="shared" si="40"/>
        <v>0.7</v>
      </c>
      <c r="AF102" s="177">
        <f t="shared" si="41"/>
        <v>0.21738290029459484</v>
      </c>
      <c r="AG102" s="799">
        <f t="shared" si="49"/>
        <v>1</v>
      </c>
      <c r="AH102" s="176">
        <f t="shared" si="42"/>
        <v>7</v>
      </c>
      <c r="AI102" s="224">
        <f t="shared" si="43"/>
        <v>1.2173829002945948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45746</v>
      </c>
      <c r="B103" s="409">
        <f>'2024'!Wh/'2024'!Env_an*'2025'!Env_an</f>
        <v>6.0386353268285529</v>
      </c>
      <c r="C103" s="829"/>
      <c r="D103" s="391">
        <f t="shared" si="25"/>
        <v>6.3072619568039645</v>
      </c>
      <c r="E103" s="383">
        <f t="shared" si="47"/>
        <v>6.690955793210029</v>
      </c>
      <c r="F103" s="383">
        <f t="shared" si="26"/>
        <v>6.690955793210029</v>
      </c>
      <c r="G103" s="110">
        <f t="shared" si="48"/>
        <v>0.12105987673952018</v>
      </c>
      <c r="H103" s="412" t="b">
        <f>Wh_hp&gt;='2024'!Maxi_hp</f>
        <v>0</v>
      </c>
      <c r="I103" s="388">
        <f>IF(H103,Wh_hp,'2024'!Maxi_hp)</f>
        <v>54.961612248927921</v>
      </c>
      <c r="J103" s="85">
        <f>IF(H103,An,'2024'!An_max)</f>
        <v>2018</v>
      </c>
      <c r="K103" s="197">
        <f t="shared" si="27"/>
        <v>45746</v>
      </c>
      <c r="L103" s="147">
        <f>IF(t&lt;Tvie,1-EXP((T0-t)*PertePVj)+'2024'!Pspv,1-EXP((T0-t)*PertePVj)+Pspv)</f>
        <v>4.2590054419038403E-2</v>
      </c>
      <c r="M103" s="832"/>
      <c r="N103" s="832"/>
      <c r="O103" s="48">
        <f>IF(t&lt;Tnet,'2024'!Resal+('2024'!Salim-'2024'!Resal)*(1-EXP(('2024'!Tnet-t)/('2024'!Tau_j))),Resal+(Salim-Resal)*(1-EXP((Tnet-t)/(Tau_j))))*Salcycl</f>
        <v>5.7345145934970365E-2</v>
      </c>
      <c r="P103" s="169">
        <f>(INDEX(Models!$BJ103:$BT103,,T103)*(1-R103)+INDEX(Models!$BJ103:$BT103,,T103+1)*R103-ERP_i)*Q103*Ramure*Pc/MaxiM</f>
        <v>6.1015109287080914E-3</v>
      </c>
      <c r="Q103" s="304">
        <f t="shared" si="28"/>
        <v>0.7</v>
      </c>
      <c r="R103" s="177">
        <f t="shared" si="29"/>
        <v>0.15380857751605737</v>
      </c>
      <c r="S103" s="799">
        <f t="shared" si="30"/>
        <v>1</v>
      </c>
      <c r="T103" s="176">
        <f t="shared" si="31"/>
        <v>7</v>
      </c>
      <c r="U103" s="250">
        <f t="shared" si="32"/>
        <v>1.1538085775160574</v>
      </c>
      <c r="V103" s="382">
        <f t="shared" si="33"/>
        <v>49.577041452811358</v>
      </c>
      <c r="W103" s="400">
        <f t="shared" si="34"/>
        <v>6.0386353268285529</v>
      </c>
      <c r="X103" s="157">
        <f t="shared" si="35"/>
        <v>45746</v>
      </c>
      <c r="Y103" s="383">
        <f t="shared" si="36"/>
        <v>5.9884952775266749</v>
      </c>
      <c r="Z103" s="383">
        <f t="shared" si="37"/>
        <v>6.2548914445345805</v>
      </c>
      <c r="AA103" s="384">
        <f t="shared" si="38"/>
        <v>6.690955793210029</v>
      </c>
      <c r="AB103" s="197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6.5172205907856315E-2</v>
      </c>
      <c r="AD103" s="230">
        <f>(INDEX(Models!$BJ103:$BT103,,AH103)*(1-AF103)+INDEX(Models!$BJ103:$BT103,,AH103+1)*AF103-ERP_i)*AE103*Ramure*Pc/MaxiM</f>
        <v>6.3605904220436701E-3</v>
      </c>
      <c r="AE103" s="304">
        <f t="shared" si="40"/>
        <v>0.7</v>
      </c>
      <c r="AF103" s="177">
        <f t="shared" si="41"/>
        <v>0.21814079977588952</v>
      </c>
      <c r="AG103" s="799">
        <f t="shared" si="49"/>
        <v>1</v>
      </c>
      <c r="AH103" s="176">
        <f t="shared" si="42"/>
        <v>7</v>
      </c>
      <c r="AI103" s="224">
        <f t="shared" si="43"/>
        <v>1.2181407997758895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45747</v>
      </c>
      <c r="B104" s="409">
        <f>'2024'!Wh/'2024'!Env_an*'2025'!Env_an</f>
        <v>16.717237342983545</v>
      </c>
      <c r="C104" s="829"/>
      <c r="D104" s="391">
        <f t="shared" si="25"/>
        <v>17.461232576834441</v>
      </c>
      <c r="E104" s="383">
        <f t="shared" si="47"/>
        <v>18.524515269870754</v>
      </c>
      <c r="F104" s="383">
        <f t="shared" si="26"/>
        <v>18.530254814315118</v>
      </c>
      <c r="G104" s="110">
        <f t="shared" si="48"/>
        <v>0.3336173125041148</v>
      </c>
      <c r="H104" s="412" t="b">
        <f>Wh_hp&gt;='2024'!Maxi_hp</f>
        <v>0</v>
      </c>
      <c r="I104" s="388">
        <f>IF(H104,Wh_hp,'2024'!Maxi_hp)</f>
        <v>51.391422760958996</v>
      </c>
      <c r="J104" s="85">
        <f>IF(H104,An,'2024'!An_max)</f>
        <v>2021</v>
      </c>
      <c r="K104" s="197">
        <f t="shared" si="27"/>
        <v>45747</v>
      </c>
      <c r="L104" s="147">
        <f>IF(t&lt;Tvie,1-EXP((T0-t)*PertePVj)+'2024'!Pspv,1-EXP((T0-t)*PertePVj)+Pspv)</f>
        <v>4.2608402962225123E-2</v>
      </c>
      <c r="M104" s="832"/>
      <c r="N104" s="832"/>
      <c r="O104" s="48">
        <f>IF(t&lt;Tnet,'2024'!Resal+('2024'!Salim-'2024'!Resal)*(1-EXP(('2024'!Tnet-t)/('2024'!Tau_j))),Resal+(Salim-Resal)*(1-EXP((Tnet-t)/(Tau_j))))*Salcycl</f>
        <v>5.739867832146154E-2</v>
      </c>
      <c r="P104" s="169">
        <f>(INDEX(Models!$BJ104:$BT104,,T104)*(1-R104)+INDEX(Models!$BJ104:$BT104,,T104+1)*R104-ERP_i)*Q104*Ramure*Pc/MaxiM</f>
        <v>6.0972323318552726E-3</v>
      </c>
      <c r="Q104" s="304">
        <f t="shared" si="28"/>
        <v>0.7</v>
      </c>
      <c r="R104" s="177">
        <f t="shared" si="29"/>
        <v>0.1545950771029887</v>
      </c>
      <c r="S104" s="799">
        <f t="shared" si="30"/>
        <v>1</v>
      </c>
      <c r="T104" s="176">
        <f t="shared" si="31"/>
        <v>7</v>
      </c>
      <c r="U104" s="250">
        <f t="shared" si="32"/>
        <v>1.1545950771029887</v>
      </c>
      <c r="V104" s="382">
        <f t="shared" si="33"/>
        <v>49.818926791982769</v>
      </c>
      <c r="W104" s="400">
        <f t="shared" si="34"/>
        <v>16.717237342983545</v>
      </c>
      <c r="X104" s="157">
        <f t="shared" si="35"/>
        <v>45747</v>
      </c>
      <c r="Y104" s="383">
        <f t="shared" si="36"/>
        <v>16.578346077312055</v>
      </c>
      <c r="Z104" s="383">
        <f t="shared" si="37"/>
        <v>17.316160000366015</v>
      </c>
      <c r="AA104" s="384">
        <f t="shared" si="38"/>
        <v>18.524267021830539</v>
      </c>
      <c r="AB104" s="197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6.521753438561384E-2</v>
      </c>
      <c r="AD104" s="230">
        <f>(INDEX(Models!$BJ104:$BT104,,AH104)*(1-AF104)+INDEX(Models!$BJ104:$BT104,,AH104+1)*AF104-ERP_i)*AE104*Ramure*Pc/MaxiM</f>
        <v>6.3609511673474077E-3</v>
      </c>
      <c r="AE104" s="304">
        <f t="shared" si="40"/>
        <v>0.7</v>
      </c>
      <c r="AF104" s="177">
        <f t="shared" si="41"/>
        <v>0.21892729936282085</v>
      </c>
      <c r="AG104" s="799">
        <f t="shared" si="49"/>
        <v>1</v>
      </c>
      <c r="AH104" s="176">
        <f t="shared" si="42"/>
        <v>7</v>
      </c>
      <c r="AI104" s="224">
        <f t="shared" si="43"/>
        <v>1.2189272993628208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45748</v>
      </c>
      <c r="B105" s="409">
        <f>'2024'!Wh/'2024'!Env_an*'2025'!Env_an</f>
        <v>31.563035434869729</v>
      </c>
      <c r="C105" s="829"/>
      <c r="D105" s="391">
        <f t="shared" si="25"/>
        <v>32.968369936080336</v>
      </c>
      <c r="E105" s="383">
        <f t="shared" si="47"/>
        <v>34.977947289010181</v>
      </c>
      <c r="F105" s="383">
        <f t="shared" si="26"/>
        <v>35.078629787699036</v>
      </c>
      <c r="G105" s="110">
        <f t="shared" si="48"/>
        <v>0.6285629214817563</v>
      </c>
      <c r="H105" s="412" t="b">
        <f>Wh_hp&gt;='2024'!Maxi_hp</f>
        <v>0</v>
      </c>
      <c r="I105" s="388">
        <f>IF(H105,Wh_hp,'2024'!Maxi_hp)</f>
        <v>51.899466717873182</v>
      </c>
      <c r="J105" s="85">
        <f>IF(H105,An,'2024'!An_max)</f>
        <v>2021</v>
      </c>
      <c r="K105" s="197">
        <f t="shared" si="27"/>
        <v>45748</v>
      </c>
      <c r="L105" s="147">
        <f>IF(t&lt;Tvie,1-EXP((T0-t)*PertePVj)+'2024'!Pspv,1-EXP((T0-t)*PertePVj)+Pspv)</f>
        <v>4.262675115376624E-2</v>
      </c>
      <c r="M105" s="832"/>
      <c r="N105" s="832"/>
      <c r="O105" s="48">
        <f>IF(t&lt;Tnet,'2024'!Resal+('2024'!Salim-'2024'!Resal)*(1-EXP(('2024'!Tnet-t)/('2024'!Tau_j))),Resal+(Salim-Resal)*(1-EXP((Tnet-t)/(Tau_j))))*Salcycl</f>
        <v>5.7452695446231584E-2</v>
      </c>
      <c r="P105" s="169">
        <f>(INDEX(Models!$BJ105:$BT105,,T105)*(1-R105)+INDEX(Models!$BJ105:$BT105,,T105+1)*R105-ERP_i)*Q105*Ramure*Pc/MaxiM</f>
        <v>6.0774044569275208E-3</v>
      </c>
      <c r="Q105" s="304">
        <f t="shared" si="28"/>
        <v>0.7</v>
      </c>
      <c r="R105" s="177">
        <f t="shared" si="29"/>
        <v>0.15541112435841686</v>
      </c>
      <c r="S105" s="799">
        <f t="shared" si="30"/>
        <v>1</v>
      </c>
      <c r="T105" s="176">
        <f t="shared" si="31"/>
        <v>7</v>
      </c>
      <c r="U105" s="250">
        <f t="shared" si="32"/>
        <v>1.1554111243584169</v>
      </c>
      <c r="V105" s="382">
        <f t="shared" si="33"/>
        <v>50.053087291069353</v>
      </c>
      <c r="W105" s="400">
        <f t="shared" si="34"/>
        <v>31.563035434869729</v>
      </c>
      <c r="X105" s="157">
        <f t="shared" si="35"/>
        <v>45748</v>
      </c>
      <c r="Y105" s="383">
        <f t="shared" si="36"/>
        <v>31.297506508051178</v>
      </c>
      <c r="Z105" s="383">
        <f t="shared" si="37"/>
        <v>32.691018414990154</v>
      </c>
      <c r="AA105" s="384">
        <f t="shared" si="38"/>
        <v>34.973509528702117</v>
      </c>
      <c r="AB105" s="197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6.5263427790647255E-2</v>
      </c>
      <c r="AD105" s="230">
        <f>(INDEX(Models!$BJ105:$BT105,,AH105)*(1-AF105)+INDEX(Models!$BJ105:$BT105,,AH105+1)*AF105-ERP_i)*AE105*Ramure*Pc/MaxiM</f>
        <v>6.3452768739437164E-3</v>
      </c>
      <c r="AE105" s="304">
        <f t="shared" si="40"/>
        <v>0.7</v>
      </c>
      <c r="AF105" s="177">
        <f t="shared" si="41"/>
        <v>0.21974334661824901</v>
      </c>
      <c r="AG105" s="799">
        <f t="shared" si="49"/>
        <v>1</v>
      </c>
      <c r="AH105" s="176">
        <f t="shared" si="42"/>
        <v>7</v>
      </c>
      <c r="AI105" s="224">
        <f t="shared" si="43"/>
        <v>1.219743346618249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45749</v>
      </c>
      <c r="B106" s="409">
        <f>'2024'!Wh/'2024'!Env_an*'2025'!Env_an</f>
        <v>16.67843578828484</v>
      </c>
      <c r="C106" s="829"/>
      <c r="D106" s="391">
        <f t="shared" si="25"/>
        <v>17.421371918348321</v>
      </c>
      <c r="E106" s="383">
        <f t="shared" si="47"/>
        <v>18.484355815765621</v>
      </c>
      <c r="F106" s="383">
        <f t="shared" si="26"/>
        <v>18.48941817782158</v>
      </c>
      <c r="G106" s="110">
        <f t="shared" si="48"/>
        <v>0.32980539580461882</v>
      </c>
      <c r="H106" s="412" t="b">
        <f>Wh_hp&gt;='2024'!Maxi_hp</f>
        <v>0</v>
      </c>
      <c r="I106" s="388">
        <f>IF(H106,Wh_hp,'2024'!Maxi_hp)</f>
        <v>43.794374405786975</v>
      </c>
      <c r="J106" s="85">
        <f>IF(H106,An,'2024'!An_max)</f>
        <v>2021</v>
      </c>
      <c r="K106" s="197">
        <f t="shared" si="27"/>
        <v>45749</v>
      </c>
      <c r="L106" s="147">
        <f>IF(t&lt;Tvie,1-EXP((T0-t)*PertePVj)+'2024'!Pspv,1-EXP((T0-t)*PertePVj)+Pspv)</f>
        <v>4.2645098993668529E-2</v>
      </c>
      <c r="M106" s="832"/>
      <c r="N106" s="832"/>
      <c r="O106" s="48">
        <f>IF(t&lt;Tnet,'2024'!Resal+('2024'!Salim-'2024'!Resal)*(1-EXP(('2024'!Tnet-t)/('2024'!Tau_j))),Resal+(Salim-Resal)*(1-EXP((Tnet-t)/(Tau_j))))*Salcycl</f>
        <v>5.7507218970036564E-2</v>
      </c>
      <c r="P106" s="169">
        <f>(INDEX(Models!$BJ106:$BT106,,T106)*(1-R106)+INDEX(Models!$BJ106:$BT106,,T106+1)*R106-ERP_i)*Q106*Ramure*Pc/MaxiM</f>
        <v>6.0423018851633262E-3</v>
      </c>
      <c r="Q106" s="304">
        <f t="shared" si="28"/>
        <v>0.7</v>
      </c>
      <c r="R106" s="177">
        <f t="shared" si="29"/>
        <v>0.15625768759796843</v>
      </c>
      <c r="S106" s="799">
        <f t="shared" si="30"/>
        <v>1</v>
      </c>
      <c r="T106" s="176">
        <f t="shared" si="31"/>
        <v>7</v>
      </c>
      <c r="U106" s="250">
        <f t="shared" si="32"/>
        <v>1.1562576875979684</v>
      </c>
      <c r="V106" s="382">
        <f t="shared" si="33"/>
        <v>50.278740205825564</v>
      </c>
      <c r="W106" s="400">
        <f t="shared" si="34"/>
        <v>16.67843578828484</v>
      </c>
      <c r="X106" s="157">
        <f t="shared" si="35"/>
        <v>45749</v>
      </c>
      <c r="Y106" s="383">
        <f t="shared" si="36"/>
        <v>16.540155085728632</v>
      </c>
      <c r="Z106" s="383">
        <f t="shared" si="37"/>
        <v>17.276931541628201</v>
      </c>
      <c r="AA106" s="384">
        <f t="shared" si="38"/>
        <v>18.48412830273876</v>
      </c>
      <c r="AB106" s="197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6.5309910282958392E-2</v>
      </c>
      <c r="AD106" s="230">
        <f>(INDEX(Models!$BJ106:$BT106,,AH106)*(1-AF106)+INDEX(Models!$BJ106:$BT106,,AH106+1)*AF106-ERP_i)*AE106*Ramure*Pc/MaxiM</f>
        <v>6.3138554358398453E-3</v>
      </c>
      <c r="AE106" s="304">
        <f t="shared" si="40"/>
        <v>0.7</v>
      </c>
      <c r="AF106" s="177">
        <f t="shared" si="41"/>
        <v>0.22058990985780058</v>
      </c>
      <c r="AG106" s="799">
        <f t="shared" si="49"/>
        <v>1</v>
      </c>
      <c r="AH106" s="176">
        <f t="shared" si="42"/>
        <v>7</v>
      </c>
      <c r="AI106" s="224">
        <f t="shared" si="43"/>
        <v>1.2205899098578006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45750</v>
      </c>
      <c r="B107" s="409">
        <f>'2024'!Wh/'2024'!Env_an*'2025'!Env_an</f>
        <v>31.029772193694576</v>
      </c>
      <c r="C107" s="829"/>
      <c r="D107" s="391">
        <f t="shared" si="25"/>
        <v>32.412605660637354</v>
      </c>
      <c r="E107" s="383">
        <f t="shared" si="47"/>
        <v>34.392304801310388</v>
      </c>
      <c r="F107" s="383">
        <f t="shared" si="26"/>
        <v>34.48514266017694</v>
      </c>
      <c r="G107" s="110">
        <f t="shared" si="48"/>
        <v>0.61246372758078349</v>
      </c>
      <c r="H107" s="412" t="b">
        <f>Wh_hp&gt;='2024'!Maxi_hp</f>
        <v>0</v>
      </c>
      <c r="I107" s="388">
        <f>IF(H107,Wh_hp,'2024'!Maxi_hp)</f>
        <v>44.063854252234997</v>
      </c>
      <c r="J107" s="85">
        <f>IF(H107,An,'2024'!An_max)</f>
        <v>2021</v>
      </c>
      <c r="K107" s="197">
        <f t="shared" si="27"/>
        <v>45750</v>
      </c>
      <c r="L107" s="147">
        <f>IF(t&lt;Tvie,1-EXP((T0-t)*PertePVj)+'2024'!Pspv,1-EXP((T0-t)*PertePVj)+Pspv)</f>
        <v>4.2663446481938538E-2</v>
      </c>
      <c r="M107" s="832"/>
      <c r="N107" s="832"/>
      <c r="O107" s="48">
        <f>IF(t&lt;Tnet,'2024'!Resal+('2024'!Salim-'2024'!Resal)*(1-EXP(('2024'!Tnet-t)/('2024'!Tau_j))),Resal+(Salim-Resal)*(1-EXP((Tnet-t)/(Tau_j))))*Salcycl</f>
        <v>5.7562270167994249E-2</v>
      </c>
      <c r="P107" s="169">
        <f>(INDEX(Models!$BJ107:$BT107,,T107)*(1-R107)+INDEX(Models!$BJ107:$BT107,,T107+1)*R107-ERP_i)*Q107*Ramure*Pc/MaxiM</f>
        <v>5.9920389300300936E-3</v>
      </c>
      <c r="Q107" s="304">
        <f t="shared" si="28"/>
        <v>0.7</v>
      </c>
      <c r="R107" s="177">
        <f t="shared" si="29"/>
        <v>0.15713575544181935</v>
      </c>
      <c r="S107" s="799">
        <f t="shared" si="30"/>
        <v>1</v>
      </c>
      <c r="T107" s="176">
        <f t="shared" si="31"/>
        <v>7</v>
      </c>
      <c r="U107" s="250">
        <f t="shared" si="32"/>
        <v>1.1571357554418193</v>
      </c>
      <c r="V107" s="382">
        <f t="shared" si="33"/>
        <v>50.496214563829994</v>
      </c>
      <c r="W107" s="400">
        <f t="shared" si="34"/>
        <v>31.029772193694576</v>
      </c>
      <c r="X107" s="157">
        <f t="shared" si="35"/>
        <v>45750</v>
      </c>
      <c r="Y107" s="383">
        <f t="shared" si="36"/>
        <v>30.769321295132141</v>
      </c>
      <c r="Z107" s="383">
        <f t="shared" si="37"/>
        <v>32.140547837706308</v>
      </c>
      <c r="AA107" s="384">
        <f t="shared" si="38"/>
        <v>34.388047659949073</v>
      </c>
      <c r="AB107" s="197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6.5357005563894677E-2</v>
      </c>
      <c r="AD107" s="230">
        <f>(INDEX(Models!$BJ107:$BT107,,AH107)*(1-AF107)+INDEX(Models!$BJ107:$BT107,,AH107+1)*AF107-ERP_i)*AE107*Ramure*Pc/MaxiM</f>
        <v>6.2668078344303322E-3</v>
      </c>
      <c r="AE107" s="304">
        <f t="shared" si="40"/>
        <v>0.7</v>
      </c>
      <c r="AF107" s="177">
        <f t="shared" si="41"/>
        <v>0.2214679777016515</v>
      </c>
      <c r="AG107" s="799">
        <f t="shared" si="49"/>
        <v>1</v>
      </c>
      <c r="AH107" s="176">
        <f t="shared" si="42"/>
        <v>7</v>
      </c>
      <c r="AI107" s="224">
        <f t="shared" si="43"/>
        <v>1.2214679777016515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45751</v>
      </c>
      <c r="B108" s="409">
        <f>'2024'!Wh/'2024'!Env_an*'2025'!Env_an</f>
        <v>42.969619452168388</v>
      </c>
      <c r="C108" s="829"/>
      <c r="D108" s="391">
        <f t="shared" si="25"/>
        <v>44.885409225204199</v>
      </c>
      <c r="E108" s="383">
        <f t="shared" si="47"/>
        <v>47.629732982846313</v>
      </c>
      <c r="F108" s="383">
        <f t="shared" si="26"/>
        <v>47.851350363983983</v>
      </c>
      <c r="G108" s="110">
        <f t="shared" si="48"/>
        <v>0.84631357767584314</v>
      </c>
      <c r="H108" s="412" t="b">
        <f>Wh_hp&gt;='2024'!Maxi_hp</f>
        <v>0</v>
      </c>
      <c r="I108" s="388">
        <f>IF(H108,Wh_hp,'2024'!Maxi_hp)</f>
        <v>54.48441415561728</v>
      </c>
      <c r="J108" s="85">
        <f>IF(H108,An,'2024'!An_max)</f>
        <v>2020</v>
      </c>
      <c r="K108" s="197">
        <f t="shared" si="27"/>
        <v>45751</v>
      </c>
      <c r="L108" s="147">
        <f>IF(t&lt;Tvie,1-EXP((T0-t)*PertePVj)+'2024'!Pspv,1-EXP((T0-t)*PertePVj)+Pspv)</f>
        <v>4.2681793618583153E-2</v>
      </c>
      <c r="M108" s="832"/>
      <c r="N108" s="832"/>
      <c r="O108" s="48">
        <f>IF(t&lt;Tnet,'2024'!Resal+('2024'!Salim-'2024'!Resal)*(1-EXP(('2024'!Tnet-t)/('2024'!Tau_j))),Resal+(Salim-Resal)*(1-EXP((Tnet-t)/(Tau_j))))*Salcycl</f>
        <v>5.7617869884562904E-2</v>
      </c>
      <c r="P108" s="169">
        <f>(INDEX(Models!$BJ108:$BT108,,T108)*(1-R108)+INDEX(Models!$BJ108:$BT108,,T108+1)*R108-ERP_i)*Q108*Ramure*Pc/MaxiM</f>
        <v>5.9223331634027957E-3</v>
      </c>
      <c r="Q108" s="304">
        <f t="shared" si="28"/>
        <v>0.7</v>
      </c>
      <c r="R108" s="177">
        <f t="shared" si="29"/>
        <v>0.15804633626970133</v>
      </c>
      <c r="S108" s="799">
        <f t="shared" si="30"/>
        <v>1</v>
      </c>
      <c r="T108" s="176">
        <f t="shared" si="31"/>
        <v>7</v>
      </c>
      <c r="U108" s="250">
        <f t="shared" si="32"/>
        <v>1.1580463362697013</v>
      </c>
      <c r="V108" s="382">
        <f t="shared" si="33"/>
        <v>50.706842411673335</v>
      </c>
      <c r="W108" s="400">
        <f t="shared" si="34"/>
        <v>42.969619452168388</v>
      </c>
      <c r="X108" s="157">
        <f t="shared" si="35"/>
        <v>45751</v>
      </c>
      <c r="Y108" s="383">
        <f t="shared" si="36"/>
        <v>42.605282690313551</v>
      </c>
      <c r="Z108" s="383">
        <f t="shared" si="37"/>
        <v>44.504828599633527</v>
      </c>
      <c r="AA108" s="384">
        <f t="shared" si="38"/>
        <v>47.61936032981334</v>
      </c>
      <c r="AB108" s="197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6.540473682570401E-2</v>
      </c>
      <c r="AD108" s="230">
        <f>(INDEX(Models!$BJ108:$BT108,,AH108)*(1-AF108)+INDEX(Models!$BJ108:$BT108,,AH108+1)*AF108-ERP_i)*AE108*Ramure*Pc/MaxiM</f>
        <v>6.1995239989515094E-3</v>
      </c>
      <c r="AE108" s="304">
        <f t="shared" si="40"/>
        <v>0.7</v>
      </c>
      <c r="AF108" s="177">
        <f t="shared" si="41"/>
        <v>0.22237855852953348</v>
      </c>
      <c r="AG108" s="799">
        <f t="shared" si="49"/>
        <v>1</v>
      </c>
      <c r="AH108" s="176">
        <f t="shared" si="42"/>
        <v>7</v>
      </c>
      <c r="AI108" s="224">
        <f t="shared" si="43"/>
        <v>1.2223785585295335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45752</v>
      </c>
      <c r="B109" s="409">
        <f>'2024'!Wh/'2024'!Env_an*'2025'!Env_an</f>
        <v>50.819450281365981</v>
      </c>
      <c r="C109" s="829"/>
      <c r="D109" s="391">
        <f t="shared" si="25"/>
        <v>53.086240191022348</v>
      </c>
      <c r="E109" s="383">
        <f t="shared" si="47"/>
        <v>56.335325948115127</v>
      </c>
      <c r="F109" s="383">
        <f t="shared" si="26"/>
        <v>56.665641708867199</v>
      </c>
      <c r="G109" s="110">
        <f t="shared" si="48"/>
        <v>0.99819729630992582</v>
      </c>
      <c r="H109" s="412" t="b">
        <f>Wh_hp&gt;='2024'!Maxi_hp</f>
        <v>0</v>
      </c>
      <c r="I109" s="388">
        <f>IF(H109,Wh_hp,'2024'!Maxi_hp)</f>
        <v>58.465341345603605</v>
      </c>
      <c r="J109" s="85">
        <f>IF(H109,An,'2024'!An_max)</f>
        <v>2020</v>
      </c>
      <c r="K109" s="197">
        <f t="shared" si="27"/>
        <v>45752</v>
      </c>
      <c r="L109" s="147">
        <f>IF(t&lt;Tvie,1-EXP((T0-t)*PertePVj)+'2024'!Pspv,1-EXP((T0-t)*PertePVj)+Pspv)</f>
        <v>4.2700140403609033E-2</v>
      </c>
      <c r="M109" s="832"/>
      <c r="N109" s="832"/>
      <c r="O109" s="48">
        <f>IF(t&lt;Tnet,'2024'!Resal+('2024'!Salim-'2024'!Resal)*(1-EXP(('2024'!Tnet-t)/('2024'!Tau_j))),Resal+(Salim-Resal)*(1-EXP((Tnet-t)/(Tau_j))))*Salcycl</f>
        <v>5.7674038490257228E-2</v>
      </c>
      <c r="P109" s="169">
        <f>(INDEX(Models!$BJ109:$BT109,,T109)*(1-R109)+INDEX(Models!$BJ109:$BT109,,T109+1)*R109-ERP_i)*Q109*Ramure*Pc/MaxiM</f>
        <v>5.8441323236509378E-3</v>
      </c>
      <c r="Q109" s="304">
        <f t="shared" si="28"/>
        <v>0.7</v>
      </c>
      <c r="R109" s="177">
        <f t="shared" si="29"/>
        <v>0.15899045757211638</v>
      </c>
      <c r="S109" s="799">
        <f t="shared" si="30"/>
        <v>1</v>
      </c>
      <c r="T109" s="176">
        <f t="shared" si="31"/>
        <v>7</v>
      </c>
      <c r="U109" s="250">
        <f t="shared" si="32"/>
        <v>1.1589904575721164</v>
      </c>
      <c r="V109" s="382">
        <f t="shared" si="33"/>
        <v>50.910463823171312</v>
      </c>
      <c r="W109" s="400">
        <f t="shared" si="34"/>
        <v>50.819450281365981</v>
      </c>
      <c r="X109" s="157">
        <f t="shared" si="35"/>
        <v>45752</v>
      </c>
      <c r="Y109" s="383">
        <f t="shared" si="36"/>
        <v>50.385835467752024</v>
      </c>
      <c r="Z109" s="383">
        <f t="shared" si="37"/>
        <v>52.633284088222148</v>
      </c>
      <c r="AA109" s="384">
        <f t="shared" si="38"/>
        <v>56.319576462273844</v>
      </c>
      <c r="AB109" s="197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6.5453126703127598E-2</v>
      </c>
      <c r="AD109" s="230">
        <f>(INDEX(Models!$BJ109:$BT109,,AH109)*(1-AF109)+INDEX(Models!$BJ109:$BT109,,AH109+1)*AF109-ERP_i)*AE109*Ramure*Pc/MaxiM</f>
        <v>6.1227810901412711E-3</v>
      </c>
      <c r="AE109" s="304">
        <f t="shared" si="40"/>
        <v>0.7</v>
      </c>
      <c r="AF109" s="177">
        <f t="shared" si="41"/>
        <v>0.22332267983194853</v>
      </c>
      <c r="AG109" s="799">
        <f t="shared" si="49"/>
        <v>1</v>
      </c>
      <c r="AH109" s="176">
        <f t="shared" si="42"/>
        <v>7</v>
      </c>
      <c r="AI109" s="224">
        <f t="shared" si="43"/>
        <v>1.2233226798319485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45753</v>
      </c>
      <c r="B110" s="409">
        <f>'2024'!Wh/'2024'!Env_an*'2025'!Env_an</f>
        <v>11.696034100273577</v>
      </c>
      <c r="C110" s="829"/>
      <c r="D110" s="391">
        <f t="shared" si="25"/>
        <v>12.217967170000421</v>
      </c>
      <c r="E110" s="383">
        <f t="shared" si="47"/>
        <v>12.966535588829595</v>
      </c>
      <c r="F110" s="383">
        <f t="shared" si="26"/>
        <v>12.966535588829595</v>
      </c>
      <c r="G110" s="110">
        <f t="shared" si="48"/>
        <v>0.22753414330539243</v>
      </c>
      <c r="H110" s="412" t="b">
        <f>Wh_hp&gt;='2024'!Maxi_hp</f>
        <v>0</v>
      </c>
      <c r="I110" s="388">
        <f>IF(H110,Wh_hp,'2024'!Maxi_hp)</f>
        <v>59.416138633229195</v>
      </c>
      <c r="J110" s="85">
        <f>IF(H110,An,'2024'!An_max)</f>
        <v>2020</v>
      </c>
      <c r="K110" s="197">
        <f t="shared" si="27"/>
        <v>45753</v>
      </c>
      <c r="L110" s="147">
        <f>IF(t&lt;Tvie,1-EXP((T0-t)*PertePVj)+'2024'!Pspv,1-EXP((T0-t)*PertePVj)+Pspv)</f>
        <v>4.2718486837023062E-2</v>
      </c>
      <c r="M110" s="832"/>
      <c r="N110" s="832"/>
      <c r="O110" s="48">
        <f>IF(t&lt;Tnet,'2024'!Resal+('2024'!Salim-'2024'!Resal)*(1-EXP(('2024'!Tnet-t)/('2024'!Tau_j))),Resal+(Salim-Resal)*(1-EXP((Tnet-t)/(Tau_j))))*Salcycl</f>
        <v>5.7730795839873492E-2</v>
      </c>
      <c r="P110" s="169">
        <f>(INDEX(Models!$BJ110:$BT110,,T110)*(1-R110)+INDEX(Models!$BJ110:$BT110,,T110+1)*R110-ERP_i)*Q110*Ramure*Pc/MaxiM</f>
        <v>5.7573991795686489E-3</v>
      </c>
      <c r="Q110" s="304">
        <f t="shared" si="28"/>
        <v>0.7</v>
      </c>
      <c r="R110" s="177">
        <f t="shared" si="29"/>
        <v>0.1599691651905486</v>
      </c>
      <c r="S110" s="799">
        <f t="shared" si="30"/>
        <v>1</v>
      </c>
      <c r="T110" s="176">
        <f t="shared" si="31"/>
        <v>7</v>
      </c>
      <c r="U110" s="250">
        <f t="shared" si="32"/>
        <v>1.1599691651905486</v>
      </c>
      <c r="V110" s="382">
        <f t="shared" si="33"/>
        <v>51.107474219957481</v>
      </c>
      <c r="W110" s="400">
        <f t="shared" si="34"/>
        <v>11.696034100273577</v>
      </c>
      <c r="X110" s="157">
        <f t="shared" si="35"/>
        <v>45753</v>
      </c>
      <c r="Y110" s="383">
        <f t="shared" si="36"/>
        <v>11.599570610618247</v>
      </c>
      <c r="Z110" s="383">
        <f t="shared" si="37"/>
        <v>12.117199017342168</v>
      </c>
      <c r="AA110" s="384">
        <f t="shared" si="38"/>
        <v>12.966535588829595</v>
      </c>
      <c r="AB110" s="197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6.5502197226768366E-2</v>
      </c>
      <c r="AD110" s="230">
        <f>(INDEX(Models!$BJ110:$BT110,,AH110)*(1-AF110)+INDEX(Models!$BJ110:$BT110,,AH110+1)*AF110-ERP_i)*AE110*Ramure*Pc/MaxiM</f>
        <v>6.0365502330115414E-3</v>
      </c>
      <c r="AE110" s="304">
        <f t="shared" si="40"/>
        <v>0.7</v>
      </c>
      <c r="AF110" s="177">
        <f t="shared" si="41"/>
        <v>0.22430138745038075</v>
      </c>
      <c r="AG110" s="799">
        <f t="shared" si="49"/>
        <v>1</v>
      </c>
      <c r="AH110" s="176">
        <f t="shared" si="42"/>
        <v>7</v>
      </c>
      <c r="AI110" s="224">
        <f t="shared" si="43"/>
        <v>1.2243013874503808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45754</v>
      </c>
      <c r="B111" s="409">
        <f>'2024'!Wh/'2024'!Env_an*'2025'!Env_an</f>
        <v>42.54177015827765</v>
      </c>
      <c r="C111" s="829"/>
      <c r="D111" s="391">
        <f t="shared" si="25"/>
        <v>44.441039435366108</v>
      </c>
      <c r="E111" s="383">
        <f t="shared" si="47"/>
        <v>47.166717299449324</v>
      </c>
      <c r="F111" s="383">
        <f t="shared" si="26"/>
        <v>47.369523471535757</v>
      </c>
      <c r="G111" s="110">
        <f t="shared" si="48"/>
        <v>0.82815229127333145</v>
      </c>
      <c r="H111" s="412" t="b">
        <f>Wh_hp&gt;='2024'!Maxi_hp</f>
        <v>0</v>
      </c>
      <c r="I111" s="388">
        <f>IF(H111,Wh_hp,'2024'!Maxi_hp)</f>
        <v>57.546398916195137</v>
      </c>
      <c r="J111" s="85">
        <f>IF(H111,An,'2024'!An_max)</f>
        <v>2021</v>
      </c>
      <c r="K111" s="197">
        <f t="shared" si="27"/>
        <v>45754</v>
      </c>
      <c r="L111" s="147">
        <f>IF(t&lt;Tvie,1-EXP((T0-t)*PertePVj)+'2024'!Pspv,1-EXP((T0-t)*PertePVj)+Pspv)</f>
        <v>4.2736832918831791E-2</v>
      </c>
      <c r="M111" s="832"/>
      <c r="N111" s="832"/>
      <c r="O111" s="48">
        <f>IF(t&lt;Tnet,'2024'!Resal+('2024'!Salim-'2024'!Resal)*(1-EXP(('2024'!Tnet-t)/('2024'!Tau_j))),Resal+(Salim-Resal)*(1-EXP((Tnet-t)/(Tau_j))))*Salcycl</f>
        <v>5.7788161231967602E-2</v>
      </c>
      <c r="P111" s="169">
        <f>(INDEX(Models!$BJ111:$BT111,,T111)*(1-R111)+INDEX(Models!$BJ111:$BT111,,T111+1)*R111-ERP_i)*Q111*Ramure*Pc/MaxiM</f>
        <v>5.662085871788335E-3</v>
      </c>
      <c r="Q111" s="304">
        <f t="shared" si="28"/>
        <v>0.7</v>
      </c>
      <c r="R111" s="177">
        <f t="shared" si="29"/>
        <v>0.16098352243930769</v>
      </c>
      <c r="S111" s="799">
        <f t="shared" si="30"/>
        <v>1</v>
      </c>
      <c r="T111" s="176">
        <f t="shared" si="31"/>
        <v>7</v>
      </c>
      <c r="U111" s="250">
        <f t="shared" si="32"/>
        <v>1.1609835224393077</v>
      </c>
      <c r="V111" s="382">
        <f t="shared" si="33"/>
        <v>51.298269281484473</v>
      </c>
      <c r="W111" s="400">
        <f t="shared" si="34"/>
        <v>42.54177015827765</v>
      </c>
      <c r="X111" s="157">
        <f t="shared" si="35"/>
        <v>45754</v>
      </c>
      <c r="Y111" s="383">
        <f t="shared" si="36"/>
        <v>42.18229706437188</v>
      </c>
      <c r="Z111" s="383">
        <f t="shared" si="37"/>
        <v>44.06551773321825</v>
      </c>
      <c r="AA111" s="384">
        <f t="shared" si="38"/>
        <v>47.156734572758054</v>
      </c>
      <c r="AB111" s="197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6.5551969777940658E-2</v>
      </c>
      <c r="AD111" s="230">
        <f>(INDEX(Models!$BJ111:$BT111,,AH111)*(1-AF111)+INDEX(Models!$BJ111:$BT111,,AH111+1)*AF111-ERP_i)*AE111*Ramure*Pc/MaxiM</f>
        <v>5.9407906822933256E-3</v>
      </c>
      <c r="AE111" s="304">
        <f t="shared" si="40"/>
        <v>0.7</v>
      </c>
      <c r="AF111" s="177">
        <f t="shared" si="41"/>
        <v>0.22531574469913984</v>
      </c>
      <c r="AG111" s="799">
        <f t="shared" si="49"/>
        <v>1</v>
      </c>
      <c r="AH111" s="176">
        <f t="shared" si="42"/>
        <v>7</v>
      </c>
      <c r="AI111" s="224">
        <f t="shared" si="43"/>
        <v>1.2253157446991398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45755</v>
      </c>
      <c r="B112" s="409">
        <f>'2024'!Wh/'2024'!Env_an*'2025'!Env_an</f>
        <v>37.159910403299079</v>
      </c>
      <c r="C112" s="829"/>
      <c r="D112" s="391">
        <f t="shared" si="25"/>
        <v>38.81965153998469</v>
      </c>
      <c r="E112" s="383">
        <f t="shared" si="47"/>
        <v>41.203091914139627</v>
      </c>
      <c r="F112" s="383">
        <f t="shared" si="26"/>
        <v>41.341547471189294</v>
      </c>
      <c r="G112" s="110">
        <f t="shared" si="48"/>
        <v>0.72018665080075983</v>
      </c>
      <c r="H112" s="412" t="b">
        <f>Wh_hp&gt;='2024'!Maxi_hp</f>
        <v>0</v>
      </c>
      <c r="I112" s="388">
        <f>IF(H112,Wh_hp,'2024'!Maxi_hp)</f>
        <v>58.154414706140663</v>
      </c>
      <c r="J112" s="85">
        <f>IF(H112,An,'2024'!An_max)</f>
        <v>2021</v>
      </c>
      <c r="K112" s="197">
        <f t="shared" si="27"/>
        <v>45755</v>
      </c>
      <c r="L112" s="147">
        <f>IF(t&lt;Tvie,1-EXP((T0-t)*PertePVj)+'2024'!Pspv,1-EXP((T0-t)*PertePVj)+Pspv)</f>
        <v>4.2755178649042103E-2</v>
      </c>
      <c r="M112" s="832"/>
      <c r="N112" s="832"/>
      <c r="O112" s="48">
        <f>IF(t&lt;Tnet,'2024'!Resal+('2024'!Salim-'2024'!Resal)*(1-EXP(('2024'!Tnet-t)/('2024'!Tau_j))),Resal+(Salim-Resal)*(1-EXP((Tnet-t)/(Tau_j))))*Salcycl</f>
        <v>5.7846153369306118E-2</v>
      </c>
      <c r="P112" s="169">
        <f>(INDEX(Models!$BJ112:$BT112,,T112)*(1-R112)+INDEX(Models!$BJ112:$BT112,,T112+1)*R112-ERP_i)*Q112*Ramure*Pc/MaxiM</f>
        <v>5.5581343842335705E-3</v>
      </c>
      <c r="Q112" s="304">
        <f t="shared" si="28"/>
        <v>0.7</v>
      </c>
      <c r="R112" s="177">
        <f t="shared" si="29"/>
        <v>0.16203460910150258</v>
      </c>
      <c r="S112" s="799">
        <f t="shared" si="30"/>
        <v>1</v>
      </c>
      <c r="T112" s="176">
        <f t="shared" si="31"/>
        <v>7</v>
      </c>
      <c r="U112" s="250">
        <f t="shared" si="32"/>
        <v>1.1620346091015026</v>
      </c>
      <c r="V112" s="382">
        <f t="shared" si="33"/>
        <v>51.483244963915304</v>
      </c>
      <c r="W112" s="400">
        <f t="shared" si="34"/>
        <v>37.159910403299079</v>
      </c>
      <c r="X112" s="157">
        <f t="shared" si="35"/>
        <v>45755</v>
      </c>
      <c r="Y112" s="383">
        <f t="shared" si="36"/>
        <v>36.847811354951148</v>
      </c>
      <c r="Z112" s="383">
        <f t="shared" si="37"/>
        <v>38.493612640231262</v>
      </c>
      <c r="AA112" s="384">
        <f t="shared" si="38"/>
        <v>41.196183851311154</v>
      </c>
      <c r="AB112" s="197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6.5602465044680966E-2</v>
      </c>
      <c r="AD112" s="230">
        <f>(INDEX(Models!$BJ112:$BT112,,AH112)*(1-AF112)+INDEX(Models!$BJ112:$BT112,,AH112+1)*AF112-ERP_i)*AE112*Ramure*Pc/MaxiM</f>
        <v>5.8354503862312924E-3</v>
      </c>
      <c r="AE112" s="304">
        <f t="shared" si="40"/>
        <v>0.7</v>
      </c>
      <c r="AF112" s="177">
        <f t="shared" si="41"/>
        <v>0.22636683136133473</v>
      </c>
      <c r="AG112" s="799">
        <f t="shared" si="49"/>
        <v>1</v>
      </c>
      <c r="AH112" s="176">
        <f t="shared" si="42"/>
        <v>7</v>
      </c>
      <c r="AI112" s="224">
        <f t="shared" si="43"/>
        <v>1.2263668313613347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45756</v>
      </c>
      <c r="B113" s="409">
        <f>'2024'!Wh/'2024'!Env_an*'2025'!Env_an</f>
        <v>29.958531398390015</v>
      </c>
      <c r="C113" s="829"/>
      <c r="D113" s="391">
        <f t="shared" si="25"/>
        <v>31.297223959417224</v>
      </c>
      <c r="E113" s="383">
        <f t="shared" si="47"/>
        <v>33.22087156142927</v>
      </c>
      <c r="F113" s="383">
        <f t="shared" si="26"/>
        <v>33.293361320960727</v>
      </c>
      <c r="G113" s="110">
        <f t="shared" si="48"/>
        <v>0.57798666580629421</v>
      </c>
      <c r="H113" s="412" t="b">
        <f>Wh_hp&gt;='2024'!Maxi_hp</f>
        <v>0</v>
      </c>
      <c r="I113" s="388">
        <f>IF(H113,Wh_hp,'2024'!Maxi_hp)</f>
        <v>44.615117230380669</v>
      </c>
      <c r="J113" s="85">
        <f>IF(H113,An,'2024'!An_max)</f>
        <v>2018</v>
      </c>
      <c r="K113" s="197">
        <f t="shared" si="27"/>
        <v>45756</v>
      </c>
      <c r="L113" s="147">
        <f>IF(t&lt;Tvie,1-EXP((T0-t)*PertePVj)+'2024'!Pspv,1-EXP((T0-t)*PertePVj)+Pspv)</f>
        <v>4.2773524027660659E-2</v>
      </c>
      <c r="M113" s="832"/>
      <c r="N113" s="832"/>
      <c r="O113" s="48">
        <f>IF(t&lt;Tnet,'2024'!Resal+('2024'!Salim-'2024'!Resal)*(1-EXP(('2024'!Tnet-t)/('2024'!Tau_j))),Resal+(Salim-Resal)*(1-EXP((Tnet-t)/(Tau_j))))*Salcycl</f>
        <v>5.7904790319994917E-2</v>
      </c>
      <c r="P113" s="169">
        <f>(INDEX(Models!$BJ113:$BT113,,T113)*(1-R113)+INDEX(Models!$BJ113:$BT113,,T113+1)*R113-ERP_i)*Q113*Ramure*Pc/MaxiM</f>
        <v>5.445476995823607E-3</v>
      </c>
      <c r="Q113" s="304">
        <f t="shared" si="28"/>
        <v>0.7</v>
      </c>
      <c r="R113" s="177">
        <f t="shared" si="29"/>
        <v>0.16312352029155552</v>
      </c>
      <c r="S113" s="799">
        <f t="shared" si="30"/>
        <v>1</v>
      </c>
      <c r="T113" s="176">
        <f t="shared" si="31"/>
        <v>7</v>
      </c>
      <c r="U113" s="250">
        <f t="shared" si="32"/>
        <v>1.1631235202915555</v>
      </c>
      <c r="V113" s="382">
        <f t="shared" si="33"/>
        <v>51.662797515999678</v>
      </c>
      <c r="W113" s="400">
        <f t="shared" si="34"/>
        <v>29.958531398390015</v>
      </c>
      <c r="X113" s="157">
        <f t="shared" si="35"/>
        <v>45756</v>
      </c>
      <c r="Y113" s="383">
        <f t="shared" si="36"/>
        <v>29.70884276175067</v>
      </c>
      <c r="Z113" s="383">
        <f t="shared" si="37"/>
        <v>31.036378022842275</v>
      </c>
      <c r="AA113" s="384">
        <f t="shared" si="38"/>
        <v>33.217210922526775</v>
      </c>
      <c r="AB113" s="197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6.5653702978582557E-2</v>
      </c>
      <c r="AD113" s="230">
        <f>(INDEX(Models!$BJ113:$BT113,,AH113)*(1-AF113)+INDEX(Models!$BJ113:$BT113,,AH113+1)*AF113-ERP_i)*AE113*Ramure*Pc/MaxiM</f>
        <v>5.7204665262400155E-3</v>
      </c>
      <c r="AE113" s="304">
        <f t="shared" si="40"/>
        <v>0.7</v>
      </c>
      <c r="AF113" s="177">
        <f t="shared" si="41"/>
        <v>0.22745574255138767</v>
      </c>
      <c r="AG113" s="799">
        <f t="shared" si="49"/>
        <v>1</v>
      </c>
      <c r="AH113" s="176">
        <f t="shared" si="42"/>
        <v>7</v>
      </c>
      <c r="AI113" s="224">
        <f t="shared" si="43"/>
        <v>1.2274557425513877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45757</v>
      </c>
      <c r="B114" s="409">
        <f>'2024'!Wh/'2024'!Env_an*'2025'!Env_an</f>
        <v>54.338037909505303</v>
      </c>
      <c r="C114" s="829"/>
      <c r="D114" s="391">
        <f t="shared" si="25"/>
        <v>56.767213057251112</v>
      </c>
      <c r="E114" s="383">
        <f t="shared" si="47"/>
        <v>60.260137032201143</v>
      </c>
      <c r="F114" s="383">
        <f t="shared" si="26"/>
        <v>60.582831847269297</v>
      </c>
      <c r="G114" s="110">
        <f t="shared" si="48"/>
        <v>1.0482441826576601</v>
      </c>
      <c r="H114" s="412" t="b">
        <f>Wh_hp&gt;='2024'!Maxi_hp</f>
        <v>1</v>
      </c>
      <c r="I114" s="388">
        <f>IF(H114,Wh_hp,'2024'!Maxi_hp)</f>
        <v>60.582831847269297</v>
      </c>
      <c r="J114" s="85">
        <f>IF(H114,An,'2024'!An_max)</f>
        <v>2025</v>
      </c>
      <c r="K114" s="197">
        <f t="shared" si="27"/>
        <v>45757</v>
      </c>
      <c r="L114" s="147">
        <f>IF(t&lt;Tvie,1-EXP((T0-t)*PertePVj)+'2024'!Pspv,1-EXP((T0-t)*PertePVj)+Pspv)</f>
        <v>4.279186905469412E-2</v>
      </c>
      <c r="M114" s="832"/>
      <c r="N114" s="832"/>
      <c r="O114" s="48">
        <f>IF(t&lt;Tnet,'2024'!Resal+('2024'!Salim-'2024'!Resal)*(1-EXP(('2024'!Tnet-t)/('2024'!Tau_j))),Resal+(Salim-Resal)*(1-EXP((Tnet-t)/(Tau_j))))*Salcycl</f>
        <v>5.7964089478978804E-2</v>
      </c>
      <c r="P114" s="169">
        <f>(INDEX(Models!$BJ114:$BT114,,T114)*(1-R114)+INDEX(Models!$BJ114:$BT114,,T114+1)*R114-ERP_i)*Q114*Ramure*Pc/MaxiM</f>
        <v>5.3265059626409926E-3</v>
      </c>
      <c r="Q114" s="304">
        <f t="shared" si="28"/>
        <v>0.7</v>
      </c>
      <c r="R114" s="177">
        <f t="shared" si="29"/>
        <v>0.16425136517662953</v>
      </c>
      <c r="S114" s="799">
        <f t="shared" si="30"/>
        <v>1</v>
      </c>
      <c r="T114" s="176">
        <f t="shared" si="31"/>
        <v>7</v>
      </c>
      <c r="U114" s="250">
        <f t="shared" si="32"/>
        <v>1.1642513651766295</v>
      </c>
      <c r="V114" s="382">
        <f t="shared" si="33"/>
        <v>51.837194814417821</v>
      </c>
      <c r="W114" s="400">
        <f t="shared" si="34"/>
        <v>54.338037909505303</v>
      </c>
      <c r="X114" s="157">
        <f t="shared" si="35"/>
        <v>45757</v>
      </c>
      <c r="Y114" s="383">
        <f t="shared" si="36"/>
        <v>53.876773475592053</v>
      </c>
      <c r="Z114" s="383">
        <f t="shared" si="37"/>
        <v>56.285327854857648</v>
      </c>
      <c r="AA114" s="384">
        <f t="shared" si="38"/>
        <v>60.243681269011844</v>
      </c>
      <c r="AB114" s="197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6.5705702752104245E-2</v>
      </c>
      <c r="AD114" s="230">
        <f>(INDEX(Models!$BJ114:$BT114,,AH114)*(1-AF114)+INDEX(Models!$BJ114:$BT114,,AH114+1)*AF114-ERP_i)*AE114*Ramure*Pc/MaxiM</f>
        <v>5.5981301618989914E-3</v>
      </c>
      <c r="AE114" s="304">
        <f t="shared" si="40"/>
        <v>0.7</v>
      </c>
      <c r="AF114" s="177">
        <f t="shared" si="41"/>
        <v>0.22858358743646168</v>
      </c>
      <c r="AG114" s="799">
        <f t="shared" si="49"/>
        <v>1</v>
      </c>
      <c r="AH114" s="176">
        <f t="shared" si="42"/>
        <v>7</v>
      </c>
      <c r="AI114" s="224">
        <f t="shared" si="43"/>
        <v>1.2285835874364617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45758</v>
      </c>
      <c r="B115" s="409">
        <f>'2024'!Wh/'2024'!Env_an*'2025'!Env_an</f>
        <v>43.352495641992142</v>
      </c>
      <c r="C115" s="829"/>
      <c r="D115" s="391">
        <f t="shared" si="25"/>
        <v>45.291431504859609</v>
      </c>
      <c r="E115" s="383">
        <f t="shared" si="47"/>
        <v>48.081304355706486</v>
      </c>
      <c r="F115" s="383">
        <f t="shared" si="26"/>
        <v>48.27291611146407</v>
      </c>
      <c r="G115" s="110">
        <f t="shared" si="48"/>
        <v>0.83256140462172024</v>
      </c>
      <c r="H115" s="412" t="b">
        <f>Wh_hp&gt;='2024'!Maxi_hp</f>
        <v>0</v>
      </c>
      <c r="I115" s="388">
        <f>IF(H115,Wh_hp,'2024'!Maxi_hp)</f>
        <v>58.211509097292016</v>
      </c>
      <c r="J115" s="85">
        <f>IF(H115,An,'2024'!An_max)</f>
        <v>2020</v>
      </c>
      <c r="K115" s="197">
        <f t="shared" si="27"/>
        <v>45758</v>
      </c>
      <c r="L115" s="147">
        <f>IF(t&lt;Tvie,1-EXP((T0-t)*PertePVj)+'2024'!Pspv,1-EXP((T0-t)*PertePVj)+Pspv)</f>
        <v>4.2810213730149482E-2</v>
      </c>
      <c r="M115" s="832"/>
      <c r="N115" s="832"/>
      <c r="O115" s="48">
        <f>IF(t&lt;Tnet,'2024'!Resal+('2024'!Salim-'2024'!Resal)*(1-EXP(('2024'!Tnet-t)/('2024'!Tau_j))),Resal+(Salim-Resal)*(1-EXP((Tnet-t)/(Tau_j))))*Salcycl</f>
        <v>5.8024067529602291E-2</v>
      </c>
      <c r="P115" s="169">
        <f>(INDEX(Models!$BJ115:$BT115,,T115)*(1-R115)+INDEX(Models!$BJ115:$BT115,,T115+1)*R115-ERP_i)*Q115*Ramure*Pc/MaxiM</f>
        <v>5.2071845316005875E-3</v>
      </c>
      <c r="Q115" s="304">
        <f t="shared" si="28"/>
        <v>0.7</v>
      </c>
      <c r="R115" s="177">
        <f t="shared" si="29"/>
        <v>0.16541926554934716</v>
      </c>
      <c r="S115" s="799">
        <f t="shared" si="30"/>
        <v>1</v>
      </c>
      <c r="T115" s="176">
        <f t="shared" si="31"/>
        <v>7</v>
      </c>
      <c r="U115" s="250">
        <f t="shared" si="32"/>
        <v>1.1654192655493472</v>
      </c>
      <c r="V115" s="382">
        <f t="shared" si="33"/>
        <v>52.00651629888835</v>
      </c>
      <c r="W115" s="400">
        <f t="shared" si="34"/>
        <v>43.352495641992142</v>
      </c>
      <c r="X115" s="157">
        <f t="shared" si="35"/>
        <v>45758</v>
      </c>
      <c r="Y115" s="383">
        <f t="shared" si="36"/>
        <v>42.987720015788639</v>
      </c>
      <c r="Z115" s="383">
        <f t="shared" si="37"/>
        <v>44.910341326677674</v>
      </c>
      <c r="AA115" s="384">
        <f t="shared" si="38"/>
        <v>48.071446725296248</v>
      </c>
      <c r="AB115" s="197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6.5758482716001335E-2</v>
      </c>
      <c r="AD115" s="230">
        <f>(INDEX(Models!$BJ115:$BT115,,AH115)*(1-AF115)+INDEX(Models!$BJ115:$BT115,,AH115+1)*AF115-ERP_i)*AE115*Ramure*Pc/MaxiM</f>
        <v>5.4750725867329609E-3</v>
      </c>
      <c r="AE115" s="304">
        <f t="shared" si="40"/>
        <v>0.7</v>
      </c>
      <c r="AF115" s="177">
        <f t="shared" si="41"/>
        <v>0.22975148780917931</v>
      </c>
      <c r="AG115" s="799">
        <f t="shared" si="49"/>
        <v>1</v>
      </c>
      <c r="AH115" s="176">
        <f t="shared" si="42"/>
        <v>7</v>
      </c>
      <c r="AI115" s="224">
        <f t="shared" si="43"/>
        <v>1.2297514878091793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45759</v>
      </c>
      <c r="B116" s="409">
        <f>'2024'!Wh/'2024'!Env_an*'2025'!Env_an</f>
        <v>38.029657440195201</v>
      </c>
      <c r="C116" s="829"/>
      <c r="D116" s="391">
        <f t="shared" si="25"/>
        <v>39.731291358713577</v>
      </c>
      <c r="E116" s="383">
        <f t="shared" si="47"/>
        <v>42.181386227667524</v>
      </c>
      <c r="F116" s="383">
        <f t="shared" si="26"/>
        <v>42.313294349256431</v>
      </c>
      <c r="G116" s="110">
        <f t="shared" si="48"/>
        <v>0.7274997937067369</v>
      </c>
      <c r="H116" s="412" t="b">
        <f>Wh_hp&gt;='2024'!Maxi_hp</f>
        <v>0</v>
      </c>
      <c r="I116" s="388">
        <f>IF(H116,Wh_hp,'2024'!Maxi_hp)</f>
        <v>57.589141732142863</v>
      </c>
      <c r="J116" s="85">
        <f>IF(H116,An,'2024'!An_max)</f>
        <v>2020</v>
      </c>
      <c r="K116" s="197">
        <f t="shared" si="27"/>
        <v>45759</v>
      </c>
      <c r="L116" s="147">
        <f>IF(t&lt;Tvie,1-EXP((T0-t)*PertePVj)+'2024'!Pspv,1-EXP((T0-t)*PertePVj)+Pspv)</f>
        <v>4.2828558054033294E-2</v>
      </c>
      <c r="M116" s="832"/>
      <c r="N116" s="832"/>
      <c r="O116" s="48">
        <f>IF(t&lt;Tnet,'2024'!Resal+('2024'!Salim-'2024'!Resal)*(1-EXP(('2024'!Tnet-t)/('2024'!Tau_j))),Resal+(Salim-Resal)*(1-EXP((Tnet-t)/(Tau_j))))*Salcycl</f>
        <v>5.8084740404925055E-2</v>
      </c>
      <c r="P116" s="169">
        <f>(INDEX(Models!$BJ116:$BT116,,T116)*(1-R116)+INDEX(Models!$BJ116:$BT116,,T116+1)*R116-ERP_i)*Q116*Ramure*Pc/MaxiM</f>
        <v>5.0874001715478078E-3</v>
      </c>
      <c r="Q116" s="304">
        <f t="shared" si="28"/>
        <v>0.7</v>
      </c>
      <c r="R116" s="177">
        <f t="shared" si="29"/>
        <v>0.16662835424424971</v>
      </c>
      <c r="S116" s="799">
        <f t="shared" si="30"/>
        <v>1</v>
      </c>
      <c r="T116" s="176">
        <f t="shared" si="31"/>
        <v>7</v>
      </c>
      <c r="U116" s="250">
        <f t="shared" si="32"/>
        <v>1.1666283542442497</v>
      </c>
      <c r="V116" s="382">
        <f t="shared" si="33"/>
        <v>52.171156126288892</v>
      </c>
      <c r="W116" s="400">
        <f t="shared" si="34"/>
        <v>38.029657440195201</v>
      </c>
      <c r="X116" s="157">
        <f t="shared" si="35"/>
        <v>45759</v>
      </c>
      <c r="Y116" s="383">
        <f t="shared" si="36"/>
        <v>37.711552668913953</v>
      </c>
      <c r="Z116" s="383">
        <f t="shared" si="37"/>
        <v>39.398953015402235</v>
      </c>
      <c r="AA116" s="384">
        <f t="shared" si="38"/>
        <v>42.174546837372745</v>
      </c>
      <c r="AB116" s="197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6.5812060356530852E-2</v>
      </c>
      <c r="AD116" s="230">
        <f>(INDEX(Models!$BJ116:$BT116,,AH116)*(1-AF116)+INDEX(Models!$BJ116:$BT116,,AH116+1)*AF116-ERP_i)*AE116*Ramure*Pc/MaxiM</f>
        <v>5.3511801036689143E-3</v>
      </c>
      <c r="AE116" s="304">
        <f t="shared" si="40"/>
        <v>0.7</v>
      </c>
      <c r="AF116" s="177">
        <f t="shared" si="41"/>
        <v>0.23096057650408186</v>
      </c>
      <c r="AG116" s="799">
        <f t="shared" si="49"/>
        <v>1</v>
      </c>
      <c r="AH116" s="176">
        <f t="shared" si="42"/>
        <v>7</v>
      </c>
      <c r="AI116" s="224">
        <f t="shared" si="43"/>
        <v>1.2309605765040819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45760</v>
      </c>
      <c r="B117" s="409">
        <f>'2024'!Wh/'2024'!Env_an*'2025'!Env_an</f>
        <v>5.8933536685960979</v>
      </c>
      <c r="C117" s="829"/>
      <c r="D117" s="391">
        <f t="shared" si="25"/>
        <v>6.1571692982791273</v>
      </c>
      <c r="E117" s="383">
        <f t="shared" si="47"/>
        <v>6.5372872058619897</v>
      </c>
      <c r="F117" s="383">
        <f t="shared" si="26"/>
        <v>6.5372872058619897</v>
      </c>
      <c r="G117" s="110">
        <f t="shared" si="48"/>
        <v>0.1120564129869288</v>
      </c>
      <c r="H117" s="412" t="b">
        <f>Wh_hp&gt;='2024'!Maxi_hp</f>
        <v>0</v>
      </c>
      <c r="I117" s="388">
        <f>IF(H117,Wh_hp,'2024'!Maxi_hp)</f>
        <v>56.994672036100951</v>
      </c>
      <c r="J117" s="85">
        <f>IF(H117,An,'2024'!An_max)</f>
        <v>2018</v>
      </c>
      <c r="K117" s="197">
        <f t="shared" si="27"/>
        <v>45760</v>
      </c>
      <c r="L117" s="147">
        <f>IF(t&lt;Tvie,1-EXP((T0-t)*PertePVj)+'2024'!Pspv,1-EXP((T0-t)*PertePVj)+Pspv)</f>
        <v>4.2846902026352218E-2</v>
      </c>
      <c r="M117" s="832"/>
      <c r="N117" s="832"/>
      <c r="O117" s="48">
        <f>IF(t&lt;Tnet,'2024'!Resal+('2024'!Salim-'2024'!Resal)*(1-EXP(('2024'!Tnet-t)/('2024'!Tau_j))),Resal+(Salim-Resal)*(1-EXP((Tnet-t)/(Tau_j))))*Salcycl</f>
        <v>5.8146123248495205E-2</v>
      </c>
      <c r="P117" s="169">
        <f>(INDEX(Models!$BJ117:$BT117,,T117)*(1-R117)+INDEX(Models!$BJ117:$BT117,,T117+1)*R117-ERP_i)*Q117*Ramure*Pc/MaxiM</f>
        <v>4.9670418433267957E-3</v>
      </c>
      <c r="Q117" s="304">
        <f t="shared" si="28"/>
        <v>0.7</v>
      </c>
      <c r="R117" s="177">
        <f t="shared" si="29"/>
        <v>0.16787977339058702</v>
      </c>
      <c r="S117" s="799">
        <f t="shared" si="30"/>
        <v>1</v>
      </c>
      <c r="T117" s="176">
        <f t="shared" si="31"/>
        <v>7</v>
      </c>
      <c r="U117" s="250">
        <f t="shared" si="32"/>
        <v>1.167879773390587</v>
      </c>
      <c r="V117" s="382">
        <f t="shared" si="33"/>
        <v>52.331508550168337</v>
      </c>
      <c r="W117" s="400">
        <f t="shared" si="34"/>
        <v>5.8933536685960979</v>
      </c>
      <c r="X117" s="157">
        <f t="shared" si="35"/>
        <v>45760</v>
      </c>
      <c r="Y117" s="383">
        <f t="shared" si="36"/>
        <v>5.8450461440647379</v>
      </c>
      <c r="Z117" s="383">
        <f t="shared" si="37"/>
        <v>6.1066992902588533</v>
      </c>
      <c r="AA117" s="384">
        <f t="shared" si="38"/>
        <v>6.5372872058619897</v>
      </c>
      <c r="AB117" s="197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6.5866452252094393E-2</v>
      </c>
      <c r="AD117" s="230">
        <f>(INDEX(Models!$BJ117:$BT117,,AH117)*(1-AF117)+INDEX(Models!$BJ117:$BT117,,AH117+1)*AF117-ERP_i)*AE117*Ramure*Pc/MaxiM</f>
        <v>5.2263402698841345E-3</v>
      </c>
      <c r="AE117" s="304">
        <f t="shared" si="40"/>
        <v>0.7</v>
      </c>
      <c r="AF117" s="177">
        <f t="shared" si="41"/>
        <v>0.23221199565041917</v>
      </c>
      <c r="AG117" s="799">
        <f t="shared" si="49"/>
        <v>1</v>
      </c>
      <c r="AH117" s="176">
        <f t="shared" si="42"/>
        <v>7</v>
      </c>
      <c r="AI117" s="224">
        <f t="shared" si="43"/>
        <v>1.2322119956504192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45761</v>
      </c>
      <c r="B118" s="409">
        <f>'2024'!Wh/'2024'!Env_an*'2025'!Env_an</f>
        <v>42.56300885134555</v>
      </c>
      <c r="C118" s="829"/>
      <c r="D118" s="391">
        <f t="shared" si="25"/>
        <v>44.469191676277759</v>
      </c>
      <c r="E118" s="383">
        <f t="shared" si="47"/>
        <v>47.217647372254412</v>
      </c>
      <c r="F118" s="383">
        <f t="shared" si="26"/>
        <v>47.385246886471052</v>
      </c>
      <c r="G118" s="110">
        <f t="shared" si="48"/>
        <v>0.80984453976971871</v>
      </c>
      <c r="H118" s="412" t="b">
        <f>Wh_hp&gt;='2024'!Maxi_hp</f>
        <v>0</v>
      </c>
      <c r="I118" s="388">
        <f>IF(H118,Wh_hp,'2024'!Maxi_hp)</f>
        <v>57.747438215709053</v>
      </c>
      <c r="J118" s="85">
        <f>IF(H118,An,'2024'!An_max)</f>
        <v>2021</v>
      </c>
      <c r="K118" s="197">
        <f t="shared" si="27"/>
        <v>45761</v>
      </c>
      <c r="L118" s="147">
        <f>IF(t&lt;Tvie,1-EXP((T0-t)*PertePVj)+'2024'!Pspv,1-EXP((T0-t)*PertePVj)+Pspv)</f>
        <v>4.2865245647113248E-2</v>
      </c>
      <c r="M118" s="832"/>
      <c r="N118" s="832"/>
      <c r="O118" s="48">
        <f>IF(t&lt;Tnet,'2024'!Resal+('2024'!Salim-'2024'!Resal)*(1-EXP(('2024'!Tnet-t)/('2024'!Tau_j))),Resal+(Salim-Resal)*(1-EXP((Tnet-t)/(Tau_j))))*Salcycl</f>
        <v>5.8208230374300063E-2</v>
      </c>
      <c r="P118" s="169">
        <f>(INDEX(Models!$BJ118:$BT118,,T118)*(1-R118)+INDEX(Models!$BJ118:$BT118,,T118+1)*R118-ERP_i)*Q118*Ramure*Pc/MaxiM</f>
        <v>4.8459998218328467E-3</v>
      </c>
      <c r="Q118" s="304">
        <f t="shared" si="28"/>
        <v>0.7</v>
      </c>
      <c r="R118" s="177">
        <f t="shared" si="29"/>
        <v>0.16917467249423801</v>
      </c>
      <c r="S118" s="799">
        <f t="shared" si="30"/>
        <v>1</v>
      </c>
      <c r="T118" s="176">
        <f t="shared" si="31"/>
        <v>7</v>
      </c>
      <c r="U118" s="250">
        <f t="shared" si="32"/>
        <v>1.169174672494238</v>
      </c>
      <c r="V118" s="382">
        <f t="shared" si="33"/>
        <v>52.487967919089378</v>
      </c>
      <c r="W118" s="400">
        <f t="shared" si="34"/>
        <v>42.56300885134555</v>
      </c>
      <c r="X118" s="157">
        <f t="shared" si="35"/>
        <v>45761</v>
      </c>
      <c r="Y118" s="383">
        <f t="shared" si="36"/>
        <v>42.206542710686008</v>
      </c>
      <c r="Z118" s="383">
        <f t="shared" si="37"/>
        <v>44.096761212293046</v>
      </c>
      <c r="AA118" s="384">
        <f t="shared" si="38"/>
        <v>47.208847466247924</v>
      </c>
      <c r="AB118" s="197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6.5921674029002092E-2</v>
      </c>
      <c r="AD118" s="230">
        <f>(INDEX(Models!$BJ118:$BT118,,AH118)*(1-AF118)+INDEX(Models!$BJ118:$BT118,,AH118+1)*AF118-ERP_i)*AE118*Ramure*Pc/MaxiM</f>
        <v>5.100441746315112E-3</v>
      </c>
      <c r="AE118" s="304">
        <f t="shared" si="40"/>
        <v>0.7</v>
      </c>
      <c r="AF118" s="177">
        <f t="shared" si="41"/>
        <v>0.23350689475407016</v>
      </c>
      <c r="AG118" s="799">
        <f t="shared" si="49"/>
        <v>1</v>
      </c>
      <c r="AH118" s="176">
        <f t="shared" si="42"/>
        <v>7</v>
      </c>
      <c r="AI118" s="224">
        <f t="shared" si="43"/>
        <v>1.2335068947540702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45762</v>
      </c>
      <c r="B119" s="409">
        <f>'2024'!Wh/'2024'!Env_an*'2025'!Env_an</f>
        <v>43.556745301048068</v>
      </c>
      <c r="C119" s="829"/>
      <c r="D119" s="391">
        <f t="shared" si="25"/>
        <v>45.508304733519047</v>
      </c>
      <c r="E119" s="383">
        <f t="shared" si="47"/>
        <v>48.324208311242863</v>
      </c>
      <c r="F119" s="383">
        <f t="shared" si="26"/>
        <v>48.496834328670978</v>
      </c>
      <c r="G119" s="110">
        <f t="shared" si="48"/>
        <v>0.8264640748815002</v>
      </c>
      <c r="H119" s="412" t="b">
        <f>Wh_hp&gt;='2024'!Maxi_hp</f>
        <v>0</v>
      </c>
      <c r="I119" s="388">
        <f>IF(H119,Wh_hp,'2024'!Maxi_hp)</f>
        <v>58.651705388898215</v>
      </c>
      <c r="J119" s="85">
        <f>IF(H119,An,'2024'!An_max)</f>
        <v>2021</v>
      </c>
      <c r="K119" s="197">
        <f t="shared" si="27"/>
        <v>45762</v>
      </c>
      <c r="L119" s="147">
        <f>IF(t&lt;Tvie,1-EXP((T0-t)*PertePVj)+'2024'!Pspv,1-EXP((T0-t)*PertePVj)+Pspv)</f>
        <v>4.2883588916322823E-2</v>
      </c>
      <c r="M119" s="832"/>
      <c r="N119" s="832"/>
      <c r="O119" s="48">
        <f>IF(t&lt;Tnet,'2024'!Resal+('2024'!Salim-'2024'!Resal)*(1-EXP(('2024'!Tnet-t)/('2024'!Tau_j))),Resal+(Salim-Resal)*(1-EXP((Tnet-t)/(Tau_j))))*Salcycl</f>
        <v>5.827107522563757E-2</v>
      </c>
      <c r="P119" s="169">
        <f>(INDEX(Models!$BJ119:$BT119,,T119)*(1-R119)+INDEX(Models!$BJ119:$BT119,,T119+1)*R119-ERP_i)*Q119*Ramure*Pc/MaxiM</f>
        <v>4.7241655387795737E-3</v>
      </c>
      <c r="Q119" s="304">
        <f t="shared" si="28"/>
        <v>0.7</v>
      </c>
      <c r="R119" s="177">
        <f t="shared" si="29"/>
        <v>0.17051420634186321</v>
      </c>
      <c r="S119" s="799">
        <f t="shared" si="30"/>
        <v>1</v>
      </c>
      <c r="T119" s="176">
        <f t="shared" si="31"/>
        <v>7</v>
      </c>
      <c r="U119" s="250">
        <f t="shared" si="32"/>
        <v>1.1705142063418632</v>
      </c>
      <c r="V119" s="382">
        <f t="shared" si="33"/>
        <v>52.640928687090103</v>
      </c>
      <c r="W119" s="400">
        <f t="shared" si="34"/>
        <v>43.556745301048068</v>
      </c>
      <c r="X119" s="157">
        <f t="shared" si="35"/>
        <v>45762</v>
      </c>
      <c r="Y119" s="383">
        <f t="shared" si="36"/>
        <v>43.192156669647609</v>
      </c>
      <c r="Z119" s="383">
        <f t="shared" si="37"/>
        <v>45.127380713014936</v>
      </c>
      <c r="AA119" s="384">
        <f t="shared" si="38"/>
        <v>48.315101963721688</v>
      </c>
      <c r="AB119" s="197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6.5977740316067415E-2</v>
      </c>
      <c r="AD119" s="230">
        <f>(INDEX(Models!$BJ119:$BT119,,AH119)*(1-AF119)+INDEX(Models!$BJ119:$BT119,,AH119+1)*AF119-ERP_i)*AE119*Ramure*Pc/MaxiM</f>
        <v>4.9733741678416807E-3</v>
      </c>
      <c r="AE119" s="304">
        <f t="shared" si="40"/>
        <v>0.7</v>
      </c>
      <c r="AF119" s="177">
        <f t="shared" si="41"/>
        <v>0.23484642860169536</v>
      </c>
      <c r="AG119" s="799">
        <f t="shared" si="49"/>
        <v>1</v>
      </c>
      <c r="AH119" s="176">
        <f t="shared" si="42"/>
        <v>7</v>
      </c>
      <c r="AI119" s="224">
        <f t="shared" si="43"/>
        <v>1.2348464286016954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45763</v>
      </c>
      <c r="B120" s="409">
        <f>'2024'!Wh/'2024'!Env_an*'2025'!Env_an</f>
        <v>35.642279712749989</v>
      </c>
      <c r="C120" s="829"/>
      <c r="D120" s="391">
        <f t="shared" si="25"/>
        <v>37.239945307848757</v>
      </c>
      <c r="E120" s="383">
        <f t="shared" si="47"/>
        <v>39.546900724278785</v>
      </c>
      <c r="F120" s="383">
        <f t="shared" si="26"/>
        <v>39.64466887511071</v>
      </c>
      <c r="G120" s="110">
        <f t="shared" si="48"/>
        <v>0.67371575523541793</v>
      </c>
      <c r="H120" s="412" t="b">
        <f>Wh_hp&gt;='2024'!Maxi_hp</f>
        <v>0</v>
      </c>
      <c r="I120" s="388">
        <f>IF(H120,Wh_hp,'2024'!Maxi_hp)</f>
        <v>57.771393300679215</v>
      </c>
      <c r="J120" s="85">
        <f>IF(H120,An,'2024'!An_max)</f>
        <v>2020</v>
      </c>
      <c r="K120" s="197">
        <f t="shared" si="27"/>
        <v>45763</v>
      </c>
      <c r="L120" s="147">
        <f>IF(t&lt;Tvie,1-EXP((T0-t)*PertePVj)+'2024'!Pspv,1-EXP((T0-t)*PertePVj)+Pspv)</f>
        <v>4.2901931833987939E-2</v>
      </c>
      <c r="M120" s="832"/>
      <c r="N120" s="832"/>
      <c r="O120" s="48">
        <f>IF(t&lt;Tnet,'2024'!Resal+('2024'!Salim-'2024'!Resal)*(1-EXP(('2024'!Tnet-t)/('2024'!Tau_j))),Resal+(Salim-Resal)*(1-EXP((Tnet-t)/(Tau_j))))*Salcycl</f>
        <v>5.8334670332680069E-2</v>
      </c>
      <c r="P120" s="169">
        <f>(INDEX(Models!$BJ120:$BT120,,T120)*(1-R120)+INDEX(Models!$BJ120:$BT120,,T120+1)*R120-ERP_i)*Q120*Ramure*Pc/MaxiM</f>
        <v>4.6014314471121099E-3</v>
      </c>
      <c r="Q120" s="304">
        <f t="shared" si="28"/>
        <v>0.7</v>
      </c>
      <c r="R120" s="177">
        <f t="shared" si="29"/>
        <v>0.17189953272077707</v>
      </c>
      <c r="S120" s="799">
        <f t="shared" si="30"/>
        <v>1</v>
      </c>
      <c r="T120" s="176">
        <f t="shared" si="31"/>
        <v>7</v>
      </c>
      <c r="U120" s="250">
        <f t="shared" si="32"/>
        <v>1.1718995327207771</v>
      </c>
      <c r="V120" s="382">
        <f t="shared" si="33"/>
        <v>52.790785417805623</v>
      </c>
      <c r="W120" s="400">
        <f t="shared" si="34"/>
        <v>35.642279712749989</v>
      </c>
      <c r="X120" s="157">
        <f t="shared" si="35"/>
        <v>45763</v>
      </c>
      <c r="Y120" s="383">
        <f t="shared" si="36"/>
        <v>35.346206296958954</v>
      </c>
      <c r="Z120" s="383">
        <f t="shared" si="37"/>
        <v>36.930600397814224</v>
      </c>
      <c r="AA120" s="384">
        <f t="shared" si="38"/>
        <v>39.541724946208809</v>
      </c>
      <c r="AB120" s="197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6.6034664697776108E-2</v>
      </c>
      <c r="AD120" s="230">
        <f>(INDEX(Models!$BJ120:$BT120,,AH120)*(1-AF120)+INDEX(Models!$BJ120:$BT120,,AH120+1)*AF120-ERP_i)*AE120*Ramure*Pc/MaxiM</f>
        <v>4.8450280352831179E-3</v>
      </c>
      <c r="AE120" s="304">
        <f t="shared" si="40"/>
        <v>0.7</v>
      </c>
      <c r="AF120" s="177">
        <f t="shared" si="41"/>
        <v>0.23623175498060922</v>
      </c>
      <c r="AG120" s="799">
        <f t="shared" si="49"/>
        <v>1</v>
      </c>
      <c r="AH120" s="176">
        <f t="shared" si="42"/>
        <v>7</v>
      </c>
      <c r="AI120" s="224">
        <f t="shared" si="43"/>
        <v>1.2362317549806092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45764</v>
      </c>
      <c r="B121" s="409">
        <f>'2024'!Wh/'2024'!Env_an*'2025'!Env_an</f>
        <v>52.489722346347399</v>
      </c>
      <c r="C121" s="829"/>
      <c r="D121" s="391">
        <f t="shared" si="25"/>
        <v>54.843625815443474</v>
      </c>
      <c r="E121" s="383">
        <f t="shared" si="47"/>
        <v>58.245081944158649</v>
      </c>
      <c r="F121" s="383">
        <f t="shared" si="26"/>
        <v>58.503892447625873</v>
      </c>
      <c r="G121" s="110">
        <f t="shared" si="48"/>
        <v>0.99150580242156627</v>
      </c>
      <c r="H121" s="412" t="b">
        <f>Wh_hp&gt;='2024'!Maxi_hp</f>
        <v>0</v>
      </c>
      <c r="I121" s="388">
        <f>IF(H121,Wh_hp,'2024'!Maxi_hp)</f>
        <v>58.506000012119351</v>
      </c>
      <c r="J121" s="85">
        <f>IF(H121,An,'2024'!An_max)</f>
        <v>2022</v>
      </c>
      <c r="K121" s="197">
        <f t="shared" si="27"/>
        <v>45764</v>
      </c>
      <c r="L121" s="147">
        <f>IF(t&lt;Tvie,1-EXP((T0-t)*PertePVj)+'2024'!Pspv,1-EXP((T0-t)*PertePVj)+Pspv)</f>
        <v>4.2920274400115144E-2</v>
      </c>
      <c r="M121" s="832"/>
      <c r="N121" s="832"/>
      <c r="O121" s="48">
        <f>IF(t&lt;Tnet,'2024'!Resal+('2024'!Salim-'2024'!Resal)*(1-EXP(('2024'!Tnet-t)/('2024'!Tau_j))),Resal+(Salim-Resal)*(1-EXP((Tnet-t)/(Tau_j))))*Salcycl</f>
        <v>5.8399027268538448E-2</v>
      </c>
      <c r="P121" s="169">
        <f>(INDEX(Models!$BJ121:$BT121,,T121)*(1-R121)+INDEX(Models!$BJ121:$BT121,,T121+1)*R121-ERP_i)*Q121*Ramure*Pc/MaxiM</f>
        <v>4.4778091111401215E-3</v>
      </c>
      <c r="Q121" s="304">
        <f t="shared" si="28"/>
        <v>0.7</v>
      </c>
      <c r="R121" s="177">
        <f t="shared" si="29"/>
        <v>0.17333180994851838</v>
      </c>
      <c r="S121" s="799">
        <f t="shared" si="30"/>
        <v>1</v>
      </c>
      <c r="T121" s="176">
        <f t="shared" si="31"/>
        <v>7</v>
      </c>
      <c r="U121" s="250">
        <f t="shared" si="32"/>
        <v>1.1733318099485184</v>
      </c>
      <c r="V121" s="382">
        <f t="shared" si="33"/>
        <v>52.936529049878025</v>
      </c>
      <c r="W121" s="400">
        <f t="shared" si="34"/>
        <v>52.489722346347399</v>
      </c>
      <c r="X121" s="157">
        <f t="shared" si="35"/>
        <v>45764</v>
      </c>
      <c r="Y121" s="383">
        <f t="shared" si="36"/>
        <v>52.048575192626068</v>
      </c>
      <c r="Z121" s="383">
        <f t="shared" si="37"/>
        <v>54.382695401893201</v>
      </c>
      <c r="AA121" s="384">
        <f t="shared" si="38"/>
        <v>58.231348450653989</v>
      </c>
      <c r="AB121" s="197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6.6092459665813674E-2</v>
      </c>
      <c r="AD121" s="230">
        <f>(INDEX(Models!$BJ121:$BT121,,AH121)*(1-AF121)+INDEX(Models!$BJ121:$BT121,,AH121+1)*AF121-ERP_i)*AE121*Ramure*Pc/MaxiM</f>
        <v>4.715419105785346E-3</v>
      </c>
      <c r="AE121" s="304">
        <f t="shared" si="40"/>
        <v>0.7</v>
      </c>
      <c r="AF121" s="177">
        <f t="shared" si="41"/>
        <v>0.23766403220835053</v>
      </c>
      <c r="AG121" s="799">
        <f t="shared" si="49"/>
        <v>1</v>
      </c>
      <c r="AH121" s="176">
        <f t="shared" si="42"/>
        <v>7</v>
      </c>
      <c r="AI121" s="224">
        <f t="shared" si="43"/>
        <v>1.2376640322083505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45765</v>
      </c>
      <c r="B122" s="409">
        <f>'2024'!Wh/'2024'!Env_an*'2025'!Env_an</f>
        <v>34.200662742306676</v>
      </c>
      <c r="C122" s="829"/>
      <c r="D122" s="391">
        <f t="shared" si="25"/>
        <v>35.735077536336405</v>
      </c>
      <c r="E122" s="383">
        <f t="shared" si="47"/>
        <v>37.954027758977446</v>
      </c>
      <c r="F122" s="383">
        <f t="shared" si="26"/>
        <v>38.0356241625081</v>
      </c>
      <c r="G122" s="110">
        <f t="shared" si="48"/>
        <v>0.64293329646949338</v>
      </c>
      <c r="H122" s="412" t="b">
        <f>Wh_hp&gt;='2024'!Maxi_hp</f>
        <v>0</v>
      </c>
      <c r="I122" s="388">
        <f>IF(H122,Wh_hp,'2024'!Maxi_hp)</f>
        <v>47.717829043951738</v>
      </c>
      <c r="J122" s="85">
        <f>IF(H122,An,'2024'!An_max)</f>
        <v>2021</v>
      </c>
      <c r="K122" s="197">
        <f t="shared" si="27"/>
        <v>45765</v>
      </c>
      <c r="L122" s="147">
        <f>IF(t&lt;Tvie,1-EXP((T0-t)*PertePVj)+'2024'!Pspv,1-EXP((T0-t)*PertePVj)+Pspv)</f>
        <v>4.2938616614711322E-2</v>
      </c>
      <c r="M122" s="832"/>
      <c r="N122" s="832"/>
      <c r="O122" s="48">
        <f>IF(t&lt;Tnet,'2024'!Resal+('2024'!Salim-'2024'!Resal)*(1-EXP(('2024'!Tnet-t)/('2024'!Tau_j))),Resal+(Salim-Resal)*(1-EXP((Tnet-t)/(Tau_j))))*Salcycl</f>
        <v>5.8464156603673913E-2</v>
      </c>
      <c r="P122" s="169">
        <f>(INDEX(Models!$BJ122:$BT122,,T122)*(1-R122)+INDEX(Models!$BJ122:$BT122,,T122+1)*R122-ERP_i)*Q122*Ramure*Pc/MaxiM</f>
        <v>4.3607464629370719E-3</v>
      </c>
      <c r="Q122" s="304">
        <f t="shared" si="28"/>
        <v>0.7</v>
      </c>
      <c r="R122" s="177">
        <f t="shared" si="29"/>
        <v>0.17481219420669669</v>
      </c>
      <c r="S122" s="799">
        <f t="shared" si="30"/>
        <v>1</v>
      </c>
      <c r="T122" s="176">
        <f t="shared" si="31"/>
        <v>7</v>
      </c>
      <c r="U122" s="250">
        <f t="shared" si="32"/>
        <v>1.1748121942066967</v>
      </c>
      <c r="V122" s="382">
        <f t="shared" si="33"/>
        <v>53.076623992707695</v>
      </c>
      <c r="W122" s="400">
        <f t="shared" si="34"/>
        <v>34.200662742306676</v>
      </c>
      <c r="X122" s="157">
        <f t="shared" si="35"/>
        <v>45765</v>
      </c>
      <c r="Y122" s="383">
        <f t="shared" si="36"/>
        <v>33.917569642599766</v>
      </c>
      <c r="Z122" s="383">
        <f t="shared" si="37"/>
        <v>35.439283447658873</v>
      </c>
      <c r="AA122" s="384">
        <f t="shared" si="38"/>
        <v>37.949699180920071</v>
      </c>
      <c r="AB122" s="197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6.6151136568780952E-2</v>
      </c>
      <c r="AD122" s="230">
        <f>(INDEX(Models!$BJ122:$BT122,,AH122)*(1-AF122)+INDEX(Models!$BJ122:$BT122,,AH122+1)*AF122-ERP_i)*AE122*Ramure*Pc/MaxiM</f>
        <v>4.5920781226241872E-3</v>
      </c>
      <c r="AE122" s="304">
        <f t="shared" si="40"/>
        <v>0.7</v>
      </c>
      <c r="AF122" s="177">
        <f t="shared" si="41"/>
        <v>0.23914441646652884</v>
      </c>
      <c r="AG122" s="799">
        <f t="shared" si="49"/>
        <v>1</v>
      </c>
      <c r="AH122" s="176">
        <f t="shared" si="42"/>
        <v>7</v>
      </c>
      <c r="AI122" s="224">
        <f t="shared" si="43"/>
        <v>1.2391444164665288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45766</v>
      </c>
      <c r="B123" s="409">
        <f>'2024'!Wh/'2024'!Env_an*'2025'!Env_an</f>
        <v>9.1643114251102737</v>
      </c>
      <c r="C123" s="829"/>
      <c r="D123" s="391">
        <f t="shared" si="25"/>
        <v>9.5756523244075353</v>
      </c>
      <c r="E123" s="383">
        <f t="shared" si="47"/>
        <v>10.17095926008699</v>
      </c>
      <c r="F123" s="383">
        <f t="shared" si="26"/>
        <v>10.17095926008699</v>
      </c>
      <c r="G123" s="110">
        <f t="shared" si="48"/>
        <v>0.17149303845390593</v>
      </c>
      <c r="H123" s="412" t="b">
        <f>Wh_hp&gt;='2024'!Maxi_hp</f>
        <v>0</v>
      </c>
      <c r="I123" s="388">
        <f>IF(H123,Wh_hp,'2024'!Maxi_hp)</f>
        <v>57.424115414132181</v>
      </c>
      <c r="J123" s="85">
        <f>IF(H123,An,'2024'!An_max)</f>
        <v>2021</v>
      </c>
      <c r="K123" s="197">
        <f t="shared" si="27"/>
        <v>45766</v>
      </c>
      <c r="L123" s="147">
        <f>IF(t&lt;Tvie,1-EXP((T0-t)*PertePVj)+'2024'!Pspv,1-EXP((T0-t)*PertePVj)+Pspv)</f>
        <v>4.2956958477783136E-2</v>
      </c>
      <c r="M123" s="832"/>
      <c r="N123" s="832"/>
      <c r="O123" s="48">
        <f>IF(t&lt;Tnet,'2024'!Resal+('2024'!Salim-'2024'!Resal)*(1-EXP(('2024'!Tnet-t)/('2024'!Tau_j))),Resal+(Salim-Resal)*(1-EXP((Tnet-t)/(Tau_j))))*Salcycl</f>
        <v>5.8530067858551568E-2</v>
      </c>
      <c r="P123" s="169">
        <f>(INDEX(Models!$BJ123:$BT123,,T123)*(1-R123)+INDEX(Models!$BJ123:$BT123,,T123+1)*R123-ERP_i)*Q123*Ramure*Pc/MaxiM</f>
        <v>4.2543592844143645E-3</v>
      </c>
      <c r="Q123" s="304">
        <f t="shared" si="28"/>
        <v>0.7</v>
      </c>
      <c r="R123" s="177">
        <f t="shared" si="29"/>
        <v>0.17634183667440628</v>
      </c>
      <c r="S123" s="799">
        <f t="shared" si="30"/>
        <v>1</v>
      </c>
      <c r="T123" s="176">
        <f t="shared" si="31"/>
        <v>7</v>
      </c>
      <c r="U123" s="250">
        <f t="shared" si="32"/>
        <v>1.1763418366744063</v>
      </c>
      <c r="V123" s="382">
        <f t="shared" si="33"/>
        <v>53.211041299302096</v>
      </c>
      <c r="W123" s="400">
        <f t="shared" si="34"/>
        <v>9.1643114251102737</v>
      </c>
      <c r="X123" s="157">
        <f t="shared" si="35"/>
        <v>45766</v>
      </c>
      <c r="Y123" s="383">
        <f t="shared" si="36"/>
        <v>9.0895477460629461</v>
      </c>
      <c r="Z123" s="383">
        <f t="shared" si="37"/>
        <v>9.497532871254819</v>
      </c>
      <c r="AA123" s="384">
        <f t="shared" si="38"/>
        <v>10.17095926008699</v>
      </c>
      <c r="AB123" s="197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6.6210705559980029E-2</v>
      </c>
      <c r="AD123" s="230">
        <f>(INDEX(Models!$BJ123:$BT123,,AH123)*(1-AF123)+INDEX(Models!$BJ123:$BT123,,AH123+1)*AF123-ERP_i)*AE123*Ramure*Pc/MaxiM</f>
        <v>4.4794372701472936E-3</v>
      </c>
      <c r="AE123" s="304">
        <f t="shared" si="40"/>
        <v>0.7</v>
      </c>
      <c r="AF123" s="177">
        <f t="shared" si="41"/>
        <v>0.24067405893423843</v>
      </c>
      <c r="AG123" s="799">
        <f t="shared" si="49"/>
        <v>1</v>
      </c>
      <c r="AH123" s="176">
        <f t="shared" si="42"/>
        <v>7</v>
      </c>
      <c r="AI123" s="224">
        <f t="shared" si="43"/>
        <v>1.2406740589342384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45767</v>
      </c>
      <c r="B124" s="409">
        <f>'2024'!Wh/'2024'!Env_an*'2025'!Env_an</f>
        <v>9.4389841385315059</v>
      </c>
      <c r="C124" s="829"/>
      <c r="D124" s="391">
        <f t="shared" si="25"/>
        <v>9.8628427651097628</v>
      </c>
      <c r="E124" s="383">
        <f t="shared" si="47"/>
        <v>10.476746249738786</v>
      </c>
      <c r="F124" s="383">
        <f t="shared" si="26"/>
        <v>10.476746249738786</v>
      </c>
      <c r="G124" s="110">
        <f t="shared" si="48"/>
        <v>0.1762230199927938</v>
      </c>
      <c r="H124" s="412" t="b">
        <f>Wh_hp&gt;='2024'!Maxi_hp</f>
        <v>0</v>
      </c>
      <c r="I124" s="388">
        <f>IF(H124,Wh_hp,'2024'!Maxi_hp)</f>
        <v>54.37744314192939</v>
      </c>
      <c r="J124" s="85">
        <f>IF(H124,An,'2024'!An_max)</f>
        <v>2018</v>
      </c>
      <c r="K124" s="197">
        <f t="shared" si="27"/>
        <v>45767</v>
      </c>
      <c r="L124" s="147">
        <f>IF(t&lt;Tvie,1-EXP((T0-t)*PertePVj)+'2024'!Pspv,1-EXP((T0-t)*PertePVj)+Pspv)</f>
        <v>4.2975299989337246E-2</v>
      </c>
      <c r="M124" s="832"/>
      <c r="N124" s="832"/>
      <c r="O124" s="48">
        <f>IF(t&lt;Tnet,'2024'!Resal+('2024'!Salim-'2024'!Resal)*(1-EXP(('2024'!Tnet-t)/('2024'!Tau_j))),Resal+(Salim-Resal)*(1-EXP((Tnet-t)/(Tau_j))))*Salcycl</f>
        <v>5.8596769454479225E-2</v>
      </c>
      <c r="P124" s="169">
        <f>(INDEX(Models!$BJ124:$BT124,,T124)*(1-R124)+INDEX(Models!$BJ124:$BT124,,T124+1)*R124-ERP_i)*Q124*Ramure*Pc/MaxiM</f>
        <v>4.1585376015800717E-3</v>
      </c>
      <c r="Q124" s="304">
        <f t="shared" si="28"/>
        <v>0.7</v>
      </c>
      <c r="R124" s="177">
        <f t="shared" si="29"/>
        <v>0.1779218804573417</v>
      </c>
      <c r="S124" s="799">
        <f t="shared" si="30"/>
        <v>1</v>
      </c>
      <c r="T124" s="176">
        <f t="shared" si="31"/>
        <v>7</v>
      </c>
      <c r="U124" s="250">
        <f t="shared" si="32"/>
        <v>1.1779218804573417</v>
      </c>
      <c r="V124" s="382">
        <f t="shared" si="33"/>
        <v>53.339976629926582</v>
      </c>
      <c r="W124" s="400">
        <f t="shared" si="34"/>
        <v>9.4389841385315059</v>
      </c>
      <c r="X124" s="157">
        <f t="shared" si="35"/>
        <v>45767</v>
      </c>
      <c r="Y124" s="383">
        <f t="shared" si="36"/>
        <v>9.3620366679962697</v>
      </c>
      <c r="Z124" s="383">
        <f t="shared" si="37"/>
        <v>9.7824399599006817</v>
      </c>
      <c r="AA124" s="384">
        <f t="shared" si="38"/>
        <v>10.476746249738786</v>
      </c>
      <c r="AB124" s="197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6.6271175543209784E-2</v>
      </c>
      <c r="AD124" s="230">
        <f>(INDEX(Models!$BJ124:$BT124,,AH124)*(1-AF124)+INDEX(Models!$BJ124:$BT124,,AH124+1)*AF124-ERP_i)*AE124*Ramure*Pc/MaxiM</f>
        <v>4.3773826868567702E-3</v>
      </c>
      <c r="AE124" s="304">
        <f t="shared" si="40"/>
        <v>0.7</v>
      </c>
      <c r="AF124" s="177">
        <f t="shared" si="41"/>
        <v>0.24225410271717385</v>
      </c>
      <c r="AG124" s="799">
        <f t="shared" si="49"/>
        <v>1</v>
      </c>
      <c r="AH124" s="176">
        <f t="shared" si="42"/>
        <v>7</v>
      </c>
      <c r="AI124" s="224">
        <f t="shared" si="43"/>
        <v>1.2422541027171738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45768</v>
      </c>
      <c r="B125" s="409">
        <f>'2024'!Wh/'2024'!Env_an*'2025'!Env_an</f>
        <v>8.6866846226430763</v>
      </c>
      <c r="C125" s="829"/>
      <c r="D125" s="391">
        <f t="shared" si="25"/>
        <v>9.0769351136558054</v>
      </c>
      <c r="E125" s="383">
        <f t="shared" si="47"/>
        <v>9.6426118880668135</v>
      </c>
      <c r="F125" s="383">
        <f t="shared" si="26"/>
        <v>9.6426118880668135</v>
      </c>
      <c r="G125" s="110">
        <f t="shared" si="48"/>
        <v>0.16181660125578759</v>
      </c>
      <c r="H125" s="412" t="b">
        <f>Wh_hp&gt;='2024'!Maxi_hp</f>
        <v>0</v>
      </c>
      <c r="I125" s="388">
        <f>IF(H125,Wh_hp,'2024'!Maxi_hp)</f>
        <v>48.591897253026858</v>
      </c>
      <c r="J125" s="85">
        <f>IF(H125,An,'2024'!An_max)</f>
        <v>2021</v>
      </c>
      <c r="K125" s="197">
        <f t="shared" si="27"/>
        <v>45768</v>
      </c>
      <c r="L125" s="147">
        <f>IF(t&lt;Tvie,1-EXP((T0-t)*PertePVj)+'2024'!Pspv,1-EXP((T0-t)*PertePVj)+Pspv)</f>
        <v>4.2993641149380535E-2</v>
      </c>
      <c r="M125" s="832"/>
      <c r="N125" s="832"/>
      <c r="O125" s="48">
        <f>IF(t&lt;Tnet,'2024'!Resal+('2024'!Salim-'2024'!Resal)*(1-EXP(('2024'!Tnet-t)/('2024'!Tau_j))),Resal+(Salim-Resal)*(1-EXP((Tnet-t)/(Tau_j))))*Salcycl</f>
        <v>5.8664268662628527E-2</v>
      </c>
      <c r="P125" s="169">
        <f>(INDEX(Models!$BJ125:$BT125,,T125)*(1-R125)+INDEX(Models!$BJ125:$BT125,,T125+1)*R125-ERP_i)*Q125*Ramure*Pc/MaxiM</f>
        <v>4.0731935961229185E-3</v>
      </c>
      <c r="Q125" s="304">
        <f t="shared" si="28"/>
        <v>0.7</v>
      </c>
      <c r="R125" s="177">
        <f t="shared" si="29"/>
        <v>0.17955345730972017</v>
      </c>
      <c r="S125" s="799">
        <f t="shared" si="30"/>
        <v>1</v>
      </c>
      <c r="T125" s="176">
        <f t="shared" si="31"/>
        <v>7</v>
      </c>
      <c r="U125" s="250">
        <f t="shared" si="32"/>
        <v>1.1795534573097202</v>
      </c>
      <c r="V125" s="382">
        <f t="shared" si="33"/>
        <v>53.463624914425537</v>
      </c>
      <c r="W125" s="400">
        <f t="shared" si="34"/>
        <v>8.6866846226430763</v>
      </c>
      <c r="X125" s="157">
        <f t="shared" si="35"/>
        <v>45768</v>
      </c>
      <c r="Y125" s="383">
        <f t="shared" si="36"/>
        <v>8.6159213708963787</v>
      </c>
      <c r="Z125" s="383">
        <f t="shared" si="37"/>
        <v>9.0029928131765438</v>
      </c>
      <c r="AA125" s="384">
        <f t="shared" si="38"/>
        <v>9.6426118880668135</v>
      </c>
      <c r="AB125" s="197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6.633255411656952E-2</v>
      </c>
      <c r="AD125" s="230">
        <f>(INDEX(Models!$BJ125:$BT125,,AH125)*(1-AF125)+INDEX(Models!$BJ125:$BT125,,AH125+1)*AF125-ERP_i)*AE125*Ramure*Pc/MaxiM</f>
        <v>4.2858233792936002E-3</v>
      </c>
      <c r="AE125" s="304">
        <f t="shared" si="40"/>
        <v>0.7</v>
      </c>
      <c r="AF125" s="177">
        <f t="shared" si="41"/>
        <v>0.24388567956955232</v>
      </c>
      <c r="AG125" s="799">
        <f t="shared" si="49"/>
        <v>1</v>
      </c>
      <c r="AH125" s="176">
        <f t="shared" si="42"/>
        <v>7</v>
      </c>
      <c r="AI125" s="224">
        <f t="shared" si="43"/>
        <v>1.2438856795695523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45769</v>
      </c>
      <c r="B126" s="409">
        <f>'2024'!Wh/'2024'!Env_an*'2025'!Env_an</f>
        <v>26.825650945976406</v>
      </c>
      <c r="C126" s="829"/>
      <c r="D126" s="391">
        <f t="shared" si="25"/>
        <v>28.03133418625189</v>
      </c>
      <c r="E126" s="383">
        <f t="shared" si="47"/>
        <v>29.780414512430358</v>
      </c>
      <c r="F126" s="383">
        <f t="shared" si="26"/>
        <v>29.814583244463439</v>
      </c>
      <c r="G126" s="110">
        <f t="shared" si="48"/>
        <v>0.49921541676125564</v>
      </c>
      <c r="H126" s="412" t="b">
        <f>Wh_hp&gt;='2024'!Maxi_hp</f>
        <v>0</v>
      </c>
      <c r="I126" s="388">
        <f>IF(H126,Wh_hp,'2024'!Maxi_hp)</f>
        <v>56.763007267600109</v>
      </c>
      <c r="J126" s="85">
        <f>IF(H126,An,'2024'!An_max)</f>
        <v>2021</v>
      </c>
      <c r="K126" s="197">
        <f t="shared" si="27"/>
        <v>45769</v>
      </c>
      <c r="L126" s="147">
        <f>IF(t&lt;Tvie,1-EXP((T0-t)*PertePVj)+'2024'!Pspv,1-EXP((T0-t)*PertePVj)+Pspv)</f>
        <v>4.3011981957919665E-2</v>
      </c>
      <c r="M126" s="832"/>
      <c r="N126" s="832"/>
      <c r="O126" s="48">
        <f>IF(t&lt;Tnet,'2024'!Resal+('2024'!Salim-'2024'!Resal)*(1-EXP(('2024'!Tnet-t)/('2024'!Tau_j))),Resal+(Salim-Resal)*(1-EXP((Tnet-t)/(Tau_j))))*Salcycl</f>
        <v>5.8732571551292675E-2</v>
      </c>
      <c r="P126" s="169">
        <f>(INDEX(Models!$BJ126:$BT126,,T126)*(1-R126)+INDEX(Models!$BJ126:$BT126,,T126+1)*R126-ERP_i)*Q126*Ramure*Pc/MaxiM</f>
        <v>3.9982488478701667E-3</v>
      </c>
      <c r="Q126" s="304">
        <f t="shared" si="28"/>
        <v>0.7</v>
      </c>
      <c r="R126" s="177">
        <f t="shared" si="29"/>
        <v>0.18123768414722607</v>
      </c>
      <c r="S126" s="799">
        <f t="shared" si="30"/>
        <v>1</v>
      </c>
      <c r="T126" s="176">
        <f t="shared" si="31"/>
        <v>7</v>
      </c>
      <c r="U126" s="250">
        <f t="shared" si="32"/>
        <v>1.1812376841472261</v>
      </c>
      <c r="V126" s="382">
        <f t="shared" si="33"/>
        <v>53.582181011164081</v>
      </c>
      <c r="W126" s="400">
        <f t="shared" si="34"/>
        <v>26.825650945976406</v>
      </c>
      <c r="X126" s="157">
        <f t="shared" si="35"/>
        <v>45769</v>
      </c>
      <c r="Y126" s="383">
        <f t="shared" si="36"/>
        <v>26.605703756544731</v>
      </c>
      <c r="Z126" s="383">
        <f t="shared" si="37"/>
        <v>27.801501434655197</v>
      </c>
      <c r="AA126" s="384">
        <f t="shared" si="38"/>
        <v>29.778650386231767</v>
      </c>
      <c r="AB126" s="197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6.6394847514335706E-2</v>
      </c>
      <c r="AD126" s="230">
        <f>(INDEX(Models!$BJ126:$BT126,,AH126)*(1-AF126)+INDEX(Models!$BJ126:$BT126,,AH126+1)*AF126-ERP_i)*AE126*Ramure*Pc/MaxiM</f>
        <v>4.2046777997605507E-3</v>
      </c>
      <c r="AE126" s="304">
        <f t="shared" si="40"/>
        <v>0.7</v>
      </c>
      <c r="AF126" s="177">
        <f t="shared" si="41"/>
        <v>0.24556990640705822</v>
      </c>
      <c r="AG126" s="799">
        <f t="shared" si="49"/>
        <v>1</v>
      </c>
      <c r="AH126" s="176">
        <f t="shared" si="42"/>
        <v>7</v>
      </c>
      <c r="AI126" s="224">
        <f t="shared" si="43"/>
        <v>1.2455699064070582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45770</v>
      </c>
      <c r="B127" s="409">
        <f>'2024'!Wh/'2024'!Env_an*'2025'!Env_an</f>
        <v>9.1807500195446199</v>
      </c>
      <c r="C127" s="829"/>
      <c r="D127" s="391">
        <f t="shared" si="25"/>
        <v>9.5935641792880073</v>
      </c>
      <c r="E127" s="383">
        <f t="shared" si="47"/>
        <v>10.192925343479684</v>
      </c>
      <c r="F127" s="383">
        <f t="shared" si="26"/>
        <v>10.192925343479684</v>
      </c>
      <c r="G127" s="110">
        <f t="shared" si="48"/>
        <v>0.17030437294203349</v>
      </c>
      <c r="H127" s="412" t="b">
        <f>Wh_hp&gt;='2024'!Maxi_hp</f>
        <v>0</v>
      </c>
      <c r="I127" s="388">
        <f>IF(H127,Wh_hp,'2024'!Maxi_hp)</f>
        <v>60.533577473745396</v>
      </c>
      <c r="J127" s="85">
        <f>IF(H127,An,'2024'!An_max)</f>
        <v>2021</v>
      </c>
      <c r="K127" s="197">
        <f t="shared" si="27"/>
        <v>45770</v>
      </c>
      <c r="L127" s="147">
        <f>IF(t&lt;Tvie,1-EXP((T0-t)*PertePVj)+'2024'!Pspv,1-EXP((T0-t)*PertePVj)+Pspv)</f>
        <v>4.3030322414961408E-2</v>
      </c>
      <c r="M127" s="832"/>
      <c r="N127" s="832"/>
      <c r="O127" s="48">
        <f>IF(t&lt;Tnet,'2024'!Resal+('2024'!Salim-'2024'!Resal)*(1-EXP(('2024'!Tnet-t)/('2024'!Tau_j))),Resal+(Salim-Resal)*(1-EXP((Tnet-t)/(Tau_j))))*Salcycl</f>
        <v>5.8801682931493592E-2</v>
      </c>
      <c r="P127" s="169">
        <f>(INDEX(Models!$BJ127:$BT127,,T127)*(1-R127)+INDEX(Models!$BJ127:$BT127,,T127+1)*R127-ERP_i)*Q127*Ramure*Pc/MaxiM</f>
        <v>3.9336226937064346E-3</v>
      </c>
      <c r="Q127" s="304">
        <f t="shared" si="28"/>
        <v>0.7</v>
      </c>
      <c r="R127" s="177">
        <f t="shared" si="29"/>
        <v>0.18297565935045279</v>
      </c>
      <c r="S127" s="799">
        <f t="shared" si="30"/>
        <v>1</v>
      </c>
      <c r="T127" s="176">
        <f t="shared" si="31"/>
        <v>7</v>
      </c>
      <c r="U127" s="250">
        <f t="shared" si="32"/>
        <v>1.1829756593504528</v>
      </c>
      <c r="V127" s="382">
        <f t="shared" si="33"/>
        <v>53.69584030607983</v>
      </c>
      <c r="W127" s="400">
        <f t="shared" si="34"/>
        <v>9.1807500195446199</v>
      </c>
      <c r="X127" s="157">
        <f t="shared" si="35"/>
        <v>45770</v>
      </c>
      <c r="Y127" s="383">
        <f t="shared" si="36"/>
        <v>9.10606725856975</v>
      </c>
      <c r="Z127" s="383">
        <f t="shared" si="37"/>
        <v>9.5155232938512437</v>
      </c>
      <c r="AA127" s="384">
        <f t="shared" si="38"/>
        <v>10.192925343479684</v>
      </c>
      <c r="AB127" s="197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6.6458060547040801E-2</v>
      </c>
      <c r="AD127" s="230">
        <f>(INDEX(Models!$BJ127:$BT127,,AH127)*(1-AF127)+INDEX(Models!$BJ127:$BT127,,AH127+1)*AF127-ERP_i)*AE127*Ramure*Pc/MaxiM</f>
        <v>4.13386162353741E-3</v>
      </c>
      <c r="AE127" s="304">
        <f t="shared" si="40"/>
        <v>0.7</v>
      </c>
      <c r="AF127" s="177">
        <f t="shared" si="41"/>
        <v>0.24730788161028494</v>
      </c>
      <c r="AG127" s="799">
        <f t="shared" si="49"/>
        <v>1</v>
      </c>
      <c r="AH127" s="176">
        <f t="shared" si="42"/>
        <v>7</v>
      </c>
      <c r="AI127" s="224">
        <f t="shared" si="43"/>
        <v>1.2473078816102849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45771</v>
      </c>
      <c r="B128" s="409">
        <f>'2024'!Wh/'2024'!Env_an*'2025'!Env_an</f>
        <v>26.046126415044235</v>
      </c>
      <c r="C128" s="829"/>
      <c r="D128" s="391">
        <f t="shared" si="25"/>
        <v>27.217817035134807</v>
      </c>
      <c r="E128" s="383">
        <f t="shared" si="47"/>
        <v>28.920407903284541</v>
      </c>
      <c r="F128" s="383">
        <f t="shared" si="26"/>
        <v>28.949918556909857</v>
      </c>
      <c r="G128" s="110">
        <f t="shared" si="48"/>
        <v>0.48269973466354282</v>
      </c>
      <c r="H128" s="412" t="b">
        <f>Wh_hp&gt;='2024'!Maxi_hp</f>
        <v>0</v>
      </c>
      <c r="I128" s="388">
        <f>IF(H128,Wh_hp,'2024'!Maxi_hp)</f>
        <v>61.221202275533329</v>
      </c>
      <c r="J128" s="85">
        <f>IF(H128,An,'2024'!An_max)</f>
        <v>2021</v>
      </c>
      <c r="K128" s="197">
        <f t="shared" si="27"/>
        <v>45771</v>
      </c>
      <c r="L128" s="147">
        <f>IF(t&lt;Tvie,1-EXP((T0-t)*PertePVj)+'2024'!Pspv,1-EXP((T0-t)*PertePVj)+Pspv)</f>
        <v>4.3048662520512426E-2</v>
      </c>
      <c r="M128" s="832"/>
      <c r="N128" s="832"/>
      <c r="O128" s="48">
        <f>IF(t&lt;Tnet,'2024'!Resal+('2024'!Salim-'2024'!Resal)*(1-EXP(('2024'!Tnet-t)/('2024'!Tau_j))),Resal+(Salim-Resal)*(1-EXP((Tnet-t)/(Tau_j))))*Salcycl</f>
        <v>5.8871606301111989E-2</v>
      </c>
      <c r="P128" s="169">
        <f>(INDEX(Models!$BJ128:$BT128,,T128)*(1-R128)+INDEX(Models!$BJ128:$BT128,,T128+1)*R128-ERP_i)*Q128*Ramure*Pc/MaxiM</f>
        <v>3.8762625958892872E-3</v>
      </c>
      <c r="Q128" s="304">
        <f t="shared" si="28"/>
        <v>0.7</v>
      </c>
      <c r="R128" s="177">
        <f t="shared" si="29"/>
        <v>0.18476845885971804</v>
      </c>
      <c r="S128" s="799">
        <f t="shared" si="30"/>
        <v>1</v>
      </c>
      <c r="T128" s="176">
        <f t="shared" si="31"/>
        <v>7</v>
      </c>
      <c r="U128" s="250">
        <f t="shared" si="32"/>
        <v>1.184768458859718</v>
      </c>
      <c r="V128" s="382">
        <f t="shared" si="33"/>
        <v>53.804959091998867</v>
      </c>
      <c r="W128" s="400">
        <f t="shared" si="34"/>
        <v>26.046126415044235</v>
      </c>
      <c r="X128" s="157">
        <f t="shared" si="35"/>
        <v>45771</v>
      </c>
      <c r="Y128" s="383">
        <f t="shared" si="36"/>
        <v>25.833071775563631</v>
      </c>
      <c r="Z128" s="383">
        <f t="shared" si="37"/>
        <v>26.995178086699074</v>
      </c>
      <c r="AA128" s="384">
        <f t="shared" si="38"/>
        <v>28.918928748641083</v>
      </c>
      <c r="AB128" s="197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6.652219653995331E-2</v>
      </c>
      <c r="AD128" s="230">
        <f>(INDEX(Models!$BJ128:$BT128,,AH128)*(1-AF128)+INDEX(Models!$BJ128:$BT128,,AH128+1)*AF128-ERP_i)*AE128*Ramure*Pc/MaxiM</f>
        <v>4.0705514751115494E-3</v>
      </c>
      <c r="AE128" s="304">
        <f t="shared" si="40"/>
        <v>0.7</v>
      </c>
      <c r="AF128" s="177">
        <f t="shared" si="41"/>
        <v>0.24910068111955019</v>
      </c>
      <c r="AG128" s="799">
        <f t="shared" si="49"/>
        <v>1</v>
      </c>
      <c r="AH128" s="176">
        <f t="shared" si="42"/>
        <v>7</v>
      </c>
      <c r="AI128" s="224">
        <f t="shared" si="43"/>
        <v>1.2491006811195502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45772</v>
      </c>
      <c r="B129" s="409">
        <f>'2024'!Wh/'2024'!Env_an*'2025'!Env_an</f>
        <v>41.089741601855387</v>
      </c>
      <c r="C129" s="829"/>
      <c r="D129" s="391">
        <f t="shared" si="25"/>
        <v>42.938995415064113</v>
      </c>
      <c r="E129" s="383">
        <f t="shared" si="47"/>
        <v>45.628442775647109</v>
      </c>
      <c r="F129" s="383">
        <f t="shared" si="26"/>
        <v>45.743933470824473</v>
      </c>
      <c r="G129" s="110">
        <f t="shared" si="48"/>
        <v>0.761200808995523</v>
      </c>
      <c r="H129" s="412" t="b">
        <f>Wh_hp&gt;='2024'!Maxi_hp</f>
        <v>0</v>
      </c>
      <c r="I129" s="388">
        <f>IF(H129,Wh_hp,'2024'!Maxi_hp)</f>
        <v>49.231227193041249</v>
      </c>
      <c r="J129" s="85">
        <f>IF(H129,An,'2024'!An_max)</f>
        <v>2020</v>
      </c>
      <c r="K129" s="197">
        <f t="shared" si="27"/>
        <v>45772</v>
      </c>
      <c r="L129" s="147">
        <f>IF(t&lt;Tvie,1-EXP((T0-t)*PertePVj)+'2024'!Pspv,1-EXP((T0-t)*PertePVj)+Pspv)</f>
        <v>4.3067002274579602E-2</v>
      </c>
      <c r="M129" s="832"/>
      <c r="N129" s="832"/>
      <c r="O129" s="48">
        <f>IF(t&lt;Tnet,'2024'!Resal+('2024'!Salim-'2024'!Resal)*(1-EXP(('2024'!Tnet-t)/('2024'!Tau_j))),Resal+(Salim-Resal)*(1-EXP((Tnet-t)/(Tau_j))))*Salcycl</f>
        <v>5.8942343787774756E-2</v>
      </c>
      <c r="P129" s="169">
        <f>(INDEX(Models!$BJ129:$BT129,,T129)*(1-R129)+INDEX(Models!$BJ129:$BT129,,T129+1)*R129-ERP_i)*Q129*Ramure*Pc/MaxiM</f>
        <v>3.8237349089849876E-3</v>
      </c>
      <c r="Q129" s="304">
        <f t="shared" si="28"/>
        <v>0.7</v>
      </c>
      <c r="R129" s="177">
        <f t="shared" si="29"/>
        <v>0.18661713206369068</v>
      </c>
      <c r="S129" s="799">
        <f t="shared" si="30"/>
        <v>1</v>
      </c>
      <c r="T129" s="176">
        <f t="shared" si="31"/>
        <v>7</v>
      </c>
      <c r="U129" s="250">
        <f t="shared" si="32"/>
        <v>1.1866171320636907</v>
      </c>
      <c r="V129" s="382">
        <f t="shared" si="33"/>
        <v>53.909861751609149</v>
      </c>
      <c r="W129" s="400">
        <f t="shared" si="34"/>
        <v>41.089741601855387</v>
      </c>
      <c r="X129" s="157">
        <f t="shared" si="35"/>
        <v>45772</v>
      </c>
      <c r="Y129" s="383">
        <f t="shared" si="36"/>
        <v>40.750848746111942</v>
      </c>
      <c r="Z129" s="383">
        <f t="shared" si="37"/>
        <v>42.584850603934207</v>
      </c>
      <c r="AA129" s="384">
        <f t="shared" si="38"/>
        <v>45.622743995753041</v>
      </c>
      <c r="AB129" s="197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6.658725727022527E-2</v>
      </c>
      <c r="AD129" s="230">
        <f>(INDEX(Models!$BJ129:$BT129,,AH129)*(1-AF129)+INDEX(Models!$BJ129:$BT129,,AH129+1)*AF129-ERP_i)*AE129*Ramure*Pc/MaxiM</f>
        <v>4.0124135171284046E-3</v>
      </c>
      <c r="AE129" s="304">
        <f t="shared" si="40"/>
        <v>0.7</v>
      </c>
      <c r="AF129" s="177">
        <f t="shared" si="41"/>
        <v>0.25094935432352283</v>
      </c>
      <c r="AG129" s="799">
        <f t="shared" si="49"/>
        <v>1</v>
      </c>
      <c r="AH129" s="176">
        <f t="shared" si="42"/>
        <v>7</v>
      </c>
      <c r="AI129" s="224">
        <f t="shared" si="43"/>
        <v>1.2509493543235228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45773</v>
      </c>
      <c r="B130" s="409">
        <f>'2024'!Wh/'2024'!Env_an*'2025'!Env_an</f>
        <v>52.748194402239243</v>
      </c>
      <c r="C130" s="829"/>
      <c r="D130" s="391">
        <f t="shared" si="25"/>
        <v>55.123196142370922</v>
      </c>
      <c r="E130" s="383">
        <f t="shared" si="47"/>
        <v>58.580244610806417</v>
      </c>
      <c r="F130" s="383">
        <f t="shared" si="26"/>
        <v>58.794840914299179</v>
      </c>
      <c r="G130" s="110">
        <f t="shared" si="48"/>
        <v>0.97650051486636202</v>
      </c>
      <c r="H130" s="412" t="b">
        <f>Wh_hp&gt;='2024'!Maxi_hp</f>
        <v>0</v>
      </c>
      <c r="I130" s="388">
        <f>IF(H130,Wh_hp,'2024'!Maxi_hp)</f>
        <v>58.799579012279175</v>
      </c>
      <c r="J130" s="85">
        <f>IF(H130,An,'2024'!An_max)</f>
        <v>2022</v>
      </c>
      <c r="K130" s="197">
        <f t="shared" si="27"/>
        <v>45773</v>
      </c>
      <c r="L130" s="147">
        <f>IF(t&lt;Tvie,1-EXP((T0-t)*PertePVj)+'2024'!Pspv,1-EXP((T0-t)*PertePVj)+Pspv)</f>
        <v>4.3085341677169486E-2</v>
      </c>
      <c r="M130" s="832"/>
      <c r="N130" s="832"/>
      <c r="O130" s="48">
        <f>IF(t&lt;Tnet,'2024'!Resal+('2024'!Salim-'2024'!Resal)*(1-EXP(('2024'!Tnet-t)/('2024'!Tau_j))),Resal+(Salim-Resal)*(1-EXP((Tnet-t)/(Tau_j))))*Salcycl</f>
        <v>5.901389609079525E-2</v>
      </c>
      <c r="P130" s="169">
        <f>(INDEX(Models!$BJ130:$BT130,,T130)*(1-R130)+INDEX(Models!$BJ130:$BT130,,T130+1)*R130-ERP_i)*Q130*Ramure*Pc/MaxiM</f>
        <v>3.7760139069798449E-3</v>
      </c>
      <c r="Q130" s="304">
        <f t="shared" si="28"/>
        <v>0.7</v>
      </c>
      <c r="R130" s="177">
        <f t="shared" si="29"/>
        <v>0.18852269748597772</v>
      </c>
      <c r="S130" s="799">
        <f t="shared" si="30"/>
        <v>1</v>
      </c>
      <c r="T130" s="176">
        <f t="shared" si="31"/>
        <v>7</v>
      </c>
      <c r="U130" s="250">
        <f t="shared" si="32"/>
        <v>1.1885226974859777</v>
      </c>
      <c r="V130" s="382">
        <f t="shared" si="33"/>
        <v>54.010743324676845</v>
      </c>
      <c r="W130" s="400">
        <f t="shared" si="34"/>
        <v>52.748194402239243</v>
      </c>
      <c r="X130" s="157">
        <f t="shared" si="35"/>
        <v>45773</v>
      </c>
      <c r="Y130" s="383">
        <f t="shared" si="36"/>
        <v>52.31065165404253</v>
      </c>
      <c r="Z130" s="383">
        <f t="shared" si="37"/>
        <v>54.665952913425528</v>
      </c>
      <c r="AA130" s="384">
        <f t="shared" si="38"/>
        <v>58.569821449271679</v>
      </c>
      <c r="AB130" s="197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6.6653242903042795E-2</v>
      </c>
      <c r="AD130" s="230">
        <f>(INDEX(Models!$BJ130:$BT130,,AH130)*(1-AF130)+INDEX(Models!$BJ130:$BT130,,AH130+1)*AF130-ERP_i)*AE130*Ramure*Pc/MaxiM</f>
        <v>3.9594187572465529E-3</v>
      </c>
      <c r="AE130" s="304">
        <f t="shared" si="40"/>
        <v>0.7</v>
      </c>
      <c r="AF130" s="177">
        <f t="shared" si="41"/>
        <v>0.25285491974580987</v>
      </c>
      <c r="AG130" s="799">
        <f t="shared" si="49"/>
        <v>1</v>
      </c>
      <c r="AH130" s="176">
        <f t="shared" si="42"/>
        <v>7</v>
      </c>
      <c r="AI130" s="224">
        <f t="shared" si="43"/>
        <v>1.2528549197458099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45774</v>
      </c>
      <c r="B131" s="409">
        <f>'2024'!Wh/'2024'!Env_an*'2025'!Env_an</f>
        <v>40.533381910674557</v>
      </c>
      <c r="C131" s="829"/>
      <c r="D131" s="391">
        <f t="shared" si="25"/>
        <v>42.359220214708643</v>
      </c>
      <c r="E131" s="383">
        <f t="shared" si="47"/>
        <v>45.019238770781179</v>
      </c>
      <c r="F131" s="383">
        <f t="shared" si="26"/>
        <v>45.127325856776864</v>
      </c>
      <c r="G131" s="110">
        <f t="shared" si="48"/>
        <v>0.74811805653840291</v>
      </c>
      <c r="H131" s="412" t="b">
        <f>Wh_hp&gt;='2024'!Maxi_hp</f>
        <v>0</v>
      </c>
      <c r="I131" s="388">
        <f>IF(H131,Wh_hp,'2024'!Maxi_hp)</f>
        <v>45.165843898017897</v>
      </c>
      <c r="J131" s="85">
        <f>IF(H131,An,'2024'!An_max)</f>
        <v>2022</v>
      </c>
      <c r="K131" s="197">
        <f t="shared" si="27"/>
        <v>45774</v>
      </c>
      <c r="L131" s="147">
        <f>IF(t&lt;Tvie,1-EXP((T0-t)*PertePVj)+'2024'!Pspv,1-EXP((T0-t)*PertePVj)+Pspv)</f>
        <v>4.3103680728288962E-2</v>
      </c>
      <c r="M131" s="832"/>
      <c r="N131" s="832"/>
      <c r="O131" s="48">
        <f>IF(t&lt;Tnet,'2024'!Resal+('2024'!Salim-'2024'!Resal)*(1-EXP(('2024'!Tnet-t)/('2024'!Tau_j))),Resal+(Salim-Resal)*(1-EXP((Tnet-t)/(Tau_j))))*Salcycl</f>
        <v>5.9086262422521588E-2</v>
      </c>
      <c r="P131" s="169">
        <f>(INDEX(Models!$BJ131:$BT131,,T131)*(1-R131)+INDEX(Models!$BJ131:$BT131,,T131+1)*R131-ERP_i)*Q131*Ramure*Pc/MaxiM</f>
        <v>3.7330792904681212E-3</v>
      </c>
      <c r="Q131" s="304">
        <f t="shared" si="28"/>
        <v>0.7</v>
      </c>
      <c r="R131" s="177">
        <f t="shared" si="29"/>
        <v>0.19048613827568572</v>
      </c>
      <c r="S131" s="799">
        <f t="shared" si="30"/>
        <v>1</v>
      </c>
      <c r="T131" s="176">
        <f t="shared" si="31"/>
        <v>7</v>
      </c>
      <c r="U131" s="250">
        <f t="shared" si="32"/>
        <v>1.1904861382756857</v>
      </c>
      <c r="V131" s="382">
        <f t="shared" si="33"/>
        <v>54.107798748138357</v>
      </c>
      <c r="W131" s="400">
        <f t="shared" si="34"/>
        <v>40.533381910674557</v>
      </c>
      <c r="X131" s="157">
        <f t="shared" si="35"/>
        <v>45774</v>
      </c>
      <c r="Y131" s="383">
        <f t="shared" si="36"/>
        <v>40.199908923038464</v>
      </c>
      <c r="Z131" s="383">
        <f t="shared" si="37"/>
        <v>42.010725836665785</v>
      </c>
      <c r="AA131" s="384">
        <f t="shared" si="38"/>
        <v>45.014071527866022</v>
      </c>
      <c r="AB131" s="197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6.6720151927181545E-2</v>
      </c>
      <c r="AD131" s="230">
        <f>(INDEX(Models!$BJ131:$BT131,,AH131)*(1-AF131)+INDEX(Models!$BJ131:$BT131,,AH131+1)*AF131-ERP_i)*AE131*Ramure*Pc/MaxiM</f>
        <v>3.9115439732532427E-3</v>
      </c>
      <c r="AE131" s="304">
        <f t="shared" si="40"/>
        <v>0.7</v>
      </c>
      <c r="AF131" s="177">
        <f t="shared" si="41"/>
        <v>0.25481836053551787</v>
      </c>
      <c r="AG131" s="799">
        <f t="shared" si="49"/>
        <v>1</v>
      </c>
      <c r="AH131" s="176">
        <f t="shared" si="42"/>
        <v>7</v>
      </c>
      <c r="AI131" s="224">
        <f t="shared" si="43"/>
        <v>1.2548183605355179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45775</v>
      </c>
      <c r="B132" s="409">
        <f>'2024'!Wh/'2024'!Env_an*'2025'!Env_an</f>
        <v>22.740817275474953</v>
      </c>
      <c r="C132" s="829"/>
      <c r="D132" s="391">
        <f t="shared" si="25"/>
        <v>23.765639650187886</v>
      </c>
      <c r="E132" s="383">
        <f t="shared" si="47"/>
        <v>25.260007563388225</v>
      </c>
      <c r="F132" s="383">
        <f t="shared" si="26"/>
        <v>25.275959385109047</v>
      </c>
      <c r="G132" s="110">
        <f t="shared" si="48"/>
        <v>0.4182765360536243</v>
      </c>
      <c r="H132" s="412" t="b">
        <f>Wh_hp&gt;='2024'!Maxi_hp</f>
        <v>0</v>
      </c>
      <c r="I132" s="388">
        <f>IF(H132,Wh_hp,'2024'!Maxi_hp)</f>
        <v>40.022734639116834</v>
      </c>
      <c r="J132" s="85">
        <f>IF(H132,An,'2024'!An_max)</f>
        <v>2018</v>
      </c>
      <c r="K132" s="197">
        <f t="shared" si="27"/>
        <v>45775</v>
      </c>
      <c r="L132" s="147">
        <f>IF(t&lt;Tvie,1-EXP((T0-t)*PertePVj)+'2024'!Pspv,1-EXP((T0-t)*PertePVj)+Pspv)</f>
        <v>4.312201942794458E-2</v>
      </c>
      <c r="M132" s="832"/>
      <c r="N132" s="832"/>
      <c r="O132" s="48">
        <f>IF(t&lt;Tnet,'2024'!Resal+('2024'!Salim-'2024'!Resal)*(1-EXP(('2024'!Tnet-t)/('2024'!Tau_j))),Resal+(Salim-Resal)*(1-EXP((Tnet-t)/(Tau_j))))*Salcycl</f>
        <v>5.91594404495061E-2</v>
      </c>
      <c r="P132" s="169">
        <f>(INDEX(Models!$BJ132:$BT132,,T132)*(1-R132)+INDEX(Models!$BJ132:$BT132,,T132+1)*R132-ERP_i)*Q132*Ramure*Pc/MaxiM</f>
        <v>3.6949160117556467E-3</v>
      </c>
      <c r="Q132" s="304">
        <f t="shared" si="28"/>
        <v>0.7</v>
      </c>
      <c r="R132" s="177">
        <f t="shared" si="29"/>
        <v>0.19250839750998772</v>
      </c>
      <c r="S132" s="799">
        <f t="shared" si="30"/>
        <v>1</v>
      </c>
      <c r="T132" s="176">
        <f t="shared" si="31"/>
        <v>7</v>
      </c>
      <c r="U132" s="250">
        <f t="shared" si="32"/>
        <v>1.1925083975099877</v>
      </c>
      <c r="V132" s="382">
        <f t="shared" si="33"/>
        <v>54.201222849904404</v>
      </c>
      <c r="W132" s="400">
        <f t="shared" si="34"/>
        <v>22.740817275474953</v>
      </c>
      <c r="X132" s="157">
        <f t="shared" si="35"/>
        <v>45775</v>
      </c>
      <c r="Y132" s="383">
        <f t="shared" si="36"/>
        <v>22.555759523612235</v>
      </c>
      <c r="Z132" s="383">
        <f t="shared" si="37"/>
        <v>23.572242210158922</v>
      </c>
      <c r="AA132" s="384">
        <f t="shared" si="38"/>
        <v>25.259256988248467</v>
      </c>
      <c r="AB132" s="197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6.678798109043374E-2</v>
      </c>
      <c r="AD132" s="230">
        <f>(INDEX(Models!$BJ132:$BT132,,AH132)*(1-AF132)+INDEX(Models!$BJ132:$BT132,,AH132+1)*AF132-ERP_i)*AE132*Ramure*Pc/MaxiM</f>
        <v>3.8687715218316014E-3</v>
      </c>
      <c r="AE132" s="304">
        <f t="shared" si="40"/>
        <v>0.7</v>
      </c>
      <c r="AF132" s="177">
        <f t="shared" si="41"/>
        <v>0.25684061976981987</v>
      </c>
      <c r="AG132" s="799">
        <f t="shared" si="49"/>
        <v>1</v>
      </c>
      <c r="AH132" s="176">
        <f t="shared" si="42"/>
        <v>7</v>
      </c>
      <c r="AI132" s="224">
        <f t="shared" si="43"/>
        <v>1.2568406197698199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45776</v>
      </c>
      <c r="B133" s="409">
        <f>'2024'!Wh/'2024'!Env_an*'2025'!Env_an</f>
        <v>40.757867206962857</v>
      </c>
      <c r="C133" s="829"/>
      <c r="D133" s="391">
        <f t="shared" si="25"/>
        <v>42.595450166794244</v>
      </c>
      <c r="E133" s="383">
        <f t="shared" si="47"/>
        <v>45.277384799374808</v>
      </c>
      <c r="F133" s="383">
        <f t="shared" si="26"/>
        <v>45.384384487798968</v>
      </c>
      <c r="G133" s="110">
        <f t="shared" si="48"/>
        <v>0.74974563854421772</v>
      </c>
      <c r="H133" s="412" t="b">
        <f>Wh_hp&gt;='2024'!Maxi_hp</f>
        <v>0</v>
      </c>
      <c r="I133" s="388">
        <f>IF(H133,Wh_hp,'2024'!Maxi_hp)</f>
        <v>47.336974093030854</v>
      </c>
      <c r="J133" s="85">
        <f>IF(H133,An,'2024'!An_max)</f>
        <v>2018</v>
      </c>
      <c r="K133" s="197">
        <f t="shared" si="27"/>
        <v>45776</v>
      </c>
      <c r="L133" s="147">
        <f>IF(t&lt;Tvie,1-EXP((T0-t)*PertePVj)+'2024'!Pspv,1-EXP((T0-t)*PertePVj)+Pspv)</f>
        <v>4.3140357776143334E-2</v>
      </c>
      <c r="M133" s="832"/>
      <c r="N133" s="832"/>
      <c r="O133" s="48">
        <f>IF(t&lt;Tnet,'2024'!Resal+('2024'!Salim-'2024'!Resal)*(1-EXP(('2024'!Tnet-t)/('2024'!Tau_j))),Resal+(Salim-Resal)*(1-EXP((Tnet-t)/(Tau_j))))*Salcycl</f>
        <v>5.9233426233963861E-2</v>
      </c>
      <c r="P133" s="169">
        <f>(INDEX(Models!$BJ133:$BT133,,T133)*(1-R133)+INDEX(Models!$BJ133:$BT133,,T133+1)*R133-ERP_i)*Q133*Ramure*Pc/MaxiM</f>
        <v>3.6615141009222352E-3</v>
      </c>
      <c r="Q133" s="304">
        <f t="shared" si="28"/>
        <v>0.7</v>
      </c>
      <c r="R133" s="177">
        <f t="shared" si="29"/>
        <v>0.19459037331889339</v>
      </c>
      <c r="S133" s="799">
        <f t="shared" si="30"/>
        <v>1</v>
      </c>
      <c r="T133" s="176">
        <f t="shared" si="31"/>
        <v>7</v>
      </c>
      <c r="U133" s="250">
        <f t="shared" si="32"/>
        <v>1.1945903733188934</v>
      </c>
      <c r="V133" s="382">
        <f t="shared" si="33"/>
        <v>54.291210354749118</v>
      </c>
      <c r="W133" s="400">
        <f t="shared" si="34"/>
        <v>40.757867206962857</v>
      </c>
      <c r="X133" s="157">
        <f t="shared" si="35"/>
        <v>45776</v>
      </c>
      <c r="Y133" s="383">
        <f t="shared" si="36"/>
        <v>40.4231699532262</v>
      </c>
      <c r="Z133" s="383">
        <f t="shared" si="37"/>
        <v>42.245662968163124</v>
      </c>
      <c r="AA133" s="384">
        <f t="shared" si="38"/>
        <v>45.272429341945461</v>
      </c>
      <c r="AB133" s="197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6.6856725335434949E-2</v>
      </c>
      <c r="AD133" s="230">
        <f>(INDEX(Models!$BJ133:$BT133,,AH133)*(1-AF133)+INDEX(Models!$BJ133:$BT133,,AH133+1)*AF133-ERP_i)*AE133*Ramure*Pc/MaxiM</f>
        <v>3.8310891484882232E-3</v>
      </c>
      <c r="AE133" s="304">
        <f t="shared" si="40"/>
        <v>0.7</v>
      </c>
      <c r="AF133" s="177">
        <f t="shared" si="41"/>
        <v>0.25892259557872555</v>
      </c>
      <c r="AG133" s="799">
        <f t="shared" si="49"/>
        <v>1</v>
      </c>
      <c r="AH133" s="176">
        <f t="shared" si="42"/>
        <v>7</v>
      </c>
      <c r="AI133" s="224">
        <f t="shared" si="43"/>
        <v>1.2589225955787255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45777</v>
      </c>
      <c r="B134" s="409">
        <f>'2024'!Wh/'2024'!Env_an*'2025'!Env_an</f>
        <v>40.909657656032387</v>
      </c>
      <c r="C134" s="829"/>
      <c r="D134" s="391">
        <f t="shared" si="25"/>
        <v>42.754903530295756</v>
      </c>
      <c r="E134" s="383">
        <f t="shared" si="47"/>
        <v>43.059655939464072</v>
      </c>
      <c r="F134" s="383">
        <f t="shared" si="26"/>
        <v>43.152090977064852</v>
      </c>
      <c r="G134" s="110">
        <f t="shared" si="48"/>
        <v>0.71168141599334656</v>
      </c>
      <c r="H134" s="412" t="b">
        <f>Wh_hp&gt;='2024'!Maxi_hp</f>
        <v>0</v>
      </c>
      <c r="I134" s="388">
        <f>IF(H134,Wh_hp,'2024'!Maxi_hp)</f>
        <v>57.134227383129591</v>
      </c>
      <c r="J134" s="85">
        <f>IF(H134,An,'2024'!An_max)</f>
        <v>2018</v>
      </c>
      <c r="K134" s="197">
        <f t="shared" si="27"/>
        <v>45777</v>
      </c>
      <c r="L134" s="147">
        <f>IF(t&lt;Tvie,1-EXP((T0-t)*PertePVj)+'2024'!Pspv,1-EXP((T0-t)*PertePVj)+Pspv)</f>
        <v>4.3158695772891775E-2</v>
      </c>
      <c r="M134" s="832"/>
      <c r="N134" s="832"/>
      <c r="O134" s="48">
        <f>IF(t&lt;Tnet,'2024'!Resal+('2024'!Salim-'2024'!Resal)*(1-EXP(('2024'!Tnet-t)/('2024'!Tau_j))),Resal+(Salim-Resal)*(1-EXP((Tnet-t)/(Tau_j))))*Salcycl</f>
        <v>7.0774464523533078E-3</v>
      </c>
      <c r="P134" s="169">
        <f>(INDEX(Models!$BJ134:$BT134,,T134)*(1-R134)+INDEX(Models!$BJ134:$BT134,,T134+1)*R134-ERP_i)*Q134*Ramure*Pc/MaxiM</f>
        <v>3.6328684932065876E-3</v>
      </c>
      <c r="Q134" s="304">
        <f t="shared" si="28"/>
        <v>0.7</v>
      </c>
      <c r="R134" s="177">
        <f t="shared" si="29"/>
        <v>0.19673291384471669</v>
      </c>
      <c r="S134" s="799">
        <f t="shared" si="30"/>
        <v>1</v>
      </c>
      <c r="T134" s="176">
        <f t="shared" si="31"/>
        <v>7</v>
      </c>
      <c r="U134" s="250">
        <f t="shared" si="32"/>
        <v>1.1967329138447167</v>
      </c>
      <c r="V134" s="382">
        <f t="shared" si="33"/>
        <v>57.397225762533864</v>
      </c>
      <c r="W134" s="400">
        <f t="shared" si="34"/>
        <v>40.909657656032387</v>
      </c>
      <c r="X134" s="157">
        <f t="shared" si="35"/>
        <v>45777</v>
      </c>
      <c r="Y134" s="383">
        <f t="shared" si="36"/>
        <v>38.753891287388342</v>
      </c>
      <c r="Z134" s="383">
        <f t="shared" si="37"/>
        <v>40.501900488808779</v>
      </c>
      <c r="AA134" s="384">
        <f t="shared" si="38"/>
        <v>43.055441855838936</v>
      </c>
      <c r="AB134" s="197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5.930821417604052E-2</v>
      </c>
      <c r="AD134" s="230">
        <f>(INDEX(Models!$BJ134:$BT134,,AH134)*(1-AF134)+INDEX(Models!$BJ134:$BT134,,AH134+1)*AF134-ERP_i)*AE134*Ramure*Pc/MaxiM</f>
        <v>3.7984897990107564E-3</v>
      </c>
      <c r="AE134" s="304">
        <f t="shared" si="40"/>
        <v>0.7</v>
      </c>
      <c r="AF134" s="177">
        <f t="shared" si="41"/>
        <v>0.26106513610454884</v>
      </c>
      <c r="AG134" s="799">
        <f t="shared" si="49"/>
        <v>1</v>
      </c>
      <c r="AH134" s="176">
        <f t="shared" si="42"/>
        <v>7</v>
      </c>
      <c r="AI134" s="224">
        <f t="shared" si="43"/>
        <v>1.2610651361045488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45778</v>
      </c>
      <c r="B135" s="409">
        <f>'2024'!Wh/'2024'!Env_an*'2025'!Env_an</f>
        <v>46.629616253803277</v>
      </c>
      <c r="C135" s="829"/>
      <c r="D135" s="391">
        <f t="shared" si="25"/>
        <v>48.733797037068399</v>
      </c>
      <c r="E135" s="383">
        <f t="shared" si="47"/>
        <v>49.086608149347491</v>
      </c>
      <c r="F135" s="383">
        <f t="shared" si="26"/>
        <v>49.216322056316749</v>
      </c>
      <c r="G135" s="110">
        <f t="shared" si="48"/>
        <v>0.81040000466435347</v>
      </c>
      <c r="H135" s="412" t="b">
        <f>Wh_hp&gt;='2024'!Maxi_hp</f>
        <v>0</v>
      </c>
      <c r="I135" s="388">
        <f>IF(H135,Wh_hp,'2024'!Maxi_hp)</f>
        <v>55.014185059625483</v>
      </c>
      <c r="J135" s="85">
        <f>IF(H135,An,'2024'!An_max)</f>
        <v>2018</v>
      </c>
      <c r="K135" s="197">
        <f t="shared" si="27"/>
        <v>45778</v>
      </c>
      <c r="L135" s="147">
        <f>IF(t&lt;Tvie,1-EXP((T0-t)*PertePVj)+'2024'!Pspv,1-EXP((T0-t)*PertePVj)+Pspv)</f>
        <v>4.3177033418196786E-2</v>
      </c>
      <c r="M135" s="832"/>
      <c r="N135" s="832"/>
      <c r="O135" s="48">
        <f>IF(t&lt;Tnet,'2024'!Resal+('2024'!Salim-'2024'!Resal)*(1-EXP(('2024'!Tnet-t)/('2024'!Tau_j))),Resal+(Salim-Resal)*(1-EXP((Tnet-t)/(Tau_j))))*Salcycl</f>
        <v>7.1875227395148556E-3</v>
      </c>
      <c r="P135" s="169">
        <f>(INDEX(Models!$BJ135:$BT135,,T135)*(1-R135)+INDEX(Models!$BJ135:$BT135,,T135+1)*R135-ERP_i)*Q135*Ramure*Pc/MaxiM</f>
        <v>3.6090391283194532E-3</v>
      </c>
      <c r="Q135" s="304">
        <f t="shared" si="28"/>
        <v>0.7</v>
      </c>
      <c r="R135" s="177">
        <f t="shared" si="29"/>
        <v>0.19893681205116454</v>
      </c>
      <c r="S135" s="799">
        <f t="shared" si="30"/>
        <v>1</v>
      </c>
      <c r="T135" s="176">
        <f t="shared" si="31"/>
        <v>7</v>
      </c>
      <c r="U135" s="250">
        <f t="shared" si="32"/>
        <v>1.1989368120511645</v>
      </c>
      <c r="V135" s="382">
        <f t="shared" si="33"/>
        <v>57.482853337278321</v>
      </c>
      <c r="W135" s="400">
        <f t="shared" si="34"/>
        <v>46.629616253803277</v>
      </c>
      <c r="X135" s="157">
        <f t="shared" si="35"/>
        <v>45778</v>
      </c>
      <c r="Y135" s="383">
        <f t="shared" si="36"/>
        <v>44.172863593516041</v>
      </c>
      <c r="Z135" s="383">
        <f t="shared" si="37"/>
        <v>46.166182393511242</v>
      </c>
      <c r="AA135" s="384">
        <f t="shared" si="38"/>
        <v>49.08078581272656</v>
      </c>
      <c r="AB135" s="197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5.9383796957455541E-2</v>
      </c>
      <c r="AD135" s="230">
        <f>(INDEX(Models!$BJ135:$BT135,,AH135)*(1-AF135)+INDEX(Models!$BJ135:$BT135,,AH135+1)*AF135-ERP_i)*AE135*Ramure*Pc/MaxiM</f>
        <v>3.7710344083488564E-3</v>
      </c>
      <c r="AE135" s="304">
        <f t="shared" si="40"/>
        <v>0.7</v>
      </c>
      <c r="AF135" s="177">
        <f t="shared" si="41"/>
        <v>0.26326903431099669</v>
      </c>
      <c r="AG135" s="799">
        <f t="shared" si="49"/>
        <v>1</v>
      </c>
      <c r="AH135" s="176">
        <f t="shared" si="42"/>
        <v>7</v>
      </c>
      <c r="AI135" s="224">
        <f t="shared" si="43"/>
        <v>1.2632690343109967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45779</v>
      </c>
      <c r="B136" s="409">
        <f>'2024'!Wh/'2024'!Env_an*'2025'!Env_an</f>
        <v>26.466260167716996</v>
      </c>
      <c r="C136" s="829"/>
      <c r="D136" s="391">
        <f t="shared" si="25"/>
        <v>27.66109125894749</v>
      </c>
      <c r="E136" s="383">
        <f t="shared" si="47"/>
        <v>27.864437020551016</v>
      </c>
      <c r="F136" s="383">
        <f t="shared" si="26"/>
        <v>27.8872503732686</v>
      </c>
      <c r="G136" s="110">
        <f t="shared" si="48"/>
        <v>0.45849883600037944</v>
      </c>
      <c r="H136" s="412" t="b">
        <f>Wh_hp&gt;='2024'!Maxi_hp</f>
        <v>0</v>
      </c>
      <c r="I136" s="388">
        <f>IF(H136,Wh_hp,'2024'!Maxi_hp)</f>
        <v>52.243655726180137</v>
      </c>
      <c r="J136" s="85">
        <f>IF(H136,An,'2024'!An_max)</f>
        <v>2021</v>
      </c>
      <c r="K136" s="197">
        <f t="shared" si="27"/>
        <v>45779</v>
      </c>
      <c r="L136" s="147">
        <f>IF(t&lt;Tvie,1-EXP((T0-t)*PertePVj)+'2024'!Pspv,1-EXP((T0-t)*PertePVj)+Pspv)</f>
        <v>4.3195370712064918E-2</v>
      </c>
      <c r="M136" s="832"/>
      <c r="N136" s="832"/>
      <c r="O136" s="48">
        <f>IF(t&lt;Tnet,'2024'!Resal+('2024'!Salim-'2024'!Resal)*(1-EXP(('2024'!Tnet-t)/('2024'!Tau_j))),Resal+(Salim-Resal)*(1-EXP((Tnet-t)/(Tau_j))))*Salcycl</f>
        <v>7.297680604619888E-3</v>
      </c>
      <c r="P136" s="169">
        <f>(INDEX(Models!$BJ136:$BT136,,T136)*(1-R136)+INDEX(Models!$BJ136:$BT136,,T136+1)*R136-ERP_i)*Q136*Ramure*Pc/MaxiM</f>
        <v>3.5841137835047714E-3</v>
      </c>
      <c r="Q136" s="304">
        <f t="shared" si="28"/>
        <v>0.7</v>
      </c>
      <c r="R136" s="177">
        <f t="shared" si="29"/>
        <v>0.20120280039951277</v>
      </c>
      <c r="S136" s="799">
        <f t="shared" si="30"/>
        <v>1</v>
      </c>
      <c r="T136" s="176">
        <f t="shared" si="31"/>
        <v>7</v>
      </c>
      <c r="U136" s="250">
        <f t="shared" si="32"/>
        <v>1.2012028003995128</v>
      </c>
      <c r="V136" s="382">
        <f t="shared" si="33"/>
        <v>57.563925953546708</v>
      </c>
      <c r="W136" s="400">
        <f t="shared" si="34"/>
        <v>26.466260167716996</v>
      </c>
      <c r="X136" s="157">
        <f t="shared" si="35"/>
        <v>45779</v>
      </c>
      <c r="Y136" s="383">
        <f t="shared" si="36"/>
        <v>25.074655878386217</v>
      </c>
      <c r="Z136" s="383">
        <f t="shared" si="37"/>
        <v>26.20666237479125</v>
      </c>
      <c r="AA136" s="384">
        <f t="shared" si="38"/>
        <v>27.863426314489224</v>
      </c>
      <c r="AB136" s="197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5.94601654871297E-2</v>
      </c>
      <c r="AD136" s="230">
        <f>(INDEX(Models!$BJ136:$BT136,,AH136)*(1-AF136)+INDEX(Models!$BJ136:$BT136,,AH136+1)*AF136-ERP_i)*AE136*Ramure*Pc/MaxiM</f>
        <v>3.7429017342274391E-3</v>
      </c>
      <c r="AE136" s="304">
        <f t="shared" si="40"/>
        <v>0.7</v>
      </c>
      <c r="AF136" s="177">
        <f t="shared" si="41"/>
        <v>0.26553502265934492</v>
      </c>
      <c r="AG136" s="799">
        <f t="shared" si="49"/>
        <v>1</v>
      </c>
      <c r="AH136" s="176">
        <f t="shared" si="42"/>
        <v>7</v>
      </c>
      <c r="AI136" s="224">
        <f t="shared" si="43"/>
        <v>1.2655350226593449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45780</v>
      </c>
      <c r="B137" s="409">
        <f>'2024'!Wh/'2024'!Env_an*'2025'!Env_an</f>
        <v>32.526283495818255</v>
      </c>
      <c r="C137" s="829"/>
      <c r="D137" s="391">
        <f t="shared" si="25"/>
        <v>33.995348549656022</v>
      </c>
      <c r="E137" s="383">
        <f t="shared" si="47"/>
        <v>34.249062959577103</v>
      </c>
      <c r="F137" s="383">
        <f t="shared" si="26"/>
        <v>34.295037584579468</v>
      </c>
      <c r="G137" s="110">
        <f t="shared" si="48"/>
        <v>0.56304115556578904</v>
      </c>
      <c r="H137" s="412" t="b">
        <f>Wh_hp&gt;='2024'!Maxi_hp</f>
        <v>0</v>
      </c>
      <c r="I137" s="388">
        <f>IF(H137,Wh_hp,'2024'!Maxi_hp)</f>
        <v>59.318580235290369</v>
      </c>
      <c r="J137" s="85">
        <f>IF(H137,An,'2024'!An_max)</f>
        <v>2021</v>
      </c>
      <c r="K137" s="197">
        <f t="shared" si="27"/>
        <v>45780</v>
      </c>
      <c r="L137" s="147">
        <f>IF(t&lt;Tvie,1-EXP((T0-t)*PertePVj)+'2024'!Pspv,1-EXP((T0-t)*PertePVj)+Pspv)</f>
        <v>4.3213707654502942E-2</v>
      </c>
      <c r="M137" s="832"/>
      <c r="N137" s="832"/>
      <c r="O137" s="48">
        <f>IF(t&lt;Tnet,'2024'!Resal+('2024'!Salim-'2024'!Resal)*(1-EXP(('2024'!Tnet-t)/('2024'!Tau_j))),Resal+(Salim-Resal)*(1-EXP((Tnet-t)/(Tau_j))))*Salcycl</f>
        <v>7.4079226698999558E-3</v>
      </c>
      <c r="P137" s="169">
        <f>(INDEX(Models!$BJ137:$BT137,,T137)*(1-R137)+INDEX(Models!$BJ137:$BT137,,T137+1)*R137-ERP_i)*Q137*Ramure*Pc/MaxiM</f>
        <v>3.5506209726350537E-3</v>
      </c>
      <c r="Q137" s="304">
        <f t="shared" si="28"/>
        <v>0.7</v>
      </c>
      <c r="R137" s="177">
        <f t="shared" si="29"/>
        <v>0.20353154541196372</v>
      </c>
      <c r="S137" s="799">
        <f t="shared" si="30"/>
        <v>1</v>
      </c>
      <c r="T137" s="176">
        <f t="shared" si="31"/>
        <v>7</v>
      </c>
      <c r="U137" s="250">
        <f t="shared" si="32"/>
        <v>1.2035315454119637</v>
      </c>
      <c r="V137" s="382">
        <f t="shared" si="33"/>
        <v>57.641083028183978</v>
      </c>
      <c r="W137" s="400">
        <f t="shared" si="34"/>
        <v>32.526283495818255</v>
      </c>
      <c r="X137" s="157">
        <f t="shared" si="35"/>
        <v>45780</v>
      </c>
      <c r="Y137" s="383">
        <f t="shared" si="36"/>
        <v>30.816237224999888</v>
      </c>
      <c r="Z137" s="383">
        <f t="shared" si="37"/>
        <v>32.208067226230803</v>
      </c>
      <c r="AA137" s="384">
        <f t="shared" si="38"/>
        <v>34.247044065966691</v>
      </c>
      <c r="AB137" s="197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5.9537308849441438E-2</v>
      </c>
      <c r="AD137" s="230">
        <f>(INDEX(Models!$BJ137:$BT137,,AH137)*(1-AF137)+INDEX(Models!$BJ137:$BT137,,AH137+1)*AF137-ERP_i)*AE137*Ramure*Pc/MaxiM</f>
        <v>3.7065401561909082E-3</v>
      </c>
      <c r="AE137" s="304">
        <f t="shared" si="40"/>
        <v>0.7</v>
      </c>
      <c r="AF137" s="177">
        <f t="shared" si="41"/>
        <v>0.26786376767179587</v>
      </c>
      <c r="AG137" s="799">
        <f t="shared" si="49"/>
        <v>1</v>
      </c>
      <c r="AH137" s="176">
        <f t="shared" si="42"/>
        <v>7</v>
      </c>
      <c r="AI137" s="224">
        <f t="shared" si="43"/>
        <v>1.2678637676717959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45781</v>
      </c>
      <c r="B138" s="409">
        <f>'2024'!Wh/'2024'!Env_an*'2025'!Env_an</f>
        <v>16.456298315956367</v>
      </c>
      <c r="C138" s="829"/>
      <c r="D138" s="391">
        <f t="shared" si="25"/>
        <v>17.19988448294065</v>
      </c>
      <c r="E138" s="383">
        <f t="shared" si="47"/>
        <v>17.330177108237212</v>
      </c>
      <c r="F138" s="383">
        <f t="shared" si="26"/>
        <v>17.330177108237212</v>
      </c>
      <c r="G138" s="110">
        <f t="shared" si="48"/>
        <v>0.28413225340073123</v>
      </c>
      <c r="H138" s="412" t="b">
        <f>Wh_hp&gt;='2024'!Maxi_hp</f>
        <v>0</v>
      </c>
      <c r="I138" s="388">
        <f>IF(H138,Wh_hp,'2024'!Maxi_hp)</f>
        <v>56.957672371792654</v>
      </c>
      <c r="J138" s="85">
        <f>IF(H138,An,'2024'!An_max)</f>
        <v>2020</v>
      </c>
      <c r="K138" s="197">
        <f t="shared" si="27"/>
        <v>45781</v>
      </c>
      <c r="L138" s="147">
        <f>IF(t&lt;Tvie,1-EXP((T0-t)*PertePVj)+'2024'!Pspv,1-EXP((T0-t)*PertePVj)+Pspv)</f>
        <v>4.3232044245517742E-2</v>
      </c>
      <c r="M138" s="832"/>
      <c r="N138" s="832"/>
      <c r="O138" s="48">
        <f>IF(t&lt;Tnet,'2024'!Resal+('2024'!Salim-'2024'!Resal)*(1-EXP(('2024'!Tnet-t)/('2024'!Tau_j))),Resal+(Salim-Resal)*(1-EXP((Tnet-t)/(Tau_j))))*Salcycl</f>
        <v>7.5182512263322985E-3</v>
      </c>
      <c r="P138" s="169">
        <f>(INDEX(Models!$BJ138:$BT138,,T138)*(1-R138)+INDEX(Models!$BJ138:$BT138,,T138+1)*R138-ERP_i)*Q138*Ramure*Pc/MaxiM</f>
        <v>3.5085319156970586E-3</v>
      </c>
      <c r="Q138" s="304">
        <f t="shared" si="28"/>
        <v>0.7</v>
      </c>
      <c r="R138" s="177">
        <f t="shared" si="29"/>
        <v>0.20592364214499592</v>
      </c>
      <c r="S138" s="799">
        <f t="shared" si="30"/>
        <v>1</v>
      </c>
      <c r="T138" s="176">
        <f t="shared" si="31"/>
        <v>7</v>
      </c>
      <c r="U138" s="250">
        <f t="shared" si="32"/>
        <v>1.2059236421449959</v>
      </c>
      <c r="V138" s="382">
        <f t="shared" si="33"/>
        <v>57.714534945712714</v>
      </c>
      <c r="W138" s="400">
        <f t="shared" si="34"/>
        <v>16.456298315956367</v>
      </c>
      <c r="X138" s="157">
        <f t="shared" si="35"/>
        <v>45781</v>
      </c>
      <c r="Y138" s="383">
        <f t="shared" si="36"/>
        <v>15.592480753540366</v>
      </c>
      <c r="Z138" s="383">
        <f t="shared" si="37"/>
        <v>16.297034886838933</v>
      </c>
      <c r="AA138" s="384">
        <f t="shared" si="38"/>
        <v>17.330177108237212</v>
      </c>
      <c r="AB138" s="197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5.9615214255785969E-2</v>
      </c>
      <c r="AD138" s="230">
        <f>(INDEX(Models!$BJ138:$BT138,,AH138)*(1-AF138)+INDEX(Models!$BJ138:$BT138,,AH138+1)*AF138-ERP_i)*AE138*Ramure*Pc/MaxiM</f>
        <v>3.6619197568940353E-3</v>
      </c>
      <c r="AE138" s="304">
        <f t="shared" si="40"/>
        <v>0.7</v>
      </c>
      <c r="AF138" s="177">
        <f t="shared" si="41"/>
        <v>0.27025586440482807</v>
      </c>
      <c r="AG138" s="799">
        <f t="shared" si="49"/>
        <v>1</v>
      </c>
      <c r="AH138" s="176">
        <f t="shared" si="42"/>
        <v>7</v>
      </c>
      <c r="AI138" s="224">
        <f t="shared" si="43"/>
        <v>1.2702558644048281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45782</v>
      </c>
      <c r="B139" s="409">
        <f>'2024'!Wh/'2024'!Env_an*'2025'!Env_an</f>
        <v>35.682855719248785</v>
      </c>
      <c r="C139" s="829"/>
      <c r="D139" s="391">
        <f t="shared" si="25"/>
        <v>37.295918379713207</v>
      </c>
      <c r="E139" s="383">
        <f t="shared" si="47"/>
        <v>37.582623746845208</v>
      </c>
      <c r="F139" s="383">
        <f t="shared" si="26"/>
        <v>37.641662628103596</v>
      </c>
      <c r="G139" s="110">
        <f t="shared" si="48"/>
        <v>0.61634757819292507</v>
      </c>
      <c r="H139" s="412" t="b">
        <f>Wh_hp&gt;='2024'!Maxi_hp</f>
        <v>0</v>
      </c>
      <c r="I139" s="388">
        <f>IF(H139,Wh_hp,'2024'!Maxi_hp)</f>
        <v>61.376169686641241</v>
      </c>
      <c r="J139" s="85">
        <f>IF(H139,An,'2024'!An_max)</f>
        <v>2020</v>
      </c>
      <c r="K139" s="197">
        <f t="shared" si="27"/>
        <v>45782</v>
      </c>
      <c r="L139" s="147">
        <f>IF(t&lt;Tvie,1-EXP((T0-t)*PertePVj)+'2024'!Pspv,1-EXP((T0-t)*PertePVj)+Pspv)</f>
        <v>4.3250380485115869E-2</v>
      </c>
      <c r="M139" s="832"/>
      <c r="N139" s="832"/>
      <c r="O139" s="48">
        <f>IF(t&lt;Tnet,'2024'!Resal+('2024'!Salim-'2024'!Resal)*(1-EXP(('2024'!Tnet-t)/('2024'!Tau_j))),Resal+(Salim-Resal)*(1-EXP((Tnet-t)/(Tau_j))))*Salcycl</f>
        <v>7.6286682128218312E-3</v>
      </c>
      <c r="P139" s="169">
        <f>(INDEX(Models!$BJ139:$BT139,,T139)*(1-R139)+INDEX(Models!$BJ139:$BT139,,T139+1)*R139-ERP_i)*Q139*Ramure*Pc/MaxiM</f>
        <v>3.4578135644973561E-3</v>
      </c>
      <c r="Q139" s="304">
        <f t="shared" si="28"/>
        <v>0.7</v>
      </c>
      <c r="R139" s="177">
        <f t="shared" si="29"/>
        <v>0.20837960859825722</v>
      </c>
      <c r="S139" s="799">
        <f t="shared" si="30"/>
        <v>1</v>
      </c>
      <c r="T139" s="176">
        <f t="shared" si="31"/>
        <v>7</v>
      </c>
      <c r="U139" s="250">
        <f t="shared" si="32"/>
        <v>1.2083796085982572</v>
      </c>
      <c r="V139" s="382">
        <f t="shared" si="33"/>
        <v>57.78449207777637</v>
      </c>
      <c r="W139" s="400">
        <f t="shared" si="34"/>
        <v>35.682855719248785</v>
      </c>
      <c r="X139" s="157">
        <f t="shared" si="35"/>
        <v>45782</v>
      </c>
      <c r="Y139" s="383">
        <f t="shared" si="36"/>
        <v>33.808416590927621</v>
      </c>
      <c r="Z139" s="383">
        <f t="shared" si="37"/>
        <v>35.336744223708223</v>
      </c>
      <c r="AA139" s="384">
        <f t="shared" si="38"/>
        <v>37.580042268758909</v>
      </c>
      <c r="AB139" s="197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5.9693867000133329E-2</v>
      </c>
      <c r="AD139" s="230">
        <f>(INDEX(Models!$BJ139:$BT139,,AH139)*(1-AF139)+INDEX(Models!$BJ139:$BT139,,AH139+1)*AF139-ERP_i)*AE139*Ramure*Pc/MaxiM</f>
        <v>3.6090066385019879E-3</v>
      </c>
      <c r="AE139" s="304">
        <f t="shared" si="40"/>
        <v>0.7</v>
      </c>
      <c r="AF139" s="177">
        <f t="shared" si="41"/>
        <v>0.27271183085808937</v>
      </c>
      <c r="AG139" s="799">
        <f t="shared" si="49"/>
        <v>1</v>
      </c>
      <c r="AH139" s="176">
        <f t="shared" si="42"/>
        <v>7</v>
      </c>
      <c r="AI139" s="224">
        <f t="shared" si="43"/>
        <v>1.2727118308580894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45783</v>
      </c>
      <c r="B140" s="409">
        <f>'2024'!Wh/'2024'!Env_an*'2025'!Env_an</f>
        <v>40.8534012527793</v>
      </c>
      <c r="C140" s="829"/>
      <c r="D140" s="391">
        <f t="shared" si="25"/>
        <v>42.701019556834908</v>
      </c>
      <c r="E140" s="383">
        <f t="shared" si="47"/>
        <v>43.034067746507333</v>
      </c>
      <c r="F140" s="383">
        <f t="shared" si="26"/>
        <v>43.119097239560347</v>
      </c>
      <c r="G140" s="110">
        <f t="shared" si="48"/>
        <v>0.7051718058672678</v>
      </c>
      <c r="H140" s="412" t="b">
        <f>Wh_hp&gt;='2024'!Maxi_hp</f>
        <v>0</v>
      </c>
      <c r="I140" s="388">
        <f>IF(H140,Wh_hp,'2024'!Maxi_hp)</f>
        <v>58.310376218958538</v>
      </c>
      <c r="J140" s="85">
        <f>IF(H140,An,'2024'!An_max)</f>
        <v>2018</v>
      </c>
      <c r="K140" s="197">
        <f t="shared" si="27"/>
        <v>45783</v>
      </c>
      <c r="L140" s="147">
        <f>IF(t&lt;Tvie,1-EXP((T0-t)*PertePVj)+'2024'!Pspv,1-EXP((T0-t)*PertePVj)+Pspv)</f>
        <v>4.3268716373304317E-2</v>
      </c>
      <c r="M140" s="832"/>
      <c r="N140" s="832"/>
      <c r="O140" s="48">
        <f>IF(t&lt;Tnet,'2024'!Resal+('2024'!Salim-'2024'!Resal)*(1-EXP(('2024'!Tnet-t)/('2024'!Tau_j))),Resal+(Salim-Resal)*(1-EXP((Tnet-t)/(Tau_j))))*Salcycl</f>
        <v>7.739175195667033E-3</v>
      </c>
      <c r="P140" s="169">
        <f>(INDEX(Models!$BJ140:$BT140,,T140)*(1-R140)+INDEX(Models!$BJ140:$BT140,,T140+1)*R140-ERP_i)*Q140*Ramure*Pc/MaxiM</f>
        <v>3.3984291502807537E-3</v>
      </c>
      <c r="Q140" s="304">
        <f t="shared" si="28"/>
        <v>0.7</v>
      </c>
      <c r="R140" s="177">
        <f t="shared" si="29"/>
        <v>0.21089988008733029</v>
      </c>
      <c r="S140" s="799">
        <f t="shared" si="30"/>
        <v>1</v>
      </c>
      <c r="T140" s="176">
        <f t="shared" si="31"/>
        <v>7</v>
      </c>
      <c r="U140" s="250">
        <f t="shared" si="32"/>
        <v>1.2108998800873303</v>
      </c>
      <c r="V140" s="382">
        <f t="shared" si="33"/>
        <v>57.85116476719277</v>
      </c>
      <c r="W140" s="400">
        <f t="shared" si="34"/>
        <v>40.8534012527793</v>
      </c>
      <c r="X140" s="157">
        <f t="shared" si="35"/>
        <v>45783</v>
      </c>
      <c r="Y140" s="383">
        <f t="shared" si="36"/>
        <v>38.707691246078525</v>
      </c>
      <c r="Z140" s="383">
        <f t="shared" si="37"/>
        <v>40.458268594864691</v>
      </c>
      <c r="AA140" s="384">
        <f t="shared" si="38"/>
        <v>43.030331367308101</v>
      </c>
      <c r="AB140" s="197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5.9773250419296237E-2</v>
      </c>
      <c r="AD140" s="230">
        <f>(INDEX(Models!$BJ140:$BT140,,AH140)*(1-AF140)+INDEX(Models!$BJ140:$BT140,,AH140+1)*AF140-ERP_i)*AE140*Ramure*Pc/MaxiM</f>
        <v>3.5477634521950169E-3</v>
      </c>
      <c r="AE140" s="304">
        <f t="shared" si="40"/>
        <v>0.7</v>
      </c>
      <c r="AF140" s="177">
        <f t="shared" si="41"/>
        <v>0.27523210234716244</v>
      </c>
      <c r="AG140" s="799">
        <f t="shared" si="49"/>
        <v>1</v>
      </c>
      <c r="AH140" s="176">
        <f t="shared" si="42"/>
        <v>7</v>
      </c>
      <c r="AI140" s="224">
        <f t="shared" si="43"/>
        <v>1.2752321023471624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45784</v>
      </c>
      <c r="B141" s="409">
        <f>'2024'!Wh/'2024'!Env_an*'2025'!Env_an</f>
        <v>45.5266609399647</v>
      </c>
      <c r="C141" s="829"/>
      <c r="D141" s="391">
        <f t="shared" si="25"/>
        <v>47.586542056171872</v>
      </c>
      <c r="E141" s="383">
        <f t="shared" si="47"/>
        <v>47.963041057576852</v>
      </c>
      <c r="F141" s="383">
        <f t="shared" si="26"/>
        <v>48.074220929904854</v>
      </c>
      <c r="G141" s="110">
        <f t="shared" si="48"/>
        <v>0.78529583721785734</v>
      </c>
      <c r="H141" s="412" t="b">
        <f>Wh_hp&gt;='2024'!Maxi_hp</f>
        <v>0</v>
      </c>
      <c r="I141" s="388">
        <f>IF(H141,Wh_hp,'2024'!Maxi_hp)</f>
        <v>58.360511547826988</v>
      </c>
      <c r="J141" s="85">
        <f>IF(H141,An,'2024'!An_max)</f>
        <v>2020</v>
      </c>
      <c r="K141" s="197">
        <f t="shared" si="27"/>
        <v>45784</v>
      </c>
      <c r="L141" s="147">
        <f>IF(t&lt;Tvie,1-EXP((T0-t)*PertePVj)+'2024'!Pspv,1-EXP((T0-t)*PertePVj)+Pspv)</f>
        <v>4.3287051910089525E-2</v>
      </c>
      <c r="M141" s="832"/>
      <c r="N141" s="832"/>
      <c r="O141" s="48">
        <f>IF(t&lt;Tnet,'2024'!Resal+('2024'!Salim-'2024'!Resal)*(1-EXP(('2024'!Tnet-t)/('2024'!Tau_j))),Resal+(Salim-Resal)*(1-EXP((Tnet-t)/(Tau_j))))*Salcycl</f>
        <v>7.8497733484624663E-3</v>
      </c>
      <c r="P141" s="169">
        <f>(INDEX(Models!$BJ141:$BT141,,T141)*(1-R141)+INDEX(Models!$BJ141:$BT141,,T141+1)*R141-ERP_i)*Q141*Ramure*Pc/MaxiM</f>
        <v>3.3303387440684865E-3</v>
      </c>
      <c r="Q141" s="304">
        <f t="shared" si="28"/>
        <v>0.7</v>
      </c>
      <c r="R141" s="177">
        <f t="shared" si="29"/>
        <v>0.21348480361145206</v>
      </c>
      <c r="S141" s="799">
        <f t="shared" si="30"/>
        <v>1</v>
      </c>
      <c r="T141" s="176">
        <f t="shared" si="31"/>
        <v>7</v>
      </c>
      <c r="U141" s="250">
        <f t="shared" si="32"/>
        <v>1.2134848036114521</v>
      </c>
      <c r="V141" s="382">
        <f t="shared" si="33"/>
        <v>57.91476331380121</v>
      </c>
      <c r="W141" s="400">
        <f t="shared" si="34"/>
        <v>45.5266609399647</v>
      </c>
      <c r="X141" s="157">
        <f t="shared" si="35"/>
        <v>45784</v>
      </c>
      <c r="Y141" s="383">
        <f t="shared" si="36"/>
        <v>43.135941805187201</v>
      </c>
      <c r="Z141" s="383">
        <f t="shared" si="37"/>
        <v>45.087653398345509</v>
      </c>
      <c r="AA141" s="384">
        <f t="shared" si="38"/>
        <v>47.958106535542115</v>
      </c>
      <c r="AB141" s="197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5.9853345858625347E-2</v>
      </c>
      <c r="AD141" s="230">
        <f>(INDEX(Models!$BJ141:$BT141,,AH141)*(1-AF141)+INDEX(Models!$BJ141:$BT141,,AH141+1)*AF141-ERP_i)*AE141*Ramure*Pc/MaxiM</f>
        <v>3.4781499402109432E-3</v>
      </c>
      <c r="AE141" s="304">
        <f t="shared" si="40"/>
        <v>0.7</v>
      </c>
      <c r="AF141" s="177">
        <f t="shared" si="41"/>
        <v>0.27781702587128421</v>
      </c>
      <c r="AG141" s="799">
        <f t="shared" si="49"/>
        <v>1</v>
      </c>
      <c r="AH141" s="176">
        <f t="shared" si="42"/>
        <v>7</v>
      </c>
      <c r="AI141" s="224">
        <f t="shared" si="43"/>
        <v>1.2778170258712842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45785</v>
      </c>
      <c r="B142" s="409">
        <f>'2024'!Wh/'2024'!Env_an*'2025'!Env_an</f>
        <v>56.498328260695914</v>
      </c>
      <c r="C142" s="829"/>
      <c r="D142" s="391">
        <f t="shared" si="25"/>
        <v>59.055760844275248</v>
      </c>
      <c r="E142" s="383">
        <f t="shared" si="47"/>
        <v>59.529644401690511</v>
      </c>
      <c r="F142" s="383">
        <f t="shared" si="26"/>
        <v>59.716814031973747</v>
      </c>
      <c r="G142" s="110">
        <f t="shared" si="48"/>
        <v>0.97440425247539209</v>
      </c>
      <c r="H142" s="412" t="b">
        <f>Wh_hp&gt;='2024'!Maxi_hp</f>
        <v>0</v>
      </c>
      <c r="I142" s="388">
        <f>IF(H142,Wh_hp,'2024'!Maxi_hp)</f>
        <v>61.177065802959824</v>
      </c>
      <c r="J142" s="85">
        <f>IF(H142,An,'2024'!An_max)</f>
        <v>2021</v>
      </c>
      <c r="K142" s="197">
        <f t="shared" si="27"/>
        <v>45785</v>
      </c>
      <c r="L142" s="147">
        <f>IF(t&lt;Tvie,1-EXP((T0-t)*PertePVj)+'2024'!Pspv,1-EXP((T0-t)*PertePVj)+Pspv)</f>
        <v>4.3305387095478376E-2</v>
      </c>
      <c r="M142" s="832"/>
      <c r="N142" s="832"/>
      <c r="O142" s="48">
        <f>IF(t&lt;Tnet,'2024'!Resal+('2024'!Salim-'2024'!Resal)*(1-EXP(('2024'!Tnet-t)/('2024'!Tau_j))),Resal+(Salim-Resal)*(1-EXP((Tnet-t)/(Tau_j))))*Salcycl</f>
        <v>7.9604634325987026E-3</v>
      </c>
      <c r="P142" s="169">
        <f>(INDEX(Models!$BJ142:$BT142,,T142)*(1-R142)+INDEX(Models!$BJ142:$BT142,,T142+1)*R142-ERP_i)*Q142*Ramure*Pc/MaxiM</f>
        <v>3.2526846793212824E-3</v>
      </c>
      <c r="Q142" s="304">
        <f t="shared" si="28"/>
        <v>0.7</v>
      </c>
      <c r="R142" s="177">
        <f t="shared" si="29"/>
        <v>0.21613463224995844</v>
      </c>
      <c r="S142" s="799">
        <f t="shared" si="30"/>
        <v>1</v>
      </c>
      <c r="T142" s="176">
        <f t="shared" si="31"/>
        <v>7</v>
      </c>
      <c r="U142" s="250">
        <f t="shared" si="32"/>
        <v>1.2161346322499584</v>
      </c>
      <c r="V142" s="382">
        <f t="shared" si="33"/>
        <v>57.975545376349537</v>
      </c>
      <c r="W142" s="400">
        <f t="shared" si="34"/>
        <v>56.498328260695914</v>
      </c>
      <c r="X142" s="157">
        <f t="shared" si="35"/>
        <v>45785</v>
      </c>
      <c r="Y142" s="383">
        <f t="shared" si="36"/>
        <v>53.530765577585477</v>
      </c>
      <c r="Z142" s="383">
        <f t="shared" si="37"/>
        <v>55.953869558297448</v>
      </c>
      <c r="AA142" s="384">
        <f t="shared" si="38"/>
        <v>59.521222396535329</v>
      </c>
      <c r="AB142" s="197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5.9934132643847268E-2</v>
      </c>
      <c r="AD142" s="230">
        <f>(INDEX(Models!$BJ142:$BT142,,AH142)*(1-AF142)+INDEX(Models!$BJ142:$BT142,,AH142+1)*AF142-ERP_i)*AE142*Ramure*Pc/MaxiM</f>
        <v>3.3990445727290178E-3</v>
      </c>
      <c r="AE142" s="304">
        <f t="shared" si="40"/>
        <v>0.7</v>
      </c>
      <c r="AF142" s="177">
        <f t="shared" si="41"/>
        <v>0.28046685450979059</v>
      </c>
      <c r="AG142" s="799">
        <f t="shared" si="49"/>
        <v>1</v>
      </c>
      <c r="AH142" s="176">
        <f t="shared" si="42"/>
        <v>7</v>
      </c>
      <c r="AI142" s="224">
        <f t="shared" si="43"/>
        <v>1.2804668545097906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45786</v>
      </c>
      <c r="B143" s="409">
        <f>'2024'!Wh/'2024'!Env_an*'2025'!Env_an</f>
        <v>54.192685890971241</v>
      </c>
      <c r="C143" s="829"/>
      <c r="D143" s="391">
        <f t="shared" ref="D143:D206" si="50">Wh/(1-Ppv)</f>
        <v>56.646837737285637</v>
      </c>
      <c r="E143" s="383">
        <f t="shared" si="47"/>
        <v>57.107768573304099</v>
      </c>
      <c r="F143" s="383">
        <f t="shared" ref="F143:F206" si="51">Wh_sa/(1-Pvg*MEDIAN((-Sdif+Wh/Env_an)/Csdif,0,1))</f>
        <v>57.2720661331389</v>
      </c>
      <c r="G143" s="110">
        <f t="shared" si="48"/>
        <v>0.93353587179912112</v>
      </c>
      <c r="H143" s="412" t="b">
        <f>Wh_hp&gt;='2024'!Maxi_hp</f>
        <v>0</v>
      </c>
      <c r="I143" s="388">
        <f>IF(H143,Wh_hp,'2024'!Maxi_hp)</f>
        <v>57.284230576804276</v>
      </c>
      <c r="J143" s="85">
        <f>IF(H143,An,'2024'!An_max)</f>
        <v>2022</v>
      </c>
      <c r="K143" s="197">
        <f t="shared" ref="K143:K206" si="52">t</f>
        <v>45786</v>
      </c>
      <c r="L143" s="147">
        <f>IF(t&lt;Tvie,1-EXP((T0-t)*PertePVj)+'2024'!Pspv,1-EXP((T0-t)*PertePVj)+Pspv)</f>
        <v>4.3323721929477532E-2</v>
      </c>
      <c r="M143" s="832"/>
      <c r="N143" s="832"/>
      <c r="O143" s="48">
        <f>IF(t&lt;Tnet,'2024'!Resal+('2024'!Salim-'2024'!Resal)*(1-EXP(('2024'!Tnet-t)/('2024'!Tau_j))),Resal+(Salim-Resal)*(1-EXP((Tnet-t)/(Tau_j))))*Salcycl</f>
        <v>8.0712457785284443E-3</v>
      </c>
      <c r="P143" s="169">
        <f>(INDEX(Models!$BJ143:$BT143,,T143)*(1-R143)+INDEX(Models!$BJ143:$BT143,,T143+1)*R143-ERP_i)*Q143*Ramure*Pc/MaxiM</f>
        <v>3.1682746800682101E-3</v>
      </c>
      <c r="Q143" s="304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0.2188495196238347</v>
      </c>
      <c r="S143" s="799">
        <f t="shared" ref="S143:S206" si="55">INDEX(Echel_vg,T143)</f>
        <v>1</v>
      </c>
      <c r="T143" s="176">
        <f t="shared" ref="T143:T206" si="56">MIN(MATCH(Hp_vg,Echel_vg),10)</f>
        <v>7</v>
      </c>
      <c r="U143" s="250">
        <f t="shared" ref="U143:U206" si="57">IF(OR(t&lt;Ttai,Notai),Hdd+PousH*Croivg,Hdtf+PousH*(Croivg-Croi_tai))</f>
        <v>1.2188495196238347</v>
      </c>
      <c r="V143" s="382">
        <f t="shared" ref="V143:V206" si="58">MaxiM*(1-Ppv)*(1-Pvg)*(1-Psa)</f>
        <v>58.033555203774377</v>
      </c>
      <c r="W143" s="400">
        <f t="shared" ref="W143:W206" si="59">Wh*(A143&gt;Tmaj)</f>
        <v>54.192685890971241</v>
      </c>
      <c r="X143" s="157">
        <f t="shared" ref="X143:X206" si="60">t</f>
        <v>45786</v>
      </c>
      <c r="Y143" s="383">
        <f t="shared" ref="Y143:Y206" si="61">Wh_pvt_s*(1-Ppv)</f>
        <v>51.348027149364839</v>
      </c>
      <c r="Z143" s="383">
        <f t="shared" ref="Z143:Z206" si="62">Wh_sa_s*(1-Psa_s)</f>
        <v>53.673356731418465</v>
      </c>
      <c r="AA143" s="384">
        <f t="shared" ref="AA143:AA206" si="63">Wh_hp*(1-Pvg_s*MEDIAN((-Sdif+Wh/Env_an)/Csdif,0,1))</f>
        <v>57.100262567790566</v>
      </c>
      <c r="AB143" s="197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6.0015588059750317E-2</v>
      </c>
      <c r="AD143" s="230">
        <f>(INDEX(Models!$BJ143:$BT143,,AH143)*(1-AF143)+INDEX(Models!$BJ143:$BT143,,AH143+1)*AF143-ERP_i)*AE143*Ramure*Pc/MaxiM</f>
        <v>3.3130186874709426E-3</v>
      </c>
      <c r="AE143" s="304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0.28318174188366685</v>
      </c>
      <c r="AG143" s="799">
        <f t="shared" si="49"/>
        <v>1</v>
      </c>
      <c r="AH143" s="176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1.2831817418836668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45787</v>
      </c>
      <c r="B144" s="409">
        <f>'2024'!Wh/'2024'!Env_an*'2025'!Env_an</f>
        <v>55.348120373078977</v>
      </c>
      <c r="C144" s="829"/>
      <c r="D144" s="391">
        <f t="shared" si="50"/>
        <v>57.855705630267522</v>
      </c>
      <c r="E144" s="383">
        <f t="shared" ref="E144:E169" si="72">Wh_pvt/(1-Psa)</f>
        <v>58.332993196189612</v>
      </c>
      <c r="F144" s="383">
        <f t="shared" si="51"/>
        <v>58.50086716095025</v>
      </c>
      <c r="G144" s="110">
        <f t="shared" ref="G144:G169" si="73">+Wh_hp/MaxiM</f>
        <v>0.95261757114275425</v>
      </c>
      <c r="H144" s="412" t="b">
        <f>Wh_hp&gt;='2024'!Maxi_hp</f>
        <v>0</v>
      </c>
      <c r="I144" s="388">
        <f>IF(H144,Wh_hp,'2024'!Maxi_hp)</f>
        <v>58.509584701555575</v>
      </c>
      <c r="J144" s="85">
        <f>IF(H144,An,'2024'!An_max)</f>
        <v>2022</v>
      </c>
      <c r="K144" s="197">
        <f t="shared" si="52"/>
        <v>45787</v>
      </c>
      <c r="L144" s="147">
        <f>IF(t&lt;Tvie,1-EXP((T0-t)*PertePVj)+'2024'!Pspv,1-EXP((T0-t)*PertePVj)+Pspv)</f>
        <v>4.3342056412093766E-2</v>
      </c>
      <c r="M144" s="832"/>
      <c r="N144" s="832"/>
      <c r="O144" s="48">
        <f>IF(t&lt;Tnet,'2024'!Resal+('2024'!Salim-'2024'!Resal)*(1-EXP(('2024'!Tnet-t)/('2024'!Tau_j))),Resal+(Salim-Resal)*(1-EXP((Tnet-t)/(Tau_j))))*Salcycl</f>
        <v>8.1821202679733199E-3</v>
      </c>
      <c r="P144" s="169">
        <f>(INDEX(Models!$BJ144:$BT144,,T144)*(1-R144)+INDEX(Models!$BJ144:$BT144,,T144+1)*R144-ERP_i)*Q144*Ramure*Pc/MaxiM</f>
        <v>3.0770067704248079E-3</v>
      </c>
      <c r="Q144" s="304">
        <f t="shared" si="53"/>
        <v>0.7</v>
      </c>
      <c r="R144" s="177">
        <f t="shared" si="54"/>
        <v>0.22162951446120926</v>
      </c>
      <c r="S144" s="799">
        <f t="shared" si="55"/>
        <v>1</v>
      </c>
      <c r="T144" s="176">
        <f t="shared" si="56"/>
        <v>7</v>
      </c>
      <c r="U144" s="250">
        <f t="shared" si="57"/>
        <v>1.2216295144612093</v>
      </c>
      <c r="V144" s="382">
        <f t="shared" si="58"/>
        <v>58.089005830449608</v>
      </c>
      <c r="W144" s="400">
        <f t="shared" si="59"/>
        <v>55.348120373078977</v>
      </c>
      <c r="X144" s="157">
        <f t="shared" si="60"/>
        <v>45787</v>
      </c>
      <c r="Y144" s="383">
        <f t="shared" si="61"/>
        <v>52.44397347260756</v>
      </c>
      <c r="Z144" s="383">
        <f t="shared" si="62"/>
        <v>54.819984325764963</v>
      </c>
      <c r="AA144" s="384">
        <f t="shared" si="63"/>
        <v>58.325193572947185</v>
      </c>
      <c r="AB144" s="197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6.0097687336404075E-2</v>
      </c>
      <c r="AD144" s="230">
        <f>(INDEX(Models!$BJ144:$BT144,,AH144)*(1-AF144)+INDEX(Models!$BJ144:$BT144,,AH144+1)*AF144-ERP_i)*AE144*Ramure*Pc/MaxiM</f>
        <v>3.2199681495636754E-3</v>
      </c>
      <c r="AE144" s="304">
        <f t="shared" si="65"/>
        <v>0.7</v>
      </c>
      <c r="AF144" s="177">
        <f t="shared" si="66"/>
        <v>0.28596173672104142</v>
      </c>
      <c r="AG144" s="799">
        <f t="shared" ref="AG144:AG207" si="74">INDEX(Echel_vg,AH144)</f>
        <v>1</v>
      </c>
      <c r="AH144" s="176">
        <f t="shared" si="67"/>
        <v>7</v>
      </c>
      <c r="AI144" s="224">
        <f t="shared" si="68"/>
        <v>1.2859617367210414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45788</v>
      </c>
      <c r="B145" s="409">
        <f>'2024'!Wh/'2024'!Env_an*'2025'!Env_an</f>
        <v>58.561348097764395</v>
      </c>
      <c r="C145" s="829"/>
      <c r="D145" s="391">
        <f t="shared" si="50"/>
        <v>61.215684066254539</v>
      </c>
      <c r="E145" s="383">
        <f t="shared" si="72"/>
        <v>61.727596350949327</v>
      </c>
      <c r="F145" s="383">
        <f t="shared" si="51"/>
        <v>61.912018368777417</v>
      </c>
      <c r="G145" s="110">
        <f t="shared" si="73"/>
        <v>1.0072105694192106</v>
      </c>
      <c r="H145" s="412" t="b">
        <f>Wh_hp&gt;='2024'!Maxi_hp</f>
        <v>1</v>
      </c>
      <c r="I145" s="388">
        <f>IF(H145,Wh_hp,'2024'!Maxi_hp)</f>
        <v>61.912018368777417</v>
      </c>
      <c r="J145" s="85">
        <f>IF(H145,An,'2024'!An_max)</f>
        <v>2025</v>
      </c>
      <c r="K145" s="197">
        <f t="shared" si="52"/>
        <v>45788</v>
      </c>
      <c r="L145" s="147">
        <f>IF(t&lt;Tvie,1-EXP((T0-t)*PertePVj)+'2024'!Pspv,1-EXP((T0-t)*PertePVj)+Pspv)</f>
        <v>4.336039054333396E-2</v>
      </c>
      <c r="M145" s="832"/>
      <c r="N145" s="832"/>
      <c r="O145" s="48">
        <f>IF(t&lt;Tnet,'2024'!Resal+('2024'!Salim-'2024'!Resal)*(1-EXP(('2024'!Tnet-t)/('2024'!Tau_j))),Resal+(Salim-Resal)*(1-EXP((Tnet-t)/(Tau_j))))*Salcycl</f>
        <v>8.293086317250049E-3</v>
      </c>
      <c r="P145" s="169">
        <f>(INDEX(Models!$BJ145:$BT145,,T145)*(1-R145)+INDEX(Models!$BJ145:$BT145,,T145+1)*R145-ERP_i)*Q145*Ramure*Pc/MaxiM</f>
        <v>2.9787757318714514E-3</v>
      </c>
      <c r="Q145" s="304">
        <f t="shared" si="53"/>
        <v>0.7</v>
      </c>
      <c r="R145" s="177">
        <f t="shared" si="54"/>
        <v>0.22447455530790084</v>
      </c>
      <c r="S145" s="799">
        <f t="shared" si="55"/>
        <v>1</v>
      </c>
      <c r="T145" s="176">
        <f t="shared" si="56"/>
        <v>7</v>
      </c>
      <c r="U145" s="250">
        <f t="shared" si="57"/>
        <v>1.2244745553079008</v>
      </c>
      <c r="V145" s="382">
        <f t="shared" si="58"/>
        <v>58.142110374728013</v>
      </c>
      <c r="W145" s="400">
        <f t="shared" si="59"/>
        <v>58.561348097764395</v>
      </c>
      <c r="X145" s="157">
        <f t="shared" si="60"/>
        <v>45788</v>
      </c>
      <c r="Y145" s="383">
        <f t="shared" si="61"/>
        <v>55.489497769302027</v>
      </c>
      <c r="Z145" s="383">
        <f t="shared" si="62"/>
        <v>58.004599873109889</v>
      </c>
      <c r="AA145" s="384">
        <f t="shared" si="63"/>
        <v>61.718866150468529</v>
      </c>
      <c r="AB145" s="197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6.0180403643569559E-2</v>
      </c>
      <c r="AD145" s="230">
        <f>(INDEX(Models!$BJ145:$BT145,,AH145)*(1-AF145)+INDEX(Models!$BJ145:$BT145,,AH145+1)*AF145-ERP_i)*AE145*Ramure*Pc/MaxiM</f>
        <v>3.1197855181910724E-3</v>
      </c>
      <c r="AE145" s="304">
        <f t="shared" si="65"/>
        <v>0.7</v>
      </c>
      <c r="AF145" s="177">
        <f t="shared" si="66"/>
        <v>0.28880677756773299</v>
      </c>
      <c r="AG145" s="799">
        <f t="shared" si="74"/>
        <v>1</v>
      </c>
      <c r="AH145" s="176">
        <f t="shared" si="67"/>
        <v>7</v>
      </c>
      <c r="AI145" s="224">
        <f t="shared" si="68"/>
        <v>1.288806777567733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45789</v>
      </c>
      <c r="B146" s="409">
        <f>'2024'!Wh/'2024'!Env_an*'2025'!Env_an</f>
        <v>44.423238717604015</v>
      </c>
      <c r="C146" s="829"/>
      <c r="D146" s="391">
        <f t="shared" si="50"/>
        <v>46.437644496433791</v>
      </c>
      <c r="E146" s="383">
        <f t="shared" si="72"/>
        <v>46.831220766149578</v>
      </c>
      <c r="F146" s="383">
        <f t="shared" si="51"/>
        <v>46.92047023573997</v>
      </c>
      <c r="G146" s="110">
        <f t="shared" si="73"/>
        <v>0.76263372412091335</v>
      </c>
      <c r="H146" s="412" t="b">
        <f>Wh_hp&gt;='2024'!Maxi_hp</f>
        <v>0</v>
      </c>
      <c r="I146" s="388">
        <f>IF(H146,Wh_hp,'2024'!Maxi_hp)</f>
        <v>46.954038073013493</v>
      </c>
      <c r="J146" s="85">
        <f>IF(H146,An,'2024'!An_max)</f>
        <v>2022</v>
      </c>
      <c r="K146" s="197">
        <f t="shared" si="52"/>
        <v>45789</v>
      </c>
      <c r="L146" s="147">
        <f>IF(t&lt;Tvie,1-EXP((T0-t)*PertePVj)+'2024'!Pspv,1-EXP((T0-t)*PertePVj)+Pspv)</f>
        <v>4.3378724323204554E-2</v>
      </c>
      <c r="M146" s="832"/>
      <c r="N146" s="832"/>
      <c r="O146" s="48">
        <f>IF(t&lt;Tnet,'2024'!Resal+('2024'!Salim-'2024'!Resal)*(1-EXP(('2024'!Tnet-t)/('2024'!Tau_j))),Resal+(Salim-Resal)*(1-EXP((Tnet-t)/(Tau_j))))*Salcycl</f>
        <v>8.4041428618975619E-3</v>
      </c>
      <c r="P146" s="169">
        <f>(INDEX(Models!$BJ146:$BT146,,T146)*(1-R146)+INDEX(Models!$BJ146:$BT146,,T146+1)*R146-ERP_i)*Q146*Ramure*Pc/MaxiM</f>
        <v>2.8734735451014094E-3</v>
      </c>
      <c r="Q146" s="304">
        <f t="shared" si="53"/>
        <v>0.7</v>
      </c>
      <c r="R146" s="177">
        <f t="shared" si="54"/>
        <v>0.22738446542616386</v>
      </c>
      <c r="S146" s="799">
        <f t="shared" si="55"/>
        <v>1</v>
      </c>
      <c r="T146" s="176">
        <f t="shared" si="56"/>
        <v>7</v>
      </c>
      <c r="U146" s="250">
        <f t="shared" si="57"/>
        <v>1.2273844654261639</v>
      </c>
      <c r="V146" s="382">
        <f t="shared" si="58"/>
        <v>58.193082021250319</v>
      </c>
      <c r="W146" s="400">
        <f t="shared" si="59"/>
        <v>44.423238717604015</v>
      </c>
      <c r="X146" s="157">
        <f t="shared" si="60"/>
        <v>45789</v>
      </c>
      <c r="Y146" s="383">
        <f t="shared" si="61"/>
        <v>42.096065583889057</v>
      </c>
      <c r="Z146" s="383">
        <f t="shared" si="62"/>
        <v>44.00494391482848</v>
      </c>
      <c r="AA146" s="384">
        <f t="shared" si="63"/>
        <v>46.826906967243652</v>
      </c>
      <c r="AB146" s="197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6.0263708093921099E-2</v>
      </c>
      <c r="AD146" s="230">
        <f>(INDEX(Models!$BJ146:$BT146,,AH146)*(1-AF146)+INDEX(Models!$BJ146:$BT146,,AH146+1)*AF146-ERP_i)*AE146*Ramure*Pc/MaxiM</f>
        <v>3.0123604997461723E-3</v>
      </c>
      <c r="AE146" s="304">
        <f t="shared" si="65"/>
        <v>0.7</v>
      </c>
      <c r="AF146" s="177">
        <f t="shared" si="66"/>
        <v>0.29171668768599601</v>
      </c>
      <c r="AG146" s="799">
        <f t="shared" si="74"/>
        <v>1</v>
      </c>
      <c r="AH146" s="176">
        <f t="shared" si="67"/>
        <v>7</v>
      </c>
      <c r="AI146" s="224">
        <f t="shared" si="68"/>
        <v>1.291716687685996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45790</v>
      </c>
      <c r="B147" s="409">
        <f>'2024'!Wh/'2024'!Env_an*'2025'!Env_an</f>
        <v>38.365614402618093</v>
      </c>
      <c r="C147" s="829"/>
      <c r="D147" s="391">
        <f t="shared" si="50"/>
        <v>40.106101192254386</v>
      </c>
      <c r="E147" s="383">
        <f t="shared" si="72"/>
        <v>40.450549283023449</v>
      </c>
      <c r="F147" s="383">
        <f t="shared" si="51"/>
        <v>40.507864390028026</v>
      </c>
      <c r="G147" s="110">
        <f t="shared" si="73"/>
        <v>0.65783815817865576</v>
      </c>
      <c r="H147" s="412" t="b">
        <f>Wh_hp&gt;='2024'!Maxi_hp</f>
        <v>0</v>
      </c>
      <c r="I147" s="388">
        <f>IF(H147,Wh_hp,'2024'!Maxi_hp)</f>
        <v>60.109259389460362</v>
      </c>
      <c r="J147" s="85">
        <f>IF(H147,An,'2024'!An_max)</f>
        <v>2018</v>
      </c>
      <c r="K147" s="197">
        <f t="shared" si="52"/>
        <v>45790</v>
      </c>
      <c r="L147" s="147">
        <f>IF(t&lt;Tvie,1-EXP((T0-t)*PertePVj)+'2024'!Pspv,1-EXP((T0-t)*PertePVj)+Pspv)</f>
        <v>4.3397057751712542E-2</v>
      </c>
      <c r="M147" s="832"/>
      <c r="N147" s="832"/>
      <c r="O147" s="48">
        <f>IF(t&lt;Tnet,'2024'!Resal+('2024'!Salim-'2024'!Resal)*(1-EXP(('2024'!Tnet-t)/('2024'!Tau_j))),Resal+(Salim-Resal)*(1-EXP((Tnet-t)/(Tau_j))))*Salcycl</f>
        <v>8.5152883427871903E-3</v>
      </c>
      <c r="P147" s="169">
        <f>(INDEX(Models!$BJ147:$BT147,,T147)*(1-R147)+INDEX(Models!$BJ147:$BT147,,T147+1)*R147-ERP_i)*Q147*Ramure*Pc/MaxiM</f>
        <v>2.7609898589530135E-3</v>
      </c>
      <c r="Q147" s="304">
        <f t="shared" si="53"/>
        <v>0.7</v>
      </c>
      <c r="R147" s="177">
        <f t="shared" si="54"/>
        <v>0.23035894792652556</v>
      </c>
      <c r="S147" s="799">
        <f t="shared" si="55"/>
        <v>1</v>
      </c>
      <c r="T147" s="176">
        <f t="shared" si="56"/>
        <v>7</v>
      </c>
      <c r="U147" s="250">
        <f t="shared" si="57"/>
        <v>1.2303589479265256</v>
      </c>
      <c r="V147" s="382">
        <f t="shared" si="58"/>
        <v>58.242134010445184</v>
      </c>
      <c r="W147" s="400">
        <f t="shared" si="59"/>
        <v>38.365614402618093</v>
      </c>
      <c r="X147" s="157">
        <f t="shared" si="60"/>
        <v>45790</v>
      </c>
      <c r="Y147" s="383">
        <f t="shared" si="61"/>
        <v>36.357409609847259</v>
      </c>
      <c r="Z147" s="383">
        <f t="shared" si="62"/>
        <v>38.006792582507707</v>
      </c>
      <c r="AA147" s="384">
        <f t="shared" si="63"/>
        <v>40.447713813313378</v>
      </c>
      <c r="AB147" s="197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6.0347569755654362E-2</v>
      </c>
      <c r="AD147" s="230">
        <f>(INDEX(Models!$BJ147:$BT147,,AH147)*(1-AF147)+INDEX(Models!$BJ147:$BT147,,AH147+1)*AF147-ERP_i)*AE147*Ramure*Pc/MaxiM</f>
        <v>2.8975804285957386E-3</v>
      </c>
      <c r="AE147" s="304">
        <f t="shared" si="65"/>
        <v>0.7</v>
      </c>
      <c r="AF147" s="177">
        <f t="shared" si="66"/>
        <v>0.29469117018635771</v>
      </c>
      <c r="AG147" s="799">
        <f t="shared" si="74"/>
        <v>1</v>
      </c>
      <c r="AH147" s="176">
        <f t="shared" si="67"/>
        <v>7</v>
      </c>
      <c r="AI147" s="224">
        <f t="shared" si="68"/>
        <v>1.2946911701863577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45791</v>
      </c>
      <c r="B148" s="409">
        <f>'2024'!Wh/'2024'!Env_an*'2025'!Env_an</f>
        <v>53.347552890594926</v>
      </c>
      <c r="C148" s="829"/>
      <c r="D148" s="391">
        <f t="shared" si="50"/>
        <v>55.768776101070337</v>
      </c>
      <c r="E148" s="383">
        <f t="shared" si="72"/>
        <v>56.254052852114668</v>
      </c>
      <c r="F148" s="383">
        <f t="shared" si="51"/>
        <v>56.384940034415706</v>
      </c>
      <c r="G148" s="110">
        <f t="shared" si="73"/>
        <v>0.91492406105971813</v>
      </c>
      <c r="H148" s="412" t="b">
        <f>Wh_hp&gt;='2024'!Maxi_hp</f>
        <v>0</v>
      </c>
      <c r="I148" s="388">
        <f>IF(H148,Wh_hp,'2024'!Maxi_hp)</f>
        <v>59.065123459499134</v>
      </c>
      <c r="J148" s="85">
        <f>IF(H148,An,'2024'!An_max)</f>
        <v>2018</v>
      </c>
      <c r="K148" s="197">
        <f t="shared" si="52"/>
        <v>45791</v>
      </c>
      <c r="L148" s="147">
        <f>IF(t&lt;Tvie,1-EXP((T0-t)*PertePVj)+'2024'!Pspv,1-EXP((T0-t)*PertePVj)+Pspv)</f>
        <v>4.3415390828864586E-2</v>
      </c>
      <c r="M148" s="832"/>
      <c r="N148" s="832"/>
      <c r="O148" s="48">
        <f>IF(t&lt;Tnet,'2024'!Resal+('2024'!Salim-'2024'!Resal)*(1-EXP(('2024'!Tnet-t)/('2024'!Tau_j))),Resal+(Salim-Resal)*(1-EXP((Tnet-t)/(Tau_j))))*Salcycl</f>
        <v>8.6265206938967633E-3</v>
      </c>
      <c r="P148" s="169">
        <f>(INDEX(Models!$BJ148:$BT148,,T148)*(1-R148)+INDEX(Models!$BJ148:$BT148,,T148+1)*R148-ERP_i)*Q148*Ramure*Pc/MaxiM</f>
        <v>2.6412124877579508E-3</v>
      </c>
      <c r="Q148" s="304">
        <f t="shared" si="53"/>
        <v>0.7</v>
      </c>
      <c r="R148" s="177">
        <f t="shared" si="54"/>
        <v>0.23339758117900744</v>
      </c>
      <c r="S148" s="799">
        <f t="shared" si="55"/>
        <v>1</v>
      </c>
      <c r="T148" s="176">
        <f t="shared" si="56"/>
        <v>7</v>
      </c>
      <c r="U148" s="250">
        <f t="shared" si="57"/>
        <v>1.2333975811790074</v>
      </c>
      <c r="V148" s="382">
        <f t="shared" si="58"/>
        <v>58.289479620898199</v>
      </c>
      <c r="W148" s="400">
        <f t="shared" si="59"/>
        <v>53.347552890594926</v>
      </c>
      <c r="X148" s="157">
        <f t="shared" si="60"/>
        <v>45791</v>
      </c>
      <c r="Y148" s="383">
        <f t="shared" si="61"/>
        <v>50.553837634066397</v>
      </c>
      <c r="Z148" s="383">
        <f t="shared" si="62"/>
        <v>52.848265746059255</v>
      </c>
      <c r="AA148" s="384">
        <f t="shared" si="63"/>
        <v>56.247406523948271</v>
      </c>
      <c r="AB148" s="197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6.043195567500128E-2</v>
      </c>
      <c r="AD148" s="230">
        <f>(INDEX(Models!$BJ148:$BT148,,AH148)*(1-AF148)+INDEX(Models!$BJ148:$BT148,,AH148+1)*AF148-ERP_i)*AE148*Ramure*Pc/MaxiM</f>
        <v>2.7753307768234696E-3</v>
      </c>
      <c r="AE148" s="304">
        <f t="shared" si="65"/>
        <v>0.7</v>
      </c>
      <c r="AF148" s="177">
        <f t="shared" si="66"/>
        <v>0.29772980343883959</v>
      </c>
      <c r="AG148" s="799">
        <f t="shared" si="74"/>
        <v>1</v>
      </c>
      <c r="AH148" s="176">
        <f t="shared" si="67"/>
        <v>7</v>
      </c>
      <c r="AI148" s="224">
        <f t="shared" si="68"/>
        <v>1.2977298034388396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45792</v>
      </c>
      <c r="B149" s="409">
        <f>'2024'!Wh/'2024'!Env_an*'2025'!Env_an</f>
        <v>55.226678661271777</v>
      </c>
      <c r="C149" s="829"/>
      <c r="D149" s="391">
        <f t="shared" si="50"/>
        <v>57.734294027694546</v>
      </c>
      <c r="E149" s="383">
        <f t="shared" si="72"/>
        <v>58.243213755175894</v>
      </c>
      <c r="F149" s="383">
        <f t="shared" si="51"/>
        <v>58.378809709341745</v>
      </c>
      <c r="G149" s="110">
        <f t="shared" si="73"/>
        <v>0.94653740004196729</v>
      </c>
      <c r="H149" s="412" t="b">
        <f>Wh_hp&gt;='2024'!Maxi_hp</f>
        <v>0</v>
      </c>
      <c r="I149" s="388">
        <f>IF(H149,Wh_hp,'2024'!Maxi_hp)</f>
        <v>59.483162733669118</v>
      </c>
      <c r="J149" s="85">
        <f>IF(H149,An,'2024'!An_max)</f>
        <v>2018</v>
      </c>
      <c r="K149" s="197">
        <f t="shared" si="52"/>
        <v>45792</v>
      </c>
      <c r="L149" s="147">
        <f>IF(t&lt;Tvie,1-EXP((T0-t)*PertePVj)+'2024'!Pspv,1-EXP((T0-t)*PertePVj)+Pspv)</f>
        <v>4.3433723554667347E-2</v>
      </c>
      <c r="M149" s="832"/>
      <c r="N149" s="832"/>
      <c r="O149" s="48">
        <f>IF(t&lt;Tnet,'2024'!Resal+('2024'!Salim-'2024'!Resal)*(1-EXP(('2024'!Tnet-t)/('2024'!Tau_j))),Resal+(Salim-Resal)*(1-EXP((Tnet-t)/(Tau_j))))*Salcycl</f>
        <v>8.7378373319264568E-3</v>
      </c>
      <c r="P149" s="169">
        <f>(INDEX(Models!$BJ149:$BT149,,T149)*(1-R149)+INDEX(Models!$BJ149:$BT149,,T149+1)*R149-ERP_i)*Q149*Ramure*Pc/MaxiM</f>
        <v>2.5140500854719775E-3</v>
      </c>
      <c r="Q149" s="304">
        <f t="shared" si="53"/>
        <v>0.7</v>
      </c>
      <c r="R149" s="177">
        <f t="shared" si="54"/>
        <v>0.23649981455103908</v>
      </c>
      <c r="S149" s="799">
        <f t="shared" si="55"/>
        <v>1</v>
      </c>
      <c r="T149" s="176">
        <f t="shared" si="56"/>
        <v>7</v>
      </c>
      <c r="U149" s="250">
        <f t="shared" si="57"/>
        <v>1.2364998145510391</v>
      </c>
      <c r="V149" s="382">
        <f t="shared" si="58"/>
        <v>58.33481692934258</v>
      </c>
      <c r="W149" s="400">
        <f t="shared" si="59"/>
        <v>55.226678661271777</v>
      </c>
      <c r="X149" s="157">
        <f t="shared" si="60"/>
        <v>45792</v>
      </c>
      <c r="Y149" s="383">
        <f t="shared" si="61"/>
        <v>52.335517652743285</v>
      </c>
      <c r="Z149" s="383">
        <f t="shared" si="62"/>
        <v>54.711857339593593</v>
      </c>
      <c r="AA149" s="384">
        <f t="shared" si="63"/>
        <v>58.236122944636335</v>
      </c>
      <c r="AB149" s="197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6.0516830909110725E-2</v>
      </c>
      <c r="AD149" s="230">
        <f>(INDEX(Models!$BJ149:$BT149,,AH149)*(1-AF149)+INDEX(Models!$BJ149:$BT149,,AH149+1)*AF149-ERP_i)*AE149*Ramure*Pc/MaxiM</f>
        <v>2.6455189995167987E-3</v>
      </c>
      <c r="AE149" s="304">
        <f t="shared" si="65"/>
        <v>0.7</v>
      </c>
      <c r="AF149" s="177">
        <f t="shared" si="66"/>
        <v>0.30083203681087123</v>
      </c>
      <c r="AG149" s="799">
        <f t="shared" si="74"/>
        <v>1</v>
      </c>
      <c r="AH149" s="176">
        <f t="shared" si="67"/>
        <v>7</v>
      </c>
      <c r="AI149" s="224">
        <f t="shared" si="68"/>
        <v>1.3008320368108712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45793</v>
      </c>
      <c r="B150" s="409">
        <f>'2024'!Wh/'2024'!Env_an*'2025'!Env_an</f>
        <v>51.472640881237375</v>
      </c>
      <c r="C150" s="829"/>
      <c r="D150" s="391">
        <f t="shared" si="50"/>
        <v>53.810832170293878</v>
      </c>
      <c r="E150" s="383">
        <f t="shared" si="72"/>
        <v>54.291268370584476</v>
      </c>
      <c r="F150" s="383">
        <f t="shared" si="51"/>
        <v>54.398933826593662</v>
      </c>
      <c r="G150" s="110">
        <f t="shared" si="73"/>
        <v>0.88136382798126056</v>
      </c>
      <c r="H150" s="412" t="b">
        <f>Wh_hp&gt;='2024'!Maxi_hp</f>
        <v>0</v>
      </c>
      <c r="I150" s="388">
        <f>IF(H150,Wh_hp,'2024'!Maxi_hp)</f>
        <v>55.435904399739371</v>
      </c>
      <c r="J150" s="85">
        <f>IF(H150,An,'2024'!An_max)</f>
        <v>2018</v>
      </c>
      <c r="K150" s="197">
        <f t="shared" si="52"/>
        <v>45793</v>
      </c>
      <c r="L150" s="147">
        <f>IF(t&lt;Tvie,1-EXP((T0-t)*PertePVj)+'2024'!Pspv,1-EXP((T0-t)*PertePVj)+Pspv)</f>
        <v>4.3452055929127487E-2</v>
      </c>
      <c r="M150" s="832"/>
      <c r="N150" s="832"/>
      <c r="O150" s="48">
        <f>IF(t&lt;Tnet,'2024'!Resal+('2024'!Salim-'2024'!Resal)*(1-EXP(('2024'!Tnet-t)/('2024'!Tau_j))),Resal+(Salim-Resal)*(1-EXP((Tnet-t)/(Tau_j))))*Salcycl</f>
        <v>8.849235147928524E-3</v>
      </c>
      <c r="P150" s="169">
        <f>(INDEX(Models!$BJ150:$BT150,,T150)*(1-R150)+INDEX(Models!$BJ150:$BT150,,T150+1)*R150-ERP_i)*Q150*Ramure*Pc/MaxiM</f>
        <v>2.3816093116528297E-3</v>
      </c>
      <c r="Q150" s="304">
        <f t="shared" si="53"/>
        <v>0.7</v>
      </c>
      <c r="R150" s="177">
        <f t="shared" si="54"/>
        <v>0.23966496451994002</v>
      </c>
      <c r="S150" s="799">
        <f t="shared" si="55"/>
        <v>1</v>
      </c>
      <c r="T150" s="176">
        <f t="shared" si="56"/>
        <v>7</v>
      </c>
      <c r="U150" s="250">
        <f t="shared" si="57"/>
        <v>1.23966496451994</v>
      </c>
      <c r="V150" s="382">
        <f t="shared" si="58"/>
        <v>58.377578288486283</v>
      </c>
      <c r="W150" s="400">
        <f t="shared" si="59"/>
        <v>51.472640881237375</v>
      </c>
      <c r="X150" s="157">
        <f t="shared" si="60"/>
        <v>45793</v>
      </c>
      <c r="Y150" s="383">
        <f t="shared" si="61"/>
        <v>48.779781433920355</v>
      </c>
      <c r="Z150" s="383">
        <f t="shared" si="62"/>
        <v>50.995647145843598</v>
      </c>
      <c r="AA150" s="384">
        <f t="shared" si="63"/>
        <v>54.285463407280382</v>
      </c>
      <c r="AB150" s="197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6.0602158569683984E-2</v>
      </c>
      <c r="AD150" s="230">
        <f>(INDEX(Models!$BJ150:$BT150,,AH150)*(1-AF150)+INDEX(Models!$BJ150:$BT150,,AH150+1)*AF150-ERP_i)*AE150*Ramure*Pc/MaxiM</f>
        <v>2.510017764756488E-3</v>
      </c>
      <c r="AE150" s="304">
        <f t="shared" si="65"/>
        <v>0.7</v>
      </c>
      <c r="AF150" s="177">
        <f t="shared" si="66"/>
        <v>0.30399718677977217</v>
      </c>
      <c r="AG150" s="799">
        <f t="shared" si="74"/>
        <v>1</v>
      </c>
      <c r="AH150" s="176">
        <f t="shared" si="67"/>
        <v>7</v>
      </c>
      <c r="AI150" s="224">
        <f t="shared" si="68"/>
        <v>1.3039971867797722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45794</v>
      </c>
      <c r="B151" s="409">
        <f>'2024'!Wh/'2024'!Env_an*'2025'!Env_an</f>
        <v>56.32703349292288</v>
      </c>
      <c r="C151" s="829"/>
      <c r="D151" s="391">
        <f t="shared" si="50"/>
        <v>58.886868512452438</v>
      </c>
      <c r="E151" s="383">
        <f t="shared" si="72"/>
        <v>59.419307727172345</v>
      </c>
      <c r="F151" s="383">
        <f t="shared" si="51"/>
        <v>59.546427446265461</v>
      </c>
      <c r="G151" s="110">
        <f t="shared" si="73"/>
        <v>0.96410528824683728</v>
      </c>
      <c r="H151" s="412" t="b">
        <f>Wh_hp&gt;='2024'!Maxi_hp</f>
        <v>0</v>
      </c>
      <c r="I151" s="388">
        <f>IF(H151,Wh_hp,'2024'!Maxi_hp)</f>
        <v>59.551773211807408</v>
      </c>
      <c r="J151" s="85">
        <f>IF(H151,An,'2024'!An_max)</f>
        <v>2022</v>
      </c>
      <c r="K151" s="197">
        <f t="shared" si="52"/>
        <v>45794</v>
      </c>
      <c r="L151" s="147">
        <f>IF(t&lt;Tvie,1-EXP((T0-t)*PertePVj)+'2024'!Pspv,1-EXP((T0-t)*PertePVj)+Pspv)</f>
        <v>4.3470387952251999E-2</v>
      </c>
      <c r="M151" s="832"/>
      <c r="N151" s="832"/>
      <c r="O151" s="48">
        <f>IF(t&lt;Tnet,'2024'!Resal+('2024'!Salim-'2024'!Resal)*(1-EXP(('2024'!Tnet-t)/('2024'!Tau_j))),Resal+(Salim-Resal)*(1-EXP((Tnet-t)/(Tau_j))))*Salcycl</f>
        <v>8.9607105011158487E-3</v>
      </c>
      <c r="P151" s="169">
        <f>(INDEX(Models!$BJ151:$BT151,,T151)*(1-R151)+INDEX(Models!$BJ151:$BT151,,T151+1)*R151-ERP_i)*Q151*Ramure*Pc/MaxiM</f>
        <v>2.2498089859391262E-3</v>
      </c>
      <c r="Q151" s="304">
        <f t="shared" si="53"/>
        <v>0.7</v>
      </c>
      <c r="R151" s="177">
        <f t="shared" si="54"/>
        <v>0.24289221120791904</v>
      </c>
      <c r="S151" s="799">
        <f t="shared" si="55"/>
        <v>1</v>
      </c>
      <c r="T151" s="176">
        <f t="shared" si="56"/>
        <v>7</v>
      </c>
      <c r="U151" s="250">
        <f t="shared" si="57"/>
        <v>1.242892211207919</v>
      </c>
      <c r="V151" s="382">
        <f t="shared" si="58"/>
        <v>58.417417901262894</v>
      </c>
      <c r="W151" s="400">
        <f t="shared" si="59"/>
        <v>56.32703349292288</v>
      </c>
      <c r="X151" s="157">
        <f t="shared" si="60"/>
        <v>45794</v>
      </c>
      <c r="Y151" s="383">
        <f t="shared" si="61"/>
        <v>53.380712291417524</v>
      </c>
      <c r="Z151" s="383">
        <f t="shared" si="62"/>
        <v>55.806648972570301</v>
      </c>
      <c r="AA151" s="384">
        <f t="shared" si="63"/>
        <v>59.412253888034485</v>
      </c>
      <c r="AB151" s="197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6.0687899877677268E-2</v>
      </c>
      <c r="AD151" s="230">
        <f>(INDEX(Models!$BJ151:$BT151,,AH151)*(1-AF151)+INDEX(Models!$BJ151:$BT151,,AH151+1)*AF151-ERP_i)*AE151*Ramure*Pc/MaxiM</f>
        <v>2.3746502835044472E-3</v>
      </c>
      <c r="AE151" s="304">
        <f t="shared" si="65"/>
        <v>0.7</v>
      </c>
      <c r="AF151" s="177">
        <f t="shared" si="66"/>
        <v>0.30722443346775119</v>
      </c>
      <c r="AG151" s="799">
        <f t="shared" si="74"/>
        <v>1</v>
      </c>
      <c r="AH151" s="176">
        <f t="shared" si="67"/>
        <v>7</v>
      </c>
      <c r="AI151" s="224">
        <f t="shared" si="68"/>
        <v>1.3072244334677512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45795</v>
      </c>
      <c r="B152" s="409">
        <f>'2024'!Wh/'2024'!Env_an*'2025'!Env_an</f>
        <v>53.991135196241814</v>
      </c>
      <c r="C152" s="829"/>
      <c r="D152" s="391">
        <f t="shared" si="50"/>
        <v>56.445894893179762</v>
      </c>
      <c r="E152" s="383">
        <f t="shared" si="72"/>
        <v>56.96267504678427</v>
      </c>
      <c r="F152" s="383">
        <f t="shared" si="51"/>
        <v>57.070392587849867</v>
      </c>
      <c r="G152" s="110">
        <f t="shared" si="73"/>
        <v>0.92343242043270057</v>
      </c>
      <c r="H152" s="412" t="b">
        <f>Wh_hp&gt;='2024'!Maxi_hp</f>
        <v>0</v>
      </c>
      <c r="I152" s="388">
        <f>IF(H152,Wh_hp,'2024'!Maxi_hp)</f>
        <v>60.850795316552379</v>
      </c>
      <c r="J152" s="85">
        <f>IF(H152,An,'2024'!An_max)</f>
        <v>2020</v>
      </c>
      <c r="K152" s="197">
        <f t="shared" si="52"/>
        <v>45795</v>
      </c>
      <c r="L152" s="147">
        <f>IF(t&lt;Tvie,1-EXP((T0-t)*PertePVj)+'2024'!Pspv,1-EXP((T0-t)*PertePVj)+Pspv)</f>
        <v>4.3488719624047434E-2</v>
      </c>
      <c r="M152" s="832"/>
      <c r="N152" s="832"/>
      <c r="O152" s="48">
        <f>IF(t&lt;Tnet,'2024'!Resal+('2024'!Salim-'2024'!Resal)*(1-EXP(('2024'!Tnet-t)/('2024'!Tau_j))),Resal+(Salim-Resal)*(1-EXP((Tnet-t)/(Tau_j))))*Salcycl</f>
        <v>9.0722592150046747E-3</v>
      </c>
      <c r="P152" s="169">
        <f>(INDEX(Models!$BJ152:$BT152,,T152)*(1-R152)+INDEX(Models!$BJ152:$BT152,,T152+1)*R152-ERP_i)*Q152*Ramure*Pc/MaxiM</f>
        <v>2.1185332605266507E-3</v>
      </c>
      <c r="Q152" s="304">
        <f t="shared" si="53"/>
        <v>0.7</v>
      </c>
      <c r="R152" s="177">
        <f t="shared" si="54"/>
        <v>0.24618059538708459</v>
      </c>
      <c r="S152" s="799">
        <f t="shared" si="55"/>
        <v>1</v>
      </c>
      <c r="T152" s="176">
        <f t="shared" si="56"/>
        <v>7</v>
      </c>
      <c r="U152" s="250">
        <f t="shared" si="57"/>
        <v>1.2461805953870846</v>
      </c>
      <c r="V152" s="382">
        <f t="shared" si="58"/>
        <v>58.45434271981123</v>
      </c>
      <c r="W152" s="400">
        <f t="shared" si="59"/>
        <v>53.991135196241814</v>
      </c>
      <c r="X152" s="157">
        <f t="shared" si="60"/>
        <v>45795</v>
      </c>
      <c r="Y152" s="383">
        <f t="shared" si="61"/>
        <v>51.168625985880915</v>
      </c>
      <c r="Z152" s="383">
        <f t="shared" si="62"/>
        <v>53.495057544715323</v>
      </c>
      <c r="AA152" s="384">
        <f t="shared" si="63"/>
        <v>56.956534801173532</v>
      </c>
      <c r="AB152" s="197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6.0774014229301156E-2</v>
      </c>
      <c r="AD152" s="230">
        <f>(INDEX(Models!$BJ152:$BT152,,AH152)*(1-AF152)+INDEX(Models!$BJ152:$BT152,,AH152+1)*AF152-ERP_i)*AE152*Ramure*Pc/MaxiM</f>
        <v>2.2392964568033334E-3</v>
      </c>
      <c r="AE152" s="304">
        <f t="shared" si="65"/>
        <v>0.7</v>
      </c>
      <c r="AF152" s="177">
        <f t="shared" si="66"/>
        <v>0.31051281764691674</v>
      </c>
      <c r="AG152" s="799">
        <f t="shared" si="74"/>
        <v>1</v>
      </c>
      <c r="AH152" s="176">
        <f t="shared" si="67"/>
        <v>7</v>
      </c>
      <c r="AI152" s="224">
        <f t="shared" si="68"/>
        <v>1.3105128176469167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45796</v>
      </c>
      <c r="B153" s="409">
        <f>'2024'!Wh/'2024'!Env_an*'2025'!Env_an</f>
        <v>52.3896652154151</v>
      </c>
      <c r="C153" s="829"/>
      <c r="D153" s="391">
        <f t="shared" si="50"/>
        <v>54.772662221032583</v>
      </c>
      <c r="E153" s="383">
        <f t="shared" si="72"/>
        <v>55.280350133740853</v>
      </c>
      <c r="F153" s="383">
        <f t="shared" si="51"/>
        <v>55.374019845086039</v>
      </c>
      <c r="G153" s="110">
        <f t="shared" si="73"/>
        <v>0.89546240329120741</v>
      </c>
      <c r="H153" s="412" t="b">
        <f>Wh_hp&gt;='2024'!Maxi_hp</f>
        <v>0</v>
      </c>
      <c r="I153" s="388">
        <f>IF(H153,Wh_hp,'2024'!Maxi_hp)</f>
        <v>61.039716032201341</v>
      </c>
      <c r="J153" s="85">
        <f>IF(H153,An,'2024'!An_max)</f>
        <v>2020</v>
      </c>
      <c r="K153" s="197">
        <f t="shared" si="52"/>
        <v>45796</v>
      </c>
      <c r="L153" s="147">
        <f>IF(t&lt;Tvie,1-EXP((T0-t)*PertePVj)+'2024'!Pspv,1-EXP((T0-t)*PertePVj)+Pspv)</f>
        <v>4.3507050944520564E-2</v>
      </c>
      <c r="M153" s="832"/>
      <c r="N153" s="832"/>
      <c r="O153" s="48">
        <f>IF(t&lt;Tnet,'2024'!Resal+('2024'!Salim-'2024'!Resal)*(1-EXP(('2024'!Tnet-t)/('2024'!Tau_j))),Resal+(Salim-Resal)*(1-EXP((Tnet-t)/(Tau_j))))*Salcycl</f>
        <v>9.1838765760349442E-3</v>
      </c>
      <c r="P153" s="169">
        <f>(INDEX(Models!$BJ153:$BT153,,T153)*(1-R153)+INDEX(Models!$BJ153:$BT153,,T153+1)*R153-ERP_i)*Q153*Ramure*Pc/MaxiM</f>
        <v>1.987664639732841E-3</v>
      </c>
      <c r="Q153" s="304">
        <f t="shared" si="53"/>
        <v>0.7</v>
      </c>
      <c r="R153" s="177">
        <f t="shared" si="54"/>
        <v>0.24952901600092181</v>
      </c>
      <c r="S153" s="799">
        <f t="shared" si="55"/>
        <v>1</v>
      </c>
      <c r="T153" s="176">
        <f t="shared" si="56"/>
        <v>7</v>
      </c>
      <c r="U153" s="250">
        <f t="shared" si="57"/>
        <v>1.2495290160009218</v>
      </c>
      <c r="V153" s="382">
        <f t="shared" si="58"/>
        <v>58.488359850824992</v>
      </c>
      <c r="W153" s="400">
        <f t="shared" si="59"/>
        <v>52.3896652154151</v>
      </c>
      <c r="X153" s="157">
        <f t="shared" si="60"/>
        <v>45796</v>
      </c>
      <c r="Y153" s="383">
        <f t="shared" si="61"/>
        <v>49.652334515762284</v>
      </c>
      <c r="Z153" s="383">
        <f t="shared" si="62"/>
        <v>51.910821260933623</v>
      </c>
      <c r="AA153" s="384">
        <f t="shared" si="63"/>
        <v>55.274875574692636</v>
      </c>
      <c r="AB153" s="197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6.0860459273457561E-2</v>
      </c>
      <c r="AD153" s="230">
        <f>(INDEX(Models!$BJ153:$BT153,,AH153)*(1-AF153)+INDEX(Models!$BJ153:$BT153,,AH153+1)*AF153-ERP_i)*AE153*Ramure*Pc/MaxiM</f>
        <v>2.1038343949504909E-3</v>
      </c>
      <c r="AE153" s="304">
        <f t="shared" si="65"/>
        <v>0.7</v>
      </c>
      <c r="AF153" s="177">
        <f t="shared" si="66"/>
        <v>0.31386123826075396</v>
      </c>
      <c r="AG153" s="799">
        <f t="shared" si="74"/>
        <v>1</v>
      </c>
      <c r="AH153" s="176">
        <f t="shared" si="67"/>
        <v>7</v>
      </c>
      <c r="AI153" s="224">
        <f t="shared" si="68"/>
        <v>1.313861238260754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45797</v>
      </c>
      <c r="B154" s="409">
        <f>'2024'!Wh/'2024'!Env_an*'2025'!Env_an</f>
        <v>50.801901654011765</v>
      </c>
      <c r="C154" s="829"/>
      <c r="D154" s="391">
        <f t="shared" si="50"/>
        <v>53.113695537111354</v>
      </c>
      <c r="E154" s="383">
        <f t="shared" si="72"/>
        <v>53.612049416296578</v>
      </c>
      <c r="F154" s="383">
        <f t="shared" si="51"/>
        <v>53.692975911962655</v>
      </c>
      <c r="G154" s="110">
        <f t="shared" si="73"/>
        <v>0.86781535762254647</v>
      </c>
      <c r="H154" s="412" t="b">
        <f>Wh_hp&gt;='2024'!Maxi_hp</f>
        <v>0</v>
      </c>
      <c r="I154" s="388">
        <f>IF(H154,Wh_hp,'2024'!Maxi_hp)</f>
        <v>60.491890433923544</v>
      </c>
      <c r="J154" s="85">
        <f>IF(H154,An,'2024'!An_max)</f>
        <v>2020</v>
      </c>
      <c r="K154" s="197">
        <f t="shared" si="52"/>
        <v>45797</v>
      </c>
      <c r="L154" s="147">
        <f>IF(t&lt;Tvie,1-EXP((T0-t)*PertePVj)+'2024'!Pspv,1-EXP((T0-t)*PertePVj)+Pspv)</f>
        <v>4.3525381913678052E-2</v>
      </c>
      <c r="M154" s="832"/>
      <c r="N154" s="832"/>
      <c r="O154" s="48">
        <f>IF(t&lt;Tnet,'2024'!Resal+('2024'!Salim-'2024'!Resal)*(1-EXP(('2024'!Tnet-t)/('2024'!Tau_j))),Resal+(Salim-Resal)*(1-EXP((Tnet-t)/(Tau_j))))*Salcycl</f>
        <v>9.2955573347982996E-3</v>
      </c>
      <c r="P154" s="169">
        <f>(INDEX(Models!$BJ154:$BT154,,T154)*(1-R154)+INDEX(Models!$BJ154:$BT154,,T154+1)*R154-ERP_i)*Q154*Ramure*Pc/MaxiM</f>
        <v>1.8570840713895793E-3</v>
      </c>
      <c r="Q154" s="304">
        <f t="shared" si="53"/>
        <v>0.7</v>
      </c>
      <c r="R154" s="177">
        <f t="shared" si="54"/>
        <v>0.25293622824705042</v>
      </c>
      <c r="S154" s="799">
        <f t="shared" si="55"/>
        <v>1</v>
      </c>
      <c r="T154" s="176">
        <f t="shared" si="56"/>
        <v>7</v>
      </c>
      <c r="U154" s="250">
        <f t="shared" si="57"/>
        <v>1.2529362282470504</v>
      </c>
      <c r="V154" s="382">
        <f t="shared" si="58"/>
        <v>58.519476545574761</v>
      </c>
      <c r="W154" s="400">
        <f t="shared" si="59"/>
        <v>50.801901654011765</v>
      </c>
      <c r="X154" s="157">
        <f t="shared" si="60"/>
        <v>45797</v>
      </c>
      <c r="Y154" s="383">
        <f t="shared" si="61"/>
        <v>48.148933258147942</v>
      </c>
      <c r="Z154" s="383">
        <f t="shared" si="62"/>
        <v>50.340001028445997</v>
      </c>
      <c r="AA154" s="384">
        <f t="shared" si="63"/>
        <v>53.607209888535117</v>
      </c>
      <c r="AB154" s="197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6.0947191000661871E-2</v>
      </c>
      <c r="AD154" s="230">
        <f>(INDEX(Models!$BJ154:$BT154,,AH154)*(1-AF154)+INDEX(Models!$BJ154:$BT154,,AH154+1)*AF154-ERP_i)*AE154*Ramure*Pc/MaxiM</f>
        <v>1.9681405287942572E-3</v>
      </c>
      <c r="AE154" s="304">
        <f t="shared" si="65"/>
        <v>0.7</v>
      </c>
      <c r="AF154" s="177">
        <f t="shared" si="66"/>
        <v>0.31726845050688257</v>
      </c>
      <c r="AG154" s="799">
        <f t="shared" si="74"/>
        <v>1</v>
      </c>
      <c r="AH154" s="176">
        <f t="shared" si="67"/>
        <v>7</v>
      </c>
      <c r="AI154" s="224">
        <f t="shared" si="68"/>
        <v>1.3172684505068826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45798</v>
      </c>
      <c r="B155" s="409">
        <f>'2024'!Wh/'2024'!Env_an*'2025'!Env_an</f>
        <v>55.644059855995422</v>
      </c>
      <c r="C155" s="829"/>
      <c r="D155" s="391">
        <f t="shared" si="50"/>
        <v>58.177316187938764</v>
      </c>
      <c r="E155" s="383">
        <f t="shared" si="72"/>
        <v>58.729804828954613</v>
      </c>
      <c r="F155" s="383">
        <f t="shared" si="51"/>
        <v>58.82417868220584</v>
      </c>
      <c r="G155" s="110">
        <f t="shared" si="73"/>
        <v>0.9502891081121505</v>
      </c>
      <c r="H155" s="412" t="b">
        <f>Wh_hp&gt;='2024'!Maxi_hp</f>
        <v>0</v>
      </c>
      <c r="I155" s="388">
        <f>IF(H155,Wh_hp,'2024'!Maxi_hp)</f>
        <v>59.791074222210042</v>
      </c>
      <c r="J155" s="85">
        <f>IF(H155,An,'2024'!An_max)</f>
        <v>2020</v>
      </c>
      <c r="K155" s="197">
        <f t="shared" si="52"/>
        <v>45798</v>
      </c>
      <c r="L155" s="147">
        <f>IF(t&lt;Tvie,1-EXP((T0-t)*PertePVj)+'2024'!Pspv,1-EXP((T0-t)*PertePVj)+Pspv)</f>
        <v>4.3543712531526779E-2</v>
      </c>
      <c r="M155" s="832"/>
      <c r="N155" s="832"/>
      <c r="O155" s="48">
        <f>IF(t&lt;Tnet,'2024'!Resal+('2024'!Salim-'2024'!Resal)*(1-EXP(('2024'!Tnet-t)/('2024'!Tau_j))),Resal+(Salim-Resal)*(1-EXP((Tnet-t)/(Tau_j))))*Salcycl</f>
        <v>9.4072957099878337E-3</v>
      </c>
      <c r="P155" s="169">
        <f>(INDEX(Models!$BJ155:$BT155,,T155)*(1-R155)+INDEX(Models!$BJ155:$BT155,,T155+1)*R155-ERP_i)*Q155*Ramure*Pc/MaxiM</f>
        <v>1.7266710574773277E-3</v>
      </c>
      <c r="Q155" s="304">
        <f t="shared" si="53"/>
        <v>0.7</v>
      </c>
      <c r="R155" s="177">
        <f t="shared" si="54"/>
        <v>0.25640084226380466</v>
      </c>
      <c r="S155" s="799">
        <f t="shared" si="55"/>
        <v>1</v>
      </c>
      <c r="T155" s="176">
        <f t="shared" si="56"/>
        <v>7</v>
      </c>
      <c r="U155" s="250">
        <f t="shared" si="57"/>
        <v>1.2564008422638047</v>
      </c>
      <c r="V155" s="382">
        <f t="shared" si="58"/>
        <v>58.547700192841006</v>
      </c>
      <c r="W155" s="400">
        <f t="shared" si="59"/>
        <v>55.644059855995422</v>
      </c>
      <c r="X155" s="157">
        <f t="shared" si="60"/>
        <v>45798</v>
      </c>
      <c r="Y155" s="383">
        <f t="shared" si="61"/>
        <v>52.738875491967953</v>
      </c>
      <c r="Z155" s="383">
        <f t="shared" si="62"/>
        <v>55.139870146659824</v>
      </c>
      <c r="AA155" s="384">
        <f t="shared" si="63"/>
        <v>58.724043009232204</v>
      </c>
      <c r="AB155" s="197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6.1034163843400567E-2</v>
      </c>
      <c r="AD155" s="230">
        <f>(INDEX(Models!$BJ155:$BT155,,AH155)*(1-AF155)+INDEX(Models!$BJ155:$BT155,,AH155+1)*AF155-ERP_i)*AE155*Ramure*Pc/MaxiM</f>
        <v>1.8320897408344475E-3</v>
      </c>
      <c r="AE155" s="304">
        <f t="shared" si="65"/>
        <v>0.7</v>
      </c>
      <c r="AF155" s="177">
        <f t="shared" si="66"/>
        <v>0.32073306452363681</v>
      </c>
      <c r="AG155" s="799">
        <f t="shared" si="74"/>
        <v>1</v>
      </c>
      <c r="AH155" s="176">
        <f t="shared" si="67"/>
        <v>7</v>
      </c>
      <c r="AI155" s="224">
        <f t="shared" si="68"/>
        <v>1.3207330645236368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45799</v>
      </c>
      <c r="B156" s="409">
        <f>'2024'!Wh/'2024'!Env_an*'2025'!Env_an</f>
        <v>42.334003911792443</v>
      </c>
      <c r="C156" s="829"/>
      <c r="D156" s="391">
        <f t="shared" si="50"/>
        <v>44.262153747683961</v>
      </c>
      <c r="E156" s="383">
        <f t="shared" si="72"/>
        <v>44.687538240293073</v>
      </c>
      <c r="F156" s="383">
        <f t="shared" si="51"/>
        <v>44.730801302257518</v>
      </c>
      <c r="G156" s="110">
        <f t="shared" si="73"/>
        <v>0.72230067505628526</v>
      </c>
      <c r="H156" s="412" t="b">
        <f>Wh_hp&gt;='2024'!Maxi_hp</f>
        <v>0</v>
      </c>
      <c r="I156" s="388">
        <f>IF(H156,Wh_hp,'2024'!Maxi_hp)</f>
        <v>60.114527951171105</v>
      </c>
      <c r="J156" s="85">
        <f>IF(H156,An,'2024'!An_max)</f>
        <v>2018</v>
      </c>
      <c r="K156" s="197">
        <f t="shared" si="52"/>
        <v>45799</v>
      </c>
      <c r="L156" s="147">
        <f>IF(t&lt;Tvie,1-EXP((T0-t)*PertePVj)+'2024'!Pspv,1-EXP((T0-t)*PertePVj)+Pspv)</f>
        <v>4.3562042798073408E-2</v>
      </c>
      <c r="M156" s="832"/>
      <c r="N156" s="832"/>
      <c r="O156" s="48">
        <f>IF(t&lt;Tnet,'2024'!Resal+('2024'!Salim-'2024'!Resal)*(1-EXP(('2024'!Tnet-t)/('2024'!Tau_j))),Resal+(Salim-Resal)*(1-EXP((Tnet-t)/(Tau_j))))*Salcycl</f>
        <v>9.5190853951663754E-3</v>
      </c>
      <c r="P156" s="169">
        <f>(INDEX(Models!$BJ156:$BT156,,T156)*(1-R156)+INDEX(Models!$BJ156:$BT156,,T156+1)*R156-ERP_i)*Q156*Ramure*Pc/MaxiM</f>
        <v>1.6014566808929859E-3</v>
      </c>
      <c r="Q156" s="304">
        <f t="shared" si="53"/>
        <v>0.7</v>
      </c>
      <c r="R156" s="177">
        <f t="shared" si="54"/>
        <v>0.25992132246024924</v>
      </c>
      <c r="S156" s="799">
        <f t="shared" si="55"/>
        <v>1</v>
      </c>
      <c r="T156" s="176">
        <f t="shared" si="56"/>
        <v>7</v>
      </c>
      <c r="U156" s="250">
        <f t="shared" si="57"/>
        <v>1.2599213224602492</v>
      </c>
      <c r="V156" s="382">
        <f t="shared" si="58"/>
        <v>58.572736000663696</v>
      </c>
      <c r="W156" s="400">
        <f t="shared" si="59"/>
        <v>42.334003911792443</v>
      </c>
      <c r="X156" s="157">
        <f t="shared" si="60"/>
        <v>45799</v>
      </c>
      <c r="Y156" s="383">
        <f t="shared" si="61"/>
        <v>40.126064974394673</v>
      </c>
      <c r="Z156" s="383">
        <f t="shared" si="62"/>
        <v>41.953651747348118</v>
      </c>
      <c r="AA156" s="384">
        <f t="shared" si="63"/>
        <v>44.684849196275472</v>
      </c>
      <c r="AB156" s="197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6.1121330787774188E-2</v>
      </c>
      <c r="AD156" s="230">
        <f>(INDEX(Models!$BJ156:$BT156,,AH156)*(1-AF156)+INDEX(Models!$BJ156:$BT156,,AH156+1)*AF156-ERP_i)*AE156*Ramure*Pc/MaxiM</f>
        <v>1.7009962722131019E-3</v>
      </c>
      <c r="AE156" s="304">
        <f t="shared" si="65"/>
        <v>0.7</v>
      </c>
      <c r="AF156" s="177">
        <f t="shared" si="66"/>
        <v>0.32425354472008139</v>
      </c>
      <c r="AG156" s="799">
        <f t="shared" si="74"/>
        <v>1</v>
      </c>
      <c r="AH156" s="176">
        <f t="shared" si="67"/>
        <v>7</v>
      </c>
      <c r="AI156" s="224">
        <f t="shared" si="68"/>
        <v>1.3242535447200814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45800</v>
      </c>
      <c r="B157" s="409">
        <f>'2024'!Wh/'2024'!Env_an*'2025'!Env_an</f>
        <v>17.611274246637734</v>
      </c>
      <c r="C157" s="829"/>
      <c r="D157" s="391">
        <f t="shared" si="50"/>
        <v>18.413752441070475</v>
      </c>
      <c r="E157" s="383">
        <f t="shared" si="72"/>
        <v>18.592818379433236</v>
      </c>
      <c r="F157" s="383">
        <f t="shared" si="51"/>
        <v>18.592840499147304</v>
      </c>
      <c r="G157" s="110">
        <f t="shared" si="73"/>
        <v>0.30011656130594511</v>
      </c>
      <c r="H157" s="412" t="b">
        <f>Wh_hp&gt;='2024'!Maxi_hp</f>
        <v>0</v>
      </c>
      <c r="I157" s="388">
        <f>IF(H157,Wh_hp,'2024'!Maxi_hp)</f>
        <v>59.059449252254765</v>
      </c>
      <c r="J157" s="85">
        <f>IF(H157,An,'2024'!An_max)</f>
        <v>2018</v>
      </c>
      <c r="K157" s="197">
        <f t="shared" si="52"/>
        <v>45800</v>
      </c>
      <c r="L157" s="147">
        <f>IF(t&lt;Tvie,1-EXP((T0-t)*PertePVj)+'2024'!Pspv,1-EXP((T0-t)*PertePVj)+Pspv)</f>
        <v>4.35803727133246E-2</v>
      </c>
      <c r="M157" s="832"/>
      <c r="N157" s="832"/>
      <c r="O157" s="48">
        <f>IF(t&lt;Tnet,'2024'!Resal+('2024'!Salim-'2024'!Resal)*(1-EXP(('2024'!Tnet-t)/('2024'!Tau_j))),Resal+(Salim-Resal)*(1-EXP((Tnet-t)/(Tau_j))))*Salcycl</f>
        <v>9.6309195684305994E-3</v>
      </c>
      <c r="P157" s="169">
        <f>(INDEX(Models!$BJ157:$BT157,,T157)*(1-R157)+INDEX(Models!$BJ157:$BT157,,T157+1)*R157-ERP_i)*Q157*Ramure*Pc/MaxiM</f>
        <v>1.4824340499036762E-3</v>
      </c>
      <c r="Q157" s="304">
        <f t="shared" si="53"/>
        <v>0.7</v>
      </c>
      <c r="R157" s="177">
        <f t="shared" si="54"/>
        <v>0.26349598752566705</v>
      </c>
      <c r="S157" s="799">
        <f t="shared" si="55"/>
        <v>1</v>
      </c>
      <c r="T157" s="176">
        <f t="shared" si="56"/>
        <v>7</v>
      </c>
      <c r="U157" s="250">
        <f t="shared" si="57"/>
        <v>1.2634959875256671</v>
      </c>
      <c r="V157" s="382">
        <f t="shared" si="58"/>
        <v>58.594525868318385</v>
      </c>
      <c r="W157" s="400">
        <f t="shared" si="59"/>
        <v>17.611274246637734</v>
      </c>
      <c r="X157" s="157">
        <f t="shared" si="60"/>
        <v>45800</v>
      </c>
      <c r="Y157" s="383">
        <f t="shared" si="61"/>
        <v>16.694090237016887</v>
      </c>
      <c r="Z157" s="383">
        <f t="shared" si="62"/>
        <v>17.454775875289553</v>
      </c>
      <c r="AA157" s="384">
        <f t="shared" si="63"/>
        <v>18.592816981499766</v>
      </c>
      <c r="AB157" s="197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6.1208643496173117E-2</v>
      </c>
      <c r="AD157" s="230">
        <f>(INDEX(Models!$BJ157:$BT157,,AH157)*(1-AF157)+INDEX(Models!$BJ157:$BT157,,AH157+1)*AF157-ERP_i)*AE157*Ramure*Pc/MaxiM</f>
        <v>1.57612170657205E-3</v>
      </c>
      <c r="AE157" s="304">
        <f t="shared" si="65"/>
        <v>0.7</v>
      </c>
      <c r="AF157" s="177">
        <f t="shared" si="66"/>
        <v>0.3278282097854992</v>
      </c>
      <c r="AG157" s="799">
        <f t="shared" si="74"/>
        <v>1</v>
      </c>
      <c r="AH157" s="176">
        <f t="shared" si="67"/>
        <v>7</v>
      </c>
      <c r="AI157" s="224">
        <f t="shared" si="68"/>
        <v>1.3278282097854992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45801</v>
      </c>
      <c r="B158" s="409">
        <f>'2024'!Wh/'2024'!Env_an*'2025'!Env_an</f>
        <v>15.306560635839372</v>
      </c>
      <c r="C158" s="829"/>
      <c r="D158" s="391">
        <f t="shared" si="50"/>
        <v>16.004328593327742</v>
      </c>
      <c r="E158" s="383">
        <f t="shared" si="72"/>
        <v>16.161789529363389</v>
      </c>
      <c r="F158" s="383">
        <f t="shared" si="51"/>
        <v>16.161789529363389</v>
      </c>
      <c r="G158" s="110">
        <f t="shared" si="73"/>
        <v>0.26078819461446068</v>
      </c>
      <c r="H158" s="412" t="b">
        <f>Wh_hp&gt;='2024'!Maxi_hp</f>
        <v>0</v>
      </c>
      <c r="I158" s="388">
        <f>IF(H158,Wh_hp,'2024'!Maxi_hp)</f>
        <v>26.660992397930677</v>
      </c>
      <c r="J158" s="85">
        <f>IF(H158,An,'2024'!An_max)</f>
        <v>2021</v>
      </c>
      <c r="K158" s="197">
        <f t="shared" si="52"/>
        <v>45801</v>
      </c>
      <c r="L158" s="147">
        <f>IF(t&lt;Tvie,1-EXP((T0-t)*PertePVj)+'2024'!Pspv,1-EXP((T0-t)*PertePVj)+Pspv)</f>
        <v>4.3598702277287127E-2</v>
      </c>
      <c r="M158" s="832"/>
      <c r="N158" s="832"/>
      <c r="O158" s="48">
        <f>IF(t&lt;Tnet,'2024'!Resal+('2024'!Salim-'2024'!Resal)*(1-EXP(('2024'!Tnet-t)/('2024'!Tau_j))),Resal+(Salim-Resal)*(1-EXP((Tnet-t)/(Tau_j))))*Salcycl</f>
        <v>9.7427909050273719E-3</v>
      </c>
      <c r="P158" s="169">
        <f>(INDEX(Models!$BJ158:$BT158,,T158)*(1-R158)+INDEX(Models!$BJ158:$BT158,,T158+1)*R158-ERP_i)*Q158*Ramure*Pc/MaxiM</f>
        <v>1.3696160238493888E-3</v>
      </c>
      <c r="Q158" s="304">
        <f t="shared" si="53"/>
        <v>0.7</v>
      </c>
      <c r="R158" s="177">
        <f t="shared" si="54"/>
        <v>0.26712301115033066</v>
      </c>
      <c r="S158" s="799">
        <f t="shared" si="55"/>
        <v>1</v>
      </c>
      <c r="T158" s="176">
        <f t="shared" si="56"/>
        <v>7</v>
      </c>
      <c r="U158" s="250">
        <f t="shared" si="57"/>
        <v>1.2671230111503307</v>
      </c>
      <c r="V158" s="382">
        <f t="shared" si="58"/>
        <v>58.613069305994266</v>
      </c>
      <c r="W158" s="400">
        <f t="shared" si="59"/>
        <v>15.306560635839372</v>
      </c>
      <c r="X158" s="157">
        <f t="shared" si="60"/>
        <v>45801</v>
      </c>
      <c r="Y158" s="383">
        <f t="shared" si="61"/>
        <v>14.509693805259886</v>
      </c>
      <c r="Z158" s="383">
        <f t="shared" si="62"/>
        <v>15.171135630837094</v>
      </c>
      <c r="AA158" s="384">
        <f t="shared" si="63"/>
        <v>16.161789529363389</v>
      </c>
      <c r="AB158" s="197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6.1296052440630758E-2</v>
      </c>
      <c r="AD158" s="230">
        <f>(INDEX(Models!$BJ158:$BT158,,AH158)*(1-AF158)+INDEX(Models!$BJ158:$BT158,,AH158+1)*AF158-ERP_i)*AE158*Ramure*Pc/MaxiM</f>
        <v>1.4574778535893374E-3</v>
      </c>
      <c r="AE158" s="304">
        <f t="shared" si="65"/>
        <v>0.7</v>
      </c>
      <c r="AF158" s="177">
        <f t="shared" si="66"/>
        <v>0.33145523341016281</v>
      </c>
      <c r="AG158" s="799">
        <f t="shared" si="74"/>
        <v>1</v>
      </c>
      <c r="AH158" s="176">
        <f t="shared" si="67"/>
        <v>7</v>
      </c>
      <c r="AI158" s="224">
        <f t="shared" si="68"/>
        <v>1.3314552334101628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45802</v>
      </c>
      <c r="B159" s="409">
        <f>'2024'!Wh/'2024'!Env_an*'2025'!Env_an</f>
        <v>42.29995730298382</v>
      </c>
      <c r="C159" s="829"/>
      <c r="D159" s="391">
        <f t="shared" si="50"/>
        <v>44.229099320833527</v>
      </c>
      <c r="E159" s="383">
        <f t="shared" si="72"/>
        <v>44.669301510896204</v>
      </c>
      <c r="F159" s="383">
        <f t="shared" si="51"/>
        <v>44.703298869912267</v>
      </c>
      <c r="G159" s="110">
        <f t="shared" si="73"/>
        <v>0.72113019907870501</v>
      </c>
      <c r="H159" s="412" t="b">
        <f>Wh_hp&gt;='2024'!Maxi_hp</f>
        <v>0</v>
      </c>
      <c r="I159" s="388">
        <f>IF(H159,Wh_hp,'2024'!Maxi_hp)</f>
        <v>56.87087566419774</v>
      </c>
      <c r="J159" s="85">
        <f>IF(H159,An,'2024'!An_max)</f>
        <v>2020</v>
      </c>
      <c r="K159" s="197">
        <f t="shared" si="52"/>
        <v>45802</v>
      </c>
      <c r="L159" s="147">
        <f>IF(t&lt;Tvie,1-EXP((T0-t)*PertePVj)+'2024'!Pspv,1-EXP((T0-t)*PertePVj)+Pspv)</f>
        <v>4.3617031489967761E-2</v>
      </c>
      <c r="M159" s="832"/>
      <c r="N159" s="832"/>
      <c r="O159" s="48">
        <f>IF(t&lt;Tnet,'2024'!Resal+('2024'!Salim-'2024'!Resal)*(1-EXP(('2024'!Tnet-t)/('2024'!Tau_j))),Resal+(Salim-Resal)*(1-EXP((Tnet-t)/(Tau_j))))*Salcycl</f>
        <v>9.8546915929566686E-3</v>
      </c>
      <c r="P159" s="169">
        <f>(INDEX(Models!$BJ159:$BT159,,T159)*(1-R159)+INDEX(Models!$BJ159:$BT159,,T159+1)*R159-ERP_i)*Q159*Ramure*Pc/MaxiM</f>
        <v>1.2630287691384522E-3</v>
      </c>
      <c r="Q159" s="304">
        <f t="shared" si="53"/>
        <v>0.7</v>
      </c>
      <c r="R159" s="177">
        <f t="shared" si="54"/>
        <v>0.27080042348450428</v>
      </c>
      <c r="S159" s="799">
        <f t="shared" si="55"/>
        <v>1</v>
      </c>
      <c r="T159" s="176">
        <f t="shared" si="56"/>
        <v>7</v>
      </c>
      <c r="U159" s="250">
        <f t="shared" si="57"/>
        <v>1.2708004234845043</v>
      </c>
      <c r="V159" s="382">
        <f t="shared" si="58"/>
        <v>58.628365178387426</v>
      </c>
      <c r="W159" s="400">
        <f t="shared" si="59"/>
        <v>42.29995730298382</v>
      </c>
      <c r="X159" s="157">
        <f t="shared" si="60"/>
        <v>45802</v>
      </c>
      <c r="Y159" s="383">
        <f t="shared" si="61"/>
        <v>40.096614018134673</v>
      </c>
      <c r="Z159" s="383">
        <f t="shared" si="62"/>
        <v>41.925269832650798</v>
      </c>
      <c r="AA159" s="384">
        <f t="shared" si="63"/>
        <v>44.667092627705543</v>
      </c>
      <c r="AB159" s="197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6.1383507046395044E-2</v>
      </c>
      <c r="AD159" s="230">
        <f>(INDEX(Models!$BJ159:$BT159,,AH159)*(1-AF159)+INDEX(Models!$BJ159:$BT159,,AH159+1)*AF159-ERP_i)*AE159*Ramure*Pc/MaxiM</f>
        <v>1.3450905262343677E-3</v>
      </c>
      <c r="AE159" s="304">
        <f t="shared" si="65"/>
        <v>0.7</v>
      </c>
      <c r="AF159" s="177">
        <f t="shared" si="66"/>
        <v>0.33513264574433643</v>
      </c>
      <c r="AG159" s="799">
        <f t="shared" si="74"/>
        <v>1</v>
      </c>
      <c r="AH159" s="176">
        <f t="shared" si="67"/>
        <v>7</v>
      </c>
      <c r="AI159" s="224">
        <f t="shared" si="68"/>
        <v>1.3351326457443364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45803</v>
      </c>
      <c r="B160" s="409">
        <f>'2024'!Wh/'2024'!Env_an*'2025'!Env_an</f>
        <v>31.095882149108665</v>
      </c>
      <c r="C160" s="829"/>
      <c r="D160" s="391">
        <f t="shared" si="50"/>
        <v>32.514671559305505</v>
      </c>
      <c r="E160" s="383">
        <f t="shared" si="72"/>
        <v>32.841995025418086</v>
      </c>
      <c r="F160" s="383">
        <f t="shared" si="51"/>
        <v>32.854561788949354</v>
      </c>
      <c r="G160" s="110">
        <f t="shared" si="73"/>
        <v>0.5298668697644725</v>
      </c>
      <c r="H160" s="412" t="b">
        <f>Wh_hp&gt;='2024'!Maxi_hp</f>
        <v>0</v>
      </c>
      <c r="I160" s="388">
        <f>IF(H160,Wh_hp,'2024'!Maxi_hp)</f>
        <v>60.853144099626277</v>
      </c>
      <c r="J160" s="85">
        <f>IF(H160,An,'2024'!An_max)</f>
        <v>2020</v>
      </c>
      <c r="K160" s="197">
        <f t="shared" si="52"/>
        <v>45803</v>
      </c>
      <c r="L160" s="147">
        <f>IF(t&lt;Tvie,1-EXP((T0-t)*PertePVj)+'2024'!Pspv,1-EXP((T0-t)*PertePVj)+Pspv)</f>
        <v>4.3635360351373276E-2</v>
      </c>
      <c r="M160" s="832"/>
      <c r="N160" s="832"/>
      <c r="O160" s="48">
        <f>IF(t&lt;Tnet,'2024'!Resal+('2024'!Salim-'2024'!Resal)*(1-EXP(('2024'!Tnet-t)/('2024'!Tau_j))),Resal+(Salim-Resal)*(1-EXP((Tnet-t)/(Tau_j))))*Salcycl</f>
        <v>9.9666133515715957E-3</v>
      </c>
      <c r="P160" s="169">
        <f>(INDEX(Models!$BJ160:$BT160,,T160)*(1-R160)+INDEX(Models!$BJ160:$BT160,,T160+1)*R160-ERP_i)*Q160*Ramure*Pc/MaxiM</f>
        <v>1.1627013009777791E-3</v>
      </c>
      <c r="Q160" s="304">
        <f t="shared" si="53"/>
        <v>0.7</v>
      </c>
      <c r="R160" s="177">
        <f t="shared" si="54"/>
        <v>0.27452611335717014</v>
      </c>
      <c r="S160" s="799">
        <f t="shared" si="55"/>
        <v>1</v>
      </c>
      <c r="T160" s="176">
        <f t="shared" si="56"/>
        <v>7</v>
      </c>
      <c r="U160" s="250">
        <f t="shared" si="57"/>
        <v>1.2745261133571701</v>
      </c>
      <c r="V160" s="382">
        <f t="shared" si="58"/>
        <v>58.640412319401527</v>
      </c>
      <c r="W160" s="400">
        <f t="shared" si="59"/>
        <v>31.095882149108665</v>
      </c>
      <c r="X160" s="157">
        <f t="shared" si="60"/>
        <v>45803</v>
      </c>
      <c r="Y160" s="383">
        <f t="shared" si="61"/>
        <v>29.477446156394894</v>
      </c>
      <c r="Z160" s="383">
        <f t="shared" si="62"/>
        <v>30.822392353637269</v>
      </c>
      <c r="AA160" s="384">
        <f t="shared" si="63"/>
        <v>32.841170495041233</v>
      </c>
      <c r="AB160" s="197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6.1470955845157438E-2</v>
      </c>
      <c r="AD160" s="230">
        <f>(INDEX(Models!$BJ160:$BT160,,AH160)*(1-AF160)+INDEX(Models!$BJ160:$BT160,,AH160+1)*AF160-ERP_i)*AE160*Ramure*Pc/MaxiM</f>
        <v>1.2389884483787932E-3</v>
      </c>
      <c r="AE160" s="304">
        <f t="shared" si="65"/>
        <v>0.7</v>
      </c>
      <c r="AF160" s="177">
        <f t="shared" si="66"/>
        <v>0.33885833561700229</v>
      </c>
      <c r="AG160" s="799">
        <f t="shared" si="74"/>
        <v>1</v>
      </c>
      <c r="AH160" s="176">
        <f t="shared" si="67"/>
        <v>7</v>
      </c>
      <c r="AI160" s="224">
        <f t="shared" si="68"/>
        <v>1.3388583356170023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45804</v>
      </c>
      <c r="B161" s="409">
        <f>'2024'!Wh/'2024'!Env_an*'2025'!Env_an</f>
        <v>46.324746470646126</v>
      </c>
      <c r="C161" s="829"/>
      <c r="D161" s="391">
        <f t="shared" si="50"/>
        <v>48.439300628972454</v>
      </c>
      <c r="E161" s="383">
        <f t="shared" si="72"/>
        <v>48.932468838158186</v>
      </c>
      <c r="F161" s="383">
        <f t="shared" si="51"/>
        <v>48.969090577488778</v>
      </c>
      <c r="G161" s="110">
        <f t="shared" si="73"/>
        <v>0.78960780911432937</v>
      </c>
      <c r="H161" s="412" t="b">
        <f>Wh_hp&gt;='2024'!Maxi_hp</f>
        <v>0</v>
      </c>
      <c r="I161" s="388">
        <f>IF(H161,Wh_hp,'2024'!Maxi_hp)</f>
        <v>61.029310689463564</v>
      </c>
      <c r="J161" s="85">
        <f>IF(H161,An,'2024'!An_max)</f>
        <v>2021</v>
      </c>
      <c r="K161" s="197">
        <f t="shared" si="52"/>
        <v>45804</v>
      </c>
      <c r="L161" s="147">
        <f>IF(t&lt;Tvie,1-EXP((T0-t)*PertePVj)+'2024'!Pspv,1-EXP((T0-t)*PertePVj)+Pspv)</f>
        <v>4.3653688861510331E-2</v>
      </c>
      <c r="M161" s="832"/>
      <c r="N161" s="832"/>
      <c r="O161" s="48">
        <f>IF(t&lt;Tnet,'2024'!Resal+('2024'!Salim-'2024'!Resal)*(1-EXP(('2024'!Tnet-t)/('2024'!Tau_j))),Resal+(Salim-Resal)*(1-EXP((Tnet-t)/(Tau_j))))*Salcycl</f>
        <v>1.0078547453161685E-2</v>
      </c>
      <c r="P161" s="169">
        <f>(INDEX(Models!$BJ161:$BT161,,T161)*(1-R161)+INDEX(Models!$BJ161:$BT161,,T161+1)*R161-ERP_i)*Q161*Ramure*Pc/MaxiM</f>
        <v>1.0686654118150069E-3</v>
      </c>
      <c r="Q161" s="304">
        <f t="shared" si="53"/>
        <v>0.7</v>
      </c>
      <c r="R161" s="177">
        <f t="shared" si="54"/>
        <v>0.27829783126995089</v>
      </c>
      <c r="S161" s="799">
        <f t="shared" si="55"/>
        <v>1</v>
      </c>
      <c r="T161" s="176">
        <f t="shared" si="56"/>
        <v>7</v>
      </c>
      <c r="U161" s="250">
        <f t="shared" si="57"/>
        <v>1.2782978312699509</v>
      </c>
      <c r="V161" s="382">
        <f t="shared" si="58"/>
        <v>58.649209537703285</v>
      </c>
      <c r="W161" s="400">
        <f t="shared" si="59"/>
        <v>46.324746470646126</v>
      </c>
      <c r="X161" s="157">
        <f t="shared" si="60"/>
        <v>45804</v>
      </c>
      <c r="Y161" s="383">
        <f t="shared" si="61"/>
        <v>43.913508504433821</v>
      </c>
      <c r="Z161" s="383">
        <f t="shared" si="62"/>
        <v>45.917998525196019</v>
      </c>
      <c r="AA161" s="384">
        <f t="shared" si="63"/>
        <v>48.930051602737251</v>
      </c>
      <c r="AB161" s="197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6.1558346637278667E-2</v>
      </c>
      <c r="AD161" s="230">
        <f>(INDEX(Models!$BJ161:$BT161,,AH161)*(1-AF161)+INDEX(Models!$BJ161:$BT161,,AH161+1)*AF161-ERP_i)*AE161*Ramure*Pc/MaxiM</f>
        <v>1.1392031834717097E-3</v>
      </c>
      <c r="AE161" s="304">
        <f t="shared" si="65"/>
        <v>0.7</v>
      </c>
      <c r="AF161" s="177">
        <f t="shared" si="66"/>
        <v>0.34263005352978304</v>
      </c>
      <c r="AG161" s="799">
        <f t="shared" si="74"/>
        <v>1</v>
      </c>
      <c r="AH161" s="176">
        <f t="shared" si="67"/>
        <v>7</v>
      </c>
      <c r="AI161" s="224">
        <f t="shared" si="68"/>
        <v>1.342630053529783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45805</v>
      </c>
      <c r="B162" s="409">
        <f>'2024'!Wh/'2024'!Env_an*'2025'!Env_an</f>
        <v>54.661629760006001</v>
      </c>
      <c r="C162" s="829"/>
      <c r="D162" s="391">
        <f t="shared" si="50"/>
        <v>57.157827369745803</v>
      </c>
      <c r="E162" s="383">
        <f t="shared" si="72"/>
        <v>57.746290057803414</v>
      </c>
      <c r="F162" s="383">
        <f t="shared" si="51"/>
        <v>57.797472771695034</v>
      </c>
      <c r="G162" s="110">
        <f t="shared" si="73"/>
        <v>0.93183254610919564</v>
      </c>
      <c r="H162" s="412" t="b">
        <f>Wh_hp&gt;='2024'!Maxi_hp</f>
        <v>0</v>
      </c>
      <c r="I162" s="388">
        <f>IF(H162,Wh_hp,'2024'!Maxi_hp)</f>
        <v>60.065997038035896</v>
      </c>
      <c r="J162" s="85">
        <f>IF(H162,An,'2024'!An_max)</f>
        <v>2020</v>
      </c>
      <c r="K162" s="197">
        <f t="shared" si="52"/>
        <v>45805</v>
      </c>
      <c r="L162" s="147">
        <f>IF(t&lt;Tvie,1-EXP((T0-t)*PertePVj)+'2024'!Pspv,1-EXP((T0-t)*PertePVj)+Pspv)</f>
        <v>4.367201702038559E-2</v>
      </c>
      <c r="M162" s="832"/>
      <c r="N162" s="832"/>
      <c r="O162" s="48">
        <f>IF(t&lt;Tnet,'2024'!Resal+('2024'!Salim-'2024'!Resal)*(1-EXP(('2024'!Tnet-t)/('2024'!Tau_j))),Resal+(Salim-Resal)*(1-EXP((Tnet-t)/(Tau_j))))*Salcycl</f>
        <v>1.0190484747480149E-2</v>
      </c>
      <c r="P162" s="169">
        <f>(INDEX(Models!$BJ162:$BT162,,T162)*(1-R162)+INDEX(Models!$BJ162:$BT162,,T162+1)*R162-ERP_i)*Q162*Ramure*Pc/MaxiM</f>
        <v>9.8095559077030349E-4</v>
      </c>
      <c r="Q162" s="304">
        <f t="shared" si="53"/>
        <v>0.7</v>
      </c>
      <c r="R162" s="177">
        <f t="shared" si="54"/>
        <v>0.2821131931751848</v>
      </c>
      <c r="S162" s="799">
        <f t="shared" si="55"/>
        <v>1</v>
      </c>
      <c r="T162" s="176">
        <f t="shared" si="56"/>
        <v>7</v>
      </c>
      <c r="U162" s="250">
        <f t="shared" si="57"/>
        <v>1.2821131931751848</v>
      </c>
      <c r="V162" s="382">
        <f t="shared" si="58"/>
        <v>58.654755614727804</v>
      </c>
      <c r="W162" s="400">
        <f t="shared" si="59"/>
        <v>54.661629760006001</v>
      </c>
      <c r="X162" s="157">
        <f t="shared" si="60"/>
        <v>45805</v>
      </c>
      <c r="Y162" s="383">
        <f t="shared" si="61"/>
        <v>51.817016095881328</v>
      </c>
      <c r="Z162" s="383">
        <f t="shared" si="62"/>
        <v>54.18331055673594</v>
      </c>
      <c r="AA162" s="384">
        <f t="shared" si="63"/>
        <v>57.742908325779716</v>
      </c>
      <c r="AB162" s="197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6.1645626662254031E-2</v>
      </c>
      <c r="AD162" s="230">
        <f>(INDEX(Models!$BJ162:$BT162,,AH162)*(1-AF162)+INDEX(Models!$BJ162:$BT162,,AH162+1)*AF162-ERP_i)*AE162*Ramure*Pc/MaxiM</f>
        <v>1.0457690538109605E-3</v>
      </c>
      <c r="AE162" s="304">
        <f t="shared" si="65"/>
        <v>0.7</v>
      </c>
      <c r="AF162" s="177">
        <f t="shared" si="66"/>
        <v>0.34644541543501695</v>
      </c>
      <c r="AG162" s="799">
        <f t="shared" si="74"/>
        <v>1</v>
      </c>
      <c r="AH162" s="176">
        <f t="shared" si="67"/>
        <v>7</v>
      </c>
      <c r="AI162" s="224">
        <f t="shared" si="68"/>
        <v>1.3464454154350169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45806</v>
      </c>
      <c r="B163" s="409">
        <f>'2024'!Wh/'2024'!Env_an*'2025'!Env_an</f>
        <v>60.051088440936823</v>
      </c>
      <c r="C163" s="829"/>
      <c r="D163" s="391">
        <f t="shared" si="50"/>
        <v>62.794606450079733</v>
      </c>
      <c r="E163" s="383">
        <f t="shared" si="72"/>
        <v>63.44827697422857</v>
      </c>
      <c r="F163" s="383">
        <f t="shared" si="51"/>
        <v>63.505407005756894</v>
      </c>
      <c r="G163" s="110">
        <f t="shared" si="73"/>
        <v>1.0237659265557491</v>
      </c>
      <c r="H163" s="412" t="b">
        <f>Wh_hp&gt;='2024'!Maxi_hp</f>
        <v>1</v>
      </c>
      <c r="I163" s="388">
        <f>IF(H163,Wh_hp,'2024'!Maxi_hp)</f>
        <v>63.505407005756894</v>
      </c>
      <c r="J163" s="85">
        <f>IF(H163,An,'2024'!An_max)</f>
        <v>2025</v>
      </c>
      <c r="K163" s="197">
        <f t="shared" si="52"/>
        <v>45806</v>
      </c>
      <c r="L163" s="147">
        <f>IF(t&lt;Tvie,1-EXP((T0-t)*PertePVj)+'2024'!Pspv,1-EXP((T0-t)*PertePVj)+Pspv)</f>
        <v>4.3690344828005934E-2</v>
      </c>
      <c r="M163" s="832"/>
      <c r="N163" s="832"/>
      <c r="O163" s="48">
        <f>IF(t&lt;Tnet,'2024'!Resal+('2024'!Salim-'2024'!Resal)*(1-EXP(('2024'!Tnet-t)/('2024'!Tau_j))),Resal+(Salim-Resal)*(1-EXP((Tnet-t)/(Tau_j))))*Salcycl</f>
        <v>1.030241568915017E-2</v>
      </c>
      <c r="P163" s="169">
        <f>(INDEX(Models!$BJ163:$BT163,,T163)*(1-R163)+INDEX(Models!$BJ163:$BT163,,T163+1)*R163-ERP_i)*Q163*Ramure*Pc/MaxiM</f>
        <v>8.9960893445095768E-4</v>
      </c>
      <c r="Q163" s="304">
        <f t="shared" si="53"/>
        <v>0.7</v>
      </c>
      <c r="R163" s="177">
        <f t="shared" si="54"/>
        <v>0.28596968504016229</v>
      </c>
      <c r="S163" s="799">
        <f t="shared" si="55"/>
        <v>1</v>
      </c>
      <c r="T163" s="176">
        <f t="shared" si="56"/>
        <v>7</v>
      </c>
      <c r="U163" s="250">
        <f t="shared" si="57"/>
        <v>1.2859696850401623</v>
      </c>
      <c r="V163" s="382">
        <f t="shared" si="58"/>
        <v>58.657049314940984</v>
      </c>
      <c r="W163" s="400">
        <f t="shared" si="59"/>
        <v>60.051088440936823</v>
      </c>
      <c r="X163" s="157">
        <f t="shared" si="60"/>
        <v>45806</v>
      </c>
      <c r="Y163" s="383">
        <f t="shared" si="61"/>
        <v>56.927123209000122</v>
      </c>
      <c r="Z163" s="383">
        <f t="shared" si="62"/>
        <v>59.527918494937367</v>
      </c>
      <c r="AA163" s="384">
        <f t="shared" si="63"/>
        <v>63.444522908212157</v>
      </c>
      <c r="AB163" s="197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6.1732742776568865E-2</v>
      </c>
      <c r="AD163" s="230">
        <f>(INDEX(Models!$BJ163:$BT163,,AH163)*(1-AF163)+INDEX(Models!$BJ163:$BT163,,AH163+1)*AF163-ERP_i)*AE163*Ramure*Pc/MaxiM</f>
        <v>9.5872305076661832E-4</v>
      </c>
      <c r="AE163" s="304">
        <f t="shared" si="65"/>
        <v>0.7</v>
      </c>
      <c r="AF163" s="177">
        <f t="shared" si="66"/>
        <v>0.35030190729999444</v>
      </c>
      <c r="AG163" s="799">
        <f t="shared" si="74"/>
        <v>1</v>
      </c>
      <c r="AH163" s="176">
        <f t="shared" si="67"/>
        <v>7</v>
      </c>
      <c r="AI163" s="224">
        <f t="shared" si="68"/>
        <v>1.3503019072999944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45807</v>
      </c>
      <c r="B164" s="409">
        <f>'2024'!Wh/'2024'!Env_an*'2025'!Env_an</f>
        <v>46.774245826974372</v>
      </c>
      <c r="C164" s="829"/>
      <c r="D164" s="391">
        <f t="shared" si="50"/>
        <v>48.912130091891733</v>
      </c>
      <c r="E164" s="383">
        <f t="shared" si="72"/>
        <v>49.426877927682447</v>
      </c>
      <c r="F164" s="383">
        <f t="shared" si="51"/>
        <v>49.45597601104005</v>
      </c>
      <c r="G164" s="110">
        <f t="shared" si="73"/>
        <v>0.79724350832334911</v>
      </c>
      <c r="H164" s="412" t="b">
        <f>Wh_hp&gt;='2024'!Maxi_hp</f>
        <v>0</v>
      </c>
      <c r="I164" s="388">
        <f>IF(H164,Wh_hp,'2024'!Maxi_hp)</f>
        <v>61.091879244383499</v>
      </c>
      <c r="J164" s="85">
        <f>IF(H164,An,'2024'!An_max)</f>
        <v>2018</v>
      </c>
      <c r="K164" s="197">
        <f t="shared" si="52"/>
        <v>45807</v>
      </c>
      <c r="L164" s="147">
        <f>IF(t&lt;Tvie,1-EXP((T0-t)*PertePVj)+'2024'!Pspv,1-EXP((T0-t)*PertePVj)+Pspv)</f>
        <v>4.3708672284378025E-2</v>
      </c>
      <c r="M164" s="832"/>
      <c r="N164" s="832"/>
      <c r="O164" s="48">
        <f>IF(t&lt;Tnet,'2024'!Resal+('2024'!Salim-'2024'!Resal)*(1-EXP(('2024'!Tnet-t)/('2024'!Tau_j))),Resal+(Salim-Resal)*(1-EXP((Tnet-t)/(Tau_j))))*Salcycl</f>
        <v>1.0414330367858925E-2</v>
      </c>
      <c r="P164" s="169">
        <f>(INDEX(Models!$BJ164:$BT164,,T164)*(1-R164)+INDEX(Models!$BJ164:$BT164,,T164+1)*R164-ERP_i)*Q164*Ramure*Pc/MaxiM</f>
        <v>8.2795662571061236E-4</v>
      </c>
      <c r="Q164" s="304">
        <f t="shared" si="53"/>
        <v>0.7</v>
      </c>
      <c r="R164" s="177">
        <f t="shared" si="54"/>
        <v>0.28986466819223233</v>
      </c>
      <c r="S164" s="799">
        <f t="shared" si="55"/>
        <v>1</v>
      </c>
      <c r="T164" s="176">
        <f t="shared" si="56"/>
        <v>7</v>
      </c>
      <c r="U164" s="250">
        <f t="shared" si="57"/>
        <v>1.2898646681922323</v>
      </c>
      <c r="V164" s="382">
        <f t="shared" si="58"/>
        <v>58.655896154799834</v>
      </c>
      <c r="W164" s="400">
        <f t="shared" si="59"/>
        <v>46.774245826974372</v>
      </c>
      <c r="X164" s="157">
        <f t="shared" si="60"/>
        <v>45807</v>
      </c>
      <c r="Y164" s="383">
        <f t="shared" si="61"/>
        <v>44.34280356306499</v>
      </c>
      <c r="Z164" s="383">
        <f t="shared" si="62"/>
        <v>46.369555257800549</v>
      </c>
      <c r="AA164" s="384">
        <f t="shared" si="63"/>
        <v>49.424990455736143</v>
      </c>
      <c r="AB164" s="197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6.1819641638008307E-2</v>
      </c>
      <c r="AD164" s="230">
        <f>(INDEX(Models!$BJ164:$BT164,,AH164)*(1-AF164)+INDEX(Models!$BJ164:$BT164,,AH164+1)*AF164-ERP_i)*AE164*Ramure*Pc/MaxiM</f>
        <v>8.8166273702333414E-4</v>
      </c>
      <c r="AE164" s="304">
        <f t="shared" si="65"/>
        <v>0.7</v>
      </c>
      <c r="AF164" s="177">
        <f t="shared" si="66"/>
        <v>0.35419689045206448</v>
      </c>
      <c r="AG164" s="799">
        <f t="shared" si="74"/>
        <v>1</v>
      </c>
      <c r="AH164" s="176">
        <f t="shared" si="67"/>
        <v>7</v>
      </c>
      <c r="AI164" s="224">
        <f t="shared" si="68"/>
        <v>1.3541968904520645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45808</v>
      </c>
      <c r="B165" s="409">
        <f>'2024'!Wh/'2024'!Env_an*'2025'!Env_an</f>
        <v>56.364308707573272</v>
      </c>
      <c r="C165" s="829"/>
      <c r="D165" s="391">
        <f t="shared" si="50"/>
        <v>58.941650210337322</v>
      </c>
      <c r="E165" s="383">
        <f t="shared" si="72"/>
        <v>59.568683187784771</v>
      </c>
      <c r="F165" s="383">
        <f t="shared" si="51"/>
        <v>59.611691745020856</v>
      </c>
      <c r="G165" s="110">
        <f t="shared" si="73"/>
        <v>0.96096420757014811</v>
      </c>
      <c r="H165" s="412" t="b">
        <f>Wh_hp&gt;='2024'!Maxi_hp</f>
        <v>0</v>
      </c>
      <c r="I165" s="388">
        <f>IF(H165,Wh_hp,'2024'!Maxi_hp)</f>
        <v>61.846036188985813</v>
      </c>
      <c r="J165" s="85">
        <f>IF(H165,An,'2024'!An_max)</f>
        <v>2018</v>
      </c>
      <c r="K165" s="197">
        <f t="shared" si="52"/>
        <v>45808</v>
      </c>
      <c r="L165" s="147">
        <f>IF(t&lt;Tvie,1-EXP((T0-t)*PertePVj)+'2024'!Pspv,1-EXP((T0-t)*PertePVj)+Pspv)</f>
        <v>4.3726999389508636E-2</v>
      </c>
      <c r="M165" s="832"/>
      <c r="N165" s="832"/>
      <c r="O165" s="48">
        <f>IF(t&lt;Tnet,'2024'!Resal+('2024'!Salim-'2024'!Resal)*(1-EXP(('2024'!Tnet-t)/('2024'!Tau_j))),Resal+(Salim-Resal)*(1-EXP((Tnet-t)/(Tau_j))))*Salcycl</f>
        <v>1.0526218541222177E-2</v>
      </c>
      <c r="P165" s="169">
        <f>(INDEX(Models!$BJ165:$BT165,,T165)*(1-R165)+INDEX(Models!$BJ165:$BT165,,T165+1)*R165-ERP_i)*Q165*Ramure*Pc/MaxiM</f>
        <v>7.6404094050937991E-4</v>
      </c>
      <c r="Q165" s="304">
        <f t="shared" si="53"/>
        <v>0.7</v>
      </c>
      <c r="R165" s="177">
        <f t="shared" si="54"/>
        <v>0.29379538543193373</v>
      </c>
      <c r="S165" s="799">
        <f t="shared" si="55"/>
        <v>1</v>
      </c>
      <c r="T165" s="176">
        <f t="shared" si="56"/>
        <v>7</v>
      </c>
      <c r="U165" s="250">
        <f t="shared" si="57"/>
        <v>1.2937953854319337</v>
      </c>
      <c r="V165" s="382">
        <f t="shared" si="58"/>
        <v>58.651412333648736</v>
      </c>
      <c r="W165" s="400">
        <f t="shared" si="59"/>
        <v>56.364308707573272</v>
      </c>
      <c r="X165" s="157">
        <f t="shared" si="60"/>
        <v>45808</v>
      </c>
      <c r="Y165" s="383">
        <f t="shared" si="61"/>
        <v>53.43503348728369</v>
      </c>
      <c r="Z165" s="383">
        <f t="shared" si="62"/>
        <v>55.87842954174215</v>
      </c>
      <c r="AA165" s="384">
        <f t="shared" si="63"/>
        <v>59.565934350197445</v>
      </c>
      <c r="AB165" s="197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6.1906269895404889E-2</v>
      </c>
      <c r="AD165" s="230">
        <f>(INDEX(Models!$BJ165:$BT165,,AH165)*(1-AF165)+INDEX(Models!$BJ165:$BT165,,AH165+1)*AF165-ERP_i)*AE165*Ramure*Pc/MaxiM</f>
        <v>8.1287365173006378E-4</v>
      </c>
      <c r="AE165" s="304">
        <f t="shared" si="65"/>
        <v>0.7</v>
      </c>
      <c r="AF165" s="177">
        <f t="shared" si="66"/>
        <v>0.35812760769176588</v>
      </c>
      <c r="AG165" s="799">
        <f t="shared" si="74"/>
        <v>1</v>
      </c>
      <c r="AH165" s="176">
        <f t="shared" si="67"/>
        <v>7</v>
      </c>
      <c r="AI165" s="224">
        <f t="shared" si="68"/>
        <v>1.3581276076917659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45809</v>
      </c>
      <c r="B166" s="409">
        <f>'2024'!Wh/'2024'!Env_an*'2025'!Env_an</f>
        <v>58.454345222826532</v>
      </c>
      <c r="C166" s="829"/>
      <c r="D166" s="391">
        <f t="shared" si="50"/>
        <v>61.128428253405446</v>
      </c>
      <c r="E166" s="383">
        <f t="shared" si="72"/>
        <v>61.785708929619958</v>
      </c>
      <c r="F166" s="383">
        <f t="shared" si="51"/>
        <v>61.829282895302413</v>
      </c>
      <c r="G166" s="110">
        <f t="shared" si="73"/>
        <v>0.99676970248527608</v>
      </c>
      <c r="H166" s="412" t="b">
        <f>Wh_hp&gt;='2024'!Maxi_hp</f>
        <v>0</v>
      </c>
      <c r="I166" s="388">
        <f>IF(H166,Wh_hp,'2024'!Maxi_hp)</f>
        <v>63.6031019014615</v>
      </c>
      <c r="J166" s="85">
        <f>IF(H166,An,'2024'!An_max)</f>
        <v>2018</v>
      </c>
      <c r="K166" s="197">
        <f t="shared" si="52"/>
        <v>45809</v>
      </c>
      <c r="L166" s="147">
        <f>IF(t&lt;Tvie,1-EXP((T0-t)*PertePVj)+'2024'!Pspv,1-EXP((T0-t)*PertePVj)+Pspv)</f>
        <v>4.3745326143404317E-2</v>
      </c>
      <c r="M166" s="832"/>
      <c r="N166" s="832"/>
      <c r="O166" s="48">
        <f>IF(t&lt;Tnet,'2024'!Resal+('2024'!Salim-'2024'!Resal)*(1-EXP(('2024'!Tnet-t)/('2024'!Tau_j))),Resal+(Salim-Resal)*(1-EXP((Tnet-t)/(Tau_j))))*Salcycl</f>
        <v>1.0638069670176017E-2</v>
      </c>
      <c r="P166" s="169">
        <f>(INDEX(Models!$BJ166:$BT166,,T166)*(1-R166)+INDEX(Models!$BJ166:$BT166,,T166+1)*R166-ERP_i)*Q166*Ramure*Pc/MaxiM</f>
        <v>7.0801038871080347E-4</v>
      </c>
      <c r="Q166" s="304">
        <f t="shared" si="53"/>
        <v>0.7</v>
      </c>
      <c r="R166" s="177">
        <f t="shared" si="54"/>
        <v>0.29775896789359968</v>
      </c>
      <c r="S166" s="799">
        <f t="shared" si="55"/>
        <v>1</v>
      </c>
      <c r="T166" s="176">
        <f t="shared" si="56"/>
        <v>7</v>
      </c>
      <c r="U166" s="250">
        <f t="shared" si="57"/>
        <v>1.2977589678935997</v>
      </c>
      <c r="V166" s="382">
        <f t="shared" si="58"/>
        <v>58.643590539807946</v>
      </c>
      <c r="W166" s="400">
        <f t="shared" si="59"/>
        <v>58.454345222826532</v>
      </c>
      <c r="X166" s="157">
        <f t="shared" si="60"/>
        <v>45809</v>
      </c>
      <c r="Y166" s="383">
        <f t="shared" si="61"/>
        <v>55.417717109114157</v>
      </c>
      <c r="Z166" s="383">
        <f t="shared" si="62"/>
        <v>57.952884962761345</v>
      </c>
      <c r="AA166" s="384">
        <f t="shared" si="63"/>
        <v>61.782970347622637</v>
      </c>
      <c r="AB166" s="197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6.19925743827347E-2</v>
      </c>
      <c r="AD166" s="230">
        <f>(INDEX(Models!$BJ166:$BT166,,AH166)*(1-AF166)+INDEX(Models!$BJ166:$BT166,,AH166+1)*AF166-ERP_i)*AE166*Ramure*Pc/MaxiM</f>
        <v>7.5250816333559227E-4</v>
      </c>
      <c r="AE166" s="304">
        <f t="shared" si="65"/>
        <v>0.7</v>
      </c>
      <c r="AF166" s="177">
        <f t="shared" si="66"/>
        <v>0.36209119015343183</v>
      </c>
      <c r="AG166" s="799">
        <f t="shared" si="74"/>
        <v>1</v>
      </c>
      <c r="AH166" s="176">
        <f t="shared" si="67"/>
        <v>7</v>
      </c>
      <c r="AI166" s="224">
        <f t="shared" si="68"/>
        <v>1.3620911901534318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45810</v>
      </c>
      <c r="B167" s="409">
        <f>'2024'!Wh/'2024'!Env_an*'2025'!Env_an</f>
        <v>40.531352014763605</v>
      </c>
      <c r="C167" s="829"/>
      <c r="D167" s="391">
        <f t="shared" si="50"/>
        <v>42.386332754116971</v>
      </c>
      <c r="E167" s="383">
        <f t="shared" si="72"/>
        <v>42.846931827851947</v>
      </c>
      <c r="F167" s="383">
        <f t="shared" si="51"/>
        <v>42.862745184644339</v>
      </c>
      <c r="G167" s="110">
        <f t="shared" si="73"/>
        <v>0.69107751572983711</v>
      </c>
      <c r="H167" s="412" t="b">
        <f>Wh_hp&gt;='2024'!Maxi_hp</f>
        <v>0</v>
      </c>
      <c r="I167" s="388">
        <f>IF(H167,Wh_hp,'2024'!Maxi_hp)</f>
        <v>62.818886290602684</v>
      </c>
      <c r="J167" s="85">
        <f>IF(H167,An,'2024'!An_max)</f>
        <v>2018</v>
      </c>
      <c r="K167" s="197">
        <f t="shared" si="52"/>
        <v>45810</v>
      </c>
      <c r="L167" s="147">
        <f>IF(t&lt;Tvie,1-EXP((T0-t)*PertePVj)+'2024'!Pspv,1-EXP((T0-t)*PertePVj)+Pspv)</f>
        <v>4.3763652546072063E-2</v>
      </c>
      <c r="M167" s="832"/>
      <c r="N167" s="832"/>
      <c r="O167" s="48">
        <f>IF(t&lt;Tnet,'2024'!Resal+('2024'!Salim-'2024'!Resal)*(1-EXP(('2024'!Tnet-t)/('2024'!Tau_j))),Resal+(Salim-Resal)*(1-EXP((Tnet-t)/(Tau_j))))*Salcycl</f>
        <v>1.0749872956727601E-2</v>
      </c>
      <c r="P167" s="169">
        <f>(INDEX(Models!$BJ167:$BT167,,T167)*(1-R167)+INDEX(Models!$BJ167:$BT167,,T167+1)*R167-ERP_i)*Q167*Ramure*Pc/MaxiM</f>
        <v>6.6001802361072292E-4</v>
      </c>
      <c r="Q167" s="304">
        <f t="shared" si="53"/>
        <v>0.7</v>
      </c>
      <c r="R167" s="177">
        <f t="shared" si="54"/>
        <v>0.30175244262512968</v>
      </c>
      <c r="S167" s="799">
        <f t="shared" si="55"/>
        <v>1</v>
      </c>
      <c r="T167" s="176">
        <f t="shared" si="56"/>
        <v>7</v>
      </c>
      <c r="U167" s="250">
        <f t="shared" si="57"/>
        <v>1.3017524426251297</v>
      </c>
      <c r="V167" s="382">
        <f t="shared" si="58"/>
        <v>58.632423354837115</v>
      </c>
      <c r="W167" s="400">
        <f t="shared" si="59"/>
        <v>40.531352014763605</v>
      </c>
      <c r="X167" s="157">
        <f t="shared" si="60"/>
        <v>45810</v>
      </c>
      <c r="Y167" s="383">
        <f t="shared" si="61"/>
        <v>38.427451325045276</v>
      </c>
      <c r="Z167" s="383">
        <f t="shared" si="62"/>
        <v>40.186143757620272</v>
      </c>
      <c r="AA167" s="384">
        <f t="shared" si="63"/>
        <v>42.845956571918862</v>
      </c>
      <c r="AB167" s="197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6.2078502316408199E-2</v>
      </c>
      <c r="AD167" s="230">
        <f>(INDEX(Models!$BJ167:$BT167,,AH167)*(1-AF167)+INDEX(Models!$BJ167:$BT167,,AH167+1)*AF167-ERP_i)*AE167*Ramure*Pc/MaxiM</f>
        <v>7.0072326424503112E-4</v>
      </c>
      <c r="AE167" s="304">
        <f t="shared" si="65"/>
        <v>0.7</v>
      </c>
      <c r="AF167" s="177">
        <f t="shared" si="66"/>
        <v>0.36608466488496183</v>
      </c>
      <c r="AG167" s="799">
        <f t="shared" si="74"/>
        <v>1</v>
      </c>
      <c r="AH167" s="176">
        <f t="shared" si="67"/>
        <v>7</v>
      </c>
      <c r="AI167" s="224">
        <f t="shared" si="68"/>
        <v>1.3660846648849618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45811</v>
      </c>
      <c r="B168" s="409">
        <f>'2024'!Wh/'2024'!Env_an*'2025'!Env_an</f>
        <v>56.980086272112501</v>
      </c>
      <c r="C168" s="829"/>
      <c r="D168" s="391">
        <f t="shared" si="50"/>
        <v>59.589011079858139</v>
      </c>
      <c r="E168" s="383">
        <f t="shared" si="72"/>
        <v>60.24335131172829</v>
      </c>
      <c r="F168" s="383">
        <f t="shared" si="51"/>
        <v>60.27924548684355</v>
      </c>
      <c r="G168" s="110">
        <f t="shared" si="73"/>
        <v>0.9720353619424601</v>
      </c>
      <c r="H168" s="412" t="b">
        <f>Wh_hp&gt;='2024'!Maxi_hp</f>
        <v>0</v>
      </c>
      <c r="I168" s="388">
        <f>IF(H168,Wh_hp,'2024'!Maxi_hp)</f>
        <v>60.280374987605988</v>
      </c>
      <c r="J168" s="85">
        <f>IF(H168,An,'2024'!An_max)</f>
        <v>2022</v>
      </c>
      <c r="K168" s="197">
        <f t="shared" si="52"/>
        <v>45811</v>
      </c>
      <c r="L168" s="147">
        <f>IF(t&lt;Tvie,1-EXP((T0-t)*PertePVj)+'2024'!Pspv,1-EXP((T0-t)*PertePVj)+Pspv)</f>
        <v>4.3781978597518423E-2</v>
      </c>
      <c r="M168" s="832"/>
      <c r="N168" s="832"/>
      <c r="O168" s="48">
        <f>IF(t&lt;Tnet,'2024'!Resal+('2024'!Salim-'2024'!Resal)*(1-EXP(('2024'!Tnet-t)/('2024'!Tau_j))),Resal+(Salim-Resal)*(1-EXP((Tnet-t)/(Tau_j))))*Salcycl</f>
        <v>1.0861617383871635E-2</v>
      </c>
      <c r="P168" s="169">
        <f>(INDEX(Models!$BJ168:$BT168,,T168)*(1-R168)+INDEX(Models!$BJ168:$BT168,,T168+1)*R168-ERP_i)*Q168*Ramure*Pc/MaxiM</f>
        <v>6.2022108073445559E-4</v>
      </c>
      <c r="Q168" s="304">
        <f t="shared" si="53"/>
        <v>0.7</v>
      </c>
      <c r="R168" s="177">
        <f t="shared" si="54"/>
        <v>0.30577274085094719</v>
      </c>
      <c r="S168" s="799">
        <f t="shared" si="55"/>
        <v>1</v>
      </c>
      <c r="T168" s="176">
        <f t="shared" si="56"/>
        <v>7</v>
      </c>
      <c r="U168" s="250">
        <f t="shared" si="57"/>
        <v>1.3057727408509472</v>
      </c>
      <c r="V168" s="382">
        <f t="shared" si="58"/>
        <v>58.617903271218111</v>
      </c>
      <c r="W168" s="400">
        <f t="shared" si="59"/>
        <v>56.980086272112501</v>
      </c>
      <c r="X168" s="157">
        <f t="shared" si="60"/>
        <v>45811</v>
      </c>
      <c r="Y168" s="383">
        <f t="shared" si="61"/>
        <v>54.022828411297375</v>
      </c>
      <c r="Z168" s="383">
        <f t="shared" si="62"/>
        <v>56.496350416050809</v>
      </c>
      <c r="AA168" s="384">
        <f t="shared" si="63"/>
        <v>60.24118343301388</v>
      </c>
      <c r="AB168" s="197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6.2164001494545575E-2</v>
      </c>
      <c r="AD168" s="230">
        <f>(INDEX(Models!$BJ168:$BT168,,AH168)*(1-AF168)+INDEX(Models!$BJ168:$BT168,,AH168+1)*AF168-ERP_i)*AE168*Ramure*Pc/MaxiM</f>
        <v>6.5768019700713392E-4</v>
      </c>
      <c r="AE168" s="304">
        <f t="shared" si="65"/>
        <v>0.7</v>
      </c>
      <c r="AF168" s="177">
        <f t="shared" si="66"/>
        <v>0.37010496311077934</v>
      </c>
      <c r="AG168" s="799">
        <f t="shared" si="74"/>
        <v>1</v>
      </c>
      <c r="AH168" s="176">
        <f t="shared" si="67"/>
        <v>7</v>
      </c>
      <c r="AI168" s="224">
        <f t="shared" si="68"/>
        <v>1.3701049631107793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45812</v>
      </c>
      <c r="B169" s="409">
        <f>'2024'!Wh/'2024'!Env_an*'2025'!Env_an</f>
        <v>25.834017148631652</v>
      </c>
      <c r="C169" s="829"/>
      <c r="D169" s="391">
        <f t="shared" si="50"/>
        <v>27.017386916922934</v>
      </c>
      <c r="E169" s="383">
        <f t="shared" si="72"/>
        <v>27.317145929184896</v>
      </c>
      <c r="F169" s="383">
        <f t="shared" si="51"/>
        <v>27.32038268139959</v>
      </c>
      <c r="G169" s="110">
        <f t="shared" si="73"/>
        <v>0.44064600317554958</v>
      </c>
      <c r="H169" s="412" t="b">
        <f>Wh_hp&gt;='2024'!Maxi_hp</f>
        <v>0</v>
      </c>
      <c r="I169" s="388">
        <f>IF(H169,Wh_hp,'2024'!Maxi_hp)</f>
        <v>60.619800166760626</v>
      </c>
      <c r="J169" s="85">
        <f>IF(H169,An,'2024'!An_max)</f>
        <v>2018</v>
      </c>
      <c r="K169" s="197">
        <f t="shared" si="52"/>
        <v>45812</v>
      </c>
      <c r="L169" s="147">
        <f>IF(t&lt;Tvie,1-EXP((T0-t)*PertePVj)+'2024'!Pspv,1-EXP((T0-t)*PertePVj)+Pspv)</f>
        <v>4.3800304297750281E-2</v>
      </c>
      <c r="M169" s="832"/>
      <c r="N169" s="832"/>
      <c r="O169" s="48">
        <f>IF(t&lt;Tnet,'2024'!Resal+('2024'!Salim-'2024'!Resal)*(1-EXP(('2024'!Tnet-t)/('2024'!Tau_j))),Resal+(Salim-Resal)*(1-EXP((Tnet-t)/(Tau_j))))*Salcycl</f>
        <v>1.097329175745651E-2</v>
      </c>
      <c r="P169" s="169">
        <f>(INDEX(Models!$BJ169:$BT169,,T169)*(1-R169)+INDEX(Models!$BJ169:$BT169,,T169+1)*R169-ERP_i)*Q169*Ramure*Pc/MaxiM</f>
        <v>5.8878059993603944E-4</v>
      </c>
      <c r="Q169" s="304">
        <f t="shared" si="53"/>
        <v>0.7</v>
      </c>
      <c r="R169" s="177">
        <f t="shared" si="54"/>
        <v>0.30981670687467511</v>
      </c>
      <c r="S169" s="799">
        <f t="shared" si="55"/>
        <v>1</v>
      </c>
      <c r="T169" s="176">
        <f t="shared" si="56"/>
        <v>7</v>
      </c>
      <c r="U169" s="250">
        <f t="shared" si="57"/>
        <v>1.3098167068746751</v>
      </c>
      <c r="V169" s="382">
        <f t="shared" si="58"/>
        <v>58.600022720070065</v>
      </c>
      <c r="W169" s="400">
        <f t="shared" si="59"/>
        <v>25.834017148631652</v>
      </c>
      <c r="X169" s="157">
        <f t="shared" si="60"/>
        <v>45812</v>
      </c>
      <c r="Y169" s="383">
        <f t="shared" si="61"/>
        <v>24.494490595547465</v>
      </c>
      <c r="Z169" s="383">
        <f t="shared" si="62"/>
        <v>25.616501140547093</v>
      </c>
      <c r="AA169" s="384">
        <f t="shared" si="63"/>
        <v>27.316954821122245</v>
      </c>
      <c r="AB169" s="197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6.2249020496981285E-2</v>
      </c>
      <c r="AD169" s="230">
        <f>(INDEX(Models!$BJ169:$BT169,,AH169)*(1-AF169)+INDEX(Models!$BJ169:$BT169,,AH169+1)*AF169-ERP_i)*AE169*Ramure*Pc/MaxiM</f>
        <v>6.2354406414906569E-4</v>
      </c>
      <c r="AE169" s="304">
        <f t="shared" si="65"/>
        <v>0.7</v>
      </c>
      <c r="AF169" s="177">
        <f t="shared" si="66"/>
        <v>0.37414892913450726</v>
      </c>
      <c r="AG169" s="799">
        <f t="shared" si="74"/>
        <v>1</v>
      </c>
      <c r="AH169" s="176">
        <f t="shared" si="67"/>
        <v>7</v>
      </c>
      <c r="AI169" s="224">
        <f t="shared" si="68"/>
        <v>1.3741489291345073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45813</v>
      </c>
      <c r="B170" s="409">
        <f>'2024'!Wh/'2024'!Env_an*'2025'!Env_an</f>
        <v>29.843872106679857</v>
      </c>
      <c r="C170" s="829"/>
      <c r="D170" s="391">
        <f t="shared" si="50"/>
        <v>31.211518057139248</v>
      </c>
      <c r="E170" s="383">
        <f t="shared" ref="E170:E232" si="75">Wh_pvt/(1-Psa)</f>
        <v>31.561372230862688</v>
      </c>
      <c r="F170" s="383">
        <f t="shared" si="51"/>
        <v>31.566716546868911</v>
      </c>
      <c r="G170" s="110">
        <f t="shared" ref="G170:G232" si="76">+Wh_hp/MaxiM</f>
        <v>0.50926356370652426</v>
      </c>
      <c r="H170" s="412" t="b">
        <f>Wh_hp&gt;='2024'!Maxi_hp</f>
        <v>0</v>
      </c>
      <c r="I170" s="388">
        <f>IF(H170,Wh_hp,'2024'!Maxi_hp)</f>
        <v>39.216543124389602</v>
      </c>
      <c r="J170" s="85">
        <f>IF(H170,An,'2024'!An_max)</f>
        <v>2021</v>
      </c>
      <c r="K170" s="197">
        <f t="shared" si="52"/>
        <v>45813</v>
      </c>
      <c r="L170" s="147">
        <f>IF(t&lt;Tvie,1-EXP((T0-t)*PertePVj)+'2024'!Pspv,1-EXP((T0-t)*PertePVj)+Pspv)</f>
        <v>4.3818629646774188E-2</v>
      </c>
      <c r="M170" s="832"/>
      <c r="N170" s="832"/>
      <c r="O170" s="48">
        <f>IF(t&lt;Tnet,'2024'!Resal+('2024'!Salim-'2024'!Resal)*(1-EXP(('2024'!Tnet-t)/('2024'!Tau_j))),Resal+(Salim-Resal)*(1-EXP((Tnet-t)/(Tau_j))))*Salcycl</f>
        <v>1.1084884749761671E-2</v>
      </c>
      <c r="P170" s="169">
        <f>(INDEX(Models!$BJ170:$BT170,,T170)*(1-R170)+INDEX(Models!$BJ170:$BT170,,T170+1)*R170-ERP_i)*Q170*Ramure*Pc/MaxiM</f>
        <v>5.6578062349421513E-4</v>
      </c>
      <c r="Q170" s="304">
        <f t="shared" si="53"/>
        <v>0.7</v>
      </c>
      <c r="R170" s="177">
        <f t="shared" si="54"/>
        <v>0.31388110757089249</v>
      </c>
      <c r="S170" s="799">
        <f t="shared" si="55"/>
        <v>1</v>
      </c>
      <c r="T170" s="176">
        <f t="shared" si="56"/>
        <v>7</v>
      </c>
      <c r="U170" s="250">
        <f t="shared" si="57"/>
        <v>1.3138811075708925</v>
      </c>
      <c r="V170" s="382">
        <f t="shared" si="58"/>
        <v>58.578778807503582</v>
      </c>
      <c r="W170" s="400">
        <f t="shared" si="59"/>
        <v>29.843872106679857</v>
      </c>
      <c r="X170" s="157">
        <f t="shared" si="60"/>
        <v>45813</v>
      </c>
      <c r="Y170" s="383">
        <f t="shared" si="61"/>
        <v>28.296994536220037</v>
      </c>
      <c r="Z170" s="383">
        <f t="shared" si="62"/>
        <v>29.59375220390119</v>
      </c>
      <c r="AA170" s="384">
        <f t="shared" si="63"/>
        <v>31.561064071620304</v>
      </c>
      <c r="AB170" s="197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6.2333508884705846E-2</v>
      </c>
      <c r="AD170" s="230">
        <f>(INDEX(Models!$BJ170:$BT170,,AH170)*(1-AF170)+INDEX(Models!$BJ170:$BT170,,AH170+1)*AF170-ERP_i)*AE170*Ramure*Pc/MaxiM</f>
        <v>5.984041674777827E-4</v>
      </c>
      <c r="AE170" s="304">
        <f t="shared" si="65"/>
        <v>0.7</v>
      </c>
      <c r="AF170" s="177">
        <f t="shared" si="66"/>
        <v>0.37821332983072464</v>
      </c>
      <c r="AG170" s="799">
        <f t="shared" si="74"/>
        <v>1</v>
      </c>
      <c r="AH170" s="176">
        <f t="shared" si="67"/>
        <v>7</v>
      </c>
      <c r="AI170" s="224">
        <f t="shared" si="68"/>
        <v>1.3782133298307246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45814</v>
      </c>
      <c r="B171" s="409">
        <f>'2024'!Wh/'2024'!Env_an*'2025'!Env_an</f>
        <v>50.275050956926044</v>
      </c>
      <c r="C171" s="829"/>
      <c r="D171" s="391">
        <f t="shared" si="50"/>
        <v>52.579997941918947</v>
      </c>
      <c r="E171" s="383">
        <f t="shared" si="75"/>
        <v>53.175369852353526</v>
      </c>
      <c r="F171" s="383">
        <f t="shared" si="51"/>
        <v>53.198539393837954</v>
      </c>
      <c r="G171" s="110">
        <f t="shared" si="76"/>
        <v>0.85850809318617893</v>
      </c>
      <c r="H171" s="412" t="b">
        <f>Wh_hp&gt;='2024'!Maxi_hp</f>
        <v>0</v>
      </c>
      <c r="I171" s="388">
        <f>IF(H171,Wh_hp,'2024'!Maxi_hp)</f>
        <v>54.078564517697089</v>
      </c>
      <c r="J171" s="85">
        <f>IF(H171,An,'2024'!An_max)</f>
        <v>2018</v>
      </c>
      <c r="K171" s="197">
        <f t="shared" si="52"/>
        <v>45814</v>
      </c>
      <c r="L171" s="147">
        <f>IF(t&lt;Tvie,1-EXP((T0-t)*PertePVj)+'2024'!Pspv,1-EXP((T0-t)*PertePVj)+Pspv)</f>
        <v>4.3836954644596915E-2</v>
      </c>
      <c r="M171" s="832"/>
      <c r="N171" s="832"/>
      <c r="O171" s="48">
        <f>IF(t&lt;Tnet,'2024'!Resal+('2024'!Salim-'2024'!Resal)*(1-EXP(('2024'!Tnet-t)/('2024'!Tau_j))),Resal+(Salim-Resal)*(1-EXP((Tnet-t)/(Tau_j))))*Salcycl</f>
        <v>1.1196384944527626E-2</v>
      </c>
      <c r="P171" s="169">
        <f>(INDEX(Models!$BJ171:$BT171,,T171)*(1-R171)+INDEX(Models!$BJ171:$BT171,,T171+1)*R171-ERP_i)*Q171*Ramure*Pc/MaxiM</f>
        <v>5.4577378317735039E-4</v>
      </c>
      <c r="Q171" s="304">
        <f t="shared" si="53"/>
        <v>0.7</v>
      </c>
      <c r="R171" s="177">
        <f t="shared" si="54"/>
        <v>0.31796264240860461</v>
      </c>
      <c r="S171" s="799">
        <f t="shared" si="55"/>
        <v>1</v>
      </c>
      <c r="T171" s="176">
        <f t="shared" si="56"/>
        <v>7</v>
      </c>
      <c r="U171" s="250">
        <f t="shared" si="57"/>
        <v>1.3179626424086046</v>
      </c>
      <c r="V171" s="382">
        <f t="shared" si="58"/>
        <v>58.554492860036504</v>
      </c>
      <c r="W171" s="400">
        <f t="shared" si="59"/>
        <v>50.275050956926044</v>
      </c>
      <c r="X171" s="157">
        <f t="shared" si="60"/>
        <v>45814</v>
      </c>
      <c r="Y171" s="383">
        <f t="shared" si="61"/>
        <v>47.669582118456219</v>
      </c>
      <c r="Z171" s="383">
        <f t="shared" si="62"/>
        <v>49.855076861642956</v>
      </c>
      <c r="AA171" s="384">
        <f t="shared" si="63"/>
        <v>53.174064649594591</v>
      </c>
      <c r="AB171" s="197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6.241741739742919E-2</v>
      </c>
      <c r="AD171" s="230">
        <f>(INDEX(Models!$BJ171:$BT171,,AH171)*(1-AF171)+INDEX(Models!$BJ171:$BT171,,AH171+1)*AF171-ERP_i)*AE171*Ramure*Pc/MaxiM</f>
        <v>5.7651869230883508E-4</v>
      </c>
      <c r="AE171" s="304">
        <f t="shared" si="65"/>
        <v>0.7</v>
      </c>
      <c r="AF171" s="177">
        <f t="shared" si="66"/>
        <v>0.38229486466843676</v>
      </c>
      <c r="AG171" s="799">
        <f t="shared" si="74"/>
        <v>1</v>
      </c>
      <c r="AH171" s="176">
        <f t="shared" si="67"/>
        <v>7</v>
      </c>
      <c r="AI171" s="224">
        <f t="shared" si="68"/>
        <v>1.3822948646684368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45815</v>
      </c>
      <c r="B172" s="409">
        <f>'2024'!Wh/'2024'!Env_an*'2025'!Env_an</f>
        <v>27.917552229869511</v>
      </c>
      <c r="C172" s="829"/>
      <c r="D172" s="391">
        <f t="shared" si="50"/>
        <v>29.198040448494741</v>
      </c>
      <c r="E172" s="383">
        <f t="shared" si="75"/>
        <v>29.531981625764434</v>
      </c>
      <c r="F172" s="383">
        <f t="shared" si="51"/>
        <v>29.535931168905478</v>
      </c>
      <c r="G172" s="110">
        <f t="shared" si="76"/>
        <v>0.47681314085520821</v>
      </c>
      <c r="H172" s="412" t="b">
        <f>Wh_hp&gt;='2024'!Maxi_hp</f>
        <v>0</v>
      </c>
      <c r="I172" s="388">
        <f>IF(H172,Wh_hp,'2024'!Maxi_hp)</f>
        <v>56.44411958910743</v>
      </c>
      <c r="J172" s="85">
        <f>IF(H172,An,'2024'!An_max)</f>
        <v>2021</v>
      </c>
      <c r="K172" s="197">
        <f t="shared" si="52"/>
        <v>45815</v>
      </c>
      <c r="L172" s="147">
        <f>IF(t&lt;Tvie,1-EXP((T0-t)*PertePVj)+'2024'!Pspv,1-EXP((T0-t)*PertePVj)+Pspv)</f>
        <v>4.3855279291225346E-2</v>
      </c>
      <c r="M172" s="832"/>
      <c r="N172" s="832"/>
      <c r="O172" s="48">
        <f>IF(t&lt;Tnet,'2024'!Resal+('2024'!Salim-'2024'!Resal)*(1-EXP(('2024'!Tnet-t)/('2024'!Tau_j))),Resal+(Salim-Resal)*(1-EXP((Tnet-t)/(Tau_j))))*Salcycl</f>
        <v>1.1307780883161428E-2</v>
      </c>
      <c r="P172" s="169">
        <f>(INDEX(Models!$BJ172:$BT172,,T172)*(1-R172)+INDEX(Models!$BJ172:$BT172,,T172+1)*R172-ERP_i)*Q172*Ramure*Pc/MaxiM</f>
        <v>5.2883106322535985E-4</v>
      </c>
      <c r="Q172" s="304">
        <f t="shared" si="53"/>
        <v>0.7</v>
      </c>
      <c r="R172" s="177">
        <f t="shared" si="54"/>
        <v>0.3220579539428654</v>
      </c>
      <c r="S172" s="799">
        <f t="shared" si="55"/>
        <v>1</v>
      </c>
      <c r="T172" s="176">
        <f t="shared" si="56"/>
        <v>7</v>
      </c>
      <c r="U172" s="250">
        <f t="shared" si="57"/>
        <v>1.3220579539428654</v>
      </c>
      <c r="V172" s="382">
        <f t="shared" si="58"/>
        <v>58.527162589067892</v>
      </c>
      <c r="W172" s="400">
        <f t="shared" si="59"/>
        <v>27.917552229869511</v>
      </c>
      <c r="X172" s="157">
        <f t="shared" si="60"/>
        <v>45815</v>
      </c>
      <c r="Y172" s="383">
        <f t="shared" si="61"/>
        <v>26.471830579402727</v>
      </c>
      <c r="Z172" s="383">
        <f t="shared" si="62"/>
        <v>27.686008201540439</v>
      </c>
      <c r="AA172" s="384">
        <f t="shared" si="63"/>
        <v>29.531764073685927</v>
      </c>
      <c r="AB172" s="197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6.2500698147935477E-2</v>
      </c>
      <c r="AD172" s="230">
        <f>(INDEX(Models!$BJ172:$BT172,,AH172)*(1-AF172)+INDEX(Models!$BJ172:$BT172,,AH172+1)*AF172-ERP_i)*AE172*Ramure*Pc/MaxiM</f>
        <v>5.5796058349541521E-4</v>
      </c>
      <c r="AE172" s="304">
        <f t="shared" si="65"/>
        <v>0.7</v>
      </c>
      <c r="AF172" s="177">
        <f t="shared" si="66"/>
        <v>0.38639017620269756</v>
      </c>
      <c r="AG172" s="799">
        <f t="shared" si="74"/>
        <v>1</v>
      </c>
      <c r="AH172" s="176">
        <f t="shared" si="67"/>
        <v>7</v>
      </c>
      <c r="AI172" s="224">
        <f t="shared" si="68"/>
        <v>1.3863901762026976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45816</v>
      </c>
      <c r="B173" s="409">
        <f>'2024'!Wh/'2024'!Env_an*'2025'!Env_an</f>
        <v>21.569737905140872</v>
      </c>
      <c r="C173" s="829"/>
      <c r="D173" s="391">
        <f t="shared" si="50"/>
        <v>22.559504670150602</v>
      </c>
      <c r="E173" s="383">
        <f t="shared" si="75"/>
        <v>22.820088657103316</v>
      </c>
      <c r="F173" s="383">
        <f t="shared" si="51"/>
        <v>22.821242746178633</v>
      </c>
      <c r="G173" s="110">
        <f t="shared" si="76"/>
        <v>0.36856246024855616</v>
      </c>
      <c r="H173" s="412" t="b">
        <f>Wh_hp&gt;='2024'!Maxi_hp</f>
        <v>0</v>
      </c>
      <c r="I173" s="388">
        <f>IF(H173,Wh_hp,'2024'!Maxi_hp)</f>
        <v>64.215122991320413</v>
      </c>
      <c r="J173" s="85">
        <f>IF(H173,An,'2024'!An_max)</f>
        <v>2018</v>
      </c>
      <c r="K173" s="197">
        <f t="shared" si="52"/>
        <v>45816</v>
      </c>
      <c r="L173" s="147">
        <f>IF(t&lt;Tvie,1-EXP((T0-t)*PertePVj)+'2024'!Pspv,1-EXP((T0-t)*PertePVj)+Pspv)</f>
        <v>4.3873603586666032E-2</v>
      </c>
      <c r="M173" s="832"/>
      <c r="N173" s="832"/>
      <c r="O173" s="48">
        <f>IF(t&lt;Tnet,'2024'!Resal+('2024'!Salim-'2024'!Resal)*(1-EXP(('2024'!Tnet-t)/('2024'!Tau_j))),Resal+(Salim-Resal)*(1-EXP((Tnet-t)/(Tau_j))))*Salcycl</f>
        <v>1.1419061111824282E-2</v>
      </c>
      <c r="P173" s="169">
        <f>(INDEX(Models!$BJ173:$BT173,,T173)*(1-R173)+INDEX(Models!$BJ173:$BT173,,T173+1)*R173-ERP_i)*Q173*Ramure*Pc/MaxiM</f>
        <v>5.1502483858243179E-4</v>
      </c>
      <c r="Q173" s="304">
        <f t="shared" si="53"/>
        <v>0.7</v>
      </c>
      <c r="R173" s="177">
        <f t="shared" si="54"/>
        <v>0.32616363870547849</v>
      </c>
      <c r="S173" s="799">
        <f t="shared" si="55"/>
        <v>1</v>
      </c>
      <c r="T173" s="176">
        <f t="shared" si="56"/>
        <v>7</v>
      </c>
      <c r="U173" s="250">
        <f t="shared" si="57"/>
        <v>1.3261636387054785</v>
      </c>
      <c r="V173" s="382">
        <f t="shared" si="58"/>
        <v>58.496785680802581</v>
      </c>
      <c r="W173" s="400">
        <f t="shared" si="59"/>
        <v>21.569737905140872</v>
      </c>
      <c r="X173" s="157">
        <f t="shared" si="60"/>
        <v>45816</v>
      </c>
      <c r="Y173" s="383">
        <f t="shared" si="61"/>
        <v>20.453335151046179</v>
      </c>
      <c r="Z173" s="383">
        <f t="shared" si="62"/>
        <v>21.391873739467592</v>
      </c>
      <c r="AA173" s="384">
        <f t="shared" si="63"/>
        <v>22.820026407973359</v>
      </c>
      <c r="AB173" s="197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6.2583304811898499E-2</v>
      </c>
      <c r="AD173" s="230">
        <f>(INDEX(Models!$BJ173:$BT173,,AH173)*(1-AF173)+INDEX(Models!$BJ173:$BT173,,AH173+1)*AF173-ERP_i)*AE173*Ramure*Pc/MaxiM</f>
        <v>5.428041918367131E-4</v>
      </c>
      <c r="AE173" s="304">
        <f t="shared" si="65"/>
        <v>0.7</v>
      </c>
      <c r="AF173" s="177">
        <f t="shared" si="66"/>
        <v>0.39049586096531064</v>
      </c>
      <c r="AG173" s="799">
        <f t="shared" si="74"/>
        <v>1</v>
      </c>
      <c r="AH173" s="176">
        <f t="shared" si="67"/>
        <v>7</v>
      </c>
      <c r="AI173" s="224">
        <f t="shared" si="68"/>
        <v>1.3904958609653106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45817</v>
      </c>
      <c r="B174" s="409">
        <f>'2024'!Wh/'2024'!Env_an*'2025'!Env_an</f>
        <v>51.033772813809023</v>
      </c>
      <c r="C174" s="829"/>
      <c r="D174" s="391">
        <f t="shared" si="50"/>
        <v>53.376573510166381</v>
      </c>
      <c r="E174" s="383">
        <f t="shared" si="75"/>
        <v>53.999195806008444</v>
      </c>
      <c r="F174" s="383">
        <f t="shared" si="51"/>
        <v>54.021498716358671</v>
      </c>
      <c r="G174" s="110">
        <f t="shared" si="76"/>
        <v>0.87283894685355701</v>
      </c>
      <c r="H174" s="412" t="b">
        <f>Wh_hp&gt;='2024'!Maxi_hp</f>
        <v>0</v>
      </c>
      <c r="I174" s="388">
        <f>IF(H174,Wh_hp,'2024'!Maxi_hp)</f>
        <v>59.018802460565581</v>
      </c>
      <c r="J174" s="85">
        <f>IF(H174,An,'2024'!An_max)</f>
        <v>2021</v>
      </c>
      <c r="K174" s="197">
        <f t="shared" si="52"/>
        <v>45817</v>
      </c>
      <c r="L174" s="147">
        <f>IF(t&lt;Tvie,1-EXP((T0-t)*PertePVj)+'2024'!Pspv,1-EXP((T0-t)*PertePVj)+Pspv)</f>
        <v>4.3891927530925856E-2</v>
      </c>
      <c r="M174" s="832"/>
      <c r="N174" s="832"/>
      <c r="O174" s="48">
        <f>IF(t&lt;Tnet,'2024'!Resal+('2024'!Salim-'2024'!Resal)*(1-EXP(('2024'!Tnet-t)/('2024'!Tau_j))),Resal+(Salim-Resal)*(1-EXP((Tnet-t)/(Tau_j))))*Salcycl</f>
        <v>1.153021422909379E-2</v>
      </c>
      <c r="P174" s="169">
        <f>(INDEX(Models!$BJ174:$BT174,,T174)*(1-R174)+INDEX(Models!$BJ174:$BT174,,T174+1)*R174-ERP_i)*Q174*Ramure*Pc/MaxiM</f>
        <v>5.0442869814423797E-4</v>
      </c>
      <c r="Q174" s="304">
        <f t="shared" si="53"/>
        <v>0.7</v>
      </c>
      <c r="R174" s="177">
        <f t="shared" si="54"/>
        <v>0.33027625842092334</v>
      </c>
      <c r="S174" s="799">
        <f t="shared" si="55"/>
        <v>1</v>
      </c>
      <c r="T174" s="176">
        <f t="shared" si="56"/>
        <v>7</v>
      </c>
      <c r="U174" s="250">
        <f t="shared" si="57"/>
        <v>1.3302762584209233</v>
      </c>
      <c r="V174" s="382">
        <f t="shared" si="58"/>
        <v>58.463359807890278</v>
      </c>
      <c r="W174" s="400">
        <f t="shared" si="59"/>
        <v>51.033772813809023</v>
      </c>
      <c r="X174" s="157">
        <f t="shared" si="60"/>
        <v>45817</v>
      </c>
      <c r="Y174" s="383">
        <f t="shared" si="61"/>
        <v>48.392663747127422</v>
      </c>
      <c r="Z174" s="383">
        <f t="shared" si="62"/>
        <v>50.614219396931944</v>
      </c>
      <c r="AA174" s="384">
        <f t="shared" si="63"/>
        <v>53.998015446332886</v>
      </c>
      <c r="AB174" s="197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6.2665192811835899E-2</v>
      </c>
      <c r="AD174" s="230">
        <f>(INDEX(Models!$BJ174:$BT174,,AH174)*(1-AF174)+INDEX(Models!$BJ174:$BT174,,AH174+1)*AF174-ERP_i)*AE174*Ramure*Pc/MaxiM</f>
        <v>5.311250927014107E-4</v>
      </c>
      <c r="AE174" s="304">
        <f t="shared" si="65"/>
        <v>0.7</v>
      </c>
      <c r="AF174" s="177">
        <f t="shared" si="66"/>
        <v>0.39460848068075549</v>
      </c>
      <c r="AG174" s="799">
        <f t="shared" si="74"/>
        <v>1</v>
      </c>
      <c r="AH174" s="176">
        <f t="shared" si="67"/>
        <v>7</v>
      </c>
      <c r="AI174" s="224">
        <f t="shared" si="68"/>
        <v>1.3946084806807555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45818</v>
      </c>
      <c r="B175" s="409">
        <f>'2024'!Wh/'2024'!Env_an*'2025'!Env_an</f>
        <v>58.687977431460276</v>
      </c>
      <c r="C175" s="829"/>
      <c r="D175" s="391">
        <f t="shared" si="50"/>
        <v>61.38333509009572</v>
      </c>
      <c r="E175" s="383">
        <f t="shared" si="75"/>
        <v>62.106329085219777</v>
      </c>
      <c r="F175" s="383">
        <f t="shared" si="51"/>
        <v>62.137218569492155</v>
      </c>
      <c r="G175" s="110">
        <f t="shared" si="76"/>
        <v>1.0044687442388611</v>
      </c>
      <c r="H175" s="412" t="b">
        <f>Wh_hp&gt;='2024'!Maxi_hp</f>
        <v>1</v>
      </c>
      <c r="I175" s="388">
        <f>IF(H175,Wh_hp,'2024'!Maxi_hp)</f>
        <v>62.137218569492155</v>
      </c>
      <c r="J175" s="85">
        <f>IF(H175,An,'2024'!An_max)</f>
        <v>2025</v>
      </c>
      <c r="K175" s="197">
        <f t="shared" si="52"/>
        <v>45818</v>
      </c>
      <c r="L175" s="147">
        <f>IF(t&lt;Tvie,1-EXP((T0-t)*PertePVj)+'2024'!Pspv,1-EXP((T0-t)*PertePVj)+Pspv)</f>
        <v>4.3910251124011368E-2</v>
      </c>
      <c r="M175" s="832"/>
      <c r="N175" s="832"/>
      <c r="O175" s="48">
        <f>IF(t&lt;Tnet,'2024'!Resal+('2024'!Salim-'2024'!Resal)*(1-EXP(('2024'!Tnet-t)/('2024'!Tau_j))),Resal+(Salim-Resal)*(1-EXP((Tnet-t)/(Tau_j))))*Salcycl</f>
        <v>1.1641228933881994E-2</v>
      </c>
      <c r="P175" s="169">
        <f>(INDEX(Models!$BJ175:$BT175,,T175)*(1-R175)+INDEX(Models!$BJ175:$BT175,,T175+1)*R175-ERP_i)*Q175*Ramure*Pc/MaxiM</f>
        <v>4.9711726696985848E-4</v>
      </c>
      <c r="Q175" s="304">
        <f t="shared" si="53"/>
        <v>0.7</v>
      </c>
      <c r="R175" s="177">
        <f t="shared" si="54"/>
        <v>0.33439235146973245</v>
      </c>
      <c r="S175" s="799">
        <f t="shared" si="55"/>
        <v>1</v>
      </c>
      <c r="T175" s="176">
        <f t="shared" si="56"/>
        <v>7</v>
      </c>
      <c r="U175" s="250">
        <f t="shared" si="57"/>
        <v>1.3343923514697325</v>
      </c>
      <c r="V175" s="382">
        <f t="shared" si="58"/>
        <v>58.426882636284766</v>
      </c>
      <c r="W175" s="400">
        <f t="shared" si="59"/>
        <v>58.687977431460276</v>
      </c>
      <c r="X175" s="157">
        <f t="shared" si="60"/>
        <v>45818</v>
      </c>
      <c r="Y175" s="383">
        <f t="shared" si="61"/>
        <v>55.651955608874871</v>
      </c>
      <c r="Z175" s="383">
        <f t="shared" si="62"/>
        <v>58.207878156105309</v>
      </c>
      <c r="AA175" s="384">
        <f t="shared" si="63"/>
        <v>62.104720810137884</v>
      </c>
      <c r="AB175" s="197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6.274631949390333E-2</v>
      </c>
      <c r="AD175" s="230">
        <f>(INDEX(Models!$BJ175:$BT175,,AH175)*(1-AF175)+INDEX(Models!$BJ175:$BT175,,AH175+1)*AF175-ERP_i)*AE175*Ramure*Pc/MaxiM</f>
        <v>5.229999041223252E-4</v>
      </c>
      <c r="AE175" s="304">
        <f t="shared" si="65"/>
        <v>0.7</v>
      </c>
      <c r="AF175" s="177">
        <f t="shared" si="66"/>
        <v>0.3987245737295646</v>
      </c>
      <c r="AG175" s="799">
        <f t="shared" si="74"/>
        <v>1</v>
      </c>
      <c r="AH175" s="176">
        <f t="shared" si="67"/>
        <v>7</v>
      </c>
      <c r="AI175" s="224">
        <f t="shared" si="68"/>
        <v>1.3987245737295646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45819</v>
      </c>
      <c r="B176" s="409">
        <f>'2024'!Wh/'2024'!Env_an*'2025'!Env_an</f>
        <v>57.104024084834876</v>
      </c>
      <c r="C176" s="829"/>
      <c r="D176" s="391">
        <f t="shared" si="50"/>
        <v>59.727780324533022</v>
      </c>
      <c r="E176" s="383">
        <f t="shared" si="75"/>
        <v>60.438054020993818</v>
      </c>
      <c r="F176" s="383">
        <f t="shared" si="51"/>
        <v>60.46693792429059</v>
      </c>
      <c r="G176" s="110">
        <f t="shared" si="76"/>
        <v>0.97800529744385989</v>
      </c>
      <c r="H176" s="412" t="b">
        <f>Wh_hp&gt;='2024'!Maxi_hp</f>
        <v>0</v>
      </c>
      <c r="I176" s="388">
        <f>IF(H176,Wh_hp,'2024'!Maxi_hp)</f>
        <v>60.467584204293566</v>
      </c>
      <c r="J176" s="85">
        <f>IF(H176,An,'2024'!An_max)</f>
        <v>2022</v>
      </c>
      <c r="K176" s="197">
        <f t="shared" si="52"/>
        <v>45819</v>
      </c>
      <c r="L176" s="147">
        <f>IF(t&lt;Tvie,1-EXP((T0-t)*PertePVj)+'2024'!Pspv,1-EXP((T0-t)*PertePVj)+Pspv)</f>
        <v>4.3928574365929451E-2</v>
      </c>
      <c r="M176" s="832"/>
      <c r="N176" s="832"/>
      <c r="O176" s="48">
        <f>IF(t&lt;Tnet,'2024'!Resal+('2024'!Salim-'2024'!Resal)*(1-EXP(('2024'!Tnet-t)/('2024'!Tau_j))),Resal+(Salim-Resal)*(1-EXP((Tnet-t)/(Tau_j))))*Salcycl</f>
        <v>1.1752094073281543E-2</v>
      </c>
      <c r="P176" s="169">
        <f>(INDEX(Models!$BJ176:$BT176,,T176)*(1-R176)+INDEX(Models!$BJ176:$BT176,,T176+1)*R176-ERP_i)*Q176*Ramure*Pc/MaxiM</f>
        <v>4.9316602925063313E-4</v>
      </c>
      <c r="Q176" s="304">
        <f t="shared" si="53"/>
        <v>0.7</v>
      </c>
      <c r="R176" s="177">
        <f t="shared" si="54"/>
        <v>0.33850844451854156</v>
      </c>
      <c r="S176" s="799">
        <f t="shared" si="55"/>
        <v>1</v>
      </c>
      <c r="T176" s="176">
        <f t="shared" si="56"/>
        <v>7</v>
      </c>
      <c r="U176" s="250">
        <f t="shared" si="57"/>
        <v>1.3385084445185416</v>
      </c>
      <c r="V176" s="382">
        <f t="shared" si="58"/>
        <v>58.387351837612897</v>
      </c>
      <c r="W176" s="400">
        <f t="shared" si="59"/>
        <v>57.104024084834876</v>
      </c>
      <c r="X176" s="157">
        <f t="shared" si="60"/>
        <v>45819</v>
      </c>
      <c r="Y176" s="383">
        <f t="shared" si="61"/>
        <v>54.151448638648866</v>
      </c>
      <c r="Z176" s="383">
        <f t="shared" si="62"/>
        <v>56.639543016083131</v>
      </c>
      <c r="AA176" s="384">
        <f t="shared" si="63"/>
        <v>60.436569895386825</v>
      </c>
      <c r="AB176" s="197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6.2826644296262793E-2</v>
      </c>
      <c r="AD176" s="230">
        <f>(INDEX(Models!$BJ176:$BT176,,AH176)*(1-AF176)+INDEX(Models!$BJ176:$BT176,,AH176+1)*AF176-ERP_i)*AE176*Ramure*Pc/MaxiM</f>
        <v>5.1850610621282398E-4</v>
      </c>
      <c r="AE176" s="304">
        <f t="shared" si="65"/>
        <v>0.7</v>
      </c>
      <c r="AF176" s="177">
        <f t="shared" si="66"/>
        <v>0.40284066677837371</v>
      </c>
      <c r="AG176" s="799">
        <f t="shared" si="74"/>
        <v>1</v>
      </c>
      <c r="AH176" s="176">
        <f t="shared" si="67"/>
        <v>7</v>
      </c>
      <c r="AI176" s="224">
        <f t="shared" si="68"/>
        <v>1.4028406667783737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45820</v>
      </c>
      <c r="B177" s="409">
        <f>'2024'!Wh/'2024'!Env_an*'2025'!Env_an</f>
        <v>47.212000816712958</v>
      </c>
      <c r="C177" s="829"/>
      <c r="D177" s="391">
        <f t="shared" si="50"/>
        <v>49.382195069753067</v>
      </c>
      <c r="E177" s="383">
        <f t="shared" si="75"/>
        <v>49.975038895697985</v>
      </c>
      <c r="F177" s="383">
        <f t="shared" si="51"/>
        <v>49.99295444542016</v>
      </c>
      <c r="G177" s="110">
        <f t="shared" si="76"/>
        <v>0.8090813011609933</v>
      </c>
      <c r="H177" s="412" t="b">
        <f>Wh_hp&gt;='2024'!Maxi_hp</f>
        <v>0</v>
      </c>
      <c r="I177" s="388">
        <f>IF(H177,Wh_hp,'2024'!Maxi_hp)</f>
        <v>60.295662422048899</v>
      </c>
      <c r="J177" s="85">
        <f>IF(H177,An,'2024'!An_max)</f>
        <v>2018</v>
      </c>
      <c r="K177" s="197">
        <f t="shared" si="52"/>
        <v>45820</v>
      </c>
      <c r="L177" s="147">
        <f>IF(t&lt;Tvie,1-EXP((T0-t)*PertePVj)+'2024'!Pspv,1-EXP((T0-t)*PertePVj)+Pspv)</f>
        <v>4.3946897256686879E-2</v>
      </c>
      <c r="M177" s="832"/>
      <c r="N177" s="832"/>
      <c r="O177" s="48">
        <f>IF(t&lt;Tnet,'2024'!Resal+('2024'!Salim-'2024'!Resal)*(1-EXP(('2024'!Tnet-t)/('2024'!Tau_j))),Resal+(Salim-Resal)*(1-EXP((Tnet-t)/(Tau_j))))*Salcycl</f>
        <v>1.1862798690006565E-2</v>
      </c>
      <c r="P177" s="169">
        <f>(INDEX(Models!$BJ177:$BT177,,T177)*(1-R177)+INDEX(Models!$BJ177:$BT177,,T177+1)*R177-ERP_i)*Q177*Ramure*Pc/MaxiM</f>
        <v>4.9265115407973528E-4</v>
      </c>
      <c r="Q177" s="304">
        <f t="shared" si="53"/>
        <v>0.7</v>
      </c>
      <c r="R177" s="177">
        <f t="shared" si="54"/>
        <v>0.34262106423398642</v>
      </c>
      <c r="S177" s="799">
        <f t="shared" si="55"/>
        <v>1</v>
      </c>
      <c r="T177" s="176">
        <f t="shared" si="56"/>
        <v>7</v>
      </c>
      <c r="U177" s="250">
        <f t="shared" si="57"/>
        <v>1.3426210642339864</v>
      </c>
      <c r="V177" s="382">
        <f t="shared" si="58"/>
        <v>58.34476509648885</v>
      </c>
      <c r="W177" s="400">
        <f t="shared" si="59"/>
        <v>47.212000816712958</v>
      </c>
      <c r="X177" s="157">
        <f t="shared" si="60"/>
        <v>45820</v>
      </c>
      <c r="Y177" s="383">
        <f t="shared" si="61"/>
        <v>44.772395397992476</v>
      </c>
      <c r="Z177" s="383">
        <f t="shared" si="62"/>
        <v>46.83044829782142</v>
      </c>
      <c r="AA177" s="384">
        <f t="shared" si="63"/>
        <v>49.97412718454764</v>
      </c>
      <c r="AB177" s="197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6.2906128907805559E-2</v>
      </c>
      <c r="AD177" s="230">
        <f>(INDEX(Models!$BJ177:$BT177,,AH177)*(1-AF177)+INDEX(Models!$BJ177:$BT177,,AH177+1)*AF177-ERP_i)*AE177*Ramure*Pc/MaxiM</f>
        <v>5.1772186401438658E-4</v>
      </c>
      <c r="AE177" s="304">
        <f t="shared" si="65"/>
        <v>0.7</v>
      </c>
      <c r="AF177" s="177">
        <f t="shared" si="66"/>
        <v>0.40695328649381857</v>
      </c>
      <c r="AG177" s="799">
        <f t="shared" si="74"/>
        <v>1</v>
      </c>
      <c r="AH177" s="176">
        <f t="shared" si="67"/>
        <v>7</v>
      </c>
      <c r="AI177" s="224">
        <f t="shared" si="68"/>
        <v>1.4069532864938186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45821</v>
      </c>
      <c r="B178" s="409">
        <f>'2024'!Wh/'2024'!Env_an*'2025'!Env_an</f>
        <v>51.903547831867819</v>
      </c>
      <c r="C178" s="829"/>
      <c r="D178" s="391">
        <f t="shared" si="50"/>
        <v>54.290438911446635</v>
      </c>
      <c r="E178" s="383">
        <f t="shared" si="75"/>
        <v>54.948353798121481</v>
      </c>
      <c r="F178" s="383">
        <f t="shared" si="51"/>
        <v>54.971331148408929</v>
      </c>
      <c r="G178" s="110">
        <f t="shared" si="76"/>
        <v>0.89022810525473628</v>
      </c>
      <c r="H178" s="412" t="b">
        <f>Wh_hp&gt;='2024'!Maxi_hp</f>
        <v>0</v>
      </c>
      <c r="I178" s="388">
        <f>IF(H178,Wh_hp,'2024'!Maxi_hp)</f>
        <v>64.172787836056131</v>
      </c>
      <c r="J178" s="85">
        <f>IF(H178,An,'2024'!An_max)</f>
        <v>2018</v>
      </c>
      <c r="K178" s="197">
        <f t="shared" si="52"/>
        <v>45821</v>
      </c>
      <c r="L178" s="147">
        <f>IF(t&lt;Tvie,1-EXP((T0-t)*PertePVj)+'2024'!Pspv,1-EXP((T0-t)*PertePVj)+Pspv)</f>
        <v>4.39652197962902E-2</v>
      </c>
      <c r="M178" s="832"/>
      <c r="N178" s="832"/>
      <c r="O178" s="48">
        <f>IF(t&lt;Tnet,'2024'!Resal+('2024'!Salim-'2024'!Resal)*(1-EXP(('2024'!Tnet-t)/('2024'!Tau_j))),Resal+(Salim-Resal)*(1-EXP((Tnet-t)/(Tau_j))))*Salcycl</f>
        <v>1.1973332069091673E-2</v>
      </c>
      <c r="P178" s="169">
        <f>(INDEX(Models!$BJ178:$BT178,,T178)*(1-R178)+INDEX(Models!$BJ178:$BT178,,T178+1)*R178-ERP_i)*Q178*Ramure*Pc/MaxiM</f>
        <v>4.9566806620934844E-4</v>
      </c>
      <c r="Q178" s="304">
        <f t="shared" si="53"/>
        <v>0.7</v>
      </c>
      <c r="R178" s="177">
        <f t="shared" si="54"/>
        <v>0.34672674899659972</v>
      </c>
      <c r="S178" s="799">
        <f t="shared" si="55"/>
        <v>1</v>
      </c>
      <c r="T178" s="176">
        <f t="shared" si="56"/>
        <v>7</v>
      </c>
      <c r="U178" s="250">
        <f t="shared" si="57"/>
        <v>1.3467267489965997</v>
      </c>
      <c r="V178" s="382">
        <f t="shared" si="58"/>
        <v>58.299119026228851</v>
      </c>
      <c r="W178" s="400">
        <f t="shared" si="59"/>
        <v>51.903547831867819</v>
      </c>
      <c r="X178" s="157">
        <f t="shared" si="60"/>
        <v>45821</v>
      </c>
      <c r="Y178" s="383">
        <f t="shared" si="61"/>
        <v>49.222747793629757</v>
      </c>
      <c r="Z178" s="383">
        <f t="shared" si="62"/>
        <v>51.486356786247342</v>
      </c>
      <c r="AA178" s="384">
        <f t="shared" si="63"/>
        <v>54.94719119544272</v>
      </c>
      <c r="AB178" s="197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6.2984737416066819E-2</v>
      </c>
      <c r="AD178" s="230">
        <f>(INDEX(Models!$BJ178:$BT178,,AH178)*(1-AF178)+INDEX(Models!$BJ178:$BT178,,AH178+1)*AF178-ERP_i)*AE178*Ramure*Pc/MaxiM</f>
        <v>5.2074776488396791E-4</v>
      </c>
      <c r="AE178" s="304">
        <f t="shared" si="65"/>
        <v>0.7</v>
      </c>
      <c r="AF178" s="177">
        <f t="shared" si="66"/>
        <v>0.41105897125643187</v>
      </c>
      <c r="AG178" s="799">
        <f t="shared" si="74"/>
        <v>1</v>
      </c>
      <c r="AH178" s="176">
        <f t="shared" si="67"/>
        <v>7</v>
      </c>
      <c r="AI178" s="224">
        <f t="shared" si="68"/>
        <v>1.4110589712564319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45822</v>
      </c>
      <c r="B179" s="409">
        <f>'2024'!Wh/'2024'!Env_an*'2025'!Env_an</f>
        <v>51.05421816710566</v>
      </c>
      <c r="C179" s="829"/>
      <c r="D179" s="391">
        <f t="shared" si="50"/>
        <v>53.403074538169783</v>
      </c>
      <c r="E179" s="383">
        <f t="shared" si="75"/>
        <v>54.056273453092047</v>
      </c>
      <c r="F179" s="383">
        <f t="shared" si="51"/>
        <v>54.078479013327524</v>
      </c>
      <c r="G179" s="110">
        <f t="shared" si="76"/>
        <v>0.87638069109556549</v>
      </c>
      <c r="H179" s="412" t="b">
        <f>Wh_hp&gt;='2024'!Maxi_hp</f>
        <v>0</v>
      </c>
      <c r="I179" s="388">
        <f>IF(H179,Wh_hp,'2024'!Maxi_hp)</f>
        <v>57.550987024107755</v>
      </c>
      <c r="J179" s="85">
        <f>IF(H179,An,'2024'!An_max)</f>
        <v>2021</v>
      </c>
      <c r="K179" s="197">
        <f t="shared" si="52"/>
        <v>45822</v>
      </c>
      <c r="L179" s="147">
        <f>IF(t&lt;Tvie,1-EXP((T0-t)*PertePVj)+'2024'!Pspv,1-EXP((T0-t)*PertePVj)+Pspv)</f>
        <v>4.3983541984746188E-2</v>
      </c>
      <c r="M179" s="832"/>
      <c r="N179" s="832"/>
      <c r="O179" s="48">
        <f>IF(t&lt;Tnet,'2024'!Resal+('2024'!Salim-'2024'!Resal)*(1-EXP(('2024'!Tnet-t)/('2024'!Tau_j))),Resal+(Salim-Resal)*(1-EXP((Tnet-t)/(Tau_j))))*Salcycl</f>
        <v>1.2083683783512897E-2</v>
      </c>
      <c r="P179" s="169">
        <f>(INDEX(Models!$BJ179:$BT179,,T179)*(1-R179)+INDEX(Models!$BJ179:$BT179,,T179+1)*R179-ERP_i)*Q179*Ramure*Pc/MaxiM</f>
        <v>4.9861776492454767E-4</v>
      </c>
      <c r="Q179" s="304">
        <f t="shared" si="53"/>
        <v>0.7</v>
      </c>
      <c r="R179" s="177">
        <f t="shared" si="54"/>
        <v>0.35082206053086029</v>
      </c>
      <c r="S179" s="799">
        <f t="shared" si="55"/>
        <v>1</v>
      </c>
      <c r="T179" s="176">
        <f t="shared" si="56"/>
        <v>7</v>
      </c>
      <c r="U179" s="250">
        <f t="shared" si="57"/>
        <v>1.3508220605308603</v>
      </c>
      <c r="V179" s="382">
        <f t="shared" si="58"/>
        <v>58.250625608723226</v>
      </c>
      <c r="W179" s="400">
        <f t="shared" si="59"/>
        <v>51.05421816710566</v>
      </c>
      <c r="X179" s="157">
        <f t="shared" si="60"/>
        <v>45822</v>
      </c>
      <c r="Y179" s="383">
        <f t="shared" si="61"/>
        <v>48.418702201039814</v>
      </c>
      <c r="Z179" s="383">
        <f t="shared" si="62"/>
        <v>50.646306133222723</v>
      </c>
      <c r="AA179" s="384">
        <f t="shared" si="63"/>
        <v>54.055155971078122</v>
      </c>
      <c r="AB179" s="197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6.3062436443237432E-2</v>
      </c>
      <c r="AD179" s="230">
        <f>(INDEX(Models!$BJ179:$BT179,,AH179)*(1-AF179)+INDEX(Models!$BJ179:$BT179,,AH179+1)*AF179-ERP_i)*AE179*Ramure*Pc/MaxiM</f>
        <v>5.2371041641445461E-4</v>
      </c>
      <c r="AE179" s="304">
        <f t="shared" si="65"/>
        <v>0.7</v>
      </c>
      <c r="AF179" s="177">
        <f t="shared" si="66"/>
        <v>0.41515428279069244</v>
      </c>
      <c r="AG179" s="799">
        <f t="shared" si="74"/>
        <v>1</v>
      </c>
      <c r="AH179" s="176">
        <f t="shared" si="67"/>
        <v>7</v>
      </c>
      <c r="AI179" s="224">
        <f t="shared" si="68"/>
        <v>1.4151542827906924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45823</v>
      </c>
      <c r="B180" s="409">
        <f>'2024'!Wh/'2024'!Env_an*'2025'!Env_an</f>
        <v>54.441379920036667</v>
      </c>
      <c r="C180" s="829"/>
      <c r="D180" s="391">
        <f t="shared" si="50"/>
        <v>56.947161150012512</v>
      </c>
      <c r="E180" s="383">
        <f t="shared" si="75"/>
        <v>57.650137923346861</v>
      </c>
      <c r="F180" s="383">
        <f t="shared" si="51"/>
        <v>57.676394508799895</v>
      </c>
      <c r="G180" s="110">
        <f t="shared" si="76"/>
        <v>0.93538707270873833</v>
      </c>
      <c r="H180" s="412" t="b">
        <f>Wh_hp&gt;='2024'!Maxi_hp</f>
        <v>0</v>
      </c>
      <c r="I180" s="388">
        <f>IF(H180,Wh_hp,'2024'!Maxi_hp)</f>
        <v>57.678223739034088</v>
      </c>
      <c r="J180" s="85">
        <f>IF(H180,An,'2024'!An_max)</f>
        <v>2022</v>
      </c>
      <c r="K180" s="197">
        <f t="shared" si="52"/>
        <v>45823</v>
      </c>
      <c r="L180" s="147">
        <f>IF(t&lt;Tvie,1-EXP((T0-t)*PertePVj)+'2024'!Pspv,1-EXP((T0-t)*PertePVj)+Pspv)</f>
        <v>4.4001863822061615E-2</v>
      </c>
      <c r="M180" s="832"/>
      <c r="N180" s="832"/>
      <c r="O180" s="48">
        <f>IF(t&lt;Tnet,'2024'!Resal+('2024'!Salim-'2024'!Resal)*(1-EXP(('2024'!Tnet-t)/('2024'!Tau_j))),Resal+(Salim-Resal)*(1-EXP((Tnet-t)/(Tau_j))))*Salcycl</f>
        <v>1.2193843738397426E-2</v>
      </c>
      <c r="P180" s="169">
        <f>(INDEX(Models!$BJ180:$BT180,,T180)*(1-R180)+INDEX(Models!$BJ180:$BT180,,T180+1)*R180-ERP_i)*Q180*Ramure*Pc/MaxiM</f>
        <v>5.0149917088884494E-4</v>
      </c>
      <c r="Q180" s="304">
        <f t="shared" si="53"/>
        <v>0.7</v>
      </c>
      <c r="R180" s="177">
        <f t="shared" si="54"/>
        <v>0.35490359536857241</v>
      </c>
      <c r="S180" s="799">
        <f t="shared" si="55"/>
        <v>1</v>
      </c>
      <c r="T180" s="176">
        <f t="shared" si="56"/>
        <v>7</v>
      </c>
      <c r="U180" s="250">
        <f t="shared" si="57"/>
        <v>1.3549035953685724</v>
      </c>
      <c r="V180" s="382">
        <f t="shared" si="58"/>
        <v>58.199286619193678</v>
      </c>
      <c r="W180" s="400">
        <f t="shared" si="59"/>
        <v>54.441379920036667</v>
      </c>
      <c r="X180" s="157">
        <f t="shared" si="60"/>
        <v>45823</v>
      </c>
      <c r="Y180" s="383">
        <f t="shared" si="61"/>
        <v>51.632429696625998</v>
      </c>
      <c r="Z180" s="383">
        <f t="shared" si="62"/>
        <v>54.008922970343257</v>
      </c>
      <c r="AA180" s="384">
        <f t="shared" si="63"/>
        <v>57.648823280493197</v>
      </c>
      <c r="AB180" s="197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6.3139195269256834E-2</v>
      </c>
      <c r="AD180" s="230">
        <f>(INDEX(Models!$BJ180:$BT180,,AH180)*(1-AF180)+INDEX(Models!$BJ180:$BT180,,AH180+1)*AF180-ERP_i)*AE180*Ramure*Pc/MaxiM</f>
        <v>5.2660876871926253E-4</v>
      </c>
      <c r="AE180" s="304">
        <f t="shared" si="65"/>
        <v>0.7</v>
      </c>
      <c r="AF180" s="177">
        <f t="shared" si="66"/>
        <v>0.41923581762840456</v>
      </c>
      <c r="AG180" s="799">
        <f t="shared" si="74"/>
        <v>1</v>
      </c>
      <c r="AH180" s="176">
        <f t="shared" si="67"/>
        <v>7</v>
      </c>
      <c r="AI180" s="224">
        <f t="shared" si="68"/>
        <v>1.4192358176284046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45824</v>
      </c>
      <c r="B181" s="409">
        <f>'2024'!Wh/'2024'!Env_an*'2025'!Env_an</f>
        <v>52.510998221194725</v>
      </c>
      <c r="C181" s="829"/>
      <c r="D181" s="391">
        <f t="shared" si="50"/>
        <v>54.928982196267619</v>
      </c>
      <c r="E181" s="383">
        <f t="shared" si="75"/>
        <v>55.613236458100438</v>
      </c>
      <c r="F181" s="383">
        <f t="shared" si="51"/>
        <v>55.637411032896473</v>
      </c>
      <c r="G181" s="110">
        <f t="shared" si="76"/>
        <v>0.90303959313010906</v>
      </c>
      <c r="H181" s="412" t="b">
        <f>Wh_hp&gt;='2024'!Maxi_hp</f>
        <v>0</v>
      </c>
      <c r="I181" s="388">
        <f>IF(H181,Wh_hp,'2024'!Maxi_hp)</f>
        <v>62.895191551516874</v>
      </c>
      <c r="J181" s="85">
        <f>IF(H181,An,'2024'!An_max)</f>
        <v>2018</v>
      </c>
      <c r="K181" s="197">
        <f t="shared" si="52"/>
        <v>45824</v>
      </c>
      <c r="L181" s="147">
        <f>IF(t&lt;Tvie,1-EXP((T0-t)*PertePVj)+'2024'!Pspv,1-EXP((T0-t)*PertePVj)+Pspv)</f>
        <v>4.4020185308243254E-2</v>
      </c>
      <c r="M181" s="832"/>
      <c r="N181" s="832"/>
      <c r="O181" s="48">
        <f>IF(t&lt;Tnet,'2024'!Resal+('2024'!Salim-'2024'!Resal)*(1-EXP(('2024'!Tnet-t)/('2024'!Tau_j))),Resal+(Salim-Resal)*(1-EXP((Tnet-t)/(Tau_j))))*Salcycl</f>
        <v>1.2303802213495337E-2</v>
      </c>
      <c r="P181" s="169">
        <f>(INDEX(Models!$BJ181:$BT181,,T181)*(1-R181)+INDEX(Models!$BJ181:$BT181,,T181+1)*R181-ERP_i)*Q181*Ramure*Pc/MaxiM</f>
        <v>5.0431132787871649E-4</v>
      </c>
      <c r="Q181" s="304">
        <f t="shared" si="53"/>
        <v>0.7</v>
      </c>
      <c r="R181" s="177">
        <f t="shared" si="54"/>
        <v>0.35896799606479002</v>
      </c>
      <c r="S181" s="799">
        <f t="shared" si="55"/>
        <v>1</v>
      </c>
      <c r="T181" s="176">
        <f t="shared" si="56"/>
        <v>7</v>
      </c>
      <c r="U181" s="250">
        <f t="shared" si="57"/>
        <v>1.35896799606479</v>
      </c>
      <c r="V181" s="382">
        <f t="shared" si="58"/>
        <v>58.145103800141889</v>
      </c>
      <c r="W181" s="400">
        <f t="shared" si="59"/>
        <v>52.510998221194725</v>
      </c>
      <c r="X181" s="157">
        <f t="shared" si="60"/>
        <v>45824</v>
      </c>
      <c r="Y181" s="383">
        <f t="shared" si="61"/>
        <v>49.803219618952809</v>
      </c>
      <c r="Z181" s="383">
        <f t="shared" si="62"/>
        <v>52.096517995007261</v>
      </c>
      <c r="AA181" s="384">
        <f t="shared" si="63"/>
        <v>55.612031803627296</v>
      </c>
      <c r="AB181" s="197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6.3214985941059246E-2</v>
      </c>
      <c r="AD181" s="230">
        <f>(INDEX(Models!$BJ181:$BT181,,AH181)*(1-AF181)+INDEX(Models!$BJ181:$BT181,,AH181+1)*AF181-ERP_i)*AE181*Ramure*Pc/MaxiM</f>
        <v>5.2944190006508265E-4</v>
      </c>
      <c r="AE181" s="304">
        <f t="shared" si="65"/>
        <v>0.7</v>
      </c>
      <c r="AF181" s="177">
        <f t="shared" si="66"/>
        <v>0.42330021832462217</v>
      </c>
      <c r="AG181" s="799">
        <f t="shared" si="74"/>
        <v>1</v>
      </c>
      <c r="AH181" s="176">
        <f t="shared" si="67"/>
        <v>7</v>
      </c>
      <c r="AI181" s="224">
        <f t="shared" si="68"/>
        <v>1.4233002183246222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45825</v>
      </c>
      <c r="B182" s="409">
        <f>'2024'!Wh/'2024'!Env_an*'2025'!Env_an</f>
        <v>53.515143116651501</v>
      </c>
      <c r="C182" s="829"/>
      <c r="D182" s="391">
        <f t="shared" si="50"/>
        <v>55.980437996038681</v>
      </c>
      <c r="E182" s="383">
        <f t="shared" si="75"/>
        <v>56.684088760608375</v>
      </c>
      <c r="F182" s="383">
        <f t="shared" si="51"/>
        <v>56.709609707526944</v>
      </c>
      <c r="G182" s="110">
        <f t="shared" si="76"/>
        <v>0.92122327176970809</v>
      </c>
      <c r="H182" s="412" t="b">
        <f>Wh_hp&gt;='2024'!Maxi_hp</f>
        <v>0</v>
      </c>
      <c r="I182" s="388">
        <f>IF(H182,Wh_hp,'2024'!Maxi_hp)</f>
        <v>61.943350764633465</v>
      </c>
      <c r="J182" s="85">
        <f>IF(H182,An,'2024'!An_max)</f>
        <v>2018</v>
      </c>
      <c r="K182" s="197">
        <f t="shared" si="52"/>
        <v>45825</v>
      </c>
      <c r="L182" s="147">
        <f>IF(t&lt;Tvie,1-EXP((T0-t)*PertePVj)+'2024'!Pspv,1-EXP((T0-t)*PertePVj)+Pspv)</f>
        <v>4.4038506443297765E-2</v>
      </c>
      <c r="M182" s="832"/>
      <c r="N182" s="832"/>
      <c r="O182" s="48">
        <f>IF(t&lt;Tnet,'2024'!Resal+('2024'!Salim-'2024'!Resal)*(1-EXP(('2024'!Tnet-t)/('2024'!Tau_j))),Resal+(Salim-Resal)*(1-EXP((Tnet-t)/(Tau_j))))*Salcycl</f>
        <v>1.2413549903596333E-2</v>
      </c>
      <c r="P182" s="169">
        <f>(INDEX(Models!$BJ182:$BT182,,T182)*(1-R182)+INDEX(Models!$BJ182:$BT182,,T182+1)*R182-ERP_i)*Q182*Ramure*Pc/MaxiM</f>
        <v>5.0705340909040319E-4</v>
      </c>
      <c r="Q182" s="304">
        <f t="shared" si="53"/>
        <v>0.7</v>
      </c>
      <c r="R182" s="177">
        <f t="shared" si="54"/>
        <v>0.36301196208851771</v>
      </c>
      <c r="S182" s="799">
        <f t="shared" si="55"/>
        <v>1</v>
      </c>
      <c r="T182" s="176">
        <f t="shared" si="56"/>
        <v>7</v>
      </c>
      <c r="U182" s="250">
        <f t="shared" si="57"/>
        <v>1.3630119620885177</v>
      </c>
      <c r="V182" s="382">
        <f t="shared" si="58"/>
        <v>58.088078853767001</v>
      </c>
      <c r="W182" s="400">
        <f t="shared" si="59"/>
        <v>53.515143116651501</v>
      </c>
      <c r="X182" s="157">
        <f t="shared" si="60"/>
        <v>45825</v>
      </c>
      <c r="Y182" s="383">
        <f t="shared" si="61"/>
        <v>50.757137873360634</v>
      </c>
      <c r="Z182" s="383">
        <f t="shared" si="62"/>
        <v>53.095379066489571</v>
      </c>
      <c r="AA182" s="384">
        <f t="shared" si="63"/>
        <v>56.682822631473783</v>
      </c>
      <c r="AB182" s="197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6.3289783367143818E-2</v>
      </c>
      <c r="AD182" s="230">
        <f>(INDEX(Models!$BJ182:$BT182,,AH182)*(1-AF182)+INDEX(Models!$BJ182:$BT182,,AH182+1)*AF182-ERP_i)*AE182*Ramure*Pc/MaxiM</f>
        <v>5.3220902326465589E-4</v>
      </c>
      <c r="AE182" s="304">
        <f t="shared" si="65"/>
        <v>0.7</v>
      </c>
      <c r="AF182" s="177">
        <f t="shared" si="66"/>
        <v>0.42734418434834986</v>
      </c>
      <c r="AG182" s="799">
        <f t="shared" si="74"/>
        <v>1</v>
      </c>
      <c r="AH182" s="176">
        <f t="shared" si="67"/>
        <v>7</v>
      </c>
      <c r="AI182" s="224">
        <f t="shared" si="68"/>
        <v>1.4273441843483499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45826</v>
      </c>
      <c r="B183" s="409">
        <f>'2024'!Wh/'2024'!Env_an*'2025'!Env_an</f>
        <v>56.538459027303766</v>
      </c>
      <c r="C183" s="829"/>
      <c r="D183" s="391">
        <f t="shared" si="50"/>
        <v>59.144163207223627</v>
      </c>
      <c r="E183" s="383">
        <f t="shared" si="75"/>
        <v>59.894223233931349</v>
      </c>
      <c r="F183" s="383">
        <f t="shared" si="51"/>
        <v>59.923647557776064</v>
      </c>
      <c r="G183" s="110">
        <f t="shared" si="76"/>
        <v>0.97430884389671135</v>
      </c>
      <c r="H183" s="412" t="b">
        <f>Wh_hp&gt;='2024'!Maxi_hp</f>
        <v>0</v>
      </c>
      <c r="I183" s="388">
        <f>IF(H183,Wh_hp,'2024'!Maxi_hp)</f>
        <v>59.92441332024179</v>
      </c>
      <c r="J183" s="85">
        <f>IF(H183,An,'2024'!An_max)</f>
        <v>2022</v>
      </c>
      <c r="K183" s="197">
        <f t="shared" si="52"/>
        <v>45826</v>
      </c>
      <c r="L183" s="147">
        <f>IF(t&lt;Tvie,1-EXP((T0-t)*PertePVj)+'2024'!Pspv,1-EXP((T0-t)*PertePVj)+Pspv)</f>
        <v>4.4056827227231921E-2</v>
      </c>
      <c r="M183" s="832"/>
      <c r="N183" s="832"/>
      <c r="O183" s="48">
        <f>IF(t&lt;Tnet,'2024'!Resal+('2024'!Salim-'2024'!Resal)*(1-EXP(('2024'!Tnet-t)/('2024'!Tau_j))),Resal+(Salim-Resal)*(1-EXP((Tnet-t)/(Tau_j))))*Salcycl</f>
        <v>1.2523077956586574E-2</v>
      </c>
      <c r="P183" s="169">
        <f>(INDEX(Models!$BJ183:$BT183,,T183)*(1-R183)+INDEX(Models!$BJ183:$BT183,,T183+1)*R183-ERP_i)*Q183*Ramure*Pc/MaxiM</f>
        <v>5.097247226285756E-4</v>
      </c>
      <c r="Q183" s="304">
        <f t="shared" si="53"/>
        <v>0.7</v>
      </c>
      <c r="R183" s="177">
        <f t="shared" si="54"/>
        <v>0.36703226031433522</v>
      </c>
      <c r="S183" s="799">
        <f t="shared" si="55"/>
        <v>1</v>
      </c>
      <c r="T183" s="176">
        <f t="shared" si="56"/>
        <v>7</v>
      </c>
      <c r="U183" s="250">
        <f t="shared" si="57"/>
        <v>1.3670322603143352</v>
      </c>
      <c r="V183" s="382">
        <f t="shared" si="58"/>
        <v>58.028213441488695</v>
      </c>
      <c r="W183" s="400">
        <f t="shared" si="59"/>
        <v>56.538459027303766</v>
      </c>
      <c r="X183" s="157">
        <f t="shared" si="60"/>
        <v>45826</v>
      </c>
      <c r="Y183" s="383">
        <f t="shared" si="61"/>
        <v>53.626261128324643</v>
      </c>
      <c r="Z183" s="383">
        <f t="shared" si="62"/>
        <v>56.097750008275696</v>
      </c>
      <c r="AA183" s="384">
        <f t="shared" si="63"/>
        <v>59.892769420226344</v>
      </c>
      <c r="AB183" s="197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6.3363565396744467E-2</v>
      </c>
      <c r="AD183" s="230">
        <f>(INDEX(Models!$BJ183:$BT183,,AH183)*(1-AF183)+INDEX(Models!$BJ183:$BT183,,AH183+1)*AF183-ERP_i)*AE183*Ramure*Pc/MaxiM</f>
        <v>5.3490949123858244E-4</v>
      </c>
      <c r="AE183" s="304">
        <f t="shared" si="65"/>
        <v>0.7</v>
      </c>
      <c r="AF183" s="177">
        <f t="shared" si="66"/>
        <v>0.43136448257416737</v>
      </c>
      <c r="AG183" s="799">
        <f t="shared" si="74"/>
        <v>1</v>
      </c>
      <c r="AH183" s="176">
        <f t="shared" si="67"/>
        <v>7</v>
      </c>
      <c r="AI183" s="224">
        <f t="shared" si="68"/>
        <v>1.4313644825741674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45827</v>
      </c>
      <c r="B184" s="409">
        <f>'2024'!Wh/'2024'!Env_an*'2025'!Env_an</f>
        <v>57.536457375611633</v>
      </c>
      <c r="C184" s="829"/>
      <c r="D184" s="391">
        <f t="shared" si="50"/>
        <v>60.189310106094425</v>
      </c>
      <c r="E184" s="383">
        <f t="shared" si="75"/>
        <v>60.959371935566992</v>
      </c>
      <c r="F184" s="383">
        <f t="shared" si="51"/>
        <v>60.990289583504222</v>
      </c>
      <c r="G184" s="110">
        <f t="shared" si="76"/>
        <v>0.99259279333020467</v>
      </c>
      <c r="H184" s="412" t="b">
        <f>Wh_hp&gt;='2024'!Maxi_hp</f>
        <v>0</v>
      </c>
      <c r="I184" s="388">
        <f>IF(H184,Wh_hp,'2024'!Maxi_hp)</f>
        <v>60.990515225010704</v>
      </c>
      <c r="J184" s="85">
        <f>IF(H184,An,'2024'!An_max)</f>
        <v>2022</v>
      </c>
      <c r="K184" s="197">
        <f t="shared" si="52"/>
        <v>45827</v>
      </c>
      <c r="L184" s="147">
        <f>IF(t&lt;Tvie,1-EXP((T0-t)*PertePVj)+'2024'!Pspv,1-EXP((T0-t)*PertePVj)+Pspv)</f>
        <v>4.4075147660052383E-2</v>
      </c>
      <c r="M184" s="832"/>
      <c r="N184" s="832"/>
      <c r="O184" s="48">
        <f>IF(t&lt;Tnet,'2024'!Resal+('2024'!Salim-'2024'!Resal)*(1-EXP(('2024'!Tnet-t)/('2024'!Tau_j))),Resal+(Salim-Resal)*(1-EXP((Tnet-t)/(Tau_j))))*Salcycl</f>
        <v>1.2632378008856648E-2</v>
      </c>
      <c r="P184" s="169">
        <f>(INDEX(Models!$BJ184:$BT184,,T184)*(1-R184)+INDEX(Models!$BJ184:$BT184,,T184+1)*R184-ERP_i)*Q184*Ramure*Pc/MaxiM</f>
        <v>5.1234493859141723E-4</v>
      </c>
      <c r="Q184" s="304">
        <f t="shared" si="53"/>
        <v>0.7</v>
      </c>
      <c r="R184" s="177">
        <f t="shared" si="54"/>
        <v>0.37102573504586522</v>
      </c>
      <c r="S184" s="799">
        <f t="shared" si="55"/>
        <v>1</v>
      </c>
      <c r="T184" s="176">
        <f t="shared" si="56"/>
        <v>7</v>
      </c>
      <c r="U184" s="250">
        <f t="shared" si="57"/>
        <v>1.3710257350458652</v>
      </c>
      <c r="V184" s="382">
        <f t="shared" si="58"/>
        <v>57.965508008145761</v>
      </c>
      <c r="W184" s="400">
        <f t="shared" si="59"/>
        <v>57.536457375611633</v>
      </c>
      <c r="X184" s="157">
        <f t="shared" si="60"/>
        <v>45827</v>
      </c>
      <c r="Y184" s="383">
        <f t="shared" si="61"/>
        <v>54.574618473640804</v>
      </c>
      <c r="Z184" s="383">
        <f t="shared" si="62"/>
        <v>57.090908704853803</v>
      </c>
      <c r="AA184" s="384">
        <f t="shared" si="63"/>
        <v>60.957849946750159</v>
      </c>
      <c r="AB184" s="197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6.3436312882989301E-2</v>
      </c>
      <c r="AD184" s="230">
        <f>(INDEX(Models!$BJ184:$BT184,,AH184)*(1-AF184)+INDEX(Models!$BJ184:$BT184,,AH184+1)*AF184-ERP_i)*AE184*Ramure*Pc/MaxiM</f>
        <v>5.3756623836418533E-4</v>
      </c>
      <c r="AE184" s="304">
        <f t="shared" si="65"/>
        <v>0.7</v>
      </c>
      <c r="AF184" s="177">
        <f t="shared" si="66"/>
        <v>0.43535795730569737</v>
      </c>
      <c r="AG184" s="799">
        <f t="shared" si="74"/>
        <v>1</v>
      </c>
      <c r="AH184" s="176">
        <f t="shared" si="67"/>
        <v>7</v>
      </c>
      <c r="AI184" s="224">
        <f t="shared" si="68"/>
        <v>1.4353579573056974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45828</v>
      </c>
      <c r="B185" s="409">
        <f>'2024'!Wh/'2024'!Env_an*'2025'!Env_an</f>
        <v>30.223503348843131</v>
      </c>
      <c r="C185" s="829"/>
      <c r="D185" s="391">
        <f t="shared" si="50"/>
        <v>31.617634495543321</v>
      </c>
      <c r="E185" s="383">
        <f t="shared" si="75"/>
        <v>32.025687948017968</v>
      </c>
      <c r="F185" s="383">
        <f t="shared" si="51"/>
        <v>32.03091936582662</v>
      </c>
      <c r="G185" s="110">
        <f t="shared" si="76"/>
        <v>0.52181164180783746</v>
      </c>
      <c r="H185" s="412" t="b">
        <f>Wh_hp&gt;='2024'!Maxi_hp</f>
        <v>0</v>
      </c>
      <c r="I185" s="388">
        <f>IF(H185,Wh_hp,'2024'!Maxi_hp)</f>
        <v>55.931265464438617</v>
      </c>
      <c r="J185" s="85">
        <f>IF(H185,An,'2024'!An_max)</f>
        <v>2020</v>
      </c>
      <c r="K185" s="197">
        <f t="shared" si="52"/>
        <v>45828</v>
      </c>
      <c r="L185" s="147">
        <f>IF(t&lt;Tvie,1-EXP((T0-t)*PertePVj)+'2024'!Pspv,1-EXP((T0-t)*PertePVj)+Pspv)</f>
        <v>4.4093467741766035E-2</v>
      </c>
      <c r="M185" s="832"/>
      <c r="N185" s="832"/>
      <c r="O185" s="48">
        <f>IF(t&lt;Tnet,'2024'!Resal+('2024'!Salim-'2024'!Resal)*(1-EXP(('2024'!Tnet-t)/('2024'!Tau_j))),Resal+(Salim-Resal)*(1-EXP((Tnet-t)/(Tau_j))))*Salcycl</f>
        <v>1.2741442217790059E-2</v>
      </c>
      <c r="P185" s="169">
        <f>(INDEX(Models!$BJ185:$BT185,,T185)*(1-R185)+INDEX(Models!$BJ185:$BT185,,T185+1)*R185-ERP_i)*Q185*Ramure*Pc/MaxiM</f>
        <v>5.1499661388691492E-4</v>
      </c>
      <c r="Q185" s="304">
        <f t="shared" si="53"/>
        <v>0.7</v>
      </c>
      <c r="R185" s="177">
        <f t="shared" si="54"/>
        <v>0.37498931750753117</v>
      </c>
      <c r="S185" s="799">
        <f t="shared" si="55"/>
        <v>1</v>
      </c>
      <c r="T185" s="176">
        <f t="shared" si="56"/>
        <v>7</v>
      </c>
      <c r="U185" s="250">
        <f t="shared" si="57"/>
        <v>1.3749893175075312</v>
      </c>
      <c r="V185" s="382">
        <f t="shared" si="58"/>
        <v>57.899959321462461</v>
      </c>
      <c r="W185" s="400">
        <f t="shared" si="59"/>
        <v>30.223503348843131</v>
      </c>
      <c r="X185" s="157">
        <f t="shared" si="60"/>
        <v>45828</v>
      </c>
      <c r="Y185" s="383">
        <f t="shared" si="61"/>
        <v>28.669128028710887</v>
      </c>
      <c r="Z185" s="383">
        <f t="shared" si="62"/>
        <v>29.991559908041353</v>
      </c>
      <c r="AA185" s="384">
        <f t="shared" si="63"/>
        <v>32.025431311356279</v>
      </c>
      <c r="AB185" s="197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6.3508009729558612E-2</v>
      </c>
      <c r="AD185" s="230">
        <f>(INDEX(Models!$BJ185:$BT185,,AH185)*(1-AF185)+INDEX(Models!$BJ185:$BT185,,AH185+1)*AF185-ERP_i)*AE185*Ramure*Pc/MaxiM</f>
        <v>5.4026070415885458E-4</v>
      </c>
      <c r="AE185" s="304">
        <f t="shared" si="65"/>
        <v>0.7</v>
      </c>
      <c r="AF185" s="177">
        <f t="shared" si="66"/>
        <v>0.43932153976736332</v>
      </c>
      <c r="AG185" s="799">
        <f t="shared" si="74"/>
        <v>1</v>
      </c>
      <c r="AH185" s="176">
        <f t="shared" si="67"/>
        <v>7</v>
      </c>
      <c r="AI185" s="224">
        <f t="shared" si="68"/>
        <v>1.4393215397673633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45829</v>
      </c>
      <c r="B186" s="409">
        <f>'2024'!Wh/'2024'!Env_an*'2025'!Env_an</f>
        <v>19.994405850482817</v>
      </c>
      <c r="C186" s="829"/>
      <c r="D186" s="391">
        <f t="shared" si="50"/>
        <v>20.917096359638471</v>
      </c>
      <c r="E186" s="383">
        <f t="shared" si="75"/>
        <v>21.189385542840228</v>
      </c>
      <c r="F186" s="383">
        <f t="shared" si="51"/>
        <v>21.190102258578325</v>
      </c>
      <c r="G186" s="110">
        <f t="shared" si="76"/>
        <v>0.34556785288219088</v>
      </c>
      <c r="H186" s="412" t="b">
        <f>Wh_hp&gt;='2024'!Maxi_hp</f>
        <v>0</v>
      </c>
      <c r="I186" s="388">
        <f>IF(H186,Wh_hp,'2024'!Maxi_hp)</f>
        <v>56.260411269728877</v>
      </c>
      <c r="J186" s="85">
        <f>IF(H186,An,'2024'!An_max)</f>
        <v>2020</v>
      </c>
      <c r="K186" s="197">
        <f t="shared" si="52"/>
        <v>45829</v>
      </c>
      <c r="L186" s="147">
        <f>IF(t&lt;Tvie,1-EXP((T0-t)*PertePVj)+'2024'!Pspv,1-EXP((T0-t)*PertePVj)+Pspv)</f>
        <v>4.4111787472379427E-2</v>
      </c>
      <c r="M186" s="832"/>
      <c r="N186" s="832"/>
      <c r="O186" s="48">
        <f>IF(t&lt;Tnet,'2024'!Resal+('2024'!Salim-'2024'!Resal)*(1-EXP(('2024'!Tnet-t)/('2024'!Tau_j))),Resal+(Salim-Resal)*(1-EXP((Tnet-t)/(Tau_j))))*Salcycl</f>
        <v>1.285026329108266E-2</v>
      </c>
      <c r="P186" s="169">
        <f>(INDEX(Models!$BJ186:$BT186,,T186)*(1-R186)+INDEX(Models!$BJ186:$BT186,,T186+1)*R186-ERP_i)*Q186*Ramure*Pc/MaxiM</f>
        <v>5.1768057318581648E-4</v>
      </c>
      <c r="Q186" s="304">
        <f t="shared" si="53"/>
        <v>0.7</v>
      </c>
      <c r="R186" s="177">
        <f t="shared" si="54"/>
        <v>0.37892003474723257</v>
      </c>
      <c r="S186" s="799">
        <f t="shared" si="55"/>
        <v>1</v>
      </c>
      <c r="T186" s="176">
        <f t="shared" si="56"/>
        <v>7</v>
      </c>
      <c r="U186" s="250">
        <f t="shared" si="57"/>
        <v>1.3789200347472326</v>
      </c>
      <c r="V186" s="382">
        <f t="shared" si="58"/>
        <v>57.831568864474171</v>
      </c>
      <c r="W186" s="400">
        <f t="shared" si="59"/>
        <v>19.994405850482817</v>
      </c>
      <c r="X186" s="157">
        <f t="shared" si="60"/>
        <v>45829</v>
      </c>
      <c r="Y186" s="383">
        <f t="shared" si="61"/>
        <v>18.966887188064884</v>
      </c>
      <c r="Z186" s="383">
        <f t="shared" si="62"/>
        <v>19.842160348343906</v>
      </c>
      <c r="AA186" s="384">
        <f t="shared" si="63"/>
        <v>21.189350497330498</v>
      </c>
      <c r="AB186" s="197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6.3578642920476242E-2</v>
      </c>
      <c r="AD186" s="230">
        <f>(INDEX(Models!$BJ186:$BT186,,AH186)*(1-AF186)+INDEX(Models!$BJ186:$BT186,,AH186+1)*AF186-ERP_i)*AE186*Ramure*Pc/MaxiM</f>
        <v>5.4299378817719817E-4</v>
      </c>
      <c r="AE186" s="304">
        <f t="shared" si="65"/>
        <v>0.7</v>
      </c>
      <c r="AF186" s="177">
        <f t="shared" si="66"/>
        <v>0.44325225700706472</v>
      </c>
      <c r="AG186" s="799">
        <f t="shared" si="74"/>
        <v>1</v>
      </c>
      <c r="AH186" s="176">
        <f t="shared" si="67"/>
        <v>7</v>
      </c>
      <c r="AI186" s="224">
        <f t="shared" si="68"/>
        <v>1.4432522570070647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45830</v>
      </c>
      <c r="B187" s="409">
        <f>'2024'!Wh/'2024'!Env_an*'2025'!Env_an</f>
        <v>42.206815882254091</v>
      </c>
      <c r="C187" s="829"/>
      <c r="D187" s="391">
        <f t="shared" si="50"/>
        <v>44.155398328582621</v>
      </c>
      <c r="E187" s="383">
        <f t="shared" si="75"/>
        <v>44.735113258201082</v>
      </c>
      <c r="F187" s="383">
        <f t="shared" si="51"/>
        <v>44.749442500882957</v>
      </c>
      <c r="G187" s="110">
        <f t="shared" si="76"/>
        <v>0.73057681654754569</v>
      </c>
      <c r="H187" s="412" t="b">
        <f>Wh_hp&gt;='2024'!Maxi_hp</f>
        <v>0</v>
      </c>
      <c r="I187" s="388">
        <f>IF(H187,Wh_hp,'2024'!Maxi_hp)</f>
        <v>60.180759205917369</v>
      </c>
      <c r="J187" s="85">
        <f>IF(H187,An,'2024'!An_max)</f>
        <v>2020</v>
      </c>
      <c r="K187" s="197">
        <f t="shared" si="52"/>
        <v>45830</v>
      </c>
      <c r="L187" s="147">
        <f>IF(t&lt;Tvie,1-EXP((T0-t)*PertePVj)+'2024'!Pspv,1-EXP((T0-t)*PertePVj)+Pspv)</f>
        <v>4.4130106851899331E-2</v>
      </c>
      <c r="M187" s="832"/>
      <c r="N187" s="832"/>
      <c r="O187" s="48">
        <f>IF(t&lt;Tnet,'2024'!Resal+('2024'!Salim-'2024'!Resal)*(1-EXP(('2024'!Tnet-t)/('2024'!Tau_j))),Resal+(Salim-Resal)*(1-EXP((Tnet-t)/(Tau_j))))*Salcycl</f>
        <v>1.2958834512667484E-2</v>
      </c>
      <c r="P187" s="169">
        <f>(INDEX(Models!$BJ187:$BT187,,T187)*(1-R187)+INDEX(Models!$BJ187:$BT187,,T187+1)*R187-ERP_i)*Q187*Ramure*Pc/MaxiM</f>
        <v>5.2039778540471341E-4</v>
      </c>
      <c r="Q187" s="304">
        <f t="shared" si="53"/>
        <v>0.7</v>
      </c>
      <c r="R187" s="177">
        <f t="shared" si="54"/>
        <v>0.38281501789930261</v>
      </c>
      <c r="S187" s="799">
        <f t="shared" si="55"/>
        <v>1</v>
      </c>
      <c r="T187" s="176">
        <f t="shared" si="56"/>
        <v>7</v>
      </c>
      <c r="U187" s="250">
        <f t="shared" si="57"/>
        <v>1.3828150178993026</v>
      </c>
      <c r="V187" s="382">
        <f t="shared" si="58"/>
        <v>57.760338069047855</v>
      </c>
      <c r="W187" s="400">
        <f t="shared" si="59"/>
        <v>42.206815882254091</v>
      </c>
      <c r="X187" s="157">
        <f t="shared" si="60"/>
        <v>45830</v>
      </c>
      <c r="Y187" s="383">
        <f t="shared" si="61"/>
        <v>40.038665247384969</v>
      </c>
      <c r="Z187" s="383">
        <f t="shared" si="62"/>
        <v>41.887149636568225</v>
      </c>
      <c r="AA187" s="384">
        <f t="shared" si="63"/>
        <v>44.734414725182837</v>
      </c>
      <c r="AB187" s="197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6.3648202532797779E-2</v>
      </c>
      <c r="AD187" s="230">
        <f>(INDEX(Models!$BJ187:$BT187,,AH187)*(1-AF187)+INDEX(Models!$BJ187:$BT187,,AH187+1)*AF187-ERP_i)*AE187*Ramure*Pc/MaxiM</f>
        <v>5.4576653962264013E-4</v>
      </c>
      <c r="AE187" s="304">
        <f t="shared" si="65"/>
        <v>0.7</v>
      </c>
      <c r="AF187" s="177">
        <f t="shared" si="66"/>
        <v>0.44714724015913476</v>
      </c>
      <c r="AG187" s="799">
        <f t="shared" si="74"/>
        <v>1</v>
      </c>
      <c r="AH187" s="176">
        <f t="shared" si="67"/>
        <v>7</v>
      </c>
      <c r="AI187" s="224">
        <f t="shared" si="68"/>
        <v>1.4471472401591348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45831</v>
      </c>
      <c r="B188" s="409">
        <f>'2024'!Wh/'2024'!Env_an*'2025'!Env_an</f>
        <v>43.905270602408514</v>
      </c>
      <c r="C188" s="829"/>
      <c r="D188" s="391">
        <f t="shared" si="50"/>
        <v>45.933146726096005</v>
      </c>
      <c r="E188" s="383">
        <f t="shared" si="75"/>
        <v>46.54130898080949</v>
      </c>
      <c r="F188" s="383">
        <f t="shared" si="51"/>
        <v>46.557352909792478</v>
      </c>
      <c r="G188" s="110">
        <f t="shared" si="76"/>
        <v>0.76096842746549886</v>
      </c>
      <c r="H188" s="412" t="b">
        <f>Wh_hp&gt;='2024'!Maxi_hp</f>
        <v>0</v>
      </c>
      <c r="I188" s="388">
        <f>IF(H188,Wh_hp,'2024'!Maxi_hp)</f>
        <v>53.862501168142678</v>
      </c>
      <c r="J188" s="85">
        <f>IF(H188,An,'2024'!An_max)</f>
        <v>2018</v>
      </c>
      <c r="K188" s="197">
        <f t="shared" si="52"/>
        <v>45831</v>
      </c>
      <c r="L188" s="147">
        <f>IF(t&lt;Tvie,1-EXP((T0-t)*PertePVj)+'2024'!Pspv,1-EXP((T0-t)*PertePVj)+Pspv)</f>
        <v>4.4148425880332631E-2</v>
      </c>
      <c r="M188" s="832"/>
      <c r="N188" s="832"/>
      <c r="O188" s="48">
        <f>IF(t&lt;Tnet,'2024'!Resal+('2024'!Salim-'2024'!Resal)*(1-EXP(('2024'!Tnet-t)/('2024'!Tau_j))),Resal+(Salim-Resal)*(1-EXP((Tnet-t)/(Tau_j))))*Salcycl</f>
        <v>1.3067149765045354E-2</v>
      </c>
      <c r="P188" s="169">
        <f>(INDEX(Models!$BJ188:$BT188,,T188)*(1-R188)+INDEX(Models!$BJ188:$BT188,,T188+1)*R188-ERP_i)*Q188*Ramure*Pc/MaxiM</f>
        <v>5.2314401576618471E-4</v>
      </c>
      <c r="Q188" s="304">
        <f t="shared" si="53"/>
        <v>0.7</v>
      </c>
      <c r="R188" s="177">
        <f t="shared" si="54"/>
        <v>0.38667150976428011</v>
      </c>
      <c r="S188" s="799">
        <f t="shared" si="55"/>
        <v>1</v>
      </c>
      <c r="T188" s="176">
        <f t="shared" si="56"/>
        <v>7</v>
      </c>
      <c r="U188" s="250">
        <f t="shared" si="57"/>
        <v>1.3866715097642801</v>
      </c>
      <c r="V188" s="382">
        <f t="shared" si="58"/>
        <v>57.686268631585463</v>
      </c>
      <c r="W188" s="400">
        <f t="shared" si="59"/>
        <v>43.905270602408514</v>
      </c>
      <c r="X188" s="157">
        <f t="shared" si="60"/>
        <v>45831</v>
      </c>
      <c r="Y188" s="383">
        <f t="shared" si="61"/>
        <v>41.651347992274331</v>
      </c>
      <c r="Z188" s="383">
        <f t="shared" si="62"/>
        <v>43.575120991598439</v>
      </c>
      <c r="AA188" s="384">
        <f t="shared" si="63"/>
        <v>46.540529069994427</v>
      </c>
      <c r="AB188" s="197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6.3716681732091579E-2</v>
      </c>
      <c r="AD188" s="230">
        <f>(INDEX(Models!$BJ188:$BT188,,AH188)*(1-AF188)+INDEX(Models!$BJ188:$BT188,,AH188+1)*AF188-ERP_i)*AE188*Ramure*Pc/MaxiM</f>
        <v>5.4857454940698336E-4</v>
      </c>
      <c r="AE188" s="304">
        <f t="shared" si="65"/>
        <v>0.7</v>
      </c>
      <c r="AF188" s="177">
        <f t="shared" si="66"/>
        <v>0.45100373202411226</v>
      </c>
      <c r="AG188" s="799">
        <f t="shared" si="74"/>
        <v>1</v>
      </c>
      <c r="AH188" s="176">
        <f t="shared" si="67"/>
        <v>7</v>
      </c>
      <c r="AI188" s="224">
        <f t="shared" si="68"/>
        <v>1.4510037320241123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45832</v>
      </c>
      <c r="B189" s="409">
        <f>'2024'!Wh/'2024'!Env_an*'2025'!Env_an</f>
        <v>41.084985225792124</v>
      </c>
      <c r="C189" s="829"/>
      <c r="D189" s="391">
        <f t="shared" si="50"/>
        <v>42.983423093790499</v>
      </c>
      <c r="E189" s="383">
        <f t="shared" si="75"/>
        <v>43.55729937910484</v>
      </c>
      <c r="F189" s="383">
        <f t="shared" si="51"/>
        <v>43.570824361758319</v>
      </c>
      <c r="G189" s="110">
        <f t="shared" si="76"/>
        <v>0.71301134120265675</v>
      </c>
      <c r="H189" s="412" t="b">
        <f>Wh_hp&gt;='2024'!Maxi_hp</f>
        <v>0</v>
      </c>
      <c r="I189" s="388">
        <f>IF(H189,Wh_hp,'2024'!Maxi_hp)</f>
        <v>60.623696514192886</v>
      </c>
      <c r="J189" s="85">
        <f>IF(H189,An,'2024'!An_max)</f>
        <v>2020</v>
      </c>
      <c r="K189" s="197">
        <f t="shared" si="52"/>
        <v>45832</v>
      </c>
      <c r="L189" s="147">
        <f>IF(t&lt;Tvie,1-EXP((T0-t)*PertePVj)+'2024'!Pspv,1-EXP((T0-t)*PertePVj)+Pspv)</f>
        <v>4.4166744557685766E-2</v>
      </c>
      <c r="M189" s="832"/>
      <c r="N189" s="832"/>
      <c r="O189" s="48">
        <f>IF(t&lt;Tnet,'2024'!Resal+('2024'!Salim-'2024'!Resal)*(1-EXP(('2024'!Tnet-t)/('2024'!Tau_j))),Resal+(Salim-Resal)*(1-EXP((Tnet-t)/(Tau_j))))*Salcycl</f>
        <v>1.3175203547849899E-2</v>
      </c>
      <c r="P189" s="169">
        <f>(INDEX(Models!$BJ189:$BT189,,T189)*(1-R189)+INDEX(Models!$BJ189:$BT189,,T189+1)*R189-ERP_i)*Q189*Ramure*Pc/MaxiM</f>
        <v>5.2591477832214734E-4</v>
      </c>
      <c r="Q189" s="304">
        <f t="shared" si="53"/>
        <v>0.7</v>
      </c>
      <c r="R189" s="177">
        <f t="shared" si="54"/>
        <v>0.39048687166951401</v>
      </c>
      <c r="S189" s="799">
        <f t="shared" si="55"/>
        <v>1</v>
      </c>
      <c r="T189" s="176">
        <f t="shared" si="56"/>
        <v>7</v>
      </c>
      <c r="U189" s="250">
        <f t="shared" si="57"/>
        <v>1.390486871669514</v>
      </c>
      <c r="V189" s="382">
        <f t="shared" si="58"/>
        <v>57.609362216346042</v>
      </c>
      <c r="W189" s="400">
        <f t="shared" si="59"/>
        <v>41.084985225792124</v>
      </c>
      <c r="X189" s="157">
        <f t="shared" si="60"/>
        <v>45832</v>
      </c>
      <c r="Y189" s="383">
        <f t="shared" si="61"/>
        <v>38.977373128411777</v>
      </c>
      <c r="Z189" s="383">
        <f t="shared" si="62"/>
        <v>40.778423335328398</v>
      </c>
      <c r="AA189" s="384">
        <f t="shared" si="63"/>
        <v>43.556643636012566</v>
      </c>
      <c r="AB189" s="197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6.3784076750742463E-2</v>
      </c>
      <c r="AD189" s="230">
        <f>(INDEX(Models!$BJ189:$BT189,,AH189)*(1-AF189)+INDEX(Models!$BJ189:$BT189,,AH189+1)*AF189-ERP_i)*AE189*Ramure*Pc/MaxiM</f>
        <v>5.5141314618264666E-4</v>
      </c>
      <c r="AE189" s="304">
        <f t="shared" si="65"/>
        <v>0.7</v>
      </c>
      <c r="AF189" s="177">
        <f t="shared" si="66"/>
        <v>0.45481909392934616</v>
      </c>
      <c r="AG189" s="799">
        <f t="shared" si="74"/>
        <v>1</v>
      </c>
      <c r="AH189" s="176">
        <f t="shared" si="67"/>
        <v>7</v>
      </c>
      <c r="AI189" s="224">
        <f t="shared" si="68"/>
        <v>1.4548190939293462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45833</v>
      </c>
      <c r="B190" s="409">
        <f>'2024'!Wh/'2024'!Env_an*'2025'!Env_an</f>
        <v>41.094686987051695</v>
      </c>
      <c r="C190" s="829"/>
      <c r="D190" s="391">
        <f t="shared" si="50"/>
        <v>42.994397127801811</v>
      </c>
      <c r="E190" s="383">
        <f t="shared" si="75"/>
        <v>43.573179275634914</v>
      </c>
      <c r="F190" s="383">
        <f t="shared" si="51"/>
        <v>43.586819252234228</v>
      </c>
      <c r="G190" s="110">
        <f t="shared" si="76"/>
        <v>0.71416805805942773</v>
      </c>
      <c r="H190" s="412" t="b">
        <f>Wh_hp&gt;='2024'!Maxi_hp</f>
        <v>0</v>
      </c>
      <c r="I190" s="388">
        <f>IF(H190,Wh_hp,'2024'!Maxi_hp)</f>
        <v>61.35509471330375</v>
      </c>
      <c r="J190" s="85">
        <f>IF(H190,An,'2024'!An_max)</f>
        <v>2020</v>
      </c>
      <c r="K190" s="197">
        <f t="shared" si="52"/>
        <v>45833</v>
      </c>
      <c r="L190" s="147">
        <f>IF(t&lt;Tvie,1-EXP((T0-t)*PertePVj)+'2024'!Pspv,1-EXP((T0-t)*PertePVj)+Pspv)</f>
        <v>4.4185062883965731E-2</v>
      </c>
      <c r="M190" s="832"/>
      <c r="N190" s="832"/>
      <c r="O190" s="48">
        <f>IF(t&lt;Tnet,'2024'!Resal+('2024'!Salim-'2024'!Resal)*(1-EXP(('2024'!Tnet-t)/('2024'!Tau_j))),Resal+(Salim-Resal)*(1-EXP((Tnet-t)/(Tau_j))))*Salcycl</f>
        <v>1.3282990992505871E-2</v>
      </c>
      <c r="P190" s="169">
        <f>(INDEX(Models!$BJ190:$BT190,,T190)*(1-R190)+INDEX(Models!$BJ190:$BT190,,T190+1)*R190-ERP_i)*Q190*Ramure*Pc/MaxiM</f>
        <v>5.2871087596459648E-4</v>
      </c>
      <c r="Q190" s="304">
        <f t="shared" si="53"/>
        <v>0.7</v>
      </c>
      <c r="R190" s="177">
        <f t="shared" si="54"/>
        <v>0.39425858958229476</v>
      </c>
      <c r="S190" s="799">
        <f t="shared" si="55"/>
        <v>1</v>
      </c>
      <c r="T190" s="176">
        <f t="shared" si="56"/>
        <v>7</v>
      </c>
      <c r="U190" s="250">
        <f t="shared" si="57"/>
        <v>1.3942585895822948</v>
      </c>
      <c r="V190" s="382">
        <f t="shared" si="58"/>
        <v>57.529620140759356</v>
      </c>
      <c r="W190" s="400">
        <f t="shared" si="59"/>
        <v>41.094686987051695</v>
      </c>
      <c r="X190" s="157">
        <f t="shared" si="60"/>
        <v>45833</v>
      </c>
      <c r="Y190" s="383">
        <f t="shared" si="61"/>
        <v>38.988071046947866</v>
      </c>
      <c r="Z190" s="383">
        <f t="shared" si="62"/>
        <v>40.790397317482793</v>
      </c>
      <c r="AA190" s="384">
        <f t="shared" si="63"/>
        <v>43.572519546524553</v>
      </c>
      <c r="AB190" s="197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6.3850386849242297E-2</v>
      </c>
      <c r="AD190" s="230">
        <f>(INDEX(Models!$BJ190:$BT190,,AH190)*(1-AF190)+INDEX(Models!$BJ190:$BT190,,AH190+1)*AF190-ERP_i)*AE190*Ramure*Pc/MaxiM</f>
        <v>5.5428320398831867E-4</v>
      </c>
      <c r="AE190" s="304">
        <f t="shared" si="65"/>
        <v>0.7</v>
      </c>
      <c r="AF190" s="177">
        <f t="shared" si="66"/>
        <v>0.45859081184212691</v>
      </c>
      <c r="AG190" s="799">
        <f t="shared" si="74"/>
        <v>1</v>
      </c>
      <c r="AH190" s="176">
        <f t="shared" si="67"/>
        <v>7</v>
      </c>
      <c r="AI190" s="224">
        <f t="shared" si="68"/>
        <v>1.4585908118421269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45834</v>
      </c>
      <c r="B191" s="409">
        <f>'2024'!Wh/'2024'!Env_an*'2025'!Env_an</f>
        <v>10.797064485270329</v>
      </c>
      <c r="C191" s="829"/>
      <c r="D191" s="391">
        <f t="shared" si="50"/>
        <v>11.296403721302095</v>
      </c>
      <c r="E191" s="383">
        <f t="shared" si="75"/>
        <v>11.449721304573163</v>
      </c>
      <c r="F191" s="383">
        <f t="shared" si="51"/>
        <v>11.449721304573163</v>
      </c>
      <c r="G191" s="110">
        <f t="shared" si="76"/>
        <v>0.18785040725928129</v>
      </c>
      <c r="H191" s="412" t="b">
        <f>Wh_hp&gt;='2024'!Maxi_hp</f>
        <v>0</v>
      </c>
      <c r="I191" s="388">
        <f>IF(H191,Wh_hp,'2024'!Maxi_hp)</f>
        <v>61.449694288761741</v>
      </c>
      <c r="J191" s="85">
        <f>IF(H191,An,'2024'!An_max)</f>
        <v>2018</v>
      </c>
      <c r="K191" s="197">
        <f t="shared" si="52"/>
        <v>45834</v>
      </c>
      <c r="L191" s="147">
        <f>IF(t&lt;Tvie,1-EXP((T0-t)*PertePVj)+'2024'!Pspv,1-EXP((T0-t)*PertePVj)+Pspv)</f>
        <v>4.4203380859179187E-2</v>
      </c>
      <c r="M191" s="832"/>
      <c r="N191" s="832"/>
      <c r="O191" s="48">
        <f>IF(t&lt;Tnet,'2024'!Resal+('2024'!Salim-'2024'!Resal)*(1-EXP(('2024'!Tnet-t)/('2024'!Tau_j))),Resal+(Salim-Resal)*(1-EXP((Tnet-t)/(Tau_j))))*Salcycl</f>
        <v>1.3390507872871254E-2</v>
      </c>
      <c r="P191" s="169">
        <f>(INDEX(Models!$BJ191:$BT191,,T191)*(1-R191)+INDEX(Models!$BJ191:$BT191,,T191+1)*R191-ERP_i)*Q191*Ramure*Pc/MaxiM</f>
        <v>5.3153940682121575E-4</v>
      </c>
      <c r="Q191" s="304">
        <f t="shared" si="53"/>
        <v>0.7</v>
      </c>
      <c r="R191" s="177">
        <f t="shared" si="54"/>
        <v>0.39798427945496062</v>
      </c>
      <c r="S191" s="799">
        <f t="shared" si="55"/>
        <v>1</v>
      </c>
      <c r="T191" s="176">
        <f t="shared" si="56"/>
        <v>7</v>
      </c>
      <c r="U191" s="250">
        <f t="shared" si="57"/>
        <v>1.3979842794549606</v>
      </c>
      <c r="V191" s="382">
        <f t="shared" si="58"/>
        <v>57.446377558945862</v>
      </c>
      <c r="W191" s="400">
        <f t="shared" si="59"/>
        <v>10.797064485270329</v>
      </c>
      <c r="X191" s="157">
        <f t="shared" si="60"/>
        <v>45834</v>
      </c>
      <c r="Y191" s="383">
        <f t="shared" si="61"/>
        <v>10.244137682773133</v>
      </c>
      <c r="Z191" s="383">
        <f t="shared" si="62"/>
        <v>10.717905334276798</v>
      </c>
      <c r="AA191" s="384">
        <f t="shared" si="63"/>
        <v>11.449721304573163</v>
      </c>
      <c r="AB191" s="197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6.3915614260765335E-2</v>
      </c>
      <c r="AD191" s="230">
        <f>(INDEX(Models!$BJ191:$BT191,,AH191)*(1-AF191)+INDEX(Models!$BJ191:$BT191,,AH191+1)*AF191-ERP_i)*AE191*Ramure*Pc/MaxiM</f>
        <v>5.5719219392806802E-4</v>
      </c>
      <c r="AE191" s="304">
        <f t="shared" si="65"/>
        <v>0.7</v>
      </c>
      <c r="AF191" s="177">
        <f t="shared" si="66"/>
        <v>0.46231650171479277</v>
      </c>
      <c r="AG191" s="799">
        <f t="shared" si="74"/>
        <v>1</v>
      </c>
      <c r="AH191" s="176">
        <f t="shared" si="67"/>
        <v>7</v>
      </c>
      <c r="AI191" s="224">
        <f t="shared" si="68"/>
        <v>1.4623165017147928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45835</v>
      </c>
      <c r="B192" s="409">
        <f>'2024'!Wh/'2024'!Env_an*'2025'!Env_an</f>
        <v>16.130390884606101</v>
      </c>
      <c r="C192" s="829"/>
      <c r="D192" s="391">
        <f t="shared" si="50"/>
        <v>16.876707557610118</v>
      </c>
      <c r="E192" s="383">
        <f t="shared" si="75"/>
        <v>17.107621972556405</v>
      </c>
      <c r="F192" s="383">
        <f t="shared" si="51"/>
        <v>17.107621972556405</v>
      </c>
      <c r="G192" s="110">
        <f t="shared" si="76"/>
        <v>0.28106699150185266</v>
      </c>
      <c r="H192" s="412" t="b">
        <f>Wh_hp&gt;='2024'!Maxi_hp</f>
        <v>0</v>
      </c>
      <c r="I192" s="388">
        <f>IF(H192,Wh_hp,'2024'!Maxi_hp)</f>
        <v>60.093655665818403</v>
      </c>
      <c r="J192" s="85">
        <f>IF(H192,An,'2024'!An_max)</f>
        <v>2018</v>
      </c>
      <c r="K192" s="197">
        <f t="shared" si="52"/>
        <v>45835</v>
      </c>
      <c r="L192" s="147">
        <f>IF(t&lt;Tvie,1-EXP((T0-t)*PertePVj)+'2024'!Pspv,1-EXP((T0-t)*PertePVj)+Pspv)</f>
        <v>4.4221698483332683E-2</v>
      </c>
      <c r="M192" s="832"/>
      <c r="N192" s="832"/>
      <c r="O192" s="48">
        <f>IF(t&lt;Tnet,'2024'!Resal+('2024'!Salim-'2024'!Resal)*(1-EXP(('2024'!Tnet-t)/('2024'!Tau_j))),Resal+(Salim-Resal)*(1-EXP((Tnet-t)/(Tau_j))))*Salcycl</f>
        <v>1.3497750611786551E-2</v>
      </c>
      <c r="P192" s="169">
        <f>(INDEX(Models!$BJ192:$BT192,,T192)*(1-R192)+INDEX(Models!$BJ192:$BT192,,T192+1)*R192-ERP_i)*Q192*Ramure*Pc/MaxiM</f>
        <v>5.3432281147891298E-4</v>
      </c>
      <c r="Q192" s="304">
        <f t="shared" si="53"/>
        <v>0.7</v>
      </c>
      <c r="R192" s="177">
        <f t="shared" si="54"/>
        <v>0.40166169178913425</v>
      </c>
      <c r="S192" s="799">
        <f t="shared" si="55"/>
        <v>1</v>
      </c>
      <c r="T192" s="176">
        <f t="shared" si="56"/>
        <v>7</v>
      </c>
      <c r="U192" s="250">
        <f t="shared" si="57"/>
        <v>1.4016616917891342</v>
      </c>
      <c r="V192" s="382">
        <f t="shared" si="58"/>
        <v>57.359179612850824</v>
      </c>
      <c r="W192" s="400">
        <f t="shared" si="59"/>
        <v>16.130390884606101</v>
      </c>
      <c r="X192" s="157">
        <f t="shared" si="60"/>
        <v>45835</v>
      </c>
      <c r="Y192" s="383">
        <f t="shared" si="61"/>
        <v>15.304954742898683</v>
      </c>
      <c r="Z192" s="383">
        <f t="shared" si="62"/>
        <v>16.013080354107398</v>
      </c>
      <c r="AA192" s="384">
        <f t="shared" si="63"/>
        <v>17.107621972556405</v>
      </c>
      <c r="AB192" s="197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6.3979764119457633E-2</v>
      </c>
      <c r="AD192" s="230">
        <f>(INDEX(Models!$BJ192:$BT192,,AH192)*(1-AF192)+INDEX(Models!$BJ192:$BT192,,AH192+1)*AF192-ERP_i)*AE192*Ramure*Pc/MaxiM</f>
        <v>5.6006406240990275E-4</v>
      </c>
      <c r="AE192" s="304">
        <f t="shared" si="65"/>
        <v>0.7</v>
      </c>
      <c r="AF192" s="177">
        <f t="shared" si="66"/>
        <v>0.4659939140489664</v>
      </c>
      <c r="AG192" s="799">
        <f t="shared" si="74"/>
        <v>1</v>
      </c>
      <c r="AH192" s="176">
        <f t="shared" si="67"/>
        <v>7</v>
      </c>
      <c r="AI192" s="224">
        <f t="shared" si="68"/>
        <v>1.4659939140489664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45836</v>
      </c>
      <c r="B193" s="409">
        <f>'2024'!Wh/'2024'!Env_an*'2025'!Env_an</f>
        <v>56.903048632579626</v>
      </c>
      <c r="C193" s="829"/>
      <c r="D193" s="391">
        <f t="shared" si="50"/>
        <v>59.536964897746124</v>
      </c>
      <c r="E193" s="383">
        <f t="shared" si="75"/>
        <v>60.358119995692292</v>
      </c>
      <c r="F193" s="383">
        <f t="shared" si="51"/>
        <v>60.390256266335314</v>
      </c>
      <c r="G193" s="110">
        <f t="shared" si="76"/>
        <v>0.99361660328920809</v>
      </c>
      <c r="H193" s="412" t="b">
        <f>Wh_hp&gt;='2024'!Maxi_hp</f>
        <v>0</v>
      </c>
      <c r="I193" s="388">
        <f>IF(H193,Wh_hp,'2024'!Maxi_hp)</f>
        <v>60.390455526303775</v>
      </c>
      <c r="J193" s="85">
        <f>IF(H193,An,'2024'!An_max)</f>
        <v>2022</v>
      </c>
      <c r="K193" s="197">
        <f t="shared" si="52"/>
        <v>45836</v>
      </c>
      <c r="L193" s="147">
        <f>IF(t&lt;Tvie,1-EXP((T0-t)*PertePVj)+'2024'!Pspv,1-EXP((T0-t)*PertePVj)+Pspv)</f>
        <v>4.4240015756433215E-2</v>
      </c>
      <c r="M193" s="832"/>
      <c r="N193" s="832"/>
      <c r="O193" s="48">
        <f>IF(t&lt;Tnet,'2024'!Resal+('2024'!Salim-'2024'!Resal)*(1-EXP(('2024'!Tnet-t)/('2024'!Tau_j))),Resal+(Salim-Resal)*(1-EXP((Tnet-t)/(Tau_j))))*Salcycl</f>
        <v>1.3604716283488855E-2</v>
      </c>
      <c r="P193" s="169">
        <f>(INDEX(Models!$BJ193:$BT193,,T193)*(1-R193)+INDEX(Models!$BJ193:$BT193,,T193+1)*R193-ERP_i)*Q193*Ramure*Pc/MaxiM</f>
        <v>5.3703688758656931E-4</v>
      </c>
      <c r="Q193" s="304">
        <f t="shared" si="53"/>
        <v>0.7</v>
      </c>
      <c r="R193" s="177">
        <f t="shared" si="54"/>
        <v>0.40528871541379785</v>
      </c>
      <c r="S193" s="799">
        <f t="shared" si="55"/>
        <v>1</v>
      </c>
      <c r="T193" s="176">
        <f t="shared" si="56"/>
        <v>7</v>
      </c>
      <c r="U193" s="250">
        <f t="shared" si="57"/>
        <v>1.4052887154137979</v>
      </c>
      <c r="V193" s="382">
        <f t="shared" si="58"/>
        <v>57.268336535705735</v>
      </c>
      <c r="W193" s="400">
        <f t="shared" si="59"/>
        <v>56.903048632579626</v>
      </c>
      <c r="X193" s="157">
        <f t="shared" si="60"/>
        <v>45836</v>
      </c>
      <c r="Y193" s="383">
        <f t="shared" si="61"/>
        <v>53.991997250895388</v>
      </c>
      <c r="Z193" s="383">
        <f t="shared" si="62"/>
        <v>56.491167386158338</v>
      </c>
      <c r="AA193" s="384">
        <f t="shared" si="63"/>
        <v>60.356574065951399</v>
      </c>
      <c r="AB193" s="197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6.404284437299812E-2</v>
      </c>
      <c r="AD193" s="230">
        <f>(INDEX(Models!$BJ193:$BT193,,AH193)*(1-AF193)+INDEX(Models!$BJ193:$BT193,,AH193+1)*AF193-ERP_i)*AE193*Ramure*Pc/MaxiM</f>
        <v>5.6287128840111012E-4</v>
      </c>
      <c r="AE193" s="304">
        <f t="shared" si="65"/>
        <v>0.7</v>
      </c>
      <c r="AF193" s="177">
        <f t="shared" si="66"/>
        <v>0.46962093767363</v>
      </c>
      <c r="AG193" s="799">
        <f t="shared" si="74"/>
        <v>1</v>
      </c>
      <c r="AH193" s="176">
        <f t="shared" si="67"/>
        <v>7</v>
      </c>
      <c r="AI193" s="224">
        <f t="shared" si="68"/>
        <v>1.46962093767363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45837</v>
      </c>
      <c r="B194" s="409">
        <f>'2024'!Wh/'2024'!Env_an*'2025'!Env_an</f>
        <v>57.972808819939544</v>
      </c>
      <c r="C194" s="829"/>
      <c r="D194" s="391">
        <f t="shared" si="50"/>
        <v>60.657404403440559</v>
      </c>
      <c r="E194" s="383">
        <f t="shared" si="75"/>
        <v>61.500664779125572</v>
      </c>
      <c r="F194" s="383">
        <f t="shared" si="51"/>
        <v>61.533873329482425</v>
      </c>
      <c r="G194" s="110">
        <f t="shared" si="76"/>
        <v>1.013968753642656</v>
      </c>
      <c r="H194" s="412" t="b">
        <f>Wh_hp&gt;='2024'!Maxi_hp</f>
        <v>1</v>
      </c>
      <c r="I194" s="388">
        <f>IF(H194,Wh_hp,'2024'!Maxi_hp)</f>
        <v>61.533873329482425</v>
      </c>
      <c r="J194" s="85">
        <f>IF(H194,An,'2024'!An_max)</f>
        <v>2025</v>
      </c>
      <c r="K194" s="197">
        <f t="shared" si="52"/>
        <v>45837</v>
      </c>
      <c r="L194" s="147">
        <f>IF(t&lt;Tvie,1-EXP((T0-t)*PertePVj)+'2024'!Pspv,1-EXP((T0-t)*PertePVj)+Pspv)</f>
        <v>4.4258332678487333E-2</v>
      </c>
      <c r="M194" s="832"/>
      <c r="N194" s="832"/>
      <c r="O194" s="48">
        <f>IF(t&lt;Tnet,'2024'!Resal+('2024'!Salim-'2024'!Resal)*(1-EXP(('2024'!Tnet-t)/('2024'!Tau_j))),Resal+(Salim-Resal)*(1-EXP((Tnet-t)/(Tau_j))))*Salcycl</f>
        <v>1.3711402611882546E-2</v>
      </c>
      <c r="P194" s="169">
        <f>(INDEX(Models!$BJ194:$BT194,,T194)*(1-R194)+INDEX(Models!$BJ194:$BT194,,T194+1)*R194-ERP_i)*Q194*Ramure*Pc/MaxiM</f>
        <v>5.3967918091289062E-4</v>
      </c>
      <c r="Q194" s="304">
        <f t="shared" si="53"/>
        <v>0.7</v>
      </c>
      <c r="R194" s="177">
        <f t="shared" si="54"/>
        <v>0.40886338047921589</v>
      </c>
      <c r="S194" s="799">
        <f t="shared" si="55"/>
        <v>1</v>
      </c>
      <c r="T194" s="176">
        <f t="shared" si="56"/>
        <v>7</v>
      </c>
      <c r="U194" s="250">
        <f t="shared" si="57"/>
        <v>1.4088633804792159</v>
      </c>
      <c r="V194" s="382">
        <f t="shared" si="58"/>
        <v>57.174157104618615</v>
      </c>
      <c r="W194" s="400">
        <f t="shared" si="59"/>
        <v>57.972808819939544</v>
      </c>
      <c r="X194" s="157">
        <f t="shared" si="60"/>
        <v>45837</v>
      </c>
      <c r="Y194" s="383">
        <f t="shared" si="61"/>
        <v>55.009316839791111</v>
      </c>
      <c r="Z194" s="383">
        <f t="shared" si="62"/>
        <v>57.556679509386619</v>
      </c>
      <c r="AA194" s="384">
        <f t="shared" si="63"/>
        <v>61.49906907167852</v>
      </c>
      <c r="AB194" s="197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6.4104865680112311E-2</v>
      </c>
      <c r="AD194" s="230">
        <f>(INDEX(Models!$BJ194:$BT194,,AH194)*(1-AF194)+INDEX(Models!$BJ194:$BT194,,AH194+1)*AF194-ERP_i)*AE194*Ramure*Pc/MaxiM</f>
        <v>5.6561136038921634E-4</v>
      </c>
      <c r="AE194" s="304">
        <f t="shared" si="65"/>
        <v>0.7</v>
      </c>
      <c r="AF194" s="177">
        <f t="shared" si="66"/>
        <v>0.47319560273904804</v>
      </c>
      <c r="AG194" s="799">
        <f t="shared" si="74"/>
        <v>1</v>
      </c>
      <c r="AH194" s="176">
        <f t="shared" si="67"/>
        <v>7</v>
      </c>
      <c r="AI194" s="224">
        <f t="shared" si="68"/>
        <v>1.473195602739048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45838</v>
      </c>
      <c r="B195" s="409">
        <f>'2024'!Wh/'2024'!Env_an*'2025'!Env_an</f>
        <v>12.790600062800909</v>
      </c>
      <c r="C195" s="829"/>
      <c r="D195" s="391">
        <f t="shared" si="50"/>
        <v>13.383161615499789</v>
      </c>
      <c r="E195" s="383">
        <f t="shared" si="75"/>
        <v>13.570678646994526</v>
      </c>
      <c r="F195" s="383">
        <f t="shared" si="51"/>
        <v>13.570678646994526</v>
      </c>
      <c r="G195" s="110">
        <f t="shared" si="76"/>
        <v>0.22397245158310169</v>
      </c>
      <c r="H195" s="412" t="b">
        <f>Wh_hp&gt;='2024'!Maxi_hp</f>
        <v>0</v>
      </c>
      <c r="I195" s="388">
        <f>IF(H195,Wh_hp,'2024'!Maxi_hp)</f>
        <v>46.176742952915681</v>
      </c>
      <c r="J195" s="85">
        <f>IF(H195,An,'2024'!An_max)</f>
        <v>2018</v>
      </c>
      <c r="K195" s="197">
        <f t="shared" si="52"/>
        <v>45838</v>
      </c>
      <c r="L195" s="147">
        <f>IF(t&lt;Tvie,1-EXP((T0-t)*PertePVj)+'2024'!Pspv,1-EXP((T0-t)*PertePVj)+Pspv)</f>
        <v>4.4276649249501809E-2</v>
      </c>
      <c r="M195" s="832"/>
      <c r="N195" s="832"/>
      <c r="O195" s="48">
        <f>IF(t&lt;Tnet,'2024'!Resal+('2024'!Salim-'2024'!Resal)*(1-EXP(('2024'!Tnet-t)/('2024'!Tau_j))),Resal+(Salim-Resal)*(1-EXP((Tnet-t)/(Tau_j))))*Salcycl</f>
        <v>1.3817807964693587E-2</v>
      </c>
      <c r="P195" s="169">
        <f>(INDEX(Models!$BJ195:$BT195,,T195)*(1-R195)+INDEX(Models!$BJ195:$BT195,,T195+1)*R195-ERP_i)*Q195*Ramure*Pc/MaxiM</f>
        <v>5.4224730269048968E-4</v>
      </c>
      <c r="Q195" s="304">
        <f t="shared" si="53"/>
        <v>0.7</v>
      </c>
      <c r="R195" s="177">
        <f t="shared" si="54"/>
        <v>0.41238386067566024</v>
      </c>
      <c r="S195" s="799">
        <f t="shared" si="55"/>
        <v>1</v>
      </c>
      <c r="T195" s="176">
        <f t="shared" si="56"/>
        <v>7</v>
      </c>
      <c r="U195" s="250">
        <f t="shared" si="57"/>
        <v>1.4123838606756602</v>
      </c>
      <c r="V195" s="382">
        <f t="shared" si="58"/>
        <v>57.076949884052461</v>
      </c>
      <c r="W195" s="400">
        <f t="shared" si="59"/>
        <v>12.790600062800909</v>
      </c>
      <c r="X195" s="157">
        <f t="shared" si="60"/>
        <v>45838</v>
      </c>
      <c r="Y195" s="383">
        <f t="shared" si="61"/>
        <v>12.137595411669876</v>
      </c>
      <c r="Z195" s="383">
        <f t="shared" si="62"/>
        <v>12.699904634681804</v>
      </c>
      <c r="AA195" s="384">
        <f t="shared" si="63"/>
        <v>13.570678646994526</v>
      </c>
      <c r="AB195" s="197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6.4165841293837622E-2</v>
      </c>
      <c r="AD195" s="230">
        <f>(INDEX(Models!$BJ195:$BT195,,AH195)*(1-AF195)+INDEX(Models!$BJ195:$BT195,,AH195+1)*AF195-ERP_i)*AE195*Ramure*Pc/MaxiM</f>
        <v>5.6828183438872816E-4</v>
      </c>
      <c r="AE195" s="304">
        <f t="shared" si="65"/>
        <v>0.7</v>
      </c>
      <c r="AF195" s="177">
        <f t="shared" si="66"/>
        <v>0.47671608293549239</v>
      </c>
      <c r="AG195" s="799">
        <f t="shared" si="74"/>
        <v>1</v>
      </c>
      <c r="AH195" s="176">
        <f t="shared" si="67"/>
        <v>7</v>
      </c>
      <c r="AI195" s="224">
        <f t="shared" si="68"/>
        <v>1.4767160829354924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45839</v>
      </c>
      <c r="B196" s="409">
        <f>'2024'!Wh/'2024'!Env_an*'2025'!Env_an</f>
        <v>40.769470593144646</v>
      </c>
      <c r="C196" s="829"/>
      <c r="D196" s="391">
        <f t="shared" si="50"/>
        <v>42.659051820494348</v>
      </c>
      <c r="E196" s="383">
        <f t="shared" si="75"/>
        <v>43.261420874577205</v>
      </c>
      <c r="F196" s="383">
        <f t="shared" si="51"/>
        <v>43.275415035326795</v>
      </c>
      <c r="G196" s="110">
        <f t="shared" si="76"/>
        <v>0.7153838590994922</v>
      </c>
      <c r="H196" s="412" t="b">
        <f>Wh_hp&gt;='2024'!Maxi_hp</f>
        <v>0</v>
      </c>
      <c r="I196" s="388">
        <f>IF(H196,Wh_hp,'2024'!Maxi_hp)</f>
        <v>60.353143786946767</v>
      </c>
      <c r="J196" s="85">
        <f>IF(H196,An,'2024'!An_max)</f>
        <v>2020</v>
      </c>
      <c r="K196" s="197">
        <f t="shared" si="52"/>
        <v>45839</v>
      </c>
      <c r="L196" s="147">
        <f>IF(t&lt;Tvie,1-EXP((T0-t)*PertePVj)+'2024'!Pspv,1-EXP((T0-t)*PertePVj)+Pspv)</f>
        <v>4.4294965469483416E-2</v>
      </c>
      <c r="M196" s="832"/>
      <c r="N196" s="832"/>
      <c r="O196" s="48">
        <f>IF(t&lt;Tnet,'2024'!Resal+('2024'!Salim-'2024'!Resal)*(1-EXP(('2024'!Tnet-t)/('2024'!Tau_j))),Resal+(Salim-Resal)*(1-EXP((Tnet-t)/(Tau_j))))*Salcycl</f>
        <v>1.392393134356892E-2</v>
      </c>
      <c r="P196" s="169">
        <f>(INDEX(Models!$BJ196:$BT196,,T196)*(1-R196)+INDEX(Models!$BJ196:$BT196,,T196+1)*R196-ERP_i)*Q196*Ramure*Pc/MaxiM</f>
        <v>5.4473892705955479E-4</v>
      </c>
      <c r="Q196" s="304">
        <f t="shared" si="53"/>
        <v>0.7</v>
      </c>
      <c r="R196" s="177">
        <f t="shared" si="54"/>
        <v>0.41584847469241448</v>
      </c>
      <c r="S196" s="799">
        <f t="shared" si="55"/>
        <v>1</v>
      </c>
      <c r="T196" s="176">
        <f t="shared" si="56"/>
        <v>7</v>
      </c>
      <c r="U196" s="250">
        <f t="shared" si="57"/>
        <v>1.4158484746924145</v>
      </c>
      <c r="V196" s="382">
        <f t="shared" si="58"/>
        <v>56.977023230465342</v>
      </c>
      <c r="W196" s="400">
        <f t="shared" si="59"/>
        <v>40.769470593144646</v>
      </c>
      <c r="X196" s="157">
        <f t="shared" si="60"/>
        <v>45839</v>
      </c>
      <c r="Y196" s="383">
        <f t="shared" si="61"/>
        <v>38.689131843897819</v>
      </c>
      <c r="Z196" s="383">
        <f t="shared" si="62"/>
        <v>40.482293642937208</v>
      </c>
      <c r="AA196" s="384">
        <f t="shared" si="63"/>
        <v>43.260749310658426</v>
      </c>
      <c r="AB196" s="197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6.4225786931449827E-2</v>
      </c>
      <c r="AD196" s="230">
        <f>(INDEX(Models!$BJ196:$BT196,,AH196)*(1-AF196)+INDEX(Models!$BJ196:$BT196,,AH196+1)*AF196-ERP_i)*AE196*Ramure*Pc/MaxiM</f>
        <v>5.7088033097164187E-4</v>
      </c>
      <c r="AE196" s="304">
        <f t="shared" si="65"/>
        <v>0.7</v>
      </c>
      <c r="AF196" s="177">
        <f t="shared" si="66"/>
        <v>0.48018069695224663</v>
      </c>
      <c r="AG196" s="799">
        <f t="shared" si="74"/>
        <v>1</v>
      </c>
      <c r="AH196" s="176">
        <f t="shared" si="67"/>
        <v>7</v>
      </c>
      <c r="AI196" s="224">
        <f t="shared" si="68"/>
        <v>1.4801806969522466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45840</v>
      </c>
      <c r="B197" s="409">
        <f>'2024'!Wh/'2024'!Env_an*'2025'!Env_an</f>
        <v>57.195502653689665</v>
      </c>
      <c r="C197" s="829"/>
      <c r="D197" s="391">
        <f t="shared" si="50"/>
        <v>59.847543694854259</v>
      </c>
      <c r="E197" s="383">
        <f t="shared" si="75"/>
        <v>60.699138795219412</v>
      </c>
      <c r="F197" s="383">
        <f t="shared" si="51"/>
        <v>60.732368619296253</v>
      </c>
      <c r="G197" s="110">
        <f t="shared" si="76"/>
        <v>1.0056407759433341</v>
      </c>
      <c r="H197" s="412" t="b">
        <f>Wh_hp&gt;='2024'!Maxi_hp</f>
        <v>1</v>
      </c>
      <c r="I197" s="388">
        <f>IF(H197,Wh_hp,'2024'!Maxi_hp)</f>
        <v>60.732368619296253</v>
      </c>
      <c r="J197" s="85">
        <f>IF(H197,An,'2024'!An_max)</f>
        <v>2025</v>
      </c>
      <c r="K197" s="197">
        <f t="shared" si="52"/>
        <v>45840</v>
      </c>
      <c r="L197" s="147">
        <f>IF(t&lt;Tvie,1-EXP((T0-t)*PertePVj)+'2024'!Pspv,1-EXP((T0-t)*PertePVj)+Pspv)</f>
        <v>4.4313281338438926E-2</v>
      </c>
      <c r="M197" s="832"/>
      <c r="N197" s="832"/>
      <c r="O197" s="48">
        <f>IF(t&lt;Tnet,'2024'!Resal+('2024'!Salim-'2024'!Resal)*(1-EXP(('2024'!Tnet-t)/('2024'!Tau_j))),Resal+(Salim-Resal)*(1-EXP((Tnet-t)/(Tau_j))))*Salcycl</f>
        <v>1.4029772370217252E-2</v>
      </c>
      <c r="P197" s="169">
        <f>(INDEX(Models!$BJ197:$BT197,,T197)*(1-R197)+INDEX(Models!$BJ197:$BT197,,T197+1)*R197-ERP_i)*Q197*Ramure*Pc/MaxiM</f>
        <v>5.4715178795583671E-4</v>
      </c>
      <c r="Q197" s="304">
        <f t="shared" si="53"/>
        <v>0.7</v>
      </c>
      <c r="R197" s="177">
        <f t="shared" si="54"/>
        <v>0.41925568693854309</v>
      </c>
      <c r="S197" s="799">
        <f t="shared" si="55"/>
        <v>1</v>
      </c>
      <c r="T197" s="176">
        <f t="shared" si="56"/>
        <v>7</v>
      </c>
      <c r="U197" s="250">
        <f t="shared" si="57"/>
        <v>1.4192556869385431</v>
      </c>
      <c r="V197" s="382">
        <f t="shared" si="58"/>
        <v>56.874685297081193</v>
      </c>
      <c r="W197" s="400">
        <f t="shared" si="59"/>
        <v>57.195502653689665</v>
      </c>
      <c r="X197" s="157">
        <f t="shared" si="60"/>
        <v>45840</v>
      </c>
      <c r="Y197" s="383">
        <f t="shared" si="61"/>
        <v>54.278819443457138</v>
      </c>
      <c r="Z197" s="383">
        <f t="shared" si="62"/>
        <v>56.795619718849508</v>
      </c>
      <c r="AA197" s="384">
        <f t="shared" si="63"/>
        <v>60.697544403906939</v>
      </c>
      <c r="AB197" s="197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6.4284720632063641E-2</v>
      </c>
      <c r="AD197" s="230">
        <f>(INDEX(Models!$BJ197:$BT197,,AH197)*(1-AF197)+INDEX(Models!$BJ197:$BT197,,AH197+1)*AF197-ERP_i)*AE197*Ramure*Pc/MaxiM</f>
        <v>5.734045317351956E-4</v>
      </c>
      <c r="AE197" s="304">
        <f t="shared" si="65"/>
        <v>0.7</v>
      </c>
      <c r="AF197" s="177">
        <f t="shared" si="66"/>
        <v>0.48358790919837524</v>
      </c>
      <c r="AG197" s="799">
        <f t="shared" si="74"/>
        <v>1</v>
      </c>
      <c r="AH197" s="176">
        <f t="shared" si="67"/>
        <v>7</v>
      </c>
      <c r="AI197" s="224">
        <f t="shared" si="68"/>
        <v>1.4835879091983752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45841</v>
      </c>
      <c r="B198" s="409">
        <f>'2024'!Wh/'2024'!Env_an*'2025'!Env_an</f>
        <v>51.948071092086288</v>
      </c>
      <c r="C198" s="829"/>
      <c r="D198" s="391">
        <f t="shared" si="50"/>
        <v>54.35784098459844</v>
      </c>
      <c r="E198" s="383">
        <f t="shared" si="75"/>
        <v>55.137223909801087</v>
      </c>
      <c r="F198" s="383">
        <f t="shared" si="51"/>
        <v>55.16405937023724</v>
      </c>
      <c r="G198" s="110">
        <f t="shared" si="76"/>
        <v>0.9150003977952984</v>
      </c>
      <c r="H198" s="412" t="b">
        <f>Wh_hp&gt;='2024'!Maxi_hp</f>
        <v>0</v>
      </c>
      <c r="I198" s="388">
        <f>IF(H198,Wh_hp,'2024'!Maxi_hp)</f>
        <v>55.166547577749505</v>
      </c>
      <c r="J198" s="85">
        <f>IF(H198,An,'2024'!An_max)</f>
        <v>2022</v>
      </c>
      <c r="K198" s="197">
        <f t="shared" si="52"/>
        <v>45841</v>
      </c>
      <c r="L198" s="147">
        <f>IF(t&lt;Tvie,1-EXP((T0-t)*PertePVj)+'2024'!Pspv,1-EXP((T0-t)*PertePVj)+Pspv)</f>
        <v>4.4331596856374889E-2</v>
      </c>
      <c r="M198" s="832"/>
      <c r="N198" s="832"/>
      <c r="O198" s="48">
        <f>IF(t&lt;Tnet,'2024'!Resal+('2024'!Salim-'2024'!Resal)*(1-EXP(('2024'!Tnet-t)/('2024'!Tau_j))),Resal+(Salim-Resal)*(1-EXP((Tnet-t)/(Tau_j))))*Salcycl</f>
        <v>1.4135331268720323E-2</v>
      </c>
      <c r="P198" s="169">
        <f>(INDEX(Models!$BJ198:$BT198,,T198)*(1-R198)+INDEX(Models!$BJ198:$BT198,,T198+1)*R198-ERP_i)*Q198*Ramure*Pc/MaxiM</f>
        <v>5.5364584854690642E-4</v>
      </c>
      <c r="Q198" s="304">
        <f t="shared" si="53"/>
        <v>0.7</v>
      </c>
      <c r="R198" s="177">
        <f t="shared" si="54"/>
        <v>0.42260410755238031</v>
      </c>
      <c r="S198" s="799">
        <f t="shared" si="55"/>
        <v>1</v>
      </c>
      <c r="T198" s="176">
        <f t="shared" si="56"/>
        <v>7</v>
      </c>
      <c r="U198" s="250">
        <f t="shared" si="57"/>
        <v>1.4226041075523803</v>
      </c>
      <c r="V198" s="382">
        <f t="shared" si="58"/>
        <v>56.770007614291458</v>
      </c>
      <c r="W198" s="400">
        <f t="shared" si="59"/>
        <v>51.948071092086288</v>
      </c>
      <c r="X198" s="157">
        <f t="shared" si="60"/>
        <v>45841</v>
      </c>
      <c r="Y198" s="383">
        <f t="shared" si="61"/>
        <v>49.301345711396202</v>
      </c>
      <c r="Z198" s="383">
        <f t="shared" si="62"/>
        <v>51.588339165783658</v>
      </c>
      <c r="AA198" s="384">
        <f t="shared" si="63"/>
        <v>55.135931824468145</v>
      </c>
      <c r="AB198" s="197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6.4342662603013176E-2</v>
      </c>
      <c r="AD198" s="230">
        <f>(INDEX(Models!$BJ198:$BT198,,AH198)*(1-AF198)+INDEX(Models!$BJ198:$BT198,,AH198+1)*AF198-ERP_i)*AE198*Ramure*Pc/MaxiM</f>
        <v>5.8030302785092079E-4</v>
      </c>
      <c r="AE198" s="304">
        <f t="shared" si="65"/>
        <v>0.7</v>
      </c>
      <c r="AF198" s="177">
        <f t="shared" si="66"/>
        <v>0.48693632981221247</v>
      </c>
      <c r="AG198" s="799">
        <f t="shared" si="74"/>
        <v>1</v>
      </c>
      <c r="AH198" s="176">
        <f t="shared" si="67"/>
        <v>7</v>
      </c>
      <c r="AI198" s="224">
        <f t="shared" si="68"/>
        <v>1.4869363298122125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45842</v>
      </c>
      <c r="B199" s="409">
        <f>'2024'!Wh/'2024'!Env_an*'2025'!Env_an</f>
        <v>43.907695222467503</v>
      </c>
      <c r="C199" s="829"/>
      <c r="D199" s="391">
        <f t="shared" si="50"/>
        <v>45.945368262800748</v>
      </c>
      <c r="E199" s="383">
        <f t="shared" si="75"/>
        <v>46.609110372186137</v>
      </c>
      <c r="F199" s="383">
        <f t="shared" si="51"/>
        <v>46.626959391743796</v>
      </c>
      <c r="G199" s="110">
        <f t="shared" si="76"/>
        <v>0.77474709849372081</v>
      </c>
      <c r="H199" s="412" t="b">
        <f>Wh_hp&gt;='2024'!Maxi_hp</f>
        <v>0</v>
      </c>
      <c r="I199" s="388">
        <f>IF(H199,Wh_hp,'2024'!Maxi_hp)</f>
        <v>58.802223324731905</v>
      </c>
      <c r="J199" s="85">
        <f>IF(H199,An,'2024'!An_max)</f>
        <v>2018</v>
      </c>
      <c r="K199" s="197">
        <f t="shared" si="52"/>
        <v>45842</v>
      </c>
      <c r="L199" s="147">
        <f>IF(t&lt;Tvie,1-EXP((T0-t)*PertePVj)+'2024'!Pspv,1-EXP((T0-t)*PertePVj)+Pspv)</f>
        <v>4.4349912023298077E-2</v>
      </c>
      <c r="M199" s="832"/>
      <c r="N199" s="832"/>
      <c r="O199" s="48">
        <f>IF(t&lt;Tnet,'2024'!Resal+('2024'!Salim-'2024'!Resal)*(1-EXP(('2024'!Tnet-t)/('2024'!Tau_j))),Resal+(Salim-Resal)*(1-EXP((Tnet-t)/(Tau_j))))*Salcycl</f>
        <v>1.4240608844177259E-2</v>
      </c>
      <c r="P199" s="169">
        <f>(INDEX(Models!$BJ199:$BT199,,T199)*(1-R199)+INDEX(Models!$BJ199:$BT199,,T199+1)*R199-ERP_i)*Q199*Ramure*Pc/MaxiM</f>
        <v>5.6426658072078213E-4</v>
      </c>
      <c r="Q199" s="304">
        <f t="shared" si="53"/>
        <v>0.7</v>
      </c>
      <c r="R199" s="177">
        <f t="shared" si="54"/>
        <v>0.42589249173154586</v>
      </c>
      <c r="S199" s="799">
        <f t="shared" si="55"/>
        <v>1</v>
      </c>
      <c r="T199" s="176">
        <f t="shared" si="56"/>
        <v>7</v>
      </c>
      <c r="U199" s="250">
        <f t="shared" si="57"/>
        <v>1.4258924917315459</v>
      </c>
      <c r="V199" s="382">
        <f t="shared" si="58"/>
        <v>56.66329655704137</v>
      </c>
      <c r="W199" s="400">
        <f t="shared" si="59"/>
        <v>43.907695222467503</v>
      </c>
      <c r="X199" s="157">
        <f t="shared" si="60"/>
        <v>45842</v>
      </c>
      <c r="Y199" s="383">
        <f t="shared" si="61"/>
        <v>41.672738235637162</v>
      </c>
      <c r="Z199" s="383">
        <f t="shared" si="62"/>
        <v>43.606691151848786</v>
      </c>
      <c r="AA199" s="384">
        <f t="shared" si="63"/>
        <v>46.608245128750376</v>
      </c>
      <c r="AB199" s="197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6.4399635056203317E-2</v>
      </c>
      <c r="AD199" s="230">
        <f>(INDEX(Models!$BJ199:$BT199,,AH199)*(1-AF199)+INDEX(Models!$BJ199:$BT199,,AH199+1)*AF199-ERP_i)*AE199*Ramure*Pc/MaxiM</f>
        <v>5.9161978930534617E-4</v>
      </c>
      <c r="AE199" s="304">
        <f t="shared" si="65"/>
        <v>0.7</v>
      </c>
      <c r="AF199" s="177">
        <f t="shared" si="66"/>
        <v>0.49022471399137801</v>
      </c>
      <c r="AG199" s="799">
        <f t="shared" si="74"/>
        <v>1</v>
      </c>
      <c r="AH199" s="176">
        <f t="shared" si="67"/>
        <v>7</v>
      </c>
      <c r="AI199" s="224">
        <f t="shared" si="68"/>
        <v>1.490224713991378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45843</v>
      </c>
      <c r="B200" s="409">
        <f>'2024'!Wh/'2024'!Env_an*'2025'!Env_an</f>
        <v>56.348932028418368</v>
      </c>
      <c r="C200" s="829"/>
      <c r="D200" s="391">
        <f t="shared" si="50"/>
        <v>58.965109376849576</v>
      </c>
      <c r="E200" s="383">
        <f t="shared" si="75"/>
        <v>59.823311054240726</v>
      </c>
      <c r="F200" s="383">
        <f t="shared" si="51"/>
        <v>59.857793252745473</v>
      </c>
      <c r="G200" s="110">
        <f t="shared" si="76"/>
        <v>0.99635583987794352</v>
      </c>
      <c r="H200" s="412" t="b">
        <f>Wh_hp&gt;='2024'!Maxi_hp</f>
        <v>0</v>
      </c>
      <c r="I200" s="388">
        <f>IF(H200,Wh_hp,'2024'!Maxi_hp)</f>
        <v>59.857915461970457</v>
      </c>
      <c r="J200" s="85">
        <f>IF(H200,An,'2024'!An_max)</f>
        <v>2022</v>
      </c>
      <c r="K200" s="197">
        <f t="shared" si="52"/>
        <v>45843</v>
      </c>
      <c r="L200" s="147">
        <f>IF(t&lt;Tvie,1-EXP((T0-t)*PertePVj)+'2024'!Pspv,1-EXP((T0-t)*PertePVj)+Pspv)</f>
        <v>4.4368226839215374E-2</v>
      </c>
      <c r="M200" s="832"/>
      <c r="N200" s="832"/>
      <c r="O200" s="48">
        <f>IF(t&lt;Tnet,'2024'!Resal+('2024'!Salim-'2024'!Resal)*(1-EXP(('2024'!Tnet-t)/('2024'!Tau_j))),Resal+(Salim-Resal)*(1-EXP((Tnet-t)/(Tau_j))))*Salcycl</f>
        <v>1.4345606457874506E-2</v>
      </c>
      <c r="P200" s="169">
        <f>(INDEX(Models!$BJ200:$BT200,,T200)*(1-R200)+INDEX(Models!$BJ200:$BT200,,T200+1)*R200-ERP_i)*Q200*Ramure*Pc/MaxiM</f>
        <v>5.7908083353144313E-4</v>
      </c>
      <c r="Q200" s="304">
        <f t="shared" si="53"/>
        <v>0.7</v>
      </c>
      <c r="R200" s="177">
        <f t="shared" si="54"/>
        <v>0.42911973841952511</v>
      </c>
      <c r="S200" s="799">
        <f t="shared" si="55"/>
        <v>1</v>
      </c>
      <c r="T200" s="176">
        <f t="shared" si="56"/>
        <v>7</v>
      </c>
      <c r="U200" s="250">
        <f t="shared" si="57"/>
        <v>1.4291197384195251</v>
      </c>
      <c r="V200" s="382">
        <f t="shared" si="58"/>
        <v>56.554857152736616</v>
      </c>
      <c r="W200" s="400">
        <f t="shared" si="59"/>
        <v>56.348932028418368</v>
      </c>
      <c r="X200" s="157">
        <f t="shared" si="60"/>
        <v>45843</v>
      </c>
      <c r="Y200" s="383">
        <f t="shared" si="61"/>
        <v>53.482678548902271</v>
      </c>
      <c r="Z200" s="383">
        <f t="shared" si="62"/>
        <v>55.965781016265808</v>
      </c>
      <c r="AA200" s="384">
        <f t="shared" si="63"/>
        <v>59.821623353570153</v>
      </c>
      <c r="AB200" s="197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6.4455662035694722E-2</v>
      </c>
      <c r="AD200" s="230">
        <f>(INDEX(Models!$BJ200:$BT200,,AH200)*(1-AF200)+INDEX(Models!$BJ200:$BT200,,AH200+1)*AF200-ERP_i)*AE200*Ramure*Pc/MaxiM</f>
        <v>6.0742343213148603E-4</v>
      </c>
      <c r="AE200" s="304">
        <f t="shared" si="65"/>
        <v>0.7</v>
      </c>
      <c r="AF200" s="177">
        <f t="shared" si="66"/>
        <v>0.49345196067935726</v>
      </c>
      <c r="AG200" s="799">
        <f t="shared" si="74"/>
        <v>1</v>
      </c>
      <c r="AH200" s="176">
        <f t="shared" si="67"/>
        <v>7</v>
      </c>
      <c r="AI200" s="224">
        <f t="shared" si="68"/>
        <v>1.4934519606793573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45844</v>
      </c>
      <c r="B201" s="409">
        <f>'2024'!Wh/'2024'!Env_an*'2025'!Env_an</f>
        <v>40.103587053511404</v>
      </c>
      <c r="C201" s="829"/>
      <c r="D201" s="391">
        <f t="shared" si="50"/>
        <v>41.966327167724373</v>
      </c>
      <c r="E201" s="383">
        <f t="shared" si="75"/>
        <v>42.581645831573248</v>
      </c>
      <c r="F201" s="383">
        <f t="shared" si="51"/>
        <v>42.596587246184974</v>
      </c>
      <c r="G201" s="110">
        <f t="shared" si="76"/>
        <v>0.71031387018106784</v>
      </c>
      <c r="H201" s="412" t="b">
        <f>Wh_hp&gt;='2024'!Maxi_hp</f>
        <v>0</v>
      </c>
      <c r="I201" s="388">
        <f>IF(H201,Wh_hp,'2024'!Maxi_hp)</f>
        <v>58.562115804958381</v>
      </c>
      <c r="J201" s="85">
        <f>IF(H201,An,'2024'!An_max)</f>
        <v>2020</v>
      </c>
      <c r="K201" s="197">
        <f t="shared" si="52"/>
        <v>45844</v>
      </c>
      <c r="L201" s="147">
        <f>IF(t&lt;Tvie,1-EXP((T0-t)*PertePVj)+'2024'!Pspv,1-EXP((T0-t)*PertePVj)+Pspv)</f>
        <v>4.4386541304133331E-2</v>
      </c>
      <c r="M201" s="832"/>
      <c r="N201" s="832"/>
      <c r="O201" s="48">
        <f>IF(t&lt;Tnet,'2024'!Resal+('2024'!Salim-'2024'!Resal)*(1-EXP(('2024'!Tnet-t)/('2024'!Tau_j))),Resal+(Salim-Resal)*(1-EXP((Tnet-t)/(Tau_j))))*Salcycl</f>
        <v>1.4450325999203879E-2</v>
      </c>
      <c r="P201" s="169">
        <f>(INDEX(Models!$BJ201:$BT201,,T201)*(1-R201)+INDEX(Models!$BJ201:$BT201,,T201+1)*R201-ERP_i)*Q201*Ramure*Pc/MaxiM</f>
        <v>5.981535558830138E-4</v>
      </c>
      <c r="Q201" s="304">
        <f t="shared" si="53"/>
        <v>0.7</v>
      </c>
      <c r="R201" s="177">
        <f t="shared" si="54"/>
        <v>0.43228488838842583</v>
      </c>
      <c r="S201" s="799">
        <f t="shared" si="55"/>
        <v>1</v>
      </c>
      <c r="T201" s="176">
        <f t="shared" si="56"/>
        <v>7</v>
      </c>
      <c r="U201" s="250">
        <f t="shared" si="57"/>
        <v>1.4322848883884258</v>
      </c>
      <c r="V201" s="382">
        <f t="shared" si="58"/>
        <v>56.444994400778306</v>
      </c>
      <c r="W201" s="400">
        <f t="shared" si="59"/>
        <v>40.103587053511404</v>
      </c>
      <c r="X201" s="157">
        <f t="shared" si="60"/>
        <v>45844</v>
      </c>
      <c r="Y201" s="383">
        <f t="shared" si="61"/>
        <v>38.065886239441127</v>
      </c>
      <c r="Z201" s="383">
        <f t="shared" si="62"/>
        <v>39.833978784047211</v>
      </c>
      <c r="AA201" s="384">
        <f t="shared" si="63"/>
        <v>42.580905770122108</v>
      </c>
      <c r="AB201" s="197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6.4510769237848015E-2</v>
      </c>
      <c r="AD201" s="230">
        <f>(INDEX(Models!$BJ201:$BT201,,AH201)*(1-AF201)+INDEX(Models!$BJ201:$BT201,,AH201+1)*AF201-ERP_i)*AE201*Ramure*Pc/MaxiM</f>
        <v>6.2778062936116375E-4</v>
      </c>
      <c r="AE201" s="304">
        <f t="shared" si="65"/>
        <v>0.7</v>
      </c>
      <c r="AF201" s="177">
        <f t="shared" si="66"/>
        <v>0.49661711064825798</v>
      </c>
      <c r="AG201" s="799">
        <f t="shared" si="74"/>
        <v>1</v>
      </c>
      <c r="AH201" s="176">
        <f t="shared" si="67"/>
        <v>7</v>
      </c>
      <c r="AI201" s="224">
        <f t="shared" si="68"/>
        <v>1.496617110648258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45845</v>
      </c>
      <c r="B202" s="409">
        <f>'2024'!Wh/'2024'!Env_an*'2025'!Env_an</f>
        <v>56.015844959183973</v>
      </c>
      <c r="C202" s="829"/>
      <c r="D202" s="391">
        <f t="shared" si="50"/>
        <v>58.618804497683044</v>
      </c>
      <c r="E202" s="383">
        <f t="shared" si="75"/>
        <v>59.484589000479168</v>
      </c>
      <c r="F202" s="383">
        <f t="shared" si="51"/>
        <v>59.5212858198839</v>
      </c>
      <c r="G202" s="110">
        <f t="shared" si="76"/>
        <v>0.99434712030941197</v>
      </c>
      <c r="H202" s="412" t="b">
        <f>Wh_hp&gt;='2024'!Maxi_hp</f>
        <v>0</v>
      </c>
      <c r="I202" s="388">
        <f>IF(H202,Wh_hp,'2024'!Maxi_hp)</f>
        <v>59.521491557725845</v>
      </c>
      <c r="J202" s="85">
        <f>IF(H202,An,'2024'!An_max)</f>
        <v>2022</v>
      </c>
      <c r="K202" s="197">
        <f t="shared" si="52"/>
        <v>45845</v>
      </c>
      <c r="L202" s="147">
        <f>IF(t&lt;Tvie,1-EXP((T0-t)*PertePVj)+'2024'!Pspv,1-EXP((T0-t)*PertePVj)+Pspv)</f>
        <v>4.4404855418058831E-2</v>
      </c>
      <c r="M202" s="832"/>
      <c r="N202" s="832"/>
      <c r="O202" s="48">
        <f>IF(t&lt;Tnet,'2024'!Resal+('2024'!Salim-'2024'!Resal)*(1-EXP(('2024'!Tnet-t)/('2024'!Tau_j))),Resal+(Salim-Resal)*(1-EXP((Tnet-t)/(Tau_j))))*Salcycl</f>
        <v>1.4554769854577841E-2</v>
      </c>
      <c r="P202" s="169">
        <f>(INDEX(Models!$BJ202:$BT202,,T202)*(1-R202)+INDEX(Models!$BJ202:$BT202,,T202+1)*R202-ERP_i)*Q202*Ramure*Pc/MaxiM</f>
        <v>6.2154760953488499E-4</v>
      </c>
      <c r="Q202" s="304">
        <f t="shared" si="53"/>
        <v>0.7</v>
      </c>
      <c r="R202" s="177">
        <f t="shared" si="54"/>
        <v>0.43538712176045768</v>
      </c>
      <c r="S202" s="799">
        <f t="shared" si="55"/>
        <v>1</v>
      </c>
      <c r="T202" s="176">
        <f t="shared" si="56"/>
        <v>7</v>
      </c>
      <c r="U202" s="250">
        <f t="shared" si="57"/>
        <v>1.4353871217604577</v>
      </c>
      <c r="V202" s="382">
        <f t="shared" si="58"/>
        <v>56.334013271330313</v>
      </c>
      <c r="W202" s="400">
        <f t="shared" si="59"/>
        <v>56.015844959183973</v>
      </c>
      <c r="X202" s="157">
        <f t="shared" si="60"/>
        <v>45845</v>
      </c>
      <c r="Y202" s="383">
        <f t="shared" si="61"/>
        <v>53.17145807431077</v>
      </c>
      <c r="Z202" s="383">
        <f t="shared" si="62"/>
        <v>55.642243868424529</v>
      </c>
      <c r="AA202" s="384">
        <f t="shared" si="63"/>
        <v>59.482746429538103</v>
      </c>
      <c r="AB202" s="197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6.4564983825401337E-2</v>
      </c>
      <c r="AD202" s="230">
        <f>(INDEX(Models!$BJ202:$BT202,,AH202)*(1-AF202)+INDEX(Models!$BJ202:$BT202,,AH202+1)*AF202-ERP_i)*AE202*Ramure*Pc/MaxiM</f>
        <v>6.5275591538794479E-4</v>
      </c>
      <c r="AE202" s="304">
        <f t="shared" si="65"/>
        <v>0.7</v>
      </c>
      <c r="AF202" s="177">
        <f t="shared" si="66"/>
        <v>0.49971934402028984</v>
      </c>
      <c r="AG202" s="799">
        <f t="shared" si="74"/>
        <v>1</v>
      </c>
      <c r="AH202" s="176">
        <f t="shared" si="67"/>
        <v>7</v>
      </c>
      <c r="AI202" s="224">
        <f t="shared" si="68"/>
        <v>1.4997193440202898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45846</v>
      </c>
      <c r="B203" s="409">
        <f>'2024'!Wh/'2024'!Env_an*'2025'!Env_an</f>
        <v>57.195083442582529</v>
      </c>
      <c r="C203" s="829"/>
      <c r="D203" s="391">
        <f t="shared" si="50"/>
        <v>59.853987244083783</v>
      </c>
      <c r="E203" s="383">
        <f t="shared" si="75"/>
        <v>60.744436344864283</v>
      </c>
      <c r="F203" s="383">
        <f t="shared" si="51"/>
        <v>60.783904768053468</v>
      </c>
      <c r="G203" s="110">
        <f t="shared" si="76"/>
        <v>1.0173039193298983</v>
      </c>
      <c r="H203" s="412" t="b">
        <f>Wh_hp&gt;='2024'!Maxi_hp</f>
        <v>0</v>
      </c>
      <c r="I203" s="388">
        <f>IF(H203,Wh_hp,'2024'!Maxi_hp)</f>
        <v>61.731530922923696</v>
      </c>
      <c r="J203" s="85">
        <f>IF(H203,An,'2024'!An_max)</f>
        <v>2020</v>
      </c>
      <c r="K203" s="197">
        <f t="shared" si="52"/>
        <v>45846</v>
      </c>
      <c r="L203" s="147">
        <f>IF(t&lt;Tvie,1-EXP((T0-t)*PertePVj)+'2024'!Pspv,1-EXP((T0-t)*PertePVj)+Pspv)</f>
        <v>4.4423169180998423E-2</v>
      </c>
      <c r="M203" s="832"/>
      <c r="N203" s="832"/>
      <c r="O203" s="48">
        <f>IF(t&lt;Tnet,'2024'!Resal+('2024'!Salim-'2024'!Resal)*(1-EXP(('2024'!Tnet-t)/('2024'!Tau_j))),Resal+(Salim-Resal)*(1-EXP((Tnet-t)/(Tau_j))))*Salcycl</f>
        <v>1.4658940873616052E-2</v>
      </c>
      <c r="P203" s="169">
        <f>(INDEX(Models!$BJ203:$BT203,,T203)*(1-R203)+INDEX(Models!$BJ203:$BT203,,T203+1)*R203-ERP_i)*Q203*Ramure*Pc/MaxiM</f>
        <v>6.4932358886440108E-4</v>
      </c>
      <c r="Q203" s="304">
        <f t="shared" si="53"/>
        <v>0.7</v>
      </c>
      <c r="R203" s="177">
        <f t="shared" si="54"/>
        <v>0.43842575501293957</v>
      </c>
      <c r="S203" s="799">
        <f t="shared" si="55"/>
        <v>1</v>
      </c>
      <c r="T203" s="176">
        <f t="shared" si="56"/>
        <v>7</v>
      </c>
      <c r="U203" s="250">
        <f t="shared" si="57"/>
        <v>1.4384257550129396</v>
      </c>
      <c r="V203" s="382">
        <f t="shared" si="58"/>
        <v>56.222218705553729</v>
      </c>
      <c r="W203" s="400">
        <f t="shared" si="59"/>
        <v>57.195083442582529</v>
      </c>
      <c r="X203" s="157">
        <f t="shared" si="60"/>
        <v>45846</v>
      </c>
      <c r="Y203" s="383">
        <f t="shared" si="61"/>
        <v>54.293344015885317</v>
      </c>
      <c r="Z203" s="383">
        <f t="shared" si="62"/>
        <v>56.817350803024198</v>
      </c>
      <c r="AA203" s="384">
        <f t="shared" si="63"/>
        <v>60.742425132602143</v>
      </c>
      <c r="AB203" s="197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6.4618334236893241E-2</v>
      </c>
      <c r="AD203" s="230">
        <f>(INDEX(Models!$BJ203:$BT203,,AH203)*(1-AF203)+INDEX(Models!$BJ203:$BT203,,AH203+1)*AF203-ERP_i)*AE203*Ramure*Pc/MaxiM</f>
        <v>6.8241149708311616E-4</v>
      </c>
      <c r="AE203" s="304">
        <f t="shared" si="65"/>
        <v>0.7</v>
      </c>
      <c r="AF203" s="177">
        <f t="shared" si="66"/>
        <v>0.50275797727277172</v>
      </c>
      <c r="AG203" s="799">
        <f t="shared" si="74"/>
        <v>1</v>
      </c>
      <c r="AH203" s="176">
        <f t="shared" si="67"/>
        <v>7</v>
      </c>
      <c r="AI203" s="224">
        <f t="shared" si="68"/>
        <v>1.5027579772727717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45847</v>
      </c>
      <c r="B204" s="409">
        <f>'2024'!Wh/'2024'!Env_an*'2025'!Env_an</f>
        <v>56.829974768260904</v>
      </c>
      <c r="C204" s="829"/>
      <c r="D204" s="391">
        <f t="shared" si="50"/>
        <v>59.473045065279798</v>
      </c>
      <c r="E204" s="383">
        <f t="shared" si="75"/>
        <v>60.364192116041757</v>
      </c>
      <c r="F204" s="383">
        <f t="shared" si="51"/>
        <v>60.405360764254937</v>
      </c>
      <c r="G204" s="110">
        <f t="shared" si="76"/>
        <v>1.012833010801764</v>
      </c>
      <c r="H204" s="412" t="b">
        <f>Wh_hp&gt;='2024'!Maxi_hp</f>
        <v>1</v>
      </c>
      <c r="I204" s="388">
        <f>IF(H204,Wh_hp,'2024'!Maxi_hp)</f>
        <v>60.405360764254937</v>
      </c>
      <c r="J204" s="85">
        <f>IF(H204,An,'2024'!An_max)</f>
        <v>2025</v>
      </c>
      <c r="K204" s="197">
        <f t="shared" si="52"/>
        <v>45847</v>
      </c>
      <c r="L204" s="147">
        <f>IF(t&lt;Tvie,1-EXP((T0-t)*PertePVj)+'2024'!Pspv,1-EXP((T0-t)*PertePVj)+Pspv)</f>
        <v>4.4441482592958992E-2</v>
      </c>
      <c r="M204" s="832"/>
      <c r="N204" s="832"/>
      <c r="O204" s="48">
        <f>IF(t&lt;Tnet,'2024'!Resal+('2024'!Salim-'2024'!Resal)*(1-EXP(('2024'!Tnet-t)/('2024'!Tau_j))),Resal+(Salim-Resal)*(1-EXP((Tnet-t)/(Tau_j))))*Salcycl</f>
        <v>1.4762842332899108E-2</v>
      </c>
      <c r="P204" s="169">
        <f>(INDEX(Models!$BJ204:$BT204,,T204)*(1-R204)+INDEX(Models!$BJ204:$BT204,,T204+1)*R204-ERP_i)*Q204*Ramure*Pc/MaxiM</f>
        <v>6.8153964635441345E-4</v>
      </c>
      <c r="Q204" s="304">
        <f t="shared" si="53"/>
        <v>0.7</v>
      </c>
      <c r="R204" s="177">
        <f t="shared" si="54"/>
        <v>0.44140023751330126</v>
      </c>
      <c r="S204" s="799">
        <f t="shared" si="55"/>
        <v>1</v>
      </c>
      <c r="T204" s="176">
        <f t="shared" si="56"/>
        <v>7</v>
      </c>
      <c r="U204" s="250">
        <f t="shared" si="57"/>
        <v>1.4414002375133013</v>
      </c>
      <c r="V204" s="382">
        <f t="shared" si="58"/>
        <v>56.109915615086429</v>
      </c>
      <c r="W204" s="400">
        <f t="shared" si="59"/>
        <v>56.829974768260904</v>
      </c>
      <c r="X204" s="157">
        <f t="shared" si="60"/>
        <v>45847</v>
      </c>
      <c r="Y204" s="383">
        <f t="shared" si="61"/>
        <v>53.949301112226095</v>
      </c>
      <c r="Z204" s="383">
        <f t="shared" si="62"/>
        <v>56.458395932276758</v>
      </c>
      <c r="AA204" s="384">
        <f t="shared" si="63"/>
        <v>60.362061774559407</v>
      </c>
      <c r="AB204" s="197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6.4670849992866111E-2</v>
      </c>
      <c r="AD204" s="230">
        <f>(INDEX(Models!$BJ204:$BT204,,AH204)*(1-AF204)+INDEX(Models!$BJ204:$BT204,,AH204+1)*AF204-ERP_i)*AE204*Ramure*Pc/MaxiM</f>
        <v>7.1680707055976167E-4</v>
      </c>
      <c r="AE204" s="304">
        <f t="shared" si="65"/>
        <v>0.7</v>
      </c>
      <c r="AF204" s="177">
        <f t="shared" si="66"/>
        <v>0.50573245977313341</v>
      </c>
      <c r="AG204" s="799">
        <f t="shared" si="74"/>
        <v>1</v>
      </c>
      <c r="AH204" s="176">
        <f t="shared" si="67"/>
        <v>7</v>
      </c>
      <c r="AI204" s="224">
        <f t="shared" si="68"/>
        <v>1.5057324597731334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45848</v>
      </c>
      <c r="B205" s="409">
        <f>'2024'!Wh/'2024'!Env_an*'2025'!Env_an</f>
        <v>56.418864821014807</v>
      </c>
      <c r="C205" s="829"/>
      <c r="D205" s="391">
        <f t="shared" si="50"/>
        <v>59.043946622451564</v>
      </c>
      <c r="E205" s="383">
        <f t="shared" si="75"/>
        <v>59.934968507055331</v>
      </c>
      <c r="F205" s="383">
        <f t="shared" si="51"/>
        <v>59.97804858000903</v>
      </c>
      <c r="G205" s="110">
        <f t="shared" si="76"/>
        <v>1.0075441398630591</v>
      </c>
      <c r="H205" s="412" t="b">
        <f>Wh_hp&gt;='2024'!Maxi_hp</f>
        <v>1</v>
      </c>
      <c r="I205" s="388">
        <f>IF(H205,Wh_hp,'2024'!Maxi_hp)</f>
        <v>59.97804858000903</v>
      </c>
      <c r="J205" s="85">
        <f>IF(H205,An,'2024'!An_max)</f>
        <v>2025</v>
      </c>
      <c r="K205" s="197">
        <f t="shared" si="52"/>
        <v>45848</v>
      </c>
      <c r="L205" s="147">
        <f>IF(t&lt;Tvie,1-EXP((T0-t)*PertePVj)+'2024'!Pspv,1-EXP((T0-t)*PertePVj)+Pspv)</f>
        <v>4.4459795653947087E-2</v>
      </c>
      <c r="M205" s="832"/>
      <c r="N205" s="832"/>
      <c r="O205" s="48">
        <f>IF(t&lt;Tnet,'2024'!Resal+('2024'!Salim-'2024'!Resal)*(1-EXP(('2024'!Tnet-t)/('2024'!Tau_j))),Resal+(Salim-Resal)*(1-EXP((Tnet-t)/(Tau_j))))*Salcycl</f>
        <v>1.4866477897604626E-2</v>
      </c>
      <c r="P205" s="169">
        <f>(INDEX(Models!$BJ205:$BT205,,T205)*(1-R205)+INDEX(Models!$BJ205:$BT205,,T205+1)*R205-ERP_i)*Q205*Ramure*Pc/MaxiM</f>
        <v>7.1826399780628445E-4</v>
      </c>
      <c r="Q205" s="304">
        <f t="shared" si="53"/>
        <v>0.7</v>
      </c>
      <c r="R205" s="177">
        <f t="shared" si="54"/>
        <v>0.44431014763156407</v>
      </c>
      <c r="S205" s="799">
        <f t="shared" si="55"/>
        <v>1</v>
      </c>
      <c r="T205" s="176">
        <f t="shared" si="56"/>
        <v>7</v>
      </c>
      <c r="U205" s="250">
        <f t="shared" si="57"/>
        <v>1.4443101476315641</v>
      </c>
      <c r="V205" s="382">
        <f t="shared" si="58"/>
        <v>55.996419996728882</v>
      </c>
      <c r="W205" s="400">
        <f t="shared" si="59"/>
        <v>56.418864821014807</v>
      </c>
      <c r="X205" s="157">
        <f t="shared" si="60"/>
        <v>45848</v>
      </c>
      <c r="Y205" s="383">
        <f t="shared" si="61"/>
        <v>53.561569924825463</v>
      </c>
      <c r="Z205" s="383">
        <f t="shared" si="62"/>
        <v>56.053706250362978</v>
      </c>
      <c r="AA205" s="384">
        <f t="shared" si="63"/>
        <v>59.932704396547628</v>
      </c>
      <c r="AB205" s="197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6.4722561500296566E-2</v>
      </c>
      <c r="AD205" s="230">
        <f>(INDEX(Models!$BJ205:$BT205,,AH205)*(1-AF205)+INDEX(Models!$BJ205:$BT205,,AH205+1)*AF205-ERP_i)*AE205*Ramure*Pc/MaxiM</f>
        <v>7.5601298366550997E-4</v>
      </c>
      <c r="AE205" s="304">
        <f t="shared" si="65"/>
        <v>0.7</v>
      </c>
      <c r="AF205" s="177">
        <f t="shared" si="66"/>
        <v>0.50864236989139622</v>
      </c>
      <c r="AG205" s="799">
        <f t="shared" si="74"/>
        <v>1</v>
      </c>
      <c r="AH205" s="176">
        <f t="shared" si="67"/>
        <v>7</v>
      </c>
      <c r="AI205" s="224">
        <f t="shared" si="68"/>
        <v>1.5086423698913962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45849</v>
      </c>
      <c r="B206" s="409">
        <f>'2024'!Wh/'2024'!Env_an*'2025'!Env_an</f>
        <v>55.536317932410618</v>
      </c>
      <c r="C206" s="829"/>
      <c r="D206" s="391">
        <f t="shared" si="50"/>
        <v>58.121450087681573</v>
      </c>
      <c r="E206" s="383">
        <f t="shared" si="75"/>
        <v>59.004742322850852</v>
      </c>
      <c r="F206" s="383">
        <f t="shared" si="51"/>
        <v>59.049593532651684</v>
      </c>
      <c r="G206" s="110">
        <f t="shared" si="76"/>
        <v>0.99383340685961452</v>
      </c>
      <c r="H206" s="412" t="b">
        <f>Wh_hp&gt;='2024'!Maxi_hp</f>
        <v>0</v>
      </c>
      <c r="I206" s="388">
        <f>IF(H206,Wh_hp,'2024'!Maxi_hp)</f>
        <v>59.049880258417886</v>
      </c>
      <c r="J206" s="85">
        <f>IF(H206,An,'2024'!An_max)</f>
        <v>2022</v>
      </c>
      <c r="K206" s="197">
        <f t="shared" si="52"/>
        <v>45849</v>
      </c>
      <c r="L206" s="147">
        <f>IF(t&lt;Tvie,1-EXP((T0-t)*PertePVj)+'2024'!Pspv,1-EXP((T0-t)*PertePVj)+Pspv)</f>
        <v>4.4478108363969704E-2</v>
      </c>
      <c r="M206" s="832"/>
      <c r="N206" s="832"/>
      <c r="O206" s="48">
        <f>IF(t&lt;Tnet,'2024'!Resal+('2024'!Salim-'2024'!Resal)*(1-EXP(('2024'!Tnet-t)/('2024'!Tau_j))),Resal+(Salim-Resal)*(1-EXP((Tnet-t)/(Tau_j))))*Salcycl</f>
        <v>1.4969851581356762E-2</v>
      </c>
      <c r="P206" s="169">
        <f>(INDEX(Models!$BJ206:$BT206,,T206)*(1-R206)+INDEX(Models!$BJ206:$BT206,,T206+1)*R206-ERP_i)*Q206*Ramure*Pc/MaxiM</f>
        <v>7.6629481152685748E-4</v>
      </c>
      <c r="Q206" s="304">
        <f t="shared" si="53"/>
        <v>0.7</v>
      </c>
      <c r="R206" s="177">
        <f t="shared" si="54"/>
        <v>0.44715518847825564</v>
      </c>
      <c r="S206" s="799">
        <f t="shared" si="55"/>
        <v>1</v>
      </c>
      <c r="T206" s="176">
        <f t="shared" si="56"/>
        <v>7</v>
      </c>
      <c r="U206" s="250">
        <f t="shared" si="57"/>
        <v>1.4471551884782556</v>
      </c>
      <c r="V206" s="382">
        <f t="shared" si="58"/>
        <v>55.880535679366098</v>
      </c>
      <c r="W206" s="400">
        <f t="shared" si="59"/>
        <v>55.536317932410618</v>
      </c>
      <c r="X206" s="157">
        <f t="shared" si="60"/>
        <v>45849</v>
      </c>
      <c r="Y206" s="383">
        <f t="shared" si="61"/>
        <v>52.726235103673993</v>
      </c>
      <c r="Z206" s="383">
        <f t="shared" si="62"/>
        <v>55.18056212547566</v>
      </c>
      <c r="AA206" s="384">
        <f t="shared" si="63"/>
        <v>59.002350892559683</v>
      </c>
      <c r="AB206" s="197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6.4773499856697322E-2</v>
      </c>
      <c r="AD206" s="230">
        <f>(INDEX(Models!$BJ206:$BT206,,AH206)*(1-AF206)+INDEX(Models!$BJ206:$BT206,,AH206+1)*AF206-ERP_i)*AE206*Ramure*Pc/MaxiM</f>
        <v>8.0715303212749827E-4</v>
      </c>
      <c r="AE206" s="304">
        <f t="shared" si="65"/>
        <v>0.7</v>
      </c>
      <c r="AF206" s="177">
        <f t="shared" si="66"/>
        <v>0.51148741073808779</v>
      </c>
      <c r="AG206" s="799">
        <f t="shared" si="74"/>
        <v>1</v>
      </c>
      <c r="AH206" s="176">
        <f t="shared" si="67"/>
        <v>7</v>
      </c>
      <c r="AI206" s="224">
        <f t="shared" si="68"/>
        <v>1.5114874107380878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45850</v>
      </c>
      <c r="B207" s="409">
        <f>'2024'!Wh/'2024'!Env_an*'2025'!Env_an</f>
        <v>54.34531290699168</v>
      </c>
      <c r="C207" s="829"/>
      <c r="D207" s="391">
        <f t="shared" ref="D207:D270" si="77">Wh/(1-Ppv)</f>
        <v>56.876095585235788</v>
      </c>
      <c r="E207" s="383">
        <f t="shared" si="75"/>
        <v>57.746506817552117</v>
      </c>
      <c r="F207" s="383">
        <f t="shared" ref="F207:F270" si="78">Wh_sa/(1-Pvg*MEDIAN((-Sdif+Wh/Env_an)/Csdif,0,1))</f>
        <v>57.792502496618653</v>
      </c>
      <c r="G207" s="110">
        <f t="shared" si="76"/>
        <v>0.97455856379651751</v>
      </c>
      <c r="H207" s="412" t="b">
        <f>Wh_hp&gt;='2024'!Maxi_hp</f>
        <v>0</v>
      </c>
      <c r="I207" s="388">
        <f>IF(H207,Wh_hp,'2024'!Maxi_hp)</f>
        <v>57.793763813977158</v>
      </c>
      <c r="J207" s="85">
        <f>IF(H207,An,'2024'!An_max)</f>
        <v>2022</v>
      </c>
      <c r="K207" s="197">
        <f t="shared" ref="K207:K270" si="79">t</f>
        <v>45850</v>
      </c>
      <c r="L207" s="147">
        <f>IF(t&lt;Tvie,1-EXP((T0-t)*PertePVj)+'2024'!Pspv,1-EXP((T0-t)*PertePVj)+Pspv)</f>
        <v>4.4496420723033281E-2</v>
      </c>
      <c r="M207" s="832"/>
      <c r="N207" s="832"/>
      <c r="O207" s="48">
        <f>IF(t&lt;Tnet,'2024'!Resal+('2024'!Salim-'2024'!Resal)*(1-EXP(('2024'!Tnet-t)/('2024'!Tau_j))),Resal+(Salim-Resal)*(1-EXP((Tnet-t)/(Tau_j))))*Salcycl</f>
        <v>1.5072967704632938E-2</v>
      </c>
      <c r="P207" s="169">
        <f>(INDEX(Models!$BJ207:$BT207,,T207)*(1-R207)+INDEX(Models!$BJ207:$BT207,,T207+1)*R207-ERP_i)*Q207*Ramure*Pc/MaxiM</f>
        <v>8.2585744422348486E-4</v>
      </c>
      <c r="Q207" s="304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0.4499351833156302</v>
      </c>
      <c r="S207" s="799">
        <f t="shared" ref="S207:S270" si="82">INDEX(Echel_vg,T207)</f>
        <v>1</v>
      </c>
      <c r="T207" s="176">
        <f t="shared" ref="T207:T270" si="83">MIN(MATCH(Hp_vg,Echel_vg),10)</f>
        <v>7</v>
      </c>
      <c r="U207" s="250">
        <f t="shared" ref="U207:U270" si="84">IF(OR(t&lt;Ttai,Notai),Hdd+PousH*Croivg,Hdtf+PousH*(Croivg-Croi_tai))</f>
        <v>1.4499351833156302</v>
      </c>
      <c r="V207" s="382">
        <f t="shared" ref="V207:V270" si="85">MaxiM*(1-Ppv)*(1-Pvg)*(1-Psa)</f>
        <v>55.762356711627326</v>
      </c>
      <c r="W207" s="400">
        <f t="shared" ref="W207:W270" si="86">Wh*(A207&gt;Tmaj)</f>
        <v>54.34531290699168</v>
      </c>
      <c r="X207" s="157">
        <f t="shared" ref="X207:X270" si="87">t</f>
        <v>45850</v>
      </c>
      <c r="Y207" s="383">
        <f t="shared" ref="Y207:Y270" si="88">Wh_pvt_s*(1-Ppv)</f>
        <v>51.597997765409069</v>
      </c>
      <c r="Z207" s="383">
        <f t="shared" ref="Z207:Z270" si="89">Wh_sa_s*(1-Psa_s)</f>
        <v>54.000841948131139</v>
      </c>
      <c r="AA207" s="384">
        <f t="shared" ref="AA207:AA270" si="90">Wh_hp*(1-Pvg_s*MEDIAN((-Sdif+Wh/Env_an)/Csdif,0,1))</f>
        <v>57.744022977267235</v>
      </c>
      <c r="AB207" s="197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6.4823696655318175E-2</v>
      </c>
      <c r="AD207" s="230">
        <f>(INDEX(Models!$BJ207:$BT207,,AH207)*(1-AF207)+INDEX(Models!$BJ207:$BT207,,AH207+1)*AF207-ERP_i)*AE207*Ramure*Pc/MaxiM</f>
        <v>8.704550679820769E-4</v>
      </c>
      <c r="AE207" s="304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0.51426740557546236</v>
      </c>
      <c r="AG207" s="799">
        <f t="shared" si="74"/>
        <v>1</v>
      </c>
      <c r="AH207" s="176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1.5142674055754624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45851</v>
      </c>
      <c r="B208" s="409">
        <f>'2024'!Wh/'2024'!Env_an*'2025'!Env_an</f>
        <v>54.401061311267718</v>
      </c>
      <c r="C208" s="829"/>
      <c r="D208" s="391">
        <f t="shared" si="77"/>
        <v>56.935531268594957</v>
      </c>
      <c r="E208" s="383">
        <f t="shared" si="75"/>
        <v>57.812889906891918</v>
      </c>
      <c r="F208" s="383">
        <f t="shared" si="78"/>
        <v>57.863144565768373</v>
      </c>
      <c r="G208" s="110">
        <f t="shared" si="76"/>
        <v>0.97767015186198425</v>
      </c>
      <c r="H208" s="412" t="b">
        <f>Wh_hp&gt;='2024'!Maxi_hp</f>
        <v>0</v>
      </c>
      <c r="I208" s="388">
        <f>IF(H208,Wh_hp,'2024'!Maxi_hp)</f>
        <v>57.86436059666881</v>
      </c>
      <c r="J208" s="85">
        <f>IF(H208,An,'2024'!An_max)</f>
        <v>2022</v>
      </c>
      <c r="K208" s="197">
        <f t="shared" si="79"/>
        <v>45851</v>
      </c>
      <c r="L208" s="147">
        <f>IF(t&lt;Tvie,1-EXP((T0-t)*PertePVj)+'2024'!Pspv,1-EXP((T0-t)*PertePVj)+Pspv)</f>
        <v>4.4514732731144702E-2</v>
      </c>
      <c r="M208" s="832"/>
      <c r="N208" s="832"/>
      <c r="O208" s="48">
        <f>IF(t&lt;Tnet,'2024'!Resal+('2024'!Salim-'2024'!Resal)*(1-EXP(('2024'!Tnet-t)/('2024'!Tau_j))),Resal+(Salim-Resal)*(1-EXP((Tnet-t)/(Tau_j))))*Salcycl</f>
        <v>1.5175830852080893E-2</v>
      </c>
      <c r="P208" s="169">
        <f>(INDEX(Models!$BJ208:$BT208,,T208)*(1-R208)+INDEX(Models!$BJ208:$BT208,,T208+1)*R208-ERP_i)*Q208*Ramure*Pc/MaxiM</f>
        <v>8.9709008556406291E-4</v>
      </c>
      <c r="Q208" s="304">
        <f t="shared" si="80"/>
        <v>0.7</v>
      </c>
      <c r="R208" s="177">
        <f t="shared" si="81"/>
        <v>0.45265007068950647</v>
      </c>
      <c r="S208" s="799">
        <f t="shared" si="82"/>
        <v>1</v>
      </c>
      <c r="T208" s="176">
        <f t="shared" si="83"/>
        <v>7</v>
      </c>
      <c r="U208" s="250">
        <f t="shared" si="84"/>
        <v>1.4526500706895065</v>
      </c>
      <c r="V208" s="382">
        <f t="shared" si="85"/>
        <v>55.641982126522244</v>
      </c>
      <c r="W208" s="400">
        <f t="shared" si="86"/>
        <v>54.401061311267718</v>
      </c>
      <c r="X208" s="157">
        <f t="shared" si="87"/>
        <v>45851</v>
      </c>
      <c r="Y208" s="383">
        <f t="shared" si="88"/>
        <v>51.653359944387539</v>
      </c>
      <c r="Z208" s="383">
        <f t="shared" si="89"/>
        <v>54.059818307855991</v>
      </c>
      <c r="AA208" s="384">
        <f t="shared" si="90"/>
        <v>57.810146571478924</v>
      </c>
      <c r="AB208" s="197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6.487318379284629E-2</v>
      </c>
      <c r="AD208" s="230">
        <f>(INDEX(Models!$BJ208:$BT208,,AH208)*(1-AF208)+INDEX(Models!$BJ208:$BT208,,AH208+1)*AF208-ERP_i)*AE208*Ramure*Pc/MaxiM</f>
        <v>9.4606104776715199E-4</v>
      </c>
      <c r="AE208" s="304">
        <f t="shared" si="92"/>
        <v>0.7</v>
      </c>
      <c r="AF208" s="177">
        <f t="shared" si="93"/>
        <v>0.51698229294933862</v>
      </c>
      <c r="AG208" s="799">
        <f t="shared" ref="AG208:AG271" si="99">INDEX(Echel_vg,AH208)</f>
        <v>1</v>
      </c>
      <c r="AH208" s="176">
        <f t="shared" si="94"/>
        <v>7</v>
      </c>
      <c r="AI208" s="224">
        <f t="shared" si="95"/>
        <v>1.5169822929493386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45852</v>
      </c>
      <c r="B209" s="409">
        <f>'2024'!Wh/'2024'!Env_an*'2025'!Env_an</f>
        <v>54.140447795961592</v>
      </c>
      <c r="C209" s="829"/>
      <c r="D209" s="391">
        <f t="shared" si="77"/>
        <v>56.663862081238506</v>
      </c>
      <c r="E209" s="383">
        <f t="shared" si="75"/>
        <v>57.543030150231367</v>
      </c>
      <c r="F209" s="383">
        <f t="shared" si="78"/>
        <v>57.597479859507601</v>
      </c>
      <c r="G209" s="110">
        <f t="shared" si="76"/>
        <v>0.97512679562908677</v>
      </c>
      <c r="H209" s="412" t="b">
        <f>Wh_hp&gt;='2024'!Maxi_hp</f>
        <v>0</v>
      </c>
      <c r="I209" s="388">
        <f>IF(H209,Wh_hp,'2024'!Maxi_hp)</f>
        <v>58.629820417743659</v>
      </c>
      <c r="J209" s="85">
        <f>IF(H209,An,'2024'!An_max)</f>
        <v>2018</v>
      </c>
      <c r="K209" s="197">
        <f t="shared" si="79"/>
        <v>45852</v>
      </c>
      <c r="L209" s="147">
        <f>IF(t&lt;Tvie,1-EXP((T0-t)*PertePVj)+'2024'!Pspv,1-EXP((T0-t)*PertePVj)+Pspv)</f>
        <v>4.4533044388310739E-2</v>
      </c>
      <c r="M209" s="832"/>
      <c r="N209" s="832"/>
      <c r="O209" s="48">
        <f>IF(t&lt;Tnet,'2024'!Resal+('2024'!Salim-'2024'!Resal)*(1-EXP(('2024'!Tnet-t)/('2024'!Tau_j))),Resal+(Salim-Resal)*(1-EXP((Tnet-t)/(Tau_j))))*Salcycl</f>
        <v>1.5278445829104849E-2</v>
      </c>
      <c r="P209" s="169">
        <f>(INDEX(Models!$BJ209:$BT209,,T209)*(1-R209)+INDEX(Models!$BJ209:$BT209,,T209+1)*R209-ERP_i)*Q209*Ramure*Pc/MaxiM</f>
        <v>9.8012832699558364E-4</v>
      </c>
      <c r="Q209" s="304">
        <f t="shared" si="80"/>
        <v>0.7</v>
      </c>
      <c r="R209" s="177">
        <f t="shared" si="81"/>
        <v>0.45529989932801285</v>
      </c>
      <c r="S209" s="799">
        <f t="shared" si="82"/>
        <v>1</v>
      </c>
      <c r="T209" s="176">
        <f t="shared" si="83"/>
        <v>7</v>
      </c>
      <c r="U209" s="250">
        <f t="shared" si="84"/>
        <v>1.4552998993280128</v>
      </c>
      <c r="V209" s="382">
        <f t="shared" si="85"/>
        <v>55.51951118405384</v>
      </c>
      <c r="W209" s="400">
        <f t="shared" si="86"/>
        <v>54.140447795961592</v>
      </c>
      <c r="X209" s="157">
        <f t="shared" si="87"/>
        <v>45852</v>
      </c>
      <c r="Y209" s="383">
        <f t="shared" si="88"/>
        <v>51.408343205728457</v>
      </c>
      <c r="Z209" s="383">
        <f t="shared" si="89"/>
        <v>53.804417728729163</v>
      </c>
      <c r="AA209" s="384">
        <f t="shared" si="90"/>
        <v>57.540031250992541</v>
      </c>
      <c r="AB209" s="197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6.4921993280963763E-2</v>
      </c>
      <c r="AD209" s="230">
        <f>(INDEX(Models!$BJ209:$BT209,,AH209)*(1-AF209)+INDEX(Models!$BJ209:$BT209,,AH209+1)*AF209-ERP_i)*AE209*Ramure*Pc/MaxiM</f>
        <v>1.034110361662911E-3</v>
      </c>
      <c r="AE209" s="304">
        <f t="shared" si="92"/>
        <v>0.7</v>
      </c>
      <c r="AF209" s="177">
        <f t="shared" si="93"/>
        <v>0.519632121587845</v>
      </c>
      <c r="AG209" s="799">
        <f t="shared" si="99"/>
        <v>1</v>
      </c>
      <c r="AH209" s="176">
        <f t="shared" si="94"/>
        <v>7</v>
      </c>
      <c r="AI209" s="224">
        <f t="shared" si="95"/>
        <v>1.519632121587845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45853</v>
      </c>
      <c r="B210" s="409">
        <f>'2024'!Wh/'2024'!Env_an*'2025'!Env_an</f>
        <v>51.572164743531204</v>
      </c>
      <c r="C210" s="829"/>
      <c r="D210" s="391">
        <f t="shared" si="77"/>
        <v>53.976909225738886</v>
      </c>
      <c r="E210" s="383">
        <f t="shared" si="75"/>
        <v>54.820086985469771</v>
      </c>
      <c r="F210" s="383">
        <f t="shared" si="78"/>
        <v>54.873265402962133</v>
      </c>
      <c r="G210" s="110">
        <f t="shared" si="76"/>
        <v>0.93089002347591743</v>
      </c>
      <c r="H210" s="412" t="b">
        <f>Wh_hp&gt;='2024'!Maxi_hp</f>
        <v>0</v>
      </c>
      <c r="I210" s="388">
        <f>IF(H210,Wh_hp,'2024'!Maxi_hp)</f>
        <v>60.732811241786656</v>
      </c>
      <c r="J210" s="85">
        <f>IF(H210,An,'2024'!An_max)</f>
        <v>2018</v>
      </c>
      <c r="K210" s="197">
        <f t="shared" si="79"/>
        <v>45853</v>
      </c>
      <c r="L210" s="147">
        <f>IF(t&lt;Tvie,1-EXP((T0-t)*PertePVj)+'2024'!Pspv,1-EXP((T0-t)*PertePVj)+Pspv)</f>
        <v>4.4551355694537942E-2</v>
      </c>
      <c r="M210" s="832"/>
      <c r="N210" s="832"/>
      <c r="O210" s="48">
        <f>IF(t&lt;Tnet,'2024'!Resal+('2024'!Salim-'2024'!Resal)*(1-EXP(('2024'!Tnet-t)/('2024'!Tau_j))),Resal+(Salim-Resal)*(1-EXP((Tnet-t)/(Tau_j))))*Salcycl</f>
        <v>1.5380817618081702E-2</v>
      </c>
      <c r="P210" s="169">
        <f>(INDEX(Models!$BJ210:$BT210,,T210)*(1-R210)+INDEX(Models!$BJ210:$BT210,,T210+1)*R210-ERP_i)*Q210*Ramure*Pc/MaxiM</f>
        <v>1.0751052833410538E-3</v>
      </c>
      <c r="Q210" s="304">
        <f t="shared" si="80"/>
        <v>0.7</v>
      </c>
      <c r="R210" s="177">
        <f t="shared" si="81"/>
        <v>0.45788482285213483</v>
      </c>
      <c r="S210" s="799">
        <f t="shared" si="82"/>
        <v>1</v>
      </c>
      <c r="T210" s="176">
        <f t="shared" si="83"/>
        <v>7</v>
      </c>
      <c r="U210" s="250">
        <f t="shared" si="84"/>
        <v>1.4578848228521348</v>
      </c>
      <c r="V210" s="382">
        <f t="shared" si="85"/>
        <v>55.395043356705933</v>
      </c>
      <c r="W210" s="400">
        <f t="shared" si="86"/>
        <v>51.572164743531204</v>
      </c>
      <c r="X210" s="157">
        <f t="shared" si="87"/>
        <v>45853</v>
      </c>
      <c r="Y210" s="383">
        <f t="shared" si="88"/>
        <v>48.972150125919207</v>
      </c>
      <c r="Z210" s="383">
        <f t="shared" si="89"/>
        <v>51.255659231709103</v>
      </c>
      <c r="AA210" s="384">
        <f t="shared" si="90"/>
        <v>54.817137248491271</v>
      </c>
      <c r="AB210" s="197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6.4970157063066691E-2</v>
      </c>
      <c r="AD210" s="230">
        <f>(INDEX(Models!$BJ210:$BT210,,AH210)*(1-AF210)+INDEX(Models!$BJ210:$BT210,,AH210+1)*AF210-ERP_i)*AE210*Ramure*Pc/MaxiM</f>
        <v>1.1347399614603866E-3</v>
      </c>
      <c r="AE210" s="304">
        <f t="shared" si="92"/>
        <v>0.7</v>
      </c>
      <c r="AF210" s="177">
        <f t="shared" si="93"/>
        <v>0.52221704511196698</v>
      </c>
      <c r="AG210" s="799">
        <f t="shared" si="99"/>
        <v>1</v>
      </c>
      <c r="AH210" s="176">
        <f t="shared" si="94"/>
        <v>7</v>
      </c>
      <c r="AI210" s="224">
        <f t="shared" si="95"/>
        <v>1.522217045111967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45854</v>
      </c>
      <c r="B211" s="409">
        <f>'2024'!Wh/'2024'!Env_an*'2025'!Env_an</f>
        <v>52.776827028995285</v>
      </c>
      <c r="C211" s="829"/>
      <c r="D211" s="391">
        <f t="shared" si="77"/>
        <v>55.238802021217062</v>
      </c>
      <c r="E211" s="383">
        <f t="shared" si="75"/>
        <v>56.107511897428566</v>
      </c>
      <c r="F211" s="383">
        <f t="shared" si="78"/>
        <v>56.169636120656463</v>
      </c>
      <c r="G211" s="110">
        <f t="shared" si="76"/>
        <v>0.95484107297869492</v>
      </c>
      <c r="H211" s="412" t="b">
        <f>Wh_hp&gt;='2024'!Maxi_hp</f>
        <v>0</v>
      </c>
      <c r="I211" s="388">
        <f>IF(H211,Wh_hp,'2024'!Maxi_hp)</f>
        <v>60.019024315602991</v>
      </c>
      <c r="J211" s="85">
        <f>IF(H211,An,'2024'!An_max)</f>
        <v>2018</v>
      </c>
      <c r="K211" s="197">
        <f t="shared" si="79"/>
        <v>45854</v>
      </c>
      <c r="L211" s="147">
        <f>IF(t&lt;Tvie,1-EXP((T0-t)*PertePVj)+'2024'!Pspv,1-EXP((T0-t)*PertePVj)+Pspv)</f>
        <v>4.4569666649833195E-2</v>
      </c>
      <c r="M211" s="832"/>
      <c r="N211" s="832"/>
      <c r="O211" s="48">
        <f>IF(t&lt;Tnet,'2024'!Resal+('2024'!Salim-'2024'!Resal)*(1-EXP(('2024'!Tnet-t)/('2024'!Tau_j))),Resal+(Salim-Resal)*(1-EXP((Tnet-t)/(Tau_j))))*Salcycl</f>
        <v>1.5482951334566586E-2</v>
      </c>
      <c r="P211" s="169">
        <f>(INDEX(Models!$BJ211:$BT211,,T211)*(1-R211)+INDEX(Models!$BJ211:$BT211,,T211+1)*R211-ERP_i)*Q211*Ramure*Pc/MaxiM</f>
        <v>1.1821517204090514E-3</v>
      </c>
      <c r="Q211" s="304">
        <f t="shared" si="80"/>
        <v>0.7</v>
      </c>
      <c r="R211" s="177">
        <f t="shared" si="81"/>
        <v>0.46040509434120791</v>
      </c>
      <c r="S211" s="799">
        <f t="shared" si="82"/>
        <v>1</v>
      </c>
      <c r="T211" s="176">
        <f t="shared" si="83"/>
        <v>7</v>
      </c>
      <c r="U211" s="250">
        <f t="shared" si="84"/>
        <v>1.4604050943412079</v>
      </c>
      <c r="V211" s="382">
        <f t="shared" si="85"/>
        <v>55.268678313014348</v>
      </c>
      <c r="W211" s="400">
        <f t="shared" si="86"/>
        <v>52.776827028995285</v>
      </c>
      <c r="X211" s="157">
        <f t="shared" si="87"/>
        <v>45854</v>
      </c>
      <c r="Y211" s="383">
        <f t="shared" si="88"/>
        <v>50.118331146760411</v>
      </c>
      <c r="Z211" s="383">
        <f t="shared" si="89"/>
        <v>52.456290529339896</v>
      </c>
      <c r="AA211" s="384">
        <f t="shared" si="90"/>
        <v>56.104047010242716</v>
      </c>
      <c r="AB211" s="197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6.5017706837384906E-2</v>
      </c>
      <c r="AD211" s="230">
        <f>(INDEX(Models!$BJ211:$BT211,,AH211)*(1-AF211)+INDEX(Models!$BJ211:$BT211,,AH211+1)*AF211-ERP_i)*AE211*Ramure*Pc/MaxiM</f>
        <v>1.2480844940511871E-3</v>
      </c>
      <c r="AE211" s="304">
        <f t="shared" si="92"/>
        <v>0.7</v>
      </c>
      <c r="AF211" s="177">
        <f t="shared" si="93"/>
        <v>0.52473731660104006</v>
      </c>
      <c r="AG211" s="799">
        <f t="shared" si="99"/>
        <v>1</v>
      </c>
      <c r="AH211" s="176">
        <f t="shared" si="94"/>
        <v>7</v>
      </c>
      <c r="AI211" s="224">
        <f t="shared" si="95"/>
        <v>1.5247373166010401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45855</v>
      </c>
      <c r="B212" s="409">
        <f>'2024'!Wh/'2024'!Env_an*'2025'!Env_an</f>
        <v>53.354138135383813</v>
      </c>
      <c r="C212" s="829"/>
      <c r="D212" s="391">
        <f t="shared" si="77"/>
        <v>55.844114230473281</v>
      </c>
      <c r="E212" s="383">
        <f t="shared" si="75"/>
        <v>56.72821507710313</v>
      </c>
      <c r="F212" s="383">
        <f t="shared" si="78"/>
        <v>56.798798670564068</v>
      </c>
      <c r="G212" s="110">
        <f t="shared" si="76"/>
        <v>0.96754630284715171</v>
      </c>
      <c r="H212" s="412" t="b">
        <f>Wh_hp&gt;='2024'!Maxi_hp</f>
        <v>0</v>
      </c>
      <c r="I212" s="388">
        <f>IF(H212,Wh_hp,'2024'!Maxi_hp)</f>
        <v>58.588907311846619</v>
      </c>
      <c r="J212" s="85">
        <f>IF(H212,An,'2024'!An_max)</f>
        <v>2021</v>
      </c>
      <c r="K212" s="197">
        <f t="shared" si="79"/>
        <v>45855</v>
      </c>
      <c r="L212" s="147">
        <f>IF(t&lt;Tvie,1-EXP((T0-t)*PertePVj)+'2024'!Pspv,1-EXP((T0-t)*PertePVj)+Pspv)</f>
        <v>4.4587977254203159E-2</v>
      </c>
      <c r="M212" s="832"/>
      <c r="N212" s="832"/>
      <c r="O212" s="48">
        <f>IF(t&lt;Tnet,'2024'!Resal+('2024'!Salim-'2024'!Resal)*(1-EXP(('2024'!Tnet-t)/('2024'!Tau_j))),Resal+(Salim-Resal)*(1-EXP((Tnet-t)/(Tau_j))))*Salcycl</f>
        <v>1.5584852183842014E-2</v>
      </c>
      <c r="P212" s="169">
        <f>(INDEX(Models!$BJ212:$BT212,,T212)*(1-R212)+INDEX(Models!$BJ212:$BT212,,T212+1)*R212-ERP_i)*Q212*Ramure*Pc/MaxiM</f>
        <v>1.3029965144928408E-3</v>
      </c>
      <c r="Q212" s="304">
        <f t="shared" si="80"/>
        <v>0.7</v>
      </c>
      <c r="R212" s="177">
        <f t="shared" si="81"/>
        <v>0.46286106079446898</v>
      </c>
      <c r="S212" s="799">
        <f t="shared" si="82"/>
        <v>1</v>
      </c>
      <c r="T212" s="176">
        <f t="shared" si="83"/>
        <v>7</v>
      </c>
      <c r="U212" s="250">
        <f t="shared" si="84"/>
        <v>1.462861060794469</v>
      </c>
      <c r="V212" s="382">
        <f t="shared" si="85"/>
        <v>55.140427542998644</v>
      </c>
      <c r="W212" s="400">
        <f t="shared" si="86"/>
        <v>53.354138135383813</v>
      </c>
      <c r="X212" s="157">
        <f t="shared" si="87"/>
        <v>45855</v>
      </c>
      <c r="Y212" s="383">
        <f t="shared" si="88"/>
        <v>50.668876742030783</v>
      </c>
      <c r="Z212" s="383">
        <f t="shared" si="89"/>
        <v>53.033534784721958</v>
      </c>
      <c r="AA212" s="384">
        <f t="shared" si="90"/>
        <v>56.724281673307736</v>
      </c>
      <c r="AB212" s="197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6.5064673887664196E-2</v>
      </c>
      <c r="AD212" s="230">
        <f>(INDEX(Models!$BJ212:$BT212,,AH212)*(1-AF212)+INDEX(Models!$BJ212:$BT212,,AH212+1)*AF212-ERP_i)*AE212*Ramure*Pc/MaxiM</f>
        <v>1.3756084514060663E-3</v>
      </c>
      <c r="AE212" s="304">
        <f t="shared" si="92"/>
        <v>0.7</v>
      </c>
      <c r="AF212" s="177">
        <f t="shared" si="93"/>
        <v>0.52719328305430113</v>
      </c>
      <c r="AG212" s="799">
        <f t="shared" si="99"/>
        <v>1</v>
      </c>
      <c r="AH212" s="176">
        <f t="shared" si="94"/>
        <v>7</v>
      </c>
      <c r="AI212" s="224">
        <f t="shared" si="95"/>
        <v>1.5271932830543011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45856</v>
      </c>
      <c r="B213" s="409">
        <f>'2024'!Wh/'2024'!Env_an*'2025'!Env_an</f>
        <v>55.494883527860701</v>
      </c>
      <c r="C213" s="829"/>
      <c r="D213" s="391">
        <f t="shared" si="77"/>
        <v>58.085878944179598</v>
      </c>
      <c r="E213" s="383">
        <f t="shared" si="75"/>
        <v>59.011565364230783</v>
      </c>
      <c r="F213" s="383">
        <f t="shared" si="78"/>
        <v>59.09626552839137</v>
      </c>
      <c r="G213" s="110">
        <f t="shared" si="76"/>
        <v>1.0088027243466917</v>
      </c>
      <c r="H213" s="412" t="b">
        <f>Wh_hp&gt;='2024'!Maxi_hp</f>
        <v>1</v>
      </c>
      <c r="I213" s="388">
        <f>IF(H213,Wh_hp,'2024'!Maxi_hp)</f>
        <v>59.09626552839137</v>
      </c>
      <c r="J213" s="85">
        <f>IF(H213,An,'2024'!An_max)</f>
        <v>2025</v>
      </c>
      <c r="K213" s="197">
        <f t="shared" si="79"/>
        <v>45856</v>
      </c>
      <c r="L213" s="147">
        <f>IF(t&lt;Tvie,1-EXP((T0-t)*PertePVj)+'2024'!Pspv,1-EXP((T0-t)*PertePVj)+Pspv)</f>
        <v>4.4606287507654607E-2</v>
      </c>
      <c r="M213" s="832"/>
      <c r="N213" s="832"/>
      <c r="O213" s="48">
        <f>IF(t&lt;Tnet,'2024'!Resal+('2024'!Salim-'2024'!Resal)*(1-EXP(('2024'!Tnet-t)/('2024'!Tau_j))),Resal+(Salim-Resal)*(1-EXP((Tnet-t)/(Tau_j))))*Salcycl</f>
        <v>1.5686525418156107E-2</v>
      </c>
      <c r="P213" s="169">
        <f>(INDEX(Models!$BJ213:$BT213,,T213)*(1-R213)+INDEX(Models!$BJ213:$BT213,,T213+1)*R213-ERP_i)*Q213*Ramure*Pc/MaxiM</f>
        <v>1.4332574724183606E-3</v>
      </c>
      <c r="Q213" s="304">
        <f t="shared" si="80"/>
        <v>0.7</v>
      </c>
      <c r="R213" s="177">
        <f t="shared" si="81"/>
        <v>0.46525315752750118</v>
      </c>
      <c r="S213" s="799">
        <f t="shared" si="82"/>
        <v>1</v>
      </c>
      <c r="T213" s="176">
        <f t="shared" si="83"/>
        <v>7</v>
      </c>
      <c r="U213" s="250">
        <f t="shared" si="84"/>
        <v>1.4652531575275012</v>
      </c>
      <c r="V213" s="382">
        <f t="shared" si="85"/>
        <v>55.010640027562978</v>
      </c>
      <c r="W213" s="400">
        <f t="shared" si="86"/>
        <v>55.494883527860701</v>
      </c>
      <c r="X213" s="157">
        <f t="shared" si="87"/>
        <v>45856</v>
      </c>
      <c r="Y213" s="383">
        <f t="shared" si="88"/>
        <v>52.704172463818118</v>
      </c>
      <c r="Z213" s="383">
        <f t="shared" si="89"/>
        <v>55.164872632799941</v>
      </c>
      <c r="AA213" s="384">
        <f t="shared" si="90"/>
        <v>59.006874484391119</v>
      </c>
      <c r="AB213" s="197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6.5111088922486279E-2</v>
      </c>
      <c r="AD213" s="230">
        <f>(INDEX(Models!$BJ213:$BT213,,AH213)*(1-AF213)+INDEX(Models!$BJ213:$BT213,,AH213+1)*AF213-ERP_i)*AE213*Ramure*Pc/MaxiM</f>
        <v>1.5126343974697857E-3</v>
      </c>
      <c r="AE213" s="304">
        <f t="shared" si="92"/>
        <v>0.7</v>
      </c>
      <c r="AF213" s="177">
        <f t="shared" si="93"/>
        <v>0.52958537978733333</v>
      </c>
      <c r="AG213" s="799">
        <f t="shared" si="99"/>
        <v>1</v>
      </c>
      <c r="AH213" s="176">
        <f t="shared" si="94"/>
        <v>7</v>
      </c>
      <c r="AI213" s="224">
        <f t="shared" si="95"/>
        <v>1.5295853797873333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45857</v>
      </c>
      <c r="B214" s="409">
        <f>'2024'!Wh/'2024'!Env_an*'2025'!Env_an</f>
        <v>33.454097360517004</v>
      </c>
      <c r="C214" s="829"/>
      <c r="D214" s="391">
        <f t="shared" si="77"/>
        <v>35.016703664162321</v>
      </c>
      <c r="E214" s="383">
        <f t="shared" si="75"/>
        <v>35.578414834177387</v>
      </c>
      <c r="F214" s="383">
        <f t="shared" si="78"/>
        <v>35.603183636405788</v>
      </c>
      <c r="G214" s="110">
        <f t="shared" si="76"/>
        <v>0.60905761202726427</v>
      </c>
      <c r="H214" s="412" t="b">
        <f>Wh_hp&gt;='2024'!Maxi_hp</f>
        <v>0</v>
      </c>
      <c r="I214" s="388">
        <f>IF(H214,Wh_hp,'2024'!Maxi_hp)</f>
        <v>58.821936669758294</v>
      </c>
      <c r="J214" s="85">
        <f>IF(H214,An,'2024'!An_max)</f>
        <v>2020</v>
      </c>
      <c r="K214" s="197">
        <f t="shared" si="79"/>
        <v>45857</v>
      </c>
      <c r="L214" s="147">
        <f>IF(t&lt;Tvie,1-EXP((T0-t)*PertePVj)+'2024'!Pspv,1-EXP((T0-t)*PertePVj)+Pspv)</f>
        <v>4.46245974101942E-2</v>
      </c>
      <c r="M214" s="832"/>
      <c r="N214" s="832"/>
      <c r="O214" s="48">
        <f>IF(t&lt;Tnet,'2024'!Resal+('2024'!Salim-'2024'!Resal)*(1-EXP(('2024'!Tnet-t)/('2024'!Tau_j))),Resal+(Salim-Resal)*(1-EXP((Tnet-t)/(Tau_j))))*Salcycl</f>
        <v>1.5787976294982957E-2</v>
      </c>
      <c r="P214" s="169">
        <f>(INDEX(Models!$BJ214:$BT214,,T214)*(1-R214)+INDEX(Models!$BJ214:$BT214,,T214+1)*R214-ERP_i)*Q214*Ramure*Pc/MaxiM</f>
        <v>1.5729807057574673E-3</v>
      </c>
      <c r="Q214" s="304">
        <f t="shared" si="80"/>
        <v>0.7</v>
      </c>
      <c r="R214" s="177">
        <f t="shared" si="81"/>
        <v>0.46758190253995213</v>
      </c>
      <c r="S214" s="799">
        <f t="shared" si="82"/>
        <v>1</v>
      </c>
      <c r="T214" s="176">
        <f t="shared" si="83"/>
        <v>7</v>
      </c>
      <c r="U214" s="250">
        <f t="shared" si="84"/>
        <v>1.4675819025399521</v>
      </c>
      <c r="V214" s="382">
        <f t="shared" si="85"/>
        <v>54.879419158012517</v>
      </c>
      <c r="W214" s="400">
        <f t="shared" si="86"/>
        <v>33.454097360517004</v>
      </c>
      <c r="X214" s="157">
        <f t="shared" si="87"/>
        <v>45857</v>
      </c>
      <c r="Y214" s="383">
        <f t="shared" si="88"/>
        <v>31.774795532762194</v>
      </c>
      <c r="Z214" s="383">
        <f t="shared" si="89"/>
        <v>33.258963384056088</v>
      </c>
      <c r="AA214" s="384">
        <f t="shared" si="90"/>
        <v>35.577057046982773</v>
      </c>
      <c r="AB214" s="197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6.5156981924205548E-2</v>
      </c>
      <c r="AD214" s="230">
        <f>(INDEX(Models!$BJ214:$BT214,,AH214)*(1-AF214)+INDEX(Models!$BJ214:$BT214,,AH214+1)*AF214-ERP_i)*AE214*Ramure*Pc/MaxiM</f>
        <v>1.6592090602802194E-3</v>
      </c>
      <c r="AE214" s="304">
        <f t="shared" si="92"/>
        <v>0.7</v>
      </c>
      <c r="AF214" s="177">
        <f t="shared" si="93"/>
        <v>0.53191412479978428</v>
      </c>
      <c r="AG214" s="799">
        <f t="shared" si="99"/>
        <v>1</v>
      </c>
      <c r="AH214" s="176">
        <f t="shared" si="94"/>
        <v>7</v>
      </c>
      <c r="AI214" s="224">
        <f t="shared" si="95"/>
        <v>1.5319141247997843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45858</v>
      </c>
      <c r="B215" s="409">
        <f>'2024'!Wh/'2024'!Env_an*'2025'!Env_an</f>
        <v>40.638479528462824</v>
      </c>
      <c r="C215" s="829"/>
      <c r="D215" s="391">
        <f t="shared" si="77"/>
        <v>42.537476117151847</v>
      </c>
      <c r="E215" s="383">
        <f t="shared" si="75"/>
        <v>43.224275712630728</v>
      </c>
      <c r="F215" s="383">
        <f t="shared" si="78"/>
        <v>43.271363057471916</v>
      </c>
      <c r="G215" s="110">
        <f t="shared" si="76"/>
        <v>0.74182664515427854</v>
      </c>
      <c r="H215" s="412" t="b">
        <f>Wh_hp&gt;='2024'!Maxi_hp</f>
        <v>0</v>
      </c>
      <c r="I215" s="388">
        <f>IF(H215,Wh_hp,'2024'!Maxi_hp)</f>
        <v>57.966887791855576</v>
      </c>
      <c r="J215" s="85">
        <f>IF(H215,An,'2024'!An_max)</f>
        <v>2020</v>
      </c>
      <c r="K215" s="197">
        <f t="shared" si="79"/>
        <v>45858</v>
      </c>
      <c r="L215" s="147">
        <f>IF(t&lt;Tvie,1-EXP((T0-t)*PertePVj)+'2024'!Pspv,1-EXP((T0-t)*PertePVj)+Pspv)</f>
        <v>4.464290696182871E-2</v>
      </c>
      <c r="M215" s="832"/>
      <c r="N215" s="832"/>
      <c r="O215" s="48">
        <f>IF(t&lt;Tnet,'2024'!Resal+('2024'!Salim-'2024'!Resal)*(1-EXP(('2024'!Tnet-t)/('2024'!Tau_j))),Resal+(Salim-Resal)*(1-EXP((Tnet-t)/(Tau_j))))*Salcycl</f>
        <v>1.5889210036622768E-2</v>
      </c>
      <c r="P215" s="169">
        <f>(INDEX(Models!$BJ215:$BT215,,T215)*(1-R215)+INDEX(Models!$BJ215:$BT215,,T215+1)*R215-ERP_i)*Q215*Ramure*Pc/MaxiM</f>
        <v>1.7222131192631677E-3</v>
      </c>
      <c r="Q215" s="304">
        <f t="shared" si="80"/>
        <v>0.7</v>
      </c>
      <c r="R215" s="177">
        <f t="shared" si="81"/>
        <v>0.46984789088830037</v>
      </c>
      <c r="S215" s="799">
        <f t="shared" si="82"/>
        <v>1</v>
      </c>
      <c r="T215" s="176">
        <f t="shared" si="83"/>
        <v>7</v>
      </c>
      <c r="U215" s="250">
        <f t="shared" si="84"/>
        <v>1.4698478908883004</v>
      </c>
      <c r="V215" s="382">
        <f t="shared" si="85"/>
        <v>54.74686825708919</v>
      </c>
      <c r="W215" s="400">
        <f t="shared" si="86"/>
        <v>40.638479528462824</v>
      </c>
      <c r="X215" s="157">
        <f t="shared" si="87"/>
        <v>45858</v>
      </c>
      <c r="Y215" s="383">
        <f t="shared" si="88"/>
        <v>38.599836011139161</v>
      </c>
      <c r="Z215" s="383">
        <f t="shared" si="89"/>
        <v>40.40356877278861</v>
      </c>
      <c r="AA215" s="384">
        <f t="shared" si="90"/>
        <v>43.221728420312104</v>
      </c>
      <c r="AB215" s="197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6.5202382008376553E-2</v>
      </c>
      <c r="AD215" s="230">
        <f>(INDEX(Models!$BJ215:$BT215,,AH215)*(1-AF215)+INDEX(Models!$BJ215:$BT215,,AH215+1)*AF215-ERP_i)*AE215*Ramure*Pc/MaxiM</f>
        <v>1.8153799831950822E-3</v>
      </c>
      <c r="AE215" s="304">
        <f t="shared" si="92"/>
        <v>0.7</v>
      </c>
      <c r="AF215" s="177">
        <f t="shared" si="93"/>
        <v>0.53418011314813252</v>
      </c>
      <c r="AG215" s="799">
        <f t="shared" si="99"/>
        <v>1</v>
      </c>
      <c r="AH215" s="176">
        <f t="shared" si="94"/>
        <v>7</v>
      </c>
      <c r="AI215" s="224">
        <f t="shared" si="95"/>
        <v>1.5341801131481325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45859</v>
      </c>
      <c r="B216" s="409">
        <f>'2024'!Wh/'2024'!Env_an*'2025'!Env_an</f>
        <v>53.025962951500595</v>
      </c>
      <c r="C216" s="829"/>
      <c r="D216" s="391">
        <f t="shared" si="77"/>
        <v>55.50487832023758</v>
      </c>
      <c r="E216" s="383">
        <f t="shared" si="75"/>
        <v>56.40683671391502</v>
      </c>
      <c r="F216" s="383">
        <f t="shared" si="78"/>
        <v>56.508716871883387</v>
      </c>
      <c r="G216" s="110">
        <f t="shared" si="76"/>
        <v>0.97086273670591483</v>
      </c>
      <c r="H216" s="412" t="b">
        <f>Wh_hp&gt;='2024'!Maxi_hp</f>
        <v>0</v>
      </c>
      <c r="I216" s="388">
        <f>IF(H216,Wh_hp,'2024'!Maxi_hp)</f>
        <v>56.512013586305258</v>
      </c>
      <c r="J216" s="85">
        <f>IF(H216,An,'2024'!An_max)</f>
        <v>2022</v>
      </c>
      <c r="K216" s="197">
        <f t="shared" si="79"/>
        <v>45859</v>
      </c>
      <c r="L216" s="147">
        <f>IF(t&lt;Tvie,1-EXP((T0-t)*PertePVj)+'2024'!Pspv,1-EXP((T0-t)*PertePVj)+Pspv)</f>
        <v>4.4661216162564799E-2</v>
      </c>
      <c r="M216" s="832"/>
      <c r="N216" s="832"/>
      <c r="O216" s="48">
        <f>IF(t&lt;Tnet,'2024'!Resal+('2024'!Salim-'2024'!Resal)*(1-EXP(('2024'!Tnet-t)/('2024'!Tau_j))),Resal+(Salim-Resal)*(1-EXP((Tnet-t)/(Tau_j))))*Salcycl</f>
        <v>1.5990231791440494E-2</v>
      </c>
      <c r="P216" s="169">
        <f>(INDEX(Models!$BJ216:$BT216,,T216)*(1-R216)+INDEX(Models!$BJ216:$BT216,,T216+1)*R216-ERP_i)*Q216*Ramure*Pc/MaxiM</f>
        <v>1.8810024590004894E-3</v>
      </c>
      <c r="Q216" s="304">
        <f t="shared" si="80"/>
        <v>0.7</v>
      </c>
      <c r="R216" s="177">
        <f t="shared" si="81"/>
        <v>0.47205178909474821</v>
      </c>
      <c r="S216" s="799">
        <f t="shared" si="82"/>
        <v>1</v>
      </c>
      <c r="T216" s="176">
        <f t="shared" si="83"/>
        <v>7</v>
      </c>
      <c r="U216" s="250">
        <f t="shared" si="84"/>
        <v>1.4720517890947482</v>
      </c>
      <c r="V216" s="382">
        <f t="shared" si="85"/>
        <v>54.613090569277681</v>
      </c>
      <c r="W216" s="400">
        <f t="shared" si="86"/>
        <v>53.025962951500595</v>
      </c>
      <c r="X216" s="157">
        <f t="shared" si="87"/>
        <v>45859</v>
      </c>
      <c r="Y216" s="383">
        <f t="shared" si="88"/>
        <v>50.366768821729856</v>
      </c>
      <c r="Z216" s="383">
        <f t="shared" si="89"/>
        <v>52.721369292069369</v>
      </c>
      <c r="AA216" s="384">
        <f t="shared" si="90"/>
        <v>56.401409985229101</v>
      </c>
      <c r="AB216" s="197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6.5247317294434504E-2</v>
      </c>
      <c r="AD216" s="230">
        <f>(INDEX(Models!$BJ216:$BT216,,AH216)*(1-AF216)+INDEX(Models!$BJ216:$BT216,,AH216+1)*AF216-ERP_i)*AE216*Ramure*Pc/MaxiM</f>
        <v>1.9811955702607365E-3</v>
      </c>
      <c r="AE216" s="304">
        <f t="shared" si="92"/>
        <v>0.7</v>
      </c>
      <c r="AF216" s="177">
        <f t="shared" si="93"/>
        <v>0.53638401135458036</v>
      </c>
      <c r="AG216" s="799">
        <f t="shared" si="99"/>
        <v>1</v>
      </c>
      <c r="AH216" s="176">
        <f t="shared" si="94"/>
        <v>7</v>
      </c>
      <c r="AI216" s="224">
        <f t="shared" si="95"/>
        <v>1.5363840113545804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45860</v>
      </c>
      <c r="B217" s="409">
        <f>'2024'!Wh/'2024'!Env_an*'2025'!Env_an</f>
        <v>44.540007015123798</v>
      </c>
      <c r="C217" s="829"/>
      <c r="D217" s="391">
        <f t="shared" si="77"/>
        <v>46.623105210534042</v>
      </c>
      <c r="E217" s="383">
        <f t="shared" si="75"/>
        <v>47.385588930034459</v>
      </c>
      <c r="F217" s="383">
        <f t="shared" si="78"/>
        <v>47.457501749078553</v>
      </c>
      <c r="G217" s="110">
        <f t="shared" si="76"/>
        <v>0.81713770708680755</v>
      </c>
      <c r="H217" s="412" t="b">
        <f>Wh_hp&gt;='2024'!Maxi_hp</f>
        <v>0</v>
      </c>
      <c r="I217" s="388">
        <f>IF(H217,Wh_hp,'2024'!Maxi_hp)</f>
        <v>54.98806790169472</v>
      </c>
      <c r="J217" s="85">
        <f>IF(H217,An,'2024'!An_max)</f>
        <v>2021</v>
      </c>
      <c r="K217" s="197">
        <f t="shared" si="79"/>
        <v>45860</v>
      </c>
      <c r="L217" s="147">
        <f>IF(t&lt;Tvie,1-EXP((T0-t)*PertePVj)+'2024'!Pspv,1-EXP((T0-t)*PertePVj)+Pspv)</f>
        <v>4.4679525012409238E-2</v>
      </c>
      <c r="M217" s="832"/>
      <c r="N217" s="832"/>
      <c r="O217" s="48">
        <f>IF(t&lt;Tnet,'2024'!Resal+('2024'!Salim-'2024'!Resal)*(1-EXP(('2024'!Tnet-t)/('2024'!Tau_j))),Resal+(Salim-Resal)*(1-EXP((Tnet-t)/(Tau_j))))*Salcycl</f>
        <v>1.6091046597019924E-2</v>
      </c>
      <c r="P217" s="169">
        <f>(INDEX(Models!$BJ217:$BT217,,T217)*(1-R217)+INDEX(Models!$BJ217:$BT217,,T217+1)*R217-ERP_i)*Q217*Ramure*Pc/MaxiM</f>
        <v>2.0493973413914768E-3</v>
      </c>
      <c r="Q217" s="304">
        <f t="shared" si="80"/>
        <v>0.7</v>
      </c>
      <c r="R217" s="177">
        <f t="shared" si="81"/>
        <v>0.47419432962057151</v>
      </c>
      <c r="S217" s="799">
        <f t="shared" si="82"/>
        <v>1</v>
      </c>
      <c r="T217" s="176">
        <f t="shared" si="83"/>
        <v>7</v>
      </c>
      <c r="U217" s="250">
        <f t="shared" si="84"/>
        <v>1.4741943296205715</v>
      </c>
      <c r="V217" s="382">
        <f t="shared" si="85"/>
        <v>54.47818925302353</v>
      </c>
      <c r="W217" s="400">
        <f t="shared" si="86"/>
        <v>44.540007015123798</v>
      </c>
      <c r="X217" s="157">
        <f t="shared" si="87"/>
        <v>45860</v>
      </c>
      <c r="Y217" s="383">
        <f t="shared" si="88"/>
        <v>42.30940351284957</v>
      </c>
      <c r="Z217" s="383">
        <f t="shared" si="89"/>
        <v>44.288178282161439</v>
      </c>
      <c r="AA217" s="384">
        <f t="shared" si="90"/>
        <v>47.38182352830195</v>
      </c>
      <c r="AB217" s="197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6.5291814788272604E-2</v>
      </c>
      <c r="AD217" s="230">
        <f>(INDEX(Models!$BJ217:$BT217,,AH217)*(1-AF217)+INDEX(Models!$BJ217:$BT217,,AH217+1)*AF217-ERP_i)*AE217*Ramure*Pc/MaxiM</f>
        <v>2.1567051121399125E-3</v>
      </c>
      <c r="AE217" s="304">
        <f t="shared" si="92"/>
        <v>0.7</v>
      </c>
      <c r="AF217" s="177">
        <f t="shared" si="93"/>
        <v>0.53852655188040366</v>
      </c>
      <c r="AG217" s="799">
        <f t="shared" si="99"/>
        <v>1</v>
      </c>
      <c r="AH217" s="176">
        <f t="shared" si="94"/>
        <v>7</v>
      </c>
      <c r="AI217" s="224">
        <f t="shared" si="95"/>
        <v>1.5385265518804037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45861</v>
      </c>
      <c r="B218" s="409">
        <f>'2024'!Wh/'2024'!Env_an*'2025'!Env_an</f>
        <v>39.278215261983711</v>
      </c>
      <c r="C218" s="829"/>
      <c r="D218" s="391">
        <f t="shared" si="77"/>
        <v>41.116011917315319</v>
      </c>
      <c r="E218" s="383">
        <f t="shared" si="75"/>
        <v>41.792705162431723</v>
      </c>
      <c r="F218" s="383">
        <f t="shared" si="78"/>
        <v>41.849006981477586</v>
      </c>
      <c r="G218" s="110">
        <f t="shared" si="76"/>
        <v>0.72215466006309592</v>
      </c>
      <c r="H218" s="412" t="b">
        <f>Wh_hp&gt;='2024'!Maxi_hp</f>
        <v>0</v>
      </c>
      <c r="I218" s="388">
        <f>IF(H218,Wh_hp,'2024'!Maxi_hp)</f>
        <v>56.499257606465072</v>
      </c>
      <c r="J218" s="85">
        <f>IF(H218,An,'2024'!An_max)</f>
        <v>2018</v>
      </c>
      <c r="K218" s="197">
        <f t="shared" si="79"/>
        <v>45861</v>
      </c>
      <c r="L218" s="147">
        <f>IF(t&lt;Tvie,1-EXP((T0-t)*PertePVj)+'2024'!Pspv,1-EXP((T0-t)*PertePVj)+Pspv)</f>
        <v>4.469783351136869E-2</v>
      </c>
      <c r="M218" s="832"/>
      <c r="N218" s="832"/>
      <c r="O218" s="48">
        <f>IF(t&lt;Tnet,'2024'!Resal+('2024'!Salim-'2024'!Resal)*(1-EXP(('2024'!Tnet-t)/('2024'!Tau_j))),Resal+(Salim-Resal)*(1-EXP((Tnet-t)/(Tau_j))))*Salcycl</f>
        <v>1.6191659345485335E-2</v>
      </c>
      <c r="P218" s="169">
        <f>(INDEX(Models!$BJ218:$BT218,,T218)*(1-R218)+INDEX(Models!$BJ218:$BT218,,T218+1)*R218-ERP_i)*Q218*Ramure*Pc/MaxiM</f>
        <v>2.227447262486667E-3</v>
      </c>
      <c r="Q218" s="304">
        <f t="shared" si="80"/>
        <v>0.7</v>
      </c>
      <c r="R218" s="177">
        <f t="shared" si="81"/>
        <v>0.47627630542947719</v>
      </c>
      <c r="S218" s="799">
        <f t="shared" si="82"/>
        <v>1</v>
      </c>
      <c r="T218" s="176">
        <f t="shared" si="83"/>
        <v>7</v>
      </c>
      <c r="U218" s="250">
        <f t="shared" si="84"/>
        <v>1.4762763054294772</v>
      </c>
      <c r="V218" s="382">
        <f t="shared" si="85"/>
        <v>54.342267373556908</v>
      </c>
      <c r="W218" s="400">
        <f t="shared" si="86"/>
        <v>39.278215261983711</v>
      </c>
      <c r="X218" s="157">
        <f t="shared" si="87"/>
        <v>45861</v>
      </c>
      <c r="Y218" s="383">
        <f t="shared" si="88"/>
        <v>37.313563659316017</v>
      </c>
      <c r="Z218" s="383">
        <f t="shared" si="89"/>
        <v>39.059435818583033</v>
      </c>
      <c r="AA218" s="384">
        <f t="shared" si="90"/>
        <v>41.789810724696416</v>
      </c>
      <c r="AB218" s="197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6.5335900277237249E-2</v>
      </c>
      <c r="AD218" s="230">
        <f>(INDEX(Models!$BJ218:$BT218,,AH218)*(1-AF218)+INDEX(Models!$BJ218:$BT218,,AH218+1)*AF218-ERP_i)*AE218*Ramure*Pc/MaxiM</f>
        <v>2.3419587919400161E-3</v>
      </c>
      <c r="AE218" s="304">
        <f t="shared" si="92"/>
        <v>0.7</v>
      </c>
      <c r="AF218" s="177">
        <f t="shared" si="93"/>
        <v>0.54060852768930934</v>
      </c>
      <c r="AG218" s="799">
        <f t="shared" si="99"/>
        <v>1</v>
      </c>
      <c r="AH218" s="176">
        <f t="shared" si="94"/>
        <v>7</v>
      </c>
      <c r="AI218" s="224">
        <f t="shared" si="95"/>
        <v>1.5406085276893093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45862</v>
      </c>
      <c r="B219" s="409">
        <f>'2024'!Wh/'2024'!Env_an*'2025'!Env_an</f>
        <v>53.368580990862377</v>
      </c>
      <c r="C219" s="829"/>
      <c r="D219" s="391">
        <f t="shared" si="77"/>
        <v>55.866725397799996</v>
      </c>
      <c r="E219" s="383">
        <f t="shared" si="75"/>
        <v>56.791984657103448</v>
      </c>
      <c r="F219" s="383">
        <f t="shared" si="78"/>
        <v>56.926443908774488</v>
      </c>
      <c r="G219" s="110">
        <f t="shared" si="76"/>
        <v>0.98451767850783112</v>
      </c>
      <c r="H219" s="412" t="b">
        <f>Wh_hp&gt;='2024'!Maxi_hp</f>
        <v>0</v>
      </c>
      <c r="I219" s="388">
        <f>IF(H219,Wh_hp,'2024'!Maxi_hp)</f>
        <v>56.928661050654043</v>
      </c>
      <c r="J219" s="85">
        <f>IF(H219,An,'2024'!An_max)</f>
        <v>2022</v>
      </c>
      <c r="K219" s="197">
        <f t="shared" si="79"/>
        <v>45862</v>
      </c>
      <c r="L219" s="147">
        <f>IF(t&lt;Tvie,1-EXP((T0-t)*PertePVj)+'2024'!Pspv,1-EXP((T0-t)*PertePVj)+Pspv)</f>
        <v>4.4716141659450037E-2</v>
      </c>
      <c r="M219" s="832"/>
      <c r="N219" s="832"/>
      <c r="O219" s="48">
        <f>IF(t&lt;Tnet,'2024'!Resal+('2024'!Salim-'2024'!Resal)*(1-EXP(('2024'!Tnet-t)/('2024'!Tau_j))),Resal+(Salim-Resal)*(1-EXP((Tnet-t)/(Tau_j))))*Salcycl</f>
        <v>1.6292074751216159E-2</v>
      </c>
      <c r="P219" s="169">
        <f>(INDEX(Models!$BJ219:$BT219,,T219)*(1-R219)+INDEX(Models!$BJ219:$BT219,,T219+1)*R219-ERP_i)*Q219*Ramure*Pc/MaxiM</f>
        <v>2.4152198699479688E-3</v>
      </c>
      <c r="Q219" s="304">
        <f t="shared" si="80"/>
        <v>0.7</v>
      </c>
      <c r="R219" s="177">
        <f t="shared" si="81"/>
        <v>0.47829856466377918</v>
      </c>
      <c r="S219" s="799">
        <f t="shared" si="82"/>
        <v>1</v>
      </c>
      <c r="T219" s="176">
        <f t="shared" si="83"/>
        <v>7</v>
      </c>
      <c r="U219" s="250">
        <f t="shared" si="84"/>
        <v>1.4782985646637792</v>
      </c>
      <c r="V219" s="382">
        <f t="shared" si="85"/>
        <v>54.204951535485563</v>
      </c>
      <c r="W219" s="400">
        <f t="shared" si="86"/>
        <v>53.368580990862377</v>
      </c>
      <c r="X219" s="157">
        <f t="shared" si="87"/>
        <v>45862</v>
      </c>
      <c r="Y219" s="383">
        <f t="shared" si="88"/>
        <v>50.69940739298282</v>
      </c>
      <c r="Z219" s="383">
        <f t="shared" si="89"/>
        <v>53.072609727808199</v>
      </c>
      <c r="AA219" s="384">
        <f t="shared" si="90"/>
        <v>56.785203519791551</v>
      </c>
      <c r="AB219" s="197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6.5379598237935113E-2</v>
      </c>
      <c r="AD219" s="230">
        <f>(INDEX(Models!$BJ219:$BT219,,AH219)*(1-AF219)+INDEX(Models!$BJ219:$BT219,,AH219+1)*AF219-ERP_i)*AE219*Ramure*Pc/MaxiM</f>
        <v>2.5370258250829434E-3</v>
      </c>
      <c r="AE219" s="304">
        <f t="shared" si="92"/>
        <v>0.7</v>
      </c>
      <c r="AF219" s="177">
        <f t="shared" si="93"/>
        <v>0.54263078692361133</v>
      </c>
      <c r="AG219" s="799">
        <f t="shared" si="99"/>
        <v>1</v>
      </c>
      <c r="AH219" s="176">
        <f t="shared" si="94"/>
        <v>7</v>
      </c>
      <c r="AI219" s="224">
        <f t="shared" si="95"/>
        <v>1.5426307869236113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45863</v>
      </c>
      <c r="B220" s="409">
        <f>'2024'!Wh/'2024'!Env_an*'2025'!Env_an</f>
        <v>28.534772031801459</v>
      </c>
      <c r="C220" s="829"/>
      <c r="D220" s="391">
        <f t="shared" si="77"/>
        <v>29.871036399848531</v>
      </c>
      <c r="E220" s="383">
        <f t="shared" si="75"/>
        <v>30.368851645320539</v>
      </c>
      <c r="F220" s="383">
        <f t="shared" si="78"/>
        <v>30.394670572697297</v>
      </c>
      <c r="G220" s="110">
        <f t="shared" si="76"/>
        <v>0.52684648740754891</v>
      </c>
      <c r="H220" s="412" t="b">
        <f>Wh_hp&gt;='2024'!Maxi_hp</f>
        <v>0</v>
      </c>
      <c r="I220" s="388">
        <f>IF(H220,Wh_hp,'2024'!Maxi_hp)</f>
        <v>57.091704599474085</v>
      </c>
      <c r="J220" s="85">
        <f>IF(H220,An,'2024'!An_max)</f>
        <v>2018</v>
      </c>
      <c r="K220" s="197">
        <f t="shared" si="79"/>
        <v>45863</v>
      </c>
      <c r="L220" s="147">
        <f>IF(t&lt;Tvie,1-EXP((T0-t)*PertePVj)+'2024'!Pspv,1-EXP((T0-t)*PertePVj)+Pspv)</f>
        <v>4.4734449456659831E-2</v>
      </c>
      <c r="M220" s="832"/>
      <c r="N220" s="832"/>
      <c r="O220" s="48">
        <f>IF(t&lt;Tnet,'2024'!Resal+('2024'!Salim-'2024'!Resal)*(1-EXP(('2024'!Tnet-t)/('2024'!Tau_j))),Resal+(Salim-Resal)*(1-EXP((Tnet-t)/(Tau_j))))*Salcycl</f>
        <v>1.6392297321150624E-2</v>
      </c>
      <c r="P220" s="169">
        <f>(INDEX(Models!$BJ220:$BT220,,T220)*(1-R220)+INDEX(Models!$BJ220:$BT220,,T220+1)*R220-ERP_i)*Q220*Ramure*Pc/MaxiM</f>
        <v>2.6105344800315222E-3</v>
      </c>
      <c r="Q220" s="304">
        <f t="shared" si="80"/>
        <v>0.7</v>
      </c>
      <c r="R220" s="177">
        <f t="shared" si="81"/>
        <v>0.48026200545348718</v>
      </c>
      <c r="S220" s="799">
        <f t="shared" si="82"/>
        <v>1</v>
      </c>
      <c r="T220" s="176">
        <f t="shared" si="83"/>
        <v>7</v>
      </c>
      <c r="U220" s="250">
        <f t="shared" si="84"/>
        <v>1.4802620054534872</v>
      </c>
      <c r="V220" s="382">
        <f t="shared" si="85"/>
        <v>54.065990775524078</v>
      </c>
      <c r="W220" s="400">
        <f t="shared" si="86"/>
        <v>28.534772031801459</v>
      </c>
      <c r="X220" s="157">
        <f t="shared" si="87"/>
        <v>45863</v>
      </c>
      <c r="Y220" s="383">
        <f t="shared" si="88"/>
        <v>27.111239771836441</v>
      </c>
      <c r="Z220" s="383">
        <f t="shared" si="89"/>
        <v>28.380841072323808</v>
      </c>
      <c r="AA220" s="384">
        <f t="shared" si="90"/>
        <v>30.367576989325453</v>
      </c>
      <c r="AB220" s="197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6.5422931757117372E-2</v>
      </c>
      <c r="AD220" s="230">
        <f>(INDEX(Models!$BJ220:$BT220,,AH220)*(1-AF220)+INDEX(Models!$BJ220:$BT220,,AH220+1)*AF220-ERP_i)*AE220*Ramure*Pc/MaxiM</f>
        <v>2.7394140952377863E-3</v>
      </c>
      <c r="AE220" s="304">
        <f t="shared" si="92"/>
        <v>0.7</v>
      </c>
      <c r="AF220" s="177">
        <f t="shared" si="93"/>
        <v>0.54459422771331933</v>
      </c>
      <c r="AG220" s="799">
        <f t="shared" si="99"/>
        <v>1</v>
      </c>
      <c r="AH220" s="176">
        <f t="shared" si="94"/>
        <v>7</v>
      </c>
      <c r="AI220" s="224">
        <f t="shared" si="95"/>
        <v>1.5445942277133193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45864</v>
      </c>
      <c r="B221" s="409">
        <f>'2024'!Wh/'2024'!Env_an*'2025'!Env_an</f>
        <v>44.939291421399702</v>
      </c>
      <c r="C221" s="829"/>
      <c r="D221" s="391">
        <f t="shared" si="77"/>
        <v>47.04467010624662</v>
      </c>
      <c r="E221" s="383">
        <f t="shared" si="75"/>
        <v>47.833556976492183</v>
      </c>
      <c r="F221" s="383">
        <f t="shared" si="78"/>
        <v>47.936054119563309</v>
      </c>
      <c r="G221" s="110">
        <f t="shared" si="76"/>
        <v>0.83279509247074357</v>
      </c>
      <c r="H221" s="412" t="b">
        <f>Wh_hp&gt;='2024'!Maxi_hp</f>
        <v>0</v>
      </c>
      <c r="I221" s="388">
        <f>IF(H221,Wh_hp,'2024'!Maxi_hp)</f>
        <v>56.969060465949205</v>
      </c>
      <c r="J221" s="85">
        <f>IF(H221,An,'2024'!An_max)</f>
        <v>2020</v>
      </c>
      <c r="K221" s="197">
        <f t="shared" si="79"/>
        <v>45864</v>
      </c>
      <c r="L221" s="147">
        <f>IF(t&lt;Tvie,1-EXP((T0-t)*PertePVj)+'2024'!Pspv,1-EXP((T0-t)*PertePVj)+Pspv)</f>
        <v>4.4752756903004953E-2</v>
      </c>
      <c r="M221" s="832"/>
      <c r="N221" s="832"/>
      <c r="O221" s="48">
        <f>IF(t&lt;Tnet,'2024'!Resal+('2024'!Salim-'2024'!Resal)*(1-EXP(('2024'!Tnet-t)/('2024'!Tau_j))),Resal+(Salim-Resal)*(1-EXP((Tnet-t)/(Tau_j))))*Salcycl</f>
        <v>1.6492331327843047E-2</v>
      </c>
      <c r="P221" s="169">
        <f>(INDEX(Models!$BJ221:$BT221,,T221)*(1-R221)+INDEX(Models!$BJ221:$BT221,,T221+1)*R221-ERP_i)*Q221*Ramure*Pc/MaxiM</f>
        <v>2.806291276854877E-3</v>
      </c>
      <c r="Q221" s="304">
        <f t="shared" si="80"/>
        <v>0.7</v>
      </c>
      <c r="R221" s="177">
        <f t="shared" si="81"/>
        <v>0.48216757087577422</v>
      </c>
      <c r="S221" s="799">
        <f t="shared" si="82"/>
        <v>1</v>
      </c>
      <c r="T221" s="176">
        <f t="shared" si="83"/>
        <v>7</v>
      </c>
      <c r="U221" s="250">
        <f t="shared" si="84"/>
        <v>1.4821675708757742</v>
      </c>
      <c r="V221" s="382">
        <f t="shared" si="85"/>
        <v>53.925874684467708</v>
      </c>
      <c r="W221" s="400">
        <f t="shared" si="86"/>
        <v>44.939291421399702</v>
      </c>
      <c r="X221" s="157">
        <f t="shared" si="87"/>
        <v>45864</v>
      </c>
      <c r="Y221" s="383">
        <f t="shared" si="88"/>
        <v>42.697132603177735</v>
      </c>
      <c r="Z221" s="383">
        <f t="shared" si="89"/>
        <v>44.697467500403249</v>
      </c>
      <c r="AA221" s="384">
        <f t="shared" si="90"/>
        <v>47.828611684592502</v>
      </c>
      <c r="AB221" s="197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6.5465922465776288E-2</v>
      </c>
      <c r="AD221" s="230">
        <f>(INDEX(Models!$BJ221:$BT221,,AH221)*(1-AF221)+INDEX(Models!$BJ221:$BT221,,AH221+1)*AF221-ERP_i)*AE221*Ramure*Pc/MaxiM</f>
        <v>2.9416894850755513E-3</v>
      </c>
      <c r="AE221" s="304">
        <f t="shared" si="92"/>
        <v>0.7</v>
      </c>
      <c r="AF221" s="177">
        <f t="shared" si="93"/>
        <v>0.54649979313560637</v>
      </c>
      <c r="AG221" s="799">
        <f t="shared" si="99"/>
        <v>1</v>
      </c>
      <c r="AH221" s="176">
        <f t="shared" si="94"/>
        <v>7</v>
      </c>
      <c r="AI221" s="224">
        <f t="shared" si="95"/>
        <v>1.5464997931356064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45865</v>
      </c>
      <c r="B222" s="409">
        <f>'2024'!Wh/'2024'!Env_an*'2025'!Env_an</f>
        <v>55.337622292908755</v>
      </c>
      <c r="C222" s="829"/>
      <c r="D222" s="391">
        <f t="shared" si="77"/>
        <v>57.931266743809559</v>
      </c>
      <c r="E222" s="383">
        <f t="shared" si="75"/>
        <v>58.908690384500765</v>
      </c>
      <c r="F222" s="383">
        <f t="shared" si="78"/>
        <v>59.086092502375408</v>
      </c>
      <c r="G222" s="110">
        <f t="shared" si="76"/>
        <v>1.0288727641708302</v>
      </c>
      <c r="H222" s="412" t="b">
        <f>Wh_hp&gt;='2024'!Maxi_hp</f>
        <v>1</v>
      </c>
      <c r="I222" s="388">
        <f>IF(H222,Wh_hp,'2024'!Maxi_hp)</f>
        <v>59.086092502375408</v>
      </c>
      <c r="J222" s="85">
        <f>IF(H222,An,'2024'!An_max)</f>
        <v>2025</v>
      </c>
      <c r="K222" s="197">
        <f t="shared" si="79"/>
        <v>45865</v>
      </c>
      <c r="L222" s="147">
        <f>IF(t&lt;Tvie,1-EXP((T0-t)*PertePVj)+'2024'!Pspv,1-EXP((T0-t)*PertePVj)+Pspv)</f>
        <v>4.4771063998491956E-2</v>
      </c>
      <c r="M222" s="832"/>
      <c r="N222" s="832"/>
      <c r="O222" s="48">
        <f>IF(t&lt;Tnet,'2024'!Resal+('2024'!Salim-'2024'!Resal)*(1-EXP(('2024'!Tnet-t)/('2024'!Tau_j))),Resal+(Salim-Resal)*(1-EXP((Tnet-t)/(Tau_j))))*Salcycl</f>
        <v>1.659218078540704E-2</v>
      </c>
      <c r="P222" s="169">
        <f>(INDEX(Models!$BJ222:$BT222,,T222)*(1-R222)+INDEX(Models!$BJ222:$BT222,,T222+1)*R222-ERP_i)*Q222*Ramure*Pc/MaxiM</f>
        <v>3.0024344200373738E-3</v>
      </c>
      <c r="Q222" s="304">
        <f t="shared" si="80"/>
        <v>0.7</v>
      </c>
      <c r="R222" s="177">
        <f t="shared" si="81"/>
        <v>0.48401624407974686</v>
      </c>
      <c r="S222" s="799">
        <f t="shared" si="82"/>
        <v>1</v>
      </c>
      <c r="T222" s="176">
        <f t="shared" si="83"/>
        <v>7</v>
      </c>
      <c r="U222" s="250">
        <f t="shared" si="84"/>
        <v>1.4840162440797469</v>
      </c>
      <c r="V222" s="382">
        <f t="shared" si="85"/>
        <v>53.784709071879661</v>
      </c>
      <c r="W222" s="400">
        <f t="shared" si="86"/>
        <v>55.337622292908755</v>
      </c>
      <c r="X222" s="157">
        <f t="shared" si="87"/>
        <v>45865</v>
      </c>
      <c r="Y222" s="383">
        <f t="shared" si="88"/>
        <v>52.577577305334785</v>
      </c>
      <c r="Z222" s="383">
        <f t="shared" si="89"/>
        <v>55.041859939271959</v>
      </c>
      <c r="AA222" s="384">
        <f t="shared" si="90"/>
        <v>58.900338065092079</v>
      </c>
      <c r="AB222" s="197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6.5508590486459212E-2</v>
      </c>
      <c r="AD222" s="230">
        <f>(INDEX(Models!$BJ222:$BT222,,AH222)*(1-AF222)+INDEX(Models!$BJ222:$BT222,,AH222+1)*AF222-ERP_i)*AE222*Ramure*Pc/MaxiM</f>
        <v>3.1437928862169708E-3</v>
      </c>
      <c r="AE222" s="304">
        <f t="shared" si="92"/>
        <v>0.7</v>
      </c>
      <c r="AF222" s="177">
        <f t="shared" si="93"/>
        <v>0.54834846633957901</v>
      </c>
      <c r="AG222" s="799">
        <f t="shared" si="99"/>
        <v>1</v>
      </c>
      <c r="AH222" s="176">
        <f t="shared" si="94"/>
        <v>7</v>
      </c>
      <c r="AI222" s="224">
        <f t="shared" si="95"/>
        <v>1.548348466339579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45866</v>
      </c>
      <c r="B223" s="409">
        <f>'2024'!Wh/'2024'!Env_an*'2025'!Env_an</f>
        <v>44.108930191186062</v>
      </c>
      <c r="C223" s="829"/>
      <c r="D223" s="391">
        <f t="shared" si="77"/>
        <v>46.177176886632431</v>
      </c>
      <c r="E223" s="383">
        <f t="shared" si="75"/>
        <v>46.961043554649194</v>
      </c>
      <c r="F223" s="383">
        <f t="shared" si="78"/>
        <v>47.073394872909084</v>
      </c>
      <c r="G223" s="110">
        <f t="shared" si="76"/>
        <v>0.82160485032667707</v>
      </c>
      <c r="H223" s="412" t="b">
        <f>Wh_hp&gt;='2024'!Maxi_hp</f>
        <v>0</v>
      </c>
      <c r="I223" s="388">
        <f>IF(H223,Wh_hp,'2024'!Maxi_hp)</f>
        <v>55.235892081296527</v>
      </c>
      <c r="J223" s="85">
        <f>IF(H223,An,'2024'!An_max)</f>
        <v>2020</v>
      </c>
      <c r="K223" s="197">
        <f t="shared" si="79"/>
        <v>45866</v>
      </c>
      <c r="L223" s="147">
        <f>IF(t&lt;Tvie,1-EXP((T0-t)*PertePVj)+'2024'!Pspv,1-EXP((T0-t)*PertePVj)+Pspv)</f>
        <v>4.4789370743127721E-2</v>
      </c>
      <c r="M223" s="832"/>
      <c r="N223" s="832"/>
      <c r="O223" s="48">
        <f>IF(t&lt;Tnet,'2024'!Resal+('2024'!Salim-'2024'!Resal)*(1-EXP(('2024'!Tnet-t)/('2024'!Tau_j))),Resal+(Salim-Resal)*(1-EXP((Tnet-t)/(Tau_j))))*Salcycl</f>
        <v>1.6691849428443123E-2</v>
      </c>
      <c r="P223" s="169">
        <f>(INDEX(Models!$BJ223:$BT223,,T223)*(1-R223)+INDEX(Models!$BJ223:$BT223,,T223+1)*R223-ERP_i)*Q223*Ramure*Pc/MaxiM</f>
        <v>3.1989101979056469E-3</v>
      </c>
      <c r="Q223" s="304">
        <f t="shared" si="80"/>
        <v>0.7</v>
      </c>
      <c r="R223" s="177">
        <f t="shared" si="81"/>
        <v>0.48580904358901211</v>
      </c>
      <c r="S223" s="799">
        <f t="shared" si="82"/>
        <v>1</v>
      </c>
      <c r="T223" s="176">
        <f t="shared" si="83"/>
        <v>7</v>
      </c>
      <c r="U223" s="250">
        <f t="shared" si="84"/>
        <v>1.4858090435890121</v>
      </c>
      <c r="V223" s="382">
        <f t="shared" si="85"/>
        <v>53.642599494113867</v>
      </c>
      <c r="W223" s="400">
        <f t="shared" si="86"/>
        <v>44.108930191186062</v>
      </c>
      <c r="X223" s="157">
        <f t="shared" si="87"/>
        <v>45866</v>
      </c>
      <c r="Y223" s="383">
        <f t="shared" si="88"/>
        <v>41.912622945036127</v>
      </c>
      <c r="Z223" s="383">
        <f t="shared" si="89"/>
        <v>43.877885841411754</v>
      </c>
      <c r="AA223" s="384">
        <f t="shared" si="90"/>
        <v>46.955889192375778</v>
      </c>
      <c r="AB223" s="197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6.5550954393678126E-2</v>
      </c>
      <c r="AD223" s="230">
        <f>(INDEX(Models!$BJ223:$BT223,,AH223)*(1-AF223)+INDEX(Models!$BJ223:$BT223,,AH223+1)*AF223-ERP_i)*AE223*Ramure*Pc/MaxiM</f>
        <v>3.3456671945791879E-3</v>
      </c>
      <c r="AE223" s="304">
        <f t="shared" si="92"/>
        <v>0.7</v>
      </c>
      <c r="AF223" s="177">
        <f t="shared" si="93"/>
        <v>0.55014126584884426</v>
      </c>
      <c r="AG223" s="799">
        <f t="shared" si="99"/>
        <v>1</v>
      </c>
      <c r="AH223" s="176">
        <f t="shared" si="94"/>
        <v>7</v>
      </c>
      <c r="AI223" s="224">
        <f t="shared" si="95"/>
        <v>1.5501412658488443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45867</v>
      </c>
      <c r="B224" s="409">
        <f>'2024'!Wh/'2024'!Env_an*'2025'!Env_an</f>
        <v>25.981086019517335</v>
      </c>
      <c r="C224" s="829"/>
      <c r="D224" s="391">
        <f t="shared" si="77"/>
        <v>27.199848028135278</v>
      </c>
      <c r="E224" s="383">
        <f t="shared" si="75"/>
        <v>27.664369888010086</v>
      </c>
      <c r="F224" s="383">
        <f t="shared" si="78"/>
        <v>27.689303743388681</v>
      </c>
      <c r="G224" s="110">
        <f t="shared" si="76"/>
        <v>0.48441811289871928</v>
      </c>
      <c r="H224" s="412" t="b">
        <f>Wh_hp&gt;='2024'!Maxi_hp</f>
        <v>0</v>
      </c>
      <c r="I224" s="388">
        <f>IF(H224,Wh_hp,'2024'!Maxi_hp)</f>
        <v>58.807397280234632</v>
      </c>
      <c r="J224" s="85">
        <f>IF(H224,An,'2024'!An_max)</f>
        <v>2018</v>
      </c>
      <c r="K224" s="197">
        <f t="shared" si="79"/>
        <v>45867</v>
      </c>
      <c r="L224" s="147">
        <f>IF(t&lt;Tvie,1-EXP((T0-t)*PertePVj)+'2024'!Pspv,1-EXP((T0-t)*PertePVj)+Pspv)</f>
        <v>4.48076771369188E-2</v>
      </c>
      <c r="M224" s="832"/>
      <c r="N224" s="832"/>
      <c r="O224" s="48">
        <f>IF(t&lt;Tnet,'2024'!Resal+('2024'!Salim-'2024'!Resal)*(1-EXP(('2024'!Tnet-t)/('2024'!Tau_j))),Resal+(Salim-Resal)*(1-EXP((Tnet-t)/(Tau_j))))*Salcycl</f>
        <v>1.6791340694014383E-2</v>
      </c>
      <c r="P224" s="169">
        <f>(INDEX(Models!$BJ224:$BT224,,T224)*(1-R224)+INDEX(Models!$BJ224:$BT224,,T224+1)*R224-ERP_i)*Q224*Ramure*Pc/MaxiM</f>
        <v>3.3956668361845421E-3</v>
      </c>
      <c r="Q224" s="304">
        <f t="shared" si="80"/>
        <v>0.7</v>
      </c>
      <c r="R224" s="177">
        <f t="shared" si="81"/>
        <v>0.48754701879223883</v>
      </c>
      <c r="S224" s="799">
        <f t="shared" si="82"/>
        <v>1</v>
      </c>
      <c r="T224" s="176">
        <f t="shared" si="83"/>
        <v>7</v>
      </c>
      <c r="U224" s="250">
        <f t="shared" si="84"/>
        <v>1.4875470187922388</v>
      </c>
      <c r="V224" s="382">
        <f t="shared" si="85"/>
        <v>53.49965126416852</v>
      </c>
      <c r="W224" s="400">
        <f t="shared" si="86"/>
        <v>25.981086019517335</v>
      </c>
      <c r="X224" s="157">
        <f t="shared" si="87"/>
        <v>45867</v>
      </c>
      <c r="Y224" s="383">
        <f t="shared" si="88"/>
        <v>24.690517926388814</v>
      </c>
      <c r="Z224" s="383">
        <f t="shared" si="89"/>
        <v>25.848739919079094</v>
      </c>
      <c r="AA224" s="384">
        <f t="shared" si="90"/>
        <v>27.663256784054166</v>
      </c>
      <c r="AB224" s="197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6.5593031187166986E-2</v>
      </c>
      <c r="AD224" s="230">
        <f>(INDEX(Models!$BJ224:$BT224,,AH224)*(1-AF224)+INDEX(Models!$BJ224:$BT224,,AH224+1)*AF224-ERP_i)*AE224*Ramure*Pc/MaxiM</f>
        <v>3.5472571189930635E-3</v>
      </c>
      <c r="AE224" s="304">
        <f t="shared" si="92"/>
        <v>0.7</v>
      </c>
      <c r="AF224" s="177">
        <f t="shared" si="93"/>
        <v>0.55187924105207098</v>
      </c>
      <c r="AG224" s="799">
        <f t="shared" si="99"/>
        <v>1</v>
      </c>
      <c r="AH224" s="176">
        <f t="shared" si="94"/>
        <v>7</v>
      </c>
      <c r="AI224" s="224">
        <f t="shared" si="95"/>
        <v>1.551879241052071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45868</v>
      </c>
      <c r="B225" s="409">
        <f>'2024'!Wh/'2024'!Env_an*'2025'!Env_an</f>
        <v>43.116570926610301</v>
      </c>
      <c r="C225" s="829"/>
      <c r="D225" s="391">
        <f t="shared" si="77"/>
        <v>45.14001654918313</v>
      </c>
      <c r="E225" s="383">
        <f t="shared" si="75"/>
        <v>45.915560566116618</v>
      </c>
      <c r="F225" s="383">
        <f t="shared" si="78"/>
        <v>46.035608380061753</v>
      </c>
      <c r="G225" s="110">
        <f t="shared" si="76"/>
        <v>0.80729472606536379</v>
      </c>
      <c r="H225" s="412" t="b">
        <f>Wh_hp&gt;='2024'!Maxi_hp</f>
        <v>0</v>
      </c>
      <c r="I225" s="388">
        <f>IF(H225,Wh_hp,'2024'!Maxi_hp)</f>
        <v>48.678240079056877</v>
      </c>
      <c r="J225" s="85">
        <f>IF(H225,An,'2024'!An_max)</f>
        <v>2020</v>
      </c>
      <c r="K225" s="197">
        <f t="shared" si="79"/>
        <v>45868</v>
      </c>
      <c r="L225" s="147">
        <f>IF(t&lt;Tvie,1-EXP((T0-t)*PertePVj)+'2024'!Pspv,1-EXP((T0-t)*PertePVj)+Pspv)</f>
        <v>4.4825983179872075E-2</v>
      </c>
      <c r="M225" s="832"/>
      <c r="N225" s="832"/>
      <c r="O225" s="48">
        <f>IF(t&lt;Tnet,'2024'!Resal+('2024'!Salim-'2024'!Resal)*(1-EXP(('2024'!Tnet-t)/('2024'!Tau_j))),Resal+(Salim-Resal)*(1-EXP((Tnet-t)/(Tau_j))))*Salcycl</f>
        <v>1.6890657706699164E-2</v>
      </c>
      <c r="P225" s="169">
        <f>(INDEX(Models!$BJ225:$BT225,,T225)*(1-R225)+INDEX(Models!$BJ225:$BT225,,T225+1)*R225-ERP_i)*Q225*Ramure*Pc/MaxiM</f>
        <v>3.592654301808313E-3</v>
      </c>
      <c r="Q225" s="304">
        <f t="shared" si="80"/>
        <v>0.7</v>
      </c>
      <c r="R225" s="177">
        <f t="shared" si="81"/>
        <v>0.48923124562974474</v>
      </c>
      <c r="S225" s="799">
        <f t="shared" si="82"/>
        <v>1</v>
      </c>
      <c r="T225" s="176">
        <f t="shared" si="83"/>
        <v>7</v>
      </c>
      <c r="U225" s="250">
        <f t="shared" si="84"/>
        <v>1.4892312456297447</v>
      </c>
      <c r="V225" s="382">
        <f t="shared" si="85"/>
        <v>53.355969464384877</v>
      </c>
      <c r="W225" s="400">
        <f t="shared" si="86"/>
        <v>43.116570926610301</v>
      </c>
      <c r="X225" s="157">
        <f t="shared" si="87"/>
        <v>45868</v>
      </c>
      <c r="Y225" s="383">
        <f t="shared" si="88"/>
        <v>40.974132494846749</v>
      </c>
      <c r="Z225" s="383">
        <f t="shared" si="89"/>
        <v>42.897034229693382</v>
      </c>
      <c r="AA225" s="384">
        <f t="shared" si="90"/>
        <v>45.910352713491122</v>
      </c>
      <c r="AB225" s="197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6.5634836277619069E-2</v>
      </c>
      <c r="AD225" s="230">
        <f>(INDEX(Models!$BJ225:$BT225,,AH225)*(1-AF225)+INDEX(Models!$BJ225:$BT225,,AH225+1)*AF225-ERP_i)*AE225*Ramure*Pc/MaxiM</f>
        <v>3.7485089860654357E-3</v>
      </c>
      <c r="AE225" s="304">
        <f t="shared" si="92"/>
        <v>0.7</v>
      </c>
      <c r="AF225" s="177">
        <f t="shared" si="93"/>
        <v>0.55356346788957689</v>
      </c>
      <c r="AG225" s="799">
        <f t="shared" si="99"/>
        <v>1</v>
      </c>
      <c r="AH225" s="176">
        <f t="shared" si="94"/>
        <v>7</v>
      </c>
      <c r="AI225" s="224">
        <f t="shared" si="95"/>
        <v>1.5535634678895769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45869</v>
      </c>
      <c r="B226" s="409">
        <f>'2024'!Wh/'2024'!Env_an*'2025'!Env_an</f>
        <v>53.971961782647774</v>
      </c>
      <c r="C226" s="829"/>
      <c r="D226" s="391">
        <f t="shared" si="77"/>
        <v>56.505930031982707</v>
      </c>
      <c r="E226" s="383">
        <f t="shared" si="75"/>
        <v>57.482547200183468</v>
      </c>
      <c r="F226" s="383">
        <f t="shared" si="78"/>
        <v>57.700833981931638</v>
      </c>
      <c r="G226" s="110">
        <f t="shared" si="76"/>
        <v>1.0142814071359794</v>
      </c>
      <c r="H226" s="412" t="b">
        <f>Wh_hp&gt;='2024'!Maxi_hp</f>
        <v>1</v>
      </c>
      <c r="I226" s="388">
        <f>IF(H226,Wh_hp,'2024'!Maxi_hp)</f>
        <v>57.700833981931638</v>
      </c>
      <c r="J226" s="85">
        <f>IF(H226,An,'2024'!An_max)</f>
        <v>2025</v>
      </c>
      <c r="K226" s="197">
        <f t="shared" si="79"/>
        <v>45869</v>
      </c>
      <c r="L226" s="147">
        <f>IF(t&lt;Tvie,1-EXP((T0-t)*PertePVj)+'2024'!Pspv,1-EXP((T0-t)*PertePVj)+Pspv)</f>
        <v>4.484428887199432E-2</v>
      </c>
      <c r="M226" s="832"/>
      <c r="N226" s="832"/>
      <c r="O226" s="48">
        <f>IF(t&lt;Tnet,'2024'!Resal+('2024'!Salim-'2024'!Resal)*(1-EXP(('2024'!Tnet-t)/('2024'!Tau_j))),Resal+(Salim-Resal)*(1-EXP((Tnet-t)/(Tau_j))))*Salcycl</f>
        <v>1.6989803266714683E-2</v>
      </c>
      <c r="P226" s="169">
        <f>(INDEX(Models!$BJ226:$BT226,,T226)*(1-R226)+INDEX(Models!$BJ226:$BT226,,T226+1)*R226-ERP_i)*Q226*Ramure*Pc/MaxiM</f>
        <v>3.7830784528438996E-3</v>
      </c>
      <c r="Q226" s="304">
        <f t="shared" si="80"/>
        <v>0.7</v>
      </c>
      <c r="R226" s="177">
        <f t="shared" si="81"/>
        <v>0.49086282248212321</v>
      </c>
      <c r="S226" s="799">
        <f t="shared" si="82"/>
        <v>1</v>
      </c>
      <c r="T226" s="176">
        <f t="shared" si="83"/>
        <v>7</v>
      </c>
      <c r="U226" s="250">
        <f t="shared" si="84"/>
        <v>1.4908628224821232</v>
      </c>
      <c r="V226" s="382">
        <f t="shared" si="85"/>
        <v>53.212019270912293</v>
      </c>
      <c r="W226" s="400">
        <f t="shared" si="86"/>
        <v>53.971961782647774</v>
      </c>
      <c r="X226" s="157">
        <f t="shared" si="87"/>
        <v>45869</v>
      </c>
      <c r="Y226" s="383">
        <f t="shared" si="88"/>
        <v>51.290614411741736</v>
      </c>
      <c r="Z226" s="383">
        <f t="shared" si="89"/>
        <v>53.698694164922394</v>
      </c>
      <c r="AA226" s="384">
        <f t="shared" si="90"/>
        <v>57.473334951313468</v>
      </c>
      <c r="AB226" s="197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6.5676383484421563E-2</v>
      </c>
      <c r="AD226" s="230">
        <f>(INDEX(Models!$BJ226:$BT226,,AH226)*(1-AF226)+INDEX(Models!$BJ226:$BT226,,AH226+1)*AF226-ERP_i)*AE226*Ramure*Pc/MaxiM</f>
        <v>3.9427338379442482E-3</v>
      </c>
      <c r="AE226" s="304">
        <f t="shared" si="92"/>
        <v>0.7</v>
      </c>
      <c r="AF226" s="177">
        <f t="shared" si="93"/>
        <v>0.55519504474195536</v>
      </c>
      <c r="AG226" s="799">
        <f t="shared" si="99"/>
        <v>1</v>
      </c>
      <c r="AH226" s="176">
        <f t="shared" si="94"/>
        <v>7</v>
      </c>
      <c r="AI226" s="224">
        <f t="shared" si="95"/>
        <v>1.5551950447419554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45870</v>
      </c>
      <c r="B227" s="409">
        <f>'2024'!Wh/'2024'!Env_an*'2025'!Env_an</f>
        <v>53.630523489634371</v>
      </c>
      <c r="C227" s="829"/>
      <c r="D227" s="391">
        <f t="shared" si="77"/>
        <v>56.149537401334499</v>
      </c>
      <c r="E227" s="383">
        <f t="shared" si="75"/>
        <v>57.125746710120545</v>
      </c>
      <c r="F227" s="383">
        <f t="shared" si="78"/>
        <v>57.353171023524027</v>
      </c>
      <c r="G227" s="110">
        <f t="shared" si="76"/>
        <v>1.0106003214513373</v>
      </c>
      <c r="H227" s="412" t="b">
        <f>Wh_hp&gt;='2024'!Maxi_hp</f>
        <v>1</v>
      </c>
      <c r="I227" s="388">
        <f>IF(H227,Wh_hp,'2024'!Maxi_hp)</f>
        <v>57.353171023524027</v>
      </c>
      <c r="J227" s="85">
        <f>IF(H227,An,'2024'!An_max)</f>
        <v>2025</v>
      </c>
      <c r="K227" s="197">
        <f t="shared" si="79"/>
        <v>45870</v>
      </c>
      <c r="L227" s="147">
        <f>IF(t&lt;Tvie,1-EXP((T0-t)*PertePVj)+'2024'!Pspv,1-EXP((T0-t)*PertePVj)+Pspv)</f>
        <v>4.4862594213291973E-2</v>
      </c>
      <c r="M227" s="832"/>
      <c r="N227" s="832"/>
      <c r="O227" s="48">
        <f>IF(t&lt;Tnet,'2024'!Resal+('2024'!Salim-'2024'!Resal)*(1-EXP(('2024'!Tnet-t)/('2024'!Tau_j))),Resal+(Salim-Resal)*(1-EXP((Tnet-t)/(Tau_j))))*Salcycl</f>
        <v>1.7088779841071169E-2</v>
      </c>
      <c r="P227" s="169">
        <f>(INDEX(Models!$BJ227:$BT227,,T227)*(1-R227)+INDEX(Models!$BJ227:$BT227,,T227+1)*R227-ERP_i)*Q227*Ramure*Pc/MaxiM</f>
        <v>3.9653311115125595E-3</v>
      </c>
      <c r="Q227" s="304">
        <f t="shared" si="80"/>
        <v>0.7</v>
      </c>
      <c r="R227" s="177">
        <f t="shared" si="81"/>
        <v>0.49244286626505862</v>
      </c>
      <c r="S227" s="799">
        <f t="shared" si="82"/>
        <v>1</v>
      </c>
      <c r="T227" s="176">
        <f t="shared" si="83"/>
        <v>7</v>
      </c>
      <c r="U227" s="250">
        <f t="shared" si="84"/>
        <v>1.4924428662650586</v>
      </c>
      <c r="V227" s="382">
        <f t="shared" si="85"/>
        <v>53.067985781574684</v>
      </c>
      <c r="W227" s="400">
        <f t="shared" si="86"/>
        <v>53.630523489634371</v>
      </c>
      <c r="X227" s="157">
        <f t="shared" si="87"/>
        <v>45870</v>
      </c>
      <c r="Y227" s="383">
        <f t="shared" si="88"/>
        <v>50.968831592201298</v>
      </c>
      <c r="Z227" s="383">
        <f t="shared" si="89"/>
        <v>53.362826419954033</v>
      </c>
      <c r="AA227" s="384">
        <f t="shared" si="90"/>
        <v>57.116382881027384</v>
      </c>
      <c r="AB227" s="197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6.5717685044796303E-2</v>
      </c>
      <c r="AD227" s="230">
        <f>(INDEX(Models!$BJ227:$BT227,,AH227)*(1-AF227)+INDEX(Models!$BJ227:$BT227,,AH227+1)*AF227-ERP_i)*AE227*Ramure*Pc/MaxiM</f>
        <v>4.1285972208846477E-3</v>
      </c>
      <c r="AE227" s="304">
        <f t="shared" si="92"/>
        <v>0.7</v>
      </c>
      <c r="AF227" s="177">
        <f t="shared" si="93"/>
        <v>0.55677508852489077</v>
      </c>
      <c r="AG227" s="799">
        <f t="shared" si="99"/>
        <v>1</v>
      </c>
      <c r="AH227" s="176">
        <f t="shared" si="94"/>
        <v>7</v>
      </c>
      <c r="AI227" s="224">
        <f t="shared" si="95"/>
        <v>1.5567750885248908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45871</v>
      </c>
      <c r="B228" s="409">
        <f>'2024'!Wh/'2024'!Env_an*'2025'!Env_an</f>
        <v>53.85242203993274</v>
      </c>
      <c r="C228" s="829"/>
      <c r="D228" s="391">
        <f t="shared" si="77"/>
        <v>56.382939043977935</v>
      </c>
      <c r="E228" s="383">
        <f t="shared" si="75"/>
        <v>57.368973412334725</v>
      </c>
      <c r="F228" s="383">
        <f t="shared" si="78"/>
        <v>57.607430014049775</v>
      </c>
      <c r="G228" s="110">
        <f t="shared" si="76"/>
        <v>1.0175430984044598</v>
      </c>
      <c r="H228" s="412" t="b">
        <f>Wh_hp&gt;='2024'!Maxi_hp</f>
        <v>1</v>
      </c>
      <c r="I228" s="388">
        <f>IF(H228,Wh_hp,'2024'!Maxi_hp)</f>
        <v>57.607430014049775</v>
      </c>
      <c r="J228" s="85">
        <f>IF(H228,An,'2024'!An_max)</f>
        <v>2025</v>
      </c>
      <c r="K228" s="197">
        <f t="shared" si="79"/>
        <v>45871</v>
      </c>
      <c r="L228" s="147">
        <f>IF(t&lt;Tvie,1-EXP((T0-t)*PertePVj)+'2024'!Pspv,1-EXP((T0-t)*PertePVj)+Pspv)</f>
        <v>4.4880899203772029E-2</v>
      </c>
      <c r="M228" s="832"/>
      <c r="N228" s="832"/>
      <c r="O228" s="48">
        <f>IF(t&lt;Tnet,'2024'!Resal+('2024'!Salim-'2024'!Resal)*(1-EXP(('2024'!Tnet-t)/('2024'!Tau_j))),Resal+(Salim-Resal)*(1-EXP((Tnet-t)/(Tau_j))))*Salcycl</f>
        <v>1.7187589557682136E-2</v>
      </c>
      <c r="P228" s="169">
        <f>(INDEX(Models!$BJ228:$BT228,,T228)*(1-R228)+INDEX(Models!$BJ228:$BT228,,T228+1)*R228-ERP_i)*Q228*Ramure*Pc/MaxiM</f>
        <v>4.13933761073696E-3</v>
      </c>
      <c r="Q228" s="304">
        <f t="shared" si="80"/>
        <v>0.7</v>
      </c>
      <c r="R228" s="177">
        <f t="shared" si="81"/>
        <v>0.49397250873276821</v>
      </c>
      <c r="S228" s="799">
        <f t="shared" si="82"/>
        <v>1</v>
      </c>
      <c r="T228" s="176">
        <f t="shared" si="83"/>
        <v>7</v>
      </c>
      <c r="U228" s="250">
        <f t="shared" si="84"/>
        <v>1.4939725087327682</v>
      </c>
      <c r="V228" s="382">
        <f t="shared" si="85"/>
        <v>52.923971598230153</v>
      </c>
      <c r="W228" s="400">
        <f t="shared" si="86"/>
        <v>53.85242203993274</v>
      </c>
      <c r="X228" s="157">
        <f t="shared" si="87"/>
        <v>45871</v>
      </c>
      <c r="Y228" s="383">
        <f t="shared" si="88"/>
        <v>51.182435696034389</v>
      </c>
      <c r="Z228" s="383">
        <f t="shared" si="89"/>
        <v>53.587490453668586</v>
      </c>
      <c r="AA228" s="384">
        <f t="shared" si="90"/>
        <v>57.359371091111669</v>
      </c>
      <c r="AB228" s="197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6.5758751633655244E-2</v>
      </c>
      <c r="AD228" s="230">
        <f>(INDEX(Models!$BJ228:$BT228,,AH228)*(1-AF228)+INDEX(Models!$BJ228:$BT228,,AH228+1)*AF228-ERP_i)*AE228*Ramure*Pc/MaxiM</f>
        <v>4.3060230751069736E-3</v>
      </c>
      <c r="AE228" s="304">
        <f t="shared" si="92"/>
        <v>0.7</v>
      </c>
      <c r="AF228" s="177">
        <f t="shared" si="93"/>
        <v>0.55830473099260036</v>
      </c>
      <c r="AG228" s="799">
        <f t="shared" si="99"/>
        <v>1</v>
      </c>
      <c r="AH228" s="176">
        <f t="shared" si="94"/>
        <v>7</v>
      </c>
      <c r="AI228" s="224">
        <f t="shared" si="95"/>
        <v>1.5583047309926004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45872</v>
      </c>
      <c r="B229" s="409">
        <f>'2024'!Wh/'2024'!Env_an*'2025'!Env_an</f>
        <v>53.954137054798124</v>
      </c>
      <c r="C229" s="829"/>
      <c r="D229" s="391">
        <f t="shared" si="77"/>
        <v>56.490516259557211</v>
      </c>
      <c r="E229" s="383">
        <f t="shared" si="75"/>
        <v>57.484201631899865</v>
      </c>
      <c r="F229" s="383">
        <f t="shared" si="78"/>
        <v>57.732742346129783</v>
      </c>
      <c r="G229" s="110">
        <f t="shared" si="76"/>
        <v>1.0222443360490967</v>
      </c>
      <c r="H229" s="412" t="b">
        <f>Wh_hp&gt;='2024'!Maxi_hp</f>
        <v>1</v>
      </c>
      <c r="I229" s="388">
        <f>IF(H229,Wh_hp,'2024'!Maxi_hp)</f>
        <v>57.732742346129783</v>
      </c>
      <c r="J229" s="85">
        <f>IF(H229,An,'2024'!An_max)</f>
        <v>2025</v>
      </c>
      <c r="K229" s="197">
        <f t="shared" si="79"/>
        <v>45872</v>
      </c>
      <c r="L229" s="147">
        <f>IF(t&lt;Tvie,1-EXP((T0-t)*PertePVj)+'2024'!Pspv,1-EXP((T0-t)*PertePVj)+Pspv)</f>
        <v>4.4899203843441149E-2</v>
      </c>
      <c r="M229" s="832"/>
      <c r="N229" s="832"/>
      <c r="O229" s="48">
        <f>IF(t&lt;Tnet,'2024'!Resal+('2024'!Salim-'2024'!Resal)*(1-EXP(('2024'!Tnet-t)/('2024'!Tau_j))),Resal+(Salim-Resal)*(1-EXP((Tnet-t)/(Tau_j))))*Salcycl</f>
        <v>1.7286234202324363E-2</v>
      </c>
      <c r="P229" s="169">
        <f>(INDEX(Models!$BJ229:$BT229,,T229)*(1-R229)+INDEX(Models!$BJ229:$BT229,,T229+1)*R229-ERP_i)*Q229*Ramure*Pc/MaxiM</f>
        <v>4.3050217975066189E-3</v>
      </c>
      <c r="Q229" s="304">
        <f t="shared" si="80"/>
        <v>0.7</v>
      </c>
      <c r="R229" s="177">
        <f t="shared" si="81"/>
        <v>0.49545289299094653</v>
      </c>
      <c r="S229" s="799">
        <f t="shared" si="82"/>
        <v>1</v>
      </c>
      <c r="T229" s="176">
        <f t="shared" si="83"/>
        <v>7</v>
      </c>
      <c r="U229" s="250">
        <f t="shared" si="84"/>
        <v>1.4954528929909465</v>
      </c>
      <c r="V229" s="382">
        <f t="shared" si="85"/>
        <v>52.780079235583848</v>
      </c>
      <c r="W229" s="400">
        <f t="shared" si="86"/>
        <v>53.954137054798124</v>
      </c>
      <c r="X229" s="157">
        <f t="shared" si="87"/>
        <v>45872</v>
      </c>
      <c r="Y229" s="383">
        <f t="shared" si="88"/>
        <v>51.281845552363542</v>
      </c>
      <c r="Z229" s="383">
        <f t="shared" si="89"/>
        <v>53.692600570251741</v>
      </c>
      <c r="AA229" s="384">
        <f t="shared" si="90"/>
        <v>57.47439214655266</v>
      </c>
      <c r="AB229" s="197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6.5799592393388201E-2</v>
      </c>
      <c r="AD229" s="230">
        <f>(INDEX(Models!$BJ229:$BT229,,AH229)*(1-AF229)+INDEX(Models!$BJ229:$BT229,,AH229+1)*AF229-ERP_i)*AE229*Ramure*Pc/MaxiM</f>
        <v>4.4749337910923231E-3</v>
      </c>
      <c r="AE229" s="304">
        <f t="shared" si="92"/>
        <v>0.7</v>
      </c>
      <c r="AF229" s="177">
        <f t="shared" si="93"/>
        <v>0.55978511525077868</v>
      </c>
      <c r="AG229" s="799">
        <f t="shared" si="99"/>
        <v>1</v>
      </c>
      <c r="AH229" s="176">
        <f t="shared" si="94"/>
        <v>7</v>
      </c>
      <c r="AI229" s="224">
        <f t="shared" si="95"/>
        <v>1.5597851152507787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45873</v>
      </c>
      <c r="B230" s="409">
        <f>'2024'!Wh/'2024'!Env_an*'2025'!Env_an</f>
        <v>51.289224167116629</v>
      </c>
      <c r="C230" s="829"/>
      <c r="D230" s="391">
        <f t="shared" si="77"/>
        <v>53.701355227252598</v>
      </c>
      <c r="E230" s="383">
        <f t="shared" si="75"/>
        <v>54.651455212386153</v>
      </c>
      <c r="F230" s="383">
        <f t="shared" si="78"/>
        <v>54.887424487647976</v>
      </c>
      <c r="G230" s="110">
        <f t="shared" si="76"/>
        <v>0.97424613104482771</v>
      </c>
      <c r="H230" s="412" t="b">
        <f>Wh_hp&gt;='2024'!Maxi_hp</f>
        <v>0</v>
      </c>
      <c r="I230" s="388">
        <f>IF(H230,Wh_hp,'2024'!Maxi_hp)</f>
        <v>54.940621976631377</v>
      </c>
      <c r="J230" s="85">
        <f>IF(H230,An,'2024'!An_max)</f>
        <v>2018</v>
      </c>
      <c r="K230" s="197">
        <f t="shared" si="79"/>
        <v>45873</v>
      </c>
      <c r="L230" s="147">
        <f>IF(t&lt;Tvie,1-EXP((T0-t)*PertePVj)+'2024'!Pspv,1-EXP((T0-t)*PertePVj)+Pspv)</f>
        <v>4.4917508132305994E-2</v>
      </c>
      <c r="M230" s="832"/>
      <c r="N230" s="832"/>
      <c r="O230" s="48">
        <f>IF(t&lt;Tnet,'2024'!Resal+('2024'!Salim-'2024'!Resal)*(1-EXP(('2024'!Tnet-t)/('2024'!Tau_j))),Resal+(Salim-Resal)*(1-EXP((Tnet-t)/(Tau_j))))*Salcycl</f>
        <v>1.7384715218309987E-2</v>
      </c>
      <c r="P230" s="169">
        <f>(INDEX(Models!$BJ230:$BT230,,T230)*(1-R230)+INDEX(Models!$BJ230:$BT230,,T230+1)*R230-ERP_i)*Q230*Ramure*Pc/MaxiM</f>
        <v>4.4623060260490857E-3</v>
      </c>
      <c r="Q230" s="304">
        <f t="shared" si="80"/>
        <v>0.7</v>
      </c>
      <c r="R230" s="177">
        <f t="shared" si="81"/>
        <v>0.49688517021868783</v>
      </c>
      <c r="S230" s="799">
        <f t="shared" si="82"/>
        <v>1</v>
      </c>
      <c r="T230" s="176">
        <f t="shared" si="83"/>
        <v>7</v>
      </c>
      <c r="U230" s="250">
        <f t="shared" si="84"/>
        <v>1.4968851702186878</v>
      </c>
      <c r="V230" s="382">
        <f t="shared" si="85"/>
        <v>52.636411128356166</v>
      </c>
      <c r="W230" s="400">
        <f t="shared" si="86"/>
        <v>51.289224167116629</v>
      </c>
      <c r="X230" s="157">
        <f t="shared" si="87"/>
        <v>45873</v>
      </c>
      <c r="Y230" s="383">
        <f t="shared" si="88"/>
        <v>48.751849990906699</v>
      </c>
      <c r="Z230" s="383">
        <f t="shared" si="89"/>
        <v>51.044648400549065</v>
      </c>
      <c r="AA230" s="384">
        <f t="shared" si="90"/>
        <v>54.642309826105759</v>
      </c>
      <c r="AB230" s="197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6.5840214972718511E-2</v>
      </c>
      <c r="AD230" s="230">
        <f>(INDEX(Models!$BJ230:$BT230,,AH230)*(1-AF230)+INDEX(Models!$BJ230:$BT230,,AH230+1)*AF230-ERP_i)*AE230*Ramure*Pc/MaxiM</f>
        <v>4.6352502039056559E-3</v>
      </c>
      <c r="AE230" s="304">
        <f t="shared" si="92"/>
        <v>0.7</v>
      </c>
      <c r="AF230" s="177">
        <f t="shared" si="93"/>
        <v>0.56121739247851998</v>
      </c>
      <c r="AG230" s="799">
        <f t="shared" si="99"/>
        <v>1</v>
      </c>
      <c r="AH230" s="176">
        <f t="shared" si="94"/>
        <v>7</v>
      </c>
      <c r="AI230" s="224">
        <f t="shared" si="95"/>
        <v>1.56121739247852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45874</v>
      </c>
      <c r="B231" s="409">
        <f>'2024'!Wh/'2024'!Env_an*'2025'!Env_an</f>
        <v>41.407648191323844</v>
      </c>
      <c r="C231" s="829"/>
      <c r="D231" s="391">
        <f t="shared" si="77"/>
        <v>43.355879860898874</v>
      </c>
      <c r="E231" s="383">
        <f t="shared" si="75"/>
        <v>44.127359982957046</v>
      </c>
      <c r="F231" s="383">
        <f t="shared" si="78"/>
        <v>44.269909665851607</v>
      </c>
      <c r="G231" s="110">
        <f t="shared" si="76"/>
        <v>0.78772036560822623</v>
      </c>
      <c r="H231" s="412" t="b">
        <f>Wh_hp&gt;='2024'!Maxi_hp</f>
        <v>0</v>
      </c>
      <c r="I231" s="388">
        <f>IF(H231,Wh_hp,'2024'!Maxi_hp)</f>
        <v>53.590627988169963</v>
      </c>
      <c r="J231" s="85">
        <f>IF(H231,An,'2024'!An_max)</f>
        <v>2018</v>
      </c>
      <c r="K231" s="197">
        <f t="shared" si="79"/>
        <v>45874</v>
      </c>
      <c r="L231" s="147">
        <f>IF(t&lt;Tvie,1-EXP((T0-t)*PertePVj)+'2024'!Pspv,1-EXP((T0-t)*PertePVj)+Pspv)</f>
        <v>4.4935812070373227E-2</v>
      </c>
      <c r="M231" s="832"/>
      <c r="N231" s="832"/>
      <c r="O231" s="48">
        <f>IF(t&lt;Tnet,'2024'!Resal+('2024'!Salim-'2024'!Resal)*(1-EXP(('2024'!Tnet-t)/('2024'!Tau_j))),Resal+(Salim-Resal)*(1-EXP((Tnet-t)/(Tau_j))))*Salcycl</f>
        <v>1.7483033708704465E-2</v>
      </c>
      <c r="P231" s="169">
        <f>(INDEX(Models!$BJ231:$BT231,,T231)*(1-R231)+INDEX(Models!$BJ231:$BT231,,T231+1)*R231-ERP_i)*Q231*Ramure*Pc/MaxiM</f>
        <v>4.611111171445849E-3</v>
      </c>
      <c r="Q231" s="304">
        <f t="shared" si="80"/>
        <v>0.7</v>
      </c>
      <c r="R231" s="177">
        <f t="shared" si="81"/>
        <v>0.4982704965976017</v>
      </c>
      <c r="S231" s="799">
        <f t="shared" si="82"/>
        <v>1</v>
      </c>
      <c r="T231" s="176">
        <f t="shared" si="83"/>
        <v>7</v>
      </c>
      <c r="U231" s="250">
        <f t="shared" si="84"/>
        <v>1.4982704965976017</v>
      </c>
      <c r="V231" s="382">
        <f t="shared" si="85"/>
        <v>52.493069638216035</v>
      </c>
      <c r="W231" s="400">
        <f t="shared" si="86"/>
        <v>41.407648191323844</v>
      </c>
      <c r="X231" s="157">
        <f t="shared" si="87"/>
        <v>45874</v>
      </c>
      <c r="Y231" s="383">
        <f t="shared" si="88"/>
        <v>39.363109718035794</v>
      </c>
      <c r="Z231" s="383">
        <f t="shared" si="89"/>
        <v>41.215145762471238</v>
      </c>
      <c r="AA231" s="384">
        <f t="shared" si="90"/>
        <v>44.121925838208433</v>
      </c>
      <c r="AB231" s="197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6.5880625573691537E-2</v>
      </c>
      <c r="AD231" s="230">
        <f>(INDEX(Models!$BJ231:$BT231,,AH231)*(1-AF231)+INDEX(Models!$BJ231:$BT231,,AH231+1)*AF231-ERP_i)*AE231*Ramure*Pc/MaxiM</f>
        <v>4.7868916084749984E-3</v>
      </c>
      <c r="AE231" s="304">
        <f t="shared" si="92"/>
        <v>0.7</v>
      </c>
      <c r="AF231" s="177">
        <f t="shared" si="93"/>
        <v>0.56260271885743385</v>
      </c>
      <c r="AG231" s="799">
        <f t="shared" si="99"/>
        <v>1</v>
      </c>
      <c r="AH231" s="176">
        <f t="shared" si="94"/>
        <v>7</v>
      </c>
      <c r="AI231" s="224">
        <f t="shared" si="95"/>
        <v>1.5626027188574338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45875</v>
      </c>
      <c r="B232" s="409">
        <f>'2024'!Wh/'2024'!Env_an*'2025'!Env_an</f>
        <v>49.119246555531902</v>
      </c>
      <c r="C232" s="829"/>
      <c r="D232" s="391">
        <f t="shared" si="77"/>
        <v>51.43129493653143</v>
      </c>
      <c r="E232" s="383">
        <f t="shared" si="75"/>
        <v>52.351700146715594</v>
      </c>
      <c r="F232" s="383">
        <f t="shared" si="78"/>
        <v>52.579497721877125</v>
      </c>
      <c r="G232" s="110">
        <f t="shared" si="76"/>
        <v>0.93788792545616684</v>
      </c>
      <c r="H232" s="412" t="b">
        <f>Wh_hp&gt;='2024'!Maxi_hp</f>
        <v>0</v>
      </c>
      <c r="I232" s="388">
        <f>IF(H232,Wh_hp,'2024'!Maxi_hp)</f>
        <v>56.645072121276598</v>
      </c>
      <c r="J232" s="85">
        <f>IF(H232,An,'2024'!An_max)</f>
        <v>2020</v>
      </c>
      <c r="K232" s="197">
        <f t="shared" si="79"/>
        <v>45875</v>
      </c>
      <c r="L232" s="147">
        <f>IF(t&lt;Tvie,1-EXP((T0-t)*PertePVj)+'2024'!Pspv,1-EXP((T0-t)*PertePVj)+Pspv)</f>
        <v>4.4954115657649729E-2</v>
      </c>
      <c r="M232" s="832"/>
      <c r="N232" s="832"/>
      <c r="O232" s="48">
        <f>IF(t&lt;Tnet,'2024'!Resal+('2024'!Salim-'2024'!Resal)*(1-EXP(('2024'!Tnet-t)/('2024'!Tau_j))),Resal+(Salim-Resal)*(1-EXP((Tnet-t)/(Tau_j))))*Salcycl</f>
        <v>1.7581190440897444E-2</v>
      </c>
      <c r="P232" s="169">
        <f>(INDEX(Models!$BJ232:$BT232,,T232)*(1-R232)+INDEX(Models!$BJ232:$BT232,,T232+1)*R232-ERP_i)*Q232*Ramure*Pc/MaxiM</f>
        <v>4.7513566642095753E-3</v>
      </c>
      <c r="Q232" s="304">
        <f t="shared" si="80"/>
        <v>0.7</v>
      </c>
      <c r="R232" s="177">
        <f t="shared" si="81"/>
        <v>0.49961003044522689</v>
      </c>
      <c r="S232" s="799">
        <f t="shared" si="82"/>
        <v>1</v>
      </c>
      <c r="T232" s="176">
        <f t="shared" si="83"/>
        <v>7</v>
      </c>
      <c r="U232" s="250">
        <f t="shared" si="84"/>
        <v>1.4996100304452269</v>
      </c>
      <c r="V232" s="382">
        <f t="shared" si="85"/>
        <v>52.350157058836714</v>
      </c>
      <c r="W232" s="400">
        <f t="shared" si="86"/>
        <v>49.119246555531902</v>
      </c>
      <c r="X232" s="157">
        <f t="shared" si="87"/>
        <v>45875</v>
      </c>
      <c r="Y232" s="383">
        <f t="shared" si="88"/>
        <v>46.69471698752529</v>
      </c>
      <c r="Z232" s="383">
        <f t="shared" si="89"/>
        <v>48.892642492962025</v>
      </c>
      <c r="AA232" s="384">
        <f t="shared" si="90"/>
        <v>52.343146074997669</v>
      </c>
      <c r="AB232" s="197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6.5920829005802067E-2</v>
      </c>
      <c r="AD232" s="230">
        <f>(INDEX(Models!$BJ232:$BT232,,AH232)*(1-AF232)+INDEX(Models!$BJ232:$BT232,,AH232+1)*AF232-ERP_i)*AE232*Ramure*Pc/MaxiM</f>
        <v>4.9297757963460039E-3</v>
      </c>
      <c r="AE232" s="304">
        <f t="shared" si="92"/>
        <v>0.7</v>
      </c>
      <c r="AF232" s="177">
        <f t="shared" si="93"/>
        <v>0.56394225270505904</v>
      </c>
      <c r="AG232" s="799">
        <f t="shared" si="99"/>
        <v>1</v>
      </c>
      <c r="AH232" s="176">
        <f t="shared" si="94"/>
        <v>7</v>
      </c>
      <c r="AI232" s="224">
        <f t="shared" si="95"/>
        <v>1.563942252705059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45876</v>
      </c>
      <c r="B233" s="409">
        <f>'2024'!Wh/'2024'!Env_an*'2025'!Env_an</f>
        <v>51.98820261923737</v>
      </c>
      <c r="C233" s="829"/>
      <c r="D233" s="391">
        <f t="shared" si="77"/>
        <v>54.436336340190856</v>
      </c>
      <c r="E233" s="383">
        <f t="shared" ref="E233:E296" si="100">Wh_pvt/(1-Psa)</f>
        <v>55.416046933178251</v>
      </c>
      <c r="F233" s="383">
        <f t="shared" si="78"/>
        <v>55.68632220575293</v>
      </c>
      <c r="G233" s="110">
        <f t="shared" ref="G233:G296" si="101">+Wh_hp/MaxiM</f>
        <v>0.99575705804743797</v>
      </c>
      <c r="H233" s="412" t="b">
        <f>Wh_hp&gt;='2024'!Maxi_hp</f>
        <v>0</v>
      </c>
      <c r="I233" s="388">
        <f>IF(H233,Wh_hp,'2024'!Maxi_hp)</f>
        <v>55.687322865809392</v>
      </c>
      <c r="J233" s="85">
        <f>IF(H233,An,'2024'!An_max)</f>
        <v>2022</v>
      </c>
      <c r="K233" s="197">
        <f t="shared" si="79"/>
        <v>45876</v>
      </c>
      <c r="L233" s="147">
        <f>IF(t&lt;Tvie,1-EXP((T0-t)*PertePVj)+'2024'!Pspv,1-EXP((T0-t)*PertePVj)+Pspv)</f>
        <v>4.4972418894142274E-2</v>
      </c>
      <c r="M233" s="832"/>
      <c r="N233" s="832"/>
      <c r="O233" s="48">
        <f>IF(t&lt;Tnet,'2024'!Resal+('2024'!Salim-'2024'!Resal)*(1-EXP(('2024'!Tnet-t)/('2024'!Tau_j))),Resal+(Salim-Resal)*(1-EXP((Tnet-t)/(Tau_j))))*Salcycl</f>
        <v>1.7679185853309732E-2</v>
      </c>
      <c r="P233" s="169">
        <f>(INDEX(Models!$BJ233:$BT233,,T233)*(1-R233)+INDEX(Models!$BJ233:$BT233,,T233+1)*R233-ERP_i)*Q233*Ramure*Pc/MaxiM</f>
        <v>4.882922590619336E-3</v>
      </c>
      <c r="Q233" s="304">
        <f t="shared" si="80"/>
        <v>0.7</v>
      </c>
      <c r="R233" s="177">
        <f t="shared" si="81"/>
        <v>0.50090492954887789</v>
      </c>
      <c r="S233" s="799">
        <f t="shared" si="82"/>
        <v>1</v>
      </c>
      <c r="T233" s="176">
        <f t="shared" si="83"/>
        <v>7</v>
      </c>
      <c r="U233" s="250">
        <f t="shared" si="84"/>
        <v>1.5009049295488779</v>
      </c>
      <c r="V233" s="382">
        <f t="shared" si="85"/>
        <v>52.208183425166702</v>
      </c>
      <c r="W233" s="400">
        <f t="shared" si="86"/>
        <v>51.98820261923737</v>
      </c>
      <c r="X233" s="157">
        <f t="shared" si="87"/>
        <v>45876</v>
      </c>
      <c r="Y233" s="383">
        <f t="shared" si="88"/>
        <v>49.424022205771188</v>
      </c>
      <c r="Z233" s="383">
        <f t="shared" si="89"/>
        <v>51.751408214348629</v>
      </c>
      <c r="AA233" s="384">
        <f t="shared" si="90"/>
        <v>55.406036285267945</v>
      </c>
      <c r="AB233" s="197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6.5960828746218281E-2</v>
      </c>
      <c r="AD233" s="230">
        <f>(INDEX(Models!$BJ233:$BT233,,AH233)*(1-AF233)+INDEX(Models!$BJ233:$BT233,,AH233+1)*AF233-ERP_i)*AE233*Ramure*Pc/MaxiM</f>
        <v>5.0637797528833963E-3</v>
      </c>
      <c r="AE233" s="304">
        <f t="shared" si="92"/>
        <v>0.7</v>
      </c>
      <c r="AF233" s="177">
        <f t="shared" si="93"/>
        <v>0.56523715180871004</v>
      </c>
      <c r="AG233" s="799">
        <f t="shared" si="99"/>
        <v>1</v>
      </c>
      <c r="AH233" s="176">
        <f t="shared" si="94"/>
        <v>7</v>
      </c>
      <c r="AI233" s="224">
        <f t="shared" si="95"/>
        <v>1.56523715180871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45877</v>
      </c>
      <c r="B234" s="409">
        <f>'2024'!Wh/'2024'!Env_an*'2025'!Env_an</f>
        <v>52.934227670988619</v>
      </c>
      <c r="C234" s="829"/>
      <c r="D234" s="391">
        <f t="shared" si="77"/>
        <v>55.427972144566489</v>
      </c>
      <c r="E234" s="383">
        <f t="shared" si="100"/>
        <v>56.431149827280564</v>
      </c>
      <c r="F234" s="383">
        <f t="shared" si="78"/>
        <v>56.714919727372148</v>
      </c>
      <c r="G234" s="110">
        <f t="shared" si="101"/>
        <v>1.0166461290976148</v>
      </c>
      <c r="H234" s="412" t="b">
        <f>Wh_hp&gt;='2024'!Maxi_hp</f>
        <v>1</v>
      </c>
      <c r="I234" s="388">
        <f>IF(H234,Wh_hp,'2024'!Maxi_hp)</f>
        <v>56.714919727372148</v>
      </c>
      <c r="J234" s="85">
        <f>IF(H234,An,'2024'!An_max)</f>
        <v>2025</v>
      </c>
      <c r="K234" s="197">
        <f t="shared" si="79"/>
        <v>45877</v>
      </c>
      <c r="L234" s="147">
        <f>IF(t&lt;Tvie,1-EXP((T0-t)*PertePVj)+'2024'!Pspv,1-EXP((T0-t)*PertePVj)+Pspv)</f>
        <v>4.4990721779857301E-2</v>
      </c>
      <c r="M234" s="832"/>
      <c r="N234" s="832"/>
      <c r="O234" s="48">
        <f>IF(t&lt;Tnet,'2024'!Resal+('2024'!Salim-'2024'!Resal)*(1-EXP(('2024'!Tnet-t)/('2024'!Tau_j))),Resal+(Salim-Resal)*(1-EXP((Tnet-t)/(Tau_j))))*Salcycl</f>
        <v>1.7777020063998464E-2</v>
      </c>
      <c r="P234" s="169">
        <f>(INDEX(Models!$BJ234:$BT234,,T234)*(1-R234)+INDEX(Models!$BJ234:$BT234,,T234+1)*R234-ERP_i)*Q234*Ramure*Pc/MaxiM</f>
        <v>5.0034435639804481E-3</v>
      </c>
      <c r="Q234" s="304">
        <f t="shared" si="80"/>
        <v>0.7</v>
      </c>
      <c r="R234" s="177">
        <f t="shared" si="81"/>
        <v>0.50215634869521519</v>
      </c>
      <c r="S234" s="799">
        <f t="shared" si="82"/>
        <v>1</v>
      </c>
      <c r="T234" s="176">
        <f t="shared" si="83"/>
        <v>7</v>
      </c>
      <c r="U234" s="250">
        <f t="shared" si="84"/>
        <v>1.5021563486952152</v>
      </c>
      <c r="V234" s="382">
        <f t="shared" si="85"/>
        <v>52.067505256694943</v>
      </c>
      <c r="W234" s="400">
        <f t="shared" si="86"/>
        <v>52.934227670988619</v>
      </c>
      <c r="X234" s="157">
        <f t="shared" si="87"/>
        <v>45877</v>
      </c>
      <c r="Y234" s="383">
        <f t="shared" si="88"/>
        <v>50.32607103447608</v>
      </c>
      <c r="Z234" s="383">
        <f t="shared" si="89"/>
        <v>52.696944607982367</v>
      </c>
      <c r="AA234" s="384">
        <f t="shared" si="90"/>
        <v>56.420749447618689</v>
      </c>
      <c r="AB234" s="197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6.6000627005026249E-2</v>
      </c>
      <c r="AD234" s="230">
        <f>(INDEX(Models!$BJ234:$BT234,,AH234)*(1-AF234)+INDEX(Models!$BJ234:$BT234,,AH234+1)*AF234-ERP_i)*AE234*Ramure*Pc/MaxiM</f>
        <v>5.1868235231140106E-3</v>
      </c>
      <c r="AE234" s="304">
        <f t="shared" si="92"/>
        <v>0.7</v>
      </c>
      <c r="AF234" s="177">
        <f t="shared" si="93"/>
        <v>0.56648857095504734</v>
      </c>
      <c r="AG234" s="799">
        <f t="shared" si="99"/>
        <v>1</v>
      </c>
      <c r="AH234" s="176">
        <f t="shared" si="94"/>
        <v>7</v>
      </c>
      <c r="AI234" s="224">
        <f t="shared" si="95"/>
        <v>1.5664885709550473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45878</v>
      </c>
      <c r="B235" s="409">
        <f>'2024'!Wh/'2024'!Env_an*'2025'!Env_an</f>
        <v>51.204682532771201</v>
      </c>
      <c r="C235" s="829"/>
      <c r="D235" s="391">
        <f t="shared" si="77"/>
        <v>53.617975286135305</v>
      </c>
      <c r="E235" s="383">
        <f t="shared" si="100"/>
        <v>54.593823107374071</v>
      </c>
      <c r="F235" s="383">
        <f t="shared" si="78"/>
        <v>54.868912356237139</v>
      </c>
      <c r="G235" s="110">
        <f t="shared" si="101"/>
        <v>0.98597584918590697</v>
      </c>
      <c r="H235" s="412" t="b">
        <f>Wh_hp&gt;='2024'!Maxi_hp</f>
        <v>0</v>
      </c>
      <c r="I235" s="388">
        <f>IF(H235,Wh_hp,'2024'!Maxi_hp)</f>
        <v>54.928479355291955</v>
      </c>
      <c r="J235" s="85">
        <f>IF(H235,An,'2024'!An_max)</f>
        <v>2018</v>
      </c>
      <c r="K235" s="197">
        <f t="shared" si="79"/>
        <v>45878</v>
      </c>
      <c r="L235" s="147">
        <f>IF(t&lt;Tvie,1-EXP((T0-t)*PertePVj)+'2024'!Pspv,1-EXP((T0-t)*PertePVj)+Pspv)</f>
        <v>4.5009024314801804E-2</v>
      </c>
      <c r="M235" s="832"/>
      <c r="N235" s="832"/>
      <c r="O235" s="48">
        <f>IF(t&lt;Tnet,'2024'!Resal+('2024'!Salim-'2024'!Resal)*(1-EXP(('2024'!Tnet-t)/('2024'!Tau_j))),Resal+(Salim-Resal)*(1-EXP((Tnet-t)/(Tau_j))))*Salcycl</f>
        <v>1.7874692880904878E-2</v>
      </c>
      <c r="P235" s="169">
        <f>(INDEX(Models!$BJ235:$BT235,,T235)*(1-R235)+INDEX(Models!$BJ235:$BT235,,T235+1)*R235-ERP_i)*Q235*Ramure*Pc/MaxiM</f>
        <v>5.1153180987087024E-3</v>
      </c>
      <c r="Q235" s="304">
        <f t="shared" si="80"/>
        <v>0.7</v>
      </c>
      <c r="R235" s="177">
        <f t="shared" si="81"/>
        <v>0.50336543739011774</v>
      </c>
      <c r="S235" s="799">
        <f t="shared" si="82"/>
        <v>1</v>
      </c>
      <c r="T235" s="176">
        <f t="shared" si="83"/>
        <v>7</v>
      </c>
      <c r="U235" s="250">
        <f t="shared" si="84"/>
        <v>1.5033654373901177</v>
      </c>
      <c r="V235" s="382">
        <f t="shared" si="85"/>
        <v>51.927688140102866</v>
      </c>
      <c r="W235" s="400">
        <f t="shared" si="86"/>
        <v>51.204682532771201</v>
      </c>
      <c r="X235" s="157">
        <f t="shared" si="87"/>
        <v>45878</v>
      </c>
      <c r="Y235" s="383">
        <f t="shared" si="88"/>
        <v>48.68455848172033</v>
      </c>
      <c r="Z235" s="383">
        <f t="shared" si="89"/>
        <v>50.979076997863316</v>
      </c>
      <c r="AA235" s="384">
        <f t="shared" si="90"/>
        <v>54.583803661823282</v>
      </c>
      <c r="AB235" s="197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6.6040224794395697E-2</v>
      </c>
      <c r="AD235" s="230">
        <f>(INDEX(Models!$BJ235:$BT235,,AH235)*(1-AF235)+INDEX(Models!$BJ235:$BT235,,AH235+1)*AF235-ERP_i)*AE235*Ramure*Pc/MaxiM</f>
        <v>5.3016309094665965E-3</v>
      </c>
      <c r="AE235" s="304">
        <f t="shared" si="92"/>
        <v>0.7</v>
      </c>
      <c r="AF235" s="177">
        <f t="shared" si="93"/>
        <v>0.56769765964994989</v>
      </c>
      <c r="AG235" s="799">
        <f t="shared" si="99"/>
        <v>1</v>
      </c>
      <c r="AH235" s="176">
        <f t="shared" si="94"/>
        <v>7</v>
      </c>
      <c r="AI235" s="224">
        <f t="shared" si="95"/>
        <v>1.5676976596499499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45879</v>
      </c>
      <c r="B236" s="409">
        <f>'2024'!Wh/'2024'!Env_an*'2025'!Env_an</f>
        <v>49.791144724569463</v>
      </c>
      <c r="C236" s="829"/>
      <c r="D236" s="391">
        <f t="shared" si="77"/>
        <v>52.138816226050267</v>
      </c>
      <c r="E236" s="383">
        <f t="shared" si="100"/>
        <v>53.093014707444247</v>
      </c>
      <c r="F236" s="383">
        <f t="shared" si="78"/>
        <v>53.356114915506581</v>
      </c>
      <c r="G236" s="110">
        <f t="shared" si="101"/>
        <v>0.96115605896548439</v>
      </c>
      <c r="H236" s="412" t="b">
        <f>Wh_hp&gt;='2024'!Maxi_hp</f>
        <v>0</v>
      </c>
      <c r="I236" s="388">
        <f>IF(H236,Wh_hp,'2024'!Maxi_hp)</f>
        <v>53.365205787332016</v>
      </c>
      <c r="J236" s="85">
        <f>IF(H236,An,'2024'!An_max)</f>
        <v>2022</v>
      </c>
      <c r="K236" s="197">
        <f t="shared" si="79"/>
        <v>45879</v>
      </c>
      <c r="L236" s="147">
        <f>IF(t&lt;Tvie,1-EXP((T0-t)*PertePVj)+'2024'!Pspv,1-EXP((T0-t)*PertePVj)+Pspv)</f>
        <v>4.5027326498982334E-2</v>
      </c>
      <c r="M236" s="832"/>
      <c r="N236" s="832"/>
      <c r="O236" s="48">
        <f>IF(t&lt;Tnet,'2024'!Resal+('2024'!Salim-'2024'!Resal)*(1-EXP(('2024'!Tnet-t)/('2024'!Tau_j))),Resal+(Salim-Resal)*(1-EXP((Tnet-t)/(Tau_j))))*Salcycl</f>
        <v>1.7972203813474422E-2</v>
      </c>
      <c r="P236" s="169">
        <f>(INDEX(Models!$BJ236:$BT236,,T236)*(1-R236)+INDEX(Models!$BJ236:$BT236,,T236+1)*R236-ERP_i)*Q236*Ramure*Pc/MaxiM</f>
        <v>5.2185351539002891E-3</v>
      </c>
      <c r="Q236" s="304">
        <f t="shared" si="80"/>
        <v>0.7</v>
      </c>
      <c r="R236" s="177">
        <f t="shared" si="81"/>
        <v>0.50453333776283538</v>
      </c>
      <c r="S236" s="799">
        <f t="shared" si="82"/>
        <v>1</v>
      </c>
      <c r="T236" s="176">
        <f t="shared" si="83"/>
        <v>7</v>
      </c>
      <c r="U236" s="250">
        <f t="shared" si="84"/>
        <v>1.5045333377628354</v>
      </c>
      <c r="V236" s="382">
        <f t="shared" si="85"/>
        <v>51.788424720855893</v>
      </c>
      <c r="W236" s="400">
        <f t="shared" si="86"/>
        <v>49.791144724569463</v>
      </c>
      <c r="X236" s="157">
        <f t="shared" si="87"/>
        <v>45879</v>
      </c>
      <c r="Y236" s="383">
        <f t="shared" si="88"/>
        <v>47.343456196665358</v>
      </c>
      <c r="Z236" s="383">
        <f t="shared" si="89"/>
        <v>49.575718248669766</v>
      </c>
      <c r="AA236" s="384">
        <f t="shared" si="90"/>
        <v>53.083452740228644</v>
      </c>
      <c r="AB236" s="197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6.6079622000559654E-2</v>
      </c>
      <c r="AD236" s="230">
        <f>(INDEX(Models!$BJ236:$BT236,,AH236)*(1-AF236)+INDEX(Models!$BJ236:$BT236,,AH236+1)*AF236-ERP_i)*AE236*Ramure*Pc/MaxiM</f>
        <v>5.408194684854423E-3</v>
      </c>
      <c r="AE236" s="304">
        <f t="shared" si="92"/>
        <v>0.7</v>
      </c>
      <c r="AF236" s="177">
        <f t="shared" si="93"/>
        <v>0.56886556002266753</v>
      </c>
      <c r="AG236" s="799">
        <f t="shared" si="99"/>
        <v>1</v>
      </c>
      <c r="AH236" s="176">
        <f t="shared" si="94"/>
        <v>7</v>
      </c>
      <c r="AI236" s="224">
        <f t="shared" si="95"/>
        <v>1.5688655600226675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45880</v>
      </c>
      <c r="B237" s="409">
        <f>'2024'!Wh/'2024'!Env_an*'2025'!Env_an</f>
        <v>47.647416904925663</v>
      </c>
      <c r="C237" s="829"/>
      <c r="D237" s="391">
        <f t="shared" si="77"/>
        <v>49.89496704614389</v>
      </c>
      <c r="E237" s="383">
        <f t="shared" si="100"/>
        <v>50.813137684148607</v>
      </c>
      <c r="F237" s="383">
        <f t="shared" si="78"/>
        <v>51.054368201483079</v>
      </c>
      <c r="G237" s="110">
        <f t="shared" si="101"/>
        <v>0.92197110924049774</v>
      </c>
      <c r="H237" s="412" t="b">
        <f>Wh_hp&gt;='2024'!Maxi_hp</f>
        <v>0</v>
      </c>
      <c r="I237" s="388">
        <f>IF(H237,Wh_hp,'2024'!Maxi_hp)</f>
        <v>51.137114320029383</v>
      </c>
      <c r="J237" s="85">
        <f>IF(H237,An,'2024'!An_max)</f>
        <v>2021</v>
      </c>
      <c r="K237" s="197">
        <f t="shared" si="79"/>
        <v>45880</v>
      </c>
      <c r="L237" s="147">
        <f>IF(t&lt;Tvie,1-EXP((T0-t)*PertePVj)+'2024'!Pspv,1-EXP((T0-t)*PertePVj)+Pspv)</f>
        <v>4.5045628332405663E-2</v>
      </c>
      <c r="M237" s="832"/>
      <c r="N237" s="832"/>
      <c r="O237" s="48">
        <f>IF(t&lt;Tnet,'2024'!Resal+('2024'!Salim-'2024'!Resal)*(1-EXP(('2024'!Tnet-t)/('2024'!Tau_j))),Resal+(Salim-Resal)*(1-EXP((Tnet-t)/(Tau_j))))*Salcycl</f>
        <v>1.8069552085368389E-2</v>
      </c>
      <c r="P237" s="169">
        <f>(INDEX(Models!$BJ237:$BT237,,T237)*(1-R237)+INDEX(Models!$BJ237:$BT237,,T237+1)*R237-ERP_i)*Q237*Ramure*Pc/MaxiM</f>
        <v>5.3130842851856538E-3</v>
      </c>
      <c r="Q237" s="304">
        <f t="shared" si="80"/>
        <v>0.7</v>
      </c>
      <c r="R237" s="177">
        <f t="shared" si="81"/>
        <v>0.50566118264790938</v>
      </c>
      <c r="S237" s="799">
        <f t="shared" si="82"/>
        <v>1</v>
      </c>
      <c r="T237" s="176">
        <f t="shared" si="83"/>
        <v>7</v>
      </c>
      <c r="U237" s="250">
        <f t="shared" si="84"/>
        <v>1.5056611826479094</v>
      </c>
      <c r="V237" s="382">
        <f t="shared" si="85"/>
        <v>51.649407902320135</v>
      </c>
      <c r="W237" s="400">
        <f t="shared" si="86"/>
        <v>47.647416904925663</v>
      </c>
      <c r="X237" s="157">
        <f t="shared" si="87"/>
        <v>45880</v>
      </c>
      <c r="Y237" s="383">
        <f t="shared" si="88"/>
        <v>45.308031442769703</v>
      </c>
      <c r="Z237" s="383">
        <f t="shared" si="89"/>
        <v>47.445231716830932</v>
      </c>
      <c r="AA237" s="384">
        <f t="shared" si="90"/>
        <v>50.804355632973611</v>
      </c>
      <c r="AB237" s="197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6.611881745750374E-2</v>
      </c>
      <c r="AD237" s="230">
        <f>(INDEX(Models!$BJ237:$BT237,,AH237)*(1-AF237)+INDEX(Models!$BJ237:$BT237,,AH237+1)*AF237-ERP_i)*AE237*Ramure*Pc/MaxiM</f>
        <v>5.5065083121501809E-3</v>
      </c>
      <c r="AE237" s="304">
        <f t="shared" si="92"/>
        <v>0.7</v>
      </c>
      <c r="AF237" s="177">
        <f t="shared" si="93"/>
        <v>0.56999340490774153</v>
      </c>
      <c r="AG237" s="799">
        <f t="shared" si="99"/>
        <v>1</v>
      </c>
      <c r="AH237" s="176">
        <f t="shared" si="94"/>
        <v>7</v>
      </c>
      <c r="AI237" s="224">
        <f t="shared" si="95"/>
        <v>1.5699934049077415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45881</v>
      </c>
      <c r="B238" s="409">
        <f>'2024'!Wh/'2024'!Env_an*'2025'!Env_an</f>
        <v>48.069117220308364</v>
      </c>
      <c r="C238" s="829"/>
      <c r="D238" s="391">
        <f t="shared" si="77"/>
        <v>50.337523862722954</v>
      </c>
      <c r="E238" s="383">
        <f t="shared" si="100"/>
        <v>51.268912697934546</v>
      </c>
      <c r="F238" s="383">
        <f t="shared" si="78"/>
        <v>51.520523075069335</v>
      </c>
      <c r="G238" s="110">
        <f t="shared" si="101"/>
        <v>0.93271051932139748</v>
      </c>
      <c r="H238" s="412" t="b">
        <f>Wh_hp&gt;='2024'!Maxi_hp</f>
        <v>0</v>
      </c>
      <c r="I238" s="388">
        <f>IF(H238,Wh_hp,'2024'!Maxi_hp)</f>
        <v>51.536068308654343</v>
      </c>
      <c r="J238" s="85">
        <f>IF(H238,An,'2024'!An_max)</f>
        <v>2022</v>
      </c>
      <c r="K238" s="197">
        <f t="shared" si="79"/>
        <v>45881</v>
      </c>
      <c r="L238" s="147">
        <f>IF(t&lt;Tvie,1-EXP((T0-t)*PertePVj)+'2024'!Pspv,1-EXP((T0-t)*PertePVj)+Pspv)</f>
        <v>4.5063929815078563E-2</v>
      </c>
      <c r="M238" s="832"/>
      <c r="N238" s="832"/>
      <c r="O238" s="48">
        <f>IF(t&lt;Tnet,'2024'!Resal+('2024'!Salim-'2024'!Resal)*(1-EXP(('2024'!Tnet-t)/('2024'!Tau_j))),Resal+(Salim-Resal)*(1-EXP((Tnet-t)/(Tau_j))))*Salcycl</f>
        <v>1.8166736647978722E-2</v>
      </c>
      <c r="P238" s="169">
        <f>(INDEX(Models!$BJ238:$BT238,,T238)*(1-R238)+INDEX(Models!$BJ238:$BT238,,T238+1)*R238-ERP_i)*Q238*Ramure*Pc/MaxiM</f>
        <v>5.3989552355473815E-3</v>
      </c>
      <c r="Q238" s="304">
        <f t="shared" si="80"/>
        <v>0.7</v>
      </c>
      <c r="R238" s="177">
        <f t="shared" si="81"/>
        <v>0.50675009383796232</v>
      </c>
      <c r="S238" s="799">
        <f t="shared" si="82"/>
        <v>1</v>
      </c>
      <c r="T238" s="176">
        <f t="shared" si="83"/>
        <v>7</v>
      </c>
      <c r="U238" s="250">
        <f t="shared" si="84"/>
        <v>1.5067500938379623</v>
      </c>
      <c r="V238" s="382">
        <f t="shared" si="85"/>
        <v>51.510330839136905</v>
      </c>
      <c r="W238" s="400">
        <f t="shared" si="86"/>
        <v>48.069117220308364</v>
      </c>
      <c r="X238" s="157">
        <f t="shared" si="87"/>
        <v>45881</v>
      </c>
      <c r="Y238" s="383">
        <f t="shared" si="88"/>
        <v>45.711332154895366</v>
      </c>
      <c r="Z238" s="383">
        <f t="shared" si="89"/>
        <v>47.868473693787124</v>
      </c>
      <c r="AA238" s="384">
        <f t="shared" si="90"/>
        <v>51.25970335910624</v>
      </c>
      <c r="AB238" s="197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6.6157809021278144E-2</v>
      </c>
      <c r="AD238" s="230">
        <f>(INDEX(Models!$BJ238:$BT238,,AH238)*(1-AF238)+INDEX(Models!$BJ238:$BT238,,AH238+1)*AF238-ERP_i)*AE238*Ramure*Pc/MaxiM</f>
        <v>5.5965655592915805E-3</v>
      </c>
      <c r="AE238" s="304">
        <f t="shared" si="92"/>
        <v>0.7</v>
      </c>
      <c r="AF238" s="177">
        <f t="shared" si="93"/>
        <v>0.57108231609779447</v>
      </c>
      <c r="AG238" s="799">
        <f t="shared" si="99"/>
        <v>1</v>
      </c>
      <c r="AH238" s="176">
        <f t="shared" si="94"/>
        <v>7</v>
      </c>
      <c r="AI238" s="224">
        <f t="shared" si="95"/>
        <v>1.5710823160977945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45882</v>
      </c>
      <c r="B239" s="409">
        <f>'2024'!Wh/'2024'!Env_an*'2025'!Env_an</f>
        <v>36.123828253557711</v>
      </c>
      <c r="C239" s="829"/>
      <c r="D239" s="391">
        <f t="shared" si="77"/>
        <v>37.829255485927668</v>
      </c>
      <c r="E239" s="383">
        <f t="shared" si="100"/>
        <v>38.533013041556408</v>
      </c>
      <c r="F239" s="383">
        <f t="shared" si="78"/>
        <v>38.654939529946866</v>
      </c>
      <c r="G239" s="110">
        <f t="shared" si="101"/>
        <v>0.70155858193269793</v>
      </c>
      <c r="H239" s="412" t="b">
        <f>Wh_hp&gt;='2024'!Maxi_hp</f>
        <v>0</v>
      </c>
      <c r="I239" s="388">
        <f>IF(H239,Wh_hp,'2024'!Maxi_hp)</f>
        <v>44.585045141201746</v>
      </c>
      <c r="J239" s="85">
        <f>IF(H239,An,'2024'!An_max)</f>
        <v>2018</v>
      </c>
      <c r="K239" s="197">
        <f t="shared" si="79"/>
        <v>45882</v>
      </c>
      <c r="L239" s="147">
        <f>IF(t&lt;Tvie,1-EXP((T0-t)*PertePVj)+'2024'!Pspv,1-EXP((T0-t)*PertePVj)+Pspv)</f>
        <v>4.5082230947007806E-2</v>
      </c>
      <c r="M239" s="832"/>
      <c r="N239" s="832"/>
      <c r="O239" s="48">
        <f>IF(t&lt;Tnet,'2024'!Resal+('2024'!Salim-'2024'!Resal)*(1-EXP(('2024'!Tnet-t)/('2024'!Tau_j))),Resal+(Salim-Resal)*(1-EXP((Tnet-t)/(Tau_j))))*Salcycl</f>
        <v>1.8263756194454948E-2</v>
      </c>
      <c r="P239" s="169">
        <f>(INDEX(Models!$BJ239:$BT239,,T239)*(1-R239)+INDEX(Models!$BJ239:$BT239,,T239+1)*R239-ERP_i)*Q239*Ramure*Pc/MaxiM</f>
        <v>5.4761375284618661E-3</v>
      </c>
      <c r="Q239" s="304">
        <f t="shared" si="80"/>
        <v>0.7</v>
      </c>
      <c r="R239" s="177">
        <f t="shared" si="81"/>
        <v>0.50780118050015721</v>
      </c>
      <c r="S239" s="799">
        <f t="shared" si="82"/>
        <v>1</v>
      </c>
      <c r="T239" s="176">
        <f t="shared" si="83"/>
        <v>7</v>
      </c>
      <c r="U239" s="250">
        <f t="shared" si="84"/>
        <v>1.5078011805001572</v>
      </c>
      <c r="V239" s="382">
        <f t="shared" si="85"/>
        <v>51.370886929095519</v>
      </c>
      <c r="W239" s="400">
        <f t="shared" si="86"/>
        <v>36.123828253557711</v>
      </c>
      <c r="X239" s="157">
        <f t="shared" si="87"/>
        <v>45882</v>
      </c>
      <c r="Y239" s="383">
        <f t="shared" si="88"/>
        <v>34.356083431810248</v>
      </c>
      <c r="Z239" s="383">
        <f t="shared" si="89"/>
        <v>35.978054388789673</v>
      </c>
      <c r="AA239" s="384">
        <f t="shared" si="90"/>
        <v>38.528510545043687</v>
      </c>
      <c r="AB239" s="197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6.6196593643875229E-2</v>
      </c>
      <c r="AD239" s="230">
        <f>(INDEX(Models!$BJ239:$BT239,,AH239)*(1-AF239)+INDEX(Models!$BJ239:$BT239,,AH239+1)*AF239-ERP_i)*AE239*Ramure*Pc/MaxiM</f>
        <v>5.6783601172575608E-3</v>
      </c>
      <c r="AE239" s="304">
        <f t="shared" si="92"/>
        <v>0.7</v>
      </c>
      <c r="AF239" s="177">
        <f t="shared" si="93"/>
        <v>0.57213340275998936</v>
      </c>
      <c r="AG239" s="799">
        <f t="shared" si="99"/>
        <v>1</v>
      </c>
      <c r="AH239" s="176">
        <f t="shared" si="94"/>
        <v>7</v>
      </c>
      <c r="AI239" s="224">
        <f t="shared" si="95"/>
        <v>1.5721334027599894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45883</v>
      </c>
      <c r="B240" s="409">
        <f>'2024'!Wh/'2024'!Env_an*'2025'!Env_an</f>
        <v>35.992647126843892</v>
      </c>
      <c r="C240" s="829"/>
      <c r="D240" s="391">
        <f t="shared" si="77"/>
        <v>37.692603591019115</v>
      </c>
      <c r="E240" s="383">
        <f t="shared" si="100"/>
        <v>38.397607047228263</v>
      </c>
      <c r="F240" s="383">
        <f t="shared" si="78"/>
        <v>38.520654244510723</v>
      </c>
      <c r="G240" s="110">
        <f t="shared" si="101"/>
        <v>0.70090265212403424</v>
      </c>
      <c r="H240" s="412" t="b">
        <f>Wh_hp&gt;='2024'!Maxi_hp</f>
        <v>0</v>
      </c>
      <c r="I240" s="388">
        <f>IF(H240,Wh_hp,'2024'!Maxi_hp)</f>
        <v>56.167943192678834</v>
      </c>
      <c r="J240" s="85">
        <f>IF(H240,An,'2024'!An_max)</f>
        <v>2018</v>
      </c>
      <c r="K240" s="197">
        <f t="shared" si="79"/>
        <v>45883</v>
      </c>
      <c r="L240" s="147">
        <f>IF(t&lt;Tvie,1-EXP((T0-t)*PertePVj)+'2024'!Pspv,1-EXP((T0-t)*PertePVj)+Pspv)</f>
        <v>4.5100531728199944E-2</v>
      </c>
      <c r="M240" s="832"/>
      <c r="N240" s="832"/>
      <c r="O240" s="48">
        <f>IF(t&lt;Tnet,'2024'!Resal+('2024'!Salim-'2024'!Resal)*(1-EXP(('2024'!Tnet-t)/('2024'!Tau_j))),Resal+(Salim-Resal)*(1-EXP((Tnet-t)/(Tau_j))))*Salcycl</f>
        <v>1.8360609173952186E-2</v>
      </c>
      <c r="P240" s="169">
        <f>(INDEX(Models!$BJ240:$BT240,,T240)*(1-R240)+INDEX(Models!$BJ240:$BT240,,T240+1)*R240-ERP_i)*Q240*Ramure*Pc/MaxiM</f>
        <v>5.5544225558682514E-3</v>
      </c>
      <c r="Q240" s="304">
        <f t="shared" si="80"/>
        <v>0.7</v>
      </c>
      <c r="R240" s="177">
        <f t="shared" si="81"/>
        <v>0.5088155377489163</v>
      </c>
      <c r="S240" s="799">
        <f t="shared" si="82"/>
        <v>1</v>
      </c>
      <c r="T240" s="176">
        <f t="shared" si="83"/>
        <v>7</v>
      </c>
      <c r="U240" s="250">
        <f t="shared" si="84"/>
        <v>1.5088155377489163</v>
      </c>
      <c r="V240" s="382">
        <f t="shared" si="85"/>
        <v>51.230264818740814</v>
      </c>
      <c r="W240" s="400">
        <f t="shared" si="86"/>
        <v>35.992647126843892</v>
      </c>
      <c r="X240" s="157">
        <f t="shared" si="87"/>
        <v>45883</v>
      </c>
      <c r="Y240" s="383">
        <f t="shared" si="88"/>
        <v>34.233189529683649</v>
      </c>
      <c r="Z240" s="383">
        <f t="shared" si="89"/>
        <v>35.850045651025127</v>
      </c>
      <c r="AA240" s="384">
        <f t="shared" si="90"/>
        <v>38.393013316807185</v>
      </c>
      <c r="AB240" s="197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6.6235167445656856E-2</v>
      </c>
      <c r="AD240" s="230">
        <f>(INDEX(Models!$BJ240:$BT240,,AH240)*(1-AF240)+INDEX(Models!$BJ240:$BT240,,AH240+1)*AF240-ERP_i)*AE240*Ramure*Pc/MaxiM</f>
        <v>5.7617862376905535E-3</v>
      </c>
      <c r="AE240" s="304">
        <f t="shared" si="92"/>
        <v>0.7</v>
      </c>
      <c r="AF240" s="177">
        <f t="shared" si="93"/>
        <v>0.57314776000874845</v>
      </c>
      <c r="AG240" s="799">
        <f t="shared" si="99"/>
        <v>1</v>
      </c>
      <c r="AH240" s="176">
        <f t="shared" si="94"/>
        <v>7</v>
      </c>
      <c r="AI240" s="224">
        <f t="shared" si="95"/>
        <v>1.5731477600087485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45884</v>
      </c>
      <c r="B241" s="409">
        <f>'2024'!Wh/'2024'!Env_an*'2025'!Env_an</f>
        <v>33.613282574248686</v>
      </c>
      <c r="C241" s="829"/>
      <c r="D241" s="391">
        <f t="shared" si="77"/>
        <v>35.201534710582777</v>
      </c>
      <c r="E241" s="383">
        <f t="shared" si="100"/>
        <v>35.863477450790199</v>
      </c>
      <c r="F241" s="383">
        <f t="shared" si="78"/>
        <v>35.967224336591421</v>
      </c>
      <c r="G241" s="110">
        <f t="shared" si="101"/>
        <v>0.6561324611321554</v>
      </c>
      <c r="H241" s="412" t="b">
        <f>Wh_hp&gt;='2024'!Maxi_hp</f>
        <v>0</v>
      </c>
      <c r="I241" s="388">
        <f>IF(H241,Wh_hp,'2024'!Maxi_hp)</f>
        <v>48.01365532613444</v>
      </c>
      <c r="J241" s="85">
        <f>IF(H241,An,'2024'!An_max)</f>
        <v>2020</v>
      </c>
      <c r="K241" s="197">
        <f t="shared" si="79"/>
        <v>45884</v>
      </c>
      <c r="L241" s="147">
        <f>IF(t&lt;Tvie,1-EXP((T0-t)*PertePVj)+'2024'!Pspv,1-EXP((T0-t)*PertePVj)+Pspv)</f>
        <v>4.5118832158661748E-2</v>
      </c>
      <c r="M241" s="832"/>
      <c r="N241" s="832"/>
      <c r="O241" s="48">
        <f>IF(t&lt;Tnet,'2024'!Resal+('2024'!Salim-'2024'!Resal)*(1-EXP(('2024'!Tnet-t)/('2024'!Tau_j))),Resal+(Salim-Resal)*(1-EXP((Tnet-t)/(Tau_j))))*Salcycl</f>
        <v>1.8457293805814099E-2</v>
      </c>
      <c r="P241" s="169">
        <f>(INDEX(Models!$BJ241:$BT241,,T241)*(1-R241)+INDEX(Models!$BJ241:$BT241,,T241+1)*R241-ERP_i)*Q241*Ramure*Pc/MaxiM</f>
        <v>5.6408209043641369E-3</v>
      </c>
      <c r="Q241" s="304">
        <f t="shared" si="80"/>
        <v>0.7</v>
      </c>
      <c r="R241" s="177">
        <f t="shared" si="81"/>
        <v>0.50979424536734852</v>
      </c>
      <c r="S241" s="799">
        <f t="shared" si="82"/>
        <v>1</v>
      </c>
      <c r="T241" s="176">
        <f t="shared" si="83"/>
        <v>7</v>
      </c>
      <c r="U241" s="250">
        <f t="shared" si="84"/>
        <v>1.5097942453673485</v>
      </c>
      <c r="V241" s="382">
        <f t="shared" si="85"/>
        <v>51.087801643723857</v>
      </c>
      <c r="W241" s="400">
        <f t="shared" si="86"/>
        <v>33.613282574248686</v>
      </c>
      <c r="X241" s="157">
        <f t="shared" si="87"/>
        <v>45884</v>
      </c>
      <c r="Y241" s="383">
        <f t="shared" si="88"/>
        <v>31.972306883532536</v>
      </c>
      <c r="Z241" s="383">
        <f t="shared" si="89"/>
        <v>33.48302172071427</v>
      </c>
      <c r="AA241" s="384">
        <f t="shared" si="90"/>
        <v>35.859561279846218</v>
      </c>
      <c r="AB241" s="197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6.6273525785370033E-2</v>
      </c>
      <c r="AD241" s="230">
        <f>(INDEX(Models!$BJ241:$BT241,,AH241)*(1-AF241)+INDEX(Models!$BJ241:$BT241,,AH241+1)*AF241-ERP_i)*AE241*Ramure*Pc/MaxiM</f>
        <v>5.8537469961234302E-3</v>
      </c>
      <c r="AE241" s="304">
        <f t="shared" si="92"/>
        <v>0.7</v>
      </c>
      <c r="AF241" s="177">
        <f t="shared" si="93"/>
        <v>0.57412646762718067</v>
      </c>
      <c r="AG241" s="799">
        <f t="shared" si="99"/>
        <v>1</v>
      </c>
      <c r="AH241" s="176">
        <f t="shared" si="94"/>
        <v>7</v>
      </c>
      <c r="AI241" s="224">
        <f t="shared" si="95"/>
        <v>1.5741264676271807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45885</v>
      </c>
      <c r="B242" s="409">
        <f>'2024'!Wh/'2024'!Env_an*'2025'!Env_an</f>
        <v>38.643056639982028</v>
      </c>
      <c r="C242" s="829"/>
      <c r="D242" s="391">
        <f t="shared" si="77"/>
        <v>40.469744865636578</v>
      </c>
      <c r="E242" s="383">
        <f t="shared" si="100"/>
        <v>41.234807572098092</v>
      </c>
      <c r="F242" s="383">
        <f t="shared" si="78"/>
        <v>41.390316781367062</v>
      </c>
      <c r="G242" s="110">
        <f t="shared" si="101"/>
        <v>0.75704562129891906</v>
      </c>
      <c r="H242" s="412" t="b">
        <f>Wh_hp&gt;='2024'!Maxi_hp</f>
        <v>0</v>
      </c>
      <c r="I242" s="388">
        <f>IF(H242,Wh_hp,'2024'!Maxi_hp)</f>
        <v>56.53449474291795</v>
      </c>
      <c r="J242" s="85">
        <f>IF(H242,An,'2024'!An_max)</f>
        <v>2018</v>
      </c>
      <c r="K242" s="197">
        <f t="shared" si="79"/>
        <v>45885</v>
      </c>
      <c r="L242" s="147">
        <f>IF(t&lt;Tvie,1-EXP((T0-t)*PertePVj)+'2024'!Pspv,1-EXP((T0-t)*PertePVj)+Pspv)</f>
        <v>4.5137132238399991E-2</v>
      </c>
      <c r="M242" s="832"/>
      <c r="N242" s="832"/>
      <c r="O242" s="48">
        <f>IF(t&lt;Tnet,'2024'!Resal+('2024'!Salim-'2024'!Resal)*(1-EXP(('2024'!Tnet-t)/('2024'!Tau_j))),Resal+(Salim-Resal)*(1-EXP((Tnet-t)/(Tau_j))))*Salcycl</f>
        <v>1.8553808093412932E-2</v>
      </c>
      <c r="P242" s="169">
        <f>(INDEX(Models!$BJ242:$BT242,,T242)*(1-R242)+INDEX(Models!$BJ242:$BT242,,T242+1)*R242-ERP_i)*Q242*Ramure*Pc/MaxiM</f>
        <v>5.7354418561306846E-3</v>
      </c>
      <c r="Q242" s="304">
        <f t="shared" si="80"/>
        <v>0.7</v>
      </c>
      <c r="R242" s="177">
        <f t="shared" si="81"/>
        <v>0.51073836666976358</v>
      </c>
      <c r="S242" s="799">
        <f t="shared" si="82"/>
        <v>1</v>
      </c>
      <c r="T242" s="176">
        <f t="shared" si="83"/>
        <v>7</v>
      </c>
      <c r="U242" s="250">
        <f t="shared" si="84"/>
        <v>1.5107383666697636</v>
      </c>
      <c r="V242" s="382">
        <f t="shared" si="85"/>
        <v>50.943192340647272</v>
      </c>
      <c r="W242" s="400">
        <f t="shared" si="86"/>
        <v>38.643056639982028</v>
      </c>
      <c r="X242" s="157">
        <f t="shared" si="87"/>
        <v>45885</v>
      </c>
      <c r="Y242" s="383">
        <f t="shared" si="88"/>
        <v>36.757366751189466</v>
      </c>
      <c r="Z242" s="383">
        <f t="shared" si="89"/>
        <v>38.494916906085678</v>
      </c>
      <c r="AA242" s="384">
        <f t="shared" si="90"/>
        <v>41.228871984465528</v>
      </c>
      <c r="AB242" s="197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6.6311663326854245E-2</v>
      </c>
      <c r="AD242" s="230">
        <f>(INDEX(Models!$BJ242:$BT242,,AH242)*(1-AF242)+INDEX(Models!$BJ242:$BT242,,AH242+1)*AF242-ERP_i)*AE242*Ramure*Pc/MaxiM</f>
        <v>5.9543563365564121E-3</v>
      </c>
      <c r="AE242" s="304">
        <f t="shared" si="92"/>
        <v>0.7</v>
      </c>
      <c r="AF242" s="177">
        <f t="shared" si="93"/>
        <v>0.57507058892959573</v>
      </c>
      <c r="AG242" s="799">
        <f t="shared" si="99"/>
        <v>1</v>
      </c>
      <c r="AH242" s="176">
        <f t="shared" si="94"/>
        <v>7</v>
      </c>
      <c r="AI242" s="224">
        <f t="shared" si="95"/>
        <v>1.5750705889295957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45886</v>
      </c>
      <c r="B243" s="409">
        <f>'2024'!Wh/'2024'!Env_an*'2025'!Env_an</f>
        <v>24.137952660094626</v>
      </c>
      <c r="C243" s="829"/>
      <c r="D243" s="391">
        <f t="shared" si="77"/>
        <v>25.279457482624604</v>
      </c>
      <c r="E243" s="383">
        <f t="shared" si="100"/>
        <v>25.759883163415736</v>
      </c>
      <c r="F243" s="383">
        <f t="shared" si="78"/>
        <v>25.797578766579111</v>
      </c>
      <c r="G243" s="110">
        <f t="shared" si="101"/>
        <v>0.47310967651351854</v>
      </c>
      <c r="H243" s="412" t="b">
        <f>Wh_hp&gt;='2024'!Maxi_hp</f>
        <v>0</v>
      </c>
      <c r="I243" s="388">
        <f>IF(H243,Wh_hp,'2024'!Maxi_hp)</f>
        <v>53.858600637454124</v>
      </c>
      <c r="J243" s="85">
        <f>IF(H243,An,'2024'!An_max)</f>
        <v>2018</v>
      </c>
      <c r="K243" s="197">
        <f t="shared" si="79"/>
        <v>45886</v>
      </c>
      <c r="L243" s="147">
        <f>IF(t&lt;Tvie,1-EXP((T0-t)*PertePVj)+'2024'!Pspv,1-EXP((T0-t)*PertePVj)+Pspv)</f>
        <v>4.5155431967421444E-2</v>
      </c>
      <c r="M243" s="832"/>
      <c r="N243" s="832"/>
      <c r="O243" s="48">
        <f>IF(t&lt;Tnet,'2024'!Resal+('2024'!Salim-'2024'!Resal)*(1-EXP(('2024'!Tnet-t)/('2024'!Tau_j))),Resal+(Salim-Resal)*(1-EXP((Tnet-t)/(Tau_j))))*Salcycl</f>
        <v>1.8650149837381017E-2</v>
      </c>
      <c r="P243" s="169">
        <f>(INDEX(Models!$BJ243:$BT243,,T243)*(1-R243)+INDEX(Models!$BJ243:$BT243,,T243+1)*R243-ERP_i)*Q243*Ramure*Pc/MaxiM</f>
        <v>5.8383981741770815E-3</v>
      </c>
      <c r="Q243" s="304">
        <f t="shared" si="80"/>
        <v>0.7</v>
      </c>
      <c r="R243" s="177">
        <f t="shared" si="81"/>
        <v>0.51164894749764556</v>
      </c>
      <c r="S243" s="799">
        <f t="shared" si="82"/>
        <v>1</v>
      </c>
      <c r="T243" s="176">
        <f t="shared" si="83"/>
        <v>7</v>
      </c>
      <c r="U243" s="250">
        <f t="shared" si="84"/>
        <v>1.5116489474976456</v>
      </c>
      <c r="V243" s="382">
        <f t="shared" si="85"/>
        <v>50.796132077580793</v>
      </c>
      <c r="W243" s="400">
        <f t="shared" si="86"/>
        <v>24.137952660094626</v>
      </c>
      <c r="X243" s="157">
        <f t="shared" si="87"/>
        <v>45886</v>
      </c>
      <c r="Y243" s="383">
        <f t="shared" si="88"/>
        <v>22.963407969331989</v>
      </c>
      <c r="Z243" s="383">
        <f t="shared" si="89"/>
        <v>24.049367549576399</v>
      </c>
      <c r="AA243" s="384">
        <f t="shared" si="90"/>
        <v>25.758428296581684</v>
      </c>
      <c r="AB243" s="197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6.6349574101619055E-2</v>
      </c>
      <c r="AD243" s="230">
        <f>(INDEX(Models!$BJ243:$BT243,,AH243)*(1-AF243)+INDEX(Models!$BJ243:$BT243,,AH243+1)*AF243-ERP_i)*AE243*Ramure*Pc/MaxiM</f>
        <v>6.0637319307636555E-3</v>
      </c>
      <c r="AE243" s="304">
        <f t="shared" si="92"/>
        <v>0.7</v>
      </c>
      <c r="AF243" s="177">
        <f t="shared" si="93"/>
        <v>0.57598116975747771</v>
      </c>
      <c r="AG243" s="799">
        <f t="shared" si="99"/>
        <v>1</v>
      </c>
      <c r="AH243" s="176">
        <f t="shared" si="94"/>
        <v>7</v>
      </c>
      <c r="AI243" s="224">
        <f t="shared" si="95"/>
        <v>1.5759811697574777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45887</v>
      </c>
      <c r="B244" s="409">
        <f>'2024'!Wh/'2024'!Env_an*'2025'!Env_an</f>
        <v>32.347031108835672</v>
      </c>
      <c r="C244" s="829"/>
      <c r="D244" s="391">
        <f t="shared" si="77"/>
        <v>33.877399659757579</v>
      </c>
      <c r="E244" s="383">
        <f t="shared" si="100"/>
        <v>34.524608910542412</v>
      </c>
      <c r="F244" s="383">
        <f t="shared" si="78"/>
        <v>34.624282770351194</v>
      </c>
      <c r="G244" s="110">
        <f t="shared" si="101"/>
        <v>0.63671766058773416</v>
      </c>
      <c r="H244" s="412" t="b">
        <f>Wh_hp&gt;='2024'!Maxi_hp</f>
        <v>0</v>
      </c>
      <c r="I244" s="388">
        <f>IF(H244,Wh_hp,'2024'!Maxi_hp)</f>
        <v>45.332057361760235</v>
      </c>
      <c r="J244" s="85">
        <f>IF(H244,An,'2024'!An_max)</f>
        <v>2021</v>
      </c>
      <c r="K244" s="197">
        <f t="shared" si="79"/>
        <v>45887</v>
      </c>
      <c r="L244" s="147">
        <f>IF(t&lt;Tvie,1-EXP((T0-t)*PertePVj)+'2024'!Pspv,1-EXP((T0-t)*PertePVj)+Pspv)</f>
        <v>4.517373134573277E-2</v>
      </c>
      <c r="M244" s="832"/>
      <c r="N244" s="832"/>
      <c r="O244" s="48">
        <f>IF(t&lt;Tnet,'2024'!Resal+('2024'!Salim-'2024'!Resal)*(1-EXP(('2024'!Tnet-t)/('2024'!Tau_j))),Resal+(Salim-Resal)*(1-EXP((Tnet-t)/(Tau_j))))*Salcycl</f>
        <v>1.8746316647983791E-2</v>
      </c>
      <c r="P244" s="169">
        <f>(INDEX(Models!$BJ244:$BT244,,T244)*(1-R244)+INDEX(Models!$BJ244:$BT244,,T244+1)*R244-ERP_i)*Q244*Ramure*Pc/MaxiM</f>
        <v>5.9498066963262495E-3</v>
      </c>
      <c r="Q244" s="304">
        <f t="shared" si="80"/>
        <v>0.7</v>
      </c>
      <c r="R244" s="177">
        <f t="shared" si="81"/>
        <v>0.51252701534149647</v>
      </c>
      <c r="S244" s="799">
        <f t="shared" si="82"/>
        <v>1</v>
      </c>
      <c r="T244" s="176">
        <f t="shared" si="83"/>
        <v>7</v>
      </c>
      <c r="U244" s="250">
        <f t="shared" si="84"/>
        <v>1.5125270153414965</v>
      </c>
      <c r="V244" s="382">
        <f t="shared" si="85"/>
        <v>50.646316251609022</v>
      </c>
      <c r="W244" s="400">
        <f t="shared" si="86"/>
        <v>32.347031108835672</v>
      </c>
      <c r="X244" s="157">
        <f t="shared" si="87"/>
        <v>45887</v>
      </c>
      <c r="Y244" s="383">
        <f t="shared" si="88"/>
        <v>30.773080062944917</v>
      </c>
      <c r="Z244" s="383">
        <f t="shared" si="89"/>
        <v>32.228983505362201</v>
      </c>
      <c r="AA244" s="384">
        <f t="shared" si="90"/>
        <v>34.520719173384087</v>
      </c>
      <c r="AB244" s="197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6.6387251566555991E-2</v>
      </c>
      <c r="AD244" s="230">
        <f>(INDEX(Models!$BJ244:$BT244,,AH244)*(1-AF244)+INDEX(Models!$BJ244:$BT244,,AH244+1)*AF244-ERP_i)*AE244*Ramure*Pc/MaxiM</f>
        <v>6.181995800229303E-3</v>
      </c>
      <c r="AE244" s="304">
        <f t="shared" si="92"/>
        <v>0.7</v>
      </c>
      <c r="AF244" s="177">
        <f t="shared" si="93"/>
        <v>0.57685923760132862</v>
      </c>
      <c r="AG244" s="799">
        <f t="shared" si="99"/>
        <v>1</v>
      </c>
      <c r="AH244" s="176">
        <f t="shared" si="94"/>
        <v>7</v>
      </c>
      <c r="AI244" s="224">
        <f t="shared" si="95"/>
        <v>1.5768592376013286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45888</v>
      </c>
      <c r="B245" s="409">
        <f>'2024'!Wh/'2024'!Env_an*'2025'!Env_an</f>
        <v>33.779265874595218</v>
      </c>
      <c r="C245" s="829"/>
      <c r="D245" s="391">
        <f t="shared" si="77"/>
        <v>35.378072815838863</v>
      </c>
      <c r="E245" s="383">
        <f t="shared" si="100"/>
        <v>36.057478864622652</v>
      </c>
      <c r="F245" s="383">
        <f t="shared" si="78"/>
        <v>36.173215089425113</v>
      </c>
      <c r="G245" s="110">
        <f t="shared" si="101"/>
        <v>0.66705691095327924</v>
      </c>
      <c r="H245" s="412" t="b">
        <f>Wh_hp&gt;='2024'!Maxi_hp</f>
        <v>0</v>
      </c>
      <c r="I245" s="388">
        <f>IF(H245,Wh_hp,'2024'!Maxi_hp)</f>
        <v>41.817185675969036</v>
      </c>
      <c r="J245" s="85">
        <f>IF(H245,An,'2024'!An_max)</f>
        <v>2021</v>
      </c>
      <c r="K245" s="197">
        <f t="shared" si="79"/>
        <v>45888</v>
      </c>
      <c r="L245" s="147">
        <f>IF(t&lt;Tvie,1-EXP((T0-t)*PertePVj)+'2024'!Pspv,1-EXP((T0-t)*PertePVj)+Pspv)</f>
        <v>4.519203037334063E-2</v>
      </c>
      <c r="M245" s="832"/>
      <c r="N245" s="832"/>
      <c r="O245" s="48">
        <f>IF(t&lt;Tnet,'2024'!Resal+('2024'!Salim-'2024'!Resal)*(1-EXP(('2024'!Tnet-t)/('2024'!Tau_j))),Resal+(Salim-Resal)*(1-EXP((Tnet-t)/(Tau_j))))*Salcycl</f>
        <v>1.884230595640398E-2</v>
      </c>
      <c r="P245" s="169">
        <f>(INDEX(Models!$BJ245:$BT245,,T245)*(1-R245)+INDEX(Models!$BJ245:$BT245,,T245+1)*R245-ERP_i)*Q245*Ramure*Pc/MaxiM</f>
        <v>6.0697889487067247E-3</v>
      </c>
      <c r="Q245" s="304">
        <f t="shared" si="80"/>
        <v>0.7</v>
      </c>
      <c r="R245" s="177">
        <f t="shared" si="81"/>
        <v>0.51337357858104804</v>
      </c>
      <c r="S245" s="799">
        <f t="shared" si="82"/>
        <v>1</v>
      </c>
      <c r="T245" s="176">
        <f t="shared" si="83"/>
        <v>7</v>
      </c>
      <c r="U245" s="250">
        <f t="shared" si="84"/>
        <v>1.513373578581048</v>
      </c>
      <c r="V245" s="382">
        <f t="shared" si="85"/>
        <v>50.493440488136578</v>
      </c>
      <c r="W245" s="400">
        <f t="shared" si="86"/>
        <v>33.779265874595218</v>
      </c>
      <c r="X245" s="157">
        <f t="shared" si="87"/>
        <v>45888</v>
      </c>
      <c r="Y245" s="383">
        <f t="shared" si="88"/>
        <v>32.13703067774496</v>
      </c>
      <c r="Z245" s="383">
        <f t="shared" si="89"/>
        <v>33.658108960182744</v>
      </c>
      <c r="AA245" s="384">
        <f t="shared" si="90"/>
        <v>36.052912444452645</v>
      </c>
      <c r="AB245" s="197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6.6424688656141609E-2</v>
      </c>
      <c r="AD245" s="230">
        <f>(INDEX(Models!$BJ245:$BT245,,AH245)*(1-AF245)+INDEX(Models!$BJ245:$BT245,,AH245+1)*AF245-ERP_i)*AE245*Ramure*Pc/MaxiM</f>
        <v>6.3092749586432986E-3</v>
      </c>
      <c r="AE245" s="304">
        <f t="shared" si="92"/>
        <v>0.7</v>
      </c>
      <c r="AF245" s="177">
        <f t="shared" si="93"/>
        <v>0.57770580084088019</v>
      </c>
      <c r="AG245" s="799">
        <f t="shared" si="99"/>
        <v>1</v>
      </c>
      <c r="AH245" s="176">
        <f t="shared" si="94"/>
        <v>7</v>
      </c>
      <c r="AI245" s="224">
        <f t="shared" si="95"/>
        <v>1.5777058008408802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45889</v>
      </c>
      <c r="B246" s="409">
        <f>'2024'!Wh/'2024'!Env_an*'2025'!Env_an</f>
        <v>49.306171074478975</v>
      </c>
      <c r="C246" s="829"/>
      <c r="D246" s="391">
        <f t="shared" si="77"/>
        <v>51.640871884834226</v>
      </c>
      <c r="E246" s="383">
        <f t="shared" si="100"/>
        <v>52.637731294734699</v>
      </c>
      <c r="F246" s="383">
        <f t="shared" si="78"/>
        <v>52.956375123197517</v>
      </c>
      <c r="G246" s="110">
        <f t="shared" si="101"/>
        <v>0.97933881086255437</v>
      </c>
      <c r="H246" s="412" t="b">
        <f>Wh_hp&gt;='2024'!Maxi_hp</f>
        <v>0</v>
      </c>
      <c r="I246" s="388">
        <f>IF(H246,Wh_hp,'2024'!Maxi_hp)</f>
        <v>52.962065320582475</v>
      </c>
      <c r="J246" s="85">
        <f>IF(H246,An,'2024'!An_max)</f>
        <v>2022</v>
      </c>
      <c r="K246" s="197">
        <f t="shared" si="79"/>
        <v>45889</v>
      </c>
      <c r="L246" s="147">
        <f>IF(t&lt;Tvie,1-EXP((T0-t)*PertePVj)+'2024'!Pspv,1-EXP((T0-t)*PertePVj)+Pspv)</f>
        <v>4.5210329050251796E-2</v>
      </c>
      <c r="M246" s="832"/>
      <c r="N246" s="832"/>
      <c r="O246" s="48">
        <f>IF(t&lt;Tnet,'2024'!Resal+('2024'!Salim-'2024'!Resal)*(1-EXP(('2024'!Tnet-t)/('2024'!Tau_j))),Resal+(Salim-Resal)*(1-EXP((Tnet-t)/(Tau_j))))*Salcycl</f>
        <v>1.89381150247292E-2</v>
      </c>
      <c r="P246" s="169">
        <f>(INDEX(Models!$BJ246:$BT246,,T246)*(1-R246)+INDEX(Models!$BJ246:$BT246,,T246+1)*R246-ERP_i)*Q246*Ramure*Pc/MaxiM</f>
        <v>6.1984717812867069E-3</v>
      </c>
      <c r="Q246" s="304">
        <f t="shared" si="80"/>
        <v>0.7</v>
      </c>
      <c r="R246" s="177">
        <f t="shared" si="81"/>
        <v>0.51418962583647621</v>
      </c>
      <c r="S246" s="799">
        <f t="shared" si="82"/>
        <v>1</v>
      </c>
      <c r="T246" s="176">
        <f t="shared" si="83"/>
        <v>7</v>
      </c>
      <c r="U246" s="250">
        <f t="shared" si="84"/>
        <v>1.5141896258364762</v>
      </c>
      <c r="V246" s="382">
        <f t="shared" si="85"/>
        <v>50.337200636460565</v>
      </c>
      <c r="W246" s="400">
        <f t="shared" si="86"/>
        <v>49.306171074478975</v>
      </c>
      <c r="X246" s="157">
        <f t="shared" si="87"/>
        <v>45889</v>
      </c>
      <c r="Y246" s="383">
        <f t="shared" si="88"/>
        <v>46.906395365205427</v>
      </c>
      <c r="Z246" s="383">
        <f t="shared" si="89"/>
        <v>49.12746418648068</v>
      </c>
      <c r="AA246" s="384">
        <f t="shared" si="90"/>
        <v>52.62502196719101</v>
      </c>
      <c r="AB246" s="197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6.6461877828590282E-2</v>
      </c>
      <c r="AD246" s="230">
        <f>(INDEX(Models!$BJ246:$BT246,,AH246)*(1-AF246)+INDEX(Models!$BJ246:$BT246,,AH246+1)*AF246-ERP_i)*AE246*Ramure*Pc/MaxiM</f>
        <v>6.4457020776296356E-3</v>
      </c>
      <c r="AE246" s="304">
        <f t="shared" si="92"/>
        <v>0.7</v>
      </c>
      <c r="AF246" s="177">
        <f t="shared" si="93"/>
        <v>0.57852184809630836</v>
      </c>
      <c r="AG246" s="799">
        <f t="shared" si="99"/>
        <v>1</v>
      </c>
      <c r="AH246" s="176">
        <f t="shared" si="94"/>
        <v>7</v>
      </c>
      <c r="AI246" s="224">
        <f t="shared" si="95"/>
        <v>1.5785218480963084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45890</v>
      </c>
      <c r="B247" s="409">
        <f>'2024'!Wh/'2024'!Env_an*'2025'!Env_an</f>
        <v>39.051737147157667</v>
      </c>
      <c r="C247" s="829"/>
      <c r="D247" s="391">
        <f t="shared" si="77"/>
        <v>40.901663232582109</v>
      </c>
      <c r="E247" s="383">
        <f t="shared" si="100"/>
        <v>41.69528039871485</v>
      </c>
      <c r="F247" s="383">
        <f t="shared" si="78"/>
        <v>41.876553212317425</v>
      </c>
      <c r="G247" s="110">
        <f t="shared" si="101"/>
        <v>0.77668419396992183</v>
      </c>
      <c r="H247" s="412" t="b">
        <f>Wh_hp&gt;='2024'!Maxi_hp</f>
        <v>0</v>
      </c>
      <c r="I247" s="388">
        <f>IF(H247,Wh_hp,'2024'!Maxi_hp)</f>
        <v>53.982802943625828</v>
      </c>
      <c r="J247" s="85">
        <f>IF(H247,An,'2024'!An_max)</f>
        <v>2020</v>
      </c>
      <c r="K247" s="197">
        <f t="shared" si="79"/>
        <v>45890</v>
      </c>
      <c r="L247" s="147">
        <f>IF(t&lt;Tvie,1-EXP((T0-t)*PertePVj)+'2024'!Pspv,1-EXP((T0-t)*PertePVj)+Pspv)</f>
        <v>4.5228627376473041E-2</v>
      </c>
      <c r="M247" s="832"/>
      <c r="N247" s="832"/>
      <c r="O247" s="48">
        <f>IF(t&lt;Tnet,'2024'!Resal+('2024'!Salim-'2024'!Resal)*(1-EXP(('2024'!Tnet-t)/('2024'!Tau_j))),Resal+(Salim-Resal)*(1-EXP((Tnet-t)/(Tau_j))))*Salcycl</f>
        <v>1.9033740954460629E-2</v>
      </c>
      <c r="P247" s="169">
        <f>(INDEX(Models!$BJ247:$BT247,,T247)*(1-R247)+INDEX(Models!$BJ247:$BT247,,T247+1)*R247-ERP_i)*Q247*Ramure*Pc/MaxiM</f>
        <v>6.3358092376634631E-3</v>
      </c>
      <c r="Q247" s="304">
        <f t="shared" si="80"/>
        <v>0.7</v>
      </c>
      <c r="R247" s="177">
        <f t="shared" si="81"/>
        <v>0.51497612542340754</v>
      </c>
      <c r="S247" s="799">
        <f t="shared" si="82"/>
        <v>1</v>
      </c>
      <c r="T247" s="176">
        <f t="shared" si="83"/>
        <v>7</v>
      </c>
      <c r="U247" s="250">
        <f t="shared" si="84"/>
        <v>1.5149761254234075</v>
      </c>
      <c r="V247" s="382">
        <f t="shared" si="85"/>
        <v>50.178717740969475</v>
      </c>
      <c r="W247" s="400">
        <f t="shared" si="86"/>
        <v>39.051737147157667</v>
      </c>
      <c r="X247" s="157">
        <f t="shared" si="87"/>
        <v>45890</v>
      </c>
      <c r="Y247" s="383">
        <f t="shared" si="88"/>
        <v>37.155665026894418</v>
      </c>
      <c r="Z247" s="383">
        <f t="shared" si="89"/>
        <v>38.915771976696199</v>
      </c>
      <c r="AA247" s="384">
        <f t="shared" si="90"/>
        <v>41.687972591425591</v>
      </c>
      <c r="AB247" s="197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6.6498811105522179E-2</v>
      </c>
      <c r="AD247" s="230">
        <f>(INDEX(Models!$BJ247:$BT247,,AH247)*(1-AF247)+INDEX(Models!$BJ247:$BT247,,AH247+1)*AF247-ERP_i)*AE247*Ramure*Pc/MaxiM</f>
        <v>6.5912301803308579E-3</v>
      </c>
      <c r="AE247" s="304">
        <f t="shared" si="92"/>
        <v>0.7</v>
      </c>
      <c r="AF247" s="177">
        <f t="shared" si="93"/>
        <v>0.57930834768323969</v>
      </c>
      <c r="AG247" s="799">
        <f t="shared" si="99"/>
        <v>1</v>
      </c>
      <c r="AH247" s="176">
        <f t="shared" si="94"/>
        <v>7</v>
      </c>
      <c r="AI247" s="224">
        <f t="shared" si="95"/>
        <v>1.5793083476832397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45891</v>
      </c>
      <c r="B248" s="409">
        <f>'2024'!Wh/'2024'!Env_an*'2025'!Env_an</f>
        <v>27.422554248314444</v>
      </c>
      <c r="C248" s="829"/>
      <c r="D248" s="391">
        <f t="shared" si="77"/>
        <v>28.722142904252973</v>
      </c>
      <c r="E248" s="383">
        <f t="shared" si="100"/>
        <v>29.282289103632422</v>
      </c>
      <c r="F248" s="383">
        <f t="shared" si="78"/>
        <v>29.349778420849887</v>
      </c>
      <c r="G248" s="110">
        <f t="shared" si="101"/>
        <v>0.545943347273942</v>
      </c>
      <c r="H248" s="412" t="b">
        <f>Wh_hp&gt;='2024'!Maxi_hp</f>
        <v>0</v>
      </c>
      <c r="I248" s="388">
        <f>IF(H248,Wh_hp,'2024'!Maxi_hp)</f>
        <v>55.500972969341134</v>
      </c>
      <c r="J248" s="85">
        <f>IF(H248,An,'2024'!An_max)</f>
        <v>2018</v>
      </c>
      <c r="K248" s="197">
        <f t="shared" si="79"/>
        <v>45891</v>
      </c>
      <c r="L248" s="147">
        <f>IF(t&lt;Tvie,1-EXP((T0-t)*PertePVj)+'2024'!Pspv,1-EXP((T0-t)*PertePVj)+Pspv)</f>
        <v>4.5246925352011025E-2</v>
      </c>
      <c r="M248" s="832"/>
      <c r="N248" s="832"/>
      <c r="O248" s="48">
        <f>IF(t&lt;Tnet,'2024'!Resal+('2024'!Salim-'2024'!Resal)*(1-EXP(('2024'!Tnet-t)/('2024'!Tau_j))),Resal+(Salim-Resal)*(1-EXP((Tnet-t)/(Tau_j))))*Salcycl</f>
        <v>1.9129180693389331E-2</v>
      </c>
      <c r="P248" s="169">
        <f>(INDEX(Models!$BJ248:$BT248,,T248)*(1-R248)+INDEX(Models!$BJ248:$BT248,,T248+1)*R248-ERP_i)*Q248*Ramure*Pc/MaxiM</f>
        <v>6.4841271625487229E-3</v>
      </c>
      <c r="Q248" s="304">
        <f t="shared" si="80"/>
        <v>0.7</v>
      </c>
      <c r="R248" s="177">
        <f t="shared" si="81"/>
        <v>0.51573402490470222</v>
      </c>
      <c r="S248" s="799">
        <f t="shared" si="82"/>
        <v>1</v>
      </c>
      <c r="T248" s="176">
        <f t="shared" si="83"/>
        <v>7</v>
      </c>
      <c r="U248" s="250">
        <f t="shared" si="84"/>
        <v>1.5157340249047022</v>
      </c>
      <c r="V248" s="382">
        <f t="shared" si="85"/>
        <v>50.018992394638062</v>
      </c>
      <c r="W248" s="400">
        <f t="shared" si="86"/>
        <v>27.422554248314444</v>
      </c>
      <c r="X248" s="157">
        <f t="shared" si="87"/>
        <v>45891</v>
      </c>
      <c r="Y248" s="383">
        <f t="shared" si="88"/>
        <v>26.094751255264232</v>
      </c>
      <c r="Z248" s="383">
        <f t="shared" si="89"/>
        <v>27.331413690272942</v>
      </c>
      <c r="AA248" s="384">
        <f t="shared" si="90"/>
        <v>29.279542079801978</v>
      </c>
      <c r="AB248" s="197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6.6535480104824435E-2</v>
      </c>
      <c r="AD248" s="230">
        <f>(INDEX(Models!$BJ248:$BT248,,AH248)*(1-AF248)+INDEX(Models!$BJ248:$BT248,,AH248+1)*AF248-ERP_i)*AE248*Ramure*Pc/MaxiM</f>
        <v>6.7480511814830609E-3</v>
      </c>
      <c r="AE248" s="304">
        <f t="shared" si="92"/>
        <v>0.7</v>
      </c>
      <c r="AF248" s="177">
        <f t="shared" si="93"/>
        <v>0.58006624716453437</v>
      </c>
      <c r="AG248" s="799">
        <f t="shared" si="99"/>
        <v>1</v>
      </c>
      <c r="AH248" s="176">
        <f t="shared" si="94"/>
        <v>7</v>
      </c>
      <c r="AI248" s="224">
        <f t="shared" si="95"/>
        <v>1.5800662471645344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45892</v>
      </c>
      <c r="B249" s="409">
        <f>'2024'!Wh/'2024'!Env_an*'2025'!Env_an</f>
        <v>42.664128195832539</v>
      </c>
      <c r="C249" s="829"/>
      <c r="D249" s="391">
        <f t="shared" si="77"/>
        <v>44.686890247006311</v>
      </c>
      <c r="E249" s="383">
        <f t="shared" si="100"/>
        <v>45.562809333050893</v>
      </c>
      <c r="F249" s="383">
        <f t="shared" si="78"/>
        <v>45.804475322736756</v>
      </c>
      <c r="G249" s="110">
        <f t="shared" si="101"/>
        <v>0.85454116589834872</v>
      </c>
      <c r="H249" s="412" t="b">
        <f>Wh_hp&gt;='2024'!Maxi_hp</f>
        <v>0</v>
      </c>
      <c r="I249" s="388">
        <f>IF(H249,Wh_hp,'2024'!Maxi_hp)</f>
        <v>53.062243382697936</v>
      </c>
      <c r="J249" s="85">
        <f>IF(H249,An,'2024'!An_max)</f>
        <v>2018</v>
      </c>
      <c r="K249" s="197">
        <f t="shared" si="79"/>
        <v>45892</v>
      </c>
      <c r="L249" s="147">
        <f>IF(t&lt;Tvie,1-EXP((T0-t)*PertePVj)+'2024'!Pspv,1-EXP((T0-t)*PertePVj)+Pspv)</f>
        <v>4.5265222976872521E-2</v>
      </c>
      <c r="M249" s="832"/>
      <c r="N249" s="832"/>
      <c r="O249" s="48">
        <f>IF(t&lt;Tnet,'2024'!Resal+('2024'!Salim-'2024'!Resal)*(1-EXP(('2024'!Tnet-t)/('2024'!Tau_j))),Resal+(Salim-Resal)*(1-EXP((Tnet-t)/(Tau_j))))*Salcycl</f>
        <v>1.9224431040717107E-2</v>
      </c>
      <c r="P249" s="169">
        <f>(INDEX(Models!$BJ249:$BT249,,T249)*(1-R249)+INDEX(Models!$BJ249:$BT249,,T249+1)*R249-ERP_i)*Q249*Ramure*Pc/MaxiM</f>
        <v>6.6458415726782204E-3</v>
      </c>
      <c r="Q249" s="304">
        <f t="shared" si="80"/>
        <v>0.7</v>
      </c>
      <c r="R249" s="177">
        <f t="shared" si="81"/>
        <v>0.51646425073221125</v>
      </c>
      <c r="S249" s="799">
        <f t="shared" si="82"/>
        <v>1</v>
      </c>
      <c r="T249" s="176">
        <f t="shared" si="83"/>
        <v>7</v>
      </c>
      <c r="U249" s="250">
        <f t="shared" si="84"/>
        <v>1.5164642507322112</v>
      </c>
      <c r="V249" s="382">
        <f t="shared" si="85"/>
        <v>49.857605805104434</v>
      </c>
      <c r="W249" s="400">
        <f t="shared" si="86"/>
        <v>42.664128195832539</v>
      </c>
      <c r="X249" s="157">
        <f t="shared" si="87"/>
        <v>45892</v>
      </c>
      <c r="Y249" s="383">
        <f t="shared" si="88"/>
        <v>40.59566652914588</v>
      </c>
      <c r="Z249" s="383">
        <f t="shared" si="89"/>
        <v>42.520360110609538</v>
      </c>
      <c r="AA249" s="384">
        <f t="shared" si="90"/>
        <v>45.552902275353752</v>
      </c>
      <c r="AB249" s="197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6.6571876066499502E-2</v>
      </c>
      <c r="AD249" s="230">
        <f>(INDEX(Models!$BJ249:$BT249,,AH249)*(1-AF249)+INDEX(Models!$BJ249:$BT249,,AH249+1)*AF249-ERP_i)*AE249*Ramure*Pc/MaxiM</f>
        <v>6.918286760319736E-3</v>
      </c>
      <c r="AE249" s="304">
        <f t="shared" si="92"/>
        <v>0.7</v>
      </c>
      <c r="AF249" s="177">
        <f t="shared" si="93"/>
        <v>0.5807964729920434</v>
      </c>
      <c r="AG249" s="799">
        <f t="shared" si="99"/>
        <v>1</v>
      </c>
      <c r="AH249" s="176">
        <f t="shared" si="94"/>
        <v>7</v>
      </c>
      <c r="AI249" s="224">
        <f t="shared" si="95"/>
        <v>1.5807964729920434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45893</v>
      </c>
      <c r="B250" s="409">
        <f>'2024'!Wh/'2024'!Env_an*'2025'!Env_an</f>
        <v>49.890865767197582</v>
      </c>
      <c r="C250" s="829"/>
      <c r="D250" s="391">
        <f t="shared" si="77"/>
        <v>52.257258385565422</v>
      </c>
      <c r="E250" s="383">
        <f t="shared" si="100"/>
        <v>53.286730776005768</v>
      </c>
      <c r="F250" s="383">
        <f t="shared" si="78"/>
        <v>53.652701401553536</v>
      </c>
      <c r="G250" s="110">
        <f t="shared" si="101"/>
        <v>1.003956420084732</v>
      </c>
      <c r="H250" s="412" t="b">
        <f>Wh_hp&gt;='2024'!Maxi_hp</f>
        <v>1</v>
      </c>
      <c r="I250" s="388">
        <f>IF(H250,Wh_hp,'2024'!Maxi_hp)</f>
        <v>53.652701401553536</v>
      </c>
      <c r="J250" s="85">
        <f>IF(H250,An,'2024'!An_max)</f>
        <v>2025</v>
      </c>
      <c r="K250" s="197">
        <f t="shared" si="79"/>
        <v>45893</v>
      </c>
      <c r="L250" s="147">
        <f>IF(t&lt;Tvie,1-EXP((T0-t)*PertePVj)+'2024'!Pspv,1-EXP((T0-t)*PertePVj)+Pspv)</f>
        <v>4.528352025106408E-2</v>
      </c>
      <c r="M250" s="832"/>
      <c r="N250" s="832"/>
      <c r="O250" s="48">
        <f>IF(t&lt;Tnet,'2024'!Resal+('2024'!Salim-'2024'!Resal)*(1-EXP(('2024'!Tnet-t)/('2024'!Tau_j))),Resal+(Salim-Resal)*(1-EXP((Tnet-t)/(Tau_j))))*Salcycl</f>
        <v>1.9319488650332065E-2</v>
      </c>
      <c r="P250" s="169">
        <f>(INDEX(Models!$BJ250:$BT250,,T250)*(1-R250)+INDEX(Models!$BJ250:$BT250,,T250+1)*R250-ERP_i)*Q250*Ramure*Pc/MaxiM</f>
        <v>6.8211034297924822E-3</v>
      </c>
      <c r="Q250" s="304">
        <f t="shared" si="80"/>
        <v>0.7</v>
      </c>
      <c r="R250" s="177">
        <f t="shared" si="81"/>
        <v>0.51716770797194278</v>
      </c>
      <c r="S250" s="799">
        <f t="shared" si="82"/>
        <v>1</v>
      </c>
      <c r="T250" s="176">
        <f t="shared" si="83"/>
        <v>7</v>
      </c>
      <c r="U250" s="250">
        <f t="shared" si="84"/>
        <v>1.5171677079719428</v>
      </c>
      <c r="V250" s="382">
        <f t="shared" si="85"/>
        <v>49.694254420910909</v>
      </c>
      <c r="W250" s="400">
        <f t="shared" si="86"/>
        <v>49.890865767197582</v>
      </c>
      <c r="X250" s="157">
        <f t="shared" si="87"/>
        <v>45893</v>
      </c>
      <c r="Y250" s="383">
        <f t="shared" si="88"/>
        <v>47.471689471505456</v>
      </c>
      <c r="Z250" s="383">
        <f t="shared" si="89"/>
        <v>49.723337219432096</v>
      </c>
      <c r="AA250" s="384">
        <f t="shared" si="90"/>
        <v>53.271655081536508</v>
      </c>
      <c r="AB250" s="197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6.6607989871413323E-2</v>
      </c>
      <c r="AD250" s="230">
        <f>(INDEX(Models!$BJ250:$BT250,,AH250)*(1-AF250)+INDEX(Models!$BJ250:$BT250,,AH250+1)*AF250-ERP_i)*AE250*Ramure*Pc/MaxiM</f>
        <v>7.1020901103405337E-3</v>
      </c>
      <c r="AE250" s="304">
        <f t="shared" si="92"/>
        <v>0.7</v>
      </c>
      <c r="AF250" s="177">
        <f t="shared" si="93"/>
        <v>0.58149993023177493</v>
      </c>
      <c r="AG250" s="799">
        <f t="shared" si="99"/>
        <v>1</v>
      </c>
      <c r="AH250" s="176">
        <f t="shared" si="94"/>
        <v>7</v>
      </c>
      <c r="AI250" s="224">
        <f t="shared" si="95"/>
        <v>1.5814999302317749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45894</v>
      </c>
      <c r="B251" s="409">
        <f>'2024'!Wh/'2024'!Env_an*'2025'!Env_an</f>
        <v>28.089613049566541</v>
      </c>
      <c r="C251" s="829"/>
      <c r="D251" s="391">
        <f t="shared" si="77"/>
        <v>29.422506038961945</v>
      </c>
      <c r="E251" s="383">
        <f t="shared" si="100"/>
        <v>30.005034277146123</v>
      </c>
      <c r="F251" s="383">
        <f t="shared" si="78"/>
        <v>30.085520051265245</v>
      </c>
      <c r="G251" s="110">
        <f t="shared" si="101"/>
        <v>0.56467380079226015</v>
      </c>
      <c r="H251" s="412" t="b">
        <f>Wh_hp&gt;='2024'!Maxi_hp</f>
        <v>0</v>
      </c>
      <c r="I251" s="388">
        <f>IF(H251,Wh_hp,'2024'!Maxi_hp)</f>
        <v>51.419146627981888</v>
      </c>
      <c r="J251" s="85">
        <f>IF(H251,An,'2024'!An_max)</f>
        <v>2021</v>
      </c>
      <c r="K251" s="197">
        <f t="shared" si="79"/>
        <v>45894</v>
      </c>
      <c r="L251" s="147">
        <f>IF(t&lt;Tvie,1-EXP((T0-t)*PertePVj)+'2024'!Pspv,1-EXP((T0-t)*PertePVj)+Pspv)</f>
        <v>4.5301817174592696E-2</v>
      </c>
      <c r="M251" s="832"/>
      <c r="N251" s="832"/>
      <c r="O251" s="48">
        <f>IF(t&lt;Tnet,'2024'!Resal+('2024'!Salim-'2024'!Resal)*(1-EXP(('2024'!Tnet-t)/('2024'!Tau_j))),Resal+(Salim-Resal)*(1-EXP((Tnet-t)/(Tau_j))))*Salcycl</f>
        <v>1.9414350032183499E-2</v>
      </c>
      <c r="P251" s="169">
        <f>(INDEX(Models!$BJ251:$BT251,,T251)*(1-R251)+INDEX(Models!$BJ251:$BT251,,T251+1)*R251-ERP_i)*Q251*Ramure*Pc/MaxiM</f>
        <v>7.0100737522184224E-3</v>
      </c>
      <c r="Q251" s="304">
        <f t="shared" si="80"/>
        <v>0.7</v>
      </c>
      <c r="R251" s="177">
        <f t="shared" si="81"/>
        <v>0.51784528010631448</v>
      </c>
      <c r="S251" s="799">
        <f t="shared" si="82"/>
        <v>1</v>
      </c>
      <c r="T251" s="176">
        <f t="shared" si="83"/>
        <v>7</v>
      </c>
      <c r="U251" s="250">
        <f t="shared" si="84"/>
        <v>1.5178452801063145</v>
      </c>
      <c r="V251" s="382">
        <f t="shared" si="85"/>
        <v>49.528634741504412</v>
      </c>
      <c r="W251" s="400">
        <f t="shared" si="86"/>
        <v>28.089613049566541</v>
      </c>
      <c r="X251" s="157">
        <f t="shared" si="87"/>
        <v>45894</v>
      </c>
      <c r="Y251" s="383">
        <f t="shared" si="88"/>
        <v>26.733727265580576</v>
      </c>
      <c r="Z251" s="383">
        <f t="shared" si="89"/>
        <v>28.00228150268677</v>
      </c>
      <c r="AA251" s="384">
        <f t="shared" si="90"/>
        <v>30.001709812713141</v>
      </c>
      <c r="AB251" s="197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6.6643812052975621E-2</v>
      </c>
      <c r="AD251" s="230">
        <f>(INDEX(Models!$BJ251:$BT251,,AH251)*(1-AF251)+INDEX(Models!$BJ251:$BT251,,AH251+1)*AF251-ERP_i)*AE251*Ramure*Pc/MaxiM</f>
        <v>7.299624807878719E-3</v>
      </c>
      <c r="AE251" s="304">
        <f t="shared" si="92"/>
        <v>0.7</v>
      </c>
      <c r="AF251" s="177">
        <f t="shared" si="93"/>
        <v>0.58217750236614663</v>
      </c>
      <c r="AG251" s="799">
        <f t="shared" si="99"/>
        <v>1</v>
      </c>
      <c r="AH251" s="176">
        <f t="shared" si="94"/>
        <v>7</v>
      </c>
      <c r="AI251" s="224">
        <f t="shared" si="95"/>
        <v>1.5821775023661466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45895</v>
      </c>
      <c r="B252" s="409">
        <f>'2024'!Wh/'2024'!Env_an*'2025'!Env_an</f>
        <v>35.893797958982411</v>
      </c>
      <c r="C252" s="829"/>
      <c r="D252" s="391">
        <f t="shared" si="77"/>
        <v>37.597731423753558</v>
      </c>
      <c r="E252" s="383">
        <f t="shared" si="100"/>
        <v>38.345820478428017</v>
      </c>
      <c r="F252" s="383">
        <f t="shared" si="78"/>
        <v>38.515353805979686</v>
      </c>
      <c r="G252" s="110">
        <f t="shared" si="101"/>
        <v>0.7251240908711919</v>
      </c>
      <c r="H252" s="412" t="b">
        <f>Wh_hp&gt;='2024'!Maxi_hp</f>
        <v>0</v>
      </c>
      <c r="I252" s="388">
        <f>IF(H252,Wh_hp,'2024'!Maxi_hp)</f>
        <v>52.553587232779272</v>
      </c>
      <c r="J252" s="85">
        <f>IF(H252,An,'2024'!An_max)</f>
        <v>2020</v>
      </c>
      <c r="K252" s="197">
        <f t="shared" si="79"/>
        <v>45895</v>
      </c>
      <c r="L252" s="147">
        <f>IF(t&lt;Tvie,1-EXP((T0-t)*PertePVj)+'2024'!Pspv,1-EXP((T0-t)*PertePVj)+Pspv)</f>
        <v>4.5320113747464918E-2</v>
      </c>
      <c r="M252" s="832"/>
      <c r="N252" s="832"/>
      <c r="O252" s="48">
        <f>IF(t&lt;Tnet,'2024'!Resal+('2024'!Salim-'2024'!Resal)*(1-EXP(('2024'!Tnet-t)/('2024'!Tau_j))),Resal+(Salim-Resal)*(1-EXP((Tnet-t)/(Tau_j))))*Salcycl</f>
        <v>1.9509011551736264E-2</v>
      </c>
      <c r="P252" s="169">
        <f>(INDEX(Models!$BJ252:$BT252,,T252)*(1-R252)+INDEX(Models!$BJ252:$BT252,,T252+1)*R252-ERP_i)*Q252*Ramure*Pc/MaxiM</f>
        <v>7.2129179108047989E-3</v>
      </c>
      <c r="Q252" s="304">
        <f t="shared" si="80"/>
        <v>0.7</v>
      </c>
      <c r="R252" s="177">
        <f t="shared" si="81"/>
        <v>0.51849782890743734</v>
      </c>
      <c r="S252" s="799">
        <f t="shared" si="82"/>
        <v>1</v>
      </c>
      <c r="T252" s="176">
        <f t="shared" si="83"/>
        <v>7</v>
      </c>
      <c r="U252" s="250">
        <f t="shared" si="84"/>
        <v>1.5184978289074373</v>
      </c>
      <c r="V252" s="382">
        <f t="shared" si="85"/>
        <v>49.360443651605031</v>
      </c>
      <c r="W252" s="400">
        <f t="shared" si="86"/>
        <v>35.893797958982411</v>
      </c>
      <c r="X252" s="157">
        <f t="shared" si="87"/>
        <v>45895</v>
      </c>
      <c r="Y252" s="383">
        <f t="shared" si="88"/>
        <v>34.160743738276629</v>
      </c>
      <c r="Z252" s="383">
        <f t="shared" si="89"/>
        <v>35.78240646963868</v>
      </c>
      <c r="AA252" s="384">
        <f t="shared" si="90"/>
        <v>38.338812936673015</v>
      </c>
      <c r="AB252" s="197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6.6679332801903357E-2</v>
      </c>
      <c r="AD252" s="230">
        <f>(INDEX(Models!$BJ252:$BT252,,AH252)*(1-AF252)+INDEX(Models!$BJ252:$BT252,,AH252+1)*AF252-ERP_i)*AE252*Ramure*Pc/MaxiM</f>
        <v>7.5110588378151351E-3</v>
      </c>
      <c r="AE252" s="304">
        <f t="shared" si="92"/>
        <v>0.7</v>
      </c>
      <c r="AF252" s="177">
        <f t="shared" si="93"/>
        <v>0.58283005116726949</v>
      </c>
      <c r="AG252" s="799">
        <f t="shared" si="99"/>
        <v>1</v>
      </c>
      <c r="AH252" s="176">
        <f t="shared" si="94"/>
        <v>7</v>
      </c>
      <c r="AI252" s="224">
        <f t="shared" si="95"/>
        <v>1.5828300511672695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45896</v>
      </c>
      <c r="B253" s="409">
        <f>'2024'!Wh/'2024'!Env_an*'2025'!Env_an</f>
        <v>45.422319006395107</v>
      </c>
      <c r="C253" s="829"/>
      <c r="D253" s="391">
        <f t="shared" si="77"/>
        <v>47.579497783034142</v>
      </c>
      <c r="E253" s="383">
        <f t="shared" si="100"/>
        <v>48.530871233552091</v>
      </c>
      <c r="F253" s="383">
        <f t="shared" si="78"/>
        <v>48.854137103669231</v>
      </c>
      <c r="G253" s="110">
        <f t="shared" si="101"/>
        <v>0.92266162227679505</v>
      </c>
      <c r="H253" s="412" t="b">
        <f>Wh_hp&gt;='2024'!Maxi_hp</f>
        <v>0</v>
      </c>
      <c r="I253" s="388">
        <f>IF(H253,Wh_hp,'2024'!Maxi_hp)</f>
        <v>48.878387229783151</v>
      </c>
      <c r="J253" s="85">
        <f>IF(H253,An,'2024'!An_max)</f>
        <v>2022</v>
      </c>
      <c r="K253" s="197">
        <f t="shared" si="79"/>
        <v>45896</v>
      </c>
      <c r="L253" s="147">
        <f>IF(t&lt;Tvie,1-EXP((T0-t)*PertePVj)+'2024'!Pspv,1-EXP((T0-t)*PertePVj)+Pspv)</f>
        <v>4.533840996968741E-2</v>
      </c>
      <c r="M253" s="832"/>
      <c r="N253" s="832"/>
      <c r="O253" s="48">
        <f>IF(t&lt;Tnet,'2024'!Resal+('2024'!Salim-'2024'!Resal)*(1-EXP(('2024'!Tnet-t)/('2024'!Tau_j))),Resal+(Salim-Resal)*(1-EXP((Tnet-t)/(Tau_j))))*Salcycl</f>
        <v>1.9603469427522016E-2</v>
      </c>
      <c r="P253" s="169">
        <f>(INDEX(Models!$BJ253:$BT253,,T253)*(1-R253)+INDEX(Models!$BJ253:$BT253,,T253+1)*R253-ERP_i)*Q253*Ramure*Pc/MaxiM</f>
        <v>7.4298107587716326E-3</v>
      </c>
      <c r="Q253" s="304">
        <f t="shared" si="80"/>
        <v>0.7</v>
      </c>
      <c r="R253" s="177">
        <f t="shared" si="81"/>
        <v>0.51912619437563512</v>
      </c>
      <c r="S253" s="799">
        <f t="shared" si="82"/>
        <v>1</v>
      </c>
      <c r="T253" s="176">
        <f t="shared" si="83"/>
        <v>7</v>
      </c>
      <c r="U253" s="250">
        <f t="shared" si="84"/>
        <v>1.5191261943756351</v>
      </c>
      <c r="V253" s="382">
        <f t="shared" si="85"/>
        <v>49.189378215583751</v>
      </c>
      <c r="W253" s="400">
        <f t="shared" si="86"/>
        <v>45.422319006395107</v>
      </c>
      <c r="X253" s="157">
        <f t="shared" si="87"/>
        <v>45896</v>
      </c>
      <c r="Y253" s="383">
        <f t="shared" si="88"/>
        <v>43.227745005385771</v>
      </c>
      <c r="Z253" s="383">
        <f t="shared" si="89"/>
        <v>45.280699943121412</v>
      </c>
      <c r="AA253" s="384">
        <f t="shared" si="90"/>
        <v>48.51752435790241</v>
      </c>
      <c r="AB253" s="197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6.6714541964336405E-2</v>
      </c>
      <c r="AD253" s="230">
        <f>(INDEX(Models!$BJ253:$BT253,,AH253)*(1-AF253)+INDEX(Models!$BJ253:$BT253,,AH253+1)*AF253-ERP_i)*AE253*Ramure*Pc/MaxiM</f>
        <v>7.7365698987393464E-3</v>
      </c>
      <c r="AE253" s="304">
        <f t="shared" si="92"/>
        <v>0.7</v>
      </c>
      <c r="AF253" s="177">
        <f t="shared" si="93"/>
        <v>0.58345841663546727</v>
      </c>
      <c r="AG253" s="799">
        <f t="shared" si="99"/>
        <v>1</v>
      </c>
      <c r="AH253" s="176">
        <f t="shared" si="94"/>
        <v>7</v>
      </c>
      <c r="AI253" s="224">
        <f t="shared" si="95"/>
        <v>1.5834584166354673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45897</v>
      </c>
      <c r="B254" s="409">
        <f>'2024'!Wh/'2024'!Env_an*'2025'!Env_an</f>
        <v>48.55800525841908</v>
      </c>
      <c r="C254" s="829"/>
      <c r="D254" s="391">
        <f t="shared" si="77"/>
        <v>50.865077621699733</v>
      </c>
      <c r="E254" s="383">
        <f t="shared" si="100"/>
        <v>51.8871358817265</v>
      </c>
      <c r="F254" s="383">
        <f t="shared" si="78"/>
        <v>52.281925504781491</v>
      </c>
      <c r="G254" s="110">
        <f t="shared" si="101"/>
        <v>0.9905641156133751</v>
      </c>
      <c r="H254" s="412" t="b">
        <f>Wh_hp&gt;='2024'!Maxi_hp</f>
        <v>0</v>
      </c>
      <c r="I254" s="388">
        <f>IF(H254,Wh_hp,'2024'!Maxi_hp)</f>
        <v>53.319342181775433</v>
      </c>
      <c r="J254" s="85">
        <f>IF(H254,An,'2024'!An_max)</f>
        <v>2021</v>
      </c>
      <c r="K254" s="197">
        <f t="shared" si="79"/>
        <v>45897</v>
      </c>
      <c r="L254" s="147">
        <f>IF(t&lt;Tvie,1-EXP((T0-t)*PertePVj)+'2024'!Pspv,1-EXP((T0-t)*PertePVj)+Pspv)</f>
        <v>4.5356705841267053E-2</v>
      </c>
      <c r="M254" s="832"/>
      <c r="N254" s="832"/>
      <c r="O254" s="48">
        <f>IF(t&lt;Tnet,'2024'!Resal+('2024'!Salim-'2024'!Resal)*(1-EXP(('2024'!Tnet-t)/('2024'!Tau_j))),Resal+(Salim-Resal)*(1-EXP((Tnet-t)/(Tau_j))))*Salcycl</f>
        <v>1.9697719726841072E-2</v>
      </c>
      <c r="P254" s="169">
        <f>(INDEX(Models!$BJ254:$BT254,,T254)*(1-R254)+INDEX(Models!$BJ254:$BT254,,T254+1)*R254-ERP_i)*Q254*Ramure*Pc/MaxiM</f>
        <v>7.6532187816497847E-3</v>
      </c>
      <c r="Q254" s="304">
        <f t="shared" si="80"/>
        <v>0.7</v>
      </c>
      <c r="R254" s="177">
        <f t="shared" si="81"/>
        <v>0.51973119473768303</v>
      </c>
      <c r="S254" s="799">
        <f t="shared" si="82"/>
        <v>1</v>
      </c>
      <c r="T254" s="176">
        <f t="shared" si="83"/>
        <v>7</v>
      </c>
      <c r="U254" s="250">
        <f t="shared" si="84"/>
        <v>1.519731194737683</v>
      </c>
      <c r="V254" s="382">
        <f t="shared" si="85"/>
        <v>49.01551694232068</v>
      </c>
      <c r="W254" s="400">
        <f t="shared" si="86"/>
        <v>48.55800525841908</v>
      </c>
      <c r="X254" s="157">
        <f t="shared" si="87"/>
        <v>45897</v>
      </c>
      <c r="Y254" s="383">
        <f t="shared" si="88"/>
        <v>46.212883196237044</v>
      </c>
      <c r="Z254" s="383">
        <f t="shared" si="89"/>
        <v>48.408534872663147</v>
      </c>
      <c r="AA254" s="384">
        <f t="shared" si="90"/>
        <v>51.870886960765198</v>
      </c>
      <c r="AB254" s="197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6.6749429033688051E-2</v>
      </c>
      <c r="AD254" s="230">
        <f>(INDEX(Models!$BJ254:$BT254,,AH254)*(1-AF254)+INDEX(Models!$BJ254:$BT254,,AH254+1)*AF254-ERP_i)*AE254*Ramure*Pc/MaxiM</f>
        <v>7.9682132491341769E-3</v>
      </c>
      <c r="AE254" s="304">
        <f t="shared" si="92"/>
        <v>0.7</v>
      </c>
      <c r="AF254" s="177">
        <f t="shared" si="93"/>
        <v>0.58406341699751518</v>
      </c>
      <c r="AG254" s="799">
        <f t="shared" si="99"/>
        <v>1</v>
      </c>
      <c r="AH254" s="176">
        <f t="shared" si="94"/>
        <v>7</v>
      </c>
      <c r="AI254" s="224">
        <f t="shared" si="95"/>
        <v>1.5840634169975152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45898</v>
      </c>
      <c r="B255" s="409">
        <f>'2024'!Wh/'2024'!Env_an*'2025'!Env_an</f>
        <v>32.575386653789593</v>
      </c>
      <c r="C255" s="829"/>
      <c r="D255" s="391">
        <f t="shared" si="77"/>
        <v>34.123751944767136</v>
      </c>
      <c r="E255" s="383">
        <f t="shared" si="100"/>
        <v>34.812757631647713</v>
      </c>
      <c r="F255" s="383">
        <f t="shared" si="78"/>
        <v>34.957048394736276</v>
      </c>
      <c r="G255" s="110">
        <f t="shared" si="101"/>
        <v>0.66448603774037107</v>
      </c>
      <c r="H255" s="412" t="b">
        <f>Wh_hp&gt;='2024'!Maxi_hp</f>
        <v>0</v>
      </c>
      <c r="I255" s="388">
        <f>IF(H255,Wh_hp,'2024'!Maxi_hp)</f>
        <v>52.692719517671406</v>
      </c>
      <c r="J255" s="85">
        <f>IF(H255,An,'2024'!An_max)</f>
        <v>2021</v>
      </c>
      <c r="K255" s="197">
        <f t="shared" si="79"/>
        <v>45898</v>
      </c>
      <c r="L255" s="147">
        <f>IF(t&lt;Tvie,1-EXP((T0-t)*PertePVj)+'2024'!Pspv,1-EXP((T0-t)*PertePVj)+Pspv)</f>
        <v>4.537500136221051E-2</v>
      </c>
      <c r="M255" s="832"/>
      <c r="N255" s="832"/>
      <c r="O255" s="48">
        <f>IF(t&lt;Tnet,'2024'!Resal+('2024'!Salim-'2024'!Resal)*(1-EXP(('2024'!Tnet-t)/('2024'!Tau_j))),Resal+(Salim-Resal)*(1-EXP((Tnet-t)/(Tau_j))))*Salcycl</f>
        <v>1.9791758359705935E-2</v>
      </c>
      <c r="P255" s="169">
        <f>(INDEX(Models!$BJ255:$BT255,,T255)*(1-R255)+INDEX(Models!$BJ255:$BT255,,T255+1)*R255-ERP_i)*Q255*Ramure*Pc/MaxiM</f>
        <v>7.8730355753912924E-3</v>
      </c>
      <c r="Q255" s="304">
        <f t="shared" si="80"/>
        <v>0.7</v>
      </c>
      <c r="R255" s="177">
        <f t="shared" si="81"/>
        <v>0.52031362649951873</v>
      </c>
      <c r="S255" s="799">
        <f t="shared" si="82"/>
        <v>1</v>
      </c>
      <c r="T255" s="176">
        <f t="shared" si="83"/>
        <v>7</v>
      </c>
      <c r="U255" s="250">
        <f t="shared" si="84"/>
        <v>1.5203136264995187</v>
      </c>
      <c r="V255" s="382">
        <f t="shared" si="85"/>
        <v>48.839060594202031</v>
      </c>
      <c r="W255" s="400">
        <f t="shared" si="86"/>
        <v>32.575386653789593</v>
      </c>
      <c r="X255" s="157">
        <f t="shared" si="87"/>
        <v>45898</v>
      </c>
      <c r="Y255" s="383">
        <f t="shared" si="88"/>
        <v>31.008418499262042</v>
      </c>
      <c r="Z255" s="383">
        <f t="shared" si="89"/>
        <v>32.482303044137517</v>
      </c>
      <c r="AA255" s="384">
        <f t="shared" si="90"/>
        <v>34.806842635767168</v>
      </c>
      <c r="AB255" s="197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6.6783983136723221E-2</v>
      </c>
      <c r="AD255" s="230">
        <f>(INDEX(Models!$BJ255:$BT255,,AH255)*(1-AF255)+INDEX(Models!$BJ255:$BT255,,AH255+1)*AF255-ERP_i)*AE255*Ramure*Pc/MaxiM</f>
        <v>8.195779540417187E-3</v>
      </c>
      <c r="AE255" s="304">
        <f t="shared" si="92"/>
        <v>0.7</v>
      </c>
      <c r="AF255" s="177">
        <f t="shared" si="93"/>
        <v>0.58464584875935088</v>
      </c>
      <c r="AG255" s="799">
        <f t="shared" si="99"/>
        <v>1</v>
      </c>
      <c r="AH255" s="176">
        <f t="shared" si="94"/>
        <v>7</v>
      </c>
      <c r="AI255" s="224">
        <f t="shared" si="95"/>
        <v>1.5846458487593509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45899</v>
      </c>
      <c r="B256" s="409">
        <f>'2024'!Wh/'2024'!Env_an*'2025'!Env_an</f>
        <v>47.908952146932876</v>
      </c>
      <c r="C256" s="829"/>
      <c r="D256" s="391">
        <f t="shared" si="77"/>
        <v>50.187110537680383</v>
      </c>
      <c r="E256" s="383">
        <f t="shared" si="100"/>
        <v>51.205358852417653</v>
      </c>
      <c r="F256" s="383">
        <f t="shared" si="78"/>
        <v>51.613674411039348</v>
      </c>
      <c r="G256" s="110">
        <f t="shared" si="101"/>
        <v>0.98439439319188549</v>
      </c>
      <c r="H256" s="412" t="b">
        <f>Wh_hp&gt;='2024'!Maxi_hp</f>
        <v>0</v>
      </c>
      <c r="I256" s="388">
        <f>IF(H256,Wh_hp,'2024'!Maxi_hp)</f>
        <v>51.619286910358419</v>
      </c>
      <c r="J256" s="85">
        <f>IF(H256,An,'2024'!An_max)</f>
        <v>2022</v>
      </c>
      <c r="K256" s="197">
        <f t="shared" si="79"/>
        <v>45899</v>
      </c>
      <c r="L256" s="147">
        <f>IF(t&lt;Tvie,1-EXP((T0-t)*PertePVj)+'2024'!Pspv,1-EXP((T0-t)*PertePVj)+Pspv)</f>
        <v>4.5393296532524441E-2</v>
      </c>
      <c r="M256" s="832"/>
      <c r="N256" s="832"/>
      <c r="O256" s="48">
        <f>IF(t&lt;Tnet,'2024'!Resal+('2024'!Salim-'2024'!Resal)*(1-EXP(('2024'!Tnet-t)/('2024'!Tau_j))),Resal+(Salim-Resal)*(1-EXP((Tnet-t)/(Tau_j))))*Salcycl</f>
        <v>1.9885581071153773E-2</v>
      </c>
      <c r="P256" s="169">
        <f>(INDEX(Models!$BJ256:$BT256,,T256)*(1-R256)+INDEX(Models!$BJ256:$BT256,,T256+1)*R256-ERP_i)*Q256*Ramure*Pc/MaxiM</f>
        <v>8.089291379259584E-3</v>
      </c>
      <c r="Q256" s="304">
        <f t="shared" si="80"/>
        <v>0.7</v>
      </c>
      <c r="R256" s="177">
        <f t="shared" si="81"/>
        <v>0.52087426454845831</v>
      </c>
      <c r="S256" s="799">
        <f t="shared" si="82"/>
        <v>1</v>
      </c>
      <c r="T256" s="176">
        <f t="shared" si="83"/>
        <v>7</v>
      </c>
      <c r="U256" s="250">
        <f t="shared" si="84"/>
        <v>1.5208742645484583</v>
      </c>
      <c r="V256" s="382">
        <f t="shared" si="85"/>
        <v>48.659706319886538</v>
      </c>
      <c r="W256" s="400">
        <f t="shared" si="86"/>
        <v>47.908952146932876</v>
      </c>
      <c r="X256" s="157">
        <f t="shared" si="87"/>
        <v>45899</v>
      </c>
      <c r="Y256" s="383">
        <f t="shared" si="88"/>
        <v>45.600001345446735</v>
      </c>
      <c r="Z256" s="383">
        <f t="shared" si="89"/>
        <v>47.768364898141925</v>
      </c>
      <c r="AA256" s="384">
        <f t="shared" si="90"/>
        <v>51.188701430483569</v>
      </c>
      <c r="AB256" s="197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6.6818193014460597E-2</v>
      </c>
      <c r="AD256" s="230">
        <f>(INDEX(Models!$BJ256:$BT256,,AH256)*(1-AF256)+INDEX(Models!$BJ256:$BT256,,AH256+1)*AF256-ERP_i)*AE256*Ramure*Pc/MaxiM</f>
        <v>8.4192977598808501E-3</v>
      </c>
      <c r="AE256" s="304">
        <f t="shared" si="92"/>
        <v>0.7</v>
      </c>
      <c r="AF256" s="177">
        <f t="shared" si="93"/>
        <v>0.58520648680829046</v>
      </c>
      <c r="AG256" s="799">
        <f t="shared" si="99"/>
        <v>1</v>
      </c>
      <c r="AH256" s="176">
        <f t="shared" si="94"/>
        <v>7</v>
      </c>
      <c r="AI256" s="224">
        <f t="shared" si="95"/>
        <v>1.5852064868082905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45900</v>
      </c>
      <c r="B257" s="409">
        <f>'2024'!Wh/'2024'!Env_an*'2025'!Env_an</f>
        <v>20.180713255340297</v>
      </c>
      <c r="C257" s="829"/>
      <c r="D257" s="391">
        <f t="shared" si="77"/>
        <v>21.14074827697431</v>
      </c>
      <c r="E257" s="383">
        <f t="shared" si="100"/>
        <v>21.571733905622999</v>
      </c>
      <c r="F257" s="383">
        <f t="shared" si="78"/>
        <v>21.601527643498972</v>
      </c>
      <c r="G257" s="110">
        <f t="shared" si="101"/>
        <v>0.4134074116486755</v>
      </c>
      <c r="H257" s="412" t="b">
        <f>Wh_hp&gt;='2024'!Maxi_hp</f>
        <v>0</v>
      </c>
      <c r="I257" s="388">
        <f>IF(H257,Wh_hp,'2024'!Maxi_hp)</f>
        <v>51.112198719060622</v>
      </c>
      <c r="J257" s="85">
        <f>IF(H257,An,'2024'!An_max)</f>
        <v>2021</v>
      </c>
      <c r="K257" s="197">
        <f t="shared" si="79"/>
        <v>45900</v>
      </c>
      <c r="L257" s="147">
        <f>IF(t&lt;Tvie,1-EXP((T0-t)*PertePVj)+'2024'!Pspv,1-EXP((T0-t)*PertePVj)+Pspv)</f>
        <v>4.5411591352215619E-2</v>
      </c>
      <c r="M257" s="832"/>
      <c r="N257" s="832"/>
      <c r="O257" s="48">
        <f>IF(t&lt;Tnet,'2024'!Resal+('2024'!Salim-'2024'!Resal)*(1-EXP(('2024'!Tnet-t)/('2024'!Tau_j))),Resal+(Salim-Resal)*(1-EXP((Tnet-t)/(Tau_j))))*Salcycl</f>
        <v>1.9979183432090569E-2</v>
      </c>
      <c r="P257" s="169">
        <f>(INDEX(Models!$BJ257:$BT257,,T257)*(1-R257)+INDEX(Models!$BJ257:$BT257,,T257+1)*R257-ERP_i)*Q257*Ramure*Pc/MaxiM</f>
        <v>8.3020219501907574E-3</v>
      </c>
      <c r="Q257" s="304">
        <f t="shared" si="80"/>
        <v>0.7</v>
      </c>
      <c r="R257" s="177">
        <f t="shared" si="81"/>
        <v>0.52141386230021869</v>
      </c>
      <c r="S257" s="799">
        <f t="shared" si="82"/>
        <v>1</v>
      </c>
      <c r="T257" s="176">
        <f t="shared" si="83"/>
        <v>7</v>
      </c>
      <c r="U257" s="250">
        <f t="shared" si="84"/>
        <v>1.5214138623002187</v>
      </c>
      <c r="V257" s="382">
        <f t="shared" si="85"/>
        <v>48.477151356196401</v>
      </c>
      <c r="W257" s="400">
        <f t="shared" si="86"/>
        <v>20.180713255340297</v>
      </c>
      <c r="X257" s="157">
        <f t="shared" si="87"/>
        <v>45900</v>
      </c>
      <c r="Y257" s="383">
        <f t="shared" si="88"/>
        <v>19.214424688628625</v>
      </c>
      <c r="Z257" s="383">
        <f t="shared" si="89"/>
        <v>20.1284915200748</v>
      </c>
      <c r="AA257" s="384">
        <f t="shared" si="90"/>
        <v>21.570525290585326</v>
      </c>
      <c r="AB257" s="197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6.6852046998591957E-2</v>
      </c>
      <c r="AD257" s="230">
        <f>(INDEX(Models!$BJ257:$BT257,,AH257)*(1-AF257)+INDEX(Models!$BJ257:$BT257,,AH257+1)*AF257-ERP_i)*AE257*Ramure*Pc/MaxiM</f>
        <v>8.6388024043209787E-3</v>
      </c>
      <c r="AE257" s="304">
        <f t="shared" si="92"/>
        <v>0.7</v>
      </c>
      <c r="AF257" s="177">
        <f t="shared" si="93"/>
        <v>0.58574608456005084</v>
      </c>
      <c r="AG257" s="799">
        <f t="shared" si="99"/>
        <v>1</v>
      </c>
      <c r="AH257" s="176">
        <f t="shared" si="94"/>
        <v>7</v>
      </c>
      <c r="AI257" s="224">
        <f t="shared" si="95"/>
        <v>1.5857460845600508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45901</v>
      </c>
      <c r="B258" s="409">
        <f>'2024'!Wh/'2024'!Env_an*'2025'!Env_an</f>
        <v>42.826901710709656</v>
      </c>
      <c r="C258" s="829"/>
      <c r="D258" s="391">
        <f t="shared" si="77"/>
        <v>44.865118941584463</v>
      </c>
      <c r="E258" s="383">
        <f t="shared" si="100"/>
        <v>45.784123546467114</v>
      </c>
      <c r="F258" s="383">
        <f t="shared" si="78"/>
        <v>46.113162588760972</v>
      </c>
      <c r="G258" s="110">
        <f t="shared" si="101"/>
        <v>0.88561998391407692</v>
      </c>
      <c r="H258" s="412" t="b">
        <f>Wh_hp&gt;='2024'!Maxi_hp</f>
        <v>0</v>
      </c>
      <c r="I258" s="388">
        <f>IF(H258,Wh_hp,'2024'!Maxi_hp)</f>
        <v>46.151627874383863</v>
      </c>
      <c r="J258" s="85">
        <f>IF(H258,An,'2024'!An_max)</f>
        <v>2022</v>
      </c>
      <c r="K258" s="197">
        <f t="shared" si="79"/>
        <v>45901</v>
      </c>
      <c r="L258" s="147">
        <f>IF(t&lt;Tvie,1-EXP((T0-t)*PertePVj)+'2024'!Pspv,1-EXP((T0-t)*PertePVj)+Pspv)</f>
        <v>4.5429885821290705E-2</v>
      </c>
      <c r="M258" s="832"/>
      <c r="N258" s="832"/>
      <c r="O258" s="48">
        <f>IF(t&lt;Tnet,'2024'!Resal+('2024'!Salim-'2024'!Resal)*(1-EXP(('2024'!Tnet-t)/('2024'!Tau_j))),Resal+(Salim-Resal)*(1-EXP((Tnet-t)/(Tau_j))))*Salcycl</f>
        <v>2.0072560828863335E-2</v>
      </c>
      <c r="P258" s="169">
        <f>(INDEX(Models!$BJ258:$BT258,,T258)*(1-R258)+INDEX(Models!$BJ258:$BT258,,T258+1)*R258-ERP_i)*Q258*Ramure*Pc/MaxiM</f>
        <v>8.5112683739262604E-3</v>
      </c>
      <c r="Q258" s="304">
        <f t="shared" si="80"/>
        <v>0.7</v>
      </c>
      <c r="R258" s="177">
        <f t="shared" si="81"/>
        <v>0.52193315188631573</v>
      </c>
      <c r="S258" s="799">
        <f t="shared" si="82"/>
        <v>1</v>
      </c>
      <c r="T258" s="176">
        <f t="shared" si="83"/>
        <v>7</v>
      </c>
      <c r="U258" s="250">
        <f t="shared" si="84"/>
        <v>1.5219331518863157</v>
      </c>
      <c r="V258" s="382">
        <f t="shared" si="85"/>
        <v>48.291093031994485</v>
      </c>
      <c r="W258" s="400">
        <f t="shared" si="86"/>
        <v>42.826901710709656</v>
      </c>
      <c r="X258" s="157">
        <f t="shared" si="87"/>
        <v>45901</v>
      </c>
      <c r="Y258" s="383">
        <f t="shared" si="88"/>
        <v>40.769166945277611</v>
      </c>
      <c r="Z258" s="383">
        <f t="shared" si="89"/>
        <v>42.709452495644584</v>
      </c>
      <c r="AA258" s="384">
        <f t="shared" si="90"/>
        <v>45.770860923669964</v>
      </c>
      <c r="AB258" s="197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6.6885532984200385E-2</v>
      </c>
      <c r="AD258" s="230">
        <f>(INDEX(Models!$BJ258:$BT258,,AH258)*(1-AF258)+INDEX(Models!$BJ258:$BT258,,AH258+1)*AF258-ERP_i)*AE258*Ramure*Pc/MaxiM</f>
        <v>8.8543332612471149E-3</v>
      </c>
      <c r="AE258" s="304">
        <f t="shared" si="92"/>
        <v>0.7</v>
      </c>
      <c r="AF258" s="177">
        <f t="shared" si="93"/>
        <v>0.58626537414614788</v>
      </c>
      <c r="AG258" s="799">
        <f t="shared" si="99"/>
        <v>1</v>
      </c>
      <c r="AH258" s="176">
        <f t="shared" si="94"/>
        <v>7</v>
      </c>
      <c r="AI258" s="224">
        <f t="shared" si="95"/>
        <v>1.5862653741461479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45902</v>
      </c>
      <c r="B259" s="409">
        <f>'2024'!Wh/'2024'!Env_an*'2025'!Env_an</f>
        <v>37.893704697797119</v>
      </c>
      <c r="C259" s="829"/>
      <c r="D259" s="391">
        <f t="shared" si="77"/>
        <v>39.697902095462538</v>
      </c>
      <c r="E259" s="383">
        <f t="shared" si="100"/>
        <v>40.514914039941289</v>
      </c>
      <c r="F259" s="383">
        <f t="shared" si="78"/>
        <v>40.762523646732667</v>
      </c>
      <c r="G259" s="110">
        <f t="shared" si="101"/>
        <v>0.78569621710593485</v>
      </c>
      <c r="H259" s="412" t="b">
        <f>Wh_hp&gt;='2024'!Maxi_hp</f>
        <v>0</v>
      </c>
      <c r="I259" s="388">
        <f>IF(H259,Wh_hp,'2024'!Maxi_hp)</f>
        <v>43.932172595785929</v>
      </c>
      <c r="J259" s="85">
        <f>IF(H259,An,'2024'!An_max)</f>
        <v>2018</v>
      </c>
      <c r="K259" s="197">
        <f t="shared" si="79"/>
        <v>45902</v>
      </c>
      <c r="L259" s="147">
        <f>IF(t&lt;Tvie,1-EXP((T0-t)*PertePVj)+'2024'!Pspv,1-EXP((T0-t)*PertePVj)+Pspv)</f>
        <v>4.5448179939756472E-2</v>
      </c>
      <c r="M259" s="832"/>
      <c r="N259" s="832"/>
      <c r="O259" s="48">
        <f>IF(t&lt;Tnet,'2024'!Resal+('2024'!Salim-'2024'!Resal)*(1-EXP(('2024'!Tnet-t)/('2024'!Tau_j))),Resal+(Salim-Resal)*(1-EXP((Tnet-t)/(Tau_j))))*Salcycl</f>
        <v>2.0165708451788968E-2</v>
      </c>
      <c r="P259" s="169">
        <f>(INDEX(Models!$BJ259:$BT259,,T259)*(1-R259)+INDEX(Models!$BJ259:$BT259,,T259+1)*R259-ERP_i)*Q259*Ramure*Pc/MaxiM</f>
        <v>8.7170768847135375E-3</v>
      </c>
      <c r="Q259" s="304">
        <f t="shared" si="80"/>
        <v>0.7</v>
      </c>
      <c r="R259" s="177">
        <f t="shared" si="81"/>
        <v>0.52243284437768112</v>
      </c>
      <c r="S259" s="799">
        <f t="shared" si="82"/>
        <v>1</v>
      </c>
      <c r="T259" s="176">
        <f t="shared" si="83"/>
        <v>7</v>
      </c>
      <c r="U259" s="250">
        <f t="shared" si="84"/>
        <v>1.5224328443776811</v>
      </c>
      <c r="V259" s="382">
        <f t="shared" si="85"/>
        <v>48.101228771651719</v>
      </c>
      <c r="W259" s="400">
        <f t="shared" si="86"/>
        <v>37.893704697797119</v>
      </c>
      <c r="X259" s="157">
        <f t="shared" si="87"/>
        <v>45902</v>
      </c>
      <c r="Y259" s="383">
        <f t="shared" si="88"/>
        <v>36.076775274337756</v>
      </c>
      <c r="Z259" s="383">
        <f t="shared" si="89"/>
        <v>37.794464916593931</v>
      </c>
      <c r="AA259" s="384">
        <f t="shared" si="90"/>
        <v>40.505004678017833</v>
      </c>
      <c r="AB259" s="197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6.691863839963752E-2</v>
      </c>
      <c r="AD259" s="230">
        <f>(INDEX(Models!$BJ259:$BT259,,AH259)*(1-AF259)+INDEX(Models!$BJ259:$BT259,,AH259+1)*AF259-ERP_i)*AE259*Ramure*Pc/MaxiM</f>
        <v>9.0659351979452373E-3</v>
      </c>
      <c r="AE259" s="304">
        <f t="shared" si="92"/>
        <v>0.7</v>
      </c>
      <c r="AF259" s="177">
        <f t="shared" si="93"/>
        <v>0.58676506663751327</v>
      </c>
      <c r="AG259" s="799">
        <f t="shared" si="99"/>
        <v>1</v>
      </c>
      <c r="AH259" s="176">
        <f t="shared" si="94"/>
        <v>7</v>
      </c>
      <c r="AI259" s="224">
        <f t="shared" si="95"/>
        <v>1.5867650666375133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45903</v>
      </c>
      <c r="B260" s="409">
        <f>'2024'!Wh/'2024'!Env_an*'2025'!Env_an</f>
        <v>31.828378259203742</v>
      </c>
      <c r="C260" s="829"/>
      <c r="D260" s="391">
        <f t="shared" si="77"/>
        <v>33.344432000028554</v>
      </c>
      <c r="E260" s="383">
        <f t="shared" si="100"/>
        <v>34.033912136783059</v>
      </c>
      <c r="F260" s="383">
        <f t="shared" si="78"/>
        <v>34.192665821950868</v>
      </c>
      <c r="G260" s="110">
        <f t="shared" si="101"/>
        <v>0.66152038813689573</v>
      </c>
      <c r="H260" s="412" t="b">
        <f>Wh_hp&gt;='2024'!Maxi_hp</f>
        <v>0</v>
      </c>
      <c r="I260" s="388">
        <f>IF(H260,Wh_hp,'2024'!Maxi_hp)</f>
        <v>53.184089947763461</v>
      </c>
      <c r="J260" s="85">
        <f>IF(H260,An,'2024'!An_max)</f>
        <v>2018</v>
      </c>
      <c r="K260" s="197">
        <f t="shared" si="79"/>
        <v>45903</v>
      </c>
      <c r="L260" s="147">
        <f>IF(t&lt;Tvie,1-EXP((T0-t)*PertePVj)+'2024'!Pspv,1-EXP((T0-t)*PertePVj)+Pspv)</f>
        <v>4.5466473707619692E-2</v>
      </c>
      <c r="M260" s="832"/>
      <c r="N260" s="832"/>
      <c r="O260" s="48">
        <f>IF(t&lt;Tnet,'2024'!Resal+('2024'!Salim-'2024'!Resal)*(1-EXP(('2024'!Tnet-t)/('2024'!Tau_j))),Resal+(Salim-Resal)*(1-EXP((Tnet-t)/(Tau_j))))*Salcycl</f>
        <v>2.0258621282897696E-2</v>
      </c>
      <c r="P260" s="169">
        <f>(INDEX(Models!$BJ260:$BT260,,T260)*(1-R260)+INDEX(Models!$BJ260:$BT260,,T260+1)*R260-ERP_i)*Q260*Ramure*Pc/MaxiM</f>
        <v>8.9194986945339179E-3</v>
      </c>
      <c r="Q260" s="304">
        <f t="shared" si="80"/>
        <v>0.7</v>
      </c>
      <c r="R260" s="177">
        <f t="shared" si="81"/>
        <v>0.52291363004058145</v>
      </c>
      <c r="S260" s="799">
        <f t="shared" si="82"/>
        <v>1</v>
      </c>
      <c r="T260" s="176">
        <f t="shared" si="83"/>
        <v>7</v>
      </c>
      <c r="U260" s="250">
        <f t="shared" si="84"/>
        <v>1.5229136300405814</v>
      </c>
      <c r="V260" s="382">
        <f t="shared" si="85"/>
        <v>47.907256101029539</v>
      </c>
      <c r="W260" s="400">
        <f t="shared" si="86"/>
        <v>31.828378259203742</v>
      </c>
      <c r="X260" s="157">
        <f t="shared" si="87"/>
        <v>45903</v>
      </c>
      <c r="Y260" s="383">
        <f t="shared" si="88"/>
        <v>30.305880382214578</v>
      </c>
      <c r="Z260" s="383">
        <f t="shared" si="89"/>
        <v>31.749414292370989</v>
      </c>
      <c r="AA260" s="384">
        <f t="shared" si="90"/>
        <v>34.027608633599598</v>
      </c>
      <c r="AB260" s="197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6.6951350174489513E-2</v>
      </c>
      <c r="AD260" s="230">
        <f>(INDEX(Models!$BJ260:$BT260,,AH260)*(1-AF260)+INDEX(Models!$BJ260:$BT260,,AH260+1)*AF260-ERP_i)*AE260*Ramure*Pc/MaxiM</f>
        <v>9.2736579592867796E-3</v>
      </c>
      <c r="AE260" s="304">
        <f t="shared" si="92"/>
        <v>0.7</v>
      </c>
      <c r="AF260" s="177">
        <f t="shared" si="93"/>
        <v>0.5872458523004136</v>
      </c>
      <c r="AG260" s="799">
        <f t="shared" si="99"/>
        <v>1</v>
      </c>
      <c r="AH260" s="176">
        <f t="shared" si="94"/>
        <v>7</v>
      </c>
      <c r="AI260" s="224">
        <f t="shared" si="95"/>
        <v>1.5872458523004136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45904</v>
      </c>
      <c r="B261" s="409">
        <f>'2024'!Wh/'2024'!Env_an*'2025'!Env_an</f>
        <v>48.335094680312267</v>
      </c>
      <c r="C261" s="829"/>
      <c r="D261" s="391">
        <f t="shared" si="77"/>
        <v>50.638369106715288</v>
      </c>
      <c r="E261" s="383">
        <f t="shared" si="100"/>
        <v>51.69033430133954</v>
      </c>
      <c r="F261" s="383">
        <f t="shared" si="78"/>
        <v>52.16600938994538</v>
      </c>
      <c r="G261" s="110">
        <f t="shared" si="101"/>
        <v>1.0131143940679885</v>
      </c>
      <c r="H261" s="412" t="b">
        <f>Wh_hp&gt;='2024'!Maxi_hp</f>
        <v>0</v>
      </c>
      <c r="I261" s="388">
        <f>IF(H261,Wh_hp,'2024'!Maxi_hp)</f>
        <v>52.707977140675048</v>
      </c>
      <c r="J261" s="85">
        <f>IF(H261,An,'2024'!An_max)</f>
        <v>2018</v>
      </c>
      <c r="K261" s="197">
        <f t="shared" si="79"/>
        <v>45904</v>
      </c>
      <c r="L261" s="147">
        <f>IF(t&lt;Tvie,1-EXP((T0-t)*PertePVj)+'2024'!Pspv,1-EXP((T0-t)*PertePVj)+Pspv)</f>
        <v>4.5484767124887027E-2</v>
      </c>
      <c r="M261" s="832"/>
      <c r="N261" s="832"/>
      <c r="O261" s="48">
        <f>IF(t&lt;Tnet,'2024'!Resal+('2024'!Salim-'2024'!Resal)*(1-EXP(('2024'!Tnet-t)/('2024'!Tau_j))),Resal+(Salim-Resal)*(1-EXP((Tnet-t)/(Tau_j))))*Salcycl</f>
        <v>2.0351294083176184E-2</v>
      </c>
      <c r="P261" s="169">
        <f>(INDEX(Models!$BJ261:$BT261,,T261)*(1-R261)+INDEX(Models!$BJ261:$BT261,,T261+1)*R261-ERP_i)*Q261*Ramure*Pc/MaxiM</f>
        <v>9.1184871944129196E-3</v>
      </c>
      <c r="Q261" s="304">
        <f t="shared" si="80"/>
        <v>0.7</v>
      </c>
      <c r="R261" s="177">
        <f t="shared" si="81"/>
        <v>0.52337617862119279</v>
      </c>
      <c r="S261" s="799">
        <f t="shared" si="82"/>
        <v>1</v>
      </c>
      <c r="T261" s="176">
        <f t="shared" si="83"/>
        <v>7</v>
      </c>
      <c r="U261" s="250">
        <f t="shared" si="84"/>
        <v>1.5233761786211928</v>
      </c>
      <c r="V261" s="382">
        <f t="shared" si="85"/>
        <v>47.709414616281315</v>
      </c>
      <c r="W261" s="400">
        <f t="shared" si="86"/>
        <v>48.335094680312267</v>
      </c>
      <c r="X261" s="157">
        <f t="shared" si="87"/>
        <v>45904</v>
      </c>
      <c r="Y261" s="383">
        <f t="shared" si="88"/>
        <v>46.017614146134619</v>
      </c>
      <c r="Z261" s="383">
        <f t="shared" si="89"/>
        <v>48.210455486942955</v>
      </c>
      <c r="AA261" s="384">
        <f t="shared" si="90"/>
        <v>51.671608680964134</v>
      </c>
      <c r="AB261" s="197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6.698365470661781E-2</v>
      </c>
      <c r="AD261" s="230">
        <f>(INDEX(Models!$BJ261:$BT261,,AH261)*(1-AF261)+INDEX(Models!$BJ261:$BT261,,AH261+1)*AF261-ERP_i)*AE261*Ramure*Pc/MaxiM</f>
        <v>9.4774492962564766E-3</v>
      </c>
      <c r="AE261" s="304">
        <f t="shared" si="92"/>
        <v>0.7</v>
      </c>
      <c r="AF261" s="177">
        <f t="shared" si="93"/>
        <v>0.58770840088102494</v>
      </c>
      <c r="AG261" s="799">
        <f t="shared" si="99"/>
        <v>1</v>
      </c>
      <c r="AH261" s="176">
        <f t="shared" si="94"/>
        <v>7</v>
      </c>
      <c r="AI261" s="224">
        <f t="shared" si="95"/>
        <v>1.5877084008810249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45905</v>
      </c>
      <c r="B262" s="409">
        <f>'2024'!Wh/'2024'!Env_an*'2025'!Env_an</f>
        <v>41.399776444057871</v>
      </c>
      <c r="C262" s="829"/>
      <c r="D262" s="391">
        <f t="shared" si="77"/>
        <v>43.373398821337972</v>
      </c>
      <c r="E262" s="383">
        <f t="shared" si="100"/>
        <v>44.278618562300039</v>
      </c>
      <c r="F262" s="383">
        <f t="shared" si="78"/>
        <v>44.617376027671774</v>
      </c>
      <c r="G262" s="110">
        <f t="shared" si="101"/>
        <v>0.86991195854405035</v>
      </c>
      <c r="H262" s="412" t="b">
        <f>Wh_hp&gt;='2024'!Maxi_hp</f>
        <v>0</v>
      </c>
      <c r="I262" s="388">
        <f>IF(H262,Wh_hp,'2024'!Maxi_hp)</f>
        <v>52.360214050968047</v>
      </c>
      <c r="J262" s="85">
        <f>IF(H262,An,'2024'!An_max)</f>
        <v>2020</v>
      </c>
      <c r="K262" s="197">
        <f t="shared" si="79"/>
        <v>45905</v>
      </c>
      <c r="L262" s="147">
        <f>IF(t&lt;Tvie,1-EXP((T0-t)*PertePVj)+'2024'!Pspv,1-EXP((T0-t)*PertePVj)+Pspv)</f>
        <v>4.5503060191565137E-2</v>
      </c>
      <c r="M262" s="832"/>
      <c r="N262" s="832"/>
      <c r="O262" s="48">
        <f>IF(t&lt;Tnet,'2024'!Resal+('2024'!Salim-'2024'!Resal)*(1-EXP(('2024'!Tnet-t)/('2024'!Tau_j))),Resal+(Salim-Resal)*(1-EXP((Tnet-t)/(Tau_j))))*Salcycl</f>
        <v>2.0443721379618578E-2</v>
      </c>
      <c r="P262" s="169">
        <f>(INDEX(Models!$BJ262:$BT262,,T262)*(1-R262)+INDEX(Models!$BJ262:$BT262,,T262+1)*R262-ERP_i)*Q262*Ramure*Pc/MaxiM</f>
        <v>9.3010795971319605E-3</v>
      </c>
      <c r="Q262" s="304">
        <f t="shared" si="80"/>
        <v>0.7</v>
      </c>
      <c r="R262" s="177">
        <f t="shared" si="81"/>
        <v>0.52382113965541022</v>
      </c>
      <c r="S262" s="799">
        <f t="shared" si="82"/>
        <v>1</v>
      </c>
      <c r="T262" s="176">
        <f t="shared" si="83"/>
        <v>7</v>
      </c>
      <c r="U262" s="250">
        <f t="shared" si="84"/>
        <v>1.5238211396554102</v>
      </c>
      <c r="V262" s="382">
        <f t="shared" si="85"/>
        <v>47.508831321710488</v>
      </c>
      <c r="W262" s="400">
        <f t="shared" si="86"/>
        <v>41.399776444057871</v>
      </c>
      <c r="X262" s="157">
        <f t="shared" si="87"/>
        <v>45905</v>
      </c>
      <c r="Y262" s="383">
        <f t="shared" si="88"/>
        <v>39.419720544748465</v>
      </c>
      <c r="Z262" s="383">
        <f t="shared" si="89"/>
        <v>41.298949112042102</v>
      </c>
      <c r="AA262" s="384">
        <f t="shared" si="90"/>
        <v>44.26542004349723</v>
      </c>
      <c r="AB262" s="197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6.7015537829306526E-2</v>
      </c>
      <c r="AD262" s="230">
        <f>(INDEX(Models!$BJ262:$BT262,,AH262)*(1-AF262)+INDEX(Models!$BJ262:$BT262,,AH262+1)*AF262-ERP_i)*AE262*Ramure*Pc/MaxiM</f>
        <v>9.6634641539252459E-3</v>
      </c>
      <c r="AE262" s="304">
        <f t="shared" si="92"/>
        <v>0.7</v>
      </c>
      <c r="AF262" s="177">
        <f t="shared" si="93"/>
        <v>0.58815336191524237</v>
      </c>
      <c r="AG262" s="799">
        <f t="shared" si="99"/>
        <v>1</v>
      </c>
      <c r="AH262" s="176">
        <f t="shared" si="94"/>
        <v>7</v>
      </c>
      <c r="AI262" s="224">
        <f t="shared" si="95"/>
        <v>1.5881533619152424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45906</v>
      </c>
      <c r="B263" s="409">
        <f>'2024'!Wh/'2024'!Env_an*'2025'!Env_an</f>
        <v>45.002996263852985</v>
      </c>
      <c r="C263" s="829"/>
      <c r="D263" s="391">
        <f t="shared" si="77"/>
        <v>47.149296006722771</v>
      </c>
      <c r="E263" s="383">
        <f t="shared" si="100"/>
        <v>48.137849957019846</v>
      </c>
      <c r="F263" s="383">
        <f t="shared" si="78"/>
        <v>48.565539522485118</v>
      </c>
      <c r="G263" s="110">
        <f t="shared" si="101"/>
        <v>0.95069065453559343</v>
      </c>
      <c r="H263" s="412" t="b">
        <f>Wh_hp&gt;='2024'!Maxi_hp</f>
        <v>0</v>
      </c>
      <c r="I263" s="388">
        <f>IF(H263,Wh_hp,'2024'!Maxi_hp)</f>
        <v>51.253626858987126</v>
      </c>
      <c r="J263" s="85">
        <f>IF(H263,An,'2024'!An_max)</f>
        <v>2018</v>
      </c>
      <c r="K263" s="197">
        <f t="shared" si="79"/>
        <v>45906</v>
      </c>
      <c r="L263" s="147">
        <f>IF(t&lt;Tvie,1-EXP((T0-t)*PertePVj)+'2024'!Pspv,1-EXP((T0-t)*PertePVj)+Pspv)</f>
        <v>4.5521352907660795E-2</v>
      </c>
      <c r="M263" s="832"/>
      <c r="N263" s="832"/>
      <c r="O263" s="48">
        <f>IF(t&lt;Tnet,'2024'!Resal+('2024'!Salim-'2024'!Resal)*(1-EXP(('2024'!Tnet-t)/('2024'!Tau_j))),Resal+(Salim-Resal)*(1-EXP((Tnet-t)/(Tau_j))))*Salcycl</f>
        <v>2.053589745241444E-2</v>
      </c>
      <c r="P263" s="169">
        <f>(INDEX(Models!$BJ263:$BT263,,T263)*(1-R263)+INDEX(Models!$BJ263:$BT263,,T263+1)*R263-ERP_i)*Q263*Ramure*Pc/MaxiM</f>
        <v>9.4646051406375737E-3</v>
      </c>
      <c r="Q263" s="304">
        <f t="shared" si="80"/>
        <v>0.7</v>
      </c>
      <c r="R263" s="177">
        <f t="shared" si="81"/>
        <v>0.52424914280071566</v>
      </c>
      <c r="S263" s="799">
        <f t="shared" si="82"/>
        <v>1</v>
      </c>
      <c r="T263" s="176">
        <f t="shared" si="83"/>
        <v>7</v>
      </c>
      <c r="U263" s="250">
        <f t="shared" si="84"/>
        <v>1.5242491428007157</v>
      </c>
      <c r="V263" s="382">
        <f t="shared" si="85"/>
        <v>47.305728250166233</v>
      </c>
      <c r="W263" s="400">
        <f t="shared" si="86"/>
        <v>45.002996263852985</v>
      </c>
      <c r="X263" s="157">
        <f t="shared" si="87"/>
        <v>45906</v>
      </c>
      <c r="Y263" s="383">
        <f t="shared" si="88"/>
        <v>42.851302967670598</v>
      </c>
      <c r="Z263" s="383">
        <f t="shared" si="89"/>
        <v>44.89498334845937</v>
      </c>
      <c r="AA263" s="384">
        <f t="shared" si="90"/>
        <v>48.121376549549474</v>
      </c>
      <c r="AB263" s="197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6.7046984779580501E-2</v>
      </c>
      <c r="AD263" s="230">
        <f>(INDEX(Models!$BJ263:$BT263,,AH263)*(1-AF263)+INDEX(Models!$BJ263:$BT263,,AH263+1)*AF263-ERP_i)*AE263*Ramure*Pc/MaxiM</f>
        <v>9.8291552948090444E-3</v>
      </c>
      <c r="AE263" s="304">
        <f t="shared" si="92"/>
        <v>0.7</v>
      </c>
      <c r="AF263" s="177">
        <f t="shared" si="93"/>
        <v>0.58858136506054781</v>
      </c>
      <c r="AG263" s="799">
        <f t="shared" si="99"/>
        <v>1</v>
      </c>
      <c r="AH263" s="176">
        <f t="shared" si="94"/>
        <v>7</v>
      </c>
      <c r="AI263" s="224">
        <f t="shared" si="95"/>
        <v>1.5885813650605478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45907</v>
      </c>
      <c r="B264" s="409">
        <f>'2024'!Wh/'2024'!Env_an*'2025'!Env_an</f>
        <v>35.059819864327018</v>
      </c>
      <c r="C264" s="829"/>
      <c r="D264" s="391">
        <f t="shared" si="77"/>
        <v>36.732609888612565</v>
      </c>
      <c r="E264" s="383">
        <f t="shared" si="100"/>
        <v>37.506282596967026</v>
      </c>
      <c r="F264" s="383">
        <f t="shared" si="78"/>
        <v>37.736466756249435</v>
      </c>
      <c r="G264" s="110">
        <f t="shared" si="101"/>
        <v>0.74173849682156223</v>
      </c>
      <c r="H264" s="412" t="b">
        <f>Wh_hp&gt;='2024'!Maxi_hp</f>
        <v>0</v>
      </c>
      <c r="I264" s="388">
        <f>IF(H264,Wh_hp,'2024'!Maxi_hp)</f>
        <v>52.759985924745806</v>
      </c>
      <c r="J264" s="85">
        <f>IF(H264,An,'2024'!An_max)</f>
        <v>2018</v>
      </c>
      <c r="K264" s="197">
        <f t="shared" si="79"/>
        <v>45907</v>
      </c>
      <c r="L264" s="147">
        <f>IF(t&lt;Tvie,1-EXP((T0-t)*PertePVj)+'2024'!Pspv,1-EXP((T0-t)*PertePVj)+Pspv)</f>
        <v>4.5539645273180773E-2</v>
      </c>
      <c r="M264" s="832"/>
      <c r="N264" s="832"/>
      <c r="O264" s="48">
        <f>IF(t&lt;Tnet,'2024'!Resal+('2024'!Salim-'2024'!Resal)*(1-EXP(('2024'!Tnet-t)/('2024'!Tau_j))),Resal+(Salim-Resal)*(1-EXP((Tnet-t)/(Tau_j))))*Salcycl</f>
        <v>2.0627816322618599E-2</v>
      </c>
      <c r="P264" s="169">
        <f>(INDEX(Models!$BJ264:$BT264,,T264)*(1-R264)+INDEX(Models!$BJ264:$BT264,,T264+1)*R264-ERP_i)*Q264*Ramure*Pc/MaxiM</f>
        <v>9.6088381011854088E-3</v>
      </c>
      <c r="Q264" s="304">
        <f t="shared" si="80"/>
        <v>0.7</v>
      </c>
      <c r="R264" s="177">
        <f t="shared" si="81"/>
        <v>0.52466079818714562</v>
      </c>
      <c r="S264" s="799">
        <f t="shared" si="82"/>
        <v>1</v>
      </c>
      <c r="T264" s="176">
        <f t="shared" si="83"/>
        <v>7</v>
      </c>
      <c r="U264" s="250">
        <f t="shared" si="84"/>
        <v>1.5246607981871456</v>
      </c>
      <c r="V264" s="382">
        <f t="shared" si="85"/>
        <v>47.100208549702785</v>
      </c>
      <c r="W264" s="400">
        <f t="shared" si="86"/>
        <v>35.059819864327018</v>
      </c>
      <c r="X264" s="157">
        <f t="shared" si="87"/>
        <v>45907</v>
      </c>
      <c r="Y264" s="383">
        <f t="shared" si="88"/>
        <v>33.389189593206595</v>
      </c>
      <c r="Z264" s="383">
        <f t="shared" si="89"/>
        <v>34.982269748399425</v>
      </c>
      <c r="AA264" s="384">
        <f t="shared" si="90"/>
        <v>37.497528201476214</v>
      </c>
      <c r="AB264" s="197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6.7077980168777307E-2</v>
      </c>
      <c r="AD264" s="230">
        <f>(INDEX(Models!$BJ264:$BT264,,AH264)*(1-AF264)+INDEX(Models!$BJ264:$BT264,,AH264+1)*AF264-ERP_i)*AE264*Ramure*Pc/MaxiM</f>
        <v>9.9742827486678075E-3</v>
      </c>
      <c r="AE264" s="304">
        <f t="shared" si="92"/>
        <v>0.7</v>
      </c>
      <c r="AF264" s="177">
        <f t="shared" si="93"/>
        <v>0.58899302044697777</v>
      </c>
      <c r="AG264" s="799">
        <f t="shared" si="99"/>
        <v>1</v>
      </c>
      <c r="AH264" s="176">
        <f t="shared" si="94"/>
        <v>7</v>
      </c>
      <c r="AI264" s="224">
        <f t="shared" si="95"/>
        <v>1.5889930204469778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45908</v>
      </c>
      <c r="B265" s="409">
        <f>'2024'!Wh/'2024'!Env_an*'2025'!Env_an</f>
        <v>39.96094987041667</v>
      </c>
      <c r="C265" s="829"/>
      <c r="D265" s="391">
        <f t="shared" si="77"/>
        <v>41.868387230205592</v>
      </c>
      <c r="E265" s="383">
        <f t="shared" si="100"/>
        <v>42.754232338945997</v>
      </c>
      <c r="F265" s="383">
        <f t="shared" si="78"/>
        <v>43.085046101676859</v>
      </c>
      <c r="G265" s="110">
        <f t="shared" si="101"/>
        <v>0.85041926441792559</v>
      </c>
      <c r="H265" s="412" t="b">
        <f>Wh_hp&gt;='2024'!Maxi_hp</f>
        <v>0</v>
      </c>
      <c r="I265" s="388">
        <f>IF(H265,Wh_hp,'2024'!Maxi_hp)</f>
        <v>48.227232610216525</v>
      </c>
      <c r="J265" s="85">
        <f>IF(H265,An,'2024'!An_max)</f>
        <v>2020</v>
      </c>
      <c r="K265" s="197">
        <f t="shared" si="79"/>
        <v>45908</v>
      </c>
      <c r="L265" s="147">
        <f>IF(t&lt;Tvie,1-EXP((T0-t)*PertePVj)+'2024'!Pspv,1-EXP((T0-t)*PertePVj)+Pspv)</f>
        <v>4.5557937288131733E-2</v>
      </c>
      <c r="M265" s="832"/>
      <c r="N265" s="832"/>
      <c r="O265" s="48">
        <f>IF(t&lt;Tnet,'2024'!Resal+('2024'!Salim-'2024'!Resal)*(1-EXP(('2024'!Tnet-t)/('2024'!Tau_j))),Resal+(Salim-Resal)*(1-EXP((Tnet-t)/(Tau_j))))*Salcycl</f>
        <v>2.0719471740660078E-2</v>
      </c>
      <c r="P265" s="169">
        <f>(INDEX(Models!$BJ265:$BT265,,T265)*(1-R265)+INDEX(Models!$BJ265:$BT265,,T265+1)*R265-ERP_i)*Q265*Ramure*Pc/MaxiM</f>
        <v>9.733542429427821E-3</v>
      </c>
      <c r="Q265" s="304">
        <f t="shared" si="80"/>
        <v>0.7</v>
      </c>
      <c r="R265" s="177">
        <f t="shared" si="81"/>
        <v>0.52505669678462241</v>
      </c>
      <c r="S265" s="799">
        <f t="shared" si="82"/>
        <v>1</v>
      </c>
      <c r="T265" s="176">
        <f t="shared" si="83"/>
        <v>7</v>
      </c>
      <c r="U265" s="250">
        <f t="shared" si="84"/>
        <v>1.5250566967846224</v>
      </c>
      <c r="V265" s="382">
        <f t="shared" si="85"/>
        <v>46.892375175394641</v>
      </c>
      <c r="W265" s="400">
        <f t="shared" si="86"/>
        <v>39.96094987041667</v>
      </c>
      <c r="X265" s="157">
        <f t="shared" si="87"/>
        <v>45908</v>
      </c>
      <c r="Y265" s="383">
        <f t="shared" si="88"/>
        <v>38.056931426131008</v>
      </c>
      <c r="Z265" s="383">
        <f t="shared" si="89"/>
        <v>39.873485162629329</v>
      </c>
      <c r="AA265" s="384">
        <f t="shared" si="90"/>
        <v>42.741825284830071</v>
      </c>
      <c r="AB265" s="197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6.710850795646231E-2</v>
      </c>
      <c r="AD265" s="230">
        <f>(INDEX(Models!$BJ265:$BT265,,AH265)*(1-AF265)+INDEX(Models!$BJ265:$BT265,,AH265+1)*AF265-ERP_i)*AE265*Ramure*Pc/MaxiM</f>
        <v>1.009859552354541E-2</v>
      </c>
      <c r="AE265" s="304">
        <f t="shared" si="92"/>
        <v>0.7</v>
      </c>
      <c r="AF265" s="177">
        <f t="shared" si="93"/>
        <v>0.58938891904445456</v>
      </c>
      <c r="AG265" s="799">
        <f t="shared" si="99"/>
        <v>1</v>
      </c>
      <c r="AH265" s="176">
        <f t="shared" si="94"/>
        <v>7</v>
      </c>
      <c r="AI265" s="224">
        <f t="shared" si="95"/>
        <v>1.5893889190444546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45909</v>
      </c>
      <c r="B266" s="409">
        <f>'2024'!Wh/'2024'!Env_an*'2025'!Env_an</f>
        <v>16.862961249018028</v>
      </c>
      <c r="C266" s="829"/>
      <c r="D266" s="391">
        <f t="shared" si="77"/>
        <v>17.668211711146856</v>
      </c>
      <c r="E266" s="383">
        <f t="shared" si="100"/>
        <v>18.043716927040673</v>
      </c>
      <c r="F266" s="383">
        <f t="shared" si="78"/>
        <v>18.059257928682189</v>
      </c>
      <c r="G266" s="110">
        <f t="shared" si="101"/>
        <v>0.35798205206373507</v>
      </c>
      <c r="H266" s="412" t="b">
        <f>Wh_hp&gt;='2024'!Maxi_hp</f>
        <v>0</v>
      </c>
      <c r="I266" s="388">
        <f>IF(H266,Wh_hp,'2024'!Maxi_hp)</f>
        <v>49.53769434119436</v>
      </c>
      <c r="J266" s="85">
        <f>IF(H266,An,'2024'!An_max)</f>
        <v>2020</v>
      </c>
      <c r="K266" s="197">
        <f t="shared" si="79"/>
        <v>45909</v>
      </c>
      <c r="L266" s="147">
        <f>IF(t&lt;Tvie,1-EXP((T0-t)*PertePVj)+'2024'!Pspv,1-EXP((T0-t)*PertePVj)+Pspv)</f>
        <v>4.5576228952520337E-2</v>
      </c>
      <c r="M266" s="832"/>
      <c r="N266" s="832"/>
      <c r="O266" s="48">
        <f>IF(t&lt;Tnet,'2024'!Resal+('2024'!Salim-'2024'!Resal)*(1-EXP(('2024'!Tnet-t)/('2024'!Tau_j))),Resal+(Salim-Resal)*(1-EXP((Tnet-t)/(Tau_j))))*Salcycl</f>
        <v>2.0810857176055481E-2</v>
      </c>
      <c r="P266" s="169">
        <f>(INDEX(Models!$BJ266:$BT266,,T266)*(1-R266)+INDEX(Models!$BJ266:$BT266,,T266+1)*R266-ERP_i)*Q266*Ramure*Pc/MaxiM</f>
        <v>9.8384718029453679E-3</v>
      </c>
      <c r="Q266" s="304">
        <f t="shared" si="80"/>
        <v>0.7</v>
      </c>
      <c r="R266" s="177">
        <f t="shared" si="81"/>
        <v>0.52543741078410644</v>
      </c>
      <c r="S266" s="799">
        <f t="shared" si="82"/>
        <v>1</v>
      </c>
      <c r="T266" s="176">
        <f t="shared" si="83"/>
        <v>7</v>
      </c>
      <c r="U266" s="250">
        <f t="shared" si="84"/>
        <v>1.5254374107841064</v>
      </c>
      <c r="V266" s="382">
        <f t="shared" si="85"/>
        <v>46.682330887582047</v>
      </c>
      <c r="W266" s="400">
        <f t="shared" si="86"/>
        <v>16.862961249018028</v>
      </c>
      <c r="X266" s="157">
        <f t="shared" si="87"/>
        <v>45909</v>
      </c>
      <c r="Y266" s="383">
        <f t="shared" si="88"/>
        <v>16.064624672206474</v>
      </c>
      <c r="Z266" s="383">
        <f t="shared" si="89"/>
        <v>16.831752476759412</v>
      </c>
      <c r="AA266" s="384">
        <f t="shared" si="90"/>
        <v>18.043142958194768</v>
      </c>
      <c r="AB266" s="197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6.7138551428767027E-2</v>
      </c>
      <c r="AD266" s="230">
        <f>(INDEX(Models!$BJ266:$BT266,,AH266)*(1-AF266)+INDEX(Models!$BJ266:$BT266,,AH266+1)*AF266-ERP_i)*AE266*Ramure*Pc/MaxiM</f>
        <v>1.0201831671021573E-2</v>
      </c>
      <c r="AE266" s="304">
        <f t="shared" si="92"/>
        <v>0.7</v>
      </c>
      <c r="AF266" s="177">
        <f t="shared" si="93"/>
        <v>0.58976963304393859</v>
      </c>
      <c r="AG266" s="799">
        <f t="shared" si="99"/>
        <v>1</v>
      </c>
      <c r="AH266" s="176">
        <f t="shared" si="94"/>
        <v>7</v>
      </c>
      <c r="AI266" s="224">
        <f t="shared" si="95"/>
        <v>1.5897696330439386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45910</v>
      </c>
      <c r="B267" s="409">
        <f>'2024'!Wh/'2024'!Env_an*'2025'!Env_an</f>
        <v>44.257549131386575</v>
      </c>
      <c r="C267" s="829"/>
      <c r="D267" s="391">
        <f t="shared" si="77"/>
        <v>46.371851452212823</v>
      </c>
      <c r="E267" s="383">
        <f t="shared" si="100"/>
        <v>47.361806308307102</v>
      </c>
      <c r="F267" s="383">
        <f t="shared" si="78"/>
        <v>47.803915210193715</v>
      </c>
      <c r="G267" s="110">
        <f t="shared" si="101"/>
        <v>0.95173719293501047</v>
      </c>
      <c r="H267" s="412" t="b">
        <f>Wh_hp&gt;='2024'!Maxi_hp</f>
        <v>0</v>
      </c>
      <c r="I267" s="388">
        <f>IF(H267,Wh_hp,'2024'!Maxi_hp)</f>
        <v>47.822346507728497</v>
      </c>
      <c r="J267" s="85">
        <f>IF(H267,An,'2024'!An_max)</f>
        <v>2022</v>
      </c>
      <c r="K267" s="197">
        <f t="shared" si="79"/>
        <v>45910</v>
      </c>
      <c r="L267" s="147">
        <f>IF(t&lt;Tvie,1-EXP((T0-t)*PertePVj)+'2024'!Pspv,1-EXP((T0-t)*PertePVj)+Pspv)</f>
        <v>4.5594520266353356E-2</v>
      </c>
      <c r="M267" s="832"/>
      <c r="N267" s="832"/>
      <c r="O267" s="48">
        <f>IF(t&lt;Tnet,'2024'!Resal+('2024'!Salim-'2024'!Resal)*(1-EXP(('2024'!Tnet-t)/('2024'!Tau_j))),Resal+(Salim-Resal)*(1-EXP((Tnet-t)/(Tau_j))))*Salcycl</f>
        <v>2.090196580869522E-2</v>
      </c>
      <c r="P267" s="169">
        <f>(INDEX(Models!$BJ267:$BT267,,T267)*(1-R267)+INDEX(Models!$BJ267:$BT267,,T267+1)*R267-ERP_i)*Q267*Ramure*Pc/MaxiM</f>
        <v>9.9233697012051578E-3</v>
      </c>
      <c r="Q267" s="304">
        <f t="shared" si="80"/>
        <v>0.7</v>
      </c>
      <c r="R267" s="177">
        <f t="shared" si="81"/>
        <v>0.52580349399023851</v>
      </c>
      <c r="S267" s="799">
        <f t="shared" si="82"/>
        <v>1</v>
      </c>
      <c r="T267" s="176">
        <f t="shared" si="83"/>
        <v>7</v>
      </c>
      <c r="U267" s="250">
        <f t="shared" si="84"/>
        <v>1.5258034939902385</v>
      </c>
      <c r="V267" s="382">
        <f t="shared" si="85"/>
        <v>46.470178249208438</v>
      </c>
      <c r="W267" s="400">
        <f t="shared" si="86"/>
        <v>44.257549131386575</v>
      </c>
      <c r="X267" s="157">
        <f t="shared" si="87"/>
        <v>45910</v>
      </c>
      <c r="Y267" s="383">
        <f t="shared" si="88"/>
        <v>42.151917444942697</v>
      </c>
      <c r="Z267" s="383">
        <f t="shared" si="89"/>
        <v>44.165628069011468</v>
      </c>
      <c r="AA267" s="384">
        <f t="shared" si="90"/>
        <v>47.345751947610346</v>
      </c>
      <c r="AB267" s="197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6.7168093182209662E-2</v>
      </c>
      <c r="AD267" s="230">
        <f>(INDEX(Models!$BJ267:$BT267,,AH267)*(1-AF267)+INDEX(Models!$BJ267:$BT267,,AH267+1)*AF267-ERP_i)*AE267*Ramure*Pc/MaxiM</f>
        <v>1.028371837509654E-2</v>
      </c>
      <c r="AE267" s="304">
        <f t="shared" si="92"/>
        <v>0.7</v>
      </c>
      <c r="AF267" s="177">
        <f t="shared" si="93"/>
        <v>0.59013571625007066</v>
      </c>
      <c r="AG267" s="799">
        <f t="shared" si="99"/>
        <v>1</v>
      </c>
      <c r="AH267" s="176">
        <f t="shared" si="94"/>
        <v>7</v>
      </c>
      <c r="AI267" s="224">
        <f t="shared" si="95"/>
        <v>1.5901357162500707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45911</v>
      </c>
      <c r="B268" s="409">
        <f>'2024'!Wh/'2024'!Env_an*'2025'!Env_an</f>
        <v>46.490991440171918</v>
      </c>
      <c r="C268" s="829"/>
      <c r="D268" s="391">
        <f t="shared" si="77"/>
        <v>48.712924887509395</v>
      </c>
      <c r="E268" s="383">
        <f t="shared" si="100"/>
        <v>49.757473097145301</v>
      </c>
      <c r="F268" s="383">
        <f t="shared" si="78"/>
        <v>50.258801282332193</v>
      </c>
      <c r="G268" s="110">
        <f t="shared" si="101"/>
        <v>1.0050665759483837</v>
      </c>
      <c r="H268" s="412" t="b">
        <f>Wh_hp&gt;='2024'!Maxi_hp</f>
        <v>1</v>
      </c>
      <c r="I268" s="388">
        <f>IF(H268,Wh_hp,'2024'!Maxi_hp)</f>
        <v>50.258801282332193</v>
      </c>
      <c r="J268" s="85">
        <f>IF(H268,An,'2024'!An_max)</f>
        <v>2025</v>
      </c>
      <c r="K268" s="197">
        <f t="shared" si="79"/>
        <v>45911</v>
      </c>
      <c r="L268" s="147">
        <f>IF(t&lt;Tvie,1-EXP((T0-t)*PertePVj)+'2024'!Pspv,1-EXP((T0-t)*PertePVj)+Pspv)</f>
        <v>4.5612811229637562E-2</v>
      </c>
      <c r="M268" s="832"/>
      <c r="N268" s="832"/>
      <c r="O268" s="48">
        <f>IF(t&lt;Tnet,'2024'!Resal+('2024'!Salim-'2024'!Resal)*(1-EXP(('2024'!Tnet-t)/('2024'!Tau_j))),Resal+(Salim-Resal)*(1-EXP((Tnet-t)/(Tau_j))))*Salcycl</f>
        <v>2.0992790522069985E-2</v>
      </c>
      <c r="P268" s="169">
        <f>(INDEX(Models!$BJ268:$BT268,,T268)*(1-R268)+INDEX(Models!$BJ268:$BT268,,T268+1)*R268-ERP_i)*Q268*Ramure*Pc/MaxiM</f>
        <v>9.9749331937036678E-3</v>
      </c>
      <c r="Q268" s="304">
        <f t="shared" si="80"/>
        <v>0.7</v>
      </c>
      <c r="R268" s="177">
        <f t="shared" si="81"/>
        <v>0.52615548222330788</v>
      </c>
      <c r="S268" s="799">
        <f t="shared" si="82"/>
        <v>1</v>
      </c>
      <c r="T268" s="176">
        <f t="shared" si="83"/>
        <v>7</v>
      </c>
      <c r="U268" s="250">
        <f t="shared" si="84"/>
        <v>1.5261554822233079</v>
      </c>
      <c r="V268" s="382">
        <f t="shared" si="85"/>
        <v>46.256628717657719</v>
      </c>
      <c r="W268" s="400">
        <f t="shared" si="86"/>
        <v>46.490991440171918</v>
      </c>
      <c r="X268" s="157">
        <f t="shared" si="87"/>
        <v>45911</v>
      </c>
      <c r="Y268" s="383">
        <f t="shared" si="88"/>
        <v>44.280906072077791</v>
      </c>
      <c r="Z268" s="383">
        <f t="shared" si="89"/>
        <v>46.397213408878159</v>
      </c>
      <c r="AA268" s="384">
        <f t="shared" si="90"/>
        <v>49.739568949284994</v>
      </c>
      <c r="AB268" s="197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6.7197115114019948E-2</v>
      </c>
      <c r="AD268" s="230">
        <f>(INDEX(Models!$BJ268:$BT268,,AH268)*(1-AF268)+INDEX(Models!$BJ268:$BT268,,AH268+1)*AF268-ERP_i)*AE268*Ramure*Pc/MaxiM</f>
        <v>1.0331172248426269E-2</v>
      </c>
      <c r="AE268" s="304">
        <f t="shared" si="92"/>
        <v>0.7</v>
      </c>
      <c r="AF268" s="177">
        <f t="shared" si="93"/>
        <v>0.59048770448314003</v>
      </c>
      <c r="AG268" s="799">
        <f t="shared" si="99"/>
        <v>1</v>
      </c>
      <c r="AH268" s="176">
        <f t="shared" si="94"/>
        <v>7</v>
      </c>
      <c r="AI268" s="224">
        <f t="shared" si="95"/>
        <v>1.59048770448314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45912</v>
      </c>
      <c r="B269" s="409">
        <f>'2024'!Wh/'2024'!Env_an*'2025'!Env_an</f>
        <v>35.816815370539281</v>
      </c>
      <c r="C269" s="829"/>
      <c r="D269" s="391">
        <f t="shared" si="77"/>
        <v>37.529319574100263</v>
      </c>
      <c r="E269" s="383">
        <f t="shared" si="100"/>
        <v>38.337603690204624</v>
      </c>
      <c r="F269" s="383">
        <f t="shared" si="78"/>
        <v>38.601178014261365</v>
      </c>
      <c r="G269" s="110">
        <f t="shared" si="101"/>
        <v>0.77544109138981976</v>
      </c>
      <c r="H269" s="412" t="b">
        <f>Wh_hp&gt;='2024'!Maxi_hp</f>
        <v>0</v>
      </c>
      <c r="I269" s="388">
        <f>IF(H269,Wh_hp,'2024'!Maxi_hp)</f>
        <v>50.45491962020855</v>
      </c>
      <c r="J269" s="85">
        <f>IF(H269,An,'2024'!An_max)</f>
        <v>2018</v>
      </c>
      <c r="K269" s="197">
        <f t="shared" si="79"/>
        <v>45912</v>
      </c>
      <c r="L269" s="147">
        <f>IF(t&lt;Tvie,1-EXP((T0-t)*PertePVj)+'2024'!Pspv,1-EXP((T0-t)*PertePVj)+Pspv)</f>
        <v>4.5631101842379729E-2</v>
      </c>
      <c r="M269" s="832"/>
      <c r="N269" s="832"/>
      <c r="O269" s="48">
        <f>IF(t&lt;Tnet,'2024'!Resal+('2024'!Salim-'2024'!Resal)*(1-EXP(('2024'!Tnet-t)/('2024'!Tau_j))),Resal+(Salim-Resal)*(1-EXP((Tnet-t)/(Tau_j))))*Salcycl</f>
        <v>2.1083323898798505E-2</v>
      </c>
      <c r="P269" s="169">
        <f>(INDEX(Models!$BJ269:$BT269,,T269)*(1-R269)+INDEX(Models!$BJ269:$BT269,,T269+1)*R269-ERP_i)*Q269*Ramure*Pc/MaxiM</f>
        <v>1.0000914270282124E-2</v>
      </c>
      <c r="Q269" s="304">
        <f t="shared" si="80"/>
        <v>0.7</v>
      </c>
      <c r="R269" s="177">
        <f t="shared" si="81"/>
        <v>0.52649389372857747</v>
      </c>
      <c r="S269" s="799">
        <f t="shared" si="82"/>
        <v>1</v>
      </c>
      <c r="T269" s="176">
        <f t="shared" si="83"/>
        <v>7</v>
      </c>
      <c r="U269" s="250">
        <f t="shared" si="84"/>
        <v>1.5264938937285775</v>
      </c>
      <c r="V269" s="382">
        <f t="shared" si="85"/>
        <v>46.04140261905571</v>
      </c>
      <c r="W269" s="400">
        <f t="shared" si="86"/>
        <v>35.816815370539281</v>
      </c>
      <c r="X269" s="157">
        <f t="shared" si="87"/>
        <v>45912</v>
      </c>
      <c r="Y269" s="383">
        <f t="shared" si="88"/>
        <v>34.120306212020779</v>
      </c>
      <c r="Z269" s="383">
        <f t="shared" si="89"/>
        <v>35.75169546900468</v>
      </c>
      <c r="AA269" s="384">
        <f t="shared" si="90"/>
        <v>38.328341138482841</v>
      </c>
      <c r="AB269" s="197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6.7225598419941204E-2</v>
      </c>
      <c r="AD269" s="230">
        <f>(INDEX(Models!$BJ269:$BT269,,AH269)*(1-AF269)+INDEX(Models!$BJ269:$BT269,,AH269+1)*AF269-ERP_i)*AE269*Ramure*Pc/MaxiM</f>
        <v>1.0352367265656765E-2</v>
      </c>
      <c r="AE269" s="304">
        <f t="shared" si="92"/>
        <v>0.7</v>
      </c>
      <c r="AF269" s="177">
        <f t="shared" si="93"/>
        <v>0.59082611598840962</v>
      </c>
      <c r="AG269" s="799">
        <f t="shared" si="99"/>
        <v>1</v>
      </c>
      <c r="AH269" s="176">
        <f t="shared" si="94"/>
        <v>7</v>
      </c>
      <c r="AI269" s="224">
        <f t="shared" si="95"/>
        <v>1.5908261159884096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45913</v>
      </c>
      <c r="B270" s="409">
        <f>'2024'!Wh/'2024'!Env_an*'2025'!Env_an</f>
        <v>11.304908983693858</v>
      </c>
      <c r="C270" s="829"/>
      <c r="D270" s="391">
        <f t="shared" si="77"/>
        <v>11.84565597817773</v>
      </c>
      <c r="E270" s="383">
        <f t="shared" si="100"/>
        <v>12.101896181535427</v>
      </c>
      <c r="F270" s="383">
        <f t="shared" si="78"/>
        <v>12.101896181535427</v>
      </c>
      <c r="G270" s="110">
        <f t="shared" si="101"/>
        <v>0.24423232615938864</v>
      </c>
      <c r="H270" s="412" t="b">
        <f>Wh_hp&gt;='2024'!Maxi_hp</f>
        <v>0</v>
      </c>
      <c r="I270" s="388">
        <f>IF(H270,Wh_hp,'2024'!Maxi_hp)</f>
        <v>48.157798418886934</v>
      </c>
      <c r="J270" s="85">
        <f>IF(H270,An,'2024'!An_max)</f>
        <v>2020</v>
      </c>
      <c r="K270" s="197">
        <f t="shared" si="79"/>
        <v>45913</v>
      </c>
      <c r="L270" s="147">
        <f>IF(t&lt;Tvie,1-EXP((T0-t)*PertePVj)+'2024'!Pspv,1-EXP((T0-t)*PertePVj)+Pspv)</f>
        <v>4.5649392104586295E-2</v>
      </c>
      <c r="M270" s="832"/>
      <c r="N270" s="832"/>
      <c r="O270" s="48">
        <f>IF(t&lt;Tnet,'2024'!Resal+('2024'!Salim-'2024'!Resal)*(1-EXP(('2024'!Tnet-t)/('2024'!Tau_j))),Resal+(Salim-Resal)*(1-EXP((Tnet-t)/(Tau_j))))*Salcycl</f>
        <v>2.1173558218806874E-2</v>
      </c>
      <c r="P270" s="169">
        <f>(INDEX(Models!$BJ270:$BT270,,T270)*(1-R270)+INDEX(Models!$BJ270:$BT270,,T270+1)*R270-ERP_i)*Q270*Ramure*Pc/MaxiM</f>
        <v>1.000097354687597E-2</v>
      </c>
      <c r="Q270" s="304">
        <f t="shared" si="80"/>
        <v>0.7</v>
      </c>
      <c r="R270" s="177">
        <f t="shared" si="81"/>
        <v>0.52681922959114535</v>
      </c>
      <c r="S270" s="799">
        <f t="shared" si="82"/>
        <v>1</v>
      </c>
      <c r="T270" s="176">
        <f t="shared" si="83"/>
        <v>7</v>
      </c>
      <c r="U270" s="250">
        <f t="shared" si="84"/>
        <v>1.5268192295911454</v>
      </c>
      <c r="V270" s="382">
        <f t="shared" si="85"/>
        <v>45.82460096086615</v>
      </c>
      <c r="W270" s="400">
        <f t="shared" si="86"/>
        <v>11.304908983693858</v>
      </c>
      <c r="X270" s="157">
        <f t="shared" si="87"/>
        <v>45913</v>
      </c>
      <c r="Y270" s="383">
        <f t="shared" si="88"/>
        <v>10.772710636392423</v>
      </c>
      <c r="Z270" s="383">
        <f t="shared" si="89"/>
        <v>11.288001021080706</v>
      </c>
      <c r="AA270" s="384">
        <f t="shared" si="90"/>
        <v>12.101896181535427</v>
      </c>
      <c r="AB270" s="197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6.7253523600419571E-2</v>
      </c>
      <c r="AD270" s="230">
        <f>(INDEX(Models!$BJ270:$BT270,,AH270)*(1-AF270)+INDEX(Models!$BJ270:$BT270,,AH270+1)*AF270-ERP_i)*AE270*Ramure*Pc/MaxiM</f>
        <v>1.0346954153683599E-2</v>
      </c>
      <c r="AE270" s="304">
        <f t="shared" si="92"/>
        <v>0.7</v>
      </c>
      <c r="AF270" s="177">
        <f t="shared" si="93"/>
        <v>0.59115145185097751</v>
      </c>
      <c r="AG270" s="799">
        <f t="shared" si="99"/>
        <v>1</v>
      </c>
      <c r="AH270" s="176">
        <f t="shared" si="94"/>
        <v>7</v>
      </c>
      <c r="AI270" s="224">
        <f t="shared" si="95"/>
        <v>1.5911514518509775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45914</v>
      </c>
      <c r="B271" s="409">
        <f>'2024'!Wh/'2024'!Env_an*'2025'!Env_an</f>
        <v>37.921566444783423</v>
      </c>
      <c r="C271" s="829"/>
      <c r="D271" s="391">
        <f t="shared" ref="D271:D334" si="102">Wh/(1-Ppv)</f>
        <v>39.736227863373799</v>
      </c>
      <c r="E271" s="383">
        <f t="shared" si="100"/>
        <v>40.599515061589003</v>
      </c>
      <c r="F271" s="383">
        <f t="shared" ref="F271:F334" si="103">Wh_sa/(1-Pvg*MEDIAN((-Sdif+Wh/Env_an)/Csdif,0,1))</f>
        <v>40.909348695727694</v>
      </c>
      <c r="G271" s="110">
        <f t="shared" si="101"/>
        <v>0.82948623112800857</v>
      </c>
      <c r="H271" s="412" t="b">
        <f>Wh_hp&gt;='2024'!Maxi_hp</f>
        <v>0</v>
      </c>
      <c r="I271" s="388">
        <f>IF(H271,Wh_hp,'2024'!Maxi_hp)</f>
        <v>47.866073313841895</v>
      </c>
      <c r="J271" s="85">
        <f>IF(H271,An,'2024'!An_max)</f>
        <v>2020</v>
      </c>
      <c r="K271" s="197">
        <f t="shared" ref="K271:K334" si="104">t</f>
        <v>45914</v>
      </c>
      <c r="L271" s="147">
        <f>IF(t&lt;Tvie,1-EXP((T0-t)*PertePVj)+'2024'!Pspv,1-EXP((T0-t)*PertePVj)+Pspv)</f>
        <v>4.5667682016264255E-2</v>
      </c>
      <c r="M271" s="832"/>
      <c r="N271" s="832"/>
      <c r="O271" s="48">
        <f>IF(t&lt;Tnet,'2024'!Resal+('2024'!Salim-'2024'!Resal)*(1-EXP(('2024'!Tnet-t)/('2024'!Tau_j))),Resal+(Salim-Resal)*(1-EXP((Tnet-t)/(Tau_j))))*Salcycl</f>
        <v>2.1263485460494013E-2</v>
      </c>
      <c r="P271" s="169">
        <f>(INDEX(Models!$BJ271:$BT271,,T271)*(1-R271)+INDEX(Models!$BJ271:$BT271,,T271+1)*R271-ERP_i)*Q271*Ramure*Pc/MaxiM</f>
        <v>9.9747592533977556E-3</v>
      </c>
      <c r="Q271" s="304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0.52713197415469404</v>
      </c>
      <c r="S271" s="799">
        <f t="shared" ref="S271:S334" si="107">INDEX(Echel_vg,T271)</f>
        <v>1</v>
      </c>
      <c r="T271" s="176">
        <f t="shared" ref="T271:T334" si="108">MIN(MATCH(Hp_vg,Echel_vg),10)</f>
        <v>7</v>
      </c>
      <c r="U271" s="250">
        <f t="shared" ref="U271:U334" si="109">IF(OR(t&lt;Ttai,Notai),Hdd+PousH*Croivg,Hdtf+PousH*(Croivg-Croi_tai))</f>
        <v>1.527131974154694</v>
      </c>
      <c r="V271" s="382">
        <f t="shared" ref="V271:V334" si="110">MaxiM*(1-Ppv)*(1-Pvg)*(1-Psa)</f>
        <v>45.606324537674325</v>
      </c>
      <c r="W271" s="400">
        <f t="shared" ref="W271:W334" si="111">Wh*(A271&gt;Tmaj)</f>
        <v>37.921566444783423</v>
      </c>
      <c r="X271" s="157">
        <f t="shared" ref="X271:X334" si="112">t</f>
        <v>45914</v>
      </c>
      <c r="Y271" s="383">
        <f t="shared" ref="Y271:Y334" si="113">Wh_pvt_s*(1-Ppv)</f>
        <v>36.129207712456243</v>
      </c>
      <c r="Z271" s="383">
        <f t="shared" ref="Z271:Z334" si="114">Wh_sa_s*(1-Psa_s)</f>
        <v>37.858099355566388</v>
      </c>
      <c r="AA271" s="384">
        <f t="shared" ref="AA271:AA334" si="115">Wh_hp*(1-Pvg_s*MEDIAN((-Sdif+Wh/Env_an)/Csdif,0,1))</f>
        <v>40.58895991002921</v>
      </c>
      <c r="AB271" s="197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6.7280870476014637E-2</v>
      </c>
      <c r="AD271" s="230">
        <f>(INDEX(Models!$BJ271:$BT271,,AH271)*(1-AF271)+INDEX(Models!$BJ271:$BT271,,AH271+1)*AF271-ERP_i)*AE271*Ramure*Pc/MaxiM</f>
        <v>1.0314570959072497E-2</v>
      </c>
      <c r="AE271" s="304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0.59146419641452619</v>
      </c>
      <c r="AG271" s="799">
        <f t="shared" si="99"/>
        <v>1</v>
      </c>
      <c r="AH271" s="176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1.5914641964145262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45915</v>
      </c>
      <c r="B272" s="409">
        <f>'2024'!Wh/'2024'!Env_an*'2025'!Env_an</f>
        <v>42.383973710368835</v>
      </c>
      <c r="C272" s="829"/>
      <c r="D272" s="391">
        <f t="shared" si="102"/>
        <v>44.413025951663776</v>
      </c>
      <c r="E272" s="383">
        <f t="shared" si="100"/>
        <v>45.382073789196141</v>
      </c>
      <c r="F272" s="383">
        <f t="shared" si="103"/>
        <v>45.793490347418988</v>
      </c>
      <c r="G272" s="110">
        <f t="shared" si="101"/>
        <v>0.93295817350085986</v>
      </c>
      <c r="H272" s="412" t="b">
        <f>Wh_hp&gt;='2024'!Maxi_hp</f>
        <v>0</v>
      </c>
      <c r="I272" s="388">
        <f>IF(H272,Wh_hp,'2024'!Maxi_hp)</f>
        <v>49.308768016515323</v>
      </c>
      <c r="J272" s="85">
        <f>IF(H272,An,'2024'!An_max)</f>
        <v>2020</v>
      </c>
      <c r="K272" s="197">
        <f t="shared" si="104"/>
        <v>45915</v>
      </c>
      <c r="L272" s="147">
        <f>IF(t&lt;Tvie,1-EXP((T0-t)*PertePVj)+'2024'!Pspv,1-EXP((T0-t)*PertePVj)+Pspv)</f>
        <v>4.568597157742027E-2</v>
      </c>
      <c r="M272" s="832"/>
      <c r="N272" s="832"/>
      <c r="O272" s="48">
        <f>IF(t&lt;Tnet,'2024'!Resal+('2024'!Salim-'2024'!Resal)*(1-EXP(('2024'!Tnet-t)/('2024'!Tau_j))),Resal+(Salim-Resal)*(1-EXP((Tnet-t)/(Tau_j))))*Salcycl</f>
        <v>2.1353097305197598E-2</v>
      </c>
      <c r="P272" s="169">
        <f>(INDEX(Models!$BJ272:$BT272,,T272)*(1-R272)+INDEX(Models!$BJ272:$BT272,,T272+1)*R272-ERP_i)*Q272*Ramure*Pc/MaxiM</f>
        <v>9.9219075815812092E-3</v>
      </c>
      <c r="Q272" s="304">
        <f t="shared" si="105"/>
        <v>0.7</v>
      </c>
      <c r="R272" s="177">
        <f t="shared" si="106"/>
        <v>0.52743259544261245</v>
      </c>
      <c r="S272" s="799">
        <f t="shared" si="107"/>
        <v>1</v>
      </c>
      <c r="T272" s="176">
        <f t="shared" si="108"/>
        <v>7</v>
      </c>
      <c r="U272" s="250">
        <f t="shared" si="109"/>
        <v>1.5274325954426125</v>
      </c>
      <c r="V272" s="382">
        <f t="shared" si="110"/>
        <v>45.386673922808406</v>
      </c>
      <c r="W272" s="400">
        <f t="shared" si="111"/>
        <v>42.383973710368835</v>
      </c>
      <c r="X272" s="157">
        <f t="shared" si="112"/>
        <v>45915</v>
      </c>
      <c r="Y272" s="383">
        <f t="shared" si="113"/>
        <v>40.381452991782695</v>
      </c>
      <c r="Z272" s="383">
        <f t="shared" si="114"/>
        <v>42.314638357072738</v>
      </c>
      <c r="AA272" s="384">
        <f t="shared" si="115"/>
        <v>45.368268448799377</v>
      </c>
      <c r="AB272" s="197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6.7307618212778614E-2</v>
      </c>
      <c r="AD272" s="230">
        <f>(INDEX(Models!$BJ272:$BT272,,AH272)*(1-AF272)+INDEX(Models!$BJ272:$BT272,,AH272+1)*AF272-ERP_i)*AE272*Ramure*Pc/MaxiM</f>
        <v>1.025484340735512E-2</v>
      </c>
      <c r="AE272" s="304">
        <f t="shared" si="117"/>
        <v>0.7</v>
      </c>
      <c r="AF272" s="177">
        <f t="shared" si="118"/>
        <v>0.5917648177024446</v>
      </c>
      <c r="AG272" s="799">
        <f t="shared" ref="AG272:AG335" si="124">INDEX(Echel_vg,AH272)</f>
        <v>1</v>
      </c>
      <c r="AH272" s="176">
        <f t="shared" si="119"/>
        <v>7</v>
      </c>
      <c r="AI272" s="224">
        <f t="shared" si="120"/>
        <v>1.5917648177024446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45916</v>
      </c>
      <c r="B273" s="409">
        <f>'2024'!Wh/'2024'!Env_an*'2025'!Env_an</f>
        <v>25.219319080079902</v>
      </c>
      <c r="C273" s="829"/>
      <c r="D273" s="391">
        <f t="shared" si="102"/>
        <v>26.427152552212075</v>
      </c>
      <c r="E273" s="383">
        <f t="shared" si="100"/>
        <v>27.006230548964371</v>
      </c>
      <c r="F273" s="383">
        <f t="shared" si="103"/>
        <v>27.10469473078555</v>
      </c>
      <c r="G273" s="110">
        <f t="shared" si="101"/>
        <v>0.55489289850744805</v>
      </c>
      <c r="H273" s="412" t="b">
        <f>Wh_hp&gt;='2024'!Maxi_hp</f>
        <v>0</v>
      </c>
      <c r="I273" s="388">
        <f>IF(H273,Wh_hp,'2024'!Maxi_hp)</f>
        <v>44.025352482191991</v>
      </c>
      <c r="J273" s="85">
        <f>IF(H273,An,'2024'!An_max)</f>
        <v>2018</v>
      </c>
      <c r="K273" s="197">
        <f t="shared" si="104"/>
        <v>45916</v>
      </c>
      <c r="L273" s="147">
        <f>IF(t&lt;Tvie,1-EXP((T0-t)*PertePVj)+'2024'!Pspv,1-EXP((T0-t)*PertePVj)+Pspv)</f>
        <v>4.5704260788061002E-2</v>
      </c>
      <c r="M273" s="832"/>
      <c r="N273" s="832"/>
      <c r="O273" s="48">
        <f>IF(t&lt;Tnet,'2024'!Resal+('2024'!Salim-'2024'!Resal)*(1-EXP(('2024'!Tnet-t)/('2024'!Tau_j))),Resal+(Salim-Resal)*(1-EXP((Tnet-t)/(Tau_j))))*Salcycl</f>
        <v>2.1442385145249408E-2</v>
      </c>
      <c r="P273" s="169">
        <f>(INDEX(Models!$BJ273:$BT273,,T273)*(1-R273)+INDEX(Models!$BJ273:$BT273,,T273+1)*R273-ERP_i)*Q273*Ramure*Pc/MaxiM</f>
        <v>9.8420430747587825E-3</v>
      </c>
      <c r="Q273" s="304">
        <f t="shared" si="105"/>
        <v>0.7</v>
      </c>
      <c r="R273" s="177">
        <f t="shared" si="106"/>
        <v>0.52772154558012896</v>
      </c>
      <c r="S273" s="799">
        <f t="shared" si="107"/>
        <v>1</v>
      </c>
      <c r="T273" s="176">
        <f t="shared" si="108"/>
        <v>7</v>
      </c>
      <c r="U273" s="250">
        <f t="shared" si="109"/>
        <v>1.527721545580129</v>
      </c>
      <c r="V273" s="382">
        <f t="shared" si="110"/>
        <v>45.165749450753545</v>
      </c>
      <c r="W273" s="400">
        <f t="shared" si="111"/>
        <v>25.219319080079902</v>
      </c>
      <c r="X273" s="157">
        <f t="shared" si="112"/>
        <v>45916</v>
      </c>
      <c r="Y273" s="383">
        <f t="shared" si="113"/>
        <v>24.033713161508288</v>
      </c>
      <c r="Z273" s="383">
        <f t="shared" si="114"/>
        <v>25.184764192026488</v>
      </c>
      <c r="AA273" s="384">
        <f t="shared" si="115"/>
        <v>27.002975680406013</v>
      </c>
      <c r="AB273" s="197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6.7333745358251748E-2</v>
      </c>
      <c r="AD273" s="230">
        <f>(INDEX(Models!$BJ273:$BT273,,AH273)*(1-AF273)+INDEX(Models!$BJ273:$BT273,,AH273+1)*AF273-ERP_i)*AE273*Ramure*Pc/MaxiM</f>
        <v>1.0167385305420803E-2</v>
      </c>
      <c r="AE273" s="304">
        <f t="shared" si="117"/>
        <v>0.7</v>
      </c>
      <c r="AF273" s="177">
        <f t="shared" si="118"/>
        <v>0.59205376783996111</v>
      </c>
      <c r="AG273" s="799">
        <f t="shared" si="124"/>
        <v>1</v>
      </c>
      <c r="AH273" s="176">
        <f t="shared" si="119"/>
        <v>7</v>
      </c>
      <c r="AI273" s="224">
        <f t="shared" si="120"/>
        <v>1.5920537678399611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45917</v>
      </c>
      <c r="B274" s="409">
        <f>'2024'!Wh/'2024'!Env_an*'2025'!Env_an</f>
        <v>46.426436391909419</v>
      </c>
      <c r="C274" s="829"/>
      <c r="D274" s="391">
        <f t="shared" si="102"/>
        <v>48.650878604323829</v>
      </c>
      <c r="E274" s="383">
        <f t="shared" si="100"/>
        <v>49.721448011519477</v>
      </c>
      <c r="F274" s="383">
        <f t="shared" si="103"/>
        <v>50.210233541506348</v>
      </c>
      <c r="G274" s="110">
        <f t="shared" si="101"/>
        <v>1.0329920945130593</v>
      </c>
      <c r="H274" s="412" t="b">
        <f>Wh_hp&gt;='2024'!Maxi_hp</f>
        <v>0</v>
      </c>
      <c r="I274" s="388">
        <f>IF(H274,Wh_hp,'2024'!Maxi_hp)</f>
        <v>50.210233541506355</v>
      </c>
      <c r="J274" s="85">
        <f>IF(H274,An,'2024'!An_max)</f>
        <v>2024</v>
      </c>
      <c r="K274" s="197">
        <f t="shared" si="104"/>
        <v>45917</v>
      </c>
      <c r="L274" s="147">
        <f>IF(t&lt;Tvie,1-EXP((T0-t)*PertePVj)+'2024'!Pspv,1-EXP((T0-t)*PertePVj)+Pspv)</f>
        <v>4.5722549648193112E-2</v>
      </c>
      <c r="M274" s="832"/>
      <c r="N274" s="832"/>
      <c r="O274" s="48">
        <f>IF(t&lt;Tnet,'2024'!Resal+('2024'!Salim-'2024'!Resal)*(1-EXP(('2024'!Tnet-t)/('2024'!Tau_j))),Resal+(Salim-Resal)*(1-EXP((Tnet-t)/(Tau_j))))*Salcycl</f>
        <v>2.153134009588014E-2</v>
      </c>
      <c r="P274" s="169">
        <f>(INDEX(Models!$BJ274:$BT274,,T274)*(1-R274)+INDEX(Models!$BJ274:$BT274,,T274+1)*R274-ERP_i)*Q274*Ramure*Pc/MaxiM</f>
        <v>9.7347790581937786E-3</v>
      </c>
      <c r="Q274" s="304">
        <f t="shared" si="105"/>
        <v>0.7</v>
      </c>
      <c r="R274" s="177">
        <f t="shared" si="106"/>
        <v>0.52799926121620766</v>
      </c>
      <c r="S274" s="799">
        <f t="shared" si="107"/>
        <v>1</v>
      </c>
      <c r="T274" s="176">
        <f t="shared" si="108"/>
        <v>7</v>
      </c>
      <c r="U274" s="250">
        <f t="shared" si="109"/>
        <v>1.5279992612162077</v>
      </c>
      <c r="V274" s="382">
        <f t="shared" si="110"/>
        <v>44.943651203637053</v>
      </c>
      <c r="W274" s="400">
        <f t="shared" si="111"/>
        <v>46.426436391909419</v>
      </c>
      <c r="X274" s="157">
        <f t="shared" si="112"/>
        <v>45917</v>
      </c>
      <c r="Y274" s="383">
        <f t="shared" si="113"/>
        <v>44.237825408760749</v>
      </c>
      <c r="Z274" s="383">
        <f t="shared" si="114"/>
        <v>46.357404120208329</v>
      </c>
      <c r="AA274" s="384">
        <f t="shared" si="115"/>
        <v>49.705530366929807</v>
      </c>
      <c r="AB274" s="197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6.7359229888613273E-2</v>
      </c>
      <c r="AD274" s="230">
        <f>(INDEX(Models!$BJ274:$BT274,,AH274)*(1-AF274)+INDEX(Models!$BJ274:$BT274,,AH274+1)*AF274-ERP_i)*AE274*Ramure*Pc/MaxiM</f>
        <v>1.0051798985545949E-2</v>
      </c>
      <c r="AE274" s="304">
        <f t="shared" si="117"/>
        <v>0.7</v>
      </c>
      <c r="AF274" s="177">
        <f t="shared" si="118"/>
        <v>0.59233148347603981</v>
      </c>
      <c r="AG274" s="799">
        <f t="shared" si="124"/>
        <v>1</v>
      </c>
      <c r="AH274" s="176">
        <f t="shared" si="119"/>
        <v>7</v>
      </c>
      <c r="AI274" s="224">
        <f t="shared" si="120"/>
        <v>1.5923314834760398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45918</v>
      </c>
      <c r="B275" s="409">
        <f>'2024'!Wh/'2024'!Env_an*'2025'!Env_an</f>
        <v>45.697371647110181</v>
      </c>
      <c r="C275" s="829"/>
      <c r="D275" s="391">
        <f t="shared" si="102"/>
        <v>47.887799744979553</v>
      </c>
      <c r="E275" s="383">
        <f t="shared" si="100"/>
        <v>48.946010185270808</v>
      </c>
      <c r="F275" s="383">
        <f t="shared" si="103"/>
        <v>49.42043976058256</v>
      </c>
      <c r="G275" s="110">
        <f t="shared" si="101"/>
        <v>1.0218602561464745</v>
      </c>
      <c r="H275" s="412" t="b">
        <f>Wh_hp&gt;='2024'!Maxi_hp</f>
        <v>1</v>
      </c>
      <c r="I275" s="388">
        <f>IF(H275,Wh_hp,'2024'!Maxi_hp)</f>
        <v>49.42043976058256</v>
      </c>
      <c r="J275" s="85">
        <f>IF(H275,An,'2024'!An_max)</f>
        <v>2025</v>
      </c>
      <c r="K275" s="197">
        <f t="shared" si="104"/>
        <v>45918</v>
      </c>
      <c r="L275" s="147">
        <f>IF(t&lt;Tvie,1-EXP((T0-t)*PertePVj)+'2024'!Pspv,1-EXP((T0-t)*PertePVj)+Pspv)</f>
        <v>4.5740838157823482E-2</v>
      </c>
      <c r="M275" s="832"/>
      <c r="N275" s="832"/>
      <c r="O275" s="48">
        <f>IF(t&lt;Tnet,'2024'!Resal+('2024'!Salim-'2024'!Resal)*(1-EXP(('2024'!Tnet-t)/('2024'!Tau_j))),Resal+(Salim-Resal)*(1-EXP((Tnet-t)/(Tau_j))))*Salcycl</f>
        <v>2.1619953011199691E-2</v>
      </c>
      <c r="P275" s="169">
        <f>(INDEX(Models!$BJ275:$BT275,,T275)*(1-R275)+INDEX(Models!$BJ275:$BT275,,T275+1)*R275-ERP_i)*Q275*Ramure*Pc/MaxiM</f>
        <v>9.5998655133407596E-3</v>
      </c>
      <c r="Q275" s="304">
        <f t="shared" si="105"/>
        <v>0.7</v>
      </c>
      <c r="R275" s="177">
        <f t="shared" si="106"/>
        <v>0.52826616394409376</v>
      </c>
      <c r="S275" s="799">
        <f t="shared" si="107"/>
        <v>1</v>
      </c>
      <c r="T275" s="176">
        <f t="shared" si="108"/>
        <v>7</v>
      </c>
      <c r="U275" s="250">
        <f t="shared" si="109"/>
        <v>1.5282661639440938</v>
      </c>
      <c r="V275" s="382">
        <f t="shared" si="110"/>
        <v>44.719785677387058</v>
      </c>
      <c r="W275" s="400">
        <f t="shared" si="111"/>
        <v>45.697371647110181</v>
      </c>
      <c r="X275" s="157">
        <f t="shared" si="112"/>
        <v>45918</v>
      </c>
      <c r="Y275" s="383">
        <f t="shared" si="113"/>
        <v>43.546314999363318</v>
      </c>
      <c r="Z275" s="383">
        <f t="shared" si="114"/>
        <v>45.633635746601698</v>
      </c>
      <c r="AA275" s="384">
        <f t="shared" si="115"/>
        <v>48.93079054755114</v>
      </c>
      <c r="AB275" s="197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6.7384049267408694E-2</v>
      </c>
      <c r="AD275" s="230">
        <f>(INDEX(Models!$BJ275:$BT275,,AH275)*(1-AF275)+INDEX(Models!$BJ275:$BT275,,AH275+1)*AF275-ERP_i)*AE275*Ramure*Pc/MaxiM</f>
        <v>9.9078279230927335E-3</v>
      </c>
      <c r="AE275" s="304">
        <f t="shared" si="117"/>
        <v>0.7</v>
      </c>
      <c r="AF275" s="177">
        <f t="shared" si="118"/>
        <v>0.59259838620392591</v>
      </c>
      <c r="AG275" s="799">
        <f t="shared" si="124"/>
        <v>1</v>
      </c>
      <c r="AH275" s="176">
        <f t="shared" si="119"/>
        <v>7</v>
      </c>
      <c r="AI275" s="224">
        <f t="shared" si="120"/>
        <v>1.5925983862039259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45919</v>
      </c>
      <c r="B276" s="409">
        <f>'2024'!Wh/'2024'!Env_an*'2025'!Env_an</f>
        <v>44.064923199804902</v>
      </c>
      <c r="C276" s="829"/>
      <c r="D276" s="391">
        <f t="shared" si="102"/>
        <v>46.17798756589567</v>
      </c>
      <c r="E276" s="383">
        <f t="shared" si="100"/>
        <v>47.202673323587192</v>
      </c>
      <c r="F276" s="383">
        <f t="shared" si="103"/>
        <v>47.646818869184635</v>
      </c>
      <c r="G276" s="110">
        <f t="shared" si="101"/>
        <v>0.9902494621356901</v>
      </c>
      <c r="H276" s="412" t="b">
        <f>Wh_hp&gt;='2024'!Maxi_hp</f>
        <v>0</v>
      </c>
      <c r="I276" s="388">
        <f>IF(H276,Wh_hp,'2024'!Maxi_hp)</f>
        <v>47.650088972377581</v>
      </c>
      <c r="J276" s="85">
        <f>IF(H276,An,'2024'!An_max)</f>
        <v>2022</v>
      </c>
      <c r="K276" s="197">
        <f t="shared" si="104"/>
        <v>45919</v>
      </c>
      <c r="L276" s="147">
        <f>IF(t&lt;Tvie,1-EXP((T0-t)*PertePVj)+'2024'!Pspv,1-EXP((T0-t)*PertePVj)+Pspv)</f>
        <v>4.5759126316958665E-2</v>
      </c>
      <c r="M276" s="832"/>
      <c r="N276" s="832"/>
      <c r="O276" s="48">
        <f>IF(t&lt;Tnet,'2024'!Resal+('2024'!Salim-'2024'!Resal)*(1-EXP(('2024'!Tnet-t)/('2024'!Tau_j))),Resal+(Salim-Resal)*(1-EXP((Tnet-t)/(Tau_j))))*Salcycl</f>
        <v>2.170821450444186E-2</v>
      </c>
      <c r="P276" s="169">
        <f>(INDEX(Models!$BJ276:$BT276,,T276)*(1-R276)+INDEX(Models!$BJ276:$BT276,,T276+1)*R276-ERP_i)*Q276*Ramure*Pc/MaxiM</f>
        <v>9.4515201564836469E-3</v>
      </c>
      <c r="Q276" s="304">
        <f t="shared" si="105"/>
        <v>0.7</v>
      </c>
      <c r="R276" s="177">
        <f t="shared" si="106"/>
        <v>0.52852266071950327</v>
      </c>
      <c r="S276" s="799">
        <f t="shared" si="107"/>
        <v>1</v>
      </c>
      <c r="T276" s="176">
        <f t="shared" si="108"/>
        <v>7</v>
      </c>
      <c r="U276" s="250">
        <f t="shared" si="109"/>
        <v>1.5285226607195033</v>
      </c>
      <c r="V276" s="382">
        <f t="shared" si="110"/>
        <v>44.492975750245833</v>
      </c>
      <c r="W276" s="400">
        <f t="shared" si="111"/>
        <v>44.064923199804902</v>
      </c>
      <c r="X276" s="157">
        <f t="shared" si="112"/>
        <v>45919</v>
      </c>
      <c r="Y276" s="383">
        <f t="shared" si="113"/>
        <v>41.993928480585744</v>
      </c>
      <c r="Z276" s="383">
        <f t="shared" si="114"/>
        <v>44.00768153904751</v>
      </c>
      <c r="AA276" s="384">
        <f t="shared" si="115"/>
        <v>47.188577703162579</v>
      </c>
      <c r="AB276" s="197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6.7408180516148136E-2</v>
      </c>
      <c r="AD276" s="230">
        <f>(INDEX(Models!$BJ276:$BT276,,AH276)*(1-AF276)+INDEX(Models!$BJ276:$BT276,,AH276+1)*AF276-ERP_i)*AE276*Ramure*Pc/MaxiM</f>
        <v>9.7514782262694069E-3</v>
      </c>
      <c r="AE276" s="304">
        <f t="shared" si="117"/>
        <v>0.7</v>
      </c>
      <c r="AF276" s="177">
        <f t="shared" si="118"/>
        <v>0.59285488297933542</v>
      </c>
      <c r="AG276" s="799">
        <f t="shared" si="124"/>
        <v>1</v>
      </c>
      <c r="AH276" s="176">
        <f t="shared" si="119"/>
        <v>7</v>
      </c>
      <c r="AI276" s="224">
        <f t="shared" si="120"/>
        <v>1.5928548829793354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45920</v>
      </c>
      <c r="B277" s="409">
        <f>'2024'!Wh/'2024'!Env_an*'2025'!Env_an</f>
        <v>44.067569929194342</v>
      </c>
      <c r="C277" s="829"/>
      <c r="D277" s="391">
        <f t="shared" si="102"/>
        <v>46.181646275762127</v>
      </c>
      <c r="E277" s="383">
        <f t="shared" si="100"/>
        <v>47.210655143195986</v>
      </c>
      <c r="F277" s="383">
        <f t="shared" si="103"/>
        <v>47.651172256285271</v>
      </c>
      <c r="G277" s="110">
        <f t="shared" si="101"/>
        <v>0.99553017609048422</v>
      </c>
      <c r="H277" s="412" t="b">
        <f>Wh_hp&gt;='2024'!Maxi_hp</f>
        <v>0</v>
      </c>
      <c r="I277" s="388">
        <f>IF(H277,Wh_hp,'2024'!Maxi_hp)</f>
        <v>48.889969383535792</v>
      </c>
      <c r="J277" s="85">
        <f>IF(H277,An,'2024'!An_max)</f>
        <v>2018</v>
      </c>
      <c r="K277" s="197">
        <f t="shared" si="104"/>
        <v>45920</v>
      </c>
      <c r="L277" s="147">
        <f>IF(t&lt;Tvie,1-EXP((T0-t)*PertePVj)+'2024'!Pspv,1-EXP((T0-t)*PertePVj)+Pspv)</f>
        <v>4.5777414125605431E-2</v>
      </c>
      <c r="M277" s="832"/>
      <c r="N277" s="832"/>
      <c r="O277" s="48">
        <f>IF(t&lt;Tnet,'2024'!Resal+('2024'!Salim-'2024'!Resal)*(1-EXP(('2024'!Tnet-t)/('2024'!Tau_j))),Resal+(Salim-Resal)*(1-EXP((Tnet-t)/(Tau_j))))*Salcycl</f>
        <v>2.1796114972620944E-2</v>
      </c>
      <c r="P277" s="169">
        <f>(INDEX(Models!$BJ277:$BT277,,T277)*(1-R277)+INDEX(Models!$BJ277:$BT277,,T277+1)*R277-ERP_i)*Q277*Ramure*Pc/MaxiM</f>
        <v>9.3032454022133945E-3</v>
      </c>
      <c r="Q277" s="304">
        <f t="shared" si="105"/>
        <v>0.7</v>
      </c>
      <c r="R277" s="177">
        <f t="shared" si="106"/>
        <v>0.52876914427555022</v>
      </c>
      <c r="S277" s="799">
        <f t="shared" si="107"/>
        <v>1</v>
      </c>
      <c r="T277" s="176">
        <f t="shared" si="108"/>
        <v>7</v>
      </c>
      <c r="U277" s="250">
        <f t="shared" si="109"/>
        <v>1.5287691442755502</v>
      </c>
      <c r="V277" s="382">
        <f t="shared" si="110"/>
        <v>44.262809432112654</v>
      </c>
      <c r="W277" s="400">
        <f t="shared" si="111"/>
        <v>44.067569929194342</v>
      </c>
      <c r="X277" s="157">
        <f t="shared" si="112"/>
        <v>45920</v>
      </c>
      <c r="Y277" s="383">
        <f t="shared" si="113"/>
        <v>41.999329433037033</v>
      </c>
      <c r="Z277" s="383">
        <f t="shared" si="114"/>
        <v>44.014185007527637</v>
      </c>
      <c r="AA277" s="384">
        <f t="shared" si="115"/>
        <v>47.196736476962016</v>
      </c>
      <c r="AB277" s="197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6.7431600296937233E-2</v>
      </c>
      <c r="AD277" s="230">
        <f>(INDEX(Models!$BJ277:$BT277,,AH277)*(1-AF277)+INDEX(Models!$BJ277:$BT277,,AH277+1)*AF277-ERP_i)*AE277*Ramure*Pc/MaxiM</f>
        <v>9.5971925924556029E-3</v>
      </c>
      <c r="AE277" s="304">
        <f t="shared" si="117"/>
        <v>0.7</v>
      </c>
      <c r="AF277" s="177">
        <f t="shared" si="118"/>
        <v>0.59310136653538237</v>
      </c>
      <c r="AG277" s="799">
        <f t="shared" si="124"/>
        <v>1</v>
      </c>
      <c r="AH277" s="176">
        <f t="shared" si="119"/>
        <v>7</v>
      </c>
      <c r="AI277" s="224">
        <f t="shared" si="120"/>
        <v>1.5931013665353824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45921</v>
      </c>
      <c r="B278" s="409">
        <f>'2024'!Wh/'2024'!Env_an*'2025'!Env_an</f>
        <v>45.541997822221994</v>
      </c>
      <c r="C278" s="829"/>
      <c r="D278" s="391">
        <f t="shared" si="102"/>
        <v>47.727722352342944</v>
      </c>
      <c r="E278" s="383">
        <f t="shared" si="100"/>
        <v>48.795546756887589</v>
      </c>
      <c r="F278" s="383">
        <f t="shared" si="103"/>
        <v>49.246397473223027</v>
      </c>
      <c r="G278" s="110">
        <f t="shared" si="101"/>
        <v>1.0343521668497802</v>
      </c>
      <c r="H278" s="412" t="b">
        <f>Wh_hp&gt;='2024'!Maxi_hp</f>
        <v>1</v>
      </c>
      <c r="I278" s="388">
        <f>IF(H278,Wh_hp,'2024'!Maxi_hp)</f>
        <v>49.246397473223027</v>
      </c>
      <c r="J278" s="85">
        <f>IF(H278,An,'2024'!An_max)</f>
        <v>2025</v>
      </c>
      <c r="K278" s="197">
        <f t="shared" si="104"/>
        <v>45921</v>
      </c>
      <c r="L278" s="147">
        <f>IF(t&lt;Tvie,1-EXP((T0-t)*PertePVj)+'2024'!Pspv,1-EXP((T0-t)*PertePVj)+Pspv)</f>
        <v>4.5795701583770554E-2</v>
      </c>
      <c r="M278" s="832"/>
      <c r="N278" s="832"/>
      <c r="O278" s="48">
        <f>IF(t&lt;Tnet,'2024'!Resal+('2024'!Salim-'2024'!Resal)*(1-EXP(('2024'!Tnet-t)/('2024'!Tau_j))),Resal+(Salim-Resal)*(1-EXP((Tnet-t)/(Tau_j))))*Salcycl</f>
        <v>2.1883644625703767E-2</v>
      </c>
      <c r="P278" s="169">
        <f>(INDEX(Models!$BJ278:$BT278,,T278)*(1-R278)+INDEX(Models!$BJ278:$BT278,,T278+1)*R278-ERP_i)*Q278*Ramure*Pc/MaxiM</f>
        <v>9.1549989332839199E-3</v>
      </c>
      <c r="Q278" s="304">
        <f t="shared" si="105"/>
        <v>0.7</v>
      </c>
      <c r="R278" s="177">
        <f t="shared" si="106"/>
        <v>0.52900599353362021</v>
      </c>
      <c r="S278" s="799">
        <f t="shared" si="107"/>
        <v>1</v>
      </c>
      <c r="T278" s="176">
        <f t="shared" si="108"/>
        <v>7</v>
      </c>
      <c r="U278" s="250">
        <f t="shared" si="109"/>
        <v>1.5290059935336202</v>
      </c>
      <c r="V278" s="382">
        <f t="shared" si="110"/>
        <v>44.029489454181331</v>
      </c>
      <c r="W278" s="400">
        <f t="shared" si="111"/>
        <v>45.541997822221994</v>
      </c>
      <c r="X278" s="157">
        <f t="shared" si="112"/>
        <v>45921</v>
      </c>
      <c r="Y278" s="383">
        <f t="shared" si="113"/>
        <v>43.407480659704198</v>
      </c>
      <c r="Z278" s="383">
        <f t="shared" si="114"/>
        <v>45.490762022085967</v>
      </c>
      <c r="AA278" s="384">
        <f t="shared" si="115"/>
        <v>48.781267546155036</v>
      </c>
      <c r="AB278" s="197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6.7454285007164091E-2</v>
      </c>
      <c r="AD278" s="230">
        <f>(INDEX(Models!$BJ278:$BT278,,AH278)*(1-AF278)+INDEX(Models!$BJ278:$BT278,,AH278+1)*AF278-ERP_i)*AE278*Ramure*Pc/MaxiM</f>
        <v>9.444953355641935E-3</v>
      </c>
      <c r="AE278" s="304">
        <f t="shared" si="117"/>
        <v>0.7</v>
      </c>
      <c r="AF278" s="177">
        <f t="shared" si="118"/>
        <v>0.59333821579345236</v>
      </c>
      <c r="AG278" s="799">
        <f t="shared" si="124"/>
        <v>1</v>
      </c>
      <c r="AH278" s="176">
        <f t="shared" si="119"/>
        <v>7</v>
      </c>
      <c r="AI278" s="224">
        <f t="shared" si="120"/>
        <v>1.5933382157934524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45922</v>
      </c>
      <c r="B279" s="409">
        <f>'2024'!Wh/'2024'!Env_an*'2025'!Env_an</f>
        <v>44.352690370332844</v>
      </c>
      <c r="C279" s="829"/>
      <c r="D279" s="391">
        <f t="shared" si="102"/>
        <v>46.482226572897481</v>
      </c>
      <c r="E279" s="383">
        <f t="shared" si="100"/>
        <v>47.526419727491877</v>
      </c>
      <c r="F279" s="383">
        <f t="shared" si="103"/>
        <v>47.958368246020804</v>
      </c>
      <c r="G279" s="110">
        <f t="shared" si="101"/>
        <v>1.0127753085273883</v>
      </c>
      <c r="H279" s="412" t="b">
        <f>Wh_hp&gt;='2024'!Maxi_hp</f>
        <v>1</v>
      </c>
      <c r="I279" s="388">
        <f>IF(H279,Wh_hp,'2024'!Maxi_hp)</f>
        <v>47.958368246020804</v>
      </c>
      <c r="J279" s="85">
        <f>IF(H279,An,'2024'!An_max)</f>
        <v>2025</v>
      </c>
      <c r="K279" s="197">
        <f t="shared" si="104"/>
        <v>45922</v>
      </c>
      <c r="L279" s="147">
        <f>IF(t&lt;Tvie,1-EXP((T0-t)*PertePVj)+'2024'!Pspv,1-EXP((T0-t)*PertePVj)+Pspv)</f>
        <v>4.5813988691460694E-2</v>
      </c>
      <c r="M279" s="832"/>
      <c r="N279" s="832"/>
      <c r="O279" s="48">
        <f>IF(t&lt;Tnet,'2024'!Resal+('2024'!Salim-'2024'!Resal)*(1-EXP(('2024'!Tnet-t)/('2024'!Tau_j))),Resal+(Salim-Resal)*(1-EXP((Tnet-t)/(Tau_j))))*Salcycl</f>
        <v>2.197079352035379E-2</v>
      </c>
      <c r="P279" s="169">
        <f>(INDEX(Models!$BJ279:$BT279,,T279)*(1-R279)+INDEX(Models!$BJ279:$BT279,,T279+1)*R279-ERP_i)*Q279*Ramure*Pc/MaxiM</f>
        <v>9.0067392683812631E-3</v>
      </c>
      <c r="Q279" s="304">
        <f t="shared" si="105"/>
        <v>0.7</v>
      </c>
      <c r="R279" s="177">
        <f t="shared" si="106"/>
        <v>0.52923357400946847</v>
      </c>
      <c r="S279" s="799">
        <f t="shared" si="107"/>
        <v>1</v>
      </c>
      <c r="T279" s="176">
        <f t="shared" si="108"/>
        <v>7</v>
      </c>
      <c r="U279" s="250">
        <f t="shared" si="109"/>
        <v>1.5292335740094685</v>
      </c>
      <c r="V279" s="382">
        <f t="shared" si="110"/>
        <v>43.793218492681504</v>
      </c>
      <c r="W279" s="400">
        <f t="shared" si="111"/>
        <v>44.352690370332844</v>
      </c>
      <c r="X279" s="157">
        <f t="shared" si="112"/>
        <v>45922</v>
      </c>
      <c r="Y279" s="383">
        <f t="shared" si="113"/>
        <v>42.276772976708962</v>
      </c>
      <c r="Z279" s="383">
        <f t="shared" si="114"/>
        <v>44.306636730852915</v>
      </c>
      <c r="AA279" s="384">
        <f t="shared" si="115"/>
        <v>47.512607450963756</v>
      </c>
      <c r="AB279" s="197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6.7476210886123655E-2</v>
      </c>
      <c r="AD279" s="230">
        <f>(INDEX(Models!$BJ279:$BT279,,AH279)*(1-AF279)+INDEX(Models!$BJ279:$BT279,,AH279+1)*AF279-ERP_i)*AE279*Ramure*Pc/MaxiM</f>
        <v>9.2947448247267701E-3</v>
      </c>
      <c r="AE279" s="304">
        <f t="shared" si="117"/>
        <v>0.7</v>
      </c>
      <c r="AF279" s="177">
        <f t="shared" si="118"/>
        <v>0.59356579626930062</v>
      </c>
      <c r="AG279" s="799">
        <f t="shared" si="124"/>
        <v>1</v>
      </c>
      <c r="AH279" s="176">
        <f t="shared" si="119"/>
        <v>7</v>
      </c>
      <c r="AI279" s="224">
        <f t="shared" si="120"/>
        <v>1.5935657962693006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45923</v>
      </c>
      <c r="B280" s="409">
        <f>'2024'!Wh/'2024'!Env_an*'2025'!Env_an</f>
        <v>33.373264672241746</v>
      </c>
      <c r="C280" s="829"/>
      <c r="D280" s="391">
        <f t="shared" si="102"/>
        <v>34.976308476515499</v>
      </c>
      <c r="E280" s="383">
        <f t="shared" si="100"/>
        <v>35.765201248475691</v>
      </c>
      <c r="F280" s="383">
        <f t="shared" si="103"/>
        <v>35.97748044922853</v>
      </c>
      <c r="G280" s="110">
        <f t="shared" si="101"/>
        <v>0.76396669499344694</v>
      </c>
      <c r="H280" s="412" t="b">
        <f>Wh_hp&gt;='2024'!Maxi_hp</f>
        <v>0</v>
      </c>
      <c r="I280" s="388">
        <f>IF(H280,Wh_hp,'2024'!Maxi_hp)</f>
        <v>41.960409852229127</v>
      </c>
      <c r="J280" s="85">
        <f>IF(H280,An,'2024'!An_max)</f>
        <v>2021</v>
      </c>
      <c r="K280" s="197">
        <f t="shared" si="104"/>
        <v>45923</v>
      </c>
      <c r="L280" s="147">
        <f>IF(t&lt;Tvie,1-EXP((T0-t)*PertePVj)+'2024'!Pspv,1-EXP((T0-t)*PertePVj)+Pspv)</f>
        <v>4.5832275448682624E-2</v>
      </c>
      <c r="M280" s="832"/>
      <c r="N280" s="832"/>
      <c r="O280" s="48">
        <f>IF(t&lt;Tnet,'2024'!Resal+('2024'!Salim-'2024'!Resal)*(1-EXP(('2024'!Tnet-t)/('2024'!Tau_j))),Resal+(Salim-Resal)*(1-EXP((Tnet-t)/(Tau_j))))*Salcycl</f>
        <v>2.2057551598253979E-2</v>
      </c>
      <c r="P280" s="169">
        <f>(INDEX(Models!$BJ280:$BT280,,T280)*(1-R280)+INDEX(Models!$BJ280:$BT280,,T280+1)*R280-ERP_i)*Q280*Ramure*Pc/MaxiM</f>
        <v>8.8584729373177469E-3</v>
      </c>
      <c r="Q280" s="304">
        <f t="shared" si="105"/>
        <v>0.7</v>
      </c>
      <c r="R280" s="177">
        <f t="shared" si="106"/>
        <v>0.52945223821392062</v>
      </c>
      <c r="S280" s="799">
        <f t="shared" si="107"/>
        <v>1</v>
      </c>
      <c r="T280" s="176">
        <f t="shared" si="108"/>
        <v>7</v>
      </c>
      <c r="U280" s="250">
        <f t="shared" si="109"/>
        <v>1.5294522382139206</v>
      </c>
      <c r="V280" s="382">
        <f t="shared" si="110"/>
        <v>43.554197098152827</v>
      </c>
      <c r="W280" s="400">
        <f t="shared" si="111"/>
        <v>33.373264672241746</v>
      </c>
      <c r="X280" s="157">
        <f t="shared" si="112"/>
        <v>45923</v>
      </c>
      <c r="Y280" s="383">
        <f t="shared" si="113"/>
        <v>31.816442517843253</v>
      </c>
      <c r="Z280" s="383">
        <f t="shared" si="114"/>
        <v>33.344706280863193</v>
      </c>
      <c r="AA280" s="384">
        <f t="shared" si="115"/>
        <v>35.758296696168642</v>
      </c>
      <c r="AB280" s="197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6.7497354133315285E-2</v>
      </c>
      <c r="AD280" s="230">
        <f>(INDEX(Models!$BJ280:$BT280,,AH280)*(1-AF280)+INDEX(Models!$BJ280:$BT280,,AH280+1)*AF280-ERP_i)*AE280*Ramure*Pc/MaxiM</f>
        <v>9.1466019181098875E-3</v>
      </c>
      <c r="AE280" s="304">
        <f t="shared" si="117"/>
        <v>0.7</v>
      </c>
      <c r="AF280" s="177">
        <f t="shared" si="118"/>
        <v>0.59378446047375277</v>
      </c>
      <c r="AG280" s="799">
        <f t="shared" si="124"/>
        <v>1</v>
      </c>
      <c r="AH280" s="176">
        <f t="shared" si="119"/>
        <v>7</v>
      </c>
      <c r="AI280" s="224">
        <f t="shared" si="120"/>
        <v>1.5937844604737528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45924</v>
      </c>
      <c r="B281" s="409">
        <f>'2024'!Wh/'2024'!Env_an*'2025'!Env_an</f>
        <v>22.392168655059425</v>
      </c>
      <c r="C281" s="829"/>
      <c r="D281" s="391">
        <f t="shared" si="102"/>
        <v>23.46819875364946</v>
      </c>
      <c r="E281" s="383">
        <f t="shared" si="100"/>
        <v>23.999644695309996</v>
      </c>
      <c r="F281" s="383">
        <f t="shared" si="103"/>
        <v>24.06461974946296</v>
      </c>
      <c r="G281" s="110">
        <f t="shared" si="101"/>
        <v>0.51387379196071981</v>
      </c>
      <c r="H281" s="412" t="b">
        <f>Wh_hp&gt;='2024'!Maxi_hp</f>
        <v>0</v>
      </c>
      <c r="I281" s="388">
        <f>IF(H281,Wh_hp,'2024'!Maxi_hp)</f>
        <v>41.038887067631343</v>
      </c>
      <c r="J281" s="85">
        <f>IF(H281,An,'2024'!An_max)</f>
        <v>2021</v>
      </c>
      <c r="K281" s="197">
        <f t="shared" si="104"/>
        <v>45924</v>
      </c>
      <c r="L281" s="147">
        <f>IF(t&lt;Tvie,1-EXP((T0-t)*PertePVj)+'2024'!Pspv,1-EXP((T0-t)*PertePVj)+Pspv)</f>
        <v>4.5850561855443006E-2</v>
      </c>
      <c r="M281" s="832"/>
      <c r="N281" s="832"/>
      <c r="O281" s="48">
        <f>IF(t&lt;Tnet,'2024'!Resal+('2024'!Salim-'2024'!Resal)*(1-EXP(('2024'!Tnet-t)/('2024'!Tau_j))),Resal+(Salim-Resal)*(1-EXP((Tnet-t)/(Tau_j))))*Salcycl</f>
        <v>2.2143908728965073E-2</v>
      </c>
      <c r="P281" s="169">
        <f>(INDEX(Models!$BJ281:$BT281,,T281)*(1-R281)+INDEX(Models!$BJ281:$BT281,,T281+1)*R281-ERP_i)*Q281*Ramure*Pc/MaxiM</f>
        <v>8.7101810919543547E-3</v>
      </c>
      <c r="Q281" s="304">
        <f t="shared" si="105"/>
        <v>0.7</v>
      </c>
      <c r="R281" s="177">
        <f t="shared" si="106"/>
        <v>0.52966232604762942</v>
      </c>
      <c r="S281" s="799">
        <f t="shared" si="107"/>
        <v>1</v>
      </c>
      <c r="T281" s="176">
        <f t="shared" si="108"/>
        <v>7</v>
      </c>
      <c r="U281" s="250">
        <f t="shared" si="109"/>
        <v>1.5296623260476294</v>
      </c>
      <c r="V281" s="382">
        <f t="shared" si="110"/>
        <v>43.312626954015599</v>
      </c>
      <c r="W281" s="400">
        <f t="shared" si="111"/>
        <v>22.392168655059425</v>
      </c>
      <c r="X281" s="157">
        <f t="shared" si="112"/>
        <v>45924</v>
      </c>
      <c r="Y281" s="383">
        <f t="shared" si="113"/>
        <v>21.351216088073716</v>
      </c>
      <c r="Z281" s="383">
        <f t="shared" si="114"/>
        <v>22.377224399558816</v>
      </c>
      <c r="AA281" s="384">
        <f t="shared" si="115"/>
        <v>23.997478755890096</v>
      </c>
      <c r="AB281" s="197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6.7517691038005243E-2</v>
      </c>
      <c r="AD281" s="230">
        <f>(INDEX(Models!$BJ281:$BT281,,AH281)*(1-AF281)+INDEX(Models!$BJ281:$BT281,,AH281+1)*AF281-ERP_i)*AE281*Ramure*Pc/MaxiM</f>
        <v>9.0005344410583298E-3</v>
      </c>
      <c r="AE281" s="304">
        <f t="shared" si="117"/>
        <v>0.7</v>
      </c>
      <c r="AF281" s="177">
        <f t="shared" si="118"/>
        <v>0.59399454830746157</v>
      </c>
      <c r="AG281" s="799">
        <f t="shared" si="124"/>
        <v>1</v>
      </c>
      <c r="AH281" s="176">
        <f t="shared" si="119"/>
        <v>7</v>
      </c>
      <c r="AI281" s="224">
        <f t="shared" si="120"/>
        <v>1.5939945483074616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45925</v>
      </c>
      <c r="B282" s="409">
        <f>'2024'!Wh/'2024'!Env_an*'2025'!Env_an</f>
        <v>33.891563405255873</v>
      </c>
      <c r="C282" s="829"/>
      <c r="D282" s="391">
        <f t="shared" si="102"/>
        <v>35.520864538464529</v>
      </c>
      <c r="E282" s="383">
        <f t="shared" si="100"/>
        <v>36.328440494207143</v>
      </c>
      <c r="F282" s="383">
        <f t="shared" si="103"/>
        <v>36.547535663243615</v>
      </c>
      <c r="G282" s="110">
        <f t="shared" si="101"/>
        <v>0.78488623740316876</v>
      </c>
      <c r="H282" s="412" t="b">
        <f>Wh_hp&gt;='2024'!Maxi_hp</f>
        <v>0</v>
      </c>
      <c r="I282" s="388">
        <f>IF(H282,Wh_hp,'2024'!Maxi_hp)</f>
        <v>36.599123491462763</v>
      </c>
      <c r="J282" s="85">
        <f>IF(H282,An,'2024'!An_max)</f>
        <v>2022</v>
      </c>
      <c r="K282" s="197">
        <f t="shared" si="104"/>
        <v>45925</v>
      </c>
      <c r="L282" s="147">
        <f>IF(t&lt;Tvie,1-EXP((T0-t)*PertePVj)+'2024'!Pspv,1-EXP((T0-t)*PertePVj)+Pspv)</f>
        <v>4.5868847911748611E-2</v>
      </c>
      <c r="M282" s="832"/>
      <c r="N282" s="832"/>
      <c r="O282" s="48">
        <f>IF(t&lt;Tnet,'2024'!Resal+('2024'!Salim-'2024'!Resal)*(1-EXP(('2024'!Tnet-t)/('2024'!Tau_j))),Resal+(Salim-Resal)*(1-EXP((Tnet-t)/(Tau_j))))*Salcycl</f>
        <v>2.2229854757222313E-2</v>
      </c>
      <c r="P282" s="169">
        <f>(INDEX(Models!$BJ282:$BT282,,T282)*(1-R282)+INDEX(Models!$BJ282:$BT282,,T282+1)*R282-ERP_i)*Q282*Ramure*Pc/MaxiM</f>
        <v>8.6174177595507301E-3</v>
      </c>
      <c r="Q282" s="304">
        <f t="shared" si="105"/>
        <v>0.7</v>
      </c>
      <c r="R282" s="177">
        <f t="shared" si="106"/>
        <v>0.52986416518940405</v>
      </c>
      <c r="S282" s="799">
        <f t="shared" si="107"/>
        <v>1</v>
      </c>
      <c r="T282" s="176">
        <f t="shared" si="108"/>
        <v>7</v>
      </c>
      <c r="U282" s="250">
        <f t="shared" si="109"/>
        <v>1.529864165189404</v>
      </c>
      <c r="V282" s="382">
        <f t="shared" si="110"/>
        <v>43.066295625247989</v>
      </c>
      <c r="W282" s="400">
        <f t="shared" si="111"/>
        <v>33.891563405255873</v>
      </c>
      <c r="X282" s="157">
        <f t="shared" si="112"/>
        <v>45925</v>
      </c>
      <c r="Y282" s="383">
        <f t="shared" si="113"/>
        <v>32.314405890596476</v>
      </c>
      <c r="Z282" s="383">
        <f t="shared" si="114"/>
        <v>33.867886841208168</v>
      </c>
      <c r="AA282" s="384">
        <f t="shared" si="115"/>
        <v>36.320898563360039</v>
      </c>
      <c r="AB282" s="197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6.7537198119498959E-2</v>
      </c>
      <c r="AD282" s="230">
        <f>(INDEX(Models!$BJ282:$BT282,,AH282)*(1-AF282)+INDEX(Models!$BJ282:$BT282,,AH282+1)*AF282-ERP_i)*AE282*Ramure*Pc/MaxiM</f>
        <v>8.9140558329001036E-3</v>
      </c>
      <c r="AE282" s="304">
        <f t="shared" si="117"/>
        <v>0.7</v>
      </c>
      <c r="AF282" s="177">
        <f t="shared" si="118"/>
        <v>0.5941963874492362</v>
      </c>
      <c r="AG282" s="799">
        <f t="shared" si="124"/>
        <v>1</v>
      </c>
      <c r="AH282" s="176">
        <f t="shared" si="119"/>
        <v>7</v>
      </c>
      <c r="AI282" s="224">
        <f t="shared" si="120"/>
        <v>1.5941963874492362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45926</v>
      </c>
      <c r="B283" s="409">
        <f>'2024'!Wh/'2024'!Env_an*'2025'!Env_an</f>
        <v>35.273209160227395</v>
      </c>
      <c r="C283" s="829"/>
      <c r="D283" s="391">
        <f t="shared" si="102"/>
        <v>36.969639969293141</v>
      </c>
      <c r="E283" s="383">
        <f t="shared" si="100"/>
        <v>37.813461719841776</v>
      </c>
      <c r="F283" s="383">
        <f t="shared" si="103"/>
        <v>38.058256425795342</v>
      </c>
      <c r="G283" s="110">
        <f t="shared" si="101"/>
        <v>0.82206194211632722</v>
      </c>
      <c r="H283" s="412" t="b">
        <f>Wh_hp&gt;='2024'!Maxi_hp</f>
        <v>0</v>
      </c>
      <c r="I283" s="388">
        <f>IF(H283,Wh_hp,'2024'!Maxi_hp)</f>
        <v>39.791402666859739</v>
      </c>
      <c r="J283" s="85">
        <f>IF(H283,An,'2024'!An_max)</f>
        <v>2018</v>
      </c>
      <c r="K283" s="197">
        <f t="shared" si="104"/>
        <v>45926</v>
      </c>
      <c r="L283" s="147">
        <f>IF(t&lt;Tvie,1-EXP((T0-t)*PertePVj)+'2024'!Pspv,1-EXP((T0-t)*PertePVj)+Pspv)</f>
        <v>4.5887133617606102E-2</v>
      </c>
      <c r="M283" s="832"/>
      <c r="N283" s="832"/>
      <c r="O283" s="48">
        <f>IF(t&lt;Tnet,'2024'!Resal+('2024'!Salim-'2024'!Resal)*(1-EXP(('2024'!Tnet-t)/('2024'!Tau_j))),Resal+(Salim-Resal)*(1-EXP((Tnet-t)/(Tau_j))))*Salcycl</f>
        <v>2.2315379554521418E-2</v>
      </c>
      <c r="P283" s="169">
        <f>(INDEX(Models!$BJ283:$BT283,,T283)*(1-R283)+INDEX(Models!$BJ283:$BT283,,T283+1)*R283-ERP_i)*Q283*Ramure*Pc/MaxiM</f>
        <v>8.5948804187656897E-3</v>
      </c>
      <c r="Q283" s="304">
        <f t="shared" si="105"/>
        <v>0.7</v>
      </c>
      <c r="R283" s="177">
        <f t="shared" si="106"/>
        <v>0.53005807147770634</v>
      </c>
      <c r="S283" s="799">
        <f t="shared" si="107"/>
        <v>1</v>
      </c>
      <c r="T283" s="176">
        <f t="shared" si="108"/>
        <v>7</v>
      </c>
      <c r="U283" s="250">
        <f t="shared" si="109"/>
        <v>1.5300580714777063</v>
      </c>
      <c r="V283" s="382">
        <f t="shared" si="110"/>
        <v>42.814811709762957</v>
      </c>
      <c r="W283" s="400">
        <f t="shared" si="111"/>
        <v>35.273209160227395</v>
      </c>
      <c r="X283" s="157">
        <f t="shared" si="112"/>
        <v>45926</v>
      </c>
      <c r="Y283" s="383">
        <f t="shared" si="113"/>
        <v>33.6332357284479</v>
      </c>
      <c r="Z283" s="383">
        <f t="shared" si="114"/>
        <v>35.250793604714069</v>
      </c>
      <c r="AA283" s="384">
        <f t="shared" si="115"/>
        <v>37.804723951361126</v>
      </c>
      <c r="AB283" s="197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6.7555852277426887E-2</v>
      </c>
      <c r="AD283" s="230">
        <f>(INDEX(Models!$BJ283:$BT283,,AH283)*(1-AF283)+INDEX(Models!$BJ283:$BT283,,AH283+1)*AF283-ERP_i)*AE283*Ramure*Pc/MaxiM</f>
        <v>8.9016684063798965E-3</v>
      </c>
      <c r="AE283" s="304">
        <f t="shared" si="117"/>
        <v>0.7</v>
      </c>
      <c r="AF283" s="177">
        <f t="shared" si="118"/>
        <v>0.59439029373753849</v>
      </c>
      <c r="AG283" s="799">
        <f t="shared" si="124"/>
        <v>1</v>
      </c>
      <c r="AH283" s="176">
        <f t="shared" si="119"/>
        <v>7</v>
      </c>
      <c r="AI283" s="224">
        <f t="shared" si="120"/>
        <v>1.5943902937375385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45927</v>
      </c>
      <c r="B284" s="409">
        <f>'2024'!Wh/'2024'!Env_an*'2025'!Env_an</f>
        <v>15.105427601483552</v>
      </c>
      <c r="C284" s="829"/>
      <c r="D284" s="391">
        <f t="shared" si="102"/>
        <v>15.832211923082323</v>
      </c>
      <c r="E284" s="383">
        <f t="shared" si="100"/>
        <v>16.194987300043529</v>
      </c>
      <c r="F284" s="383">
        <f t="shared" si="103"/>
        <v>16.205980231336266</v>
      </c>
      <c r="G284" s="110">
        <f t="shared" si="101"/>
        <v>0.3521051520582209</v>
      </c>
      <c r="H284" s="412" t="b">
        <f>Wh_hp&gt;='2024'!Maxi_hp</f>
        <v>0</v>
      </c>
      <c r="I284" s="388">
        <f>IF(H284,Wh_hp,'2024'!Maxi_hp)</f>
        <v>40.257199501289676</v>
      </c>
      <c r="J284" s="85">
        <f>IF(H284,An,'2024'!An_max)</f>
        <v>2018</v>
      </c>
      <c r="K284" s="197">
        <f t="shared" si="104"/>
        <v>45927</v>
      </c>
      <c r="L284" s="147">
        <f>IF(t&lt;Tvie,1-EXP((T0-t)*PertePVj)+'2024'!Pspv,1-EXP((T0-t)*PertePVj)+Pspv)</f>
        <v>4.5905418973022138E-2</v>
      </c>
      <c r="M284" s="832"/>
      <c r="N284" s="832"/>
      <c r="O284" s="48">
        <f>IF(t&lt;Tnet,'2024'!Resal+('2024'!Salim-'2024'!Resal)*(1-EXP(('2024'!Tnet-t)/('2024'!Tau_j))),Resal+(Salim-Resal)*(1-EXP((Tnet-t)/(Tau_j))))*Salcycl</f>
        <v>2.2400473074790827E-2</v>
      </c>
      <c r="P284" s="169">
        <f>(INDEX(Models!$BJ284:$BT284,,T284)*(1-R284)+INDEX(Models!$BJ284:$BT284,,T284+1)*R284-ERP_i)*Q284*Ramure*Pc/MaxiM</f>
        <v>8.6435741720430233E-3</v>
      </c>
      <c r="Q284" s="304">
        <f t="shared" si="105"/>
        <v>0.7</v>
      </c>
      <c r="R284" s="177">
        <f t="shared" si="106"/>
        <v>0.53024434928496178</v>
      </c>
      <c r="S284" s="799">
        <f t="shared" si="107"/>
        <v>1</v>
      </c>
      <c r="T284" s="176">
        <f t="shared" si="108"/>
        <v>7</v>
      </c>
      <c r="U284" s="250">
        <f t="shared" si="109"/>
        <v>1.5302443492849618</v>
      </c>
      <c r="V284" s="382">
        <f t="shared" si="110"/>
        <v>42.55838733905086</v>
      </c>
      <c r="W284" s="400">
        <f t="shared" si="111"/>
        <v>15.105427601483552</v>
      </c>
      <c r="X284" s="157">
        <f t="shared" si="112"/>
        <v>45927</v>
      </c>
      <c r="Y284" s="383">
        <f t="shared" si="113"/>
        <v>14.407069283271637</v>
      </c>
      <c r="Z284" s="383">
        <f t="shared" si="114"/>
        <v>15.100252710547849</v>
      </c>
      <c r="AA284" s="384">
        <f t="shared" si="115"/>
        <v>16.194579230907276</v>
      </c>
      <c r="AB284" s="197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6.7573630951208052E-2</v>
      </c>
      <c r="AD284" s="230">
        <f>(INDEX(Models!$BJ284:$BT284,,AH284)*(1-AF284)+INDEX(Models!$BJ284:$BT284,,AH284+1)*AF284-ERP_i)*AE284*Ramure*Pc/MaxiM</f>
        <v>8.9644327085505252E-3</v>
      </c>
      <c r="AE284" s="304">
        <f t="shared" si="117"/>
        <v>0.7</v>
      </c>
      <c r="AF284" s="177">
        <f t="shared" si="118"/>
        <v>0.59457657154479393</v>
      </c>
      <c r="AG284" s="799">
        <f t="shared" si="124"/>
        <v>1</v>
      </c>
      <c r="AH284" s="176">
        <f t="shared" si="119"/>
        <v>7</v>
      </c>
      <c r="AI284" s="224">
        <f t="shared" si="120"/>
        <v>1.5945765715447939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45928</v>
      </c>
      <c r="B285" s="409">
        <f>'2024'!Wh/'2024'!Env_an*'2025'!Env_an</f>
        <v>15.17281388650162</v>
      </c>
      <c r="C285" s="829"/>
      <c r="D285" s="391">
        <f t="shared" si="102"/>
        <v>15.903145219899487</v>
      </c>
      <c r="E285" s="383">
        <f t="shared" si="100"/>
        <v>16.26895470683565</v>
      </c>
      <c r="F285" s="383">
        <f t="shared" si="103"/>
        <v>16.280924506775257</v>
      </c>
      <c r="G285" s="110">
        <f t="shared" si="101"/>
        <v>0.35583642032134549</v>
      </c>
      <c r="H285" s="412" t="b">
        <f>Wh_hp&gt;='2024'!Maxi_hp</f>
        <v>0</v>
      </c>
      <c r="I285" s="388">
        <f>IF(H285,Wh_hp,'2024'!Maxi_hp)</f>
        <v>31.058972746779887</v>
      </c>
      <c r="J285" s="85">
        <f>IF(H285,An,'2024'!An_max)</f>
        <v>2021</v>
      </c>
      <c r="K285" s="197">
        <f t="shared" si="104"/>
        <v>45928</v>
      </c>
      <c r="L285" s="147">
        <f>IF(t&lt;Tvie,1-EXP((T0-t)*PertePVj)+'2024'!Pspv,1-EXP((T0-t)*PertePVj)+Pspv)</f>
        <v>4.5923703978003605E-2</v>
      </c>
      <c r="M285" s="832"/>
      <c r="N285" s="832"/>
      <c r="O285" s="48">
        <f>IF(t&lt;Tnet,'2024'!Resal+('2024'!Salim-'2024'!Resal)*(1-EXP(('2024'!Tnet-t)/('2024'!Tau_j))),Resal+(Salim-Resal)*(1-EXP((Tnet-t)/(Tau_j))))*Salcycl</f>
        <v>2.2485125413894153E-2</v>
      </c>
      <c r="P285" s="169">
        <f>(INDEX(Models!$BJ285:$BT285,,T285)*(1-R285)+INDEX(Models!$BJ285:$BT285,,T285+1)*R285-ERP_i)*Q285*Ramure*Pc/MaxiM</f>
        <v>8.7645298784463331E-3</v>
      </c>
      <c r="Q285" s="304">
        <f t="shared" si="105"/>
        <v>0.7</v>
      </c>
      <c r="R285" s="177">
        <f t="shared" si="106"/>
        <v>0.53042329188439119</v>
      </c>
      <c r="S285" s="799">
        <f t="shared" si="107"/>
        <v>1</v>
      </c>
      <c r="T285" s="176">
        <f t="shared" si="108"/>
        <v>7</v>
      </c>
      <c r="U285" s="250">
        <f t="shared" si="109"/>
        <v>1.5304232918843912</v>
      </c>
      <c r="V285" s="382">
        <f t="shared" si="110"/>
        <v>42.297235260420962</v>
      </c>
      <c r="W285" s="400">
        <f t="shared" si="111"/>
        <v>15.17281388650162</v>
      </c>
      <c r="X285" s="157">
        <f t="shared" si="112"/>
        <v>45928</v>
      </c>
      <c r="Y285" s="383">
        <f t="shared" si="113"/>
        <v>14.472284263354283</v>
      </c>
      <c r="Z285" s="383">
        <f t="shared" si="114"/>
        <v>15.168896160292638</v>
      </c>
      <c r="AA285" s="384">
        <f t="shared" si="115"/>
        <v>16.268491859204921</v>
      </c>
      <c r="AB285" s="197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6.7590512287721255E-2</v>
      </c>
      <c r="AD285" s="230">
        <f>(INDEX(Models!$BJ285:$BT285,,AH285)*(1-AF285)+INDEX(Models!$BJ285:$BT285,,AH285+1)*AF285-ERP_i)*AE285*Ramure*Pc/MaxiM</f>
        <v>9.1034362853329043E-3</v>
      </c>
      <c r="AE285" s="304">
        <f t="shared" si="117"/>
        <v>0.7</v>
      </c>
      <c r="AF285" s="177">
        <f t="shared" si="118"/>
        <v>0.59475551414422334</v>
      </c>
      <c r="AG285" s="799">
        <f t="shared" si="124"/>
        <v>1</v>
      </c>
      <c r="AH285" s="176">
        <f t="shared" si="119"/>
        <v>7</v>
      </c>
      <c r="AI285" s="224">
        <f t="shared" si="120"/>
        <v>1.5947555141442233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45929</v>
      </c>
      <c r="B286" s="409">
        <f>'2024'!Wh/'2024'!Env_an*'2025'!Env_an</f>
        <v>21.505655123313222</v>
      </c>
      <c r="C286" s="829"/>
      <c r="D286" s="391">
        <f t="shared" si="102"/>
        <v>22.541244732581152</v>
      </c>
      <c r="E286" s="383">
        <f t="shared" si="100"/>
        <v>23.06173251189178</v>
      </c>
      <c r="F286" s="383">
        <f t="shared" si="103"/>
        <v>23.12437225235627</v>
      </c>
      <c r="G286" s="110">
        <f t="shared" si="101"/>
        <v>0.50844830820091258</v>
      </c>
      <c r="H286" s="412" t="b">
        <f>Wh_hp&gt;='2024'!Maxi_hp</f>
        <v>0</v>
      </c>
      <c r="I286" s="388">
        <f>IF(H286,Wh_hp,'2024'!Maxi_hp)</f>
        <v>45.479306908151436</v>
      </c>
      <c r="J286" s="85">
        <f>IF(H286,An,'2024'!An_max)</f>
        <v>2018</v>
      </c>
      <c r="K286" s="197">
        <f t="shared" si="104"/>
        <v>45929</v>
      </c>
      <c r="L286" s="147">
        <f>IF(t&lt;Tvie,1-EXP((T0-t)*PertePVj)+'2024'!Pspv,1-EXP((T0-t)*PertePVj)+Pspv)</f>
        <v>4.5941988632557051E-2</v>
      </c>
      <c r="M286" s="832"/>
      <c r="N286" s="832"/>
      <c r="O286" s="48">
        <f>IF(t&lt;Tnet,'2024'!Resal+('2024'!Salim-'2024'!Resal)*(1-EXP(('2024'!Tnet-t)/('2024'!Tau_j))),Resal+(Salim-Resal)*(1-EXP((Tnet-t)/(Tau_j))))*Salcycl</f>
        <v>2.2569326872655369E-2</v>
      </c>
      <c r="P286" s="169">
        <f>(INDEX(Models!$BJ286:$BT286,,T286)*(1-R286)+INDEX(Models!$BJ286:$BT286,,T286+1)*R286-ERP_i)*Q286*Ramure*Pc/MaxiM</f>
        <v>8.9588003822751849E-3</v>
      </c>
      <c r="Q286" s="304">
        <f t="shared" si="105"/>
        <v>0.7</v>
      </c>
      <c r="R286" s="177">
        <f t="shared" si="106"/>
        <v>0.53059518180911924</v>
      </c>
      <c r="S286" s="799">
        <f t="shared" si="107"/>
        <v>1</v>
      </c>
      <c r="T286" s="176">
        <f t="shared" si="108"/>
        <v>7</v>
      </c>
      <c r="U286" s="250">
        <f t="shared" si="109"/>
        <v>1.5305951818091192</v>
      </c>
      <c r="V286" s="382">
        <f t="shared" si="110"/>
        <v>42.031568902410456</v>
      </c>
      <c r="W286" s="400">
        <f t="shared" si="111"/>
        <v>21.505655123313222</v>
      </c>
      <c r="X286" s="157">
        <f t="shared" si="112"/>
        <v>45929</v>
      </c>
      <c r="Y286" s="383">
        <f t="shared" si="113"/>
        <v>20.512492125612066</v>
      </c>
      <c r="Z286" s="383">
        <f t="shared" si="114"/>
        <v>21.500256673293578</v>
      </c>
      <c r="AA286" s="384">
        <f t="shared" si="115"/>
        <v>23.059208482365136</v>
      </c>
      <c r="AB286" s="197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6.7606475316088543E-2</v>
      </c>
      <c r="AD286" s="230">
        <f>(INDEX(Models!$BJ286:$BT286,,AH286)*(1-AF286)+INDEX(Models!$BJ286:$BT286,,AH286+1)*AF286-ERP_i)*AE286*Ramure*Pc/MaxiM</f>
        <v>9.3197896922641871E-3</v>
      </c>
      <c r="AE286" s="304">
        <f t="shared" si="117"/>
        <v>0.7</v>
      </c>
      <c r="AF286" s="177">
        <f t="shared" si="118"/>
        <v>0.59492740406895139</v>
      </c>
      <c r="AG286" s="799">
        <f t="shared" si="124"/>
        <v>1</v>
      </c>
      <c r="AH286" s="176">
        <f t="shared" si="119"/>
        <v>7</v>
      </c>
      <c r="AI286" s="224">
        <f t="shared" si="120"/>
        <v>1.5949274040689514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45930</v>
      </c>
      <c r="B287" s="409">
        <f>'2024'!Wh/'2024'!Env_an*'2025'!Env_an</f>
        <v>29.701693096413695</v>
      </c>
      <c r="C287" s="829"/>
      <c r="D287" s="391">
        <f t="shared" si="102"/>
        <v>31.132553764653316</v>
      </c>
      <c r="E287" s="383">
        <f t="shared" si="100"/>
        <v>31.854147944864568</v>
      </c>
      <c r="F287" s="383">
        <f t="shared" si="103"/>
        <v>32.027762027164009</v>
      </c>
      <c r="G287" s="110">
        <f t="shared" si="101"/>
        <v>0.70849797707354223</v>
      </c>
      <c r="H287" s="412" t="b">
        <f>Wh_hp&gt;='2024'!Maxi_hp</f>
        <v>0</v>
      </c>
      <c r="I287" s="388">
        <f>IF(H287,Wh_hp,'2024'!Maxi_hp)</f>
        <v>37.731180167005817</v>
      </c>
      <c r="J287" s="85">
        <f>IF(H287,An,'2024'!An_max)</f>
        <v>2020</v>
      </c>
      <c r="K287" s="197">
        <f t="shared" si="104"/>
        <v>45930</v>
      </c>
      <c r="L287" s="147">
        <f>IF(t&lt;Tvie,1-EXP((T0-t)*PertePVj)+'2024'!Pspv,1-EXP((T0-t)*PertePVj)+Pspv)</f>
        <v>4.5960272936689361E-2</v>
      </c>
      <c r="M287" s="832"/>
      <c r="N287" s="832"/>
      <c r="O287" s="48">
        <f>IF(t&lt;Tnet,'2024'!Resal+('2024'!Salim-'2024'!Resal)*(1-EXP(('2024'!Tnet-t)/('2024'!Tau_j))),Resal+(Salim-Resal)*(1-EXP((Tnet-t)/(Tau_j))))*Salcycl</f>
        <v>2.2653068023047968E-2</v>
      </c>
      <c r="P287" s="169">
        <f>(INDEX(Models!$BJ287:$BT287,,T287)*(1-R287)+INDEX(Models!$BJ287:$BT287,,T287+1)*R287-ERP_i)*Q287*Ramure*Pc/MaxiM</f>
        <v>9.2274565796416734E-3</v>
      </c>
      <c r="Q287" s="304">
        <f t="shared" si="105"/>
        <v>0.7</v>
      </c>
      <c r="R287" s="177">
        <f t="shared" si="106"/>
        <v>0.53076029120336643</v>
      </c>
      <c r="S287" s="799">
        <f t="shared" si="107"/>
        <v>1</v>
      </c>
      <c r="T287" s="176">
        <f t="shared" si="108"/>
        <v>7</v>
      </c>
      <c r="U287" s="250">
        <f t="shared" si="109"/>
        <v>1.5307602912033664</v>
      </c>
      <c r="V287" s="382">
        <f t="shared" si="110"/>
        <v>41.761602435976144</v>
      </c>
      <c r="W287" s="400">
        <f t="shared" si="111"/>
        <v>29.701693096413695</v>
      </c>
      <c r="X287" s="157">
        <f t="shared" si="112"/>
        <v>45930</v>
      </c>
      <c r="Y287" s="383">
        <f t="shared" si="113"/>
        <v>28.32861717609579</v>
      </c>
      <c r="Z287" s="383">
        <f t="shared" si="114"/>
        <v>29.693330762331961</v>
      </c>
      <c r="AA287" s="384">
        <f t="shared" si="115"/>
        <v>31.846863442710966</v>
      </c>
      <c r="AB287" s="197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6.762150012835566E-2</v>
      </c>
      <c r="AD287" s="230">
        <f>(INDEX(Models!$BJ287:$BT287,,AH287)*(1-AF287)+INDEX(Models!$BJ287:$BT287,,AH287+1)*AF287-ERP_i)*AE287*Ramure*Pc/MaxiM</f>
        <v>9.6146223350713836E-3</v>
      </c>
      <c r="AE287" s="304">
        <f t="shared" si="117"/>
        <v>0.7</v>
      </c>
      <c r="AF287" s="177">
        <f t="shared" si="118"/>
        <v>0.59509251346319858</v>
      </c>
      <c r="AG287" s="799">
        <f t="shared" si="124"/>
        <v>1</v>
      </c>
      <c r="AH287" s="176">
        <f t="shared" si="119"/>
        <v>7</v>
      </c>
      <c r="AI287" s="224">
        <f t="shared" si="120"/>
        <v>1.5950925134631986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45931</v>
      </c>
      <c r="B288" s="409">
        <f>'2024'!Wh/'2024'!Env_an*'2025'!Env_an</f>
        <v>34.786221333560398</v>
      </c>
      <c r="C288" s="829"/>
      <c r="D288" s="391">
        <f t="shared" si="102"/>
        <v>36.462724800163997</v>
      </c>
      <c r="E288" s="383">
        <f t="shared" si="100"/>
        <v>37.311041312892904</v>
      </c>
      <c r="F288" s="383">
        <f t="shared" si="103"/>
        <v>37.587797372802171</v>
      </c>
      <c r="G288" s="110">
        <f t="shared" si="101"/>
        <v>0.8366080859694538</v>
      </c>
      <c r="H288" s="412" t="b">
        <f>Wh_hp&gt;='2024'!Maxi_hp</f>
        <v>0</v>
      </c>
      <c r="I288" s="388">
        <f>IF(H288,Wh_hp,'2024'!Maxi_hp)</f>
        <v>44.215885035477228</v>
      </c>
      <c r="J288" s="85">
        <f>IF(H288,An,'2024'!An_max)</f>
        <v>2020</v>
      </c>
      <c r="K288" s="197">
        <f t="shared" si="104"/>
        <v>45931</v>
      </c>
      <c r="L288" s="147">
        <f>IF(t&lt;Tvie,1-EXP((T0-t)*PertePVj)+'2024'!Pspv,1-EXP((T0-t)*PertePVj)+Pspv)</f>
        <v>4.5978556890407085E-2</v>
      </c>
      <c r="M288" s="832"/>
      <c r="N288" s="832"/>
      <c r="O288" s="48">
        <f>IF(t&lt;Tnet,'2024'!Resal+('2024'!Salim-'2024'!Resal)*(1-EXP(('2024'!Tnet-t)/('2024'!Tau_j))),Resal+(Salim-Resal)*(1-EXP((Tnet-t)/(Tau_j))))*Salcycl</f>
        <v>2.2736339777141776E-2</v>
      </c>
      <c r="P288" s="169">
        <f>(INDEX(Models!$BJ288:$BT288,,T288)*(1-R288)+INDEX(Models!$BJ288:$BT288,,T288+1)*R288-ERP_i)*Q288*Ramure*Pc/MaxiM</f>
        <v>9.5715833273666302E-3</v>
      </c>
      <c r="Q288" s="304">
        <f t="shared" si="105"/>
        <v>0.7</v>
      </c>
      <c r="R288" s="177">
        <f t="shared" si="106"/>
        <v>0.53091888216556504</v>
      </c>
      <c r="S288" s="799">
        <f t="shared" si="107"/>
        <v>1</v>
      </c>
      <c r="T288" s="176">
        <f t="shared" si="108"/>
        <v>7</v>
      </c>
      <c r="U288" s="250">
        <f t="shared" si="109"/>
        <v>1.530918882165565</v>
      </c>
      <c r="V288" s="382">
        <f t="shared" si="110"/>
        <v>41.487550830754358</v>
      </c>
      <c r="W288" s="400">
        <f t="shared" si="111"/>
        <v>34.786221333560398</v>
      </c>
      <c r="X288" s="157">
        <f t="shared" si="112"/>
        <v>45931</v>
      </c>
      <c r="Y288" s="383">
        <f t="shared" si="113"/>
        <v>33.177271723848435</v>
      </c>
      <c r="Z288" s="383">
        <f t="shared" si="114"/>
        <v>34.776232718321829</v>
      </c>
      <c r="AA288" s="384">
        <f t="shared" si="115"/>
        <v>37.298969723822324</v>
      </c>
      <c r="AB288" s="197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6.7635568064746299E-2</v>
      </c>
      <c r="AD288" s="230">
        <f>(INDEX(Models!$BJ288:$BT288,,AH288)*(1-AF288)+INDEX(Models!$BJ288:$BT288,,AH288+1)*AF288-ERP_i)*AE288*Ramure*Pc/MaxiM</f>
        <v>9.9890781447184839E-3</v>
      </c>
      <c r="AE288" s="304">
        <f t="shared" si="117"/>
        <v>0.7</v>
      </c>
      <c r="AF288" s="177">
        <f t="shared" si="118"/>
        <v>0.59525110442539719</v>
      </c>
      <c r="AG288" s="799">
        <f t="shared" si="124"/>
        <v>1</v>
      </c>
      <c r="AH288" s="176">
        <f t="shared" si="119"/>
        <v>7</v>
      </c>
      <c r="AI288" s="224">
        <f t="shared" si="120"/>
        <v>1.5952511044253972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45932</v>
      </c>
      <c r="B289" s="409">
        <f>'2024'!Wh/'2024'!Env_an*'2025'!Env_an</f>
        <v>39.354236962408606</v>
      </c>
      <c r="C289" s="829"/>
      <c r="D289" s="391">
        <f t="shared" si="102"/>
        <v>41.251684095863233</v>
      </c>
      <c r="E289" s="383">
        <f t="shared" si="100"/>
        <v>42.214993670371051</v>
      </c>
      <c r="F289" s="383">
        <f t="shared" si="103"/>
        <v>42.613444344594193</v>
      </c>
      <c r="G289" s="110">
        <f t="shared" si="101"/>
        <v>0.95438965078026006</v>
      </c>
      <c r="H289" s="412" t="b">
        <f>Wh_hp&gt;='2024'!Maxi_hp</f>
        <v>0</v>
      </c>
      <c r="I289" s="388">
        <f>IF(H289,Wh_hp,'2024'!Maxi_hp)</f>
        <v>42.630714957104409</v>
      </c>
      <c r="J289" s="85">
        <f>IF(H289,An,'2024'!An_max)</f>
        <v>2022</v>
      </c>
      <c r="K289" s="197">
        <f t="shared" si="104"/>
        <v>45932</v>
      </c>
      <c r="L289" s="147">
        <f>IF(t&lt;Tvie,1-EXP((T0-t)*PertePVj)+'2024'!Pspv,1-EXP((T0-t)*PertePVj)+Pspv)</f>
        <v>4.5996840493716995E-2</v>
      </c>
      <c r="M289" s="832"/>
      <c r="N289" s="832"/>
      <c r="O289" s="48">
        <f>IF(t&lt;Tnet,'2024'!Resal+('2024'!Salim-'2024'!Resal)*(1-EXP(('2024'!Tnet-t)/('2024'!Tau_j))),Resal+(Salim-Resal)*(1-EXP((Tnet-t)/(Tau_j))))*Salcycl</f>
        <v>2.2819133458355186E-2</v>
      </c>
      <c r="P289" s="169">
        <f>(INDEX(Models!$BJ289:$BT289,,T289)*(1-R289)+INDEX(Models!$BJ289:$BT289,,T289+1)*R289-ERP_i)*Q289*Ramure*Pc/MaxiM</f>
        <v>9.9926075759875395E-3</v>
      </c>
      <c r="Q289" s="304">
        <f t="shared" si="105"/>
        <v>0.7</v>
      </c>
      <c r="R289" s="177">
        <f t="shared" si="106"/>
        <v>0.53107120708329014</v>
      </c>
      <c r="S289" s="799">
        <f t="shared" si="107"/>
        <v>1</v>
      </c>
      <c r="T289" s="176">
        <f t="shared" si="108"/>
        <v>7</v>
      </c>
      <c r="U289" s="250">
        <f t="shared" si="109"/>
        <v>1.5310712070832901</v>
      </c>
      <c r="V289" s="382">
        <f t="shared" si="110"/>
        <v>41.208245351972643</v>
      </c>
      <c r="W289" s="400">
        <f t="shared" si="111"/>
        <v>39.354236962408606</v>
      </c>
      <c r="X289" s="157">
        <f t="shared" si="112"/>
        <v>45932</v>
      </c>
      <c r="Y289" s="383">
        <f t="shared" si="113"/>
        <v>37.532773807761934</v>
      </c>
      <c r="Z289" s="383">
        <f t="shared" si="114"/>
        <v>39.3423999006313</v>
      </c>
      <c r="AA289" s="384">
        <f t="shared" si="115"/>
        <v>42.196968345530387</v>
      </c>
      <c r="AB289" s="197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6.7648661902068891E-2</v>
      </c>
      <c r="AD289" s="230">
        <f>(INDEX(Models!$BJ289:$BT289,,AH289)*(1-AF289)+INDEX(Models!$BJ289:$BT289,,AH289+1)*AF289-ERP_i)*AE289*Ramure*Pc/MaxiM</f>
        <v>1.0444658505286617E-2</v>
      </c>
      <c r="AE289" s="304">
        <f t="shared" si="117"/>
        <v>0.7</v>
      </c>
      <c r="AF289" s="177">
        <f t="shared" si="118"/>
        <v>0.59540342934312229</v>
      </c>
      <c r="AG289" s="799">
        <f t="shared" si="124"/>
        <v>1</v>
      </c>
      <c r="AH289" s="176">
        <f t="shared" si="119"/>
        <v>7</v>
      </c>
      <c r="AI289" s="224">
        <f t="shared" si="120"/>
        <v>1.5954034293431223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45933</v>
      </c>
      <c r="B290" s="409">
        <f>'2024'!Wh/'2024'!Env_an*'2025'!Env_an</f>
        <v>34.992425986260791</v>
      </c>
      <c r="C290" s="829"/>
      <c r="D290" s="391">
        <f t="shared" si="102"/>
        <v>36.680273301279207</v>
      </c>
      <c r="E290" s="383">
        <f t="shared" si="100"/>
        <v>37.539993236822092</v>
      </c>
      <c r="F290" s="383">
        <f t="shared" si="103"/>
        <v>37.856776371868278</v>
      </c>
      <c r="G290" s="110">
        <f t="shared" si="101"/>
        <v>0.85325533272380938</v>
      </c>
      <c r="H290" s="412" t="b">
        <f>Wh_hp&gt;='2024'!Maxi_hp</f>
        <v>0</v>
      </c>
      <c r="I290" s="388">
        <f>IF(H290,Wh_hp,'2024'!Maxi_hp)</f>
        <v>37.910091301325672</v>
      </c>
      <c r="J290" s="85">
        <f>IF(H290,An,'2024'!An_max)</f>
        <v>2022</v>
      </c>
      <c r="K290" s="197">
        <f t="shared" si="104"/>
        <v>45933</v>
      </c>
      <c r="L290" s="147">
        <f>IF(t&lt;Tvie,1-EXP((T0-t)*PertePVj)+'2024'!Pspv,1-EXP((T0-t)*PertePVj)+Pspv)</f>
        <v>4.6015123746625863E-2</v>
      </c>
      <c r="M290" s="832"/>
      <c r="N290" s="832"/>
      <c r="O290" s="48">
        <f>IF(t&lt;Tnet,'2024'!Resal+('2024'!Salim-'2024'!Resal)*(1-EXP(('2024'!Tnet-t)/('2024'!Tau_j))),Resal+(Salim-Resal)*(1-EXP((Tnet-t)/(Tau_j))))*Salcycl</f>
        <v>2.2901440874517912E-2</v>
      </c>
      <c r="P290" s="169">
        <f>(INDEX(Models!$BJ290:$BT290,,T290)*(1-R290)+INDEX(Models!$BJ290:$BT290,,T290+1)*R290-ERP_i)*Q290*Ramure*Pc/MaxiM</f>
        <v>1.0551524835627065E-2</v>
      </c>
      <c r="Q290" s="304">
        <f t="shared" si="105"/>
        <v>0.7</v>
      </c>
      <c r="R290" s="177">
        <f t="shared" si="106"/>
        <v>0.5312175089599207</v>
      </c>
      <c r="S290" s="799">
        <f t="shared" si="107"/>
        <v>1</v>
      </c>
      <c r="T290" s="176">
        <f t="shared" si="108"/>
        <v>7</v>
      </c>
      <c r="U290" s="250">
        <f t="shared" si="109"/>
        <v>1.5312175089599207</v>
      </c>
      <c r="V290" s="382">
        <f t="shared" si="110"/>
        <v>40.920192167872948</v>
      </c>
      <c r="W290" s="400">
        <f t="shared" si="111"/>
        <v>34.992425986260791</v>
      </c>
      <c r="X290" s="157">
        <f t="shared" si="112"/>
        <v>45933</v>
      </c>
      <c r="Y290" s="383">
        <f t="shared" si="113"/>
        <v>33.376354130394127</v>
      </c>
      <c r="Z290" s="383">
        <f t="shared" si="114"/>
        <v>34.98625078992292</v>
      </c>
      <c r="AA290" s="384">
        <f t="shared" si="115"/>
        <v>37.525237076492438</v>
      </c>
      <c r="AB290" s="197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6.7660766043768972E-2</v>
      </c>
      <c r="AD290" s="230">
        <f>(INDEX(Models!$BJ290:$BT290,,AH290)*(1-AF290)+INDEX(Models!$BJ290:$BT290,,AH290+1)*AF290-ERP_i)*AE290*Ramure*Pc/MaxiM</f>
        <v>1.1043028249071486E-2</v>
      </c>
      <c r="AE290" s="304">
        <f t="shared" si="117"/>
        <v>0.7</v>
      </c>
      <c r="AF290" s="177">
        <f t="shared" si="118"/>
        <v>0.59554973121975285</v>
      </c>
      <c r="AG290" s="799">
        <f t="shared" si="124"/>
        <v>1</v>
      </c>
      <c r="AH290" s="176">
        <f t="shared" si="119"/>
        <v>7</v>
      </c>
      <c r="AI290" s="224">
        <f t="shared" si="120"/>
        <v>1.5955497312197529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45934</v>
      </c>
      <c r="B291" s="409">
        <f>'2024'!Wh/'2024'!Env_an*'2025'!Env_an</f>
        <v>41.717350430839517</v>
      </c>
      <c r="C291" s="829"/>
      <c r="D291" s="391">
        <f t="shared" si="102"/>
        <v>43.730410185858865</v>
      </c>
      <c r="E291" s="383">
        <f t="shared" si="100"/>
        <v>44.759120437239567</v>
      </c>
      <c r="F291" s="383">
        <f t="shared" si="103"/>
        <v>45.267692249825423</v>
      </c>
      <c r="G291" s="110">
        <f t="shared" si="101"/>
        <v>1.0269021069326252</v>
      </c>
      <c r="H291" s="412" t="b">
        <f>Wh_hp&gt;='2024'!Maxi_hp</f>
        <v>1</v>
      </c>
      <c r="I291" s="388">
        <f>IF(H291,Wh_hp,'2024'!Maxi_hp)</f>
        <v>45.267692249825423</v>
      </c>
      <c r="J291" s="85">
        <f>IF(H291,An,'2024'!An_max)</f>
        <v>2025</v>
      </c>
      <c r="K291" s="197">
        <f t="shared" si="104"/>
        <v>45934</v>
      </c>
      <c r="L291" s="147">
        <f>IF(t&lt;Tvie,1-EXP((T0-t)*PertePVj)+'2024'!Pspv,1-EXP((T0-t)*PertePVj)+Pspv)</f>
        <v>4.6033406649140352E-2</v>
      </c>
      <c r="M291" s="832"/>
      <c r="N291" s="832"/>
      <c r="O291" s="48">
        <f>IF(t&lt;Tnet,'2024'!Resal+('2024'!Salim-'2024'!Resal)*(1-EXP(('2024'!Tnet-t)/('2024'!Tau_j))),Resal+(Salim-Resal)*(1-EXP((Tnet-t)/(Tau_j))))*Salcycl</f>
        <v>2.2983254392211327E-2</v>
      </c>
      <c r="P291" s="169">
        <f>(INDEX(Models!$BJ291:$BT291,,T291)*(1-R291)+INDEX(Models!$BJ291:$BT291,,T291+1)*R291-ERP_i)*Q291*Ramure*Pc/MaxiM</f>
        <v>1.1234763410936084E-2</v>
      </c>
      <c r="Q291" s="304">
        <f t="shared" si="105"/>
        <v>0.7</v>
      </c>
      <c r="R291" s="177">
        <f t="shared" si="106"/>
        <v>0.53135802173298496</v>
      </c>
      <c r="S291" s="799">
        <f t="shared" si="107"/>
        <v>1</v>
      </c>
      <c r="T291" s="176">
        <f t="shared" si="108"/>
        <v>7</v>
      </c>
      <c r="U291" s="250">
        <f t="shared" si="109"/>
        <v>1.531358021732985</v>
      </c>
      <c r="V291" s="382">
        <f t="shared" si="110"/>
        <v>40.624466684025009</v>
      </c>
      <c r="W291" s="400">
        <f t="shared" si="111"/>
        <v>41.717350430839517</v>
      </c>
      <c r="X291" s="157">
        <f t="shared" si="112"/>
        <v>45934</v>
      </c>
      <c r="Y291" s="383">
        <f t="shared" si="113"/>
        <v>39.787705058453327</v>
      </c>
      <c r="Z291" s="383">
        <f t="shared" si="114"/>
        <v>41.707650284374054</v>
      </c>
      <c r="AA291" s="384">
        <f t="shared" si="115"/>
        <v>44.734947702584293</v>
      </c>
      <c r="AB291" s="197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6.7671866710047823E-2</v>
      </c>
      <c r="AD291" s="230">
        <f>(INDEX(Models!$BJ291:$BT291,,AH291)*(1-AF291)+INDEX(Models!$BJ291:$BT291,,AH291+1)*AF291-ERP_i)*AE291*Ramure*Pc/MaxiM</f>
        <v>1.1768758705458121E-2</v>
      </c>
      <c r="AE291" s="304">
        <f t="shared" si="117"/>
        <v>0.7</v>
      </c>
      <c r="AF291" s="177">
        <f t="shared" si="118"/>
        <v>0.59569024399281711</v>
      </c>
      <c r="AG291" s="799">
        <f t="shared" si="124"/>
        <v>1</v>
      </c>
      <c r="AH291" s="176">
        <f t="shared" si="119"/>
        <v>7</v>
      </c>
      <c r="AI291" s="224">
        <f t="shared" si="120"/>
        <v>1.5956902439928171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45935</v>
      </c>
      <c r="B292" s="409">
        <f>'2024'!Wh/'2024'!Env_an*'2025'!Env_an</f>
        <v>41.359450895870715</v>
      </c>
      <c r="C292" s="829"/>
      <c r="D292" s="391">
        <f t="shared" si="102"/>
        <v>43.356071212328892</v>
      </c>
      <c r="E292" s="383">
        <f t="shared" si="100"/>
        <v>44.379669063404101</v>
      </c>
      <c r="F292" s="383">
        <f t="shared" si="103"/>
        <v>44.920703887087065</v>
      </c>
      <c r="G292" s="110">
        <f t="shared" si="101"/>
        <v>1.0257418885232881</v>
      </c>
      <c r="H292" s="412" t="b">
        <f>Wh_hp&gt;='2024'!Maxi_hp</f>
        <v>1</v>
      </c>
      <c r="I292" s="388">
        <f>IF(H292,Wh_hp,'2024'!Maxi_hp)</f>
        <v>44.920703887087065</v>
      </c>
      <c r="J292" s="85">
        <f>IF(H292,An,'2024'!An_max)</f>
        <v>2025</v>
      </c>
      <c r="K292" s="197">
        <f t="shared" si="104"/>
        <v>45935</v>
      </c>
      <c r="L292" s="147">
        <f>IF(t&lt;Tvie,1-EXP((T0-t)*PertePVj)+'2024'!Pspv,1-EXP((T0-t)*PertePVj)+Pspv)</f>
        <v>4.6051689201267121E-2</v>
      </c>
      <c r="M292" s="832"/>
      <c r="N292" s="832"/>
      <c r="O292" s="48">
        <f>IF(t&lt;Tnet,'2024'!Resal+('2024'!Salim-'2024'!Resal)*(1-EXP(('2024'!Tnet-t)/('2024'!Tau_j))),Resal+(Salim-Resal)*(1-EXP((Tnet-t)/(Tau_j))))*Salcycl</f>
        <v>2.3064567011818461E-2</v>
      </c>
      <c r="P292" s="169">
        <f>(INDEX(Models!$BJ292:$BT292,,T292)*(1-R292)+INDEX(Models!$BJ292:$BT292,,T292+1)*R292-ERP_i)*Q292*Ramure*Pc/MaxiM</f>
        <v>1.2044219632953875E-2</v>
      </c>
      <c r="Q292" s="304">
        <f t="shared" si="105"/>
        <v>0.7</v>
      </c>
      <c r="R292" s="177">
        <f t="shared" si="106"/>
        <v>0.53149297058417044</v>
      </c>
      <c r="S292" s="799">
        <f t="shared" si="107"/>
        <v>1</v>
      </c>
      <c r="T292" s="176">
        <f t="shared" si="108"/>
        <v>7</v>
      </c>
      <c r="U292" s="250">
        <f t="shared" si="109"/>
        <v>1.5314929705841704</v>
      </c>
      <c r="V292" s="382">
        <f t="shared" si="110"/>
        <v>40.321499354397972</v>
      </c>
      <c r="W292" s="400">
        <f t="shared" si="111"/>
        <v>41.359450895870715</v>
      </c>
      <c r="X292" s="157">
        <f t="shared" si="112"/>
        <v>45935</v>
      </c>
      <c r="Y292" s="383">
        <f t="shared" si="113"/>
        <v>39.447378374075818</v>
      </c>
      <c r="Z292" s="383">
        <f t="shared" si="114"/>
        <v>41.351693721273911</v>
      </c>
      <c r="AA292" s="384">
        <f t="shared" si="115"/>
        <v>44.353634272754803</v>
      </c>
      <c r="AB292" s="197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6.7681952126410067E-2</v>
      </c>
      <c r="AD292" s="230">
        <f>(INDEX(Models!$BJ292:$BT292,,AH292)*(1-AF292)+INDEX(Models!$BJ292:$BT292,,AH292+1)*AF292-ERP_i)*AE292*Ramure*Pc/MaxiM</f>
        <v>1.2623791821197886E-2</v>
      </c>
      <c r="AE292" s="304">
        <f t="shared" si="117"/>
        <v>0.7</v>
      </c>
      <c r="AF292" s="177">
        <f t="shared" si="118"/>
        <v>0.59582519284400259</v>
      </c>
      <c r="AG292" s="799">
        <f t="shared" si="124"/>
        <v>1</v>
      </c>
      <c r="AH292" s="176">
        <f t="shared" si="119"/>
        <v>7</v>
      </c>
      <c r="AI292" s="224">
        <f t="shared" si="120"/>
        <v>1.5958251928440026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45936</v>
      </c>
      <c r="B293" s="409">
        <f>'2024'!Wh/'2024'!Env_an*'2025'!Env_an</f>
        <v>14.697889539443697</v>
      </c>
      <c r="C293" s="829"/>
      <c r="D293" s="391">
        <f t="shared" si="102"/>
        <v>15.407722892486079</v>
      </c>
      <c r="E293" s="383">
        <f t="shared" si="100"/>
        <v>15.772789991294877</v>
      </c>
      <c r="F293" s="383">
        <f t="shared" si="103"/>
        <v>15.792512359210848</v>
      </c>
      <c r="G293" s="110">
        <f t="shared" si="101"/>
        <v>0.36302421399055895</v>
      </c>
      <c r="H293" s="412" t="b">
        <f>Wh_hp&gt;='2024'!Maxi_hp</f>
        <v>0</v>
      </c>
      <c r="I293" s="388">
        <f>IF(H293,Wh_hp,'2024'!Maxi_hp)</f>
        <v>37.456299477721394</v>
      </c>
      <c r="J293" s="85">
        <f>IF(H293,An,'2024'!An_max)</f>
        <v>2021</v>
      </c>
      <c r="K293" s="197">
        <f t="shared" si="104"/>
        <v>45936</v>
      </c>
      <c r="L293" s="147">
        <f>IF(t&lt;Tvie,1-EXP((T0-t)*PertePVj)+'2024'!Pspv,1-EXP((T0-t)*PertePVj)+Pspv)</f>
        <v>4.6069971403013055E-2</v>
      </c>
      <c r="M293" s="832"/>
      <c r="N293" s="832"/>
      <c r="O293" s="48">
        <f>IF(t&lt;Tnet,'2024'!Resal+('2024'!Salim-'2024'!Resal)*(1-EXP(('2024'!Tnet-t)/('2024'!Tau_j))),Resal+(Salim-Resal)*(1-EXP((Tnet-t)/(Tau_j))))*Salcycl</f>
        <v>2.3145372442686496E-2</v>
      </c>
      <c r="P293" s="169">
        <f>(INDEX(Models!$BJ293:$BT293,,T293)*(1-R293)+INDEX(Models!$BJ293:$BT293,,T293+1)*R293-ERP_i)*Q293*Ramure*Pc/MaxiM</f>
        <v>1.2981814939688389E-2</v>
      </c>
      <c r="Q293" s="304">
        <f t="shared" si="105"/>
        <v>0.7</v>
      </c>
      <c r="R293" s="177">
        <f t="shared" si="106"/>
        <v>0.53162257224100173</v>
      </c>
      <c r="S293" s="799">
        <f t="shared" si="107"/>
        <v>1</v>
      </c>
      <c r="T293" s="176">
        <f t="shared" si="108"/>
        <v>7</v>
      </c>
      <c r="U293" s="250">
        <f t="shared" si="109"/>
        <v>1.5316225722410017</v>
      </c>
      <c r="V293" s="382">
        <f t="shared" si="110"/>
        <v>40.011722142480409</v>
      </c>
      <c r="W293" s="400">
        <f t="shared" si="111"/>
        <v>14.697889539443697</v>
      </c>
      <c r="X293" s="157">
        <f t="shared" si="112"/>
        <v>45936</v>
      </c>
      <c r="Y293" s="383">
        <f t="shared" si="113"/>
        <v>14.026800795770935</v>
      </c>
      <c r="Z293" s="383">
        <f t="shared" si="114"/>
        <v>14.70422397374486</v>
      </c>
      <c r="AA293" s="384">
        <f t="shared" si="115"/>
        <v>15.771835490366909</v>
      </c>
      <c r="AB293" s="197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6.7691012708959816E-2</v>
      </c>
      <c r="AD293" s="230">
        <f>(INDEX(Models!$BJ293:$BT293,,AH293)*(1-AF293)+INDEX(Models!$BJ293:$BT293,,AH293+1)*AF293-ERP_i)*AE293*Ramure*Pc/MaxiM</f>
        <v>1.3610094183814776E-2</v>
      </c>
      <c r="AE293" s="304">
        <f t="shared" si="117"/>
        <v>0.7</v>
      </c>
      <c r="AF293" s="177">
        <f t="shared" si="118"/>
        <v>0.59595479450083388</v>
      </c>
      <c r="AG293" s="799">
        <f t="shared" si="124"/>
        <v>1</v>
      </c>
      <c r="AH293" s="176">
        <f t="shared" si="119"/>
        <v>7</v>
      </c>
      <c r="AI293" s="224">
        <f t="shared" si="120"/>
        <v>1.5959547945008339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45937</v>
      </c>
      <c r="B294" s="409">
        <f>'2024'!Wh/'2024'!Env_an*'2025'!Env_an</f>
        <v>31.10031628986216</v>
      </c>
      <c r="C294" s="829"/>
      <c r="D294" s="391">
        <f t="shared" si="102"/>
        <v>32.602928306486035</v>
      </c>
      <c r="E294" s="383">
        <f t="shared" si="100"/>
        <v>33.378158233877016</v>
      </c>
      <c r="F294" s="383">
        <f t="shared" si="103"/>
        <v>33.705219928116342</v>
      </c>
      <c r="G294" s="110">
        <f t="shared" si="101"/>
        <v>0.78003249268879515</v>
      </c>
      <c r="H294" s="412" t="b">
        <f>Wh_hp&gt;='2024'!Maxi_hp</f>
        <v>0</v>
      </c>
      <c r="I294" s="388">
        <f>IF(H294,Wh_hp,'2024'!Maxi_hp)</f>
        <v>42.329866448649689</v>
      </c>
      <c r="J294" s="85">
        <f>IF(H294,An,'2024'!An_max)</f>
        <v>2021</v>
      </c>
      <c r="K294" s="197">
        <f t="shared" si="104"/>
        <v>45937</v>
      </c>
      <c r="L294" s="147">
        <f>IF(t&lt;Tvie,1-EXP((T0-t)*PertePVj)+'2024'!Pspv,1-EXP((T0-t)*PertePVj)+Pspv)</f>
        <v>4.6088253254384703E-2</v>
      </c>
      <c r="M294" s="832"/>
      <c r="N294" s="832"/>
      <c r="O294" s="48">
        <f>IF(t&lt;Tnet,'2024'!Resal+('2024'!Salim-'2024'!Resal)*(1-EXP(('2024'!Tnet-t)/('2024'!Tau_j))),Resal+(Salim-Resal)*(1-EXP((Tnet-t)/(Tau_j))))*Salcycl</f>
        <v>2.3225665177779759E-2</v>
      </c>
      <c r="P294" s="169">
        <f>(INDEX(Models!$BJ294:$BT294,,T294)*(1-R294)+INDEX(Models!$BJ294:$BT294,,T294+1)*R294-ERP_i)*Q294*Ramure*Pc/MaxiM</f>
        <v>1.4049483733483586E-2</v>
      </c>
      <c r="Q294" s="304">
        <f t="shared" si="105"/>
        <v>0.7</v>
      </c>
      <c r="R294" s="177">
        <f t="shared" si="106"/>
        <v>0.53174703527021983</v>
      </c>
      <c r="S294" s="799">
        <f t="shared" si="107"/>
        <v>1</v>
      </c>
      <c r="T294" s="176">
        <f t="shared" si="108"/>
        <v>7</v>
      </c>
      <c r="U294" s="250">
        <f t="shared" si="109"/>
        <v>1.5317470352702198</v>
      </c>
      <c r="V294" s="382">
        <f t="shared" si="110"/>
        <v>39.695568569019713</v>
      </c>
      <c r="W294" s="400">
        <f t="shared" si="111"/>
        <v>31.10031628986216</v>
      </c>
      <c r="X294" s="157">
        <f t="shared" si="112"/>
        <v>45937</v>
      </c>
      <c r="Y294" s="383">
        <f t="shared" si="113"/>
        <v>29.670210743009928</v>
      </c>
      <c r="Z294" s="383">
        <f t="shared" si="114"/>
        <v>31.103727199327842</v>
      </c>
      <c r="AA294" s="384">
        <f t="shared" si="115"/>
        <v>33.362324587604384</v>
      </c>
      <c r="AB294" s="197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6.7699041244737246E-2</v>
      </c>
      <c r="AD294" s="230">
        <f>(INDEX(Models!$BJ294:$BT294,,AH294)*(1-AF294)+INDEX(Models!$BJ294:$BT294,,AH294+1)*AF294-ERP_i)*AE294*Ramure*Pc/MaxiM</f>
        <v>1.4729644570619883E-2</v>
      </c>
      <c r="AE294" s="304">
        <f t="shared" si="117"/>
        <v>0.7</v>
      </c>
      <c r="AF294" s="177">
        <f t="shared" si="118"/>
        <v>0.59607925753005198</v>
      </c>
      <c r="AG294" s="799">
        <f t="shared" si="124"/>
        <v>1</v>
      </c>
      <c r="AH294" s="176">
        <f t="shared" si="119"/>
        <v>7</v>
      </c>
      <c r="AI294" s="224">
        <f t="shared" si="120"/>
        <v>1.596079257530052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45938</v>
      </c>
      <c r="B295" s="409">
        <f>'2024'!Wh/'2024'!Env_an*'2025'!Env_an</f>
        <v>14.973043247315148</v>
      </c>
      <c r="C295" s="829"/>
      <c r="D295" s="391">
        <f t="shared" si="102"/>
        <v>15.69676676994065</v>
      </c>
      <c r="E295" s="383">
        <f t="shared" si="100"/>
        <v>16.071315866708638</v>
      </c>
      <c r="F295" s="383">
        <f t="shared" si="103"/>
        <v>16.099472483156642</v>
      </c>
      <c r="G295" s="110">
        <f t="shared" si="101"/>
        <v>0.37513960388061152</v>
      </c>
      <c r="H295" s="412" t="b">
        <f>Wh_hp&gt;='2024'!Maxi_hp</f>
        <v>0</v>
      </c>
      <c r="I295" s="388">
        <f>IF(H295,Wh_hp,'2024'!Maxi_hp)</f>
        <v>42.692090541725008</v>
      </c>
      <c r="J295" s="85">
        <f>IF(H295,An,'2024'!An_max)</f>
        <v>2021</v>
      </c>
      <c r="K295" s="197">
        <f t="shared" si="104"/>
        <v>45938</v>
      </c>
      <c r="L295" s="147">
        <f>IF(t&lt;Tvie,1-EXP((T0-t)*PertePVj)+'2024'!Pspv,1-EXP((T0-t)*PertePVj)+Pspv)</f>
        <v>4.6106534755388839E-2</v>
      </c>
      <c r="M295" s="832"/>
      <c r="N295" s="832"/>
      <c r="O295" s="48">
        <f>IF(t&lt;Tnet,'2024'!Resal+('2024'!Salim-'2024'!Resal)*(1-EXP(('2024'!Tnet-t)/('2024'!Tau_j))),Resal+(Salim-Resal)*(1-EXP((Tnet-t)/(Tau_j))))*Salcycl</f>
        <v>2.3305440567182041E-2</v>
      </c>
      <c r="P295" s="169">
        <f>(INDEX(Models!$BJ295:$BT295,,T295)*(1-R295)+INDEX(Models!$BJ295:$BT295,,T295+1)*R295-ERP_i)*Q295*Ramure*Pc/MaxiM</f>
        <v>1.5249160702535566E-2</v>
      </c>
      <c r="Q295" s="304">
        <f t="shared" si="105"/>
        <v>0.7</v>
      </c>
      <c r="R295" s="177">
        <f t="shared" si="106"/>
        <v>0.53186656036290891</v>
      </c>
      <c r="S295" s="799">
        <f t="shared" si="107"/>
        <v>1</v>
      </c>
      <c r="T295" s="176">
        <f t="shared" si="108"/>
        <v>7</v>
      </c>
      <c r="U295" s="250">
        <f t="shared" si="109"/>
        <v>1.5318665603629089</v>
      </c>
      <c r="V295" s="382">
        <f t="shared" si="110"/>
        <v>39.373473752323584</v>
      </c>
      <c r="W295" s="400">
        <f t="shared" si="111"/>
        <v>14.973043247315148</v>
      </c>
      <c r="X295" s="157">
        <f t="shared" si="112"/>
        <v>45938</v>
      </c>
      <c r="Y295" s="383">
        <f t="shared" si="113"/>
        <v>14.291160478222347</v>
      </c>
      <c r="Z295" s="383">
        <f t="shared" si="114"/>
        <v>14.981925129928007</v>
      </c>
      <c r="AA295" s="384">
        <f t="shared" si="115"/>
        <v>16.06995825489302</v>
      </c>
      <c r="AB295" s="197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6.7706033065376883E-2</v>
      </c>
      <c r="AD295" s="230">
        <f>(INDEX(Models!$BJ295:$BT295,,AH295)*(1-AF295)+INDEX(Models!$BJ295:$BT295,,AH295+1)*AF295-ERP_i)*AE295*Ramure*Pc/MaxiM</f>
        <v>1.5984420948958963E-2</v>
      </c>
      <c r="AE295" s="304">
        <f t="shared" si="117"/>
        <v>0.7</v>
      </c>
      <c r="AF295" s="177">
        <f t="shared" si="118"/>
        <v>0.59619878262274106</v>
      </c>
      <c r="AG295" s="799">
        <f t="shared" si="124"/>
        <v>1</v>
      </c>
      <c r="AH295" s="176">
        <f t="shared" si="119"/>
        <v>7</v>
      </c>
      <c r="AI295" s="224">
        <f t="shared" si="120"/>
        <v>1.5961987826227411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45939</v>
      </c>
      <c r="B296" s="409">
        <f>'2024'!Wh/'2024'!Env_an*'2025'!Env_an</f>
        <v>39.143326587109193</v>
      </c>
      <c r="C296" s="829"/>
      <c r="D296" s="391">
        <f t="shared" si="102"/>
        <v>41.036109587324283</v>
      </c>
      <c r="E296" s="383">
        <f t="shared" si="100"/>
        <v>42.01870416386069</v>
      </c>
      <c r="F296" s="383">
        <f t="shared" si="103"/>
        <v>42.727093613485295</v>
      </c>
      <c r="G296" s="110">
        <f t="shared" si="101"/>
        <v>1.0024924014672847</v>
      </c>
      <c r="H296" s="412" t="b">
        <f>Wh_hp&gt;='2024'!Maxi_hp</f>
        <v>1</v>
      </c>
      <c r="I296" s="388">
        <f>IF(H296,Wh_hp,'2024'!Maxi_hp)</f>
        <v>42.727093613485295</v>
      </c>
      <c r="J296" s="85">
        <f>IF(H296,An,'2024'!An_max)</f>
        <v>2025</v>
      </c>
      <c r="K296" s="197">
        <f t="shared" si="104"/>
        <v>45939</v>
      </c>
      <c r="L296" s="147">
        <f>IF(t&lt;Tvie,1-EXP((T0-t)*PertePVj)+'2024'!Pspv,1-EXP((T0-t)*PertePVj)+Pspv)</f>
        <v>4.6124815906032124E-2</v>
      </c>
      <c r="M296" s="832"/>
      <c r="N296" s="832"/>
      <c r="O296" s="48">
        <f>IF(t&lt;Tnet,'2024'!Resal+('2024'!Salim-'2024'!Resal)*(1-EXP(('2024'!Tnet-t)/('2024'!Tau_j))),Resal+(Salim-Resal)*(1-EXP((Tnet-t)/(Tau_j))))*Salcycl</f>
        <v>2.3384694889794236E-2</v>
      </c>
      <c r="P296" s="169">
        <f>(INDEX(Models!$BJ296:$BT296,,T296)*(1-R296)+INDEX(Models!$BJ296:$BT296,,T296+1)*R296-ERP_i)*Q296*Ramure*Pc/MaxiM</f>
        <v>1.6579397045649445E-2</v>
      </c>
      <c r="Q296" s="304">
        <f t="shared" si="105"/>
        <v>0.7</v>
      </c>
      <c r="R296" s="177">
        <f t="shared" si="106"/>
        <v>0.53198134061143909</v>
      </c>
      <c r="S296" s="799">
        <f t="shared" si="107"/>
        <v>1</v>
      </c>
      <c r="T296" s="176">
        <f t="shared" si="108"/>
        <v>7</v>
      </c>
      <c r="U296" s="250">
        <f t="shared" si="109"/>
        <v>1.5319813406114391</v>
      </c>
      <c r="V296" s="382">
        <f t="shared" si="110"/>
        <v>39.046008258833268</v>
      </c>
      <c r="W296" s="400">
        <f t="shared" si="111"/>
        <v>39.143326587109193</v>
      </c>
      <c r="X296" s="157">
        <f t="shared" si="112"/>
        <v>45939</v>
      </c>
      <c r="Y296" s="383">
        <f t="shared" si="113"/>
        <v>37.336588574999688</v>
      </c>
      <c r="Z296" s="383">
        <f t="shared" si="114"/>
        <v>39.142006415088368</v>
      </c>
      <c r="AA296" s="384">
        <f t="shared" si="115"/>
        <v>41.98488646879126</v>
      </c>
      <c r="AB296" s="197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6.7711986212374203E-2</v>
      </c>
      <c r="AD296" s="230">
        <f>(INDEX(Models!$BJ296:$BT296,,AH296)*(1-AF296)+INDEX(Models!$BJ296:$BT296,,AH296+1)*AF296-ERP_i)*AE296*Ramure*Pc/MaxiM</f>
        <v>1.7370878333268735E-2</v>
      </c>
      <c r="AE296" s="304">
        <f t="shared" si="117"/>
        <v>0.7</v>
      </c>
      <c r="AF296" s="177">
        <f t="shared" si="118"/>
        <v>0.59631356287127124</v>
      </c>
      <c r="AG296" s="799">
        <f t="shared" si="124"/>
        <v>1</v>
      </c>
      <c r="AH296" s="176">
        <f t="shared" si="119"/>
        <v>7</v>
      </c>
      <c r="AI296" s="224">
        <f t="shared" si="120"/>
        <v>1.5963135628712712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45940</v>
      </c>
      <c r="B297" s="409">
        <f>'2024'!Wh/'2024'!Env_an*'2025'!Env_an</f>
        <v>34.117221702591003</v>
      </c>
      <c r="C297" s="829"/>
      <c r="D297" s="391">
        <f t="shared" si="102"/>
        <v>35.767651924291634</v>
      </c>
      <c r="E297" s="383">
        <f t="shared" ref="E297:E360" si="125">Wh_pvt/(1-Psa)</f>
        <v>36.62704793189026</v>
      </c>
      <c r="F297" s="383">
        <f t="shared" si="103"/>
        <v>37.182199588217173</v>
      </c>
      <c r="G297" s="110">
        <f t="shared" ref="G297:G360" si="126">+Wh_hp/MaxiM</f>
        <v>0.87848843459571124</v>
      </c>
      <c r="H297" s="412" t="b">
        <f>Wh_hp&gt;='2024'!Maxi_hp</f>
        <v>0</v>
      </c>
      <c r="I297" s="388">
        <f>IF(H297,Wh_hp,'2024'!Maxi_hp)</f>
        <v>37.259576820741849</v>
      </c>
      <c r="J297" s="85">
        <f>IF(H297,An,'2024'!An_max)</f>
        <v>2022</v>
      </c>
      <c r="K297" s="197">
        <f t="shared" si="104"/>
        <v>45940</v>
      </c>
      <c r="L297" s="147">
        <f>IF(t&lt;Tvie,1-EXP((T0-t)*PertePVj)+'2024'!Pspv,1-EXP((T0-t)*PertePVj)+Pspv)</f>
        <v>4.614309670632144E-2</v>
      </c>
      <c r="M297" s="832"/>
      <c r="N297" s="832"/>
      <c r="O297" s="48">
        <f>IF(t&lt;Tnet,'2024'!Resal+('2024'!Salim-'2024'!Resal)*(1-EXP(('2024'!Tnet-t)/('2024'!Tau_j))),Resal+(Salim-Resal)*(1-EXP((Tnet-t)/(Tau_j))))*Salcycl</f>
        <v>2.3463425422565139E-2</v>
      </c>
      <c r="P297" s="169">
        <f>(INDEX(Models!$BJ297:$BT297,,T297)*(1-R297)+INDEX(Models!$BJ297:$BT297,,T297+1)*R297-ERP_i)*Q297*Ramure*Pc/MaxiM</f>
        <v>1.7981896569945133E-2</v>
      </c>
      <c r="Q297" s="304">
        <f t="shared" si="105"/>
        <v>0.7</v>
      </c>
      <c r="R297" s="177">
        <f t="shared" si="106"/>
        <v>0.53209156177831174</v>
      </c>
      <c r="S297" s="799">
        <f t="shared" si="107"/>
        <v>1</v>
      </c>
      <c r="T297" s="176">
        <f t="shared" si="108"/>
        <v>7</v>
      </c>
      <c r="U297" s="250">
        <f t="shared" si="109"/>
        <v>1.5320915617783117</v>
      </c>
      <c r="V297" s="382">
        <f t="shared" si="110"/>
        <v>38.71598066904388</v>
      </c>
      <c r="W297" s="400">
        <f t="shared" si="111"/>
        <v>34.117221702591003</v>
      </c>
      <c r="X297" s="157">
        <f t="shared" si="112"/>
        <v>45940</v>
      </c>
      <c r="Y297" s="383">
        <f t="shared" si="113"/>
        <v>32.547893059447446</v>
      </c>
      <c r="Z297" s="383">
        <f t="shared" si="114"/>
        <v>34.122406565449396</v>
      </c>
      <c r="AA297" s="384">
        <f t="shared" si="115"/>
        <v>36.600906552663979</v>
      </c>
      <c r="AB297" s="197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6.771690159226916E-2</v>
      </c>
      <c r="AD297" s="230">
        <f>(INDEX(Models!$BJ297:$BT297,,AH297)*(1-AF297)+INDEX(Models!$BJ297:$BT297,,AH297+1)*AF297-ERP_i)*AE297*Ramure*Pc/MaxiM</f>
        <v>1.8828641008308018E-2</v>
      </c>
      <c r="AE297" s="304">
        <f t="shared" si="117"/>
        <v>0.7</v>
      </c>
      <c r="AF297" s="177">
        <f t="shared" si="118"/>
        <v>0.59642378403814389</v>
      </c>
      <c r="AG297" s="799">
        <f t="shared" si="124"/>
        <v>1</v>
      </c>
      <c r="AH297" s="176">
        <f t="shared" si="119"/>
        <v>7</v>
      </c>
      <c r="AI297" s="224">
        <f t="shared" si="120"/>
        <v>1.5964237840381439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45941</v>
      </c>
      <c r="B298" s="409">
        <f>'2024'!Wh/'2024'!Env_an*'2025'!Env_an</f>
        <v>24.519444756727356</v>
      </c>
      <c r="C298" s="829"/>
      <c r="D298" s="391">
        <f t="shared" si="102"/>
        <v>25.706072462893204</v>
      </c>
      <c r="E298" s="383">
        <f t="shared" si="125"/>
        <v>26.32582531524584</v>
      </c>
      <c r="F298" s="383">
        <f t="shared" si="103"/>
        <v>26.576100913686936</v>
      </c>
      <c r="G298" s="110">
        <f t="shared" si="126"/>
        <v>0.63232180510613656</v>
      </c>
      <c r="H298" s="412" t="b">
        <f>Wh_hp&gt;='2024'!Maxi_hp</f>
        <v>0</v>
      </c>
      <c r="I298" s="388">
        <f>IF(H298,Wh_hp,'2024'!Maxi_hp)</f>
        <v>42.840909894173365</v>
      </c>
      <c r="J298" s="85">
        <f>IF(H298,An,'2024'!An_max)</f>
        <v>2018</v>
      </c>
      <c r="K298" s="197">
        <f t="shared" si="104"/>
        <v>45941</v>
      </c>
      <c r="L298" s="147">
        <f>IF(t&lt;Tvie,1-EXP((T0-t)*PertePVj)+'2024'!Pspv,1-EXP((T0-t)*PertePVj)+Pspv)</f>
        <v>4.6161377156263339E-2</v>
      </c>
      <c r="M298" s="832"/>
      <c r="N298" s="832"/>
      <c r="O298" s="48">
        <f>IF(t&lt;Tnet,'2024'!Resal+('2024'!Salim-'2024'!Resal)*(1-EXP(('2024'!Tnet-t)/('2024'!Tau_j))),Resal+(Salim-Resal)*(1-EXP((Tnet-t)/(Tau_j))))*Salcycl</f>
        <v>2.3541630506593275E-2</v>
      </c>
      <c r="P298" s="169">
        <f>(INDEX(Models!$BJ298:$BT298,,T298)*(1-R298)+INDEX(Models!$BJ298:$BT298,,T298+1)*R298-ERP_i)*Q298*Ramure*Pc/MaxiM</f>
        <v>1.945747601567193E-2</v>
      </c>
      <c r="Q298" s="304">
        <f t="shared" si="105"/>
        <v>0.7</v>
      </c>
      <c r="R298" s="177">
        <f t="shared" si="106"/>
        <v>0.53219740255700487</v>
      </c>
      <c r="S298" s="799">
        <f t="shared" si="107"/>
        <v>1</v>
      </c>
      <c r="T298" s="176">
        <f t="shared" si="108"/>
        <v>7</v>
      </c>
      <c r="U298" s="250">
        <f t="shared" si="109"/>
        <v>1.5321974025570049</v>
      </c>
      <c r="V298" s="382">
        <f t="shared" si="110"/>
        <v>38.383818300167491</v>
      </c>
      <c r="W298" s="400">
        <f t="shared" si="111"/>
        <v>24.519444756727356</v>
      </c>
      <c r="X298" s="157">
        <f t="shared" si="112"/>
        <v>45941</v>
      </c>
      <c r="Y298" s="383">
        <f t="shared" si="113"/>
        <v>23.399774283616097</v>
      </c>
      <c r="Z298" s="383">
        <f t="shared" si="114"/>
        <v>24.532215118164263</v>
      </c>
      <c r="AA298" s="384">
        <f t="shared" si="115"/>
        <v>26.314235771840099</v>
      </c>
      <c r="AB298" s="197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6.7720783120095301E-2</v>
      </c>
      <c r="AD298" s="230">
        <f>(INDEX(Models!$BJ298:$BT298,,AH298)*(1-AF298)+INDEX(Models!$BJ298:$BT298,,AH298+1)*AF298-ERP_i)*AE298*Ramure*Pc/MaxiM</f>
        <v>2.0358495788492033E-2</v>
      </c>
      <c r="AE298" s="304">
        <f t="shared" si="117"/>
        <v>0.7</v>
      </c>
      <c r="AF298" s="177">
        <f t="shared" si="118"/>
        <v>0.59652962481683702</v>
      </c>
      <c r="AG298" s="799">
        <f t="shared" si="124"/>
        <v>1</v>
      </c>
      <c r="AH298" s="176">
        <f t="shared" si="119"/>
        <v>7</v>
      </c>
      <c r="AI298" s="224">
        <f t="shared" si="120"/>
        <v>1.596529624816837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45942</v>
      </c>
      <c r="B299" s="409">
        <f>'2024'!Wh/'2024'!Env_an*'2025'!Env_an</f>
        <v>23.306723559960759</v>
      </c>
      <c r="C299" s="829"/>
      <c r="D299" s="391">
        <f t="shared" si="102"/>
        <v>24.435129463592119</v>
      </c>
      <c r="E299" s="383">
        <f t="shared" si="125"/>
        <v>25.026231780370345</v>
      </c>
      <c r="F299" s="383">
        <f t="shared" si="103"/>
        <v>25.263174320587947</v>
      </c>
      <c r="G299" s="110">
        <f t="shared" si="126"/>
        <v>0.60533980764676321</v>
      </c>
      <c r="H299" s="412" t="b">
        <f>Wh_hp&gt;='2024'!Maxi_hp</f>
        <v>0</v>
      </c>
      <c r="I299" s="388">
        <f>IF(H299,Wh_hp,'2024'!Maxi_hp)</f>
        <v>40.800834584500151</v>
      </c>
      <c r="J299" s="85">
        <f>IF(H299,An,'2024'!An_max)</f>
        <v>2021</v>
      </c>
      <c r="K299" s="197">
        <f t="shared" si="104"/>
        <v>45942</v>
      </c>
      <c r="L299" s="147">
        <f>IF(t&lt;Tvie,1-EXP((T0-t)*PertePVj)+'2024'!Pspv,1-EXP((T0-t)*PertePVj)+Pspv)</f>
        <v>4.6179657255864481E-2</v>
      </c>
      <c r="M299" s="832"/>
      <c r="N299" s="832"/>
      <c r="O299" s="48">
        <f>IF(t&lt;Tnet,'2024'!Resal+('2024'!Salim-'2024'!Resal)*(1-EXP(('2024'!Tnet-t)/('2024'!Tau_j))),Resal+(Salim-Resal)*(1-EXP((Tnet-t)/(Tau_j))))*Salcycl</f>
        <v>2.3619309609442158E-2</v>
      </c>
      <c r="P299" s="169">
        <f>(INDEX(Models!$BJ299:$BT299,,T299)*(1-R299)+INDEX(Models!$BJ299:$BT299,,T299+1)*R299-ERP_i)*Q299*Ramure*Pc/MaxiM</f>
        <v>2.1006895655876757E-2</v>
      </c>
      <c r="Q299" s="304">
        <f t="shared" si="105"/>
        <v>0.7</v>
      </c>
      <c r="R299" s="177">
        <f t="shared" si="106"/>
        <v>0.53229903482492613</v>
      </c>
      <c r="S299" s="799">
        <f t="shared" si="107"/>
        <v>1</v>
      </c>
      <c r="T299" s="176">
        <f t="shared" si="108"/>
        <v>7</v>
      </c>
      <c r="U299" s="250">
        <f t="shared" si="109"/>
        <v>1.5322990348249261</v>
      </c>
      <c r="V299" s="382">
        <f t="shared" si="110"/>
        <v>38.049949067522221</v>
      </c>
      <c r="W299" s="400">
        <f t="shared" si="111"/>
        <v>23.306723559960759</v>
      </c>
      <c r="X299" s="157">
        <f t="shared" si="112"/>
        <v>45942</v>
      </c>
      <c r="Y299" s="383">
        <f t="shared" si="113"/>
        <v>22.244358726027251</v>
      </c>
      <c r="Z299" s="383">
        <f t="shared" si="114"/>
        <v>23.321329740179749</v>
      </c>
      <c r="AA299" s="384">
        <f t="shared" si="115"/>
        <v>25.015468252765675</v>
      </c>
      <c r="AB299" s="197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6.7723637849498461E-2</v>
      </c>
      <c r="AD299" s="230">
        <f>(INDEX(Models!$BJ299:$BT299,,AH299)*(1-AF299)+INDEX(Models!$BJ299:$BT299,,AH299+1)*AF299-ERP_i)*AE299*Ramure*Pc/MaxiM</f>
        <v>2.1961170481633284E-2</v>
      </c>
      <c r="AE299" s="304">
        <f t="shared" si="117"/>
        <v>0.7</v>
      </c>
      <c r="AF299" s="177">
        <f t="shared" si="118"/>
        <v>0.59663125708475828</v>
      </c>
      <c r="AG299" s="799">
        <f t="shared" si="124"/>
        <v>1</v>
      </c>
      <c r="AH299" s="176">
        <f t="shared" si="119"/>
        <v>7</v>
      </c>
      <c r="AI299" s="224">
        <f t="shared" si="120"/>
        <v>1.5966312570847583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45943</v>
      </c>
      <c r="B300" s="409">
        <f>'2024'!Wh/'2024'!Env_an*'2025'!Env_an</f>
        <v>23.938059109845277</v>
      </c>
      <c r="C300" s="829"/>
      <c r="D300" s="391">
        <f t="shared" si="102"/>
        <v>25.097512407009834</v>
      </c>
      <c r="E300" s="383">
        <f t="shared" si="125"/>
        <v>25.70666956096062</v>
      </c>
      <c r="F300" s="383">
        <f t="shared" si="103"/>
        <v>25.987889358900489</v>
      </c>
      <c r="G300" s="110">
        <f t="shared" si="126"/>
        <v>0.62713484215233439</v>
      </c>
      <c r="H300" s="412" t="b">
        <f>Wh_hp&gt;='2024'!Maxi_hp</f>
        <v>0</v>
      </c>
      <c r="I300" s="388">
        <f>IF(H300,Wh_hp,'2024'!Maxi_hp)</f>
        <v>40.05086474432693</v>
      </c>
      <c r="J300" s="85">
        <f>IF(H300,An,'2024'!An_max)</f>
        <v>2021</v>
      </c>
      <c r="K300" s="197">
        <f t="shared" si="104"/>
        <v>45943</v>
      </c>
      <c r="L300" s="147">
        <f>IF(t&lt;Tvie,1-EXP((T0-t)*PertePVj)+'2024'!Pspv,1-EXP((T0-t)*PertePVj)+Pspv)</f>
        <v>4.6197937005131862E-2</v>
      </c>
      <c r="M300" s="832"/>
      <c r="N300" s="832"/>
      <c r="O300" s="48">
        <f>IF(t&lt;Tnet,'2024'!Resal+('2024'!Salim-'2024'!Resal)*(1-EXP(('2024'!Tnet-t)/('2024'!Tau_j))),Resal+(Salim-Resal)*(1-EXP((Tnet-t)/(Tau_j))))*Salcycl</f>
        <v>2.3696463383023458E-2</v>
      </c>
      <c r="P300" s="169">
        <f>(INDEX(Models!$BJ300:$BT300,,T300)*(1-R300)+INDEX(Models!$BJ300:$BT300,,T300+1)*R300-ERP_i)*Q300*Ramure*Pc/MaxiM</f>
        <v>2.2630850780235572E-2</v>
      </c>
      <c r="Q300" s="304">
        <f t="shared" si="105"/>
        <v>0.7</v>
      </c>
      <c r="R300" s="177">
        <f t="shared" si="106"/>
        <v>0.53239662388860132</v>
      </c>
      <c r="S300" s="799">
        <f t="shared" si="107"/>
        <v>1</v>
      </c>
      <c r="T300" s="176">
        <f t="shared" si="108"/>
        <v>7</v>
      </c>
      <c r="U300" s="250">
        <f t="shared" si="109"/>
        <v>1.5323966238886013</v>
      </c>
      <c r="V300" s="382">
        <f t="shared" si="110"/>
        <v>37.714801441190282</v>
      </c>
      <c r="W300" s="400">
        <f t="shared" si="111"/>
        <v>23.938059109845277</v>
      </c>
      <c r="X300" s="157">
        <f t="shared" si="112"/>
        <v>45943</v>
      </c>
      <c r="Y300" s="383">
        <f t="shared" si="113"/>
        <v>22.847387312790985</v>
      </c>
      <c r="Z300" s="383">
        <f t="shared" si="114"/>
        <v>23.954013310740674</v>
      </c>
      <c r="AA300" s="384">
        <f t="shared" si="115"/>
        <v>25.694162713172876</v>
      </c>
      <c r="AB300" s="197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6.7725476088001266E-2</v>
      </c>
      <c r="AD300" s="230">
        <f>(INDEX(Models!$BJ300:$BT300,,AH300)*(1-AF300)+INDEX(Models!$BJ300:$BT300,,AH300+1)*AF300-ERP_i)*AE300*Ramure*Pc/MaxiM</f>
        <v>2.363732545978884E-2</v>
      </c>
      <c r="AE300" s="304">
        <f t="shared" si="117"/>
        <v>0.7</v>
      </c>
      <c r="AF300" s="177">
        <f t="shared" si="118"/>
        <v>0.59672884614843347</v>
      </c>
      <c r="AG300" s="799">
        <f t="shared" si="124"/>
        <v>1</v>
      </c>
      <c r="AH300" s="176">
        <f t="shared" si="119"/>
        <v>7</v>
      </c>
      <c r="AI300" s="224">
        <f t="shared" si="120"/>
        <v>1.5967288461484335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45944</v>
      </c>
      <c r="B301" s="409">
        <f>'2024'!Wh/'2024'!Env_an*'2025'!Env_an</f>
        <v>14.885788312160024</v>
      </c>
      <c r="C301" s="829"/>
      <c r="D301" s="391">
        <f t="shared" si="102"/>
        <v>15.607088910694261</v>
      </c>
      <c r="E301" s="383">
        <f t="shared" si="125"/>
        <v>15.987152997154377</v>
      </c>
      <c r="F301" s="383">
        <f t="shared" si="103"/>
        <v>16.041929545609047</v>
      </c>
      <c r="G301" s="110">
        <f t="shared" si="126"/>
        <v>0.38988351636288693</v>
      </c>
      <c r="H301" s="412" t="b">
        <f>Wh_hp&gt;='2024'!Maxi_hp</f>
        <v>0</v>
      </c>
      <c r="I301" s="388">
        <f>IF(H301,Wh_hp,'2024'!Maxi_hp)</f>
        <v>42.197658918664054</v>
      </c>
      <c r="J301" s="85">
        <f>IF(H301,An,'2024'!An_max)</f>
        <v>2021</v>
      </c>
      <c r="K301" s="197">
        <f t="shared" si="104"/>
        <v>45944</v>
      </c>
      <c r="L301" s="147">
        <f>IF(t&lt;Tvie,1-EXP((T0-t)*PertePVj)+'2024'!Pspv,1-EXP((T0-t)*PertePVj)+Pspv)</f>
        <v>4.6216216404071919E-2</v>
      </c>
      <c r="M301" s="832"/>
      <c r="N301" s="832"/>
      <c r="O301" s="48">
        <f>IF(t&lt;Tnet,'2024'!Resal+('2024'!Salim-'2024'!Resal)*(1-EXP(('2024'!Tnet-t)/('2024'!Tau_j))),Resal+(Salim-Resal)*(1-EXP((Tnet-t)/(Tau_j))))*Salcycl</f>
        <v>2.3773093716421289E-2</v>
      </c>
      <c r="P301" s="169">
        <f>(INDEX(Models!$BJ301:$BT301,,T301)*(1-R301)+INDEX(Models!$BJ301:$BT301,,T301+1)*R301-ERP_i)*Q301*Ramure*Pc/MaxiM</f>
        <v>2.4329962912131981E-2</v>
      </c>
      <c r="Q301" s="304">
        <f t="shared" si="105"/>
        <v>0.7</v>
      </c>
      <c r="R301" s="177">
        <f t="shared" si="106"/>
        <v>0.53249032872122593</v>
      </c>
      <c r="S301" s="799">
        <f t="shared" si="107"/>
        <v>1</v>
      </c>
      <c r="T301" s="176">
        <f t="shared" si="108"/>
        <v>7</v>
      </c>
      <c r="U301" s="250">
        <f t="shared" si="109"/>
        <v>1.5324903287212259</v>
      </c>
      <c r="V301" s="382">
        <f t="shared" si="110"/>
        <v>37.378804390626144</v>
      </c>
      <c r="W301" s="400">
        <f t="shared" si="111"/>
        <v>14.885788312160024</v>
      </c>
      <c r="X301" s="157">
        <f t="shared" si="112"/>
        <v>45944</v>
      </c>
      <c r="Y301" s="383">
        <f t="shared" si="113"/>
        <v>14.213459826826455</v>
      </c>
      <c r="Z301" s="383">
        <f t="shared" si="114"/>
        <v>14.902182309327255</v>
      </c>
      <c r="AA301" s="384">
        <f t="shared" si="115"/>
        <v>15.984771953867044</v>
      </c>
      <c r="AB301" s="197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6.7726311495979116E-2</v>
      </c>
      <c r="AD301" s="230">
        <f>(INDEX(Models!$BJ301:$BT301,,AH301)*(1-AF301)+INDEX(Models!$BJ301:$BT301,,AH301+1)*AF301-ERP_i)*AE301*Ramure*Pc/MaxiM</f>
        <v>2.5387544970645996E-2</v>
      </c>
      <c r="AE301" s="304">
        <f t="shared" si="117"/>
        <v>0.7</v>
      </c>
      <c r="AF301" s="177">
        <f t="shared" si="118"/>
        <v>0.59682255098105808</v>
      </c>
      <c r="AG301" s="799">
        <f t="shared" si="124"/>
        <v>1</v>
      </c>
      <c r="AH301" s="176">
        <f t="shared" si="119"/>
        <v>7</v>
      </c>
      <c r="AI301" s="224">
        <f t="shared" si="120"/>
        <v>1.5968225509810581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45945</v>
      </c>
      <c r="B302" s="409">
        <f>'2024'!Wh/'2024'!Env_an*'2025'!Env_an</f>
        <v>37.901733417009062</v>
      </c>
      <c r="C302" s="829"/>
      <c r="D302" s="391">
        <f t="shared" si="102"/>
        <v>39.739048263229641</v>
      </c>
      <c r="E302" s="383">
        <f t="shared" si="125"/>
        <v>40.709948111744218</v>
      </c>
      <c r="F302" s="383">
        <f t="shared" si="103"/>
        <v>41.801157752638467</v>
      </c>
      <c r="G302" s="110">
        <f t="shared" si="126"/>
        <v>1.0231989932940344</v>
      </c>
      <c r="H302" s="412" t="b">
        <f>Wh_hp&gt;='2024'!Maxi_hp</f>
        <v>1</v>
      </c>
      <c r="I302" s="388">
        <f>IF(H302,Wh_hp,'2024'!Maxi_hp)</f>
        <v>41.801157752638467</v>
      </c>
      <c r="J302" s="85">
        <f>IF(H302,An,'2024'!An_max)</f>
        <v>2025</v>
      </c>
      <c r="K302" s="197">
        <f t="shared" si="104"/>
        <v>45945</v>
      </c>
      <c r="L302" s="147">
        <f>IF(t&lt;Tvie,1-EXP((T0-t)*PertePVj)+'2024'!Pspv,1-EXP((T0-t)*PertePVj)+Pspv)</f>
        <v>4.6234495452691426E-2</v>
      </c>
      <c r="M302" s="832"/>
      <c r="N302" s="832"/>
      <c r="O302" s="48">
        <f>IF(t&lt;Tnet,'2024'!Resal+('2024'!Salim-'2024'!Resal)*(1-EXP(('2024'!Tnet-t)/('2024'!Tau_j))),Resal+(Salim-Resal)*(1-EXP((Tnet-t)/(Tau_j))))*Salcycl</f>
        <v>2.3849203783054818E-2</v>
      </c>
      <c r="P302" s="169">
        <f>(INDEX(Models!$BJ302:$BT302,,T302)*(1-R302)+INDEX(Models!$BJ302:$BT302,,T302+1)*R302-ERP_i)*Q302*Ramure*Pc/MaxiM</f>
        <v>2.6104770766196498E-2</v>
      </c>
      <c r="Q302" s="304">
        <f t="shared" si="105"/>
        <v>0.7</v>
      </c>
      <c r="R302" s="177">
        <f t="shared" si="106"/>
        <v>0.53258030219271868</v>
      </c>
      <c r="S302" s="799">
        <f t="shared" si="107"/>
        <v>1</v>
      </c>
      <c r="T302" s="176">
        <f t="shared" si="108"/>
        <v>7</v>
      </c>
      <c r="U302" s="250">
        <f t="shared" si="109"/>
        <v>1.5325803021927187</v>
      </c>
      <c r="V302" s="382">
        <f t="shared" si="110"/>
        <v>37.04238732193253</v>
      </c>
      <c r="W302" s="400">
        <f t="shared" si="111"/>
        <v>37.901733417009062</v>
      </c>
      <c r="X302" s="157">
        <f t="shared" si="112"/>
        <v>45945</v>
      </c>
      <c r="Y302" s="383">
        <f t="shared" si="113"/>
        <v>36.156924044156689</v>
      </c>
      <c r="Z302" s="383">
        <f t="shared" si="114"/>
        <v>37.909657952368562</v>
      </c>
      <c r="AA302" s="384">
        <f t="shared" si="115"/>
        <v>40.663650928856214</v>
      </c>
      <c r="AB302" s="197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6.7726161168015733E-2</v>
      </c>
      <c r="AD302" s="230">
        <f>(INDEX(Models!$BJ302:$BT302,,AH302)*(1-AF302)+INDEX(Models!$BJ302:$BT302,,AH302+1)*AF302-ERP_i)*AE302*Ramure*Pc/MaxiM</f>
        <v>2.7212328197069008E-2</v>
      </c>
      <c r="AE302" s="304">
        <f t="shared" si="117"/>
        <v>0.7</v>
      </c>
      <c r="AF302" s="177">
        <f t="shared" si="118"/>
        <v>0.59691252445255083</v>
      </c>
      <c r="AG302" s="799">
        <f t="shared" si="124"/>
        <v>1</v>
      </c>
      <c r="AH302" s="176">
        <f t="shared" si="119"/>
        <v>7</v>
      </c>
      <c r="AI302" s="224">
        <f t="shared" si="120"/>
        <v>1.5969125244525508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45946</v>
      </c>
      <c r="B303" s="409">
        <f>'2024'!Wh/'2024'!Env_an*'2025'!Env_an</f>
        <v>33.804264592398802</v>
      </c>
      <c r="C303" s="829"/>
      <c r="D303" s="391">
        <f t="shared" si="102"/>
        <v>35.443630844962158</v>
      </c>
      <c r="E303" s="383">
        <f t="shared" si="125"/>
        <v>36.312397626023838</v>
      </c>
      <c r="F303" s="383">
        <f t="shared" si="103"/>
        <v>37.235899054590931</v>
      </c>
      <c r="G303" s="110">
        <f t="shared" si="126"/>
        <v>0.91800877946716564</v>
      </c>
      <c r="H303" s="412" t="b">
        <f>Wh_hp&gt;='2024'!Maxi_hp</f>
        <v>0</v>
      </c>
      <c r="I303" s="388">
        <f>IF(H303,Wh_hp,'2024'!Maxi_hp)</f>
        <v>39.40385171327874</v>
      </c>
      <c r="J303" s="85">
        <f>IF(H303,An,'2024'!An_max)</f>
        <v>2018</v>
      </c>
      <c r="K303" s="197">
        <f t="shared" si="104"/>
        <v>45946</v>
      </c>
      <c r="L303" s="147">
        <f>IF(t&lt;Tvie,1-EXP((T0-t)*PertePVj)+'2024'!Pspv,1-EXP((T0-t)*PertePVj)+Pspv)</f>
        <v>4.6252774150997267E-2</v>
      </c>
      <c r="M303" s="832"/>
      <c r="N303" s="832"/>
      <c r="O303" s="48">
        <f>IF(t&lt;Tnet,'2024'!Resal+('2024'!Salim-'2024'!Resal)*(1-EXP(('2024'!Tnet-t)/('2024'!Tau_j))),Resal+(Salim-Resal)*(1-EXP((Tnet-t)/(Tau_j))))*Salcycl</f>
        <v>2.3924798081608009E-2</v>
      </c>
      <c r="P303" s="169">
        <f>(INDEX(Models!$BJ303:$BT303,,T303)*(1-R303)+INDEX(Models!$BJ303:$BT303,,T303+1)*R303-ERP_i)*Q303*Ramure*Pc/MaxiM</f>
        <v>2.7956956803221241E-2</v>
      </c>
      <c r="Q303" s="304">
        <f t="shared" si="105"/>
        <v>0.7</v>
      </c>
      <c r="R303" s="177">
        <f t="shared" si="106"/>
        <v>0.53266669129242517</v>
      </c>
      <c r="S303" s="799">
        <f t="shared" si="107"/>
        <v>1</v>
      </c>
      <c r="T303" s="176">
        <f t="shared" si="108"/>
        <v>7</v>
      </c>
      <c r="U303" s="250">
        <f t="shared" si="109"/>
        <v>1.5326666912924252</v>
      </c>
      <c r="V303" s="382">
        <f t="shared" si="110"/>
        <v>36.704310745606271</v>
      </c>
      <c r="W303" s="400">
        <f t="shared" si="111"/>
        <v>33.804264592398802</v>
      </c>
      <c r="X303" s="157">
        <f t="shared" si="112"/>
        <v>45946</v>
      </c>
      <c r="Y303" s="383">
        <f t="shared" si="113"/>
        <v>32.253371838813209</v>
      </c>
      <c r="Z303" s="383">
        <f t="shared" si="114"/>
        <v>33.817526242450704</v>
      </c>
      <c r="AA303" s="384">
        <f t="shared" si="115"/>
        <v>36.274197956628264</v>
      </c>
      <c r="AB303" s="197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6.7725045695425493E-2</v>
      </c>
      <c r="AD303" s="230">
        <f>(INDEX(Models!$BJ303:$BT303,,AH303)*(1-AF303)+INDEX(Models!$BJ303:$BT303,,AH303+1)*AF303-ERP_i)*AE303*Ramure*Pc/MaxiM</f>
        <v>2.9113367041640064E-2</v>
      </c>
      <c r="AE303" s="304">
        <f t="shared" si="117"/>
        <v>0.7</v>
      </c>
      <c r="AF303" s="177">
        <f t="shared" si="118"/>
        <v>0.59699891355225732</v>
      </c>
      <c r="AG303" s="799">
        <f t="shared" si="124"/>
        <v>1</v>
      </c>
      <c r="AH303" s="176">
        <f t="shared" si="119"/>
        <v>7</v>
      </c>
      <c r="AI303" s="224">
        <f t="shared" si="120"/>
        <v>1.5969989135522573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45947</v>
      </c>
      <c r="B304" s="409">
        <f>'2024'!Wh/'2024'!Env_an*'2025'!Env_an</f>
        <v>18.526031728200532</v>
      </c>
      <c r="C304" s="829"/>
      <c r="D304" s="391">
        <f t="shared" si="102"/>
        <v>19.424839496319294</v>
      </c>
      <c r="E304" s="383">
        <f t="shared" si="125"/>
        <v>19.902497087277297</v>
      </c>
      <c r="F304" s="383">
        <f t="shared" si="103"/>
        <v>20.081669750082739</v>
      </c>
      <c r="G304" s="110">
        <f t="shared" si="126"/>
        <v>0.49869312121752535</v>
      </c>
      <c r="H304" s="412" t="b">
        <f>Wh_hp&gt;='2024'!Maxi_hp</f>
        <v>0</v>
      </c>
      <c r="I304" s="388">
        <f>IF(H304,Wh_hp,'2024'!Maxi_hp)</f>
        <v>38.717430776256577</v>
      </c>
      <c r="J304" s="85">
        <f>IF(H304,An,'2024'!An_max)</f>
        <v>2021</v>
      </c>
      <c r="K304" s="197">
        <f t="shared" si="104"/>
        <v>45947</v>
      </c>
      <c r="L304" s="147">
        <f>IF(t&lt;Tvie,1-EXP((T0-t)*PertePVj)+'2024'!Pspv,1-EXP((T0-t)*PertePVj)+Pspv)</f>
        <v>4.627105249899599E-2</v>
      </c>
      <c r="M304" s="832"/>
      <c r="N304" s="832"/>
      <c r="O304" s="48">
        <f>IF(t&lt;Tnet,'2024'!Resal+('2024'!Salim-'2024'!Resal)*(1-EXP(('2024'!Tnet-t)/('2024'!Tau_j))),Resal+(Salim-Resal)*(1-EXP((Tnet-t)/(Tau_j))))*Salcycl</f>
        <v>2.399988247019242E-2</v>
      </c>
      <c r="P304" s="169">
        <f>(INDEX(Models!$BJ304:$BT304,,T304)*(1-R304)+INDEX(Models!$BJ304:$BT304,,T304+1)*R304-ERP_i)*Q304*Ramure*Pc/MaxiM</f>
        <v>2.9820830266569461E-2</v>
      </c>
      <c r="Q304" s="304">
        <f t="shared" si="105"/>
        <v>0.7</v>
      </c>
      <c r="R304" s="177">
        <f t="shared" si="106"/>
        <v>0.532749637344621</v>
      </c>
      <c r="S304" s="799">
        <f t="shared" si="107"/>
        <v>1</v>
      </c>
      <c r="T304" s="176">
        <f t="shared" si="108"/>
        <v>7</v>
      </c>
      <c r="U304" s="250">
        <f t="shared" si="109"/>
        <v>1.532749637344621</v>
      </c>
      <c r="V304" s="382">
        <f t="shared" si="110"/>
        <v>36.3658064737836</v>
      </c>
      <c r="W304" s="400">
        <f t="shared" si="111"/>
        <v>18.526031728200532</v>
      </c>
      <c r="X304" s="157">
        <f t="shared" si="112"/>
        <v>45947</v>
      </c>
      <c r="Y304" s="383">
        <f t="shared" si="113"/>
        <v>17.689679028012357</v>
      </c>
      <c r="Z304" s="383">
        <f t="shared" si="114"/>
        <v>18.54791036212491</v>
      </c>
      <c r="AA304" s="384">
        <f t="shared" si="115"/>
        <v>19.895278063743078</v>
      </c>
      <c r="AB304" s="197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6.7722989208861328E-2</v>
      </c>
      <c r="AD304" s="230">
        <f>(INDEX(Models!$BJ304:$BT304,,AH304)*(1-AF304)+INDEX(Models!$BJ304:$BT304,,AH304+1)*AF304-ERP_i)*AE304*Ramure*Pc/MaxiM</f>
        <v>3.1022337640146846E-2</v>
      </c>
      <c r="AE304" s="304">
        <f t="shared" si="117"/>
        <v>0.7</v>
      </c>
      <c r="AF304" s="177">
        <f t="shared" si="118"/>
        <v>0.59708185960445315</v>
      </c>
      <c r="AG304" s="799">
        <f t="shared" si="124"/>
        <v>1</v>
      </c>
      <c r="AH304" s="176">
        <f t="shared" si="119"/>
        <v>7</v>
      </c>
      <c r="AI304" s="224">
        <f t="shared" si="120"/>
        <v>1.5970818596044531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45948</v>
      </c>
      <c r="B305" s="409">
        <f>'2024'!Wh/'2024'!Env_an*'2025'!Env_an</f>
        <v>35.171104848840237</v>
      </c>
      <c r="C305" s="829"/>
      <c r="D305" s="391">
        <f t="shared" si="102"/>
        <v>36.878170679538911</v>
      </c>
      <c r="E305" s="383">
        <f t="shared" si="125"/>
        <v>37.787893980101245</v>
      </c>
      <c r="F305" s="383">
        <f t="shared" si="103"/>
        <v>38.978900363800989</v>
      </c>
      <c r="G305" s="110">
        <f t="shared" si="126"/>
        <v>0.97508874901547471</v>
      </c>
      <c r="H305" s="412" t="b">
        <f>Wh_hp&gt;='2024'!Maxi_hp</f>
        <v>0</v>
      </c>
      <c r="I305" s="388">
        <f>IF(H305,Wh_hp,'2024'!Maxi_hp)</f>
        <v>39.005969343907886</v>
      </c>
      <c r="J305" s="85">
        <f>IF(H305,An,'2024'!An_max)</f>
        <v>2022</v>
      </c>
      <c r="K305" s="197">
        <f t="shared" si="104"/>
        <v>45948</v>
      </c>
      <c r="L305" s="147">
        <f>IF(t&lt;Tvie,1-EXP((T0-t)*PertePVj)+'2024'!Pspv,1-EXP((T0-t)*PertePVj)+Pspv)</f>
        <v>4.6289330496694259E-2</v>
      </c>
      <c r="M305" s="832"/>
      <c r="N305" s="832"/>
      <c r="O305" s="48">
        <f>IF(t&lt;Tnet,'2024'!Resal+('2024'!Salim-'2024'!Resal)*(1-EXP(('2024'!Tnet-t)/('2024'!Tau_j))),Resal+(Salim-Resal)*(1-EXP((Tnet-t)/(Tau_j))))*Salcycl</f>
        <v>2.4074464193251557E-2</v>
      </c>
      <c r="P305" s="169">
        <f>(INDEX(Models!$BJ305:$BT305,,T305)*(1-R305)+INDEX(Models!$BJ305:$BT305,,T305+1)*R305-ERP_i)*Q305*Ramure*Pc/MaxiM</f>
        <v>3.1631862725330695E-2</v>
      </c>
      <c r="Q305" s="304">
        <f t="shared" si="105"/>
        <v>0.7</v>
      </c>
      <c r="R305" s="177">
        <f t="shared" si="106"/>
        <v>0.53282927621697351</v>
      </c>
      <c r="S305" s="799">
        <f t="shared" si="107"/>
        <v>1</v>
      </c>
      <c r="T305" s="176">
        <f t="shared" si="108"/>
        <v>7</v>
      </c>
      <c r="U305" s="250">
        <f t="shared" si="109"/>
        <v>1.5328292762169735</v>
      </c>
      <c r="V305" s="382">
        <f t="shared" si="110"/>
        <v>36.029584342753161</v>
      </c>
      <c r="W305" s="400">
        <f t="shared" si="111"/>
        <v>35.171104848840237</v>
      </c>
      <c r="X305" s="157">
        <f t="shared" si="112"/>
        <v>45948</v>
      </c>
      <c r="Y305" s="383">
        <f t="shared" si="113"/>
        <v>33.556591288124196</v>
      </c>
      <c r="Z305" s="383">
        <f t="shared" si="114"/>
        <v>35.185295038798856</v>
      </c>
      <c r="AA305" s="384">
        <f t="shared" si="115"/>
        <v>37.741124738253909</v>
      </c>
      <c r="AB305" s="197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6.7720019400071038E-2</v>
      </c>
      <c r="AD305" s="230">
        <f>(INDEX(Models!$BJ305:$BT305,,AH305)*(1-AF305)+INDEX(Models!$BJ305:$BT305,,AH305+1)*AF305-ERP_i)*AE305*Ramure*Pc/MaxiM</f>
        <v>3.2874004042228719E-2</v>
      </c>
      <c r="AE305" s="304">
        <f t="shared" si="117"/>
        <v>0.7</v>
      </c>
      <c r="AF305" s="177">
        <f t="shared" si="118"/>
        <v>0.59716149847680566</v>
      </c>
      <c r="AG305" s="799">
        <f t="shared" si="124"/>
        <v>1</v>
      </c>
      <c r="AH305" s="176">
        <f t="shared" si="119"/>
        <v>7</v>
      </c>
      <c r="AI305" s="224">
        <f t="shared" si="120"/>
        <v>1.5971614984768057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45949</v>
      </c>
      <c r="B306" s="409">
        <f>'2024'!Wh/'2024'!Env_an*'2025'!Env_an</f>
        <v>15.704839858686906</v>
      </c>
      <c r="C306" s="829"/>
      <c r="D306" s="391">
        <f t="shared" si="102"/>
        <v>16.467406044967003</v>
      </c>
      <c r="E306" s="383">
        <f t="shared" si="125"/>
        <v>16.874910701871926</v>
      </c>
      <c r="F306" s="383">
        <f t="shared" si="103"/>
        <v>16.988323774906178</v>
      </c>
      <c r="G306" s="110">
        <f t="shared" si="126"/>
        <v>0.42812985672284415</v>
      </c>
      <c r="H306" s="412" t="b">
        <f>Wh_hp&gt;='2024'!Maxi_hp</f>
        <v>0</v>
      </c>
      <c r="I306" s="388">
        <f>IF(H306,Wh_hp,'2024'!Maxi_hp)</f>
        <v>39.339930108632885</v>
      </c>
      <c r="J306" s="85">
        <f>IF(H306,An,'2024'!An_max)</f>
        <v>2020</v>
      </c>
      <c r="K306" s="197">
        <f t="shared" si="104"/>
        <v>45949</v>
      </c>
      <c r="L306" s="147">
        <f>IF(t&lt;Tvie,1-EXP((T0-t)*PertePVj)+'2024'!Pspv,1-EXP((T0-t)*PertePVj)+Pspv)</f>
        <v>4.6307608144098955E-2</v>
      </c>
      <c r="M306" s="832"/>
      <c r="N306" s="832"/>
      <c r="O306" s="48">
        <f>IF(t&lt;Tnet,'2024'!Resal+('2024'!Salim-'2024'!Resal)*(1-EXP(('2024'!Tnet-t)/('2024'!Tau_j))),Resal+(Salim-Resal)*(1-EXP((Tnet-t)/(Tau_j))))*Salcycl</f>
        <v>2.4148551900764589E-2</v>
      </c>
      <c r="P306" s="169">
        <f>(INDEX(Models!$BJ306:$BT306,,T306)*(1-R306)+INDEX(Models!$BJ306:$BT306,,T306+1)*R306-ERP_i)*Q306*Ramure*Pc/MaxiM</f>
        <v>3.3388891310404165E-2</v>
      </c>
      <c r="Q306" s="304">
        <f t="shared" si="105"/>
        <v>0.7</v>
      </c>
      <c r="R306" s="177">
        <f t="shared" si="106"/>
        <v>0.53290573852211764</v>
      </c>
      <c r="S306" s="799">
        <f t="shared" si="107"/>
        <v>1</v>
      </c>
      <c r="T306" s="176">
        <f t="shared" si="108"/>
        <v>7</v>
      </c>
      <c r="U306" s="250">
        <f t="shared" si="109"/>
        <v>1.5329057385221176</v>
      </c>
      <c r="V306" s="382">
        <f t="shared" si="110"/>
        <v>35.695940154892156</v>
      </c>
      <c r="W306" s="400">
        <f t="shared" si="111"/>
        <v>15.704839858686906</v>
      </c>
      <c r="X306" s="157">
        <f t="shared" si="112"/>
        <v>45949</v>
      </c>
      <c r="Y306" s="383">
        <f t="shared" si="113"/>
        <v>14.999825216460318</v>
      </c>
      <c r="Z306" s="383">
        <f t="shared" si="114"/>
        <v>15.72815862279284</v>
      </c>
      <c r="AA306" s="384">
        <f t="shared" si="115"/>
        <v>16.870568892080783</v>
      </c>
      <c r="AB306" s="197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6.7716167522021253E-2</v>
      </c>
      <c r="AD306" s="230">
        <f>(INDEX(Models!$BJ306:$BT306,,AH306)*(1-AF306)+INDEX(Models!$BJ306:$BT306,,AH306+1)*AF306-ERP_i)*AE306*Ramure*Pc/MaxiM</f>
        <v>3.4667123275453252E-2</v>
      </c>
      <c r="AE306" s="304">
        <f t="shared" si="117"/>
        <v>0.7</v>
      </c>
      <c r="AF306" s="177">
        <f t="shared" si="118"/>
        <v>0.59723796078194979</v>
      </c>
      <c r="AG306" s="799">
        <f t="shared" si="124"/>
        <v>1</v>
      </c>
      <c r="AH306" s="176">
        <f t="shared" si="119"/>
        <v>7</v>
      </c>
      <c r="AI306" s="224">
        <f t="shared" si="120"/>
        <v>1.5972379607819498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45950</v>
      </c>
      <c r="B307" s="409">
        <f>'2024'!Wh/'2024'!Env_an*'2025'!Env_an</f>
        <v>12.1896505981837</v>
      </c>
      <c r="C307" s="829"/>
      <c r="D307" s="391">
        <f t="shared" si="102"/>
        <v>12.781777770935131</v>
      </c>
      <c r="E307" s="383">
        <f t="shared" si="125"/>
        <v>13.099065371352159</v>
      </c>
      <c r="F307" s="383">
        <f t="shared" si="103"/>
        <v>13.128470088449552</v>
      </c>
      <c r="G307" s="110">
        <f t="shared" si="126"/>
        <v>0.33333109927800536</v>
      </c>
      <c r="H307" s="412" t="b">
        <f>Wh_hp&gt;='2024'!Maxi_hp</f>
        <v>0</v>
      </c>
      <c r="I307" s="388">
        <f>IF(H307,Wh_hp,'2024'!Maxi_hp)</f>
        <v>36.661931071686425</v>
      </c>
      <c r="J307" s="85">
        <f>IF(H307,An,'2024'!An_max)</f>
        <v>2020</v>
      </c>
      <c r="K307" s="197">
        <f t="shared" si="104"/>
        <v>45950</v>
      </c>
      <c r="L307" s="147">
        <f>IF(t&lt;Tvie,1-EXP((T0-t)*PertePVj)+'2024'!Pspv,1-EXP((T0-t)*PertePVj)+Pspv)</f>
        <v>4.632588544121663E-2</v>
      </c>
      <c r="M307" s="832"/>
      <c r="N307" s="832"/>
      <c r="O307" s="48">
        <f>IF(t&lt;Tnet,'2024'!Resal+('2024'!Salim-'2024'!Resal)*(1-EXP(('2024'!Tnet-t)/('2024'!Tau_j))),Resal+(Salim-Resal)*(1-EXP((Tnet-t)/(Tau_j))))*Salcycl</f>
        <v>2.4222155659360249E-2</v>
      </c>
      <c r="P307" s="169">
        <f>(INDEX(Models!$BJ307:$BT307,,T307)*(1-R307)+INDEX(Models!$BJ307:$BT307,,T307+1)*R307-ERP_i)*Q307*Ramure*Pc/MaxiM</f>
        <v>3.5090699023348756E-2</v>
      </c>
      <c r="Q307" s="304">
        <f t="shared" si="105"/>
        <v>0.7</v>
      </c>
      <c r="R307" s="177">
        <f t="shared" si="106"/>
        <v>0.53297914981251227</v>
      </c>
      <c r="S307" s="799">
        <f t="shared" si="107"/>
        <v>1</v>
      </c>
      <c r="T307" s="176">
        <f t="shared" si="108"/>
        <v>7</v>
      </c>
      <c r="U307" s="250">
        <f t="shared" si="109"/>
        <v>1.5329791498125123</v>
      </c>
      <c r="V307" s="382">
        <f t="shared" si="110"/>
        <v>35.365167950171887</v>
      </c>
      <c r="W307" s="400">
        <f t="shared" si="111"/>
        <v>12.1896505981837</v>
      </c>
      <c r="X307" s="157">
        <f t="shared" si="112"/>
        <v>45950</v>
      </c>
      <c r="Y307" s="383">
        <f t="shared" si="113"/>
        <v>11.645395917702984</v>
      </c>
      <c r="Z307" s="383">
        <f t="shared" si="114"/>
        <v>12.211085254306937</v>
      </c>
      <c r="AA307" s="384">
        <f t="shared" si="115"/>
        <v>13.097967892960108</v>
      </c>
      <c r="AB307" s="197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6.7711468366772581E-2</v>
      </c>
      <c r="AD307" s="230">
        <f>(INDEX(Models!$BJ307:$BT307,,AH307)*(1-AF307)+INDEX(Models!$BJ307:$BT307,,AH307+1)*AF307-ERP_i)*AE307*Ramure*Pc/MaxiM</f>
        <v>3.6400396505306222E-2</v>
      </c>
      <c r="AE307" s="304">
        <f t="shared" si="117"/>
        <v>0.7</v>
      </c>
      <c r="AF307" s="177">
        <f t="shared" si="118"/>
        <v>0.59731137207234442</v>
      </c>
      <c r="AG307" s="799">
        <f t="shared" si="124"/>
        <v>1</v>
      </c>
      <c r="AH307" s="176">
        <f t="shared" si="119"/>
        <v>7</v>
      </c>
      <c r="AI307" s="224">
        <f t="shared" si="120"/>
        <v>1.5973113720723444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45951</v>
      </c>
      <c r="B308" s="409">
        <f>'2024'!Wh/'2024'!Env_an*'2025'!Env_an</f>
        <v>16.546740632837899</v>
      </c>
      <c r="C308" s="829"/>
      <c r="D308" s="391">
        <f t="shared" si="102"/>
        <v>17.350851303204593</v>
      </c>
      <c r="E308" s="383">
        <f t="shared" si="125"/>
        <v>17.782891761438641</v>
      </c>
      <c r="F308" s="383">
        <f t="shared" si="103"/>
        <v>17.945116752385413</v>
      </c>
      <c r="G308" s="110">
        <f t="shared" si="126"/>
        <v>0.45905828516187303</v>
      </c>
      <c r="H308" s="412" t="b">
        <f>Wh_hp&gt;='2024'!Maxi_hp</f>
        <v>0</v>
      </c>
      <c r="I308" s="388">
        <f>IF(H308,Wh_hp,'2024'!Maxi_hp)</f>
        <v>22.202361362008595</v>
      </c>
      <c r="J308" s="85">
        <f>IF(H308,An,'2024'!An_max)</f>
        <v>2018</v>
      </c>
      <c r="K308" s="197">
        <f t="shared" si="104"/>
        <v>45951</v>
      </c>
      <c r="L308" s="147">
        <f>IF(t&lt;Tvie,1-EXP((T0-t)*PertePVj)+'2024'!Pspv,1-EXP((T0-t)*PertePVj)+Pspv)</f>
        <v>4.6344162388054166E-2</v>
      </c>
      <c r="M308" s="832"/>
      <c r="N308" s="832"/>
      <c r="O308" s="48">
        <f>IF(t&lt;Tnet,'2024'!Resal+('2024'!Salim-'2024'!Resal)*(1-EXP(('2024'!Tnet-t)/('2024'!Tau_j))),Resal+(Salim-Resal)*(1-EXP((Tnet-t)/(Tau_j))))*Salcycl</f>
        <v>2.4295286955010865E-2</v>
      </c>
      <c r="P308" s="169">
        <f>(INDEX(Models!$BJ308:$BT308,,T308)*(1-R308)+INDEX(Models!$BJ308:$BT308,,T308+1)*R308-ERP_i)*Q308*Ramure*Pc/MaxiM</f>
        <v>3.673601799499903E-2</v>
      </c>
      <c r="Q308" s="304">
        <f t="shared" si="105"/>
        <v>0.7</v>
      </c>
      <c r="R308" s="177">
        <f t="shared" si="106"/>
        <v>0.53304963076874046</v>
      </c>
      <c r="S308" s="799">
        <f t="shared" si="107"/>
        <v>1</v>
      </c>
      <c r="T308" s="176">
        <f t="shared" si="108"/>
        <v>7</v>
      </c>
      <c r="U308" s="250">
        <f t="shared" si="109"/>
        <v>1.5330496307687405</v>
      </c>
      <c r="V308" s="382">
        <f t="shared" si="110"/>
        <v>35.037559978611625</v>
      </c>
      <c r="W308" s="400">
        <f t="shared" si="111"/>
        <v>16.546740632837899</v>
      </c>
      <c r="X308" s="157">
        <f t="shared" si="112"/>
        <v>45951</v>
      </c>
      <c r="Y308" s="383">
        <f t="shared" si="113"/>
        <v>15.80530234508795</v>
      </c>
      <c r="Z308" s="383">
        <f t="shared" si="114"/>
        <v>16.573381844613969</v>
      </c>
      <c r="AA308" s="384">
        <f t="shared" si="115"/>
        <v>17.776990024023675</v>
      </c>
      <c r="AB308" s="197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6.7705960220665037E-2</v>
      </c>
      <c r="AD308" s="230">
        <f>(INDEX(Models!$BJ308:$BT308,,AH308)*(1-AF308)+INDEX(Models!$BJ308:$BT308,,AH308+1)*AF308-ERP_i)*AE308*Ramure*Pc/MaxiM</f>
        <v>3.8072472573375545E-2</v>
      </c>
      <c r="AE308" s="304">
        <f t="shared" si="117"/>
        <v>0.7</v>
      </c>
      <c r="AF308" s="177">
        <f t="shared" si="118"/>
        <v>0.59738185302857261</v>
      </c>
      <c r="AG308" s="799">
        <f t="shared" si="124"/>
        <v>1</v>
      </c>
      <c r="AH308" s="176">
        <f t="shared" si="119"/>
        <v>7</v>
      </c>
      <c r="AI308" s="224">
        <f t="shared" si="120"/>
        <v>1.5973818530285726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45952</v>
      </c>
      <c r="B309" s="409">
        <f>'2024'!Wh/'2024'!Env_an*'2025'!Env_an</f>
        <v>34.433196657368647</v>
      </c>
      <c r="C309" s="829"/>
      <c r="D309" s="391">
        <f t="shared" si="102"/>
        <v>36.107215219906017</v>
      </c>
      <c r="E309" s="383">
        <f t="shared" si="125"/>
        <v>37.009050226881207</v>
      </c>
      <c r="F309" s="383">
        <f t="shared" si="103"/>
        <v>38.466211970187587</v>
      </c>
      <c r="G309" s="110">
        <f t="shared" si="126"/>
        <v>0.99147227886313682</v>
      </c>
      <c r="H309" s="412" t="b">
        <f>Wh_hp&gt;='2024'!Maxi_hp</f>
        <v>0</v>
      </c>
      <c r="I309" s="388">
        <f>IF(H309,Wh_hp,'2024'!Maxi_hp)</f>
        <v>38.476732251780895</v>
      </c>
      <c r="J309" s="85">
        <f>IF(H309,An,'2024'!An_max)</f>
        <v>2022</v>
      </c>
      <c r="K309" s="197">
        <f t="shared" si="104"/>
        <v>45952</v>
      </c>
      <c r="L309" s="147">
        <f>IF(t&lt;Tvie,1-EXP((T0-t)*PertePVj)+'2024'!Pspv,1-EXP((T0-t)*PertePVj)+Pspv)</f>
        <v>4.6362438984618115E-2</v>
      </c>
      <c r="M309" s="832"/>
      <c r="N309" s="832"/>
      <c r="O309" s="48">
        <f>IF(t&lt;Tnet,'2024'!Resal+('2024'!Salim-'2024'!Resal)*(1-EXP(('2024'!Tnet-t)/('2024'!Tau_j))),Resal+(Salim-Resal)*(1-EXP((Tnet-t)/(Tau_j))))*Salcycl</f>
        <v>2.4367958687038931E-2</v>
      </c>
      <c r="P309" s="169">
        <f>(INDEX(Models!$BJ309:$BT309,,T309)*(1-R309)+INDEX(Models!$BJ309:$BT309,,T309+1)*R309-ERP_i)*Q309*Ramure*Pc/MaxiM</f>
        <v>3.8323532745977058E-2</v>
      </c>
      <c r="Q309" s="304">
        <f t="shared" si="105"/>
        <v>0.7</v>
      </c>
      <c r="R309" s="177">
        <f t="shared" si="106"/>
        <v>0.53311729738141711</v>
      </c>
      <c r="S309" s="799">
        <f t="shared" si="107"/>
        <v>1</v>
      </c>
      <c r="T309" s="176">
        <f t="shared" si="108"/>
        <v>7</v>
      </c>
      <c r="U309" s="250">
        <f t="shared" si="109"/>
        <v>1.5331172973814171</v>
      </c>
      <c r="V309" s="382">
        <f t="shared" si="110"/>
        <v>34.713406687029405</v>
      </c>
      <c r="W309" s="400">
        <f t="shared" si="111"/>
        <v>34.433196657368647</v>
      </c>
      <c r="X309" s="157">
        <f t="shared" si="112"/>
        <v>45952</v>
      </c>
      <c r="Y309" s="383">
        <f t="shared" si="113"/>
        <v>32.857959101323111</v>
      </c>
      <c r="Z309" s="383">
        <f t="shared" si="114"/>
        <v>34.455395261841119</v>
      </c>
      <c r="AA309" s="384">
        <f t="shared" si="115"/>
        <v>36.957399563167819</v>
      </c>
      <c r="AB309" s="197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6.7699684796552348E-2</v>
      </c>
      <c r="AD309" s="230">
        <f>(INDEX(Models!$BJ309:$BT309,,AH309)*(1-AF309)+INDEX(Models!$BJ309:$BT309,,AH309+1)*AF309-ERP_i)*AE309*Ramure*Pc/MaxiM</f>
        <v>3.9681951542836283E-2</v>
      </c>
      <c r="AE309" s="304">
        <f t="shared" si="117"/>
        <v>0.7</v>
      </c>
      <c r="AF309" s="177">
        <f t="shared" si="118"/>
        <v>0.59744951964124926</v>
      </c>
      <c r="AG309" s="799">
        <f t="shared" si="124"/>
        <v>1</v>
      </c>
      <c r="AH309" s="176">
        <f t="shared" si="119"/>
        <v>7</v>
      </c>
      <c r="AI309" s="224">
        <f t="shared" si="120"/>
        <v>1.5974495196412493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45953</v>
      </c>
      <c r="B310" s="409">
        <f>'2024'!Wh/'2024'!Env_an*'2025'!Env_an</f>
        <v>20.207157180076859</v>
      </c>
      <c r="C310" s="829"/>
      <c r="D310" s="391">
        <f t="shared" si="102"/>
        <v>21.189962810965955</v>
      </c>
      <c r="E310" s="383">
        <f t="shared" si="125"/>
        <v>21.720823765474954</v>
      </c>
      <c r="F310" s="383">
        <f t="shared" si="103"/>
        <v>22.081603248671353</v>
      </c>
      <c r="G310" s="110">
        <f t="shared" si="126"/>
        <v>0.57349250466917678</v>
      </c>
      <c r="H310" s="412" t="b">
        <f>Wh_hp&gt;='2024'!Maxi_hp</f>
        <v>0</v>
      </c>
      <c r="I310" s="388">
        <f>IF(H310,Wh_hp,'2024'!Maxi_hp)</f>
        <v>34.945512770955865</v>
      </c>
      <c r="J310" s="85">
        <f>IF(H310,An,'2024'!An_max)</f>
        <v>2021</v>
      </c>
      <c r="K310" s="197">
        <f t="shared" si="104"/>
        <v>45953</v>
      </c>
      <c r="L310" s="147">
        <f>IF(t&lt;Tvie,1-EXP((T0-t)*PertePVj)+'2024'!Pspv,1-EXP((T0-t)*PertePVj)+Pspv)</f>
        <v>4.6380715230915248E-2</v>
      </c>
      <c r="M310" s="832"/>
      <c r="N310" s="832"/>
      <c r="O310" s="48">
        <f>IF(t&lt;Tnet,'2024'!Resal+('2024'!Salim-'2024'!Resal)*(1-EXP(('2024'!Tnet-t)/('2024'!Tau_j))),Resal+(Salim-Resal)*(1-EXP((Tnet-t)/(Tau_j))))*Salcycl</f>
        <v>2.4440185153235108E-2</v>
      </c>
      <c r="P310" s="169">
        <f>(INDEX(Models!$BJ310:$BT310,,T310)*(1-R310)+INDEX(Models!$BJ310:$BT310,,T310+1)*R310-ERP_i)*Q310*Ramure*Pc/MaxiM</f>
        <v>3.9781455285620694E-2</v>
      </c>
      <c r="Q310" s="304">
        <f t="shared" si="105"/>
        <v>0.7</v>
      </c>
      <c r="R310" s="177">
        <f t="shared" si="106"/>
        <v>0.53318226112687461</v>
      </c>
      <c r="S310" s="799">
        <f t="shared" si="107"/>
        <v>1</v>
      </c>
      <c r="T310" s="176">
        <f t="shared" si="108"/>
        <v>7</v>
      </c>
      <c r="U310" s="250">
        <f t="shared" si="109"/>
        <v>1.5331822611268746</v>
      </c>
      <c r="V310" s="382">
        <f t="shared" si="110"/>
        <v>34.395519489639867</v>
      </c>
      <c r="W310" s="400">
        <f t="shared" si="111"/>
        <v>20.207157180076859</v>
      </c>
      <c r="X310" s="157">
        <f t="shared" si="112"/>
        <v>45953</v>
      </c>
      <c r="Y310" s="383">
        <f t="shared" si="113"/>
        <v>19.30016488188032</v>
      </c>
      <c r="Z310" s="383">
        <f t="shared" si="114"/>
        <v>20.238857571503267</v>
      </c>
      <c r="AA310" s="384">
        <f t="shared" si="115"/>
        <v>21.708354415329783</v>
      </c>
      <c r="AB310" s="197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6.7692687143010827E-2</v>
      </c>
      <c r="AD310" s="230">
        <f>(INDEX(Models!$BJ310:$BT310,,AH310)*(1-AF310)+INDEX(Models!$BJ310:$BT310,,AH310+1)*AF310-ERP_i)*AE310*Ramure*Pc/MaxiM</f>
        <v>4.1156391828148162E-2</v>
      </c>
      <c r="AE310" s="304">
        <f t="shared" si="117"/>
        <v>0.7</v>
      </c>
      <c r="AF310" s="177">
        <f t="shared" si="118"/>
        <v>0.59751448338670676</v>
      </c>
      <c r="AG310" s="799">
        <f t="shared" si="124"/>
        <v>1</v>
      </c>
      <c r="AH310" s="176">
        <f t="shared" si="119"/>
        <v>7</v>
      </c>
      <c r="AI310" s="224">
        <f t="shared" si="120"/>
        <v>1.5975144833867068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45954</v>
      </c>
      <c r="B311" s="409">
        <f>'2024'!Wh/'2024'!Env_an*'2025'!Env_an</f>
        <v>28.937947335254503</v>
      </c>
      <c r="C311" s="829"/>
      <c r="D311" s="391">
        <f t="shared" si="102"/>
        <v>30.345969714789799</v>
      </c>
      <c r="E311" s="383">
        <f t="shared" si="125"/>
        <v>31.108500725425895</v>
      </c>
      <c r="F311" s="383">
        <f t="shared" si="103"/>
        <v>32.144990968730013</v>
      </c>
      <c r="G311" s="110">
        <f t="shared" si="126"/>
        <v>0.84123879810976243</v>
      </c>
      <c r="H311" s="412" t="b">
        <f>Wh_hp&gt;='2024'!Maxi_hp</f>
        <v>0</v>
      </c>
      <c r="I311" s="388">
        <f>IF(H311,Wh_hp,'2024'!Maxi_hp)</f>
        <v>39.130239680184168</v>
      </c>
      <c r="J311" s="85">
        <f>IF(H311,An,'2024'!An_max)</f>
        <v>2021</v>
      </c>
      <c r="K311" s="197">
        <f t="shared" si="104"/>
        <v>45954</v>
      </c>
      <c r="L311" s="147">
        <f>IF(t&lt;Tvie,1-EXP((T0-t)*PertePVj)+'2024'!Pspv,1-EXP((T0-t)*PertePVj)+Pspv)</f>
        <v>4.6398991126952338E-2</v>
      </c>
      <c r="M311" s="832"/>
      <c r="N311" s="832"/>
      <c r="O311" s="48">
        <f>IF(t&lt;Tnet,'2024'!Resal+('2024'!Salim-'2024'!Resal)*(1-EXP(('2024'!Tnet-t)/('2024'!Tau_j))),Resal+(Salim-Resal)*(1-EXP((Tnet-t)/(Tau_j))))*Salcycl</f>
        <v>2.4511982025956502E-2</v>
      </c>
      <c r="P311" s="169">
        <f>(INDEX(Models!$BJ311:$BT311,,T311)*(1-R311)+INDEX(Models!$BJ311:$BT311,,T311+1)*R311-ERP_i)*Q311*Ramure*Pc/MaxiM</f>
        <v>4.1111495816842765E-2</v>
      </c>
      <c r="Q311" s="304">
        <f t="shared" si="105"/>
        <v>0.7</v>
      </c>
      <c r="R311" s="177">
        <f t="shared" si="106"/>
        <v>0.53324462913678872</v>
      </c>
      <c r="S311" s="799">
        <f t="shared" si="107"/>
        <v>1</v>
      </c>
      <c r="T311" s="176">
        <f t="shared" si="108"/>
        <v>7</v>
      </c>
      <c r="U311" s="250">
        <f t="shared" si="109"/>
        <v>1.5332446291367887</v>
      </c>
      <c r="V311" s="382">
        <f t="shared" si="110"/>
        <v>34.084016512056643</v>
      </c>
      <c r="W311" s="400">
        <f t="shared" si="111"/>
        <v>28.937947335254503</v>
      </c>
      <c r="X311" s="157">
        <f t="shared" si="112"/>
        <v>45954</v>
      </c>
      <c r="Y311" s="383">
        <f t="shared" si="113"/>
        <v>27.626098189107942</v>
      </c>
      <c r="Z311" s="383">
        <f t="shared" si="114"/>
        <v>28.970290438090117</v>
      </c>
      <c r="AA311" s="384">
        <f t="shared" si="115"/>
        <v>31.073500823950504</v>
      </c>
      <c r="AB311" s="197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6.7685015530638076E-2</v>
      </c>
      <c r="AD311" s="230">
        <f>(INDEX(Models!$BJ311:$BT311,,AH311)*(1-AF311)+INDEX(Models!$BJ311:$BT311,,AH311+1)*AF311-ERP_i)*AE311*Ramure*Pc/MaxiM</f>
        <v>4.249973686627944E-2</v>
      </c>
      <c r="AE311" s="304">
        <f t="shared" si="117"/>
        <v>0.7</v>
      </c>
      <c r="AF311" s="177">
        <f t="shared" si="118"/>
        <v>0.59757685139662087</v>
      </c>
      <c r="AG311" s="799">
        <f t="shared" si="124"/>
        <v>1</v>
      </c>
      <c r="AH311" s="176">
        <f t="shared" si="119"/>
        <v>7</v>
      </c>
      <c r="AI311" s="224">
        <f t="shared" si="120"/>
        <v>1.5975768513966209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45955</v>
      </c>
      <c r="B312" s="409">
        <f>'2024'!Wh/'2024'!Env_an*'2025'!Env_an</f>
        <v>22.496231148116465</v>
      </c>
      <c r="C312" s="829"/>
      <c r="D312" s="391">
        <f t="shared" si="102"/>
        <v>23.591273585273584</v>
      </c>
      <c r="E312" s="383">
        <f t="shared" si="125"/>
        <v>24.185843024071698</v>
      </c>
      <c r="F312" s="383">
        <f t="shared" si="103"/>
        <v>24.732978683453076</v>
      </c>
      <c r="G312" s="110">
        <f t="shared" si="126"/>
        <v>0.65222955567285978</v>
      </c>
      <c r="H312" s="412" t="b">
        <f>Wh_hp&gt;='2024'!Maxi_hp</f>
        <v>0</v>
      </c>
      <c r="I312" s="388">
        <f>IF(H312,Wh_hp,'2024'!Maxi_hp)</f>
        <v>36.653360755544639</v>
      </c>
      <c r="J312" s="85">
        <f>IF(H312,An,'2024'!An_max)</f>
        <v>2021</v>
      </c>
      <c r="K312" s="197">
        <f t="shared" si="104"/>
        <v>45955</v>
      </c>
      <c r="L312" s="147">
        <f>IF(t&lt;Tvie,1-EXP((T0-t)*PertePVj)+'2024'!Pspv,1-EXP((T0-t)*PertePVj)+Pspv)</f>
        <v>4.6417266672736046E-2</v>
      </c>
      <c r="M312" s="832"/>
      <c r="N312" s="832"/>
      <c r="O312" s="48">
        <f>IF(t&lt;Tnet,'2024'!Resal+('2024'!Salim-'2024'!Resal)*(1-EXP(('2024'!Tnet-t)/('2024'!Tau_j))),Resal+(Salim-Resal)*(1-EXP((Tnet-t)/(Tau_j))))*Salcycl</f>
        <v>2.4583366319145962E-2</v>
      </c>
      <c r="P312" s="169">
        <f>(INDEX(Models!$BJ312:$BT312,,T312)*(1-R312)+INDEX(Models!$BJ312:$BT312,,T312+1)*R312-ERP_i)*Q312*Ramure*Pc/MaxiM</f>
        <v>4.2311607011255553E-2</v>
      </c>
      <c r="Q312" s="304">
        <f t="shared" si="105"/>
        <v>0.7</v>
      </c>
      <c r="R312" s="177">
        <f t="shared" si="106"/>
        <v>0.53330450436191534</v>
      </c>
      <c r="S312" s="799">
        <f t="shared" si="107"/>
        <v>1</v>
      </c>
      <c r="T312" s="176">
        <f t="shared" si="108"/>
        <v>7</v>
      </c>
      <c r="U312" s="250">
        <f t="shared" si="109"/>
        <v>1.5333045043619153</v>
      </c>
      <c r="V312" s="382">
        <f t="shared" si="110"/>
        <v>33.779149305949737</v>
      </c>
      <c r="W312" s="400">
        <f t="shared" si="111"/>
        <v>22.496231148116465</v>
      </c>
      <c r="X312" s="157">
        <f t="shared" si="112"/>
        <v>45955</v>
      </c>
      <c r="Y312" s="383">
        <f t="shared" si="113"/>
        <v>21.486285198838708</v>
      </c>
      <c r="Z312" s="383">
        <f t="shared" si="114"/>
        <v>22.532166793612383</v>
      </c>
      <c r="AA312" s="384">
        <f t="shared" si="115"/>
        <v>24.167761664613881</v>
      </c>
      <c r="AB312" s="197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6.7676721315748339E-2</v>
      </c>
      <c r="AD312" s="230">
        <f>(INDEX(Models!$BJ312:$BT312,,AH312)*(1-AF312)+INDEX(Models!$BJ312:$BT312,,AH312+1)*AF312-ERP_i)*AE312*Ramure*Pc/MaxiM</f>
        <v>4.3709891627676412E-2</v>
      </c>
      <c r="AE312" s="304">
        <f t="shared" si="117"/>
        <v>0.7</v>
      </c>
      <c r="AF312" s="177">
        <f t="shared" si="118"/>
        <v>0.59763672662174749</v>
      </c>
      <c r="AG312" s="799">
        <f t="shared" si="124"/>
        <v>1</v>
      </c>
      <c r="AH312" s="176">
        <f t="shared" si="119"/>
        <v>7</v>
      </c>
      <c r="AI312" s="224">
        <f t="shared" si="120"/>
        <v>1.5976367266217475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45956</v>
      </c>
      <c r="B313" s="409">
        <f>'2024'!Wh/'2024'!Env_an*'2025'!Env_an</f>
        <v>15.474217459715193</v>
      </c>
      <c r="C313" s="829"/>
      <c r="D313" s="391">
        <f t="shared" si="102"/>
        <v>16.22776240007213</v>
      </c>
      <c r="E313" s="383">
        <f t="shared" si="125"/>
        <v>16.63796060982218</v>
      </c>
      <c r="F313" s="383">
        <f t="shared" si="103"/>
        <v>16.806872579883002</v>
      </c>
      <c r="G313" s="110">
        <f t="shared" si="126"/>
        <v>0.44661623219727176</v>
      </c>
      <c r="H313" s="412" t="b">
        <f>Wh_hp&gt;='2024'!Maxi_hp</f>
        <v>0</v>
      </c>
      <c r="I313" s="388">
        <f>IF(H313,Wh_hp,'2024'!Maxi_hp)</f>
        <v>37.378397618671073</v>
      </c>
      <c r="J313" s="85">
        <f>IF(H313,An,'2024'!An_max)</f>
        <v>2018</v>
      </c>
      <c r="K313" s="197">
        <f t="shared" si="104"/>
        <v>45956</v>
      </c>
      <c r="L313" s="147">
        <f>IF(t&lt;Tvie,1-EXP((T0-t)*PertePVj)+'2024'!Pspv,1-EXP((T0-t)*PertePVj)+Pspv)</f>
        <v>4.6435541868273034E-2</v>
      </c>
      <c r="M313" s="832"/>
      <c r="N313" s="832"/>
      <c r="O313" s="48">
        <f>IF(t&lt;Tnet,'2024'!Resal+('2024'!Salim-'2024'!Resal)*(1-EXP(('2024'!Tnet-t)/('2024'!Tau_j))),Resal+(Salim-Resal)*(1-EXP((Tnet-t)/(Tau_j))))*Salcycl</f>
        <v>2.46543563462873E-2</v>
      </c>
      <c r="P313" s="169">
        <f>(INDEX(Models!$BJ313:$BT313,,T313)*(1-R313)+INDEX(Models!$BJ313:$BT313,,T313+1)*R313-ERP_i)*Q313*Ramure*Pc/MaxiM</f>
        <v>4.3379383372582021E-2</v>
      </c>
      <c r="Q313" s="304">
        <f t="shared" si="105"/>
        <v>0.7</v>
      </c>
      <c r="R313" s="177">
        <f t="shared" si="106"/>
        <v>0.53336198573009908</v>
      </c>
      <c r="S313" s="799">
        <f t="shared" si="107"/>
        <v>1</v>
      </c>
      <c r="T313" s="176">
        <f t="shared" si="108"/>
        <v>7</v>
      </c>
      <c r="U313" s="250">
        <f t="shared" si="109"/>
        <v>1.5333619857300991</v>
      </c>
      <c r="V313" s="382">
        <f t="shared" si="110"/>
        <v>33.481179127574535</v>
      </c>
      <c r="W313" s="400">
        <f t="shared" si="111"/>
        <v>15.474217459715193</v>
      </c>
      <c r="X313" s="157">
        <f t="shared" si="112"/>
        <v>45956</v>
      </c>
      <c r="Y313" s="383">
        <f t="shared" si="113"/>
        <v>14.786928610444058</v>
      </c>
      <c r="Z313" s="383">
        <f t="shared" si="114"/>
        <v>15.507004780164916</v>
      </c>
      <c r="AA313" s="384">
        <f t="shared" si="115"/>
        <v>16.632489747597813</v>
      </c>
      <c r="AB313" s="197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6.7667858781963047E-2</v>
      </c>
      <c r="AD313" s="230">
        <f>(INDEX(Models!$BJ313:$BT313,,AH313)*(1-AF313)+INDEX(Models!$BJ313:$BT313,,AH313+1)*AF313-ERP_i)*AE313*Ramure*Pc/MaxiM</f>
        <v>4.4784391139194989E-2</v>
      </c>
      <c r="AE313" s="304">
        <f t="shared" si="117"/>
        <v>0.7</v>
      </c>
      <c r="AF313" s="177">
        <f t="shared" si="118"/>
        <v>0.59769420798993123</v>
      </c>
      <c r="AG313" s="799">
        <f t="shared" si="124"/>
        <v>1</v>
      </c>
      <c r="AH313" s="176">
        <f t="shared" si="119"/>
        <v>7</v>
      </c>
      <c r="AI313" s="224">
        <f t="shared" si="120"/>
        <v>1.5976942079899312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45957</v>
      </c>
      <c r="B314" s="409">
        <f>'2024'!Wh/'2024'!Env_an*'2025'!Env_an</f>
        <v>15.650712633086723</v>
      </c>
      <c r="C314" s="829"/>
      <c r="D314" s="391">
        <f t="shared" si="102"/>
        <v>16.413166878971715</v>
      </c>
      <c r="E314" s="383">
        <f t="shared" si="125"/>
        <v>16.829270105547845</v>
      </c>
      <c r="F314" s="383">
        <f t="shared" si="103"/>
        <v>17.014030741633935</v>
      </c>
      <c r="G314" s="110">
        <f t="shared" si="126"/>
        <v>0.45559607162799881</v>
      </c>
      <c r="H314" s="412" t="b">
        <f>Wh_hp&gt;='2024'!Maxi_hp</f>
        <v>0</v>
      </c>
      <c r="I314" s="388">
        <f>IF(H314,Wh_hp,'2024'!Maxi_hp)</f>
        <v>34.064654173647206</v>
      </c>
      <c r="J314" s="85">
        <f>IF(H314,An,'2024'!An_max)</f>
        <v>2021</v>
      </c>
      <c r="K314" s="197">
        <f t="shared" si="104"/>
        <v>45957</v>
      </c>
      <c r="L314" s="147">
        <f>IF(t&lt;Tvie,1-EXP((T0-t)*PertePVj)+'2024'!Pspv,1-EXP((T0-t)*PertePVj)+Pspv)</f>
        <v>4.6453816713570184E-2</v>
      </c>
      <c r="M314" s="832"/>
      <c r="N314" s="832"/>
      <c r="O314" s="48">
        <f>IF(t&lt;Tnet,'2024'!Resal+('2024'!Salim-'2024'!Resal)*(1-EXP(('2024'!Tnet-t)/('2024'!Tau_j))),Resal+(Salim-Resal)*(1-EXP((Tnet-t)/(Tau_j))))*Salcycl</f>
        <v>2.4724971669386923E-2</v>
      </c>
      <c r="P314" s="169">
        <f>(INDEX(Models!$BJ314:$BT314,,T314)*(1-R314)+INDEX(Models!$BJ314:$BT314,,T314+1)*R314-ERP_i)*Q314*Ramure*Pc/MaxiM</f>
        <v>4.4312385902222862E-2</v>
      </c>
      <c r="Q314" s="304">
        <f t="shared" si="105"/>
        <v>0.7</v>
      </c>
      <c r="R314" s="177">
        <f t="shared" si="106"/>
        <v>0.53341716829872077</v>
      </c>
      <c r="S314" s="799">
        <f t="shared" si="107"/>
        <v>1</v>
      </c>
      <c r="T314" s="176">
        <f t="shared" si="108"/>
        <v>7</v>
      </c>
      <c r="U314" s="250">
        <f t="shared" si="109"/>
        <v>1.5334171682987208</v>
      </c>
      <c r="V314" s="382">
        <f t="shared" si="110"/>
        <v>33.190365613118665</v>
      </c>
      <c r="W314" s="400">
        <f t="shared" si="111"/>
        <v>15.650712633086723</v>
      </c>
      <c r="X314" s="157">
        <f t="shared" si="112"/>
        <v>45957</v>
      </c>
      <c r="Y314" s="383">
        <f t="shared" si="113"/>
        <v>14.956517170428659</v>
      </c>
      <c r="Z314" s="383">
        <f t="shared" si="114"/>
        <v>15.685152363444534</v>
      </c>
      <c r="AA314" s="384">
        <f t="shared" si="115"/>
        <v>16.823397982849748</v>
      </c>
      <c r="AB314" s="197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6.7658484960385151E-2</v>
      </c>
      <c r="AD314" s="230">
        <f>(INDEX(Models!$BJ314:$BT314,,AH314)*(1-AF314)+INDEX(Models!$BJ314:$BT314,,AH314+1)*AF314-ERP_i)*AE314*Ramure*Pc/MaxiM</f>
        <v>4.5720736580026428E-2</v>
      </c>
      <c r="AE314" s="304">
        <f t="shared" si="117"/>
        <v>0.7</v>
      </c>
      <c r="AF314" s="177">
        <f t="shared" si="118"/>
        <v>0.59774939055855292</v>
      </c>
      <c r="AG314" s="799">
        <f t="shared" si="124"/>
        <v>1</v>
      </c>
      <c r="AH314" s="176">
        <f t="shared" si="119"/>
        <v>7</v>
      </c>
      <c r="AI314" s="224">
        <f t="shared" si="120"/>
        <v>1.5977493905585529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45958</v>
      </c>
      <c r="B315" s="409">
        <f>'2024'!Wh/'2024'!Env_an*'2025'!Env_an</f>
        <v>17.105132110539724</v>
      </c>
      <c r="C315" s="829"/>
      <c r="D315" s="391">
        <f t="shared" si="102"/>
        <v>17.938784961439829</v>
      </c>
      <c r="E315" s="383">
        <f t="shared" si="125"/>
        <v>18.394890559594593</v>
      </c>
      <c r="F315" s="383">
        <f t="shared" si="103"/>
        <v>18.659181760693123</v>
      </c>
      <c r="G315" s="110">
        <f t="shared" si="126"/>
        <v>0.50348687274510306</v>
      </c>
      <c r="H315" s="412" t="b">
        <f>Wh_hp&gt;='2024'!Maxi_hp</f>
        <v>0</v>
      </c>
      <c r="I315" s="388">
        <f>IF(H315,Wh_hp,'2024'!Maxi_hp)</f>
        <v>36.268866308329294</v>
      </c>
      <c r="J315" s="85">
        <f>IF(H315,An,'2024'!An_max)</f>
        <v>2021</v>
      </c>
      <c r="K315" s="197">
        <f t="shared" si="104"/>
        <v>45958</v>
      </c>
      <c r="L315" s="147">
        <f>IF(t&lt;Tvie,1-EXP((T0-t)*PertePVj)+'2024'!Pspv,1-EXP((T0-t)*PertePVj)+Pspv)</f>
        <v>4.6472091208634048E-2</v>
      </c>
      <c r="M315" s="832"/>
      <c r="N315" s="832"/>
      <c r="O315" s="48">
        <f>IF(t&lt;Tnet,'2024'!Resal+('2024'!Salim-'2024'!Resal)*(1-EXP(('2024'!Tnet-t)/('2024'!Tau_j))),Resal+(Salim-Resal)*(1-EXP((Tnet-t)/(Tau_j))))*Salcycl</f>
        <v>2.4795233039147643E-2</v>
      </c>
      <c r="P315" s="169">
        <f>(INDEX(Models!$BJ315:$BT315,,T315)*(1-R315)+INDEX(Models!$BJ315:$BT315,,T315+1)*R315-ERP_i)*Q315*Ramure*Pc/MaxiM</f>
        <v>4.5108149892234266E-2</v>
      </c>
      <c r="Q315" s="304">
        <f t="shared" si="105"/>
        <v>0.7</v>
      </c>
      <c r="R315" s="177">
        <f t="shared" si="106"/>
        <v>0.53347014340174637</v>
      </c>
      <c r="S315" s="799">
        <f t="shared" si="107"/>
        <v>1</v>
      </c>
      <c r="T315" s="176">
        <f t="shared" si="108"/>
        <v>7</v>
      </c>
      <c r="U315" s="250">
        <f t="shared" si="109"/>
        <v>1.5334701434017464</v>
      </c>
      <c r="V315" s="382">
        <f t="shared" si="110"/>
        <v>32.906966914510072</v>
      </c>
      <c r="W315" s="400">
        <f t="shared" si="111"/>
        <v>17.105132110539724</v>
      </c>
      <c r="X315" s="157">
        <f t="shared" si="112"/>
        <v>45958</v>
      </c>
      <c r="Y315" s="383">
        <f t="shared" si="113"/>
        <v>16.346145870909513</v>
      </c>
      <c r="Z315" s="383">
        <f t="shared" si="114"/>
        <v>17.142808008240571</v>
      </c>
      <c r="AA315" s="384">
        <f t="shared" si="115"/>
        <v>18.386639523407638</v>
      </c>
      <c r="AB315" s="197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6.7648659429232372E-2</v>
      </c>
      <c r="AD315" s="230">
        <f>(INDEX(Models!$BJ315:$BT315,,AH315)*(1-AF315)+INDEX(Models!$BJ315:$BT315,,AH315+1)*AF315-ERP_i)*AE315*Ramure*Pc/MaxiM</f>
        <v>4.6516403271614395E-2</v>
      </c>
      <c r="AE315" s="304">
        <f t="shared" si="117"/>
        <v>0.7</v>
      </c>
      <c r="AF315" s="177">
        <f t="shared" si="118"/>
        <v>0.59780236566157852</v>
      </c>
      <c r="AG315" s="799">
        <f t="shared" si="124"/>
        <v>1</v>
      </c>
      <c r="AH315" s="176">
        <f t="shared" si="119"/>
        <v>7</v>
      </c>
      <c r="AI315" s="224">
        <f t="shared" si="120"/>
        <v>1.5978023656615785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45959</v>
      </c>
      <c r="B316" s="409">
        <f>'2024'!Wh/'2024'!Env_an*'2025'!Env_an</f>
        <v>27.483901803529218</v>
      </c>
      <c r="C316" s="829"/>
      <c r="D316" s="391">
        <f t="shared" si="102"/>
        <v>28.823937173658084</v>
      </c>
      <c r="E316" s="383">
        <f t="shared" si="125"/>
        <v>29.558924632853021</v>
      </c>
      <c r="F316" s="383">
        <f t="shared" si="103"/>
        <v>30.645344577019582</v>
      </c>
      <c r="G316" s="110">
        <f t="shared" si="126"/>
        <v>0.83325206854424527</v>
      </c>
      <c r="H316" s="412" t="b">
        <f>Wh_hp&gt;='2024'!Maxi_hp</f>
        <v>0</v>
      </c>
      <c r="I316" s="388">
        <f>IF(H316,Wh_hp,'2024'!Maxi_hp)</f>
        <v>30.826089408528631</v>
      </c>
      <c r="J316" s="85">
        <f>IF(H316,An,'2024'!An_max)</f>
        <v>2022</v>
      </c>
      <c r="K316" s="197">
        <f t="shared" si="104"/>
        <v>45959</v>
      </c>
      <c r="L316" s="147">
        <f>IF(t&lt;Tvie,1-EXP((T0-t)*PertePVj)+'2024'!Pspv,1-EXP((T0-t)*PertePVj)+Pspv)</f>
        <v>4.6490365353471286E-2</v>
      </c>
      <c r="M316" s="832"/>
      <c r="N316" s="832"/>
      <c r="O316" s="48">
        <f>IF(t&lt;Tnet,'2024'!Resal+('2024'!Salim-'2024'!Resal)*(1-EXP(('2024'!Tnet-t)/('2024'!Tau_j))),Resal+(Salim-Resal)*(1-EXP((Tnet-t)/(Tau_j))))*Salcycl</f>
        <v>2.4865162326576665E-2</v>
      </c>
      <c r="P316" s="169">
        <f>(INDEX(Models!$BJ316:$BT316,,T316)*(1-R316)+INDEX(Models!$BJ316:$BT316,,T316+1)*R316-ERP_i)*Q316*Ramure*Pc/MaxiM</f>
        <v>4.5764193018946887E-2</v>
      </c>
      <c r="Q316" s="304">
        <f t="shared" si="105"/>
        <v>0.7</v>
      </c>
      <c r="R316" s="177">
        <f t="shared" si="106"/>
        <v>0.53352099879153547</v>
      </c>
      <c r="S316" s="799">
        <f t="shared" si="107"/>
        <v>1</v>
      </c>
      <c r="T316" s="176">
        <f t="shared" si="108"/>
        <v>7</v>
      </c>
      <c r="U316" s="250">
        <f t="shared" si="109"/>
        <v>1.5335209987915355</v>
      </c>
      <c r="V316" s="382">
        <f t="shared" si="110"/>
        <v>32.631239858663392</v>
      </c>
      <c r="W316" s="400">
        <f t="shared" si="111"/>
        <v>27.483901803529218</v>
      </c>
      <c r="X316" s="157">
        <f t="shared" si="112"/>
        <v>45959</v>
      </c>
      <c r="Y316" s="383">
        <f t="shared" si="113"/>
        <v>26.248703866425398</v>
      </c>
      <c r="Z316" s="383">
        <f t="shared" si="114"/>
        <v>27.528514566248653</v>
      </c>
      <c r="AA316" s="384">
        <f t="shared" si="115"/>
        <v>29.525578775604956</v>
      </c>
      <c r="AB316" s="197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6.7638444093984937E-2</v>
      </c>
      <c r="AD316" s="230">
        <f>(INDEX(Models!$BJ316:$BT316,,AH316)*(1-AF316)+INDEX(Models!$BJ316:$BT316,,AH316+1)*AF316-ERP_i)*AE316*Ramure*Pc/MaxiM</f>
        <v>4.716884897696437E-2</v>
      </c>
      <c r="AE316" s="304">
        <f t="shared" si="117"/>
        <v>0.7</v>
      </c>
      <c r="AF316" s="177">
        <f t="shared" si="118"/>
        <v>0.59785322105136762</v>
      </c>
      <c r="AG316" s="799">
        <f t="shared" si="124"/>
        <v>1</v>
      </c>
      <c r="AH316" s="176">
        <f t="shared" si="119"/>
        <v>7</v>
      </c>
      <c r="AI316" s="224">
        <f t="shared" si="120"/>
        <v>1.5978532210513676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45960</v>
      </c>
      <c r="B317" s="409">
        <f>'2024'!Wh/'2024'!Env_an*'2025'!Env_an</f>
        <v>24.511763123412418</v>
      </c>
      <c r="C317" s="829"/>
      <c r="D317" s="391">
        <f t="shared" si="102"/>
        <v>25.707378304415904</v>
      </c>
      <c r="E317" s="383">
        <f t="shared" si="125"/>
        <v>26.364778315970717</v>
      </c>
      <c r="F317" s="383">
        <f t="shared" si="103"/>
        <v>27.186912478412225</v>
      </c>
      <c r="G317" s="110">
        <f t="shared" si="126"/>
        <v>0.74487658629587628</v>
      </c>
      <c r="H317" s="412" t="b">
        <f>Wh_hp&gt;='2024'!Maxi_hp</f>
        <v>0</v>
      </c>
      <c r="I317" s="388">
        <f>IF(H317,Wh_hp,'2024'!Maxi_hp)</f>
        <v>31.493556755699309</v>
      </c>
      <c r="J317" s="85">
        <f>IF(H317,An,'2024'!An_max)</f>
        <v>2020</v>
      </c>
      <c r="K317" s="197">
        <f t="shared" si="104"/>
        <v>45960</v>
      </c>
      <c r="L317" s="147">
        <f>IF(t&lt;Tvie,1-EXP((T0-t)*PertePVj)+'2024'!Pspv,1-EXP((T0-t)*PertePVj)+Pspv)</f>
        <v>4.6508639148088782E-2</v>
      </c>
      <c r="M317" s="832"/>
      <c r="N317" s="832"/>
      <c r="O317" s="48">
        <f>IF(t&lt;Tnet,'2024'!Resal+('2024'!Salim-'2024'!Resal)*(1-EXP(('2024'!Tnet-t)/('2024'!Tau_j))),Resal+(Salim-Resal)*(1-EXP((Tnet-t)/(Tau_j))))*Salcycl</f>
        <v>2.4934782446343822E-2</v>
      </c>
      <c r="P317" s="169">
        <f>(INDEX(Models!$BJ317:$BT317,,T317)*(1-R317)+INDEX(Models!$BJ317:$BT317,,T317+1)*R317-ERP_i)*Q317*Ramure*Pc/MaxiM</f>
        <v>4.6278758695050923E-2</v>
      </c>
      <c r="Q317" s="304">
        <f t="shared" si="105"/>
        <v>0.7</v>
      </c>
      <c r="R317" s="177">
        <f t="shared" si="106"/>
        <v>0.53356981877556953</v>
      </c>
      <c r="S317" s="799">
        <f t="shared" si="107"/>
        <v>1</v>
      </c>
      <c r="T317" s="176">
        <f t="shared" si="108"/>
        <v>7</v>
      </c>
      <c r="U317" s="250">
        <f t="shared" si="109"/>
        <v>1.5335698187755695</v>
      </c>
      <c r="V317" s="382">
        <f t="shared" si="110"/>
        <v>32.362901260744685</v>
      </c>
      <c r="W317" s="400">
        <f t="shared" si="111"/>
        <v>24.511763123412418</v>
      </c>
      <c r="X317" s="157">
        <f t="shared" si="112"/>
        <v>45960</v>
      </c>
      <c r="Y317" s="383">
        <f t="shared" si="113"/>
        <v>23.416447171498163</v>
      </c>
      <c r="Z317" s="383">
        <f t="shared" si="114"/>
        <v>24.558635906859593</v>
      </c>
      <c r="AA317" s="384">
        <f t="shared" si="115"/>
        <v>26.3399515971611</v>
      </c>
      <c r="AB317" s="197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6.7627902949278687E-2</v>
      </c>
      <c r="AD317" s="230">
        <f>(INDEX(Models!$BJ317:$BT317,,AH317)*(1-AF317)+INDEX(Models!$BJ317:$BT317,,AH317+1)*AF317-ERP_i)*AE317*Ramure*Pc/MaxiM</f>
        <v>4.7676279661176622E-2</v>
      </c>
      <c r="AE317" s="304">
        <f t="shared" si="117"/>
        <v>0.7</v>
      </c>
      <c r="AF317" s="177">
        <f t="shared" si="118"/>
        <v>0.59790204103540168</v>
      </c>
      <c r="AG317" s="799">
        <f t="shared" si="124"/>
        <v>1</v>
      </c>
      <c r="AH317" s="176">
        <f t="shared" si="119"/>
        <v>7</v>
      </c>
      <c r="AI317" s="224">
        <f t="shared" si="120"/>
        <v>1.5979020410354017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45961</v>
      </c>
      <c r="B318" s="409">
        <f>'2024'!Wh/'2024'!Env_an*'2025'!Env_an</f>
        <v>23.847290587507509</v>
      </c>
      <c r="C318" s="829"/>
      <c r="D318" s="391">
        <f t="shared" si="102"/>
        <v>25.010973988105199</v>
      </c>
      <c r="E318" s="383">
        <f t="shared" si="125"/>
        <v>25.652389339463319</v>
      </c>
      <c r="F318" s="383">
        <f t="shared" si="103"/>
        <v>26.432291144441418</v>
      </c>
      <c r="G318" s="110">
        <f t="shared" si="126"/>
        <v>0.72975020592839868</v>
      </c>
      <c r="H318" s="412" t="b">
        <f>Wh_hp&gt;='2024'!Maxi_hp</f>
        <v>0</v>
      </c>
      <c r="I318" s="388">
        <f>IF(H318,Wh_hp,'2024'!Maxi_hp)</f>
        <v>35.545081569193108</v>
      </c>
      <c r="J318" s="85">
        <f>IF(H318,An,'2024'!An_max)</f>
        <v>2020</v>
      </c>
      <c r="K318" s="197">
        <f t="shared" si="104"/>
        <v>45961</v>
      </c>
      <c r="L318" s="147">
        <f>IF(t&lt;Tvie,1-EXP((T0-t)*PertePVj)+'2024'!Pspv,1-EXP((T0-t)*PertePVj)+Pspv)</f>
        <v>4.6526912592493197E-2</v>
      </c>
      <c r="M318" s="832"/>
      <c r="N318" s="832"/>
      <c r="O318" s="48">
        <f>IF(t&lt;Tnet,'2024'!Resal+('2024'!Salim-'2024'!Resal)*(1-EXP(('2024'!Tnet-t)/('2024'!Tau_j))),Resal+(Salim-Resal)*(1-EXP((Tnet-t)/(Tau_j))))*Salcycl</f>
        <v>2.5004117272279837E-2</v>
      </c>
      <c r="P318" s="169">
        <f>(INDEX(Models!$BJ318:$BT318,,T318)*(1-R318)+INDEX(Models!$BJ318:$BT318,,T318+1)*R318-ERP_i)*Q318*Ramure*Pc/MaxiM</f>
        <v>4.6637276423821372E-2</v>
      </c>
      <c r="Q318" s="304">
        <f t="shared" si="105"/>
        <v>0.7</v>
      </c>
      <c r="R318" s="177">
        <f t="shared" si="106"/>
        <v>0.53361668434825837</v>
      </c>
      <c r="S318" s="799">
        <f t="shared" si="107"/>
        <v>1</v>
      </c>
      <c r="T318" s="176">
        <f t="shared" si="108"/>
        <v>7</v>
      </c>
      <c r="U318" s="250">
        <f t="shared" si="109"/>
        <v>1.5336166843482584</v>
      </c>
      <c r="V318" s="382">
        <f t="shared" si="110"/>
        <v>32.101843344932654</v>
      </c>
      <c r="W318" s="400">
        <f t="shared" si="111"/>
        <v>23.847290587507509</v>
      </c>
      <c r="X318" s="157">
        <f t="shared" si="112"/>
        <v>45961</v>
      </c>
      <c r="Y318" s="383">
        <f t="shared" si="113"/>
        <v>22.784379355905035</v>
      </c>
      <c r="Z318" s="383">
        <f t="shared" si="114"/>
        <v>23.896195557921576</v>
      </c>
      <c r="AA318" s="384">
        <f t="shared" si="115"/>
        <v>25.629165447658462</v>
      </c>
      <c r="AB318" s="197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6.7617101823938416E-2</v>
      </c>
      <c r="AD318" s="230">
        <f>(INDEX(Models!$BJ318:$BT318,,AH318)*(1-AF318)+INDEX(Models!$BJ318:$BT318,,AH318+1)*AF318-ERP_i)*AE318*Ramure*Pc/MaxiM</f>
        <v>4.8026039797398203E-2</v>
      </c>
      <c r="AE318" s="304">
        <f t="shared" si="117"/>
        <v>0.7</v>
      </c>
      <c r="AF318" s="177">
        <f t="shared" si="118"/>
        <v>0.59794890660809052</v>
      </c>
      <c r="AG318" s="799">
        <f t="shared" si="124"/>
        <v>1</v>
      </c>
      <c r="AH318" s="176">
        <f t="shared" si="119"/>
        <v>7</v>
      </c>
      <c r="AI318" s="224">
        <f t="shared" si="120"/>
        <v>1.5979489066080905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45962</v>
      </c>
      <c r="B319" s="409">
        <f>'2024'!Wh/'2024'!Env_an*'2025'!Env_an</f>
        <v>25.62850719130995</v>
      </c>
      <c r="C319" s="829"/>
      <c r="D319" s="391">
        <f t="shared" si="102"/>
        <v>26.879624295324316</v>
      </c>
      <c r="E319" s="383">
        <f t="shared" si="125"/>
        <v>27.570915131500449</v>
      </c>
      <c r="F319" s="383">
        <f t="shared" si="103"/>
        <v>28.536234123339536</v>
      </c>
      <c r="G319" s="110">
        <f t="shared" si="126"/>
        <v>0.79387965677392269</v>
      </c>
      <c r="H319" s="412" t="b">
        <f>Wh_hp&gt;='2024'!Maxi_hp</f>
        <v>0</v>
      </c>
      <c r="I319" s="388">
        <f>IF(H319,Wh_hp,'2024'!Maxi_hp)</f>
        <v>28.832623963315033</v>
      </c>
      <c r="J319" s="85">
        <f>IF(H319,An,'2024'!An_max)</f>
        <v>2020</v>
      </c>
      <c r="K319" s="197">
        <f t="shared" si="104"/>
        <v>45962</v>
      </c>
      <c r="L319" s="147">
        <f>IF(t&lt;Tvie,1-EXP((T0-t)*PertePVj)+'2024'!Pspv,1-EXP((T0-t)*PertePVj)+Pspv)</f>
        <v>4.6545185686691193E-2</v>
      </c>
      <c r="M319" s="832"/>
      <c r="N319" s="832"/>
      <c r="O319" s="48">
        <f>IF(t&lt;Tnet,'2024'!Resal+('2024'!Salim-'2024'!Resal)*(1-EXP(('2024'!Tnet-t)/('2024'!Tau_j))),Resal+(Salim-Resal)*(1-EXP((Tnet-t)/(Tau_j))))*Salcycl</f>
        <v>2.5073191545474618E-2</v>
      </c>
      <c r="P319" s="169">
        <f>(INDEX(Models!$BJ319:$BT319,,T319)*(1-R319)+INDEX(Models!$BJ319:$BT319,,T319+1)*R319-ERP_i)*Q319*Ramure*Pc/MaxiM</f>
        <v>4.6910768839575345E-2</v>
      </c>
      <c r="Q319" s="304">
        <f t="shared" si="105"/>
        <v>0.7</v>
      </c>
      <c r="R319" s="177">
        <f t="shared" si="106"/>
        <v>0.53366167331797154</v>
      </c>
      <c r="S319" s="799">
        <f t="shared" si="107"/>
        <v>1</v>
      </c>
      <c r="T319" s="176">
        <f t="shared" si="108"/>
        <v>7</v>
      </c>
      <c r="U319" s="250">
        <f t="shared" si="109"/>
        <v>1.5336616733179715</v>
      </c>
      <c r="V319" s="382">
        <f t="shared" si="110"/>
        <v>31.845471068348612</v>
      </c>
      <c r="W319" s="400">
        <f t="shared" si="111"/>
        <v>25.62850719130995</v>
      </c>
      <c r="X319" s="157">
        <f t="shared" si="112"/>
        <v>45962</v>
      </c>
      <c r="Y319" s="383">
        <f t="shared" si="113"/>
        <v>24.485150371048135</v>
      </c>
      <c r="Z319" s="383">
        <f t="shared" si="114"/>
        <v>25.680451767064259</v>
      </c>
      <c r="AA319" s="384">
        <f t="shared" si="115"/>
        <v>27.542492492125085</v>
      </c>
      <c r="AB319" s="197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6.760610811070264E-2</v>
      </c>
      <c r="AD319" s="230">
        <f>(INDEX(Models!$BJ319:$BT319,,AH319)*(1-AF319)+INDEX(Models!$BJ319:$BT319,,AH319+1)*AF319-ERP_i)*AE319*Ramure*Pc/MaxiM</f>
        <v>4.8291999165322959E-2</v>
      </c>
      <c r="AE319" s="304">
        <f t="shared" si="117"/>
        <v>0.7</v>
      </c>
      <c r="AF319" s="177">
        <f t="shared" si="118"/>
        <v>0.59799389557780369</v>
      </c>
      <c r="AG319" s="799">
        <f t="shared" si="124"/>
        <v>1</v>
      </c>
      <c r="AH319" s="176">
        <f t="shared" si="119"/>
        <v>7</v>
      </c>
      <c r="AI319" s="224">
        <f t="shared" si="120"/>
        <v>1.5979938955778037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45963</v>
      </c>
      <c r="B320" s="409">
        <f>'2024'!Wh/'2024'!Env_an*'2025'!Env_an</f>
        <v>28.46088298222044</v>
      </c>
      <c r="C320" s="829"/>
      <c r="D320" s="391">
        <f t="shared" si="102"/>
        <v>29.85084139461993</v>
      </c>
      <c r="E320" s="383">
        <f t="shared" si="125"/>
        <v>30.620708182102053</v>
      </c>
      <c r="F320" s="383">
        <f t="shared" si="103"/>
        <v>31.910751068266475</v>
      </c>
      <c r="G320" s="110">
        <f t="shared" si="126"/>
        <v>0.89457851139076761</v>
      </c>
      <c r="H320" s="412" t="b">
        <f>Wh_hp&gt;='2024'!Maxi_hp</f>
        <v>0</v>
      </c>
      <c r="I320" s="388">
        <f>IF(H320,Wh_hp,'2024'!Maxi_hp)</f>
        <v>32.061506207065662</v>
      </c>
      <c r="J320" s="85">
        <f>IF(H320,An,'2024'!An_max)</f>
        <v>2020</v>
      </c>
      <c r="K320" s="197">
        <f t="shared" si="104"/>
        <v>45963</v>
      </c>
      <c r="L320" s="147">
        <f>IF(t&lt;Tvie,1-EXP((T0-t)*PertePVj)+'2024'!Pspv,1-EXP((T0-t)*PertePVj)+Pspv)</f>
        <v>4.6563458430689542E-2</v>
      </c>
      <c r="M320" s="832"/>
      <c r="N320" s="832"/>
      <c r="O320" s="48">
        <f>IF(t&lt;Tnet,'2024'!Resal+('2024'!Salim-'2024'!Resal)*(1-EXP(('2024'!Tnet-t)/('2024'!Tau_j))),Resal+(Salim-Resal)*(1-EXP((Tnet-t)/(Tau_j))))*Salcycl</f>
        <v>2.5142030775503515E-2</v>
      </c>
      <c r="P320" s="169">
        <f>(INDEX(Models!$BJ320:$BT320,,T320)*(1-R320)+INDEX(Models!$BJ320:$BT320,,T320+1)*R320-ERP_i)*Q320*Ramure*Pc/MaxiM</f>
        <v>4.7098273708213997E-2</v>
      </c>
      <c r="Q320" s="304">
        <f t="shared" si="105"/>
        <v>0.7</v>
      </c>
      <c r="R320" s="177">
        <f t="shared" si="106"/>
        <v>0.53370486042945497</v>
      </c>
      <c r="S320" s="799">
        <f t="shared" si="107"/>
        <v>1</v>
      </c>
      <c r="T320" s="176">
        <f t="shared" si="108"/>
        <v>7</v>
      </c>
      <c r="U320" s="250">
        <f t="shared" si="109"/>
        <v>1.533704860429455</v>
      </c>
      <c r="V320" s="382">
        <f t="shared" si="110"/>
        <v>31.593651048376934</v>
      </c>
      <c r="W320" s="400">
        <f t="shared" si="111"/>
        <v>28.46088298222044</v>
      </c>
      <c r="X320" s="157">
        <f t="shared" si="112"/>
        <v>45963</v>
      </c>
      <c r="Y320" s="383">
        <f t="shared" si="113"/>
        <v>27.187993215574181</v>
      </c>
      <c r="Z320" s="383">
        <f t="shared" si="114"/>
        <v>28.515786872217063</v>
      </c>
      <c r="AA320" s="384">
        <f t="shared" si="115"/>
        <v>30.583047689724744</v>
      </c>
      <c r="AB320" s="197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6.7594990482332959E-2</v>
      </c>
      <c r="AD320" s="230">
        <f>(INDEX(Models!$BJ320:$BT320,,AH320)*(1-AF320)+INDEX(Models!$BJ320:$BT320,,AH320+1)*AF320-ERP_i)*AE320*Ramure*Pc/MaxiM</f>
        <v>4.8473223484687189E-2</v>
      </c>
      <c r="AE320" s="304">
        <f t="shared" si="117"/>
        <v>0.7</v>
      </c>
      <c r="AF320" s="177">
        <f t="shared" si="118"/>
        <v>0.59803708268928712</v>
      </c>
      <c r="AG320" s="799">
        <f t="shared" si="124"/>
        <v>1</v>
      </c>
      <c r="AH320" s="176">
        <f t="shared" si="119"/>
        <v>7</v>
      </c>
      <c r="AI320" s="224">
        <f t="shared" si="120"/>
        <v>1.5980370826892871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45964</v>
      </c>
      <c r="B321" s="409">
        <f>'2024'!Wh/'2024'!Env_an*'2025'!Env_an</f>
        <v>8.9259545835079344</v>
      </c>
      <c r="C321" s="829"/>
      <c r="D321" s="391">
        <f t="shared" si="102"/>
        <v>9.3620553246026024</v>
      </c>
      <c r="E321" s="383">
        <f t="shared" si="125"/>
        <v>9.6041831310003225</v>
      </c>
      <c r="F321" s="383">
        <f t="shared" si="103"/>
        <v>9.6041831310003225</v>
      </c>
      <c r="G321" s="110">
        <f t="shared" si="126"/>
        <v>0.27131347486578539</v>
      </c>
      <c r="H321" s="412" t="b">
        <f>Wh_hp&gt;='2024'!Maxi_hp</f>
        <v>0</v>
      </c>
      <c r="I321" s="388">
        <f>IF(H321,Wh_hp,'2024'!Maxi_hp)</f>
        <v>28.049300463393088</v>
      </c>
      <c r="J321" s="85">
        <f>IF(H321,An,'2024'!An_max)</f>
        <v>2020</v>
      </c>
      <c r="K321" s="197">
        <f t="shared" si="104"/>
        <v>45964</v>
      </c>
      <c r="L321" s="147">
        <f>IF(t&lt;Tvie,1-EXP((T0-t)*PertePVj)+'2024'!Pspv,1-EXP((T0-t)*PertePVj)+Pspv)</f>
        <v>4.6581730824494905E-2</v>
      </c>
      <c r="M321" s="832"/>
      <c r="N321" s="832"/>
      <c r="O321" s="48">
        <f>IF(t&lt;Tnet,'2024'!Resal+('2024'!Salim-'2024'!Resal)*(1-EXP(('2024'!Tnet-t)/('2024'!Tau_j))),Resal+(Salim-Resal)*(1-EXP((Tnet-t)/(Tau_j))))*Salcycl</f>
        <v>2.5210661135373499E-2</v>
      </c>
      <c r="P321" s="169">
        <f>(INDEX(Models!$BJ321:$BT321,,T321)*(1-R321)+INDEX(Models!$BJ321:$BT321,,T321+1)*R321-ERP_i)*Q321*Ramure*Pc/MaxiM</f>
        <v>4.7198832829301256E-2</v>
      </c>
      <c r="Q321" s="304">
        <f t="shared" si="105"/>
        <v>0.7</v>
      </c>
      <c r="R321" s="177">
        <f t="shared" si="106"/>
        <v>0.53374631748176959</v>
      </c>
      <c r="S321" s="799">
        <f t="shared" si="107"/>
        <v>1</v>
      </c>
      <c r="T321" s="176">
        <f t="shared" si="108"/>
        <v>7</v>
      </c>
      <c r="U321" s="250">
        <f t="shared" si="109"/>
        <v>1.5337463174817696</v>
      </c>
      <c r="V321" s="382">
        <f t="shared" si="110"/>
        <v>31.346249755881587</v>
      </c>
      <c r="W321" s="400">
        <f t="shared" si="111"/>
        <v>8.9259545835079344</v>
      </c>
      <c r="X321" s="157">
        <f t="shared" si="112"/>
        <v>45964</v>
      </c>
      <c r="Y321" s="383">
        <f t="shared" si="113"/>
        <v>8.5379519002889044</v>
      </c>
      <c r="Z321" s="383">
        <f t="shared" si="114"/>
        <v>8.9550957605126822</v>
      </c>
      <c r="AA321" s="384">
        <f t="shared" si="115"/>
        <v>9.6041831310003225</v>
      </c>
      <c r="AB321" s="197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6.7583818595932418E-2</v>
      </c>
      <c r="AD321" s="230">
        <f>(INDEX(Models!$BJ321:$BT321,,AH321)*(1-AF321)+INDEX(Models!$BJ321:$BT321,,AH321+1)*AF321-ERP_i)*AE321*Ramure*Pc/MaxiM</f>
        <v>4.8568782784106292E-2</v>
      </c>
      <c r="AE321" s="304">
        <f t="shared" si="117"/>
        <v>0.7</v>
      </c>
      <c r="AF321" s="177">
        <f t="shared" si="118"/>
        <v>0.59807853974160174</v>
      </c>
      <c r="AG321" s="799">
        <f t="shared" si="124"/>
        <v>1</v>
      </c>
      <c r="AH321" s="176">
        <f t="shared" si="119"/>
        <v>7</v>
      </c>
      <c r="AI321" s="224">
        <f t="shared" si="120"/>
        <v>1.5980785397416017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45965</v>
      </c>
      <c r="B322" s="409">
        <f>'2024'!Wh/'2024'!Env_an*'2025'!Env_an</f>
        <v>12.457951947474685</v>
      </c>
      <c r="C322" s="829"/>
      <c r="D322" s="391">
        <f t="shared" si="102"/>
        <v>13.066868035401669</v>
      </c>
      <c r="E322" s="383">
        <f t="shared" si="125"/>
        <v>13.405753545201234</v>
      </c>
      <c r="F322" s="383">
        <f t="shared" si="103"/>
        <v>13.497274615645001</v>
      </c>
      <c r="G322" s="110">
        <f t="shared" si="126"/>
        <v>0.38423230057895502</v>
      </c>
      <c r="H322" s="412" t="b">
        <f>Wh_hp&gt;='2024'!Maxi_hp</f>
        <v>0</v>
      </c>
      <c r="I322" s="388">
        <f>IF(H322,Wh_hp,'2024'!Maxi_hp)</f>
        <v>18.973893501694523</v>
      </c>
      <c r="J322" s="85">
        <f>IF(H322,An,'2024'!An_max)</f>
        <v>2018</v>
      </c>
      <c r="K322" s="197">
        <f t="shared" si="104"/>
        <v>45965</v>
      </c>
      <c r="L322" s="147">
        <f>IF(t&lt;Tvie,1-EXP((T0-t)*PertePVj)+'2024'!Pspv,1-EXP((T0-t)*PertePVj)+Pspv)</f>
        <v>4.6600002868113943E-2</v>
      </c>
      <c r="M322" s="832"/>
      <c r="N322" s="832"/>
      <c r="O322" s="48">
        <f>IF(t&lt;Tnet,'2024'!Resal+('2024'!Salim-'2024'!Resal)*(1-EXP(('2024'!Tnet-t)/('2024'!Tau_j))),Resal+(Salim-Resal)*(1-EXP((Tnet-t)/(Tau_j))))*Salcycl</f>
        <v>2.5279109350840882E-2</v>
      </c>
      <c r="P322" s="169">
        <f>(INDEX(Models!$BJ322:$BT322,,T322)*(1-R322)+INDEX(Models!$BJ322:$BT322,,T322+1)*R322-ERP_i)*Q322*Ramure*Pc/MaxiM</f>
        <v>4.7211485601876359E-2</v>
      </c>
      <c r="Q322" s="304">
        <f t="shared" si="105"/>
        <v>0.7</v>
      </c>
      <c r="R322" s="177">
        <f t="shared" si="106"/>
        <v>0.53378611344190752</v>
      </c>
      <c r="S322" s="799">
        <f t="shared" si="107"/>
        <v>1</v>
      </c>
      <c r="T322" s="176">
        <f t="shared" si="108"/>
        <v>7</v>
      </c>
      <c r="U322" s="250">
        <f t="shared" si="109"/>
        <v>1.5337861134419075</v>
      </c>
      <c r="V322" s="382">
        <f t="shared" si="110"/>
        <v>31.103133658758349</v>
      </c>
      <c r="W322" s="400">
        <f t="shared" si="111"/>
        <v>12.457951947474685</v>
      </c>
      <c r="X322" s="157">
        <f t="shared" si="112"/>
        <v>45965</v>
      </c>
      <c r="Y322" s="383">
        <f t="shared" si="113"/>
        <v>11.915041631839719</v>
      </c>
      <c r="Z322" s="383">
        <f t="shared" si="114"/>
        <v>12.497421510052179</v>
      </c>
      <c r="AA322" s="384">
        <f t="shared" si="115"/>
        <v>13.403105004849118</v>
      </c>
      <c r="AB322" s="197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6.7572662787411655E-2</v>
      </c>
      <c r="AD322" s="230">
        <f>(INDEX(Models!$BJ322:$BT322,,AH322)*(1-AF322)+INDEX(Models!$BJ322:$BT322,,AH322+1)*AF322-ERP_i)*AE322*Ramure*Pc/MaxiM</f>
        <v>4.8577745022724786E-2</v>
      </c>
      <c r="AE322" s="304">
        <f t="shared" si="117"/>
        <v>0.7</v>
      </c>
      <c r="AF322" s="177">
        <f t="shared" si="118"/>
        <v>0.59811833570173967</v>
      </c>
      <c r="AG322" s="799">
        <f t="shared" si="124"/>
        <v>1</v>
      </c>
      <c r="AH322" s="176">
        <f t="shared" si="119"/>
        <v>7</v>
      </c>
      <c r="AI322" s="224">
        <f t="shared" si="120"/>
        <v>1.5981183357017397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45966</v>
      </c>
      <c r="B323" s="409">
        <f>'2024'!Wh/'2024'!Env_an*'2025'!Env_an</f>
        <v>30.200042879083341</v>
      </c>
      <c r="C323" s="829"/>
      <c r="D323" s="391">
        <f t="shared" si="102"/>
        <v>31.676758714034275</v>
      </c>
      <c r="E323" s="383">
        <f t="shared" si="125"/>
        <v>32.500563583416238</v>
      </c>
      <c r="F323" s="383">
        <f t="shared" si="103"/>
        <v>34.05647959715732</v>
      </c>
      <c r="G323" s="110">
        <f t="shared" si="126"/>
        <v>0.97699666821539466</v>
      </c>
      <c r="H323" s="412" t="b">
        <f>Wh_hp&gt;='2024'!Maxi_hp</f>
        <v>0</v>
      </c>
      <c r="I323" s="388">
        <f>IF(H323,Wh_hp,'2024'!Maxi_hp)</f>
        <v>34.083177611383562</v>
      </c>
      <c r="J323" s="85">
        <f>IF(H323,An,'2024'!An_max)</f>
        <v>2022</v>
      </c>
      <c r="K323" s="197">
        <f t="shared" si="104"/>
        <v>45966</v>
      </c>
      <c r="L323" s="147">
        <f>IF(t&lt;Tvie,1-EXP((T0-t)*PertePVj)+'2024'!Pspv,1-EXP((T0-t)*PertePVj)+Pspv)</f>
        <v>4.6618274561553541E-2</v>
      </c>
      <c r="M323" s="832"/>
      <c r="N323" s="832"/>
      <c r="O323" s="48">
        <f>IF(t&lt;Tnet,'2024'!Resal+('2024'!Salim-'2024'!Resal)*(1-EXP(('2024'!Tnet-t)/('2024'!Tau_j))),Resal+(Salim-Resal)*(1-EXP((Tnet-t)/(Tau_j))))*Salcycl</f>
        <v>2.5347402584806673E-2</v>
      </c>
      <c r="P323" s="169">
        <f>(INDEX(Models!$BJ323:$BT323,,T323)*(1-R323)+INDEX(Models!$BJ323:$BT323,,T323+1)*R323-ERP_i)*Q323*Ramure*Pc/MaxiM</f>
        <v>4.7135262129316444E-2</v>
      </c>
      <c r="Q323" s="304">
        <f t="shared" si="105"/>
        <v>0.7</v>
      </c>
      <c r="R323" s="177">
        <f t="shared" si="106"/>
        <v>0.53382431455421897</v>
      </c>
      <c r="S323" s="799">
        <f t="shared" si="107"/>
        <v>1</v>
      </c>
      <c r="T323" s="176">
        <f t="shared" si="108"/>
        <v>7</v>
      </c>
      <c r="U323" s="250">
        <f t="shared" si="109"/>
        <v>1.533824314554219</v>
      </c>
      <c r="V323" s="382">
        <f t="shared" si="110"/>
        <v>30.864169371441772</v>
      </c>
      <c r="W323" s="400">
        <f t="shared" si="111"/>
        <v>30.200042879083341</v>
      </c>
      <c r="X323" s="157">
        <f t="shared" si="112"/>
        <v>45966</v>
      </c>
      <c r="Y323" s="383">
        <f t="shared" si="113"/>
        <v>28.851994230821795</v>
      </c>
      <c r="Z323" s="383">
        <f t="shared" si="114"/>
        <v>30.262793444622805</v>
      </c>
      <c r="AA323" s="384">
        <f t="shared" si="115"/>
        <v>32.455541558605809</v>
      </c>
      <c r="AB323" s="197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6.756159375814158E-2</v>
      </c>
      <c r="AD323" s="230">
        <f>(INDEX(Models!$BJ323:$BT323,,AH323)*(1-AF323)+INDEX(Models!$BJ323:$BT323,,AH323+1)*AF323-ERP_i)*AE323*Ramure*Pc/MaxiM</f>
        <v>4.8499169256880331E-2</v>
      </c>
      <c r="AE323" s="304">
        <f t="shared" si="117"/>
        <v>0.7</v>
      </c>
      <c r="AF323" s="177">
        <f t="shared" si="118"/>
        <v>0.59815653681405112</v>
      </c>
      <c r="AG323" s="799">
        <f t="shared" si="124"/>
        <v>1</v>
      </c>
      <c r="AH323" s="176">
        <f t="shared" si="119"/>
        <v>7</v>
      </c>
      <c r="AI323" s="224">
        <f t="shared" si="120"/>
        <v>1.5981565368140511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45967</v>
      </c>
      <c r="B324" s="409">
        <f>'2024'!Wh/'2024'!Env_an*'2025'!Env_an</f>
        <v>31.250320878083777</v>
      </c>
      <c r="C324" s="829"/>
      <c r="D324" s="391">
        <f t="shared" si="102"/>
        <v>32.77902120523688</v>
      </c>
      <c r="E324" s="383">
        <f t="shared" si="125"/>
        <v>33.633844477332218</v>
      </c>
      <c r="F324" s="383">
        <f t="shared" si="103"/>
        <v>35.292571273233243</v>
      </c>
      <c r="G324" s="110">
        <f t="shared" si="126"/>
        <v>1.0203101945035624</v>
      </c>
      <c r="H324" s="412" t="b">
        <f>Wh_hp&gt;='2024'!Maxi_hp</f>
        <v>1</v>
      </c>
      <c r="I324" s="388">
        <f>IF(H324,Wh_hp,'2024'!Maxi_hp)</f>
        <v>35.292571273233243</v>
      </c>
      <c r="J324" s="85">
        <f>IF(H324,An,'2024'!An_max)</f>
        <v>2025</v>
      </c>
      <c r="K324" s="197">
        <f t="shared" si="104"/>
        <v>45967</v>
      </c>
      <c r="L324" s="147">
        <f>IF(t&lt;Tvie,1-EXP((T0-t)*PertePVj)+'2024'!Pspv,1-EXP((T0-t)*PertePVj)+Pspv)</f>
        <v>4.6636545904820248E-2</v>
      </c>
      <c r="M324" s="832"/>
      <c r="N324" s="832"/>
      <c r="O324" s="48">
        <f>IF(t&lt;Tnet,'2024'!Resal+('2024'!Salim-'2024'!Resal)*(1-EXP(('2024'!Tnet-t)/('2024'!Tau_j))),Resal+(Salim-Resal)*(1-EXP((Tnet-t)/(Tau_j))))*Salcycl</f>
        <v>2.5415568317545378E-2</v>
      </c>
      <c r="P324" s="169">
        <f>(INDEX(Models!$BJ324:$BT324,,T324)*(1-R324)+INDEX(Models!$BJ324:$BT324,,T324+1)*R324-ERP_i)*Q324*Ramure*Pc/MaxiM</f>
        <v>4.6999318441811683E-2</v>
      </c>
      <c r="Q324" s="304">
        <f t="shared" si="105"/>
        <v>0.7</v>
      </c>
      <c r="R324" s="177">
        <f t="shared" si="106"/>
        <v>0.53386098444579422</v>
      </c>
      <c r="S324" s="799">
        <f t="shared" si="107"/>
        <v>1</v>
      </c>
      <c r="T324" s="176">
        <f t="shared" si="108"/>
        <v>7</v>
      </c>
      <c r="U324" s="250">
        <f t="shared" si="109"/>
        <v>1.5338609844457942</v>
      </c>
      <c r="V324" s="382">
        <f t="shared" si="110"/>
        <v>30.628255060500297</v>
      </c>
      <c r="W324" s="400">
        <f t="shared" si="111"/>
        <v>31.250320878083777</v>
      </c>
      <c r="X324" s="157">
        <f t="shared" si="112"/>
        <v>45967</v>
      </c>
      <c r="Y324" s="383">
        <f t="shared" si="113"/>
        <v>29.85641174603451</v>
      </c>
      <c r="Z324" s="383">
        <f t="shared" si="114"/>
        <v>31.316924954261747</v>
      </c>
      <c r="AA324" s="384">
        <f t="shared" si="115"/>
        <v>33.58565914341397</v>
      </c>
      <c r="AB324" s="197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6.7550682255914984E-2</v>
      </c>
      <c r="AD324" s="230">
        <f>(INDEX(Models!$BJ324:$BT324,,AH324)*(1-AF324)+INDEX(Models!$BJ324:$BT324,,AH324+1)*AF324-ERP_i)*AE324*Ramure*Pc/MaxiM</f>
        <v>4.8364629389127042E-2</v>
      </c>
      <c r="AE324" s="304">
        <f t="shared" si="117"/>
        <v>0.7</v>
      </c>
      <c r="AF324" s="177">
        <f t="shared" si="118"/>
        <v>0.59819320670562637</v>
      </c>
      <c r="AG324" s="799">
        <f t="shared" si="124"/>
        <v>1</v>
      </c>
      <c r="AH324" s="176">
        <f t="shared" si="119"/>
        <v>7</v>
      </c>
      <c r="AI324" s="224">
        <f t="shared" si="120"/>
        <v>1.5981932067056264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45968</v>
      </c>
      <c r="B325" s="409">
        <f>'2024'!Wh/'2024'!Env_an*'2025'!Env_an</f>
        <v>31.355452116085331</v>
      </c>
      <c r="C325" s="829"/>
      <c r="D325" s="391">
        <f t="shared" si="102"/>
        <v>32.889925571405499</v>
      </c>
      <c r="E325" s="383">
        <f t="shared" si="125"/>
        <v>33.749998180072467</v>
      </c>
      <c r="F325" s="383">
        <f t="shared" si="103"/>
        <v>35.409981593380145</v>
      </c>
      <c r="G325" s="110">
        <f t="shared" si="126"/>
        <v>1.0316720956581411</v>
      </c>
      <c r="H325" s="412" t="b">
        <f>Wh_hp&gt;='2024'!Maxi_hp</f>
        <v>0</v>
      </c>
      <c r="I325" s="388">
        <f>IF(H325,Wh_hp,'2024'!Maxi_hp)</f>
        <v>35.409981593380152</v>
      </c>
      <c r="J325" s="85">
        <f>IF(H325,An,'2024'!An_max)</f>
        <v>2022</v>
      </c>
      <c r="K325" s="197">
        <f t="shared" si="104"/>
        <v>45968</v>
      </c>
      <c r="L325" s="147">
        <f>IF(t&lt;Tvie,1-EXP((T0-t)*PertePVj)+'2024'!Pspv,1-EXP((T0-t)*PertePVj)+Pspv)</f>
        <v>4.6654816897920726E-2</v>
      </c>
      <c r="M325" s="832"/>
      <c r="N325" s="832"/>
      <c r="O325" s="48">
        <f>IF(t&lt;Tnet,'2024'!Resal+('2024'!Salim-'2024'!Resal)*(1-EXP(('2024'!Tnet-t)/('2024'!Tau_j))),Resal+(Salim-Resal)*(1-EXP((Tnet-t)/(Tau_j))))*Salcycl</f>
        <v>2.548363422356555E-2</v>
      </c>
      <c r="P325" s="169">
        <f>(INDEX(Models!$BJ325:$BT325,,T325)*(1-R325)+INDEX(Models!$BJ325:$BT325,,T325+1)*R325-ERP_i)*Q325*Ramure*Pc/MaxiM</f>
        <v>4.6878968545355303E-2</v>
      </c>
      <c r="Q325" s="304">
        <f t="shared" si="105"/>
        <v>0.7</v>
      </c>
      <c r="R325" s="177">
        <f t="shared" si="106"/>
        <v>0.53389618422793106</v>
      </c>
      <c r="S325" s="799">
        <f t="shared" si="107"/>
        <v>1</v>
      </c>
      <c r="T325" s="176">
        <f t="shared" si="108"/>
        <v>7</v>
      </c>
      <c r="U325" s="250">
        <f t="shared" si="109"/>
        <v>1.5338961842279311</v>
      </c>
      <c r="V325" s="382">
        <f t="shared" si="110"/>
        <v>30.392846959849727</v>
      </c>
      <c r="W325" s="400">
        <f t="shared" si="111"/>
        <v>31.355452116085331</v>
      </c>
      <c r="X325" s="157">
        <f t="shared" si="112"/>
        <v>45968</v>
      </c>
      <c r="Y325" s="383">
        <f t="shared" si="113"/>
        <v>29.959110923330215</v>
      </c>
      <c r="Z325" s="383">
        <f t="shared" si="114"/>
        <v>31.425250218233231</v>
      </c>
      <c r="AA325" s="384">
        <f t="shared" si="115"/>
        <v>33.701445827367856</v>
      </c>
      <c r="AB325" s="197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6.7539998752403685E-2</v>
      </c>
      <c r="AD325" s="230">
        <f>(INDEX(Models!$BJ325:$BT325,,AH325)*(1-AF325)+INDEX(Models!$BJ325:$BT325,,AH325+1)*AF325-ERP_i)*AE325*Ramure*Pc/MaxiM</f>
        <v>4.8250117315274101E-2</v>
      </c>
      <c r="AE325" s="304">
        <f t="shared" si="117"/>
        <v>0.7</v>
      </c>
      <c r="AF325" s="177">
        <f t="shared" si="118"/>
        <v>0.59822840648776321</v>
      </c>
      <c r="AG325" s="799">
        <f t="shared" si="124"/>
        <v>1</v>
      </c>
      <c r="AH325" s="176">
        <f t="shared" si="119"/>
        <v>7</v>
      </c>
      <c r="AI325" s="224">
        <f t="shared" si="120"/>
        <v>1.5982284064877632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45969</v>
      </c>
      <c r="B326" s="409">
        <f>'2024'!Wh/'2024'!Env_an*'2025'!Env_an</f>
        <v>20.302043380086268</v>
      </c>
      <c r="C326" s="829"/>
      <c r="D326" s="391">
        <f t="shared" si="102"/>
        <v>21.295993131796187</v>
      </c>
      <c r="E326" s="383">
        <f t="shared" si="125"/>
        <v>21.854408858102264</v>
      </c>
      <c r="F326" s="383">
        <f t="shared" si="103"/>
        <v>22.413333786634521</v>
      </c>
      <c r="G326" s="110">
        <f t="shared" si="126"/>
        <v>0.6581159428337261</v>
      </c>
      <c r="H326" s="412" t="b">
        <f>Wh_hp&gt;='2024'!Maxi_hp</f>
        <v>0</v>
      </c>
      <c r="I326" s="388">
        <f>IF(H326,Wh_hp,'2024'!Maxi_hp)</f>
        <v>29.721733914268235</v>
      </c>
      <c r="J326" s="85">
        <f>IF(H326,An,'2024'!An_max)</f>
        <v>2021</v>
      </c>
      <c r="K326" s="197">
        <f t="shared" si="104"/>
        <v>45969</v>
      </c>
      <c r="L326" s="147">
        <f>IF(t&lt;Tvie,1-EXP((T0-t)*PertePVj)+'2024'!Pspv,1-EXP((T0-t)*PertePVj)+Pspv)</f>
        <v>4.6673087540861968E-2</v>
      </c>
      <c r="M326" s="832"/>
      <c r="N326" s="832"/>
      <c r="O326" s="48">
        <f>IF(t&lt;Tnet,'2024'!Resal+('2024'!Salim-'2024'!Resal)*(1-EXP(('2024'!Tnet-t)/('2024'!Tau_j))),Resal+(Salim-Resal)*(1-EXP((Tnet-t)/(Tau_j))))*Salcycl</f>
        <v>2.5551628045937809E-2</v>
      </c>
      <c r="P326" s="169">
        <f>(INDEX(Models!$BJ326:$BT326,,T326)*(1-R326)+INDEX(Models!$BJ326:$BT326,,T326+1)*R326-ERP_i)*Q326*Ramure*Pc/MaxiM</f>
        <v>4.6774779726908057E-2</v>
      </c>
      <c r="Q326" s="304">
        <f t="shared" si="105"/>
        <v>0.7</v>
      </c>
      <c r="R326" s="177">
        <f t="shared" si="106"/>
        <v>0.53392997259382402</v>
      </c>
      <c r="S326" s="799">
        <f t="shared" si="107"/>
        <v>1</v>
      </c>
      <c r="T326" s="176">
        <f t="shared" si="108"/>
        <v>7</v>
      </c>
      <c r="U326" s="250">
        <f t="shared" si="109"/>
        <v>1.533929972593824</v>
      </c>
      <c r="V326" s="382">
        <f t="shared" si="110"/>
        <v>30.15784183233075</v>
      </c>
      <c r="W326" s="400">
        <f t="shared" si="111"/>
        <v>20.302043380086268</v>
      </c>
      <c r="X326" s="157">
        <f t="shared" si="112"/>
        <v>45969</v>
      </c>
      <c r="Y326" s="383">
        <f t="shared" si="113"/>
        <v>19.412782732558721</v>
      </c>
      <c r="Z326" s="383">
        <f t="shared" si="114"/>
        <v>20.363195960221883</v>
      </c>
      <c r="AA326" s="384">
        <f t="shared" si="115"/>
        <v>21.837900963634727</v>
      </c>
      <c r="AB326" s="197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6.7529613119345883E-2</v>
      </c>
      <c r="AD326" s="230">
        <f>(INDEX(Models!$BJ326:$BT326,,AH326)*(1-AF326)+INDEX(Models!$BJ326:$BT326,,AH326+1)*AF326-ERP_i)*AE326*Ramure*Pc/MaxiM</f>
        <v>4.8156276754606826E-2</v>
      </c>
      <c r="AE326" s="304">
        <f t="shared" si="117"/>
        <v>0.7</v>
      </c>
      <c r="AF326" s="177">
        <f t="shared" si="118"/>
        <v>0.59826219485365617</v>
      </c>
      <c r="AG326" s="799">
        <f t="shared" si="124"/>
        <v>1</v>
      </c>
      <c r="AH326" s="176">
        <f t="shared" si="119"/>
        <v>7</v>
      </c>
      <c r="AI326" s="224">
        <f t="shared" si="120"/>
        <v>1.5982621948536562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45970</v>
      </c>
      <c r="B327" s="409">
        <f>'2024'!Wh/'2024'!Env_an*'2025'!Env_an</f>
        <v>12.034623761645557</v>
      </c>
      <c r="C327" s="829"/>
      <c r="D327" s="391">
        <f t="shared" si="102"/>
        <v>12.624058179413367</v>
      </c>
      <c r="E327" s="383">
        <f t="shared" si="125"/>
        <v>12.955985041880449</v>
      </c>
      <c r="F327" s="383">
        <f t="shared" si="103"/>
        <v>13.044890144869855</v>
      </c>
      <c r="G327" s="110">
        <f t="shared" si="126"/>
        <v>0.38603862111206128</v>
      </c>
      <c r="H327" s="412" t="b">
        <f>Wh_hp&gt;='2024'!Maxi_hp</f>
        <v>0</v>
      </c>
      <c r="I327" s="388">
        <f>IF(H327,Wh_hp,'2024'!Maxi_hp)</f>
        <v>28.934926580180637</v>
      </c>
      <c r="J327" s="85">
        <f>IF(H327,An,'2024'!An_max)</f>
        <v>2020</v>
      </c>
      <c r="K327" s="197">
        <f t="shared" si="104"/>
        <v>45970</v>
      </c>
      <c r="L327" s="147">
        <f>IF(t&lt;Tvie,1-EXP((T0-t)*PertePVj)+'2024'!Pspv,1-EXP((T0-t)*PertePVj)+Pspv)</f>
        <v>4.6691357833650415E-2</v>
      </c>
      <c r="M327" s="832"/>
      <c r="N327" s="832"/>
      <c r="O327" s="48">
        <f>IF(t&lt;Tnet,'2024'!Resal+('2024'!Salim-'2024'!Resal)*(1-EXP(('2024'!Tnet-t)/('2024'!Tau_j))),Resal+(Salim-Resal)*(1-EXP((Tnet-t)/(Tau_j))))*Salcycl</f>
        <v>2.5619577468955268E-2</v>
      </c>
      <c r="P327" s="169">
        <f>(INDEX(Models!$BJ327:$BT327,,T327)*(1-R327)+INDEX(Models!$BJ327:$BT327,,T327+1)*R327-ERP_i)*Q327*Ramure*Pc/MaxiM</f>
        <v>4.6687325715131456E-2</v>
      </c>
      <c r="Q327" s="304">
        <f t="shared" si="105"/>
        <v>0.7</v>
      </c>
      <c r="R327" s="177">
        <f t="shared" si="106"/>
        <v>0.53396240591259958</v>
      </c>
      <c r="S327" s="799">
        <f t="shared" si="107"/>
        <v>1</v>
      </c>
      <c r="T327" s="176">
        <f t="shared" si="108"/>
        <v>7</v>
      </c>
      <c r="U327" s="250">
        <f t="shared" si="109"/>
        <v>1.5339624059125996</v>
      </c>
      <c r="V327" s="382">
        <f t="shared" si="110"/>
        <v>29.92313672540191</v>
      </c>
      <c r="W327" s="400">
        <f t="shared" si="111"/>
        <v>12.034623761645557</v>
      </c>
      <c r="X327" s="157">
        <f t="shared" si="112"/>
        <v>45970</v>
      </c>
      <c r="Y327" s="383">
        <f t="shared" si="113"/>
        <v>11.514750595355586</v>
      </c>
      <c r="Z327" s="383">
        <f t="shared" si="114"/>
        <v>12.078722552214412</v>
      </c>
      <c r="AA327" s="384">
        <f t="shared" si="115"/>
        <v>12.953325859132939</v>
      </c>
      <c r="AB327" s="197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6.751959430572603E-2</v>
      </c>
      <c r="AD327" s="230">
        <f>(INDEX(Models!$BJ327:$BT327,,AH327)*(1-AF327)+INDEX(Models!$BJ327:$BT327,,AH327+1)*AF327-ERP_i)*AE327*Ramure*Pc/MaxiM</f>
        <v>4.8083759967998366E-2</v>
      </c>
      <c r="AE327" s="304">
        <f t="shared" si="117"/>
        <v>0.7</v>
      </c>
      <c r="AF327" s="177">
        <f t="shared" si="118"/>
        <v>0.59829462817243173</v>
      </c>
      <c r="AG327" s="799">
        <f t="shared" si="124"/>
        <v>1</v>
      </c>
      <c r="AH327" s="176">
        <f t="shared" si="119"/>
        <v>7</v>
      </c>
      <c r="AI327" s="224">
        <f t="shared" si="120"/>
        <v>1.5982946281724317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45971</v>
      </c>
      <c r="B328" s="409">
        <f>'2024'!Wh/'2024'!Env_an*'2025'!Env_an</f>
        <v>21.008720286906215</v>
      </c>
      <c r="C328" s="829"/>
      <c r="D328" s="391">
        <f t="shared" si="102"/>
        <v>22.038112309788577</v>
      </c>
      <c r="E328" s="383">
        <f t="shared" si="125"/>
        <v>22.619141739179291</v>
      </c>
      <c r="F328" s="383">
        <f t="shared" si="103"/>
        <v>23.250315002359141</v>
      </c>
      <c r="G328" s="110">
        <f t="shared" si="126"/>
        <v>0.69347290000040929</v>
      </c>
      <c r="H328" s="412" t="b">
        <f>Wh_hp&gt;='2024'!Maxi_hp</f>
        <v>0</v>
      </c>
      <c r="I328" s="388">
        <f>IF(H328,Wh_hp,'2024'!Maxi_hp)</f>
        <v>23.492007073605752</v>
      </c>
      <c r="J328" s="85">
        <f>IF(H328,An,'2024'!An_max)</f>
        <v>2022</v>
      </c>
      <c r="K328" s="197">
        <f t="shared" si="104"/>
        <v>45971</v>
      </c>
      <c r="L328" s="147">
        <f>IF(t&lt;Tvie,1-EXP((T0-t)*PertePVj)+'2024'!Pspv,1-EXP((T0-t)*PertePVj)+Pspv)</f>
        <v>4.6709627776292839E-2</v>
      </c>
      <c r="M328" s="832"/>
      <c r="N328" s="832"/>
      <c r="O328" s="48">
        <f>IF(t&lt;Tnet,'2024'!Resal+('2024'!Salim-'2024'!Resal)*(1-EXP(('2024'!Tnet-t)/('2024'!Tau_j))),Resal+(Salim-Resal)*(1-EXP((Tnet-t)/(Tau_j))))*Salcycl</f>
        <v>2.5687509990014127E-2</v>
      </c>
      <c r="P328" s="169">
        <f>(INDEX(Models!$BJ328:$BT328,,T328)*(1-R328)+INDEX(Models!$BJ328:$BT328,,T328+1)*R328-ERP_i)*Q328*Ramure*Pc/MaxiM</f>
        <v>4.6617187043173823E-2</v>
      </c>
      <c r="Q328" s="304">
        <f t="shared" si="105"/>
        <v>0.7</v>
      </c>
      <c r="R328" s="177">
        <f t="shared" si="106"/>
        <v>0.53399353831982777</v>
      </c>
      <c r="S328" s="799">
        <f t="shared" si="107"/>
        <v>1</v>
      </c>
      <c r="T328" s="176">
        <f t="shared" si="108"/>
        <v>7</v>
      </c>
      <c r="U328" s="250">
        <f t="shared" si="109"/>
        <v>1.5339935383198278</v>
      </c>
      <c r="V328" s="382">
        <f t="shared" si="110"/>
        <v>29.688628982904667</v>
      </c>
      <c r="W328" s="400">
        <f t="shared" si="111"/>
        <v>21.008720286906215</v>
      </c>
      <c r="X328" s="157">
        <f t="shared" si="112"/>
        <v>45971</v>
      </c>
      <c r="Y328" s="383">
        <f t="shared" si="113"/>
        <v>20.089874955747423</v>
      </c>
      <c r="Z328" s="383">
        <f t="shared" si="114"/>
        <v>21.074245100036489</v>
      </c>
      <c r="AA328" s="384">
        <f t="shared" si="115"/>
        <v>22.599969250552739</v>
      </c>
      <c r="AB328" s="197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6.75100100182187E-2</v>
      </c>
      <c r="AD328" s="230">
        <f>(INDEX(Models!$BJ328:$BT328,,AH328)*(1-AF328)+INDEX(Models!$BJ328:$BT328,,AH328+1)*AF328-ERP_i)*AE328*Ramure*Pc/MaxiM</f>
        <v>4.8033228470347709E-2</v>
      </c>
      <c r="AE328" s="304">
        <f t="shared" si="117"/>
        <v>0.7</v>
      </c>
      <c r="AF328" s="177">
        <f t="shared" si="118"/>
        <v>0.59832576057965992</v>
      </c>
      <c r="AG328" s="799">
        <f t="shared" si="124"/>
        <v>1</v>
      </c>
      <c r="AH328" s="176">
        <f t="shared" si="119"/>
        <v>7</v>
      </c>
      <c r="AI328" s="224">
        <f t="shared" si="120"/>
        <v>1.5983257605796599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45972</v>
      </c>
      <c r="B329" s="409">
        <f>'2024'!Wh/'2024'!Env_an*'2025'!Env_an</f>
        <v>28.509639775431072</v>
      </c>
      <c r="C329" s="829"/>
      <c r="D329" s="391">
        <f t="shared" si="102"/>
        <v>29.907137423553351</v>
      </c>
      <c r="E329" s="383">
        <f t="shared" si="125"/>
        <v>30.69777245276844</v>
      </c>
      <c r="F329" s="383">
        <f t="shared" si="103"/>
        <v>32.125145924266548</v>
      </c>
      <c r="G329" s="110">
        <f t="shared" si="126"/>
        <v>0.96576979392751616</v>
      </c>
      <c r="H329" s="412" t="b">
        <f>Wh_hp&gt;='2024'!Maxi_hp</f>
        <v>0</v>
      </c>
      <c r="I329" s="388">
        <f>IF(H329,Wh_hp,'2024'!Maxi_hp)</f>
        <v>32.162208991726168</v>
      </c>
      <c r="J329" s="85">
        <f>IF(H329,An,'2024'!An_max)</f>
        <v>2022</v>
      </c>
      <c r="K329" s="197">
        <f t="shared" si="104"/>
        <v>45972</v>
      </c>
      <c r="L329" s="147">
        <f>IF(t&lt;Tvie,1-EXP((T0-t)*PertePVj)+'2024'!Pspv,1-EXP((T0-t)*PertePVj)+Pspv)</f>
        <v>4.6727897368796012E-2</v>
      </c>
      <c r="M329" s="832"/>
      <c r="N329" s="832"/>
      <c r="O329" s="48">
        <f>IF(t&lt;Tnet,'2024'!Resal+('2024'!Salim-'2024'!Resal)*(1-EXP(('2024'!Tnet-t)/('2024'!Tau_j))),Resal+(Salim-Resal)*(1-EXP((Tnet-t)/(Tau_j))))*Salcycl</f>
        <v>2.575545279161744E-2</v>
      </c>
      <c r="P329" s="169">
        <f>(INDEX(Models!$BJ329:$BT329,,T329)*(1-R329)+INDEX(Models!$BJ329:$BT329,,T329+1)*R329-ERP_i)*Q329*Ramure*Pc/MaxiM</f>
        <v>4.6564951501403128E-2</v>
      </c>
      <c r="Q329" s="304">
        <f t="shared" si="105"/>
        <v>0.7</v>
      </c>
      <c r="R329" s="177">
        <f t="shared" si="106"/>
        <v>0.53402342180462536</v>
      </c>
      <c r="S329" s="799">
        <f t="shared" si="107"/>
        <v>1</v>
      </c>
      <c r="T329" s="176">
        <f t="shared" si="108"/>
        <v>7</v>
      </c>
      <c r="U329" s="250">
        <f t="shared" si="109"/>
        <v>1.5340234218046254</v>
      </c>
      <c r="V329" s="382">
        <f t="shared" si="110"/>
        <v>29.454216255777183</v>
      </c>
      <c r="W329" s="400">
        <f t="shared" si="111"/>
        <v>28.509639775431072</v>
      </c>
      <c r="X329" s="157">
        <f t="shared" si="112"/>
        <v>45972</v>
      </c>
      <c r="Y329" s="383">
        <f t="shared" si="113"/>
        <v>27.248779293094678</v>
      </c>
      <c r="Z329" s="383">
        <f t="shared" si="114"/>
        <v>28.584471545829466</v>
      </c>
      <c r="AA329" s="384">
        <f t="shared" si="115"/>
        <v>30.653619242425467</v>
      </c>
      <c r="AB329" s="197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6.7500926407157907E-2</v>
      </c>
      <c r="AD329" s="230">
        <f>(INDEX(Models!$BJ329:$BT329,,AH329)*(1-AF329)+INDEX(Models!$BJ329:$BT329,,AH329+1)*AF329-ERP_i)*AE329*Ramure*Pc/MaxiM</f>
        <v>4.8005353848305371E-2</v>
      </c>
      <c r="AE329" s="304">
        <f t="shared" si="117"/>
        <v>0.7</v>
      </c>
      <c r="AF329" s="177">
        <f t="shared" si="118"/>
        <v>0.59835564406445751</v>
      </c>
      <c r="AG329" s="799">
        <f t="shared" si="124"/>
        <v>1</v>
      </c>
      <c r="AH329" s="176">
        <f t="shared" si="119"/>
        <v>7</v>
      </c>
      <c r="AI329" s="224">
        <f t="shared" si="120"/>
        <v>1.5983556440644575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45973</v>
      </c>
      <c r="B330" s="409">
        <f>'2024'!Wh/'2024'!Env_an*'2025'!Env_an</f>
        <v>28.274001862723285</v>
      </c>
      <c r="C330" s="829"/>
      <c r="D330" s="391">
        <f t="shared" si="102"/>
        <v>29.660517348468179</v>
      </c>
      <c r="E330" s="383">
        <f t="shared" si="125"/>
        <v>30.44675712952996</v>
      </c>
      <c r="F330" s="383">
        <f t="shared" si="103"/>
        <v>31.860723034566721</v>
      </c>
      <c r="G330" s="110">
        <f t="shared" si="126"/>
        <v>0.96545305066665421</v>
      </c>
      <c r="H330" s="412" t="b">
        <f>Wh_hp&gt;='2024'!Maxi_hp</f>
        <v>0</v>
      </c>
      <c r="I330" s="388">
        <f>IF(H330,Wh_hp,'2024'!Maxi_hp)</f>
        <v>33.228636444643307</v>
      </c>
      <c r="J330" s="85">
        <f>IF(H330,An,'2024'!An_max)</f>
        <v>2020</v>
      </c>
      <c r="K330" s="197">
        <f t="shared" si="104"/>
        <v>45973</v>
      </c>
      <c r="L330" s="147">
        <f>IF(t&lt;Tvie,1-EXP((T0-t)*PertePVj)+'2024'!Pspv,1-EXP((T0-t)*PertePVj)+Pspv)</f>
        <v>4.6746166611166706E-2</v>
      </c>
      <c r="M330" s="832"/>
      <c r="N330" s="832"/>
      <c r="O330" s="48">
        <f>IF(t&lt;Tnet,'2024'!Resal+('2024'!Salim-'2024'!Resal)*(1-EXP(('2024'!Tnet-t)/('2024'!Tau_j))),Resal+(Salim-Resal)*(1-EXP((Tnet-t)/(Tau_j))))*Salcycl</f>
        <v>2.5823432614411904E-2</v>
      </c>
      <c r="P330" s="169">
        <f>(INDEX(Models!$BJ330:$BT330,,T330)*(1-R330)+INDEX(Models!$BJ330:$BT330,,T330+1)*R330-ERP_i)*Q330*Ramure*Pc/MaxiM</f>
        <v>4.6531214688868498E-2</v>
      </c>
      <c r="Q330" s="304">
        <f t="shared" si="105"/>
        <v>0.7</v>
      </c>
      <c r="R330" s="177">
        <f t="shared" si="106"/>
        <v>0.53405210629347599</v>
      </c>
      <c r="S330" s="799">
        <f t="shared" si="107"/>
        <v>1</v>
      </c>
      <c r="T330" s="176">
        <f t="shared" si="108"/>
        <v>7</v>
      </c>
      <c r="U330" s="250">
        <f t="shared" si="109"/>
        <v>1.534052106293476</v>
      </c>
      <c r="V330" s="382">
        <f t="shared" si="110"/>
        <v>29.219796509530884</v>
      </c>
      <c r="W330" s="400">
        <f t="shared" si="111"/>
        <v>28.274001862723285</v>
      </c>
      <c r="X330" s="157">
        <f t="shared" si="112"/>
        <v>45973</v>
      </c>
      <c r="Y330" s="383">
        <f t="shared" si="113"/>
        <v>27.02492603632399</v>
      </c>
      <c r="Z330" s="383">
        <f t="shared" si="114"/>
        <v>28.350188679808323</v>
      </c>
      <c r="AA330" s="384">
        <f t="shared" si="115"/>
        <v>30.402099581533278</v>
      </c>
      <c r="AB330" s="197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6.749240776026269E-2</v>
      </c>
      <c r="AD330" s="230">
        <f>(INDEX(Models!$BJ330:$BT330,,AH330)*(1-AF330)+INDEX(Models!$BJ330:$BT330,,AH330+1)*AF330-ERP_i)*AE330*Ramure*Pc/MaxiM</f>
        <v>4.8000818691277598E-2</v>
      </c>
      <c r="AE330" s="304">
        <f t="shared" si="117"/>
        <v>0.7</v>
      </c>
      <c r="AF330" s="177">
        <f t="shared" si="118"/>
        <v>0.59838432855330814</v>
      </c>
      <c r="AG330" s="799">
        <f t="shared" si="124"/>
        <v>1</v>
      </c>
      <c r="AH330" s="176">
        <f t="shared" si="119"/>
        <v>7</v>
      </c>
      <c r="AI330" s="224">
        <f t="shared" si="120"/>
        <v>1.5983843285533081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45974</v>
      </c>
      <c r="B331" s="409">
        <f>'2024'!Wh/'2024'!Env_an*'2025'!Env_an</f>
        <v>28.415870367048264</v>
      </c>
      <c r="C331" s="829"/>
      <c r="D331" s="391">
        <f t="shared" si="102"/>
        <v>29.809914175888846</v>
      </c>
      <c r="E331" s="383">
        <f t="shared" si="125"/>
        <v>30.602251628210116</v>
      </c>
      <c r="F331" s="383">
        <f t="shared" si="103"/>
        <v>32.051407670249681</v>
      </c>
      <c r="G331" s="110">
        <f t="shared" si="126"/>
        <v>0.97903767328863733</v>
      </c>
      <c r="H331" s="412" t="b">
        <f>Wh_hp&gt;='2024'!Maxi_hp</f>
        <v>0</v>
      </c>
      <c r="I331" s="388">
        <f>IF(H331,Wh_hp,'2024'!Maxi_hp)</f>
        <v>32.07432066777686</v>
      </c>
      <c r="J331" s="85">
        <f>IF(H331,An,'2024'!An_max)</f>
        <v>2022</v>
      </c>
      <c r="K331" s="197">
        <f t="shared" si="104"/>
        <v>45974</v>
      </c>
      <c r="L331" s="147">
        <f>IF(t&lt;Tvie,1-EXP((T0-t)*PertePVj)+'2024'!Pspv,1-EXP((T0-t)*PertePVj)+Pspv)</f>
        <v>4.6764435503411361E-2</v>
      </c>
      <c r="M331" s="832"/>
      <c r="N331" s="832"/>
      <c r="O331" s="48">
        <f>IF(t&lt;Tnet,'2024'!Resal+('2024'!Salim-'2024'!Resal)*(1-EXP(('2024'!Tnet-t)/('2024'!Tau_j))),Resal+(Salim-Resal)*(1-EXP((Tnet-t)/(Tau_j))))*Salcycl</f>
        <v>2.5891475632167715E-2</v>
      </c>
      <c r="P331" s="169">
        <f>(INDEX(Models!$BJ331:$BT331,,T331)*(1-R331)+INDEX(Models!$BJ331:$BT331,,T331+1)*R331-ERP_i)*Q331*Ramure*Pc/MaxiM</f>
        <v>4.6517532872628178E-2</v>
      </c>
      <c r="Q331" s="304">
        <f t="shared" si="105"/>
        <v>0.7</v>
      </c>
      <c r="R331" s="177">
        <f t="shared" si="106"/>
        <v>0.53407963973087647</v>
      </c>
      <c r="S331" s="799">
        <f t="shared" si="107"/>
        <v>1</v>
      </c>
      <c r="T331" s="176">
        <f t="shared" si="108"/>
        <v>7</v>
      </c>
      <c r="U331" s="250">
        <f t="shared" si="109"/>
        <v>1.5340796397308765</v>
      </c>
      <c r="V331" s="382">
        <f t="shared" si="110"/>
        <v>28.984645759330981</v>
      </c>
      <c r="W331" s="400">
        <f t="shared" si="111"/>
        <v>28.415870367048264</v>
      </c>
      <c r="X331" s="157">
        <f t="shared" si="112"/>
        <v>45974</v>
      </c>
      <c r="Y331" s="383">
        <f t="shared" si="113"/>
        <v>27.160910970684128</v>
      </c>
      <c r="Z331" s="383">
        <f t="shared" si="114"/>
        <v>28.493388184722235</v>
      </c>
      <c r="AA331" s="384">
        <f t="shared" si="115"/>
        <v>30.555404902022918</v>
      </c>
      <c r="AB331" s="197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6.7484516206301956E-2</v>
      </c>
      <c r="AD331" s="230">
        <f>(INDEX(Models!$BJ331:$BT331,,AH331)*(1-AF331)+INDEX(Models!$BJ331:$BT331,,AH331+1)*AF331-ERP_i)*AE331*Ramure*Pc/MaxiM</f>
        <v>4.8021300625837864E-2</v>
      </c>
      <c r="AE331" s="304">
        <f t="shared" si="117"/>
        <v>0.7</v>
      </c>
      <c r="AF331" s="177">
        <f t="shared" si="118"/>
        <v>0.59841186199070862</v>
      </c>
      <c r="AG331" s="799">
        <f t="shared" si="124"/>
        <v>1</v>
      </c>
      <c r="AH331" s="176">
        <f t="shared" si="119"/>
        <v>7</v>
      </c>
      <c r="AI331" s="224">
        <f t="shared" si="120"/>
        <v>1.5984118619907086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45975</v>
      </c>
      <c r="B332" s="409">
        <f>'2024'!Wh/'2024'!Env_an*'2025'!Env_an</f>
        <v>12.066564963058221</v>
      </c>
      <c r="C332" s="829"/>
      <c r="D332" s="391">
        <f t="shared" si="102"/>
        <v>12.658776770280786</v>
      </c>
      <c r="E332" s="383">
        <f t="shared" si="125"/>
        <v>12.996151766946642</v>
      </c>
      <c r="F332" s="383">
        <f t="shared" si="103"/>
        <v>13.1004866347924</v>
      </c>
      <c r="G332" s="110">
        <f t="shared" si="126"/>
        <v>0.40341523661779644</v>
      </c>
      <c r="H332" s="412" t="b">
        <f>Wh_hp&gt;='2024'!Maxi_hp</f>
        <v>0</v>
      </c>
      <c r="I332" s="388">
        <f>IF(H332,Wh_hp,'2024'!Maxi_hp)</f>
        <v>18.993319038472997</v>
      </c>
      <c r="J332" s="85">
        <f>IF(H332,An,'2024'!An_max)</f>
        <v>2020</v>
      </c>
      <c r="K332" s="197">
        <f t="shared" si="104"/>
        <v>45975</v>
      </c>
      <c r="L332" s="147">
        <f>IF(t&lt;Tvie,1-EXP((T0-t)*PertePVj)+'2024'!Pspv,1-EXP((T0-t)*PertePVj)+Pspv)</f>
        <v>4.6782704045536971E-2</v>
      </c>
      <c r="M332" s="832"/>
      <c r="N332" s="832"/>
      <c r="O332" s="48">
        <f>IF(t&lt;Tnet,'2024'!Resal+('2024'!Salim-'2024'!Resal)*(1-EXP(('2024'!Tnet-t)/('2024'!Tau_j))),Resal+(Salim-Resal)*(1-EXP((Tnet-t)/(Tau_j))))*Salcycl</f>
        <v>2.5959607329602535E-2</v>
      </c>
      <c r="P332" s="169">
        <f>(INDEX(Models!$BJ332:$BT332,,T332)*(1-R332)+INDEX(Models!$BJ332:$BT332,,T332+1)*R332-ERP_i)*Q332*Ramure*Pc/MaxiM</f>
        <v>4.6556989923101859E-2</v>
      </c>
      <c r="Q332" s="304">
        <f t="shared" si="105"/>
        <v>0.7</v>
      </c>
      <c r="R332" s="177">
        <f t="shared" si="106"/>
        <v>0.53410606815692585</v>
      </c>
      <c r="S332" s="799">
        <f t="shared" si="107"/>
        <v>1</v>
      </c>
      <c r="T332" s="176">
        <f t="shared" si="108"/>
        <v>7</v>
      </c>
      <c r="U332" s="250">
        <f t="shared" si="109"/>
        <v>1.5341060681569259</v>
      </c>
      <c r="V332" s="382">
        <f t="shared" si="110"/>
        <v>28.747411888244311</v>
      </c>
      <c r="W332" s="400">
        <f t="shared" si="111"/>
        <v>12.066564963058221</v>
      </c>
      <c r="X332" s="157">
        <f t="shared" si="112"/>
        <v>45975</v>
      </c>
      <c r="Y332" s="383">
        <f t="shared" si="113"/>
        <v>11.54916249404277</v>
      </c>
      <c r="Z332" s="383">
        <f t="shared" si="114"/>
        <v>12.115980839897071</v>
      </c>
      <c r="AA332" s="384">
        <f t="shared" si="115"/>
        <v>12.992692819610841</v>
      </c>
      <c r="AB332" s="197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6.7477311430813175E-2</v>
      </c>
      <c r="AD332" s="230">
        <f>(INDEX(Models!$BJ332:$BT332,,AH332)*(1-AF332)+INDEX(Models!$BJ332:$BT332,,AH332+1)*AF332-ERP_i)*AE332*Ramure*Pc/MaxiM</f>
        <v>4.8100464119048794E-2</v>
      </c>
      <c r="AE332" s="304">
        <f t="shared" si="117"/>
        <v>0.7</v>
      </c>
      <c r="AF332" s="177">
        <f t="shared" si="118"/>
        <v>0.598438290416758</v>
      </c>
      <c r="AG332" s="799">
        <f t="shared" si="124"/>
        <v>1</v>
      </c>
      <c r="AH332" s="176">
        <f t="shared" si="119"/>
        <v>7</v>
      </c>
      <c r="AI332" s="224">
        <f t="shared" si="120"/>
        <v>1.598438290416758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45976</v>
      </c>
      <c r="B333" s="409">
        <f>'2024'!Wh/'2024'!Env_an*'2025'!Env_an</f>
        <v>13.202265211953851</v>
      </c>
      <c r="C333" s="829"/>
      <c r="D333" s="391">
        <f t="shared" si="102"/>
        <v>13.850481197977087</v>
      </c>
      <c r="E333" s="383">
        <f t="shared" si="125"/>
        <v>14.22061321966763</v>
      </c>
      <c r="F333" s="383">
        <f t="shared" si="103"/>
        <v>14.376936227474033</v>
      </c>
      <c r="G333" s="110">
        <f t="shared" si="126"/>
        <v>0.44634881205535509</v>
      </c>
      <c r="H333" s="412" t="b">
        <f>Wh_hp&gt;='2024'!Maxi_hp</f>
        <v>0</v>
      </c>
      <c r="I333" s="388">
        <f>IF(H333,Wh_hp,'2024'!Maxi_hp)</f>
        <v>31.702886154707713</v>
      </c>
      <c r="J333" s="85">
        <f>IF(H333,An,'2024'!An_max)</f>
        <v>2020</v>
      </c>
      <c r="K333" s="197">
        <f t="shared" si="104"/>
        <v>45976</v>
      </c>
      <c r="L333" s="147">
        <f>IF(t&lt;Tvie,1-EXP((T0-t)*PertePVj)+'2024'!Pspv,1-EXP((T0-t)*PertePVj)+Pspv)</f>
        <v>4.6800972237550198E-2</v>
      </c>
      <c r="M333" s="832"/>
      <c r="N333" s="832"/>
      <c r="O333" s="48">
        <f>IF(t&lt;Tnet,'2024'!Resal+('2024'!Salim-'2024'!Resal)*(1-EXP(('2024'!Tnet-t)/('2024'!Tau_j))),Resal+(Salim-Resal)*(1-EXP((Tnet-t)/(Tau_j))))*Salcycl</f>
        <v>2.6027852383934947E-2</v>
      </c>
      <c r="P333" s="169">
        <f>(INDEX(Models!$BJ333:$BT333,,T333)*(1-R333)+INDEX(Models!$BJ333:$BT333,,T333+1)*R333-ERP_i)*Q333*Ramure*Pc/MaxiM</f>
        <v>4.666426492603766E-2</v>
      </c>
      <c r="Q333" s="304">
        <f t="shared" si="105"/>
        <v>0.7</v>
      </c>
      <c r="R333" s="177">
        <f t="shared" si="106"/>
        <v>0.53413143578196198</v>
      </c>
      <c r="S333" s="799">
        <f t="shared" si="107"/>
        <v>1</v>
      </c>
      <c r="T333" s="176">
        <f t="shared" si="108"/>
        <v>7</v>
      </c>
      <c r="U333" s="250">
        <f t="shared" si="109"/>
        <v>1.534131435781962</v>
      </c>
      <c r="V333" s="382">
        <f t="shared" si="110"/>
        <v>28.5080796798728</v>
      </c>
      <c r="W333" s="400">
        <f t="shared" si="111"/>
        <v>13.202265211953851</v>
      </c>
      <c r="X333" s="157">
        <f t="shared" si="112"/>
        <v>45976</v>
      </c>
      <c r="Y333" s="383">
        <f t="shared" si="113"/>
        <v>12.635777480990432</v>
      </c>
      <c r="Z333" s="383">
        <f t="shared" si="114"/>
        <v>13.256179573170359</v>
      </c>
      <c r="AA333" s="384">
        <f t="shared" si="115"/>
        <v>14.215297804835799</v>
      </c>
      <c r="AB333" s="197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6.7470850405903143E-2</v>
      </c>
      <c r="AD333" s="230">
        <f>(INDEX(Models!$BJ333:$BT333,,AH333)*(1-AF333)+INDEX(Models!$BJ333:$BT333,,AH333+1)*AF333-ERP_i)*AE333*Ramure*Pc/MaxiM</f>
        <v>4.8250979059708425E-2</v>
      </c>
      <c r="AE333" s="304">
        <f t="shared" si="117"/>
        <v>0.7</v>
      </c>
      <c r="AF333" s="177">
        <f t="shared" si="118"/>
        <v>0.59846365804179413</v>
      </c>
      <c r="AG333" s="799">
        <f t="shared" si="124"/>
        <v>1</v>
      </c>
      <c r="AH333" s="176">
        <f t="shared" si="119"/>
        <v>7</v>
      </c>
      <c r="AI333" s="224">
        <f t="shared" si="120"/>
        <v>1.5984636580417941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45977</v>
      </c>
      <c r="B334" s="409">
        <f>'2024'!Wh/'2024'!Env_an*'2025'!Env_an</f>
        <v>27.795522288915009</v>
      </c>
      <c r="C334" s="829"/>
      <c r="D334" s="391">
        <f t="shared" si="102"/>
        <v>29.160809216535231</v>
      </c>
      <c r="E334" s="383">
        <f t="shared" si="125"/>
        <v>29.942187566234569</v>
      </c>
      <c r="F334" s="383">
        <f t="shared" si="103"/>
        <v>31.376856086199467</v>
      </c>
      <c r="G334" s="110">
        <f t="shared" si="126"/>
        <v>0.98216812600336589</v>
      </c>
      <c r="H334" s="412" t="b">
        <f>Wh_hp&gt;='2024'!Maxi_hp</f>
        <v>0</v>
      </c>
      <c r="I334" s="388">
        <f>IF(H334,Wh_hp,'2024'!Maxi_hp)</f>
        <v>31.396638682128184</v>
      </c>
      <c r="J334" s="85">
        <f>IF(H334,An,'2024'!An_max)</f>
        <v>2022</v>
      </c>
      <c r="K334" s="197">
        <f t="shared" si="104"/>
        <v>45977</v>
      </c>
      <c r="L334" s="147">
        <f>IF(t&lt;Tvie,1-EXP((T0-t)*PertePVj)+'2024'!Pspv,1-EXP((T0-t)*PertePVj)+Pspv)</f>
        <v>4.6819240079457591E-2</v>
      </c>
      <c r="M334" s="832"/>
      <c r="N334" s="832"/>
      <c r="O334" s="48">
        <f>IF(t&lt;Tnet,'2024'!Resal+('2024'!Salim-'2024'!Resal)*(1-EXP(('2024'!Tnet-t)/('2024'!Tau_j))),Resal+(Salim-Resal)*(1-EXP((Tnet-t)/(Tau_j))))*Salcycl</f>
        <v>2.6096234551028209E-2</v>
      </c>
      <c r="P334" s="169">
        <f>(INDEX(Models!$BJ334:$BT334,,T334)*(1-R334)+INDEX(Models!$BJ334:$BT334,,T334+1)*R334-ERP_i)*Q334*Ramure*Pc/MaxiM</f>
        <v>4.6840023734015662E-2</v>
      </c>
      <c r="Q334" s="304">
        <f t="shared" si="105"/>
        <v>0.7</v>
      </c>
      <c r="R334" s="177">
        <f t="shared" si="106"/>
        <v>0.53415578505835359</v>
      </c>
      <c r="S334" s="799">
        <f t="shared" si="107"/>
        <v>1</v>
      </c>
      <c r="T334" s="176">
        <f t="shared" si="108"/>
        <v>7</v>
      </c>
      <c r="U334" s="250">
        <f t="shared" si="109"/>
        <v>1.5341557850583536</v>
      </c>
      <c r="V334" s="382">
        <f t="shared" si="110"/>
        <v>28.26706385685263</v>
      </c>
      <c r="W334" s="400">
        <f t="shared" si="111"/>
        <v>27.795522288915009</v>
      </c>
      <c r="X334" s="157">
        <f t="shared" si="112"/>
        <v>45977</v>
      </c>
      <c r="Y334" s="383">
        <f t="shared" si="113"/>
        <v>26.570365443397598</v>
      </c>
      <c r="Z334" s="383">
        <f t="shared" si="114"/>
        <v>27.875473950620361</v>
      </c>
      <c r="AA334" s="384">
        <f t="shared" si="115"/>
        <v>29.892153693448634</v>
      </c>
      <c r="AB334" s="197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6.7465187136056454E-2</v>
      </c>
      <c r="AD334" s="230">
        <f>(INDEX(Models!$BJ334:$BT334,,AH334)*(1-AF334)+INDEX(Models!$BJ334:$BT334,,AH334+1)*AF334-ERP_i)*AE334*Ramure*Pc/MaxiM</f>
        <v>4.8473563298161916E-2</v>
      </c>
      <c r="AE334" s="304">
        <f t="shared" si="117"/>
        <v>0.7</v>
      </c>
      <c r="AF334" s="177">
        <f t="shared" si="118"/>
        <v>0.59848800731818574</v>
      </c>
      <c r="AG334" s="799">
        <f t="shared" si="124"/>
        <v>1</v>
      </c>
      <c r="AH334" s="176">
        <f t="shared" si="119"/>
        <v>7</v>
      </c>
      <c r="AI334" s="224">
        <f t="shared" si="120"/>
        <v>1.5984880073181857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45978</v>
      </c>
      <c r="B335" s="409">
        <f>'2024'!Wh/'2024'!Env_an*'2025'!Env_an</f>
        <v>12.209219002453453</v>
      </c>
      <c r="C335" s="829"/>
      <c r="D335" s="391">
        <f t="shared" ref="D335:D379" si="127">Wh/(1-Ppv)</f>
        <v>12.809168530481504</v>
      </c>
      <c r="E335" s="383">
        <f t="shared" si="125"/>
        <v>13.153322268621595</v>
      </c>
      <c r="F335" s="383">
        <f t="shared" ref="F335:F379" si="128">Wh_sa/(1-Pvg*MEDIAN((-Sdif+Wh/Env_an)/Csdif,0,1))</f>
        <v>13.274450678892336</v>
      </c>
      <c r="G335" s="110">
        <f t="shared" si="126"/>
        <v>0.41896811559623326</v>
      </c>
      <c r="H335" s="412" t="b">
        <f>Wh_hp&gt;='2024'!Maxi_hp</f>
        <v>0</v>
      </c>
      <c r="I335" s="388">
        <f>IF(H335,Wh_hp,'2024'!Maxi_hp)</f>
        <v>19.304439918384041</v>
      </c>
      <c r="J335" s="85">
        <f>IF(H335,An,'2024'!An_max)</f>
        <v>2020</v>
      </c>
      <c r="K335" s="197">
        <f t="shared" ref="K335:K379" si="129">t</f>
        <v>45978</v>
      </c>
      <c r="L335" s="147">
        <f>IF(t&lt;Tvie,1-EXP((T0-t)*PertePVj)+'2024'!Pspv,1-EXP((T0-t)*PertePVj)+Pspv)</f>
        <v>4.6837507571266035E-2</v>
      </c>
      <c r="M335" s="832"/>
      <c r="N335" s="832"/>
      <c r="O335" s="48">
        <f>IF(t&lt;Tnet,'2024'!Resal+('2024'!Salim-'2024'!Resal)*(1-EXP(('2024'!Tnet-t)/('2024'!Tau_j))),Resal+(Salim-Resal)*(1-EXP((Tnet-t)/(Tau_j))))*Salcycl</f>
        <v>2.6164776556954008E-2</v>
      </c>
      <c r="P335" s="169">
        <f>(INDEX(Models!$BJ335:$BT335,,T335)*(1-R335)+INDEX(Models!$BJ335:$BT335,,T335+1)*R335-ERP_i)*Q335*Ramure*Pc/MaxiM</f>
        <v>4.7084948746990103E-2</v>
      </c>
      <c r="Q335" s="304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0.53417915674954908</v>
      </c>
      <c r="S335" s="799">
        <f t="shared" ref="S335:S379" si="132">INDEX(Echel_vg,T335)</f>
        <v>1</v>
      </c>
      <c r="T335" s="176">
        <f t="shared" ref="T335:T379" si="133">MIN(MATCH(Hp_vg,Echel_vg),10)</f>
        <v>7</v>
      </c>
      <c r="U335" s="250">
        <f t="shared" ref="U335:U379" si="134">IF(OR(t&lt;Ttai,Notai),Hdd+PousH*Croivg,Hdtf+PousH*(Croivg-Croi_tai))</f>
        <v>1.5341791567495491</v>
      </c>
      <c r="V335" s="382">
        <f t="shared" ref="V335:V379" si="135">MaxiM*(1-Ppv)*(1-Pvg)*(1-Psa)</f>
        <v>28.024778873227067</v>
      </c>
      <c r="W335" s="400">
        <f t="shared" ref="W335:W379" si="136">Wh*(A335&gt;Tmaj)</f>
        <v>12.209219002453453</v>
      </c>
      <c r="X335" s="157">
        <f t="shared" ref="X335:X379" si="137">t</f>
        <v>45978</v>
      </c>
      <c r="Y335" s="383">
        <f t="shared" ref="Y335:Y379" si="138">Wh_pvt_s*(1-Ppv)</f>
        <v>11.687634940700118</v>
      </c>
      <c r="Z335" s="383">
        <f t="shared" ref="Z335:Z379" si="139">Wh_sa_s*(1-Psa_s)</f>
        <v>12.261954318952577</v>
      </c>
      <c r="AA335" s="384">
        <f t="shared" ref="AA335:AA379" si="140">Wh_hp*(1-Pvg_s*MEDIAN((-Sdif+Wh/Env_an)/Csdif,0,1))</f>
        <v>13.148990087205428</v>
      </c>
      <c r="AB335" s="197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6.7460372421755663E-2</v>
      </c>
      <c r="AD335" s="230">
        <f>(INDEX(Models!$BJ335:$BT335,,AH335)*(1-AF335)+INDEX(Models!$BJ335:$BT335,,AH335+1)*AF335-ERP_i)*AE335*Ramure*Pc/MaxiM</f>
        <v>4.8768951199321467E-2</v>
      </c>
      <c r="AE335" s="304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0.59851137900938123</v>
      </c>
      <c r="AG335" s="799">
        <f t="shared" si="124"/>
        <v>1</v>
      </c>
      <c r="AH335" s="176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1.5985113790093812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45979</v>
      </c>
      <c r="B336" s="409">
        <f>'2024'!Wh/'2024'!Env_an*'2025'!Env_an</f>
        <v>14.030358708193926</v>
      </c>
      <c r="C336" s="829"/>
      <c r="D336" s="391">
        <f t="shared" si="127"/>
        <v>14.720079433906237</v>
      </c>
      <c r="E336" s="383">
        <f t="shared" si="125"/>
        <v>15.116641858024735</v>
      </c>
      <c r="F336" s="383">
        <f t="shared" si="128"/>
        <v>15.329459020389129</v>
      </c>
      <c r="G336" s="110">
        <f t="shared" si="126"/>
        <v>0.48785764759922706</v>
      </c>
      <c r="H336" s="412" t="b">
        <f>Wh_hp&gt;='2024'!Maxi_hp</f>
        <v>0</v>
      </c>
      <c r="I336" s="388">
        <f>IF(H336,Wh_hp,'2024'!Maxi_hp)</f>
        <v>28.981060402104621</v>
      </c>
      <c r="J336" s="85">
        <f>IF(H336,An,'2024'!An_max)</f>
        <v>2020</v>
      </c>
      <c r="K336" s="197">
        <f t="shared" si="129"/>
        <v>45979</v>
      </c>
      <c r="L336" s="147">
        <f>IF(t&lt;Tvie,1-EXP((T0-t)*PertePVj)+'2024'!Pspv,1-EXP((T0-t)*PertePVj)+Pspv)</f>
        <v>4.6855774712982079E-2</v>
      </c>
      <c r="M336" s="832"/>
      <c r="N336" s="832"/>
      <c r="O336" s="48">
        <f>IF(t&lt;Tnet,'2024'!Resal+('2024'!Salim-'2024'!Resal)*(1-EXP(('2024'!Tnet-t)/('2024'!Tau_j))),Resal+(Salim-Resal)*(1-EXP((Tnet-t)/(Tau_j))))*Salcycl</f>
        <v>2.6233499995766591E-2</v>
      </c>
      <c r="P336" s="169">
        <f>(INDEX(Models!$BJ336:$BT336,,T336)*(1-R336)+INDEX(Models!$BJ336:$BT336,,T336+1)*R336-ERP_i)*Q336*Ramure*Pc/MaxiM</f>
        <v>4.7399731118950975E-2</v>
      </c>
      <c r="Q336" s="304">
        <f t="shared" si="130"/>
        <v>0.7</v>
      </c>
      <c r="R336" s="177">
        <f t="shared" si="131"/>
        <v>0.5342015899964796</v>
      </c>
      <c r="S336" s="799">
        <f t="shared" si="132"/>
        <v>1</v>
      </c>
      <c r="T336" s="176">
        <f t="shared" si="133"/>
        <v>7</v>
      </c>
      <c r="U336" s="250">
        <f t="shared" si="134"/>
        <v>1.5342015899964796</v>
      </c>
      <c r="V336" s="382">
        <f t="shared" si="135"/>
        <v>27.781638882759445</v>
      </c>
      <c r="W336" s="400">
        <f t="shared" si="136"/>
        <v>14.030358708193926</v>
      </c>
      <c r="X336" s="157">
        <f t="shared" si="137"/>
        <v>45979</v>
      </c>
      <c r="Y336" s="383">
        <f t="shared" si="138"/>
        <v>13.429467777938171</v>
      </c>
      <c r="Z336" s="383">
        <f t="shared" si="139"/>
        <v>14.089649206964655</v>
      </c>
      <c r="AA336" s="384">
        <f t="shared" si="140"/>
        <v>15.108837825321773</v>
      </c>
      <c r="AB336" s="197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6.7456453642582681E-2</v>
      </c>
      <c r="AD336" s="230">
        <f>(INDEX(Models!$BJ336:$BT336,,AH336)*(1-AF336)+INDEX(Models!$BJ336:$BT336,,AH336+1)*AF336-ERP_i)*AE336*Ramure*Pc/MaxiM</f>
        <v>4.9137885352633345E-2</v>
      </c>
      <c r="AE336" s="304">
        <f t="shared" si="142"/>
        <v>0.7</v>
      </c>
      <c r="AF336" s="177">
        <f t="shared" si="143"/>
        <v>0.59853381225631175</v>
      </c>
      <c r="AG336" s="799">
        <f t="shared" ref="AG336:AG379" si="149">INDEX(Echel_vg,AH336)</f>
        <v>1</v>
      </c>
      <c r="AH336" s="176">
        <f t="shared" si="144"/>
        <v>7</v>
      </c>
      <c r="AI336" s="224">
        <f t="shared" si="145"/>
        <v>1.5985338122563117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45980</v>
      </c>
      <c r="B337" s="409">
        <f>'2024'!Wh/'2024'!Env_an*'2025'!Env_an</f>
        <v>5.8702630736410466</v>
      </c>
      <c r="C337" s="829"/>
      <c r="D337" s="391">
        <f t="shared" si="127"/>
        <v>6.1589583426181083</v>
      </c>
      <c r="E337" s="383">
        <f t="shared" si="125"/>
        <v>6.3253298582978408</v>
      </c>
      <c r="F337" s="383">
        <f t="shared" si="128"/>
        <v>6.3253298582978408</v>
      </c>
      <c r="G337" s="110">
        <f t="shared" si="126"/>
        <v>0.20298280458644008</v>
      </c>
      <c r="H337" s="412" t="b">
        <f>Wh_hp&gt;='2024'!Maxi_hp</f>
        <v>0</v>
      </c>
      <c r="I337" s="388">
        <f>IF(H337,Wh_hp,'2024'!Maxi_hp)</f>
        <v>31.083466174894443</v>
      </c>
      <c r="J337" s="85">
        <f>IF(H337,An,'2024'!An_max)</f>
        <v>2020</v>
      </c>
      <c r="K337" s="197">
        <f t="shared" si="129"/>
        <v>45980</v>
      </c>
      <c r="L337" s="147">
        <f>IF(t&lt;Tvie,1-EXP((T0-t)*PertePVj)+'2024'!Pspv,1-EXP((T0-t)*PertePVj)+Pspv)</f>
        <v>4.6874041504612607E-2</v>
      </c>
      <c r="M337" s="832"/>
      <c r="N337" s="832"/>
      <c r="O337" s="48">
        <f>IF(t&lt;Tnet,'2024'!Resal+('2024'!Salim-'2024'!Resal)*(1-EXP(('2024'!Tnet-t)/('2024'!Tau_j))),Resal+(Salim-Resal)*(1-EXP((Tnet-t)/(Tau_j))))*Salcycl</f>
        <v>2.6302425234231729E-2</v>
      </c>
      <c r="P337" s="169">
        <f>(INDEX(Models!$BJ337:$BT337,,T337)*(1-R337)+INDEX(Models!$BJ337:$BT337,,T337+1)*R337-ERP_i)*Q337*Ramure*Pc/MaxiM</f>
        <v>4.7785062213890929E-2</v>
      </c>
      <c r="Q337" s="304">
        <f t="shared" si="130"/>
        <v>0.7</v>
      </c>
      <c r="R337" s="177">
        <f t="shared" si="131"/>
        <v>0.534223122381416</v>
      </c>
      <c r="S337" s="799">
        <f t="shared" si="132"/>
        <v>1</v>
      </c>
      <c r="T337" s="176">
        <f t="shared" si="133"/>
        <v>7</v>
      </c>
      <c r="U337" s="250">
        <f t="shared" si="134"/>
        <v>1.534223122381416</v>
      </c>
      <c r="V337" s="382">
        <f t="shared" si="135"/>
        <v>27.538057713035546</v>
      </c>
      <c r="W337" s="400">
        <f t="shared" si="136"/>
        <v>5.8702630736410466</v>
      </c>
      <c r="X337" s="157">
        <f t="shared" si="137"/>
        <v>45980</v>
      </c>
      <c r="Y337" s="383">
        <f t="shared" si="138"/>
        <v>5.622170142563867</v>
      </c>
      <c r="Z337" s="383">
        <f t="shared" si="139"/>
        <v>5.8986643816091968</v>
      </c>
      <c r="AA337" s="384">
        <f t="shared" si="140"/>
        <v>6.3253298582978408</v>
      </c>
      <c r="AB337" s="197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6.7453474561318838E-2</v>
      </c>
      <c r="AD337" s="230">
        <f>(INDEX(Models!$BJ337:$BT337,,AH337)*(1-AF337)+INDEX(Models!$BJ337:$BT337,,AH337+1)*AF337-ERP_i)*AE337*Ramure*Pc/MaxiM</f>
        <v>4.9581107479707995E-2</v>
      </c>
      <c r="AE337" s="304">
        <f t="shared" si="142"/>
        <v>0.7</v>
      </c>
      <c r="AF337" s="177">
        <f t="shared" si="143"/>
        <v>0.59855534464124815</v>
      </c>
      <c r="AG337" s="799">
        <f t="shared" si="149"/>
        <v>1</v>
      </c>
      <c r="AH337" s="176">
        <f t="shared" si="144"/>
        <v>7</v>
      </c>
      <c r="AI337" s="224">
        <f t="shared" si="145"/>
        <v>1.5985553446412482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45981</v>
      </c>
      <c r="B338" s="409">
        <f>'2024'!Wh/'2024'!Env_an*'2025'!Env_an</f>
        <v>19.461461220315126</v>
      </c>
      <c r="C338" s="829"/>
      <c r="D338" s="391">
        <f t="shared" si="127"/>
        <v>20.418953054903952</v>
      </c>
      <c r="E338" s="383">
        <f t="shared" si="125"/>
        <v>20.972018126745894</v>
      </c>
      <c r="F338" s="383">
        <f t="shared" si="128"/>
        <v>21.586749559699413</v>
      </c>
      <c r="G338" s="110">
        <f t="shared" si="126"/>
        <v>0.69851357761149457</v>
      </c>
      <c r="H338" s="412" t="b">
        <f>Wh_hp&gt;='2024'!Maxi_hp</f>
        <v>0</v>
      </c>
      <c r="I338" s="388">
        <f>IF(H338,Wh_hp,'2024'!Maxi_hp)</f>
        <v>30.262737933685557</v>
      </c>
      <c r="J338" s="85">
        <f>IF(H338,An,'2024'!An_max)</f>
        <v>2018</v>
      </c>
      <c r="K338" s="197">
        <f t="shared" si="129"/>
        <v>45981</v>
      </c>
      <c r="L338" s="147">
        <f>IF(t&lt;Tvie,1-EXP((T0-t)*PertePVj)+'2024'!Pspv,1-EXP((T0-t)*PertePVj)+Pspv)</f>
        <v>4.6892307946164169E-2</v>
      </c>
      <c r="M338" s="832"/>
      <c r="N338" s="832"/>
      <c r="O338" s="48">
        <f>IF(t&lt;Tnet,'2024'!Resal+('2024'!Salim-'2024'!Resal)*(1-EXP(('2024'!Tnet-t)/('2024'!Tau_j))),Resal+(Salim-Resal)*(1-EXP((Tnet-t)/(Tau_j))))*Salcycl</f>
        <v>2.6371571324202335E-2</v>
      </c>
      <c r="P338" s="169">
        <f>(INDEX(Models!$BJ338:$BT338,,T338)*(1-R338)+INDEX(Models!$BJ338:$BT338,,T338+1)*R338-ERP_i)*Q338*Ramure*Pc/MaxiM</f>
        <v>4.8262489137174694E-2</v>
      </c>
      <c r="Q338" s="304">
        <f t="shared" si="130"/>
        <v>0.7</v>
      </c>
      <c r="R338" s="177">
        <f t="shared" si="131"/>
        <v>0.53424378998936728</v>
      </c>
      <c r="S338" s="799">
        <f t="shared" si="132"/>
        <v>1</v>
      </c>
      <c r="T338" s="176">
        <f t="shared" si="133"/>
        <v>7</v>
      </c>
      <c r="U338" s="250">
        <f t="shared" si="134"/>
        <v>1.5342437899893673</v>
      </c>
      <c r="V338" s="382">
        <f t="shared" si="135"/>
        <v>27.293850477578523</v>
      </c>
      <c r="W338" s="400">
        <f t="shared" si="136"/>
        <v>19.461461220315126</v>
      </c>
      <c r="X338" s="157">
        <f t="shared" si="137"/>
        <v>45981</v>
      </c>
      <c r="Y338" s="383">
        <f t="shared" si="138"/>
        <v>18.619309917758866</v>
      </c>
      <c r="Z338" s="383">
        <f t="shared" si="139"/>
        <v>19.535368430021194</v>
      </c>
      <c r="AA338" s="384">
        <f t="shared" si="140"/>
        <v>20.948366663463233</v>
      </c>
      <c r="AB338" s="197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6.7451475150399218E-2</v>
      </c>
      <c r="AD338" s="230">
        <f>(INDEX(Models!$BJ338:$BT338,,AH338)*(1-AF338)+INDEX(Models!$BJ338:$BT338,,AH338+1)*AF338-ERP_i)*AE338*Ramure*Pc/MaxiM</f>
        <v>5.0119362608364242E-2</v>
      </c>
      <c r="AE338" s="304">
        <f t="shared" si="142"/>
        <v>0.7</v>
      </c>
      <c r="AF338" s="177">
        <f t="shared" si="143"/>
        <v>0.59857601224919943</v>
      </c>
      <c r="AG338" s="799">
        <f t="shared" si="149"/>
        <v>1</v>
      </c>
      <c r="AH338" s="176">
        <f t="shared" si="144"/>
        <v>7</v>
      </c>
      <c r="AI338" s="224">
        <f t="shared" si="145"/>
        <v>1.5985760122491994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45982</v>
      </c>
      <c r="B339" s="409">
        <f>'2024'!Wh/'2024'!Env_an*'2025'!Env_an</f>
        <v>3.1336394573857032</v>
      </c>
      <c r="C339" s="829"/>
      <c r="D339" s="391">
        <f t="shared" si="127"/>
        <v>3.2878755886118398</v>
      </c>
      <c r="E339" s="383">
        <f t="shared" si="125"/>
        <v>3.3771712240934417</v>
      </c>
      <c r="F339" s="383">
        <f t="shared" si="128"/>
        <v>3.3771712240934417</v>
      </c>
      <c r="G339" s="110">
        <f t="shared" si="126"/>
        <v>0.11019137098430244</v>
      </c>
      <c r="H339" s="412" t="b">
        <f>Wh_hp&gt;='2024'!Maxi_hp</f>
        <v>0</v>
      </c>
      <c r="I339" s="388">
        <f>IF(H339,Wh_hp,'2024'!Maxi_hp)</f>
        <v>27.490335001003508</v>
      </c>
      <c r="J339" s="85">
        <f>IF(H339,An,'2024'!An_max)</f>
        <v>2018</v>
      </c>
      <c r="K339" s="197">
        <f t="shared" si="129"/>
        <v>45982</v>
      </c>
      <c r="L339" s="147">
        <f>IF(t&lt;Tvie,1-EXP((T0-t)*PertePVj)+'2024'!Pspv,1-EXP((T0-t)*PertePVj)+Pspv)</f>
        <v>4.6910574037643538E-2</v>
      </c>
      <c r="M339" s="832"/>
      <c r="N339" s="832"/>
      <c r="O339" s="48">
        <f>IF(t&lt;Tnet,'2024'!Resal+('2024'!Salim-'2024'!Resal)*(1-EXP(('2024'!Tnet-t)/('2024'!Tau_j))),Resal+(Salim-Resal)*(1-EXP((Tnet-t)/(Tau_j))))*Salcycl</f>
        <v>2.6440955923273484E-2</v>
      </c>
      <c r="P339" s="169">
        <f>(INDEX(Models!$BJ339:$BT339,,T339)*(1-R339)+INDEX(Models!$BJ339:$BT339,,T339+1)*R339-ERP_i)*Q339*Ramure*Pc/MaxiM</f>
        <v>4.8800314402218173E-2</v>
      </c>
      <c r="Q339" s="304">
        <f t="shared" si="130"/>
        <v>0.7</v>
      </c>
      <c r="R339" s="177">
        <f t="shared" si="131"/>
        <v>0.53426362746711531</v>
      </c>
      <c r="S339" s="799">
        <f t="shared" si="132"/>
        <v>1</v>
      </c>
      <c r="T339" s="176">
        <f t="shared" si="133"/>
        <v>7</v>
      </c>
      <c r="U339" s="250">
        <f t="shared" si="134"/>
        <v>1.5342636274671153</v>
      </c>
      <c r="V339" s="382">
        <f t="shared" si="135"/>
        <v>27.050365559629064</v>
      </c>
      <c r="W339" s="400">
        <f t="shared" si="136"/>
        <v>3.1336394573857032</v>
      </c>
      <c r="X339" s="157">
        <f t="shared" si="137"/>
        <v>45982</v>
      </c>
      <c r="Y339" s="383">
        <f t="shared" si="138"/>
        <v>3.0016401714542567</v>
      </c>
      <c r="Z339" s="383">
        <f t="shared" si="139"/>
        <v>3.1493793653448954</v>
      </c>
      <c r="AA339" s="384">
        <f t="shared" si="140"/>
        <v>3.3771712240934417</v>
      </c>
      <c r="AB339" s="197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6.7450491441900157E-2</v>
      </c>
      <c r="AD339" s="230">
        <f>(INDEX(Models!$BJ339:$BT339,,AH339)*(1-AF339)+INDEX(Models!$BJ339:$BT339,,AH339+1)*AF339-ERP_i)*AE339*Ramure*Pc/MaxiM</f>
        <v>5.0718391568783237E-2</v>
      </c>
      <c r="AE339" s="304">
        <f t="shared" si="142"/>
        <v>0.7</v>
      </c>
      <c r="AF339" s="177">
        <f t="shared" si="143"/>
        <v>0.59859584972694746</v>
      </c>
      <c r="AG339" s="799">
        <f t="shared" si="149"/>
        <v>1</v>
      </c>
      <c r="AH339" s="176">
        <f t="shared" si="144"/>
        <v>7</v>
      </c>
      <c r="AI339" s="224">
        <f t="shared" si="145"/>
        <v>1.5985958497269475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45983</v>
      </c>
      <c r="B340" s="409">
        <f>'2024'!Wh/'2024'!Env_an*'2025'!Env_an</f>
        <v>9.5780159873796915</v>
      </c>
      <c r="C340" s="829"/>
      <c r="D340" s="391">
        <f t="shared" si="127"/>
        <v>10.049633634029279</v>
      </c>
      <c r="E340" s="383">
        <f t="shared" si="125"/>
        <v>10.323310746607094</v>
      </c>
      <c r="F340" s="383">
        <f t="shared" si="128"/>
        <v>10.365210814281857</v>
      </c>
      <c r="G340" s="110">
        <f t="shared" si="126"/>
        <v>0.3410109714649418</v>
      </c>
      <c r="H340" s="412" t="b">
        <f>Wh_hp&gt;='2024'!Maxi_hp</f>
        <v>0</v>
      </c>
      <c r="I340" s="388">
        <f>IF(H340,Wh_hp,'2024'!Maxi_hp)</f>
        <v>31.520653340989391</v>
      </c>
      <c r="J340" s="85">
        <f>IF(H340,An,'2024'!An_max)</f>
        <v>2020</v>
      </c>
      <c r="K340" s="197">
        <f t="shared" si="129"/>
        <v>45983</v>
      </c>
      <c r="L340" s="147">
        <f>IF(t&lt;Tvie,1-EXP((T0-t)*PertePVj)+'2024'!Pspv,1-EXP((T0-t)*PertePVj)+Pspv)</f>
        <v>4.6928839779057485E-2</v>
      </c>
      <c r="M340" s="832"/>
      <c r="N340" s="832"/>
      <c r="O340" s="48">
        <f>IF(t&lt;Tnet,'2024'!Resal+('2024'!Salim-'2024'!Resal)*(1-EXP(('2024'!Tnet-t)/('2024'!Tau_j))),Resal+(Salim-Resal)*(1-EXP((Tnet-t)/(Tau_j))))*Salcycl</f>
        <v>2.6510595224285251E-2</v>
      </c>
      <c r="P340" s="169">
        <f>(INDEX(Models!$BJ340:$BT340,,T340)*(1-R340)+INDEX(Models!$BJ340:$BT340,,T340+1)*R340-ERP_i)*Q340*Ramure*Pc/MaxiM</f>
        <v>4.9398955717866275E-2</v>
      </c>
      <c r="Q340" s="304">
        <f t="shared" si="130"/>
        <v>0.7</v>
      </c>
      <c r="R340" s="177">
        <f t="shared" si="131"/>
        <v>0.53428266807997038</v>
      </c>
      <c r="S340" s="799">
        <f t="shared" si="132"/>
        <v>1</v>
      </c>
      <c r="T340" s="176">
        <f t="shared" si="133"/>
        <v>7</v>
      </c>
      <c r="U340" s="250">
        <f t="shared" si="134"/>
        <v>1.5342826680799704</v>
      </c>
      <c r="V340" s="382">
        <f t="shared" si="135"/>
        <v>26.808013393006728</v>
      </c>
      <c r="W340" s="400">
        <f t="shared" si="136"/>
        <v>9.5780159873796915</v>
      </c>
      <c r="X340" s="157">
        <f t="shared" si="137"/>
        <v>45983</v>
      </c>
      <c r="Y340" s="383">
        <f t="shared" si="138"/>
        <v>9.1737214895063524</v>
      </c>
      <c r="Z340" s="383">
        <f t="shared" si="139"/>
        <v>9.6254318380378709</v>
      </c>
      <c r="AA340" s="384">
        <f t="shared" si="140"/>
        <v>10.321631623712706</v>
      </c>
      <c r="AB340" s="197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6.745055540205476E-2</v>
      </c>
      <c r="AD340" s="230">
        <f>(INDEX(Models!$BJ340:$BT340,,AH340)*(1-AF340)+INDEX(Models!$BJ340:$BT340,,AH340+1)*AF340-ERP_i)*AE340*Ramure*Pc/MaxiM</f>
        <v>5.1378592556370097E-2</v>
      </c>
      <c r="AE340" s="304">
        <f t="shared" si="142"/>
        <v>0.7</v>
      </c>
      <c r="AF340" s="177">
        <f t="shared" si="143"/>
        <v>0.59861489033980253</v>
      </c>
      <c r="AG340" s="799">
        <f t="shared" si="149"/>
        <v>1</v>
      </c>
      <c r="AH340" s="176">
        <f t="shared" si="144"/>
        <v>7</v>
      </c>
      <c r="AI340" s="224">
        <f t="shared" si="145"/>
        <v>1.5986148903398025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45984</v>
      </c>
      <c r="B341" s="409">
        <f>'2024'!Wh/'2024'!Env_an*'2025'!Env_an</f>
        <v>13.080406082433718</v>
      </c>
      <c r="C341" s="829"/>
      <c r="D341" s="391">
        <f t="shared" si="127"/>
        <v>13.724743037239909</v>
      </c>
      <c r="E341" s="383">
        <f t="shared" si="125"/>
        <v>14.099515257446395</v>
      </c>
      <c r="F341" s="383">
        <f t="shared" si="128"/>
        <v>14.296165556496813</v>
      </c>
      <c r="G341" s="110">
        <f t="shared" si="126"/>
        <v>0.47422832757944006</v>
      </c>
      <c r="H341" s="412" t="b">
        <f>Wh_hp&gt;='2024'!Maxi_hp</f>
        <v>0</v>
      </c>
      <c r="I341" s="388">
        <f>IF(H341,Wh_hp,'2024'!Maxi_hp)</f>
        <v>31.418721073336016</v>
      </c>
      <c r="J341" s="85">
        <f>IF(H341,An,'2024'!An_max)</f>
        <v>2020</v>
      </c>
      <c r="K341" s="197">
        <f t="shared" si="129"/>
        <v>45984</v>
      </c>
      <c r="L341" s="147">
        <f>IF(t&lt;Tvie,1-EXP((T0-t)*PertePVj)+'2024'!Pspv,1-EXP((T0-t)*PertePVj)+Pspv)</f>
        <v>4.6947105170412673E-2</v>
      </c>
      <c r="M341" s="832"/>
      <c r="N341" s="832"/>
      <c r="O341" s="48">
        <f>IF(t&lt;Tnet,'2024'!Resal+('2024'!Salim-'2024'!Resal)*(1-EXP(('2024'!Tnet-t)/('2024'!Tau_j))),Resal+(Salim-Resal)*(1-EXP((Tnet-t)/(Tau_j))))*Salcycl</f>
        <v>2.6580503894171624E-2</v>
      </c>
      <c r="P341" s="169">
        <f>(INDEX(Models!$BJ341:$BT341,,T341)*(1-R341)+INDEX(Models!$BJ341:$BT341,,T341+1)*R341-ERP_i)*Q341*Ramure*Pc/MaxiM</f>
        <v>5.0058472231235593E-2</v>
      </c>
      <c r="Q341" s="304">
        <f t="shared" si="130"/>
        <v>0.7</v>
      </c>
      <c r="R341" s="177">
        <f t="shared" si="131"/>
        <v>0.53430094376632997</v>
      </c>
      <c r="S341" s="799">
        <f t="shared" si="132"/>
        <v>1</v>
      </c>
      <c r="T341" s="176">
        <f t="shared" si="133"/>
        <v>7</v>
      </c>
      <c r="U341" s="250">
        <f t="shared" si="134"/>
        <v>1.53430094376633</v>
      </c>
      <c r="V341" s="382">
        <f t="shared" si="135"/>
        <v>26.56721284338807</v>
      </c>
      <c r="W341" s="400">
        <f t="shared" si="136"/>
        <v>13.080406082433718</v>
      </c>
      <c r="X341" s="157">
        <f t="shared" si="137"/>
        <v>45984</v>
      </c>
      <c r="Y341" s="383">
        <f t="shared" si="138"/>
        <v>12.52406818657091</v>
      </c>
      <c r="Z341" s="383">
        <f t="shared" si="139"/>
        <v>13.141000100325284</v>
      </c>
      <c r="AA341" s="384">
        <f t="shared" si="140"/>
        <v>14.091495343981325</v>
      </c>
      <c r="AB341" s="197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6.7451694831096212E-2</v>
      </c>
      <c r="AD341" s="230">
        <f>(INDEX(Models!$BJ341:$BT341,,AH341)*(1-AF341)+INDEX(Models!$BJ341:$BT341,,AH341+1)*AF341-ERP_i)*AE341*Ramure*Pc/MaxiM</f>
        <v>5.2099987639178724E-2</v>
      </c>
      <c r="AE341" s="304">
        <f t="shared" si="142"/>
        <v>0.7</v>
      </c>
      <c r="AF341" s="177">
        <f t="shared" si="143"/>
        <v>0.59863316602616212</v>
      </c>
      <c r="AG341" s="799">
        <f t="shared" si="149"/>
        <v>1</v>
      </c>
      <c r="AH341" s="176">
        <f t="shared" si="144"/>
        <v>7</v>
      </c>
      <c r="AI341" s="224">
        <f t="shared" si="145"/>
        <v>1.5986331660261621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45985</v>
      </c>
      <c r="B342" s="409">
        <f>'2024'!Wh/'2024'!Env_an*'2025'!Env_an</f>
        <v>13.683800971978362</v>
      </c>
      <c r="C342" s="829"/>
      <c r="D342" s="391">
        <f t="shared" si="127"/>
        <v>14.358136151902693</v>
      </c>
      <c r="E342" s="383">
        <f t="shared" si="125"/>
        <v>14.75126768825892</v>
      </c>
      <c r="F342" s="383">
        <f t="shared" si="128"/>
        <v>14.990211196472915</v>
      </c>
      <c r="G342" s="110">
        <f t="shared" si="126"/>
        <v>0.50133541175395768</v>
      </c>
      <c r="H342" s="412" t="b">
        <f>Wh_hp&gt;='2024'!Maxi_hp</f>
        <v>0</v>
      </c>
      <c r="I342" s="388">
        <f>IF(H342,Wh_hp,'2024'!Maxi_hp)</f>
        <v>29.328916242000091</v>
      </c>
      <c r="J342" s="85">
        <f>IF(H342,An,'2024'!An_max)</f>
        <v>2020</v>
      </c>
      <c r="K342" s="197">
        <f t="shared" si="129"/>
        <v>45985</v>
      </c>
      <c r="L342" s="147">
        <f>IF(t&lt;Tvie,1-EXP((T0-t)*PertePVj)+'2024'!Pspv,1-EXP((T0-t)*PertePVj)+Pspv)</f>
        <v>4.6965370211715762E-2</v>
      </c>
      <c r="M342" s="832"/>
      <c r="N342" s="832"/>
      <c r="O342" s="48">
        <f>IF(t&lt;Tnet,'2024'!Resal+('2024'!Salim-'2024'!Resal)*(1-EXP(('2024'!Tnet-t)/('2024'!Tau_j))),Resal+(Salim-Resal)*(1-EXP((Tnet-t)/(Tau_j))))*Salcycl</f>
        <v>2.6650695022580041E-2</v>
      </c>
      <c r="P342" s="169">
        <f>(INDEX(Models!$BJ342:$BT342,,T342)*(1-R342)+INDEX(Models!$BJ342:$BT342,,T342+1)*R342-ERP_i)*Q342*Ramure*Pc/MaxiM</f>
        <v>5.0779057184583538E-2</v>
      </c>
      <c r="Q342" s="304">
        <f t="shared" si="130"/>
        <v>0.7</v>
      </c>
      <c r="R342" s="177">
        <f t="shared" si="131"/>
        <v>0.53431848519012837</v>
      </c>
      <c r="S342" s="799">
        <f t="shared" si="132"/>
        <v>1</v>
      </c>
      <c r="T342" s="176">
        <f t="shared" si="133"/>
        <v>7</v>
      </c>
      <c r="U342" s="250">
        <f t="shared" si="134"/>
        <v>1.5343184851901284</v>
      </c>
      <c r="V342" s="382">
        <f t="shared" si="135"/>
        <v>26.32837686829361</v>
      </c>
      <c r="W342" s="400">
        <f t="shared" si="136"/>
        <v>13.683800971978362</v>
      </c>
      <c r="X342" s="157">
        <f t="shared" si="137"/>
        <v>45985</v>
      </c>
      <c r="Y342" s="383">
        <f t="shared" si="138"/>
        <v>13.101372221212975</v>
      </c>
      <c r="Z342" s="383">
        <f t="shared" si="139"/>
        <v>13.747005420068977</v>
      </c>
      <c r="AA342" s="384">
        <f t="shared" si="140"/>
        <v>14.741368722462983</v>
      </c>
      <c r="AB342" s="197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6.7453933289029711E-2</v>
      </c>
      <c r="AD342" s="230">
        <f>(INDEX(Models!$BJ342:$BT342,,AH342)*(1-AF342)+INDEX(Models!$BJ342:$BT342,,AH342+1)*AF342-ERP_i)*AE342*Ramure*Pc/MaxiM</f>
        <v>5.2882734970087088E-2</v>
      </c>
      <c r="AE342" s="304">
        <f t="shared" si="142"/>
        <v>0.7</v>
      </c>
      <c r="AF342" s="177">
        <f t="shared" si="143"/>
        <v>0.59865070744996052</v>
      </c>
      <c r="AG342" s="799">
        <f t="shared" si="149"/>
        <v>1</v>
      </c>
      <c r="AH342" s="176">
        <f t="shared" si="144"/>
        <v>7</v>
      </c>
      <c r="AI342" s="224">
        <f t="shared" si="145"/>
        <v>1.5986507074499605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45986</v>
      </c>
      <c r="B343" s="409">
        <f>'2024'!Wh/'2024'!Env_an*'2025'!Env_an</f>
        <v>4.0109368731292685</v>
      </c>
      <c r="C343" s="829"/>
      <c r="D343" s="391">
        <f t="shared" si="127"/>
        <v>4.2086757583862848</v>
      </c>
      <c r="E343" s="383">
        <f t="shared" si="125"/>
        <v>4.3242241300749251</v>
      </c>
      <c r="F343" s="383">
        <f t="shared" si="128"/>
        <v>4.3242241300749251</v>
      </c>
      <c r="G343" s="110">
        <f t="shared" si="126"/>
        <v>0.14579723950260015</v>
      </c>
      <c r="H343" s="412" t="b">
        <f>Wh_hp&gt;='2024'!Maxi_hp</f>
        <v>0</v>
      </c>
      <c r="I343" s="388">
        <f>IF(H343,Wh_hp,'2024'!Maxi_hp)</f>
        <v>27.79857439619018</v>
      </c>
      <c r="J343" s="85">
        <f>IF(H343,An,'2024'!An_max)</f>
        <v>2020</v>
      </c>
      <c r="K343" s="197">
        <f t="shared" si="129"/>
        <v>45986</v>
      </c>
      <c r="L343" s="147">
        <f>IF(t&lt;Tvie,1-EXP((T0-t)*PertePVj)+'2024'!Pspv,1-EXP((T0-t)*PertePVj)+Pspv)</f>
        <v>4.6983634902973526E-2</v>
      </c>
      <c r="M343" s="832"/>
      <c r="N343" s="832"/>
      <c r="O343" s="48">
        <f>IF(t&lt;Tnet,'2024'!Resal+('2024'!Salim-'2024'!Resal)*(1-EXP(('2024'!Tnet-t)/('2024'!Tau_j))),Resal+(Salim-Resal)*(1-EXP((Tnet-t)/(Tau_j))))*Salcycl</f>
        <v>2.6721180080607417E-2</v>
      </c>
      <c r="P343" s="169">
        <f>(INDEX(Models!$BJ343:$BT343,,T343)*(1-R343)+INDEX(Models!$BJ343:$BT343,,T343+1)*R343-ERP_i)*Q343*Ramure*Pc/MaxiM</f>
        <v>5.1561088583125955E-2</v>
      </c>
      <c r="Q343" s="304">
        <f t="shared" si="130"/>
        <v>0.7</v>
      </c>
      <c r="R343" s="177">
        <f t="shared" si="131"/>
        <v>0.53433532179124632</v>
      </c>
      <c r="S343" s="799">
        <f t="shared" si="132"/>
        <v>1</v>
      </c>
      <c r="T343" s="176">
        <f t="shared" si="133"/>
        <v>7</v>
      </c>
      <c r="U343" s="250">
        <f t="shared" si="134"/>
        <v>1.5343353217912463</v>
      </c>
      <c r="V343" s="382">
        <f t="shared" si="135"/>
        <v>26.091911031310584</v>
      </c>
      <c r="W343" s="400">
        <f t="shared" si="136"/>
        <v>4.0109368731292685</v>
      </c>
      <c r="X343" s="157">
        <f t="shared" si="137"/>
        <v>45986</v>
      </c>
      <c r="Y343" s="383">
        <f t="shared" si="138"/>
        <v>3.8430610679735584</v>
      </c>
      <c r="Z343" s="383">
        <f t="shared" si="139"/>
        <v>4.0325236887010822</v>
      </c>
      <c r="AA343" s="384">
        <f t="shared" si="140"/>
        <v>4.3242241300749251</v>
      </c>
      <c r="AB343" s="197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6.745729004772659E-2</v>
      </c>
      <c r="AD343" s="230">
        <f>(INDEX(Models!$BJ343:$BT343,,AH343)*(1-AF343)+INDEX(Models!$BJ343:$BT343,,AH343+1)*AF343-ERP_i)*AE343*Ramure*Pc/MaxiM</f>
        <v>5.3727182533867338E-2</v>
      </c>
      <c r="AE343" s="304">
        <f t="shared" si="142"/>
        <v>0.7</v>
      </c>
      <c r="AF343" s="177">
        <f t="shared" si="143"/>
        <v>0.59866754405107847</v>
      </c>
      <c r="AG343" s="799">
        <f t="shared" si="149"/>
        <v>1</v>
      </c>
      <c r="AH343" s="176">
        <f t="shared" si="144"/>
        <v>7</v>
      </c>
      <c r="AI343" s="224">
        <f t="shared" si="145"/>
        <v>1.5986675440510785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45987</v>
      </c>
      <c r="B344" s="409">
        <f>'2024'!Wh/'2024'!Env_an*'2025'!Env_an</f>
        <v>14.168851955329341</v>
      </c>
      <c r="C344" s="829"/>
      <c r="D344" s="391">
        <f t="shared" si="127"/>
        <v>14.867660223133974</v>
      </c>
      <c r="E344" s="383">
        <f t="shared" si="125"/>
        <v>15.276960061843399</v>
      </c>
      <c r="F344" s="383">
        <f t="shared" si="128"/>
        <v>15.565895610253197</v>
      </c>
      <c r="G344" s="110">
        <f t="shared" si="126"/>
        <v>0.52904914656477398</v>
      </c>
      <c r="H344" s="412" t="b">
        <f>Wh_hp&gt;='2024'!Maxi_hp</f>
        <v>0</v>
      </c>
      <c r="I344" s="388">
        <f>IF(H344,Wh_hp,'2024'!Maxi_hp)</f>
        <v>28.034337428546774</v>
      </c>
      <c r="J344" s="85">
        <f>IF(H344,An,'2024'!An_max)</f>
        <v>2020</v>
      </c>
      <c r="K344" s="197">
        <f t="shared" si="129"/>
        <v>45987</v>
      </c>
      <c r="L344" s="147">
        <f>IF(t&lt;Tvie,1-EXP((T0-t)*PertePVj)+'2024'!Pspv,1-EXP((T0-t)*PertePVj)+Pspv)</f>
        <v>4.7001899244192624E-2</v>
      </c>
      <c r="M344" s="832"/>
      <c r="N344" s="832"/>
      <c r="O344" s="48">
        <f>IF(t&lt;Tnet,'2024'!Resal+('2024'!Salim-'2024'!Resal)*(1-EXP(('2024'!Tnet-t)/('2024'!Tau_j))),Resal+(Salim-Resal)*(1-EXP((Tnet-t)/(Tau_j))))*Salcycl</f>
        <v>2.679196888991774E-2</v>
      </c>
      <c r="P344" s="169">
        <f>(INDEX(Models!$BJ344:$BT344,,T344)*(1-R344)+INDEX(Models!$BJ344:$BT344,,T344+1)*R344-ERP_i)*Q344*Ramure*Pc/MaxiM</f>
        <v>5.2404867819191001E-2</v>
      </c>
      <c r="Q344" s="304">
        <f t="shared" si="130"/>
        <v>0.7</v>
      </c>
      <c r="R344" s="177">
        <f t="shared" si="131"/>
        <v>0.53435148183396519</v>
      </c>
      <c r="S344" s="799">
        <f t="shared" si="132"/>
        <v>1</v>
      </c>
      <c r="T344" s="176">
        <f t="shared" si="133"/>
        <v>7</v>
      </c>
      <c r="U344" s="250">
        <f t="shared" si="134"/>
        <v>1.5343514818339652</v>
      </c>
      <c r="V344" s="382">
        <f t="shared" si="135"/>
        <v>25.858220580287824</v>
      </c>
      <c r="W344" s="400">
        <f t="shared" si="136"/>
        <v>14.168851955329341</v>
      </c>
      <c r="X344" s="157">
        <f t="shared" si="137"/>
        <v>45987</v>
      </c>
      <c r="Y344" s="383">
        <f t="shared" si="138"/>
        <v>13.565823106464782</v>
      </c>
      <c r="Z344" s="383">
        <f t="shared" si="139"/>
        <v>14.234889970615836</v>
      </c>
      <c r="AA344" s="384">
        <f t="shared" si="140"/>
        <v>15.264671909830305</v>
      </c>
      <c r="AB344" s="197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6.7461780069527716E-2</v>
      </c>
      <c r="AD344" s="230">
        <f>(INDEX(Models!$BJ344:$BT344,,AH344)*(1-AF344)+INDEX(Models!$BJ344:$BT344,,AH344+1)*AF344-ERP_i)*AE344*Ramure*Pc/MaxiM</f>
        <v>5.4633596632701655E-2</v>
      </c>
      <c r="AE344" s="304">
        <f t="shared" si="142"/>
        <v>0.7</v>
      </c>
      <c r="AF344" s="177">
        <f t="shared" si="143"/>
        <v>0.59868370409379734</v>
      </c>
      <c r="AG344" s="799">
        <f t="shared" si="149"/>
        <v>1</v>
      </c>
      <c r="AH344" s="176">
        <f t="shared" si="144"/>
        <v>7</v>
      </c>
      <c r="AI344" s="224">
        <f t="shared" si="145"/>
        <v>1.5986837040937973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45988</v>
      </c>
      <c r="B345" s="409">
        <f>'2024'!Wh/'2024'!Env_an*'2025'!Env_an</f>
        <v>15.991496928967482</v>
      </c>
      <c r="C345" s="829"/>
      <c r="D345" s="391">
        <f t="shared" si="127"/>
        <v>16.780519704654861</v>
      </c>
      <c r="E345" s="383">
        <f t="shared" si="125"/>
        <v>17.243739478471067</v>
      </c>
      <c r="F345" s="383">
        <f t="shared" si="128"/>
        <v>17.680201196695208</v>
      </c>
      <c r="G345" s="110">
        <f t="shared" si="126"/>
        <v>0.60577492478358974</v>
      </c>
      <c r="H345" s="412" t="b">
        <f>Wh_hp&gt;='2024'!Maxi_hp</f>
        <v>0</v>
      </c>
      <c r="I345" s="388">
        <f>IF(H345,Wh_hp,'2024'!Maxi_hp)</f>
        <v>23.110543581605093</v>
      </c>
      <c r="J345" s="85">
        <f>IF(H345,An,'2024'!An_max)</f>
        <v>2020</v>
      </c>
      <c r="K345" s="197">
        <f t="shared" si="129"/>
        <v>45988</v>
      </c>
      <c r="L345" s="147">
        <f>IF(t&lt;Tvie,1-EXP((T0-t)*PertePVj)+'2024'!Pspv,1-EXP((T0-t)*PertePVj)+Pspv)</f>
        <v>4.702016323537983E-2</v>
      </c>
      <c r="M345" s="832"/>
      <c r="N345" s="832"/>
      <c r="O345" s="48">
        <f>IF(t&lt;Tnet,'2024'!Resal+('2024'!Salim-'2024'!Resal)*(1-EXP(('2024'!Tnet-t)/('2024'!Tau_j))),Resal+(Salim-Resal)*(1-EXP((Tnet-t)/(Tau_j))))*Salcycl</f>
        <v>2.6863069602422376E-2</v>
      </c>
      <c r="P345" s="169">
        <f>(INDEX(Models!$BJ345:$BT345,,T345)*(1-R345)+INDEX(Models!$BJ345:$BT345,,T345+1)*R345-ERP_i)*Q345*Ramure*Pc/MaxiM</f>
        <v>5.3319044270493589E-2</v>
      </c>
      <c r="Q345" s="304">
        <f t="shared" si="130"/>
        <v>0.7</v>
      </c>
      <c r="R345" s="177">
        <f t="shared" si="131"/>
        <v>0.53436699245353347</v>
      </c>
      <c r="S345" s="799">
        <f t="shared" si="132"/>
        <v>1</v>
      </c>
      <c r="T345" s="176">
        <f t="shared" si="133"/>
        <v>7</v>
      </c>
      <c r="U345" s="250">
        <f t="shared" si="134"/>
        <v>1.5343669924535335</v>
      </c>
      <c r="V345" s="382">
        <f t="shared" si="135"/>
        <v>25.62342719676278</v>
      </c>
      <c r="W345" s="400">
        <f t="shared" si="136"/>
        <v>15.991496928967482</v>
      </c>
      <c r="X345" s="157">
        <f t="shared" si="137"/>
        <v>45988</v>
      </c>
      <c r="Y345" s="383">
        <f t="shared" si="138"/>
        <v>15.307575553096783</v>
      </c>
      <c r="Z345" s="383">
        <f t="shared" si="139"/>
        <v>16.062853548996603</v>
      </c>
      <c r="AA345" s="384">
        <f t="shared" si="140"/>
        <v>17.224978290687865</v>
      </c>
      <c r="AB345" s="197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6.7467414012331597E-2</v>
      </c>
      <c r="AD345" s="230">
        <f>(INDEX(Models!$BJ345:$BT345,,AH345)*(1-AF345)+INDEX(Models!$BJ345:$BT345,,AH345+1)*AF345-ERP_i)*AE345*Ramure*Pc/MaxiM</f>
        <v>5.5610948829843534E-2</v>
      </c>
      <c r="AE345" s="304">
        <f t="shared" si="142"/>
        <v>0.7</v>
      </c>
      <c r="AF345" s="177">
        <f t="shared" si="143"/>
        <v>0.59869921471336562</v>
      </c>
      <c r="AG345" s="799">
        <f t="shared" si="149"/>
        <v>1</v>
      </c>
      <c r="AH345" s="176">
        <f t="shared" si="144"/>
        <v>7</v>
      </c>
      <c r="AI345" s="224">
        <f t="shared" si="145"/>
        <v>1.5986992147133656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45989</v>
      </c>
      <c r="B346" s="409">
        <f>'2024'!Wh/'2024'!Env_an*'2025'!Env_an</f>
        <v>9.0130551883956223</v>
      </c>
      <c r="C346" s="829"/>
      <c r="D346" s="391">
        <f t="shared" si="127"/>
        <v>9.4579418967064282</v>
      </c>
      <c r="E346" s="383">
        <f t="shared" si="125"/>
        <v>9.7197380718792399</v>
      </c>
      <c r="F346" s="383">
        <f t="shared" si="128"/>
        <v>9.7614158938375066</v>
      </c>
      <c r="G346" s="110">
        <f t="shared" si="126"/>
        <v>0.33721864776252031</v>
      </c>
      <c r="H346" s="412" t="b">
        <f>Wh_hp&gt;='2024'!Maxi_hp</f>
        <v>0</v>
      </c>
      <c r="I346" s="388">
        <f>IF(H346,Wh_hp,'2024'!Maxi_hp)</f>
        <v>17.324015395081876</v>
      </c>
      <c r="J346" s="85">
        <f>IF(H346,An,'2024'!An_max)</f>
        <v>2020</v>
      </c>
      <c r="K346" s="197">
        <f t="shared" si="129"/>
        <v>45989</v>
      </c>
      <c r="L346" s="147">
        <f>IF(t&lt;Tvie,1-EXP((T0-t)*PertePVj)+'2024'!Pspv,1-EXP((T0-t)*PertePVj)+Pspv)</f>
        <v>4.7038426876541695E-2</v>
      </c>
      <c r="M346" s="832"/>
      <c r="N346" s="832"/>
      <c r="O346" s="48">
        <f>IF(t&lt;Tnet,'2024'!Resal+('2024'!Salim-'2024'!Resal)*(1-EXP(('2024'!Tnet-t)/('2024'!Tau_j))),Resal+(Salim-Resal)*(1-EXP((Tnet-t)/(Tau_j))))*Salcycl</f>
        <v>2.6934488690619127E-2</v>
      </c>
      <c r="P346" s="169">
        <f>(INDEX(Models!$BJ346:$BT346,,T346)*(1-R346)+INDEX(Models!$BJ346:$BT346,,T346+1)*R346-ERP_i)*Q346*Ramure*Pc/MaxiM</f>
        <v>5.4287762902444275E-2</v>
      </c>
      <c r="Q346" s="304">
        <f t="shared" si="130"/>
        <v>0.7</v>
      </c>
      <c r="R346" s="177">
        <f t="shared" si="131"/>
        <v>0.53438187970092121</v>
      </c>
      <c r="S346" s="799">
        <f t="shared" si="132"/>
        <v>1</v>
      </c>
      <c r="T346" s="176">
        <f t="shared" si="133"/>
        <v>7</v>
      </c>
      <c r="U346" s="250">
        <f t="shared" si="134"/>
        <v>1.5343818797009212</v>
      </c>
      <c r="V346" s="382">
        <f t="shared" si="135"/>
        <v>25.385031778328372</v>
      </c>
      <c r="W346" s="400">
        <f t="shared" si="136"/>
        <v>9.0130551883956223</v>
      </c>
      <c r="X346" s="157">
        <f t="shared" si="137"/>
        <v>45989</v>
      </c>
      <c r="Y346" s="383">
        <f t="shared" si="138"/>
        <v>8.6359487196740421</v>
      </c>
      <c r="Z346" s="383">
        <f t="shared" si="139"/>
        <v>9.0622213562804763</v>
      </c>
      <c r="AA346" s="384">
        <f t="shared" si="140"/>
        <v>9.7179309563128076</v>
      </c>
      <c r="AB346" s="197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6.7474198260935384E-2</v>
      </c>
      <c r="AD346" s="230">
        <f>(INDEX(Models!$BJ346:$BT346,,AH346)*(1-AF346)+INDEX(Models!$BJ346:$BT346,,AH346+1)*AF346-ERP_i)*AE346*Ramure*Pc/MaxiM</f>
        <v>5.6641634981123561E-2</v>
      </c>
      <c r="AE346" s="304">
        <f t="shared" si="142"/>
        <v>0.7</v>
      </c>
      <c r="AF346" s="177">
        <f t="shared" si="143"/>
        <v>0.59871410196075336</v>
      </c>
      <c r="AG346" s="799">
        <f t="shared" si="149"/>
        <v>1</v>
      </c>
      <c r="AH346" s="176">
        <f t="shared" si="144"/>
        <v>7</v>
      </c>
      <c r="AI346" s="224">
        <f t="shared" si="145"/>
        <v>1.5987141019607534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45990</v>
      </c>
      <c r="B347" s="409">
        <f>'2024'!Wh/'2024'!Env_an*'2025'!Env_an</f>
        <v>10.015772295403501</v>
      </c>
      <c r="C347" s="829"/>
      <c r="D347" s="391">
        <f t="shared" si="127"/>
        <v>10.51035480501556</v>
      </c>
      <c r="E347" s="383">
        <f t="shared" si="125"/>
        <v>10.802078224264896</v>
      </c>
      <c r="F347" s="383">
        <f t="shared" si="128"/>
        <v>10.886592635679236</v>
      </c>
      <c r="G347" s="110">
        <f t="shared" si="126"/>
        <v>0.37924058783603115</v>
      </c>
      <c r="H347" s="412" t="b">
        <f>Wh_hp&gt;='2024'!Maxi_hp</f>
        <v>0</v>
      </c>
      <c r="I347" s="388">
        <f>IF(H347,Wh_hp,'2024'!Maxi_hp)</f>
        <v>14.807733331286865</v>
      </c>
      <c r="J347" s="85">
        <f>IF(H347,An,'2024'!An_max)</f>
        <v>2018</v>
      </c>
      <c r="K347" s="197">
        <f t="shared" si="129"/>
        <v>45990</v>
      </c>
      <c r="L347" s="147">
        <f>IF(t&lt;Tvie,1-EXP((T0-t)*PertePVj)+'2024'!Pspv,1-EXP((T0-t)*PertePVj)+Pspv)</f>
        <v>4.7056690167685211E-2</v>
      </c>
      <c r="M347" s="832"/>
      <c r="N347" s="832"/>
      <c r="O347" s="48">
        <f>IF(t&lt;Tnet,'2024'!Resal+('2024'!Salim-'2024'!Resal)*(1-EXP(('2024'!Tnet-t)/('2024'!Tau_j))),Resal+(Salim-Resal)*(1-EXP((Tnet-t)/(Tau_j))))*Salcycl</f>
        <v>2.7006230948599663E-2</v>
      </c>
      <c r="P347" s="169">
        <f>(INDEX(Models!$BJ347:$BT347,,T347)*(1-R347)+INDEX(Models!$BJ347:$BT347,,T347+1)*R347-ERP_i)*Q347*Ramure*Pc/MaxiM</f>
        <v>5.5274594128653196E-2</v>
      </c>
      <c r="Q347" s="304">
        <f t="shared" si="130"/>
        <v>0.7</v>
      </c>
      <c r="R347" s="177">
        <f t="shared" si="131"/>
        <v>0.5343961685858245</v>
      </c>
      <c r="S347" s="799">
        <f t="shared" si="132"/>
        <v>1</v>
      </c>
      <c r="T347" s="176">
        <f t="shared" si="133"/>
        <v>7</v>
      </c>
      <c r="U347" s="250">
        <f t="shared" si="134"/>
        <v>1.5343961685858245</v>
      </c>
      <c r="V347" s="382">
        <f t="shared" si="135"/>
        <v>25.145477122951981</v>
      </c>
      <c r="W347" s="400">
        <f t="shared" si="136"/>
        <v>10.015772295403501</v>
      </c>
      <c r="X347" s="157">
        <f t="shared" si="137"/>
        <v>45990</v>
      </c>
      <c r="Y347" s="383">
        <f t="shared" si="138"/>
        <v>9.5958427762589018</v>
      </c>
      <c r="Z347" s="383">
        <f t="shared" si="139"/>
        <v>10.069689012190494</v>
      </c>
      <c r="AA347" s="384">
        <f t="shared" si="140"/>
        <v>10.798387237353102</v>
      </c>
      <c r="AB347" s="197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6.7482134984189257E-2</v>
      </c>
      <c r="AD347" s="230">
        <f>(INDEX(Models!$BJ347:$BT347,,AH347)*(1-AF347)+INDEX(Models!$BJ347:$BT347,,AH347+1)*AF347-ERP_i)*AE347*Ramure*Pc/MaxiM</f>
        <v>5.768859429820257E-2</v>
      </c>
      <c r="AE347" s="304">
        <f t="shared" si="142"/>
        <v>0.7</v>
      </c>
      <c r="AF347" s="177">
        <f t="shared" si="143"/>
        <v>0.59872839084565666</v>
      </c>
      <c r="AG347" s="799">
        <f t="shared" si="149"/>
        <v>1</v>
      </c>
      <c r="AH347" s="176">
        <f t="shared" si="144"/>
        <v>7</v>
      </c>
      <c r="AI347" s="224">
        <f t="shared" si="145"/>
        <v>1.5987283908456567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45991</v>
      </c>
      <c r="B348" s="409">
        <f>'2024'!Wh/'2024'!Env_an*'2025'!Env_an</f>
        <v>4.4615049518768544</v>
      </c>
      <c r="C348" s="829"/>
      <c r="D348" s="391">
        <f t="shared" si="127"/>
        <v>4.6819054304764478</v>
      </c>
      <c r="E348" s="383">
        <f t="shared" si="125"/>
        <v>4.8122119468482429</v>
      </c>
      <c r="F348" s="383">
        <f t="shared" si="128"/>
        <v>4.8122119468482429</v>
      </c>
      <c r="G348" s="110">
        <f t="shared" si="126"/>
        <v>0.16905078081224087</v>
      </c>
      <c r="H348" s="412" t="b">
        <f>Wh_hp&gt;='2024'!Maxi_hp</f>
        <v>0</v>
      </c>
      <c r="I348" s="388">
        <f>IF(H348,Wh_hp,'2024'!Maxi_hp)</f>
        <v>27.039927040267969</v>
      </c>
      <c r="J348" s="85">
        <f>IF(H348,An,'2024'!An_max)</f>
        <v>2020</v>
      </c>
      <c r="K348" s="197">
        <f t="shared" si="129"/>
        <v>45991</v>
      </c>
      <c r="L348" s="147">
        <f>IF(t&lt;Tvie,1-EXP((T0-t)*PertePVj)+'2024'!Pspv,1-EXP((T0-t)*PertePVj)+Pspv)</f>
        <v>4.7074953108816819E-2</v>
      </c>
      <c r="M348" s="832"/>
      <c r="N348" s="832"/>
      <c r="O348" s="48">
        <f>IF(t&lt;Tnet,'2024'!Resal+('2024'!Salim-'2024'!Resal)*(1-EXP(('2024'!Tnet-t)/('2024'!Tau_j))),Resal+(Salim-Resal)*(1-EXP((Tnet-t)/(Tau_j))))*Salcycl</f>
        <v>2.7078299503649015E-2</v>
      </c>
      <c r="P348" s="169">
        <f>(INDEX(Models!$BJ348:$BT348,,T348)*(1-R348)+INDEX(Models!$BJ348:$BT348,,T348+1)*R348-ERP_i)*Q348*Ramure*Pc/MaxiM</f>
        <v>5.6277159649353342E-2</v>
      </c>
      <c r="Q348" s="304">
        <f t="shared" si="130"/>
        <v>0.7</v>
      </c>
      <c r="R348" s="177">
        <f t="shared" si="131"/>
        <v>0.53440988311799176</v>
      </c>
      <c r="S348" s="799">
        <f t="shared" si="132"/>
        <v>1</v>
      </c>
      <c r="T348" s="176">
        <f t="shared" si="133"/>
        <v>7</v>
      </c>
      <c r="U348" s="250">
        <f t="shared" si="134"/>
        <v>1.5344098831179918</v>
      </c>
      <c r="V348" s="382">
        <f t="shared" si="135"/>
        <v>24.906268431259594</v>
      </c>
      <c r="W348" s="400">
        <f t="shared" si="136"/>
        <v>4.4615049518768544</v>
      </c>
      <c r="X348" s="157">
        <f t="shared" si="137"/>
        <v>45991</v>
      </c>
      <c r="Y348" s="383">
        <f t="shared" si="138"/>
        <v>4.2761843297600999</v>
      </c>
      <c r="Z348" s="383">
        <f t="shared" si="139"/>
        <v>4.4874298809866495</v>
      </c>
      <c r="AA348" s="384">
        <f t="shared" si="140"/>
        <v>4.8122119468482429</v>
      </c>
      <c r="AB348" s="197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6.749122221732351E-2</v>
      </c>
      <c r="AD348" s="230">
        <f>(INDEX(Models!$BJ348:$BT348,,AH348)*(1-AF348)+INDEX(Models!$BJ348:$BT348,,AH348+1)*AF348-ERP_i)*AE348*Ramure*Pc/MaxiM</f>
        <v>5.8749299372505587E-2</v>
      </c>
      <c r="AE348" s="304">
        <f t="shared" si="142"/>
        <v>0.7</v>
      </c>
      <c r="AF348" s="177">
        <f t="shared" si="143"/>
        <v>0.59874210537782391</v>
      </c>
      <c r="AG348" s="799">
        <f t="shared" si="149"/>
        <v>1</v>
      </c>
      <c r="AH348" s="176">
        <f t="shared" si="144"/>
        <v>7</v>
      </c>
      <c r="AI348" s="224">
        <f t="shared" si="145"/>
        <v>1.5987421053778239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45992</v>
      </c>
      <c r="B349" s="409">
        <f>'2024'!Wh/'2024'!Env_an*'2025'!Env_an</f>
        <v>3.3076660558319739</v>
      </c>
      <c r="C349" s="829"/>
      <c r="D349" s="391">
        <f t="shared" si="127"/>
        <v>3.4711328645451611</v>
      </c>
      <c r="E349" s="383">
        <f t="shared" si="125"/>
        <v>3.5680067300208758</v>
      </c>
      <c r="F349" s="383">
        <f t="shared" si="128"/>
        <v>3.5680067300208758</v>
      </c>
      <c r="G349" s="110">
        <f t="shared" si="126"/>
        <v>0.12640042296195239</v>
      </c>
      <c r="H349" s="412" t="b">
        <f>Wh_hp&gt;='2024'!Maxi_hp</f>
        <v>0</v>
      </c>
      <c r="I349" s="388">
        <f>IF(H349,Wh_hp,'2024'!Maxi_hp)</f>
        <v>27.868335200452961</v>
      </c>
      <c r="J349" s="85">
        <f>IF(H349,An,'2024'!An_max)</f>
        <v>2020</v>
      </c>
      <c r="K349" s="197">
        <f t="shared" si="129"/>
        <v>45992</v>
      </c>
      <c r="L349" s="147">
        <f>IF(t&lt;Tvie,1-EXP((T0-t)*PertePVj)+'2024'!Pspv,1-EXP((T0-t)*PertePVj)+Pspv)</f>
        <v>4.7093215699943292E-2</v>
      </c>
      <c r="M349" s="832"/>
      <c r="N349" s="832"/>
      <c r="O349" s="48">
        <f>IF(t&lt;Tnet,'2024'!Resal+('2024'!Salim-'2024'!Resal)*(1-EXP(('2024'!Tnet-t)/('2024'!Tau_j))),Resal+(Salim-Resal)*(1-EXP((Tnet-t)/(Tau_j))))*Salcycl</f>
        <v>2.7150695838274945E-2</v>
      </c>
      <c r="P349" s="169">
        <f>(INDEX(Models!$BJ349:$BT349,,T349)*(1-R349)+INDEX(Models!$BJ349:$BT349,,T349+1)*R349-ERP_i)*Q349*Ramure*Pc/MaxiM</f>
        <v>5.7292755793689615E-2</v>
      </c>
      <c r="Q349" s="304">
        <f t="shared" si="130"/>
        <v>0.7</v>
      </c>
      <c r="R349" s="177">
        <f t="shared" si="131"/>
        <v>0.53442304634693238</v>
      </c>
      <c r="S349" s="799">
        <f t="shared" si="132"/>
        <v>1</v>
      </c>
      <c r="T349" s="176">
        <f t="shared" si="133"/>
        <v>7</v>
      </c>
      <c r="U349" s="250">
        <f t="shared" si="134"/>
        <v>1.5344230463469324</v>
      </c>
      <c r="V349" s="382">
        <f t="shared" si="135"/>
        <v>24.668910745549553</v>
      </c>
      <c r="W349" s="400">
        <f t="shared" si="136"/>
        <v>3.3076660558319739</v>
      </c>
      <c r="X349" s="157">
        <f t="shared" si="137"/>
        <v>45992</v>
      </c>
      <c r="Y349" s="383">
        <f t="shared" si="138"/>
        <v>3.1704743731902281</v>
      </c>
      <c r="Z349" s="383">
        <f t="shared" si="139"/>
        <v>3.3271610879746776</v>
      </c>
      <c r="AA349" s="384">
        <f t="shared" si="140"/>
        <v>3.5680067300208758</v>
      </c>
      <c r="AB349" s="197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6.7501453968610958E-2</v>
      </c>
      <c r="AD349" s="230">
        <f>(INDEX(Models!$BJ349:$BT349,,AH349)*(1-AF349)+INDEX(Models!$BJ349:$BT349,,AH349+1)*AF349-ERP_i)*AE349*Ramure*Pc/MaxiM</f>
        <v>5.982087709382735E-2</v>
      </c>
      <c r="AE349" s="304">
        <f t="shared" si="142"/>
        <v>0.7</v>
      </c>
      <c r="AF349" s="177">
        <f t="shared" si="143"/>
        <v>0.59875526860676453</v>
      </c>
      <c r="AG349" s="799">
        <f t="shared" si="149"/>
        <v>1</v>
      </c>
      <c r="AH349" s="176">
        <f t="shared" si="144"/>
        <v>7</v>
      </c>
      <c r="AI349" s="224">
        <f t="shared" si="145"/>
        <v>1.5987552686067645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45993</v>
      </c>
      <c r="B350" s="409">
        <f>'2024'!Wh/'2024'!Env_an*'2025'!Env_an</f>
        <v>5.7652368463586665</v>
      </c>
      <c r="C350" s="829"/>
      <c r="D350" s="391">
        <f t="shared" si="127"/>
        <v>6.050274206159588</v>
      </c>
      <c r="E350" s="383">
        <f t="shared" si="125"/>
        <v>6.2195927918568108</v>
      </c>
      <c r="F350" s="383">
        <f t="shared" si="128"/>
        <v>6.2195927918568108</v>
      </c>
      <c r="G350" s="110">
        <f t="shared" si="126"/>
        <v>0.22218285566440071</v>
      </c>
      <c r="H350" s="412" t="b">
        <f>Wh_hp&gt;='2024'!Maxi_hp</f>
        <v>0</v>
      </c>
      <c r="I350" s="388">
        <f>IF(H350,Wh_hp,'2024'!Maxi_hp)</f>
        <v>10.826785026069079</v>
      </c>
      <c r="J350" s="85">
        <f>IF(H350,An,'2024'!An_max)</f>
        <v>2021</v>
      </c>
      <c r="K350" s="197">
        <f t="shared" si="129"/>
        <v>45993</v>
      </c>
      <c r="L350" s="147">
        <f>IF(t&lt;Tvie,1-EXP((T0-t)*PertePVj)+'2024'!Pspv,1-EXP((T0-t)*PertePVj)+Pspv)</f>
        <v>4.7111477941071511E-2</v>
      </c>
      <c r="M350" s="832"/>
      <c r="N350" s="832"/>
      <c r="O350" s="48">
        <f>IF(t&lt;Tnet,'2024'!Resal+('2024'!Salim-'2024'!Resal)*(1-EXP(('2024'!Tnet-t)/('2024'!Tau_j))),Resal+(Salim-Resal)*(1-EXP((Tnet-t)/(Tau_j))))*Salcycl</f>
        <v>2.7223419822421255E-2</v>
      </c>
      <c r="P350" s="169">
        <f>(INDEX(Models!$BJ350:$BT350,,T350)*(1-R350)+INDEX(Models!$BJ350:$BT350,,T350+1)*R350-ERP_i)*Q350*Ramure*Pc/MaxiM</f>
        <v>5.8318332001630099E-2</v>
      </c>
      <c r="Q350" s="304">
        <f t="shared" si="130"/>
        <v>0.7</v>
      </c>
      <c r="R350" s="177">
        <f t="shared" si="131"/>
        <v>0.53443568040006983</v>
      </c>
      <c r="S350" s="799">
        <f t="shared" si="132"/>
        <v>1</v>
      </c>
      <c r="T350" s="176">
        <f t="shared" si="133"/>
        <v>7</v>
      </c>
      <c r="U350" s="250">
        <f t="shared" si="134"/>
        <v>1.5344356804000698</v>
      </c>
      <c r="V350" s="382">
        <f t="shared" si="135"/>
        <v>24.43490895663448</v>
      </c>
      <c r="W350" s="400">
        <f t="shared" si="136"/>
        <v>5.7652368463586665</v>
      </c>
      <c r="X350" s="157">
        <f t="shared" si="137"/>
        <v>45993</v>
      </c>
      <c r="Y350" s="383">
        <f t="shared" si="138"/>
        <v>5.5264585480642152</v>
      </c>
      <c r="Z350" s="383">
        <f t="shared" si="139"/>
        <v>5.7996905410541277</v>
      </c>
      <c r="AA350" s="384">
        <f t="shared" si="140"/>
        <v>6.2195927918568108</v>
      </c>
      <c r="AB350" s="197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6.7512820349340752E-2</v>
      </c>
      <c r="AD350" s="230">
        <f>(INDEX(Models!$BJ350:$BT350,,AH350)*(1-AF350)+INDEX(Models!$BJ350:$BT350,,AH350+1)*AF350-ERP_i)*AE350*Ramure*Pc/MaxiM</f>
        <v>6.0900087456158443E-2</v>
      </c>
      <c r="AE350" s="304">
        <f t="shared" si="142"/>
        <v>0.7</v>
      </c>
      <c r="AF350" s="177">
        <f t="shared" si="143"/>
        <v>0.59876790265990198</v>
      </c>
      <c r="AG350" s="799">
        <f t="shared" si="149"/>
        <v>1</v>
      </c>
      <c r="AH350" s="176">
        <f t="shared" si="144"/>
        <v>7</v>
      </c>
      <c r="AI350" s="224">
        <f t="shared" si="145"/>
        <v>1.598767902659902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45994</v>
      </c>
      <c r="B351" s="409">
        <f>'2024'!Wh/'2024'!Env_an*'2025'!Env_an</f>
        <v>10.644897411212735</v>
      </c>
      <c r="C351" s="829"/>
      <c r="D351" s="391">
        <f t="shared" si="127"/>
        <v>11.171402714718226</v>
      </c>
      <c r="E351" s="383">
        <f t="shared" si="125"/>
        <v>11.48489993853584</v>
      </c>
      <c r="F351" s="383">
        <f t="shared" si="128"/>
        <v>11.622632051322833</v>
      </c>
      <c r="G351" s="110">
        <f t="shared" si="126"/>
        <v>0.4186274793713744</v>
      </c>
      <c r="H351" s="412" t="b">
        <f>Wh_hp&gt;='2024'!Maxi_hp</f>
        <v>0</v>
      </c>
      <c r="I351" s="388">
        <f>IF(H351,Wh_hp,'2024'!Maxi_hp)</f>
        <v>17.956998625515752</v>
      </c>
      <c r="J351" s="85">
        <f>IF(H351,An,'2024'!An_max)</f>
        <v>2021</v>
      </c>
      <c r="K351" s="197">
        <f t="shared" si="129"/>
        <v>45994</v>
      </c>
      <c r="L351" s="147">
        <f>IF(t&lt;Tvie,1-EXP((T0-t)*PertePVj)+'2024'!Pspv,1-EXP((T0-t)*PertePVj)+Pspv)</f>
        <v>4.7129739832207918E-2</v>
      </c>
      <c r="M351" s="832"/>
      <c r="N351" s="832"/>
      <c r="O351" s="48">
        <f>IF(t&lt;Tnet,'2024'!Resal+('2024'!Salim-'2024'!Resal)*(1-EXP(('2024'!Tnet-t)/('2024'!Tau_j))),Resal+(Salim-Resal)*(1-EXP((Tnet-t)/(Tau_j))))*Salcycl</f>
        <v>2.7296469755537144E-2</v>
      </c>
      <c r="P351" s="169">
        <f>(INDEX(Models!$BJ351:$BT351,,T351)*(1-R351)+INDEX(Models!$BJ351:$BT351,,T351+1)*R351-ERP_i)*Q351*Ramure*Pc/MaxiM</f>
        <v>5.9350472120314517E-2</v>
      </c>
      <c r="Q351" s="304">
        <f t="shared" si="130"/>
        <v>0.7</v>
      </c>
      <c r="R351" s="177">
        <f t="shared" si="131"/>
        <v>0.53444780651939983</v>
      </c>
      <c r="S351" s="799">
        <f t="shared" si="132"/>
        <v>1</v>
      </c>
      <c r="T351" s="176">
        <f t="shared" si="133"/>
        <v>7</v>
      </c>
      <c r="U351" s="250">
        <f t="shared" si="134"/>
        <v>1.5344478065193998</v>
      </c>
      <c r="V351" s="382">
        <f t="shared" si="135"/>
        <v>24.205767797254268</v>
      </c>
      <c r="W351" s="400">
        <f t="shared" si="136"/>
        <v>10.644897411212735</v>
      </c>
      <c r="X351" s="157">
        <f t="shared" si="137"/>
        <v>45994</v>
      </c>
      <c r="Y351" s="383">
        <f t="shared" si="138"/>
        <v>10.199219494540012</v>
      </c>
      <c r="Z351" s="383">
        <f t="shared" si="139"/>
        <v>10.703681204977496</v>
      </c>
      <c r="AA351" s="384">
        <f t="shared" si="140"/>
        <v>11.478790034369279</v>
      </c>
      <c r="AB351" s="197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6.7525307725900263E-2</v>
      </c>
      <c r="AD351" s="230">
        <f>(INDEX(Models!$BJ351:$BT351,,AH351)*(1-AF351)+INDEX(Models!$BJ351:$BT351,,AH351+1)*AF351-ERP_i)*AE351*Ramure*Pc/MaxiM</f>
        <v>6.1983305448413954E-2</v>
      </c>
      <c r="AE351" s="304">
        <f t="shared" si="142"/>
        <v>0.7</v>
      </c>
      <c r="AF351" s="177">
        <f t="shared" si="143"/>
        <v>0.59878002877923198</v>
      </c>
      <c r="AG351" s="799">
        <f t="shared" si="149"/>
        <v>1</v>
      </c>
      <c r="AH351" s="176">
        <f t="shared" si="144"/>
        <v>7</v>
      </c>
      <c r="AI351" s="224">
        <f t="shared" si="145"/>
        <v>1.598780028779232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45995</v>
      </c>
      <c r="B352" s="409">
        <f>'2024'!Wh/'2024'!Env_an*'2025'!Env_an</f>
        <v>20.814605183623879</v>
      </c>
      <c r="C352" s="829"/>
      <c r="D352" s="391">
        <f t="shared" si="127"/>
        <v>21.844531169189203</v>
      </c>
      <c r="E352" s="383">
        <f t="shared" si="125"/>
        <v>22.459236945210289</v>
      </c>
      <c r="F352" s="383">
        <f t="shared" si="128"/>
        <v>23.615535640038793</v>
      </c>
      <c r="G352" s="110">
        <f t="shared" si="126"/>
        <v>0.85746694528552803</v>
      </c>
      <c r="H352" s="412" t="b">
        <f>Wh_hp&gt;='2024'!Maxi_hp</f>
        <v>0</v>
      </c>
      <c r="I352" s="388">
        <f>IF(H352,Wh_hp,'2024'!Maxi_hp)</f>
        <v>23.797511851297955</v>
      </c>
      <c r="J352" s="85">
        <f>IF(H352,An,'2024'!An_max)</f>
        <v>2022</v>
      </c>
      <c r="K352" s="197">
        <f t="shared" si="129"/>
        <v>45995</v>
      </c>
      <c r="L352" s="147">
        <f>IF(t&lt;Tvie,1-EXP((T0-t)*PertePVj)+'2024'!Pspv,1-EXP((T0-t)*PertePVj)+Pspv)</f>
        <v>4.7148001373359394E-2</v>
      </c>
      <c r="M352" s="832"/>
      <c r="N352" s="832"/>
      <c r="O352" s="48">
        <f>IF(t&lt;Tnet,'2024'!Resal+('2024'!Salim-'2024'!Resal)*(1-EXP(('2024'!Tnet-t)/('2024'!Tau_j))),Resal+(Salim-Resal)*(1-EXP((Tnet-t)/(Tau_j))))*Salcycl</f>
        <v>2.7369842418096067E-2</v>
      </c>
      <c r="P352" s="169">
        <f>(INDEX(Models!$BJ352:$BT352,,T352)*(1-R352)+INDEX(Models!$BJ352:$BT352,,T352+1)*R352-ERP_i)*Q352*Ramure*Pc/MaxiM</f>
        <v>6.0356778610972071E-2</v>
      </c>
      <c r="Q352" s="304">
        <f t="shared" si="130"/>
        <v>0.7</v>
      </c>
      <c r="R352" s="177">
        <f t="shared" si="131"/>
        <v>0.53445944509670795</v>
      </c>
      <c r="S352" s="799">
        <f t="shared" si="132"/>
        <v>1</v>
      </c>
      <c r="T352" s="176">
        <f t="shared" si="133"/>
        <v>7</v>
      </c>
      <c r="U352" s="250">
        <f t="shared" si="134"/>
        <v>1.534459445096708</v>
      </c>
      <c r="V352" s="382">
        <f t="shared" si="135"/>
        <v>23.983721852049392</v>
      </c>
      <c r="W352" s="400">
        <f t="shared" si="136"/>
        <v>20.814605183623879</v>
      </c>
      <c r="X352" s="157">
        <f t="shared" si="137"/>
        <v>45995</v>
      </c>
      <c r="Y352" s="383">
        <f t="shared" si="138"/>
        <v>19.909358879492014</v>
      </c>
      <c r="Z352" s="383">
        <f t="shared" si="139"/>
        <v>20.894492437637389</v>
      </c>
      <c r="AA352" s="384">
        <f t="shared" si="140"/>
        <v>22.407897136752162</v>
      </c>
      <c r="AB352" s="197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6.7538898892594956E-2</v>
      </c>
      <c r="AD352" s="230">
        <f>(INDEX(Models!$BJ352:$BT352,,AH352)*(1-AF352)+INDEX(Models!$BJ352:$BT352,,AH352+1)*AF352-ERP_i)*AE352*Ramure*Pc/MaxiM</f>
        <v>6.3036627223528388E-2</v>
      </c>
      <c r="AE352" s="304">
        <f t="shared" si="142"/>
        <v>0.7</v>
      </c>
      <c r="AF352" s="177">
        <f t="shared" si="143"/>
        <v>0.5987916673565401</v>
      </c>
      <c r="AG352" s="799">
        <f t="shared" si="149"/>
        <v>1</v>
      </c>
      <c r="AH352" s="176">
        <f t="shared" si="144"/>
        <v>7</v>
      </c>
      <c r="AI352" s="224">
        <f t="shared" si="145"/>
        <v>1.5987916673565401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45996</v>
      </c>
      <c r="B353" s="409">
        <f>'2024'!Wh/'2024'!Env_an*'2025'!Env_an</f>
        <v>24.645513265320812</v>
      </c>
      <c r="C353" s="829"/>
      <c r="D353" s="391">
        <f t="shared" si="127"/>
        <v>25.865491845044978</v>
      </c>
      <c r="E353" s="383">
        <f t="shared" si="125"/>
        <v>26.595362558581144</v>
      </c>
      <c r="F353" s="383">
        <f t="shared" si="128"/>
        <v>28.332410903227839</v>
      </c>
      <c r="G353" s="110">
        <f t="shared" si="126"/>
        <v>1.0367954994143609</v>
      </c>
      <c r="H353" s="412" t="b">
        <f>Wh_hp&gt;='2024'!Maxi_hp</f>
        <v>1</v>
      </c>
      <c r="I353" s="388">
        <f>IF(H353,Wh_hp,'2024'!Maxi_hp)</f>
        <v>28.332410903227839</v>
      </c>
      <c r="J353" s="85">
        <f>IF(H353,An,'2024'!An_max)</f>
        <v>2025</v>
      </c>
      <c r="K353" s="197">
        <f t="shared" si="129"/>
        <v>45996</v>
      </c>
      <c r="L353" s="147">
        <f>IF(t&lt;Tvie,1-EXP((T0-t)*PertePVj)+'2024'!Pspv,1-EXP((T0-t)*PertePVj)+Pspv)</f>
        <v>4.7166262564532602E-2</v>
      </c>
      <c r="M353" s="832"/>
      <c r="N353" s="832"/>
      <c r="O353" s="48">
        <f>IF(t&lt;Tnet,'2024'!Resal+('2024'!Salim-'2024'!Resal)*(1-EXP(('2024'!Tnet-t)/('2024'!Tau_j))),Resal+(Salim-Resal)*(1-EXP((Tnet-t)/(Tau_j))))*Salcycl</f>
        <v>2.7443533132082421E-2</v>
      </c>
      <c r="P353" s="169">
        <f>(INDEX(Models!$BJ353:$BT353,,T353)*(1-R353)+INDEX(Models!$BJ353:$BT353,,T353+1)*R353-ERP_i)*Q353*Ramure*Pc/MaxiM</f>
        <v>6.1309584651294054E-2</v>
      </c>
      <c r="Q353" s="304">
        <f t="shared" si="130"/>
        <v>0.7</v>
      </c>
      <c r="R353" s="177">
        <f t="shared" si="131"/>
        <v>0.53447061570740306</v>
      </c>
      <c r="S353" s="799">
        <f t="shared" si="132"/>
        <v>1</v>
      </c>
      <c r="T353" s="176">
        <f t="shared" si="133"/>
        <v>7</v>
      </c>
      <c r="U353" s="250">
        <f t="shared" si="134"/>
        <v>1.5344706157074031</v>
      </c>
      <c r="V353" s="382">
        <f t="shared" si="135"/>
        <v>23.770852862731324</v>
      </c>
      <c r="W353" s="400">
        <f t="shared" si="136"/>
        <v>24.645513265320812</v>
      </c>
      <c r="X353" s="157">
        <f t="shared" si="137"/>
        <v>45996</v>
      </c>
      <c r="Y353" s="383">
        <f t="shared" si="138"/>
        <v>23.560530199074979</v>
      </c>
      <c r="Z353" s="383">
        <f t="shared" si="139"/>
        <v>24.726800986799297</v>
      </c>
      <c r="AA353" s="384">
        <f t="shared" si="140"/>
        <v>26.518200164427988</v>
      </c>
      <c r="AB353" s="197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6.7553573263682873E-2</v>
      </c>
      <c r="AD353" s="230">
        <f>(INDEX(Models!$BJ353:$BT353,,AH353)*(1-AF353)+INDEX(Models!$BJ353:$BT353,,AH353+1)*AF353-ERP_i)*AE353*Ramure*Pc/MaxiM</f>
        <v>6.4033051934636653E-2</v>
      </c>
      <c r="AE353" s="304">
        <f t="shared" si="142"/>
        <v>0.7</v>
      </c>
      <c r="AF353" s="177">
        <f t="shared" si="143"/>
        <v>0.59880283796723521</v>
      </c>
      <c r="AG353" s="799">
        <f t="shared" si="149"/>
        <v>1</v>
      </c>
      <c r="AH353" s="176">
        <f t="shared" si="144"/>
        <v>7</v>
      </c>
      <c r="AI353" s="224">
        <f t="shared" si="145"/>
        <v>1.5988028379672352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45997</v>
      </c>
      <c r="B354" s="409">
        <f>'2024'!Wh/'2024'!Env_an*'2025'!Env_an</f>
        <v>15.607116342428405</v>
      </c>
      <c r="C354" s="829"/>
      <c r="D354" s="391">
        <f t="shared" si="127"/>
        <v>16.379998778162513</v>
      </c>
      <c r="E354" s="383">
        <f t="shared" si="125"/>
        <v>16.843490121069507</v>
      </c>
      <c r="F354" s="383">
        <f t="shared" si="128"/>
        <v>17.403636816867447</v>
      </c>
      <c r="G354" s="110">
        <f t="shared" si="126"/>
        <v>0.64165913151242748</v>
      </c>
      <c r="H354" s="412" t="b">
        <f>Wh_hp&gt;='2024'!Maxi_hp</f>
        <v>0</v>
      </c>
      <c r="I354" s="388">
        <f>IF(H354,Wh_hp,'2024'!Maxi_hp)</f>
        <v>24.344380996305986</v>
      </c>
      <c r="J354" s="85">
        <f>IF(H354,An,'2024'!An_max)</f>
        <v>2020</v>
      </c>
      <c r="K354" s="197">
        <f t="shared" si="129"/>
        <v>45997</v>
      </c>
      <c r="L354" s="147">
        <f>IF(t&lt;Tvie,1-EXP((T0-t)*PertePVj)+'2024'!Pspv,1-EXP((T0-t)*PertePVj)+Pspv)</f>
        <v>4.7184523405734313E-2</v>
      </c>
      <c r="M354" s="832"/>
      <c r="N354" s="832"/>
      <c r="O354" s="48">
        <f>IF(t&lt;Tnet,'2024'!Resal+('2024'!Salim-'2024'!Resal)*(1-EXP(('2024'!Tnet-t)/('2024'!Tau_j))),Resal+(Salim-Resal)*(1-EXP((Tnet-t)/(Tau_j))))*Salcycl</f>
        <v>2.751753582989408E-2</v>
      </c>
      <c r="P354" s="169">
        <f>(INDEX(Models!$BJ354:$BT354,,T354)*(1-R354)+INDEX(Models!$BJ354:$BT354,,T354+1)*R354-ERP_i)*Q354*Ramure*Pc/MaxiM</f>
        <v>6.2203368602656912E-2</v>
      </c>
      <c r="Q354" s="304">
        <f t="shared" si="130"/>
        <v>0.7</v>
      </c>
      <c r="R354" s="177">
        <f t="shared" si="131"/>
        <v>0.53448133714302148</v>
      </c>
      <c r="S354" s="799">
        <f t="shared" si="132"/>
        <v>1</v>
      </c>
      <c r="T354" s="176">
        <f t="shared" si="133"/>
        <v>7</v>
      </c>
      <c r="U354" s="250">
        <f t="shared" si="134"/>
        <v>1.5344813371430215</v>
      </c>
      <c r="V354" s="382">
        <f t="shared" si="135"/>
        <v>23.568659529281025</v>
      </c>
      <c r="W354" s="400">
        <f t="shared" si="136"/>
        <v>15.607116342428405</v>
      </c>
      <c r="X354" s="157">
        <f t="shared" si="137"/>
        <v>45997</v>
      </c>
      <c r="Y354" s="383">
        <f t="shared" si="138"/>
        <v>14.942227384251739</v>
      </c>
      <c r="Z354" s="383">
        <f t="shared" si="139"/>
        <v>15.682183750479254</v>
      </c>
      <c r="AA354" s="384">
        <f t="shared" si="140"/>
        <v>16.818605253564403</v>
      </c>
      <c r="AB354" s="197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6.7569307082958233E-2</v>
      </c>
      <c r="AD354" s="230">
        <f>(INDEX(Models!$BJ354:$BT354,,AH354)*(1-AF354)+INDEX(Models!$BJ354:$BT354,,AH354+1)*AF354-ERP_i)*AE354*Ramure*Pc/MaxiM</f>
        <v>6.4966792180195368E-2</v>
      </c>
      <c r="AE354" s="304">
        <f t="shared" si="142"/>
        <v>0.7</v>
      </c>
      <c r="AF354" s="177">
        <f t="shared" si="143"/>
        <v>0.59881355940285363</v>
      </c>
      <c r="AG354" s="799">
        <f t="shared" si="149"/>
        <v>1</v>
      </c>
      <c r="AH354" s="176">
        <f t="shared" si="144"/>
        <v>7</v>
      </c>
      <c r="AI354" s="224">
        <f t="shared" si="145"/>
        <v>1.5988135594028536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45998</v>
      </c>
      <c r="B355" s="409">
        <f>'2024'!Wh/'2024'!Env_an*'2025'!Env_an</f>
        <v>18.248971536633608</v>
      </c>
      <c r="C355" s="829"/>
      <c r="D355" s="391">
        <f t="shared" si="127"/>
        <v>19.153048758131856</v>
      </c>
      <c r="E355" s="383">
        <f t="shared" si="125"/>
        <v>19.696511822568908</v>
      </c>
      <c r="F355" s="383">
        <f t="shared" si="128"/>
        <v>20.587425635537222</v>
      </c>
      <c r="G355" s="110">
        <f t="shared" si="126"/>
        <v>0.76446300049363003</v>
      </c>
      <c r="H355" s="412" t="b">
        <f>Wh_hp&gt;='2024'!Maxi_hp</f>
        <v>0</v>
      </c>
      <c r="I355" s="388">
        <f>IF(H355,Wh_hp,'2024'!Maxi_hp)</f>
        <v>20.865678044403491</v>
      </c>
      <c r="J355" s="85">
        <f>IF(H355,An,'2024'!An_max)</f>
        <v>2022</v>
      </c>
      <c r="K355" s="197">
        <f t="shared" si="129"/>
        <v>45998</v>
      </c>
      <c r="L355" s="147">
        <f>IF(t&lt;Tvie,1-EXP((T0-t)*PertePVj)+'2024'!Pspv,1-EXP((T0-t)*PertePVj)+Pspv)</f>
        <v>4.7202783896971079E-2</v>
      </c>
      <c r="M355" s="832"/>
      <c r="N355" s="832"/>
      <c r="O355" s="48">
        <f>IF(t&lt;Tnet,'2024'!Resal+('2024'!Salim-'2024'!Resal)*(1-EXP(('2024'!Tnet-t)/('2024'!Tau_j))),Resal+(Salim-Resal)*(1-EXP((Tnet-t)/(Tau_j))))*Salcycl</f>
        <v>2.7591843131042949E-2</v>
      </c>
      <c r="P355" s="169">
        <f>(INDEX(Models!$BJ355:$BT355,,T355)*(1-R355)+INDEX(Models!$BJ355:$BT355,,T355+1)*R355-ERP_i)*Q355*Ramure*Pc/MaxiM</f>
        <v>6.3032308590689465E-2</v>
      </c>
      <c r="Q355" s="304">
        <f t="shared" si="130"/>
        <v>0.7</v>
      </c>
      <c r="R355" s="177">
        <f t="shared" si="131"/>
        <v>0.5344916274424496</v>
      </c>
      <c r="S355" s="799">
        <f t="shared" si="132"/>
        <v>1</v>
      </c>
      <c r="T355" s="176">
        <f t="shared" si="133"/>
        <v>7</v>
      </c>
      <c r="U355" s="250">
        <f t="shared" si="134"/>
        <v>1.5344916274424496</v>
      </c>
      <c r="V355" s="382">
        <f t="shared" si="135"/>
        <v>23.378640959095385</v>
      </c>
      <c r="W355" s="400">
        <f t="shared" si="136"/>
        <v>18.248971536633608</v>
      </c>
      <c r="X355" s="157">
        <f t="shared" si="137"/>
        <v>45998</v>
      </c>
      <c r="Y355" s="383">
        <f t="shared" si="138"/>
        <v>17.46325632392373</v>
      </c>
      <c r="Z355" s="383">
        <f t="shared" si="139"/>
        <v>18.328408216124945</v>
      </c>
      <c r="AA355" s="384">
        <f t="shared" si="140"/>
        <v>19.656943872401175</v>
      </c>
      <c r="AB355" s="197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6.7586073649094983E-2</v>
      </c>
      <c r="AD355" s="230">
        <f>(INDEX(Models!$BJ355:$BT355,,AH355)*(1-AF355)+INDEX(Models!$BJ355:$BT355,,AH355+1)*AF355-ERP_i)*AE355*Ramure*Pc/MaxiM</f>
        <v>6.583174800780188E-2</v>
      </c>
      <c r="AE355" s="304">
        <f t="shared" si="142"/>
        <v>0.7</v>
      </c>
      <c r="AF355" s="177">
        <f t="shared" si="143"/>
        <v>0.59882384970228175</v>
      </c>
      <c r="AG355" s="799">
        <f t="shared" si="149"/>
        <v>1</v>
      </c>
      <c r="AH355" s="176">
        <f t="shared" si="144"/>
        <v>7</v>
      </c>
      <c r="AI355" s="224">
        <f t="shared" si="145"/>
        <v>1.5988238497022818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45999</v>
      </c>
      <c r="B356" s="409">
        <f>'2024'!Wh/'2024'!Env_an*'2025'!Env_an</f>
        <v>4.4436432087186866</v>
      </c>
      <c r="C356" s="829"/>
      <c r="D356" s="391">
        <f t="shared" si="127"/>
        <v>4.6638763177060332</v>
      </c>
      <c r="E356" s="383">
        <f t="shared" si="125"/>
        <v>4.7965806595513847</v>
      </c>
      <c r="F356" s="383">
        <f t="shared" si="128"/>
        <v>4.7965806595513847</v>
      </c>
      <c r="G356" s="110">
        <f t="shared" si="126"/>
        <v>0.17930042841582905</v>
      </c>
      <c r="H356" s="412" t="b">
        <f>Wh_hp&gt;='2024'!Maxi_hp</f>
        <v>0</v>
      </c>
      <c r="I356" s="388">
        <f>IF(H356,Wh_hp,'2024'!Maxi_hp)</f>
        <v>18.164839905008368</v>
      </c>
      <c r="J356" s="85">
        <f>IF(H356,An,'2024'!An_max)</f>
        <v>2018</v>
      </c>
      <c r="K356" s="197">
        <f t="shared" si="129"/>
        <v>45999</v>
      </c>
      <c r="L356" s="147">
        <f>IF(t&lt;Tvie,1-EXP((T0-t)*PertePVj)+'2024'!Pspv,1-EXP((T0-t)*PertePVj)+Pspv)</f>
        <v>4.7221044038249671E-2</v>
      </c>
      <c r="M356" s="832"/>
      <c r="N356" s="832"/>
      <c r="O356" s="48">
        <f>IF(t&lt;Tnet,'2024'!Resal+('2024'!Salim-'2024'!Resal)*(1-EXP(('2024'!Tnet-t)/('2024'!Tau_j))),Resal+(Salim-Resal)*(1-EXP((Tnet-t)/(Tau_j))))*Salcycl</f>
        <v>2.7666446425976189E-2</v>
      </c>
      <c r="P356" s="169">
        <f>(INDEX(Models!$BJ356:$BT356,,T356)*(1-R356)+INDEX(Models!$BJ356:$BT356,,T356+1)*R356-ERP_i)*Q356*Ramure*Pc/MaxiM</f>
        <v>6.3790333314517736E-2</v>
      </c>
      <c r="Q356" s="304">
        <f t="shared" si="130"/>
        <v>0.7</v>
      </c>
      <c r="R356" s="177">
        <f t="shared" si="131"/>
        <v>0.53450150392191675</v>
      </c>
      <c r="S356" s="799">
        <f t="shared" si="132"/>
        <v>1</v>
      </c>
      <c r="T356" s="176">
        <f t="shared" si="133"/>
        <v>7</v>
      </c>
      <c r="U356" s="250">
        <f t="shared" si="134"/>
        <v>1.5345015039219168</v>
      </c>
      <c r="V356" s="382">
        <f t="shared" si="135"/>
        <v>23.202296637326153</v>
      </c>
      <c r="W356" s="400">
        <f t="shared" si="136"/>
        <v>4.4436432087186866</v>
      </c>
      <c r="X356" s="157">
        <f t="shared" si="137"/>
        <v>45999</v>
      </c>
      <c r="Y356" s="383">
        <f t="shared" si="138"/>
        <v>4.2611260643978826</v>
      </c>
      <c r="Z356" s="383">
        <f t="shared" si="139"/>
        <v>4.4723133710448444</v>
      </c>
      <c r="AA356" s="384">
        <f t="shared" si="140"/>
        <v>4.7965806595513847</v>
      </c>
      <c r="AB356" s="197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6.7603843554851967E-2</v>
      </c>
      <c r="AD356" s="230">
        <f>(INDEX(Models!$BJ356:$BT356,,AH356)*(1-AF356)+INDEX(Models!$BJ356:$BT356,,AH356+1)*AF356-ERP_i)*AE356*Ramure*Pc/MaxiM</f>
        <v>6.6621560738489127E-2</v>
      </c>
      <c r="AE356" s="304">
        <f t="shared" si="142"/>
        <v>0.7</v>
      </c>
      <c r="AF356" s="177">
        <f t="shared" si="143"/>
        <v>0.5988337261817489</v>
      </c>
      <c r="AG356" s="799">
        <f t="shared" si="149"/>
        <v>1</v>
      </c>
      <c r="AH356" s="176">
        <f t="shared" si="144"/>
        <v>7</v>
      </c>
      <c r="AI356" s="224">
        <f t="shared" si="145"/>
        <v>1.5988337261817489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46000</v>
      </c>
      <c r="B357" s="409">
        <f>'2024'!Wh/'2024'!Env_an*'2025'!Env_an</f>
        <v>8.975840157075254</v>
      </c>
      <c r="C357" s="829"/>
      <c r="D357" s="391">
        <f t="shared" si="127"/>
        <v>9.4208757699107668</v>
      </c>
      <c r="E357" s="383">
        <f t="shared" si="125"/>
        <v>9.6896804506995871</v>
      </c>
      <c r="F357" s="383">
        <f t="shared" si="128"/>
        <v>9.7702693796893172</v>
      </c>
      <c r="G357" s="110">
        <f t="shared" si="126"/>
        <v>0.36747318678318369</v>
      </c>
      <c r="H357" s="412" t="b">
        <f>Wh_hp&gt;='2024'!Maxi_hp</f>
        <v>0</v>
      </c>
      <c r="I357" s="388">
        <f>IF(H357,Wh_hp,'2024'!Maxi_hp)</f>
        <v>10.143572329853523</v>
      </c>
      <c r="J357" s="85">
        <f>IF(H357,An,'2024'!An_max)</f>
        <v>2022</v>
      </c>
      <c r="K357" s="197">
        <f t="shared" si="129"/>
        <v>46000</v>
      </c>
      <c r="L357" s="147">
        <f>IF(t&lt;Tvie,1-EXP((T0-t)*PertePVj)+'2024'!Pspv,1-EXP((T0-t)*PertePVj)+Pspv)</f>
        <v>4.7239303829576862E-2</v>
      </c>
      <c r="M357" s="832"/>
      <c r="N357" s="832"/>
      <c r="O357" s="48">
        <f>IF(t&lt;Tnet,'2024'!Resal+('2024'!Salim-'2024'!Resal)*(1-EXP(('2024'!Tnet-t)/('2024'!Tau_j))),Resal+(Salim-Resal)*(1-EXP((Tnet-t)/(Tau_j))))*Salcycl</f>
        <v>2.7741335966287025E-2</v>
      </c>
      <c r="P357" s="169">
        <f>(INDEX(Models!$BJ357:$BT357,,T357)*(1-R357)+INDEX(Models!$BJ357:$BT357,,T357+1)*R357-ERP_i)*Q357*Ramure*Pc/MaxiM</f>
        <v>6.4471184312982821E-2</v>
      </c>
      <c r="Q357" s="304">
        <f t="shared" si="130"/>
        <v>0.7</v>
      </c>
      <c r="R357" s="177">
        <f t="shared" si="131"/>
        <v>0.53451098320380463</v>
      </c>
      <c r="S357" s="799">
        <f t="shared" si="132"/>
        <v>1</v>
      </c>
      <c r="T357" s="176">
        <f t="shared" si="133"/>
        <v>7</v>
      </c>
      <c r="U357" s="250">
        <f t="shared" si="134"/>
        <v>1.5345109832038046</v>
      </c>
      <c r="V357" s="382">
        <f t="shared" si="135"/>
        <v>23.041126394996308</v>
      </c>
      <c r="W357" s="400">
        <f t="shared" si="136"/>
        <v>8.975840157075254</v>
      </c>
      <c r="X357" s="157">
        <f t="shared" si="137"/>
        <v>46000</v>
      </c>
      <c r="Y357" s="383">
        <f t="shared" si="138"/>
        <v>8.6044844774417353</v>
      </c>
      <c r="Z357" s="383">
        <f t="shared" si="139"/>
        <v>9.0311077188921161</v>
      </c>
      <c r="AA357" s="384">
        <f t="shared" si="140"/>
        <v>9.6861073348639799</v>
      </c>
      <c r="AB357" s="197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6.7622584938148669E-2</v>
      </c>
      <c r="AD357" s="230">
        <f>(INDEX(Models!$BJ357:$BT357,,AH357)*(1-AF357)+INDEX(Models!$BJ357:$BT357,,AH357+1)*AF357-ERP_i)*AE357*Ramure*Pc/MaxiM</f>
        <v>6.7329678804681867E-2</v>
      </c>
      <c r="AE357" s="304">
        <f t="shared" si="142"/>
        <v>0.7</v>
      </c>
      <c r="AF357" s="177">
        <f t="shared" si="143"/>
        <v>0.59884320546363679</v>
      </c>
      <c r="AG357" s="799">
        <f t="shared" si="149"/>
        <v>1</v>
      </c>
      <c r="AH357" s="176">
        <f t="shared" si="144"/>
        <v>7</v>
      </c>
      <c r="AI357" s="224">
        <f t="shared" si="145"/>
        <v>1.5988432054636368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46001</v>
      </c>
      <c r="B358" s="409">
        <f>'2024'!Wh/'2024'!Env_an*'2025'!Env_an</f>
        <v>15.005754283943409</v>
      </c>
      <c r="C358" s="829"/>
      <c r="D358" s="391">
        <f t="shared" si="127"/>
        <v>15.750063926470229</v>
      </c>
      <c r="E358" s="383">
        <f t="shared" si="125"/>
        <v>16.20071102012286</v>
      </c>
      <c r="F358" s="383">
        <f t="shared" si="128"/>
        <v>16.754157318038278</v>
      </c>
      <c r="G358" s="110">
        <f t="shared" si="126"/>
        <v>0.63365748310171954</v>
      </c>
      <c r="H358" s="412" t="b">
        <f>Wh_hp&gt;='2024'!Maxi_hp</f>
        <v>0</v>
      </c>
      <c r="I358" s="388">
        <f>IF(H358,Wh_hp,'2024'!Maxi_hp)</f>
        <v>19.483808473016875</v>
      </c>
      <c r="J358" s="85">
        <f>IF(H358,An,'2024'!An_max)</f>
        <v>2018</v>
      </c>
      <c r="K358" s="197">
        <f t="shared" si="129"/>
        <v>46001</v>
      </c>
      <c r="L358" s="147">
        <f>IF(t&lt;Tvie,1-EXP((T0-t)*PertePVj)+'2024'!Pspv,1-EXP((T0-t)*PertePVj)+Pspv)</f>
        <v>4.7257563270959313E-2</v>
      </c>
      <c r="M358" s="832"/>
      <c r="N358" s="832"/>
      <c r="O358" s="48">
        <f>IF(t&lt;Tnet,'2024'!Resal+('2024'!Salim-'2024'!Resal)*(1-EXP(('2024'!Tnet-t)/('2024'!Tau_j))),Resal+(Salim-Resal)*(1-EXP((Tnet-t)/(Tau_j))))*Salcycl</f>
        <v>2.7816500960537151E-2</v>
      </c>
      <c r="P358" s="169">
        <f>(INDEX(Models!$BJ358:$BT358,,T358)*(1-R358)+INDEX(Models!$BJ358:$BT358,,T358+1)*R358-ERP_i)*Q358*Ramure*Pc/MaxiM</f>
        <v>6.5068490060014958E-2</v>
      </c>
      <c r="Q358" s="304">
        <f t="shared" si="130"/>
        <v>0.7</v>
      </c>
      <c r="R358" s="177">
        <f t="shared" si="131"/>
        <v>0.53452008124432027</v>
      </c>
      <c r="S358" s="799">
        <f t="shared" si="132"/>
        <v>1</v>
      </c>
      <c r="T358" s="176">
        <f t="shared" si="133"/>
        <v>7</v>
      </c>
      <c r="U358" s="250">
        <f t="shared" si="134"/>
        <v>1.5345200812443203</v>
      </c>
      <c r="V358" s="382">
        <f t="shared" si="135"/>
        <v>22.896630382325423</v>
      </c>
      <c r="W358" s="400">
        <f t="shared" si="136"/>
        <v>15.005754283943409</v>
      </c>
      <c r="X358" s="157">
        <f t="shared" si="137"/>
        <v>46001</v>
      </c>
      <c r="Y358" s="383">
        <f t="shared" si="138"/>
        <v>14.36927248923215</v>
      </c>
      <c r="Z358" s="383">
        <f t="shared" si="139"/>
        <v>15.082011607003459</v>
      </c>
      <c r="AA358" s="384">
        <f t="shared" si="140"/>
        <v>16.176206857627594</v>
      </c>
      <c r="AB358" s="197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6.7642263742948405E-2</v>
      </c>
      <c r="AD358" s="230">
        <f>(INDEX(Models!$BJ358:$BT358,,AH358)*(1-AF358)+INDEX(Models!$BJ358:$BT358,,AH358+1)*AF358-ERP_i)*AE358*Ramure*Pc/MaxiM</f>
        <v>6.7949435979714395E-2</v>
      </c>
      <c r="AE358" s="304">
        <f t="shared" si="142"/>
        <v>0.7</v>
      </c>
      <c r="AF358" s="177">
        <f t="shared" si="143"/>
        <v>0.59885230350415242</v>
      </c>
      <c r="AG358" s="799">
        <f t="shared" si="149"/>
        <v>1</v>
      </c>
      <c r="AH358" s="176">
        <f t="shared" si="144"/>
        <v>7</v>
      </c>
      <c r="AI358" s="224">
        <f t="shared" si="145"/>
        <v>1.5988523035041524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46002</v>
      </c>
      <c r="B359" s="409">
        <f>'2024'!Wh/'2024'!Env_an*'2025'!Env_an</f>
        <v>14.297822242490938</v>
      </c>
      <c r="C359" s="829"/>
      <c r="D359" s="391">
        <f t="shared" si="127"/>
        <v>15.007304924227126</v>
      </c>
      <c r="E359" s="383">
        <f t="shared" si="125"/>
        <v>15.437897680664095</v>
      </c>
      <c r="F359" s="383">
        <f t="shared" si="128"/>
        <v>15.927543931019661</v>
      </c>
      <c r="G359" s="110">
        <f t="shared" si="126"/>
        <v>0.60549793796221418</v>
      </c>
      <c r="H359" s="412" t="b">
        <f>Wh_hp&gt;='2024'!Maxi_hp</f>
        <v>0</v>
      </c>
      <c r="I359" s="388">
        <f>IF(H359,Wh_hp,'2024'!Maxi_hp)</f>
        <v>16.447360617108369</v>
      </c>
      <c r="J359" s="85">
        <f>IF(H359,An,'2024'!An_max)</f>
        <v>2021</v>
      </c>
      <c r="K359" s="197">
        <f t="shared" si="129"/>
        <v>46002</v>
      </c>
      <c r="L359" s="147">
        <f>IF(t&lt;Tvie,1-EXP((T0-t)*PertePVj)+'2024'!Pspv,1-EXP((T0-t)*PertePVj)+Pspv)</f>
        <v>4.7275822362403797E-2</v>
      </c>
      <c r="M359" s="832"/>
      <c r="N359" s="832"/>
      <c r="O359" s="48">
        <f>IF(t&lt;Tnet,'2024'!Resal+('2024'!Salim-'2024'!Resal)*(1-EXP(('2024'!Tnet-t)/('2024'!Tau_j))),Resal+(Salim-Resal)*(1-EXP((Tnet-t)/(Tau_j))))*Salcycl</f>
        <v>2.7891929674873039E-2</v>
      </c>
      <c r="P359" s="169">
        <f>(INDEX(Models!$BJ359:$BT359,,T359)*(1-R359)+INDEX(Models!$BJ359:$BT359,,T359+1)*R359-ERP_i)*Q359*Ramure*Pc/MaxiM</f>
        <v>6.5592009250795294E-2</v>
      </c>
      <c r="Q359" s="304">
        <f t="shared" si="130"/>
        <v>0.7</v>
      </c>
      <c r="R359" s="177">
        <f t="shared" si="131"/>
        <v>0.53452881336007341</v>
      </c>
      <c r="S359" s="799">
        <f t="shared" si="132"/>
        <v>1</v>
      </c>
      <c r="T359" s="176">
        <f t="shared" si="133"/>
        <v>7</v>
      </c>
      <c r="U359" s="250">
        <f t="shared" si="134"/>
        <v>1.5345288133600734</v>
      </c>
      <c r="V359" s="382">
        <f t="shared" si="135"/>
        <v>22.764306381440903</v>
      </c>
      <c r="W359" s="400">
        <f t="shared" si="136"/>
        <v>14.297822242490938</v>
      </c>
      <c r="X359" s="157">
        <f t="shared" si="137"/>
        <v>46002</v>
      </c>
      <c r="Y359" s="383">
        <f t="shared" si="138"/>
        <v>13.693646341696516</v>
      </c>
      <c r="Z359" s="383">
        <f t="shared" si="139"/>
        <v>14.373148769722311</v>
      </c>
      <c r="AA359" s="384">
        <f t="shared" si="140"/>
        <v>15.4162565302017</v>
      </c>
      <c r="AB359" s="197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6.7662843987829027E-2</v>
      </c>
      <c r="AD359" s="230">
        <f>(INDEX(Models!$BJ359:$BT359,,AH359)*(1-AF359)+INDEX(Models!$BJ359:$BT359,,AH359+1)*AF359-ERP_i)*AE359*Ramure*Pc/MaxiM</f>
        <v>6.8491013461072461E-2</v>
      </c>
      <c r="AE359" s="304">
        <f t="shared" si="142"/>
        <v>0.7</v>
      </c>
      <c r="AF359" s="177">
        <f t="shared" si="143"/>
        <v>0.59886103561990556</v>
      </c>
      <c r="AG359" s="799">
        <f t="shared" si="149"/>
        <v>1</v>
      </c>
      <c r="AH359" s="176">
        <f t="shared" si="144"/>
        <v>7</v>
      </c>
      <c r="AI359" s="224">
        <f t="shared" si="145"/>
        <v>1.5988610356199056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46003</v>
      </c>
      <c r="B360" s="409">
        <f>'2024'!Wh/'2024'!Env_an*'2025'!Env_an</f>
        <v>6.5928655982206106</v>
      </c>
      <c r="C360" s="829"/>
      <c r="D360" s="391">
        <f t="shared" si="127"/>
        <v>6.9201476210622035</v>
      </c>
      <c r="E360" s="383">
        <f t="shared" si="125"/>
        <v>7.11925619862334</v>
      </c>
      <c r="F360" s="383">
        <f t="shared" si="128"/>
        <v>7.11925619862334</v>
      </c>
      <c r="G360" s="110">
        <f t="shared" si="126"/>
        <v>0.27197734469307577</v>
      </c>
      <c r="H360" s="412" t="b">
        <f>Wh_hp&gt;='2024'!Maxi_hp</f>
        <v>0</v>
      </c>
      <c r="I360" s="388">
        <f>IF(H360,Wh_hp,'2024'!Maxi_hp)</f>
        <v>25.134038937177625</v>
      </c>
      <c r="J360" s="85">
        <f>IF(H360,An,'2024'!An_max)</f>
        <v>2021</v>
      </c>
      <c r="K360" s="197">
        <f t="shared" si="129"/>
        <v>46003</v>
      </c>
      <c r="L360" s="147">
        <f>IF(t&lt;Tvie,1-EXP((T0-t)*PertePVj)+'2024'!Pspv,1-EXP((T0-t)*PertePVj)+Pspv)</f>
        <v>4.7294081103916863E-2</v>
      </c>
      <c r="M360" s="832"/>
      <c r="N360" s="832"/>
      <c r="O360" s="48">
        <f>IF(t&lt;Tnet,'2024'!Resal+('2024'!Salim-'2024'!Resal)*(1-EXP(('2024'!Tnet-t)/('2024'!Tau_j))),Resal+(Salim-Resal)*(1-EXP((Tnet-t)/(Tau_j))))*Salcycl</f>
        <v>2.7967609537586074E-2</v>
      </c>
      <c r="P360" s="169">
        <f>(INDEX(Models!$BJ360:$BT360,,T360)*(1-R360)+INDEX(Models!$BJ360:$BT360,,T360+1)*R360-ERP_i)*Q360*Ramure*Pc/MaxiM</f>
        <v>6.605316972194443E-2</v>
      </c>
      <c r="Q360" s="304">
        <f t="shared" si="130"/>
        <v>0.7</v>
      </c>
      <c r="R360" s="177">
        <f t="shared" si="131"/>
        <v>0.53453719425360524</v>
      </c>
      <c r="S360" s="799">
        <f t="shared" si="132"/>
        <v>1</v>
      </c>
      <c r="T360" s="176">
        <f t="shared" si="133"/>
        <v>7</v>
      </c>
      <c r="U360" s="250">
        <f t="shared" si="134"/>
        <v>1.5345371942536052</v>
      </c>
      <c r="V360" s="382">
        <f t="shared" si="135"/>
        <v>22.639333930022502</v>
      </c>
      <c r="W360" s="400">
        <f t="shared" si="136"/>
        <v>6.5928655982206106</v>
      </c>
      <c r="X360" s="157">
        <f t="shared" si="137"/>
        <v>46003</v>
      </c>
      <c r="Y360" s="383">
        <f t="shared" si="138"/>
        <v>6.3234849418310111</v>
      </c>
      <c r="Z360" s="383">
        <f t="shared" si="139"/>
        <v>6.6373944114445544</v>
      </c>
      <c r="AA360" s="384">
        <f t="shared" si="140"/>
        <v>7.11925619862334</v>
      </c>
      <c r="AB360" s="197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6.7684288040085402E-2</v>
      </c>
      <c r="AD360" s="230">
        <f>(INDEX(Models!$BJ360:$BT360,,AH360)*(1-AF360)+INDEX(Models!$BJ360:$BT360,,AH360+1)*AF360-ERP_i)*AE360*Ramure*Pc/MaxiM</f>
        <v>6.896633429831249E-2</v>
      </c>
      <c r="AE360" s="304">
        <f t="shared" si="142"/>
        <v>0.7</v>
      </c>
      <c r="AF360" s="177">
        <f t="shared" si="143"/>
        <v>0.59886941651343739</v>
      </c>
      <c r="AG360" s="799">
        <f t="shared" si="149"/>
        <v>1</v>
      </c>
      <c r="AH360" s="176">
        <f t="shared" si="144"/>
        <v>7</v>
      </c>
      <c r="AI360" s="224">
        <f t="shared" si="145"/>
        <v>1.5988694165134374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46004</v>
      </c>
      <c r="B361" s="409">
        <f>'2024'!Wh/'2024'!Env_an*'2025'!Env_an</f>
        <v>6.172938578455077</v>
      </c>
      <c r="C361" s="829"/>
      <c r="D361" s="391">
        <f t="shared" si="127"/>
        <v>6.4794988267048668</v>
      </c>
      <c r="E361" s="383">
        <f t="shared" ref="E361:E379" si="150">Wh_pvt/(1-Psa)</f>
        <v>6.666449587346654</v>
      </c>
      <c r="F361" s="383">
        <f t="shared" si="128"/>
        <v>6.666449587346654</v>
      </c>
      <c r="G361" s="110">
        <f t="shared" ref="G361:G379" si="151">+Wh_hp/MaxiM</f>
        <v>0.25586407814912732</v>
      </c>
      <c r="H361" s="412" t="b">
        <f>Wh_hp&gt;='2024'!Maxi_hp</f>
        <v>0</v>
      </c>
      <c r="I361" s="388">
        <f>IF(H361,Wh_hp,'2024'!Maxi_hp)</f>
        <v>25.832835378767957</v>
      </c>
      <c r="J361" s="85">
        <f>IF(H361,An,'2024'!An_max)</f>
        <v>2021</v>
      </c>
      <c r="K361" s="197">
        <f t="shared" si="129"/>
        <v>46004</v>
      </c>
      <c r="L361" s="147">
        <f>IF(t&lt;Tvie,1-EXP((T0-t)*PertePVj)+'2024'!Pspv,1-EXP((T0-t)*PertePVj)+Pspv)</f>
        <v>4.7312339495505396E-2</v>
      </c>
      <c r="M361" s="832"/>
      <c r="N361" s="832"/>
      <c r="O361" s="48">
        <f>IF(t&lt;Tnet,'2024'!Resal+('2024'!Salim-'2024'!Resal)*(1-EXP(('2024'!Tnet-t)/('2024'!Tau_j))),Resal+(Salim-Resal)*(1-EXP((Tnet-t)/(Tau_j))))*Salcycl</f>
        <v>2.804352724674191E-2</v>
      </c>
      <c r="P361" s="169">
        <f>(INDEX(Models!$BJ361:$BT361,,T361)*(1-R361)+INDEX(Models!$BJ361:$BT361,,T361+1)*R361-ERP_i)*Q361*Ramure*Pc/MaxiM</f>
        <v>6.6472720037591568E-2</v>
      </c>
      <c r="Q361" s="304">
        <f t="shared" si="130"/>
        <v>0.7</v>
      </c>
      <c r="R361" s="177">
        <f t="shared" si="131"/>
        <v>0.53454523803790588</v>
      </c>
      <c r="S361" s="799">
        <f t="shared" si="132"/>
        <v>1</v>
      </c>
      <c r="T361" s="176">
        <f t="shared" si="133"/>
        <v>7</v>
      </c>
      <c r="U361" s="250">
        <f t="shared" si="134"/>
        <v>1.5345452380379059</v>
      </c>
      <c r="V361" s="382">
        <f t="shared" si="135"/>
        <v>22.522139888513458</v>
      </c>
      <c r="W361" s="400">
        <f t="shared" si="136"/>
        <v>6.172938578455077</v>
      </c>
      <c r="X361" s="157">
        <f t="shared" si="137"/>
        <v>46004</v>
      </c>
      <c r="Y361" s="383">
        <f t="shared" si="138"/>
        <v>5.9210369216355891</v>
      </c>
      <c r="Z361" s="383">
        <f t="shared" si="139"/>
        <v>6.2150872390853804</v>
      </c>
      <c r="AA361" s="384">
        <f t="shared" si="140"/>
        <v>6.666449587346654</v>
      </c>
      <c r="AB361" s="197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6.7706556893190564E-2</v>
      </c>
      <c r="AD361" s="230">
        <f>(INDEX(Models!$BJ361:$BT361,,AH361)*(1-AF361)+INDEX(Models!$BJ361:$BT361,,AH361+1)*AF361-ERP_i)*AE361*Ramure*Pc/MaxiM</f>
        <v>6.939856492463542E-2</v>
      </c>
      <c r="AE361" s="304">
        <f t="shared" si="142"/>
        <v>0.7</v>
      </c>
      <c r="AF361" s="177">
        <f t="shared" si="143"/>
        <v>0.59887746029773803</v>
      </c>
      <c r="AG361" s="799">
        <f t="shared" si="149"/>
        <v>1</v>
      </c>
      <c r="AH361" s="176">
        <f t="shared" si="144"/>
        <v>7</v>
      </c>
      <c r="AI361" s="224">
        <f t="shared" si="145"/>
        <v>1.598877460297738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46005</v>
      </c>
      <c r="B362" s="409">
        <f>'2024'!Wh/'2024'!Env_an*'2025'!Env_an</f>
        <v>14.482616812128477</v>
      </c>
      <c r="C362" s="829"/>
      <c r="D362" s="391">
        <f t="shared" si="127"/>
        <v>15.202143340269219</v>
      </c>
      <c r="E362" s="383">
        <f t="shared" si="150"/>
        <v>15.641990946303027</v>
      </c>
      <c r="F362" s="383">
        <f t="shared" si="128"/>
        <v>16.176723403454481</v>
      </c>
      <c r="G362" s="110">
        <f t="shared" si="151"/>
        <v>0.62356820873008001</v>
      </c>
      <c r="H362" s="412" t="b">
        <f>Wh_hp&gt;='2024'!Maxi_hp</f>
        <v>0</v>
      </c>
      <c r="I362" s="388">
        <f>IF(H362,Wh_hp,'2024'!Maxi_hp)</f>
        <v>25.956270173874294</v>
      </c>
      <c r="J362" s="85">
        <f>IF(H362,An,'2024'!An_max)</f>
        <v>2021</v>
      </c>
      <c r="K362" s="197">
        <f t="shared" si="129"/>
        <v>46005</v>
      </c>
      <c r="L362" s="147">
        <f>IF(t&lt;Tvie,1-EXP((T0-t)*PertePVj)+'2024'!Pspv,1-EXP((T0-t)*PertePVj)+Pspv)</f>
        <v>4.7330597537175945E-2</v>
      </c>
      <c r="M362" s="832"/>
      <c r="N362" s="832"/>
      <c r="O362" s="48">
        <f>IF(t&lt;Tnet,'2024'!Resal+('2024'!Salim-'2024'!Resal)*(1-EXP(('2024'!Tnet-t)/('2024'!Tau_j))),Resal+(Salim-Resal)*(1-EXP((Tnet-t)/(Tau_j))))*Salcycl</f>
        <v>2.8119668879987795E-2</v>
      </c>
      <c r="P362" s="169">
        <f>(INDEX(Models!$BJ362:$BT362,,T362)*(1-R362)+INDEX(Models!$BJ362:$BT362,,T362+1)*R362-ERP_i)*Q362*Ramure*Pc/MaxiM</f>
        <v>6.6846892014406772E-2</v>
      </c>
      <c r="Q362" s="304">
        <f t="shared" si="130"/>
        <v>0.7</v>
      </c>
      <c r="R362" s="177">
        <f t="shared" si="131"/>
        <v>0.5345529582599613</v>
      </c>
      <c r="S362" s="799">
        <f t="shared" si="132"/>
        <v>1</v>
      </c>
      <c r="T362" s="176">
        <f t="shared" si="133"/>
        <v>7</v>
      </c>
      <c r="U362" s="250">
        <f t="shared" si="134"/>
        <v>1.5345529582599613</v>
      </c>
      <c r="V362" s="382">
        <f t="shared" si="135"/>
        <v>22.41374935390057</v>
      </c>
      <c r="W362" s="400">
        <f t="shared" si="136"/>
        <v>14.482616812128477</v>
      </c>
      <c r="X362" s="157">
        <f t="shared" si="137"/>
        <v>46005</v>
      </c>
      <c r="Y362" s="383">
        <f t="shared" si="138"/>
        <v>13.87149807832521</v>
      </c>
      <c r="Z362" s="383">
        <f t="shared" si="139"/>
        <v>14.560662956598437</v>
      </c>
      <c r="AA362" s="384">
        <f t="shared" si="140"/>
        <v>15.618497723129016</v>
      </c>
      <c r="AB362" s="197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6.7729610445443802E-2</v>
      </c>
      <c r="AD362" s="230">
        <f>(INDEX(Models!$BJ362:$BT362,,AH362)*(1-AF362)+INDEX(Models!$BJ362:$BT362,,AH362+1)*AF362-ERP_i)*AE362*Ramure*Pc/MaxiM</f>
        <v>6.978377929622509E-2</v>
      </c>
      <c r="AE362" s="304">
        <f t="shared" si="142"/>
        <v>0.7</v>
      </c>
      <c r="AF362" s="177">
        <f t="shared" si="143"/>
        <v>0.59888518051979345</v>
      </c>
      <c r="AG362" s="799">
        <f t="shared" si="149"/>
        <v>1</v>
      </c>
      <c r="AH362" s="176">
        <f t="shared" si="144"/>
        <v>7</v>
      </c>
      <c r="AI362" s="224">
        <f t="shared" si="145"/>
        <v>1.5988851805197934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46006</v>
      </c>
      <c r="B363" s="409">
        <f>'2024'!Wh/'2024'!Env_an*'2025'!Env_an</f>
        <v>6.8896593700689079</v>
      </c>
      <c r="C363" s="829"/>
      <c r="D363" s="391">
        <f t="shared" si="127"/>
        <v>7.2320905799410857</v>
      </c>
      <c r="E363" s="383">
        <f t="shared" si="150"/>
        <v>7.4419231952343354</v>
      </c>
      <c r="F363" s="383">
        <f t="shared" si="128"/>
        <v>7.4481720827753986</v>
      </c>
      <c r="G363" s="110">
        <f t="shared" si="151"/>
        <v>0.28824605366405942</v>
      </c>
      <c r="H363" s="412" t="b">
        <f>Wh_hp&gt;='2024'!Maxi_hp</f>
        <v>0</v>
      </c>
      <c r="I363" s="388">
        <f>IF(H363,Wh_hp,'2024'!Maxi_hp)</f>
        <v>25.992364486751338</v>
      </c>
      <c r="J363" s="85">
        <f>IF(H363,An,'2024'!An_max)</f>
        <v>2018</v>
      </c>
      <c r="K363" s="197">
        <f t="shared" si="129"/>
        <v>46006</v>
      </c>
      <c r="L363" s="147">
        <f>IF(t&lt;Tvie,1-EXP((T0-t)*PertePVj)+'2024'!Pspv,1-EXP((T0-t)*PertePVj)+Pspv)</f>
        <v>4.7348855228935394E-2</v>
      </c>
      <c r="M363" s="832"/>
      <c r="N363" s="832"/>
      <c r="O363" s="48">
        <f>IF(t&lt;Tnet,'2024'!Resal+('2024'!Salim-'2024'!Resal)*(1-EXP(('2024'!Tnet-t)/('2024'!Tau_j))),Resal+(Salim-Resal)*(1-EXP((Tnet-t)/(Tau_j))))*Salcycl</f>
        <v>2.819602000563811E-2</v>
      </c>
      <c r="P363" s="169">
        <f>(INDEX(Models!$BJ363:$BT363,,T363)*(1-R363)+INDEX(Models!$BJ363:$BT363,,T363+1)*R363-ERP_i)*Q363*Ramure*Pc/MaxiM</f>
        <v>6.7171855825528468E-2</v>
      </c>
      <c r="Q363" s="304">
        <f t="shared" si="130"/>
        <v>0.7</v>
      </c>
      <c r="R363" s="177">
        <f t="shared" si="131"/>
        <v>0.53456036792336659</v>
      </c>
      <c r="S363" s="799">
        <f t="shared" si="132"/>
        <v>1</v>
      </c>
      <c r="T363" s="176">
        <f t="shared" si="133"/>
        <v>7</v>
      </c>
      <c r="U363" s="250">
        <f t="shared" si="134"/>
        <v>1.5345603679233666</v>
      </c>
      <c r="V363" s="382">
        <f t="shared" si="135"/>
        <v>22.315187463108582</v>
      </c>
      <c r="W363" s="400">
        <f t="shared" si="136"/>
        <v>6.8896593700689079</v>
      </c>
      <c r="X363" s="157">
        <f t="shared" si="137"/>
        <v>46006</v>
      </c>
      <c r="Y363" s="383">
        <f t="shared" si="138"/>
        <v>6.6089716219536836</v>
      </c>
      <c r="Z363" s="383">
        <f t="shared" si="139"/>
        <v>6.9374520339677037</v>
      </c>
      <c r="AA363" s="384">
        <f t="shared" si="140"/>
        <v>7.4416491214301921</v>
      </c>
      <c r="AB363" s="197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6.7753407777655067E-2</v>
      </c>
      <c r="AD363" s="230">
        <f>(INDEX(Models!$BJ363:$BT363,,AH363)*(1-AF363)+INDEX(Models!$BJ363:$BT363,,AH363+1)*AF363-ERP_i)*AE363*Ramure*Pc/MaxiM</f>
        <v>7.0117987586818961E-2</v>
      </c>
      <c r="AE363" s="304">
        <f t="shared" si="142"/>
        <v>0.7</v>
      </c>
      <c r="AF363" s="177">
        <f t="shared" si="143"/>
        <v>0.59889259018319874</v>
      </c>
      <c r="AG363" s="799">
        <f t="shared" si="149"/>
        <v>1</v>
      </c>
      <c r="AH363" s="176">
        <f t="shared" si="144"/>
        <v>7</v>
      </c>
      <c r="AI363" s="224">
        <f t="shared" si="145"/>
        <v>1.5988925901831987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46007</v>
      </c>
      <c r="B364" s="409">
        <f>'2024'!Wh/'2024'!Env_an*'2025'!Env_an</f>
        <v>4.9393306475276502</v>
      </c>
      <c r="C364" s="829"/>
      <c r="D364" s="391">
        <f t="shared" si="127"/>
        <v>5.1849256021981418</v>
      </c>
      <c r="E364" s="383">
        <f t="shared" si="150"/>
        <v>5.3357818454878627</v>
      </c>
      <c r="F364" s="383">
        <f t="shared" si="128"/>
        <v>5.3357818454878627</v>
      </c>
      <c r="G364" s="110">
        <f t="shared" si="151"/>
        <v>0.20723013954853345</v>
      </c>
      <c r="H364" s="412" t="b">
        <f>Wh_hp&gt;='2024'!Maxi_hp</f>
        <v>0</v>
      </c>
      <c r="I364" s="388">
        <f>IF(H364,Wh_hp,'2024'!Maxi_hp)</f>
        <v>25.444176400080966</v>
      </c>
      <c r="J364" s="85">
        <f>IF(H364,An,'2024'!An_max)</f>
        <v>2021</v>
      </c>
      <c r="K364" s="197">
        <f t="shared" si="129"/>
        <v>46007</v>
      </c>
      <c r="L364" s="147">
        <f>IF(t&lt;Tvie,1-EXP((T0-t)*PertePVj)+'2024'!Pspv,1-EXP((T0-t)*PertePVj)+Pspv)</f>
        <v>4.7367112570790182E-2</v>
      </c>
      <c r="M364" s="832"/>
      <c r="N364" s="832"/>
      <c r="O364" s="48">
        <f>IF(t&lt;Tnet,'2024'!Resal+('2024'!Salim-'2024'!Resal)*(1-EXP(('2024'!Tnet-t)/('2024'!Tau_j))),Resal+(Salim-Resal)*(1-EXP((Tnet-t)/(Tau_j))))*Salcycl</f>
        <v>2.8272565794137765E-2</v>
      </c>
      <c r="P364" s="169">
        <f>(INDEX(Models!$BJ364:$BT364,,T364)*(1-R364)+INDEX(Models!$BJ364:$BT364,,T364+1)*R364-ERP_i)*Q364*Ramure*Pc/MaxiM</f>
        <v>6.7443754742237613E-2</v>
      </c>
      <c r="Q364" s="304">
        <f t="shared" si="130"/>
        <v>0.7</v>
      </c>
      <c r="R364" s="177">
        <f t="shared" si="131"/>
        <v>0.5345674795100428</v>
      </c>
      <c r="S364" s="799">
        <f t="shared" si="132"/>
        <v>1</v>
      </c>
      <c r="T364" s="176">
        <f t="shared" si="133"/>
        <v>7</v>
      </c>
      <c r="U364" s="250">
        <f t="shared" si="134"/>
        <v>1.5345674795100428</v>
      </c>
      <c r="V364" s="382">
        <f t="shared" si="135"/>
        <v>22.227479326993368</v>
      </c>
      <c r="W364" s="400">
        <f t="shared" si="136"/>
        <v>4.9393306475276502</v>
      </c>
      <c r="X364" s="157">
        <f t="shared" si="137"/>
        <v>46007</v>
      </c>
      <c r="Y364" s="383">
        <f t="shared" si="138"/>
        <v>4.738523365770253</v>
      </c>
      <c r="Z364" s="383">
        <f t="shared" si="139"/>
        <v>4.974133717509698</v>
      </c>
      <c r="AA364" s="384">
        <f t="shared" si="140"/>
        <v>5.3357818454878627</v>
      </c>
      <c r="AB364" s="197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6.777790742775365E-2</v>
      </c>
      <c r="AD364" s="230">
        <f>(INDEX(Models!$BJ364:$BT364,,AH364)*(1-AF364)+INDEX(Models!$BJ364:$BT364,,AH364+1)*AF364-ERP_i)*AE364*Ramure*Pc/MaxiM</f>
        <v>7.0397172280039833E-2</v>
      </c>
      <c r="AE364" s="304">
        <f t="shared" si="142"/>
        <v>0.7</v>
      </c>
      <c r="AF364" s="177">
        <f t="shared" si="143"/>
        <v>0.59889970176987495</v>
      </c>
      <c r="AG364" s="799">
        <f t="shared" si="149"/>
        <v>1</v>
      </c>
      <c r="AH364" s="176">
        <f t="shared" si="144"/>
        <v>7</v>
      </c>
      <c r="AI364" s="224">
        <f t="shared" si="145"/>
        <v>1.5988997017698749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46008</v>
      </c>
      <c r="B365" s="409">
        <f>'2024'!Wh/'2024'!Env_an*'2025'!Env_an</f>
        <v>2.752804569978148</v>
      </c>
      <c r="C365" s="829"/>
      <c r="D365" s="391">
        <f t="shared" si="127"/>
        <v>2.8897357672478781</v>
      </c>
      <c r="E365" s="383">
        <f t="shared" si="150"/>
        <v>2.9740479174925021</v>
      </c>
      <c r="F365" s="383">
        <f t="shared" si="128"/>
        <v>2.9740479174925021</v>
      </c>
      <c r="G365" s="110">
        <f t="shared" si="151"/>
        <v>0.11586284852899757</v>
      </c>
      <c r="H365" s="412" t="b">
        <f>Wh_hp&gt;='2024'!Maxi_hp</f>
        <v>0</v>
      </c>
      <c r="I365" s="388">
        <f>IF(H365,Wh_hp,'2024'!Maxi_hp)</f>
        <v>25.822433356414916</v>
      </c>
      <c r="J365" s="85">
        <f>IF(H365,An,'2024'!An_max)</f>
        <v>2021</v>
      </c>
      <c r="K365" s="197">
        <f t="shared" si="129"/>
        <v>46008</v>
      </c>
      <c r="L365" s="147">
        <f>IF(t&lt;Tvie,1-EXP((T0-t)*PertePVj)+'2024'!Pspv,1-EXP((T0-t)*PertePVj)+Pspv)</f>
        <v>4.7385369562747304E-2</v>
      </c>
      <c r="M365" s="832"/>
      <c r="N365" s="832"/>
      <c r="O365" s="48">
        <f>IF(t&lt;Tnet,'2024'!Resal+('2024'!Salim-'2024'!Resal)*(1-EXP(('2024'!Tnet-t)/('2024'!Tau_j))),Resal+(Salim-Resal)*(1-EXP((Tnet-t)/(Tau_j))))*Salcycl</f>
        <v>2.8349291129011113E-2</v>
      </c>
      <c r="P365" s="169">
        <f>(INDEX(Models!$BJ365:$BT365,,T365)*(1-R365)+INDEX(Models!$BJ365:$BT365,,T365+1)*R365-ERP_i)*Q365*Ramure*Pc/MaxiM</f>
        <v>6.7658744079218375E-2</v>
      </c>
      <c r="Q365" s="304">
        <f t="shared" si="130"/>
        <v>0.7</v>
      </c>
      <c r="R365" s="177">
        <f t="shared" si="131"/>
        <v>0.53457430500109271</v>
      </c>
      <c r="S365" s="799">
        <f t="shared" si="132"/>
        <v>1</v>
      </c>
      <c r="T365" s="176">
        <f t="shared" si="133"/>
        <v>7</v>
      </c>
      <c r="U365" s="250">
        <f t="shared" si="134"/>
        <v>1.5345743050010927</v>
      </c>
      <c r="V365" s="382">
        <f t="shared" si="135"/>
        <v>22.151650012605636</v>
      </c>
      <c r="W365" s="400">
        <f t="shared" si="136"/>
        <v>2.752804569978148</v>
      </c>
      <c r="X365" s="157">
        <f t="shared" si="137"/>
        <v>46008</v>
      </c>
      <c r="Y365" s="383">
        <f t="shared" si="138"/>
        <v>2.6410272251498439</v>
      </c>
      <c r="Z365" s="383">
        <f t="shared" si="139"/>
        <v>2.7723983453178809</v>
      </c>
      <c r="AA365" s="384">
        <f t="shared" si="140"/>
        <v>2.9740479174925021</v>
      </c>
      <c r="AB365" s="197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6.7803067660267377E-2</v>
      </c>
      <c r="AD365" s="230">
        <f>(INDEX(Models!$BJ365:$BT365,,AH365)*(1-AF365)+INDEX(Models!$BJ365:$BT365,,AH365+1)*AF365-ERP_i)*AE365*Ramure*Pc/MaxiM</f>
        <v>7.061732863517016E-2</v>
      </c>
      <c r="AE365" s="304">
        <f t="shared" si="142"/>
        <v>0.7</v>
      </c>
      <c r="AF365" s="177">
        <f t="shared" si="143"/>
        <v>0.59890652726092486</v>
      </c>
      <c r="AG365" s="799">
        <f t="shared" si="149"/>
        <v>1</v>
      </c>
      <c r="AH365" s="176">
        <f t="shared" si="144"/>
        <v>7</v>
      </c>
      <c r="AI365" s="224">
        <f t="shared" si="145"/>
        <v>1.5989065272609249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46009</v>
      </c>
      <c r="B366" s="409">
        <f>'2024'!Wh/'2024'!Env_an*'2025'!Env_an</f>
        <v>18.609778617880874</v>
      </c>
      <c r="C366" s="829"/>
      <c r="D366" s="391">
        <f t="shared" si="127"/>
        <v>19.535848686614962</v>
      </c>
      <c r="E366" s="383">
        <f t="shared" si="150"/>
        <v>20.107426012179193</v>
      </c>
      <c r="F366" s="383">
        <f t="shared" si="128"/>
        <v>21.222771175627638</v>
      </c>
      <c r="G366" s="110">
        <f t="shared" si="151"/>
        <v>0.82893257560911182</v>
      </c>
      <c r="H366" s="412" t="b">
        <f>Wh_hp&gt;='2024'!Maxi_hp</f>
        <v>0</v>
      </c>
      <c r="I366" s="388">
        <f>IF(H366,Wh_hp,'2024'!Maxi_hp)</f>
        <v>24.301759677464336</v>
      </c>
      <c r="J366" s="85">
        <f>IF(H366,An,'2024'!An_max)</f>
        <v>2021</v>
      </c>
      <c r="K366" s="197">
        <f t="shared" si="129"/>
        <v>46009</v>
      </c>
      <c r="L366" s="147">
        <f>IF(t&lt;Tvie,1-EXP((T0-t)*PertePVj)+'2024'!Pspv,1-EXP((T0-t)*PertePVj)+Pspv)</f>
        <v>4.7403626204813309E-2</v>
      </c>
      <c r="M366" s="832"/>
      <c r="N366" s="832"/>
      <c r="O366" s="48">
        <f>IF(t&lt;Tnet,'2024'!Resal+('2024'!Salim-'2024'!Resal)*(1-EXP(('2024'!Tnet-t)/('2024'!Tau_j))),Resal+(Salim-Resal)*(1-EXP((Tnet-t)/(Tau_j))))*Salcycl</f>
        <v>2.8426180716419166E-2</v>
      </c>
      <c r="P366" s="169">
        <f>(INDEX(Models!$BJ366:$BT366,,T366)*(1-R366)+INDEX(Models!$BJ366:$BT366,,T366+1)*R366-ERP_i)*Q366*Ramure*Pc/MaxiM</f>
        <v>6.7811812803082322E-2</v>
      </c>
      <c r="Q366" s="304">
        <f t="shared" si="130"/>
        <v>0.7</v>
      </c>
      <c r="R366" s="177">
        <f t="shared" si="131"/>
        <v>0.53458085589682813</v>
      </c>
      <c r="S366" s="799">
        <f t="shared" si="132"/>
        <v>1</v>
      </c>
      <c r="T366" s="176">
        <f t="shared" si="133"/>
        <v>7</v>
      </c>
      <c r="U366" s="250">
        <f t="shared" si="134"/>
        <v>1.5345808558968281</v>
      </c>
      <c r="V366" s="382">
        <f t="shared" si="135"/>
        <v>22.088753422730878</v>
      </c>
      <c r="W366" s="400">
        <f t="shared" si="136"/>
        <v>18.609778617880874</v>
      </c>
      <c r="X366" s="157">
        <f t="shared" si="137"/>
        <v>46009</v>
      </c>
      <c r="Y366" s="383">
        <f t="shared" si="138"/>
        <v>17.811791170758688</v>
      </c>
      <c r="Z366" s="383">
        <f t="shared" si="139"/>
        <v>18.698151347979326</v>
      </c>
      <c r="AA366" s="384">
        <f t="shared" si="140"/>
        <v>20.058710551556025</v>
      </c>
      <c r="AB366" s="197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6.7828846728692452E-2</v>
      </c>
      <c r="AD366" s="230">
        <f>(INDEX(Models!$BJ366:$BT366,,AH366)*(1-AF366)+INDEX(Models!$BJ366:$BT366,,AH366+1)*AF366-ERP_i)*AE366*Ramure*Pc/MaxiM</f>
        <v>7.0773661569414281E-2</v>
      </c>
      <c r="AE366" s="304">
        <f t="shared" si="142"/>
        <v>0.7</v>
      </c>
      <c r="AF366" s="177">
        <f t="shared" si="143"/>
        <v>0.59891307815666028</v>
      </c>
      <c r="AG366" s="799">
        <f t="shared" si="149"/>
        <v>1</v>
      </c>
      <c r="AH366" s="176">
        <f t="shared" si="144"/>
        <v>7</v>
      </c>
      <c r="AI366" s="224">
        <f t="shared" si="145"/>
        <v>1.5989130781566603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46010</v>
      </c>
      <c r="B367" s="409">
        <f>'2024'!Wh/'2024'!Env_an*'2025'!Env_an</f>
        <v>16.637549223884424</v>
      </c>
      <c r="C367" s="829"/>
      <c r="D367" s="391">
        <f t="shared" si="127"/>
        <v>17.465810853913446</v>
      </c>
      <c r="E367" s="383">
        <f t="shared" si="150"/>
        <v>17.978248820748025</v>
      </c>
      <c r="F367" s="383">
        <f t="shared" si="128"/>
        <v>18.808564770838586</v>
      </c>
      <c r="G367" s="110">
        <f t="shared" si="151"/>
        <v>0.73612665088131213</v>
      </c>
      <c r="H367" s="412" t="b">
        <f>Wh_hp&gt;='2024'!Maxi_hp</f>
        <v>0</v>
      </c>
      <c r="I367" s="388">
        <f>IF(H367,Wh_hp,'2024'!Maxi_hp)</f>
        <v>25.50206749437104</v>
      </c>
      <c r="J367" s="85">
        <f>IF(H367,An,'2024'!An_max)</f>
        <v>2021</v>
      </c>
      <c r="K367" s="197">
        <f t="shared" si="129"/>
        <v>46010</v>
      </c>
      <c r="L367" s="147">
        <f>IF(t&lt;Tvie,1-EXP((T0-t)*PertePVj)+'2024'!Pspv,1-EXP((T0-t)*PertePVj)+Pspv)</f>
        <v>4.7421882496994971E-2</v>
      </c>
      <c r="M367" s="832"/>
      <c r="N367" s="832"/>
      <c r="O367" s="48">
        <f>IF(t&lt;Tnet,'2024'!Resal+('2024'!Salim-'2024'!Resal)*(1-EXP(('2024'!Tnet-t)/('2024'!Tau_j))),Resal+(Salim-Resal)*(1-EXP((Tnet-t)/(Tau_j))))*Salcycl</f>
        <v>2.8503219192471875E-2</v>
      </c>
      <c r="P367" s="169">
        <f>(INDEX(Models!$BJ367:$BT367,,T367)*(1-R367)+INDEX(Models!$BJ367:$BT367,,T367+1)*R367-ERP_i)*Q367*Ramure*Pc/MaxiM</f>
        <v>6.79296834036799E-2</v>
      </c>
      <c r="Q367" s="304">
        <f t="shared" si="130"/>
        <v>0.7</v>
      </c>
      <c r="R367" s="177">
        <f t="shared" si="131"/>
        <v>0.53458714323600121</v>
      </c>
      <c r="S367" s="799">
        <f t="shared" si="132"/>
        <v>1</v>
      </c>
      <c r="T367" s="176">
        <f t="shared" si="133"/>
        <v>7</v>
      </c>
      <c r="U367" s="250">
        <f t="shared" si="134"/>
        <v>1.5345871432360012</v>
      </c>
      <c r="V367" s="382">
        <f t="shared" si="135"/>
        <v>22.039095135791143</v>
      </c>
      <c r="W367" s="400">
        <f t="shared" si="136"/>
        <v>16.637549223884424</v>
      </c>
      <c r="X367" s="157">
        <f t="shared" si="137"/>
        <v>46010</v>
      </c>
      <c r="Y367" s="383">
        <f t="shared" si="138"/>
        <v>15.93144532070413</v>
      </c>
      <c r="Z367" s="383">
        <f t="shared" si="139"/>
        <v>16.724555212821034</v>
      </c>
      <c r="AA367" s="384">
        <f t="shared" si="140"/>
        <v>17.942014233152619</v>
      </c>
      <c r="AB367" s="197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6.7855203128866518E-2</v>
      </c>
      <c r="AD367" s="230">
        <f>(INDEX(Models!$BJ367:$BT367,,AH367)*(1-AF367)+INDEX(Models!$BJ367:$BT367,,AH367+1)*AF367-ERP_i)*AE367*Ramure*Pc/MaxiM</f>
        <v>7.0894102024507674E-2</v>
      </c>
      <c r="AE367" s="304">
        <f t="shared" si="142"/>
        <v>0.7</v>
      </c>
      <c r="AF367" s="177">
        <f t="shared" si="143"/>
        <v>0.59891936549583336</v>
      </c>
      <c r="AG367" s="799">
        <f t="shared" si="149"/>
        <v>1</v>
      </c>
      <c r="AH367" s="176">
        <f t="shared" si="144"/>
        <v>7</v>
      </c>
      <c r="AI367" s="224">
        <f t="shared" si="145"/>
        <v>1.5989193654958334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46011</v>
      </c>
      <c r="B368" s="409">
        <f>'2024'!Wh/'2024'!Env_an*'2025'!Env_an</f>
        <v>3.7256176661115163</v>
      </c>
      <c r="C368" s="829"/>
      <c r="D368" s="391">
        <f t="shared" si="127"/>
        <v>3.9111638191508078</v>
      </c>
      <c r="E368" s="383">
        <f t="shared" si="150"/>
        <v>4.0262351962329657</v>
      </c>
      <c r="F368" s="383">
        <f t="shared" si="128"/>
        <v>4.0262351962329657</v>
      </c>
      <c r="G368" s="110">
        <f t="shared" si="151"/>
        <v>0.15780265731963747</v>
      </c>
      <c r="H368" s="412" t="b">
        <f>Wh_hp&gt;='2024'!Maxi_hp</f>
        <v>0</v>
      </c>
      <c r="I368" s="388">
        <f>IF(H368,Wh_hp,'2024'!Maxi_hp)</f>
        <v>25.974540677970943</v>
      </c>
      <c r="J368" s="85">
        <f>IF(H368,An,'2024'!An_max)</f>
        <v>2021</v>
      </c>
      <c r="K368" s="197">
        <f t="shared" si="129"/>
        <v>46011</v>
      </c>
      <c r="L368" s="147">
        <f>IF(t&lt;Tvie,1-EXP((T0-t)*PertePVj)+'2024'!Pspv,1-EXP((T0-t)*PertePVj)+Pspv)</f>
        <v>4.7440138439298951E-2</v>
      </c>
      <c r="M368" s="832"/>
      <c r="N368" s="832"/>
      <c r="O368" s="48">
        <f>IF(t&lt;Tnet,'2024'!Resal+('2024'!Salim-'2024'!Resal)*(1-EXP(('2024'!Tnet-t)/('2024'!Tau_j))),Resal+(Salim-Resal)*(1-EXP((Tnet-t)/(Tau_j))))*Salcycl</f>
        <v>2.8580391227472472E-2</v>
      </c>
      <c r="P368" s="169">
        <f>(INDEX(Models!$BJ368:$BT368,,T368)*(1-R368)+INDEX(Models!$BJ368:$BT368,,T368+1)*R368-ERP_i)*Q368*Ramure*Pc/MaxiM</f>
        <v>6.8008918468768248E-2</v>
      </c>
      <c r="Q368" s="304">
        <f t="shared" si="130"/>
        <v>0.7</v>
      </c>
      <c r="R368" s="177">
        <f t="shared" si="131"/>
        <v>0.53459317761427183</v>
      </c>
      <c r="S368" s="799">
        <f t="shared" si="132"/>
        <v>1</v>
      </c>
      <c r="T368" s="176">
        <f t="shared" si="133"/>
        <v>7</v>
      </c>
      <c r="U368" s="250">
        <f t="shared" si="134"/>
        <v>1.5345931776142718</v>
      </c>
      <c r="V368" s="382">
        <f t="shared" si="135"/>
        <v>22.00370067899382</v>
      </c>
      <c r="W368" s="400">
        <f t="shared" si="136"/>
        <v>3.7256176661115163</v>
      </c>
      <c r="X368" s="157">
        <f t="shared" si="137"/>
        <v>46011</v>
      </c>
      <c r="Y368" s="383">
        <f t="shared" si="138"/>
        <v>3.5748865879077609</v>
      </c>
      <c r="Z368" s="383">
        <f t="shared" si="139"/>
        <v>3.7529259127616039</v>
      </c>
      <c r="AA368" s="384">
        <f t="shared" si="140"/>
        <v>4.0262351962329657</v>
      </c>
      <c r="AB368" s="197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6.7882095841563364E-2</v>
      </c>
      <c r="AD368" s="230">
        <f>(INDEX(Models!$BJ368:$BT368,,AH368)*(1-AF368)+INDEX(Models!$BJ368:$BT368,,AH368+1)*AF368-ERP_i)*AE368*Ramure*Pc/MaxiM</f>
        <v>7.0975070534521831E-2</v>
      </c>
      <c r="AE368" s="304">
        <f t="shared" si="142"/>
        <v>0.7</v>
      </c>
      <c r="AF368" s="177">
        <f t="shared" si="143"/>
        <v>0.59892539987410398</v>
      </c>
      <c r="AG368" s="799">
        <f t="shared" si="149"/>
        <v>1</v>
      </c>
      <c r="AH368" s="176">
        <f t="shared" si="144"/>
        <v>7</v>
      </c>
      <c r="AI368" s="224">
        <f t="shared" si="145"/>
        <v>1.598925399874104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46012</v>
      </c>
      <c r="B369" s="409">
        <f>'2024'!Wh/'2024'!Env_an*'2025'!Env_an</f>
        <v>18.988279733819216</v>
      </c>
      <c r="C369" s="829"/>
      <c r="D369" s="391">
        <f t="shared" si="127"/>
        <v>19.934331072622744</v>
      </c>
      <c r="E369" s="383">
        <f t="shared" si="150"/>
        <v>20.522457114808528</v>
      </c>
      <c r="F369" s="383">
        <f t="shared" si="128"/>
        <v>21.712319504447354</v>
      </c>
      <c r="G369" s="110">
        <f t="shared" si="151"/>
        <v>0.85164413584532284</v>
      </c>
      <c r="H369" s="412" t="b">
        <f>Wh_hp&gt;='2024'!Maxi_hp</f>
        <v>0</v>
      </c>
      <c r="I369" s="388">
        <f>IF(H369,Wh_hp,'2024'!Maxi_hp)</f>
        <v>22.295003218801163</v>
      </c>
      <c r="J369" s="85">
        <f>IF(H369,An,'2024'!An_max)</f>
        <v>2018</v>
      </c>
      <c r="K369" s="197">
        <f t="shared" si="129"/>
        <v>46012</v>
      </c>
      <c r="L369" s="147">
        <f>IF(t&lt;Tvie,1-EXP((T0-t)*PertePVj)+'2024'!Pspv,1-EXP((T0-t)*PertePVj)+Pspv)</f>
        <v>4.745839403173191E-2</v>
      </c>
      <c r="M369" s="832"/>
      <c r="N369" s="832"/>
      <c r="O369" s="48">
        <f>IF(t&lt;Tnet,'2024'!Resal+('2024'!Salim-'2024'!Resal)*(1-EXP(('2024'!Tnet-t)/('2024'!Tau_j))),Resal+(Salim-Resal)*(1-EXP((Tnet-t)/(Tau_j))))*Salcycl</f>
        <v>2.8657681626309994E-2</v>
      </c>
      <c r="P369" s="169">
        <f>(INDEX(Models!$BJ369:$BT369,,T369)*(1-R369)+INDEX(Models!$BJ369:$BT369,,T369+1)*R369-ERP_i)*Q369*Ramure*Pc/MaxiM</f>
        <v>6.8046183444714373E-2</v>
      </c>
      <c r="Q369" s="304">
        <f t="shared" si="130"/>
        <v>0.7</v>
      </c>
      <c r="R369" s="177">
        <f t="shared" si="131"/>
        <v>0.53459896920194128</v>
      </c>
      <c r="S369" s="799">
        <f t="shared" si="132"/>
        <v>1</v>
      </c>
      <c r="T369" s="176">
        <f t="shared" si="133"/>
        <v>7</v>
      </c>
      <c r="U369" s="250">
        <f t="shared" si="134"/>
        <v>1.5345989692019413</v>
      </c>
      <c r="V369" s="382">
        <f t="shared" si="135"/>
        <v>21.983595089718907</v>
      </c>
      <c r="W369" s="400">
        <f t="shared" si="136"/>
        <v>18.988279733819216</v>
      </c>
      <c r="X369" s="157">
        <f t="shared" si="137"/>
        <v>46012</v>
      </c>
      <c r="Y369" s="383">
        <f t="shared" si="138"/>
        <v>18.174904463098173</v>
      </c>
      <c r="Z369" s="383">
        <f t="shared" si="139"/>
        <v>19.080431079567596</v>
      </c>
      <c r="AA369" s="384">
        <f t="shared" si="140"/>
        <v>20.470577442379408</v>
      </c>
      <c r="AB369" s="197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6.7909484562650863E-2</v>
      </c>
      <c r="AD369" s="230">
        <f>(INDEX(Models!$BJ369:$BT369,,AH369)*(1-AF369)+INDEX(Models!$BJ369:$BT369,,AH369+1)*AF369-ERP_i)*AE369*Ramure*Pc/MaxiM</f>
        <v>7.1013092675482836E-2</v>
      </c>
      <c r="AE369" s="304">
        <f t="shared" si="142"/>
        <v>0.7</v>
      </c>
      <c r="AF369" s="177">
        <f t="shared" si="143"/>
        <v>0.59893119146177343</v>
      </c>
      <c r="AG369" s="799">
        <f t="shared" si="149"/>
        <v>1</v>
      </c>
      <c r="AH369" s="176">
        <f t="shared" si="144"/>
        <v>7</v>
      </c>
      <c r="AI369" s="224">
        <f t="shared" si="145"/>
        <v>1.5989311914617734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46013</v>
      </c>
      <c r="B370" s="409">
        <f>'2024'!Wh/'2024'!Env_an*'2025'!Env_an</f>
        <v>18.567129767760601</v>
      </c>
      <c r="C370" s="829"/>
      <c r="D370" s="391">
        <f t="shared" si="127"/>
        <v>19.492571760697366</v>
      </c>
      <c r="E370" s="383">
        <f t="shared" si="150"/>
        <v>20.069263562886256</v>
      </c>
      <c r="F370" s="383">
        <f t="shared" si="128"/>
        <v>21.191278206319904</v>
      </c>
      <c r="G370" s="110">
        <f t="shared" si="151"/>
        <v>0.83127509088201512</v>
      </c>
      <c r="H370" s="412" t="b">
        <f>Wh_hp&gt;='2024'!Maxi_hp</f>
        <v>0</v>
      </c>
      <c r="I370" s="388">
        <f>IF(H370,Wh_hp,'2024'!Maxi_hp)</f>
        <v>25.041210642089073</v>
      </c>
      <c r="J370" s="85">
        <f>IF(H370,An,'2024'!An_max)</f>
        <v>2021</v>
      </c>
      <c r="K370" s="197">
        <f t="shared" si="129"/>
        <v>46013</v>
      </c>
      <c r="L370" s="147">
        <f>IF(t&lt;Tvie,1-EXP((T0-t)*PertePVj)+'2024'!Pspv,1-EXP((T0-t)*PertePVj)+Pspv)</f>
        <v>4.747664927430062E-2</v>
      </c>
      <c r="M370" s="832"/>
      <c r="N370" s="832"/>
      <c r="O370" s="48">
        <f>IF(t&lt;Tnet,'2024'!Resal+('2024'!Salim-'2024'!Resal)*(1-EXP(('2024'!Tnet-t)/('2024'!Tau_j))),Resal+(Salim-Resal)*(1-EXP((Tnet-t)/(Tau_j))))*Salcycl</f>
        <v>2.8735075424259977E-2</v>
      </c>
      <c r="P370" s="169">
        <f>(INDEX(Models!$BJ370:$BT370,,T370)*(1-R370)+INDEX(Models!$BJ370:$BT370,,T370+1)*R370-ERP_i)*Q370*Ramure*Pc/MaxiM</f>
        <v>6.8038286972267353E-2</v>
      </c>
      <c r="Q370" s="304">
        <f t="shared" si="130"/>
        <v>0.7</v>
      </c>
      <c r="R370" s="177">
        <f t="shared" si="131"/>
        <v>0.53460452776097922</v>
      </c>
      <c r="S370" s="799">
        <f t="shared" si="132"/>
        <v>1</v>
      </c>
      <c r="T370" s="176">
        <f t="shared" si="133"/>
        <v>7</v>
      </c>
      <c r="U370" s="250">
        <f t="shared" si="134"/>
        <v>1.5346045277609792</v>
      </c>
      <c r="V370" s="382">
        <f t="shared" si="135"/>
        <v>21.979802882288084</v>
      </c>
      <c r="W370" s="400">
        <f t="shared" si="136"/>
        <v>18.567129767760601</v>
      </c>
      <c r="X370" s="157">
        <f t="shared" si="137"/>
        <v>46013</v>
      </c>
      <c r="Y370" s="383">
        <f t="shared" si="138"/>
        <v>17.774289307121244</v>
      </c>
      <c r="Z370" s="383">
        <f t="shared" si="139"/>
        <v>18.660213729752176</v>
      </c>
      <c r="AA370" s="384">
        <f t="shared" si="140"/>
        <v>20.020342331848006</v>
      </c>
      <c r="AB370" s="197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6.7937329919287234E-2</v>
      </c>
      <c r="AD370" s="230">
        <f>(INDEX(Models!$BJ370:$BT370,,AH370)*(1-AF370)+INDEX(Models!$BJ370:$BT370,,AH370+1)*AF370-ERP_i)*AE370*Ramure*Pc/MaxiM</f>
        <v>7.1004840729739727E-2</v>
      </c>
      <c r="AE370" s="304">
        <f t="shared" si="142"/>
        <v>0.7</v>
      </c>
      <c r="AF370" s="177">
        <f t="shared" si="143"/>
        <v>0.59893675002081137</v>
      </c>
      <c r="AG370" s="799">
        <f t="shared" si="149"/>
        <v>1</v>
      </c>
      <c r="AH370" s="176">
        <f t="shared" si="144"/>
        <v>7</v>
      </c>
      <c r="AI370" s="224">
        <f t="shared" si="145"/>
        <v>1.5989367500208114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46014</v>
      </c>
      <c r="B371" s="409">
        <f>'2024'!Wh/'2024'!Env_an*'2025'!Env_an</f>
        <v>18.695102984422633</v>
      </c>
      <c r="C371" s="829"/>
      <c r="D371" s="391">
        <f t="shared" si="127"/>
        <v>19.627299702867546</v>
      </c>
      <c r="E371" s="383">
        <f t="shared" si="150"/>
        <v>20.209589677141789</v>
      </c>
      <c r="F371" s="383">
        <f t="shared" si="128"/>
        <v>21.350062471379943</v>
      </c>
      <c r="G371" s="110">
        <f t="shared" si="151"/>
        <v>0.836955495809242</v>
      </c>
      <c r="H371" s="412" t="b">
        <f>Wh_hp&gt;='2024'!Maxi_hp</f>
        <v>0</v>
      </c>
      <c r="I371" s="388">
        <f>IF(H371,Wh_hp,'2024'!Maxi_hp)</f>
        <v>22.181600514114333</v>
      </c>
      <c r="J371" s="85">
        <f>IF(H371,An,'2024'!An_max)</f>
        <v>2020</v>
      </c>
      <c r="K371" s="197">
        <f t="shared" si="129"/>
        <v>46014</v>
      </c>
      <c r="L371" s="147">
        <f>IF(t&lt;Tvie,1-EXP((T0-t)*PertePVj)+'2024'!Pspv,1-EXP((T0-t)*PertePVj)+Pspv)</f>
        <v>4.7494904167011742E-2</v>
      </c>
      <c r="M371" s="832"/>
      <c r="N371" s="832"/>
      <c r="O371" s="48">
        <f>IF(t&lt;Tnet,'2024'!Resal+('2024'!Salim-'2024'!Resal)*(1-EXP(('2024'!Tnet-t)/('2024'!Tau_j))),Resal+(Salim-Resal)*(1-EXP((Tnet-t)/(Tau_j))))*Salcycl</f>
        <v>2.8812557977505395E-2</v>
      </c>
      <c r="P371" s="169">
        <f>(INDEX(Models!$BJ371:$BT371,,T371)*(1-R371)+INDEX(Models!$BJ371:$BT371,,T371+1)*R371-ERP_i)*Q371*Ramure*Pc/MaxiM</f>
        <v>6.7982023906453984E-2</v>
      </c>
      <c r="Q371" s="304">
        <f t="shared" si="130"/>
        <v>0.7</v>
      </c>
      <c r="R371" s="177">
        <f t="shared" si="131"/>
        <v>0.53460452776097922</v>
      </c>
      <c r="S371" s="799">
        <f t="shared" si="132"/>
        <v>1</v>
      </c>
      <c r="T371" s="176">
        <f t="shared" si="133"/>
        <v>7</v>
      </c>
      <c r="U371" s="250">
        <f t="shared" si="134"/>
        <v>1.5346045277609792</v>
      </c>
      <c r="V371" s="382">
        <f t="shared" si="135"/>
        <v>21.993352722213441</v>
      </c>
      <c r="W371" s="400">
        <f t="shared" si="136"/>
        <v>18.695102984422633</v>
      </c>
      <c r="X371" s="157">
        <f t="shared" si="137"/>
        <v>46014</v>
      </c>
      <c r="Y371" s="383">
        <f t="shared" si="138"/>
        <v>17.897259441397708</v>
      </c>
      <c r="Z371" s="383">
        <f t="shared" si="139"/>
        <v>18.789673167833428</v>
      </c>
      <c r="AA371" s="384">
        <f t="shared" si="140"/>
        <v>20.159849293370787</v>
      </c>
      <c r="AB371" s="197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6.796559367077791E-2</v>
      </c>
      <c r="AD371" s="230">
        <f>(INDEX(Models!$BJ371:$BT371,,AH371)*(1-AF371)+INDEX(Models!$BJ371:$BT371,,AH371+1)*AF371-ERP_i)*AE371*Ramure*Pc/MaxiM</f>
        <v>7.0946980173469079E-2</v>
      </c>
      <c r="AE371" s="304">
        <f t="shared" si="142"/>
        <v>0.7</v>
      </c>
      <c r="AF371" s="177">
        <f t="shared" si="143"/>
        <v>0.59893675002081137</v>
      </c>
      <c r="AG371" s="799">
        <f t="shared" si="149"/>
        <v>1</v>
      </c>
      <c r="AH371" s="176">
        <f t="shared" si="144"/>
        <v>7</v>
      </c>
      <c r="AI371" s="224">
        <f t="shared" si="145"/>
        <v>1.5989367500208114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46015</v>
      </c>
      <c r="B372" s="409">
        <f>'2024'!Wh/'2024'!Env_an*'2025'!Env_an</f>
        <v>19.852189809691428</v>
      </c>
      <c r="C372" s="829"/>
      <c r="D372" s="391">
        <f t="shared" si="127"/>
        <v>20.842481963112434</v>
      </c>
      <c r="E372" s="383">
        <f t="shared" si="150"/>
        <v>21.462537130015104</v>
      </c>
      <c r="F372" s="383">
        <f t="shared" si="128"/>
        <v>22.791461339010787</v>
      </c>
      <c r="G372" s="110">
        <f t="shared" si="151"/>
        <v>0.89218037187896704</v>
      </c>
      <c r="H372" s="412" t="b">
        <f>Wh_hp&gt;='2024'!Maxi_hp</f>
        <v>0</v>
      </c>
      <c r="I372" s="388">
        <f>IF(H372,Wh_hp,'2024'!Maxi_hp)</f>
        <v>22.944010562809719</v>
      </c>
      <c r="J372" s="85">
        <f>IF(H372,An,'2024'!An_max)</f>
        <v>2022</v>
      </c>
      <c r="K372" s="197">
        <f t="shared" si="129"/>
        <v>46015</v>
      </c>
      <c r="L372" s="147">
        <f>IF(t&lt;Tvie,1-EXP((T0-t)*PertePVj)+'2024'!Pspv,1-EXP((T0-t)*PertePVj)+Pspv)</f>
        <v>4.751315870987205E-2</v>
      </c>
      <c r="M372" s="832"/>
      <c r="N372" s="832"/>
      <c r="O372" s="48">
        <f>IF(t&lt;Tnet,'2024'!Resal+('2024'!Salim-'2024'!Resal)*(1-EXP(('2024'!Tnet-t)/('2024'!Tau_j))),Resal+(Salim-Resal)*(1-EXP((Tnet-t)/(Tau_j))))*Salcycl</f>
        <v>2.8890115047746627E-2</v>
      </c>
      <c r="P372" s="169">
        <f>(INDEX(Models!$BJ372:$BT372,,T372)*(1-R372)+INDEX(Models!$BJ372:$BT372,,T372+1)*R372-ERP_i)*Q372*Ramure*Pc/MaxiM</f>
        <v>6.787472061170842E-2</v>
      </c>
      <c r="Q372" s="304">
        <f t="shared" si="130"/>
        <v>0.7</v>
      </c>
      <c r="R372" s="177">
        <f t="shared" si="131"/>
        <v>0.53460452776097922</v>
      </c>
      <c r="S372" s="799">
        <f t="shared" si="132"/>
        <v>1</v>
      </c>
      <c r="T372" s="176">
        <f t="shared" si="133"/>
        <v>7</v>
      </c>
      <c r="U372" s="250">
        <f t="shared" si="134"/>
        <v>1.5346045277609792</v>
      </c>
      <c r="V372" s="382">
        <f t="shared" si="135"/>
        <v>22.02526555375524</v>
      </c>
      <c r="W372" s="400">
        <f t="shared" si="136"/>
        <v>19.852189809691428</v>
      </c>
      <c r="X372" s="157">
        <f t="shared" si="137"/>
        <v>46015</v>
      </c>
      <c r="Y372" s="383">
        <f t="shared" si="138"/>
        <v>19.001310976050917</v>
      </c>
      <c r="Z372" s="383">
        <f t="shared" si="139"/>
        <v>19.949158510488136</v>
      </c>
      <c r="AA372" s="384">
        <f t="shared" si="140"/>
        <v>21.404544202377664</v>
      </c>
      <c r="AB372" s="197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6.7994238892873066E-2</v>
      </c>
      <c r="AD372" s="230">
        <f>(INDEX(Models!$BJ372:$BT372,,AH372)*(1-AF372)+INDEX(Models!$BJ372:$BT372,,AH372+1)*AF372-ERP_i)*AE372*Ramure*Pc/MaxiM</f>
        <v>7.0836705752923584E-2</v>
      </c>
      <c r="AE372" s="304">
        <f t="shared" si="142"/>
        <v>0.7</v>
      </c>
      <c r="AF372" s="177">
        <f t="shared" si="143"/>
        <v>0.59893675002081137</v>
      </c>
      <c r="AG372" s="799">
        <f t="shared" si="149"/>
        <v>1</v>
      </c>
      <c r="AH372" s="176">
        <f t="shared" si="144"/>
        <v>7</v>
      </c>
      <c r="AI372" s="224">
        <f t="shared" si="145"/>
        <v>1.5989367500208114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46016</v>
      </c>
      <c r="B373" s="409">
        <f>'2024'!Wh/'2024'!Env_an*'2025'!Env_an</f>
        <v>11.142121739447663</v>
      </c>
      <c r="C373" s="829"/>
      <c r="D373" s="391">
        <f t="shared" si="127"/>
        <v>11.69815140403327</v>
      </c>
      <c r="E373" s="383">
        <f t="shared" si="150"/>
        <v>12.047129431376154</v>
      </c>
      <c r="F373" s="383">
        <f t="shared" si="128"/>
        <v>12.290498235441101</v>
      </c>
      <c r="G373" s="110">
        <f t="shared" si="151"/>
        <v>0.480031287088166</v>
      </c>
      <c r="H373" s="412" t="b">
        <f>Wh_hp&gt;='2024'!Maxi_hp</f>
        <v>0</v>
      </c>
      <c r="I373" s="388">
        <f>IF(H373,Wh_hp,'2024'!Maxi_hp)</f>
        <v>15.402591944038759</v>
      </c>
      <c r="J373" s="85">
        <f>IF(H373,An,'2024'!An_max)</f>
        <v>2018</v>
      </c>
      <c r="K373" s="197">
        <f t="shared" si="129"/>
        <v>46016</v>
      </c>
      <c r="L373" s="147">
        <f>IF(t&lt;Tvie,1-EXP((T0-t)*PertePVj)+'2024'!Pspv,1-EXP((T0-t)*PertePVj)+Pspv)</f>
        <v>4.7531412902888204E-2</v>
      </c>
      <c r="M373" s="832"/>
      <c r="N373" s="832"/>
      <c r="O373" s="48">
        <f>IF(t&lt;Tnet,'2024'!Resal+('2024'!Salim-'2024'!Resal)*(1-EXP(('2024'!Tnet-t)/('2024'!Tau_j))),Resal+(Salim-Resal)*(1-EXP((Tnet-t)/(Tau_j))))*Salcycl</f>
        <v>2.8967732880331509E-2</v>
      </c>
      <c r="P373" s="169">
        <f>(INDEX(Models!$BJ373:$BT373,,T373)*(1-R373)+INDEX(Models!$BJ373:$BT373,,T373+1)*R373-ERP_i)*Q373*Ramure*Pc/MaxiM</f>
        <v>6.7713243055996172E-2</v>
      </c>
      <c r="Q373" s="304">
        <f t="shared" si="130"/>
        <v>0.7</v>
      </c>
      <c r="R373" s="177">
        <f t="shared" si="131"/>
        <v>0.53460452776097922</v>
      </c>
      <c r="S373" s="799">
        <f t="shared" si="132"/>
        <v>1</v>
      </c>
      <c r="T373" s="176">
        <f t="shared" si="133"/>
        <v>7</v>
      </c>
      <c r="U373" s="250">
        <f t="shared" si="134"/>
        <v>1.5346045277609792</v>
      </c>
      <c r="V373" s="382">
        <f t="shared" si="135"/>
        <v>22.076681010497275</v>
      </c>
      <c r="W373" s="400">
        <f t="shared" si="136"/>
        <v>11.142121739447663</v>
      </c>
      <c r="X373" s="157">
        <f t="shared" si="137"/>
        <v>46016</v>
      </c>
      <c r="Y373" s="383">
        <f t="shared" si="138"/>
        <v>10.68454331732662</v>
      </c>
      <c r="Z373" s="383">
        <f t="shared" si="139"/>
        <v>11.217738266718548</v>
      </c>
      <c r="AA373" s="384">
        <f t="shared" si="140"/>
        <v>12.036499867327414</v>
      </c>
      <c r="AB373" s="197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6.8023230144450941E-2</v>
      </c>
      <c r="AD373" s="230">
        <f>(INDEX(Models!$BJ373:$BT373,,AH373)*(1-AF373)+INDEX(Models!$BJ373:$BT373,,AH373+1)*AF373-ERP_i)*AE373*Ramure*Pc/MaxiM</f>
        <v>7.0670739012707012E-2</v>
      </c>
      <c r="AE373" s="304">
        <f t="shared" si="142"/>
        <v>0.7</v>
      </c>
      <c r="AF373" s="177">
        <f t="shared" si="143"/>
        <v>0.59893675002081137</v>
      </c>
      <c r="AG373" s="799">
        <f t="shared" si="149"/>
        <v>1</v>
      </c>
      <c r="AH373" s="176">
        <f t="shared" si="144"/>
        <v>7</v>
      </c>
      <c r="AI373" s="224">
        <f t="shared" si="145"/>
        <v>1.5989367500208114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46017</v>
      </c>
      <c r="B374" s="409">
        <f>'2024'!Wh/'2024'!Env_an*'2025'!Env_an</f>
        <v>19.024973084231139</v>
      </c>
      <c r="C374" s="829"/>
      <c r="D374" s="391">
        <f t="shared" si="127"/>
        <v>19.974766578362765</v>
      </c>
      <c r="E374" s="383">
        <f t="shared" si="150"/>
        <v>20.572297142300837</v>
      </c>
      <c r="F374" s="383">
        <f t="shared" si="128"/>
        <v>21.744422914910377</v>
      </c>
      <c r="G374" s="110">
        <f t="shared" si="151"/>
        <v>0.84667733744046247</v>
      </c>
      <c r="H374" s="412" t="b">
        <f>Wh_hp&gt;='2024'!Maxi_hp</f>
        <v>0</v>
      </c>
      <c r="I374" s="388">
        <f>IF(H374,Wh_hp,'2024'!Maxi_hp)</f>
        <v>21.950785142907936</v>
      </c>
      <c r="J374" s="85">
        <f>IF(H374,An,'2024'!An_max)</f>
        <v>2022</v>
      </c>
      <c r="K374" s="197">
        <f t="shared" si="129"/>
        <v>46017</v>
      </c>
      <c r="L374" s="147">
        <f>IF(t&lt;Tvie,1-EXP((T0-t)*PertePVj)+'2024'!Pspv,1-EXP((T0-t)*PertePVj)+Pspv)</f>
        <v>4.7549666746066976E-2</v>
      </c>
      <c r="M374" s="832"/>
      <c r="N374" s="832"/>
      <c r="O374" s="48">
        <f>IF(t&lt;Tnet,'2024'!Resal+('2024'!Salim-'2024'!Resal)*(1-EXP(('2024'!Tnet-t)/('2024'!Tau_j))),Resal+(Salim-Resal)*(1-EXP((Tnet-t)/(Tau_j))))*Salcycl</f>
        <v>2.9045398275403551E-2</v>
      </c>
      <c r="P374" s="169">
        <f>(INDEX(Models!$BJ374:$BT374,,T374)*(1-R374)+INDEX(Models!$BJ374:$BT374,,T374+1)*R374-ERP_i)*Q374*Ramure*Pc/MaxiM</f>
        <v>6.7498900800042685E-2</v>
      </c>
      <c r="Q374" s="304">
        <f t="shared" si="130"/>
        <v>0.7</v>
      </c>
      <c r="R374" s="177">
        <f t="shared" si="131"/>
        <v>0.53460452776097922</v>
      </c>
      <c r="S374" s="799">
        <f t="shared" si="132"/>
        <v>1</v>
      </c>
      <c r="T374" s="176">
        <f t="shared" si="133"/>
        <v>7</v>
      </c>
      <c r="U374" s="250">
        <f t="shared" si="134"/>
        <v>1.5346045277609792</v>
      </c>
      <c r="V374" s="382">
        <f t="shared" si="135"/>
        <v>22.147288637490721</v>
      </c>
      <c r="W374" s="400">
        <f t="shared" si="136"/>
        <v>19.024973084231139</v>
      </c>
      <c r="X374" s="157">
        <f t="shared" si="137"/>
        <v>46017</v>
      </c>
      <c r="Y374" s="383">
        <f t="shared" si="138"/>
        <v>18.21516919104663</v>
      </c>
      <c r="Z374" s="383">
        <f t="shared" si="139"/>
        <v>19.124534429860166</v>
      </c>
      <c r="AA374" s="384">
        <f t="shared" si="140"/>
        <v>20.521043427542352</v>
      </c>
      <c r="AB374" s="197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6.8052533615705804E-2</v>
      </c>
      <c r="AD374" s="230">
        <f>(INDEX(Models!$BJ374:$BT374,,AH374)*(1-AF374)+INDEX(Models!$BJ374:$BT374,,AH374+1)*AF374-ERP_i)*AE374*Ramure*Pc/MaxiM</f>
        <v>7.0450435088393479E-2</v>
      </c>
      <c r="AE374" s="304">
        <f t="shared" si="142"/>
        <v>0.7</v>
      </c>
      <c r="AF374" s="177">
        <f t="shared" si="143"/>
        <v>0.59893675002081137</v>
      </c>
      <c r="AG374" s="799">
        <f t="shared" si="149"/>
        <v>1</v>
      </c>
      <c r="AH374" s="176">
        <f t="shared" si="144"/>
        <v>7</v>
      </c>
      <c r="AI374" s="224">
        <f t="shared" si="145"/>
        <v>1.5989367500208114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46018</v>
      </c>
      <c r="B375" s="409">
        <f>'2024'!Wh/'2024'!Env_an*'2025'!Env_an</f>
        <v>6.4435359968509651</v>
      </c>
      <c r="C375" s="829"/>
      <c r="D375" s="391">
        <f t="shared" si="127"/>
        <v>6.7653496073659039</v>
      </c>
      <c r="E375" s="383">
        <f t="shared" si="150"/>
        <v>6.9682877386104503</v>
      </c>
      <c r="F375" s="383">
        <f t="shared" si="128"/>
        <v>6.9682877386104503</v>
      </c>
      <c r="G375" s="110">
        <f t="shared" si="151"/>
        <v>0.27029664369599837</v>
      </c>
      <c r="H375" s="412" t="b">
        <f>Wh_hp&gt;='2024'!Maxi_hp</f>
        <v>0</v>
      </c>
      <c r="I375" s="388">
        <f>IF(H375,Wh_hp,'2024'!Maxi_hp)</f>
        <v>24.49923801757005</v>
      </c>
      <c r="J375" s="85">
        <f>IF(H375,An,'2024'!An_max)</f>
        <v>2018</v>
      </c>
      <c r="K375" s="197">
        <f t="shared" si="129"/>
        <v>46018</v>
      </c>
      <c r="L375" s="147">
        <f>IF(t&lt;Tvie,1-EXP((T0-t)*PertePVj)+'2024'!Pspv,1-EXP((T0-t)*PertePVj)+Pspv)</f>
        <v>4.7567920239414918E-2</v>
      </c>
      <c r="M375" s="832"/>
      <c r="N375" s="832"/>
      <c r="O375" s="48">
        <f>IF(t&lt;Tnet,'2024'!Resal+('2024'!Salim-'2024'!Resal)*(1-EXP(('2024'!Tnet-t)/('2024'!Tau_j))),Resal+(Salim-Resal)*(1-EXP((Tnet-t)/(Tau_j))))*Salcycl</f>
        <v>2.9123098651637213E-2</v>
      </c>
      <c r="P375" s="169">
        <f>(INDEX(Models!$BJ375:$BT375,,T375)*(1-R375)+INDEX(Models!$BJ375:$BT375,,T375+1)*R375-ERP_i)*Q375*Ramure*Pc/MaxiM</f>
        <v>6.7205478300676441E-2</v>
      </c>
      <c r="Q375" s="304">
        <f t="shared" si="130"/>
        <v>0.7</v>
      </c>
      <c r="R375" s="177">
        <f t="shared" si="131"/>
        <v>0.53460452776097922</v>
      </c>
      <c r="S375" s="799">
        <f t="shared" si="132"/>
        <v>1</v>
      </c>
      <c r="T375" s="176">
        <f t="shared" si="133"/>
        <v>7</v>
      </c>
      <c r="U375" s="250">
        <f t="shared" si="134"/>
        <v>1.5346045277609792</v>
      </c>
      <c r="V375" s="382">
        <f t="shared" si="135"/>
        <v>22.23666189875059</v>
      </c>
      <c r="W375" s="400">
        <f t="shared" si="136"/>
        <v>6.4435359968509651</v>
      </c>
      <c r="X375" s="157">
        <f t="shared" si="137"/>
        <v>46018</v>
      </c>
      <c r="Y375" s="383">
        <f t="shared" si="138"/>
        <v>6.1849719724747603</v>
      </c>
      <c r="Z375" s="383">
        <f t="shared" si="139"/>
        <v>6.4938719557088946</v>
      </c>
      <c r="AA375" s="384">
        <f t="shared" si="140"/>
        <v>6.9682877386104503</v>
      </c>
      <c r="AB375" s="197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6.8082117257138308E-2</v>
      </c>
      <c r="AD375" s="230">
        <f>(INDEX(Models!$BJ375:$BT375,,AH375)*(1-AF375)+INDEX(Models!$BJ375:$BT375,,AH375+1)*AF375-ERP_i)*AE375*Ramure*Pc/MaxiM</f>
        <v>7.0148387300695184E-2</v>
      </c>
      <c r="AE375" s="304">
        <f t="shared" si="142"/>
        <v>0.7</v>
      </c>
      <c r="AF375" s="177">
        <f t="shared" si="143"/>
        <v>0.59893675002081137</v>
      </c>
      <c r="AG375" s="799">
        <f t="shared" si="149"/>
        <v>1</v>
      </c>
      <c r="AH375" s="176">
        <f t="shared" si="144"/>
        <v>7</v>
      </c>
      <c r="AI375" s="224">
        <f t="shared" si="145"/>
        <v>1.5989367500208114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46019</v>
      </c>
      <c r="B376" s="409">
        <f>'2024'!Wh/'2024'!Env_an*'2025'!Env_an</f>
        <v>20.723104251437174</v>
      </c>
      <c r="C376" s="829"/>
      <c r="D376" s="391">
        <f t="shared" si="127"/>
        <v>21.758508404949222</v>
      </c>
      <c r="E376" s="383">
        <f t="shared" si="150"/>
        <v>22.412986022573556</v>
      </c>
      <c r="F376" s="383">
        <f t="shared" si="128"/>
        <v>23.841406516934796</v>
      </c>
      <c r="G376" s="110">
        <f t="shared" si="151"/>
        <v>0.92064042181842753</v>
      </c>
      <c r="H376" s="412" t="b">
        <f>Wh_hp&gt;='2024'!Maxi_hp</f>
        <v>0</v>
      </c>
      <c r="I376" s="388">
        <f>IF(H376,Wh_hp,'2024'!Maxi_hp)</f>
        <v>23.956772054277653</v>
      </c>
      <c r="J376" s="85">
        <f>IF(H376,An,'2024'!An_max)</f>
        <v>2022</v>
      </c>
      <c r="K376" s="197">
        <f t="shared" si="129"/>
        <v>46019</v>
      </c>
      <c r="L376" s="147">
        <f>IF(t&lt;Tvie,1-EXP((T0-t)*PertePVj)+'2024'!Pspv,1-EXP((T0-t)*PertePVj)+Pspv)</f>
        <v>4.7586173382938912E-2</v>
      </c>
      <c r="M376" s="832"/>
      <c r="N376" s="832"/>
      <c r="O376" s="48">
        <f>IF(t&lt;Tnet,'2024'!Resal+('2024'!Salim-'2024'!Resal)*(1-EXP(('2024'!Tnet-t)/('2024'!Tau_j))),Resal+(Salim-Resal)*(1-EXP((Tnet-t)/(Tau_j))))*Salcycl</f>
        <v>2.9200822102203105E-2</v>
      </c>
      <c r="P376" s="169">
        <f>(INDEX(Models!$BJ376:$BT376,,T376)*(1-R376)+INDEX(Models!$BJ376:$BT376,,T376+1)*R376-ERP_i)*Q376*Ramure*Pc/MaxiM</f>
        <v>6.6838611310359661E-2</v>
      </c>
      <c r="Q376" s="304">
        <f t="shared" si="130"/>
        <v>0.7</v>
      </c>
      <c r="R376" s="177">
        <f t="shared" si="131"/>
        <v>0.53460452776097922</v>
      </c>
      <c r="S376" s="799">
        <f t="shared" si="132"/>
        <v>1</v>
      </c>
      <c r="T376" s="176">
        <f t="shared" si="133"/>
        <v>7</v>
      </c>
      <c r="U376" s="250">
        <f t="shared" si="134"/>
        <v>1.5346045277609792</v>
      </c>
      <c r="V376" s="382">
        <f t="shared" si="135"/>
        <v>22.343627680727039</v>
      </c>
      <c r="W376" s="400">
        <f t="shared" si="136"/>
        <v>20.723104251437174</v>
      </c>
      <c r="X376" s="157">
        <f t="shared" si="137"/>
        <v>46019</v>
      </c>
      <c r="Y376" s="383">
        <f t="shared" si="138"/>
        <v>19.836887386362289</v>
      </c>
      <c r="Z376" s="383">
        <f t="shared" si="139"/>
        <v>20.828012815418884</v>
      </c>
      <c r="AA376" s="384">
        <f t="shared" si="140"/>
        <v>22.350337935210671</v>
      </c>
      <c r="AB376" s="197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6.8111950888828404E-2</v>
      </c>
      <c r="AD376" s="230">
        <f>(INDEX(Models!$BJ376:$BT376,,AH376)*(1-AF376)+INDEX(Models!$BJ376:$BT376,,AH376+1)*AF376-ERP_i)*AE376*Ramure*Pc/MaxiM</f>
        <v>6.9770038839658627E-2</v>
      </c>
      <c r="AE376" s="304">
        <f t="shared" si="142"/>
        <v>0.7</v>
      </c>
      <c r="AF376" s="177">
        <f t="shared" si="143"/>
        <v>0.59893675002081137</v>
      </c>
      <c r="AG376" s="799">
        <f t="shared" si="149"/>
        <v>1</v>
      </c>
      <c r="AH376" s="176">
        <f t="shared" si="144"/>
        <v>7</v>
      </c>
      <c r="AI376" s="224">
        <f t="shared" si="145"/>
        <v>1.5989367500208114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46020</v>
      </c>
      <c r="B377" s="409">
        <f>'2024'!Wh/'2024'!Env_an*'2025'!Env_an</f>
        <v>10.548689716271872</v>
      </c>
      <c r="C377" s="829"/>
      <c r="D377" s="391">
        <f t="shared" si="127"/>
        <v>11.075954158338401</v>
      </c>
      <c r="E377" s="383">
        <f t="shared" si="150"/>
        <v>11.410023177359045</v>
      </c>
      <c r="F377" s="383">
        <f t="shared" si="128"/>
        <v>11.596503442533402</v>
      </c>
      <c r="G377" s="110">
        <f t="shared" si="151"/>
        <v>0.44550506940409218</v>
      </c>
      <c r="H377" s="412" t="b">
        <f>Wh_hp&gt;='2024'!Maxi_hp</f>
        <v>0</v>
      </c>
      <c r="I377" s="388">
        <f>IF(H377,Wh_hp,'2024'!Maxi_hp)</f>
        <v>25.350843824112598</v>
      </c>
      <c r="J377" s="85">
        <f>IF(H377,An,'2024'!An_max)</f>
        <v>2018</v>
      </c>
      <c r="K377" s="197">
        <f t="shared" si="129"/>
        <v>46020</v>
      </c>
      <c r="L377" s="147">
        <f>IF(t&lt;Tvie,1-EXP((T0-t)*PertePVj)+'2024'!Pspv,1-EXP((T0-t)*PertePVj)+Pspv)</f>
        <v>4.7604426176645509E-2</v>
      </c>
      <c r="M377" s="832"/>
      <c r="N377" s="832"/>
      <c r="O377" s="48">
        <f>IF(t&lt;Tnet,'2024'!Resal+('2024'!Salim-'2024'!Resal)*(1-EXP(('2024'!Tnet-t)/('2024'!Tau_j))),Resal+(Salim-Resal)*(1-EXP((Tnet-t)/(Tau_j))))*Salcycl</f>
        <v>2.9278557442682412E-2</v>
      </c>
      <c r="P377" s="169">
        <f>(INDEX(Models!$BJ377:$BT377,,T377)*(1-R377)+INDEX(Models!$BJ377:$BT377,,T377+1)*R377-ERP_i)*Q377*Ramure*Pc/MaxiM</f>
        <v>6.6402893816327427E-2</v>
      </c>
      <c r="Q377" s="304">
        <f t="shared" si="130"/>
        <v>0.7</v>
      </c>
      <c r="R377" s="177">
        <f t="shared" si="131"/>
        <v>0.53460452776097922</v>
      </c>
      <c r="S377" s="799">
        <f t="shared" si="132"/>
        <v>1</v>
      </c>
      <c r="T377" s="176">
        <f t="shared" si="133"/>
        <v>7</v>
      </c>
      <c r="U377" s="250">
        <f t="shared" si="134"/>
        <v>1.5346045277609792</v>
      </c>
      <c r="V377" s="382">
        <f t="shared" si="135"/>
        <v>22.467042108454699</v>
      </c>
      <c r="W377" s="400">
        <f t="shared" si="136"/>
        <v>10.548689716271872</v>
      </c>
      <c r="X377" s="157">
        <f t="shared" si="137"/>
        <v>46020</v>
      </c>
      <c r="Y377" s="383">
        <f t="shared" si="138"/>
        <v>10.11909528756099</v>
      </c>
      <c r="Z377" s="383">
        <f t="shared" si="139"/>
        <v>10.624886933208101</v>
      </c>
      <c r="AA377" s="384">
        <f t="shared" si="140"/>
        <v>11.401830541693782</v>
      </c>
      <c r="AB377" s="197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6.8142006289655305E-2</v>
      </c>
      <c r="AD377" s="230">
        <f>(INDEX(Models!$BJ377:$BT377,,AH377)*(1-AF377)+INDEX(Models!$BJ377:$BT377,,AH377+1)*AF377-ERP_i)*AE377*Ramure*Pc/MaxiM</f>
        <v>6.9320171500631994E-2</v>
      </c>
      <c r="AE377" s="304">
        <f t="shared" si="142"/>
        <v>0.7</v>
      </c>
      <c r="AF377" s="177">
        <f t="shared" si="143"/>
        <v>0.59893675002081137</v>
      </c>
      <c r="AG377" s="799">
        <f t="shared" si="149"/>
        <v>1</v>
      </c>
      <c r="AH377" s="176">
        <f t="shared" si="144"/>
        <v>7</v>
      </c>
      <c r="AI377" s="224">
        <f t="shared" si="145"/>
        <v>1.5989367500208114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46021</v>
      </c>
      <c r="B378" s="409">
        <f>'2024'!Wh/'2024'!Env_an*'2025'!Env_an</f>
        <v>14.404058540260896</v>
      </c>
      <c r="C378" s="829"/>
      <c r="D378" s="391">
        <f t="shared" si="127"/>
        <v>15.124319129520561</v>
      </c>
      <c r="E378" s="383">
        <f t="shared" si="150"/>
        <v>15.581741312426896</v>
      </c>
      <c r="F378" s="383">
        <f t="shared" si="128"/>
        <v>16.092601683767928</v>
      </c>
      <c r="G378" s="110">
        <f t="shared" si="151"/>
        <v>0.61470673142467169</v>
      </c>
      <c r="H378" s="412" t="b">
        <f>Wh_hp&gt;='2024'!Maxi_hp</f>
        <v>0</v>
      </c>
      <c r="I378" s="388">
        <f>IF(H378,Wh_hp,'2024'!Maxi_hp)</f>
        <v>26.258304943114872</v>
      </c>
      <c r="J378" s="85">
        <f>IF(H378,An,'2024'!An_max)</f>
        <v>2018</v>
      </c>
      <c r="K378" s="197">
        <f t="shared" si="129"/>
        <v>46021</v>
      </c>
      <c r="L378" s="147">
        <f>IF(t&lt;Tvie,1-EXP((T0-t)*PertePVj)+'2024'!Pspv,1-EXP((T0-t)*PertePVj)+Pspv)</f>
        <v>4.7622678620541481E-2</v>
      </c>
      <c r="M378" s="832"/>
      <c r="N378" s="832"/>
      <c r="O378" s="48">
        <f>IF(t&lt;Tnet,'2024'!Resal+('2024'!Salim-'2024'!Resal)*(1-EXP(('2024'!Tnet-t)/('2024'!Tau_j))),Resal+(Salim-Resal)*(1-EXP((Tnet-t)/(Tau_j))))*Salcycl</f>
        <v>2.9356294250728401E-2</v>
      </c>
      <c r="P378" s="169">
        <f>(INDEX(Models!$BJ378:$BT378,,T378)*(1-R378)+INDEX(Models!$BJ378:$BT378,,T378+1)*R378-ERP_i)*Q378*Ramure*Pc/MaxiM</f>
        <v>6.590303063795161E-2</v>
      </c>
      <c r="Q378" s="304">
        <f t="shared" si="130"/>
        <v>0.7</v>
      </c>
      <c r="R378" s="177">
        <f t="shared" si="131"/>
        <v>0.53460452776097922</v>
      </c>
      <c r="S378" s="799">
        <f t="shared" si="132"/>
        <v>1</v>
      </c>
      <c r="T378" s="176">
        <f t="shared" si="133"/>
        <v>7</v>
      </c>
      <c r="U378" s="250">
        <f t="shared" si="134"/>
        <v>1.5346045277609792</v>
      </c>
      <c r="V378" s="382">
        <f t="shared" si="135"/>
        <v>22.60576163351832</v>
      </c>
      <c r="W378" s="400">
        <f t="shared" si="136"/>
        <v>14.404058540260896</v>
      </c>
      <c r="X378" s="157">
        <f t="shared" si="137"/>
        <v>46021</v>
      </c>
      <c r="Y378" s="383">
        <f t="shared" si="138"/>
        <v>13.80808707932591</v>
      </c>
      <c r="Z378" s="383">
        <f t="shared" si="139"/>
        <v>14.498546709749204</v>
      </c>
      <c r="AA378" s="384">
        <f t="shared" si="140"/>
        <v>15.559256335527307</v>
      </c>
      <c r="AB378" s="197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6.8172257266314651E-2</v>
      </c>
      <c r="AD378" s="230">
        <f>(INDEX(Models!$BJ378:$BT378,,AH378)*(1-AF378)+INDEX(Models!$BJ378:$BT378,,AH378+1)*AF378-ERP_i)*AE378*Ramure*Pc/MaxiM</f>
        <v>6.8803682566809146E-2</v>
      </c>
      <c r="AE378" s="304">
        <f t="shared" si="142"/>
        <v>0.7</v>
      </c>
      <c r="AF378" s="177">
        <f t="shared" si="143"/>
        <v>0.59893675002081137</v>
      </c>
      <c r="AG378" s="799">
        <f t="shared" si="149"/>
        <v>1</v>
      </c>
      <c r="AH378" s="176">
        <f t="shared" si="144"/>
        <v>7</v>
      </c>
      <c r="AI378" s="224">
        <f t="shared" si="145"/>
        <v>1.5989367500208114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46022</v>
      </c>
      <c r="B379" s="409">
        <f>'2024'!Wh/'2024'!Env_an*'2025'!Env_an</f>
        <v>12.407006304027389</v>
      </c>
      <c r="C379" s="829"/>
      <c r="D379" s="391">
        <f t="shared" si="127"/>
        <v>13.027655958941398</v>
      </c>
      <c r="E379" s="383">
        <f t="shared" si="150"/>
        <v>13.422741231700499</v>
      </c>
      <c r="F379" s="383">
        <f t="shared" si="128"/>
        <v>13.737113218243902</v>
      </c>
      <c r="G379" s="110">
        <f t="shared" si="151"/>
        <v>0.52146696622862532</v>
      </c>
      <c r="H379" s="412" t="b">
        <f>Wh_hp&gt;='2024'!Maxi_hp</f>
        <v>0</v>
      </c>
      <c r="I379" s="388">
        <f>IF(H379,Wh_hp,'2024'!Maxi_hp)</f>
        <v>25.860373589041732</v>
      </c>
      <c r="J379" s="85">
        <f>IF(H379,An,'2024'!An_max)</f>
        <v>2021</v>
      </c>
      <c r="K379" s="197">
        <f t="shared" si="129"/>
        <v>46022</v>
      </c>
      <c r="L379" s="147">
        <f>IF(t&lt;Tvie,1-EXP((T0-t)*PertePVj)+'2024'!Pspv,1-EXP((T0-t)*PertePVj)+Pspv)</f>
        <v>4.7640930714633489E-2</v>
      </c>
      <c r="M379" s="832"/>
      <c r="N379" s="832"/>
      <c r="O379" s="48">
        <f>IF(t&lt;Tnet,'2024'!Resal+('2024'!Salim-'2024'!Resal)*(1-EXP(('2024'!Tnet-t)/('2024'!Tau_j))),Resal+(Salim-Resal)*(1-EXP((Tnet-t)/(Tau_j))))*Salcycl</f>
        <v>2.9434022897351749E-2</v>
      </c>
      <c r="P379" s="169">
        <f>(INDEX(Models!$BJ379:$BT379,,T379)*(1-R379)+INDEX(Models!$BJ379:$BT379,,T379+1)*R379-ERP_i)*Q379*Ramure*Pc/MaxiM</f>
        <v>6.5343775435287854E-2</v>
      </c>
      <c r="Q379" s="305">
        <f t="shared" si="130"/>
        <v>0.7</v>
      </c>
      <c r="R379" s="177">
        <f t="shared" si="131"/>
        <v>0.53460452776097922</v>
      </c>
      <c r="S379" s="799">
        <f t="shared" si="132"/>
        <v>1</v>
      </c>
      <c r="T379" s="176">
        <f t="shared" si="133"/>
        <v>7</v>
      </c>
      <c r="U379" s="306">
        <f t="shared" si="134"/>
        <v>1.5346045277609792</v>
      </c>
      <c r="V379" s="382">
        <f t="shared" si="135"/>
        <v>22.758642995095624</v>
      </c>
      <c r="W379" s="400">
        <f t="shared" si="136"/>
        <v>12.407006304027389</v>
      </c>
      <c r="X379" s="157">
        <f t="shared" si="137"/>
        <v>46022</v>
      </c>
      <c r="Y379" s="383">
        <f t="shared" si="138"/>
        <v>11.899112943274931</v>
      </c>
      <c r="Z379" s="383">
        <f t="shared" si="139"/>
        <v>12.494355676377205</v>
      </c>
      <c r="AA379" s="384">
        <f t="shared" si="140"/>
        <v>13.408877021006649</v>
      </c>
      <c r="AB379" s="197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6.8202679702165578E-2</v>
      </c>
      <c r="AD379" s="230">
        <f>(INDEX(Models!$BJ379:$BT379,,AH379)*(1-AF379)+INDEX(Models!$BJ379:$BT379,,AH379+1)*AF379-ERP_i)*AE379*Ramure*Pc/MaxiM</f>
        <v>6.8225520339239176E-2</v>
      </c>
      <c r="AE379" s="305">
        <f t="shared" si="142"/>
        <v>0.7</v>
      </c>
      <c r="AF379" s="177">
        <f t="shared" si="143"/>
        <v>0.59893675002081137</v>
      </c>
      <c r="AG379" s="799">
        <f t="shared" si="149"/>
        <v>1</v>
      </c>
      <c r="AH379" s="176">
        <f t="shared" si="144"/>
        <v>7</v>
      </c>
      <c r="AI379" s="221">
        <f t="shared" si="145"/>
        <v>1.5989367500208114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600" t="b">
        <f>Wh_hp&gt;='2024'!Maxi_hp</f>
        <v>0</v>
      </c>
      <c r="I380" s="601">
        <f>IF(H380,Wh_hp,'2024'!Maxi_hp)</f>
        <v>16.92839300504739</v>
      </c>
      <c r="J380" s="151">
        <f>IF(H380,An,'2024'!An_max)</f>
        <v>2024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1.3278076330372159</v>
      </c>
      <c r="C381" s="374"/>
      <c r="D381" s="372">
        <f>MIN(D15:D380)</f>
        <v>1.384776518864242</v>
      </c>
      <c r="E381" s="372">
        <f>MIN(E15:E380)</f>
        <v>1.462947553904943</v>
      </c>
      <c r="F381" s="373">
        <f>MIN(F15:F380)</f>
        <v>1.462947553904943</v>
      </c>
      <c r="G381" s="125">
        <f>+MIN(G15:G380)</f>
        <v>5.1266260777151677E-2</v>
      </c>
      <c r="H381" s="94"/>
      <c r="I381" s="373">
        <f>MIN(I15:I380)</f>
        <v>10.143572329853523</v>
      </c>
      <c r="J381" s="57">
        <f>MIN(J15:J380)</f>
        <v>2018</v>
      </c>
      <c r="K381" s="200" t="s">
        <v>7</v>
      </c>
      <c r="L381" s="146">
        <f t="shared" ref="L381:T381" si="152">MIN(L15:L380)</f>
        <v>4.0974004782194262E-2</v>
      </c>
      <c r="M381" s="833"/>
      <c r="N381" s="833"/>
      <c r="O381" s="47">
        <f t="shared" si="152"/>
        <v>7.0774464523533078E-3</v>
      </c>
      <c r="P381" s="168">
        <f t="shared" si="152"/>
        <v>4.9265115407973528E-4</v>
      </c>
      <c r="Q381" s="309">
        <f t="shared" si="152"/>
        <v>0.7</v>
      </c>
      <c r="R381" s="310">
        <f t="shared" si="152"/>
        <v>0.13460554618991583</v>
      </c>
      <c r="S381" s="799">
        <f t="shared" si="152"/>
        <v>1</v>
      </c>
      <c r="T381" s="176">
        <f t="shared" si="152"/>
        <v>7</v>
      </c>
      <c r="U381" s="251">
        <f>+MIN(U15:U380)</f>
        <v>1.1346055461899158</v>
      </c>
      <c r="V381" s="372">
        <f>MIN(V15:V380)</f>
        <v>21.979802882288084</v>
      </c>
      <c r="W381" s="793"/>
      <c r="X381" s="112" t="s">
        <v>7</v>
      </c>
      <c r="Y381" s="372">
        <f>MIN(Y15:Y380)</f>
        <v>1.3157775341327056</v>
      </c>
      <c r="Z381" s="372">
        <f>MIN(Z15:Z380)</f>
        <v>1.3722302749143751</v>
      </c>
      <c r="AA381" s="372">
        <f>MIN(AA15:AA380)</f>
        <v>1.462947553904943</v>
      </c>
      <c r="AB381" s="200" t="s">
        <v>7</v>
      </c>
      <c r="AC381" s="47">
        <f t="shared" ref="AC381:AH381" si="153">MIN(AC15:AC380)</f>
        <v>5.930821417604052E-2</v>
      </c>
      <c r="AD381" s="168">
        <f t="shared" si="153"/>
        <v>5.1772186401438658E-4</v>
      </c>
      <c r="AE381" s="309">
        <f t="shared" si="153"/>
        <v>0.7</v>
      </c>
      <c r="AF381" s="310">
        <f t="shared" si="153"/>
        <v>0.19893776844974798</v>
      </c>
      <c r="AG381" s="799">
        <f t="shared" si="153"/>
        <v>1</v>
      </c>
      <c r="AH381" s="176">
        <f t="shared" si="153"/>
        <v>7</v>
      </c>
      <c r="AI381" s="225">
        <f>MIN(AI15:AI380)</f>
        <v>1.198937768449748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30.611154525897796</v>
      </c>
      <c r="C382" s="374"/>
      <c r="D382" s="374">
        <f>AVERAGE(D15:D380)</f>
        <v>32.028227357215322</v>
      </c>
      <c r="E382" s="374">
        <f>AVERAGE(E15:E380)</f>
        <v>32.934156195641663</v>
      </c>
      <c r="F382" s="375">
        <f>AVERAGE(F15:F380)</f>
        <v>33.21498421446428</v>
      </c>
      <c r="G382" s="126">
        <f>AVERAGE(G15:G380)</f>
        <v>0.68485845125820466</v>
      </c>
      <c r="H382" s="94"/>
      <c r="I382" s="375">
        <f>AVERAGE(I15:I380)</f>
        <v>43.49535709906209</v>
      </c>
      <c r="J382" s="59">
        <f>AVERAGE(J15:J380)</f>
        <v>2020.6612021857923</v>
      </c>
      <c r="K382" s="200" t="s">
        <v>8</v>
      </c>
      <c r="L382" s="147">
        <f t="shared" ref="L382:V382" si="154">AVERAGE(L15:L380)</f>
        <v>4.431133282828012E-2</v>
      </c>
      <c r="M382" s="832"/>
      <c r="N382" s="832"/>
      <c r="O382" s="48">
        <f t="shared" si="154"/>
        <v>3.1238765999624454E-2</v>
      </c>
      <c r="P382" s="169">
        <f t="shared" si="154"/>
        <v>1.9888587475746098E-2</v>
      </c>
      <c r="Q382" s="311">
        <f t="shared" si="154"/>
        <v>0.69999999999999529</v>
      </c>
      <c r="R382" s="177">
        <f t="shared" si="154"/>
        <v>0.35851242378923093</v>
      </c>
      <c r="S382" s="799">
        <f t="shared" si="154"/>
        <v>1</v>
      </c>
      <c r="T382" s="176">
        <f t="shared" si="154"/>
        <v>7</v>
      </c>
      <c r="U382" s="250">
        <f t="shared" si="154"/>
        <v>1.3585124237892308</v>
      </c>
      <c r="V382" s="374">
        <f t="shared" si="154"/>
        <v>43.03927034647829</v>
      </c>
      <c r="X382" s="112" t="s">
        <v>8</v>
      </c>
      <c r="Y382" s="374">
        <f>AVERAGE(Y15:Y380)</f>
        <v>29.425844620679271</v>
      </c>
      <c r="Z382" s="374">
        <f>AVERAGE(Z15:Z380)</f>
        <v>30.787436691582389</v>
      </c>
      <c r="AA382" s="374">
        <f>AVERAGE(AA15:AA380)</f>
        <v>32.9222214216678</v>
      </c>
      <c r="AB382" s="200" t="s">
        <v>8</v>
      </c>
      <c r="AC382" s="48">
        <f t="shared" ref="AC382:AH382" si="155">AVERAGE(AC15:AC380)</f>
        <v>6.512016716571907E-2</v>
      </c>
      <c r="AD382" s="169">
        <f t="shared" si="155"/>
        <v>2.0744876492945354E-2</v>
      </c>
      <c r="AE382" s="311">
        <f t="shared" si="155"/>
        <v>0.69999999999999529</v>
      </c>
      <c r="AF382" s="177">
        <f t="shared" si="155"/>
        <v>0.42284464604906319</v>
      </c>
      <c r="AG382" s="799">
        <f t="shared" si="155"/>
        <v>1</v>
      </c>
      <c r="AH382" s="176">
        <f t="shared" si="155"/>
        <v>7</v>
      </c>
      <c r="AI382" s="224">
        <f>AVERAGE(AI15:AI380)</f>
        <v>1.4228446460490634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60.051088440936823</v>
      </c>
      <c r="C383" s="376"/>
      <c r="D383" s="376">
        <f>MAX(D15:D380)</f>
        <v>62.794606450079733</v>
      </c>
      <c r="E383" s="376">
        <f>MAX(E15:E380)</f>
        <v>63.44827697422857</v>
      </c>
      <c r="F383" s="377">
        <f>MAX(F15:F380)</f>
        <v>63.505407005756894</v>
      </c>
      <c r="G383" s="127">
        <f>+MAX(G15:G380)</f>
        <v>1.0482441826576601</v>
      </c>
      <c r="H383" s="94"/>
      <c r="I383" s="377">
        <f>MAX(I15:I380)</f>
        <v>64.215122991320413</v>
      </c>
      <c r="J383" s="60">
        <f>MAX(J15:J380)</f>
        <v>2025</v>
      </c>
      <c r="K383" s="200" t="s">
        <v>9</v>
      </c>
      <c r="L383" s="148">
        <f t="shared" ref="L383:T383" si="156">MAX(L15:L380)</f>
        <v>4.7640930714633489E-2</v>
      </c>
      <c r="M383" s="834"/>
      <c r="N383" s="834"/>
      <c r="O383" s="49">
        <f t="shared" si="156"/>
        <v>5.9233426233963861E-2</v>
      </c>
      <c r="P383" s="170">
        <f t="shared" si="156"/>
        <v>6.8046183444714373E-2</v>
      </c>
      <c r="Q383" s="312">
        <f t="shared" si="156"/>
        <v>0.7</v>
      </c>
      <c r="R383" s="313">
        <f t="shared" si="156"/>
        <v>0.53460452776097922</v>
      </c>
      <c r="S383" s="800">
        <f t="shared" si="156"/>
        <v>1</v>
      </c>
      <c r="T383" s="232">
        <f t="shared" si="156"/>
        <v>7</v>
      </c>
      <c r="U383" s="252">
        <f>+MAX(U15:U380)</f>
        <v>1.5346045277609792</v>
      </c>
      <c r="V383" s="376">
        <f>MAX(V15:V380)</f>
        <v>58.657049314940984</v>
      </c>
      <c r="X383" s="112" t="s">
        <v>9</v>
      </c>
      <c r="Y383" s="376">
        <f>MAX(Y15:Y380)</f>
        <v>56.927123209000122</v>
      </c>
      <c r="Z383" s="376">
        <f>MAX(Z15:Z380)</f>
        <v>59.527918494937367</v>
      </c>
      <c r="AA383" s="376">
        <f>MAX(AA15:AA380)</f>
        <v>63.444522908212157</v>
      </c>
      <c r="AB383" s="200" t="s">
        <v>9</v>
      </c>
      <c r="AC383" s="49">
        <f t="shared" ref="AC383:AH383" si="157">MAX(AC15:AC380)</f>
        <v>6.8202679702165578E-2</v>
      </c>
      <c r="AD383" s="170">
        <f t="shared" si="157"/>
        <v>7.1013092675482836E-2</v>
      </c>
      <c r="AE383" s="312">
        <f t="shared" si="157"/>
        <v>0.7</v>
      </c>
      <c r="AF383" s="313">
        <f t="shared" si="157"/>
        <v>0.59893675002081137</v>
      </c>
      <c r="AG383" s="800">
        <f t="shared" si="157"/>
        <v>1</v>
      </c>
      <c r="AH383" s="232">
        <f t="shared" si="157"/>
        <v>7</v>
      </c>
      <c r="AI383" s="226">
        <f>MAX(AI15:AI380)</f>
        <v>1.5989367500208114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7" priority="4" stopIfTrue="1" operator="lessThan">
      <formula>0.01</formula>
    </cfRule>
    <cfRule type="cellIs" dxfId="6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A380" sqref="A380:G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3">
        <f>'2025'!An+1</f>
        <v>2026</v>
      </c>
      <c r="K1" s="1274"/>
      <c r="L1" s="113" t="str">
        <f>"Calcul pertes et enveloppes en "&amp;TEXT(An,0)</f>
        <v>Calcul pertes et enveloppes en 2026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2026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3">
        <f>Tmaj</f>
        <v>44926</v>
      </c>
      <c r="F3" s="1283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165</v>
      </c>
      <c r="V3" s="622">
        <f>Salim_i</f>
        <v>0.08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-4.7606916415546152E-2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4" t="str">
        <f>Station</f>
        <v>Noueilles salle des fêtes</v>
      </c>
      <c r="F4" s="1215"/>
      <c r="G4" s="1215"/>
      <c r="H4" s="1215"/>
      <c r="I4" s="1216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0.8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365.80316152224435</v>
      </c>
      <c r="AK4" s="822">
        <f>AM12-AK12</f>
        <v>73.922547970386304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4">
        <f>T0</f>
        <v>43475</v>
      </c>
      <c r="F5" s="1284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365.80316152224435</v>
      </c>
      <c r="AA5" s="236">
        <f>Wh_Pvg_s-Wh_Pvg</f>
        <v>74.158758690165115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1943.3159786283563</v>
      </c>
      <c r="AL5" s="514">
        <f>SUMIF(AJ15:AJ380,"VRAI",Wh_s)</f>
        <v>0</v>
      </c>
      <c r="AM5" s="514">
        <f>SUMIF(AK15:AK380,"VRAI",Wh_s)</f>
        <v>1868.5315627115172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5">
        <f>Tservice</f>
        <v>43522</v>
      </c>
      <c r="F6" s="1285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10998.068647841646</v>
      </c>
      <c r="AK6" s="514">
        <f>SUMIF(AK15:AK380,"FAUX",Wh)</f>
        <v>9054.7526692133015</v>
      </c>
      <c r="AL6" s="514">
        <f>SUMIF(AJ15:AJ380,"FAUX",Wh_s)</f>
        <v>10550.632583040553</v>
      </c>
      <c r="AM6" s="514">
        <f>SUMIF(AK15:AK380,"FAUX",Wh_s)</f>
        <v>8682.1010203290407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AND(YEAR(Tnet)=An,Resal_2026="I")</f>
        <v>0</v>
      </c>
      <c r="F7" s="319" t="b">
        <f>YEAR(Tnet)=An</f>
        <v>0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2112.9267400457888</v>
      </c>
      <c r="AL7" s="514">
        <f>SUMIF(AJ15:AJ380,"VRAI",Wh_pvt_s)</f>
        <v>0</v>
      </c>
      <c r="AM7" s="514">
        <f>SUMIF(AK15:AK380,"VRAI",Wh_sa_s)</f>
        <v>2111.3859409713577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AND(YEAR(Tnet)=An,Resal_2026&lt;&gt;"I")</f>
        <v>0</v>
      </c>
      <c r="F8" s="320" t="b">
        <f>YEAR(Ttai)=An</f>
        <v>1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1" t="s">
        <v>102</v>
      </c>
      <c r="Y8" s="1272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11587.904635435445</v>
      </c>
      <c r="AK8" s="514">
        <f>SUMIF(AK15:AK380,"FAUX",Wh_sa)</f>
        <v>9997.329544223905</v>
      </c>
      <c r="AL8" s="514">
        <f>SUMIF(AJ15:AJ380,"FAUX",Wh_pvt_s)</f>
        <v>11116.377364281709</v>
      </c>
      <c r="AM8" s="514">
        <f>SUMIF(AK15:AK380,"FAUX",Wh_sa_s)</f>
        <v>9912.7568322892184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11587.904635435445</v>
      </c>
      <c r="E9" s="184">
        <f>SUM(E$15:E$380)</f>
        <v>12110.256284269699</v>
      </c>
      <c r="F9" s="184">
        <f>SUM(F$15:F$380)</f>
        <v>12155.909300061356</v>
      </c>
      <c r="H9" s="1275">
        <f>+SUM(Wh)</f>
        <v>10998.068647841646</v>
      </c>
      <c r="I9" s="1276"/>
      <c r="J9" s="1277"/>
      <c r="K9" s="191"/>
      <c r="L9" s="231"/>
      <c r="M9" s="231"/>
      <c r="N9" s="231"/>
      <c r="O9" s="222">
        <f>Tnet_2026</f>
        <v>45777</v>
      </c>
      <c r="P9" s="243" t="s">
        <v>91</v>
      </c>
      <c r="Q9" s="244"/>
      <c r="R9" s="244"/>
      <c r="S9" s="244"/>
      <c r="T9" s="244"/>
      <c r="U9" s="245"/>
      <c r="V9" s="460"/>
      <c r="W9" s="519"/>
      <c r="X9" s="1269">
        <f>+SUM(Wh_s)</f>
        <v>10550.632583040553</v>
      </c>
      <c r="Y9" s="1270"/>
      <c r="Z9" s="514">
        <f>SUM(Z$15:Z$380)</f>
        <v>11116.377364281709</v>
      </c>
      <c r="AA9" s="514">
        <f>SUM(AA$15:AA$380)</f>
        <v>12024.142773260577</v>
      </c>
      <c r="AB9" s="514">
        <f>F9</f>
        <v>12155.909300061356</v>
      </c>
      <c r="AC9" s="324">
        <f>IF(An_Tnet,Tnet,'2025'!Tnet_s)</f>
        <v>45777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2153.5381326605861</v>
      </c>
      <c r="AL9" s="514">
        <f>SUMIF(AJ15:AJ380,"VRAI",Wh_sa_s)</f>
        <v>0</v>
      </c>
      <c r="AM9" s="514">
        <f>SUMIF(AK15:AK380,"VRAI",Wh_hp)</f>
        <v>2153.5381326605861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IF(Inflex,'2025'!Resal+('2025'!Salim-'2025'!Resal)*(1-EXP(-(Tnet-'2025'!Tnet)/('2025'!Tau_j))),IF(An_Tnet,Resal_2026,'2025'!Resal))</f>
        <v>7.0000000000000001E-3</v>
      </c>
      <c r="P10" s="419" t="b">
        <f>NOT(Acti_tai)</f>
        <v>0</v>
      </c>
      <c r="Q10" s="256">
        <f>IF(Acti_tai,'2025'!PousD,Dens-Dd)</f>
        <v>0</v>
      </c>
      <c r="R10" s="273"/>
      <c r="S10" s="274"/>
      <c r="T10" s="275"/>
      <c r="U10" s="265">
        <f>IF(Acti_tai,'2025'!PousH,Hdtf-Hdd)</f>
        <v>0.40000000000000013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IF(OR(Inflex,GainD),'2025'!Resal_s+('2025'!Salim-'2025'!Resal_s)*(1-EXP(('2025'!Tnet_s-Tnet)/('2025'!Tau_j))),IF(Acti_net,'2025'!Resal+('2025'!Salim-'2025'!Resal)*(1-EXP(('2025'!Tnet-Tnet)/'2025'!Tau_j)),'2025'!Resal_s))</f>
        <v>5.8659221518269557E-2</v>
      </c>
      <c r="AD10" s="426"/>
      <c r="AE10" s="426"/>
      <c r="AF10" s="259"/>
      <c r="AG10" s="260"/>
      <c r="AH10" s="261"/>
      <c r="AI10" s="471"/>
      <c r="AJ10" s="514">
        <f>SUMIF(AJ15:AJ380,"FAUX",Wh_sa)</f>
        <v>12110.256284269699</v>
      </c>
      <c r="AK10" s="514">
        <f>SUMIF(AK15:AK380,"FAUX",Wh_hp)</f>
        <v>10002.371167400772</v>
      </c>
      <c r="AL10" s="514">
        <f>SUMIF(AJ15:AJ380,"FAUX",Wh_sa_s)</f>
        <v>12024.142773260577</v>
      </c>
      <c r="AM10" s="514">
        <f>SUMIF(AK15:AK380,"FAUX",Wh_hp)</f>
        <v>10002.371167400772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589.83598759379856</v>
      </c>
      <c r="E11" s="51">
        <f>(E$9-D$9)*Prod_an/D$9</f>
        <v>495.76342513423862</v>
      </c>
      <c r="F11" s="186">
        <f>(F$9-E$9)*Prod_an/E$9</f>
        <v>41.460311811057494</v>
      </c>
      <c r="G11" s="185" t="s">
        <v>6</v>
      </c>
      <c r="K11" s="194"/>
      <c r="L11" s="211">
        <f>Tvie_2026</f>
        <v>43475</v>
      </c>
      <c r="M11" s="831"/>
      <c r="N11" s="831"/>
      <c r="O11" s="202">
        <f>IF(An_Tnet,Salim_2026,'2025'!Salim)</f>
        <v>9.6666666666666679E-2</v>
      </c>
      <c r="P11" s="255">
        <f>Ttai_2026</f>
        <v>46112</v>
      </c>
      <c r="Q11" s="271">
        <f>Dens_2026</f>
        <v>0.7</v>
      </c>
      <c r="R11" s="276"/>
      <c r="S11" s="229"/>
      <c r="T11" s="229"/>
      <c r="U11" s="265">
        <f>Htf_2026</f>
        <v>-1.2010628157667154</v>
      </c>
      <c r="V11" s="426"/>
      <c r="W11" s="517"/>
      <c r="X11" s="524" t="s">
        <v>43</v>
      </c>
      <c r="Y11" s="50">
        <f>Z$9-Prod_an_s</f>
        <v>565.74478124115558</v>
      </c>
      <c r="Z11" s="51">
        <f>(AA$9-Z$9)*Prod_an_s/Z$9</f>
        <v>861.56658665648297</v>
      </c>
      <c r="AA11" s="186">
        <f>(AB$9-AA$9)*Prod_an_s/AA$9</f>
        <v>115.61907050122261</v>
      </c>
      <c r="AB11" s="525" t="s">
        <v>6</v>
      </c>
      <c r="AC11" s="324"/>
      <c r="AD11" s="426"/>
      <c r="AE11" s="271">
        <f>IF(Acti_tai,IF(GainD,Dd_s,Dd)+PousD*Croi_tai,"NA")</f>
        <v>0.7</v>
      </c>
      <c r="AF11" s="246"/>
      <c r="AG11" s="246"/>
      <c r="AH11" s="246"/>
      <c r="AI11" s="265">
        <f>IF(Acti_tai,IF(GainD,Hdd_s,Hdd)+PousH*Croi_tai,"NA")</f>
        <v>1.5545950150726355</v>
      </c>
      <c r="AJ11" s="821">
        <f>IF($AJ7=0,0,($AJ9-$AJ7)*$AJ5/$AJ7)</f>
        <v>0</v>
      </c>
      <c r="AK11" s="822">
        <f>IF($AK7=0,0,($AK9-$AK7)*$AK5/$AK7)</f>
        <v>37.351398269953705</v>
      </c>
      <c r="AL11" s="821">
        <f>IF($AL7=0,0,($AL9-$AL7)*$AL5/$AL7)</f>
        <v>0</v>
      </c>
      <c r="AM11" s="822">
        <f>IF($AM7=0,0,($AM9-$AM7)*$AM5/$AM7)</f>
        <v>37.303791353538159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4.8244182657660284E-2</v>
      </c>
      <c r="K12" s="191"/>
      <c r="L12" s="212">
        <f>Pspv_2026</f>
        <v>0</v>
      </c>
      <c r="M12" s="212"/>
      <c r="N12" s="212"/>
      <c r="O12" s="205">
        <f>IF(An_Tnet,Tau_2026*365,'2025'!Tau_j)</f>
        <v>851.66666666666674</v>
      </c>
      <c r="P12" s="280">
        <f>INDEX(Croivg,MIN(MAX(Ttai-$A$15,0)+1,366))</f>
        <v>4.9976218279140845E-2</v>
      </c>
      <c r="Q12" s="279">
        <f>'2025'!Df</f>
        <v>0.7</v>
      </c>
      <c r="R12" s="277"/>
      <c r="S12" s="278"/>
      <c r="T12" s="278"/>
      <c r="U12" s="266">
        <f>'2025'!Hdf</f>
        <v>1.5346045277609792</v>
      </c>
      <c r="V12" s="40"/>
      <c r="W12" s="34"/>
      <c r="X12" s="54"/>
      <c r="Y12" s="34"/>
      <c r="AB12" s="318" t="s">
        <v>106</v>
      </c>
      <c r="AC12" s="317" t="b">
        <f>NOT(An_Tnet)</f>
        <v>1</v>
      </c>
      <c r="AE12" s="295">
        <f>'2025'!Df_s</f>
        <v>0.7</v>
      </c>
      <c r="AF12" s="203"/>
      <c r="AG12" s="203"/>
      <c r="AH12" s="203"/>
      <c r="AI12" s="296">
        <f>'2025'!Hdf_s</f>
        <v>1.5989367500208114</v>
      </c>
      <c r="AJ12" s="821">
        <f>IF($AJ8=0,0,($AJ10-$AJ8)*$AJ6/$AJ8)</f>
        <v>495.76342513423862</v>
      </c>
      <c r="AK12" s="822">
        <f>IF($AK8=0,0,($AK10-$AK8)*$AK6/$AK8)</f>
        <v>4.5662844978714743</v>
      </c>
      <c r="AL12" s="821">
        <f>IF($AL8=0,0,($AL10-$AL8)*$AL6/$AL8)</f>
        <v>861.56658665648297</v>
      </c>
      <c r="AM12" s="822">
        <f>IF($AM8=0,0,($AM10-$AM8)*$AM6/$AM8)</f>
        <v>78.488832468257783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202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206</v>
      </c>
      <c r="AJ13" s="73">
        <f>+AJ11+AJ12</f>
        <v>495.76342513423862</v>
      </c>
      <c r="AK13" s="73">
        <f>+AK11+AK12</f>
        <v>41.917682767825177</v>
      </c>
      <c r="AL13" s="73">
        <f>+AL11+AL12</f>
        <v>861.56658665648297</v>
      </c>
      <c r="AM13" s="73">
        <f>+AM11+AM12</f>
        <v>115.79262382179594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188</v>
      </c>
      <c r="C14" s="414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2026</v>
      </c>
      <c r="W14" s="826" t="s">
        <v>116</v>
      </c>
      <c r="X14" s="257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46023</v>
      </c>
      <c r="B15" s="408">
        <f>'2025'!Wh/'2025'!Env_an*'2026'!Env_an</f>
        <v>22.673040207682536</v>
      </c>
      <c r="C15" s="829"/>
      <c r="D15" s="391">
        <f t="shared" ref="D15:D78" si="0">Wh/(1-Ppv)</f>
        <v>23.80769551201633</v>
      </c>
      <c r="E15" s="398">
        <f t="shared" ref="E15:E79" si="1">Wh_pvt/(1-Psa)</f>
        <v>24.53166757401489</v>
      </c>
      <c r="F15" s="398">
        <f t="shared" ref="F15:F78" si="2">Wh_sa/(1-Pvg*MEDIAN((-Sdif+Wh/Env_an)/Csdif,0,1))</f>
        <v>26.201080618817077</v>
      </c>
      <c r="G15" s="123">
        <f>+Wh_hp/MaxiM</f>
        <v>0.98795749993675142</v>
      </c>
      <c r="H15" s="412" t="b">
        <f>Wh_hp&gt;='2025'!Maxi_hp</f>
        <v>0</v>
      </c>
      <c r="I15" s="394">
        <f>IF(H15,Wh_hp,'2025'!Maxi_hp)</f>
        <v>26.223670689072435</v>
      </c>
      <c r="J15" s="84">
        <f>IF(H15,An,'2025'!An_max)</f>
        <v>2022</v>
      </c>
      <c r="K15" s="197">
        <f t="shared" ref="K15:K78" si="3">t</f>
        <v>46023</v>
      </c>
      <c r="L15" s="146">
        <f>IF(t&lt;Tvie,1-EXP((T0-t)*PertePVj)+'2025'!Pspv,1-EXP((T0-t)*PertePVj)+Pspv)</f>
        <v>4.7659182458928306E-2</v>
      </c>
      <c r="M15" s="832"/>
      <c r="N15" s="832"/>
      <c r="O15" s="48">
        <f>IF(t&lt;Tnet,'2025'!Resal+('2025'!Salim-'2025'!Resal)*(1-EXP(('2025'!Tnet-t)/('2025'!Tau_j))),Resal+(Salim-Resal)*(1-EXP((Tnet-t)/(Tau_j))))*Salcycl</f>
        <v>2.9511734569786206E-2</v>
      </c>
      <c r="P15" s="301">
        <f>(INDEX(Models!$BJ15:$BT15,,T15)*(1-R15)+INDEX(Models!$BJ15:$BT15,,T15+1)*R15-ERP_i)*Q15*Ramure*Pc/MaxiM</f>
        <v>6.4729917006849297E-2</v>
      </c>
      <c r="Q15" s="302">
        <f t="shared" ref="Q15:Q78" si="4">IF(OR(t&lt;Ttai,Notai),Dd+PousD*Croivg,Dens+PousD*(Croivg-Croi_tai))</f>
        <v>0.7</v>
      </c>
      <c r="R15" s="303">
        <f t="shared" ref="R15:R78" si="5">(Hp_vg-S15)/(INDEX(Echel_vg,T15+1)-S15)</f>
        <v>0.53460548415956266</v>
      </c>
      <c r="S15" s="798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1.5346054841595627</v>
      </c>
      <c r="V15" s="381">
        <f t="shared" ref="V15:V78" si="9">MaxiM*(1-Ppv)*(1-Pvg)*(1-Psa)</f>
        <v>22.924542152167419</v>
      </c>
      <c r="W15" s="400">
        <f t="shared" ref="W15:W78" si="10">Wh*(A15&gt;Tmaj)</f>
        <v>22.673040207682536</v>
      </c>
      <c r="X15" s="156">
        <f t="shared" ref="X15:X78" si="11">t</f>
        <v>46023</v>
      </c>
      <c r="Y15" s="383">
        <f t="shared" ref="Y15:Y78" si="12">Wh_pvt_s*(1-Ppv)</f>
        <v>21.702939030224265</v>
      </c>
      <c r="Z15" s="383">
        <f>Wh_sa_s*(1-Psa_s)</f>
        <v>22.789046348198006</v>
      </c>
      <c r="AA15" s="384">
        <f t="shared" ref="AA15:AA78" si="13">Wh_hp*(1-Pvg_s*MEDIAN((-Sdif+Wh/Env_an)/Csdif,0,1))</f>
        <v>24.457887542124894</v>
      </c>
      <c r="AB15" s="197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6.8233251586122021E-2</v>
      </c>
      <c r="AD15" s="230">
        <f>(INDEX(Models!$BJ15:$BT15,,AH15)*(1-AF15)+INDEX(Models!$BJ15:$BT15,,AH15+1)*AF15-ERP_i)*AE15*Ramure*Pc/MaxiM</f>
        <v>6.759066818875227E-2</v>
      </c>
      <c r="AE15" s="302">
        <f t="shared" ref="AE15:AE78" si="15">IF(OR(t&lt;Ttai,Notai),Dd_s+PousD*Croivg,Dens_s+PousD*(Croivg-Croi_tai))</f>
        <v>0.7</v>
      </c>
      <c r="AF15" s="303">
        <f>(Hp_vg_s-AG15)/(INDEX(Echel_vg,AH15+1)-AG15)</f>
        <v>0.59893770641939481</v>
      </c>
      <c r="AG15" s="798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1.5989377064193948</v>
      </c>
      <c r="AJ15" s="264" t="b">
        <f t="shared" ref="AJ15:AJ78" si="18">t&lt;Tnet</f>
        <v>0</v>
      </c>
      <c r="AK15" s="264" t="b">
        <f t="shared" ref="AK15:AK78" si="19">t&lt;Ttai</f>
        <v>1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46024</v>
      </c>
      <c r="B16" s="409">
        <f>'2025'!Wh/'2025'!Env_an*'2026'!Env_an</f>
        <v>15.357638356792433</v>
      </c>
      <c r="C16" s="829"/>
      <c r="D16" s="391">
        <f t="shared" si="0"/>
        <v>16.126508919068094</v>
      </c>
      <c r="E16" s="383">
        <f t="shared" si="1"/>
        <v>16.6182328107332</v>
      </c>
      <c r="F16" s="383">
        <f t="shared" si="2"/>
        <v>17.191944874324165</v>
      </c>
      <c r="G16" s="110">
        <f t="shared" ref="G16:G79" si="21">+Wh_hp/MaxiM</f>
        <v>0.64365661845522371</v>
      </c>
      <c r="H16" s="412" t="b">
        <f>Wh_hp&gt;='2025'!Maxi_hp</f>
        <v>0</v>
      </c>
      <c r="I16" s="388">
        <f>IF(H16,Wh_hp,'2025'!Maxi_hp)</f>
        <v>26.138638462365517</v>
      </c>
      <c r="J16" s="85">
        <f>IF(H16,An,'2025'!An_max)</f>
        <v>2020</v>
      </c>
      <c r="K16" s="197">
        <f t="shared" si="3"/>
        <v>46024</v>
      </c>
      <c r="L16" s="147">
        <f>IF(t&lt;Tvie,1-EXP((T0-t)*PertePVj)+'2025'!Pspv,1-EXP((T0-t)*PertePVj)+Pspv)</f>
        <v>4.7677433853432705E-2</v>
      </c>
      <c r="M16" s="832"/>
      <c r="N16" s="832"/>
      <c r="O16" s="48">
        <f>IF(t&lt;Tnet,'2025'!Resal+('2025'!Salim-'2025'!Resal)*(1-EXP(('2025'!Tnet-t)/('2025'!Tau_j))),Resal+(Salim-Resal)*(1-EXP((Tnet-t)/(Tau_j))))*Salcycl</f>
        <v>2.9589421285969652E-2</v>
      </c>
      <c r="P16" s="169">
        <f>(INDEX(Models!$BJ16:$BT16,,T16)*(1-R16)+INDEX(Models!$BJ16:$BT16,,T16+1)*R16-ERP_i)*Q16*Ramure*Pc/MaxiM</f>
        <v>6.4043047455996149E-2</v>
      </c>
      <c r="Q16" s="304">
        <f t="shared" si="4"/>
        <v>0.7</v>
      </c>
      <c r="R16" s="177">
        <f t="shared" si="5"/>
        <v>0.53462885585075814</v>
      </c>
      <c r="S16" s="799">
        <f t="shared" si="6"/>
        <v>1</v>
      </c>
      <c r="T16" s="176">
        <f t="shared" si="7"/>
        <v>7</v>
      </c>
      <c r="U16" s="250">
        <f t="shared" si="8"/>
        <v>1.5346288558507581</v>
      </c>
      <c r="V16" s="382">
        <f t="shared" si="9"/>
        <v>23.102886421974446</v>
      </c>
      <c r="W16" s="400">
        <f t="shared" si="10"/>
        <v>15.357638356792433</v>
      </c>
      <c r="X16" s="157">
        <f t="shared" si="11"/>
        <v>46024</v>
      </c>
      <c r="Y16" s="383">
        <f t="shared" si="12"/>
        <v>14.72304103585288</v>
      </c>
      <c r="Z16" s="383">
        <f t="shared" ref="Z16:Z78" si="22">Wh_sa_s*(1-Psa_s)</f>
        <v>15.460140880025024</v>
      </c>
      <c r="AA16" s="384">
        <f t="shared" si="13"/>
        <v>16.592833270933518</v>
      </c>
      <c r="AB16" s="197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6.8263953021976367E-2</v>
      </c>
      <c r="AD16" s="230">
        <f>(INDEX(Models!$BJ16:$BT16,,AH16)*(1-AF16)+INDEX(Models!$BJ16:$BT16,,AH16+1)*AF16-ERP_i)*AE16*Ramure*Pc/MaxiM</f>
        <v>6.6878379037782584E-2</v>
      </c>
      <c r="AE16" s="304">
        <f t="shared" si="15"/>
        <v>0.7</v>
      </c>
      <c r="AF16" s="177">
        <f t="shared" ref="AF16:AF78" si="23">(Hp_vg_s-AG16)/(INDEX(Echel_vg,AH16+1)-AG16)</f>
        <v>0.59896107811059029</v>
      </c>
      <c r="AG16" s="799">
        <f t="shared" ref="AG16:AG79" si="24">INDEX(Echel_vg,AH16)</f>
        <v>1</v>
      </c>
      <c r="AH16" s="176">
        <f t="shared" si="16"/>
        <v>7</v>
      </c>
      <c r="AI16" s="224">
        <f t="shared" si="17"/>
        <v>1.5989610781105903</v>
      </c>
      <c r="AJ16" s="264" t="b">
        <f t="shared" si="18"/>
        <v>0</v>
      </c>
      <c r="AK16" s="264" t="b">
        <f t="shared" si="19"/>
        <v>1</v>
      </c>
      <c r="AL16" s="264"/>
      <c r="AM16" s="264"/>
      <c r="AN16" s="75"/>
    </row>
    <row r="17" spans="1:40" s="6" customFormat="1" ht="11.25" x14ac:dyDescent="0.2">
      <c r="A17" s="56">
        <f t="shared" si="20"/>
        <v>46025</v>
      </c>
      <c r="B17" s="409">
        <f>'2025'!Wh/'2025'!Env_an*'2026'!Env_an</f>
        <v>17.42370109234572</v>
      </c>
      <c r="C17" s="829"/>
      <c r="D17" s="391">
        <f t="shared" si="0"/>
        <v>18.296358439247744</v>
      </c>
      <c r="E17" s="383">
        <f t="shared" si="1"/>
        <v>18.855753509788538</v>
      </c>
      <c r="F17" s="383">
        <f t="shared" si="2"/>
        <v>19.651793542626848</v>
      </c>
      <c r="G17" s="110">
        <f t="shared" si="21"/>
        <v>0.73027755186773524</v>
      </c>
      <c r="H17" s="412" t="b">
        <f>Wh_hp&gt;='2025'!Maxi_hp</f>
        <v>0</v>
      </c>
      <c r="I17" s="388">
        <f>IF(H17,Wh_hp,'2025'!Maxi_hp)</f>
        <v>25.752586103343905</v>
      </c>
      <c r="J17" s="85">
        <f>IF(H17,An,'2025'!An_max)</f>
        <v>2021</v>
      </c>
      <c r="K17" s="197">
        <f t="shared" si="3"/>
        <v>46025</v>
      </c>
      <c r="L17" s="147">
        <f>IF(t&lt;Tvie,1-EXP((T0-t)*PertePVj)+'2025'!Pspv,1-EXP((T0-t)*PertePVj)+Pspv)</f>
        <v>4.7695684898153123E-2</v>
      </c>
      <c r="M17" s="832"/>
      <c r="N17" s="832"/>
      <c r="O17" s="48">
        <f>IF(t&lt;Tnet,'2025'!Resal+('2025'!Salim-'2025'!Resal)*(1-EXP(('2025'!Tnet-t)/('2025'!Tau_j))),Resal+(Salim-Resal)*(1-EXP((Tnet-t)/(Tau_j))))*Salcycl</f>
        <v>2.9667075900753435E-2</v>
      </c>
      <c r="P17" s="169">
        <f>(INDEX(Models!$BJ17:$BT17,,T17)*(1-R17)+INDEX(Models!$BJ17:$BT17,,T17+1)*R17-ERP_i)*Q17*Ramure*Pc/MaxiM</f>
        <v>6.3287304830682567E-2</v>
      </c>
      <c r="Q17" s="304">
        <f t="shared" si="4"/>
        <v>0.7</v>
      </c>
      <c r="R17" s="177">
        <f t="shared" si="5"/>
        <v>0.53465320512714976</v>
      </c>
      <c r="S17" s="799">
        <f t="shared" si="6"/>
        <v>1</v>
      </c>
      <c r="T17" s="176">
        <f t="shared" si="7"/>
        <v>7</v>
      </c>
      <c r="U17" s="250">
        <f t="shared" si="8"/>
        <v>1.5346532051271498</v>
      </c>
      <c r="V17" s="382">
        <f t="shared" si="9"/>
        <v>23.292557050935397</v>
      </c>
      <c r="W17" s="400">
        <f t="shared" si="10"/>
        <v>17.42370109234572</v>
      </c>
      <c r="X17" s="157">
        <f t="shared" si="11"/>
        <v>46025</v>
      </c>
      <c r="Y17" s="383">
        <f t="shared" si="12"/>
        <v>16.698773694732829</v>
      </c>
      <c r="Z17" s="383">
        <f t="shared" si="22"/>
        <v>17.535123415824206</v>
      </c>
      <c r="AA17" s="384">
        <f t="shared" si="13"/>
        <v>18.820462502564965</v>
      </c>
      <c r="AB17" s="197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6.8294766218714623E-2</v>
      </c>
      <c r="AD17" s="230">
        <f>(INDEX(Models!$BJ17:$BT17,,AH17)*(1-AF17)+INDEX(Models!$BJ17:$BT17,,AH17+1)*AF17-ERP_i)*AE17*Ramure*Pc/MaxiM</f>
        <v>6.6093033989776215E-2</v>
      </c>
      <c r="AE17" s="304">
        <f t="shared" si="15"/>
        <v>0.7</v>
      </c>
      <c r="AF17" s="177">
        <f>(Hp_vg_s-AG17)/(INDEX(Echel_vg,AH17+1)-AG17)</f>
        <v>0.59898542738698191</v>
      </c>
      <c r="AG17" s="799">
        <f>INDEX(Echel_vg,AH17)</f>
        <v>1</v>
      </c>
      <c r="AH17" s="176">
        <f t="shared" si="16"/>
        <v>7</v>
      </c>
      <c r="AI17" s="224">
        <f t="shared" si="17"/>
        <v>1.5989854273869819</v>
      </c>
      <c r="AJ17" s="264" t="b">
        <f t="shared" si="18"/>
        <v>0</v>
      </c>
      <c r="AK17" s="264" t="b">
        <f t="shared" si="19"/>
        <v>1</v>
      </c>
      <c r="AL17" s="264"/>
      <c r="AM17" s="264"/>
      <c r="AN17" s="75"/>
    </row>
    <row r="18" spans="1:40" s="6" customFormat="1" ht="11.25" x14ac:dyDescent="0.2">
      <c r="A18" s="56">
        <f t="shared" si="20"/>
        <v>46026</v>
      </c>
      <c r="B18" s="409">
        <f>'2025'!Wh/'2025'!Env_an*'2026'!Env_an</f>
        <v>17.720334425626138</v>
      </c>
      <c r="C18" s="829"/>
      <c r="D18" s="391">
        <f t="shared" si="0"/>
        <v>18.608205126536845</v>
      </c>
      <c r="E18" s="383">
        <f t="shared" si="1"/>
        <v>19.178668722657445</v>
      </c>
      <c r="F18" s="383">
        <f t="shared" si="2"/>
        <v>19.989056199454563</v>
      </c>
      <c r="G18" s="110">
        <f t="shared" si="21"/>
        <v>0.73706260997279882</v>
      </c>
      <c r="H18" s="412" t="b">
        <f>Wh_hp&gt;='2025'!Maxi_hp</f>
        <v>0</v>
      </c>
      <c r="I18" s="388">
        <f>IF(H18,Wh_hp,'2025'!Maxi_hp)</f>
        <v>23.895973120339946</v>
      </c>
      <c r="J18" s="85">
        <f>IF(H18,An,'2025'!An_max)</f>
        <v>2021</v>
      </c>
      <c r="K18" s="197">
        <f t="shared" si="3"/>
        <v>46026</v>
      </c>
      <c r="L18" s="147">
        <f>IF(t&lt;Tvie,1-EXP((T0-t)*PertePVj)+'2025'!Pspv,1-EXP((T0-t)*PertePVj)+Pspv)</f>
        <v>4.7713935593096557E-2</v>
      </c>
      <c r="M18" s="832"/>
      <c r="N18" s="832"/>
      <c r="O18" s="48">
        <f>IF(t&lt;Tnet,'2025'!Resal+('2025'!Salim-'2025'!Resal)*(1-EXP(('2025'!Tnet-t)/('2025'!Tau_j))),Resal+(Salim-Resal)*(1-EXP((Tnet-t)/(Tau_j))))*Salcycl</f>
        <v>2.9744692104028091E-2</v>
      </c>
      <c r="P18" s="169">
        <f>(INDEX(Models!$BJ18:$BT18,,T18)*(1-R18)+INDEX(Models!$BJ18:$BT18,,T18+1)*R18-ERP_i)*Q18*Ramure*Pc/MaxiM</f>
        <v>6.2467684869072344E-2</v>
      </c>
      <c r="Q18" s="304">
        <f t="shared" si="4"/>
        <v>0.7</v>
      </c>
      <c r="R18" s="177">
        <f t="shared" si="5"/>
        <v>0.53467857275218589</v>
      </c>
      <c r="S18" s="799">
        <f t="shared" si="6"/>
        <v>1</v>
      </c>
      <c r="T18" s="176">
        <f t="shared" si="7"/>
        <v>7</v>
      </c>
      <c r="U18" s="250">
        <f t="shared" si="8"/>
        <v>1.5346785727521859</v>
      </c>
      <c r="V18" s="382">
        <f t="shared" si="9"/>
        <v>23.492412104186151</v>
      </c>
      <c r="W18" s="400">
        <f t="shared" si="10"/>
        <v>17.720334425626138</v>
      </c>
      <c r="X18" s="157">
        <f t="shared" si="11"/>
        <v>46026</v>
      </c>
      <c r="Y18" s="383">
        <f t="shared" si="12"/>
        <v>16.983800212194744</v>
      </c>
      <c r="Z18" s="383">
        <f>Wh_sa_s*(1-Psa_s)</f>
        <v>17.834767142972403</v>
      </c>
      <c r="AA18" s="384">
        <f t="shared" si="13"/>
        <v>19.142705421045822</v>
      </c>
      <c r="AB18" s="197">
        <f>t</f>
        <v>46026</v>
      </c>
      <c r="AC18" s="119">
        <f>IF(OR(t&lt;Tnet,NoTnet),'2025'!Resal_s+('2025'!Salim-'2025'!Resal_s)*(1-EXP(('2025'!Tnet_s-t)/'2025'!Tau_j)),Resal_s+(Salim-Resal_s)*(1-EXP((Tnet_s-t)/Tau_j)))*Salcycl</f>
        <v>6.8325675462541924E-2</v>
      </c>
      <c r="AD18" s="230">
        <f>(INDEX(Models!$BJ18:$BT18,,AH18)*(1-AF18)+INDEX(Models!$BJ18:$BT18,,AH18+1)*AF18-ERP_i)*AE18*Ramure*Pc/MaxiM</f>
        <v>6.5239870096816893E-2</v>
      </c>
      <c r="AE18" s="304">
        <f t="shared" si="15"/>
        <v>0.7</v>
      </c>
      <c r="AF18" s="177">
        <f t="shared" si="23"/>
        <v>0.59901079501201804</v>
      </c>
      <c r="AG18" s="799">
        <f t="shared" si="24"/>
        <v>1</v>
      </c>
      <c r="AH18" s="176">
        <f t="shared" si="16"/>
        <v>7</v>
      </c>
      <c r="AI18" s="224">
        <f t="shared" si="17"/>
        <v>1.599010795012018</v>
      </c>
      <c r="AJ18" s="264" t="b">
        <f t="shared" si="18"/>
        <v>0</v>
      </c>
      <c r="AK18" s="264" t="b">
        <f t="shared" si="19"/>
        <v>1</v>
      </c>
      <c r="AL18" s="264"/>
      <c r="AM18" s="264"/>
      <c r="AN18" s="75"/>
    </row>
    <row r="19" spans="1:40" s="6" customFormat="1" ht="11.25" x14ac:dyDescent="0.2">
      <c r="A19" s="56">
        <f t="shared" si="20"/>
        <v>46027</v>
      </c>
      <c r="B19" s="409">
        <f>'2025'!Wh/'2025'!Env_an*'2026'!Env_an</f>
        <v>12.820927909966572</v>
      </c>
      <c r="C19" s="829"/>
      <c r="D19" s="391">
        <f t="shared" si="0"/>
        <v>13.463573713870645</v>
      </c>
      <c r="E19" s="383">
        <f t="shared" si="1"/>
        <v>13.877430103770838</v>
      </c>
      <c r="F19" s="383">
        <f t="shared" si="2"/>
        <v>14.177985363670979</v>
      </c>
      <c r="G19" s="110">
        <f t="shared" si="21"/>
        <v>0.51861569890205805</v>
      </c>
      <c r="H19" s="412" t="b">
        <f>Wh_hp&gt;='2025'!Maxi_hp</f>
        <v>0</v>
      </c>
      <c r="I19" s="388">
        <f>IF(H19,Wh_hp,'2025'!Maxi_hp)</f>
        <v>14.653566209757251</v>
      </c>
      <c r="J19" s="85">
        <f>IF(H19,An,'2025'!An_max)</f>
        <v>2022</v>
      </c>
      <c r="K19" s="197">
        <f t="shared" si="3"/>
        <v>46027</v>
      </c>
      <c r="L19" s="147">
        <f>IF(t&lt;Tvie,1-EXP((T0-t)*PertePVj)+'2025'!Pspv,1-EXP((T0-t)*PertePVj)+Pspv)</f>
        <v>4.7732185938269556E-2</v>
      </c>
      <c r="M19" s="832"/>
      <c r="N19" s="832"/>
      <c r="O19" s="48">
        <f>IF(t&lt;Tnet,'2025'!Resal+('2025'!Salim-'2025'!Resal)*(1-EXP(('2025'!Tnet-t)/('2025'!Tau_j))),Resal+(Salim-Resal)*(1-EXP((Tnet-t)/(Tau_j))))*Salcycl</f>
        <v>2.9822264411026582E-2</v>
      </c>
      <c r="P19" s="169">
        <f>(INDEX(Models!$BJ19:$BT19,,T19)*(1-R19)+INDEX(Models!$BJ19:$BT19,,T19+1)*R19-ERP_i)*Q19*Ramure*Pc/MaxiM</f>
        <v>6.1589035422522184E-2</v>
      </c>
      <c r="Q19" s="304">
        <f t="shared" si="4"/>
        <v>0.7</v>
      </c>
      <c r="R19" s="177">
        <f t="shared" si="5"/>
        <v>0.53470500117823527</v>
      </c>
      <c r="S19" s="799">
        <f t="shared" si="6"/>
        <v>1</v>
      </c>
      <c r="T19" s="176">
        <f t="shared" si="7"/>
        <v>7</v>
      </c>
      <c r="U19" s="250">
        <f t="shared" si="8"/>
        <v>1.5347050011782353</v>
      </c>
      <c r="V19" s="382">
        <f t="shared" si="9"/>
        <v>23.701309841799805</v>
      </c>
      <c r="W19" s="400">
        <f t="shared" si="10"/>
        <v>12.820927909966572</v>
      </c>
      <c r="X19" s="157">
        <f t="shared" si="11"/>
        <v>46027</v>
      </c>
      <c r="Y19" s="383">
        <f t="shared" si="12"/>
        <v>12.299853931683284</v>
      </c>
      <c r="Z19" s="383">
        <f t="shared" si="22"/>
        <v>12.916381032789952</v>
      </c>
      <c r="AA19" s="384">
        <f t="shared" si="13"/>
        <v>13.864083578196006</v>
      </c>
      <c r="AB19" s="197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6.8356667071489866E-2</v>
      </c>
      <c r="AD19" s="230">
        <f>(INDEX(Models!$BJ19:$BT19,,AH19)*(1-AF19)+INDEX(Models!$BJ19:$BT19,,AH19+1)*AF19-ERP_i)*AE19*Ramure*Pc/MaxiM</f>
        <v>6.4323972208086819E-2</v>
      </c>
      <c r="AE19" s="304">
        <f t="shared" si="15"/>
        <v>0.7</v>
      </c>
      <c r="AF19" s="177">
        <f t="shared" si="23"/>
        <v>0.59903722343806742</v>
      </c>
      <c r="AG19" s="799">
        <f t="shared" si="24"/>
        <v>1</v>
      </c>
      <c r="AH19" s="176">
        <f t="shared" si="16"/>
        <v>7</v>
      </c>
      <c r="AI19" s="224">
        <f t="shared" si="17"/>
        <v>1.5990372234380674</v>
      </c>
      <c r="AJ19" s="264" t="b">
        <f t="shared" si="18"/>
        <v>0</v>
      </c>
      <c r="AK19" s="264" t="b">
        <f t="shared" si="19"/>
        <v>1</v>
      </c>
      <c r="AL19" s="264"/>
      <c r="AM19" s="264"/>
      <c r="AN19" s="75"/>
    </row>
    <row r="20" spans="1:40" s="6" customFormat="1" ht="11.25" x14ac:dyDescent="0.2">
      <c r="A20" s="56">
        <f t="shared" si="20"/>
        <v>46028</v>
      </c>
      <c r="B20" s="409">
        <f>'2025'!Wh/'2025'!Env_an*'2026'!Env_an</f>
        <v>24.130741979289862</v>
      </c>
      <c r="C20" s="829"/>
      <c r="D20" s="391">
        <f t="shared" si="0"/>
        <v>25.340775034063689</v>
      </c>
      <c r="E20" s="383">
        <f t="shared" si="1"/>
        <v>26.121811668931869</v>
      </c>
      <c r="F20" s="383">
        <f t="shared" si="2"/>
        <v>27.808568767464173</v>
      </c>
      <c r="G20" s="110">
        <f t="shared" si="21"/>
        <v>1.0088900542938466</v>
      </c>
      <c r="H20" s="412" t="b">
        <f>Wh_hp&gt;='2025'!Maxi_hp</f>
        <v>1</v>
      </c>
      <c r="I20" s="388">
        <f>IF(H20,Wh_hp,'2025'!Maxi_hp)</f>
        <v>27.808568767464173</v>
      </c>
      <c r="J20" s="85">
        <f>IF(H20,An,'2025'!An_max)</f>
        <v>2026</v>
      </c>
      <c r="K20" s="197">
        <f t="shared" si="3"/>
        <v>46028</v>
      </c>
      <c r="L20" s="147">
        <f>IF(t&lt;Tvie,1-EXP((T0-t)*PertePVj)+'2025'!Pspv,1-EXP((T0-t)*PertePVj)+Pspv)</f>
        <v>4.7750435933678892E-2</v>
      </c>
      <c r="M20" s="832"/>
      <c r="N20" s="832"/>
      <c r="O20" s="48">
        <f>IF(t&lt;Tnet,'2025'!Resal+('2025'!Salim-'2025'!Resal)*(1-EXP(('2025'!Tnet-t)/('2025'!Tau_j))),Resal+(Salim-Resal)*(1-EXP((Tnet-t)/(Tau_j))))*Salcycl</f>
        <v>2.9899788145135074E-2</v>
      </c>
      <c r="P20" s="169">
        <f>(INDEX(Models!$BJ20:$BT20,,T20)*(1-R20)+INDEX(Models!$BJ20:$BT20,,T20+1)*R20-ERP_i)*Q20*Ramure*Pc/MaxiM</f>
        <v>6.0656019827449663E-2</v>
      </c>
      <c r="Q20" s="304">
        <f t="shared" si="4"/>
        <v>0.7</v>
      </c>
      <c r="R20" s="177">
        <f t="shared" si="5"/>
        <v>0.53473253461563575</v>
      </c>
      <c r="S20" s="799">
        <f t="shared" si="6"/>
        <v>1</v>
      </c>
      <c r="T20" s="176">
        <f t="shared" si="7"/>
        <v>7</v>
      </c>
      <c r="U20" s="250">
        <f t="shared" si="8"/>
        <v>1.5347325346156357</v>
      </c>
      <c r="V20" s="382">
        <f t="shared" si="9"/>
        <v>23.918108694390604</v>
      </c>
      <c r="W20" s="400">
        <f t="shared" si="10"/>
        <v>24.130741979289862</v>
      </c>
      <c r="X20" s="157">
        <f t="shared" si="11"/>
        <v>46028</v>
      </c>
      <c r="Y20" s="383">
        <f t="shared" si="12"/>
        <v>23.106908737611015</v>
      </c>
      <c r="Z20" s="383">
        <f t="shared" si="22"/>
        <v>24.265601801842035</v>
      </c>
      <c r="AA20" s="384">
        <f t="shared" si="13"/>
        <v>26.046889425881925</v>
      </c>
      <c r="AB20" s="197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6.8387729333618016E-2</v>
      </c>
      <c r="AD20" s="230">
        <f>(INDEX(Models!$BJ20:$BT20,,AH20)*(1-AF20)+INDEX(Models!$BJ20:$BT20,,AH20+1)*AF20-ERP_i)*AE20*Ramure*Pc/MaxiM</f>
        <v>6.3350234106380923E-2</v>
      </c>
      <c r="AE20" s="304">
        <f t="shared" si="15"/>
        <v>0.7</v>
      </c>
      <c r="AF20" s="177">
        <f t="shared" si="23"/>
        <v>0.5990647568754679</v>
      </c>
      <c r="AG20" s="799">
        <f t="shared" si="24"/>
        <v>1</v>
      </c>
      <c r="AH20" s="176">
        <f t="shared" si="16"/>
        <v>7</v>
      </c>
      <c r="AI20" s="224">
        <f t="shared" si="17"/>
        <v>1.5990647568754679</v>
      </c>
      <c r="AJ20" s="264" t="b">
        <f t="shared" si="18"/>
        <v>0</v>
      </c>
      <c r="AK20" s="264" t="b">
        <f t="shared" si="19"/>
        <v>1</v>
      </c>
      <c r="AL20" s="264"/>
      <c r="AM20" s="264"/>
      <c r="AN20" s="75"/>
    </row>
    <row r="21" spans="1:40" s="6" customFormat="1" ht="11.25" x14ac:dyDescent="0.2">
      <c r="A21" s="56">
        <f t="shared" si="20"/>
        <v>46029</v>
      </c>
      <c r="B21" s="409">
        <f>'2025'!Wh/'2025'!Env_an*'2026'!Env_an</f>
        <v>8.297581489093675</v>
      </c>
      <c r="C21" s="829"/>
      <c r="D21" s="391">
        <f t="shared" si="0"/>
        <v>8.7138296792327896</v>
      </c>
      <c r="E21" s="383">
        <f t="shared" si="1"/>
        <v>8.9831189668451987</v>
      </c>
      <c r="F21" s="383">
        <f t="shared" si="2"/>
        <v>9.0167118540521507</v>
      </c>
      <c r="G21" s="110">
        <f t="shared" si="21"/>
        <v>0.32440248567802693</v>
      </c>
      <c r="H21" s="412" t="b">
        <f>Wh_hp&gt;='2025'!Maxi_hp</f>
        <v>0</v>
      </c>
      <c r="I21" s="388">
        <f>IF(H21,Wh_hp,'2025'!Maxi_hp)</f>
        <v>14.667527811072381</v>
      </c>
      <c r="J21" s="85">
        <f>IF(H21,An,'2025'!An_max)</f>
        <v>2021</v>
      </c>
      <c r="K21" s="197">
        <f t="shared" si="3"/>
        <v>46029</v>
      </c>
      <c r="L21" s="147">
        <f>IF(t&lt;Tvie,1-EXP((T0-t)*PertePVj)+'2025'!Pspv,1-EXP((T0-t)*PertePVj)+Pspv)</f>
        <v>4.7768685579331116E-2</v>
      </c>
      <c r="M21" s="832"/>
      <c r="N21" s="832"/>
      <c r="O21" s="48">
        <f>IF(t&lt;Tnet,'2025'!Resal+('2025'!Salim-'2025'!Resal)*(1-EXP(('2025'!Tnet-t)/('2025'!Tau_j))),Resal+(Salim-Resal)*(1-EXP((Tnet-t)/(Tau_j))))*Salcycl</f>
        <v>2.997725941360669E-2</v>
      </c>
      <c r="P21" s="169">
        <f>(INDEX(Models!$BJ21:$BT21,,T21)*(1-R21)+INDEX(Models!$BJ21:$BT21,,T21+1)*R21-ERP_i)*Q21*Ramure*Pc/MaxiM</f>
        <v>5.9673086919392049E-2</v>
      </c>
      <c r="Q21" s="304">
        <f t="shared" si="4"/>
        <v>0.7</v>
      </c>
      <c r="R21" s="177">
        <f t="shared" si="5"/>
        <v>0.53476121910448637</v>
      </c>
      <c r="S21" s="799">
        <f t="shared" si="6"/>
        <v>1</v>
      </c>
      <c r="T21" s="176">
        <f t="shared" si="7"/>
        <v>7</v>
      </c>
      <c r="U21" s="250">
        <f t="shared" si="8"/>
        <v>1.5347612191044864</v>
      </c>
      <c r="V21" s="382">
        <f t="shared" si="9"/>
        <v>24.141667222259194</v>
      </c>
      <c r="W21" s="400">
        <f t="shared" si="10"/>
        <v>8.297581489093675</v>
      </c>
      <c r="X21" s="157">
        <f t="shared" si="11"/>
        <v>46029</v>
      </c>
      <c r="Y21" s="383">
        <f t="shared" si="12"/>
        <v>7.9674283471290437</v>
      </c>
      <c r="Z21" s="383">
        <f t="shared" si="22"/>
        <v>8.3671144043150623</v>
      </c>
      <c r="AA21" s="384">
        <f t="shared" si="13"/>
        <v>8.9816270178287496</v>
      </c>
      <c r="AB21" s="197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6.841885242995116E-2</v>
      </c>
      <c r="AD21" s="230">
        <f>(INDEX(Models!$BJ21:$BT21,,AH21)*(1-AF21)+INDEX(Models!$BJ21:$BT21,,AH21+1)*AF21-ERP_i)*AE21*Ramure*Pc/MaxiM</f>
        <v>6.2323326620118261E-2</v>
      </c>
      <c r="AE21" s="304">
        <f t="shared" si="15"/>
        <v>0.7</v>
      </c>
      <c r="AF21" s="177">
        <f t="shared" si="23"/>
        <v>0.59909344136431852</v>
      </c>
      <c r="AG21" s="799">
        <f t="shared" si="24"/>
        <v>1</v>
      </c>
      <c r="AH21" s="176">
        <f t="shared" si="16"/>
        <v>7</v>
      </c>
      <c r="AI21" s="224">
        <f t="shared" si="17"/>
        <v>1.5990934413643185</v>
      </c>
      <c r="AJ21" s="264" t="b">
        <f t="shared" si="18"/>
        <v>0</v>
      </c>
      <c r="AK21" s="264" t="b">
        <f t="shared" si="19"/>
        <v>1</v>
      </c>
      <c r="AL21" s="264"/>
      <c r="AM21" s="264"/>
      <c r="AN21" s="75"/>
    </row>
    <row r="22" spans="1:40" s="6" customFormat="1" ht="11.25" x14ac:dyDescent="0.2">
      <c r="A22" s="56">
        <f t="shared" si="20"/>
        <v>46030</v>
      </c>
      <c r="B22" s="409">
        <f>'2025'!Wh/'2025'!Env_an*'2026'!Env_an</f>
        <v>5.7805118227254235</v>
      </c>
      <c r="C22" s="829"/>
      <c r="D22" s="391">
        <f t="shared" si="0"/>
        <v>6.0706075503889592</v>
      </c>
      <c r="E22" s="383">
        <f t="shared" si="1"/>
        <v>6.258711078244116</v>
      </c>
      <c r="F22" s="383">
        <f t="shared" si="2"/>
        <v>6.258711078244116</v>
      </c>
      <c r="G22" s="110">
        <f t="shared" si="21"/>
        <v>0.22327978788623157</v>
      </c>
      <c r="H22" s="412" t="b">
        <f>Wh_hp&gt;='2025'!Maxi_hp</f>
        <v>0</v>
      </c>
      <c r="I22" s="388">
        <f>IF(H22,Wh_hp,'2025'!Maxi_hp)</f>
        <v>22.512666153472253</v>
      </c>
      <c r="J22" s="85">
        <f>IF(H22,An,'2025'!An_max)</f>
        <v>2021</v>
      </c>
      <c r="K22" s="197">
        <f t="shared" si="3"/>
        <v>46030</v>
      </c>
      <c r="L22" s="147">
        <f>IF(t&lt;Tvie,1-EXP((T0-t)*PertePVj)+'2025'!Pspv,1-EXP((T0-t)*PertePVj)+Pspv)</f>
        <v>4.7786934875233111E-2</v>
      </c>
      <c r="M22" s="832"/>
      <c r="N22" s="832"/>
      <c r="O22" s="48">
        <f>IF(t&lt;Tnet,'2025'!Resal+('2025'!Salim-'2025'!Resal)*(1-EXP(('2025'!Tnet-t)/('2025'!Tau_j))),Resal+(Salim-Resal)*(1-EXP((Tnet-t)/(Tau_j))))*Salcycl</f>
        <v>3.0054675076634028E-2</v>
      </c>
      <c r="P22" s="169">
        <f>(INDEX(Models!$BJ22:$BT22,,T22)*(1-R22)+INDEX(Models!$BJ22:$BT22,,T22+1)*R22-ERP_i)*Q22*Ramure*Pc/MaxiM</f>
        <v>5.8644447090140425E-2</v>
      </c>
      <c r="Q22" s="304">
        <f t="shared" si="4"/>
        <v>0.7</v>
      </c>
      <c r="R22" s="177">
        <f t="shared" si="5"/>
        <v>0.53479110258928397</v>
      </c>
      <c r="S22" s="799">
        <f t="shared" si="6"/>
        <v>1</v>
      </c>
      <c r="T22" s="176">
        <f t="shared" si="7"/>
        <v>7</v>
      </c>
      <c r="U22" s="250">
        <f t="shared" si="8"/>
        <v>1.534791102589284</v>
      </c>
      <c r="V22" s="382">
        <f t="shared" si="9"/>
        <v>24.370844107735824</v>
      </c>
      <c r="W22" s="400">
        <f t="shared" si="10"/>
        <v>5.7805118227254235</v>
      </c>
      <c r="X22" s="157">
        <f t="shared" si="11"/>
        <v>46030</v>
      </c>
      <c r="Y22" s="383">
        <f t="shared" si="12"/>
        <v>5.5516898594731598</v>
      </c>
      <c r="Z22" s="383">
        <f t="shared" si="22"/>
        <v>5.8303021275450906</v>
      </c>
      <c r="AA22" s="384">
        <f t="shared" si="13"/>
        <v>6.258711078244116</v>
      </c>
      <c r="AB22" s="197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6.845002834341031E-2</v>
      </c>
      <c r="AD22" s="230">
        <f>(INDEX(Models!$BJ22:$BT22,,AH22)*(1-AF22)+INDEX(Models!$BJ22:$BT22,,AH22+1)*AF22-ERP_i)*AE22*Ramure*Pc/MaxiM</f>
        <v>6.1247672088603974E-2</v>
      </c>
      <c r="AE22" s="304">
        <f t="shared" si="15"/>
        <v>0.7</v>
      </c>
      <c r="AF22" s="177">
        <f t="shared" si="23"/>
        <v>0.59912332484911612</v>
      </c>
      <c r="AG22" s="799">
        <f t="shared" si="24"/>
        <v>1</v>
      </c>
      <c r="AH22" s="176">
        <f t="shared" si="16"/>
        <v>7</v>
      </c>
      <c r="AI22" s="224">
        <f t="shared" si="17"/>
        <v>1.5991233248491161</v>
      </c>
      <c r="AJ22" s="264" t="b">
        <f t="shared" si="18"/>
        <v>0</v>
      </c>
      <c r="AK22" s="264" t="b">
        <f t="shared" si="19"/>
        <v>1</v>
      </c>
      <c r="AL22" s="264"/>
      <c r="AM22" s="264"/>
      <c r="AN22" s="75"/>
    </row>
    <row r="23" spans="1:40" s="6" customFormat="1" ht="11.25" x14ac:dyDescent="0.2">
      <c r="A23" s="56">
        <f t="shared" si="20"/>
        <v>46031</v>
      </c>
      <c r="B23" s="409">
        <f>'2025'!Wh/'2025'!Env_an*'2026'!Env_an</f>
        <v>1.6499546801649161</v>
      </c>
      <c r="C23" s="829"/>
      <c r="D23" s="391">
        <f t="shared" si="0"/>
        <v>1.732791076081037</v>
      </c>
      <c r="E23" s="383">
        <f t="shared" si="1"/>
        <v>1.7866257413607685</v>
      </c>
      <c r="F23" s="383">
        <f t="shared" si="2"/>
        <v>1.7866257413607685</v>
      </c>
      <c r="G23" s="110">
        <f t="shared" si="21"/>
        <v>6.318450211977561E-2</v>
      </c>
      <c r="H23" s="412" t="b">
        <f>Wh_hp&gt;='2025'!Maxi_hp</f>
        <v>0</v>
      </c>
      <c r="I23" s="388">
        <f>IF(H23,Wh_hp,'2025'!Maxi_hp)</f>
        <v>26.668518012021664</v>
      </c>
      <c r="J23" s="85">
        <f>IF(H23,An,'2025'!An_max)</f>
        <v>2020</v>
      </c>
      <c r="K23" s="197">
        <f t="shared" si="3"/>
        <v>46031</v>
      </c>
      <c r="L23" s="147">
        <f>IF(t&lt;Tvie,1-EXP((T0-t)*PertePVj)+'2025'!Pspv,1-EXP((T0-t)*PertePVj)+Pspv)</f>
        <v>4.7805183821391539E-2</v>
      </c>
      <c r="M23" s="832"/>
      <c r="N23" s="832"/>
      <c r="O23" s="48">
        <f>IF(t&lt;Tnet,'2025'!Resal+('2025'!Salim-'2025'!Resal)*(1-EXP(('2025'!Tnet-t)/('2025'!Tau_j))),Resal+(Salim-Resal)*(1-EXP((Tnet-t)/(Tau_j))))*Salcycl</f>
        <v>3.0132032710291547E-2</v>
      </c>
      <c r="P23" s="169">
        <f>(INDEX(Models!$BJ23:$BT23,,T23)*(1-R23)+INDEX(Models!$BJ23:$BT23,,T23+1)*R23-ERP_i)*Q23*Ramure*Pc/MaxiM</f>
        <v>5.7561571134833997E-2</v>
      </c>
      <c r="Q23" s="304">
        <f t="shared" si="4"/>
        <v>0.7</v>
      </c>
      <c r="R23" s="177">
        <f t="shared" si="5"/>
        <v>0.53482223499651216</v>
      </c>
      <c r="S23" s="799">
        <f t="shared" si="6"/>
        <v>1</v>
      </c>
      <c r="T23" s="176">
        <f t="shared" si="7"/>
        <v>7</v>
      </c>
      <c r="U23" s="250">
        <f t="shared" si="8"/>
        <v>1.5348222349965122</v>
      </c>
      <c r="V23" s="382">
        <f t="shared" si="9"/>
        <v>24.610159838335896</v>
      </c>
      <c r="W23" s="400">
        <f t="shared" si="10"/>
        <v>1.6499546801649161</v>
      </c>
      <c r="X23" s="157">
        <f t="shared" si="11"/>
        <v>46031</v>
      </c>
      <c r="Y23" s="383">
        <f t="shared" si="12"/>
        <v>1.5847143856838919</v>
      </c>
      <c r="Z23" s="383">
        <f t="shared" si="22"/>
        <v>1.6642753759611293</v>
      </c>
      <c r="AA23" s="384">
        <f t="shared" si="13"/>
        <v>1.7866257413607685</v>
      </c>
      <c r="AB23" s="197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6.8481250755097672E-2</v>
      </c>
      <c r="AD23" s="230">
        <f>(INDEX(Models!$BJ23:$BT23,,AH23)*(1-AF23)+INDEX(Models!$BJ23:$BT23,,AH23+1)*AF23-ERP_i)*AE23*Ramure*Pc/MaxiM</f>
        <v>6.0114388305117089E-2</v>
      </c>
      <c r="AE23" s="304">
        <f t="shared" si="15"/>
        <v>0.7</v>
      </c>
      <c r="AF23" s="177">
        <f t="shared" si="23"/>
        <v>0.59915445725634431</v>
      </c>
      <c r="AG23" s="799">
        <f t="shared" si="24"/>
        <v>1</v>
      </c>
      <c r="AH23" s="176">
        <f t="shared" si="16"/>
        <v>7</v>
      </c>
      <c r="AI23" s="224">
        <f t="shared" si="17"/>
        <v>1.5991544572563443</v>
      </c>
      <c r="AJ23" s="264" t="b">
        <f t="shared" si="18"/>
        <v>0</v>
      </c>
      <c r="AK23" s="264" t="b">
        <f t="shared" si="19"/>
        <v>1</v>
      </c>
      <c r="AL23" s="264"/>
      <c r="AM23" s="264"/>
      <c r="AN23" s="75"/>
    </row>
    <row r="24" spans="1:40" s="6" customFormat="1" ht="11.25" x14ac:dyDescent="0.2">
      <c r="A24" s="56">
        <f t="shared" si="20"/>
        <v>46032</v>
      </c>
      <c r="B24" s="409">
        <f>'2025'!Wh/'2025'!Env_an*'2026'!Env_an</f>
        <v>1.3290277181879573</v>
      </c>
      <c r="C24" s="829"/>
      <c r="D24" s="391">
        <f t="shared" si="0"/>
        <v>1.3957786438314577</v>
      </c>
      <c r="E24" s="383">
        <f t="shared" si="1"/>
        <v>1.43925765406989</v>
      </c>
      <c r="F24" s="383">
        <f t="shared" si="2"/>
        <v>1.43925765406989</v>
      </c>
      <c r="G24" s="110">
        <f t="shared" si="21"/>
        <v>5.0436092546249166E-2</v>
      </c>
      <c r="H24" s="412" t="b">
        <f>Wh_hp&gt;='2025'!Maxi_hp</f>
        <v>0</v>
      </c>
      <c r="I24" s="388">
        <f>IF(H24,Wh_hp,'2025'!Maxi_hp)</f>
        <v>10.460260744050126</v>
      </c>
      <c r="J24" s="85">
        <f>IF(H24,An,'2025'!An_max)</f>
        <v>2020</v>
      </c>
      <c r="K24" s="197">
        <f t="shared" si="3"/>
        <v>46032</v>
      </c>
      <c r="L24" s="147">
        <f>IF(t&lt;Tvie,1-EXP((T0-t)*PertePVj)+'2025'!Pspv,1-EXP((T0-t)*PertePVj)+Pspv)</f>
        <v>4.7823432417813061E-2</v>
      </c>
      <c r="M24" s="832"/>
      <c r="N24" s="832"/>
      <c r="O24" s="48">
        <f>IF(t&lt;Tnet,'2025'!Resal+('2025'!Salim-'2025'!Resal)*(1-EXP(('2025'!Tnet-t)/('2025'!Tau_j))),Resal+(Salim-Resal)*(1-EXP((Tnet-t)/(Tau_j))))*Salcycl</f>
        <v>3.0209330563908159E-2</v>
      </c>
      <c r="P24" s="169">
        <f>(INDEX(Models!$BJ24:$BT24,,T24)*(1-R24)+INDEX(Models!$BJ24:$BT24,,T24+1)*R24-ERP_i)*Q24*Ramure*Pc/MaxiM</f>
        <v>5.6438898106826306E-2</v>
      </c>
      <c r="Q24" s="304">
        <f t="shared" si="4"/>
        <v>0.7</v>
      </c>
      <c r="R24" s="177">
        <f t="shared" si="5"/>
        <v>0.53485466831528772</v>
      </c>
      <c r="S24" s="799">
        <f t="shared" si="6"/>
        <v>1</v>
      </c>
      <c r="T24" s="176">
        <f t="shared" si="7"/>
        <v>7</v>
      </c>
      <c r="U24" s="250">
        <f t="shared" si="8"/>
        <v>1.5348546683152877</v>
      </c>
      <c r="V24" s="382">
        <f t="shared" si="9"/>
        <v>24.863521238686008</v>
      </c>
      <c r="W24" s="400">
        <f t="shared" si="10"/>
        <v>1.3290277181879573</v>
      </c>
      <c r="X24" s="157">
        <f t="shared" si="11"/>
        <v>46032</v>
      </c>
      <c r="Y24" s="383">
        <f t="shared" si="12"/>
        <v>1.2765359843314328</v>
      </c>
      <c r="Z24" s="383">
        <f t="shared" si="22"/>
        <v>1.3406504925581975</v>
      </c>
      <c r="AA24" s="384">
        <f t="shared" si="13"/>
        <v>1.43925765406989</v>
      </c>
      <c r="AB24" s="197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6.8512514929383303E-2</v>
      </c>
      <c r="AD24" s="230">
        <f>(INDEX(Models!$BJ24:$BT24,,AH24)*(1-AF24)+INDEX(Models!$BJ24:$BT24,,AH24+1)*AF24-ERP_i)*AE24*Ramure*Pc/MaxiM</f>
        <v>5.8936730740800539E-2</v>
      </c>
      <c r="AE24" s="304">
        <f t="shared" si="15"/>
        <v>0.7</v>
      </c>
      <c r="AF24" s="177">
        <f t="shared" si="23"/>
        <v>0.59918689057511987</v>
      </c>
      <c r="AG24" s="799">
        <f t="shared" si="24"/>
        <v>1</v>
      </c>
      <c r="AH24" s="176">
        <f t="shared" si="16"/>
        <v>7</v>
      </c>
      <c r="AI24" s="224">
        <f t="shared" si="17"/>
        <v>1.5991868905751199</v>
      </c>
      <c r="AJ24" s="264" t="b">
        <f t="shared" si="18"/>
        <v>0</v>
      </c>
      <c r="AK24" s="264" t="b">
        <f t="shared" si="19"/>
        <v>1</v>
      </c>
      <c r="AL24" s="264"/>
      <c r="AM24" s="264"/>
      <c r="AN24" s="75"/>
    </row>
    <row r="25" spans="1:40" s="6" customFormat="1" ht="11.25" x14ac:dyDescent="0.2">
      <c r="A25" s="56">
        <f t="shared" si="20"/>
        <v>46033</v>
      </c>
      <c r="B25" s="409">
        <f>'2025'!Wh/'2025'!Env_an*'2026'!Env_an</f>
        <v>23.127487550325391</v>
      </c>
      <c r="C25" s="829"/>
      <c r="D25" s="391">
        <f t="shared" si="0"/>
        <v>24.289539964809524</v>
      </c>
      <c r="E25" s="383">
        <f t="shared" si="1"/>
        <v>25.048162839718096</v>
      </c>
      <c r="F25" s="383">
        <f t="shared" si="2"/>
        <v>26.339185227780657</v>
      </c>
      <c r="G25" s="110">
        <f t="shared" si="21"/>
        <v>0.91425969763790083</v>
      </c>
      <c r="H25" s="412" t="b">
        <f>Wh_hp&gt;='2025'!Maxi_hp</f>
        <v>0</v>
      </c>
      <c r="I25" s="388">
        <f>IF(H25,Wh_hp,'2025'!Maxi_hp)</f>
        <v>28.239972558041078</v>
      </c>
      <c r="J25" s="85">
        <f>IF(H25,An,'2025'!An_max)</f>
        <v>2020</v>
      </c>
      <c r="K25" s="197">
        <f t="shared" si="3"/>
        <v>46033</v>
      </c>
      <c r="L25" s="147">
        <f>IF(t&lt;Tvie,1-EXP((T0-t)*PertePVj)+'2025'!Pspv,1-EXP((T0-t)*PertePVj)+Pspv)</f>
        <v>4.7841680664504338E-2</v>
      </c>
      <c r="M25" s="832"/>
      <c r="N25" s="832"/>
      <c r="O25" s="48">
        <f>IF(t&lt;Tnet,'2025'!Resal+('2025'!Salim-'2025'!Resal)*(1-EXP(('2025'!Tnet-t)/('2025'!Tau_j))),Resal+(Salim-Resal)*(1-EXP((Tnet-t)/(Tau_j))))*Salcycl</f>
        <v>3.0286567512474258E-2</v>
      </c>
      <c r="P25" s="169">
        <f>(INDEX(Models!$BJ25:$BT25,,T25)*(1-R25)+INDEX(Models!$BJ25:$BT25,,T25+1)*R25-ERP_i)*Q25*Ramure*Pc/MaxiM</f>
        <v>5.5308578814498945E-2</v>
      </c>
      <c r="Q25" s="304">
        <f t="shared" si="4"/>
        <v>0.7</v>
      </c>
      <c r="R25" s="177">
        <f t="shared" si="5"/>
        <v>0.53488845668118068</v>
      </c>
      <c r="S25" s="799">
        <f t="shared" si="6"/>
        <v>1</v>
      </c>
      <c r="T25" s="176">
        <f t="shared" si="7"/>
        <v>7</v>
      </c>
      <c r="U25" s="250">
        <f t="shared" si="8"/>
        <v>1.5348884566811807</v>
      </c>
      <c r="V25" s="382">
        <f t="shared" si="9"/>
        <v>25.129006007635692</v>
      </c>
      <c r="W25" s="400">
        <f t="shared" si="10"/>
        <v>23.127487550325391</v>
      </c>
      <c r="X25" s="157">
        <f t="shared" si="11"/>
        <v>46033</v>
      </c>
      <c r="Y25" s="383">
        <f t="shared" si="12"/>
        <v>22.164550595853711</v>
      </c>
      <c r="Z25" s="383">
        <f t="shared" si="22"/>
        <v>23.278219751650322</v>
      </c>
      <c r="AA25" s="384">
        <f t="shared" si="13"/>
        <v>24.991212889268031</v>
      </c>
      <c r="AB25" s="197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6.8543817589314326E-2</v>
      </c>
      <c r="AD25" s="230">
        <f>(INDEX(Models!$BJ25:$BT25,,AH25)*(1-AF25)+INDEX(Models!$BJ25:$BT25,,AH25+1)*AF25-ERP_i)*AE25*Ramure*Pc/MaxiM</f>
        <v>5.7748366731481642E-2</v>
      </c>
      <c r="AE25" s="304">
        <f t="shared" si="15"/>
        <v>0.7</v>
      </c>
      <c r="AF25" s="177">
        <f t="shared" si="23"/>
        <v>0.59922067894101283</v>
      </c>
      <c r="AG25" s="799">
        <f t="shared" si="24"/>
        <v>1</v>
      </c>
      <c r="AH25" s="176">
        <f t="shared" si="16"/>
        <v>7</v>
      </c>
      <c r="AI25" s="224">
        <f t="shared" si="17"/>
        <v>1.5992206789410128</v>
      </c>
      <c r="AJ25" s="264" t="b">
        <f t="shared" si="18"/>
        <v>0</v>
      </c>
      <c r="AK25" s="264" t="b">
        <f t="shared" si="19"/>
        <v>1</v>
      </c>
      <c r="AL25" s="264"/>
      <c r="AM25" s="264"/>
      <c r="AN25" s="75"/>
    </row>
    <row r="26" spans="1:40" s="6" customFormat="1" ht="11.25" x14ac:dyDescent="0.2">
      <c r="A26" s="56">
        <f t="shared" si="20"/>
        <v>46034</v>
      </c>
      <c r="B26" s="409">
        <f>'2025'!Wh/'2025'!Env_an*'2026'!Env_an</f>
        <v>19.785261631288428</v>
      </c>
      <c r="C26" s="829"/>
      <c r="D26" s="391">
        <f t="shared" si="0"/>
        <v>20.779780438603048</v>
      </c>
      <c r="E26" s="383">
        <f t="shared" si="1"/>
        <v>21.430490339744249</v>
      </c>
      <c r="F26" s="383">
        <f t="shared" si="2"/>
        <v>22.255132403962552</v>
      </c>
      <c r="G26" s="110">
        <f t="shared" si="21"/>
        <v>0.76493510244866592</v>
      </c>
      <c r="H26" s="412" t="b">
        <f>Wh_hp&gt;='2025'!Maxi_hp</f>
        <v>0</v>
      </c>
      <c r="I26" s="388">
        <f>IF(H26,Wh_hp,'2025'!Maxi_hp)</f>
        <v>29.063431932857039</v>
      </c>
      <c r="J26" s="85">
        <f>IF(H26,An,'2025'!An_max)</f>
        <v>2020</v>
      </c>
      <c r="K26" s="197">
        <f t="shared" si="3"/>
        <v>46034</v>
      </c>
      <c r="L26" s="147">
        <f>IF(t&lt;Tvie,1-EXP((T0-t)*PertePVj)+'2025'!Pspv,1-EXP((T0-t)*PertePVj)+Pspv)</f>
        <v>4.7859928561472254E-2</v>
      </c>
      <c r="M26" s="832"/>
      <c r="N26" s="832"/>
      <c r="O26" s="48">
        <f>IF(t&lt;Tnet,'2025'!Resal+('2025'!Salim-'2025'!Resal)*(1-EXP(('2025'!Tnet-t)/('2025'!Tau_j))),Resal+(Salim-Resal)*(1-EXP((Tnet-t)/(Tau_j))))*Salcycl</f>
        <v>3.0363743004723352E-2</v>
      </c>
      <c r="P26" s="169">
        <f>(INDEX(Models!$BJ26:$BT26,,T26)*(1-R26)+INDEX(Models!$BJ26:$BT26,,T26+1)*R26-ERP_i)*Q26*Ramure*Pc/MaxiM</f>
        <v>5.4174645802693919E-2</v>
      </c>
      <c r="Q26" s="304">
        <f t="shared" si="4"/>
        <v>0.7</v>
      </c>
      <c r="R26" s="177">
        <f t="shared" si="5"/>
        <v>0.53492365646331752</v>
      </c>
      <c r="S26" s="799">
        <f t="shared" si="6"/>
        <v>1</v>
      </c>
      <c r="T26" s="176">
        <f t="shared" si="7"/>
        <v>7</v>
      </c>
      <c r="U26" s="250">
        <f t="shared" si="8"/>
        <v>1.5349236564633175</v>
      </c>
      <c r="V26" s="382">
        <f t="shared" si="9"/>
        <v>25.405411443009609</v>
      </c>
      <c r="W26" s="400">
        <f t="shared" si="10"/>
        <v>19.785261631288428</v>
      </c>
      <c r="X26" s="157">
        <f t="shared" si="11"/>
        <v>46034</v>
      </c>
      <c r="Y26" s="383">
        <f t="shared" si="12"/>
        <v>18.973449672239557</v>
      </c>
      <c r="Z26" s="383">
        <f t="shared" si="22"/>
        <v>19.927162233151034</v>
      </c>
      <c r="AA26" s="384">
        <f t="shared" si="13"/>
        <v>21.394278216098872</v>
      </c>
      <c r="AB26" s="197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6.8575156783922508E-2</v>
      </c>
      <c r="AD26" s="230">
        <f>(INDEX(Models!$BJ26:$BT26,,AH26)*(1-AF26)+INDEX(Models!$BJ26:$BT26,,AH26+1)*AF26-ERP_i)*AE26*Ramure*Pc/MaxiM</f>
        <v>5.6553591841678005E-2</v>
      </c>
      <c r="AE26" s="304">
        <f t="shared" si="15"/>
        <v>0.7</v>
      </c>
      <c r="AF26" s="177">
        <f t="shared" si="23"/>
        <v>0.59925587872314967</v>
      </c>
      <c r="AG26" s="799">
        <f t="shared" si="24"/>
        <v>1</v>
      </c>
      <c r="AH26" s="176">
        <f t="shared" si="16"/>
        <v>7</v>
      </c>
      <c r="AI26" s="224">
        <f t="shared" si="17"/>
        <v>1.5992558787231497</v>
      </c>
      <c r="AJ26" s="264" t="b">
        <f t="shared" si="18"/>
        <v>0</v>
      </c>
      <c r="AK26" s="264" t="b">
        <f t="shared" si="19"/>
        <v>1</v>
      </c>
      <c r="AL26" s="264"/>
      <c r="AM26" s="264"/>
      <c r="AN26" s="75"/>
    </row>
    <row r="27" spans="1:40" s="6" customFormat="1" ht="11.25" x14ac:dyDescent="0.2">
      <c r="A27" s="56">
        <f t="shared" si="20"/>
        <v>46035</v>
      </c>
      <c r="B27" s="409">
        <f>'2025'!Wh/'2025'!Env_an*'2026'!Env_an</f>
        <v>6.0102973751892907</v>
      </c>
      <c r="C27" s="829"/>
      <c r="D27" s="391">
        <f t="shared" si="0"/>
        <v>6.3125297880742721</v>
      </c>
      <c r="E27" s="383">
        <f t="shared" si="1"/>
        <v>6.5107217375015685</v>
      </c>
      <c r="F27" s="383">
        <f t="shared" si="2"/>
        <v>6.5107217375015685</v>
      </c>
      <c r="G27" s="110">
        <f t="shared" si="21"/>
        <v>0.22153236104931431</v>
      </c>
      <c r="H27" s="412" t="b">
        <f>Wh_hp&gt;='2025'!Maxi_hp</f>
        <v>0</v>
      </c>
      <c r="I27" s="388">
        <f>IF(H27,Wh_hp,'2025'!Maxi_hp)</f>
        <v>18.417034678656321</v>
      </c>
      <c r="J27" s="85">
        <f>IF(H27,An,'2025'!An_max)</f>
        <v>2020</v>
      </c>
      <c r="K27" s="197">
        <f t="shared" si="3"/>
        <v>46035</v>
      </c>
      <c r="L27" s="147">
        <f>IF(t&lt;Tvie,1-EXP((T0-t)*PertePVj)+'2025'!Pspv,1-EXP((T0-t)*PertePVj)+Pspv)</f>
        <v>4.7878176108723247E-2</v>
      </c>
      <c r="M27" s="832"/>
      <c r="N27" s="832"/>
      <c r="O27" s="48">
        <f>IF(t&lt;Tnet,'2025'!Resal+('2025'!Salim-'2025'!Resal)*(1-EXP(('2025'!Tnet-t)/('2025'!Tau_j))),Resal+(Salim-Resal)*(1-EXP((Tnet-t)/(Tau_j))))*Salcycl</f>
        <v>3.044085700755975E-2</v>
      </c>
      <c r="P27" s="169">
        <f>(INDEX(Models!$BJ27:$BT27,,T27)*(1-R27)+INDEX(Models!$BJ27:$BT27,,T27+1)*R27-ERP_i)*Q27*Ramure*Pc/MaxiM</f>
        <v>5.3040797641845737E-2</v>
      </c>
      <c r="Q27" s="304">
        <f t="shared" si="4"/>
        <v>0.7</v>
      </c>
      <c r="R27" s="177">
        <f t="shared" si="5"/>
        <v>0.53496032635489277</v>
      </c>
      <c r="S27" s="799">
        <f t="shared" si="6"/>
        <v>1</v>
      </c>
      <c r="T27" s="176">
        <f t="shared" si="7"/>
        <v>7</v>
      </c>
      <c r="U27" s="250">
        <f t="shared" si="8"/>
        <v>1.5349603263548928</v>
      </c>
      <c r="V27" s="382">
        <f t="shared" si="9"/>
        <v>25.691535003671987</v>
      </c>
      <c r="W27" s="400">
        <f t="shared" si="10"/>
        <v>6.0102973751892907</v>
      </c>
      <c r="X27" s="157">
        <f t="shared" si="11"/>
        <v>46035</v>
      </c>
      <c r="Y27" s="383">
        <f t="shared" si="12"/>
        <v>5.7737083477132378</v>
      </c>
      <c r="Z27" s="383">
        <f t="shared" si="22"/>
        <v>6.0640436999084484</v>
      </c>
      <c r="AA27" s="384">
        <f t="shared" si="13"/>
        <v>6.5107217375015685</v>
      </c>
      <c r="AB27" s="197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6.8606531749048336E-2</v>
      </c>
      <c r="AD27" s="230">
        <f>(INDEX(Models!$BJ27:$BT27,,AH27)*(1-AF27)+INDEX(Models!$BJ27:$BT27,,AH27+1)*AF27-ERP_i)*AE27*Ramure*Pc/MaxiM</f>
        <v>5.5356354679910014E-2</v>
      </c>
      <c r="AE27" s="304">
        <f t="shared" si="15"/>
        <v>0.7</v>
      </c>
      <c r="AF27" s="177">
        <f t="shared" si="23"/>
        <v>0.59929254861472492</v>
      </c>
      <c r="AG27" s="799">
        <f t="shared" si="24"/>
        <v>1</v>
      </c>
      <c r="AH27" s="176">
        <f t="shared" si="16"/>
        <v>7</v>
      </c>
      <c r="AI27" s="224">
        <f t="shared" si="17"/>
        <v>1.5992925486147249</v>
      </c>
      <c r="AJ27" s="264" t="b">
        <f t="shared" si="18"/>
        <v>0</v>
      </c>
      <c r="AK27" s="264" t="b">
        <f t="shared" si="19"/>
        <v>1</v>
      </c>
      <c r="AL27" s="264"/>
      <c r="AM27" s="264"/>
      <c r="AN27" s="75"/>
    </row>
    <row r="28" spans="1:40" s="6" customFormat="1" ht="11.25" x14ac:dyDescent="0.2">
      <c r="A28" s="56">
        <f t="shared" si="20"/>
        <v>46036</v>
      </c>
      <c r="B28" s="409">
        <f>'2025'!Wh/'2025'!Env_an*'2026'!Env_an</f>
        <v>25.818472921887437</v>
      </c>
      <c r="C28" s="829"/>
      <c r="D28" s="391">
        <f t="shared" si="0"/>
        <v>27.117294330039574</v>
      </c>
      <c r="E28" s="383">
        <f t="shared" si="1"/>
        <v>27.970907980952809</v>
      </c>
      <c r="F28" s="383">
        <f t="shared" si="2"/>
        <v>29.487504088241501</v>
      </c>
      <c r="G28" s="110">
        <f t="shared" si="21"/>
        <v>0.99304524477130274</v>
      </c>
      <c r="H28" s="412" t="b">
        <f>Wh_hp&gt;='2025'!Maxi_hp</f>
        <v>0</v>
      </c>
      <c r="I28" s="388">
        <f>IF(H28,Wh_hp,'2025'!Maxi_hp)</f>
        <v>29.498621369457005</v>
      </c>
      <c r="J28" s="85">
        <f>IF(H28,An,'2025'!An_max)</f>
        <v>2022</v>
      </c>
      <c r="K28" s="197">
        <f t="shared" si="3"/>
        <v>46036</v>
      </c>
      <c r="L28" s="147">
        <f>IF(t&lt;Tvie,1-EXP((T0-t)*PertePVj)+'2025'!Pspv,1-EXP((T0-t)*PertePVj)+Pspv)</f>
        <v>4.7896423306264313E-2</v>
      </c>
      <c r="M28" s="832"/>
      <c r="N28" s="832"/>
      <c r="O28" s="48">
        <f>IF(t&lt;Tnet,'2025'!Resal+('2025'!Salim-'2025'!Resal)*(1-EXP(('2025'!Tnet-t)/('2025'!Tau_j))),Resal+(Salim-Resal)*(1-EXP((Tnet-t)/(Tau_j))))*Salcycl</f>
        <v>3.051790994752537E-2</v>
      </c>
      <c r="P28" s="169">
        <f>(INDEX(Models!$BJ28:$BT28,,T28)*(1-R28)+INDEX(Models!$BJ28:$BT28,,T28+1)*R28-ERP_i)*Q28*Ramure*Pc/MaxiM</f>
        <v>5.1910399373084684E-2</v>
      </c>
      <c r="Q28" s="304">
        <f t="shared" si="4"/>
        <v>0.7</v>
      </c>
      <c r="R28" s="177">
        <f t="shared" si="5"/>
        <v>0.53499852746720444</v>
      </c>
      <c r="S28" s="799">
        <f t="shared" si="6"/>
        <v>1</v>
      </c>
      <c r="T28" s="176">
        <f t="shared" si="7"/>
        <v>7</v>
      </c>
      <c r="U28" s="250">
        <f t="shared" si="8"/>
        <v>1.5349985274672044</v>
      </c>
      <c r="V28" s="382">
        <f t="shared" si="9"/>
        <v>25.986174353473196</v>
      </c>
      <c r="W28" s="400">
        <f t="shared" si="10"/>
        <v>25.818472921887437</v>
      </c>
      <c r="X28" s="157">
        <f t="shared" si="11"/>
        <v>46036</v>
      </c>
      <c r="Y28" s="383">
        <f t="shared" si="12"/>
        <v>24.745003454641765</v>
      </c>
      <c r="Z28" s="383">
        <f t="shared" si="22"/>
        <v>25.989823019645602</v>
      </c>
      <c r="AA28" s="384">
        <f t="shared" si="13"/>
        <v>27.905176958525228</v>
      </c>
      <c r="AB28" s="197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6.8637942763322052E-2</v>
      </c>
      <c r="AD28" s="230">
        <f>(INDEX(Models!$BJ28:$BT28,,AH28)*(1-AF28)+INDEX(Models!$BJ28:$BT28,,AH28+1)*AF28-ERP_i)*AE28*Ramure*Pc/MaxiM</f>
        <v>5.4160255883343618E-2</v>
      </c>
      <c r="AE28" s="304">
        <f t="shared" si="15"/>
        <v>0.7</v>
      </c>
      <c r="AF28" s="177">
        <f t="shared" si="23"/>
        <v>0.59933074972703659</v>
      </c>
      <c r="AG28" s="799">
        <f t="shared" si="24"/>
        <v>1</v>
      </c>
      <c r="AH28" s="176">
        <f t="shared" si="16"/>
        <v>7</v>
      </c>
      <c r="AI28" s="224">
        <f t="shared" si="17"/>
        <v>1.5993307497270366</v>
      </c>
      <c r="AJ28" s="264" t="b">
        <f t="shared" si="18"/>
        <v>0</v>
      </c>
      <c r="AK28" s="264" t="b">
        <f t="shared" si="19"/>
        <v>1</v>
      </c>
      <c r="AL28" s="264"/>
      <c r="AM28" s="264"/>
      <c r="AN28" s="75"/>
    </row>
    <row r="29" spans="1:40" s="6" customFormat="1" ht="11.25" x14ac:dyDescent="0.2">
      <c r="A29" s="56">
        <f t="shared" si="20"/>
        <v>46037</v>
      </c>
      <c r="B29" s="409">
        <f>'2025'!Wh/'2025'!Env_an*'2026'!Env_an</f>
        <v>26.612962038115747</v>
      </c>
      <c r="C29" s="829"/>
      <c r="D29" s="391">
        <f t="shared" si="0"/>
        <v>27.952286632148031</v>
      </c>
      <c r="E29" s="383">
        <f t="shared" si="1"/>
        <v>28.834474574726126</v>
      </c>
      <c r="F29" s="383">
        <f t="shared" si="2"/>
        <v>30.377227257533892</v>
      </c>
      <c r="G29" s="110">
        <f t="shared" si="21"/>
        <v>1.0123567064288312</v>
      </c>
      <c r="H29" s="412" t="b">
        <f>Wh_hp&gt;='2025'!Maxi_hp</f>
        <v>1</v>
      </c>
      <c r="I29" s="388">
        <f>IF(H29,Wh_hp,'2025'!Maxi_hp)</f>
        <v>30.377227257533892</v>
      </c>
      <c r="J29" s="85">
        <f>IF(H29,An,'2025'!An_max)</f>
        <v>2026</v>
      </c>
      <c r="K29" s="197">
        <f t="shared" si="3"/>
        <v>46037</v>
      </c>
      <c r="L29" s="147">
        <f>IF(t&lt;Tvie,1-EXP((T0-t)*PertePVj)+'2025'!Pspv,1-EXP((T0-t)*PertePVj)+Pspv)</f>
        <v>4.791467015410189E-2</v>
      </c>
      <c r="M29" s="832"/>
      <c r="N29" s="832"/>
      <c r="O29" s="48">
        <f>IF(t&lt;Tnet,'2025'!Resal+('2025'!Salim-'2025'!Resal)*(1-EXP(('2025'!Tnet-t)/('2025'!Tau_j))),Resal+(Salim-Resal)*(1-EXP((Tnet-t)/(Tau_j))))*Salcycl</f>
        <v>3.0594902650015687E-2</v>
      </c>
      <c r="P29" s="169">
        <f>(INDEX(Models!$BJ29:$BT29,,T29)*(1-R29)+INDEX(Models!$BJ29:$BT29,,T29+1)*R29-ERP_i)*Q29*Ramure*Pc/MaxiM</f>
        <v>5.0786487842637007E-2</v>
      </c>
      <c r="Q29" s="304">
        <f t="shared" si="4"/>
        <v>0.7</v>
      </c>
      <c r="R29" s="177">
        <f t="shared" si="5"/>
        <v>0.53503832342734214</v>
      </c>
      <c r="S29" s="799">
        <f t="shared" si="6"/>
        <v>1</v>
      </c>
      <c r="T29" s="176">
        <f t="shared" si="7"/>
        <v>7</v>
      </c>
      <c r="U29" s="250">
        <f t="shared" si="8"/>
        <v>1.5350383234273421</v>
      </c>
      <c r="V29" s="382">
        <f t="shared" si="9"/>
        <v>26.288127365694134</v>
      </c>
      <c r="W29" s="400">
        <f t="shared" si="10"/>
        <v>26.612962038115747</v>
      </c>
      <c r="X29" s="157">
        <f t="shared" si="11"/>
        <v>46037</v>
      </c>
      <c r="Y29" s="383">
        <f t="shared" si="12"/>
        <v>25.508932286262453</v>
      </c>
      <c r="Z29" s="383">
        <f t="shared" si="22"/>
        <v>26.792695451353357</v>
      </c>
      <c r="AA29" s="384">
        <f t="shared" si="13"/>
        <v>28.768189504851456</v>
      </c>
      <c r="AB29" s="197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6.8669391000950986E-2</v>
      </c>
      <c r="AD29" s="230">
        <f>(INDEX(Models!$BJ29:$BT29,,AH29)*(1-AF29)+INDEX(Models!$BJ29:$BT29,,AH29+1)*AF29-ERP_i)*AE29*Ramure*Pc/MaxiM</f>
        <v>5.2968552364613036E-2</v>
      </c>
      <c r="AE29" s="304">
        <f t="shared" si="15"/>
        <v>0.7</v>
      </c>
      <c r="AF29" s="177">
        <f t="shared" si="23"/>
        <v>0.59937054568717429</v>
      </c>
      <c r="AG29" s="799">
        <f t="shared" si="24"/>
        <v>1</v>
      </c>
      <c r="AH29" s="176">
        <f t="shared" si="16"/>
        <v>7</v>
      </c>
      <c r="AI29" s="224">
        <f t="shared" si="17"/>
        <v>1.5993705456871743</v>
      </c>
      <c r="AJ29" s="264" t="b">
        <f t="shared" si="18"/>
        <v>0</v>
      </c>
      <c r="AK29" s="264" t="b">
        <f t="shared" si="19"/>
        <v>1</v>
      </c>
      <c r="AL29" s="264"/>
      <c r="AM29" s="264"/>
      <c r="AN29" s="75"/>
    </row>
    <row r="30" spans="1:40" s="6" customFormat="1" ht="11.25" x14ac:dyDescent="0.2">
      <c r="A30" s="56">
        <f t="shared" si="20"/>
        <v>46038</v>
      </c>
      <c r="B30" s="409">
        <f>'2025'!Wh/'2025'!Env_an*'2026'!Env_an</f>
        <v>26.357692234334355</v>
      </c>
      <c r="C30" s="829"/>
      <c r="D30" s="391">
        <f t="shared" si="0"/>
        <v>27.684700684801221</v>
      </c>
      <c r="E30" s="383">
        <f t="shared" si="1"/>
        <v>28.560710109225177</v>
      </c>
      <c r="F30" s="383">
        <f t="shared" si="2"/>
        <v>30.034503847483276</v>
      </c>
      <c r="G30" s="110">
        <f t="shared" si="21"/>
        <v>0.99040541665042015</v>
      </c>
      <c r="H30" s="412" t="b">
        <f>Wh_hp&gt;='2025'!Maxi_hp</f>
        <v>0</v>
      </c>
      <c r="I30" s="388">
        <f>IF(H30,Wh_hp,'2025'!Maxi_hp)</f>
        <v>30.049231450929494</v>
      </c>
      <c r="J30" s="85">
        <f>IF(H30,An,'2025'!An_max)</f>
        <v>2022</v>
      </c>
      <c r="K30" s="197">
        <f t="shared" si="3"/>
        <v>46038</v>
      </c>
      <c r="L30" s="147">
        <f>IF(t&lt;Tvie,1-EXP((T0-t)*PertePVj)+'2025'!Pspv,1-EXP((T0-t)*PertePVj)+Pspv)</f>
        <v>4.7932916652242863E-2</v>
      </c>
      <c r="M30" s="832"/>
      <c r="N30" s="832"/>
      <c r="O30" s="48">
        <f>IF(t&lt;Tnet,'2025'!Resal+('2025'!Salim-'2025'!Resal)*(1-EXP(('2025'!Tnet-t)/('2025'!Tau_j))),Resal+(Salim-Resal)*(1-EXP((Tnet-t)/(Tau_j))))*Salcycl</f>
        <v>3.0671836276962922E-2</v>
      </c>
      <c r="P30" s="169">
        <f>(INDEX(Models!$BJ30:$BT30,,T30)*(1-R30)+INDEX(Models!$BJ30:$BT30,,T30+1)*R30-ERP_i)*Q30*Ramure*Pc/MaxiM</f>
        <v>4.9704353566993945E-2</v>
      </c>
      <c r="Q30" s="304">
        <f t="shared" si="4"/>
        <v>0.7</v>
      </c>
      <c r="R30" s="177">
        <f t="shared" si="5"/>
        <v>0.53507978047965676</v>
      </c>
      <c r="S30" s="799">
        <f t="shared" si="6"/>
        <v>1</v>
      </c>
      <c r="T30" s="176">
        <f t="shared" si="7"/>
        <v>7</v>
      </c>
      <c r="U30" s="250">
        <f t="shared" si="8"/>
        <v>1.5350797804796568</v>
      </c>
      <c r="V30" s="382">
        <f t="shared" si="9"/>
        <v>26.595280567152486</v>
      </c>
      <c r="W30" s="400">
        <f t="shared" si="10"/>
        <v>26.357692234334355</v>
      </c>
      <c r="X30" s="157">
        <f t="shared" si="11"/>
        <v>46038</v>
      </c>
      <c r="Y30" s="383">
        <f t="shared" si="12"/>
        <v>25.268069273573651</v>
      </c>
      <c r="Z30" s="383">
        <f t="shared" si="22"/>
        <v>26.540219397905705</v>
      </c>
      <c r="AA30" s="384">
        <f t="shared" si="13"/>
        <v>28.498061237106104</v>
      </c>
      <c r="AB30" s="197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6.8700878382953925E-2</v>
      </c>
      <c r="AD30" s="230">
        <f>(INDEX(Models!$BJ30:$BT30,,AH30)*(1-AF30)+INDEX(Models!$BJ30:$BT30,,AH30+1)*AF30-ERP_i)*AE30*Ramure*Pc/MaxiM</f>
        <v>5.1817214823997371E-2</v>
      </c>
      <c r="AE30" s="304">
        <f t="shared" si="15"/>
        <v>0.7</v>
      </c>
      <c r="AF30" s="177">
        <f t="shared" si="23"/>
        <v>0.59941200273948891</v>
      </c>
      <c r="AG30" s="799">
        <f t="shared" si="24"/>
        <v>1</v>
      </c>
      <c r="AH30" s="176">
        <f t="shared" si="16"/>
        <v>7</v>
      </c>
      <c r="AI30" s="224">
        <f t="shared" si="17"/>
        <v>1.5994120027394889</v>
      </c>
      <c r="AJ30" s="264" t="b">
        <f t="shared" si="18"/>
        <v>0</v>
      </c>
      <c r="AK30" s="264" t="b">
        <f t="shared" si="19"/>
        <v>1</v>
      </c>
      <c r="AL30" s="264"/>
      <c r="AM30" s="264"/>
      <c r="AN30" s="75"/>
    </row>
    <row r="31" spans="1:40" s="6" customFormat="1" ht="11.25" x14ac:dyDescent="0.2">
      <c r="A31" s="56">
        <f t="shared" si="20"/>
        <v>46039</v>
      </c>
      <c r="B31" s="409">
        <f>'2025'!Wh/'2025'!Env_an*'2026'!Env_an</f>
        <v>17.090849373751116</v>
      </c>
      <c r="C31" s="829"/>
      <c r="D31" s="391">
        <f t="shared" si="0"/>
        <v>17.951651959397584</v>
      </c>
      <c r="E31" s="383">
        <f t="shared" si="1"/>
        <v>18.52115358167233</v>
      </c>
      <c r="F31" s="383">
        <f t="shared" si="2"/>
        <v>18.963283875395632</v>
      </c>
      <c r="G31" s="110">
        <f t="shared" si="21"/>
        <v>0.6187088721944406</v>
      </c>
      <c r="H31" s="412" t="b">
        <f>Wh_hp&gt;='2025'!Maxi_hp</f>
        <v>0</v>
      </c>
      <c r="I31" s="388">
        <f>IF(H31,Wh_hp,'2025'!Maxi_hp)</f>
        <v>19.329055345753776</v>
      </c>
      <c r="J31" s="85">
        <f>IF(H31,An,'2025'!An_max)</f>
        <v>2022</v>
      </c>
      <c r="K31" s="197">
        <f t="shared" si="3"/>
        <v>46039</v>
      </c>
      <c r="L31" s="147">
        <f>IF(t&lt;Tvie,1-EXP((T0-t)*PertePVj)+'2025'!Pspv,1-EXP((T0-t)*PertePVj)+Pspv)</f>
        <v>4.7951162800693781E-2</v>
      </c>
      <c r="M31" s="832"/>
      <c r="N31" s="832"/>
      <c r="O31" s="48">
        <f>IF(t&lt;Tnet,'2025'!Resal+('2025'!Salim-'2025'!Resal)*(1-EXP(('2025'!Tnet-t)/('2025'!Tau_j))),Resal+(Salim-Resal)*(1-EXP((Tnet-t)/(Tau_j))))*Salcycl</f>
        <v>3.074871226370577E-2</v>
      </c>
      <c r="P31" s="169">
        <f>(INDEX(Models!$BJ31:$BT31,,T31)*(1-R31)+INDEX(Models!$BJ31:$BT31,,T31+1)*R31-ERP_i)*Q31*Ramure*Pc/MaxiM</f>
        <v>4.8687475027230032E-2</v>
      </c>
      <c r="Q31" s="304">
        <f t="shared" si="4"/>
        <v>0.7</v>
      </c>
      <c r="R31" s="177">
        <f t="shared" si="5"/>
        <v>0.5351229675911402</v>
      </c>
      <c r="S31" s="799">
        <f t="shared" si="6"/>
        <v>1</v>
      </c>
      <c r="T31" s="176">
        <f t="shared" si="7"/>
        <v>7</v>
      </c>
      <c r="U31" s="250">
        <f t="shared" si="8"/>
        <v>1.5351229675911402</v>
      </c>
      <c r="V31" s="382">
        <f t="shared" si="9"/>
        <v>26.905807514463408</v>
      </c>
      <c r="W31" s="400">
        <f t="shared" si="10"/>
        <v>17.090849373751116</v>
      </c>
      <c r="X31" s="157">
        <f t="shared" si="11"/>
        <v>46039</v>
      </c>
      <c r="Y31" s="383">
        <f t="shared" si="12"/>
        <v>16.404621782562273</v>
      </c>
      <c r="Z31" s="383">
        <f t="shared" si="22"/>
        <v>17.230861633968946</v>
      </c>
      <c r="AA31" s="384">
        <f t="shared" si="13"/>
        <v>18.502589128425242</v>
      </c>
      <c r="AB31" s="197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6.8732407428458861E-2</v>
      </c>
      <c r="AD31" s="230">
        <f>(INDEX(Models!$BJ31:$BT31,,AH31)*(1-AF31)+INDEX(Models!$BJ31:$BT31,,AH31+1)*AF31-ERP_i)*AE31*Ramure*Pc/MaxiM</f>
        <v>5.0731796275272315E-2</v>
      </c>
      <c r="AE31" s="304">
        <f t="shared" si="15"/>
        <v>0.7</v>
      </c>
      <c r="AF31" s="177">
        <f t="shared" si="23"/>
        <v>0.59945518985097235</v>
      </c>
      <c r="AG31" s="799">
        <f t="shared" si="24"/>
        <v>1</v>
      </c>
      <c r="AH31" s="176">
        <f t="shared" si="16"/>
        <v>7</v>
      </c>
      <c r="AI31" s="224">
        <f t="shared" si="17"/>
        <v>1.5994551898509723</v>
      </c>
      <c r="AJ31" s="264" t="b">
        <f t="shared" si="18"/>
        <v>0</v>
      </c>
      <c r="AK31" s="264" t="b">
        <f t="shared" si="19"/>
        <v>1</v>
      </c>
      <c r="AL31" s="264"/>
      <c r="AM31" s="264"/>
      <c r="AN31" s="75"/>
    </row>
    <row r="32" spans="1:40" s="6" customFormat="1" ht="11.25" x14ac:dyDescent="0.2">
      <c r="A32" s="56">
        <f t="shared" si="20"/>
        <v>46040</v>
      </c>
      <c r="B32" s="409">
        <f>'2025'!Wh/'2025'!Env_an*'2026'!Env_an</f>
        <v>4.501098451118974</v>
      </c>
      <c r="C32" s="829"/>
      <c r="D32" s="391">
        <f t="shared" si="0"/>
        <v>4.7278926662402494</v>
      </c>
      <c r="E32" s="383">
        <f t="shared" si="1"/>
        <v>4.8782678698134188</v>
      </c>
      <c r="F32" s="383">
        <f t="shared" si="2"/>
        <v>4.8782678698134188</v>
      </c>
      <c r="G32" s="110">
        <f t="shared" si="21"/>
        <v>0.15747494246832136</v>
      </c>
      <c r="H32" s="412" t="b">
        <f>Wh_hp&gt;='2025'!Maxi_hp</f>
        <v>0</v>
      </c>
      <c r="I32" s="388">
        <f>IF(H32,Wh_hp,'2025'!Maxi_hp)</f>
        <v>30.433829557852597</v>
      </c>
      <c r="J32" s="85">
        <f>IF(H32,An,'2025'!An_max)</f>
        <v>2021</v>
      </c>
      <c r="K32" s="197">
        <f t="shared" si="3"/>
        <v>46040</v>
      </c>
      <c r="L32" s="147">
        <f>IF(t&lt;Tvie,1-EXP((T0-t)*PertePVj)+'2025'!Pspv,1-EXP((T0-t)*PertePVj)+Pspv)</f>
        <v>4.7969408599461416E-2</v>
      </c>
      <c r="M32" s="832"/>
      <c r="N32" s="832"/>
      <c r="O32" s="48">
        <f>IF(t&lt;Tnet,'2025'!Resal+('2025'!Salim-'2025'!Resal)*(1-EXP(('2025'!Tnet-t)/('2025'!Tau_j))),Resal+(Salim-Resal)*(1-EXP((Tnet-t)/(Tau_j))))*Salcycl</f>
        <v>3.0825532255759628E-2</v>
      </c>
      <c r="P32" s="169">
        <f>(INDEX(Models!$BJ32:$BT32,,T32)*(1-R32)+INDEX(Models!$BJ32:$BT32,,T32+1)*R32-ERP_i)*Q32*Ramure*Pc/MaxiM</f>
        <v>4.7736284066481074E-2</v>
      </c>
      <c r="Q32" s="304">
        <f t="shared" si="4"/>
        <v>0.7</v>
      </c>
      <c r="R32" s="177">
        <f t="shared" si="5"/>
        <v>0.53516795656085359</v>
      </c>
      <c r="S32" s="799">
        <f t="shared" si="6"/>
        <v>1</v>
      </c>
      <c r="T32" s="176">
        <f t="shared" si="7"/>
        <v>7</v>
      </c>
      <c r="U32" s="250">
        <f t="shared" si="8"/>
        <v>1.5351679565608536</v>
      </c>
      <c r="V32" s="382">
        <f t="shared" si="9"/>
        <v>27.218506447191782</v>
      </c>
      <c r="W32" s="400">
        <f t="shared" si="10"/>
        <v>4.501098451118974</v>
      </c>
      <c r="X32" s="157">
        <f t="shared" si="11"/>
        <v>46040</v>
      </c>
      <c r="Y32" s="383">
        <f t="shared" si="12"/>
        <v>4.3249024213550884</v>
      </c>
      <c r="Z32" s="383">
        <f t="shared" si="22"/>
        <v>4.5428187501755541</v>
      </c>
      <c r="AA32" s="384">
        <f t="shared" si="13"/>
        <v>4.8782678698134188</v>
      </c>
      <c r="AB32" s="197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6.8763981107641592E-2</v>
      </c>
      <c r="AD32" s="230">
        <f>(INDEX(Models!$BJ32:$BT32,,AH32)*(1-AF32)+INDEX(Models!$BJ32:$BT32,,AH32+1)*AF32-ERP_i)*AE32*Ramure*Pc/MaxiM</f>
        <v>4.9712824431286148E-2</v>
      </c>
      <c r="AE32" s="304">
        <f t="shared" si="15"/>
        <v>0.7</v>
      </c>
      <c r="AF32" s="177">
        <f t="shared" si="23"/>
        <v>0.59950017882068574</v>
      </c>
      <c r="AG32" s="799">
        <f t="shared" si="24"/>
        <v>1</v>
      </c>
      <c r="AH32" s="176">
        <f t="shared" si="16"/>
        <v>7</v>
      </c>
      <c r="AI32" s="224">
        <f t="shared" si="17"/>
        <v>1.5995001788206857</v>
      </c>
      <c r="AJ32" s="264" t="b">
        <f t="shared" si="18"/>
        <v>0</v>
      </c>
      <c r="AK32" s="264" t="b">
        <f t="shared" si="19"/>
        <v>1</v>
      </c>
      <c r="AL32" s="264"/>
      <c r="AM32" s="264"/>
      <c r="AN32" s="75"/>
    </row>
    <row r="33" spans="1:40" s="6" customFormat="1" ht="11.25" x14ac:dyDescent="0.2">
      <c r="A33" s="56">
        <f t="shared" si="20"/>
        <v>46041</v>
      </c>
      <c r="B33" s="409">
        <f>'2025'!Wh/'2025'!Env_an*'2026'!Env_an</f>
        <v>11.381753730995829</v>
      </c>
      <c r="C33" s="829"/>
      <c r="D33" s="391">
        <f t="shared" si="0"/>
        <v>11.955468623278019</v>
      </c>
      <c r="E33" s="383">
        <f t="shared" si="1"/>
        <v>12.336701035586424</v>
      </c>
      <c r="F33" s="383">
        <f t="shared" si="2"/>
        <v>12.431049493743993</v>
      </c>
      <c r="G33" s="110">
        <f t="shared" si="21"/>
        <v>0.39704360637916508</v>
      </c>
      <c r="H33" s="412" t="b">
        <f>Wh_hp&gt;='2025'!Maxi_hp</f>
        <v>0</v>
      </c>
      <c r="I33" s="388">
        <f>IF(H33,Wh_hp,'2025'!Maxi_hp)</f>
        <v>32.683118262088648</v>
      </c>
      <c r="J33" s="85">
        <f>IF(H33,An,'2025'!An_max)</f>
        <v>2021</v>
      </c>
      <c r="K33" s="197">
        <f t="shared" si="3"/>
        <v>46041</v>
      </c>
      <c r="L33" s="147">
        <f>IF(t&lt;Tvie,1-EXP((T0-t)*PertePVj)+'2025'!Pspv,1-EXP((T0-t)*PertePVj)+Pspv)</f>
        <v>4.7987654048552542E-2</v>
      </c>
      <c r="M33" s="832"/>
      <c r="N33" s="832"/>
      <c r="O33" s="48">
        <f>IF(t&lt;Tnet,'2025'!Resal+('2025'!Salim-'2025'!Resal)*(1-EXP(('2025'!Tnet-t)/('2025'!Tau_j))),Resal+(Salim-Resal)*(1-EXP((Tnet-t)/(Tau_j))))*Salcycl</f>
        <v>3.0902298046187878E-2</v>
      </c>
      <c r="P33" s="169">
        <f>(INDEX(Models!$BJ33:$BT33,,T33)*(1-R33)+INDEX(Models!$BJ33:$BT33,,T33+1)*R33-ERP_i)*Q33*Ramure*Pc/MaxiM</f>
        <v>4.6850977759725319E-2</v>
      </c>
      <c r="Q33" s="304">
        <f t="shared" si="4"/>
        <v>0.7</v>
      </c>
      <c r="R33" s="177">
        <f t="shared" si="5"/>
        <v>0.53521482213354221</v>
      </c>
      <c r="S33" s="799">
        <f t="shared" si="6"/>
        <v>1</v>
      </c>
      <c r="T33" s="176">
        <f t="shared" si="7"/>
        <v>7</v>
      </c>
      <c r="U33" s="250">
        <f t="shared" si="8"/>
        <v>1.5352148221335422</v>
      </c>
      <c r="V33" s="382">
        <f t="shared" si="9"/>
        <v>27.532176152468061</v>
      </c>
      <c r="W33" s="400">
        <f t="shared" si="10"/>
        <v>11.381753730995829</v>
      </c>
      <c r="X33" s="157">
        <f t="shared" si="11"/>
        <v>46041</v>
      </c>
      <c r="Y33" s="383">
        <f t="shared" si="12"/>
        <v>10.93329940188671</v>
      </c>
      <c r="Z33" s="383">
        <f t="shared" si="22"/>
        <v>11.484409260428128</v>
      </c>
      <c r="AA33" s="384">
        <f t="shared" si="13"/>
        <v>12.332855486615022</v>
      </c>
      <c r="AB33" s="197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6.8795602697827918E-2</v>
      </c>
      <c r="AD33" s="230">
        <f>(INDEX(Models!$BJ33:$BT33,,AH33)*(1-AF33)+INDEX(Models!$BJ33:$BT33,,AH33+1)*AF33-ERP_i)*AE33*Ramure*Pc/MaxiM</f>
        <v>4.8760576844346336E-2</v>
      </c>
      <c r="AE33" s="304">
        <f t="shared" si="15"/>
        <v>0.7</v>
      </c>
      <c r="AF33" s="177">
        <f t="shared" si="23"/>
        <v>0.59954704439337436</v>
      </c>
      <c r="AG33" s="799">
        <f t="shared" si="24"/>
        <v>1</v>
      </c>
      <c r="AH33" s="176">
        <f t="shared" si="16"/>
        <v>7</v>
      </c>
      <c r="AI33" s="224">
        <f t="shared" si="17"/>
        <v>1.5995470443933744</v>
      </c>
      <c r="AJ33" s="264" t="b">
        <f t="shared" si="18"/>
        <v>0</v>
      </c>
      <c r="AK33" s="264" t="b">
        <f t="shared" si="19"/>
        <v>1</v>
      </c>
      <c r="AL33" s="264"/>
      <c r="AM33" s="264"/>
      <c r="AN33" s="75"/>
    </row>
    <row r="34" spans="1:40" s="6" customFormat="1" ht="11.25" x14ac:dyDescent="0.2">
      <c r="A34" s="56">
        <f t="shared" si="20"/>
        <v>46042</v>
      </c>
      <c r="B34" s="409">
        <f>'2025'!Wh/'2025'!Env_an*'2026'!Env_an</f>
        <v>4.7236574027105966</v>
      </c>
      <c r="C34" s="829"/>
      <c r="D34" s="391">
        <f t="shared" si="0"/>
        <v>4.9618557494032425</v>
      </c>
      <c r="E34" s="383">
        <f t="shared" si="1"/>
        <v>5.1204832592501042</v>
      </c>
      <c r="F34" s="383">
        <f t="shared" si="2"/>
        <v>5.1204832592501042</v>
      </c>
      <c r="G34" s="110">
        <f t="shared" si="21"/>
        <v>0.1618287094256034</v>
      </c>
      <c r="H34" s="412" t="b">
        <f>Wh_hp&gt;='2025'!Maxi_hp</f>
        <v>0</v>
      </c>
      <c r="I34" s="388">
        <f>IF(H34,Wh_hp,'2025'!Maxi_hp)</f>
        <v>11.30286271509741</v>
      </c>
      <c r="J34" s="85">
        <f>IF(H34,An,'2025'!An_max)</f>
        <v>2020</v>
      </c>
      <c r="K34" s="197">
        <f t="shared" si="3"/>
        <v>46042</v>
      </c>
      <c r="L34" s="147">
        <f>IF(t&lt;Tvie,1-EXP((T0-t)*PertePVj)+'2025'!Pspv,1-EXP((T0-t)*PertePVj)+Pspv)</f>
        <v>4.8005899147973818E-2</v>
      </c>
      <c r="M34" s="832"/>
      <c r="N34" s="832"/>
      <c r="O34" s="48">
        <f>IF(t&lt;Tnet,'2025'!Resal+('2025'!Salim-'2025'!Resal)*(1-EXP(('2025'!Tnet-t)/('2025'!Tau_j))),Resal+(Salim-Resal)*(1-EXP((Tnet-t)/(Tau_j))))*Salcycl</f>
        <v>3.0979011514255538E-2</v>
      </c>
      <c r="P34" s="169">
        <f>(INDEX(Models!$BJ34:$BT34,,T34)*(1-R34)+INDEX(Models!$BJ34:$BT34,,T34+1)*R34-ERP_i)*Q34*Ramure*Pc/MaxiM</f>
        <v>4.6031812471674621E-2</v>
      </c>
      <c r="Q34" s="304">
        <f t="shared" si="4"/>
        <v>0.7</v>
      </c>
      <c r="R34" s="177">
        <f t="shared" si="5"/>
        <v>0.53526364211757627</v>
      </c>
      <c r="S34" s="799">
        <f t="shared" si="6"/>
        <v>1</v>
      </c>
      <c r="T34" s="176">
        <f t="shared" si="7"/>
        <v>7</v>
      </c>
      <c r="U34" s="250">
        <f t="shared" si="8"/>
        <v>1.5352636421175763</v>
      </c>
      <c r="V34" s="382">
        <f t="shared" si="9"/>
        <v>27.845608526218911</v>
      </c>
      <c r="W34" s="400">
        <f t="shared" si="10"/>
        <v>4.7236574027105966</v>
      </c>
      <c r="X34" s="157">
        <f t="shared" si="11"/>
        <v>46042</v>
      </c>
      <c r="Y34" s="383">
        <f t="shared" si="12"/>
        <v>4.5391596104423346</v>
      </c>
      <c r="Z34" s="383">
        <f t="shared" si="22"/>
        <v>4.7680543465341092</v>
      </c>
      <c r="AA34" s="384">
        <f t="shared" si="13"/>
        <v>5.1204832592501042</v>
      </c>
      <c r="AB34" s="197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6.8827275644214925E-2</v>
      </c>
      <c r="AD34" s="230">
        <f>(INDEX(Models!$BJ34:$BT34,,AH34)*(1-AF34)+INDEX(Models!$BJ34:$BT34,,AH34+1)*AF34-ERP_i)*AE34*Ramure*Pc/MaxiM</f>
        <v>4.7875386270493106E-2</v>
      </c>
      <c r="AE34" s="304">
        <f t="shared" si="15"/>
        <v>0.7</v>
      </c>
      <c r="AF34" s="177">
        <f t="shared" si="23"/>
        <v>0.59959586437740842</v>
      </c>
      <c r="AG34" s="799">
        <f t="shared" si="24"/>
        <v>1</v>
      </c>
      <c r="AH34" s="176">
        <f t="shared" si="16"/>
        <v>7</v>
      </c>
      <c r="AI34" s="224">
        <f t="shared" si="17"/>
        <v>1.5995958643774084</v>
      </c>
      <c r="AJ34" s="264" t="b">
        <f t="shared" si="18"/>
        <v>0</v>
      </c>
      <c r="AK34" s="264" t="b">
        <f t="shared" si="19"/>
        <v>1</v>
      </c>
      <c r="AL34" s="264"/>
      <c r="AM34" s="264"/>
      <c r="AN34" s="75"/>
    </row>
    <row r="35" spans="1:40" s="6" customFormat="1" ht="11.25" x14ac:dyDescent="0.2">
      <c r="A35" s="56">
        <f t="shared" si="20"/>
        <v>46043</v>
      </c>
      <c r="B35" s="409">
        <f>'2025'!Wh/'2025'!Env_an*'2026'!Env_an</f>
        <v>18.047057870942755</v>
      </c>
      <c r="C35" s="829"/>
      <c r="D35" s="391">
        <f t="shared" si="0"/>
        <v>18.957474346916641</v>
      </c>
      <c r="E35" s="383">
        <f t="shared" si="1"/>
        <v>19.565081139647305</v>
      </c>
      <c r="F35" s="383">
        <f t="shared" si="2"/>
        <v>20.006276164157512</v>
      </c>
      <c r="G35" s="110">
        <f t="shared" si="21"/>
        <v>0.62570838593176392</v>
      </c>
      <c r="H35" s="412" t="b">
        <f>Wh_hp&gt;='2025'!Maxi_hp</f>
        <v>0</v>
      </c>
      <c r="I35" s="388">
        <f>IF(H35,Wh_hp,'2025'!Maxi_hp)</f>
        <v>20.346103196063709</v>
      </c>
      <c r="J35" s="85">
        <f>IF(H35,An,'2025'!An_max)</f>
        <v>2022</v>
      </c>
      <c r="K35" s="197">
        <f t="shared" si="3"/>
        <v>46043</v>
      </c>
      <c r="L35" s="147">
        <f>IF(t&lt;Tvie,1-EXP((T0-t)*PertePVj)+'2025'!Pspv,1-EXP((T0-t)*PertePVj)+Pspv)</f>
        <v>4.8024143897731908E-2</v>
      </c>
      <c r="M35" s="832"/>
      <c r="N35" s="832"/>
      <c r="O35" s="48">
        <f>IF(t&lt;Tnet,'2025'!Resal+('2025'!Salim-'2025'!Resal)*(1-EXP(('2025'!Tnet-t)/('2025'!Tau_j))),Resal+(Salim-Resal)*(1-EXP((Tnet-t)/(Tau_j))))*Salcycl</f>
        <v>3.1055674566020063E-2</v>
      </c>
      <c r="P35" s="169">
        <f>(INDEX(Models!$BJ35:$BT35,,T35)*(1-R35)+INDEX(Models!$BJ35:$BT35,,T35+1)*R35-ERP_i)*Q35*Ramure*Pc/MaxiM</f>
        <v>4.5278979782064604E-2</v>
      </c>
      <c r="Q35" s="304">
        <f t="shared" si="4"/>
        <v>0.7</v>
      </c>
      <c r="R35" s="177">
        <f t="shared" si="5"/>
        <v>0.53531449750736537</v>
      </c>
      <c r="S35" s="799">
        <f t="shared" si="6"/>
        <v>1</v>
      </c>
      <c r="T35" s="176">
        <f t="shared" si="7"/>
        <v>7</v>
      </c>
      <c r="U35" s="250">
        <f t="shared" si="8"/>
        <v>1.5353144975073654</v>
      </c>
      <c r="V35" s="382">
        <f t="shared" si="9"/>
        <v>28.157592930987814</v>
      </c>
      <c r="W35" s="400">
        <f t="shared" si="10"/>
        <v>18.047057870942755</v>
      </c>
      <c r="X35" s="157">
        <f t="shared" si="11"/>
        <v>46043</v>
      </c>
      <c r="Y35" s="383">
        <f t="shared" si="12"/>
        <v>17.32759093262624</v>
      </c>
      <c r="Z35" s="383">
        <f t="shared" si="22"/>
        <v>18.201712597598469</v>
      </c>
      <c r="AA35" s="384">
        <f t="shared" si="13"/>
        <v>19.547751269228296</v>
      </c>
      <c r="AB35" s="197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6.8859003426585186E-2</v>
      </c>
      <c r="AD35" s="230">
        <f>(INDEX(Models!$BJ35:$BT35,,AH35)*(1-AF35)+INDEX(Models!$BJ35:$BT35,,AH35+1)*AF35-ERP_i)*AE35*Ramure*Pc/MaxiM</f>
        <v>4.7057510383581046E-2</v>
      </c>
      <c r="AE35" s="304">
        <f t="shared" si="15"/>
        <v>0.7</v>
      </c>
      <c r="AF35" s="177">
        <f t="shared" si="23"/>
        <v>0.59964671976719752</v>
      </c>
      <c r="AG35" s="799">
        <f t="shared" si="24"/>
        <v>1</v>
      </c>
      <c r="AH35" s="176">
        <f t="shared" si="16"/>
        <v>7</v>
      </c>
      <c r="AI35" s="224">
        <f t="shared" si="17"/>
        <v>1.5996467197671975</v>
      </c>
      <c r="AJ35" s="264" t="b">
        <f t="shared" si="18"/>
        <v>0</v>
      </c>
      <c r="AK35" s="264" t="b">
        <f t="shared" si="19"/>
        <v>1</v>
      </c>
      <c r="AL35" s="264"/>
      <c r="AM35" s="264"/>
      <c r="AN35" s="75"/>
    </row>
    <row r="36" spans="1:40" s="6" customFormat="1" ht="11.25" x14ac:dyDescent="0.2">
      <c r="A36" s="56">
        <f t="shared" si="20"/>
        <v>46044</v>
      </c>
      <c r="B36" s="409">
        <f>'2025'!Wh/'2025'!Env_an*'2026'!Env_an</f>
        <v>27.921237611832577</v>
      </c>
      <c r="C36" s="829"/>
      <c r="D36" s="391">
        <f t="shared" si="0"/>
        <v>29.330337053461296</v>
      </c>
      <c r="E36" s="383">
        <f t="shared" si="1"/>
        <v>30.272798569718141</v>
      </c>
      <c r="F36" s="383">
        <f t="shared" si="2"/>
        <v>31.645292536588151</v>
      </c>
      <c r="G36" s="110">
        <f t="shared" si="21"/>
        <v>0.97957878151617672</v>
      </c>
      <c r="H36" s="412" t="b">
        <f>Wh_hp&gt;='2025'!Maxi_hp</f>
        <v>0</v>
      </c>
      <c r="I36" s="388">
        <f>IF(H36,Wh_hp,'2025'!Maxi_hp)</f>
        <v>31.673476071580343</v>
      </c>
      <c r="J36" s="85">
        <f>IF(H36,An,'2025'!An_max)</f>
        <v>2022</v>
      </c>
      <c r="K36" s="197">
        <f t="shared" si="3"/>
        <v>46044</v>
      </c>
      <c r="L36" s="147">
        <f>IF(t&lt;Tvie,1-EXP((T0-t)*PertePVj)+'2025'!Pspv,1-EXP((T0-t)*PertePVj)+Pspv)</f>
        <v>4.8042388297833472E-2</v>
      </c>
      <c r="M36" s="832"/>
      <c r="N36" s="832"/>
      <c r="O36" s="48">
        <f>IF(t&lt;Tnet,'2025'!Resal+('2025'!Salim-'2025'!Resal)*(1-EXP(('2025'!Tnet-t)/('2025'!Tau_j))),Resal+(Salim-Resal)*(1-EXP((Tnet-t)/(Tau_j))))*Salcycl</f>
        <v>3.1132289077481921E-2</v>
      </c>
      <c r="P36" s="169">
        <f>(INDEX(Models!$BJ36:$BT36,,T36)*(1-R36)+INDEX(Models!$BJ36:$BT36,,T36+1)*R36-ERP_i)*Q36*Ramure*Pc/MaxiM</f>
        <v>4.4592329910540511E-2</v>
      </c>
      <c r="Q36" s="304">
        <f t="shared" si="4"/>
        <v>0.7</v>
      </c>
      <c r="R36" s="177">
        <f t="shared" si="5"/>
        <v>0.53536747261039097</v>
      </c>
      <c r="S36" s="799">
        <f t="shared" si="6"/>
        <v>1</v>
      </c>
      <c r="T36" s="176">
        <f t="shared" si="7"/>
        <v>7</v>
      </c>
      <c r="U36" s="250">
        <f t="shared" si="8"/>
        <v>1.535367472610391</v>
      </c>
      <c r="V36" s="382">
        <f t="shared" si="9"/>
        <v>28.466925333302026</v>
      </c>
      <c r="W36" s="400">
        <f t="shared" si="10"/>
        <v>27.921237611832577</v>
      </c>
      <c r="X36" s="157">
        <f t="shared" si="11"/>
        <v>46044</v>
      </c>
      <c r="Y36" s="383">
        <f t="shared" si="12"/>
        <v>26.786322712685298</v>
      </c>
      <c r="Z36" s="383">
        <f t="shared" si="22"/>
        <v>28.138146471447911</v>
      </c>
      <c r="AA36" s="384">
        <f t="shared" si="13"/>
        <v>30.220028061286246</v>
      </c>
      <c r="AB36" s="197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6.8890789433294977E-2</v>
      </c>
      <c r="AD36" s="230">
        <f>(INDEX(Models!$BJ36:$BT36,,AH36)*(1-AF36)+INDEX(Models!$BJ36:$BT36,,AH36+1)*AF36-ERP_i)*AE36*Ramure*Pc/MaxiM</f>
        <v>4.630684376513209E-2</v>
      </c>
      <c r="AE36" s="304">
        <f t="shared" si="15"/>
        <v>0.7</v>
      </c>
      <c r="AF36" s="177">
        <f t="shared" si="23"/>
        <v>0.59969969487022312</v>
      </c>
      <c r="AG36" s="799">
        <f t="shared" si="24"/>
        <v>1</v>
      </c>
      <c r="AH36" s="176">
        <f t="shared" si="16"/>
        <v>7</v>
      </c>
      <c r="AI36" s="224">
        <f t="shared" si="17"/>
        <v>1.5996996948702231</v>
      </c>
      <c r="AJ36" s="264" t="b">
        <f t="shared" si="18"/>
        <v>0</v>
      </c>
      <c r="AK36" s="264" t="b">
        <f t="shared" si="19"/>
        <v>1</v>
      </c>
      <c r="AL36" s="264"/>
      <c r="AM36" s="264"/>
      <c r="AN36" s="75"/>
    </row>
    <row r="37" spans="1:40" s="6" customFormat="1" ht="11.25" x14ac:dyDescent="0.2">
      <c r="A37" s="56">
        <f t="shared" si="20"/>
        <v>46045</v>
      </c>
      <c r="B37" s="409">
        <f>'2025'!Wh/'2025'!Env_an*'2026'!Env_an</f>
        <v>28.279248658546269</v>
      </c>
      <c r="C37" s="829"/>
      <c r="D37" s="391">
        <f t="shared" si="0"/>
        <v>29.706985150017218</v>
      </c>
      <c r="E37" s="383">
        <f t="shared" si="1"/>
        <v>30.663972683674654</v>
      </c>
      <c r="F37" s="383">
        <f t="shared" si="2"/>
        <v>32.03771115223828</v>
      </c>
      <c r="G37" s="110">
        <f t="shared" si="21"/>
        <v>0.98159043112210975</v>
      </c>
      <c r="H37" s="412" t="b">
        <f>Wh_hp&gt;='2025'!Maxi_hp</f>
        <v>0</v>
      </c>
      <c r="I37" s="388">
        <f>IF(H37,Wh_hp,'2025'!Maxi_hp)</f>
        <v>32.062853586562348</v>
      </c>
      <c r="J37" s="85">
        <f>IF(H37,An,'2025'!An_max)</f>
        <v>2022</v>
      </c>
      <c r="K37" s="197">
        <f t="shared" si="3"/>
        <v>46045</v>
      </c>
      <c r="L37" s="147">
        <f>IF(t&lt;Tvie,1-EXP((T0-t)*PertePVj)+'2025'!Pspv,1-EXP((T0-t)*PertePVj)+Pspv)</f>
        <v>4.8060632348285282E-2</v>
      </c>
      <c r="M37" s="832"/>
      <c r="N37" s="832"/>
      <c r="O37" s="48">
        <f>IF(t&lt;Tnet,'2025'!Resal+('2025'!Salim-'2025'!Resal)*(1-EXP(('2025'!Tnet-t)/('2025'!Tau_j))),Resal+(Salim-Resal)*(1-EXP((Tnet-t)/(Tau_j))))*Salcycl</f>
        <v>3.120885684087921E-2</v>
      </c>
      <c r="P37" s="169">
        <f>(INDEX(Models!$BJ37:$BT37,,T37)*(1-R37)+INDEX(Models!$BJ37:$BT37,,T37+1)*R37-ERP_i)*Q37*Ramure*Pc/MaxiM</f>
        <v>4.3965002928125295E-2</v>
      </c>
      <c r="Q37" s="304">
        <f t="shared" si="4"/>
        <v>0.7</v>
      </c>
      <c r="R37" s="177">
        <f t="shared" si="5"/>
        <v>0.53542265517901289</v>
      </c>
      <c r="S37" s="799">
        <f t="shared" si="6"/>
        <v>1</v>
      </c>
      <c r="T37" s="176">
        <f t="shared" si="7"/>
        <v>7</v>
      </c>
      <c r="U37" s="250">
        <f t="shared" si="8"/>
        <v>1.5354226551790129</v>
      </c>
      <c r="V37" s="382">
        <f t="shared" si="9"/>
        <v>28.776926217469597</v>
      </c>
      <c r="W37" s="400">
        <f t="shared" si="10"/>
        <v>28.279248658546269</v>
      </c>
      <c r="X37" s="157">
        <f t="shared" si="11"/>
        <v>46045</v>
      </c>
      <c r="Y37" s="383">
        <f t="shared" si="12"/>
        <v>27.132642287207812</v>
      </c>
      <c r="Z37" s="383">
        <f t="shared" si="22"/>
        <v>28.502489979104226</v>
      </c>
      <c r="AA37" s="384">
        <f t="shared" si="13"/>
        <v>30.612375627394492</v>
      </c>
      <c r="AB37" s="197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6.8922636843713761E-2</v>
      </c>
      <c r="AD37" s="230">
        <f>(INDEX(Models!$BJ37:$BT37,,AH37)*(1-AF37)+INDEX(Models!$BJ37:$BT37,,AH37+1)*AF37-ERP_i)*AE37*Ramure*Pc/MaxiM</f>
        <v>4.5616310496742758E-2</v>
      </c>
      <c r="AE37" s="304">
        <f t="shared" si="15"/>
        <v>0.7</v>
      </c>
      <c r="AF37" s="177">
        <f t="shared" si="23"/>
        <v>0.59975487743884504</v>
      </c>
      <c r="AG37" s="799">
        <f t="shared" si="24"/>
        <v>1</v>
      </c>
      <c r="AH37" s="176">
        <f t="shared" si="16"/>
        <v>7</v>
      </c>
      <c r="AI37" s="224">
        <f t="shared" si="17"/>
        <v>1.599754877438845</v>
      </c>
      <c r="AJ37" s="264" t="b">
        <f t="shared" si="18"/>
        <v>0</v>
      </c>
      <c r="AK37" s="264" t="b">
        <f t="shared" si="19"/>
        <v>1</v>
      </c>
      <c r="AL37" s="264"/>
      <c r="AM37" s="264"/>
      <c r="AN37" s="75"/>
    </row>
    <row r="38" spans="1:40" s="6" customFormat="1" ht="11.25" x14ac:dyDescent="0.2">
      <c r="A38" s="56">
        <f t="shared" si="20"/>
        <v>46046</v>
      </c>
      <c r="B38" s="409">
        <f>'2025'!Wh/'2025'!Env_an*'2026'!Env_an</f>
        <v>28.787326259956693</v>
      </c>
      <c r="C38" s="829"/>
      <c r="D38" s="391">
        <f t="shared" si="0"/>
        <v>30.24129366987486</v>
      </c>
      <c r="E38" s="383">
        <f t="shared" si="1"/>
        <v>31.217959376646721</v>
      </c>
      <c r="F38" s="383">
        <f t="shared" si="2"/>
        <v>32.612930069453888</v>
      </c>
      <c r="G38" s="110">
        <f t="shared" si="21"/>
        <v>0.98891532959889228</v>
      </c>
      <c r="H38" s="412" t="b">
        <f>Wh_hp&gt;='2025'!Maxi_hp</f>
        <v>0</v>
      </c>
      <c r="I38" s="388">
        <f>IF(H38,Wh_hp,'2025'!Maxi_hp)</f>
        <v>32.62802258873004</v>
      </c>
      <c r="J38" s="85">
        <f>IF(H38,An,'2025'!An_max)</f>
        <v>2022</v>
      </c>
      <c r="K38" s="197">
        <f t="shared" si="3"/>
        <v>46046</v>
      </c>
      <c r="L38" s="147">
        <f>IF(t&lt;Tvie,1-EXP((T0-t)*PertePVj)+'2025'!Pspv,1-EXP((T0-t)*PertePVj)+Pspv)</f>
        <v>4.807887604909411E-2</v>
      </c>
      <c r="M38" s="832"/>
      <c r="N38" s="832"/>
      <c r="O38" s="48">
        <f>IF(t&lt;Tnet,'2025'!Resal+('2025'!Salim-'2025'!Resal)*(1-EXP(('2025'!Tnet-t)/('2025'!Tau_j))),Resal+(Salim-Resal)*(1-EXP((Tnet-t)/(Tau_j))))*Salcycl</f>
        <v>3.1285379514667366E-2</v>
      </c>
      <c r="P38" s="169">
        <f>(INDEX(Models!$BJ38:$BT38,,T38)*(1-R38)+INDEX(Models!$BJ38:$BT38,,T38+1)*R38-ERP_i)*Q38*Ramure*Pc/MaxiM</f>
        <v>4.3419675130696E-2</v>
      </c>
      <c r="Q38" s="304">
        <f t="shared" si="4"/>
        <v>0.7</v>
      </c>
      <c r="R38" s="177">
        <f t="shared" si="5"/>
        <v>0.53548013654719639</v>
      </c>
      <c r="S38" s="799">
        <f t="shared" si="6"/>
        <v>1</v>
      </c>
      <c r="T38" s="176">
        <f t="shared" si="7"/>
        <v>7</v>
      </c>
      <c r="U38" s="250">
        <f t="shared" si="8"/>
        <v>1.5354801365471964</v>
      </c>
      <c r="V38" s="382">
        <f t="shared" si="9"/>
        <v>29.090351763628647</v>
      </c>
      <c r="W38" s="400">
        <f t="shared" si="10"/>
        <v>28.787326259956693</v>
      </c>
      <c r="X38" s="157">
        <f t="shared" si="11"/>
        <v>46046</v>
      </c>
      <c r="Y38" s="383">
        <f t="shared" si="12"/>
        <v>27.622606620328622</v>
      </c>
      <c r="Z38" s="383">
        <f t="shared" si="22"/>
        <v>29.017747295786684</v>
      </c>
      <c r="AA38" s="384">
        <f t="shared" si="13"/>
        <v>31.166842875033996</v>
      </c>
      <c r="AB38" s="197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6.8954548520178599E-2</v>
      </c>
      <c r="AD38" s="230">
        <f>(INDEX(Models!$BJ38:$BT38,,AH38)*(1-AF38)+INDEX(Models!$BJ38:$BT38,,AH38+1)*AF38-ERP_i)*AE38*Ramure*Pc/MaxiM</f>
        <v>4.5010720666839768E-2</v>
      </c>
      <c r="AE38" s="304">
        <f t="shared" si="15"/>
        <v>0.7</v>
      </c>
      <c r="AF38" s="177">
        <f t="shared" si="23"/>
        <v>0.59981235880702855</v>
      </c>
      <c r="AG38" s="799">
        <f t="shared" si="24"/>
        <v>1</v>
      </c>
      <c r="AH38" s="176">
        <f t="shared" si="16"/>
        <v>7</v>
      </c>
      <c r="AI38" s="224">
        <f t="shared" si="17"/>
        <v>1.5998123588070285</v>
      </c>
      <c r="AJ38" s="264" t="b">
        <f t="shared" si="18"/>
        <v>0</v>
      </c>
      <c r="AK38" s="264" t="b">
        <f t="shared" si="19"/>
        <v>1</v>
      </c>
      <c r="AL38" s="264"/>
      <c r="AM38" s="264"/>
      <c r="AN38" s="75"/>
    </row>
    <row r="39" spans="1:40" s="6" customFormat="1" ht="11.25" x14ac:dyDescent="0.2">
      <c r="A39" s="56">
        <f t="shared" si="20"/>
        <v>46047</v>
      </c>
      <c r="B39" s="409">
        <f>'2025'!Wh/'2025'!Env_an*'2026'!Env_an</f>
        <v>26.901223294897196</v>
      </c>
      <c r="C39" s="829"/>
      <c r="D39" s="391">
        <f t="shared" si="0"/>
        <v>28.260470519795511</v>
      </c>
      <c r="E39" s="383">
        <f t="shared" si="1"/>
        <v>29.175467402407421</v>
      </c>
      <c r="F39" s="383">
        <f t="shared" si="2"/>
        <v>30.318782418765622</v>
      </c>
      <c r="G39" s="110">
        <f t="shared" si="21"/>
        <v>0.90981885548110619</v>
      </c>
      <c r="H39" s="412" t="b">
        <f>Wh_hp&gt;='2025'!Maxi_hp</f>
        <v>0</v>
      </c>
      <c r="I39" s="388">
        <f>IF(H39,Wh_hp,'2025'!Maxi_hp)</f>
        <v>30.431174944513202</v>
      </c>
      <c r="J39" s="85">
        <f>IF(H39,An,'2025'!An_max)</f>
        <v>2022</v>
      </c>
      <c r="K39" s="197">
        <f t="shared" si="3"/>
        <v>46047</v>
      </c>
      <c r="L39" s="147">
        <f>IF(t&lt;Tvie,1-EXP((T0-t)*PertePVj)+'2025'!Pspv,1-EXP((T0-t)*PertePVj)+Pspv)</f>
        <v>4.8097119400266508E-2</v>
      </c>
      <c r="M39" s="832"/>
      <c r="N39" s="832"/>
      <c r="O39" s="48">
        <f>IF(t&lt;Tnet,'2025'!Resal+('2025'!Salim-'2025'!Resal)*(1-EXP(('2025'!Tnet-t)/('2025'!Tau_j))),Resal+(Salim-Resal)*(1-EXP((Tnet-t)/(Tau_j))))*Salcycl</f>
        <v>3.1361858577676406E-2</v>
      </c>
      <c r="P39" s="169">
        <f>(INDEX(Models!$BJ39:$BT39,,T39)*(1-R39)+INDEX(Models!$BJ39:$BT39,,T39+1)*R39-ERP_i)*Q39*Ramure*Pc/MaxiM</f>
        <v>4.2936545164416542E-2</v>
      </c>
      <c r="Q39" s="304">
        <f t="shared" si="4"/>
        <v>0.7</v>
      </c>
      <c r="R39" s="177">
        <f t="shared" si="5"/>
        <v>0.53554001177232302</v>
      </c>
      <c r="S39" s="799">
        <f t="shared" si="6"/>
        <v>1</v>
      </c>
      <c r="T39" s="176">
        <f t="shared" si="7"/>
        <v>7</v>
      </c>
      <c r="U39" s="250">
        <f t="shared" si="8"/>
        <v>1.535540011772323</v>
      </c>
      <c r="V39" s="382">
        <f t="shared" si="9"/>
        <v>29.407070548188166</v>
      </c>
      <c r="W39" s="400">
        <f t="shared" si="10"/>
        <v>26.901223294897196</v>
      </c>
      <c r="X39" s="157">
        <f t="shared" si="11"/>
        <v>46047</v>
      </c>
      <c r="Y39" s="383">
        <f t="shared" si="12"/>
        <v>25.82009153547083</v>
      </c>
      <c r="Z39" s="383">
        <f t="shared" si="22"/>
        <v>27.124712049619212</v>
      </c>
      <c r="AA39" s="384">
        <f t="shared" si="13"/>
        <v>29.134607429047271</v>
      </c>
      <c r="AB39" s="197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6.898652691040516E-2</v>
      </c>
      <c r="AD39" s="230">
        <f>(INDEX(Models!$BJ39:$BT39,,AH39)*(1-AF39)+INDEX(Models!$BJ39:$BT39,,AH39+1)*AF39-ERP_i)*AE39*Ramure*Pc/MaxiM</f>
        <v>4.4471018224328938E-2</v>
      </c>
      <c r="AE39" s="304">
        <f t="shared" si="15"/>
        <v>0.7</v>
      </c>
      <c r="AF39" s="177">
        <f t="shared" si="23"/>
        <v>0.59987223403215517</v>
      </c>
      <c r="AG39" s="799">
        <f t="shared" si="24"/>
        <v>1</v>
      </c>
      <c r="AH39" s="176">
        <f t="shared" si="16"/>
        <v>7</v>
      </c>
      <c r="AI39" s="224">
        <f t="shared" si="17"/>
        <v>1.5998722340321552</v>
      </c>
      <c r="AJ39" s="264" t="b">
        <f t="shared" si="18"/>
        <v>0</v>
      </c>
      <c r="AK39" s="264" t="b">
        <f t="shared" si="19"/>
        <v>1</v>
      </c>
      <c r="AL39" s="264"/>
      <c r="AM39" s="264"/>
      <c r="AN39" s="75"/>
    </row>
    <row r="40" spans="1:40" s="6" customFormat="1" ht="11.25" x14ac:dyDescent="0.2">
      <c r="A40" s="56">
        <f t="shared" si="20"/>
        <v>46048</v>
      </c>
      <c r="B40" s="409">
        <f>'2025'!Wh/'2025'!Env_an*'2026'!Env_an</f>
        <v>28.990145316253141</v>
      </c>
      <c r="C40" s="829"/>
      <c r="D40" s="391">
        <f t="shared" si="0"/>
        <v>30.45552388512278</v>
      </c>
      <c r="E40" s="383">
        <f t="shared" si="1"/>
        <v>31.444071902651867</v>
      </c>
      <c r="F40" s="383">
        <f t="shared" si="2"/>
        <v>32.788763068489828</v>
      </c>
      <c r="G40" s="110">
        <f t="shared" si="21"/>
        <v>0.97370329832715818</v>
      </c>
      <c r="H40" s="412" t="b">
        <f>Wh_hp&gt;='2025'!Maxi_hp</f>
        <v>0</v>
      </c>
      <c r="I40" s="388">
        <f>IF(H40,Wh_hp,'2025'!Maxi_hp)</f>
        <v>32.823520357866578</v>
      </c>
      <c r="J40" s="85">
        <f>IF(H40,An,'2025'!An_max)</f>
        <v>2022</v>
      </c>
      <c r="K40" s="197">
        <f t="shared" si="3"/>
        <v>46048</v>
      </c>
      <c r="L40" s="147">
        <f>IF(t&lt;Tvie,1-EXP((T0-t)*PertePVj)+'2025'!Pspv,1-EXP((T0-t)*PertePVj)+Pspv)</f>
        <v>4.8115362401809247E-2</v>
      </c>
      <c r="M40" s="832"/>
      <c r="N40" s="832"/>
      <c r="O40" s="48">
        <f>IF(t&lt;Tnet,'2025'!Resal+('2025'!Salim-'2025'!Resal)*(1-EXP(('2025'!Tnet-t)/('2025'!Tau_j))),Resal+(Salim-Resal)*(1-EXP((Tnet-t)/(Tau_j))))*Salcycl</f>
        <v>3.1438295287885956E-2</v>
      </c>
      <c r="P40" s="169">
        <f>(INDEX(Models!$BJ40:$BT40,,T40)*(1-R40)+INDEX(Models!$BJ40:$BT40,,T40+1)*R40-ERP_i)*Q40*Ramure*Pc/MaxiM</f>
        <v>4.2514971099850654E-2</v>
      </c>
      <c r="Q40" s="304">
        <f t="shared" si="4"/>
        <v>0.7</v>
      </c>
      <c r="R40" s="177">
        <f t="shared" si="5"/>
        <v>0.53560237978223713</v>
      </c>
      <c r="S40" s="799">
        <f t="shared" si="6"/>
        <v>1</v>
      </c>
      <c r="T40" s="176">
        <f t="shared" si="7"/>
        <v>7</v>
      </c>
      <c r="U40" s="250">
        <f t="shared" si="8"/>
        <v>1.5356023797822371</v>
      </c>
      <c r="V40" s="382">
        <f t="shared" si="9"/>
        <v>29.726378011646407</v>
      </c>
      <c r="W40" s="400">
        <f t="shared" si="10"/>
        <v>28.990145316253141</v>
      </c>
      <c r="X40" s="157">
        <f t="shared" si="11"/>
        <v>46048</v>
      </c>
      <c r="Y40" s="383">
        <f t="shared" si="12"/>
        <v>27.823799158024077</v>
      </c>
      <c r="Z40" s="383">
        <f t="shared" si="22"/>
        <v>29.230221876707134</v>
      </c>
      <c r="AA40" s="384">
        <f t="shared" si="13"/>
        <v>31.397212725367432</v>
      </c>
      <c r="AB40" s="197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6.9018573961168103E-2</v>
      </c>
      <c r="AD40" s="230">
        <f>(INDEX(Models!$BJ40:$BT40,,AH40)*(1-AF40)+INDEX(Models!$BJ40:$BT40,,AH40+1)*AF40-ERP_i)*AE40*Ramure*Pc/MaxiM</f>
        <v>4.3996513195629354E-2</v>
      </c>
      <c r="AE40" s="304">
        <f t="shared" si="15"/>
        <v>0.7</v>
      </c>
      <c r="AF40" s="177">
        <f t="shared" si="23"/>
        <v>0.59993460204206928</v>
      </c>
      <c r="AG40" s="799">
        <f t="shared" si="24"/>
        <v>1</v>
      </c>
      <c r="AH40" s="176">
        <f t="shared" si="16"/>
        <v>7</v>
      </c>
      <c r="AI40" s="224">
        <f t="shared" si="17"/>
        <v>1.5999346020420693</v>
      </c>
      <c r="AJ40" s="264" t="b">
        <f t="shared" si="18"/>
        <v>0</v>
      </c>
      <c r="AK40" s="264" t="b">
        <f t="shared" si="19"/>
        <v>1</v>
      </c>
      <c r="AL40" s="264"/>
      <c r="AM40" s="264"/>
      <c r="AN40" s="75"/>
    </row>
    <row r="41" spans="1:40" s="6" customFormat="1" ht="11.25" x14ac:dyDescent="0.2">
      <c r="A41" s="56">
        <f t="shared" si="20"/>
        <v>46049</v>
      </c>
      <c r="B41" s="409">
        <f>'2025'!Wh/'2025'!Env_an*'2026'!Env_an</f>
        <v>28.800668229621738</v>
      </c>
      <c r="C41" s="829"/>
      <c r="D41" s="391">
        <f t="shared" si="0"/>
        <v>30.257049080136312</v>
      </c>
      <c r="E41" s="383">
        <f t="shared" si="1"/>
        <v>31.241619039451109</v>
      </c>
      <c r="F41" s="383">
        <f t="shared" si="2"/>
        <v>32.531670223759413</v>
      </c>
      <c r="G41" s="110">
        <f t="shared" si="21"/>
        <v>0.95600820240895601</v>
      </c>
      <c r="H41" s="412" t="b">
        <f>Wh_hp&gt;='2025'!Maxi_hp</f>
        <v>0</v>
      </c>
      <c r="I41" s="388">
        <f>IF(H41,Wh_hp,'2025'!Maxi_hp)</f>
        <v>32.588540192320359</v>
      </c>
      <c r="J41" s="85">
        <f>IF(H41,An,'2025'!An_max)</f>
        <v>2022</v>
      </c>
      <c r="K41" s="197">
        <f t="shared" si="3"/>
        <v>46049</v>
      </c>
      <c r="L41" s="147">
        <f>IF(t&lt;Tvie,1-EXP((T0-t)*PertePVj)+'2025'!Pspv,1-EXP((T0-t)*PertePVj)+Pspv)</f>
        <v>4.8133605053728989E-2</v>
      </c>
      <c r="M41" s="832"/>
      <c r="N41" s="832"/>
      <c r="O41" s="48">
        <f>IF(t&lt;Tnet,'2025'!Resal+('2025'!Salim-'2025'!Resal)*(1-EXP(('2025'!Tnet-t)/('2025'!Tau_j))),Resal+(Salim-Resal)*(1-EXP((Tnet-t)/(Tau_j))))*Salcycl</f>
        <v>3.1514690646202034E-2</v>
      </c>
      <c r="P41" s="169">
        <f>(INDEX(Models!$BJ41:$BT41,,T41)*(1-R41)+INDEX(Models!$BJ41:$BT41,,T41+1)*R41-ERP_i)*Q41*Ramure*Pc/MaxiM</f>
        <v>4.2154239007340513E-2</v>
      </c>
      <c r="Q41" s="304">
        <f t="shared" si="4"/>
        <v>0.7</v>
      </c>
      <c r="R41" s="177">
        <f t="shared" si="5"/>
        <v>0.53566734352769441</v>
      </c>
      <c r="S41" s="799">
        <f t="shared" si="6"/>
        <v>1</v>
      </c>
      <c r="T41" s="176">
        <f t="shared" si="7"/>
        <v>7</v>
      </c>
      <c r="U41" s="250">
        <f t="shared" si="8"/>
        <v>1.5356673435276944</v>
      </c>
      <c r="V41" s="382">
        <f t="shared" si="9"/>
        <v>30.047570048616716</v>
      </c>
      <c r="W41" s="400">
        <f t="shared" si="10"/>
        <v>28.800668229621738</v>
      </c>
      <c r="X41" s="157">
        <f t="shared" si="11"/>
        <v>46049</v>
      </c>
      <c r="Y41" s="383">
        <f t="shared" si="12"/>
        <v>27.645589133996218</v>
      </c>
      <c r="Z41" s="383">
        <f t="shared" si="22"/>
        <v>29.043560399625935</v>
      </c>
      <c r="AA41" s="384">
        <f t="shared" si="13"/>
        <v>31.197789310563234</v>
      </c>
      <c r="AB41" s="197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6.9050691043929302E-2</v>
      </c>
      <c r="AD41" s="230">
        <f>(INDEX(Models!$BJ41:$BT41,,AH41)*(1-AF41)+INDEX(Models!$BJ41:$BT41,,AH41+1)*AF41-ERP_i)*AE41*Ramure*Pc/MaxiM</f>
        <v>4.3586437116717898E-2</v>
      </c>
      <c r="AE41" s="304">
        <f t="shared" si="15"/>
        <v>0.7</v>
      </c>
      <c r="AF41" s="177">
        <f t="shared" si="23"/>
        <v>0.59999956578752656</v>
      </c>
      <c r="AG41" s="799">
        <f t="shared" si="24"/>
        <v>1</v>
      </c>
      <c r="AH41" s="176">
        <f t="shared" si="16"/>
        <v>7</v>
      </c>
      <c r="AI41" s="224">
        <f t="shared" si="17"/>
        <v>1.5999995657875266</v>
      </c>
      <c r="AJ41" s="264" t="b">
        <f t="shared" si="18"/>
        <v>0</v>
      </c>
      <c r="AK41" s="264" t="b">
        <f t="shared" si="19"/>
        <v>1</v>
      </c>
      <c r="AL41" s="264"/>
      <c r="AM41" s="264"/>
      <c r="AN41" s="75"/>
    </row>
    <row r="42" spans="1:40" s="6" customFormat="1" ht="11.25" x14ac:dyDescent="0.2">
      <c r="A42" s="56">
        <f t="shared" si="20"/>
        <v>46050</v>
      </c>
      <c r="B42" s="409">
        <f>'2025'!Wh/'2025'!Env_an*'2026'!Env_an</f>
        <v>3.9296894751734097</v>
      </c>
      <c r="C42" s="829"/>
      <c r="D42" s="391">
        <f t="shared" si="0"/>
        <v>4.128483586649649</v>
      </c>
      <c r="E42" s="383">
        <f t="shared" si="1"/>
        <v>4.2631613089617613</v>
      </c>
      <c r="F42" s="383">
        <f t="shared" si="2"/>
        <v>4.2631613089617613</v>
      </c>
      <c r="G42" s="110">
        <f t="shared" si="21"/>
        <v>0.12397843146456571</v>
      </c>
      <c r="H42" s="412" t="b">
        <f>Wh_hp&gt;='2025'!Maxi_hp</f>
        <v>0</v>
      </c>
      <c r="I42" s="388">
        <f>IF(H42,Wh_hp,'2025'!Maxi_hp)</f>
        <v>18.718380052919283</v>
      </c>
      <c r="J42" s="85">
        <f>IF(H42,An,'2025'!An_max)</f>
        <v>2021</v>
      </c>
      <c r="K42" s="197">
        <f t="shared" si="3"/>
        <v>46050</v>
      </c>
      <c r="L42" s="147">
        <f>IF(t&lt;Tvie,1-EXP((T0-t)*PertePVj)+'2025'!Pspv,1-EXP((T0-t)*PertePVj)+Pspv)</f>
        <v>4.8151847356032507E-2</v>
      </c>
      <c r="M42" s="832"/>
      <c r="N42" s="832"/>
      <c r="O42" s="48">
        <f>IF(t&lt;Tnet,'2025'!Resal+('2025'!Salim-'2025'!Resal)*(1-EXP(('2025'!Tnet-t)/('2025'!Tau_j))),Resal+(Salim-Resal)*(1-EXP((Tnet-t)/(Tau_j))))*Salcycl</f>
        <v>3.1591045365560275E-2</v>
      </c>
      <c r="P42" s="169">
        <f>(INDEX(Models!$BJ42:$BT42,,T42)*(1-R42)+INDEX(Models!$BJ42:$BT42,,T42+1)*R42-ERP_i)*Q42*Ramure*Pc/MaxiM</f>
        <v>4.1853581685413942E-2</v>
      </c>
      <c r="Q42" s="304">
        <f t="shared" si="4"/>
        <v>0.7</v>
      </c>
      <c r="R42" s="177">
        <f t="shared" si="5"/>
        <v>0.53573501014037128</v>
      </c>
      <c r="S42" s="799">
        <f t="shared" si="6"/>
        <v>1</v>
      </c>
      <c r="T42" s="176">
        <f t="shared" si="7"/>
        <v>7</v>
      </c>
      <c r="U42" s="250">
        <f t="shared" si="8"/>
        <v>1.5357350101403713</v>
      </c>
      <c r="V42" s="382">
        <f t="shared" si="9"/>
        <v>30.369942991269944</v>
      </c>
      <c r="W42" s="400">
        <f t="shared" si="10"/>
        <v>3.9296894751734097</v>
      </c>
      <c r="X42" s="157">
        <f t="shared" si="11"/>
        <v>46050</v>
      </c>
      <c r="Y42" s="383">
        <f t="shared" si="12"/>
        <v>3.7775520306439279</v>
      </c>
      <c r="Z42" s="383">
        <f t="shared" si="22"/>
        <v>3.9686498525536313</v>
      </c>
      <c r="AA42" s="384">
        <f t="shared" si="13"/>
        <v>4.2631613089617613</v>
      </c>
      <c r="AB42" s="197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6.9082878892953406E-2</v>
      </c>
      <c r="AD42" s="230">
        <f>(INDEX(Models!$BJ42:$BT42,,AH42)*(1-AF42)+INDEX(Models!$BJ42:$BT42,,AH42+1)*AF42-ERP_i)*AE42*Ramure*Pc/MaxiM</f>
        <v>4.3239962998605684E-2</v>
      </c>
      <c r="AE42" s="304">
        <f t="shared" si="15"/>
        <v>0.7</v>
      </c>
      <c r="AF42" s="177">
        <f t="shared" si="23"/>
        <v>0.60006723240020343</v>
      </c>
      <c r="AG42" s="799">
        <f t="shared" si="24"/>
        <v>1</v>
      </c>
      <c r="AH42" s="176">
        <f t="shared" si="16"/>
        <v>7</v>
      </c>
      <c r="AI42" s="224">
        <f t="shared" si="17"/>
        <v>1.6000672324002034</v>
      </c>
      <c r="AJ42" s="264" t="b">
        <f t="shared" si="18"/>
        <v>0</v>
      </c>
      <c r="AK42" s="264" t="b">
        <f t="shared" si="19"/>
        <v>1</v>
      </c>
      <c r="AL42" s="264"/>
      <c r="AM42" s="264"/>
      <c r="AN42" s="75"/>
    </row>
    <row r="43" spans="1:40" s="6" customFormat="1" ht="11.25" x14ac:dyDescent="0.2">
      <c r="A43" s="56">
        <f t="shared" si="20"/>
        <v>46051</v>
      </c>
      <c r="B43" s="409">
        <f>'2025'!Wh/'2025'!Env_an*'2026'!Env_an</f>
        <v>6.0505102102302368</v>
      </c>
      <c r="C43" s="829"/>
      <c r="D43" s="391">
        <f t="shared" si="0"/>
        <v>6.3567136756986438</v>
      </c>
      <c r="E43" s="383">
        <f t="shared" si="1"/>
        <v>6.5645971354277544</v>
      </c>
      <c r="F43" s="383">
        <f t="shared" si="2"/>
        <v>6.5645971354277544</v>
      </c>
      <c r="G43" s="110">
        <f t="shared" si="21"/>
        <v>0.18892823086869923</v>
      </c>
      <c r="H43" s="412" t="b">
        <f>Wh_hp&gt;='2025'!Maxi_hp</f>
        <v>0</v>
      </c>
      <c r="I43" s="388">
        <f>IF(H43,Wh_hp,'2025'!Maxi_hp)</f>
        <v>27.689355662253256</v>
      </c>
      <c r="J43" s="85">
        <f>IF(H43,An,'2025'!An_max)</f>
        <v>2020</v>
      </c>
      <c r="K43" s="197">
        <f t="shared" si="3"/>
        <v>46051</v>
      </c>
      <c r="L43" s="147">
        <f>IF(t&lt;Tvie,1-EXP((T0-t)*PertePVj)+'2025'!Pspv,1-EXP((T0-t)*PertePVj)+Pspv)</f>
        <v>4.8170089308726571E-2</v>
      </c>
      <c r="M43" s="832"/>
      <c r="N43" s="832"/>
      <c r="O43" s="48">
        <f>IF(t&lt;Tnet,'2025'!Resal+('2025'!Salim-'2025'!Resal)*(1-EXP(('2025'!Tnet-t)/('2025'!Tau_j))),Resal+(Salim-Resal)*(1-EXP((Tnet-t)/(Tau_j))))*Salcycl</f>
        <v>3.1667359845618949E-2</v>
      </c>
      <c r="P43" s="169">
        <f>(INDEX(Models!$BJ43:$BT43,,T43)*(1-R43)+INDEX(Models!$BJ43:$BT43,,T43+1)*R43-ERP_i)*Q43*Ramure*Pc/MaxiM</f>
        <v>4.1612196027814123E-2</v>
      </c>
      <c r="Q43" s="304">
        <f t="shared" si="4"/>
        <v>0.7</v>
      </c>
      <c r="R43" s="177">
        <f t="shared" si="5"/>
        <v>0.53580549109659947</v>
      </c>
      <c r="S43" s="799">
        <f t="shared" si="6"/>
        <v>1</v>
      </c>
      <c r="T43" s="176">
        <f t="shared" si="7"/>
        <v>7</v>
      </c>
      <c r="U43" s="250">
        <f t="shared" si="8"/>
        <v>1.5358054910965995</v>
      </c>
      <c r="V43" s="382">
        <f t="shared" si="9"/>
        <v>30.692793589560647</v>
      </c>
      <c r="W43" s="400">
        <f t="shared" si="10"/>
        <v>6.0505102102302368</v>
      </c>
      <c r="X43" s="157">
        <f t="shared" si="11"/>
        <v>46051</v>
      </c>
      <c r="Y43" s="383">
        <f t="shared" si="12"/>
        <v>5.8165222684906706</v>
      </c>
      <c r="Z43" s="383">
        <f t="shared" si="22"/>
        <v>6.1108841014109112</v>
      </c>
      <c r="AA43" s="384">
        <f t="shared" si="13"/>
        <v>6.5645971354277544</v>
      </c>
      <c r="AB43" s="197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6.9115137556309242E-2</v>
      </c>
      <c r="AD43" s="230">
        <f>(INDEX(Models!$BJ43:$BT43,,AH43)*(1-AF43)+INDEX(Models!$BJ43:$BT43,,AH43+1)*AF43-ERP_i)*AE43*Ramure*Pc/MaxiM</f>
        <v>4.2956223841054304E-2</v>
      </c>
      <c r="AE43" s="304">
        <f t="shared" si="15"/>
        <v>0.7</v>
      </c>
      <c r="AF43" s="177">
        <f t="shared" si="23"/>
        <v>0.60013771335643162</v>
      </c>
      <c r="AG43" s="799">
        <f t="shared" si="24"/>
        <v>1</v>
      </c>
      <c r="AH43" s="176">
        <f t="shared" si="16"/>
        <v>7</v>
      </c>
      <c r="AI43" s="224">
        <f t="shared" si="17"/>
        <v>1.6001377133564316</v>
      </c>
      <c r="AJ43" s="264" t="b">
        <f t="shared" si="18"/>
        <v>0</v>
      </c>
      <c r="AK43" s="264" t="b">
        <f t="shared" si="19"/>
        <v>1</v>
      </c>
      <c r="AL43" s="264"/>
      <c r="AM43" s="264"/>
      <c r="AN43" s="75"/>
    </row>
    <row r="44" spans="1:40" s="6" customFormat="1" ht="11.25" x14ac:dyDescent="0.2">
      <c r="A44" s="56">
        <f t="shared" si="20"/>
        <v>46052</v>
      </c>
      <c r="B44" s="409">
        <f>'2025'!Wh/'2025'!Env_an*'2026'!Env_an</f>
        <v>5.4569326034668455</v>
      </c>
      <c r="C44" s="829"/>
      <c r="D44" s="391">
        <f t="shared" si="0"/>
        <v>5.7332062430947959</v>
      </c>
      <c r="E44" s="383">
        <f t="shared" si="1"/>
        <v>5.9211655562739312</v>
      </c>
      <c r="F44" s="383">
        <f t="shared" si="2"/>
        <v>5.9211655562739312</v>
      </c>
      <c r="G44" s="110">
        <f t="shared" si="21"/>
        <v>0.16865340204376678</v>
      </c>
      <c r="H44" s="412" t="b">
        <f>Wh_hp&gt;='2025'!Maxi_hp</f>
        <v>0</v>
      </c>
      <c r="I44" s="388">
        <f>IF(H44,Wh_hp,'2025'!Maxi_hp)</f>
        <v>10.667841852164717</v>
      </c>
      <c r="J44" s="85">
        <f>IF(H44,An,'2025'!An_max)</f>
        <v>2020</v>
      </c>
      <c r="K44" s="197">
        <f t="shared" si="3"/>
        <v>46052</v>
      </c>
      <c r="L44" s="147">
        <f>IF(t&lt;Tvie,1-EXP((T0-t)*PertePVj)+'2025'!Pspv,1-EXP((T0-t)*PertePVj)+Pspv)</f>
        <v>4.8188330911817623E-2</v>
      </c>
      <c r="M44" s="832"/>
      <c r="N44" s="832"/>
      <c r="O44" s="48">
        <f>IF(t&lt;Tnet,'2025'!Resal+('2025'!Salim-'2025'!Resal)*(1-EXP(('2025'!Tnet-t)/('2025'!Tau_j))),Resal+(Salim-Resal)*(1-EXP((Tnet-t)/(Tau_j))))*Salcycl</f>
        <v>3.174363415324169E-2</v>
      </c>
      <c r="P44" s="169">
        <f>(INDEX(Models!$BJ44:$BT44,,T44)*(1-R44)+INDEX(Models!$BJ44:$BT44,,T44+1)*R44-ERP_i)*Q44*Ramure*Pc/MaxiM</f>
        <v>4.1416828227248736E-2</v>
      </c>
      <c r="Q44" s="304">
        <f t="shared" si="4"/>
        <v>0.7</v>
      </c>
      <c r="R44" s="177">
        <f t="shared" si="5"/>
        <v>0.53587890238699432</v>
      </c>
      <c r="S44" s="799">
        <f t="shared" si="6"/>
        <v>1</v>
      </c>
      <c r="T44" s="176">
        <f t="shared" si="7"/>
        <v>7</v>
      </c>
      <c r="U44" s="250">
        <f t="shared" si="8"/>
        <v>1.5358789023869943</v>
      </c>
      <c r="V44" s="382">
        <f t="shared" si="9"/>
        <v>31.015821203677366</v>
      </c>
      <c r="W44" s="400">
        <f t="shared" si="10"/>
        <v>5.4569326034668455</v>
      </c>
      <c r="X44" s="157">
        <f t="shared" si="11"/>
        <v>46052</v>
      </c>
      <c r="Y44" s="383">
        <f t="shared" si="12"/>
        <v>5.2461307965660078</v>
      </c>
      <c r="Z44" s="383">
        <f t="shared" si="22"/>
        <v>5.5117319601594108</v>
      </c>
      <c r="AA44" s="384">
        <f t="shared" si="13"/>
        <v>5.9211655562739312</v>
      </c>
      <c r="AB44" s="197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6.9147466360013135E-2</v>
      </c>
      <c r="AD44" s="230">
        <f>(INDEX(Models!$BJ44:$BT44,,AH44)*(1-AF44)+INDEX(Models!$BJ44:$BT44,,AH44+1)*AF44-ERP_i)*AE44*Ramure*Pc/MaxiM</f>
        <v>4.2723731521553066E-2</v>
      </c>
      <c r="AE44" s="304">
        <f t="shared" si="15"/>
        <v>0.7</v>
      </c>
      <c r="AF44" s="177">
        <f t="shared" si="23"/>
        <v>0.60021112464682647</v>
      </c>
      <c r="AG44" s="799">
        <f t="shared" si="24"/>
        <v>1</v>
      </c>
      <c r="AH44" s="176">
        <f t="shared" si="16"/>
        <v>7</v>
      </c>
      <c r="AI44" s="224">
        <f t="shared" si="17"/>
        <v>1.6002111246468265</v>
      </c>
      <c r="AJ44" s="264" t="b">
        <f t="shared" si="18"/>
        <v>0</v>
      </c>
      <c r="AK44" s="264" t="b">
        <f t="shared" si="19"/>
        <v>1</v>
      </c>
      <c r="AL44" s="264"/>
      <c r="AM44" s="264"/>
      <c r="AN44" s="75"/>
    </row>
    <row r="45" spans="1:40" s="6" customFormat="1" ht="11.25" x14ac:dyDescent="0.2">
      <c r="A45" s="56">
        <f t="shared" si="20"/>
        <v>46053</v>
      </c>
      <c r="B45" s="409">
        <f>'2025'!Wh/'2025'!Env_an*'2026'!Env_an</f>
        <v>6.8277981749624246</v>
      </c>
      <c r="C45" s="829"/>
      <c r="D45" s="391">
        <f t="shared" si="0"/>
        <v>7.1736134914227554</v>
      </c>
      <c r="E45" s="383">
        <f t="shared" si="1"/>
        <v>7.4093789516936122</v>
      </c>
      <c r="F45" s="383">
        <f t="shared" si="2"/>
        <v>7.4093789516936122</v>
      </c>
      <c r="G45" s="110">
        <f t="shared" si="21"/>
        <v>0.20888275225975175</v>
      </c>
      <c r="H45" s="412" t="b">
        <f>Wh_hp&gt;='2025'!Maxi_hp</f>
        <v>0</v>
      </c>
      <c r="I45" s="388">
        <f>IF(H45,Wh_hp,'2025'!Maxi_hp)</f>
        <v>21.848733659114771</v>
      </c>
      <c r="J45" s="85">
        <f>IF(H45,An,'2025'!An_max)</f>
        <v>2020</v>
      </c>
      <c r="K45" s="197">
        <f t="shared" si="3"/>
        <v>46053</v>
      </c>
      <c r="L45" s="147">
        <f>IF(t&lt;Tvie,1-EXP((T0-t)*PertePVj)+'2025'!Pspv,1-EXP((T0-t)*PertePVj)+Pspv)</f>
        <v>4.8206572165312545E-2</v>
      </c>
      <c r="M45" s="832"/>
      <c r="N45" s="832"/>
      <c r="O45" s="48">
        <f>IF(t&lt;Tnet,'2025'!Resal+('2025'!Salim-'2025'!Resal)*(1-EXP(('2025'!Tnet-t)/('2025'!Tau_j))),Resal+(Salim-Resal)*(1-EXP((Tnet-t)/(Tau_j))))*Salcycl</f>
        <v>3.1819868008905849E-2</v>
      </c>
      <c r="P45" s="169">
        <f>(INDEX(Models!$BJ45:$BT45,,T45)*(1-R45)+INDEX(Models!$BJ45:$BT45,,T45+1)*R45-ERP_i)*Q45*Ramure*Pc/MaxiM</f>
        <v>4.1239158912195512E-2</v>
      </c>
      <c r="Q45" s="304">
        <f t="shared" si="4"/>
        <v>0.7</v>
      </c>
      <c r="R45" s="177">
        <f t="shared" si="5"/>
        <v>0.53595536469213823</v>
      </c>
      <c r="S45" s="799">
        <f t="shared" si="6"/>
        <v>1</v>
      </c>
      <c r="T45" s="176">
        <f t="shared" si="7"/>
        <v>7</v>
      </c>
      <c r="U45" s="250">
        <f t="shared" si="8"/>
        <v>1.5359553646921382</v>
      </c>
      <c r="V45" s="382">
        <f t="shared" si="9"/>
        <v>31.339234332111484</v>
      </c>
      <c r="W45" s="400">
        <f t="shared" si="10"/>
        <v>6.8277981749624246</v>
      </c>
      <c r="X45" s="157">
        <f t="shared" si="11"/>
        <v>46053</v>
      </c>
      <c r="Y45" s="383">
        <f t="shared" si="12"/>
        <v>6.5643280796427401</v>
      </c>
      <c r="Z45" s="383">
        <f t="shared" si="22"/>
        <v>6.8967991243398954</v>
      </c>
      <c r="AA45" s="384">
        <f t="shared" si="13"/>
        <v>7.4093789516936122</v>
      </c>
      <c r="AB45" s="197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6.917986388542767E-2</v>
      </c>
      <c r="AD45" s="230">
        <f>(INDEX(Models!$BJ45:$BT45,,AH45)*(1-AF45)+INDEX(Models!$BJ45:$BT45,,AH45+1)*AF45-ERP_i)*AE45*Ramure*Pc/MaxiM</f>
        <v>4.2513633603680268E-2</v>
      </c>
      <c r="AE45" s="304">
        <f t="shared" si="15"/>
        <v>0.7</v>
      </c>
      <c r="AF45" s="177">
        <f t="shared" si="23"/>
        <v>0.60028758695197038</v>
      </c>
      <c r="AG45" s="799">
        <f t="shared" si="24"/>
        <v>1</v>
      </c>
      <c r="AH45" s="176">
        <f t="shared" si="16"/>
        <v>7</v>
      </c>
      <c r="AI45" s="224">
        <f t="shared" si="17"/>
        <v>1.6002875869519704</v>
      </c>
      <c r="AJ45" s="264" t="b">
        <f t="shared" si="18"/>
        <v>0</v>
      </c>
      <c r="AK45" s="264" t="b">
        <f t="shared" si="19"/>
        <v>1</v>
      </c>
      <c r="AL45" s="264"/>
      <c r="AM45" s="264"/>
      <c r="AN45" s="75"/>
    </row>
    <row r="46" spans="1:40" s="6" customFormat="1" ht="11.25" x14ac:dyDescent="0.2">
      <c r="A46" s="56">
        <f t="shared" si="20"/>
        <v>46054</v>
      </c>
      <c r="B46" s="409">
        <f>'2025'!Wh/'2025'!Env_an*'2026'!Env_an</f>
        <v>17.131237579911421</v>
      </c>
      <c r="C46" s="829"/>
      <c r="D46" s="391">
        <f t="shared" si="0"/>
        <v>17.999247947569465</v>
      </c>
      <c r="E46" s="383">
        <f t="shared" si="1"/>
        <v>18.592268059620579</v>
      </c>
      <c r="F46" s="383">
        <f t="shared" si="2"/>
        <v>18.859060955544955</v>
      </c>
      <c r="G46" s="110">
        <f t="shared" si="21"/>
        <v>0.52627909365307335</v>
      </c>
      <c r="H46" s="412" t="b">
        <f>Wh_hp&gt;='2025'!Maxi_hp</f>
        <v>0</v>
      </c>
      <c r="I46" s="388">
        <f>IF(H46,Wh_hp,'2025'!Maxi_hp)</f>
        <v>19.204267390617314</v>
      </c>
      <c r="J46" s="85">
        <f>IF(H46,An,'2025'!An_max)</f>
        <v>2022</v>
      </c>
      <c r="K46" s="197">
        <f t="shared" si="3"/>
        <v>46054</v>
      </c>
      <c r="L46" s="147">
        <f>IF(t&lt;Tvie,1-EXP((T0-t)*PertePVj)+'2025'!Pspv,1-EXP((T0-t)*PertePVj)+Pspv)</f>
        <v>4.8224813069217998E-2</v>
      </c>
      <c r="M46" s="832"/>
      <c r="N46" s="832"/>
      <c r="O46" s="48">
        <f>IF(t&lt;Tnet,'2025'!Resal+('2025'!Salim-'2025'!Resal)*(1-EXP(('2025'!Tnet-t)/('2025'!Tau_j))),Resal+(Salim-Resal)*(1-EXP((Tnet-t)/(Tau_j))))*Salcycl</f>
        <v>3.1896060779107366E-2</v>
      </c>
      <c r="P46" s="169">
        <f>(INDEX(Models!$BJ46:$BT46,,T46)*(1-R46)+INDEX(Models!$BJ46:$BT46,,T46+1)*R46-ERP_i)*Q46*Ramure*Pc/MaxiM</f>
        <v>4.1079590567864747E-2</v>
      </c>
      <c r="Q46" s="304">
        <f t="shared" si="4"/>
        <v>0.7</v>
      </c>
      <c r="R46" s="177">
        <f t="shared" si="5"/>
        <v>0.53603500356449074</v>
      </c>
      <c r="S46" s="799">
        <f t="shared" si="6"/>
        <v>1</v>
      </c>
      <c r="T46" s="176">
        <f t="shared" si="7"/>
        <v>7</v>
      </c>
      <c r="U46" s="250">
        <f t="shared" si="8"/>
        <v>1.5360350035644907</v>
      </c>
      <c r="V46" s="382">
        <f t="shared" si="9"/>
        <v>31.66233021646331</v>
      </c>
      <c r="W46" s="400">
        <f t="shared" si="10"/>
        <v>17.131237579911421</v>
      </c>
      <c r="X46" s="157">
        <f t="shared" si="11"/>
        <v>46054</v>
      </c>
      <c r="Y46" s="383">
        <f t="shared" si="12"/>
        <v>16.463729122621817</v>
      </c>
      <c r="Z46" s="383">
        <f t="shared" si="22"/>
        <v>17.297917983881149</v>
      </c>
      <c r="AA46" s="384">
        <f t="shared" si="13"/>
        <v>18.584171775682616</v>
      </c>
      <c r="AB46" s="197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6.9212327959889491E-2</v>
      </c>
      <c r="AD46" s="230">
        <f>(INDEX(Models!$BJ46:$BT46,,AH46)*(1-AF46)+INDEX(Models!$BJ46:$BT46,,AH46+1)*AF46-ERP_i)*AE46*Ramure*Pc/MaxiM</f>
        <v>4.2326220573286312E-2</v>
      </c>
      <c r="AE46" s="304">
        <f t="shared" si="15"/>
        <v>0.7</v>
      </c>
      <c r="AF46" s="177">
        <f t="shared" si="23"/>
        <v>0.60036722582432289</v>
      </c>
      <c r="AG46" s="799">
        <f t="shared" si="24"/>
        <v>1</v>
      </c>
      <c r="AH46" s="176">
        <f t="shared" si="16"/>
        <v>7</v>
      </c>
      <c r="AI46" s="224">
        <f t="shared" si="17"/>
        <v>1.6003672258243229</v>
      </c>
      <c r="AJ46" s="264" t="b">
        <f t="shared" si="18"/>
        <v>0</v>
      </c>
      <c r="AK46" s="264" t="b">
        <f t="shared" si="19"/>
        <v>1</v>
      </c>
      <c r="AL46" s="264"/>
      <c r="AM46" s="264"/>
      <c r="AN46" s="75"/>
    </row>
    <row r="47" spans="1:40" s="6" customFormat="1" ht="11.25" x14ac:dyDescent="0.2">
      <c r="A47" s="56">
        <f t="shared" si="20"/>
        <v>46055</v>
      </c>
      <c r="B47" s="409">
        <f>'2025'!Wh/'2025'!Env_an*'2026'!Env_an</f>
        <v>6.2890059865962362</v>
      </c>
      <c r="C47" s="829"/>
      <c r="D47" s="391">
        <f t="shared" si="0"/>
        <v>6.607785748808892</v>
      </c>
      <c r="E47" s="383">
        <f t="shared" si="1"/>
        <v>6.8260289912500447</v>
      </c>
      <c r="F47" s="383">
        <f t="shared" si="2"/>
        <v>6.8260289912500447</v>
      </c>
      <c r="G47" s="110">
        <f t="shared" si="21"/>
        <v>0.18857762986106794</v>
      </c>
      <c r="H47" s="412" t="b">
        <f>Wh_hp&gt;='2025'!Maxi_hp</f>
        <v>0</v>
      </c>
      <c r="I47" s="388">
        <f>IF(H47,Wh_hp,'2025'!Maxi_hp)</f>
        <v>33.054204591173026</v>
      </c>
      <c r="J47" s="85">
        <f>IF(H47,An,'2025'!An_max)</f>
        <v>2021</v>
      </c>
      <c r="K47" s="197">
        <f t="shared" si="3"/>
        <v>46055</v>
      </c>
      <c r="L47" s="147">
        <f>IF(t&lt;Tvie,1-EXP((T0-t)*PertePVj)+'2025'!Pspv,1-EXP((T0-t)*PertePVj)+Pspv)</f>
        <v>4.8243053623540755E-2</v>
      </c>
      <c r="M47" s="832"/>
      <c r="N47" s="832"/>
      <c r="O47" s="48">
        <f>IF(t&lt;Tnet,'2025'!Resal+('2025'!Salim-'2025'!Resal)*(1-EXP(('2025'!Tnet-t)/('2025'!Tau_j))),Resal+(Salim-Resal)*(1-EXP((Tnet-t)/(Tau_j))))*Salcycl</f>
        <v>3.1972211474769231E-2</v>
      </c>
      <c r="P47" s="169">
        <f>(INDEX(Models!$BJ47:$BT47,,T47)*(1-R47)+INDEX(Models!$BJ47:$BT47,,T47+1)*R47-ERP_i)*Q47*Ramure*Pc/MaxiM</f>
        <v>4.0938494167048069E-2</v>
      </c>
      <c r="Q47" s="304">
        <f t="shared" si="4"/>
        <v>0.7</v>
      </c>
      <c r="R47" s="177">
        <f t="shared" si="5"/>
        <v>0.53611794961668657</v>
      </c>
      <c r="S47" s="799">
        <f t="shared" si="6"/>
        <v>1</v>
      </c>
      <c r="T47" s="176">
        <f t="shared" si="7"/>
        <v>7</v>
      </c>
      <c r="U47" s="250">
        <f t="shared" si="8"/>
        <v>1.5361179496166866</v>
      </c>
      <c r="V47" s="382">
        <f t="shared" si="9"/>
        <v>31.984406401443778</v>
      </c>
      <c r="W47" s="400">
        <f t="shared" si="10"/>
        <v>6.2890059865962362</v>
      </c>
      <c r="X47" s="157">
        <f t="shared" si="11"/>
        <v>46055</v>
      </c>
      <c r="Y47" s="383">
        <f t="shared" si="12"/>
        <v>6.0468560347060825</v>
      </c>
      <c r="Z47" s="383">
        <f t="shared" si="22"/>
        <v>6.353361599017215</v>
      </c>
      <c r="AA47" s="384">
        <f t="shared" si="13"/>
        <v>6.8260289912500447</v>
      </c>
      <c r="AB47" s="197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6.9244855660402158E-2</v>
      </c>
      <c r="AD47" s="230">
        <f>(INDEX(Models!$BJ47:$BT47,,AH47)*(1-AF47)+INDEX(Models!$BJ47:$BT47,,AH47+1)*AF47-ERP_i)*AE47*Ramure*Pc/MaxiM</f>
        <v>4.2161752919332933E-2</v>
      </c>
      <c r="AE47" s="304">
        <f t="shared" si="15"/>
        <v>0.7</v>
      </c>
      <c r="AF47" s="177">
        <f t="shared" si="23"/>
        <v>0.60045017187651872</v>
      </c>
      <c r="AG47" s="799">
        <f t="shared" si="24"/>
        <v>1</v>
      </c>
      <c r="AH47" s="176">
        <f t="shared" si="16"/>
        <v>7</v>
      </c>
      <c r="AI47" s="224">
        <f t="shared" si="17"/>
        <v>1.6004501718765187</v>
      </c>
      <c r="AJ47" s="264" t="b">
        <f t="shared" si="18"/>
        <v>0</v>
      </c>
      <c r="AK47" s="264" t="b">
        <f t="shared" si="19"/>
        <v>1</v>
      </c>
      <c r="AL47" s="264"/>
      <c r="AM47" s="264"/>
      <c r="AN47" s="75"/>
    </row>
    <row r="48" spans="1:40" s="6" customFormat="1" ht="11.25" x14ac:dyDescent="0.2">
      <c r="A48" s="56">
        <f t="shared" si="20"/>
        <v>46056</v>
      </c>
      <c r="B48" s="409">
        <f>'2025'!Wh/'2025'!Env_an*'2026'!Env_an</f>
        <v>14.857730164310032</v>
      </c>
      <c r="C48" s="829"/>
      <c r="D48" s="391">
        <f t="shared" si="0"/>
        <v>15.611144180606018</v>
      </c>
      <c r="E48" s="383">
        <f t="shared" si="1"/>
        <v>16.128020109987578</v>
      </c>
      <c r="F48" s="383">
        <f t="shared" si="2"/>
        <v>16.27982920353185</v>
      </c>
      <c r="G48" s="110">
        <f t="shared" si="21"/>
        <v>0.44530395723330485</v>
      </c>
      <c r="H48" s="412" t="b">
        <f>Wh_hp&gt;='2025'!Maxi_hp</f>
        <v>0</v>
      </c>
      <c r="I48" s="388">
        <f>IF(H48,Wh_hp,'2025'!Maxi_hp)</f>
        <v>27.412753039742405</v>
      </c>
      <c r="J48" s="85">
        <f>IF(H48,An,'2025'!An_max)</f>
        <v>2020</v>
      </c>
      <c r="K48" s="197">
        <f t="shared" si="3"/>
        <v>46056</v>
      </c>
      <c r="L48" s="147">
        <f>IF(t&lt;Tvie,1-EXP((T0-t)*PertePVj)+'2025'!Pspv,1-EXP((T0-t)*PertePVj)+Pspv)</f>
        <v>4.8261293828287366E-2</v>
      </c>
      <c r="M48" s="832"/>
      <c r="N48" s="832"/>
      <c r="O48" s="48">
        <f>IF(t&lt;Tnet,'2025'!Resal+('2025'!Salim-'2025'!Resal)*(1-EXP(('2025'!Tnet-t)/('2025'!Tau_j))),Resal+(Salim-Resal)*(1-EXP((Tnet-t)/(Tau_j))))*Salcycl</f>
        <v>3.2048318755597029E-2</v>
      </c>
      <c r="P48" s="169">
        <f>(INDEX(Models!$BJ48:$BT48,,T48)*(1-R48)+INDEX(Models!$BJ48:$BT48,,T48+1)*R48-ERP_i)*Q48*Ramure*Pc/MaxiM</f>
        <v>4.081621476730634E-2</v>
      </c>
      <c r="Q48" s="304">
        <f t="shared" si="4"/>
        <v>0.7</v>
      </c>
      <c r="R48" s="177">
        <f t="shared" si="5"/>
        <v>0.53620433871639306</v>
      </c>
      <c r="S48" s="799">
        <f t="shared" si="6"/>
        <v>1</v>
      </c>
      <c r="T48" s="176">
        <f t="shared" si="7"/>
        <v>7</v>
      </c>
      <c r="U48" s="250">
        <f t="shared" si="8"/>
        <v>1.5362043387163931</v>
      </c>
      <c r="V48" s="382">
        <f t="shared" si="9"/>
        <v>32.304760726725853</v>
      </c>
      <c r="W48" s="400">
        <f t="shared" si="10"/>
        <v>14.857730164310032</v>
      </c>
      <c r="X48" s="157">
        <f t="shared" si="11"/>
        <v>46056</v>
      </c>
      <c r="Y48" s="383">
        <f t="shared" si="12"/>
        <v>14.282308188439606</v>
      </c>
      <c r="Z48" s="383">
        <f t="shared" si="22"/>
        <v>15.006543388246724</v>
      </c>
      <c r="AA48" s="384">
        <f t="shared" si="13"/>
        <v>16.123541092567574</v>
      </c>
      <c r="AB48" s="197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6.9277443330097499E-2</v>
      </c>
      <c r="AD48" s="230">
        <f>(INDEX(Models!$BJ48:$BT48,,AH48)*(1-AF48)+INDEX(Models!$BJ48:$BT48,,AH48+1)*AF48-ERP_i)*AE48*Ramure*Pc/MaxiM</f>
        <v>4.2020467639734806E-2</v>
      </c>
      <c r="AE48" s="304">
        <f t="shared" si="15"/>
        <v>0.7</v>
      </c>
      <c r="AF48" s="177">
        <f t="shared" si="23"/>
        <v>0.60053656097622521</v>
      </c>
      <c r="AG48" s="799">
        <f t="shared" si="24"/>
        <v>1</v>
      </c>
      <c r="AH48" s="176">
        <f t="shared" si="16"/>
        <v>7</v>
      </c>
      <c r="AI48" s="224">
        <f t="shared" si="17"/>
        <v>1.6005365609762252</v>
      </c>
      <c r="AJ48" s="264" t="b">
        <f t="shared" si="18"/>
        <v>0</v>
      </c>
      <c r="AK48" s="264" t="b">
        <f t="shared" si="19"/>
        <v>1</v>
      </c>
      <c r="AL48" s="264"/>
      <c r="AM48" s="264"/>
      <c r="AN48" s="75"/>
    </row>
    <row r="49" spans="1:40" s="6" customFormat="1" ht="11.25" x14ac:dyDescent="0.2">
      <c r="A49" s="56">
        <f t="shared" si="20"/>
        <v>46057</v>
      </c>
      <c r="B49" s="409">
        <f>'2025'!Wh/'2025'!Env_an*'2026'!Env_an</f>
        <v>13.419584839456931</v>
      </c>
      <c r="C49" s="829"/>
      <c r="D49" s="391">
        <f t="shared" si="0"/>
        <v>14.100342815359479</v>
      </c>
      <c r="E49" s="383">
        <f t="shared" si="1"/>
        <v>14.568341776247612</v>
      </c>
      <c r="F49" s="383">
        <f t="shared" si="2"/>
        <v>14.663311891227551</v>
      </c>
      <c r="G49" s="110">
        <f t="shared" si="21"/>
        <v>0.39718219210748779</v>
      </c>
      <c r="H49" s="412" t="b">
        <f>Wh_hp&gt;='2025'!Maxi_hp</f>
        <v>0</v>
      </c>
      <c r="I49" s="388">
        <f>IF(H49,Wh_hp,'2025'!Maxi_hp)</f>
        <v>16.754733277342279</v>
      </c>
      <c r="J49" s="85">
        <f>IF(H49,An,'2025'!An_max)</f>
        <v>2020</v>
      </c>
      <c r="K49" s="197">
        <f t="shared" si="3"/>
        <v>46057</v>
      </c>
      <c r="L49" s="147">
        <f>IF(t&lt;Tvie,1-EXP((T0-t)*PertePVj)+'2025'!Pspv,1-EXP((T0-t)*PertePVj)+Pspv)</f>
        <v>4.8279533683464715E-2</v>
      </c>
      <c r="M49" s="832"/>
      <c r="N49" s="832"/>
      <c r="O49" s="48">
        <f>IF(t&lt;Tnet,'2025'!Resal+('2025'!Salim-'2025'!Resal)*(1-EXP(('2025'!Tnet-t)/('2025'!Tau_j))),Resal+(Salim-Resal)*(1-EXP((Tnet-t)/(Tau_j))))*Salcycl</f>
        <v>3.2124380940263521E-2</v>
      </c>
      <c r="P49" s="169">
        <f>(INDEX(Models!$BJ49:$BT49,,T49)*(1-R49)+INDEX(Models!$BJ49:$BT49,,T49+1)*R49-ERP_i)*Q49*Ramure*Pc/MaxiM</f>
        <v>4.0713076951127504E-2</v>
      </c>
      <c r="Q49" s="304">
        <f t="shared" si="4"/>
        <v>0.7</v>
      </c>
      <c r="R49" s="177">
        <f t="shared" si="5"/>
        <v>0.53629431218788581</v>
      </c>
      <c r="S49" s="799">
        <f t="shared" si="6"/>
        <v>1</v>
      </c>
      <c r="T49" s="176">
        <f t="shared" si="7"/>
        <v>7</v>
      </c>
      <c r="U49" s="250">
        <f t="shared" si="8"/>
        <v>1.5362943121878858</v>
      </c>
      <c r="V49" s="382">
        <f t="shared" si="9"/>
        <v>32.622691318979285</v>
      </c>
      <c r="W49" s="400">
        <f t="shared" si="10"/>
        <v>13.419584839456931</v>
      </c>
      <c r="X49" s="157">
        <f t="shared" si="11"/>
        <v>46057</v>
      </c>
      <c r="Y49" s="383">
        <f t="shared" si="12"/>
        <v>12.901547705634179</v>
      </c>
      <c r="Z49" s="383">
        <f t="shared" si="22"/>
        <v>13.556026335723686</v>
      </c>
      <c r="AA49" s="384">
        <f t="shared" si="13"/>
        <v>14.56556704939814</v>
      </c>
      <c r="AB49" s="197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6.9310086607041452E-2</v>
      </c>
      <c r="AD49" s="230">
        <f>(INDEX(Models!$BJ49:$BT49,,AH49)*(1-AF49)+INDEX(Models!$BJ49:$BT49,,AH49+1)*AF49-ERP_i)*AE49*Ramure*Pc/MaxiM</f>
        <v>4.1902584490048807E-2</v>
      </c>
      <c r="AE49" s="304">
        <f t="shared" si="15"/>
        <v>0.7</v>
      </c>
      <c r="AF49" s="177">
        <f t="shared" si="23"/>
        <v>0.60062653444771796</v>
      </c>
      <c r="AG49" s="799">
        <f t="shared" si="24"/>
        <v>1</v>
      </c>
      <c r="AH49" s="176">
        <f t="shared" si="16"/>
        <v>7</v>
      </c>
      <c r="AI49" s="224">
        <f t="shared" si="17"/>
        <v>1.600626534447718</v>
      </c>
      <c r="AJ49" s="264" t="b">
        <f t="shared" si="18"/>
        <v>0</v>
      </c>
      <c r="AK49" s="264" t="b">
        <f t="shared" si="19"/>
        <v>1</v>
      </c>
      <c r="AL49" s="264"/>
      <c r="AM49" s="264"/>
      <c r="AN49" s="75"/>
    </row>
    <row r="50" spans="1:40" s="6" customFormat="1" ht="11.25" x14ac:dyDescent="0.2">
      <c r="A50" s="56">
        <f t="shared" si="20"/>
        <v>46058</v>
      </c>
      <c r="B50" s="409">
        <f>'2025'!Wh/'2025'!Env_an*'2026'!Env_an</f>
        <v>9.8570946447234586</v>
      </c>
      <c r="C50" s="829"/>
      <c r="D50" s="391">
        <f t="shared" si="0"/>
        <v>10.357330651367507</v>
      </c>
      <c r="E50" s="383">
        <f t="shared" si="1"/>
        <v>10.701937269655641</v>
      </c>
      <c r="F50" s="383">
        <f t="shared" si="2"/>
        <v>10.701937269655641</v>
      </c>
      <c r="G50" s="110">
        <f t="shared" si="21"/>
        <v>0.28710763969565772</v>
      </c>
      <c r="H50" s="412" t="b">
        <f>Wh_hp&gt;='2025'!Maxi_hp</f>
        <v>0</v>
      </c>
      <c r="I50" s="388">
        <f>IF(H50,Wh_hp,'2025'!Maxi_hp)</f>
        <v>35.887391837973411</v>
      </c>
      <c r="J50" s="85">
        <f>IF(H50,An,'2025'!An_max)</f>
        <v>2020</v>
      </c>
      <c r="K50" s="197">
        <f t="shared" si="3"/>
        <v>46058</v>
      </c>
      <c r="L50" s="147">
        <f>IF(t&lt;Tvie,1-EXP((T0-t)*PertePVj)+'2025'!Pspv,1-EXP((T0-t)*PertePVj)+Pspv)</f>
        <v>4.8297773189079352E-2</v>
      </c>
      <c r="M50" s="832"/>
      <c r="N50" s="832"/>
      <c r="O50" s="48">
        <f>IF(t&lt;Tnet,'2025'!Resal+('2025'!Salim-'2025'!Resal)*(1-EXP(('2025'!Tnet-t)/('2025'!Tau_j))),Resal+(Salim-Resal)*(1-EXP((Tnet-t)/(Tau_j))))*Salcycl</f>
        <v>3.2200396022245018E-2</v>
      </c>
      <c r="P50" s="169">
        <f>(INDEX(Models!$BJ50:$BT50,,T50)*(1-R50)+INDEX(Models!$BJ50:$BT50,,T50+1)*R50-ERP_i)*Q50*Ramure*Pc/MaxiM</f>
        <v>4.0629390109222716E-2</v>
      </c>
      <c r="Q50" s="304">
        <f t="shared" si="4"/>
        <v>0.7</v>
      </c>
      <c r="R50" s="177">
        <f t="shared" si="5"/>
        <v>0.53638801702051042</v>
      </c>
      <c r="S50" s="799">
        <f t="shared" si="6"/>
        <v>1</v>
      </c>
      <c r="T50" s="176">
        <f t="shared" si="7"/>
        <v>7</v>
      </c>
      <c r="U50" s="250">
        <f t="shared" si="8"/>
        <v>1.5363880170205104</v>
      </c>
      <c r="V50" s="382">
        <f t="shared" si="9"/>
        <v>32.937496581713155</v>
      </c>
      <c r="W50" s="400">
        <f t="shared" si="10"/>
        <v>9.8570946447234586</v>
      </c>
      <c r="X50" s="157">
        <f t="shared" si="11"/>
        <v>46058</v>
      </c>
      <c r="Y50" s="383">
        <f t="shared" si="12"/>
        <v>9.47879732234742</v>
      </c>
      <c r="Z50" s="383">
        <f t="shared" si="22"/>
        <v>9.9598351830174074</v>
      </c>
      <c r="AA50" s="384">
        <f t="shared" si="13"/>
        <v>10.701937269655641</v>
      </c>
      <c r="AB50" s="197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6.9342780464841214E-2</v>
      </c>
      <c r="AD50" s="230">
        <f>(INDEX(Models!$BJ50:$BT50,,AH50)*(1-AF50)+INDEX(Models!$BJ50:$BT50,,AH50+1)*AF50-ERP_i)*AE50*Ramure*Pc/MaxiM</f>
        <v>4.1808311984542261E-2</v>
      </c>
      <c r="AE50" s="304">
        <f t="shared" si="15"/>
        <v>0.7</v>
      </c>
      <c r="AF50" s="177">
        <f t="shared" si="23"/>
        <v>0.60072023928034257</v>
      </c>
      <c r="AG50" s="799">
        <f t="shared" si="24"/>
        <v>1</v>
      </c>
      <c r="AH50" s="176">
        <f t="shared" si="16"/>
        <v>7</v>
      </c>
      <c r="AI50" s="224">
        <f t="shared" si="17"/>
        <v>1.6007202392803426</v>
      </c>
      <c r="AJ50" s="264" t="b">
        <f t="shared" si="18"/>
        <v>0</v>
      </c>
      <c r="AK50" s="264" t="b">
        <f t="shared" si="19"/>
        <v>1</v>
      </c>
      <c r="AL50" s="264"/>
      <c r="AM50" s="264"/>
      <c r="AN50" s="75"/>
    </row>
    <row r="51" spans="1:40" s="6" customFormat="1" ht="11.25" x14ac:dyDescent="0.2">
      <c r="A51" s="56">
        <f t="shared" si="20"/>
        <v>46059</v>
      </c>
      <c r="B51" s="409">
        <f>'2025'!Wh/'2025'!Env_an*'2026'!Env_an</f>
        <v>25.943754733161114</v>
      </c>
      <c r="C51" s="829"/>
      <c r="D51" s="391">
        <f t="shared" si="0"/>
        <v>27.260892344203107</v>
      </c>
      <c r="E51" s="383">
        <f t="shared" si="1"/>
        <v>28.170121370436817</v>
      </c>
      <c r="F51" s="383">
        <f t="shared" si="2"/>
        <v>28.976520122886946</v>
      </c>
      <c r="G51" s="110">
        <f t="shared" si="21"/>
        <v>0.77003292084932329</v>
      </c>
      <c r="H51" s="412" t="b">
        <f>Wh_hp&gt;='2025'!Maxi_hp</f>
        <v>0</v>
      </c>
      <c r="I51" s="388">
        <f>IF(H51,Wh_hp,'2025'!Maxi_hp)</f>
        <v>39.205696557026307</v>
      </c>
      <c r="J51" s="85">
        <f>IF(H51,An,'2025'!An_max)</f>
        <v>2020</v>
      </c>
      <c r="K51" s="197">
        <f t="shared" si="3"/>
        <v>46059</v>
      </c>
      <c r="L51" s="147">
        <f>IF(t&lt;Tvie,1-EXP((T0-t)*PertePVj)+'2025'!Pspv,1-EXP((T0-t)*PertePVj)+Pspv)</f>
        <v>4.8316012345137938E-2</v>
      </c>
      <c r="M51" s="832"/>
      <c r="N51" s="832"/>
      <c r="O51" s="48">
        <f>IF(t&lt;Tnet,'2025'!Resal+('2025'!Salim-'2025'!Resal)*(1-EXP(('2025'!Tnet-t)/('2025'!Tau_j))),Resal+(Salim-Resal)*(1-EXP((Tnet-t)/(Tau_j))))*Salcycl</f>
        <v>3.2276361691075353E-2</v>
      </c>
      <c r="P51" s="169">
        <f>(INDEX(Models!$BJ51:$BT51,,T51)*(1-R51)+INDEX(Models!$BJ51:$BT51,,T51+1)*R51-ERP_i)*Q51*Ramure*Pc/MaxiM</f>
        <v>4.0563149615213782E-2</v>
      </c>
      <c r="Q51" s="304">
        <f t="shared" si="4"/>
        <v>0.7</v>
      </c>
      <c r="R51" s="177">
        <f t="shared" si="5"/>
        <v>0.53648560608418583</v>
      </c>
      <c r="S51" s="799">
        <f t="shared" si="6"/>
        <v>1</v>
      </c>
      <c r="T51" s="176">
        <f t="shared" si="7"/>
        <v>7</v>
      </c>
      <c r="U51" s="250">
        <f t="shared" si="8"/>
        <v>1.5364856060841858</v>
      </c>
      <c r="V51" s="382">
        <f t="shared" si="9"/>
        <v>33.250443516580695</v>
      </c>
      <c r="W51" s="400">
        <f t="shared" si="10"/>
        <v>25.943754733161114</v>
      </c>
      <c r="X51" s="157">
        <f t="shared" si="11"/>
        <v>46059</v>
      </c>
      <c r="Y51" s="383">
        <f t="shared" si="12"/>
        <v>24.928520165731953</v>
      </c>
      <c r="Z51" s="383">
        <f t="shared" si="22"/>
        <v>26.194115367182722</v>
      </c>
      <c r="AA51" s="384">
        <f t="shared" si="13"/>
        <v>28.146815293831363</v>
      </c>
      <c r="AB51" s="197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6.9375519264397695E-2</v>
      </c>
      <c r="AD51" s="230">
        <f>(INDEX(Models!$BJ51:$BT51,,AH51)*(1-AF51)+INDEX(Models!$BJ51:$BT51,,AH51+1)*AF51-ERP_i)*AE51*Ramure*Pc/MaxiM</f>
        <v>4.1735482619720765E-2</v>
      </c>
      <c r="AE51" s="304">
        <f t="shared" si="15"/>
        <v>0.7</v>
      </c>
      <c r="AF51" s="177">
        <f t="shared" si="23"/>
        <v>0.60081782834401798</v>
      </c>
      <c r="AG51" s="799">
        <f t="shared" si="24"/>
        <v>1</v>
      </c>
      <c r="AH51" s="176">
        <f t="shared" si="16"/>
        <v>7</v>
      </c>
      <c r="AI51" s="224">
        <f t="shared" si="17"/>
        <v>1.600817828344018</v>
      </c>
      <c r="AJ51" s="264" t="b">
        <f t="shared" si="18"/>
        <v>0</v>
      </c>
      <c r="AK51" s="264" t="b">
        <f t="shared" si="19"/>
        <v>1</v>
      </c>
      <c r="AL51" s="264"/>
      <c r="AM51" s="264"/>
      <c r="AN51" s="75"/>
    </row>
    <row r="52" spans="1:40" s="6" customFormat="1" ht="11.25" x14ac:dyDescent="0.2">
      <c r="A52" s="56">
        <f t="shared" si="20"/>
        <v>46060</v>
      </c>
      <c r="B52" s="409">
        <f>'2025'!Wh/'2025'!Env_an*'2026'!Env_an</f>
        <v>11.714711094983894</v>
      </c>
      <c r="C52" s="829"/>
      <c r="D52" s="391">
        <f t="shared" si="0"/>
        <v>12.309690780781295</v>
      </c>
      <c r="E52" s="383">
        <f t="shared" si="1"/>
        <v>12.721252236029182</v>
      </c>
      <c r="F52" s="383">
        <f t="shared" si="2"/>
        <v>12.757381171478652</v>
      </c>
      <c r="G52" s="110">
        <f t="shared" si="21"/>
        <v>0.33584544403204575</v>
      </c>
      <c r="H52" s="412" t="b">
        <f>Wh_hp&gt;='2025'!Maxi_hp</f>
        <v>0</v>
      </c>
      <c r="I52" s="388">
        <f>IF(H52,Wh_hp,'2025'!Maxi_hp)</f>
        <v>26.902092201697947</v>
      </c>
      <c r="J52" s="85">
        <f>IF(H52,An,'2025'!An_max)</f>
        <v>2020</v>
      </c>
      <c r="K52" s="197">
        <f t="shared" si="3"/>
        <v>46060</v>
      </c>
      <c r="L52" s="147">
        <f>IF(t&lt;Tvie,1-EXP((T0-t)*PertePVj)+'2025'!Pspv,1-EXP((T0-t)*PertePVj)+Pspv)</f>
        <v>4.8334251151647356E-2</v>
      </c>
      <c r="M52" s="832"/>
      <c r="N52" s="832"/>
      <c r="O52" s="48">
        <f>IF(t&lt;Tnet,'2025'!Resal+('2025'!Salim-'2025'!Resal)*(1-EXP(('2025'!Tnet-t)/('2025'!Tau_j))),Resal+(Salim-Resal)*(1-EXP((Tnet-t)/(Tau_j))))*Salcycl</f>
        <v>3.2352275358730836E-2</v>
      </c>
      <c r="P52" s="169">
        <f>(INDEX(Models!$BJ52:$BT52,,T52)*(1-R52)+INDEX(Models!$BJ52:$BT52,,T52+1)*R52-ERP_i)*Q52*Ramure*Pc/MaxiM</f>
        <v>4.0447992507783678E-2</v>
      </c>
      <c r="Q52" s="304">
        <f t="shared" si="4"/>
        <v>0.7</v>
      </c>
      <c r="R52" s="177">
        <f t="shared" si="5"/>
        <v>0.53658723835210687</v>
      </c>
      <c r="S52" s="799">
        <f t="shared" si="6"/>
        <v>1</v>
      </c>
      <c r="T52" s="176">
        <f t="shared" si="7"/>
        <v>7</v>
      </c>
      <c r="U52" s="250">
        <f t="shared" si="8"/>
        <v>1.5365872383521069</v>
      </c>
      <c r="V52" s="382">
        <f t="shared" si="9"/>
        <v>33.565437150113731</v>
      </c>
      <c r="W52" s="400">
        <f t="shared" si="10"/>
        <v>11.714711094983894</v>
      </c>
      <c r="X52" s="157">
        <f t="shared" si="11"/>
        <v>46060</v>
      </c>
      <c r="Y52" s="383">
        <f t="shared" si="12"/>
        <v>11.265172038823975</v>
      </c>
      <c r="Z52" s="383">
        <f t="shared" si="22"/>
        <v>11.837320038528647</v>
      </c>
      <c r="AA52" s="384">
        <f t="shared" si="13"/>
        <v>12.720208011771522</v>
      </c>
      <c r="AB52" s="197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6.9408296816045156E-2</v>
      </c>
      <c r="AD52" s="230">
        <f>(INDEX(Models!$BJ52:$BT52,,AH52)*(1-AF52)+INDEX(Models!$BJ52:$BT52,,AH52+1)*AF52-ERP_i)*AE52*Ramure*Pc/MaxiM</f>
        <v>4.1617049232673696E-2</v>
      </c>
      <c r="AE52" s="304">
        <f t="shared" si="15"/>
        <v>0.7</v>
      </c>
      <c r="AF52" s="177">
        <f t="shared" si="23"/>
        <v>0.60091946061193902</v>
      </c>
      <c r="AG52" s="799">
        <f t="shared" si="24"/>
        <v>1</v>
      </c>
      <c r="AH52" s="176">
        <f t="shared" si="16"/>
        <v>7</v>
      </c>
      <c r="AI52" s="224">
        <f t="shared" si="17"/>
        <v>1.600919460611939</v>
      </c>
      <c r="AJ52" s="264" t="b">
        <f t="shared" si="18"/>
        <v>0</v>
      </c>
      <c r="AK52" s="264" t="b">
        <f t="shared" si="19"/>
        <v>1</v>
      </c>
      <c r="AL52" s="264"/>
      <c r="AM52" s="264"/>
      <c r="AN52" s="75"/>
    </row>
    <row r="53" spans="1:40" s="6" customFormat="1" ht="11.25" x14ac:dyDescent="0.2">
      <c r="A53" s="56">
        <f t="shared" si="20"/>
        <v>46061</v>
      </c>
      <c r="B53" s="409">
        <f>'2025'!Wh/'2025'!Env_an*'2026'!Env_an</f>
        <v>33.719029161591152</v>
      </c>
      <c r="C53" s="829"/>
      <c r="D53" s="391">
        <f t="shared" si="0"/>
        <v>35.432267508085495</v>
      </c>
      <c r="E53" s="383">
        <f t="shared" si="1"/>
        <v>36.619778602649973</v>
      </c>
      <c r="F53" s="383">
        <f t="shared" si="2"/>
        <v>38.144858644794994</v>
      </c>
      <c r="G53" s="110">
        <f t="shared" si="21"/>
        <v>0.99486371263636986</v>
      </c>
      <c r="H53" s="412" t="b">
        <f>Wh_hp&gt;='2025'!Maxi_hp</f>
        <v>0</v>
      </c>
      <c r="I53" s="388">
        <f>IF(H53,Wh_hp,'2025'!Maxi_hp)</f>
        <v>38.152331128620446</v>
      </c>
      <c r="J53" s="85">
        <f>IF(H53,An,'2025'!An_max)</f>
        <v>2022</v>
      </c>
      <c r="K53" s="197">
        <f t="shared" si="3"/>
        <v>46061</v>
      </c>
      <c r="L53" s="147">
        <f>IF(t&lt;Tvie,1-EXP((T0-t)*PertePVj)+'2025'!Pspv,1-EXP((T0-t)*PertePVj)+Pspv)</f>
        <v>4.8352489608614158E-2</v>
      </c>
      <c r="M53" s="832"/>
      <c r="N53" s="832"/>
      <c r="O53" s="48">
        <f>IF(t&lt;Tnet,'2025'!Resal+('2025'!Salim-'2025'!Resal)*(1-EXP(('2025'!Tnet-t)/('2025'!Tau_j))),Resal+(Salim-Resal)*(1-EXP((Tnet-t)/(Tau_j))))*Salcycl</f>
        <v>3.2428134190809664E-2</v>
      </c>
      <c r="P53" s="169">
        <f>(INDEX(Models!$BJ53:$BT53,,T53)*(1-R53)+INDEX(Models!$BJ53:$BT53,,T53+1)*R53-ERP_i)*Q53*Ramure*Pc/MaxiM</f>
        <v>4.0260063084538097E-2</v>
      </c>
      <c r="Q53" s="304">
        <f t="shared" si="4"/>
        <v>0.7</v>
      </c>
      <c r="R53" s="177">
        <f t="shared" si="5"/>
        <v>0.5366930791308</v>
      </c>
      <c r="S53" s="799">
        <f t="shared" si="6"/>
        <v>1</v>
      </c>
      <c r="T53" s="176">
        <f t="shared" si="7"/>
        <v>7</v>
      </c>
      <c r="U53" s="250">
        <f t="shared" si="8"/>
        <v>1.5366930791308</v>
      </c>
      <c r="V53" s="382">
        <f t="shared" si="9"/>
        <v>33.883271383802061</v>
      </c>
      <c r="W53" s="400">
        <f t="shared" si="10"/>
        <v>33.719029161591152</v>
      </c>
      <c r="X53" s="157">
        <f t="shared" si="11"/>
        <v>46061</v>
      </c>
      <c r="Y53" s="383">
        <f t="shared" si="12"/>
        <v>32.390011655545869</v>
      </c>
      <c r="Z53" s="383">
        <f t="shared" si="22"/>
        <v>34.035723628620403</v>
      </c>
      <c r="AA53" s="384">
        <f t="shared" si="13"/>
        <v>36.575571803759765</v>
      </c>
      <c r="AB53" s="197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6.9441106451226628E-2</v>
      </c>
      <c r="AD53" s="230">
        <f>(INDEX(Models!$BJ53:$BT53,,AH53)*(1-AF53)+INDEX(Models!$BJ53:$BT53,,AH53+1)*AF53-ERP_i)*AE53*Ramure*Pc/MaxiM</f>
        <v>4.1427063152011397E-2</v>
      </c>
      <c r="AE53" s="304">
        <f t="shared" si="15"/>
        <v>0.7</v>
      </c>
      <c r="AF53" s="177">
        <f t="shared" si="23"/>
        <v>0.60102530139063215</v>
      </c>
      <c r="AG53" s="799">
        <f t="shared" si="24"/>
        <v>1</v>
      </c>
      <c r="AH53" s="176">
        <f t="shared" si="16"/>
        <v>7</v>
      </c>
      <c r="AI53" s="224">
        <f t="shared" si="17"/>
        <v>1.6010253013906321</v>
      </c>
      <c r="AJ53" s="264" t="b">
        <f t="shared" si="18"/>
        <v>0</v>
      </c>
      <c r="AK53" s="264" t="b">
        <f t="shared" si="19"/>
        <v>1</v>
      </c>
      <c r="AL53" s="264"/>
      <c r="AM53" s="264"/>
      <c r="AN53" s="75"/>
    </row>
    <row r="54" spans="1:40" s="6" customFormat="1" ht="11.25" x14ac:dyDescent="0.2">
      <c r="A54" s="56">
        <f t="shared" si="20"/>
        <v>46062</v>
      </c>
      <c r="B54" s="409">
        <f>'2025'!Wh/'2025'!Env_an*'2026'!Env_an</f>
        <v>34.335906693006251</v>
      </c>
      <c r="C54" s="829"/>
      <c r="D54" s="391">
        <f t="shared" si="0"/>
        <v>36.081179607473054</v>
      </c>
      <c r="E54" s="383">
        <f t="shared" si="1"/>
        <v>37.293360581030754</v>
      </c>
      <c r="F54" s="383">
        <f t="shared" si="2"/>
        <v>38.847312619802175</v>
      </c>
      <c r="G54" s="110">
        <f t="shared" si="21"/>
        <v>1.0038610536611314</v>
      </c>
      <c r="H54" s="412" t="b">
        <f>Wh_hp&gt;='2025'!Maxi_hp</f>
        <v>1</v>
      </c>
      <c r="I54" s="388">
        <f>IF(H54,Wh_hp,'2025'!Maxi_hp)</f>
        <v>38.847312619802175</v>
      </c>
      <c r="J54" s="85">
        <f>IF(H54,An,'2025'!An_max)</f>
        <v>2026</v>
      </c>
      <c r="K54" s="197">
        <f t="shared" si="3"/>
        <v>46062</v>
      </c>
      <c r="L54" s="147">
        <f>IF(t&lt;Tvie,1-EXP((T0-t)*PertePVj)+'2025'!Pspv,1-EXP((T0-t)*PertePVj)+Pspv)</f>
        <v>4.8370727716045225E-2</v>
      </c>
      <c r="M54" s="832"/>
      <c r="N54" s="832"/>
      <c r="O54" s="48">
        <f>IF(t&lt;Tnet,'2025'!Resal+('2025'!Salim-'2025'!Resal)*(1-EXP(('2025'!Tnet-t)/('2025'!Tau_j))),Resal+(Salim-Resal)*(1-EXP((Tnet-t)/(Tau_j))))*Salcycl</f>
        <v>3.2503935142124928E-2</v>
      </c>
      <c r="P54" s="169">
        <f>(INDEX(Models!$BJ54:$BT54,,T54)*(1-R54)+INDEX(Models!$BJ54:$BT54,,T54+1)*R54-ERP_i)*Q54*Ramure*Pc/MaxiM</f>
        <v>4.0001532512169188E-2</v>
      </c>
      <c r="Q54" s="304">
        <f t="shared" si="4"/>
        <v>0.7</v>
      </c>
      <c r="R54" s="177">
        <f t="shared" si="5"/>
        <v>0.53680330029767287</v>
      </c>
      <c r="S54" s="799">
        <f t="shared" si="6"/>
        <v>1</v>
      </c>
      <c r="T54" s="176">
        <f t="shared" si="7"/>
        <v>7</v>
      </c>
      <c r="U54" s="250">
        <f t="shared" si="8"/>
        <v>1.5368033002976729</v>
      </c>
      <c r="V54" s="382">
        <f t="shared" si="9"/>
        <v>34.20384381661335</v>
      </c>
      <c r="W54" s="400">
        <f t="shared" si="10"/>
        <v>34.335906693006251</v>
      </c>
      <c r="X54" s="157">
        <f t="shared" si="11"/>
        <v>46062</v>
      </c>
      <c r="Y54" s="383">
        <f t="shared" si="12"/>
        <v>32.983746494235064</v>
      </c>
      <c r="Z54" s="383">
        <f t="shared" si="22"/>
        <v>34.660289941557316</v>
      </c>
      <c r="AA54" s="384">
        <f t="shared" si="13"/>
        <v>37.248059428484396</v>
      </c>
      <c r="AB54" s="197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6.9473941102771997E-2</v>
      </c>
      <c r="AD54" s="230">
        <f>(INDEX(Models!$BJ54:$BT54,,AH54)*(1-AF54)+INDEX(Models!$BJ54:$BT54,,AH54+1)*AF54-ERP_i)*AE54*Ramure*Pc/MaxiM</f>
        <v>4.116766600999245E-2</v>
      </c>
      <c r="AE54" s="304">
        <f t="shared" si="15"/>
        <v>0.7</v>
      </c>
      <c r="AF54" s="177">
        <f t="shared" si="23"/>
        <v>0.60113552255750502</v>
      </c>
      <c r="AG54" s="799">
        <f t="shared" si="24"/>
        <v>1</v>
      </c>
      <c r="AH54" s="176">
        <f t="shared" si="16"/>
        <v>7</v>
      </c>
      <c r="AI54" s="224">
        <f t="shared" si="17"/>
        <v>1.601135522557505</v>
      </c>
      <c r="AJ54" s="264" t="b">
        <f t="shared" si="18"/>
        <v>0</v>
      </c>
      <c r="AK54" s="264" t="b">
        <f t="shared" si="19"/>
        <v>1</v>
      </c>
      <c r="AL54" s="264"/>
      <c r="AM54" s="264"/>
      <c r="AN54" s="75"/>
    </row>
    <row r="55" spans="1:40" s="6" customFormat="1" ht="11.25" x14ac:dyDescent="0.2">
      <c r="A55" s="56">
        <f t="shared" si="20"/>
        <v>46063</v>
      </c>
      <c r="B55" s="409">
        <f>'2025'!Wh/'2025'!Env_an*'2026'!Env_an</f>
        <v>32.391414512187488</v>
      </c>
      <c r="C55" s="829"/>
      <c r="D55" s="391">
        <f t="shared" si="0"/>
        <v>34.038502431111397</v>
      </c>
      <c r="E55" s="383">
        <f t="shared" si="1"/>
        <v>35.184812176631567</v>
      </c>
      <c r="F55" s="383">
        <f t="shared" si="2"/>
        <v>36.505157658840858</v>
      </c>
      <c r="G55" s="110">
        <f t="shared" si="21"/>
        <v>0.93473363331249049</v>
      </c>
      <c r="H55" s="412" t="b">
        <f>Wh_hp&gt;='2025'!Maxi_hp</f>
        <v>0</v>
      </c>
      <c r="I55" s="388">
        <f>IF(H55,Wh_hp,'2025'!Maxi_hp)</f>
        <v>36.596337758972943</v>
      </c>
      <c r="J55" s="85">
        <f>IF(H55,An,'2025'!An_max)</f>
        <v>2022</v>
      </c>
      <c r="K55" s="197">
        <f t="shared" si="3"/>
        <v>46063</v>
      </c>
      <c r="L55" s="147">
        <f>IF(t&lt;Tvie,1-EXP((T0-t)*PertePVj)+'2025'!Pspv,1-EXP((T0-t)*PertePVj)+Pspv)</f>
        <v>4.8388965473946999E-2</v>
      </c>
      <c r="M55" s="832"/>
      <c r="N55" s="832"/>
      <c r="O55" s="48">
        <f>IF(t&lt;Tnet,'2025'!Resal+('2025'!Salim-'2025'!Resal)*(1-EXP(('2025'!Tnet-t)/('2025'!Tau_j))),Resal+(Salim-Resal)*(1-EXP((Tnet-t)/(Tau_j))))*Salcycl</f>
        <v>3.2579674996290255E-2</v>
      </c>
      <c r="P55" s="169">
        <f>(INDEX(Models!$BJ55:$BT55,,T55)*(1-R55)+INDEX(Models!$BJ55:$BT55,,T55+1)*R55-ERP_i)*Q55*Ramure*Pc/MaxiM</f>
        <v>3.9674491592211196E-2</v>
      </c>
      <c r="Q55" s="304">
        <f t="shared" si="4"/>
        <v>0.7</v>
      </c>
      <c r="R55" s="177">
        <f t="shared" si="5"/>
        <v>0.53691808054620282</v>
      </c>
      <c r="S55" s="799">
        <f t="shared" si="6"/>
        <v>1</v>
      </c>
      <c r="T55" s="176">
        <f t="shared" si="7"/>
        <v>7</v>
      </c>
      <c r="U55" s="250">
        <f t="shared" si="8"/>
        <v>1.5369180805462028</v>
      </c>
      <c r="V55" s="382">
        <f t="shared" si="9"/>
        <v>34.527052123077077</v>
      </c>
      <c r="W55" s="400">
        <f t="shared" si="10"/>
        <v>32.391414512187488</v>
      </c>
      <c r="X55" s="157">
        <f t="shared" si="11"/>
        <v>46063</v>
      </c>
      <c r="Y55" s="383">
        <f t="shared" si="12"/>
        <v>31.120639122985583</v>
      </c>
      <c r="Z55" s="383">
        <f t="shared" si="22"/>
        <v>32.703108721816285</v>
      </c>
      <c r="AA55" s="384">
        <f t="shared" si="13"/>
        <v>35.145994070240171</v>
      </c>
      <c r="AB55" s="197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6.9506793392775143E-2</v>
      </c>
      <c r="AD55" s="230">
        <f>(INDEX(Models!$BJ55:$BT55,,AH55)*(1-AF55)+INDEX(Models!$BJ55:$BT55,,AH55+1)*AF55-ERP_i)*AE55*Ramure*Pc/MaxiM</f>
        <v>4.0840920118988898E-2</v>
      </c>
      <c r="AE55" s="304">
        <f t="shared" si="15"/>
        <v>0.7</v>
      </c>
      <c r="AF55" s="177">
        <f t="shared" si="23"/>
        <v>0.60125030280603498</v>
      </c>
      <c r="AG55" s="799">
        <f t="shared" si="24"/>
        <v>1</v>
      </c>
      <c r="AH55" s="176">
        <f t="shared" si="16"/>
        <v>7</v>
      </c>
      <c r="AI55" s="224">
        <f t="shared" si="17"/>
        <v>1.601250302806035</v>
      </c>
      <c r="AJ55" s="264" t="b">
        <f t="shared" si="18"/>
        <v>0</v>
      </c>
      <c r="AK55" s="264" t="b">
        <f t="shared" si="19"/>
        <v>1</v>
      </c>
      <c r="AL55" s="264"/>
      <c r="AM55" s="264"/>
      <c r="AN55" s="75"/>
    </row>
    <row r="56" spans="1:40" s="6" customFormat="1" ht="11.25" x14ac:dyDescent="0.2">
      <c r="A56" s="56">
        <f t="shared" si="20"/>
        <v>46064</v>
      </c>
      <c r="B56" s="409">
        <f>'2025'!Wh/'2025'!Env_an*'2026'!Env_an</f>
        <v>13.588580698450558</v>
      </c>
      <c r="C56" s="829"/>
      <c r="D56" s="391">
        <f t="shared" si="0"/>
        <v>14.279827190379834</v>
      </c>
      <c r="E56" s="383">
        <f t="shared" si="1"/>
        <v>14.761881606948579</v>
      </c>
      <c r="F56" s="383">
        <f t="shared" si="2"/>
        <v>14.836717317238501</v>
      </c>
      <c r="G56" s="110">
        <f t="shared" si="21"/>
        <v>0.37646881190183756</v>
      </c>
      <c r="H56" s="412" t="b">
        <f>Wh_hp&gt;='2025'!Maxi_hp</f>
        <v>0</v>
      </c>
      <c r="I56" s="388">
        <f>IF(H56,Wh_hp,'2025'!Maxi_hp)</f>
        <v>36.404215155133031</v>
      </c>
      <c r="J56" s="85">
        <f>IF(H56,An,'2025'!An_max)</f>
        <v>2021</v>
      </c>
      <c r="K56" s="197">
        <f t="shared" si="3"/>
        <v>46064</v>
      </c>
      <c r="L56" s="147">
        <f>IF(t&lt;Tvie,1-EXP((T0-t)*PertePVj)+'2025'!Pspv,1-EXP((T0-t)*PertePVj)+Pspv)</f>
        <v>4.840720288232625E-2</v>
      </c>
      <c r="M56" s="832"/>
      <c r="N56" s="832"/>
      <c r="O56" s="48">
        <f>IF(t&lt;Tnet,'2025'!Resal+('2025'!Salim-'2025'!Resal)*(1-EXP(('2025'!Tnet-t)/('2025'!Tau_j))),Resal+(Salim-Resal)*(1-EXP((Tnet-t)/(Tau_j))))*Salcycl</f>
        <v>3.2655350408841995E-2</v>
      </c>
      <c r="P56" s="169">
        <f>(INDEX(Models!$BJ56:$BT56,,T56)*(1-R56)+INDEX(Models!$BJ56:$BT56,,T56+1)*R56-ERP_i)*Q56*Ramure*Pc/MaxiM</f>
        <v>3.9280952191127247E-2</v>
      </c>
      <c r="Q56" s="304">
        <f t="shared" si="4"/>
        <v>0.7</v>
      </c>
      <c r="R56" s="177">
        <f t="shared" si="5"/>
        <v>0.53703760563889169</v>
      </c>
      <c r="S56" s="799">
        <f t="shared" si="6"/>
        <v>1</v>
      </c>
      <c r="T56" s="176">
        <f t="shared" si="7"/>
        <v>7</v>
      </c>
      <c r="U56" s="250">
        <f t="shared" si="8"/>
        <v>1.5370376056388917</v>
      </c>
      <c r="V56" s="382">
        <f t="shared" si="9"/>
        <v>34.852794060067787</v>
      </c>
      <c r="W56" s="400">
        <f t="shared" si="10"/>
        <v>13.588580698450558</v>
      </c>
      <c r="X56" s="157">
        <f t="shared" si="11"/>
        <v>46064</v>
      </c>
      <c r="Y56" s="383">
        <f t="shared" si="12"/>
        <v>13.06848579045981</v>
      </c>
      <c r="Z56" s="383">
        <f t="shared" si="22"/>
        <v>13.733275230795767</v>
      </c>
      <c r="AA56" s="384">
        <f t="shared" si="13"/>
        <v>14.759656674595997</v>
      </c>
      <c r="AB56" s="197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6.953965572700721E-2</v>
      </c>
      <c r="AD56" s="230">
        <f>(INDEX(Models!$BJ56:$BT56,,AH56)*(1-AF56)+INDEX(Models!$BJ56:$BT56,,AH56+1)*AF56-ERP_i)*AE56*Ramure*Pc/MaxiM</f>
        <v>4.044880990279634E-2</v>
      </c>
      <c r="AE56" s="304">
        <f t="shared" si="15"/>
        <v>0.7</v>
      </c>
      <c r="AF56" s="177">
        <f t="shared" si="23"/>
        <v>0.60136982789872384</v>
      </c>
      <c r="AG56" s="799">
        <f t="shared" si="24"/>
        <v>1</v>
      </c>
      <c r="AH56" s="176">
        <f t="shared" si="16"/>
        <v>7</v>
      </c>
      <c r="AI56" s="224">
        <f t="shared" si="17"/>
        <v>1.6013698278987238</v>
      </c>
      <c r="AJ56" s="264" t="b">
        <f t="shared" si="18"/>
        <v>0</v>
      </c>
      <c r="AK56" s="264" t="b">
        <f t="shared" si="19"/>
        <v>1</v>
      </c>
      <c r="AL56" s="264"/>
      <c r="AM56" s="264"/>
      <c r="AN56" s="75"/>
    </row>
    <row r="57" spans="1:40" s="6" customFormat="1" ht="11.25" x14ac:dyDescent="0.2">
      <c r="A57" s="56">
        <f t="shared" si="20"/>
        <v>46065</v>
      </c>
      <c r="B57" s="409">
        <f>'2025'!Wh/'2025'!Env_an*'2026'!Env_an</f>
        <v>25.774363328184716</v>
      </c>
      <c r="C57" s="829"/>
      <c r="D57" s="391">
        <f t="shared" si="0"/>
        <v>27.086015547317473</v>
      </c>
      <c r="E57" s="383">
        <f t="shared" si="1"/>
        <v>28.00256636975352</v>
      </c>
      <c r="F57" s="383">
        <f t="shared" si="2"/>
        <v>28.690970647908575</v>
      </c>
      <c r="G57" s="110">
        <f t="shared" si="21"/>
        <v>0.72149115654173601</v>
      </c>
      <c r="H57" s="412" t="b">
        <f>Wh_hp&gt;='2025'!Maxi_hp</f>
        <v>0</v>
      </c>
      <c r="I57" s="388">
        <f>IF(H57,Wh_hp,'2025'!Maxi_hp)</f>
        <v>28.998434960170048</v>
      </c>
      <c r="J57" s="85">
        <f>IF(H57,An,'2025'!An_max)</f>
        <v>2022</v>
      </c>
      <c r="K57" s="197">
        <f t="shared" si="3"/>
        <v>46065</v>
      </c>
      <c r="L57" s="147">
        <f>IF(t&lt;Tvie,1-EXP((T0-t)*PertePVj)+'2025'!Pspv,1-EXP((T0-t)*PertePVj)+Pspv)</f>
        <v>4.8425439941189863E-2</v>
      </c>
      <c r="M57" s="832"/>
      <c r="N57" s="832"/>
      <c r="O57" s="48">
        <f>IF(t&lt;Tnet,'2025'!Resal+('2025'!Salim-'2025'!Resal)*(1-EXP(('2025'!Tnet-t)/('2025'!Tau_j))),Resal+(Salim-Resal)*(1-EXP((Tnet-t)/(Tau_j))))*Salcycl</f>
        <v>3.2730957953412493E-2</v>
      </c>
      <c r="P57" s="169">
        <f>(INDEX(Models!$BJ57:$BT57,,T57)*(1-R57)+INDEX(Models!$BJ57:$BT57,,T57+1)*R57-ERP_i)*Q57*Ramure*Pc/MaxiM</f>
        <v>3.8822848742626842E-2</v>
      </c>
      <c r="Q57" s="304">
        <f t="shared" si="4"/>
        <v>0.7</v>
      </c>
      <c r="R57" s="177">
        <f t="shared" si="5"/>
        <v>0.53716206866811</v>
      </c>
      <c r="S57" s="799">
        <f t="shared" si="6"/>
        <v>1</v>
      </c>
      <c r="T57" s="176">
        <f t="shared" si="7"/>
        <v>7</v>
      </c>
      <c r="U57" s="250">
        <f t="shared" si="8"/>
        <v>1.53716206866811</v>
      </c>
      <c r="V57" s="382">
        <f t="shared" si="9"/>
        <v>35.180967471534544</v>
      </c>
      <c r="W57" s="400">
        <f t="shared" si="10"/>
        <v>25.774363328184716</v>
      </c>
      <c r="X57" s="157">
        <f t="shared" si="11"/>
        <v>46065</v>
      </c>
      <c r="Y57" s="383">
        <f t="shared" si="12"/>
        <v>24.774289109077543</v>
      </c>
      <c r="Z57" s="383">
        <f t="shared" si="22"/>
        <v>26.035047750274469</v>
      </c>
      <c r="AA57" s="384">
        <f t="shared" si="13"/>
        <v>27.981813006340381</v>
      </c>
      <c r="AB57" s="197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6.9572520394757698E-2</v>
      </c>
      <c r="AD57" s="230">
        <f>(INDEX(Models!$BJ57:$BT57,,AH57)*(1-AF57)+INDEX(Models!$BJ57:$BT57,,AH57+1)*AF57-ERP_i)*AE57*Ramure*Pc/MaxiM</f>
        <v>3.9993243399162569E-2</v>
      </c>
      <c r="AE57" s="304">
        <f t="shared" si="15"/>
        <v>0.7</v>
      </c>
      <c r="AF57" s="177">
        <f t="shared" si="23"/>
        <v>0.60149429092794215</v>
      </c>
      <c r="AG57" s="799">
        <f t="shared" si="24"/>
        <v>1</v>
      </c>
      <c r="AH57" s="176">
        <f t="shared" si="16"/>
        <v>7</v>
      </c>
      <c r="AI57" s="224">
        <f t="shared" si="17"/>
        <v>1.6014942909279422</v>
      </c>
      <c r="AJ57" s="264" t="b">
        <f t="shared" si="18"/>
        <v>0</v>
      </c>
      <c r="AK57" s="264" t="b">
        <f t="shared" si="19"/>
        <v>1</v>
      </c>
      <c r="AL57" s="264"/>
      <c r="AM57" s="264"/>
      <c r="AN57" s="75"/>
    </row>
    <row r="58" spans="1:40" s="6" customFormat="1" ht="11.25" x14ac:dyDescent="0.2">
      <c r="A58" s="56">
        <f t="shared" si="20"/>
        <v>46066</v>
      </c>
      <c r="B58" s="409">
        <f>'2025'!Wh/'2025'!Env_an*'2026'!Env_an</f>
        <v>32.626877287964412</v>
      </c>
      <c r="C58" s="829"/>
      <c r="D58" s="391">
        <f t="shared" si="0"/>
        <v>34.287909698417621</v>
      </c>
      <c r="E58" s="383">
        <f t="shared" si="1"/>
        <v>35.450930441276213</v>
      </c>
      <c r="F58" s="383">
        <f t="shared" si="2"/>
        <v>36.691127994146775</v>
      </c>
      <c r="G58" s="110">
        <f t="shared" si="21"/>
        <v>0.91449003172498389</v>
      </c>
      <c r="H58" s="412" t="b">
        <f>Wh_hp&gt;='2025'!Maxi_hp</f>
        <v>0</v>
      </c>
      <c r="I58" s="388">
        <f>IF(H58,Wh_hp,'2025'!Maxi_hp)</f>
        <v>36.810381507352595</v>
      </c>
      <c r="J58" s="85">
        <f>IF(H58,An,'2025'!An_max)</f>
        <v>2022</v>
      </c>
      <c r="K58" s="197">
        <f t="shared" si="3"/>
        <v>46066</v>
      </c>
      <c r="L58" s="147">
        <f>IF(t&lt;Tvie,1-EXP((T0-t)*PertePVj)+'2025'!Pspv,1-EXP((T0-t)*PertePVj)+Pspv)</f>
        <v>4.8443676650544387E-2</v>
      </c>
      <c r="M58" s="832"/>
      <c r="N58" s="832"/>
      <c r="O58" s="48">
        <f>IF(t&lt;Tnet,'2025'!Resal+('2025'!Salim-'2025'!Resal)*(1-EXP(('2025'!Tnet-t)/('2025'!Tau_j))),Resal+(Salim-Resal)*(1-EXP((Tnet-t)/(Tau_j))))*Salcycl</f>
        <v>3.2806494170445295E-2</v>
      </c>
      <c r="P58" s="169">
        <f>(INDEX(Models!$BJ58:$BT58,,T58)*(1-R58)+INDEX(Models!$BJ58:$BT58,,T58+1)*R58-ERP_i)*Q58*Ramure*Pc/MaxiM</f>
        <v>3.8241849055040855E-2</v>
      </c>
      <c r="Q58" s="304">
        <f t="shared" si="4"/>
        <v>0.7</v>
      </c>
      <c r="R58" s="177">
        <f t="shared" si="5"/>
        <v>0.53729167032494152</v>
      </c>
      <c r="S58" s="799">
        <f t="shared" si="6"/>
        <v>1</v>
      </c>
      <c r="T58" s="176">
        <f t="shared" si="7"/>
        <v>7</v>
      </c>
      <c r="U58" s="250">
        <f t="shared" si="8"/>
        <v>1.5372916703249415</v>
      </c>
      <c r="V58" s="382">
        <f t="shared" si="9"/>
        <v>35.513692884299132</v>
      </c>
      <c r="W58" s="400">
        <f t="shared" si="10"/>
        <v>32.626877287964412</v>
      </c>
      <c r="X58" s="157">
        <f t="shared" si="11"/>
        <v>46066</v>
      </c>
      <c r="Y58" s="383">
        <f t="shared" si="12"/>
        <v>31.351879975105067</v>
      </c>
      <c r="Z58" s="383">
        <f t="shared" si="22"/>
        <v>32.948002347088817</v>
      </c>
      <c r="AA58" s="384">
        <f t="shared" si="13"/>
        <v>35.412932993429607</v>
      </c>
      <c r="AB58" s="197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6.9605379672960765E-2</v>
      </c>
      <c r="AD58" s="230">
        <f>(INDEX(Models!$BJ58:$BT58,,AH58)*(1-AF58)+INDEX(Models!$BJ58:$BT58,,AH58+1)*AF58-ERP_i)*AE58*Ramure*Pc/MaxiM</f>
        <v>3.9413511312931339E-2</v>
      </c>
      <c r="AE58" s="304">
        <f t="shared" si="15"/>
        <v>0.7</v>
      </c>
      <c r="AF58" s="177">
        <f t="shared" si="23"/>
        <v>0.60162389258477367</v>
      </c>
      <c r="AG58" s="799">
        <f t="shared" si="24"/>
        <v>1</v>
      </c>
      <c r="AH58" s="176">
        <f t="shared" si="16"/>
        <v>7</v>
      </c>
      <c r="AI58" s="224">
        <f t="shared" si="17"/>
        <v>1.6016238925847737</v>
      </c>
      <c r="AJ58" s="264" t="b">
        <f t="shared" si="18"/>
        <v>0</v>
      </c>
      <c r="AK58" s="264" t="b">
        <f t="shared" si="19"/>
        <v>1</v>
      </c>
      <c r="AL58" s="264"/>
      <c r="AM58" s="264"/>
      <c r="AN58" s="75"/>
    </row>
    <row r="59" spans="1:40" s="6" customFormat="1" ht="11.25" x14ac:dyDescent="0.2">
      <c r="A59" s="56">
        <f t="shared" si="20"/>
        <v>46067</v>
      </c>
      <c r="B59" s="409">
        <f>'2025'!Wh/'2025'!Env_an*'2026'!Env_an</f>
        <v>15.53958061801529</v>
      </c>
      <c r="C59" s="829"/>
      <c r="D59" s="391">
        <f t="shared" si="0"/>
        <v>16.331012736629507</v>
      </c>
      <c r="E59" s="383">
        <f t="shared" si="1"/>
        <v>16.886266192110959</v>
      </c>
      <c r="F59" s="383">
        <f t="shared" si="2"/>
        <v>17.00803217114192</v>
      </c>
      <c r="G59" s="110">
        <f t="shared" si="21"/>
        <v>0.42018655571535118</v>
      </c>
      <c r="H59" s="412" t="b">
        <f>Wh_hp&gt;='2025'!Maxi_hp</f>
        <v>0</v>
      </c>
      <c r="I59" s="388">
        <f>IF(H59,Wh_hp,'2025'!Maxi_hp)</f>
        <v>33.094825571206165</v>
      </c>
      <c r="J59" s="85">
        <f>IF(H59,An,'2025'!An_max)</f>
        <v>2021</v>
      </c>
      <c r="K59" s="197">
        <f t="shared" si="3"/>
        <v>46067</v>
      </c>
      <c r="L59" s="147">
        <f>IF(t&lt;Tvie,1-EXP((T0-t)*PertePVj)+'2025'!Pspv,1-EXP((T0-t)*PertePVj)+Pspv)</f>
        <v>4.8461913010396485E-2</v>
      </c>
      <c r="M59" s="832"/>
      <c r="N59" s="832"/>
      <c r="O59" s="48">
        <f>IF(t&lt;Tnet,'2025'!Resal+('2025'!Salim-'2025'!Resal)*(1-EXP(('2025'!Tnet-t)/('2025'!Tau_j))),Resal+(Salim-Resal)*(1-EXP((Tnet-t)/(Tau_j))))*Salcycl</f>
        <v>3.2881955617924639E-2</v>
      </c>
      <c r="P59" s="169">
        <f>(INDEX(Models!$BJ59:$BT59,,T59)*(1-R59)+INDEX(Models!$BJ59:$BT59,,T59+1)*R59-ERP_i)*Q59*Ramure*Pc/MaxiM</f>
        <v>3.7552048977629482E-2</v>
      </c>
      <c r="Q59" s="304">
        <f t="shared" si="4"/>
        <v>0.7</v>
      </c>
      <c r="R59" s="177">
        <f t="shared" si="5"/>
        <v>0.53742661917612677</v>
      </c>
      <c r="S59" s="799">
        <f t="shared" si="6"/>
        <v>1</v>
      </c>
      <c r="T59" s="176">
        <f t="shared" si="7"/>
        <v>7</v>
      </c>
      <c r="U59" s="250">
        <f t="shared" si="8"/>
        <v>1.5374266191761268</v>
      </c>
      <c r="V59" s="382">
        <f t="shared" si="9"/>
        <v>35.850468136368526</v>
      </c>
      <c r="W59" s="400">
        <f t="shared" si="10"/>
        <v>15.53958061801529</v>
      </c>
      <c r="X59" s="157">
        <f t="shared" si="11"/>
        <v>46067</v>
      </c>
      <c r="Y59" s="383">
        <f t="shared" si="12"/>
        <v>14.945624710190689</v>
      </c>
      <c r="Z59" s="383">
        <f t="shared" si="22"/>
        <v>15.7068066055815</v>
      </c>
      <c r="AA59" s="384">
        <f t="shared" si="13"/>
        <v>16.882472005409213</v>
      </c>
      <c r="AB59" s="197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6.963822593344296E-2</v>
      </c>
      <c r="AD59" s="230">
        <f>(INDEX(Models!$BJ59:$BT59,,AH59)*(1-AF59)+INDEX(Models!$BJ59:$BT59,,AH59+1)*AF59-ERP_i)*AE59*Ramure*Pc/MaxiM</f>
        <v>3.8722158116390799E-2</v>
      </c>
      <c r="AE59" s="304">
        <f t="shared" si="15"/>
        <v>0.7</v>
      </c>
      <c r="AF59" s="177">
        <f t="shared" si="23"/>
        <v>0.60175884143595892</v>
      </c>
      <c r="AG59" s="799">
        <f t="shared" si="24"/>
        <v>1</v>
      </c>
      <c r="AH59" s="176">
        <f t="shared" si="16"/>
        <v>7</v>
      </c>
      <c r="AI59" s="224">
        <f t="shared" si="17"/>
        <v>1.6017588414359589</v>
      </c>
      <c r="AJ59" s="264" t="b">
        <f t="shared" si="18"/>
        <v>0</v>
      </c>
      <c r="AK59" s="264" t="b">
        <f t="shared" si="19"/>
        <v>1</v>
      </c>
      <c r="AL59" s="264"/>
      <c r="AM59" s="264"/>
      <c r="AN59" s="75"/>
    </row>
    <row r="60" spans="1:40" s="6" customFormat="1" ht="11.25" x14ac:dyDescent="0.2">
      <c r="A60" s="56">
        <f t="shared" si="20"/>
        <v>46068</v>
      </c>
      <c r="B60" s="409">
        <f>'2025'!Wh/'2025'!Env_an*'2026'!Env_an</f>
        <v>20.543713071878916</v>
      </c>
      <c r="C60" s="829"/>
      <c r="D60" s="391">
        <f t="shared" si="0"/>
        <v>21.590419843302858</v>
      </c>
      <c r="E60" s="383">
        <f t="shared" si="1"/>
        <v>22.32623307359621</v>
      </c>
      <c r="F60" s="383">
        <f t="shared" si="2"/>
        <v>22.644472813785935</v>
      </c>
      <c r="G60" s="110">
        <f t="shared" si="21"/>
        <v>0.5545733003499671</v>
      </c>
      <c r="H60" s="412" t="b">
        <f>Wh_hp&gt;='2025'!Maxi_hp</f>
        <v>0</v>
      </c>
      <c r="I60" s="388">
        <f>IF(H60,Wh_hp,'2025'!Maxi_hp)</f>
        <v>40.783875694870723</v>
      </c>
      <c r="J60" s="85">
        <f>IF(H60,An,'2025'!An_max)</f>
        <v>2020</v>
      </c>
      <c r="K60" s="197">
        <f t="shared" si="3"/>
        <v>46068</v>
      </c>
      <c r="L60" s="147">
        <f>IF(t&lt;Tvie,1-EXP((T0-t)*PertePVj)+'2025'!Pspv,1-EXP((T0-t)*PertePVj)+Pspv)</f>
        <v>4.8480149020752927E-2</v>
      </c>
      <c r="M60" s="832"/>
      <c r="N60" s="832"/>
      <c r="O60" s="48">
        <f>IF(t&lt;Tnet,'2025'!Resal+('2025'!Salim-'2025'!Resal)*(1-EXP(('2025'!Tnet-t)/('2025'!Tau_j))),Resal+(Salim-Resal)*(1-EXP((Tnet-t)/(Tau_j))))*Salcycl</f>
        <v>3.2957338923580083E-2</v>
      </c>
      <c r="P60" s="169">
        <f>(INDEX(Models!$BJ60:$BT60,,T60)*(1-R60)+INDEX(Models!$BJ60:$BT60,,T60+1)*R60-ERP_i)*Q60*Ramure*Pc/MaxiM</f>
        <v>3.6756378751062899E-2</v>
      </c>
      <c r="Q60" s="304">
        <f t="shared" si="4"/>
        <v>0.7</v>
      </c>
      <c r="R60" s="177">
        <f t="shared" si="5"/>
        <v>0.53756713194919103</v>
      </c>
      <c r="S60" s="799">
        <f t="shared" si="6"/>
        <v>1</v>
      </c>
      <c r="T60" s="176">
        <f t="shared" si="7"/>
        <v>7</v>
      </c>
      <c r="U60" s="250">
        <f t="shared" si="8"/>
        <v>1.537567131949191</v>
      </c>
      <c r="V60" s="382">
        <f t="shared" si="9"/>
        <v>36.191191865304361</v>
      </c>
      <c r="W60" s="400">
        <f t="shared" si="10"/>
        <v>20.543713071878916</v>
      </c>
      <c r="X60" s="157">
        <f t="shared" si="11"/>
        <v>46068</v>
      </c>
      <c r="Y60" s="383">
        <f t="shared" si="12"/>
        <v>19.754837103467263</v>
      </c>
      <c r="Z60" s="383">
        <f t="shared" si="22"/>
        <v>20.761350468029409</v>
      </c>
      <c r="AA60" s="384">
        <f t="shared" si="13"/>
        <v>22.31613936890815</v>
      </c>
      <c r="AB60" s="197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6.9671051752120849E-2</v>
      </c>
      <c r="AD60" s="230">
        <f>(INDEX(Models!$BJ60:$BT60,,AH60)*(1-AF60)+INDEX(Models!$BJ60:$BT60,,AH60+1)*AF60-ERP_i)*AE60*Ramure*Pc/MaxiM</f>
        <v>3.792219177081467E-2</v>
      </c>
      <c r="AE60" s="304">
        <f t="shared" si="15"/>
        <v>0.7</v>
      </c>
      <c r="AF60" s="177">
        <f t="shared" si="23"/>
        <v>0.60189935420902319</v>
      </c>
      <c r="AG60" s="799">
        <f t="shared" si="24"/>
        <v>1</v>
      </c>
      <c r="AH60" s="176">
        <f t="shared" si="16"/>
        <v>7</v>
      </c>
      <c r="AI60" s="224">
        <f t="shared" si="17"/>
        <v>1.6018993542090232</v>
      </c>
      <c r="AJ60" s="264" t="b">
        <f t="shared" si="18"/>
        <v>0</v>
      </c>
      <c r="AK60" s="264" t="b">
        <f t="shared" si="19"/>
        <v>1</v>
      </c>
      <c r="AL60" s="264"/>
      <c r="AM60" s="264"/>
      <c r="AN60" s="75"/>
    </row>
    <row r="61" spans="1:40" s="6" customFormat="1" ht="11.25" x14ac:dyDescent="0.2">
      <c r="A61" s="56">
        <f t="shared" si="20"/>
        <v>46069</v>
      </c>
      <c r="B61" s="409">
        <f>'2025'!Wh/'2025'!Env_an*'2026'!Env_an</f>
        <v>8.7750846733049457</v>
      </c>
      <c r="C61" s="829"/>
      <c r="D61" s="391">
        <f t="shared" si="0"/>
        <v>9.222353942477266</v>
      </c>
      <c r="E61" s="383">
        <f t="shared" si="1"/>
        <v>9.5373994324584004</v>
      </c>
      <c r="F61" s="383">
        <f t="shared" si="2"/>
        <v>9.5373994324584004</v>
      </c>
      <c r="G61" s="110">
        <f t="shared" si="21"/>
        <v>0.23156573450206216</v>
      </c>
      <c r="H61" s="412" t="b">
        <f>Wh_hp&gt;='2025'!Maxi_hp</f>
        <v>0</v>
      </c>
      <c r="I61" s="388">
        <f>IF(H61,Wh_hp,'2025'!Maxi_hp)</f>
        <v>34.426764095706375</v>
      </c>
      <c r="J61" s="85">
        <f>IF(H61,An,'2025'!An_max)</f>
        <v>2021</v>
      </c>
      <c r="K61" s="197">
        <f t="shared" si="3"/>
        <v>46069</v>
      </c>
      <c r="L61" s="147">
        <f>IF(t&lt;Tvie,1-EXP((T0-t)*PertePVj)+'2025'!Pspv,1-EXP((T0-t)*PertePVj)+Pspv)</f>
        <v>4.8498384681620377E-2</v>
      </c>
      <c r="M61" s="832"/>
      <c r="N61" s="832"/>
      <c r="O61" s="48">
        <f>IF(t&lt;Tnet,'2025'!Resal+('2025'!Salim-'2025'!Resal)*(1-EXP(('2025'!Tnet-t)/('2025'!Tau_j))),Resal+(Salim-Resal)*(1-EXP((Tnet-t)/(Tau_j))))*Salcycl</f>
        <v>3.3032640838019996E-2</v>
      </c>
      <c r="P61" s="169">
        <f>(INDEX(Models!$BJ61:$BT61,,T61)*(1-R61)+INDEX(Models!$BJ61:$BT61,,T61+1)*R61-ERP_i)*Q61*Ramure*Pc/MaxiM</f>
        <v>3.5857646445588587E-2</v>
      </c>
      <c r="Q61" s="304">
        <f t="shared" si="4"/>
        <v>0.7</v>
      </c>
      <c r="R61" s="177">
        <f t="shared" si="5"/>
        <v>0.5377134338258216</v>
      </c>
      <c r="S61" s="799">
        <f t="shared" si="6"/>
        <v>1</v>
      </c>
      <c r="T61" s="176">
        <f t="shared" si="7"/>
        <v>7</v>
      </c>
      <c r="U61" s="250">
        <f t="shared" si="8"/>
        <v>1.5377134338258216</v>
      </c>
      <c r="V61" s="382">
        <f t="shared" si="9"/>
        <v>36.535762977851675</v>
      </c>
      <c r="W61" s="400">
        <f t="shared" si="10"/>
        <v>8.7750846733049457</v>
      </c>
      <c r="X61" s="157">
        <f t="shared" si="11"/>
        <v>46069</v>
      </c>
      <c r="Y61" s="383">
        <f t="shared" si="12"/>
        <v>8.4422989152476244</v>
      </c>
      <c r="Z61" s="383">
        <f t="shared" si="22"/>
        <v>8.8726059728472109</v>
      </c>
      <c r="AA61" s="384">
        <f t="shared" si="13"/>
        <v>9.5373994324584004</v>
      </c>
      <c r="AB61" s="197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6.9703850018980371E-2</v>
      </c>
      <c r="AD61" s="230">
        <f>(INDEX(Models!$BJ61:$BT61,,AH61)*(1-AF61)+INDEX(Models!$BJ61:$BT61,,AH61+1)*AF61-ERP_i)*AE61*Ramure*Pc/MaxiM</f>
        <v>3.7016495109540026E-2</v>
      </c>
      <c r="AE61" s="304">
        <f t="shared" si="15"/>
        <v>0.7</v>
      </c>
      <c r="AF61" s="177">
        <f t="shared" si="23"/>
        <v>0.60204565608565375</v>
      </c>
      <c r="AG61" s="799">
        <f t="shared" si="24"/>
        <v>1</v>
      </c>
      <c r="AH61" s="176">
        <f t="shared" si="16"/>
        <v>7</v>
      </c>
      <c r="AI61" s="224">
        <f t="shared" si="17"/>
        <v>1.6020456560856537</v>
      </c>
      <c r="AJ61" s="264" t="b">
        <f t="shared" si="18"/>
        <v>0</v>
      </c>
      <c r="AK61" s="264" t="b">
        <f t="shared" si="19"/>
        <v>1</v>
      </c>
      <c r="AL61" s="264"/>
      <c r="AM61" s="264"/>
      <c r="AN61" s="75"/>
    </row>
    <row r="62" spans="1:40" s="6" customFormat="1" ht="11.25" x14ac:dyDescent="0.2">
      <c r="A62" s="56">
        <f t="shared" si="20"/>
        <v>46070</v>
      </c>
      <c r="B62" s="409">
        <f>'2025'!Wh/'2025'!Env_an*'2026'!Env_an</f>
        <v>9.6879497396237682</v>
      </c>
      <c r="C62" s="829"/>
      <c r="D62" s="391">
        <f t="shared" si="0"/>
        <v>10.181943209089528</v>
      </c>
      <c r="E62" s="383">
        <f t="shared" si="1"/>
        <v>10.530588438813636</v>
      </c>
      <c r="F62" s="383">
        <f t="shared" si="2"/>
        <v>10.530588438813636</v>
      </c>
      <c r="G62" s="110">
        <f t="shared" si="21"/>
        <v>0.25350345689239068</v>
      </c>
      <c r="H62" s="412" t="b">
        <f>Wh_hp&gt;='2025'!Maxi_hp</f>
        <v>0</v>
      </c>
      <c r="I62" s="388">
        <f>IF(H62,Wh_hp,'2025'!Maxi_hp)</f>
        <v>38.684101035723138</v>
      </c>
      <c r="J62" s="85">
        <f>IF(H62,An,'2025'!An_max)</f>
        <v>2021</v>
      </c>
      <c r="K62" s="197">
        <f t="shared" si="3"/>
        <v>46070</v>
      </c>
      <c r="L62" s="147">
        <f>IF(t&lt;Tvie,1-EXP((T0-t)*PertePVj)+'2025'!Pspv,1-EXP((T0-t)*PertePVj)+Pspv)</f>
        <v>4.8516619993005494E-2</v>
      </c>
      <c r="M62" s="832"/>
      <c r="N62" s="832"/>
      <c r="O62" s="48">
        <f>IF(t&lt;Tnet,'2025'!Resal+('2025'!Salim-'2025'!Resal)*(1-EXP(('2025'!Tnet-t)/('2025'!Tau_j))),Resal+(Salim-Resal)*(1-EXP((Tnet-t)/(Tau_j))))*Salcycl</f>
        <v>3.3107858288248214E-2</v>
      </c>
      <c r="P62" s="169">
        <f>(INDEX(Models!$BJ62:$BT62,,T62)*(1-R62)+INDEX(Models!$BJ62:$BT62,,T62+1)*R62-ERP_i)*Q62*Ramure*Pc/MaxiM</f>
        <v>3.4858540068272402E-2</v>
      </c>
      <c r="Q62" s="304">
        <f t="shared" si="4"/>
        <v>0.7</v>
      </c>
      <c r="R62" s="177">
        <f t="shared" si="5"/>
        <v>0.5378657587435467</v>
      </c>
      <c r="S62" s="799">
        <f t="shared" si="6"/>
        <v>1</v>
      </c>
      <c r="T62" s="176">
        <f t="shared" si="7"/>
        <v>7</v>
      </c>
      <c r="U62" s="250">
        <f t="shared" si="8"/>
        <v>1.5378657587435467</v>
      </c>
      <c r="V62" s="382">
        <f t="shared" si="9"/>
        <v>36.884080675139494</v>
      </c>
      <c r="W62" s="400">
        <f t="shared" si="10"/>
        <v>9.6879497396237682</v>
      </c>
      <c r="X62" s="157">
        <f t="shared" si="11"/>
        <v>46070</v>
      </c>
      <c r="Y62" s="383">
        <f t="shared" si="12"/>
        <v>9.3209413324666262</v>
      </c>
      <c r="Z62" s="383">
        <f t="shared" si="22"/>
        <v>9.7962208571610638</v>
      </c>
      <c r="AA62" s="384">
        <f t="shared" si="13"/>
        <v>10.530588438813636</v>
      </c>
      <c r="AB62" s="197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6.9736614047686191E-2</v>
      </c>
      <c r="AD62" s="230">
        <f>(INDEX(Models!$BJ62:$BT62,,AH62)*(1-AF62)+INDEX(Models!$BJ62:$BT62,,AH62+1)*AF62-ERP_i)*AE62*Ramure*Pc/MaxiM</f>
        <v>3.6007827999570988E-2</v>
      </c>
      <c r="AE62" s="304">
        <f t="shared" si="15"/>
        <v>0.7</v>
      </c>
      <c r="AF62" s="177">
        <f t="shared" si="23"/>
        <v>0.60219798100337885</v>
      </c>
      <c r="AG62" s="799">
        <f t="shared" si="24"/>
        <v>1</v>
      </c>
      <c r="AH62" s="176">
        <f t="shared" si="16"/>
        <v>7</v>
      </c>
      <c r="AI62" s="224">
        <f t="shared" si="17"/>
        <v>1.6021979810033788</v>
      </c>
      <c r="AJ62" s="264" t="b">
        <f t="shared" si="18"/>
        <v>0</v>
      </c>
      <c r="AK62" s="264" t="b">
        <f t="shared" si="19"/>
        <v>1</v>
      </c>
      <c r="AL62" s="264"/>
      <c r="AM62" s="264"/>
      <c r="AN62" s="75"/>
    </row>
    <row r="63" spans="1:40" s="6" customFormat="1" ht="11.25" x14ac:dyDescent="0.2">
      <c r="A63" s="56">
        <f t="shared" si="20"/>
        <v>46071</v>
      </c>
      <c r="B63" s="409">
        <f>'2025'!Wh/'2025'!Env_an*'2026'!Env_an</f>
        <v>32.297582135259482</v>
      </c>
      <c r="C63" s="829"/>
      <c r="D63" s="391">
        <f t="shared" si="0"/>
        <v>33.945102774867351</v>
      </c>
      <c r="E63" s="383">
        <f t="shared" si="1"/>
        <v>35.110162904333173</v>
      </c>
      <c r="F63" s="383">
        <f t="shared" si="2"/>
        <v>36.097982950591081</v>
      </c>
      <c r="G63" s="110">
        <f t="shared" si="21"/>
        <v>0.86166973993696871</v>
      </c>
      <c r="H63" s="412" t="b">
        <f>Wh_hp&gt;='2025'!Maxi_hp</f>
        <v>0</v>
      </c>
      <c r="I63" s="388">
        <f>IF(H63,Wh_hp,'2025'!Maxi_hp)</f>
        <v>38.693234723420318</v>
      </c>
      <c r="J63" s="85">
        <f>IF(H63,An,'2025'!An_max)</f>
        <v>2020</v>
      </c>
      <c r="K63" s="197">
        <f t="shared" si="3"/>
        <v>46071</v>
      </c>
      <c r="L63" s="147">
        <f>IF(t&lt;Tvie,1-EXP((T0-t)*PertePVj)+'2025'!Pspv,1-EXP((T0-t)*PertePVj)+Pspv)</f>
        <v>4.8534854954915052E-2</v>
      </c>
      <c r="M63" s="832"/>
      <c r="N63" s="832"/>
      <c r="O63" s="48">
        <f>IF(t&lt;Tnet,'2025'!Resal+('2025'!Salim-'2025'!Resal)*(1-EXP(('2025'!Tnet-t)/('2025'!Tau_j))),Resal+(Salim-Resal)*(1-EXP((Tnet-t)/(Tau_j))))*Salcycl</f>
        <v>3.318298843102295E-2</v>
      </c>
      <c r="P63" s="169">
        <f>(INDEX(Models!$BJ63:$BT63,,T63)*(1-R63)+INDEX(Models!$BJ63:$BT63,,T63+1)*R63-ERP_i)*Q63*Ramure*Pc/MaxiM</f>
        <v>3.3761629589250747E-2</v>
      </c>
      <c r="Q63" s="304">
        <f t="shared" si="4"/>
        <v>0.7</v>
      </c>
      <c r="R63" s="177">
        <f t="shared" si="5"/>
        <v>0.53802434970574531</v>
      </c>
      <c r="S63" s="799">
        <f t="shared" si="6"/>
        <v>1</v>
      </c>
      <c r="T63" s="176">
        <f t="shared" si="7"/>
        <v>7</v>
      </c>
      <c r="U63" s="250">
        <f t="shared" si="8"/>
        <v>1.5380243497057453</v>
      </c>
      <c r="V63" s="382">
        <f t="shared" si="9"/>
        <v>37.236044482930545</v>
      </c>
      <c r="W63" s="400">
        <f t="shared" si="10"/>
        <v>32.297582135259482</v>
      </c>
      <c r="X63" s="157">
        <f t="shared" si="11"/>
        <v>46071</v>
      </c>
      <c r="Y63" s="383">
        <f t="shared" si="12"/>
        <v>31.045925746012539</v>
      </c>
      <c r="Z63" s="383">
        <f t="shared" si="22"/>
        <v>32.629598580346773</v>
      </c>
      <c r="AA63" s="384">
        <f t="shared" si="13"/>
        <v>35.076889960924419</v>
      </c>
      <c r="AB63" s="197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6.9769337683697807E-2</v>
      </c>
      <c r="AD63" s="230">
        <f>(INDEX(Models!$BJ63:$BT63,,AH63)*(1-AF63)+INDEX(Models!$BJ63:$BT63,,AH63+1)*AF63-ERP_i)*AE63*Ramure*Pc/MaxiM</f>
        <v>3.489882942131136E-2</v>
      </c>
      <c r="AE63" s="304">
        <f t="shared" si="15"/>
        <v>0.7</v>
      </c>
      <c r="AF63" s="177">
        <f t="shared" si="23"/>
        <v>0.60235657196557746</v>
      </c>
      <c r="AG63" s="799">
        <f t="shared" si="24"/>
        <v>1</v>
      </c>
      <c r="AH63" s="176">
        <f t="shared" si="16"/>
        <v>7</v>
      </c>
      <c r="AI63" s="224">
        <f t="shared" si="17"/>
        <v>1.6023565719655775</v>
      </c>
      <c r="AJ63" s="264" t="b">
        <f t="shared" si="18"/>
        <v>0</v>
      </c>
      <c r="AK63" s="264" t="b">
        <f t="shared" si="19"/>
        <v>1</v>
      </c>
      <c r="AL63" s="264"/>
      <c r="AM63" s="264"/>
      <c r="AN63" s="75"/>
    </row>
    <row r="64" spans="1:40" s="6" customFormat="1" ht="11.25" x14ac:dyDescent="0.2">
      <c r="A64" s="56">
        <f t="shared" si="20"/>
        <v>46072</v>
      </c>
      <c r="B64" s="409">
        <f>'2025'!Wh/'2025'!Env_an*'2026'!Env_an</f>
        <v>14.816707008943386</v>
      </c>
      <c r="C64" s="829"/>
      <c r="D64" s="391">
        <f t="shared" si="0"/>
        <v>15.572815305276359</v>
      </c>
      <c r="E64" s="383">
        <f t="shared" si="1"/>
        <v>16.108554058560518</v>
      </c>
      <c r="F64" s="383">
        <f t="shared" si="2"/>
        <v>16.179429262276393</v>
      </c>
      <c r="G64" s="110">
        <f t="shared" si="21"/>
        <v>0.38299039560348586</v>
      </c>
      <c r="H64" s="412" t="b">
        <f>Wh_hp&gt;='2025'!Maxi_hp</f>
        <v>0</v>
      </c>
      <c r="I64" s="388">
        <f>IF(H64,Wh_hp,'2025'!Maxi_hp)</f>
        <v>39.852198656392886</v>
      </c>
      <c r="J64" s="85">
        <f>IF(H64,An,'2025'!An_max)</f>
        <v>2021</v>
      </c>
      <c r="K64" s="197">
        <f t="shared" si="3"/>
        <v>46072</v>
      </c>
      <c r="L64" s="147">
        <f>IF(t&lt;Tvie,1-EXP((T0-t)*PertePVj)+'2025'!Pspv,1-EXP((T0-t)*PertePVj)+Pspv)</f>
        <v>4.8553089567355823E-2</v>
      </c>
      <c r="M64" s="832"/>
      <c r="N64" s="832"/>
      <c r="O64" s="48">
        <f>IF(t&lt;Tnet,'2025'!Resal+('2025'!Salim-'2025'!Resal)*(1-EXP(('2025'!Tnet-t)/('2025'!Tau_j))),Resal+(Salim-Resal)*(1-EXP((Tnet-t)/(Tau_j))))*Salcycl</f>
        <v>3.3258028705528291E-2</v>
      </c>
      <c r="P64" s="169">
        <f>(INDEX(Models!$BJ64:$BT64,,T64)*(1-R64)+INDEX(Models!$BJ64:$BT64,,T64+1)*R64-ERP_i)*Q64*Ramure*Pc/MaxiM</f>
        <v>3.2569368865918949E-2</v>
      </c>
      <c r="Q64" s="304">
        <f t="shared" si="4"/>
        <v>0.7</v>
      </c>
      <c r="R64" s="177">
        <f t="shared" si="5"/>
        <v>0.5381894590999925</v>
      </c>
      <c r="S64" s="799">
        <f t="shared" si="6"/>
        <v>1</v>
      </c>
      <c r="T64" s="176">
        <f t="shared" si="7"/>
        <v>7</v>
      </c>
      <c r="U64" s="250">
        <f t="shared" si="8"/>
        <v>1.5381894590999925</v>
      </c>
      <c r="V64" s="382">
        <f t="shared" si="9"/>
        <v>37.591554283313386</v>
      </c>
      <c r="W64" s="400">
        <f t="shared" si="10"/>
        <v>14.816707008943386</v>
      </c>
      <c r="X64" s="157">
        <f t="shared" si="11"/>
        <v>46072</v>
      </c>
      <c r="Y64" s="383">
        <f t="shared" si="12"/>
        <v>14.254455840466216</v>
      </c>
      <c r="Z64" s="383">
        <f t="shared" si="22"/>
        <v>14.981872014261306</v>
      </c>
      <c r="AA64" s="384">
        <f t="shared" si="13"/>
        <v>16.106111024161926</v>
      </c>
      <c r="AB64" s="197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6.9802015409807461E-2</v>
      </c>
      <c r="AD64" s="230">
        <f>(INDEX(Models!$BJ64:$BT64,,AH64)*(1-AF64)+INDEX(Models!$BJ64:$BT64,,AH64+1)*AF64-ERP_i)*AE64*Ramure*Pc/MaxiM</f>
        <v>3.36920194447985E-2</v>
      </c>
      <c r="AE64" s="304">
        <f t="shared" si="15"/>
        <v>0.7</v>
      </c>
      <c r="AF64" s="177">
        <f t="shared" si="23"/>
        <v>0.60252168135982465</v>
      </c>
      <c r="AG64" s="799">
        <f t="shared" si="24"/>
        <v>1</v>
      </c>
      <c r="AH64" s="176">
        <f t="shared" si="16"/>
        <v>7</v>
      </c>
      <c r="AI64" s="224">
        <f t="shared" si="17"/>
        <v>1.6025216813598246</v>
      </c>
      <c r="AJ64" s="264" t="b">
        <f t="shared" si="18"/>
        <v>0</v>
      </c>
      <c r="AK64" s="264" t="b">
        <f t="shared" si="19"/>
        <v>1</v>
      </c>
      <c r="AL64" s="264"/>
      <c r="AM64" s="264"/>
      <c r="AN64" s="75"/>
    </row>
    <row r="65" spans="1:40" s="6" customFormat="1" ht="11.25" x14ac:dyDescent="0.2">
      <c r="A65" s="56">
        <f t="shared" si="20"/>
        <v>46073</v>
      </c>
      <c r="B65" s="409">
        <f>'2025'!Wh/'2025'!Env_an*'2026'!Env_an</f>
        <v>25.731998546338193</v>
      </c>
      <c r="C65" s="829"/>
      <c r="D65" s="391">
        <f t="shared" si="0"/>
        <v>27.04564114036592</v>
      </c>
      <c r="E65" s="383">
        <f t="shared" si="1"/>
        <v>27.978239138860218</v>
      </c>
      <c r="F65" s="383">
        <f t="shared" si="2"/>
        <v>28.459052949904272</v>
      </c>
      <c r="G65" s="110">
        <f t="shared" si="21"/>
        <v>0.66811253905312662</v>
      </c>
      <c r="H65" s="412" t="b">
        <f>Wh_hp&gt;='2025'!Maxi_hp</f>
        <v>0</v>
      </c>
      <c r="I65" s="388">
        <f>IF(H65,Wh_hp,'2025'!Maxi_hp)</f>
        <v>42.526823693851945</v>
      </c>
      <c r="J65" s="85">
        <f>IF(H65,An,'2025'!An_max)</f>
        <v>2020</v>
      </c>
      <c r="K65" s="197">
        <f t="shared" si="3"/>
        <v>46073</v>
      </c>
      <c r="L65" s="147">
        <f>IF(t&lt;Tvie,1-EXP((T0-t)*PertePVj)+'2025'!Pspv,1-EXP((T0-t)*PertePVj)+Pspv)</f>
        <v>4.8571323830334356E-2</v>
      </c>
      <c r="M65" s="832"/>
      <c r="N65" s="832"/>
      <c r="O65" s="48">
        <f>IF(t&lt;Tnet,'2025'!Resal+('2025'!Salim-'2025'!Resal)*(1-EXP(('2025'!Tnet-t)/('2025'!Tau_j))),Resal+(Salim-Resal)*(1-EXP((Tnet-t)/(Tau_j))))*Salcycl</f>
        <v>3.3332976884845204E-2</v>
      </c>
      <c r="P65" s="169">
        <f>(INDEX(Models!$BJ65:$BT65,,T65)*(1-R65)+INDEX(Models!$BJ65:$BT65,,T65+1)*R65-ERP_i)*Q65*Ramure*Pc/MaxiM</f>
        <v>3.1283897903496616E-2</v>
      </c>
      <c r="Q65" s="304">
        <f t="shared" si="4"/>
        <v>0.7</v>
      </c>
      <c r="R65" s="177">
        <f t="shared" si="5"/>
        <v>0.53836134902472077</v>
      </c>
      <c r="S65" s="799">
        <f t="shared" si="6"/>
        <v>1</v>
      </c>
      <c r="T65" s="176">
        <f t="shared" si="7"/>
        <v>7</v>
      </c>
      <c r="U65" s="250">
        <f t="shared" si="8"/>
        <v>1.5383613490247208</v>
      </c>
      <c r="V65" s="382">
        <f t="shared" si="9"/>
        <v>37.950760224732669</v>
      </c>
      <c r="W65" s="400">
        <f t="shared" si="10"/>
        <v>25.731998546338193</v>
      </c>
      <c r="X65" s="157">
        <f t="shared" si="11"/>
        <v>46073</v>
      </c>
      <c r="Y65" s="383">
        <f t="shared" si="12"/>
        <v>24.745310467480287</v>
      </c>
      <c r="Z65" s="383">
        <f t="shared" si="22"/>
        <v>26.008581712190818</v>
      </c>
      <c r="AA65" s="384">
        <f t="shared" si="13"/>
        <v>27.96124527862635</v>
      </c>
      <c r="AB65" s="197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6.9834642448065559E-2</v>
      </c>
      <c r="AD65" s="230">
        <f>(INDEX(Models!$BJ65:$BT65,,AH65)*(1-AF65)+INDEX(Models!$BJ65:$BT65,,AH65+1)*AF65-ERP_i)*AE65*Ramure*Pc/MaxiM</f>
        <v>3.2389594487769555E-2</v>
      </c>
      <c r="AE65" s="304">
        <f t="shared" si="15"/>
        <v>0.7</v>
      </c>
      <c r="AF65" s="177">
        <f t="shared" si="23"/>
        <v>0.60269357128455292</v>
      </c>
      <c r="AG65" s="799">
        <f t="shared" si="24"/>
        <v>1</v>
      </c>
      <c r="AH65" s="176">
        <f t="shared" si="16"/>
        <v>7</v>
      </c>
      <c r="AI65" s="224">
        <f t="shared" si="17"/>
        <v>1.6026935712845529</v>
      </c>
      <c r="AJ65" s="264" t="b">
        <f t="shared" si="18"/>
        <v>0</v>
      </c>
      <c r="AK65" s="264" t="b">
        <f t="shared" si="19"/>
        <v>1</v>
      </c>
      <c r="AL65" s="264"/>
      <c r="AM65" s="264"/>
      <c r="AN65" s="75"/>
    </row>
    <row r="66" spans="1:40" s="6" customFormat="1" ht="11.25" x14ac:dyDescent="0.2">
      <c r="A66" s="56">
        <f t="shared" si="20"/>
        <v>46074</v>
      </c>
      <c r="B66" s="409">
        <f>'2025'!Wh/'2025'!Env_an*'2026'!Env_an</f>
        <v>19.303678248917329</v>
      </c>
      <c r="C66" s="829"/>
      <c r="D66" s="391">
        <f t="shared" si="0"/>
        <v>20.28953792344473</v>
      </c>
      <c r="E66" s="383">
        <f t="shared" si="1"/>
        <v>20.990794853091664</v>
      </c>
      <c r="F66" s="383">
        <f t="shared" si="2"/>
        <v>21.175179509333329</v>
      </c>
      <c r="G66" s="110">
        <f t="shared" si="21"/>
        <v>0.49305506457927162</v>
      </c>
      <c r="H66" s="412" t="b">
        <f>Wh_hp&gt;='2025'!Maxi_hp</f>
        <v>0</v>
      </c>
      <c r="I66" s="388">
        <f>IF(H66,Wh_hp,'2025'!Maxi_hp)</f>
        <v>21.52544485018046</v>
      </c>
      <c r="J66" s="85">
        <f>IF(H66,An,'2025'!An_max)</f>
        <v>2022</v>
      </c>
      <c r="K66" s="197">
        <f t="shared" si="3"/>
        <v>46074</v>
      </c>
      <c r="L66" s="147">
        <f>IF(t&lt;Tvie,1-EXP((T0-t)*PertePVj)+'2025'!Pspv,1-EXP((T0-t)*PertePVj)+Pspv)</f>
        <v>4.8589557743857315E-2</v>
      </c>
      <c r="M66" s="832"/>
      <c r="N66" s="832"/>
      <c r="O66" s="48">
        <f>IF(t&lt;Tnet,'2025'!Resal+('2025'!Salim-'2025'!Resal)*(1-EXP(('2025'!Tnet-t)/('2025'!Tau_j))),Resal+(Salim-Resal)*(1-EXP((Tnet-t)/(Tau_j))))*Salcycl</f>
        <v>3.3407831125730314E-2</v>
      </c>
      <c r="P66" s="169">
        <f>(INDEX(Models!$BJ66:$BT66,,T66)*(1-R66)+INDEX(Models!$BJ66:$BT66,,T66+1)*R66-ERP_i)*Q66*Ramure*Pc/MaxiM</f>
        <v>2.990413499423893E-2</v>
      </c>
      <c r="Q66" s="304">
        <f t="shared" si="4"/>
        <v>0.7</v>
      </c>
      <c r="R66" s="177">
        <f t="shared" si="5"/>
        <v>0.53854029162414996</v>
      </c>
      <c r="S66" s="799">
        <f t="shared" si="6"/>
        <v>1</v>
      </c>
      <c r="T66" s="176">
        <f t="shared" si="7"/>
        <v>7</v>
      </c>
      <c r="U66" s="250">
        <f t="shared" si="8"/>
        <v>1.53854029162415</v>
      </c>
      <c r="V66" s="382">
        <f t="shared" si="9"/>
        <v>38.31400185565861</v>
      </c>
      <c r="W66" s="400">
        <f t="shared" si="10"/>
        <v>19.303678248917329</v>
      </c>
      <c r="X66" s="157">
        <f t="shared" si="11"/>
        <v>46074</v>
      </c>
      <c r="Y66" s="383">
        <f t="shared" si="12"/>
        <v>18.569635243178155</v>
      </c>
      <c r="Z66" s="383">
        <f t="shared" si="22"/>
        <v>19.518006549458033</v>
      </c>
      <c r="AA66" s="384">
        <f t="shared" si="13"/>
        <v>20.984107711523983</v>
      </c>
      <c r="AB66" s="197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6.9867214857117846E-2</v>
      </c>
      <c r="AD66" s="230">
        <f>(INDEX(Models!$BJ66:$BT66,,AH66)*(1-AF66)+INDEX(Models!$BJ66:$BT66,,AH66+1)*AF66-ERP_i)*AE66*Ramure*Pc/MaxiM</f>
        <v>3.098867851451665E-2</v>
      </c>
      <c r="AE66" s="304">
        <f t="shared" si="15"/>
        <v>0.7</v>
      </c>
      <c r="AF66" s="177">
        <f t="shared" si="23"/>
        <v>0.60287251388398211</v>
      </c>
      <c r="AG66" s="799">
        <f t="shared" si="24"/>
        <v>1</v>
      </c>
      <c r="AH66" s="176">
        <f t="shared" si="16"/>
        <v>7</v>
      </c>
      <c r="AI66" s="224">
        <f t="shared" si="17"/>
        <v>1.6028725138839821</v>
      </c>
      <c r="AJ66" s="264" t="b">
        <f t="shared" si="18"/>
        <v>0</v>
      </c>
      <c r="AK66" s="264" t="b">
        <f t="shared" si="19"/>
        <v>1</v>
      </c>
      <c r="AL66" s="264"/>
      <c r="AM66" s="264"/>
      <c r="AN66" s="75"/>
    </row>
    <row r="67" spans="1:40" s="6" customFormat="1" ht="11.25" x14ac:dyDescent="0.2">
      <c r="A67" s="56">
        <f t="shared" si="20"/>
        <v>46075</v>
      </c>
      <c r="B67" s="409">
        <f>'2025'!Wh/'2025'!Env_an*'2026'!Env_an</f>
        <v>31.992634237513752</v>
      </c>
      <c r="C67" s="829"/>
      <c r="D67" s="391">
        <f t="shared" si="0"/>
        <v>33.627177041417859</v>
      </c>
      <c r="E67" s="383">
        <f t="shared" si="1"/>
        <v>34.792106892293631</v>
      </c>
      <c r="F67" s="383">
        <f t="shared" si="2"/>
        <v>35.554862281016121</v>
      </c>
      <c r="G67" s="110">
        <f t="shared" si="21"/>
        <v>0.82118406720486914</v>
      </c>
      <c r="H67" s="412" t="b">
        <f>Wh_hp&gt;='2025'!Maxi_hp</f>
        <v>0</v>
      </c>
      <c r="I67" s="388">
        <f>IF(H67,Wh_hp,'2025'!Maxi_hp)</f>
        <v>41.235374874521426</v>
      </c>
      <c r="J67" s="85">
        <f>IF(H67,An,'2025'!An_max)</f>
        <v>2020</v>
      </c>
      <c r="K67" s="197">
        <f t="shared" si="3"/>
        <v>46075</v>
      </c>
      <c r="L67" s="147">
        <f>IF(t&lt;Tvie,1-EXP((T0-t)*PertePVj)+'2025'!Pspv,1-EXP((T0-t)*PertePVj)+Pspv)</f>
        <v>4.860779130793158E-2</v>
      </c>
      <c r="M67" s="832"/>
      <c r="N67" s="832"/>
      <c r="O67" s="48">
        <f>IF(t&lt;Tnet,'2025'!Resal+('2025'!Salim-'2025'!Resal)*(1-EXP(('2025'!Tnet-t)/('2025'!Tau_j))),Resal+(Salim-Resal)*(1-EXP((Tnet-t)/(Tau_j))))*Salcycl</f>
        <v>3.3482590016237275E-2</v>
      </c>
      <c r="P67" s="169">
        <f>(INDEX(Models!$BJ67:$BT67,,T67)*(1-R67)+INDEX(Models!$BJ67:$BT67,,T67+1)*R67-ERP_i)*Q67*Ramure*Pc/MaxiM</f>
        <v>2.8488260770663042E-2</v>
      </c>
      <c r="Q67" s="304">
        <f t="shared" si="4"/>
        <v>0.7</v>
      </c>
      <c r="R67" s="177">
        <f t="shared" si="5"/>
        <v>0.5387265694314054</v>
      </c>
      <c r="S67" s="799">
        <f t="shared" si="6"/>
        <v>1</v>
      </c>
      <c r="T67" s="176">
        <f t="shared" si="7"/>
        <v>7</v>
      </c>
      <c r="U67" s="250">
        <f t="shared" si="8"/>
        <v>1.5387265694314054</v>
      </c>
      <c r="V67" s="382">
        <f t="shared" si="9"/>
        <v>38.679051082671961</v>
      </c>
      <c r="W67" s="400">
        <f t="shared" si="10"/>
        <v>31.992634237513752</v>
      </c>
      <c r="X67" s="157">
        <f t="shared" si="11"/>
        <v>46075</v>
      </c>
      <c r="Y67" s="383">
        <f t="shared" si="12"/>
        <v>30.762084949587027</v>
      </c>
      <c r="Z67" s="383">
        <f t="shared" si="22"/>
        <v>32.333757485650814</v>
      </c>
      <c r="AA67" s="384">
        <f t="shared" si="13"/>
        <v>34.763733024807436</v>
      </c>
      <c r="AB67" s="197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6.9899729624047766E-2</v>
      </c>
      <c r="AD67" s="230">
        <f>(INDEX(Models!$BJ67:$BT67,,AH67)*(1-AF67)+INDEX(Models!$BJ67:$BT67,,AH67+1)*AF67-ERP_i)*AE67*Ramure*Pc/MaxiM</f>
        <v>2.9548000430284306E-2</v>
      </c>
      <c r="AE67" s="304">
        <f t="shared" si="15"/>
        <v>0.7</v>
      </c>
      <c r="AF67" s="177">
        <f t="shared" si="23"/>
        <v>0.60305879169123755</v>
      </c>
      <c r="AG67" s="799">
        <f t="shared" si="24"/>
        <v>1</v>
      </c>
      <c r="AH67" s="176">
        <f t="shared" si="16"/>
        <v>7</v>
      </c>
      <c r="AI67" s="224">
        <f t="shared" si="17"/>
        <v>1.6030587916912376</v>
      </c>
      <c r="AJ67" s="264" t="b">
        <f t="shared" si="18"/>
        <v>0</v>
      </c>
      <c r="AK67" s="264" t="b">
        <f t="shared" si="19"/>
        <v>1</v>
      </c>
      <c r="AL67" s="264"/>
      <c r="AM67" s="264"/>
      <c r="AN67" s="75"/>
    </row>
    <row r="68" spans="1:40" s="6" customFormat="1" ht="11.25" x14ac:dyDescent="0.2">
      <c r="A68" s="56">
        <f t="shared" si="20"/>
        <v>46076</v>
      </c>
      <c r="B68" s="409">
        <f>'2025'!Wh/'2025'!Env_an*'2026'!Env_an</f>
        <v>37.082784877579954</v>
      </c>
      <c r="C68" s="829"/>
      <c r="D68" s="391">
        <f t="shared" si="0"/>
        <v>38.97813670903745</v>
      </c>
      <c r="E68" s="383">
        <f t="shared" si="1"/>
        <v>40.331552815452554</v>
      </c>
      <c r="F68" s="383">
        <f t="shared" si="2"/>
        <v>41.369724048480066</v>
      </c>
      <c r="G68" s="110">
        <f t="shared" si="21"/>
        <v>0.94783072780105548</v>
      </c>
      <c r="H68" s="412" t="b">
        <f>Wh_hp&gt;='2025'!Maxi_hp</f>
        <v>0</v>
      </c>
      <c r="I68" s="388">
        <f>IF(H68,Wh_hp,'2025'!Maxi_hp)</f>
        <v>41.868249695321026</v>
      </c>
      <c r="J68" s="85">
        <f>IF(H68,An,'2025'!An_max)</f>
        <v>2020</v>
      </c>
      <c r="K68" s="197">
        <f t="shared" si="3"/>
        <v>46076</v>
      </c>
      <c r="L68" s="147">
        <f>IF(t&lt;Tvie,1-EXP((T0-t)*PertePVj)+'2025'!Pspv,1-EXP((T0-t)*PertePVj)+Pspv)</f>
        <v>4.8626024522563704E-2</v>
      </c>
      <c r="M68" s="832"/>
      <c r="N68" s="832"/>
      <c r="O68" s="48">
        <f>IF(t&lt;Tnet,'2025'!Resal+('2025'!Salim-'2025'!Resal)*(1-EXP(('2025'!Tnet-t)/('2025'!Tau_j))),Resal+(Salim-Resal)*(1-EXP((Tnet-t)/(Tau_j))))*Salcycl</f>
        <v>3.3557252620746082E-2</v>
      </c>
      <c r="P68" s="169">
        <f>(INDEX(Models!$BJ68:$BT68,,T68)*(1-R68)+INDEX(Models!$BJ68:$BT68,,T68+1)*R68-ERP_i)*Q68*Ramure*Pc/MaxiM</f>
        <v>2.703687582794528E-2</v>
      </c>
      <c r="Q68" s="304">
        <f t="shared" si="4"/>
        <v>0.7</v>
      </c>
      <c r="R68" s="177">
        <f t="shared" si="5"/>
        <v>0.53892047571970769</v>
      </c>
      <c r="S68" s="799">
        <f t="shared" si="6"/>
        <v>1</v>
      </c>
      <c r="T68" s="176">
        <f t="shared" si="7"/>
        <v>7</v>
      </c>
      <c r="U68" s="250">
        <f t="shared" si="8"/>
        <v>1.5389204757197077</v>
      </c>
      <c r="V68" s="382">
        <f t="shared" si="9"/>
        <v>39.045916310978981</v>
      </c>
      <c r="W68" s="400">
        <f t="shared" si="10"/>
        <v>37.082784877579954</v>
      </c>
      <c r="X68" s="157">
        <f t="shared" si="11"/>
        <v>46076</v>
      </c>
      <c r="Y68" s="383">
        <f t="shared" si="12"/>
        <v>35.652022395485538</v>
      </c>
      <c r="Z68" s="383">
        <f t="shared" si="22"/>
        <v>37.474246000468924</v>
      </c>
      <c r="AA68" s="384">
        <f t="shared" si="13"/>
        <v>40.291950098705051</v>
      </c>
      <c r="AB68" s="197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6.993218474989342E-2</v>
      </c>
      <c r="AD68" s="230">
        <f>(INDEX(Models!$BJ68:$BT68,,AH68)*(1-AF68)+INDEX(Models!$BJ68:$BT68,,AH68+1)*AF68-ERP_i)*AE68*Ramure*Pc/MaxiM</f>
        <v>2.8068241079734255E-2</v>
      </c>
      <c r="AE68" s="304">
        <f t="shared" si="15"/>
        <v>0.7</v>
      </c>
      <c r="AF68" s="177">
        <f t="shared" si="23"/>
        <v>0.60325269797953984</v>
      </c>
      <c r="AG68" s="799">
        <f t="shared" si="24"/>
        <v>1</v>
      </c>
      <c r="AH68" s="176">
        <f t="shared" si="16"/>
        <v>7</v>
      </c>
      <c r="AI68" s="224">
        <f t="shared" si="17"/>
        <v>1.6032526979795398</v>
      </c>
      <c r="AJ68" s="264" t="b">
        <f t="shared" si="18"/>
        <v>0</v>
      </c>
      <c r="AK68" s="264" t="b">
        <f t="shared" si="19"/>
        <v>1</v>
      </c>
      <c r="AL68" s="264"/>
      <c r="AM68" s="264"/>
      <c r="AN68" s="75"/>
    </row>
    <row r="69" spans="1:40" s="6" customFormat="1" ht="11.25" x14ac:dyDescent="0.2">
      <c r="A69" s="56">
        <f t="shared" si="20"/>
        <v>46077</v>
      </c>
      <c r="B69" s="409">
        <f>'2025'!Wh/'2025'!Env_an*'2026'!Env_an</f>
        <v>23.853869471490846</v>
      </c>
      <c r="C69" s="829"/>
      <c r="D69" s="391">
        <f t="shared" si="0"/>
        <v>25.073553880058281</v>
      </c>
      <c r="E69" s="383">
        <f t="shared" si="1"/>
        <v>25.946170787318199</v>
      </c>
      <c r="F69" s="383">
        <f t="shared" si="2"/>
        <v>26.238473998896996</v>
      </c>
      <c r="G69" s="110">
        <f t="shared" si="21"/>
        <v>0.59638438147672423</v>
      </c>
      <c r="H69" s="412" t="b">
        <f>Wh_hp&gt;='2025'!Maxi_hp</f>
        <v>0</v>
      </c>
      <c r="I69" s="388">
        <f>IF(H69,Wh_hp,'2025'!Maxi_hp)</f>
        <v>42.008924715628446</v>
      </c>
      <c r="J69" s="85">
        <f>IF(H69,An,'2025'!An_max)</f>
        <v>2020</v>
      </c>
      <c r="K69" s="197">
        <f t="shared" si="3"/>
        <v>46077</v>
      </c>
      <c r="L69" s="147">
        <f>IF(t&lt;Tvie,1-EXP((T0-t)*PertePVj)+'2025'!Pspv,1-EXP((T0-t)*PertePVj)+Pspv)</f>
        <v>4.8644257387760459E-2</v>
      </c>
      <c r="M69" s="832"/>
      <c r="N69" s="832"/>
      <c r="O69" s="48">
        <f>IF(t&lt;Tnet,'2025'!Resal+('2025'!Salim-'2025'!Resal)*(1-EXP(('2025'!Tnet-t)/('2025'!Tau_j))),Resal+(Salim-Resal)*(1-EXP((Tnet-t)/(Tau_j))))*Salcycl</f>
        <v>3.3631818522000576E-2</v>
      </c>
      <c r="P69" s="169">
        <f>(INDEX(Models!$BJ69:$BT69,,T69)*(1-R69)+INDEX(Models!$BJ69:$BT69,,T69+1)*R69-ERP_i)*Q69*Ramure*Pc/MaxiM</f>
        <v>2.5550710235198136E-2</v>
      </c>
      <c r="Q69" s="304">
        <f t="shared" si="4"/>
        <v>0.7</v>
      </c>
      <c r="R69" s="177">
        <f t="shared" si="5"/>
        <v>0.53912231486148232</v>
      </c>
      <c r="S69" s="799">
        <f t="shared" si="6"/>
        <v>1</v>
      </c>
      <c r="T69" s="176">
        <f t="shared" si="7"/>
        <v>7</v>
      </c>
      <c r="U69" s="250">
        <f t="shared" si="8"/>
        <v>1.5391223148614823</v>
      </c>
      <c r="V69" s="382">
        <f t="shared" si="9"/>
        <v>39.414599814845232</v>
      </c>
      <c r="W69" s="400">
        <f t="shared" si="10"/>
        <v>23.853869471490846</v>
      </c>
      <c r="X69" s="157">
        <f t="shared" si="11"/>
        <v>46077</v>
      </c>
      <c r="Y69" s="383">
        <f t="shared" si="12"/>
        <v>22.946913075130229</v>
      </c>
      <c r="Z69" s="383">
        <f t="shared" si="22"/>
        <v>24.120223432007073</v>
      </c>
      <c r="AA69" s="384">
        <f t="shared" si="13"/>
        <v>25.934736350773928</v>
      </c>
      <c r="AB69" s="197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6.9964579328091331E-2</v>
      </c>
      <c r="AD69" s="230">
        <f>(INDEX(Models!$BJ69:$BT69,,AH69)*(1-AF69)+INDEX(Models!$BJ69:$BT69,,AH69+1)*AF69-ERP_i)*AE69*Ramure*Pc/MaxiM</f>
        <v>2.6550213365072624E-2</v>
      </c>
      <c r="AE69" s="304">
        <f t="shared" si="15"/>
        <v>0.7</v>
      </c>
      <c r="AF69" s="177">
        <f t="shared" si="23"/>
        <v>0.60345453712131447</v>
      </c>
      <c r="AG69" s="799">
        <f t="shared" si="24"/>
        <v>1</v>
      </c>
      <c r="AH69" s="176">
        <f t="shared" si="16"/>
        <v>7</v>
      </c>
      <c r="AI69" s="224">
        <f t="shared" si="17"/>
        <v>1.6034545371213145</v>
      </c>
      <c r="AJ69" s="264" t="b">
        <f t="shared" si="18"/>
        <v>0</v>
      </c>
      <c r="AK69" s="264" t="b">
        <f t="shared" si="19"/>
        <v>1</v>
      </c>
      <c r="AL69" s="264"/>
      <c r="AM69" s="264"/>
      <c r="AN69" s="75"/>
    </row>
    <row r="70" spans="1:40" s="6" customFormat="1" ht="11.25" x14ac:dyDescent="0.2">
      <c r="A70" s="56">
        <f t="shared" si="20"/>
        <v>46078</v>
      </c>
      <c r="B70" s="409">
        <f>'2025'!Wh/'2025'!Env_an*'2026'!Env_an</f>
        <v>25.972392094265157</v>
      </c>
      <c r="C70" s="829"/>
      <c r="D70" s="391">
        <f t="shared" si="0"/>
        <v>27.30092298329685</v>
      </c>
      <c r="E70" s="383">
        <f t="shared" si="1"/>
        <v>28.253234643149096</v>
      </c>
      <c r="F70" s="383">
        <f t="shared" si="2"/>
        <v>28.59963166842363</v>
      </c>
      <c r="G70" s="110">
        <f t="shared" si="21"/>
        <v>0.64494098707207925</v>
      </c>
      <c r="H70" s="412" t="b">
        <f>Wh_hp&gt;='2025'!Maxi_hp</f>
        <v>0</v>
      </c>
      <c r="I70" s="388">
        <f>IF(H70,Wh_hp,'2025'!Maxi_hp)</f>
        <v>38.500224990742687</v>
      </c>
      <c r="J70" s="85">
        <f>IF(H70,An,'2025'!An_max)</f>
        <v>2021</v>
      </c>
      <c r="K70" s="197">
        <f t="shared" si="3"/>
        <v>46078</v>
      </c>
      <c r="L70" s="147">
        <f>IF(t&lt;Tvie,1-EXP((T0-t)*PertePVj)+'2025'!Pspv,1-EXP((T0-t)*PertePVj)+Pspv)</f>
        <v>4.8662489903528505E-2</v>
      </c>
      <c r="M70" s="832"/>
      <c r="N70" s="832"/>
      <c r="O70" s="48">
        <f>IF(t&lt;Tnet,'2025'!Resal+('2025'!Salim-'2025'!Resal)*(1-EXP(('2025'!Tnet-t)/('2025'!Tau_j))),Resal+(Salim-Resal)*(1-EXP((Tnet-t)/(Tau_j))))*Salcycl</f>
        <v>3.3706287859792516E-2</v>
      </c>
      <c r="P70" s="169">
        <f>(INDEX(Models!$BJ70:$BT70,,T70)*(1-R70)+INDEX(Models!$BJ70:$BT70,,T70+1)*R70-ERP_i)*Q70*Ramure*Pc/MaxiM</f>
        <v>2.4030469272064908E-2</v>
      </c>
      <c r="Q70" s="304">
        <f t="shared" si="4"/>
        <v>0.7</v>
      </c>
      <c r="R70" s="177">
        <f t="shared" si="5"/>
        <v>0.53933240269519112</v>
      </c>
      <c r="S70" s="799">
        <f t="shared" si="6"/>
        <v>1</v>
      </c>
      <c r="T70" s="176">
        <f t="shared" si="7"/>
        <v>7</v>
      </c>
      <c r="U70" s="250">
        <f t="shared" si="8"/>
        <v>1.5393324026951911</v>
      </c>
      <c r="V70" s="382">
        <f t="shared" si="9"/>
        <v>39.785103821343441</v>
      </c>
      <c r="W70" s="400">
        <f t="shared" si="10"/>
        <v>25.972392094265157</v>
      </c>
      <c r="X70" s="157">
        <f t="shared" si="11"/>
        <v>46078</v>
      </c>
      <c r="Y70" s="383">
        <f t="shared" si="12"/>
        <v>24.984662128250058</v>
      </c>
      <c r="Z70" s="383">
        <f t="shared" si="22"/>
        <v>26.262668992959668</v>
      </c>
      <c r="AA70" s="384">
        <f t="shared" si="13"/>
        <v>28.239335306993674</v>
      </c>
      <c r="AB70" s="197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6.9996913615189407E-2</v>
      </c>
      <c r="AD70" s="230">
        <f>(INDEX(Models!$BJ70:$BT70,,AH70)*(1-AF70)+INDEX(Models!$BJ70:$BT70,,AH70+1)*AF70-ERP_i)*AE70*Ramure*Pc/MaxiM</f>
        <v>2.4994702640178119E-2</v>
      </c>
      <c r="AE70" s="304">
        <f t="shared" si="15"/>
        <v>0.7</v>
      </c>
      <c r="AF70" s="177">
        <f t="shared" si="23"/>
        <v>0.60366462495502327</v>
      </c>
      <c r="AG70" s="799">
        <f t="shared" si="24"/>
        <v>1</v>
      </c>
      <c r="AH70" s="176">
        <f t="shared" si="16"/>
        <v>7</v>
      </c>
      <c r="AI70" s="224">
        <f t="shared" si="17"/>
        <v>1.6036646249550233</v>
      </c>
      <c r="AJ70" s="264" t="b">
        <f t="shared" si="18"/>
        <v>0</v>
      </c>
      <c r="AK70" s="264" t="b">
        <f t="shared" si="19"/>
        <v>1</v>
      </c>
      <c r="AL70" s="264"/>
      <c r="AM70" s="264"/>
      <c r="AN70" s="75"/>
    </row>
    <row r="71" spans="1:40" s="6" customFormat="1" ht="11.25" x14ac:dyDescent="0.2">
      <c r="A71" s="56">
        <f t="shared" si="20"/>
        <v>46079</v>
      </c>
      <c r="B71" s="409">
        <f>'2025'!Wh/'2025'!Env_an*'2026'!Env_an</f>
        <v>40.260064632391035</v>
      </c>
      <c r="C71" s="829"/>
      <c r="D71" s="391">
        <f t="shared" si="0"/>
        <v>42.320244702691859</v>
      </c>
      <c r="E71" s="383">
        <f t="shared" si="1"/>
        <v>43.79983199520845</v>
      </c>
      <c r="F71" s="383">
        <f t="shared" si="2"/>
        <v>44.80695038306736</v>
      </c>
      <c r="G71" s="110">
        <f t="shared" si="21"/>
        <v>1.0025557936565528</v>
      </c>
      <c r="H71" s="412" t="b">
        <f>Wh_hp&gt;='2025'!Maxi_hp</f>
        <v>1</v>
      </c>
      <c r="I71" s="388">
        <f>IF(H71,Wh_hp,'2025'!Maxi_hp)</f>
        <v>44.80695038306736</v>
      </c>
      <c r="J71" s="85">
        <f>IF(H71,An,'2025'!An_max)</f>
        <v>2026</v>
      </c>
      <c r="K71" s="197">
        <f t="shared" si="3"/>
        <v>46079</v>
      </c>
      <c r="L71" s="147">
        <f>IF(t&lt;Tvie,1-EXP((T0-t)*PertePVj)+'2025'!Pspv,1-EXP((T0-t)*PertePVj)+Pspv)</f>
        <v>4.8680722069874505E-2</v>
      </c>
      <c r="M71" s="832"/>
      <c r="N71" s="832"/>
      <c r="O71" s="48">
        <f>IF(t&lt;Tnet,'2025'!Resal+('2025'!Salim-'2025'!Resal)*(1-EXP(('2025'!Tnet-t)/('2025'!Tau_j))),Resal+(Salim-Resal)*(1-EXP((Tnet-t)/(Tau_j))))*Salcycl</f>
        <v>3.3780661365971673E-2</v>
      </c>
      <c r="P71" s="169">
        <f>(INDEX(Models!$BJ71:$BT71,,T71)*(1-R71)+INDEX(Models!$BJ71:$BT71,,T71+1)*R71-ERP_i)*Q71*Ramure*Pc/MaxiM</f>
        <v>2.2476834045806939E-2</v>
      </c>
      <c r="Q71" s="304">
        <f t="shared" si="4"/>
        <v>0.7</v>
      </c>
      <c r="R71" s="177">
        <f t="shared" si="5"/>
        <v>0.53955106689964349</v>
      </c>
      <c r="S71" s="799">
        <f t="shared" si="6"/>
        <v>1</v>
      </c>
      <c r="T71" s="176">
        <f t="shared" si="7"/>
        <v>7</v>
      </c>
      <c r="U71" s="250">
        <f t="shared" si="8"/>
        <v>1.5395510668996435</v>
      </c>
      <c r="V71" s="382">
        <f t="shared" si="9"/>
        <v>40.157430526188755</v>
      </c>
      <c r="W71" s="400">
        <f t="shared" si="10"/>
        <v>40.260064632391035</v>
      </c>
      <c r="X71" s="157">
        <f t="shared" si="11"/>
        <v>46079</v>
      </c>
      <c r="Y71" s="383">
        <f t="shared" si="12"/>
        <v>38.712981858971531</v>
      </c>
      <c r="Z71" s="383">
        <f t="shared" si="22"/>
        <v>40.693994915359006</v>
      </c>
      <c r="AA71" s="384">
        <f t="shared" si="13"/>
        <v>43.758357185083838</v>
      </c>
      <c r="AB71" s="197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7.0029189093264138E-2</v>
      </c>
      <c r="AD71" s="230">
        <f>(INDEX(Models!$BJ71:$BT71,,AH71)*(1-AF71)+INDEX(Models!$BJ71:$BT71,,AH71+1)*AF71-ERP_i)*AE71*Ramure*Pc/MaxiM</f>
        <v>2.3402467452455479E-2</v>
      </c>
      <c r="AE71" s="304">
        <f t="shared" si="15"/>
        <v>0.7</v>
      </c>
      <c r="AF71" s="177">
        <f t="shared" si="23"/>
        <v>0.60388328915947564</v>
      </c>
      <c r="AG71" s="799">
        <f t="shared" si="24"/>
        <v>1</v>
      </c>
      <c r="AH71" s="176">
        <f t="shared" si="16"/>
        <v>7</v>
      </c>
      <c r="AI71" s="224">
        <f t="shared" si="17"/>
        <v>1.6038832891594756</v>
      </c>
      <c r="AJ71" s="264" t="b">
        <f t="shared" si="18"/>
        <v>0</v>
      </c>
      <c r="AK71" s="264" t="b">
        <f t="shared" si="19"/>
        <v>1</v>
      </c>
      <c r="AL71" s="264"/>
      <c r="AM71" s="264"/>
      <c r="AN71" s="75"/>
    </row>
    <row r="72" spans="1:40" s="6" customFormat="1" ht="11.25" x14ac:dyDescent="0.2">
      <c r="A72" s="56">
        <f t="shared" si="20"/>
        <v>46080</v>
      </c>
      <c r="B72" s="409">
        <f>'2025'!Wh/'2025'!Env_an*'2026'!Env_an</f>
        <v>21.34651098326643</v>
      </c>
      <c r="C72" s="829"/>
      <c r="D72" s="391">
        <f t="shared" si="0"/>
        <v>22.439280468032219</v>
      </c>
      <c r="E72" s="383">
        <f t="shared" si="1"/>
        <v>23.225581132938839</v>
      </c>
      <c r="F72" s="383">
        <f t="shared" si="2"/>
        <v>23.384164848462046</v>
      </c>
      <c r="G72" s="110">
        <f t="shared" si="21"/>
        <v>0.51918232702852285</v>
      </c>
      <c r="H72" s="412" t="b">
        <f>Wh_hp&gt;='2025'!Maxi_hp</f>
        <v>0</v>
      </c>
      <c r="I72" s="388">
        <f>IF(H72,Wh_hp,'2025'!Maxi_hp)</f>
        <v>43.222165638946798</v>
      </c>
      <c r="J72" s="85">
        <f>IF(H72,An,'2025'!An_max)</f>
        <v>2021</v>
      </c>
      <c r="K72" s="197">
        <f t="shared" si="3"/>
        <v>46080</v>
      </c>
      <c r="L72" s="147">
        <f>IF(t&lt;Tvie,1-EXP((T0-t)*PertePVj)+'2025'!Pspv,1-EXP((T0-t)*PertePVj)+Pspv)</f>
        <v>4.869895388680523E-2</v>
      </c>
      <c r="M72" s="832"/>
      <c r="N72" s="832"/>
      <c r="O72" s="48">
        <f>IF(t&lt;Tnet,'2025'!Resal+('2025'!Salim-'2025'!Resal)*(1-EXP(('2025'!Tnet-t)/('2025'!Tau_j))),Resal+(Salim-Resal)*(1-EXP((Tnet-t)/(Tau_j))))*Salcycl</f>
        <v>3.3854940395505365E-2</v>
      </c>
      <c r="P72" s="169">
        <f>(INDEX(Models!$BJ72:$BT72,,T72)*(1-R72)+INDEX(Models!$BJ72:$BT72,,T72+1)*R72-ERP_i)*Q72*Ramure*Pc/MaxiM</f>
        <v>2.0941155448043459E-2</v>
      </c>
      <c r="Q72" s="304">
        <f t="shared" si="4"/>
        <v>0.7</v>
      </c>
      <c r="R72" s="177">
        <f t="shared" si="5"/>
        <v>0.53977864737549153</v>
      </c>
      <c r="S72" s="799">
        <f t="shared" si="6"/>
        <v>1</v>
      </c>
      <c r="T72" s="176">
        <f t="shared" si="7"/>
        <v>7</v>
      </c>
      <c r="U72" s="250">
        <f t="shared" si="8"/>
        <v>1.5397786473754915</v>
      </c>
      <c r="V72" s="382">
        <f t="shared" si="9"/>
        <v>40.52948358644263</v>
      </c>
      <c r="W72" s="400">
        <f t="shared" si="10"/>
        <v>21.34651098326643</v>
      </c>
      <c r="X72" s="157">
        <f t="shared" si="11"/>
        <v>46080</v>
      </c>
      <c r="Y72" s="383">
        <f t="shared" si="12"/>
        <v>20.540622390382158</v>
      </c>
      <c r="Z72" s="383">
        <f t="shared" si="22"/>
        <v>21.592136868036242</v>
      </c>
      <c r="AA72" s="384">
        <f t="shared" si="13"/>
        <v>23.218884629527317</v>
      </c>
      <c r="AB72" s="197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7.0061408523575203E-2</v>
      </c>
      <c r="AD72" s="230">
        <f>(INDEX(Models!$BJ72:$BT72,,AH72)*(1-AF72)+INDEX(Models!$BJ72:$BT72,,AH72+1)*AF72-ERP_i)*AE72*Ramure*Pc/MaxiM</f>
        <v>2.1825436147586658E-2</v>
      </c>
      <c r="AE72" s="304">
        <f t="shared" si="15"/>
        <v>0.7</v>
      </c>
      <c r="AF72" s="177">
        <f t="shared" si="23"/>
        <v>0.60411086963532368</v>
      </c>
      <c r="AG72" s="799">
        <f t="shared" si="24"/>
        <v>1</v>
      </c>
      <c r="AH72" s="176">
        <f t="shared" si="16"/>
        <v>7</v>
      </c>
      <c r="AI72" s="224">
        <f t="shared" si="17"/>
        <v>1.6041108696353237</v>
      </c>
      <c r="AJ72" s="264" t="b">
        <f t="shared" si="18"/>
        <v>0</v>
      </c>
      <c r="AK72" s="264" t="b">
        <f t="shared" si="19"/>
        <v>1</v>
      </c>
      <c r="AL72" s="264"/>
      <c r="AM72" s="264"/>
      <c r="AN72" s="75"/>
    </row>
    <row r="73" spans="1:40" s="6" customFormat="1" ht="11.25" x14ac:dyDescent="0.2">
      <c r="A73" s="56">
        <f t="shared" si="20"/>
        <v>46081</v>
      </c>
      <c r="B73" s="409">
        <f>'2025'!Wh/'2025'!Env_an*'2026'!Env_an</f>
        <v>36.986376427174363</v>
      </c>
      <c r="C73" s="829"/>
      <c r="D73" s="391">
        <f t="shared" si="0"/>
        <v>38.880526230205049</v>
      </c>
      <c r="E73" s="383">
        <f t="shared" si="1"/>
        <v>40.246039203717736</v>
      </c>
      <c r="F73" s="383">
        <f t="shared" si="2"/>
        <v>40.934329696152297</v>
      </c>
      <c r="G73" s="110">
        <f t="shared" si="21"/>
        <v>0.90188532157937062</v>
      </c>
      <c r="H73" s="412" t="b">
        <f>Wh_hp&gt;='2025'!Maxi_hp</f>
        <v>0</v>
      </c>
      <c r="I73" s="388">
        <f>IF(H73,Wh_hp,'2025'!Maxi_hp)</f>
        <v>41.02375672593805</v>
      </c>
      <c r="J73" s="85">
        <f>IF(H73,An,'2025'!An_max)</f>
        <v>2022</v>
      </c>
      <c r="K73" s="197">
        <f t="shared" si="3"/>
        <v>46081</v>
      </c>
      <c r="L73" s="147">
        <f>IF(t&lt;Tvie,1-EXP((T0-t)*PertePVj)+'2025'!Pspv,1-EXP((T0-t)*PertePVj)+Pspv)</f>
        <v>4.8717185354327341E-2</v>
      </c>
      <c r="M73" s="832"/>
      <c r="N73" s="832"/>
      <c r="O73" s="48">
        <f>IF(t&lt;Tnet,'2025'!Resal+('2025'!Salim-'2025'!Resal)*(1-EXP(('2025'!Tnet-t)/('2025'!Tau_j))),Resal+(Salim-Resal)*(1-EXP((Tnet-t)/(Tau_j))))*Salcycl</f>
        <v>3.3929126953356155E-2</v>
      </c>
      <c r="P73" s="169">
        <f>(INDEX(Models!$BJ73:$BT73,,T73)*(1-R73)+INDEX(Models!$BJ73:$BT73,,T73+1)*R73-ERP_i)*Q73*Ramure*Pc/MaxiM</f>
        <v>1.9476252199985652E-2</v>
      </c>
      <c r="Q73" s="304">
        <f t="shared" si="4"/>
        <v>0.7</v>
      </c>
      <c r="R73" s="177">
        <f t="shared" si="5"/>
        <v>0.54001549663356174</v>
      </c>
      <c r="S73" s="799">
        <f t="shared" si="6"/>
        <v>1</v>
      </c>
      <c r="T73" s="176">
        <f t="shared" si="7"/>
        <v>7</v>
      </c>
      <c r="U73" s="250">
        <f t="shared" si="8"/>
        <v>1.5400154966335617</v>
      </c>
      <c r="V73" s="382">
        <f t="shared" si="9"/>
        <v>40.899040588382796</v>
      </c>
      <c r="W73" s="400">
        <f t="shared" si="10"/>
        <v>36.986376427174363</v>
      </c>
      <c r="X73" s="157">
        <f t="shared" si="11"/>
        <v>46081</v>
      </c>
      <c r="Y73" s="383">
        <f t="shared" si="12"/>
        <v>35.575474866215657</v>
      </c>
      <c r="Z73" s="383">
        <f t="shared" si="22"/>
        <v>37.397369445243861</v>
      </c>
      <c r="AA73" s="384">
        <f t="shared" si="13"/>
        <v>40.216271744871349</v>
      </c>
      <c r="AB73" s="197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7.0093575991090507E-2</v>
      </c>
      <c r="AD73" s="230">
        <f>(INDEX(Models!$BJ73:$BT73,,AH73)*(1-AF73)+INDEX(Models!$BJ73:$BT73,,AH73+1)*AF73-ERP_i)*AE73*Ramure*Pc/MaxiM</f>
        <v>2.0318568841312692E-2</v>
      </c>
      <c r="AE73" s="304">
        <f t="shared" si="15"/>
        <v>0.7</v>
      </c>
      <c r="AF73" s="177">
        <f t="shared" si="23"/>
        <v>0.60434771889339389</v>
      </c>
      <c r="AG73" s="799">
        <f t="shared" si="24"/>
        <v>1</v>
      </c>
      <c r="AH73" s="176">
        <f t="shared" si="16"/>
        <v>7</v>
      </c>
      <c r="AI73" s="224">
        <f t="shared" si="17"/>
        <v>1.6043477188933939</v>
      </c>
      <c r="AJ73" s="264" t="b">
        <f t="shared" si="18"/>
        <v>0</v>
      </c>
      <c r="AK73" s="264" t="b">
        <f t="shared" si="19"/>
        <v>1</v>
      </c>
      <c r="AL73" s="264"/>
      <c r="AM73" s="264"/>
      <c r="AN73" s="75"/>
    </row>
    <row r="74" spans="1:40" s="6" customFormat="1" ht="11.25" x14ac:dyDescent="0.2">
      <c r="A74" s="56">
        <f t="shared" si="20"/>
        <v>46082</v>
      </c>
      <c r="B74" s="409">
        <f>'2025'!Wh/'2025'!Env_an*'2026'!Env_an</f>
        <v>40.991247444827778</v>
      </c>
      <c r="C74" s="829"/>
      <c r="D74" s="391">
        <f t="shared" si="0"/>
        <v>43.0913209160178</v>
      </c>
      <c r="E74" s="383">
        <f t="shared" si="1"/>
        <v>44.608141532134269</v>
      </c>
      <c r="F74" s="383">
        <f t="shared" si="2"/>
        <v>45.42156970508978</v>
      </c>
      <c r="G74" s="110">
        <f t="shared" si="21"/>
        <v>0.99316543106569111</v>
      </c>
      <c r="H74" s="412" t="b">
        <f>Wh_hp&gt;='2025'!Maxi_hp</f>
        <v>0</v>
      </c>
      <c r="I74" s="388">
        <f>IF(H74,Wh_hp,'2025'!Maxi_hp)</f>
        <v>45.428013886424807</v>
      </c>
      <c r="J74" s="85">
        <f>IF(H74,An,'2025'!An_max)</f>
        <v>2022</v>
      </c>
      <c r="K74" s="197">
        <f t="shared" si="3"/>
        <v>46082</v>
      </c>
      <c r="L74" s="147">
        <f>IF(t&lt;Tvie,1-EXP((T0-t)*PertePVj)+'2025'!Pspv,1-EXP((T0-t)*PertePVj)+Pspv)</f>
        <v>4.8735416472447612E-2</v>
      </c>
      <c r="M74" s="832"/>
      <c r="N74" s="832"/>
      <c r="O74" s="48">
        <f>IF(t&lt;Tnet,'2025'!Resal+('2025'!Salim-'2025'!Resal)*(1-EXP(('2025'!Tnet-t)/('2025'!Tau_j))),Resal+(Salim-Resal)*(1-EXP((Tnet-t)/(Tau_j))))*Salcycl</f>
        <v>3.4003223716993526E-2</v>
      </c>
      <c r="P74" s="169">
        <f>(INDEX(Models!$BJ74:$BT74,,T74)*(1-R74)+INDEX(Models!$BJ74:$BT74,,T74+1)*R74-ERP_i)*Q74*Ramure*Pc/MaxiM</f>
        <v>1.8080448817677047E-2</v>
      </c>
      <c r="Q74" s="304">
        <f t="shared" si="4"/>
        <v>0.7</v>
      </c>
      <c r="R74" s="177">
        <f t="shared" si="5"/>
        <v>0.54026198018960869</v>
      </c>
      <c r="S74" s="799">
        <f t="shared" si="6"/>
        <v>1</v>
      </c>
      <c r="T74" s="176">
        <f t="shared" si="7"/>
        <v>7</v>
      </c>
      <c r="U74" s="250">
        <f t="shared" si="8"/>
        <v>1.5402619801896087</v>
      </c>
      <c r="V74" s="382">
        <f t="shared" si="9"/>
        <v>41.266102862526708</v>
      </c>
      <c r="W74" s="400">
        <f t="shared" si="10"/>
        <v>40.991247444827778</v>
      </c>
      <c r="X74" s="157">
        <f t="shared" si="11"/>
        <v>46082</v>
      </c>
      <c r="Y74" s="383">
        <f t="shared" si="12"/>
        <v>39.426594464101228</v>
      </c>
      <c r="Z74" s="383">
        <f t="shared" si="22"/>
        <v>41.446507256578926</v>
      </c>
      <c r="AA74" s="384">
        <f t="shared" si="13"/>
        <v>44.572161119165173</v>
      </c>
      <c r="AB74" s="197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7.012569693961461E-2</v>
      </c>
      <c r="AD74" s="230">
        <f>(INDEX(Models!$BJ74:$BT74,,AH74)*(1-AF74)+INDEX(Models!$BJ74:$BT74,,AH74+1)*AF74-ERP_i)*AE74*Ramure*Pc/MaxiM</f>
        <v>1.8880202301457837E-2</v>
      </c>
      <c r="AE74" s="304">
        <f t="shared" si="15"/>
        <v>0.7</v>
      </c>
      <c r="AF74" s="177">
        <f t="shared" si="23"/>
        <v>0.60459420244944084</v>
      </c>
      <c r="AG74" s="799">
        <f t="shared" si="24"/>
        <v>1</v>
      </c>
      <c r="AH74" s="176">
        <f t="shared" si="16"/>
        <v>7</v>
      </c>
      <c r="AI74" s="224">
        <f t="shared" si="17"/>
        <v>1.6045942024494408</v>
      </c>
      <c r="AJ74" s="264" t="b">
        <f t="shared" si="18"/>
        <v>0</v>
      </c>
      <c r="AK74" s="264" t="b">
        <f t="shared" si="19"/>
        <v>1</v>
      </c>
      <c r="AL74" s="264"/>
      <c r="AM74" s="264"/>
      <c r="AN74" s="75"/>
    </row>
    <row r="75" spans="1:40" s="6" customFormat="1" ht="11.25" x14ac:dyDescent="0.2">
      <c r="A75" s="56">
        <f t="shared" si="20"/>
        <v>46083</v>
      </c>
      <c r="B75" s="409">
        <f>'2025'!Wh/'2025'!Env_an*'2026'!Env_an</f>
        <v>14.220927337420207</v>
      </c>
      <c r="C75" s="829"/>
      <c r="D75" s="391">
        <f t="shared" si="0"/>
        <v>14.94978382432304</v>
      </c>
      <c r="E75" s="383">
        <f t="shared" si="1"/>
        <v>15.477204132038283</v>
      </c>
      <c r="F75" s="383">
        <f t="shared" si="2"/>
        <v>15.492626911016762</v>
      </c>
      <c r="G75" s="110">
        <f t="shared" si="21"/>
        <v>0.33620956716335987</v>
      </c>
      <c r="H75" s="412" t="b">
        <f>Wh_hp&gt;='2025'!Maxi_hp</f>
        <v>0</v>
      </c>
      <c r="I75" s="388">
        <f>IF(H75,Wh_hp,'2025'!Maxi_hp)</f>
        <v>33.203726330911472</v>
      </c>
      <c r="J75" s="85">
        <f>IF(H75,An,'2025'!An_max)</f>
        <v>2020</v>
      </c>
      <c r="K75" s="197">
        <f t="shared" si="3"/>
        <v>46083</v>
      </c>
      <c r="L75" s="147">
        <f>IF(t&lt;Tvie,1-EXP((T0-t)*PertePVj)+'2025'!Pspv,1-EXP((T0-t)*PertePVj)+Pspv)</f>
        <v>4.8753647241172593E-2</v>
      </c>
      <c r="M75" s="832"/>
      <c r="N75" s="832"/>
      <c r="O75" s="48">
        <f>IF(t&lt;Tnet,'2025'!Resal+('2025'!Salim-'2025'!Resal)*(1-EXP(('2025'!Tnet-t)/('2025'!Tau_j))),Resal+(Salim-Resal)*(1-EXP((Tnet-t)/(Tau_j))))*Salcycl</f>
        <v>3.4077234054403084E-2</v>
      </c>
      <c r="P75" s="169">
        <f>(INDEX(Models!$BJ75:$BT75,,T75)*(1-R75)+INDEX(Models!$BJ75:$BT75,,T75+1)*R75-ERP_i)*Q75*Ramure*Pc/MaxiM</f>
        <v>1.6752124700830734E-2</v>
      </c>
      <c r="Q75" s="304">
        <f t="shared" si="4"/>
        <v>0.7</v>
      </c>
      <c r="R75" s="177">
        <f t="shared" si="5"/>
        <v>0.54051847696501798</v>
      </c>
      <c r="S75" s="799">
        <f t="shared" si="6"/>
        <v>1</v>
      </c>
      <c r="T75" s="176">
        <f t="shared" si="7"/>
        <v>7</v>
      </c>
      <c r="U75" s="250">
        <f t="shared" si="8"/>
        <v>1.540518476965018</v>
      </c>
      <c r="V75" s="382">
        <f t="shared" si="9"/>
        <v>41.630671709383705</v>
      </c>
      <c r="W75" s="400">
        <f t="shared" si="10"/>
        <v>14.220927337420207</v>
      </c>
      <c r="X75" s="157">
        <f t="shared" si="11"/>
        <v>46083</v>
      </c>
      <c r="Y75" s="383">
        <f t="shared" si="12"/>
        <v>13.689110575218113</v>
      </c>
      <c r="Z75" s="383">
        <f t="shared" si="22"/>
        <v>14.390710183031585</v>
      </c>
      <c r="AA75" s="384">
        <f t="shared" si="13"/>
        <v>15.47650756827643</v>
      </c>
      <c r="AB75" s="197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7.0157778197356316E-2</v>
      </c>
      <c r="AD75" s="230">
        <f>(INDEX(Models!$BJ75:$BT75,,AH75)*(1-AF75)+INDEX(Models!$BJ75:$BT75,,AH75+1)*AF75-ERP_i)*AE75*Ramure*Pc/MaxiM</f>
        <v>1.7508727840698707E-2</v>
      </c>
      <c r="AE75" s="304">
        <f t="shared" si="15"/>
        <v>0.7</v>
      </c>
      <c r="AF75" s="177">
        <f t="shared" si="23"/>
        <v>0.60485069922485013</v>
      </c>
      <c r="AG75" s="799">
        <f t="shared" si="24"/>
        <v>1</v>
      </c>
      <c r="AH75" s="176">
        <f t="shared" si="16"/>
        <v>7</v>
      </c>
      <c r="AI75" s="224">
        <f t="shared" si="17"/>
        <v>1.6048506992248501</v>
      </c>
      <c r="AJ75" s="264" t="b">
        <f t="shared" si="18"/>
        <v>0</v>
      </c>
      <c r="AK75" s="264" t="b">
        <f t="shared" si="19"/>
        <v>1</v>
      </c>
      <c r="AL75" s="264"/>
      <c r="AM75" s="264"/>
      <c r="AN75" s="75"/>
    </row>
    <row r="76" spans="1:40" s="6" customFormat="1" ht="11.25" x14ac:dyDescent="0.2">
      <c r="A76" s="56">
        <f t="shared" si="20"/>
        <v>46084</v>
      </c>
      <c r="B76" s="409">
        <f>'2025'!Wh/'2025'!Env_an*'2026'!Env_an</f>
        <v>37.106614859289095</v>
      </c>
      <c r="C76" s="829"/>
      <c r="D76" s="391">
        <f t="shared" si="0"/>
        <v>39.00916508652783</v>
      </c>
      <c r="E76" s="383">
        <f t="shared" si="1"/>
        <v>40.388478562359246</v>
      </c>
      <c r="F76" s="383">
        <f t="shared" si="2"/>
        <v>40.916918679034339</v>
      </c>
      <c r="G76" s="110">
        <f t="shared" si="21"/>
        <v>0.88133846128022586</v>
      </c>
      <c r="H76" s="412" t="b">
        <f>Wh_hp&gt;='2025'!Maxi_hp</f>
        <v>0</v>
      </c>
      <c r="I76" s="388">
        <f>IF(H76,Wh_hp,'2025'!Maxi_hp)</f>
        <v>41.004251522825243</v>
      </c>
      <c r="J76" s="85">
        <f>IF(H76,An,'2025'!An_max)</f>
        <v>2022</v>
      </c>
      <c r="K76" s="197">
        <f t="shared" si="3"/>
        <v>46084</v>
      </c>
      <c r="L76" s="147">
        <f>IF(t&lt;Tvie,1-EXP((T0-t)*PertePVj)+'2025'!Pspv,1-EXP((T0-t)*PertePVj)+Pspv)</f>
        <v>4.8771877660509055E-2</v>
      </c>
      <c r="M76" s="832"/>
      <c r="N76" s="832"/>
      <c r="O76" s="48">
        <f>IF(t&lt;Tnet,'2025'!Resal+('2025'!Salim-'2025'!Resal)*(1-EXP(('2025'!Tnet-t)/('2025'!Tau_j))),Resal+(Salim-Resal)*(1-EXP((Tnet-t)/(Tau_j))))*Salcycl</f>
        <v>3.4151162037504748E-2</v>
      </c>
      <c r="P76" s="169">
        <f>(INDEX(Models!$BJ76:$BT76,,T76)*(1-R76)+INDEX(Models!$BJ76:$BT76,,T76+1)*R76-ERP_i)*Q76*Ramure*Pc/MaxiM</f>
        <v>1.548971126694099E-2</v>
      </c>
      <c r="Q76" s="304">
        <f t="shared" si="4"/>
        <v>0.7</v>
      </c>
      <c r="R76" s="177">
        <f t="shared" si="5"/>
        <v>0.5407853796929043</v>
      </c>
      <c r="S76" s="799">
        <f t="shared" si="6"/>
        <v>1</v>
      </c>
      <c r="T76" s="176">
        <f t="shared" si="7"/>
        <v>7</v>
      </c>
      <c r="U76" s="250">
        <f t="shared" si="8"/>
        <v>1.5407853796929043</v>
      </c>
      <c r="V76" s="382">
        <f t="shared" si="9"/>
        <v>41.992748425036154</v>
      </c>
      <c r="W76" s="400">
        <f t="shared" si="10"/>
        <v>37.106614859289095</v>
      </c>
      <c r="X76" s="157">
        <f t="shared" si="11"/>
        <v>46084</v>
      </c>
      <c r="Y76" s="383">
        <f t="shared" si="12"/>
        <v>35.70054744266961</v>
      </c>
      <c r="Z76" s="383">
        <f t="shared" si="22"/>
        <v>37.531005028390204</v>
      </c>
      <c r="AA76" s="384">
        <f t="shared" si="13"/>
        <v>40.364158360812567</v>
      </c>
      <c r="AB76" s="197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7.0189827992869089E-2</v>
      </c>
      <c r="AD76" s="230">
        <f>(INDEX(Models!$BJ76:$BT76,,AH76)*(1-AF76)+INDEX(Models!$BJ76:$BT76,,AH76+1)*AF76-ERP_i)*AE76*Ramure*Pc/MaxiM</f>
        <v>1.620258844644443E-2</v>
      </c>
      <c r="AE76" s="304">
        <f t="shared" si="15"/>
        <v>0.7</v>
      </c>
      <c r="AF76" s="177">
        <f t="shared" si="23"/>
        <v>0.60511760195273645</v>
      </c>
      <c r="AG76" s="799">
        <f t="shared" si="24"/>
        <v>1</v>
      </c>
      <c r="AH76" s="176">
        <f t="shared" si="16"/>
        <v>7</v>
      </c>
      <c r="AI76" s="224">
        <f t="shared" si="17"/>
        <v>1.6051176019527365</v>
      </c>
      <c r="AJ76" s="264" t="b">
        <f t="shared" si="18"/>
        <v>0</v>
      </c>
      <c r="AK76" s="264" t="b">
        <f t="shared" si="19"/>
        <v>1</v>
      </c>
      <c r="AL76" s="264"/>
      <c r="AM76" s="264"/>
      <c r="AN76" s="75"/>
    </row>
    <row r="77" spans="1:40" s="6" customFormat="1" ht="11.25" x14ac:dyDescent="0.2">
      <c r="A77" s="56">
        <f t="shared" si="20"/>
        <v>46085</v>
      </c>
      <c r="B77" s="409">
        <f>'2025'!Wh/'2025'!Env_an*'2026'!Env_an</f>
        <v>4.946697143826758</v>
      </c>
      <c r="C77" s="829"/>
      <c r="D77" s="391">
        <f t="shared" si="0"/>
        <v>5.2004265136732348</v>
      </c>
      <c r="E77" s="383">
        <f t="shared" si="1"/>
        <v>5.3847185739101109</v>
      </c>
      <c r="F77" s="383">
        <f t="shared" si="2"/>
        <v>5.3847185739101109</v>
      </c>
      <c r="G77" s="110">
        <f t="shared" si="21"/>
        <v>0.11512943886356804</v>
      </c>
      <c r="H77" s="412" t="b">
        <f>Wh_hp&gt;='2025'!Maxi_hp</f>
        <v>0</v>
      </c>
      <c r="I77" s="388">
        <f>IF(H77,Wh_hp,'2025'!Maxi_hp)</f>
        <v>31.937048727030085</v>
      </c>
      <c r="J77" s="85">
        <f>IF(H77,An,'2025'!An_max)</f>
        <v>2021</v>
      </c>
      <c r="K77" s="197">
        <f t="shared" si="3"/>
        <v>46085</v>
      </c>
      <c r="L77" s="147">
        <f>IF(t&lt;Tvie,1-EXP((T0-t)*PertePVj)+'2025'!Pspv,1-EXP((T0-t)*PertePVj)+Pspv)</f>
        <v>4.8790107730463661E-2</v>
      </c>
      <c r="M77" s="832"/>
      <c r="N77" s="832"/>
      <c r="O77" s="48">
        <f>IF(t&lt;Tnet,'2025'!Resal+('2025'!Salim-'2025'!Resal)*(1-EXP(('2025'!Tnet-t)/('2025'!Tau_j))),Resal+(Salim-Resal)*(1-EXP((Tnet-t)/(Tau_j))))*Salcycl</f>
        <v>3.4225012450939056E-2</v>
      </c>
      <c r="P77" s="169">
        <f>(INDEX(Models!$BJ77:$BT77,,T77)*(1-R77)+INDEX(Models!$BJ77:$BT77,,T77+1)*R77-ERP_i)*Q77*Ramure*Pc/MaxiM</f>
        <v>1.4291689267217531E-2</v>
      </c>
      <c r="Q77" s="304">
        <f t="shared" si="4"/>
        <v>0.7</v>
      </c>
      <c r="R77" s="177">
        <f t="shared" si="5"/>
        <v>0.54106309532898278</v>
      </c>
      <c r="S77" s="799">
        <f t="shared" si="6"/>
        <v>1</v>
      </c>
      <c r="T77" s="176">
        <f t="shared" si="7"/>
        <v>7</v>
      </c>
      <c r="U77" s="250">
        <f t="shared" si="8"/>
        <v>1.5410630953289828</v>
      </c>
      <c r="V77" s="382">
        <f t="shared" si="9"/>
        <v>42.352334324554171</v>
      </c>
      <c r="W77" s="400">
        <f t="shared" si="10"/>
        <v>4.946697143826758</v>
      </c>
      <c r="X77" s="157">
        <f t="shared" si="11"/>
        <v>46085</v>
      </c>
      <c r="Y77" s="383">
        <f t="shared" si="12"/>
        <v>4.7623213986732669</v>
      </c>
      <c r="Z77" s="383">
        <f t="shared" si="22"/>
        <v>5.0065936418203352</v>
      </c>
      <c r="AA77" s="384">
        <f t="shared" si="13"/>
        <v>5.3847185739101109</v>
      </c>
      <c r="AB77" s="197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7.0221855961397198E-2</v>
      </c>
      <c r="AD77" s="230">
        <f>(INDEX(Models!$BJ77:$BT77,,AH77)*(1-AF77)+INDEX(Models!$BJ77:$BT77,,AH77+1)*AF77-ERP_i)*AE77*Ramure*Pc/MaxiM</f>
        <v>1.4960276090222407E-2</v>
      </c>
      <c r="AE77" s="304">
        <f t="shared" si="15"/>
        <v>0.7</v>
      </c>
      <c r="AF77" s="177">
        <f t="shared" si="23"/>
        <v>0.60539531758881493</v>
      </c>
      <c r="AG77" s="799">
        <f t="shared" si="24"/>
        <v>1</v>
      </c>
      <c r="AH77" s="176">
        <f t="shared" si="16"/>
        <v>7</v>
      </c>
      <c r="AI77" s="224">
        <f t="shared" si="17"/>
        <v>1.6053953175888149</v>
      </c>
      <c r="AJ77" s="264" t="b">
        <f t="shared" si="18"/>
        <v>0</v>
      </c>
      <c r="AK77" s="264" t="b">
        <f t="shared" si="19"/>
        <v>1</v>
      </c>
      <c r="AL77" s="264"/>
      <c r="AM77" s="264"/>
      <c r="AN77" s="75"/>
    </row>
    <row r="78" spans="1:40" s="6" customFormat="1" ht="11.25" x14ac:dyDescent="0.2">
      <c r="A78" s="56">
        <f t="shared" si="20"/>
        <v>46086</v>
      </c>
      <c r="B78" s="409">
        <f>'2025'!Wh/'2025'!Env_an*'2026'!Env_an</f>
        <v>15.242400822150369</v>
      </c>
      <c r="C78" s="829"/>
      <c r="D78" s="391">
        <f t="shared" si="0"/>
        <v>16.024531566334939</v>
      </c>
      <c r="E78" s="383">
        <f t="shared" si="1"/>
        <v>16.593674537849317</v>
      </c>
      <c r="F78" s="383">
        <f t="shared" si="2"/>
        <v>16.61143516313005</v>
      </c>
      <c r="G78" s="110">
        <f t="shared" si="21"/>
        <v>0.35256762437877792</v>
      </c>
      <c r="H78" s="412" t="b">
        <f>Wh_hp&gt;='2025'!Maxi_hp</f>
        <v>0</v>
      </c>
      <c r="I78" s="388">
        <f>IF(H78,Wh_hp,'2025'!Maxi_hp)</f>
        <v>34.948583246258117</v>
      </c>
      <c r="J78" s="85">
        <f>IF(H78,An,'2025'!An_max)</f>
        <v>2021</v>
      </c>
      <c r="K78" s="197">
        <f t="shared" si="3"/>
        <v>46086</v>
      </c>
      <c r="L78" s="147">
        <f>IF(t&lt;Tvie,1-EXP((T0-t)*PertePVj)+'2025'!Pspv,1-EXP((T0-t)*PertePVj)+Pspv)</f>
        <v>4.8808337451043182E-2</v>
      </c>
      <c r="M78" s="832"/>
      <c r="N78" s="832"/>
      <c r="O78" s="48">
        <f>IF(t&lt;Tnet,'2025'!Resal+('2025'!Salim-'2025'!Resal)*(1-EXP(('2025'!Tnet-t)/('2025'!Tau_j))),Resal+(Salim-Resal)*(1-EXP((Tnet-t)/(Tau_j))))*Salcycl</f>
        <v>3.4298790796227309E-2</v>
      </c>
      <c r="P78" s="169">
        <f>(INDEX(Models!$BJ78:$BT78,,T78)*(1-R78)+INDEX(Models!$BJ78:$BT78,,T78+1)*R78-ERP_i)*Q78*Ramure*Pc/MaxiM</f>
        <v>1.3156586279770134E-2</v>
      </c>
      <c r="Q78" s="304">
        <f t="shared" si="4"/>
        <v>0.7</v>
      </c>
      <c r="R78" s="177">
        <f t="shared" si="5"/>
        <v>0.54135204546649929</v>
      </c>
      <c r="S78" s="799">
        <f t="shared" si="6"/>
        <v>1</v>
      </c>
      <c r="T78" s="176">
        <f t="shared" si="7"/>
        <v>7</v>
      </c>
      <c r="U78" s="250">
        <f t="shared" si="8"/>
        <v>1.5413520454664993</v>
      </c>
      <c r="V78" s="382">
        <f t="shared" si="9"/>
        <v>42.70943076395038</v>
      </c>
      <c r="W78" s="400">
        <f t="shared" si="10"/>
        <v>15.242400822150369</v>
      </c>
      <c r="X78" s="157">
        <f t="shared" si="11"/>
        <v>46086</v>
      </c>
      <c r="Y78" s="383">
        <f t="shared" si="12"/>
        <v>14.674149604948765</v>
      </c>
      <c r="Z78" s="383">
        <f t="shared" si="22"/>
        <v>15.427121770207382</v>
      </c>
      <c r="AA78" s="384">
        <f t="shared" si="13"/>
        <v>16.5928325212152</v>
      </c>
      <c r="AB78" s="197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7.0253873141753631E-2</v>
      </c>
      <c r="AD78" s="230">
        <f>(INDEX(Models!$BJ78:$BT78,,AH78)*(1-AF78)+INDEX(Models!$BJ78:$BT78,,AH78+1)*AF78-ERP_i)*AE78*Ramure*Pc/MaxiM</f>
        <v>1.3780329212276881E-2</v>
      </c>
      <c r="AE78" s="304">
        <f t="shared" si="15"/>
        <v>0.7</v>
      </c>
      <c r="AF78" s="177">
        <f t="shared" si="23"/>
        <v>0.60568426772633144</v>
      </c>
      <c r="AG78" s="799">
        <f t="shared" si="24"/>
        <v>1</v>
      </c>
      <c r="AH78" s="176">
        <f t="shared" si="16"/>
        <v>7</v>
      </c>
      <c r="AI78" s="224">
        <f t="shared" si="17"/>
        <v>1.6056842677263314</v>
      </c>
      <c r="AJ78" s="264" t="b">
        <f t="shared" si="18"/>
        <v>0</v>
      </c>
      <c r="AK78" s="264" t="b">
        <f t="shared" si="19"/>
        <v>1</v>
      </c>
      <c r="AL78" s="264"/>
      <c r="AM78" s="264"/>
      <c r="AN78" s="75"/>
    </row>
    <row r="79" spans="1:40" s="6" customFormat="1" ht="11.25" x14ac:dyDescent="0.2">
      <c r="A79" s="56">
        <f t="shared" si="20"/>
        <v>46087</v>
      </c>
      <c r="B79" s="409">
        <f>'2025'!Wh/'2025'!Env_an*'2026'!Env_an</f>
        <v>22.000468043055093</v>
      </c>
      <c r="C79" s="829"/>
      <c r="D79" s="391">
        <f t="shared" ref="D79:D142" si="25">Wh/(1-Ppv)</f>
        <v>23.129817629109354</v>
      </c>
      <c r="E79" s="383">
        <f t="shared" si="1"/>
        <v>23.953147262218305</v>
      </c>
      <c r="F79" s="383">
        <f t="shared" ref="F79:F142" si="26">Wh_sa/(1-Pvg*MEDIAN((-Sdif+Wh/Env_an)/Csdif,0,1))</f>
        <v>24.040648859067662</v>
      </c>
      <c r="G79" s="110">
        <f t="shared" si="21"/>
        <v>0.50653616279060887</v>
      </c>
      <c r="H79" s="412" t="b">
        <f>Wh_hp&gt;='2025'!Maxi_hp</f>
        <v>0</v>
      </c>
      <c r="I79" s="388">
        <f>IF(H79,Wh_hp,'2025'!Maxi_hp)</f>
        <v>24.208113232054881</v>
      </c>
      <c r="J79" s="85">
        <f>IF(H79,An,'2025'!An_max)</f>
        <v>2022</v>
      </c>
      <c r="K79" s="197">
        <f t="shared" ref="K79:K142" si="27">t</f>
        <v>46087</v>
      </c>
      <c r="L79" s="147">
        <f>IF(t&lt;Tvie,1-EXP((T0-t)*PertePVj)+'2025'!Pspv,1-EXP((T0-t)*PertePVj)+Pspv)</f>
        <v>4.8826566822254169E-2</v>
      </c>
      <c r="M79" s="832"/>
      <c r="N79" s="832"/>
      <c r="O79" s="48">
        <f>IF(t&lt;Tnet,'2025'!Resal+('2025'!Salim-'2025'!Resal)*(1-EXP(('2025'!Tnet-t)/('2025'!Tau_j))),Resal+(Salim-Resal)*(1-EXP((Tnet-t)/(Tau_j))))*Salcycl</f>
        <v>3.4372503291356771E-2</v>
      </c>
      <c r="P79" s="169">
        <f>(INDEX(Models!$BJ79:$BT79,,T79)*(1-R79)+INDEX(Models!$BJ79:$BT79,,T79+1)*R79-ERP_i)*Q79*Ramure*Pc/MaxiM</f>
        <v>1.2082674649846251E-2</v>
      </c>
      <c r="Q79" s="304">
        <f t="shared" ref="Q79:Q142" si="28">IF(OR(t&lt;Ttai,Notai),Dd+PousD*Croivg,Dens+PousD*(Croivg-Croi_tai))</f>
        <v>0.7</v>
      </c>
      <c r="R79" s="177">
        <f t="shared" ref="R79:R142" si="29">(Hp_vg-S79)/(INDEX(Echel_vg,T79+1)-S79)</f>
        <v>0.54165266675441792</v>
      </c>
      <c r="S79" s="799">
        <f t="shared" ref="S79:S142" si="30">INDEX(Echel_vg,T79)</f>
        <v>1</v>
      </c>
      <c r="T79" s="176">
        <f t="shared" ref="T79:T142" si="31">MIN(MATCH(Hp_vg,Echel_vg),10)</f>
        <v>7</v>
      </c>
      <c r="U79" s="250">
        <f t="shared" ref="U79:U142" si="32">IF(OR(t&lt;Ttai,Notai),Hdd+PousH*Croivg,Hdtf+PousH*(Croivg-Croi_tai))</f>
        <v>1.5416526667544179</v>
      </c>
      <c r="V79" s="382">
        <f t="shared" ref="V79:V142" si="33">MaxiM*(1-Ppv)*(1-Pvg)*(1-Psa)</f>
        <v>43.065120481598662</v>
      </c>
      <c r="W79" s="400">
        <f t="shared" ref="W79:W142" si="34">Wh*(A79&gt;Tmaj)</f>
        <v>22.000468043055093</v>
      </c>
      <c r="X79" s="157">
        <f t="shared" ref="X79:X142" si="35">t</f>
        <v>46087</v>
      </c>
      <c r="Y79" s="383">
        <f t="shared" ref="Y79:Y142" si="36">Wh_pvt_s*(1-Ppv)</f>
        <v>21.178528065985535</v>
      </c>
      <c r="Z79" s="383">
        <f t="shared" ref="Z79:Z142" si="37">Wh_sa_s*(1-Psa_s)</f>
        <v>22.265685023635328</v>
      </c>
      <c r="AA79" s="384">
        <f t="shared" ref="AA79:AA142" si="38">Wh_hp*(1-Pvg_s*MEDIAN((-Sdif+Wh/Env_an)/Csdif,0,1))</f>
        <v>23.948958966181333</v>
      </c>
      <c r="AB79" s="197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7.0285891963946467E-2</v>
      </c>
      <c r="AD79" s="230">
        <f>(INDEX(Models!$BJ79:$BT79,,AH79)*(1-AF79)+INDEX(Models!$BJ79:$BT79,,AH79+1)*AF79-ERP_i)*AE79*Ramure*Pc/MaxiM</f>
        <v>1.2661016305017449E-2</v>
      </c>
      <c r="AE79" s="304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0.60598488901425007</v>
      </c>
      <c r="AG79" s="799">
        <f t="shared" si="24"/>
        <v>1</v>
      </c>
      <c r="AH79" s="176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1.6059848890142501</v>
      </c>
      <c r="AJ79" s="264" t="b">
        <f t="shared" ref="AJ79:AJ142" si="44">t&lt;Tnet</f>
        <v>0</v>
      </c>
      <c r="AK79" s="264" t="b">
        <f t="shared" ref="AK79:AK142" si="45">t&lt;Ttai</f>
        <v>1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46088</v>
      </c>
      <c r="B80" s="409">
        <f>'2025'!Wh/'2025'!Env_an*'2026'!Env_an</f>
        <v>34.316967747580385</v>
      </c>
      <c r="C80" s="829"/>
      <c r="D80" s="391">
        <f t="shared" si="25"/>
        <v>36.079251417264764</v>
      </c>
      <c r="E80" s="383">
        <f t="shared" ref="E80:E143" si="47">Wh_pvt/(1-Psa)</f>
        <v>37.366379590136823</v>
      </c>
      <c r="F80" s="383">
        <f t="shared" si="26"/>
        <v>37.659624198634127</v>
      </c>
      <c r="G80" s="110">
        <f t="shared" ref="G80:G143" si="48">+Wh_hp/MaxiM</f>
        <v>0.78773246255261686</v>
      </c>
      <c r="H80" s="412" t="b">
        <f>Wh_hp&gt;='2025'!Maxi_hp</f>
        <v>0</v>
      </c>
      <c r="I80" s="388">
        <f>IF(H80,Wh_hp,'2025'!Maxi_hp)</f>
        <v>37.762488842107338</v>
      </c>
      <c r="J80" s="85">
        <f>IF(H80,An,'2025'!An_max)</f>
        <v>2022</v>
      </c>
      <c r="K80" s="197">
        <f t="shared" si="27"/>
        <v>46088</v>
      </c>
      <c r="L80" s="147">
        <f>IF(t&lt;Tvie,1-EXP((T0-t)*PertePVj)+'2025'!Pspv,1-EXP((T0-t)*PertePVj)+Pspv)</f>
        <v>4.8844795844103506E-2</v>
      </c>
      <c r="M80" s="832"/>
      <c r="N80" s="832"/>
      <c r="O80" s="48">
        <f>IF(t&lt;Tnet,'2025'!Resal+('2025'!Salim-'2025'!Resal)*(1-EXP(('2025'!Tnet-t)/('2025'!Tau_j))),Resal+(Salim-Resal)*(1-EXP((Tnet-t)/(Tau_j))))*Salcycl</f>
        <v>3.4446156865885147E-2</v>
      </c>
      <c r="P80" s="169">
        <f>(INDEX(Models!$BJ80:$BT80,,T80)*(1-R80)+INDEX(Models!$BJ80:$BT80,,T80+1)*R80-ERP_i)*Q80*Ramure*Pc/MaxiM</f>
        <v>1.1115165207103487E-2</v>
      </c>
      <c r="Q80" s="304">
        <f t="shared" si="28"/>
        <v>0.7</v>
      </c>
      <c r="R80" s="177">
        <f t="shared" si="29"/>
        <v>0.54196541131796638</v>
      </c>
      <c r="S80" s="799">
        <f t="shared" si="30"/>
        <v>1</v>
      </c>
      <c r="T80" s="176">
        <f t="shared" si="31"/>
        <v>7</v>
      </c>
      <c r="U80" s="250">
        <f t="shared" si="32"/>
        <v>1.5419654113179664</v>
      </c>
      <c r="V80" s="382">
        <f t="shared" si="33"/>
        <v>43.418102616285893</v>
      </c>
      <c r="W80" s="400">
        <f t="shared" si="34"/>
        <v>34.316967747580385</v>
      </c>
      <c r="X80" s="157">
        <f t="shared" si="35"/>
        <v>46088</v>
      </c>
      <c r="Y80" s="383">
        <f t="shared" si="36"/>
        <v>33.029583299710588</v>
      </c>
      <c r="Z80" s="383">
        <f t="shared" si="37"/>
        <v>34.72575574984392</v>
      </c>
      <c r="AA80" s="384">
        <f t="shared" si="38"/>
        <v>37.352291422535068</v>
      </c>
      <c r="AB80" s="197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7.031792622785471E-2</v>
      </c>
      <c r="AD80" s="230">
        <f>(INDEX(Models!$BJ80:$BT80,,AH80)*(1-AF80)+INDEX(Models!$BJ80:$BT80,,AH80+1)*AF80-ERP_i)*AE80*Ramure*Pc/MaxiM</f>
        <v>1.1649164147992358E-2</v>
      </c>
      <c r="AE80" s="304">
        <f t="shared" si="40"/>
        <v>0.7</v>
      </c>
      <c r="AF80" s="177">
        <f t="shared" si="41"/>
        <v>0.60629763357779853</v>
      </c>
      <c r="AG80" s="799">
        <f t="shared" ref="AG80:AG143" si="49">INDEX(Echel_vg,AH80)</f>
        <v>1</v>
      </c>
      <c r="AH80" s="176">
        <f t="shared" si="42"/>
        <v>7</v>
      </c>
      <c r="AI80" s="224">
        <f t="shared" si="43"/>
        <v>1.6062976335777985</v>
      </c>
      <c r="AJ80" s="264" t="b">
        <f t="shared" si="44"/>
        <v>0</v>
      </c>
      <c r="AK80" s="264" t="b">
        <f t="shared" si="45"/>
        <v>1</v>
      </c>
      <c r="AL80" s="264"/>
      <c r="AM80" s="264"/>
      <c r="AN80" s="75"/>
    </row>
    <row r="81" spans="1:40" s="6" customFormat="1" ht="11.25" x14ac:dyDescent="0.2">
      <c r="A81" s="56">
        <f t="shared" si="46"/>
        <v>46089</v>
      </c>
      <c r="B81" s="409">
        <f>'2025'!Wh/'2025'!Env_an*'2026'!Env_an</f>
        <v>34.725966560368398</v>
      </c>
      <c r="C81" s="829"/>
      <c r="D81" s="391">
        <f t="shared" si="25"/>
        <v>36.509953303749349</v>
      </c>
      <c r="E81" s="383">
        <f t="shared" si="47"/>
        <v>37.815329365695348</v>
      </c>
      <c r="F81" s="383">
        <f t="shared" si="26"/>
        <v>38.090664192025322</v>
      </c>
      <c r="G81" s="110">
        <f t="shared" si="48"/>
        <v>0.79099575245612463</v>
      </c>
      <c r="H81" s="412" t="b">
        <f>Wh_hp&gt;='2025'!Maxi_hp</f>
        <v>0</v>
      </c>
      <c r="I81" s="388">
        <f>IF(H81,Wh_hp,'2025'!Maxi_hp)</f>
        <v>38.184491330413124</v>
      </c>
      <c r="J81" s="85">
        <f>IF(H81,An,'2025'!An_max)</f>
        <v>2022</v>
      </c>
      <c r="K81" s="197">
        <f t="shared" si="27"/>
        <v>46089</v>
      </c>
      <c r="L81" s="147">
        <f>IF(t&lt;Tvie,1-EXP((T0-t)*PertePVj)+'2025'!Pspv,1-EXP((T0-t)*PertePVj)+Pspv)</f>
        <v>4.8863024516597853E-2</v>
      </c>
      <c r="M81" s="832"/>
      <c r="N81" s="832"/>
      <c r="O81" s="48">
        <f>IF(t&lt;Tnet,'2025'!Resal+('2025'!Salim-'2025'!Resal)*(1-EXP(('2025'!Tnet-t)/('2025'!Tau_j))),Resal+(Salim-Resal)*(1-EXP((Tnet-t)/(Tau_j))))*Salcycl</f>
        <v>3.4519759151699712E-2</v>
      </c>
      <c r="P81" s="169">
        <f>(INDEX(Models!$BJ81:$BT81,,T81)*(1-R81)+INDEX(Models!$BJ81:$BT81,,T81+1)*R81-ERP_i)*Q81*Ramure*Pc/MaxiM</f>
        <v>1.0254837399889362E-2</v>
      </c>
      <c r="Q81" s="304">
        <f t="shared" si="28"/>
        <v>0.7</v>
      </c>
      <c r="R81" s="177">
        <f t="shared" si="29"/>
        <v>0.54229074718053427</v>
      </c>
      <c r="S81" s="799">
        <f t="shared" si="30"/>
        <v>1</v>
      </c>
      <c r="T81" s="176">
        <f t="shared" si="31"/>
        <v>7</v>
      </c>
      <c r="U81" s="250">
        <f t="shared" si="32"/>
        <v>1.5422907471805343</v>
      </c>
      <c r="V81" s="382">
        <f t="shared" si="33"/>
        <v>43.76775163275849</v>
      </c>
      <c r="W81" s="400">
        <f t="shared" si="34"/>
        <v>34.725966560368398</v>
      </c>
      <c r="X81" s="157">
        <f t="shared" si="35"/>
        <v>46089</v>
      </c>
      <c r="Y81" s="383">
        <f t="shared" si="36"/>
        <v>33.425551829332647</v>
      </c>
      <c r="Z81" s="383">
        <f t="shared" si="37"/>
        <v>35.142732004866673</v>
      </c>
      <c r="AA81" s="384">
        <f t="shared" si="38"/>
        <v>37.802110113935157</v>
      </c>
      <c r="AB81" s="197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7.034999107333291E-2</v>
      </c>
      <c r="AD81" s="230">
        <f>(INDEX(Models!$BJ81:$BT81,,AH81)*(1-AF81)+INDEX(Models!$BJ81:$BT81,,AH81+1)*AF81-ERP_i)*AE81*Ramure*Pc/MaxiM</f>
        <v>1.0747188037677848E-2</v>
      </c>
      <c r="AE81" s="304">
        <f t="shared" si="40"/>
        <v>0.7</v>
      </c>
      <c r="AF81" s="177">
        <f t="shared" si="41"/>
        <v>0.60662296944036642</v>
      </c>
      <c r="AG81" s="799">
        <f t="shared" si="49"/>
        <v>1</v>
      </c>
      <c r="AH81" s="176">
        <f t="shared" si="42"/>
        <v>7</v>
      </c>
      <c r="AI81" s="224">
        <f t="shared" si="43"/>
        <v>1.6066229694403664</v>
      </c>
      <c r="AJ81" s="264" t="b">
        <f t="shared" si="44"/>
        <v>0</v>
      </c>
      <c r="AK81" s="264" t="b">
        <f t="shared" si="45"/>
        <v>1</v>
      </c>
      <c r="AL81" s="264"/>
      <c r="AM81" s="264"/>
      <c r="AN81" s="75"/>
    </row>
    <row r="82" spans="1:40" s="6" customFormat="1" ht="11.25" x14ac:dyDescent="0.2">
      <c r="A82" s="56">
        <f t="shared" si="46"/>
        <v>46090</v>
      </c>
      <c r="B82" s="409">
        <f>'2025'!Wh/'2025'!Env_an*'2026'!Env_an</f>
        <v>31.662563941195799</v>
      </c>
      <c r="C82" s="829"/>
      <c r="D82" s="391">
        <f t="shared" si="25"/>
        <v>33.289811641007326</v>
      </c>
      <c r="E82" s="383">
        <f t="shared" si="47"/>
        <v>34.482682042592856</v>
      </c>
      <c r="F82" s="383">
        <f t="shared" si="26"/>
        <v>34.679286828951717</v>
      </c>
      <c r="G82" s="110">
        <f t="shared" si="48"/>
        <v>0.71498623771660619</v>
      </c>
      <c r="H82" s="412" t="b">
        <f>Wh_hp&gt;='2025'!Maxi_hp</f>
        <v>0</v>
      </c>
      <c r="I82" s="388">
        <f>IF(H82,Wh_hp,'2025'!Maxi_hp)</f>
        <v>44.80891493400317</v>
      </c>
      <c r="J82" s="85">
        <f>IF(H82,An,'2025'!An_max)</f>
        <v>2021</v>
      </c>
      <c r="K82" s="197">
        <f t="shared" si="27"/>
        <v>46090</v>
      </c>
      <c r="L82" s="147">
        <f>IF(t&lt;Tvie,1-EXP((T0-t)*PertePVj)+'2025'!Pspv,1-EXP((T0-t)*PertePVj)+Pspv)</f>
        <v>4.8881252839743761E-2</v>
      </c>
      <c r="M82" s="832"/>
      <c r="N82" s="832"/>
      <c r="O82" s="48">
        <f>IF(t&lt;Tnet,'2025'!Resal+('2025'!Salim-'2025'!Resal)*(1-EXP(('2025'!Tnet-t)/('2025'!Tau_j))),Resal+(Salim-Resal)*(1-EXP((Tnet-t)/(Tau_j))))*Salcycl</f>
        <v>3.4593318469604652E-2</v>
      </c>
      <c r="P82" s="169">
        <f>(INDEX(Models!$BJ82:$BT82,,T82)*(1-R82)+INDEX(Models!$BJ82:$BT82,,T82+1)*R82-ERP_i)*Q82*Ramure*Pc/MaxiM</f>
        <v>9.499578020420639E-3</v>
      </c>
      <c r="Q82" s="304">
        <f t="shared" si="28"/>
        <v>0.7</v>
      </c>
      <c r="R82" s="177">
        <f t="shared" si="29"/>
        <v>0.54262915868580386</v>
      </c>
      <c r="S82" s="799">
        <f t="shared" si="30"/>
        <v>1</v>
      </c>
      <c r="T82" s="176">
        <f t="shared" si="31"/>
        <v>7</v>
      </c>
      <c r="U82" s="250">
        <f t="shared" si="32"/>
        <v>1.5426291586858039</v>
      </c>
      <c r="V82" s="382">
        <f t="shared" si="33"/>
        <v>44.113567647077971</v>
      </c>
      <c r="W82" s="400">
        <f t="shared" si="34"/>
        <v>31.662563941195799</v>
      </c>
      <c r="X82" s="157">
        <f t="shared" si="35"/>
        <v>46090</v>
      </c>
      <c r="Y82" s="383">
        <f t="shared" si="36"/>
        <v>30.480498866513347</v>
      </c>
      <c r="Z82" s="383">
        <f t="shared" si="37"/>
        <v>32.046996190032637</v>
      </c>
      <c r="AA82" s="384">
        <f t="shared" si="38"/>
        <v>34.473299504516682</v>
      </c>
      <c r="AB82" s="197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7.0382102942195796E-2</v>
      </c>
      <c r="AD82" s="230">
        <f>(INDEX(Models!$BJ82:$BT82,,AH82)*(1-AF82)+INDEX(Models!$BJ82:$BT82,,AH82+1)*AF82-ERP_i)*AE82*Ramure*Pc/MaxiM</f>
        <v>9.9529248291879893E-3</v>
      </c>
      <c r="AE82" s="304">
        <f t="shared" si="40"/>
        <v>0.7</v>
      </c>
      <c r="AF82" s="177">
        <f t="shared" si="41"/>
        <v>0.60696138094563601</v>
      </c>
      <c r="AG82" s="799">
        <f t="shared" si="49"/>
        <v>1</v>
      </c>
      <c r="AH82" s="176">
        <f t="shared" si="42"/>
        <v>7</v>
      </c>
      <c r="AI82" s="224">
        <f t="shared" si="43"/>
        <v>1.606961380945636</v>
      </c>
      <c r="AJ82" s="264" t="b">
        <f t="shared" si="44"/>
        <v>0</v>
      </c>
      <c r="AK82" s="264" t="b">
        <f t="shared" si="45"/>
        <v>1</v>
      </c>
      <c r="AL82" s="264"/>
      <c r="AM82" s="264"/>
      <c r="AN82" s="75"/>
    </row>
    <row r="83" spans="1:40" s="6" customFormat="1" ht="11.25" x14ac:dyDescent="0.2">
      <c r="A83" s="56">
        <f t="shared" si="46"/>
        <v>46091</v>
      </c>
      <c r="B83" s="409">
        <f>'2025'!Wh/'2025'!Env_an*'2026'!Env_an</f>
        <v>25.479239057783694</v>
      </c>
      <c r="C83" s="829"/>
      <c r="D83" s="391">
        <f t="shared" si="25"/>
        <v>26.789217904725788</v>
      </c>
      <c r="E83" s="383">
        <f t="shared" si="47"/>
        <v>27.751266734183329</v>
      </c>
      <c r="F83" s="383">
        <f t="shared" si="26"/>
        <v>27.847404095025173</v>
      </c>
      <c r="G83" s="110">
        <f t="shared" si="48"/>
        <v>0.57004326409011852</v>
      </c>
      <c r="H83" s="412" t="b">
        <f>Wh_hp&gt;='2025'!Maxi_hp</f>
        <v>0</v>
      </c>
      <c r="I83" s="388">
        <f>IF(H83,Wh_hp,'2025'!Maxi_hp)</f>
        <v>45.219822593394703</v>
      </c>
      <c r="J83" s="85">
        <f>IF(H83,An,'2025'!An_max)</f>
        <v>2021</v>
      </c>
      <c r="K83" s="197">
        <f t="shared" si="27"/>
        <v>46091</v>
      </c>
      <c r="L83" s="147">
        <f>IF(t&lt;Tvie,1-EXP((T0-t)*PertePVj)+'2025'!Pspv,1-EXP((T0-t)*PertePVj)+Pspv)</f>
        <v>4.8899480813548002E-2</v>
      </c>
      <c r="M83" s="832"/>
      <c r="N83" s="832"/>
      <c r="O83" s="48">
        <f>IF(t&lt;Tnet,'2025'!Resal+('2025'!Salim-'2025'!Resal)*(1-EXP(('2025'!Tnet-t)/('2025'!Tau_j))),Resal+(Salim-Resal)*(1-EXP((Tnet-t)/(Tau_j))))*Salcycl</f>
        <v>3.4666843811944299E-2</v>
      </c>
      <c r="P83" s="169">
        <f>(INDEX(Models!$BJ83:$BT83,,T83)*(1-R83)+INDEX(Models!$BJ83:$BT83,,T83+1)*R83-ERP_i)*Q83*Ramure*Pc/MaxiM</f>
        <v>8.8472950919377541E-3</v>
      </c>
      <c r="Q83" s="304">
        <f t="shared" si="28"/>
        <v>0.7</v>
      </c>
      <c r="R83" s="177">
        <f t="shared" si="29"/>
        <v>0.54298114691887323</v>
      </c>
      <c r="S83" s="799">
        <f t="shared" si="30"/>
        <v>1</v>
      </c>
      <c r="T83" s="176">
        <f t="shared" si="31"/>
        <v>7</v>
      </c>
      <c r="U83" s="250">
        <f t="shared" si="32"/>
        <v>1.5429811469188732</v>
      </c>
      <c r="V83" s="382">
        <f t="shared" si="33"/>
        <v>44.455050824983836</v>
      </c>
      <c r="W83" s="400">
        <f t="shared" si="34"/>
        <v>25.479239057783694</v>
      </c>
      <c r="X83" s="157">
        <f t="shared" si="35"/>
        <v>46091</v>
      </c>
      <c r="Y83" s="383">
        <f t="shared" si="36"/>
        <v>24.531706906307647</v>
      </c>
      <c r="Z83" s="383">
        <f t="shared" si="37"/>
        <v>25.792969734988123</v>
      </c>
      <c r="AA83" s="384">
        <f t="shared" si="38"/>
        <v>27.746736171914549</v>
      </c>
      <c r="AB83" s="197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7.0414279532597462E-2</v>
      </c>
      <c r="AD83" s="230">
        <f>(INDEX(Models!$BJ83:$BT83,,AH83)*(1-AF83)+INDEX(Models!$BJ83:$BT83,,AH83+1)*AF83-ERP_i)*AE83*Ramure*Pc/MaxiM</f>
        <v>9.2642320764078148E-3</v>
      </c>
      <c r="AE83" s="304">
        <f t="shared" si="40"/>
        <v>0.7</v>
      </c>
      <c r="AF83" s="177">
        <f t="shared" si="41"/>
        <v>0.60731336917870538</v>
      </c>
      <c r="AG83" s="799">
        <f t="shared" si="49"/>
        <v>1</v>
      </c>
      <c r="AH83" s="176">
        <f t="shared" si="42"/>
        <v>7</v>
      </c>
      <c r="AI83" s="224">
        <f t="shared" si="43"/>
        <v>1.6073133691787054</v>
      </c>
      <c r="AJ83" s="264" t="b">
        <f t="shared" si="44"/>
        <v>0</v>
      </c>
      <c r="AK83" s="264" t="b">
        <f t="shared" si="45"/>
        <v>1</v>
      </c>
      <c r="AL83" s="264"/>
      <c r="AM83" s="264"/>
      <c r="AN83" s="75"/>
    </row>
    <row r="84" spans="1:40" s="6" customFormat="1" ht="11.25" x14ac:dyDescent="0.2">
      <c r="A84" s="56">
        <f t="shared" si="46"/>
        <v>46092</v>
      </c>
      <c r="B84" s="409">
        <f>'2025'!Wh/'2025'!Env_an*'2026'!Env_an</f>
        <v>17.835024841767169</v>
      </c>
      <c r="C84" s="829"/>
      <c r="D84" s="391">
        <f t="shared" si="25"/>
        <v>18.752346668631933</v>
      </c>
      <c r="E84" s="383">
        <f t="shared" si="47"/>
        <v>19.427256249681552</v>
      </c>
      <c r="F84" s="383">
        <f t="shared" si="26"/>
        <v>19.44988673101015</v>
      </c>
      <c r="G84" s="110">
        <f t="shared" si="48"/>
        <v>0.39533372401308164</v>
      </c>
      <c r="H84" s="412" t="b">
        <f>Wh_hp&gt;='2025'!Maxi_hp</f>
        <v>0</v>
      </c>
      <c r="I84" s="388">
        <f>IF(H84,Wh_hp,'2025'!Maxi_hp)</f>
        <v>39.829659361090641</v>
      </c>
      <c r="J84" s="85">
        <f>IF(H84,An,'2025'!An_max)</f>
        <v>2021</v>
      </c>
      <c r="K84" s="197">
        <f t="shared" si="27"/>
        <v>46092</v>
      </c>
      <c r="L84" s="147">
        <f>IF(t&lt;Tvie,1-EXP((T0-t)*PertePVj)+'2025'!Pspv,1-EXP((T0-t)*PertePVj)+Pspv)</f>
        <v>4.8917708438017349E-2</v>
      </c>
      <c r="M84" s="832"/>
      <c r="N84" s="832"/>
      <c r="O84" s="48">
        <f>IF(t&lt;Tnet,'2025'!Resal+('2025'!Salim-'2025'!Resal)*(1-EXP(('2025'!Tnet-t)/('2025'!Tau_j))),Resal+(Salim-Resal)*(1-EXP((Tnet-t)/(Tau_j))))*Salcycl</f>
        <v>3.4740344821501956E-2</v>
      </c>
      <c r="P84" s="169">
        <f>(INDEX(Models!$BJ84:$BT84,,T84)*(1-R84)+INDEX(Models!$BJ84:$BT84,,T84+1)*R84-ERP_i)*Q84*Ramure*Pc/MaxiM</f>
        <v>8.2959292521265927E-3</v>
      </c>
      <c r="Q84" s="304">
        <f t="shared" si="28"/>
        <v>0.7</v>
      </c>
      <c r="R84" s="177">
        <f t="shared" si="29"/>
        <v>0.5433472301250053</v>
      </c>
      <c r="S84" s="799">
        <f t="shared" si="30"/>
        <v>1</v>
      </c>
      <c r="T84" s="176">
        <f t="shared" si="31"/>
        <v>7</v>
      </c>
      <c r="U84" s="250">
        <f t="shared" si="32"/>
        <v>1.5433472301250053</v>
      </c>
      <c r="V84" s="382">
        <f t="shared" si="33"/>
        <v>44.791701354986294</v>
      </c>
      <c r="W84" s="400">
        <f t="shared" si="34"/>
        <v>17.835024841767169</v>
      </c>
      <c r="X84" s="157">
        <f t="shared" si="35"/>
        <v>46092</v>
      </c>
      <c r="Y84" s="383">
        <f t="shared" si="36"/>
        <v>17.174360509650651</v>
      </c>
      <c r="Z84" s="383">
        <f t="shared" si="37"/>
        <v>18.057701906577226</v>
      </c>
      <c r="AA84" s="384">
        <f t="shared" si="38"/>
        <v>19.426211271001311</v>
      </c>
      <c r="AB84" s="197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7.0446539746375561E-2</v>
      </c>
      <c r="AD84" s="230">
        <f>(INDEX(Models!$BJ84:$BT84,,AH84)*(1-AF84)+INDEX(Models!$BJ84:$BT84,,AH84+1)*AF84-ERP_i)*AE84*Ramure*Pc/MaxiM</f>
        <v>8.678999725767125E-3</v>
      </c>
      <c r="AE84" s="304">
        <f t="shared" si="40"/>
        <v>0.7</v>
      </c>
      <c r="AF84" s="177">
        <f t="shared" si="41"/>
        <v>0.60767945238483745</v>
      </c>
      <c r="AG84" s="799">
        <f t="shared" si="49"/>
        <v>1</v>
      </c>
      <c r="AH84" s="176">
        <f t="shared" si="42"/>
        <v>7</v>
      </c>
      <c r="AI84" s="224">
        <f t="shared" si="43"/>
        <v>1.6076794523848374</v>
      </c>
      <c r="AJ84" s="264" t="b">
        <f t="shared" si="44"/>
        <v>0</v>
      </c>
      <c r="AK84" s="264" t="b">
        <f t="shared" si="45"/>
        <v>1</v>
      </c>
      <c r="AL84" s="264"/>
      <c r="AM84" s="264"/>
      <c r="AN84" s="75"/>
    </row>
    <row r="85" spans="1:40" s="6" customFormat="1" ht="11.25" x14ac:dyDescent="0.2">
      <c r="A85" s="56">
        <f t="shared" si="46"/>
        <v>46093</v>
      </c>
      <c r="B85" s="409">
        <f>'2025'!Wh/'2025'!Env_an*'2026'!Env_an</f>
        <v>13.014917287731834</v>
      </c>
      <c r="C85" s="829"/>
      <c r="D85" s="391">
        <f t="shared" si="25"/>
        <v>13.684585272908098</v>
      </c>
      <c r="E85" s="383">
        <f t="shared" si="47"/>
        <v>14.17818211999464</v>
      </c>
      <c r="F85" s="383">
        <f t="shared" si="26"/>
        <v>14.17818211999464</v>
      </c>
      <c r="G85" s="110">
        <f t="shared" si="48"/>
        <v>0.28616957408314114</v>
      </c>
      <c r="H85" s="412" t="b">
        <f>Wh_hp&gt;='2025'!Maxi_hp</f>
        <v>0</v>
      </c>
      <c r="I85" s="388">
        <f>IF(H85,Wh_hp,'2025'!Maxi_hp)</f>
        <v>46.64301638858592</v>
      </c>
      <c r="J85" s="85">
        <f>IF(H85,An,'2025'!An_max)</f>
        <v>2018</v>
      </c>
      <c r="K85" s="197">
        <f t="shared" si="27"/>
        <v>46093</v>
      </c>
      <c r="L85" s="147">
        <f>IF(t&lt;Tvie,1-EXP((T0-t)*PertePVj)+'2025'!Pspv,1-EXP((T0-t)*PertePVj)+Pspv)</f>
        <v>4.8935935713158352E-2</v>
      </c>
      <c r="M85" s="832"/>
      <c r="N85" s="832"/>
      <c r="O85" s="48">
        <f>IF(t&lt;Tnet,'2025'!Resal+('2025'!Salim-'2025'!Resal)*(1-EXP(('2025'!Tnet-t)/('2025'!Tau_j))),Resal+(Salim-Resal)*(1-EXP((Tnet-t)/(Tau_j))))*Salcycl</f>
        <v>3.4813831766940778E-2</v>
      </c>
      <c r="P85" s="169">
        <f>(INDEX(Models!$BJ85:$BT85,,T85)*(1-R85)+INDEX(Models!$BJ85:$BT85,,T85+1)*R85-ERP_i)*Q85*Ramure*Pc/MaxiM</f>
        <v>7.8434643350801716E-3</v>
      </c>
      <c r="Q85" s="304">
        <f t="shared" si="28"/>
        <v>0.7</v>
      </c>
      <c r="R85" s="177">
        <f t="shared" si="29"/>
        <v>0.54372794412448933</v>
      </c>
      <c r="S85" s="799">
        <f t="shared" si="30"/>
        <v>1</v>
      </c>
      <c r="T85" s="176">
        <f t="shared" si="31"/>
        <v>7</v>
      </c>
      <c r="U85" s="250">
        <f t="shared" si="32"/>
        <v>1.5437279441244893</v>
      </c>
      <c r="V85" s="382">
        <f t="shared" si="33"/>
        <v>45.123019417885118</v>
      </c>
      <c r="W85" s="400">
        <f t="shared" si="34"/>
        <v>13.014917287731834</v>
      </c>
      <c r="X85" s="157">
        <f t="shared" si="35"/>
        <v>46093</v>
      </c>
      <c r="Y85" s="383">
        <f t="shared" si="36"/>
        <v>12.53399663673639</v>
      </c>
      <c r="Z85" s="383">
        <f t="shared" si="37"/>
        <v>13.178919388711261</v>
      </c>
      <c r="AA85" s="384">
        <f t="shared" si="38"/>
        <v>14.17818211999464</v>
      </c>
      <c r="AB85" s="197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7.047890362997801E-2</v>
      </c>
      <c r="AD85" s="230">
        <f>(INDEX(Models!$BJ85:$BT85,,AH85)*(1-AF85)+INDEX(Models!$BJ85:$BT85,,AH85+1)*AF85-ERP_i)*AE85*Ramure*Pc/MaxiM</f>
        <v>8.195160987527093E-3</v>
      </c>
      <c r="AE85" s="304">
        <f t="shared" si="40"/>
        <v>0.7</v>
      </c>
      <c r="AF85" s="177">
        <f t="shared" si="41"/>
        <v>0.60806016638432148</v>
      </c>
      <c r="AG85" s="799">
        <f t="shared" si="49"/>
        <v>1</v>
      </c>
      <c r="AH85" s="176">
        <f t="shared" si="42"/>
        <v>7</v>
      </c>
      <c r="AI85" s="224">
        <f t="shared" si="43"/>
        <v>1.6080601663843215</v>
      </c>
      <c r="AJ85" s="264" t="b">
        <f t="shared" si="44"/>
        <v>0</v>
      </c>
      <c r="AK85" s="264" t="b">
        <f t="shared" si="45"/>
        <v>1</v>
      </c>
      <c r="AL85" s="264"/>
      <c r="AM85" s="264"/>
      <c r="AN85" s="75"/>
    </row>
    <row r="86" spans="1:40" s="6" customFormat="1" ht="11.25" x14ac:dyDescent="0.2">
      <c r="A86" s="56">
        <f t="shared" si="46"/>
        <v>46094</v>
      </c>
      <c r="B86" s="409">
        <f>'2025'!Wh/'2025'!Env_an*'2026'!Env_an</f>
        <v>9.669762544460621</v>
      </c>
      <c r="C86" s="829"/>
      <c r="D86" s="391">
        <f t="shared" si="25"/>
        <v>10.16750419863299</v>
      </c>
      <c r="E86" s="383">
        <f t="shared" si="47"/>
        <v>10.535043588261757</v>
      </c>
      <c r="F86" s="383">
        <f t="shared" si="26"/>
        <v>10.535043588261757</v>
      </c>
      <c r="G86" s="110">
        <f t="shared" si="48"/>
        <v>0.21116989302594288</v>
      </c>
      <c r="H86" s="412" t="b">
        <f>Wh_hp&gt;='2025'!Maxi_hp</f>
        <v>0</v>
      </c>
      <c r="I86" s="388">
        <f>IF(H86,Wh_hp,'2025'!Maxi_hp)</f>
        <v>40.981762819051319</v>
      </c>
      <c r="J86" s="85">
        <f>IF(H86,An,'2025'!An_max)</f>
        <v>2021</v>
      </c>
      <c r="K86" s="197">
        <f t="shared" si="27"/>
        <v>46094</v>
      </c>
      <c r="L86" s="147">
        <f>IF(t&lt;Tvie,1-EXP((T0-t)*PertePVj)+'2025'!Pspv,1-EXP((T0-t)*PertePVj)+Pspv)</f>
        <v>4.8954162638977783E-2</v>
      </c>
      <c r="M86" s="832"/>
      <c r="N86" s="832"/>
      <c r="O86" s="48">
        <f>IF(t&lt;Tnet,'2025'!Resal+('2025'!Salim-'2025'!Resal)*(1-EXP(('2025'!Tnet-t)/('2025'!Tau_j))),Resal+(Salim-Resal)*(1-EXP((Tnet-t)/(Tau_j))))*Salcycl</f>
        <v>3.488731551507606E-2</v>
      </c>
      <c r="P86" s="169">
        <f>(INDEX(Models!$BJ86:$BT86,,T86)*(1-R86)+INDEX(Models!$BJ86:$BT86,,T86+1)*R86-ERP_i)*Q86*Ramure*Pc/MaxiM</f>
        <v>7.5002250815913579E-3</v>
      </c>
      <c r="Q86" s="304">
        <f t="shared" si="28"/>
        <v>0.7</v>
      </c>
      <c r="R86" s="177">
        <f t="shared" si="29"/>
        <v>0.54412384272196612</v>
      </c>
      <c r="S86" s="799">
        <f t="shared" si="30"/>
        <v>1</v>
      </c>
      <c r="T86" s="176">
        <f t="shared" si="31"/>
        <v>7</v>
      </c>
      <c r="U86" s="250">
        <f t="shared" si="32"/>
        <v>1.5441238427219661</v>
      </c>
      <c r="V86" s="382">
        <f t="shared" si="33"/>
        <v>45.447942466460283</v>
      </c>
      <c r="W86" s="400">
        <f t="shared" si="34"/>
        <v>9.669762544460621</v>
      </c>
      <c r="X86" s="157">
        <f t="shared" si="35"/>
        <v>46094</v>
      </c>
      <c r="Y86" s="383">
        <f t="shared" si="36"/>
        <v>9.3128338987110499</v>
      </c>
      <c r="Z86" s="383">
        <f t="shared" si="37"/>
        <v>9.7922029968108113</v>
      </c>
      <c r="AA86" s="384">
        <f t="shared" si="38"/>
        <v>10.535043588261757</v>
      </c>
      <c r="AB86" s="197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7.0511392309627108E-2</v>
      </c>
      <c r="AD86" s="230">
        <f>(INDEX(Models!$BJ86:$BT86,,AH86)*(1-AF86)+INDEX(Models!$BJ86:$BT86,,AH86+1)*AF86-ERP_i)*AE86*Ramure*Pc/MaxiM</f>
        <v>7.824468075137328E-3</v>
      </c>
      <c r="AE86" s="304">
        <f t="shared" si="40"/>
        <v>0.7</v>
      </c>
      <c r="AF86" s="177">
        <f t="shared" si="41"/>
        <v>0.60845606498179827</v>
      </c>
      <c r="AG86" s="799">
        <f t="shared" si="49"/>
        <v>1</v>
      </c>
      <c r="AH86" s="176">
        <f t="shared" si="42"/>
        <v>7</v>
      </c>
      <c r="AI86" s="224">
        <f t="shared" si="43"/>
        <v>1.6084560649817983</v>
      </c>
      <c r="AJ86" s="264" t="b">
        <f t="shared" si="44"/>
        <v>0</v>
      </c>
      <c r="AK86" s="264" t="b">
        <f t="shared" si="45"/>
        <v>1</v>
      </c>
      <c r="AL86" s="264"/>
      <c r="AM86" s="264"/>
      <c r="AN86" s="75"/>
    </row>
    <row r="87" spans="1:40" s="6" customFormat="1" ht="11.25" x14ac:dyDescent="0.2">
      <c r="A87" s="56">
        <f t="shared" si="46"/>
        <v>46095</v>
      </c>
      <c r="B87" s="409">
        <f>'2025'!Wh/'2025'!Env_an*'2026'!Env_an</f>
        <v>13.107873518622164</v>
      </c>
      <c r="C87" s="829"/>
      <c r="D87" s="391">
        <f t="shared" si="25"/>
        <v>13.782852747891592</v>
      </c>
      <c r="E87" s="383">
        <f t="shared" si="47"/>
        <v>14.282168905690012</v>
      </c>
      <c r="F87" s="383">
        <f t="shared" si="26"/>
        <v>14.282168905690012</v>
      </c>
      <c r="G87" s="110">
        <f t="shared" si="48"/>
        <v>0.28433040846775665</v>
      </c>
      <c r="H87" s="412" t="b">
        <f>Wh_hp&gt;='2025'!Maxi_hp</f>
        <v>0</v>
      </c>
      <c r="I87" s="388">
        <f>IF(H87,Wh_hp,'2025'!Maxi_hp)</f>
        <v>38.557146236700596</v>
      </c>
      <c r="J87" s="85">
        <f>IF(H87,An,'2025'!An_max)</f>
        <v>2020</v>
      </c>
      <c r="K87" s="197">
        <f t="shared" si="27"/>
        <v>46095</v>
      </c>
      <c r="L87" s="147">
        <f>IF(t&lt;Tvie,1-EXP((T0-t)*PertePVj)+'2025'!Pspv,1-EXP((T0-t)*PertePVj)+Pspv)</f>
        <v>4.8972389215482415E-2</v>
      </c>
      <c r="M87" s="832"/>
      <c r="N87" s="832"/>
      <c r="O87" s="48">
        <f>IF(t&lt;Tnet,'2025'!Resal+('2025'!Salim-'2025'!Resal)*(1-EXP(('2025'!Tnet-t)/('2025'!Tau_j))),Resal+(Salim-Resal)*(1-EXP((Tnet-t)/(Tau_j))))*Salcycl</f>
        <v>3.4960807500287558E-2</v>
      </c>
      <c r="P87" s="169">
        <f>(INDEX(Models!$BJ87:$BT87,,T87)*(1-R87)+INDEX(Models!$BJ87:$BT87,,T87+1)*R87-ERP_i)*Q87*Ramure*Pc/MaxiM</f>
        <v>7.2185462000474397E-3</v>
      </c>
      <c r="Q87" s="304">
        <f t="shared" si="28"/>
        <v>0.7</v>
      </c>
      <c r="R87" s="177">
        <f t="shared" si="29"/>
        <v>0.54453549810839608</v>
      </c>
      <c r="S87" s="799">
        <f t="shared" si="30"/>
        <v>1</v>
      </c>
      <c r="T87" s="176">
        <f t="shared" si="31"/>
        <v>7</v>
      </c>
      <c r="U87" s="250">
        <f t="shared" si="32"/>
        <v>1.5445354981083961</v>
      </c>
      <c r="V87" s="382">
        <f t="shared" si="33"/>
        <v>45.768068910291483</v>
      </c>
      <c r="W87" s="400">
        <f t="shared" si="34"/>
        <v>13.107873518622164</v>
      </c>
      <c r="X87" s="157">
        <f t="shared" si="35"/>
        <v>46095</v>
      </c>
      <c r="Y87" s="383">
        <f t="shared" si="36"/>
        <v>12.624555995053921</v>
      </c>
      <c r="Z87" s="383">
        <f t="shared" si="37"/>
        <v>13.274647183628797</v>
      </c>
      <c r="AA87" s="384">
        <f t="shared" si="38"/>
        <v>14.282168905690012</v>
      </c>
      <c r="AB87" s="197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7.0544027921404767E-2</v>
      </c>
      <c r="AD87" s="230">
        <f>(INDEX(Models!$BJ87:$BT87,,AH87)*(1-AF87)+INDEX(Models!$BJ87:$BT87,,AH87+1)*AF87-ERP_i)*AE87*Ramure*Pc/MaxiM</f>
        <v>7.5187251654897222E-3</v>
      </c>
      <c r="AE87" s="304">
        <f t="shared" si="40"/>
        <v>0.7</v>
      </c>
      <c r="AF87" s="177">
        <f t="shared" si="41"/>
        <v>0.60886772036822823</v>
      </c>
      <c r="AG87" s="799">
        <f t="shared" si="49"/>
        <v>1</v>
      </c>
      <c r="AH87" s="176">
        <f t="shared" si="42"/>
        <v>7</v>
      </c>
      <c r="AI87" s="224">
        <f t="shared" si="43"/>
        <v>1.6088677203682282</v>
      </c>
      <c r="AJ87" s="264" t="b">
        <f t="shared" si="44"/>
        <v>0</v>
      </c>
      <c r="AK87" s="264" t="b">
        <f t="shared" si="45"/>
        <v>1</v>
      </c>
      <c r="AL87" s="264"/>
      <c r="AM87" s="264"/>
      <c r="AN87" s="75"/>
    </row>
    <row r="88" spans="1:40" s="6" customFormat="1" ht="11.25" x14ac:dyDescent="0.2">
      <c r="A88" s="56">
        <f t="shared" si="46"/>
        <v>46096</v>
      </c>
      <c r="B88" s="409">
        <f>'2025'!Wh/'2025'!Env_an*'2026'!Env_an</f>
        <v>16.021165276864771</v>
      </c>
      <c r="C88" s="829"/>
      <c r="D88" s="391">
        <f t="shared" si="25"/>
        <v>16.846484942230461</v>
      </c>
      <c r="E88" s="383">
        <f t="shared" si="47"/>
        <v>17.458118237783108</v>
      </c>
      <c r="F88" s="383">
        <f t="shared" si="26"/>
        <v>17.466439453400284</v>
      </c>
      <c r="G88" s="110">
        <f t="shared" si="48"/>
        <v>0.34539155094834123</v>
      </c>
      <c r="H88" s="412" t="b">
        <f>Wh_hp&gt;='2025'!Maxi_hp</f>
        <v>0</v>
      </c>
      <c r="I88" s="388">
        <f>IF(H88,Wh_hp,'2025'!Maxi_hp)</f>
        <v>34.117673354504483</v>
      </c>
      <c r="J88" s="85">
        <f>IF(H88,An,'2025'!An_max)</f>
        <v>2020</v>
      </c>
      <c r="K88" s="197">
        <f t="shared" si="27"/>
        <v>46096</v>
      </c>
      <c r="L88" s="147">
        <f>IF(t&lt;Tvie,1-EXP((T0-t)*PertePVj)+'2025'!Pspv,1-EXP((T0-t)*PertePVj)+Pspv)</f>
        <v>4.8990615442678798E-2</v>
      </c>
      <c r="M88" s="832"/>
      <c r="N88" s="832"/>
      <c r="O88" s="48">
        <f>IF(t&lt;Tnet,'2025'!Resal+('2025'!Salim-'2025'!Resal)*(1-EXP(('2025'!Tnet-t)/('2025'!Tau_j))),Resal+(Salim-Resal)*(1-EXP((Tnet-t)/(Tau_j))))*Salcycl</f>
        <v>3.5034319691393902E-2</v>
      </c>
      <c r="P88" s="169">
        <f>(INDEX(Models!$BJ88:$BT88,,T88)*(1-R88)+INDEX(Models!$BJ88:$BT88,,T88+1)*R88-ERP_i)*Q88*Ramure*Pc/MaxiM</f>
        <v>6.9972816596002019E-3</v>
      </c>
      <c r="Q88" s="304">
        <f t="shared" si="28"/>
        <v>0.7</v>
      </c>
      <c r="R88" s="177">
        <f t="shared" si="29"/>
        <v>0.5449635012537013</v>
      </c>
      <c r="S88" s="799">
        <f t="shared" si="30"/>
        <v>1</v>
      </c>
      <c r="T88" s="176">
        <f t="shared" si="31"/>
        <v>7</v>
      </c>
      <c r="U88" s="250">
        <f t="shared" si="32"/>
        <v>1.5449635012537013</v>
      </c>
      <c r="V88" s="382">
        <f t="shared" si="33"/>
        <v>46.082897806745223</v>
      </c>
      <c r="W88" s="400">
        <f t="shared" si="34"/>
        <v>16.021165276864771</v>
      </c>
      <c r="X88" s="157">
        <f t="shared" si="35"/>
        <v>46096</v>
      </c>
      <c r="Y88" s="383">
        <f t="shared" si="36"/>
        <v>15.430765086146241</v>
      </c>
      <c r="Z88" s="383">
        <f t="shared" si="37"/>
        <v>16.22567067866423</v>
      </c>
      <c r="AA88" s="384">
        <f t="shared" si="38"/>
        <v>17.457785930182641</v>
      </c>
      <c r="AB88" s="197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7.0576833536961758E-2</v>
      </c>
      <c r="AD88" s="230">
        <f>(INDEX(Models!$BJ88:$BT88,,AH88)*(1-AF88)+INDEX(Models!$BJ88:$BT88,,AH88+1)*AF88-ERP_i)*AE88*Ramure*Pc/MaxiM</f>
        <v>7.2767179805736729E-3</v>
      </c>
      <c r="AE88" s="304">
        <f t="shared" si="40"/>
        <v>0.7</v>
      </c>
      <c r="AF88" s="177">
        <f t="shared" si="41"/>
        <v>0.60929572351353345</v>
      </c>
      <c r="AG88" s="799">
        <f t="shared" si="49"/>
        <v>1</v>
      </c>
      <c r="AH88" s="176">
        <f t="shared" si="42"/>
        <v>7</v>
      </c>
      <c r="AI88" s="224">
        <f t="shared" si="43"/>
        <v>1.6092957235135334</v>
      </c>
      <c r="AJ88" s="264" t="b">
        <f t="shared" si="44"/>
        <v>0</v>
      </c>
      <c r="AK88" s="264" t="b">
        <f t="shared" si="45"/>
        <v>1</v>
      </c>
      <c r="AL88" s="264"/>
      <c r="AM88" s="264"/>
      <c r="AN88" s="75"/>
    </row>
    <row r="89" spans="1:40" s="6" customFormat="1" ht="11.25" x14ac:dyDescent="0.2">
      <c r="A89" s="56">
        <f t="shared" si="46"/>
        <v>46097</v>
      </c>
      <c r="B89" s="409">
        <f>'2025'!Wh/'2025'!Env_an*'2026'!Env_an</f>
        <v>11.680605912327724</v>
      </c>
      <c r="C89" s="829"/>
      <c r="D89" s="391">
        <f t="shared" si="25"/>
        <v>12.282559943614777</v>
      </c>
      <c r="E89" s="383">
        <f t="shared" si="47"/>
        <v>12.729464250392081</v>
      </c>
      <c r="F89" s="383">
        <f t="shared" si="26"/>
        <v>12.729464250392081</v>
      </c>
      <c r="G89" s="110">
        <f t="shared" si="48"/>
        <v>0.25005999050120986</v>
      </c>
      <c r="H89" s="412" t="b">
        <f>Wh_hp&gt;='2025'!Maxi_hp</f>
        <v>0</v>
      </c>
      <c r="I89" s="388">
        <f>IF(H89,Wh_hp,'2025'!Maxi_hp)</f>
        <v>53.119225306767447</v>
      </c>
      <c r="J89" s="85">
        <f>IF(H89,An,'2025'!An_max)</f>
        <v>2020</v>
      </c>
      <c r="K89" s="197">
        <f t="shared" si="27"/>
        <v>46097</v>
      </c>
      <c r="L89" s="147">
        <f>IF(t&lt;Tvie,1-EXP((T0-t)*PertePVj)+'2025'!Pspv,1-EXP((T0-t)*PertePVj)+Pspv)</f>
        <v>4.9008841320573815E-2</v>
      </c>
      <c r="M89" s="832"/>
      <c r="N89" s="832"/>
      <c r="O89" s="48">
        <f>IF(t&lt;Tnet,'2025'!Resal+('2025'!Salim-'2025'!Resal)*(1-EXP(('2025'!Tnet-t)/('2025'!Tau_j))),Resal+(Salim-Resal)*(1-EXP((Tnet-t)/(Tau_j))))*Salcycl</f>
        <v>3.510786455632163E-2</v>
      </c>
      <c r="P89" s="169">
        <f>(INDEX(Models!$BJ89:$BT89,,T89)*(1-R89)+INDEX(Models!$BJ89:$BT89,,T89+1)*R89-ERP_i)*Q89*Ramure*Pc/MaxiM</f>
        <v>6.8353324303727031E-3</v>
      </c>
      <c r="Q89" s="304">
        <f t="shared" si="28"/>
        <v>0.7</v>
      </c>
      <c r="R89" s="177">
        <f t="shared" si="29"/>
        <v>0.54540846228791895</v>
      </c>
      <c r="S89" s="799">
        <f t="shared" si="30"/>
        <v>1</v>
      </c>
      <c r="T89" s="176">
        <f t="shared" si="31"/>
        <v>7</v>
      </c>
      <c r="U89" s="250">
        <f t="shared" si="32"/>
        <v>1.5454084622879189</v>
      </c>
      <c r="V89" s="382">
        <f t="shared" si="33"/>
        <v>46.391928051651504</v>
      </c>
      <c r="W89" s="400">
        <f t="shared" si="34"/>
        <v>11.680605912327724</v>
      </c>
      <c r="X89" s="157">
        <f t="shared" si="35"/>
        <v>46097</v>
      </c>
      <c r="Y89" s="383">
        <f t="shared" si="36"/>
        <v>11.250832999616343</v>
      </c>
      <c r="Z89" s="383">
        <f t="shared" si="37"/>
        <v>11.830638904403248</v>
      </c>
      <c r="AA89" s="384">
        <f t="shared" si="38"/>
        <v>12.729464250392081</v>
      </c>
      <c r="AB89" s="197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7.0609833085563414E-2</v>
      </c>
      <c r="AD89" s="230">
        <f>(INDEX(Models!$BJ89:$BT89,,AH89)*(1-AF89)+INDEX(Models!$BJ89:$BT89,,AH89+1)*AF89-ERP_i)*AE89*Ramure*Pc/MaxiM</f>
        <v>7.097281329832182E-3</v>
      </c>
      <c r="AE89" s="304">
        <f t="shared" si="40"/>
        <v>0.7</v>
      </c>
      <c r="AF89" s="177">
        <f t="shared" si="41"/>
        <v>0.6097406845477511</v>
      </c>
      <c r="AG89" s="799">
        <f t="shared" si="49"/>
        <v>1</v>
      </c>
      <c r="AH89" s="176">
        <f t="shared" si="42"/>
        <v>7</v>
      </c>
      <c r="AI89" s="224">
        <f t="shared" si="43"/>
        <v>1.6097406845477511</v>
      </c>
      <c r="AJ89" s="264" t="b">
        <f t="shared" si="44"/>
        <v>0</v>
      </c>
      <c r="AK89" s="264" t="b">
        <f t="shared" si="45"/>
        <v>1</v>
      </c>
      <c r="AL89" s="264"/>
      <c r="AM89" s="264"/>
      <c r="AN89" s="75"/>
    </row>
    <row r="90" spans="1:40" s="6" customFormat="1" ht="11.25" x14ac:dyDescent="0.2">
      <c r="A90" s="56">
        <f t="shared" si="46"/>
        <v>46098</v>
      </c>
      <c r="B90" s="409">
        <f>'2025'!Wh/'2025'!Env_an*'2026'!Env_an</f>
        <v>10.054652618972039</v>
      </c>
      <c r="C90" s="829"/>
      <c r="D90" s="391">
        <f t="shared" si="25"/>
        <v>10.573016611165054</v>
      </c>
      <c r="E90" s="383">
        <f t="shared" si="47"/>
        <v>10.958554503570388</v>
      </c>
      <c r="F90" s="383">
        <f t="shared" si="26"/>
        <v>10.958554503570388</v>
      </c>
      <c r="G90" s="110">
        <f t="shared" si="48"/>
        <v>0.21387817272844797</v>
      </c>
      <c r="H90" s="412" t="b">
        <f>Wh_hp&gt;='2025'!Maxi_hp</f>
        <v>0</v>
      </c>
      <c r="I90" s="388">
        <f>IF(H90,Wh_hp,'2025'!Maxi_hp)</f>
        <v>33.792366122986927</v>
      </c>
      <c r="J90" s="85">
        <f>IF(H90,An,'2025'!An_max)</f>
        <v>2021</v>
      </c>
      <c r="K90" s="197">
        <f t="shared" si="27"/>
        <v>46098</v>
      </c>
      <c r="L90" s="147">
        <f>IF(t&lt;Tvie,1-EXP((T0-t)*PertePVj)+'2025'!Pspv,1-EXP((T0-t)*PertePVj)+Pspv)</f>
        <v>4.9027066849173906E-2</v>
      </c>
      <c r="M90" s="832"/>
      <c r="N90" s="832"/>
      <c r="O90" s="48">
        <f>IF(t&lt;Tnet,'2025'!Resal+('2025'!Salim-'2025'!Resal)*(1-EXP(('2025'!Tnet-t)/('2025'!Tau_j))),Resal+(Salim-Resal)*(1-EXP((Tnet-t)/(Tau_j))))*Salcycl</f>
        <v>3.5181455024905266E-2</v>
      </c>
      <c r="P90" s="169">
        <f>(INDEX(Models!$BJ90:$BT90,,T90)*(1-R90)+INDEX(Models!$BJ90:$BT90,,T90+1)*R90-ERP_i)*Q90*Ramure*Pc/MaxiM</f>
        <v>6.731651498117823E-3</v>
      </c>
      <c r="Q90" s="304">
        <f t="shared" si="28"/>
        <v>0.7</v>
      </c>
      <c r="R90" s="177">
        <f t="shared" si="29"/>
        <v>0.54587101086853029</v>
      </c>
      <c r="S90" s="799">
        <f t="shared" si="30"/>
        <v>1</v>
      </c>
      <c r="T90" s="176">
        <f t="shared" si="31"/>
        <v>7</v>
      </c>
      <c r="U90" s="250">
        <f t="shared" si="32"/>
        <v>1.5458710108685303</v>
      </c>
      <c r="V90" s="382">
        <f t="shared" si="33"/>
        <v>46.694658338448171</v>
      </c>
      <c r="W90" s="400">
        <f t="shared" si="34"/>
        <v>10.054652618972039</v>
      </c>
      <c r="X90" s="157">
        <f t="shared" si="35"/>
        <v>46098</v>
      </c>
      <c r="Y90" s="383">
        <f t="shared" si="36"/>
        <v>9.6850970860195797</v>
      </c>
      <c r="Z90" s="383">
        <f t="shared" si="37"/>
        <v>10.184408775894681</v>
      </c>
      <c r="AA90" s="384">
        <f t="shared" si="38"/>
        <v>10.958554503570388</v>
      </c>
      <c r="AB90" s="197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7.0643051273184237E-2</v>
      </c>
      <c r="AD90" s="230">
        <f>(INDEX(Models!$BJ90:$BT90,,AH90)*(1-AF90)+INDEX(Models!$BJ90:$BT90,,AH90+1)*AF90-ERP_i)*AE90*Ramure*Pc/MaxiM</f>
        <v>6.9793043955409207E-3</v>
      </c>
      <c r="AE90" s="304">
        <f t="shared" si="40"/>
        <v>0.7</v>
      </c>
      <c r="AF90" s="177">
        <f t="shared" si="41"/>
        <v>0.61020323312836244</v>
      </c>
      <c r="AG90" s="799">
        <f t="shared" si="49"/>
        <v>1</v>
      </c>
      <c r="AH90" s="176">
        <f t="shared" si="42"/>
        <v>7</v>
      </c>
      <c r="AI90" s="224">
        <f t="shared" si="43"/>
        <v>1.6102032331283624</v>
      </c>
      <c r="AJ90" s="264" t="b">
        <f t="shared" si="44"/>
        <v>0</v>
      </c>
      <c r="AK90" s="264" t="b">
        <f t="shared" si="45"/>
        <v>1</v>
      </c>
      <c r="AL90" s="264"/>
      <c r="AM90" s="264"/>
      <c r="AN90" s="75"/>
    </row>
    <row r="91" spans="1:40" s="6" customFormat="1" ht="11.25" x14ac:dyDescent="0.2">
      <c r="A91" s="56">
        <f t="shared" si="46"/>
        <v>46099</v>
      </c>
      <c r="B91" s="409">
        <f>'2025'!Wh/'2025'!Env_an*'2026'!Env_an</f>
        <v>13.203261296548693</v>
      </c>
      <c r="C91" s="829"/>
      <c r="D91" s="391">
        <f t="shared" si="25"/>
        <v>13.88421676223953</v>
      </c>
      <c r="E91" s="383">
        <f t="shared" si="47"/>
        <v>14.391593908694798</v>
      </c>
      <c r="F91" s="383">
        <f t="shared" si="26"/>
        <v>14.391593908694798</v>
      </c>
      <c r="G91" s="110">
        <f t="shared" si="48"/>
        <v>0.27909832623188974</v>
      </c>
      <c r="H91" s="412" t="b">
        <f>Wh_hp&gt;='2025'!Maxi_hp</f>
        <v>0</v>
      </c>
      <c r="I91" s="388">
        <f>IF(H91,Wh_hp,'2025'!Maxi_hp)</f>
        <v>34.313153622269041</v>
      </c>
      <c r="J91" s="85">
        <f>IF(H91,An,'2025'!An_max)</f>
        <v>2018</v>
      </c>
      <c r="K91" s="197">
        <f t="shared" si="27"/>
        <v>46099</v>
      </c>
      <c r="L91" s="147">
        <f>IF(t&lt;Tvie,1-EXP((T0-t)*PertePVj)+'2025'!Pspv,1-EXP((T0-t)*PertePVj)+Pspv)</f>
        <v>4.9045292028485954E-2</v>
      </c>
      <c r="M91" s="832"/>
      <c r="N91" s="832"/>
      <c r="O91" s="48">
        <f>IF(t&lt;Tnet,'2025'!Resal+('2025'!Salim-'2025'!Resal)*(1-EXP(('2025'!Tnet-t)/('2025'!Tau_j))),Resal+(Salim-Resal)*(1-EXP((Tnet-t)/(Tau_j))))*Salcycl</f>
        <v>3.5255104450156227E-2</v>
      </c>
      <c r="P91" s="169">
        <f>(INDEX(Models!$BJ91:$BT91,,T91)*(1-R91)+INDEX(Models!$BJ91:$BT91,,T91+1)*R91-ERP_i)*Q91*Ramure*Pc/MaxiM</f>
        <v>6.6852485688359891E-3</v>
      </c>
      <c r="Q91" s="304">
        <f t="shared" si="28"/>
        <v>0.7</v>
      </c>
      <c r="R91" s="177">
        <f t="shared" si="29"/>
        <v>0.54635179653143062</v>
      </c>
      <c r="S91" s="799">
        <f t="shared" si="30"/>
        <v>1</v>
      </c>
      <c r="T91" s="176">
        <f t="shared" si="31"/>
        <v>7</v>
      </c>
      <c r="U91" s="250">
        <f t="shared" si="32"/>
        <v>1.5463517965314306</v>
      </c>
      <c r="V91" s="382">
        <f t="shared" si="33"/>
        <v>46.990587116474991</v>
      </c>
      <c r="W91" s="400">
        <f t="shared" si="34"/>
        <v>13.203261296548693</v>
      </c>
      <c r="X91" s="157">
        <f t="shared" si="35"/>
        <v>46099</v>
      </c>
      <c r="Y91" s="383">
        <f t="shared" si="36"/>
        <v>12.718492606581204</v>
      </c>
      <c r="Z91" s="383">
        <f t="shared" si="37"/>
        <v>13.374446227529679</v>
      </c>
      <c r="AA91" s="384">
        <f t="shared" si="38"/>
        <v>14.391593908694798</v>
      </c>
      <c r="AB91" s="197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7.0676513499356095E-2</v>
      </c>
      <c r="AD91" s="230">
        <f>(INDEX(Models!$BJ91:$BT91,,AH91)*(1-AF91)+INDEX(Models!$BJ91:$BT91,,AH91+1)*AF91-ERP_i)*AE91*Ramure*Pc/MaxiM</f>
        <v>6.9217356889850782E-3</v>
      </c>
      <c r="AE91" s="304">
        <f t="shared" si="40"/>
        <v>0.7</v>
      </c>
      <c r="AF91" s="177">
        <f t="shared" si="41"/>
        <v>0.61068401879126277</v>
      </c>
      <c r="AG91" s="799">
        <f t="shared" si="49"/>
        <v>1</v>
      </c>
      <c r="AH91" s="176">
        <f t="shared" si="42"/>
        <v>7</v>
      </c>
      <c r="AI91" s="224">
        <f t="shared" si="43"/>
        <v>1.6106840187912628</v>
      </c>
      <c r="AJ91" s="264" t="b">
        <f t="shared" si="44"/>
        <v>0</v>
      </c>
      <c r="AK91" s="264" t="b">
        <f t="shared" si="45"/>
        <v>1</v>
      </c>
      <c r="AL91" s="264"/>
      <c r="AM91" s="264"/>
      <c r="AN91" s="75"/>
    </row>
    <row r="92" spans="1:40" s="6" customFormat="1" ht="11.25" x14ac:dyDescent="0.2">
      <c r="A92" s="56">
        <f t="shared" si="46"/>
        <v>46100</v>
      </c>
      <c r="B92" s="409">
        <f>'2025'!Wh/'2025'!Env_an*'2026'!Env_an</f>
        <v>27.513018384405544</v>
      </c>
      <c r="C92" s="829"/>
      <c r="D92" s="391">
        <f t="shared" si="25"/>
        <v>28.932551092702234</v>
      </c>
      <c r="E92" s="383">
        <f t="shared" si="47"/>
        <v>29.992138139444162</v>
      </c>
      <c r="F92" s="383">
        <f t="shared" si="26"/>
        <v>30.07323067370789</v>
      </c>
      <c r="G92" s="110">
        <f t="shared" si="48"/>
        <v>0.57959308867477888</v>
      </c>
      <c r="H92" s="412" t="b">
        <f>Wh_hp&gt;='2025'!Maxi_hp</f>
        <v>0</v>
      </c>
      <c r="I92" s="388">
        <f>IF(H92,Wh_hp,'2025'!Maxi_hp)</f>
        <v>45.384654125633041</v>
      </c>
      <c r="J92" s="85">
        <f>IF(H92,An,'2025'!An_max)</f>
        <v>2020</v>
      </c>
      <c r="K92" s="197">
        <f t="shared" si="27"/>
        <v>46100</v>
      </c>
      <c r="L92" s="147">
        <f>IF(t&lt;Tvie,1-EXP((T0-t)*PertePVj)+'2025'!Pspv,1-EXP((T0-t)*PertePVj)+Pspv)</f>
        <v>4.906351685851662E-2</v>
      </c>
      <c r="M92" s="832"/>
      <c r="N92" s="832"/>
      <c r="O92" s="48">
        <f>IF(t&lt;Tnet,'2025'!Resal+('2025'!Salim-'2025'!Resal)*(1-EXP(('2025'!Tnet-t)/('2025'!Tau_j))),Resal+(Salim-Resal)*(1-EXP((Tnet-t)/(Tau_j))))*Salcycl</f>
        <v>3.5328826568333707E-2</v>
      </c>
      <c r="P92" s="169">
        <f>(INDEX(Models!$BJ92:$BT92,,T92)*(1-R92)+INDEX(Models!$BJ92:$BT92,,T92+1)*R92-ERP_i)*Q92*Ramure*Pc/MaxiM</f>
        <v>6.6951944986524993E-3</v>
      </c>
      <c r="Q92" s="304">
        <f t="shared" si="28"/>
        <v>0.7</v>
      </c>
      <c r="R92" s="177">
        <f t="shared" si="29"/>
        <v>0.54685148902279601</v>
      </c>
      <c r="S92" s="799">
        <f t="shared" si="30"/>
        <v>1</v>
      </c>
      <c r="T92" s="176">
        <f t="shared" si="31"/>
        <v>7</v>
      </c>
      <c r="U92" s="250">
        <f t="shared" si="32"/>
        <v>1.546851489022796</v>
      </c>
      <c r="V92" s="382">
        <f t="shared" si="33"/>
        <v>47.279212547277147</v>
      </c>
      <c r="W92" s="400">
        <f t="shared" si="34"/>
        <v>27.513018384405544</v>
      </c>
      <c r="X92" s="157">
        <f t="shared" si="35"/>
        <v>46100</v>
      </c>
      <c r="Y92" s="383">
        <f t="shared" si="36"/>
        <v>26.501473854159517</v>
      </c>
      <c r="Z92" s="383">
        <f t="shared" si="37"/>
        <v>27.868815976657132</v>
      </c>
      <c r="AA92" s="384">
        <f t="shared" si="38"/>
        <v>29.989371829266098</v>
      </c>
      <c r="AB92" s="197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7.0710245772455785E-2</v>
      </c>
      <c r="AD92" s="230">
        <f>(INDEX(Models!$BJ92:$BT92,,AH92)*(1-AF92)+INDEX(Models!$BJ92:$BT92,,AH92+1)*AF92-ERP_i)*AE92*Ramure*Pc/MaxiM</f>
        <v>6.9235877145499124E-3</v>
      </c>
      <c r="AE92" s="304">
        <f t="shared" si="40"/>
        <v>0.7</v>
      </c>
      <c r="AF92" s="177">
        <f t="shared" si="41"/>
        <v>0.61118371128262816</v>
      </c>
      <c r="AG92" s="799">
        <f t="shared" si="49"/>
        <v>1</v>
      </c>
      <c r="AH92" s="176">
        <f t="shared" si="42"/>
        <v>7</v>
      </c>
      <c r="AI92" s="224">
        <f t="shared" si="43"/>
        <v>1.6111837112826282</v>
      </c>
      <c r="AJ92" s="264" t="b">
        <f t="shared" si="44"/>
        <v>0</v>
      </c>
      <c r="AK92" s="264" t="b">
        <f t="shared" si="45"/>
        <v>1</v>
      </c>
      <c r="AL92" s="264"/>
      <c r="AM92" s="264"/>
      <c r="AN92" s="75"/>
    </row>
    <row r="93" spans="1:40" s="6" customFormat="1" ht="11.25" x14ac:dyDescent="0.2">
      <c r="A93" s="56">
        <f t="shared" si="46"/>
        <v>46101</v>
      </c>
      <c r="B93" s="409">
        <f>'2025'!Wh/'2025'!Env_an*'2026'!Env_an</f>
        <v>32.210098664253749</v>
      </c>
      <c r="C93" s="829"/>
      <c r="D93" s="391">
        <f t="shared" si="25"/>
        <v>33.872626138884357</v>
      </c>
      <c r="E93" s="383">
        <f t="shared" si="47"/>
        <v>35.115818665928444</v>
      </c>
      <c r="F93" s="383">
        <f t="shared" si="26"/>
        <v>35.244208831947802</v>
      </c>
      <c r="G93" s="110">
        <f t="shared" si="48"/>
        <v>0.67509025316272786</v>
      </c>
      <c r="H93" s="412" t="b">
        <f>Wh_hp&gt;='2025'!Maxi_hp</f>
        <v>0</v>
      </c>
      <c r="I93" s="388">
        <f>IF(H93,Wh_hp,'2025'!Maxi_hp)</f>
        <v>51.000305055199313</v>
      </c>
      <c r="J93" s="85">
        <f>IF(H93,An,'2025'!An_max)</f>
        <v>2018</v>
      </c>
      <c r="K93" s="197">
        <f t="shared" si="27"/>
        <v>46101</v>
      </c>
      <c r="L93" s="147">
        <f>IF(t&lt;Tvie,1-EXP((T0-t)*PertePVj)+'2025'!Pspv,1-EXP((T0-t)*PertePVj)+Pspv)</f>
        <v>4.9081741339272567E-2</v>
      </c>
      <c r="M93" s="832"/>
      <c r="N93" s="832"/>
      <c r="O93" s="48">
        <f>IF(t&lt;Tnet,'2025'!Resal+('2025'!Salim-'2025'!Resal)*(1-EXP(('2025'!Tnet-t)/('2025'!Tau_j))),Resal+(Salim-Resal)*(1-EXP((Tnet-t)/(Tau_j))))*Salcycl</f>
        <v>3.540263545814213E-2</v>
      </c>
      <c r="P93" s="169">
        <f>(INDEX(Models!$BJ93:$BT93,,T93)*(1-R93)+INDEX(Models!$BJ93:$BT93,,T93+1)*R93-ERP_i)*Q93*Ramure*Pc/MaxiM</f>
        <v>6.7602058669141516E-3</v>
      </c>
      <c r="Q93" s="304">
        <f t="shared" si="28"/>
        <v>0.7</v>
      </c>
      <c r="R93" s="177">
        <f t="shared" si="29"/>
        <v>0.54737077860889305</v>
      </c>
      <c r="S93" s="799">
        <f t="shared" si="30"/>
        <v>1</v>
      </c>
      <c r="T93" s="176">
        <f t="shared" si="31"/>
        <v>7</v>
      </c>
      <c r="U93" s="250">
        <f t="shared" si="32"/>
        <v>1.547370778608893</v>
      </c>
      <c r="V93" s="382">
        <f t="shared" si="33"/>
        <v>47.563006261775016</v>
      </c>
      <c r="W93" s="400">
        <f t="shared" si="34"/>
        <v>32.210098664253749</v>
      </c>
      <c r="X93" s="157">
        <f t="shared" si="35"/>
        <v>46101</v>
      </c>
      <c r="Y93" s="383">
        <f t="shared" si="36"/>
        <v>31.026213484819937</v>
      </c>
      <c r="Z93" s="383">
        <f t="shared" si="37"/>
        <v>32.627634607118843</v>
      </c>
      <c r="AA93" s="384">
        <f t="shared" si="38"/>
        <v>35.111577702596513</v>
      </c>
      <c r="AB93" s="197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7.0744274624093162E-2</v>
      </c>
      <c r="AD93" s="230">
        <f>(INDEX(Models!$BJ93:$BT93,,AH93)*(1-AF93)+INDEX(Models!$BJ93:$BT93,,AH93+1)*AF93-ERP_i)*AE93*Ramure*Pc/MaxiM</f>
        <v>6.9835079007597731E-3</v>
      </c>
      <c r="AE93" s="304">
        <f t="shared" si="40"/>
        <v>0.7</v>
      </c>
      <c r="AF93" s="177">
        <f t="shared" si="41"/>
        <v>0.6117030008687252</v>
      </c>
      <c r="AG93" s="799">
        <f t="shared" si="49"/>
        <v>1</v>
      </c>
      <c r="AH93" s="176">
        <f t="shared" si="42"/>
        <v>7</v>
      </c>
      <c r="AI93" s="224">
        <f t="shared" si="43"/>
        <v>1.6117030008687252</v>
      </c>
      <c r="AJ93" s="264" t="b">
        <f t="shared" si="44"/>
        <v>0</v>
      </c>
      <c r="AK93" s="264" t="b">
        <f t="shared" si="45"/>
        <v>1</v>
      </c>
      <c r="AL93" s="264"/>
      <c r="AM93" s="264"/>
      <c r="AN93" s="75"/>
    </row>
    <row r="94" spans="1:40" s="6" customFormat="1" ht="11.25" x14ac:dyDescent="0.2">
      <c r="A94" s="56">
        <f t="shared" si="46"/>
        <v>46102</v>
      </c>
      <c r="B94" s="409">
        <f>'2025'!Wh/'2025'!Env_an*'2026'!Env_an</f>
        <v>44.861803250097026</v>
      </c>
      <c r="C94" s="829"/>
      <c r="D94" s="391">
        <f t="shared" si="25"/>
        <v>47.178253886915343</v>
      </c>
      <c r="E94" s="383">
        <f t="shared" si="47"/>
        <v>48.913537215475174</v>
      </c>
      <c r="F94" s="383">
        <f t="shared" si="26"/>
        <v>49.221509186775897</v>
      </c>
      <c r="G94" s="110">
        <f t="shared" si="48"/>
        <v>0.93707653197925844</v>
      </c>
      <c r="H94" s="412" t="b">
        <f>Wh_hp&gt;='2025'!Maxi_hp</f>
        <v>0</v>
      </c>
      <c r="I94" s="388">
        <f>IF(H94,Wh_hp,'2025'!Maxi_hp)</f>
        <v>51.582949818940655</v>
      </c>
      <c r="J94" s="85">
        <f>IF(H94,An,'2025'!An_max)</f>
        <v>2020</v>
      </c>
      <c r="K94" s="197">
        <f t="shared" si="27"/>
        <v>46102</v>
      </c>
      <c r="L94" s="147">
        <f>IF(t&lt;Tvie,1-EXP((T0-t)*PertePVj)+'2025'!Pspv,1-EXP((T0-t)*PertePVj)+Pspv)</f>
        <v>4.9099965470760454E-2</v>
      </c>
      <c r="M94" s="832"/>
      <c r="N94" s="832"/>
      <c r="O94" s="48">
        <f>IF(t&lt;Tnet,'2025'!Resal+('2025'!Salim-'2025'!Resal)*(1-EXP(('2025'!Tnet-t)/('2025'!Tau_j))),Resal+(Salim-Resal)*(1-EXP((Tnet-t)/(Tau_j))))*Salcycl</f>
        <v>3.5476545499367879E-2</v>
      </c>
      <c r="P94" s="169">
        <f>(INDEX(Models!$BJ94:$BT94,,T94)*(1-R94)+INDEX(Models!$BJ94:$BT94,,T94+1)*R94-ERP_i)*Q94*Ramure*Pc/MaxiM</f>
        <v>6.868618261992197E-3</v>
      </c>
      <c r="Q94" s="304">
        <f t="shared" si="28"/>
        <v>0.7</v>
      </c>
      <c r="R94" s="177">
        <f t="shared" si="29"/>
        <v>0.54791037636065321</v>
      </c>
      <c r="S94" s="799">
        <f t="shared" si="30"/>
        <v>1</v>
      </c>
      <c r="T94" s="176">
        <f t="shared" si="31"/>
        <v>7</v>
      </c>
      <c r="U94" s="250">
        <f t="shared" si="32"/>
        <v>1.5479103763606532</v>
      </c>
      <c r="V94" s="382">
        <f t="shared" si="33"/>
        <v>47.844742913310846</v>
      </c>
      <c r="W94" s="400">
        <f t="shared" si="34"/>
        <v>44.861803250097026</v>
      </c>
      <c r="X94" s="157">
        <f t="shared" si="35"/>
        <v>46102</v>
      </c>
      <c r="Y94" s="383">
        <f t="shared" si="36"/>
        <v>43.211067737599912</v>
      </c>
      <c r="Z94" s="383">
        <f t="shared" si="37"/>
        <v>45.442282225799204</v>
      </c>
      <c r="AA94" s="384">
        <f t="shared" si="38"/>
        <v>48.903612795973721</v>
      </c>
      <c r="AB94" s="197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7.0778627023226626E-2</v>
      </c>
      <c r="AD94" s="230">
        <f>(INDEX(Models!$BJ94:$BT94,,AH94)*(1-AF94)+INDEX(Models!$BJ94:$BT94,,AH94+1)*AF94-ERP_i)*AE94*Ramure*Pc/MaxiM</f>
        <v>7.0899599923433358E-3</v>
      </c>
      <c r="AE94" s="304">
        <f t="shared" si="40"/>
        <v>0.7</v>
      </c>
      <c r="AF94" s="177">
        <f t="shared" si="41"/>
        <v>0.61224259862048536</v>
      </c>
      <c r="AG94" s="799">
        <f t="shared" si="49"/>
        <v>1</v>
      </c>
      <c r="AH94" s="176">
        <f t="shared" si="42"/>
        <v>7</v>
      </c>
      <c r="AI94" s="224">
        <f t="shared" si="43"/>
        <v>1.6122425986204854</v>
      </c>
      <c r="AJ94" s="264" t="b">
        <f t="shared" si="44"/>
        <v>0</v>
      </c>
      <c r="AK94" s="264" t="b">
        <f t="shared" si="45"/>
        <v>1</v>
      </c>
      <c r="AL94" s="264"/>
      <c r="AM94" s="264"/>
      <c r="AN94" s="75"/>
    </row>
    <row r="95" spans="1:40" s="6" customFormat="1" ht="11.25" x14ac:dyDescent="0.2">
      <c r="A95" s="56">
        <f t="shared" si="46"/>
        <v>46103</v>
      </c>
      <c r="B95" s="409">
        <f>'2025'!Wh/'2025'!Env_an*'2026'!Env_an</f>
        <v>41.230428732874266</v>
      </c>
      <c r="C95" s="829"/>
      <c r="D95" s="391">
        <f t="shared" si="25"/>
        <v>43.360203410015416</v>
      </c>
      <c r="E95" s="383">
        <f t="shared" si="47"/>
        <v>44.95850391022207</v>
      </c>
      <c r="F95" s="383">
        <f t="shared" si="26"/>
        <v>45.209383455353191</v>
      </c>
      <c r="G95" s="110">
        <f t="shared" si="48"/>
        <v>0.85549378352205951</v>
      </c>
      <c r="H95" s="412" t="b">
        <f>Wh_hp&gt;='2025'!Maxi_hp</f>
        <v>0</v>
      </c>
      <c r="I95" s="388">
        <f>IF(H95,Wh_hp,'2025'!Maxi_hp)</f>
        <v>50.061246590023678</v>
      </c>
      <c r="J95" s="85">
        <f>IF(H95,An,'2025'!An_max)</f>
        <v>2020</v>
      </c>
      <c r="K95" s="197">
        <f t="shared" si="27"/>
        <v>46103</v>
      </c>
      <c r="L95" s="147">
        <f>IF(t&lt;Tvie,1-EXP((T0-t)*PertePVj)+'2025'!Pspv,1-EXP((T0-t)*PertePVj)+Pspv)</f>
        <v>4.9118189252987055E-2</v>
      </c>
      <c r="M95" s="832"/>
      <c r="N95" s="832"/>
      <c r="O95" s="48">
        <f>IF(t&lt;Tnet,'2025'!Resal+('2025'!Salim-'2025'!Resal)*(1-EXP(('2025'!Tnet-t)/('2025'!Tau_j))),Resal+(Salim-Resal)*(1-EXP((Tnet-t)/(Tau_j))))*Salcycl</f>
        <v>3.5550571331250481E-2</v>
      </c>
      <c r="P95" s="169">
        <f>(INDEX(Models!$BJ95:$BT95,,T95)*(1-R95)+INDEX(Models!$BJ95:$BT95,,T95+1)*R95-ERP_i)*Q95*Ramure*Pc/MaxiM</f>
        <v>6.9774167586228193E-3</v>
      </c>
      <c r="Q95" s="304">
        <f t="shared" si="28"/>
        <v>0.7</v>
      </c>
      <c r="R95" s="177">
        <f t="shared" si="29"/>
        <v>0.54847101440959301</v>
      </c>
      <c r="S95" s="799">
        <f t="shared" si="30"/>
        <v>1</v>
      </c>
      <c r="T95" s="176">
        <f t="shared" si="31"/>
        <v>7</v>
      </c>
      <c r="U95" s="250">
        <f t="shared" si="32"/>
        <v>1.548471014409593</v>
      </c>
      <c r="V95" s="382">
        <f t="shared" si="33"/>
        <v>48.125676973154654</v>
      </c>
      <c r="W95" s="400">
        <f t="shared" si="34"/>
        <v>41.230428732874266</v>
      </c>
      <c r="X95" s="157">
        <f t="shared" si="35"/>
        <v>46103</v>
      </c>
      <c r="Y95" s="383">
        <f t="shared" si="36"/>
        <v>39.715916966384867</v>
      </c>
      <c r="Z95" s="383">
        <f t="shared" si="37"/>
        <v>41.767458918142559</v>
      </c>
      <c r="AA95" s="384">
        <f t="shared" si="38"/>
        <v>44.950557600234234</v>
      </c>
      <c r="AB95" s="197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7.0813330290592127E-2</v>
      </c>
      <c r="AD95" s="230">
        <f>(INDEX(Models!$BJ95:$BT95,,AH95)*(1-AF95)+INDEX(Models!$BJ95:$BT95,,AH95+1)*AF95-ERP_i)*AE95*Ramure*Pc/MaxiM</f>
        <v>7.198418101914383E-3</v>
      </c>
      <c r="AE95" s="304">
        <f t="shared" si="40"/>
        <v>0.7</v>
      </c>
      <c r="AF95" s="177">
        <f t="shared" si="41"/>
        <v>0.61280323666942516</v>
      </c>
      <c r="AG95" s="799">
        <f t="shared" si="49"/>
        <v>1</v>
      </c>
      <c r="AH95" s="176">
        <f t="shared" si="42"/>
        <v>7</v>
      </c>
      <c r="AI95" s="224">
        <f t="shared" si="43"/>
        <v>1.6128032366694252</v>
      </c>
      <c r="AJ95" s="264" t="b">
        <f t="shared" si="44"/>
        <v>0</v>
      </c>
      <c r="AK95" s="264" t="b">
        <f t="shared" si="45"/>
        <v>1</v>
      </c>
      <c r="AL95" s="264"/>
      <c r="AM95" s="264"/>
      <c r="AN95" s="75"/>
    </row>
    <row r="96" spans="1:40" s="6" customFormat="1" ht="11.25" x14ac:dyDescent="0.2">
      <c r="A96" s="56">
        <f t="shared" si="46"/>
        <v>46104</v>
      </c>
      <c r="B96" s="409">
        <f>'2025'!Wh/'2025'!Env_an*'2026'!Env_an</f>
        <v>48.61606083657977</v>
      </c>
      <c r="C96" s="829"/>
      <c r="D96" s="391">
        <f t="shared" si="25"/>
        <v>51.128323226582218</v>
      </c>
      <c r="E96" s="383">
        <f t="shared" si="47"/>
        <v>53.017040877168853</v>
      </c>
      <c r="F96" s="383">
        <f t="shared" si="26"/>
        <v>53.39544282723093</v>
      </c>
      <c r="G96" s="110">
        <f t="shared" si="48"/>
        <v>1.0043601605751806</v>
      </c>
      <c r="H96" s="412" t="b">
        <f>Wh_hp&gt;='2025'!Maxi_hp</f>
        <v>1</v>
      </c>
      <c r="I96" s="388">
        <f>IF(H96,Wh_hp,'2025'!Maxi_hp)</f>
        <v>53.39544282723093</v>
      </c>
      <c r="J96" s="85">
        <f>IF(H96,An,'2025'!An_max)</f>
        <v>2026</v>
      </c>
      <c r="K96" s="197">
        <f t="shared" si="27"/>
        <v>46104</v>
      </c>
      <c r="L96" s="147">
        <f>IF(t&lt;Tvie,1-EXP((T0-t)*PertePVj)+'2025'!Pspv,1-EXP((T0-t)*PertePVj)+Pspv)</f>
        <v>4.913641268595903E-2</v>
      </c>
      <c r="M96" s="832"/>
      <c r="N96" s="832"/>
      <c r="O96" s="48">
        <f>IF(t&lt;Tnet,'2025'!Resal+('2025'!Salim-'2025'!Resal)*(1-EXP(('2025'!Tnet-t)/('2025'!Tau_j))),Resal+(Salim-Resal)*(1-EXP((Tnet-t)/(Tau_j))))*Salcycl</f>
        <v>3.562472781086478E-2</v>
      </c>
      <c r="P96" s="169">
        <f>(INDEX(Models!$BJ96:$BT96,,T96)*(1-R96)+INDEX(Models!$BJ96:$BT96,,T96+1)*R96-ERP_i)*Q96*Ramure*Pc/MaxiM</f>
        <v>7.0867836284540537E-3</v>
      </c>
      <c r="Q96" s="304">
        <f t="shared" si="28"/>
        <v>0.7</v>
      </c>
      <c r="R96" s="177">
        <f t="shared" si="29"/>
        <v>0.54905344617142871</v>
      </c>
      <c r="S96" s="799">
        <f t="shared" si="30"/>
        <v>1</v>
      </c>
      <c r="T96" s="176">
        <f t="shared" si="31"/>
        <v>7</v>
      </c>
      <c r="U96" s="250">
        <f t="shared" si="32"/>
        <v>1.5490534461714287</v>
      </c>
      <c r="V96" s="382">
        <f t="shared" si="33"/>
        <v>48.405007232403719</v>
      </c>
      <c r="W96" s="400">
        <f t="shared" si="34"/>
        <v>48.61606083657977</v>
      </c>
      <c r="X96" s="157">
        <f t="shared" si="35"/>
        <v>46104</v>
      </c>
      <c r="Y96" s="383">
        <f t="shared" si="36"/>
        <v>46.829880496233265</v>
      </c>
      <c r="Z96" s="383">
        <f t="shared" si="37"/>
        <v>49.249841008757443</v>
      </c>
      <c r="AA96" s="384">
        <f t="shared" si="38"/>
        <v>53.005173370589695</v>
      </c>
      <c r="AB96" s="197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7.0848412013985174E-2</v>
      </c>
      <c r="AD96" s="230">
        <f>(INDEX(Models!$BJ96:$BT96,,AH96)*(1-AF96)+INDEX(Models!$BJ96:$BT96,,AH96+1)*AF96-ERP_i)*AE96*Ramure*Pc/MaxiM</f>
        <v>7.3090405468499257E-3</v>
      </c>
      <c r="AE96" s="304">
        <f t="shared" si="40"/>
        <v>0.7</v>
      </c>
      <c r="AF96" s="177">
        <f t="shared" si="41"/>
        <v>0.61338566843126086</v>
      </c>
      <c r="AG96" s="799">
        <f t="shared" si="49"/>
        <v>1</v>
      </c>
      <c r="AH96" s="176">
        <f t="shared" si="42"/>
        <v>7</v>
      </c>
      <c r="AI96" s="224">
        <f t="shared" si="43"/>
        <v>1.6133856684312609</v>
      </c>
      <c r="AJ96" s="264" t="b">
        <f t="shared" si="44"/>
        <v>0</v>
      </c>
      <c r="AK96" s="264" t="b">
        <f t="shared" si="45"/>
        <v>1</v>
      </c>
      <c r="AL96" s="264"/>
      <c r="AM96" s="264"/>
      <c r="AN96" s="75"/>
    </row>
    <row r="97" spans="1:40" s="6" customFormat="1" ht="11.25" x14ac:dyDescent="0.2">
      <c r="A97" s="56">
        <f t="shared" si="46"/>
        <v>46105</v>
      </c>
      <c r="B97" s="409">
        <f>'2025'!Wh/'2025'!Env_an*'2026'!Env_an</f>
        <v>47.509813451978665</v>
      </c>
      <c r="C97" s="829"/>
      <c r="D97" s="391">
        <f t="shared" si="25"/>
        <v>49.965867468299166</v>
      </c>
      <c r="E97" s="383">
        <f t="shared" si="47"/>
        <v>51.815635389059295</v>
      </c>
      <c r="F97" s="383">
        <f t="shared" si="26"/>
        <v>52.17824102722399</v>
      </c>
      <c r="G97" s="110">
        <f t="shared" si="48"/>
        <v>0.97567963965768156</v>
      </c>
      <c r="H97" s="412" t="b">
        <f>Wh_hp&gt;='2025'!Maxi_hp</f>
        <v>0</v>
      </c>
      <c r="I97" s="388">
        <f>IF(H97,Wh_hp,'2025'!Maxi_hp)</f>
        <v>52.18691136739492</v>
      </c>
      <c r="J97" s="85">
        <f>IF(H97,An,'2025'!An_max)</f>
        <v>2022</v>
      </c>
      <c r="K97" s="197">
        <f t="shared" si="27"/>
        <v>46105</v>
      </c>
      <c r="L97" s="147">
        <f>IF(t&lt;Tvie,1-EXP((T0-t)*PertePVj)+'2025'!Pspv,1-EXP((T0-t)*PertePVj)+Pspv)</f>
        <v>4.9154635769683042E-2</v>
      </c>
      <c r="M97" s="832"/>
      <c r="N97" s="832"/>
      <c r="O97" s="48">
        <f>IF(t&lt;Tnet,'2025'!Resal+('2025'!Salim-'2025'!Resal)*(1-EXP(('2025'!Tnet-t)/('2025'!Tau_j))),Resal+(Salim-Resal)*(1-EXP((Tnet-t)/(Tau_j))))*Salcycl</f>
        <v>3.5699029971766001E-2</v>
      </c>
      <c r="P97" s="169">
        <f>(INDEX(Models!$BJ97:$BT97,,T97)*(1-R97)+INDEX(Models!$BJ97:$BT97,,T97+1)*R97-ERP_i)*Q97*Ramure*Pc/MaxiM</f>
        <v>7.1969086261574064E-3</v>
      </c>
      <c r="Q97" s="304">
        <f t="shared" si="28"/>
        <v>0.7</v>
      </c>
      <c r="R97" s="177">
        <f t="shared" si="29"/>
        <v>0.54965844653347662</v>
      </c>
      <c r="S97" s="799">
        <f t="shared" si="30"/>
        <v>1</v>
      </c>
      <c r="T97" s="176">
        <f t="shared" si="31"/>
        <v>7</v>
      </c>
      <c r="U97" s="250">
        <f t="shared" si="32"/>
        <v>1.5496584465334766</v>
      </c>
      <c r="V97" s="382">
        <f t="shared" si="33"/>
        <v>48.681932536758175</v>
      </c>
      <c r="W97" s="400">
        <f t="shared" si="34"/>
        <v>47.509813451978665</v>
      </c>
      <c r="X97" s="157">
        <f t="shared" si="35"/>
        <v>46105</v>
      </c>
      <c r="Y97" s="383">
        <f t="shared" si="36"/>
        <v>45.766283357786307</v>
      </c>
      <c r="Z97" s="383">
        <f t="shared" si="37"/>
        <v>48.132204330441098</v>
      </c>
      <c r="AA97" s="384">
        <f t="shared" si="38"/>
        <v>51.804294779330384</v>
      </c>
      <c r="AB97" s="197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7.0883899964881467E-2</v>
      </c>
      <c r="AD97" s="230">
        <f>(INDEX(Models!$BJ97:$BT97,,AH97)*(1-AF97)+INDEX(Models!$BJ97:$BT97,,AH97+1)*AF97-ERP_i)*AE97*Ramure*Pc/MaxiM</f>
        <v>7.4219942933218871E-3</v>
      </c>
      <c r="AE97" s="304">
        <f t="shared" si="40"/>
        <v>0.7</v>
      </c>
      <c r="AF97" s="177">
        <f t="shared" si="41"/>
        <v>0.61399066879330877</v>
      </c>
      <c r="AG97" s="799">
        <f t="shared" si="49"/>
        <v>1</v>
      </c>
      <c r="AH97" s="176">
        <f t="shared" si="42"/>
        <v>7</v>
      </c>
      <c r="AI97" s="224">
        <f t="shared" si="43"/>
        <v>1.6139906687933088</v>
      </c>
      <c r="AJ97" s="264" t="b">
        <f t="shared" si="44"/>
        <v>0</v>
      </c>
      <c r="AK97" s="264" t="b">
        <f t="shared" si="45"/>
        <v>1</v>
      </c>
      <c r="AL97" s="264"/>
      <c r="AM97" s="264"/>
      <c r="AN97" s="75"/>
    </row>
    <row r="98" spans="1:40" s="6" customFormat="1" ht="11.25" x14ac:dyDescent="0.2">
      <c r="A98" s="56">
        <f t="shared" si="46"/>
        <v>46106</v>
      </c>
      <c r="B98" s="409">
        <f>'2025'!Wh/'2025'!Env_an*'2026'!Env_an</f>
        <v>37.476597018461064</v>
      </c>
      <c r="C98" s="829"/>
      <c r="D98" s="391">
        <f t="shared" si="25"/>
        <v>39.414732061080166</v>
      </c>
      <c r="E98" s="383">
        <f t="shared" si="47"/>
        <v>40.877046808245815</v>
      </c>
      <c r="F98" s="383">
        <f t="shared" si="26"/>
        <v>41.076680946369926</v>
      </c>
      <c r="G98" s="110">
        <f t="shared" si="48"/>
        <v>0.76363824511693434</v>
      </c>
      <c r="H98" s="412" t="b">
        <f>Wh_hp&gt;='2025'!Maxi_hp</f>
        <v>0</v>
      </c>
      <c r="I98" s="388">
        <f>IF(H98,Wh_hp,'2025'!Maxi_hp)</f>
        <v>52.042805728748291</v>
      </c>
      <c r="J98" s="85">
        <f>IF(H98,An,'2025'!An_max)</f>
        <v>2020</v>
      </c>
      <c r="K98" s="197">
        <f t="shared" si="27"/>
        <v>46106</v>
      </c>
      <c r="L98" s="147">
        <f>IF(t&lt;Tvie,1-EXP((T0-t)*PertePVj)+'2025'!Pspv,1-EXP((T0-t)*PertePVj)+Pspv)</f>
        <v>4.9172858504165862E-2</v>
      </c>
      <c r="M98" s="832"/>
      <c r="N98" s="832"/>
      <c r="O98" s="48">
        <f>IF(t&lt;Tnet,'2025'!Resal+('2025'!Salim-'2025'!Resal)*(1-EXP(('2025'!Tnet-t)/('2025'!Tau_j))),Resal+(Salim-Resal)*(1-EXP((Tnet-t)/(Tau_j))))*Salcycl</f>
        <v>3.5773492983124829E-2</v>
      </c>
      <c r="P98" s="169">
        <f>(INDEX(Models!$BJ98:$BT98,,T98)*(1-R98)+INDEX(Models!$BJ98:$BT98,,T98+1)*R98-ERP_i)*Q98*Ramure*Pc/MaxiM</f>
        <v>7.3079891450854497E-3</v>
      </c>
      <c r="Q98" s="304">
        <f t="shared" si="28"/>
        <v>0.7</v>
      </c>
      <c r="R98" s="177">
        <f t="shared" si="29"/>
        <v>0.5502868120016744</v>
      </c>
      <c r="S98" s="799">
        <f t="shared" si="30"/>
        <v>1</v>
      </c>
      <c r="T98" s="176">
        <f t="shared" si="31"/>
        <v>7</v>
      </c>
      <c r="U98" s="250">
        <f t="shared" si="32"/>
        <v>1.5502868120016744</v>
      </c>
      <c r="V98" s="382">
        <f t="shared" si="33"/>
        <v>48.955651780095721</v>
      </c>
      <c r="W98" s="400">
        <f t="shared" si="34"/>
        <v>37.476597018461064</v>
      </c>
      <c r="X98" s="157">
        <f t="shared" si="35"/>
        <v>46106</v>
      </c>
      <c r="Y98" s="383">
        <f t="shared" si="36"/>
        <v>36.105026994602007</v>
      </c>
      <c r="Z98" s="383">
        <f t="shared" si="37"/>
        <v>37.972230092003734</v>
      </c>
      <c r="AA98" s="384">
        <f t="shared" si="38"/>
        <v>40.870778423486506</v>
      </c>
      <c r="AB98" s="197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7.0919822016825451E-2</v>
      </c>
      <c r="AD98" s="230">
        <f>(INDEX(Models!$BJ98:$BT98,,AH98)*(1-AF98)+INDEX(Models!$BJ98:$BT98,,AH98+1)*AF98-ERP_i)*AE98*Ramure*Pc/MaxiM</f>
        <v>7.5374553486551189E-3</v>
      </c>
      <c r="AE98" s="304">
        <f t="shared" si="40"/>
        <v>0.7</v>
      </c>
      <c r="AF98" s="177">
        <f t="shared" si="41"/>
        <v>0.61461903426150655</v>
      </c>
      <c r="AG98" s="799">
        <f t="shared" si="49"/>
        <v>1</v>
      </c>
      <c r="AH98" s="176">
        <f t="shared" si="42"/>
        <v>7</v>
      </c>
      <c r="AI98" s="224">
        <f t="shared" si="43"/>
        <v>1.6146190342615065</v>
      </c>
      <c r="AJ98" s="264" t="b">
        <f t="shared" si="44"/>
        <v>0</v>
      </c>
      <c r="AK98" s="264" t="b">
        <f t="shared" si="45"/>
        <v>1</v>
      </c>
      <c r="AL98" s="264"/>
      <c r="AM98" s="264"/>
      <c r="AN98" s="75"/>
    </row>
    <row r="99" spans="1:40" s="6" customFormat="1" ht="11.25" x14ac:dyDescent="0.2">
      <c r="A99" s="56">
        <f t="shared" si="46"/>
        <v>46107</v>
      </c>
      <c r="B99" s="409">
        <f>'2025'!Wh/'2025'!Env_an*'2026'!Env_an</f>
        <v>42.836268472002637</v>
      </c>
      <c r="C99" s="829"/>
      <c r="D99" s="391">
        <f t="shared" si="25"/>
        <v>45.05244703854158</v>
      </c>
      <c r="E99" s="383">
        <f t="shared" si="47"/>
        <v>46.727542142417541</v>
      </c>
      <c r="F99" s="383">
        <f t="shared" si="26"/>
        <v>47.0116989289237</v>
      </c>
      <c r="G99" s="110">
        <f t="shared" si="48"/>
        <v>0.86900269654194939</v>
      </c>
      <c r="H99" s="412" t="b">
        <f>Wh_hp&gt;='2025'!Maxi_hp</f>
        <v>0</v>
      </c>
      <c r="I99" s="388">
        <f>IF(H99,Wh_hp,'2025'!Maxi_hp)</f>
        <v>54.406274588280766</v>
      </c>
      <c r="J99" s="85">
        <f>IF(H99,An,'2025'!An_max)</f>
        <v>2020</v>
      </c>
      <c r="K99" s="197">
        <f t="shared" si="27"/>
        <v>46107</v>
      </c>
      <c r="L99" s="147">
        <f>IF(t&lt;Tvie,1-EXP((T0-t)*PertePVj)+'2025'!Pspv,1-EXP((T0-t)*PertePVj)+Pspv)</f>
        <v>4.9191080889414041E-2</v>
      </c>
      <c r="M99" s="832"/>
      <c r="N99" s="832"/>
      <c r="O99" s="48">
        <f>IF(t&lt;Tnet,'2025'!Resal+('2025'!Salim-'2025'!Resal)*(1-EXP(('2025'!Tnet-t)/('2025'!Tau_j))),Resal+(Salim-Resal)*(1-EXP((Tnet-t)/(Tau_j))))*Salcycl</f>
        <v>3.5848132109550283E-2</v>
      </c>
      <c r="P99" s="169">
        <f>(INDEX(Models!$BJ99:$BT99,,T99)*(1-R99)+INDEX(Models!$BJ99:$BT99,,T99+1)*R99-ERP_i)*Q99*Ramure*Pc/MaxiM</f>
        <v>7.4202304415636813E-3</v>
      </c>
      <c r="Q99" s="304">
        <f t="shared" si="28"/>
        <v>0.7</v>
      </c>
      <c r="R99" s="177">
        <f t="shared" si="29"/>
        <v>0.55093936080279726</v>
      </c>
      <c r="S99" s="799">
        <f t="shared" si="30"/>
        <v>1</v>
      </c>
      <c r="T99" s="176">
        <f t="shared" si="31"/>
        <v>7</v>
      </c>
      <c r="U99" s="250">
        <f t="shared" si="32"/>
        <v>1.5509393608027973</v>
      </c>
      <c r="V99" s="382">
        <f t="shared" si="33"/>
        <v>49.225363901985723</v>
      </c>
      <c r="W99" s="400">
        <f t="shared" si="34"/>
        <v>42.836268472002637</v>
      </c>
      <c r="X99" s="157">
        <f t="shared" si="35"/>
        <v>46107</v>
      </c>
      <c r="Y99" s="383">
        <f t="shared" si="36"/>
        <v>41.268490845455148</v>
      </c>
      <c r="Z99" s="383">
        <f t="shared" si="37"/>
        <v>43.403558818168094</v>
      </c>
      <c r="AA99" s="384">
        <f t="shared" si="38"/>
        <v>46.718528342324127</v>
      </c>
      <c r="AB99" s="197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7.0956206065953306E-2</v>
      </c>
      <c r="AD99" s="230">
        <f>(INDEX(Models!$BJ99:$BT99,,AH99)*(1-AF99)+INDEX(Models!$BJ99:$BT99,,AH99+1)*AF99-ERP_i)*AE99*Ramure*Pc/MaxiM</f>
        <v>7.6556092078766272E-3</v>
      </c>
      <c r="AE99" s="304">
        <f t="shared" si="40"/>
        <v>0.7</v>
      </c>
      <c r="AF99" s="177">
        <f t="shared" si="41"/>
        <v>0.61527158306262941</v>
      </c>
      <c r="AG99" s="799">
        <f t="shared" si="49"/>
        <v>1</v>
      </c>
      <c r="AH99" s="176">
        <f t="shared" si="42"/>
        <v>7</v>
      </c>
      <c r="AI99" s="224">
        <f t="shared" si="43"/>
        <v>1.6152715830626294</v>
      </c>
      <c r="AJ99" s="264" t="b">
        <f t="shared" si="44"/>
        <v>0</v>
      </c>
      <c r="AK99" s="264" t="b">
        <f t="shared" si="45"/>
        <v>1</v>
      </c>
      <c r="AL99" s="264"/>
      <c r="AM99" s="264"/>
      <c r="AN99" s="75"/>
    </row>
    <row r="100" spans="1:40" s="6" customFormat="1" ht="11.25" x14ac:dyDescent="0.2">
      <c r="A100" s="56">
        <f t="shared" si="46"/>
        <v>46108</v>
      </c>
      <c r="B100" s="409">
        <f>'2025'!Wh/'2025'!Env_an*'2026'!Env_an</f>
        <v>45.434759997737139</v>
      </c>
      <c r="C100" s="829"/>
      <c r="D100" s="391">
        <f t="shared" si="25"/>
        <v>47.786290018962951</v>
      </c>
      <c r="E100" s="383">
        <f t="shared" si="47"/>
        <v>49.566879169110976</v>
      </c>
      <c r="F100" s="383">
        <f t="shared" si="26"/>
        <v>49.898325302079144</v>
      </c>
      <c r="G100" s="110">
        <f t="shared" si="48"/>
        <v>0.91723059607689261</v>
      </c>
      <c r="H100" s="412" t="b">
        <f>Wh_hp&gt;='2025'!Maxi_hp</f>
        <v>0</v>
      </c>
      <c r="I100" s="388">
        <f>IF(H100,Wh_hp,'2025'!Maxi_hp)</f>
        <v>53.384217171307384</v>
      </c>
      <c r="J100" s="85">
        <f>IF(H100,An,'2025'!An_max)</f>
        <v>2018</v>
      </c>
      <c r="K100" s="197">
        <f t="shared" si="27"/>
        <v>46108</v>
      </c>
      <c r="L100" s="147">
        <f>IF(t&lt;Tvie,1-EXP((T0-t)*PertePVj)+'2025'!Pspv,1-EXP((T0-t)*PertePVj)+Pspv)</f>
        <v>4.9209302925434462E-2</v>
      </c>
      <c r="M100" s="832"/>
      <c r="N100" s="832"/>
      <c r="O100" s="48">
        <f>IF(t&lt;Tnet,'2025'!Resal+('2025'!Salim-'2025'!Resal)*(1-EXP(('2025'!Tnet-t)/('2025'!Tau_j))),Resal+(Salim-Resal)*(1-EXP((Tnet-t)/(Tau_j))))*Salcycl</f>
        <v>3.5922962671768366E-2</v>
      </c>
      <c r="P100" s="169">
        <f>(INDEX(Models!$BJ100:$BT100,,T100)*(1-R100)+INDEX(Models!$BJ100:$BT100,,T100+1)*R100-ERP_i)*Q100*Ramure*Pc/MaxiM</f>
        <v>7.5232447161005965E-3</v>
      </c>
      <c r="Q100" s="304">
        <f t="shared" si="28"/>
        <v>0.7</v>
      </c>
      <c r="R100" s="177">
        <f t="shared" si="29"/>
        <v>0.55161693293716896</v>
      </c>
      <c r="S100" s="799">
        <f t="shared" si="30"/>
        <v>1</v>
      </c>
      <c r="T100" s="176">
        <f t="shared" si="31"/>
        <v>7</v>
      </c>
      <c r="U100" s="250">
        <f t="shared" si="32"/>
        <v>1.551616932937169</v>
      </c>
      <c r="V100" s="382">
        <f t="shared" si="33"/>
        <v>49.490796514771617</v>
      </c>
      <c r="W100" s="400">
        <f t="shared" si="34"/>
        <v>45.434759997737139</v>
      </c>
      <c r="X100" s="157">
        <f t="shared" si="35"/>
        <v>46108</v>
      </c>
      <c r="Y100" s="383">
        <f t="shared" si="36"/>
        <v>43.772563654568408</v>
      </c>
      <c r="Z100" s="383">
        <f t="shared" si="37"/>
        <v>46.038064727862555</v>
      </c>
      <c r="AA100" s="384">
        <f t="shared" si="38"/>
        <v>49.556212913441655</v>
      </c>
      <c r="AB100" s="197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7.0993079953953445E-2</v>
      </c>
      <c r="AD100" s="230">
        <f>(INDEX(Models!$BJ100:$BT100,,AH100)*(1-AF100)+INDEX(Models!$BJ100:$BT100,,AH100+1)*AF100-ERP_i)*AE100*Ramure*Pc/MaxiM</f>
        <v>7.7653499743100393E-3</v>
      </c>
      <c r="AE100" s="304">
        <f t="shared" si="40"/>
        <v>0.7</v>
      </c>
      <c r="AF100" s="177">
        <f t="shared" si="41"/>
        <v>0.61594915519700111</v>
      </c>
      <c r="AG100" s="799">
        <f t="shared" si="49"/>
        <v>1</v>
      </c>
      <c r="AH100" s="176">
        <f t="shared" si="42"/>
        <v>7</v>
      </c>
      <c r="AI100" s="224">
        <f t="shared" si="43"/>
        <v>1.6159491551970011</v>
      </c>
      <c r="AJ100" s="264" t="b">
        <f t="shared" si="44"/>
        <v>0</v>
      </c>
      <c r="AK100" s="264" t="b">
        <f t="shared" si="45"/>
        <v>1</v>
      </c>
      <c r="AL100" s="264"/>
      <c r="AM100" s="264"/>
      <c r="AN100" s="75"/>
    </row>
    <row r="101" spans="1:40" s="6" customFormat="1" ht="11.25" x14ac:dyDescent="0.2">
      <c r="A101" s="56">
        <f t="shared" si="46"/>
        <v>46109</v>
      </c>
      <c r="B101" s="409">
        <f>'2025'!Wh/'2025'!Env_an*'2026'!Env_an</f>
        <v>38.768998390916835</v>
      </c>
      <c r="C101" s="829"/>
      <c r="D101" s="391">
        <f t="shared" si="25"/>
        <v>40.776315464017983</v>
      </c>
      <c r="E101" s="383">
        <f t="shared" si="47"/>
        <v>42.298994674667412</v>
      </c>
      <c r="F101" s="383">
        <f t="shared" si="26"/>
        <v>42.520413973256694</v>
      </c>
      <c r="G101" s="110">
        <f t="shared" si="48"/>
        <v>0.77737046878023552</v>
      </c>
      <c r="H101" s="412" t="b">
        <f>Wh_hp&gt;='2025'!Maxi_hp</f>
        <v>0</v>
      </c>
      <c r="I101" s="388">
        <f>IF(H101,Wh_hp,'2025'!Maxi_hp)</f>
        <v>52.671348096668545</v>
      </c>
      <c r="J101" s="85">
        <f>IF(H101,An,'2025'!An_max)</f>
        <v>2021</v>
      </c>
      <c r="K101" s="197">
        <f t="shared" si="27"/>
        <v>46109</v>
      </c>
      <c r="L101" s="147">
        <f>IF(t&lt;Tvie,1-EXP((T0-t)*PertePVj)+'2025'!Pspv,1-EXP((T0-t)*PertePVj)+Pspv)</f>
        <v>4.9227524612233675E-2</v>
      </c>
      <c r="M101" s="832"/>
      <c r="N101" s="832"/>
      <c r="O101" s="48">
        <f>IF(t&lt;Tnet,'2025'!Resal+('2025'!Salim-'2025'!Resal)*(1-EXP(('2025'!Tnet-t)/('2025'!Tau_j))),Resal+(Salim-Resal)*(1-EXP((Tnet-t)/(Tau_j))))*Salcycl</f>
        <v>3.5998000008292272E-2</v>
      </c>
      <c r="P101" s="169">
        <f>(INDEX(Models!$BJ101:$BT101,,T101)*(1-R101)+INDEX(Models!$BJ101:$BT101,,T101+1)*R101-ERP_i)*Q101*Ramure*Pc/MaxiM</f>
        <v>7.6059677983538587E-3</v>
      </c>
      <c r="Q101" s="304">
        <f t="shared" si="28"/>
        <v>0.7</v>
      </c>
      <c r="R101" s="177">
        <f t="shared" si="29"/>
        <v>0.55232039017690049</v>
      </c>
      <c r="S101" s="799">
        <f t="shared" si="30"/>
        <v>1</v>
      </c>
      <c r="T101" s="176">
        <f t="shared" si="31"/>
        <v>7</v>
      </c>
      <c r="U101" s="250">
        <f t="shared" si="32"/>
        <v>1.5523203901769005</v>
      </c>
      <c r="V101" s="382">
        <f t="shared" si="33"/>
        <v>49.751722924306513</v>
      </c>
      <c r="W101" s="400">
        <f t="shared" si="34"/>
        <v>38.768998390916835</v>
      </c>
      <c r="X101" s="157">
        <f t="shared" si="35"/>
        <v>46109</v>
      </c>
      <c r="Y101" s="383">
        <f t="shared" si="36"/>
        <v>37.353723290488979</v>
      </c>
      <c r="Z101" s="383">
        <f t="shared" si="37"/>
        <v>39.287762590365809</v>
      </c>
      <c r="AA101" s="384">
        <f t="shared" si="38"/>
        <v>42.291766716296792</v>
      </c>
      <c r="AB101" s="197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7.103047139370082E-2</v>
      </c>
      <c r="AD101" s="230">
        <f>(INDEX(Models!$BJ101:$BT101,,AH101)*(1-AF101)+INDEX(Models!$BJ101:$BT101,,AH101+1)*AF101-ERP_i)*AE101*Ramure*Pc/MaxiM</f>
        <v>7.8542551832612995E-3</v>
      </c>
      <c r="AE101" s="304">
        <f t="shared" si="40"/>
        <v>0.7</v>
      </c>
      <c r="AF101" s="177">
        <f t="shared" si="41"/>
        <v>0.61665261243673264</v>
      </c>
      <c r="AG101" s="799">
        <f t="shared" si="49"/>
        <v>1</v>
      </c>
      <c r="AH101" s="176">
        <f t="shared" si="42"/>
        <v>7</v>
      </c>
      <c r="AI101" s="224">
        <f t="shared" si="43"/>
        <v>1.6166526124367326</v>
      </c>
      <c r="AJ101" s="264" t="b">
        <f t="shared" si="44"/>
        <v>0</v>
      </c>
      <c r="AK101" s="264" t="b">
        <f t="shared" si="45"/>
        <v>1</v>
      </c>
      <c r="AL101" s="264"/>
      <c r="AM101" s="264"/>
      <c r="AN101" s="75"/>
    </row>
    <row r="102" spans="1:40" s="6" customFormat="1" ht="11.25" x14ac:dyDescent="0.2">
      <c r="A102" s="56">
        <f t="shared" si="46"/>
        <v>46110</v>
      </c>
      <c r="B102" s="409">
        <f>'2025'!Wh/'2025'!Env_an*'2026'!Env_an</f>
        <v>27.031286662543504</v>
      </c>
      <c r="C102" s="829"/>
      <c r="D102" s="391">
        <f t="shared" si="25"/>
        <v>28.431412793990791</v>
      </c>
      <c r="E102" s="383">
        <f t="shared" si="47"/>
        <v>29.495408310199903</v>
      </c>
      <c r="F102" s="383">
        <f t="shared" si="26"/>
        <v>29.573343291025594</v>
      </c>
      <c r="G102" s="110">
        <f t="shared" si="48"/>
        <v>0.53781824465189132</v>
      </c>
      <c r="H102" s="412" t="b">
        <f>Wh_hp&gt;='2025'!Maxi_hp</f>
        <v>0</v>
      </c>
      <c r="I102" s="388">
        <f>IF(H102,Wh_hp,'2025'!Maxi_hp)</f>
        <v>55.509547390631532</v>
      </c>
      <c r="J102" s="85">
        <f>IF(H102,An,'2025'!An_max)</f>
        <v>2021</v>
      </c>
      <c r="K102" s="197">
        <f t="shared" si="27"/>
        <v>46110</v>
      </c>
      <c r="L102" s="147">
        <f>IF(t&lt;Tvie,1-EXP((T0-t)*PertePVj)+'2025'!Pspv,1-EXP((T0-t)*PertePVj)+Pspv)</f>
        <v>4.9245745949818454E-2</v>
      </c>
      <c r="M102" s="832"/>
      <c r="N102" s="832"/>
      <c r="O102" s="48">
        <f>IF(t&lt;Tnet,'2025'!Resal+('2025'!Salim-'2025'!Resal)*(1-EXP(('2025'!Tnet-t)/('2025'!Tau_j))),Resal+(Salim-Resal)*(1-EXP((Tnet-t)/(Tau_j))))*Salcycl</f>
        <v>3.6073259438187434E-2</v>
      </c>
      <c r="P102" s="169">
        <f>(INDEX(Models!$BJ102:$BT102,,T102)*(1-R102)+INDEX(Models!$BJ102:$BT102,,T102+1)*R102-ERP_i)*Q102*Ramure*Pc/MaxiM</f>
        <v>7.6688696854076508E-3</v>
      </c>
      <c r="Q102" s="304">
        <f t="shared" si="28"/>
        <v>0.7</v>
      </c>
      <c r="R102" s="177">
        <f t="shared" si="29"/>
        <v>0.55305061600440952</v>
      </c>
      <c r="S102" s="799">
        <f t="shared" si="30"/>
        <v>1</v>
      </c>
      <c r="T102" s="176">
        <f t="shared" si="31"/>
        <v>7</v>
      </c>
      <c r="U102" s="250">
        <f t="shared" si="32"/>
        <v>1.5530506160044095</v>
      </c>
      <c r="V102" s="382">
        <f t="shared" si="33"/>
        <v>50.007347029980167</v>
      </c>
      <c r="W102" s="400">
        <f t="shared" si="34"/>
        <v>27.031286662543504</v>
      </c>
      <c r="X102" s="157">
        <f t="shared" si="35"/>
        <v>46110</v>
      </c>
      <c r="Y102" s="383">
        <f t="shared" si="36"/>
        <v>26.047642527676537</v>
      </c>
      <c r="Z102" s="383">
        <f t="shared" si="37"/>
        <v>27.396819332350546</v>
      </c>
      <c r="AA102" s="384">
        <f t="shared" si="38"/>
        <v>29.492827636907876</v>
      </c>
      <c r="AB102" s="197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7.1068407897733901E-2</v>
      </c>
      <c r="AD102" s="230">
        <f>(INDEX(Models!$BJ102:$BT102,,AH102)*(1-AF102)+INDEX(Models!$BJ102:$BT102,,AH102+1)*AF102-ERP_i)*AE102*Ramure*Pc/MaxiM</f>
        <v>7.9228101748706498E-3</v>
      </c>
      <c r="AE102" s="304">
        <f t="shared" si="40"/>
        <v>0.7</v>
      </c>
      <c r="AF102" s="177">
        <f t="shared" si="41"/>
        <v>0.61738283826424167</v>
      </c>
      <c r="AG102" s="799">
        <f t="shared" si="49"/>
        <v>1</v>
      </c>
      <c r="AH102" s="176">
        <f t="shared" si="42"/>
        <v>7</v>
      </c>
      <c r="AI102" s="224">
        <f t="shared" si="43"/>
        <v>1.6173828382642417</v>
      </c>
      <c r="AJ102" s="264" t="b">
        <f t="shared" si="44"/>
        <v>0</v>
      </c>
      <c r="AK102" s="264" t="b">
        <f t="shared" si="45"/>
        <v>1</v>
      </c>
      <c r="AL102" s="264"/>
      <c r="AM102" s="264"/>
      <c r="AN102" s="75"/>
    </row>
    <row r="103" spans="1:40" s="6" customFormat="1" ht="11.25" x14ac:dyDescent="0.2">
      <c r="A103" s="56">
        <f t="shared" si="46"/>
        <v>46111</v>
      </c>
      <c r="B103" s="409">
        <f>'2025'!Wh/'2025'!Env_an*'2026'!Env_an</f>
        <v>6.1214409237485716</v>
      </c>
      <c r="C103" s="829"/>
      <c r="D103" s="391">
        <f t="shared" si="25"/>
        <v>6.4386335542944906</v>
      </c>
      <c r="E103" s="383">
        <f t="shared" si="47"/>
        <v>6.6801112680802053</v>
      </c>
      <c r="F103" s="383">
        <f t="shared" si="26"/>
        <v>6.6801112680802053</v>
      </c>
      <c r="G103" s="110">
        <f t="shared" si="48"/>
        <v>0.12086366607603809</v>
      </c>
      <c r="H103" s="412" t="b">
        <f>Wh_hp&gt;='2025'!Maxi_hp</f>
        <v>0</v>
      </c>
      <c r="I103" s="388">
        <f>IF(H103,Wh_hp,'2025'!Maxi_hp)</f>
        <v>54.961612248927921</v>
      </c>
      <c r="J103" s="85">
        <f>IF(H103,An,'2025'!An_max)</f>
        <v>2018</v>
      </c>
      <c r="K103" s="197">
        <f t="shared" si="27"/>
        <v>46111</v>
      </c>
      <c r="L103" s="147">
        <f>IF(t&lt;Tvie,1-EXP((T0-t)*PertePVj)+'2025'!Pspv,1-EXP((T0-t)*PertePVj)+Pspv)</f>
        <v>4.9263966938195347E-2</v>
      </c>
      <c r="M103" s="832"/>
      <c r="N103" s="832"/>
      <c r="O103" s="48">
        <f>IF(t&lt;Tnet,'2025'!Resal+('2025'!Salim-'2025'!Resal)*(1-EXP(('2025'!Tnet-t)/('2025'!Tau_j))),Resal+(Salim-Resal)*(1-EXP((Tnet-t)/(Tau_j))))*Salcycl</f>
        <v>3.6148756225001154E-2</v>
      </c>
      <c r="P103" s="169">
        <f>(INDEX(Models!$BJ103:$BT103,,T103)*(1-R103)+INDEX(Models!$BJ103:$BT103,,T103+1)*R103-ERP_i)*Q103*Ramure*Pc/MaxiM</f>
        <v>7.7123954531829256E-3</v>
      </c>
      <c r="Q103" s="304">
        <f t="shared" si="28"/>
        <v>0.7</v>
      </c>
      <c r="R103" s="177">
        <f t="shared" si="29"/>
        <v>0.5538085154857042</v>
      </c>
      <c r="S103" s="799">
        <f t="shared" si="30"/>
        <v>1</v>
      </c>
      <c r="T103" s="176">
        <f t="shared" si="31"/>
        <v>7</v>
      </c>
      <c r="U103" s="250">
        <f t="shared" si="32"/>
        <v>1.5538085154857042</v>
      </c>
      <c r="V103" s="382">
        <f t="shared" si="33"/>
        <v>50.256873283819537</v>
      </c>
      <c r="W103" s="400">
        <f t="shared" si="34"/>
        <v>6.1214409237485716</v>
      </c>
      <c r="X103" s="157">
        <f t="shared" si="35"/>
        <v>46111</v>
      </c>
      <c r="Y103" s="383">
        <f t="shared" si="36"/>
        <v>5.8994208603913503</v>
      </c>
      <c r="Z103" s="383">
        <f t="shared" si="37"/>
        <v>6.2051091525294551</v>
      </c>
      <c r="AA103" s="384">
        <f t="shared" si="38"/>
        <v>6.6801112680802053</v>
      </c>
      <c r="AB103" s="197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7.1106916709676352E-2</v>
      </c>
      <c r="AD103" s="230">
        <f>(INDEX(Models!$BJ103:$BT103,,AH103)*(1-AF103)+INDEX(Models!$BJ103:$BT103,,AH103+1)*AF103-ERP_i)*AE103*Ramure*Pc/MaxiM</f>
        <v>7.9714749465185052E-3</v>
      </c>
      <c r="AE103" s="304">
        <f t="shared" si="40"/>
        <v>0.7</v>
      </c>
      <c r="AF103" s="177">
        <f t="shared" si="41"/>
        <v>0.61814073774553635</v>
      </c>
      <c r="AG103" s="799">
        <f t="shared" si="49"/>
        <v>1</v>
      </c>
      <c r="AH103" s="176">
        <f t="shared" si="42"/>
        <v>7</v>
      </c>
      <c r="AI103" s="224">
        <f t="shared" si="43"/>
        <v>1.6181407377455364</v>
      </c>
      <c r="AJ103" s="264" t="b">
        <f t="shared" si="44"/>
        <v>0</v>
      </c>
      <c r="AK103" s="264" t="b">
        <f t="shared" si="45"/>
        <v>1</v>
      </c>
      <c r="AL103" s="264"/>
      <c r="AM103" s="264"/>
      <c r="AN103" s="75"/>
    </row>
    <row r="104" spans="1:40" s="6" customFormat="1" ht="11.25" x14ac:dyDescent="0.2">
      <c r="A104" s="56">
        <f t="shared" si="46"/>
        <v>46112</v>
      </c>
      <c r="B104" s="409">
        <f>'2025'!Wh/'2025'!Env_an*'2026'!Env_an</f>
        <v>17.077742580167026</v>
      </c>
      <c r="C104" s="829"/>
      <c r="D104" s="391">
        <f t="shared" si="25"/>
        <v>17.962998438673775</v>
      </c>
      <c r="E104" s="383">
        <f t="shared" si="47"/>
        <v>18.638156439922422</v>
      </c>
      <c r="F104" s="383">
        <f t="shared" si="26"/>
        <v>18.638156439922422</v>
      </c>
      <c r="G104" s="110">
        <f t="shared" si="48"/>
        <v>0.33555996524746107</v>
      </c>
      <c r="H104" s="412" t="b">
        <f>Wh_hp&gt;='2025'!Maxi_hp</f>
        <v>0</v>
      </c>
      <c r="I104" s="388">
        <f>IF(H104,Wh_hp,'2025'!Maxi_hp)</f>
        <v>51.391422760958996</v>
      </c>
      <c r="J104" s="85">
        <f>IF(H104,An,'2025'!An_max)</f>
        <v>2021</v>
      </c>
      <c r="K104" s="197">
        <f t="shared" si="27"/>
        <v>46112</v>
      </c>
      <c r="L104" s="147">
        <f>IF(t&lt;Tvie,1-EXP((T0-t)*PertePVj)+'2025'!Pspv,1-EXP((T0-t)*PertePVj)+Pspv)</f>
        <v>4.9282187577371239E-2</v>
      </c>
      <c r="M104" s="832"/>
      <c r="N104" s="832"/>
      <c r="O104" s="48">
        <f>IF(t&lt;Tnet,'2025'!Resal+('2025'!Salim-'2025'!Resal)*(1-EXP(('2025'!Tnet-t)/('2025'!Tau_j))),Resal+(Salim-Resal)*(1-EXP((Tnet-t)/(Tau_j))))*Salcycl</f>
        <v>3.6224505541893506E-2</v>
      </c>
      <c r="P104" s="169">
        <f>(INDEX(Models!$BJ104:$BT104,,T104)*(1-R104)+INDEX(Models!$BJ104:$BT104,,T104+1)*R104-ERP_i)*Q104*Ramure*Pc/MaxiM</f>
        <v>0</v>
      </c>
      <c r="Q104" s="304">
        <f t="shared" si="28"/>
        <v>0.7</v>
      </c>
      <c r="R104" s="177">
        <f t="shared" si="29"/>
        <v>0.79893718423328464</v>
      </c>
      <c r="S104" s="799">
        <f t="shared" si="30"/>
        <v>-2</v>
      </c>
      <c r="T104" s="176">
        <f t="shared" si="31"/>
        <v>4</v>
      </c>
      <c r="U104" s="250">
        <f t="shared" si="32"/>
        <v>-1.2010628157667154</v>
      </c>
      <c r="V104" s="382">
        <f t="shared" si="33"/>
        <v>50.893266029435082</v>
      </c>
      <c r="W104" s="400">
        <f t="shared" si="34"/>
        <v>17.077742580167026</v>
      </c>
      <c r="X104" s="157">
        <f t="shared" si="35"/>
        <v>46112</v>
      </c>
      <c r="Y104" s="383">
        <f t="shared" si="36"/>
        <v>16.452477294214447</v>
      </c>
      <c r="Z104" s="383">
        <f t="shared" si="37"/>
        <v>17.305321388993519</v>
      </c>
      <c r="AA104" s="384">
        <f t="shared" si="38"/>
        <v>18.630830948561254</v>
      </c>
      <c r="AB104" s="197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7.1146024738638611E-2</v>
      </c>
      <c r="AD104" s="230">
        <f>(INDEX(Models!$BJ104:$BT104,,AH104)*(1-AF104)+INDEX(Models!$BJ104:$BT104,,AH104+1)*AF104-ERP_i)*AE104*Ramure*Pc/MaxiM</f>
        <v>7.7369630007606185E-3</v>
      </c>
      <c r="AE104" s="304">
        <f t="shared" si="40"/>
        <v>0.7</v>
      </c>
      <c r="AF104" s="177">
        <f t="shared" si="41"/>
        <v>0.55459501507263553</v>
      </c>
      <c r="AG104" s="799">
        <f t="shared" si="49"/>
        <v>1</v>
      </c>
      <c r="AH104" s="176">
        <f t="shared" si="42"/>
        <v>7</v>
      </c>
      <c r="AI104" s="224">
        <f t="shared" si="43"/>
        <v>1.5545950150726355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46113</v>
      </c>
      <c r="B105" s="409">
        <f>'2025'!Wh/'2025'!Env_an*'2026'!Env_an</f>
        <v>32.242315847577508</v>
      </c>
      <c r="C105" s="829"/>
      <c r="D105" s="391">
        <f t="shared" si="25"/>
        <v>33.914304912291229</v>
      </c>
      <c r="E105" s="383">
        <f t="shared" si="47"/>
        <v>35.191785096831083</v>
      </c>
      <c r="F105" s="383">
        <f t="shared" si="26"/>
        <v>35.191802632050241</v>
      </c>
      <c r="G105" s="110">
        <f t="shared" si="48"/>
        <v>0.63059083004341676</v>
      </c>
      <c r="H105" s="412" t="b">
        <f>Wh_hp&gt;='2025'!Maxi_hp</f>
        <v>0</v>
      </c>
      <c r="I105" s="388">
        <f>IF(H105,Wh_hp,'2025'!Maxi_hp)</f>
        <v>51.899466717873182</v>
      </c>
      <c r="J105" s="85">
        <f>IF(H105,An,'2025'!An_max)</f>
        <v>2021</v>
      </c>
      <c r="K105" s="197">
        <f t="shared" si="27"/>
        <v>46113</v>
      </c>
      <c r="L105" s="147">
        <f>IF(t&lt;Tvie,1-EXP((T0-t)*PertePVj)+'2025'!Pspv,1-EXP((T0-t)*PertePVj)+Pspv)</f>
        <v>4.9300407867352791E-2</v>
      </c>
      <c r="M105" s="832"/>
      <c r="N105" s="832"/>
      <c r="O105" s="48">
        <f>IF(t&lt;Tnet,'2025'!Resal+('2025'!Salim-'2025'!Resal)*(1-EXP(('2025'!Tnet-t)/('2025'!Tau_j))),Resal+(Salim-Resal)*(1-EXP((Tnet-t)/(Tau_j))))*Salcycl</f>
        <v>3.6300522437973409E-2</v>
      </c>
      <c r="P105" s="169">
        <f>(INDEX(Models!$BJ105:$BT105,,T105)*(1-R105)+INDEX(Models!$BJ105:$BT105,,T105+1)*R105-ERP_i)*Q105*Ramure*Pc/MaxiM</f>
        <v>1.055058305607929E-6</v>
      </c>
      <c r="Q105" s="304">
        <f t="shared" si="28"/>
        <v>0.7</v>
      </c>
      <c r="R105" s="177">
        <f t="shared" si="29"/>
        <v>0.7997532314887128</v>
      </c>
      <c r="S105" s="799">
        <f t="shared" si="30"/>
        <v>-2</v>
      </c>
      <c r="T105" s="176">
        <f t="shared" si="31"/>
        <v>4</v>
      </c>
      <c r="U105" s="250">
        <f t="shared" si="32"/>
        <v>-1.2002467685112872</v>
      </c>
      <c r="V105" s="382">
        <f t="shared" si="33"/>
        <v>51.130299331164011</v>
      </c>
      <c r="W105" s="400">
        <f t="shared" si="34"/>
        <v>32.242315847577508</v>
      </c>
      <c r="X105" s="157">
        <f t="shared" si="35"/>
        <v>46113</v>
      </c>
      <c r="Y105" s="383">
        <f t="shared" si="36"/>
        <v>30.961546929260532</v>
      </c>
      <c r="Z105" s="383">
        <f t="shared" si="37"/>
        <v>32.567119188308851</v>
      </c>
      <c r="AA105" s="384">
        <f t="shared" si="38"/>
        <v>35.063113519441679</v>
      </c>
      <c r="AB105" s="197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7.1185758496570967E-2</v>
      </c>
      <c r="AD105" s="230">
        <f>(INDEX(Models!$BJ105:$BT105,,AH105)*(1-AF105)+INDEX(Models!$BJ105:$BT105,,AH105+1)*AF105-ERP_i)*AE105*Ramure*Pc/MaxiM</f>
        <v>7.7429609452063291E-3</v>
      </c>
      <c r="AE105" s="304">
        <f t="shared" si="40"/>
        <v>0.7</v>
      </c>
      <c r="AF105" s="177">
        <f t="shared" si="41"/>
        <v>0.5554110623280637</v>
      </c>
      <c r="AG105" s="799">
        <f t="shared" si="49"/>
        <v>1</v>
      </c>
      <c r="AH105" s="176">
        <f t="shared" si="42"/>
        <v>7</v>
      </c>
      <c r="AI105" s="224">
        <f t="shared" si="43"/>
        <v>1.5554110623280637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46114</v>
      </c>
      <c r="B106" s="409">
        <f>'2025'!Wh/'2025'!Env_an*'2026'!Env_an</f>
        <v>17.036395569084437</v>
      </c>
      <c r="C106" s="829"/>
      <c r="D106" s="391">
        <f t="shared" si="25"/>
        <v>17.920194996359292</v>
      </c>
      <c r="E106" s="383">
        <f t="shared" si="47"/>
        <v>18.596683228335593</v>
      </c>
      <c r="F106" s="383">
        <f t="shared" si="26"/>
        <v>18.596685022784254</v>
      </c>
      <c r="G106" s="110">
        <f t="shared" si="48"/>
        <v>0.33171877046678433</v>
      </c>
      <c r="H106" s="412" t="b">
        <f>Wh_hp&gt;='2025'!Maxi_hp</f>
        <v>0</v>
      </c>
      <c r="I106" s="388">
        <f>IF(H106,Wh_hp,'2025'!Maxi_hp)</f>
        <v>43.794374405786975</v>
      </c>
      <c r="J106" s="85">
        <f>IF(H106,An,'2025'!An_max)</f>
        <v>2021</v>
      </c>
      <c r="K106" s="197">
        <f t="shared" si="27"/>
        <v>46114</v>
      </c>
      <c r="L106" s="147">
        <f>IF(t&lt;Tvie,1-EXP((T0-t)*PertePVj)+'2025'!Pspv,1-EXP((T0-t)*PertePVj)+Pspv)</f>
        <v>4.9318627808146553E-2</v>
      </c>
      <c r="M106" s="832"/>
      <c r="N106" s="832"/>
      <c r="O106" s="48">
        <f>IF(t&lt;Tnet,'2025'!Resal+('2025'!Salim-'2025'!Resal)*(1-EXP(('2025'!Tnet-t)/('2025'!Tau_j))),Resal+(Salim-Resal)*(1-EXP((Tnet-t)/(Tau_j))))*Salcycl</f>
        <v>3.6376821805812296E-2</v>
      </c>
      <c r="P106" s="169">
        <f>(INDEX(Models!$BJ106:$BT106,,T106)*(1-R106)+INDEX(Models!$BJ106:$BT106,,T106+1)*R106-ERP_i)*Q106*Ramure*Pc/MaxiM</f>
        <v>2.1294525371211861E-6</v>
      </c>
      <c r="Q106" s="304">
        <f t="shared" si="28"/>
        <v>0.7</v>
      </c>
      <c r="R106" s="177">
        <f t="shared" si="29"/>
        <v>0.80059979472826437</v>
      </c>
      <c r="S106" s="799">
        <f t="shared" si="30"/>
        <v>-2</v>
      </c>
      <c r="T106" s="176">
        <f t="shared" si="31"/>
        <v>4</v>
      </c>
      <c r="U106" s="250">
        <f t="shared" si="32"/>
        <v>-1.1994002052717356</v>
      </c>
      <c r="V106" s="382">
        <f t="shared" si="33"/>
        <v>51.357844208827999</v>
      </c>
      <c r="W106" s="400">
        <f t="shared" si="34"/>
        <v>17.036395569084437</v>
      </c>
      <c r="X106" s="157">
        <f t="shared" si="35"/>
        <v>46114</v>
      </c>
      <c r="Y106" s="383">
        <f t="shared" si="36"/>
        <v>16.414525712210555</v>
      </c>
      <c r="Z106" s="383">
        <f t="shared" si="37"/>
        <v>17.266064311711371</v>
      </c>
      <c r="AA106" s="384">
        <f t="shared" si="38"/>
        <v>18.59017047140772</v>
      </c>
      <c r="AB106" s="197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7.1226144038478031E-2</v>
      </c>
      <c r="AD106" s="230">
        <f>(INDEX(Models!$BJ106:$BT106,,AH106)*(1-AF106)+INDEX(Models!$BJ106:$BT106,,AH106+1)*AF106-ERP_i)*AE106*Ramure*Pc/MaxiM</f>
        <v>7.7307466428670583E-3</v>
      </c>
      <c r="AE106" s="304">
        <f t="shared" si="40"/>
        <v>0.7</v>
      </c>
      <c r="AF106" s="177">
        <f t="shared" si="41"/>
        <v>0.55625762556761527</v>
      </c>
      <c r="AG106" s="799">
        <f t="shared" si="49"/>
        <v>1</v>
      </c>
      <c r="AH106" s="176">
        <f t="shared" si="42"/>
        <v>7</v>
      </c>
      <c r="AI106" s="224">
        <f t="shared" si="43"/>
        <v>1.5562576255676153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46115</v>
      </c>
      <c r="B107" s="409">
        <f>'2025'!Wh/'2025'!Env_an*'2026'!Env_an</f>
        <v>31.693441055280257</v>
      </c>
      <c r="C107" s="829"/>
      <c r="D107" s="391">
        <f t="shared" si="25"/>
        <v>33.338244959418901</v>
      </c>
      <c r="E107" s="383">
        <f t="shared" si="47"/>
        <v>34.599515575398939</v>
      </c>
      <c r="F107" s="383">
        <f t="shared" si="26"/>
        <v>34.599565687505248</v>
      </c>
      <c r="G107" s="110">
        <f t="shared" si="48"/>
        <v>0.61449590574310553</v>
      </c>
      <c r="H107" s="412" t="b">
        <f>Wh_hp&gt;='2025'!Maxi_hp</f>
        <v>0</v>
      </c>
      <c r="I107" s="388">
        <f>IF(H107,Wh_hp,'2025'!Maxi_hp)</f>
        <v>44.063854252234997</v>
      </c>
      <c r="J107" s="85">
        <f>IF(H107,An,'2025'!An_max)</f>
        <v>2021</v>
      </c>
      <c r="K107" s="197">
        <f t="shared" si="27"/>
        <v>46115</v>
      </c>
      <c r="L107" s="147">
        <f>IF(t&lt;Tvie,1-EXP((T0-t)*PertePVj)+'2025'!Pspv,1-EXP((T0-t)*PertePVj)+Pspv)</f>
        <v>4.9336847399759298E-2</v>
      </c>
      <c r="M107" s="832"/>
      <c r="N107" s="832"/>
      <c r="O107" s="48">
        <f>IF(t&lt;Tnet,'2025'!Resal+('2025'!Salim-'2025'!Resal)*(1-EXP(('2025'!Tnet-t)/('2025'!Tau_j))),Resal+(Salim-Resal)*(1-EXP((Tnet-t)/(Tau_j))))*Salcycl</f>
        <v>3.6453418350077545E-2</v>
      </c>
      <c r="P107" s="169">
        <f>(INDEX(Models!$BJ107:$BT107,,T107)*(1-R107)+INDEX(Models!$BJ107:$BT107,,T107+1)*R107-ERP_i)*Q107*Ramure*Pc/MaxiM</f>
        <v>3.2236920455146784E-6</v>
      </c>
      <c r="Q107" s="304">
        <f t="shared" si="28"/>
        <v>0.7</v>
      </c>
      <c r="R107" s="177">
        <f t="shared" si="29"/>
        <v>0.80147786257211506</v>
      </c>
      <c r="S107" s="799">
        <f t="shared" si="30"/>
        <v>-2</v>
      </c>
      <c r="T107" s="176">
        <f t="shared" si="31"/>
        <v>4</v>
      </c>
      <c r="U107" s="250">
        <f t="shared" si="32"/>
        <v>-1.1985221374278849</v>
      </c>
      <c r="V107" s="382">
        <f t="shared" si="33"/>
        <v>51.576234263129408</v>
      </c>
      <c r="W107" s="400">
        <f t="shared" si="34"/>
        <v>31.693441055280257</v>
      </c>
      <c r="X107" s="157">
        <f t="shared" si="35"/>
        <v>46115</v>
      </c>
      <c r="Y107" s="383">
        <f t="shared" si="36"/>
        <v>30.442685678100016</v>
      </c>
      <c r="Z107" s="383">
        <f t="shared" si="37"/>
        <v>32.02257875971484</v>
      </c>
      <c r="AA107" s="384">
        <f t="shared" si="38"/>
        <v>34.479862235736974</v>
      </c>
      <c r="AB107" s="197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7.1267206905347116E-2</v>
      </c>
      <c r="AD107" s="230">
        <f>(INDEX(Models!$BJ107:$BT107,,AH107)*(1-AF107)+INDEX(Models!$BJ107:$BT107,,AH107+1)*AF107-ERP_i)*AE107*Ramure*Pc/MaxiM</f>
        <v>7.7004758665341093E-3</v>
      </c>
      <c r="AE107" s="304">
        <f t="shared" si="40"/>
        <v>0.7</v>
      </c>
      <c r="AF107" s="177">
        <f t="shared" si="41"/>
        <v>0.55713569341146596</v>
      </c>
      <c r="AG107" s="799">
        <f t="shared" si="49"/>
        <v>1</v>
      </c>
      <c r="AH107" s="176">
        <f t="shared" si="42"/>
        <v>7</v>
      </c>
      <c r="AI107" s="224">
        <f t="shared" si="43"/>
        <v>1.557135693411466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46116</v>
      </c>
      <c r="B108" s="409">
        <f>'2025'!Wh/'2025'!Env_an*'2026'!Env_an</f>
        <v>43.88461928428044</v>
      </c>
      <c r="C108" s="829"/>
      <c r="D108" s="391">
        <f t="shared" si="25"/>
        <v>46.162997081648797</v>
      </c>
      <c r="E108" s="383">
        <f t="shared" si="47"/>
        <v>47.913285030231336</v>
      </c>
      <c r="F108" s="383">
        <f t="shared" si="26"/>
        <v>47.913447391969861</v>
      </c>
      <c r="G108" s="110">
        <f t="shared" si="48"/>
        <v>0.84741184465301334</v>
      </c>
      <c r="H108" s="412" t="b">
        <f>Wh_hp&gt;='2025'!Maxi_hp</f>
        <v>0</v>
      </c>
      <c r="I108" s="388">
        <f>IF(H108,Wh_hp,'2025'!Maxi_hp)</f>
        <v>54.48441415561728</v>
      </c>
      <c r="J108" s="85">
        <f>IF(H108,An,'2025'!An_max)</f>
        <v>2020</v>
      </c>
      <c r="K108" s="197">
        <f t="shared" si="27"/>
        <v>46116</v>
      </c>
      <c r="L108" s="147">
        <f>IF(t&lt;Tvie,1-EXP((T0-t)*PertePVj)+'2025'!Pspv,1-EXP((T0-t)*PertePVj)+Pspv)</f>
        <v>4.9355066642197798E-2</v>
      </c>
      <c r="M108" s="832"/>
      <c r="N108" s="832"/>
      <c r="O108" s="48">
        <f>IF(t&lt;Tnet,'2025'!Resal+('2025'!Salim-'2025'!Resal)*(1-EXP(('2025'!Tnet-t)/('2025'!Tau_j))),Resal+(Salim-Resal)*(1-EXP((Tnet-t)/(Tau_j))))*Salcycl</f>
        <v>3.6530326557199698E-2</v>
      </c>
      <c r="P108" s="169">
        <f>(INDEX(Models!$BJ108:$BT108,,T108)*(1-R108)+INDEX(Models!$BJ108:$BT108,,T108+1)*R108-ERP_i)*Q108*Ramure*Pc/MaxiM</f>
        <v>4.3332075190367724E-6</v>
      </c>
      <c r="Q108" s="304">
        <f t="shared" si="28"/>
        <v>0.7</v>
      </c>
      <c r="R108" s="177">
        <f t="shared" si="29"/>
        <v>0.80238844339999726</v>
      </c>
      <c r="S108" s="799">
        <f t="shared" si="30"/>
        <v>-2</v>
      </c>
      <c r="T108" s="176">
        <f t="shared" si="31"/>
        <v>4</v>
      </c>
      <c r="U108" s="250">
        <f t="shared" si="32"/>
        <v>-1.1976115566000027</v>
      </c>
      <c r="V108" s="382">
        <f t="shared" si="33"/>
        <v>51.786599525772516</v>
      </c>
      <c r="W108" s="400">
        <f t="shared" si="34"/>
        <v>43.88461928428044</v>
      </c>
      <c r="X108" s="157">
        <f t="shared" si="35"/>
        <v>46116</v>
      </c>
      <c r="Y108" s="383">
        <f t="shared" si="36"/>
        <v>42.047723709601335</v>
      </c>
      <c r="Z108" s="383">
        <f t="shared" si="37"/>
        <v>44.230734561518439</v>
      </c>
      <c r="AA108" s="384">
        <f t="shared" si="38"/>
        <v>47.626964438416877</v>
      </c>
      <c r="AB108" s="197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7.1308972069590359E-2</v>
      </c>
      <c r="AD108" s="230">
        <f>(INDEX(Models!$BJ108:$BT108,,AH108)*(1-AF108)+INDEX(Models!$BJ108:$BT108,,AH108+1)*AF108-ERP_i)*AE108*Ramure*Pc/MaxiM</f>
        <v>7.6458289969124835E-3</v>
      </c>
      <c r="AE108" s="304">
        <f t="shared" si="40"/>
        <v>0.7</v>
      </c>
      <c r="AF108" s="177">
        <f t="shared" si="41"/>
        <v>0.55804627423934816</v>
      </c>
      <c r="AG108" s="799">
        <f t="shared" si="49"/>
        <v>1</v>
      </c>
      <c r="AH108" s="176">
        <f t="shared" si="42"/>
        <v>7</v>
      </c>
      <c r="AI108" s="224">
        <f t="shared" si="43"/>
        <v>1.5580462742393482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46117</v>
      </c>
      <c r="B109" s="409">
        <f>'2025'!Wh/'2025'!Env_an*'2026'!Env_an</f>
        <v>51.896397485603188</v>
      </c>
      <c r="C109" s="829"/>
      <c r="D109" s="391">
        <f t="shared" si="25"/>
        <v>54.591772665294144</v>
      </c>
      <c r="E109" s="383">
        <f t="shared" si="47"/>
        <v>56.666183412267266</v>
      </c>
      <c r="F109" s="383">
        <f t="shared" si="26"/>
        <v>56.666491638987942</v>
      </c>
      <c r="G109" s="110">
        <f t="shared" si="48"/>
        <v>0.99821226830923604</v>
      </c>
      <c r="H109" s="412" t="b">
        <f>Wh_hp&gt;='2025'!Maxi_hp</f>
        <v>0</v>
      </c>
      <c r="I109" s="388">
        <f>IF(H109,Wh_hp,'2025'!Maxi_hp)</f>
        <v>58.465341345603605</v>
      </c>
      <c r="J109" s="85">
        <f>IF(H109,An,'2025'!An_max)</f>
        <v>2020</v>
      </c>
      <c r="K109" s="197">
        <f t="shared" si="27"/>
        <v>46117</v>
      </c>
      <c r="L109" s="147">
        <f>IF(t&lt;Tvie,1-EXP((T0-t)*PertePVj)+'2025'!Pspv,1-EXP((T0-t)*PertePVj)+Pspv)</f>
        <v>4.9373285535468603E-2</v>
      </c>
      <c r="M109" s="832"/>
      <c r="N109" s="832"/>
      <c r="O109" s="48">
        <f>IF(t&lt;Tnet,'2025'!Resal+('2025'!Salim-'2025'!Resal)*(1-EXP(('2025'!Tnet-t)/('2025'!Tau_j))),Resal+(Salim-Resal)*(1-EXP((Tnet-t)/(Tau_j))))*Salcycl</f>
        <v>3.6607560665962276E-2</v>
      </c>
      <c r="P109" s="169">
        <f>(INDEX(Models!$BJ109:$BT109,,T109)*(1-R109)+INDEX(Models!$BJ109:$BT109,,T109+1)*R109-ERP_i)*Q109*Ramure*Pc/MaxiM</f>
        <v>5.4532388027354004E-6</v>
      </c>
      <c r="Q109" s="304">
        <f t="shared" si="28"/>
        <v>0.7</v>
      </c>
      <c r="R109" s="177">
        <f t="shared" si="29"/>
        <v>0.80333256470241232</v>
      </c>
      <c r="S109" s="799">
        <f t="shared" si="30"/>
        <v>-2</v>
      </c>
      <c r="T109" s="176">
        <f t="shared" si="31"/>
        <v>4</v>
      </c>
      <c r="U109" s="250">
        <f t="shared" si="32"/>
        <v>-1.1966674352975877</v>
      </c>
      <c r="V109" s="382">
        <f t="shared" si="33"/>
        <v>51.989339753100204</v>
      </c>
      <c r="W109" s="400">
        <f t="shared" si="34"/>
        <v>51.896397485603188</v>
      </c>
      <c r="X109" s="157">
        <f t="shared" si="35"/>
        <v>46117</v>
      </c>
      <c r="Y109" s="383">
        <f t="shared" si="36"/>
        <v>49.64701490346647</v>
      </c>
      <c r="Z109" s="383">
        <f t="shared" si="37"/>
        <v>52.225562513706151</v>
      </c>
      <c r="AA109" s="384">
        <f t="shared" si="38"/>
        <v>56.23824351467281</v>
      </c>
      <c r="AB109" s="197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7.1351463882753208E-2</v>
      </c>
      <c r="AD109" s="230">
        <f>(INDEX(Models!$BJ109:$BT109,,AH109)*(1-AF109)+INDEX(Models!$BJ109:$BT109,,AH109+1)*AF109-ERP_i)*AE109*Ramure*Pc/MaxiM</f>
        <v>7.5766931679083823E-3</v>
      </c>
      <c r="AE109" s="304">
        <f t="shared" si="40"/>
        <v>0.7</v>
      </c>
      <c r="AF109" s="177">
        <f t="shared" si="41"/>
        <v>0.55899039554176322</v>
      </c>
      <c r="AG109" s="799">
        <f t="shared" si="49"/>
        <v>1</v>
      </c>
      <c r="AH109" s="176">
        <f t="shared" si="42"/>
        <v>7</v>
      </c>
      <c r="AI109" s="224">
        <f t="shared" si="43"/>
        <v>1.5589903955417632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46118</v>
      </c>
      <c r="B110" s="409">
        <f>'2025'!Wh/'2025'!Env_an*'2026'!Env_an</f>
        <v>11.94259446000023</v>
      </c>
      <c r="C110" s="829"/>
      <c r="D110" s="391">
        <f t="shared" si="25"/>
        <v>12.563105117671896</v>
      </c>
      <c r="E110" s="383">
        <f t="shared" si="47"/>
        <v>13.041535607324329</v>
      </c>
      <c r="F110" s="383">
        <f t="shared" si="26"/>
        <v>13.041535607324329</v>
      </c>
      <c r="G110" s="110">
        <f t="shared" si="48"/>
        <v>0.22885022845698752</v>
      </c>
      <c r="H110" s="412" t="b">
        <f>Wh_hp&gt;='2025'!Maxi_hp</f>
        <v>0</v>
      </c>
      <c r="I110" s="388">
        <f>IF(H110,Wh_hp,'2025'!Maxi_hp)</f>
        <v>59.416138633229195</v>
      </c>
      <c r="J110" s="85">
        <f>IF(H110,An,'2025'!An_max)</f>
        <v>2020</v>
      </c>
      <c r="K110" s="197">
        <f t="shared" si="27"/>
        <v>46118</v>
      </c>
      <c r="L110" s="147">
        <f>IF(t&lt;Tvie,1-EXP((T0-t)*PertePVj)+'2025'!Pspv,1-EXP((T0-t)*PertePVj)+Pspv)</f>
        <v>4.9391504079578596E-2</v>
      </c>
      <c r="M110" s="832"/>
      <c r="N110" s="832"/>
      <c r="O110" s="48">
        <f>IF(t&lt;Tnet,'2025'!Resal+('2025'!Salim-'2025'!Resal)*(1-EXP(('2025'!Tnet-t)/('2025'!Tau_j))),Resal+(Salim-Resal)*(1-EXP((Tnet-t)/(Tau_j))))*Salcycl</f>
        <v>3.6685134638879478E-2</v>
      </c>
      <c r="P110" s="169">
        <f>(INDEX(Models!$BJ110:$BT110,,T110)*(1-R110)+INDEX(Models!$BJ110:$BT110,,T110+1)*R110-ERP_i)*Q110*Ramure*Pc/MaxiM</f>
        <v>6.5790827941070975E-6</v>
      </c>
      <c r="Q110" s="304">
        <f t="shared" si="28"/>
        <v>0.7</v>
      </c>
      <c r="R110" s="177">
        <f t="shared" si="29"/>
        <v>0.80431127232084454</v>
      </c>
      <c r="S110" s="799">
        <f t="shared" si="30"/>
        <v>-2</v>
      </c>
      <c r="T110" s="176">
        <f t="shared" si="31"/>
        <v>4</v>
      </c>
      <c r="U110" s="250">
        <f t="shared" si="32"/>
        <v>-1.1956887276791555</v>
      </c>
      <c r="V110" s="382">
        <f t="shared" si="33"/>
        <v>52.184854562760904</v>
      </c>
      <c r="W110" s="400">
        <f t="shared" si="34"/>
        <v>11.94259446000023</v>
      </c>
      <c r="X110" s="157">
        <f t="shared" si="35"/>
        <v>46118</v>
      </c>
      <c r="Y110" s="383">
        <f t="shared" si="36"/>
        <v>11.512286208926097</v>
      </c>
      <c r="Z110" s="383">
        <f t="shared" si="37"/>
        <v>12.110439006522228</v>
      </c>
      <c r="AA110" s="384">
        <f t="shared" si="38"/>
        <v>13.041535607324329</v>
      </c>
      <c r="AB110" s="197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7.1394706025200205E-2</v>
      </c>
      <c r="AD110" s="230">
        <f>(INDEX(Models!$BJ110:$BT110,,AH110)*(1-AF110)+INDEX(Models!$BJ110:$BT110,,AH110+1)*AF110-ERP_i)*AE110*Ramure*Pc/MaxiM</f>
        <v>7.4930831049634817E-3</v>
      </c>
      <c r="AE110" s="304">
        <f t="shared" si="40"/>
        <v>0.7</v>
      </c>
      <c r="AF110" s="177">
        <f t="shared" si="41"/>
        <v>0.55996910316019544</v>
      </c>
      <c r="AG110" s="799">
        <f t="shared" si="49"/>
        <v>1</v>
      </c>
      <c r="AH110" s="176">
        <f t="shared" si="42"/>
        <v>7</v>
      </c>
      <c r="AI110" s="224">
        <f t="shared" si="43"/>
        <v>1.5599691031601954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46119</v>
      </c>
      <c r="B111" s="409">
        <f>'2025'!Wh/'2025'!Env_an*'2026'!Env_an</f>
        <v>43.433497450305538</v>
      </c>
      <c r="C111" s="829"/>
      <c r="D111" s="391">
        <f t="shared" si="25"/>
        <v>45.691081076729994</v>
      </c>
      <c r="E111" s="383">
        <f t="shared" si="47"/>
        <v>47.434934521890341</v>
      </c>
      <c r="F111" s="383">
        <f t="shared" si="26"/>
        <v>47.435210907693296</v>
      </c>
      <c r="G111" s="110">
        <f t="shared" si="48"/>
        <v>0.82930069211790458</v>
      </c>
      <c r="H111" s="412" t="b">
        <f>Wh_hp&gt;='2025'!Maxi_hp</f>
        <v>0</v>
      </c>
      <c r="I111" s="388">
        <f>IF(H111,Wh_hp,'2025'!Maxi_hp)</f>
        <v>57.546398916195137</v>
      </c>
      <c r="J111" s="85">
        <f>IF(H111,An,'2025'!An_max)</f>
        <v>2021</v>
      </c>
      <c r="K111" s="197">
        <f t="shared" si="27"/>
        <v>46119</v>
      </c>
      <c r="L111" s="147">
        <f>IF(t&lt;Tvie,1-EXP((T0-t)*PertePVj)+'2025'!Pspv,1-EXP((T0-t)*PertePVj)+Pspv)</f>
        <v>4.9409722274534218E-2</v>
      </c>
      <c r="M111" s="832"/>
      <c r="N111" s="832"/>
      <c r="O111" s="48">
        <f>IF(t&lt;Tnet,'2025'!Resal+('2025'!Salim-'2025'!Resal)*(1-EXP(('2025'!Tnet-t)/('2025'!Tau_j))),Resal+(Salim-Resal)*(1-EXP((Tnet-t)/(Tau_j))))*Salcycl</f>
        <v>3.6763062134208054E-2</v>
      </c>
      <c r="P111" s="169">
        <f>(INDEX(Models!$BJ111:$BT111,,T111)*(1-R111)+INDEX(Models!$BJ111:$BT111,,T111+1)*R111-ERP_i)*Q111*Ramure*Pc/MaxiM</f>
        <v>7.705648503877216E-6</v>
      </c>
      <c r="Q111" s="304">
        <f t="shared" si="28"/>
        <v>0.7</v>
      </c>
      <c r="R111" s="177">
        <f t="shared" si="29"/>
        <v>0.80532562956960363</v>
      </c>
      <c r="S111" s="799">
        <f t="shared" si="30"/>
        <v>-2</v>
      </c>
      <c r="T111" s="176">
        <f t="shared" si="31"/>
        <v>4</v>
      </c>
      <c r="U111" s="250">
        <f t="shared" si="32"/>
        <v>-1.1946743704303964</v>
      </c>
      <c r="V111" s="382">
        <f t="shared" si="33"/>
        <v>52.37354345512378</v>
      </c>
      <c r="W111" s="400">
        <f t="shared" si="34"/>
        <v>43.433497450305538</v>
      </c>
      <c r="X111" s="157">
        <f t="shared" si="35"/>
        <v>46119</v>
      </c>
      <c r="Y111" s="383">
        <f t="shared" si="36"/>
        <v>41.636049439732737</v>
      </c>
      <c r="Z111" s="383">
        <f t="shared" si="37"/>
        <v>43.8002054253677</v>
      </c>
      <c r="AA111" s="384">
        <f t="shared" si="38"/>
        <v>47.169967602047571</v>
      </c>
      <c r="AB111" s="197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7.143872145745539E-2</v>
      </c>
      <c r="AD111" s="230">
        <f>(INDEX(Models!$BJ111:$BT111,,AH111)*(1-AF111)+INDEX(Models!$BJ111:$BT111,,AH111+1)*AF111-ERP_i)*AE111*Ramure*Pc/MaxiM</f>
        <v>7.3949951822046911E-3</v>
      </c>
      <c r="AE111" s="304">
        <f t="shared" si="40"/>
        <v>0.7</v>
      </c>
      <c r="AF111" s="177">
        <f t="shared" si="41"/>
        <v>0.56098346040895453</v>
      </c>
      <c r="AG111" s="799">
        <f t="shared" si="49"/>
        <v>1</v>
      </c>
      <c r="AH111" s="176">
        <f t="shared" si="42"/>
        <v>7</v>
      </c>
      <c r="AI111" s="224">
        <f t="shared" si="43"/>
        <v>1.5609834604089545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46120</v>
      </c>
      <c r="B112" s="409">
        <f>'2025'!Wh/'2025'!Env_an*'2026'!Env_an</f>
        <v>37.934070331220632</v>
      </c>
      <c r="C112" s="829"/>
      <c r="D112" s="391">
        <f t="shared" si="25"/>
        <v>39.906569877535723</v>
      </c>
      <c r="E112" s="383">
        <f t="shared" si="47"/>
        <v>41.433018481385538</v>
      </c>
      <c r="F112" s="383">
        <f t="shared" si="26"/>
        <v>41.433238864235811</v>
      </c>
      <c r="G112" s="110">
        <f t="shared" si="48"/>
        <v>0.72178395233649573</v>
      </c>
      <c r="H112" s="412" t="b">
        <f>Wh_hp&gt;='2025'!Maxi_hp</f>
        <v>0</v>
      </c>
      <c r="I112" s="388">
        <f>IF(H112,Wh_hp,'2025'!Maxi_hp)</f>
        <v>58.154414706140663</v>
      </c>
      <c r="J112" s="85">
        <f>IF(H112,An,'2025'!An_max)</f>
        <v>2021</v>
      </c>
      <c r="K112" s="197">
        <f t="shared" si="27"/>
        <v>46120</v>
      </c>
      <c r="L112" s="147">
        <f>IF(t&lt;Tvie,1-EXP((T0-t)*PertePVj)+'2025'!Pspv,1-EXP((T0-t)*PertePVj)+Pspv)</f>
        <v>4.9427940120342351E-2</v>
      </c>
      <c r="M112" s="832"/>
      <c r="N112" s="832"/>
      <c r="O112" s="48">
        <f>IF(t&lt;Tnet,'2025'!Resal+('2025'!Salim-'2025'!Resal)*(1-EXP(('2025'!Tnet-t)/('2025'!Tau_j))),Resal+(Salim-Resal)*(1-EXP((Tnet-t)/(Tau_j))))*Salcycl</f>
        <v>3.6841356478423085E-2</v>
      </c>
      <c r="P112" s="169">
        <f>(INDEX(Models!$BJ112:$BT112,,T112)*(1-R112)+INDEX(Models!$BJ112:$BT112,,T112+1)*R112-ERP_i)*Q112*Ramure*Pc/MaxiM</f>
        <v>8.8274302036591974E-6</v>
      </c>
      <c r="Q112" s="304">
        <f t="shared" si="28"/>
        <v>0.7</v>
      </c>
      <c r="R112" s="177">
        <f t="shared" si="29"/>
        <v>0.80637671623179852</v>
      </c>
      <c r="S112" s="799">
        <f t="shared" si="30"/>
        <v>-2</v>
      </c>
      <c r="T112" s="176">
        <f t="shared" si="31"/>
        <v>4</v>
      </c>
      <c r="U112" s="250">
        <f t="shared" si="32"/>
        <v>-1.1936232837682015</v>
      </c>
      <c r="V112" s="382">
        <f t="shared" si="33"/>
        <v>52.555805817207727</v>
      </c>
      <c r="W112" s="400">
        <f t="shared" si="34"/>
        <v>37.934070331220632</v>
      </c>
      <c r="X112" s="157">
        <f t="shared" si="35"/>
        <v>46120</v>
      </c>
      <c r="Y112" s="383">
        <f t="shared" si="36"/>
        <v>36.409410576467749</v>
      </c>
      <c r="Z112" s="383">
        <f t="shared" si="37"/>
        <v>38.302630713843179</v>
      </c>
      <c r="AA112" s="384">
        <f t="shared" si="38"/>
        <v>41.251428541409155</v>
      </c>
      <c r="AB112" s="197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7.1483532372846284E-2</v>
      </c>
      <c r="AD112" s="230">
        <f>(INDEX(Models!$BJ112:$BT112,,AH112)*(1-AF112)+INDEX(Models!$BJ112:$BT112,,AH112+1)*AF112-ERP_i)*AE112*Ramure*Pc/MaxiM</f>
        <v>7.2824084680520509E-3</v>
      </c>
      <c r="AE112" s="304">
        <f t="shared" si="40"/>
        <v>0.7</v>
      </c>
      <c r="AF112" s="177">
        <f t="shared" si="41"/>
        <v>0.56203454707114942</v>
      </c>
      <c r="AG112" s="799">
        <f t="shared" si="49"/>
        <v>1</v>
      </c>
      <c r="AH112" s="176">
        <f t="shared" si="42"/>
        <v>7</v>
      </c>
      <c r="AI112" s="224">
        <f t="shared" si="43"/>
        <v>1.5620345470711494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46121</v>
      </c>
      <c r="B113" s="409">
        <f>'2025'!Wh/'2025'!Env_an*'2026'!Env_an</f>
        <v>30.57857064801793</v>
      </c>
      <c r="C113" s="829"/>
      <c r="D113" s="391">
        <f t="shared" si="25"/>
        <v>32.169214708931165</v>
      </c>
      <c r="E113" s="383">
        <f t="shared" si="47"/>
        <v>33.402433580125752</v>
      </c>
      <c r="F113" s="383">
        <f t="shared" si="26"/>
        <v>33.402566314342558</v>
      </c>
      <c r="G113" s="110">
        <f t="shared" si="48"/>
        <v>0.57988251012809966</v>
      </c>
      <c r="H113" s="412" t="b">
        <f>Wh_hp&gt;='2025'!Maxi_hp</f>
        <v>0</v>
      </c>
      <c r="I113" s="388">
        <f>IF(H113,Wh_hp,'2025'!Maxi_hp)</f>
        <v>44.615117230380669</v>
      </c>
      <c r="J113" s="85">
        <f>IF(H113,An,'2025'!An_max)</f>
        <v>2018</v>
      </c>
      <c r="K113" s="197">
        <f t="shared" si="27"/>
        <v>46121</v>
      </c>
      <c r="L113" s="147">
        <f>IF(t&lt;Tvie,1-EXP((T0-t)*PertePVj)+'2025'!Pspv,1-EXP((T0-t)*PertePVj)+Pspv)</f>
        <v>4.9446157617009545E-2</v>
      </c>
      <c r="M113" s="832"/>
      <c r="N113" s="832"/>
      <c r="O113" s="48">
        <f>IF(t&lt;Tnet,'2025'!Resal+('2025'!Salim-'2025'!Resal)*(1-EXP(('2025'!Tnet-t)/('2025'!Tau_j))),Resal+(Salim-Resal)*(1-EXP((Tnet-t)/(Tau_j))))*Salcycl</f>
        <v>3.6920030638975553E-2</v>
      </c>
      <c r="P113" s="169">
        <f>(INDEX(Models!$BJ113:$BT113,,T113)*(1-R113)+INDEX(Models!$BJ113:$BT113,,T113+1)*R113-ERP_i)*Q113*Ramure*Pc/MaxiM</f>
        <v>9.9384800309643771E-6</v>
      </c>
      <c r="Q113" s="304">
        <f t="shared" si="28"/>
        <v>0.7</v>
      </c>
      <c r="R113" s="177">
        <f t="shared" si="29"/>
        <v>0.80746562742185146</v>
      </c>
      <c r="S113" s="799">
        <f t="shared" si="30"/>
        <v>-2</v>
      </c>
      <c r="T113" s="176">
        <f t="shared" si="31"/>
        <v>4</v>
      </c>
      <c r="U113" s="250">
        <f t="shared" si="32"/>
        <v>-1.1925343725781485</v>
      </c>
      <c r="V113" s="382">
        <f t="shared" si="33"/>
        <v>52.732040923813081</v>
      </c>
      <c r="W113" s="400">
        <f t="shared" si="34"/>
        <v>30.57857064801793</v>
      </c>
      <c r="X113" s="157">
        <f t="shared" si="35"/>
        <v>46121</v>
      </c>
      <c r="Y113" s="383">
        <f t="shared" si="36"/>
        <v>29.395479592124861</v>
      </c>
      <c r="Z113" s="383">
        <f t="shared" si="37"/>
        <v>30.924581314017814</v>
      </c>
      <c r="AA113" s="384">
        <f t="shared" si="38"/>
        <v>33.307003286231286</v>
      </c>
      <c r="AB113" s="197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7.152916015108253E-2</v>
      </c>
      <c r="AD113" s="230">
        <f>(INDEX(Models!$BJ113:$BT113,,AH113)*(1-AF113)+INDEX(Models!$BJ113:$BT113,,AH113+1)*AF113-ERP_i)*AE113*Ramure*Pc/MaxiM</f>
        <v>7.1552857237827021E-3</v>
      </c>
      <c r="AE113" s="304">
        <f t="shared" si="40"/>
        <v>0.7</v>
      </c>
      <c r="AF113" s="177">
        <f t="shared" si="41"/>
        <v>0.56312345826120236</v>
      </c>
      <c r="AG113" s="799">
        <f t="shared" si="49"/>
        <v>1</v>
      </c>
      <c r="AH113" s="176">
        <f t="shared" si="42"/>
        <v>7</v>
      </c>
      <c r="AI113" s="224">
        <f t="shared" si="43"/>
        <v>1.5631234582612024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46122</v>
      </c>
      <c r="B114" s="409">
        <f>'2025'!Wh/'2025'!Env_an*'2026'!Env_an</f>
        <v>55.454892493593277</v>
      </c>
      <c r="C114" s="829"/>
      <c r="D114" s="391">
        <f t="shared" si="25"/>
        <v>58.340677636208049</v>
      </c>
      <c r="E114" s="383">
        <f t="shared" si="47"/>
        <v>60.582162972438319</v>
      </c>
      <c r="F114" s="383">
        <f t="shared" si="26"/>
        <v>60.582831847269311</v>
      </c>
      <c r="G114" s="110">
        <f t="shared" si="48"/>
        <v>1.0482441826576603</v>
      </c>
      <c r="H114" s="412" t="b">
        <f>Wh_hp&gt;='2025'!Maxi_hp</f>
        <v>1</v>
      </c>
      <c r="I114" s="388">
        <f>IF(H114,Wh_hp,'2025'!Maxi_hp)</f>
        <v>60.582831847269311</v>
      </c>
      <c r="J114" s="85">
        <f>IF(H114,An,'2025'!An_max)</f>
        <v>2026</v>
      </c>
      <c r="K114" s="197">
        <f t="shared" si="27"/>
        <v>46122</v>
      </c>
      <c r="L114" s="147">
        <f>IF(t&lt;Tvie,1-EXP((T0-t)*PertePVj)+'2025'!Pspv,1-EXP((T0-t)*PertePVj)+Pspv)</f>
        <v>4.9464374764542685E-2</v>
      </c>
      <c r="M114" s="832"/>
      <c r="N114" s="832"/>
      <c r="O114" s="48">
        <f>IF(t&lt;Tnet,'2025'!Resal+('2025'!Salim-'2025'!Resal)*(1-EXP(('2025'!Tnet-t)/('2025'!Tau_j))),Resal+(Salim-Resal)*(1-EXP((Tnet-t)/(Tau_j))))*Salcycl</f>
        <v>3.6999097197140778E-2</v>
      </c>
      <c r="P114" s="169">
        <f>(INDEX(Models!$BJ114:$BT114,,T114)*(1-R114)+INDEX(Models!$BJ114:$BT114,,T114+1)*R114-ERP_i)*Q114*Ramure*Pc/MaxiM</f>
        <v>1.1040666317374932E-5</v>
      </c>
      <c r="Q114" s="304">
        <f t="shared" si="28"/>
        <v>0.7</v>
      </c>
      <c r="R114" s="177">
        <f t="shared" si="29"/>
        <v>0.80859347230692546</v>
      </c>
      <c r="S114" s="799">
        <f t="shared" si="30"/>
        <v>-2</v>
      </c>
      <c r="T114" s="176">
        <f t="shared" si="31"/>
        <v>4</v>
      </c>
      <c r="U114" s="250">
        <f t="shared" si="32"/>
        <v>-1.1914065276930745</v>
      </c>
      <c r="V114" s="382">
        <f t="shared" si="33"/>
        <v>52.90264750432101</v>
      </c>
      <c r="W114" s="400">
        <f t="shared" si="34"/>
        <v>55.454892493593277</v>
      </c>
      <c r="X114" s="157">
        <f t="shared" si="35"/>
        <v>46122</v>
      </c>
      <c r="Y114" s="383">
        <f t="shared" si="36"/>
        <v>53.08930252412636</v>
      </c>
      <c r="Z114" s="383">
        <f t="shared" si="37"/>
        <v>55.851986095708511</v>
      </c>
      <c r="AA114" s="384">
        <f t="shared" si="38"/>
        <v>60.15781965494071</v>
      </c>
      <c r="AB114" s="197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7.1575625312387203E-2</v>
      </c>
      <c r="AD114" s="230">
        <f>(INDEX(Models!$BJ114:$BT114,,AH114)*(1-AF114)+INDEX(Models!$BJ114:$BT114,,AH114+1)*AF114-ERP_i)*AE114*Ramure*Pc/MaxiM</f>
        <v>7.0153899936546953E-3</v>
      </c>
      <c r="AE114" s="304">
        <f t="shared" si="40"/>
        <v>0.7</v>
      </c>
      <c r="AF114" s="177">
        <f t="shared" si="41"/>
        <v>0.56425130314627636</v>
      </c>
      <c r="AG114" s="799">
        <f t="shared" si="49"/>
        <v>1</v>
      </c>
      <c r="AH114" s="176">
        <f t="shared" si="42"/>
        <v>7</v>
      </c>
      <c r="AI114" s="224">
        <f t="shared" si="43"/>
        <v>1.5642513031462764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46123</v>
      </c>
      <c r="B115" s="409">
        <f>'2025'!Wh/'2025'!Env_an*'2026'!Env_an</f>
        <v>44.23736583679591</v>
      </c>
      <c r="C115" s="829"/>
      <c r="D115" s="391">
        <f t="shared" si="25"/>
        <v>46.540300518573346</v>
      </c>
      <c r="E115" s="383">
        <f t="shared" si="47"/>
        <v>48.332396587551088</v>
      </c>
      <c r="F115" s="383">
        <f t="shared" si="26"/>
        <v>48.332843687666447</v>
      </c>
      <c r="G115" s="110">
        <f t="shared" si="48"/>
        <v>0.83359497356757428</v>
      </c>
      <c r="H115" s="412" t="b">
        <f>Wh_hp&gt;='2025'!Maxi_hp</f>
        <v>0</v>
      </c>
      <c r="I115" s="388">
        <f>IF(H115,Wh_hp,'2025'!Maxi_hp)</f>
        <v>58.211509097292016</v>
      </c>
      <c r="J115" s="85">
        <f>IF(H115,An,'2025'!An_max)</f>
        <v>2020</v>
      </c>
      <c r="K115" s="197">
        <f t="shared" si="27"/>
        <v>46123</v>
      </c>
      <c r="L115" s="147">
        <f>IF(t&lt;Tvie,1-EXP((T0-t)*PertePVj)+'2025'!Pspv,1-EXP((T0-t)*PertePVj)+Pspv)</f>
        <v>4.9482591562948319E-2</v>
      </c>
      <c r="M115" s="832"/>
      <c r="N115" s="832"/>
      <c r="O115" s="48">
        <f>IF(t&lt;Tnet,'2025'!Resal+('2025'!Salim-'2025'!Resal)*(1-EXP(('2025'!Tnet-t)/('2025'!Tau_j))),Resal+(Salim-Resal)*(1-EXP((Tnet-t)/(Tau_j))))*Salcycl</f>
        <v>3.7078568320763235E-2</v>
      </c>
      <c r="P115" s="169">
        <f>(INDEX(Models!$BJ115:$BT115,,T115)*(1-R115)+INDEX(Models!$BJ115:$BT115,,T115+1)*R115-ERP_i)*Q115*Ramure*Pc/MaxiM</f>
        <v>1.2135195771034132E-5</v>
      </c>
      <c r="Q115" s="304">
        <f t="shared" si="28"/>
        <v>0.7</v>
      </c>
      <c r="R115" s="177">
        <f t="shared" si="29"/>
        <v>0.8097613726796431</v>
      </c>
      <c r="S115" s="799">
        <f t="shared" si="30"/>
        <v>-2</v>
      </c>
      <c r="T115" s="176">
        <f t="shared" si="31"/>
        <v>4</v>
      </c>
      <c r="U115" s="250">
        <f t="shared" si="32"/>
        <v>-1.1902386273203569</v>
      </c>
      <c r="V115" s="382">
        <f t="shared" si="33"/>
        <v>53.068024189656406</v>
      </c>
      <c r="W115" s="400">
        <f t="shared" si="34"/>
        <v>44.23736583679591</v>
      </c>
      <c r="X115" s="157">
        <f t="shared" si="35"/>
        <v>46123</v>
      </c>
      <c r="Y115" s="383">
        <f t="shared" si="36"/>
        <v>42.42731541205039</v>
      </c>
      <c r="Z115" s="383">
        <f t="shared" si="37"/>
        <v>44.636021429438294</v>
      </c>
      <c r="AA115" s="384">
        <f t="shared" si="38"/>
        <v>48.079625953574798</v>
      </c>
      <c r="AB115" s="197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7.162294747179633E-2</v>
      </c>
      <c r="AD115" s="230">
        <f>(INDEX(Models!$BJ115:$BT115,,AH115)*(1-AF115)+INDEX(Models!$BJ115:$BT115,,AH115+1)*AF115-ERP_i)*AE115*Ramure*Pc/MaxiM</f>
        <v>6.8728382533540288E-3</v>
      </c>
      <c r="AE115" s="304">
        <f t="shared" si="40"/>
        <v>0.7</v>
      </c>
      <c r="AF115" s="177">
        <f t="shared" si="41"/>
        <v>0.565419203518994</v>
      </c>
      <c r="AG115" s="799">
        <f t="shared" si="49"/>
        <v>1</v>
      </c>
      <c r="AH115" s="176">
        <f t="shared" si="42"/>
        <v>7</v>
      </c>
      <c r="AI115" s="224">
        <f t="shared" si="43"/>
        <v>1.565419203518994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46124</v>
      </c>
      <c r="B116" s="409">
        <f>'2025'!Wh/'2025'!Env_an*'2026'!Env_an</f>
        <v>38.800448771944971</v>
      </c>
      <c r="C116" s="829"/>
      <c r="D116" s="391">
        <f t="shared" si="25"/>
        <v>40.821127570663251</v>
      </c>
      <c r="E116" s="383">
        <f t="shared" si="47"/>
        <v>42.396516658301124</v>
      </c>
      <c r="F116" s="383">
        <f t="shared" si="26"/>
        <v>42.396860094816887</v>
      </c>
      <c r="G116" s="110">
        <f t="shared" si="48"/>
        <v>0.72893655403445767</v>
      </c>
      <c r="H116" s="412" t="b">
        <f>Wh_hp&gt;='2025'!Maxi_hp</f>
        <v>0</v>
      </c>
      <c r="I116" s="388">
        <f>IF(H116,Wh_hp,'2025'!Maxi_hp)</f>
        <v>57.589141732142863</v>
      </c>
      <c r="J116" s="85">
        <f>IF(H116,An,'2025'!An_max)</f>
        <v>2020</v>
      </c>
      <c r="K116" s="197">
        <f t="shared" si="27"/>
        <v>46124</v>
      </c>
      <c r="L116" s="147">
        <f>IF(t&lt;Tvie,1-EXP((T0-t)*PertePVj)+'2025'!Pspv,1-EXP((T0-t)*PertePVj)+Pspv)</f>
        <v>4.9500808012233111E-2</v>
      </c>
      <c r="M116" s="832"/>
      <c r="N116" s="832"/>
      <c r="O116" s="48">
        <f>IF(t&lt;Tnet,'2025'!Resal+('2025'!Salim-'2025'!Resal)*(1-EXP(('2025'!Tnet-t)/('2025'!Tau_j))),Resal+(Salim-Resal)*(1-EXP((Tnet-t)/(Tau_j))))*Salcycl</f>
        <v>3.7158455736703115E-2</v>
      </c>
      <c r="P116" s="169">
        <f>(INDEX(Models!$BJ116:$BT116,,T116)*(1-R116)+INDEX(Models!$BJ116:$BT116,,T116+1)*R116-ERP_i)*Q116*Ramure*Pc/MaxiM</f>
        <v>1.3219468034070017E-5</v>
      </c>
      <c r="Q116" s="304">
        <f t="shared" si="28"/>
        <v>0.7</v>
      </c>
      <c r="R116" s="177">
        <f t="shared" si="29"/>
        <v>0.81097046137454565</v>
      </c>
      <c r="S116" s="799">
        <f t="shared" si="30"/>
        <v>-2</v>
      </c>
      <c r="T116" s="176">
        <f t="shared" si="31"/>
        <v>4</v>
      </c>
      <c r="U116" s="250">
        <f t="shared" si="32"/>
        <v>-1.1890295386254544</v>
      </c>
      <c r="V116" s="382">
        <f t="shared" si="33"/>
        <v>53.228569671828865</v>
      </c>
      <c r="W116" s="400">
        <f t="shared" si="34"/>
        <v>38.800448771944971</v>
      </c>
      <c r="X116" s="157">
        <f t="shared" si="35"/>
        <v>46124</v>
      </c>
      <c r="Y116" s="383">
        <f t="shared" si="36"/>
        <v>37.255744532489572</v>
      </c>
      <c r="Z116" s="383">
        <f t="shared" si="37"/>
        <v>39.195977068194139</v>
      </c>
      <c r="AA116" s="384">
        <f t="shared" si="38"/>
        <v>42.222082045026667</v>
      </c>
      <c r="AB116" s="197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7.1671145293247543E-2</v>
      </c>
      <c r="AD116" s="230">
        <f>(INDEX(Models!$BJ116:$BT116,,AH116)*(1-AF116)+INDEX(Models!$BJ116:$BT116,,AH116+1)*AF116-ERP_i)*AE116*Ramure*Pc/MaxiM</f>
        <v>6.7275107223683213E-3</v>
      </c>
      <c r="AE116" s="304">
        <f t="shared" si="40"/>
        <v>0.7</v>
      </c>
      <c r="AF116" s="177">
        <f t="shared" si="41"/>
        <v>0.56662829221389654</v>
      </c>
      <c r="AG116" s="799">
        <f t="shared" si="49"/>
        <v>1</v>
      </c>
      <c r="AH116" s="176">
        <f t="shared" si="42"/>
        <v>7</v>
      </c>
      <c r="AI116" s="224">
        <f t="shared" si="43"/>
        <v>1.5666282922138965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46125</v>
      </c>
      <c r="B117" s="409">
        <f>'2025'!Wh/'2025'!Env_an*'2026'!Env_an</f>
        <v>6.0119576778439781</v>
      </c>
      <c r="C117" s="829"/>
      <c r="D117" s="391">
        <f t="shared" si="25"/>
        <v>6.3251741280037486</v>
      </c>
      <c r="E117" s="383">
        <f t="shared" si="47"/>
        <v>6.5698263863626796</v>
      </c>
      <c r="F117" s="383">
        <f t="shared" si="26"/>
        <v>6.5698263863626796</v>
      </c>
      <c r="G117" s="110">
        <f t="shared" si="48"/>
        <v>0.11261417092743536</v>
      </c>
      <c r="H117" s="412" t="b">
        <f>Wh_hp&gt;='2025'!Maxi_hp</f>
        <v>0</v>
      </c>
      <c r="I117" s="388">
        <f>IF(H117,Wh_hp,'2025'!Maxi_hp)</f>
        <v>56.994672036100951</v>
      </c>
      <c r="J117" s="85">
        <f>IF(H117,An,'2025'!An_max)</f>
        <v>2018</v>
      </c>
      <c r="K117" s="197">
        <f t="shared" si="27"/>
        <v>46125</v>
      </c>
      <c r="L117" s="147">
        <f>IF(t&lt;Tvie,1-EXP((T0-t)*PertePVj)+'2025'!Pspv,1-EXP((T0-t)*PertePVj)+Pspv)</f>
        <v>4.9519024112403831E-2</v>
      </c>
      <c r="M117" s="832"/>
      <c r="N117" s="832"/>
      <c r="O117" s="48">
        <f>IF(t&lt;Tnet,'2025'!Resal+('2025'!Salim-'2025'!Resal)*(1-EXP(('2025'!Tnet-t)/('2025'!Tau_j))),Resal+(Salim-Resal)*(1-EXP((Tnet-t)/(Tau_j))))*Salcycl</f>
        <v>3.7238770702794799E-2</v>
      </c>
      <c r="P117" s="169">
        <f>(INDEX(Models!$BJ117:$BT117,,T117)*(1-R117)+INDEX(Models!$BJ117:$BT117,,T117+1)*R117-ERP_i)*Q117*Ramure*Pc/MaxiM</f>
        <v>1.42906469952177E-5</v>
      </c>
      <c r="Q117" s="304">
        <f t="shared" si="28"/>
        <v>0.7</v>
      </c>
      <c r="R117" s="177">
        <f t="shared" si="29"/>
        <v>0.81222188052088296</v>
      </c>
      <c r="S117" s="799">
        <f t="shared" si="30"/>
        <v>-2</v>
      </c>
      <c r="T117" s="176">
        <f t="shared" si="31"/>
        <v>4</v>
      </c>
      <c r="U117" s="250">
        <f t="shared" si="32"/>
        <v>-1.187778119479117</v>
      </c>
      <c r="V117" s="382">
        <f t="shared" si="33"/>
        <v>53.384682527680233</v>
      </c>
      <c r="W117" s="400">
        <f t="shared" si="34"/>
        <v>6.0119576778439781</v>
      </c>
      <c r="X117" s="157">
        <f t="shared" si="35"/>
        <v>46125</v>
      </c>
      <c r="Y117" s="383">
        <f t="shared" si="36"/>
        <v>5.7966383376042234</v>
      </c>
      <c r="Z117" s="383">
        <f t="shared" si="37"/>
        <v>6.0986368845426879</v>
      </c>
      <c r="AA117" s="384">
        <f t="shared" si="38"/>
        <v>6.5698263863626796</v>
      </c>
      <c r="AB117" s="197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7.172023644309132E-2</v>
      </c>
      <c r="AD117" s="230">
        <f>(INDEX(Models!$BJ117:$BT117,,AH117)*(1-AF117)+INDEX(Models!$BJ117:$BT117,,AH117+1)*AF117-ERP_i)*AE117*Ramure*Pc/MaxiM</f>
        <v>6.579287633929988E-3</v>
      </c>
      <c r="AE117" s="304">
        <f t="shared" si="40"/>
        <v>0.7</v>
      </c>
      <c r="AF117" s="177">
        <f t="shared" si="41"/>
        <v>0.56787971136023385</v>
      </c>
      <c r="AG117" s="799">
        <f t="shared" si="49"/>
        <v>1</v>
      </c>
      <c r="AH117" s="176">
        <f t="shared" si="42"/>
        <v>7</v>
      </c>
      <c r="AI117" s="224">
        <f t="shared" si="43"/>
        <v>1.5678797113602339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46126</v>
      </c>
      <c r="B118" s="409">
        <f>'2025'!Wh/'2025'!Env_an*'2026'!Env_an</f>
        <v>43.413485636975572</v>
      </c>
      <c r="C118" s="829"/>
      <c r="D118" s="391">
        <f t="shared" si="25"/>
        <v>45.676156350133354</v>
      </c>
      <c r="E118" s="383">
        <f t="shared" si="47"/>
        <v>47.446850214445845</v>
      </c>
      <c r="F118" s="383">
        <f t="shared" si="26"/>
        <v>47.447381641617675</v>
      </c>
      <c r="G118" s="110">
        <f t="shared" si="48"/>
        <v>0.81090646295239155</v>
      </c>
      <c r="H118" s="412" t="b">
        <f>Wh_hp&gt;='2025'!Maxi_hp</f>
        <v>0</v>
      </c>
      <c r="I118" s="388">
        <f>IF(H118,Wh_hp,'2025'!Maxi_hp)</f>
        <v>57.747438215709053</v>
      </c>
      <c r="J118" s="85">
        <f>IF(H118,An,'2025'!An_max)</f>
        <v>2021</v>
      </c>
      <c r="K118" s="197">
        <f t="shared" si="27"/>
        <v>46126</v>
      </c>
      <c r="L118" s="147">
        <f>IF(t&lt;Tvie,1-EXP((T0-t)*PertePVj)+'2025'!Pspv,1-EXP((T0-t)*PertePVj)+Pspv)</f>
        <v>4.9537239863467142E-2</v>
      </c>
      <c r="M118" s="832"/>
      <c r="N118" s="832"/>
      <c r="O118" s="48">
        <f>IF(t&lt;Tnet,'2025'!Resal+('2025'!Salim-'2025'!Resal)*(1-EXP(('2025'!Tnet-t)/('2025'!Tau_j))),Resal+(Salim-Resal)*(1-EXP((Tnet-t)/(Tau_j))))*Salcycl</f>
        <v>3.7319523979136231E-2</v>
      </c>
      <c r="P118" s="169">
        <f>(INDEX(Models!$BJ118:$BT118,,T118)*(1-R118)+INDEX(Models!$BJ118:$BT118,,T118+1)*R118-ERP_i)*Q118*Ramure*Pc/MaxiM</f>
        <v>1.5345650082477879E-5</v>
      </c>
      <c r="Q118" s="304">
        <f t="shared" si="28"/>
        <v>0.7</v>
      </c>
      <c r="R118" s="177">
        <f t="shared" si="29"/>
        <v>0.81351677962453373</v>
      </c>
      <c r="S118" s="799">
        <f t="shared" si="30"/>
        <v>-2</v>
      </c>
      <c r="T118" s="176">
        <f t="shared" si="31"/>
        <v>4</v>
      </c>
      <c r="U118" s="250">
        <f t="shared" si="32"/>
        <v>-1.1864832203754663</v>
      </c>
      <c r="V118" s="382">
        <f t="shared" si="33"/>
        <v>53.536761212721103</v>
      </c>
      <c r="W118" s="400">
        <f t="shared" si="34"/>
        <v>43.413485636975572</v>
      </c>
      <c r="X118" s="157">
        <f t="shared" si="35"/>
        <v>46126</v>
      </c>
      <c r="Y118" s="383">
        <f t="shared" si="36"/>
        <v>41.663955098671465</v>
      </c>
      <c r="Z118" s="383">
        <f t="shared" si="37"/>
        <v>43.835441898519505</v>
      </c>
      <c r="AA118" s="384">
        <f t="shared" si="38"/>
        <v>47.224775235037846</v>
      </c>
      <c r="AB118" s="197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7.177023754268011E-2</v>
      </c>
      <c r="AD118" s="230">
        <f>(INDEX(Models!$BJ118:$BT118,,AH118)*(1-AF118)+INDEX(Models!$BJ118:$BT118,,AH118+1)*AF118-ERP_i)*AE118*Ramure*Pc/MaxiM</f>
        <v>6.4280492277855412E-3</v>
      </c>
      <c r="AE118" s="304">
        <f t="shared" si="40"/>
        <v>0.7</v>
      </c>
      <c r="AF118" s="177">
        <f t="shared" si="41"/>
        <v>0.56917461046388462</v>
      </c>
      <c r="AG118" s="799">
        <f t="shared" si="49"/>
        <v>1</v>
      </c>
      <c r="AH118" s="176">
        <f t="shared" si="42"/>
        <v>7</v>
      </c>
      <c r="AI118" s="224">
        <f t="shared" si="43"/>
        <v>1.5691746104638846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46127</v>
      </c>
      <c r="B119" s="409">
        <f>'2025'!Wh/'2025'!Env_an*'2026'!Env_an</f>
        <v>44.420811302480949</v>
      </c>
      <c r="C119" s="829"/>
      <c r="D119" s="391">
        <f t="shared" si="25"/>
        <v>46.736878599146792</v>
      </c>
      <c r="E119" s="383">
        <f t="shared" si="47"/>
        <v>48.552788114159149</v>
      </c>
      <c r="F119" s="383">
        <f t="shared" si="26"/>
        <v>48.553387396313667</v>
      </c>
      <c r="G119" s="110">
        <f t="shared" si="48"/>
        <v>0.82742783013229171</v>
      </c>
      <c r="H119" s="412" t="b">
        <f>Wh_hp&gt;='2025'!Maxi_hp</f>
        <v>0</v>
      </c>
      <c r="I119" s="388">
        <f>IF(H119,Wh_hp,'2025'!Maxi_hp)</f>
        <v>58.651705388898215</v>
      </c>
      <c r="J119" s="85">
        <f>IF(H119,An,'2025'!An_max)</f>
        <v>2021</v>
      </c>
      <c r="K119" s="197">
        <f t="shared" si="27"/>
        <v>46127</v>
      </c>
      <c r="L119" s="147">
        <f>IF(t&lt;Tvie,1-EXP((T0-t)*PertePVj)+'2025'!Pspv,1-EXP((T0-t)*PertePVj)+Pspv)</f>
        <v>4.9555455265429815E-2</v>
      </c>
      <c r="M119" s="832"/>
      <c r="N119" s="832"/>
      <c r="O119" s="48">
        <f>IF(t&lt;Tnet,'2025'!Resal+('2025'!Salim-'2025'!Resal)*(1-EXP(('2025'!Tnet-t)/('2025'!Tau_j))),Resal+(Salim-Resal)*(1-EXP((Tnet-t)/(Tau_j))))*Salcycl</f>
        <v>3.7400725798541562E-2</v>
      </c>
      <c r="P119" s="169">
        <f>(INDEX(Models!$BJ119:$BT119,,T119)*(1-R119)+INDEX(Models!$BJ119:$BT119,,T119+1)*R119-ERP_i)*Q119*Ramure*Pc/MaxiM</f>
        <v>1.6381137569223399E-5</v>
      </c>
      <c r="Q119" s="304">
        <f t="shared" si="28"/>
        <v>0.7</v>
      </c>
      <c r="R119" s="177">
        <f t="shared" si="29"/>
        <v>0.81485631347215892</v>
      </c>
      <c r="S119" s="799">
        <f t="shared" si="30"/>
        <v>-2</v>
      </c>
      <c r="T119" s="176">
        <f t="shared" si="31"/>
        <v>4</v>
      </c>
      <c r="U119" s="250">
        <f t="shared" si="32"/>
        <v>-1.1851436865278411</v>
      </c>
      <c r="V119" s="382">
        <f t="shared" si="33"/>
        <v>53.685204067355329</v>
      </c>
      <c r="W119" s="400">
        <f t="shared" si="34"/>
        <v>44.420811302480949</v>
      </c>
      <c r="X119" s="157">
        <f t="shared" si="35"/>
        <v>46127</v>
      </c>
      <c r="Y119" s="383">
        <f t="shared" si="36"/>
        <v>42.630475896993175</v>
      </c>
      <c r="Z119" s="383">
        <f t="shared" si="37"/>
        <v>44.853196468078579</v>
      </c>
      <c r="AA119" s="384">
        <f t="shared" si="38"/>
        <v>48.323873303510602</v>
      </c>
      <c r="AB119" s="197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7.1821164119720671E-2</v>
      </c>
      <c r="AD119" s="230">
        <f>(INDEX(Models!$BJ119:$BT119,,AH119)*(1-AF119)+INDEX(Models!$BJ119:$BT119,,AH119+1)*AF119-ERP_i)*AE119*Ramure*Pc/MaxiM</f>
        <v>6.2736757634338745E-3</v>
      </c>
      <c r="AE119" s="304">
        <f t="shared" si="40"/>
        <v>0.7</v>
      </c>
      <c r="AF119" s="177">
        <f t="shared" si="41"/>
        <v>0.57051414431150982</v>
      </c>
      <c r="AG119" s="799">
        <f t="shared" si="49"/>
        <v>1</v>
      </c>
      <c r="AH119" s="176">
        <f t="shared" si="42"/>
        <v>7</v>
      </c>
      <c r="AI119" s="224">
        <f t="shared" si="43"/>
        <v>1.5705141443115098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46128</v>
      </c>
      <c r="B120" s="409">
        <f>'2025'!Wh/'2025'!Env_an*'2026'!Env_an</f>
        <v>36.344193228699019</v>
      </c>
      <c r="C120" s="829"/>
      <c r="D120" s="391">
        <f t="shared" si="25"/>
        <v>38.239884664044098</v>
      </c>
      <c r="E120" s="383">
        <f t="shared" si="47"/>
        <v>39.729023242091863</v>
      </c>
      <c r="F120" s="383">
        <f t="shared" si="26"/>
        <v>39.729393597437351</v>
      </c>
      <c r="G120" s="110">
        <f t="shared" si="48"/>
        <v>0.67515555488336609</v>
      </c>
      <c r="H120" s="412" t="b">
        <f>Wh_hp&gt;='2025'!Maxi_hp</f>
        <v>0</v>
      </c>
      <c r="I120" s="388">
        <f>IF(H120,Wh_hp,'2025'!Maxi_hp)</f>
        <v>57.771393300679215</v>
      </c>
      <c r="J120" s="85">
        <f>IF(H120,An,'2025'!An_max)</f>
        <v>2020</v>
      </c>
      <c r="K120" s="197">
        <f t="shared" si="27"/>
        <v>46128</v>
      </c>
      <c r="L120" s="147">
        <f>IF(t&lt;Tvie,1-EXP((T0-t)*PertePVj)+'2025'!Pspv,1-EXP((T0-t)*PertePVj)+Pspv)</f>
        <v>4.9573670318298402E-2</v>
      </c>
      <c r="M120" s="832"/>
      <c r="N120" s="832"/>
      <c r="O120" s="48">
        <f>IF(t&lt;Tnet,'2025'!Resal+('2025'!Salim-'2025'!Resal)*(1-EXP(('2025'!Tnet-t)/('2025'!Tau_j))),Resal+(Salim-Resal)*(1-EXP((Tnet-t)/(Tau_j))))*Salcycl</f>
        <v>3.7482385836006667E-2</v>
      </c>
      <c r="P120" s="169">
        <f>(INDEX(Models!$BJ120:$BT120,,T120)*(1-R120)+INDEX(Models!$BJ120:$BT120,,T120+1)*R120-ERP_i)*Q120*Ramure*Pc/MaxiM</f>
        <v>1.7393501981856155E-5</v>
      </c>
      <c r="Q120" s="304">
        <f t="shared" si="28"/>
        <v>0.7</v>
      </c>
      <c r="R120" s="177">
        <f t="shared" si="29"/>
        <v>0.81624163985107301</v>
      </c>
      <c r="S120" s="799">
        <f t="shared" si="30"/>
        <v>-2</v>
      </c>
      <c r="T120" s="176">
        <f t="shared" si="31"/>
        <v>4</v>
      </c>
      <c r="U120" s="250">
        <f t="shared" si="32"/>
        <v>-1.183758360148927</v>
      </c>
      <c r="V120" s="382">
        <f t="shared" si="33"/>
        <v>53.830409316752458</v>
      </c>
      <c r="W120" s="400">
        <f t="shared" si="34"/>
        <v>36.344193228699019</v>
      </c>
      <c r="X120" s="157">
        <f t="shared" si="35"/>
        <v>46128</v>
      </c>
      <c r="Y120" s="383">
        <f t="shared" si="36"/>
        <v>34.931070308807968</v>
      </c>
      <c r="Z120" s="383">
        <f t="shared" si="37"/>
        <v>36.753054095740808</v>
      </c>
      <c r="AA120" s="384">
        <f t="shared" si="38"/>
        <v>39.59916617641391</v>
      </c>
      <c r="AB120" s="197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7.1873030558110715E-2</v>
      </c>
      <c r="AD120" s="230">
        <f>(INDEX(Models!$BJ120:$BT120,,AH120)*(1-AF120)+INDEX(Models!$BJ120:$BT120,,AH120+1)*AF120-ERP_i)*AE120*Ramure*Pc/MaxiM</f>
        <v>6.1160475560423245E-3</v>
      </c>
      <c r="AE120" s="304">
        <f t="shared" si="40"/>
        <v>0.7</v>
      </c>
      <c r="AF120" s="177">
        <f t="shared" si="41"/>
        <v>0.57189947069042391</v>
      </c>
      <c r="AG120" s="799">
        <f t="shared" si="49"/>
        <v>1</v>
      </c>
      <c r="AH120" s="176">
        <f t="shared" si="42"/>
        <v>7</v>
      </c>
      <c r="AI120" s="224">
        <f t="shared" si="43"/>
        <v>1.5718994706904239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46129</v>
      </c>
      <c r="B121" s="409">
        <f>'2025'!Wh/'2025'!Env_an*'2026'!Env_an</f>
        <v>53.515809241204927</v>
      </c>
      <c r="C121" s="829"/>
      <c r="D121" s="391">
        <f t="shared" si="25"/>
        <v>56.308241057525265</v>
      </c>
      <c r="E121" s="383">
        <f t="shared" si="47"/>
        <v>58.505990093322758</v>
      </c>
      <c r="F121" s="383">
        <f t="shared" si="26"/>
        <v>58.507052448549487</v>
      </c>
      <c r="G121" s="110">
        <f t="shared" si="48"/>
        <v>0.99155935713596799</v>
      </c>
      <c r="H121" s="412" t="b">
        <f>Wh_hp&gt;='2025'!Maxi_hp</f>
        <v>1</v>
      </c>
      <c r="I121" s="388">
        <f>IF(H121,Wh_hp,'2025'!Maxi_hp)</f>
        <v>58.507052448549487</v>
      </c>
      <c r="J121" s="85">
        <f>IF(H121,An,'2025'!An_max)</f>
        <v>2026</v>
      </c>
      <c r="K121" s="197">
        <f t="shared" si="27"/>
        <v>46129</v>
      </c>
      <c r="L121" s="147">
        <f>IF(t&lt;Tvie,1-EXP((T0-t)*PertePVj)+'2025'!Pspv,1-EXP((T0-t)*PertePVj)+Pspv)</f>
        <v>4.9591885022079674E-2</v>
      </c>
      <c r="M121" s="832"/>
      <c r="N121" s="832"/>
      <c r="O121" s="48">
        <f>IF(t&lt;Tnet,'2025'!Resal+('2025'!Salim-'2025'!Resal)*(1-EXP(('2025'!Tnet-t)/('2025'!Tau_j))),Resal+(Salim-Resal)*(1-EXP((Tnet-t)/(Tau_j))))*Salcycl</f>
        <v>3.7564513177058785E-2</v>
      </c>
      <c r="P121" s="169">
        <f>(INDEX(Models!$BJ121:$BT121,,T121)*(1-R121)+INDEX(Models!$BJ121:$BT121,,T121+1)*R121-ERP_i)*Q121*Ramure*Pc/MaxiM</f>
        <v>1.8379342878634713E-5</v>
      </c>
      <c r="Q121" s="304">
        <f t="shared" si="28"/>
        <v>0.7</v>
      </c>
      <c r="R121" s="177">
        <f t="shared" si="29"/>
        <v>0.81767391707881432</v>
      </c>
      <c r="S121" s="799">
        <f t="shared" si="30"/>
        <v>-2</v>
      </c>
      <c r="T121" s="176">
        <f t="shared" si="31"/>
        <v>4</v>
      </c>
      <c r="U121" s="250">
        <f t="shared" si="32"/>
        <v>-1.1823260829211857</v>
      </c>
      <c r="V121" s="382">
        <f t="shared" si="33"/>
        <v>53.971350273715281</v>
      </c>
      <c r="W121" s="400">
        <f t="shared" si="34"/>
        <v>53.515809241204927</v>
      </c>
      <c r="X121" s="157">
        <f t="shared" si="35"/>
        <v>46129</v>
      </c>
      <c r="Y121" s="383">
        <f t="shared" si="36"/>
        <v>51.302479894411292</v>
      </c>
      <c r="Z121" s="383">
        <f t="shared" si="37"/>
        <v>53.979421141204313</v>
      </c>
      <c r="AA121" s="384">
        <f t="shared" si="38"/>
        <v>58.162832295114939</v>
      </c>
      <c r="AB121" s="197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7.1925850046026474E-2</v>
      </c>
      <c r="AD121" s="230">
        <f>(INDEX(Models!$BJ121:$BT121,,AH121)*(1-AF121)+INDEX(Models!$BJ121:$BT121,,AH121+1)*AF121-ERP_i)*AE121*Ramure*Pc/MaxiM</f>
        <v>5.9552022398149515E-3</v>
      </c>
      <c r="AE121" s="304">
        <f t="shared" si="40"/>
        <v>0.7</v>
      </c>
      <c r="AF121" s="177">
        <f t="shared" si="41"/>
        <v>0.57333174791816521</v>
      </c>
      <c r="AG121" s="799">
        <f t="shared" si="49"/>
        <v>1</v>
      </c>
      <c r="AH121" s="176">
        <f t="shared" si="42"/>
        <v>7</v>
      </c>
      <c r="AI121" s="224">
        <f t="shared" si="43"/>
        <v>1.5733317479181652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46130</v>
      </c>
      <c r="B122" s="409">
        <f>'2025'!Wh/'2025'!Env_an*'2026'!Env_an</f>
        <v>34.864515179064867</v>
      </c>
      <c r="C122" s="829"/>
      <c r="D122" s="391">
        <f t="shared" si="25"/>
        <v>36.68443357426505</v>
      </c>
      <c r="E122" s="383">
        <f t="shared" si="47"/>
        <v>38.119523716338534</v>
      </c>
      <c r="F122" s="383">
        <f t="shared" si="26"/>
        <v>38.119886197153022</v>
      </c>
      <c r="G122" s="110">
        <f t="shared" si="48"/>
        <v>0.64435761561488247</v>
      </c>
      <c r="H122" s="412" t="b">
        <f>Wh_hp&gt;='2025'!Maxi_hp</f>
        <v>0</v>
      </c>
      <c r="I122" s="388">
        <f>IF(H122,Wh_hp,'2025'!Maxi_hp)</f>
        <v>47.717829043951738</v>
      </c>
      <c r="J122" s="85">
        <f>IF(H122,An,'2025'!An_max)</f>
        <v>2021</v>
      </c>
      <c r="K122" s="197">
        <f t="shared" si="27"/>
        <v>46130</v>
      </c>
      <c r="L122" s="147">
        <f>IF(t&lt;Tvie,1-EXP((T0-t)*PertePVj)+'2025'!Pspv,1-EXP((T0-t)*PertePVj)+Pspv)</f>
        <v>4.9610099376780292E-2</v>
      </c>
      <c r="M122" s="832"/>
      <c r="N122" s="832"/>
      <c r="O122" s="48">
        <f>IF(t&lt;Tnet,'2025'!Resal+('2025'!Salim-'2025'!Resal)*(1-EXP(('2025'!Tnet-t)/('2025'!Tau_j))),Resal+(Salim-Resal)*(1-EXP((Tnet-t)/(Tau_j))))*Salcycl</f>
        <v>3.7647116284886435E-2</v>
      </c>
      <c r="P122" s="169">
        <f>(INDEX(Models!$BJ122:$BT122,,T122)*(1-R122)+INDEX(Models!$BJ122:$BT122,,T122+1)*R122-ERP_i)*Q122*Ramure*Pc/MaxiM</f>
        <v>1.9329196322301874E-5</v>
      </c>
      <c r="Q122" s="304">
        <f t="shared" si="28"/>
        <v>0.7</v>
      </c>
      <c r="R122" s="177">
        <f t="shared" si="29"/>
        <v>0.81915430133699263</v>
      </c>
      <c r="S122" s="799">
        <f t="shared" si="30"/>
        <v>-2</v>
      </c>
      <c r="T122" s="176">
        <f t="shared" si="31"/>
        <v>4</v>
      </c>
      <c r="U122" s="250">
        <f t="shared" si="32"/>
        <v>-1.1808456986630074</v>
      </c>
      <c r="V122" s="382">
        <f t="shared" si="33"/>
        <v>54.106868536152497</v>
      </c>
      <c r="W122" s="400">
        <f t="shared" si="34"/>
        <v>34.864515179064867</v>
      </c>
      <c r="X122" s="157">
        <f t="shared" si="35"/>
        <v>46130</v>
      </c>
      <c r="Y122" s="383">
        <f t="shared" si="36"/>
        <v>33.525106258272181</v>
      </c>
      <c r="Z122" s="383">
        <f t="shared" si="37"/>
        <v>35.275107864980512</v>
      </c>
      <c r="AA122" s="384">
        <f t="shared" si="38"/>
        <v>38.011135506508126</v>
      </c>
      <c r="AB122" s="197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7.1979634522077465E-2</v>
      </c>
      <c r="AD122" s="230">
        <f>(INDEX(Models!$BJ122:$BT122,,AH122)*(1-AF122)+INDEX(Models!$BJ122:$BT122,,AH122+1)*AF122-ERP_i)*AE122*Ramure*Pc/MaxiM</f>
        <v>5.7991026439427737E-3</v>
      </c>
      <c r="AE122" s="304">
        <f t="shared" si="40"/>
        <v>0.7</v>
      </c>
      <c r="AF122" s="177">
        <f t="shared" si="41"/>
        <v>0.57481213217634353</v>
      </c>
      <c r="AG122" s="799">
        <f t="shared" si="49"/>
        <v>1</v>
      </c>
      <c r="AH122" s="176">
        <f t="shared" si="42"/>
        <v>7</v>
      </c>
      <c r="AI122" s="224">
        <f t="shared" si="43"/>
        <v>1.5748121321763435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46131</v>
      </c>
      <c r="B123" s="409">
        <f>'2025'!Wh/'2025'!Env_an*'2026'!Env_an</f>
        <v>9.3410359338739344</v>
      </c>
      <c r="C123" s="829"/>
      <c r="D123" s="391">
        <f t="shared" si="25"/>
        <v>9.8288238858619792</v>
      </c>
      <c r="E123" s="383">
        <f t="shared" si="47"/>
        <v>10.214208027893115</v>
      </c>
      <c r="F123" s="383">
        <f t="shared" si="26"/>
        <v>10.214208027893115</v>
      </c>
      <c r="G123" s="110">
        <f t="shared" si="48"/>
        <v>0.17222225803003433</v>
      </c>
      <c r="H123" s="412" t="b">
        <f>Wh_hp&gt;='2025'!Maxi_hp</f>
        <v>0</v>
      </c>
      <c r="I123" s="388">
        <f>IF(H123,Wh_hp,'2025'!Maxi_hp)</f>
        <v>57.424115414132181</v>
      </c>
      <c r="J123" s="85">
        <f>IF(H123,An,'2025'!An_max)</f>
        <v>2021</v>
      </c>
      <c r="K123" s="197">
        <f t="shared" si="27"/>
        <v>46131</v>
      </c>
      <c r="L123" s="147">
        <f>IF(t&lt;Tvie,1-EXP((T0-t)*PertePVj)+'2025'!Pspv,1-EXP((T0-t)*PertePVj)+Pspv)</f>
        <v>4.9628313382406919E-2</v>
      </c>
      <c r="M123" s="832"/>
      <c r="N123" s="832"/>
      <c r="O123" s="48">
        <f>IF(t&lt;Tnet,'2025'!Resal+('2025'!Salim-'2025'!Resal)*(1-EXP(('2025'!Tnet-t)/('2025'!Tau_j))),Resal+(Salim-Resal)*(1-EXP((Tnet-t)/(Tau_j))))*Salcycl</f>
        <v>3.7730202966174513E-2</v>
      </c>
      <c r="P123" s="169">
        <f>(INDEX(Models!$BJ123:$BT123,,T123)*(1-R123)+INDEX(Models!$BJ123:$BT123,,T123+1)*R123-ERP_i)*Q123*Ramure*Pc/MaxiM</f>
        <v>2.026779824889555E-5</v>
      </c>
      <c r="Q123" s="304">
        <f t="shared" si="28"/>
        <v>0.7</v>
      </c>
      <c r="R123" s="177">
        <f t="shared" si="29"/>
        <v>0.82068394380470222</v>
      </c>
      <c r="S123" s="799">
        <f t="shared" si="30"/>
        <v>-2</v>
      </c>
      <c r="T123" s="176">
        <f t="shared" si="31"/>
        <v>4</v>
      </c>
      <c r="U123" s="250">
        <f t="shared" si="32"/>
        <v>-1.1793160561952978</v>
      </c>
      <c r="V123" s="382">
        <f t="shared" si="33"/>
        <v>54.237162597259719</v>
      </c>
      <c r="W123" s="400">
        <f t="shared" si="34"/>
        <v>9.3410359338739344</v>
      </c>
      <c r="X123" s="157">
        <f t="shared" si="35"/>
        <v>46131</v>
      </c>
      <c r="Y123" s="383">
        <f t="shared" si="36"/>
        <v>9.0080350562582865</v>
      </c>
      <c r="Z123" s="383">
        <f t="shared" si="37"/>
        <v>9.4784337360872009</v>
      </c>
      <c r="AA123" s="384">
        <f t="shared" si="38"/>
        <v>10.214208027893115</v>
      </c>
      <c r="AB123" s="197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7.2034394619401781E-2</v>
      </c>
      <c r="AD123" s="230">
        <f>(INDEX(Models!$BJ123:$BT123,,AH123)*(1-AF123)+INDEX(Models!$BJ123:$BT123,,AH123+1)*AF123-ERP_i)*AE123*Ramure*Pc/MaxiM</f>
        <v>5.6538318530422061E-3</v>
      </c>
      <c r="AE123" s="304">
        <f t="shared" si="40"/>
        <v>0.7</v>
      </c>
      <c r="AF123" s="177">
        <f t="shared" si="41"/>
        <v>0.57634177464405312</v>
      </c>
      <c r="AG123" s="799">
        <f t="shared" si="49"/>
        <v>1</v>
      </c>
      <c r="AH123" s="176">
        <f t="shared" si="42"/>
        <v>7</v>
      </c>
      <c r="AI123" s="224">
        <f t="shared" si="43"/>
        <v>1.5763417746440531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46132</v>
      </c>
      <c r="B124" s="409">
        <f>'2025'!Wh/'2025'!Env_an*'2026'!Env_an</f>
        <v>9.6199167661661473</v>
      </c>
      <c r="C124" s="829"/>
      <c r="D124" s="391">
        <f t="shared" si="25"/>
        <v>10.122461841690543</v>
      </c>
      <c r="E124" s="383">
        <f t="shared" si="47"/>
        <v>10.520273139248618</v>
      </c>
      <c r="F124" s="383">
        <f t="shared" si="26"/>
        <v>10.520273139248618</v>
      </c>
      <c r="G124" s="110">
        <f t="shared" si="48"/>
        <v>0.17695515950800886</v>
      </c>
      <c r="H124" s="412" t="b">
        <f>Wh_hp&gt;='2025'!Maxi_hp</f>
        <v>0</v>
      </c>
      <c r="I124" s="388">
        <f>IF(H124,Wh_hp,'2025'!Maxi_hp)</f>
        <v>54.37744314192939</v>
      </c>
      <c r="J124" s="85">
        <f>IF(H124,An,'2025'!An_max)</f>
        <v>2018</v>
      </c>
      <c r="K124" s="197">
        <f t="shared" si="27"/>
        <v>46132</v>
      </c>
      <c r="L124" s="147">
        <f>IF(t&lt;Tvie,1-EXP((T0-t)*PertePVj)+'2025'!Pspv,1-EXP((T0-t)*PertePVj)+Pspv)</f>
        <v>4.9646527038966326E-2</v>
      </c>
      <c r="M124" s="832"/>
      <c r="N124" s="832"/>
      <c r="O124" s="48">
        <f>IF(t&lt;Tnet,'2025'!Resal+('2025'!Salim-'2025'!Resal)*(1-EXP(('2025'!Tnet-t)/('2025'!Tau_j))),Resal+(Salim-Resal)*(1-EXP((Tnet-t)/(Tau_j))))*Salcycl</f>
        <v>3.7813780335601344E-2</v>
      </c>
      <c r="P124" s="169">
        <f>(INDEX(Models!$BJ124:$BT124,,T124)*(1-R124)+INDEX(Models!$BJ124:$BT124,,T124+1)*R124-ERP_i)*Q124*Ramure*Pc/MaxiM</f>
        <v>2.1195695050267415E-5</v>
      </c>
      <c r="Q124" s="304">
        <f t="shared" si="28"/>
        <v>0.7</v>
      </c>
      <c r="R124" s="177">
        <f t="shared" si="29"/>
        <v>0.82226398758763763</v>
      </c>
      <c r="S124" s="799">
        <f t="shared" si="30"/>
        <v>-2</v>
      </c>
      <c r="T124" s="176">
        <f t="shared" si="31"/>
        <v>4</v>
      </c>
      <c r="U124" s="250">
        <f t="shared" si="32"/>
        <v>-1.1777360124123624</v>
      </c>
      <c r="V124" s="382">
        <f t="shared" si="33"/>
        <v>54.362432223450284</v>
      </c>
      <c r="W124" s="400">
        <f t="shared" si="34"/>
        <v>9.6199167661661473</v>
      </c>
      <c r="X124" s="157">
        <f t="shared" si="35"/>
        <v>46132</v>
      </c>
      <c r="Y124" s="383">
        <f t="shared" si="36"/>
        <v>9.2772224763235833</v>
      </c>
      <c r="Z124" s="383">
        <f t="shared" si="37"/>
        <v>9.7618651799297069</v>
      </c>
      <c r="AA124" s="384">
        <f t="shared" si="38"/>
        <v>10.520273139248618</v>
      </c>
      <c r="AB124" s="197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7.2090139607637327E-2</v>
      </c>
      <c r="AD124" s="230">
        <f>(INDEX(Models!$BJ124:$BT124,,AH124)*(1-AF124)+INDEX(Models!$BJ124:$BT124,,AH124+1)*AF124-ERP_i)*AE124*Ramure*Pc/MaxiM</f>
        <v>5.5192557216860918E-3</v>
      </c>
      <c r="AE124" s="304">
        <f t="shared" si="40"/>
        <v>0.7</v>
      </c>
      <c r="AF124" s="177">
        <f t="shared" si="41"/>
        <v>0.57792181842698853</v>
      </c>
      <c r="AG124" s="799">
        <f t="shared" si="49"/>
        <v>1</v>
      </c>
      <c r="AH124" s="176">
        <f t="shared" si="42"/>
        <v>7</v>
      </c>
      <c r="AI124" s="224">
        <f t="shared" si="43"/>
        <v>1.5779218184269885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46133</v>
      </c>
      <c r="B125" s="409">
        <f>'2025'!Wh/'2025'!Env_an*'2026'!Env_an</f>
        <v>8.8522911003839351</v>
      </c>
      <c r="C125" s="829"/>
      <c r="D125" s="391">
        <f t="shared" si="25"/>
        <v>9.3149138795620701</v>
      </c>
      <c r="E125" s="383">
        <f t="shared" si="47"/>
        <v>9.6818346428510189</v>
      </c>
      <c r="F125" s="383">
        <f t="shared" si="26"/>
        <v>9.6818346428510189</v>
      </c>
      <c r="G125" s="110">
        <f t="shared" si="48"/>
        <v>0.16247481429440669</v>
      </c>
      <c r="H125" s="412" t="b">
        <f>Wh_hp&gt;='2025'!Maxi_hp</f>
        <v>0</v>
      </c>
      <c r="I125" s="388">
        <f>IF(H125,Wh_hp,'2025'!Maxi_hp)</f>
        <v>48.591897253026858</v>
      </c>
      <c r="J125" s="85">
        <f>IF(H125,An,'2025'!An_max)</f>
        <v>2021</v>
      </c>
      <c r="K125" s="197">
        <f t="shared" si="27"/>
        <v>46133</v>
      </c>
      <c r="L125" s="147">
        <f>IF(t&lt;Tvie,1-EXP((T0-t)*PertePVj)+'2025'!Pspv,1-EXP((T0-t)*PertePVj)+Pspv)</f>
        <v>4.9664740346465175E-2</v>
      </c>
      <c r="M125" s="832"/>
      <c r="N125" s="832"/>
      <c r="O125" s="48">
        <f>IF(t&lt;Tnet,'2025'!Resal+('2025'!Salim-'2025'!Resal)*(1-EXP(('2025'!Tnet-t)/('2025'!Tau_j))),Resal+(Salim-Resal)*(1-EXP((Tnet-t)/(Tau_j))))*Salcycl</f>
        <v>3.7897854778988542E-2</v>
      </c>
      <c r="P125" s="169">
        <f>(INDEX(Models!$BJ125:$BT125,,T125)*(1-R125)+INDEX(Models!$BJ125:$BT125,,T125+1)*R125-ERP_i)*Q125*Ramure*Pc/MaxiM</f>
        <v>2.2113519060284486E-5</v>
      </c>
      <c r="Q125" s="304">
        <f t="shared" si="28"/>
        <v>0.7</v>
      </c>
      <c r="R125" s="177">
        <f t="shared" si="29"/>
        <v>0.8238955644400161</v>
      </c>
      <c r="S125" s="799">
        <f t="shared" si="30"/>
        <v>-2</v>
      </c>
      <c r="T125" s="176">
        <f t="shared" si="31"/>
        <v>4</v>
      </c>
      <c r="U125" s="250">
        <f t="shared" si="32"/>
        <v>-1.1761044355599839</v>
      </c>
      <c r="V125" s="382">
        <f t="shared" si="33"/>
        <v>54.482877137104076</v>
      </c>
      <c r="W125" s="400">
        <f t="shared" si="34"/>
        <v>8.8522911003839351</v>
      </c>
      <c r="X125" s="157">
        <f t="shared" si="35"/>
        <v>46133</v>
      </c>
      <c r="Y125" s="383">
        <f t="shared" si="36"/>
        <v>8.5371662261118377</v>
      </c>
      <c r="Z125" s="383">
        <f t="shared" si="37"/>
        <v>8.9833205065170851</v>
      </c>
      <c r="AA125" s="384">
        <f t="shared" si="38"/>
        <v>9.6818346428510189</v>
      </c>
      <c r="AB125" s="197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7.2146877332769851E-2</v>
      </c>
      <c r="AD125" s="230">
        <f>(INDEX(Models!$BJ125:$BT125,,AH125)*(1-AF125)+INDEX(Models!$BJ125:$BT125,,AH125+1)*AF125-ERP_i)*AE125*Ramure*Pc/MaxiM</f>
        <v>5.3952666893740007E-3</v>
      </c>
      <c r="AE125" s="304">
        <f t="shared" si="40"/>
        <v>0.7</v>
      </c>
      <c r="AF125" s="177">
        <f t="shared" si="41"/>
        <v>0.579553395279367</v>
      </c>
      <c r="AG125" s="799">
        <f t="shared" si="49"/>
        <v>1</v>
      </c>
      <c r="AH125" s="176">
        <f t="shared" si="42"/>
        <v>7</v>
      </c>
      <c r="AI125" s="224">
        <f t="shared" si="43"/>
        <v>1.579553395279367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46134</v>
      </c>
      <c r="B126" s="409">
        <f>'2025'!Wh/'2025'!Env_an*'2026'!Env_an</f>
        <v>27.334564606990625</v>
      </c>
      <c r="C126" s="829"/>
      <c r="D126" s="391">
        <f t="shared" si="25"/>
        <v>28.763626520277445</v>
      </c>
      <c r="E126" s="383">
        <f t="shared" si="47"/>
        <v>29.899273645842552</v>
      </c>
      <c r="F126" s="383">
        <f t="shared" si="26"/>
        <v>29.899470949788196</v>
      </c>
      <c r="G126" s="110">
        <f t="shared" si="48"/>
        <v>0.5006367765986256</v>
      </c>
      <c r="H126" s="412" t="b">
        <f>Wh_hp&gt;='2025'!Maxi_hp</f>
        <v>0</v>
      </c>
      <c r="I126" s="388">
        <f>IF(H126,Wh_hp,'2025'!Maxi_hp)</f>
        <v>56.763007267600109</v>
      </c>
      <c r="J126" s="85">
        <f>IF(H126,An,'2025'!An_max)</f>
        <v>2021</v>
      </c>
      <c r="K126" s="197">
        <f t="shared" si="27"/>
        <v>46134</v>
      </c>
      <c r="L126" s="147">
        <f>IF(t&lt;Tvie,1-EXP((T0-t)*PertePVj)+'2025'!Pspv,1-EXP((T0-t)*PertePVj)+Pspv)</f>
        <v>4.9682953304910127E-2</v>
      </c>
      <c r="M126" s="832"/>
      <c r="N126" s="832"/>
      <c r="O126" s="48">
        <f>IF(t&lt;Tnet,'2025'!Resal+('2025'!Salim-'2025'!Resal)*(1-EXP(('2025'!Tnet-t)/('2025'!Tau_j))),Resal+(Salim-Resal)*(1-EXP((Tnet-t)/(Tau_j))))*Salcycl</f>
        <v>3.7982431915131724E-2</v>
      </c>
      <c r="P126" s="169">
        <f>(INDEX(Models!$BJ126:$BT126,,T126)*(1-R126)+INDEX(Models!$BJ126:$BT126,,T126+1)*R126-ERP_i)*Q126*Ramure*Pc/MaxiM</f>
        <v>2.3021942631595381E-5</v>
      </c>
      <c r="Q126" s="304">
        <f t="shared" si="28"/>
        <v>0.7</v>
      </c>
      <c r="R126" s="177">
        <f t="shared" si="29"/>
        <v>0.82557979127752201</v>
      </c>
      <c r="S126" s="799">
        <f t="shared" si="30"/>
        <v>-2</v>
      </c>
      <c r="T126" s="176">
        <f t="shared" si="31"/>
        <v>4</v>
      </c>
      <c r="U126" s="250">
        <f t="shared" si="32"/>
        <v>-1.174420208722478</v>
      </c>
      <c r="V126" s="382">
        <f t="shared" si="33"/>
        <v>54.598697030045933</v>
      </c>
      <c r="W126" s="400">
        <f t="shared" si="34"/>
        <v>27.334564606990625</v>
      </c>
      <c r="X126" s="157">
        <f t="shared" si="35"/>
        <v>46134</v>
      </c>
      <c r="Y126" s="383">
        <f t="shared" si="36"/>
        <v>26.322445584065473</v>
      </c>
      <c r="Z126" s="383">
        <f t="shared" si="37"/>
        <v>27.698593512140853</v>
      </c>
      <c r="AA126" s="384">
        <f t="shared" si="38"/>
        <v>29.854204854567083</v>
      </c>
      <c r="AB126" s="197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7.2204614154929195E-2</v>
      </c>
      <c r="AD126" s="230">
        <f>(INDEX(Models!$BJ126:$BT126,,AH126)*(1-AF126)+INDEX(Models!$BJ126:$BT126,,AH126+1)*AF126-ERP_i)*AE126*Ramure*Pc/MaxiM</f>
        <v>5.2817668898521939E-3</v>
      </c>
      <c r="AE126" s="304">
        <f t="shared" si="40"/>
        <v>0.7</v>
      </c>
      <c r="AF126" s="177">
        <f t="shared" si="41"/>
        <v>0.58123762211687291</v>
      </c>
      <c r="AG126" s="799">
        <f t="shared" si="49"/>
        <v>1</v>
      </c>
      <c r="AH126" s="176">
        <f t="shared" si="42"/>
        <v>7</v>
      </c>
      <c r="AI126" s="224">
        <f t="shared" si="43"/>
        <v>1.5812376221168729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46135</v>
      </c>
      <c r="B127" s="409">
        <f>'2025'!Wh/'2025'!Env_an*'2026'!Env_an</f>
        <v>9.3541635882228711</v>
      </c>
      <c r="C127" s="829"/>
      <c r="D127" s="391">
        <f t="shared" si="25"/>
        <v>9.8433916287214647</v>
      </c>
      <c r="E127" s="383">
        <f t="shared" si="47"/>
        <v>10.232934013708643</v>
      </c>
      <c r="F127" s="383">
        <f t="shared" si="26"/>
        <v>10.232934013708643</v>
      </c>
      <c r="G127" s="110">
        <f t="shared" si="48"/>
        <v>0.17097284163634666</v>
      </c>
      <c r="H127" s="412" t="b">
        <f>Wh_hp&gt;='2025'!Maxi_hp</f>
        <v>0</v>
      </c>
      <c r="I127" s="388">
        <f>IF(H127,Wh_hp,'2025'!Maxi_hp)</f>
        <v>60.533577473745396</v>
      </c>
      <c r="J127" s="85">
        <f>IF(H127,An,'2025'!An_max)</f>
        <v>2021</v>
      </c>
      <c r="K127" s="197">
        <f t="shared" si="27"/>
        <v>46135</v>
      </c>
      <c r="L127" s="147">
        <f>IF(t&lt;Tvie,1-EXP((T0-t)*PertePVj)+'2025'!Pspv,1-EXP((T0-t)*PertePVj)+Pspv)</f>
        <v>4.9701165914307843E-2</v>
      </c>
      <c r="M127" s="832"/>
      <c r="N127" s="832"/>
      <c r="O127" s="48">
        <f>IF(t&lt;Tnet,'2025'!Resal+('2025'!Salim-'2025'!Resal)*(1-EXP(('2025'!Tnet-t)/('2025'!Tau_j))),Resal+(Salim-Resal)*(1-EXP((Tnet-t)/(Tau_j))))*Salcycl</f>
        <v>3.806751655637821E-2</v>
      </c>
      <c r="P127" s="169">
        <f>(INDEX(Models!$BJ127:$BT127,,T127)*(1-R127)+INDEX(Models!$BJ127:$BT127,,T127+1)*R127-ERP_i)*Q127*Ramure*Pc/MaxiM</f>
        <v>2.392161448739238E-5</v>
      </c>
      <c r="Q127" s="304">
        <f t="shared" si="28"/>
        <v>0.7</v>
      </c>
      <c r="R127" s="177">
        <f t="shared" si="29"/>
        <v>0.82731776648074873</v>
      </c>
      <c r="S127" s="799">
        <f t="shared" si="30"/>
        <v>-2</v>
      </c>
      <c r="T127" s="176">
        <f t="shared" si="31"/>
        <v>4</v>
      </c>
      <c r="U127" s="250">
        <f t="shared" si="32"/>
        <v>-1.1726822335192513</v>
      </c>
      <c r="V127" s="382">
        <f t="shared" si="33"/>
        <v>54.710091567777582</v>
      </c>
      <c r="W127" s="400">
        <f t="shared" si="34"/>
        <v>9.3541635882228711</v>
      </c>
      <c r="X127" s="157">
        <f t="shared" si="35"/>
        <v>46135</v>
      </c>
      <c r="Y127" s="383">
        <f t="shared" si="36"/>
        <v>9.0216314497816441</v>
      </c>
      <c r="Z127" s="383">
        <f t="shared" si="37"/>
        <v>9.4934678715686278</v>
      </c>
      <c r="AA127" s="384">
        <f t="shared" si="38"/>
        <v>10.232934013708643</v>
      </c>
      <c r="AB127" s="197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7.2263354884276765E-2</v>
      </c>
      <c r="AD127" s="230">
        <f>(INDEX(Models!$BJ127:$BT127,,AH127)*(1-AF127)+INDEX(Models!$BJ127:$BT127,,AH127+1)*AF127-ERP_i)*AE127*Ramure*Pc/MaxiM</f>
        <v>5.1786528931607586E-3</v>
      </c>
      <c r="AE127" s="304">
        <f t="shared" si="40"/>
        <v>0.7</v>
      </c>
      <c r="AF127" s="177">
        <f t="shared" si="41"/>
        <v>0.58297559732009963</v>
      </c>
      <c r="AG127" s="799">
        <f t="shared" si="49"/>
        <v>1</v>
      </c>
      <c r="AH127" s="176">
        <f t="shared" si="42"/>
        <v>7</v>
      </c>
      <c r="AI127" s="224">
        <f t="shared" si="43"/>
        <v>1.5829755973200996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46136</v>
      </c>
      <c r="B128" s="409">
        <f>'2025'!Wh/'2025'!Env_an*'2026'!Env_an</f>
        <v>26.536166187452778</v>
      </c>
      <c r="C128" s="829"/>
      <c r="D128" s="391">
        <f t="shared" si="25"/>
        <v>27.92455783901087</v>
      </c>
      <c r="E128" s="383">
        <f t="shared" si="47"/>
        <v>29.032227693194024</v>
      </c>
      <c r="F128" s="383">
        <f t="shared" si="26"/>
        <v>29.032416911776821</v>
      </c>
      <c r="G128" s="110">
        <f t="shared" si="48"/>
        <v>0.48407528029508512</v>
      </c>
      <c r="H128" s="412" t="b">
        <f>Wh_hp&gt;='2025'!Maxi_hp</f>
        <v>0</v>
      </c>
      <c r="I128" s="388">
        <f>IF(H128,Wh_hp,'2025'!Maxi_hp)</f>
        <v>61.221202275533329</v>
      </c>
      <c r="J128" s="85">
        <f>IF(H128,An,'2025'!An_max)</f>
        <v>2021</v>
      </c>
      <c r="K128" s="197">
        <f t="shared" si="27"/>
        <v>46136</v>
      </c>
      <c r="L128" s="147">
        <f>IF(t&lt;Tvie,1-EXP((T0-t)*PertePVj)+'2025'!Pspv,1-EXP((T0-t)*PertePVj)+Pspv)</f>
        <v>4.9719378174665096E-2</v>
      </c>
      <c r="M128" s="832"/>
      <c r="N128" s="832"/>
      <c r="O128" s="48">
        <f>IF(t&lt;Tnet,'2025'!Resal+('2025'!Salim-'2025'!Resal)*(1-EXP(('2025'!Tnet-t)/('2025'!Tau_j))),Resal+(Salim-Resal)*(1-EXP((Tnet-t)/(Tau_j))))*Salcycl</f>
        <v>3.8153112668058306E-2</v>
      </c>
      <c r="P128" s="169">
        <f>(INDEX(Models!$BJ128:$BT128,,T128)*(1-R128)+INDEX(Models!$BJ128:$BT128,,T128+1)*R128-ERP_i)*Q128*Ramure*Pc/MaxiM</f>
        <v>2.4783480764771997E-5</v>
      </c>
      <c r="Q128" s="304">
        <f t="shared" si="28"/>
        <v>0.7</v>
      </c>
      <c r="R128" s="177">
        <f t="shared" si="29"/>
        <v>0.82911056599001398</v>
      </c>
      <c r="S128" s="799">
        <f t="shared" si="30"/>
        <v>-2</v>
      </c>
      <c r="T128" s="176">
        <f t="shared" si="31"/>
        <v>4</v>
      </c>
      <c r="U128" s="250">
        <f t="shared" si="32"/>
        <v>-1.170889434009986</v>
      </c>
      <c r="V128" s="382">
        <f t="shared" si="33"/>
        <v>54.81726201519534</v>
      </c>
      <c r="W128" s="400">
        <f t="shared" si="34"/>
        <v>26.536166187452778</v>
      </c>
      <c r="X128" s="157">
        <f t="shared" si="35"/>
        <v>46136</v>
      </c>
      <c r="Y128" s="383">
        <f t="shared" si="36"/>
        <v>25.559405144075043</v>
      </c>
      <c r="Z128" s="383">
        <f t="shared" si="37"/>
        <v>26.896691942407045</v>
      </c>
      <c r="AA128" s="384">
        <f t="shared" si="38"/>
        <v>28.99359897948359</v>
      </c>
      <c r="AB128" s="197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7.2323102715201287E-2</v>
      </c>
      <c r="AD128" s="230">
        <f>(INDEX(Models!$BJ128:$BT128,,AH128)*(1-AF128)+INDEX(Models!$BJ128:$BT128,,AH128+1)*AF128-ERP_i)*AE128*Ramure*Pc/MaxiM</f>
        <v>5.0842970288241668E-3</v>
      </c>
      <c r="AE128" s="304">
        <f t="shared" si="40"/>
        <v>0.7</v>
      </c>
      <c r="AF128" s="177">
        <f t="shared" si="41"/>
        <v>0.58476839682936488</v>
      </c>
      <c r="AG128" s="799">
        <f t="shared" si="49"/>
        <v>1</v>
      </c>
      <c r="AH128" s="176">
        <f t="shared" si="42"/>
        <v>7</v>
      </c>
      <c r="AI128" s="224">
        <f t="shared" si="43"/>
        <v>1.5847683968293649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46137</v>
      </c>
      <c r="B129" s="409">
        <f>'2025'!Wh/'2025'!Env_an*'2026'!Env_an</f>
        <v>41.859974648516584</v>
      </c>
      <c r="C129" s="829"/>
      <c r="D129" s="391">
        <f t="shared" si="25"/>
        <v>44.050963409469666</v>
      </c>
      <c r="E129" s="383">
        <f t="shared" si="47"/>
        <v>45.802412073666048</v>
      </c>
      <c r="F129" s="383">
        <f t="shared" si="26"/>
        <v>45.803185556411385</v>
      </c>
      <c r="G129" s="110">
        <f t="shared" si="48"/>
        <v>0.76218679188027427</v>
      </c>
      <c r="H129" s="412" t="b">
        <f>Wh_hp&gt;='2025'!Maxi_hp</f>
        <v>0</v>
      </c>
      <c r="I129" s="388">
        <f>IF(H129,Wh_hp,'2025'!Maxi_hp)</f>
        <v>49.231227193041249</v>
      </c>
      <c r="J129" s="85">
        <f>IF(H129,An,'2025'!An_max)</f>
        <v>2020</v>
      </c>
      <c r="K129" s="197">
        <f t="shared" si="27"/>
        <v>46137</v>
      </c>
      <c r="L129" s="147">
        <f>IF(t&lt;Tvie,1-EXP((T0-t)*PertePVj)+'2025'!Pspv,1-EXP((T0-t)*PertePVj)+Pspv)</f>
        <v>4.9737590085988548E-2</v>
      </c>
      <c r="M129" s="832"/>
      <c r="N129" s="832"/>
      <c r="O129" s="48">
        <f>IF(t&lt;Tnet,'2025'!Resal+('2025'!Salim-'2025'!Resal)*(1-EXP(('2025'!Tnet-t)/('2025'!Tau_j))),Resal+(Salim-Resal)*(1-EXP((Tnet-t)/(Tau_j))))*Salcycl</f>
        <v>3.8239223326916615E-2</v>
      </c>
      <c r="P129" s="169">
        <f>(INDEX(Models!$BJ129:$BT129,,T129)*(1-R129)+INDEX(Models!$BJ129:$BT129,,T129+1)*R129-ERP_i)*Q129*Ramure*Pc/MaxiM</f>
        <v>2.5575800353381448E-5</v>
      </c>
      <c r="Q129" s="304">
        <f t="shared" si="28"/>
        <v>0.7</v>
      </c>
      <c r="R129" s="177">
        <f t="shared" si="29"/>
        <v>0.83095923919398662</v>
      </c>
      <c r="S129" s="799">
        <f t="shared" si="30"/>
        <v>-2</v>
      </c>
      <c r="T129" s="176">
        <f t="shared" si="31"/>
        <v>4</v>
      </c>
      <c r="U129" s="250">
        <f t="shared" si="32"/>
        <v>-1.1690407608060134</v>
      </c>
      <c r="V129" s="382">
        <f t="shared" si="33"/>
        <v>54.920409772678987</v>
      </c>
      <c r="W129" s="400">
        <f t="shared" si="34"/>
        <v>41.859974648516584</v>
      </c>
      <c r="X129" s="157">
        <f t="shared" si="35"/>
        <v>46137</v>
      </c>
      <c r="Y129" s="383">
        <f t="shared" si="36"/>
        <v>40.241325990687201</v>
      </c>
      <c r="Z129" s="383">
        <f t="shared" si="37"/>
        <v>42.347593223569277</v>
      </c>
      <c r="AA129" s="384">
        <f t="shared" si="38"/>
        <v>45.652065934494317</v>
      </c>
      <c r="AB129" s="197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7.2383859159114328E-2</v>
      </c>
      <c r="AD129" s="230">
        <f>(INDEX(Models!$BJ129:$BT129,,AH129)*(1-AF129)+INDEX(Models!$BJ129:$BT129,,AH129+1)*AF129-ERP_i)*AE129*Ramure*Pc/MaxiM</f>
        <v>4.9968862303981345E-3</v>
      </c>
      <c r="AE129" s="304">
        <f t="shared" si="40"/>
        <v>0.7</v>
      </c>
      <c r="AF129" s="177">
        <f t="shared" si="41"/>
        <v>0.58661707003333752</v>
      </c>
      <c r="AG129" s="799">
        <f t="shared" si="49"/>
        <v>1</v>
      </c>
      <c r="AH129" s="176">
        <f t="shared" si="42"/>
        <v>7</v>
      </c>
      <c r="AI129" s="224">
        <f t="shared" si="43"/>
        <v>1.5866170700333375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46138</v>
      </c>
      <c r="B130" s="409">
        <f>'2025'!Wh/'2025'!Env_an*'2026'!Env_an</f>
        <v>53.733600028864885</v>
      </c>
      <c r="C130" s="829"/>
      <c r="D130" s="391">
        <f t="shared" si="25"/>
        <v>56.547148745628434</v>
      </c>
      <c r="E130" s="383">
        <f t="shared" si="47"/>
        <v>58.800737012155679</v>
      </c>
      <c r="F130" s="383">
        <f t="shared" si="26"/>
        <v>58.802231225443137</v>
      </c>
      <c r="G130" s="110">
        <f t="shared" si="48"/>
        <v>0.97662325765339697</v>
      </c>
      <c r="H130" s="412" t="b">
        <f>Wh_hp&gt;='2025'!Maxi_hp</f>
        <v>1</v>
      </c>
      <c r="I130" s="388">
        <f>IF(H130,Wh_hp,'2025'!Maxi_hp)</f>
        <v>58.802231225443137</v>
      </c>
      <c r="J130" s="85">
        <f>IF(H130,An,'2025'!An_max)</f>
        <v>2026</v>
      </c>
      <c r="K130" s="197">
        <f t="shared" si="27"/>
        <v>46138</v>
      </c>
      <c r="L130" s="147">
        <f>IF(t&lt;Tvie,1-EXP((T0-t)*PertePVj)+'2025'!Pspv,1-EXP((T0-t)*PertePVj)+Pspv)</f>
        <v>4.9755801648284859E-2</v>
      </c>
      <c r="M130" s="832"/>
      <c r="N130" s="832"/>
      <c r="O130" s="48">
        <f>IF(t&lt;Tnet,'2025'!Resal+('2025'!Salim-'2025'!Resal)*(1-EXP(('2025'!Tnet-t)/('2025'!Tau_j))),Resal+(Salim-Resal)*(1-EXP((Tnet-t)/(Tau_j))))*Salcycl</f>
        <v>3.8325850678731614E-2</v>
      </c>
      <c r="P130" s="169">
        <f>(INDEX(Models!$BJ130:$BT130,,T130)*(1-R130)+INDEX(Models!$BJ130:$BT130,,T130+1)*R130-ERP_i)*Q130*Ramure*Pc/MaxiM</f>
        <v>2.628871489944908E-5</v>
      </c>
      <c r="Q130" s="304">
        <f t="shared" si="28"/>
        <v>0.7</v>
      </c>
      <c r="R130" s="177">
        <f t="shared" si="29"/>
        <v>0.83286480461627366</v>
      </c>
      <c r="S130" s="799">
        <f t="shared" si="30"/>
        <v>-2</v>
      </c>
      <c r="T130" s="176">
        <f t="shared" si="31"/>
        <v>4</v>
      </c>
      <c r="U130" s="250">
        <f t="shared" si="32"/>
        <v>-1.1671351953837263</v>
      </c>
      <c r="V130" s="382">
        <f t="shared" si="33"/>
        <v>55.019735025217599</v>
      </c>
      <c r="W130" s="400">
        <f t="shared" si="34"/>
        <v>53.733600028864885</v>
      </c>
      <c r="X130" s="157">
        <f t="shared" si="35"/>
        <v>46138</v>
      </c>
      <c r="Y130" s="383">
        <f t="shared" si="36"/>
        <v>51.582173595885344</v>
      </c>
      <c r="Z130" s="383">
        <f t="shared" si="37"/>
        <v>54.283071325622728</v>
      </c>
      <c r="AA130" s="384">
        <f t="shared" si="38"/>
        <v>58.522791470535324</v>
      </c>
      <c r="AB130" s="197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7.2445623976210752E-2</v>
      </c>
      <c r="AD130" s="230">
        <f>(INDEX(Models!$BJ130:$BT130,,AH130)*(1-AF130)+INDEX(Models!$BJ130:$BT130,,AH130+1)*AF130-ERP_i)*AE130*Ramure*Pc/MaxiM</f>
        <v>4.9163744627478871E-3</v>
      </c>
      <c r="AE130" s="304">
        <f t="shared" si="40"/>
        <v>0.7</v>
      </c>
      <c r="AF130" s="177">
        <f t="shared" si="41"/>
        <v>0.58852263545562455</v>
      </c>
      <c r="AG130" s="799">
        <f t="shared" si="49"/>
        <v>1</v>
      </c>
      <c r="AH130" s="176">
        <f t="shared" si="42"/>
        <v>7</v>
      </c>
      <c r="AI130" s="224">
        <f t="shared" si="43"/>
        <v>1.5885226354556246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46139</v>
      </c>
      <c r="B131" s="409">
        <f>'2025'!Wh/'2025'!Env_an*'2026'!Env_an</f>
        <v>41.288227360856389</v>
      </c>
      <c r="C131" s="829"/>
      <c r="D131" s="391">
        <f t="shared" si="25"/>
        <v>43.450955793362311</v>
      </c>
      <c r="E131" s="383">
        <f t="shared" si="47"/>
        <v>45.18671280693971</v>
      </c>
      <c r="F131" s="383">
        <f t="shared" si="26"/>
        <v>45.187493044529162</v>
      </c>
      <c r="G131" s="110">
        <f t="shared" si="48"/>
        <v>0.74911550450843079</v>
      </c>
      <c r="H131" s="412" t="b">
        <f>Wh_hp&gt;='2025'!Maxi_hp</f>
        <v>1</v>
      </c>
      <c r="I131" s="388">
        <f>IF(H131,Wh_hp,'2025'!Maxi_hp)</f>
        <v>45.187493044529162</v>
      </c>
      <c r="J131" s="85">
        <f>IF(H131,An,'2025'!An_max)</f>
        <v>2026</v>
      </c>
      <c r="K131" s="197">
        <f t="shared" si="27"/>
        <v>46139</v>
      </c>
      <c r="L131" s="147">
        <f>IF(t&lt;Tvie,1-EXP((T0-t)*PertePVj)+'2025'!Pspv,1-EXP((T0-t)*PertePVj)+Pspv)</f>
        <v>4.977401286156069E-2</v>
      </c>
      <c r="M131" s="832"/>
      <c r="N131" s="832"/>
      <c r="O131" s="48">
        <f>IF(t&lt;Tnet,'2025'!Resal+('2025'!Salim-'2025'!Resal)*(1-EXP(('2025'!Tnet-t)/('2025'!Tau_j))),Resal+(Salim-Resal)*(1-EXP((Tnet-t)/(Tau_j))))*Salcycl</f>
        <v>3.8412995895351458E-2</v>
      </c>
      <c r="P131" s="169">
        <f>(INDEX(Models!$BJ131:$BT131,,T131)*(1-R131)+INDEX(Models!$BJ131:$BT131,,T131+1)*R131-ERP_i)*Q131*Ramure*Pc/MaxiM</f>
        <v>2.6911730594890484E-5</v>
      </c>
      <c r="Q131" s="304">
        <f t="shared" si="28"/>
        <v>0.7</v>
      </c>
      <c r="R131" s="177">
        <f t="shared" si="29"/>
        <v>0.83482824540598166</v>
      </c>
      <c r="S131" s="799">
        <f t="shared" si="30"/>
        <v>-2</v>
      </c>
      <c r="T131" s="176">
        <f t="shared" si="31"/>
        <v>4</v>
      </c>
      <c r="U131" s="250">
        <f t="shared" si="32"/>
        <v>-1.1651717545940183</v>
      </c>
      <c r="V131" s="382">
        <f t="shared" si="33"/>
        <v>55.115437977314798</v>
      </c>
      <c r="W131" s="400">
        <f t="shared" si="34"/>
        <v>41.288227360856389</v>
      </c>
      <c r="X131" s="157">
        <f t="shared" si="35"/>
        <v>46139</v>
      </c>
      <c r="Y131" s="383">
        <f t="shared" si="36"/>
        <v>39.70120029757426</v>
      </c>
      <c r="Z131" s="383">
        <f t="shared" si="37"/>
        <v>41.78079828897603</v>
      </c>
      <c r="AA131" s="384">
        <f t="shared" si="38"/>
        <v>45.047090527336344</v>
      </c>
      <c r="AB131" s="197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7.2508395106631901E-2</v>
      </c>
      <c r="AD131" s="230">
        <f>(INDEX(Models!$BJ131:$BT131,,AH131)*(1-AF131)+INDEX(Models!$BJ131:$BT131,,AH131+1)*AF131-ERP_i)*AE131*Ramure*Pc/MaxiM</f>
        <v>4.8427232532633107E-3</v>
      </c>
      <c r="AE131" s="304">
        <f t="shared" si="40"/>
        <v>0.7</v>
      </c>
      <c r="AF131" s="177">
        <f t="shared" si="41"/>
        <v>0.59048607624533256</v>
      </c>
      <c r="AG131" s="799">
        <f t="shared" si="49"/>
        <v>1</v>
      </c>
      <c r="AH131" s="176">
        <f t="shared" si="42"/>
        <v>7</v>
      </c>
      <c r="AI131" s="224">
        <f t="shared" si="43"/>
        <v>1.5904860762453326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46140</v>
      </c>
      <c r="B132" s="409">
        <f>'2025'!Wh/'2025'!Env_an*'2026'!Env_an</f>
        <v>23.163105564224598</v>
      </c>
      <c r="C132" s="829"/>
      <c r="D132" s="391">
        <f t="shared" si="25"/>
        <v>24.37688486937936</v>
      </c>
      <c r="E132" s="383">
        <f t="shared" si="47"/>
        <v>25.352991763216512</v>
      </c>
      <c r="F132" s="383">
        <f t="shared" si="26"/>
        <v>25.353110562452876</v>
      </c>
      <c r="G132" s="110">
        <f t="shared" si="48"/>
        <v>0.41955326413821076</v>
      </c>
      <c r="H132" s="412" t="b">
        <f>Wh_hp&gt;='2025'!Maxi_hp</f>
        <v>0</v>
      </c>
      <c r="I132" s="388">
        <f>IF(H132,Wh_hp,'2025'!Maxi_hp)</f>
        <v>40.022734639116834</v>
      </c>
      <c r="J132" s="85">
        <f>IF(H132,An,'2025'!An_max)</f>
        <v>2018</v>
      </c>
      <c r="K132" s="197">
        <f t="shared" si="27"/>
        <v>46140</v>
      </c>
      <c r="L132" s="147">
        <f>IF(t&lt;Tvie,1-EXP((T0-t)*PertePVj)+'2025'!Pspv,1-EXP((T0-t)*PertePVj)+Pspv)</f>
        <v>4.9792223725822815E-2</v>
      </c>
      <c r="M132" s="832"/>
      <c r="N132" s="832"/>
      <c r="O132" s="48">
        <f>IF(t&lt;Tnet,'2025'!Resal+('2025'!Salim-'2025'!Resal)*(1-EXP(('2025'!Tnet-t)/('2025'!Tau_j))),Resal+(Salim-Resal)*(1-EXP((Tnet-t)/(Tau_j))))*Salcycl</f>
        <v>3.8500659131414212E-2</v>
      </c>
      <c r="P132" s="169">
        <f>(INDEX(Models!$BJ132:$BT132,,T132)*(1-R132)+INDEX(Models!$BJ132:$BT132,,T132+1)*R132-ERP_i)*Q132*Ramure*Pc/MaxiM</f>
        <v>2.7433696597029713E-5</v>
      </c>
      <c r="Q132" s="304">
        <f t="shared" si="28"/>
        <v>0.7</v>
      </c>
      <c r="R132" s="177">
        <f t="shared" si="29"/>
        <v>0.83685050464028343</v>
      </c>
      <c r="S132" s="799">
        <f t="shared" si="30"/>
        <v>-2</v>
      </c>
      <c r="T132" s="176">
        <f t="shared" si="31"/>
        <v>4</v>
      </c>
      <c r="U132" s="250">
        <f t="shared" si="32"/>
        <v>-1.1631494953597166</v>
      </c>
      <c r="V132" s="382">
        <f t="shared" si="33"/>
        <v>55.207718850824676</v>
      </c>
      <c r="W132" s="400">
        <f t="shared" si="34"/>
        <v>23.163105564224598</v>
      </c>
      <c r="X132" s="157">
        <f t="shared" si="35"/>
        <v>46140</v>
      </c>
      <c r="Y132" s="383">
        <f t="shared" si="36"/>
        <v>22.32418114704641</v>
      </c>
      <c r="Z132" s="383">
        <f t="shared" si="37"/>
        <v>23.493999632986473</v>
      </c>
      <c r="AA132" s="384">
        <f t="shared" si="38"/>
        <v>25.332428936880245</v>
      </c>
      <c r="AB132" s="197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7.2572168601538714E-2</v>
      </c>
      <c r="AD132" s="230">
        <f>(INDEX(Models!$BJ132:$BT132,,AH132)*(1-AF132)+INDEX(Models!$BJ132:$BT132,,AH132+1)*AF132-ERP_i)*AE132*Ramure*Pc/MaxiM</f>
        <v>4.7759014153872601E-3</v>
      </c>
      <c r="AE132" s="304">
        <f t="shared" si="40"/>
        <v>0.7</v>
      </c>
      <c r="AF132" s="177">
        <f t="shared" si="41"/>
        <v>0.59250833547963433</v>
      </c>
      <c r="AG132" s="799">
        <f t="shared" si="49"/>
        <v>1</v>
      </c>
      <c r="AH132" s="176">
        <f t="shared" si="42"/>
        <v>7</v>
      </c>
      <c r="AI132" s="224">
        <f t="shared" si="43"/>
        <v>1.5925083354796343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46141</v>
      </c>
      <c r="B133" s="409">
        <f>'2025'!Wh/'2025'!Env_an*'2026'!Env_an</f>
        <v>41.512773719301315</v>
      </c>
      <c r="C133" s="829"/>
      <c r="D133" s="391">
        <f t="shared" si="25"/>
        <v>43.688938728920704</v>
      </c>
      <c r="E133" s="383">
        <f t="shared" si="47"/>
        <v>45.442512551381952</v>
      </c>
      <c r="F133" s="383">
        <f t="shared" si="26"/>
        <v>45.443327252185618</v>
      </c>
      <c r="G133" s="110">
        <f t="shared" si="48"/>
        <v>0.75071936730624411</v>
      </c>
      <c r="H133" s="412" t="b">
        <f>Wh_hp&gt;='2025'!Maxi_hp</f>
        <v>0</v>
      </c>
      <c r="I133" s="388">
        <f>IF(H133,Wh_hp,'2025'!Maxi_hp)</f>
        <v>47.336974093030854</v>
      </c>
      <c r="J133" s="85">
        <f>IF(H133,An,'2025'!An_max)</f>
        <v>2018</v>
      </c>
      <c r="K133" s="197">
        <f t="shared" si="27"/>
        <v>46141</v>
      </c>
      <c r="L133" s="147">
        <f>IF(t&lt;Tvie,1-EXP((T0-t)*PertePVj)+'2025'!Pspv,1-EXP((T0-t)*PertePVj)+Pspv)</f>
        <v>4.9810434241077894E-2</v>
      </c>
      <c r="M133" s="832"/>
      <c r="N133" s="832"/>
      <c r="O133" s="48">
        <f>IF(t&lt;Tnet,'2025'!Resal+('2025'!Salim-'2025'!Resal)*(1-EXP(('2025'!Tnet-t)/('2025'!Tau_j))),Resal+(Salim-Resal)*(1-EXP((Tnet-t)/(Tau_j))))*Salcycl</f>
        <v>3.85888394810582E-2</v>
      </c>
      <c r="P133" s="169">
        <f>(INDEX(Models!$BJ133:$BT133,,T133)*(1-R133)+INDEX(Models!$BJ133:$BT133,,T133+1)*R133-ERP_i)*Q133*Ramure*Pc/MaxiM</f>
        <v>2.7842784795671261E-5</v>
      </c>
      <c r="Q133" s="304">
        <f t="shared" si="28"/>
        <v>0.7</v>
      </c>
      <c r="R133" s="177">
        <f t="shared" si="29"/>
        <v>0.83893248044918911</v>
      </c>
      <c r="S133" s="799">
        <f t="shared" si="30"/>
        <v>-2</v>
      </c>
      <c r="T133" s="176">
        <f t="shared" si="31"/>
        <v>4</v>
      </c>
      <c r="U133" s="250">
        <f t="shared" si="32"/>
        <v>-1.1610675195508109</v>
      </c>
      <c r="V133" s="382">
        <f t="shared" si="33"/>
        <v>55.296777894665325</v>
      </c>
      <c r="W133" s="400">
        <f t="shared" si="34"/>
        <v>41.512773719301315</v>
      </c>
      <c r="X133" s="157">
        <f t="shared" si="35"/>
        <v>46141</v>
      </c>
      <c r="Y133" s="383">
        <f t="shared" si="36"/>
        <v>39.9217356586853</v>
      </c>
      <c r="Z133" s="383">
        <f t="shared" si="37"/>
        <v>42.014495946184773</v>
      </c>
      <c r="AA133" s="384">
        <f t="shared" si="38"/>
        <v>45.305336920260252</v>
      </c>
      <c r="AB133" s="197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7.2636938554668018E-2</v>
      </c>
      <c r="AD133" s="230">
        <f>(INDEX(Models!$BJ133:$BT133,,AH133)*(1-AF133)+INDEX(Models!$BJ133:$BT133,,AH133+1)*AF133-ERP_i)*AE133*Ramure*Pc/MaxiM</f>
        <v>4.7158847743560767E-3</v>
      </c>
      <c r="AE133" s="304">
        <f t="shared" si="40"/>
        <v>0.7</v>
      </c>
      <c r="AF133" s="177">
        <f t="shared" si="41"/>
        <v>0.59459031128854001</v>
      </c>
      <c r="AG133" s="799">
        <f t="shared" si="49"/>
        <v>1</v>
      </c>
      <c r="AH133" s="176">
        <f t="shared" si="42"/>
        <v>7</v>
      </c>
      <c r="AI133" s="224">
        <f t="shared" si="43"/>
        <v>1.59459031128854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46142</v>
      </c>
      <c r="B134" s="409">
        <f>'2025'!Wh/'2025'!Env_an*'2026'!Env_an</f>
        <v>39.473894200637851</v>
      </c>
      <c r="C134" s="829"/>
      <c r="D134" s="391">
        <f t="shared" si="25"/>
        <v>41.543974114033453</v>
      </c>
      <c r="E134" s="383">
        <f t="shared" si="47"/>
        <v>43.21544083672584</v>
      </c>
      <c r="F134" s="383">
        <f t="shared" si="26"/>
        <v>43.21615755173476</v>
      </c>
      <c r="G134" s="110">
        <f t="shared" si="48"/>
        <v>0.71273802737755876</v>
      </c>
      <c r="H134" s="412" t="b">
        <f>Wh_hp&gt;='2025'!Maxi_hp</f>
        <v>0</v>
      </c>
      <c r="I134" s="388">
        <f>IF(H134,Wh_hp,'2025'!Maxi_hp)</f>
        <v>57.134227383129591</v>
      </c>
      <c r="J134" s="85">
        <f>IF(H134,An,'2025'!An_max)</f>
        <v>2018</v>
      </c>
      <c r="K134" s="197">
        <f t="shared" si="27"/>
        <v>46142</v>
      </c>
      <c r="L134" s="147">
        <f>IF(t&lt;Tvie,1-EXP((T0-t)*PertePVj)+'2025'!Pspv,1-EXP((T0-t)*PertePVj)+Pspv)</f>
        <v>4.982864440733259E-2</v>
      </c>
      <c r="M134" s="832"/>
      <c r="N134" s="832"/>
      <c r="O134" s="48">
        <f>IF(t&lt;Tnet,'2025'!Resal+('2025'!Salim-'2025'!Resal)*(1-EXP(('2025'!Tnet-t)/('2025'!Tau_j))),Resal+(Salim-Resal)*(1-EXP((Tnet-t)/(Tau_j))))*Salcycl</f>
        <v>3.867753493496514E-2</v>
      </c>
      <c r="P134" s="169">
        <f>(INDEX(Models!$BJ134:$BT134,,T134)*(1-R134)+INDEX(Models!$BJ134:$BT134,,T134+1)*R134-ERP_i)*Q134*Ramure*Pc/MaxiM</f>
        <v>2.8126471231213259E-5</v>
      </c>
      <c r="Q134" s="304">
        <f t="shared" si="28"/>
        <v>0.7</v>
      </c>
      <c r="R134" s="177">
        <f t="shared" si="29"/>
        <v>0.84107502097501241</v>
      </c>
      <c r="S134" s="799">
        <f t="shared" si="30"/>
        <v>-2</v>
      </c>
      <c r="T134" s="176">
        <f t="shared" si="31"/>
        <v>4</v>
      </c>
      <c r="U134" s="250">
        <f t="shared" si="32"/>
        <v>-1.1589249790249876</v>
      </c>
      <c r="V134" s="382">
        <f t="shared" si="33"/>
        <v>55.382815378468372</v>
      </c>
      <c r="W134" s="400">
        <f t="shared" si="34"/>
        <v>39.473894200637851</v>
      </c>
      <c r="X134" s="157">
        <f t="shared" si="35"/>
        <v>46142</v>
      </c>
      <c r="Y134" s="383">
        <f t="shared" si="36"/>
        <v>37.972696705356583</v>
      </c>
      <c r="Z134" s="383">
        <f t="shared" si="37"/>
        <v>39.964051201765805</v>
      </c>
      <c r="AA134" s="384">
        <f t="shared" si="38"/>
        <v>43.097344372708193</v>
      </c>
      <c r="AB134" s="197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7.270269703500741E-2</v>
      </c>
      <c r="AD134" s="230">
        <f>(INDEX(Models!$BJ134:$BT134,,AH134)*(1-AF134)+INDEX(Models!$BJ134:$BT134,,AH134+1)*AF134-ERP_i)*AE134*Ramure*Pc/MaxiM</f>
        <v>4.6626558955529286E-3</v>
      </c>
      <c r="AE134" s="304">
        <f t="shared" si="40"/>
        <v>0.7</v>
      </c>
      <c r="AF134" s="177">
        <f t="shared" si="41"/>
        <v>0.59673285181436331</v>
      </c>
      <c r="AG134" s="799">
        <f t="shared" si="49"/>
        <v>1</v>
      </c>
      <c r="AH134" s="176">
        <f t="shared" si="42"/>
        <v>7</v>
      </c>
      <c r="AI134" s="224">
        <f t="shared" si="43"/>
        <v>1.5967328518143633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46143</v>
      </c>
      <c r="B135" s="409">
        <f>'2025'!Wh/'2025'!Env_an*'2026'!Env_an</f>
        <v>44.992835649599201</v>
      </c>
      <c r="C135" s="829"/>
      <c r="D135" s="391">
        <f t="shared" si="25"/>
        <v>47.353246000023702</v>
      </c>
      <c r="E135" s="383">
        <f t="shared" si="47"/>
        <v>49.263012512910862</v>
      </c>
      <c r="F135" s="383">
        <f t="shared" si="26"/>
        <v>49.264029632761932</v>
      </c>
      <c r="G135" s="110">
        <f t="shared" si="48"/>
        <v>0.81118556153976284</v>
      </c>
      <c r="H135" s="412" t="b">
        <f>Wh_hp&gt;='2025'!Maxi_hp</f>
        <v>0</v>
      </c>
      <c r="I135" s="388">
        <f>IF(H135,Wh_hp,'2025'!Maxi_hp)</f>
        <v>55.014185059625483</v>
      </c>
      <c r="J135" s="85">
        <f>IF(H135,An,'2025'!An_max)</f>
        <v>2018</v>
      </c>
      <c r="K135" s="197">
        <f t="shared" si="27"/>
        <v>46143</v>
      </c>
      <c r="L135" s="147">
        <f>IF(t&lt;Tvie,1-EXP((T0-t)*PertePVj)+'2025'!Pspv,1-EXP((T0-t)*PertePVj)+Pspv)</f>
        <v>4.9846854224593562E-2</v>
      </c>
      <c r="M135" s="832"/>
      <c r="N135" s="832"/>
      <c r="O135" s="48">
        <f>IF(t&lt;Tnet,'2025'!Resal+('2025'!Salim-'2025'!Resal)*(1-EXP(('2025'!Tnet-t)/('2025'!Tau_j))),Resal+(Salim-Resal)*(1-EXP((Tnet-t)/(Tau_j))))*Salcycl</f>
        <v>3.8766742338111185E-2</v>
      </c>
      <c r="P135" s="169">
        <f>(INDEX(Models!$BJ135:$BT135,,T135)*(1-R135)+INDEX(Models!$BJ135:$BT135,,T135+1)*R135-ERP_i)*Q135*Ramure*Pc/MaxiM</f>
        <v>2.8271991627517662E-5</v>
      </c>
      <c r="Q135" s="304">
        <f t="shared" si="28"/>
        <v>0.7</v>
      </c>
      <c r="R135" s="177">
        <f t="shared" si="29"/>
        <v>0.84327891918146047</v>
      </c>
      <c r="S135" s="799">
        <f t="shared" si="30"/>
        <v>-2</v>
      </c>
      <c r="T135" s="176">
        <f t="shared" si="31"/>
        <v>4</v>
      </c>
      <c r="U135" s="250">
        <f t="shared" si="32"/>
        <v>-1.1567210808185395</v>
      </c>
      <c r="V135" s="382">
        <f t="shared" si="33"/>
        <v>55.46510524120449</v>
      </c>
      <c r="W135" s="400">
        <f t="shared" si="34"/>
        <v>44.992835649599201</v>
      </c>
      <c r="X135" s="157">
        <f t="shared" si="35"/>
        <v>46143</v>
      </c>
      <c r="Y135" s="383">
        <f t="shared" si="36"/>
        <v>43.255838785288375</v>
      </c>
      <c r="Z135" s="383">
        <f t="shared" si="37"/>
        <v>45.525122952666649</v>
      </c>
      <c r="AA135" s="384">
        <f t="shared" si="38"/>
        <v>49.097953220096286</v>
      </c>
      <c r="AB135" s="197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7.2769434021279014E-2</v>
      </c>
      <c r="AD135" s="230">
        <f>(INDEX(Models!$BJ135:$BT135,,AH135)*(1-AF135)+INDEX(Models!$BJ135:$BT135,,AH135+1)*AF135-ERP_i)*AE135*Ramure*Pc/MaxiM</f>
        <v>4.6162809068083571E-3</v>
      </c>
      <c r="AE135" s="304">
        <f t="shared" si="40"/>
        <v>0.7</v>
      </c>
      <c r="AF135" s="177">
        <f t="shared" si="41"/>
        <v>0.59893675002081137</v>
      </c>
      <c r="AG135" s="799">
        <f t="shared" si="49"/>
        <v>1</v>
      </c>
      <c r="AH135" s="176">
        <f t="shared" si="42"/>
        <v>7</v>
      </c>
      <c r="AI135" s="224">
        <f t="shared" si="43"/>
        <v>1.5989367500208114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46144</v>
      </c>
      <c r="B136" s="409">
        <f>'2025'!Wh/'2025'!Env_an*'2026'!Env_an</f>
        <v>25.537059821305217</v>
      </c>
      <c r="C136" s="829"/>
      <c r="D136" s="391">
        <f t="shared" si="25"/>
        <v>26.877297997860726</v>
      </c>
      <c r="E136" s="383">
        <f t="shared" si="47"/>
        <v>27.963875118713496</v>
      </c>
      <c r="F136" s="383">
        <f t="shared" si="26"/>
        <v>27.96405553007672</v>
      </c>
      <c r="G136" s="110">
        <f t="shared" si="48"/>
        <v>0.45976160212195827</v>
      </c>
      <c r="H136" s="412" t="b">
        <f>Wh_hp&gt;='2025'!Maxi_hp</f>
        <v>0</v>
      </c>
      <c r="I136" s="388">
        <f>IF(H136,Wh_hp,'2025'!Maxi_hp)</f>
        <v>52.243655726180137</v>
      </c>
      <c r="J136" s="85">
        <f>IF(H136,An,'2025'!An_max)</f>
        <v>2021</v>
      </c>
      <c r="K136" s="197">
        <f t="shared" si="27"/>
        <v>46144</v>
      </c>
      <c r="L136" s="147">
        <f>IF(t&lt;Tvie,1-EXP((T0-t)*PertePVj)+'2025'!Pspv,1-EXP((T0-t)*PertePVj)+Pspv)</f>
        <v>4.9865063692867584E-2</v>
      </c>
      <c r="M136" s="832"/>
      <c r="N136" s="832"/>
      <c r="O136" s="48">
        <f>IF(t&lt;Tnet,'2025'!Resal+('2025'!Salim-'2025'!Resal)*(1-EXP(('2025'!Tnet-t)/('2025'!Tau_j))),Resal+(Salim-Resal)*(1-EXP((Tnet-t)/(Tau_j))))*Salcycl</f>
        <v>3.8856457348632252E-2</v>
      </c>
      <c r="P136" s="169">
        <f>(INDEX(Models!$BJ136:$BT136,,T136)*(1-R136)+INDEX(Models!$BJ136:$BT136,,T136+1)*R136-ERP_i)*Q136*Ramure*Pc/MaxiM</f>
        <v>2.8265853357464612E-5</v>
      </c>
      <c r="Q136" s="304">
        <f t="shared" si="28"/>
        <v>0.7</v>
      </c>
      <c r="R136" s="177">
        <f t="shared" si="29"/>
        <v>0.84554490752980849</v>
      </c>
      <c r="S136" s="799">
        <f t="shared" si="30"/>
        <v>-2</v>
      </c>
      <c r="T136" s="176">
        <f t="shared" si="31"/>
        <v>4</v>
      </c>
      <c r="U136" s="250">
        <f t="shared" si="32"/>
        <v>-1.1544550924701915</v>
      </c>
      <c r="V136" s="382">
        <f t="shared" si="33"/>
        <v>55.54292186766903</v>
      </c>
      <c r="W136" s="400">
        <f t="shared" si="34"/>
        <v>25.537059821305217</v>
      </c>
      <c r="X136" s="157">
        <f t="shared" si="35"/>
        <v>46144</v>
      </c>
      <c r="Y136" s="383">
        <f t="shared" si="36"/>
        <v>24.608667034943569</v>
      </c>
      <c r="Z136" s="383">
        <f t="shared" si="37"/>
        <v>25.900181221195286</v>
      </c>
      <c r="AA136" s="384">
        <f t="shared" si="38"/>
        <v>27.934877748295271</v>
      </c>
      <c r="AB136" s="197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7.2837137338972388E-2</v>
      </c>
      <c r="AD136" s="230">
        <f>(INDEX(Models!$BJ136:$BT136,,AH136)*(1-AF136)+INDEX(Models!$BJ136:$BT136,,AH136+1)*AF136-ERP_i)*AE136*Ramure*Pc/MaxiM</f>
        <v>4.5714132767954319E-3</v>
      </c>
      <c r="AE136" s="304">
        <f t="shared" si="40"/>
        <v>0.7</v>
      </c>
      <c r="AF136" s="177">
        <f t="shared" si="41"/>
        <v>0.60120273836915938</v>
      </c>
      <c r="AG136" s="799">
        <f t="shared" si="49"/>
        <v>1</v>
      </c>
      <c r="AH136" s="176">
        <f t="shared" si="42"/>
        <v>7</v>
      </c>
      <c r="AI136" s="224">
        <f t="shared" si="43"/>
        <v>1.6012027383691594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46145</v>
      </c>
      <c r="B137" s="409">
        <f>'2025'!Wh/'2025'!Env_an*'2026'!Env_an</f>
        <v>31.383812163124816</v>
      </c>
      <c r="C137" s="829"/>
      <c r="D137" s="391">
        <f t="shared" si="25"/>
        <v>33.031533142264337</v>
      </c>
      <c r="E137" s="383">
        <f t="shared" si="47"/>
        <v>34.370135623412594</v>
      </c>
      <c r="F137" s="383">
        <f t="shared" si="26"/>
        <v>34.370500371421656</v>
      </c>
      <c r="G137" s="110">
        <f t="shared" si="48"/>
        <v>0.56428007109696621</v>
      </c>
      <c r="H137" s="412" t="b">
        <f>Wh_hp&gt;='2025'!Maxi_hp</f>
        <v>0</v>
      </c>
      <c r="I137" s="388">
        <f>IF(H137,Wh_hp,'2025'!Maxi_hp)</f>
        <v>59.318580235290369</v>
      </c>
      <c r="J137" s="85">
        <f>IF(H137,An,'2025'!An_max)</f>
        <v>2021</v>
      </c>
      <c r="K137" s="197">
        <f t="shared" si="27"/>
        <v>46145</v>
      </c>
      <c r="L137" s="147">
        <f>IF(t&lt;Tvie,1-EXP((T0-t)*PertePVj)+'2025'!Pspv,1-EXP((T0-t)*PertePVj)+Pspv)</f>
        <v>4.9883272812161317E-2</v>
      </c>
      <c r="M137" s="832"/>
      <c r="N137" s="832"/>
      <c r="O137" s="48">
        <f>IF(t&lt;Tnet,'2025'!Resal+('2025'!Salim-'2025'!Resal)*(1-EXP(('2025'!Tnet-t)/('2025'!Tau_j))),Resal+(Salim-Resal)*(1-EXP((Tnet-t)/(Tau_j))))*Salcycl</f>
        <v>3.8946674398235882E-2</v>
      </c>
      <c r="P137" s="169">
        <f>(INDEX(Models!$BJ137:$BT137,,T137)*(1-R137)+INDEX(Models!$BJ137:$BT137,,T137+1)*R137-ERP_i)*Q137*Ramure*Pc/MaxiM</f>
        <v>2.8107646111194492E-5</v>
      </c>
      <c r="Q137" s="304">
        <f t="shared" si="28"/>
        <v>0.7</v>
      </c>
      <c r="R137" s="177">
        <f t="shared" si="29"/>
        <v>0.84787365254225966</v>
      </c>
      <c r="S137" s="799">
        <f t="shared" si="30"/>
        <v>-2</v>
      </c>
      <c r="T137" s="176">
        <f t="shared" si="31"/>
        <v>4</v>
      </c>
      <c r="U137" s="250">
        <f t="shared" si="32"/>
        <v>-1.1521263474577403</v>
      </c>
      <c r="V137" s="382">
        <f t="shared" si="33"/>
        <v>55.616465461483841</v>
      </c>
      <c r="W137" s="400">
        <f t="shared" si="34"/>
        <v>31.383812163124816</v>
      </c>
      <c r="X137" s="157">
        <f t="shared" si="35"/>
        <v>46145</v>
      </c>
      <c r="Y137" s="383">
        <f t="shared" si="36"/>
        <v>30.223509391237705</v>
      </c>
      <c r="Z137" s="383">
        <f t="shared" si="37"/>
        <v>31.810311855779482</v>
      </c>
      <c r="AA137" s="384">
        <f t="shared" si="38"/>
        <v>34.311844041194689</v>
      </c>
      <c r="AB137" s="197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7.2905792600708827E-2</v>
      </c>
      <c r="AD137" s="230">
        <f>(INDEX(Models!$BJ137:$BT137,,AH137)*(1-AF137)+INDEX(Models!$BJ137:$BT137,,AH137+1)*AF137-ERP_i)*AE137*Ramure*Pc/MaxiM</f>
        <v>4.5200832663317052E-3</v>
      </c>
      <c r="AE137" s="304">
        <f t="shared" si="40"/>
        <v>0.7</v>
      </c>
      <c r="AF137" s="177">
        <f t="shared" si="41"/>
        <v>0.60353148338161056</v>
      </c>
      <c r="AG137" s="799">
        <f t="shared" si="49"/>
        <v>1</v>
      </c>
      <c r="AH137" s="176">
        <f t="shared" si="42"/>
        <v>7</v>
      </c>
      <c r="AI137" s="224">
        <f t="shared" si="43"/>
        <v>1.6035314833816106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46146</v>
      </c>
      <c r="B138" s="409">
        <f>'2025'!Wh/'2025'!Env_an*'2026'!Env_an</f>
        <v>15.877878790046967</v>
      </c>
      <c r="C138" s="829"/>
      <c r="D138" s="391">
        <f t="shared" si="25"/>
        <v>16.711823544881554</v>
      </c>
      <c r="E138" s="383">
        <f t="shared" si="47"/>
        <v>17.390711472845894</v>
      </c>
      <c r="F138" s="383">
        <f t="shared" si="26"/>
        <v>17.390711472845894</v>
      </c>
      <c r="G138" s="110">
        <f t="shared" si="48"/>
        <v>0.28512472827949464</v>
      </c>
      <c r="H138" s="412" t="b">
        <f>Wh_hp&gt;='2025'!Maxi_hp</f>
        <v>0</v>
      </c>
      <c r="I138" s="388">
        <f>IF(H138,Wh_hp,'2025'!Maxi_hp)</f>
        <v>56.957672371792654</v>
      </c>
      <c r="J138" s="85">
        <f>IF(H138,An,'2025'!An_max)</f>
        <v>2020</v>
      </c>
      <c r="K138" s="197">
        <f t="shared" si="27"/>
        <v>46146</v>
      </c>
      <c r="L138" s="147">
        <f>IF(t&lt;Tvie,1-EXP((T0-t)*PertePVj)+'2025'!Pspv,1-EXP((T0-t)*PertePVj)+Pspv)</f>
        <v>4.9901481582481422E-2</v>
      </c>
      <c r="M138" s="832"/>
      <c r="N138" s="832"/>
      <c r="O138" s="48">
        <f>IF(t&lt;Tnet,'2025'!Resal+('2025'!Salim-'2025'!Resal)*(1-EXP(('2025'!Tnet-t)/('2025'!Tau_j))),Resal+(Salim-Resal)*(1-EXP((Tnet-t)/(Tau_j))))*Salcycl</f>
        <v>3.9037386654615362E-2</v>
      </c>
      <c r="P138" s="169">
        <f>(INDEX(Models!$BJ138:$BT138,,T138)*(1-R138)+INDEX(Models!$BJ138:$BT138,,T138+1)*R138-ERP_i)*Q138*Ramure*Pc/MaxiM</f>
        <v>2.7783999405702501E-5</v>
      </c>
      <c r="Q138" s="304">
        <f t="shared" si="28"/>
        <v>0.7</v>
      </c>
      <c r="R138" s="177">
        <f t="shared" si="29"/>
        <v>0.85026574927529186</v>
      </c>
      <c r="S138" s="799">
        <f t="shared" si="30"/>
        <v>-2</v>
      </c>
      <c r="T138" s="176">
        <f t="shared" si="31"/>
        <v>4</v>
      </c>
      <c r="U138" s="250">
        <f t="shared" si="32"/>
        <v>-1.1497342507247081</v>
      </c>
      <c r="V138" s="382">
        <f t="shared" si="33"/>
        <v>55.685936940229816</v>
      </c>
      <c r="W138" s="400">
        <f t="shared" si="34"/>
        <v>15.877878790046967</v>
      </c>
      <c r="X138" s="157">
        <f t="shared" si="35"/>
        <v>46146</v>
      </c>
      <c r="Y138" s="383">
        <f t="shared" si="36"/>
        <v>15.317125034115948</v>
      </c>
      <c r="Z138" s="383">
        <f t="shared" si="37"/>
        <v>16.121617639850768</v>
      </c>
      <c r="AA138" s="384">
        <f t="shared" si="38"/>
        <v>17.390711472845894</v>
      </c>
      <c r="AB138" s="197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7.2975383150752915E-2</v>
      </c>
      <c r="AD138" s="230">
        <f>(INDEX(Models!$BJ138:$BT138,,AH138)*(1-AF138)+INDEX(Models!$BJ138:$BT138,,AH138+1)*AF138-ERP_i)*AE138*Ramure*Pc/MaxiM</f>
        <v>4.4622550237886933E-3</v>
      </c>
      <c r="AE138" s="304">
        <f t="shared" si="40"/>
        <v>0.7</v>
      </c>
      <c r="AF138" s="177">
        <f t="shared" si="41"/>
        <v>0.60592358011464276</v>
      </c>
      <c r="AG138" s="799">
        <f t="shared" si="49"/>
        <v>1</v>
      </c>
      <c r="AH138" s="176">
        <f t="shared" si="42"/>
        <v>7</v>
      </c>
      <c r="AI138" s="224">
        <f t="shared" si="43"/>
        <v>1.6059235801146428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46147</v>
      </c>
      <c r="B139" s="409">
        <f>'2025'!Wh/'2025'!Env_an*'2026'!Env_an</f>
        <v>34.427473335597334</v>
      </c>
      <c r="C139" s="829"/>
      <c r="D139" s="391">
        <f t="shared" si="25"/>
        <v>36.23638230723494</v>
      </c>
      <c r="E139" s="383">
        <f t="shared" si="47"/>
        <v>37.711999523299127</v>
      </c>
      <c r="F139" s="383">
        <f t="shared" si="26"/>
        <v>37.712466194557571</v>
      </c>
      <c r="G139" s="110">
        <f t="shared" si="48"/>
        <v>0.6175069214223271</v>
      </c>
      <c r="H139" s="412" t="b">
        <f>Wh_hp&gt;='2025'!Maxi_hp</f>
        <v>0</v>
      </c>
      <c r="I139" s="388">
        <f>IF(H139,Wh_hp,'2025'!Maxi_hp)</f>
        <v>61.376169686641241</v>
      </c>
      <c r="J139" s="85">
        <f>IF(H139,An,'2025'!An_max)</f>
        <v>2020</v>
      </c>
      <c r="K139" s="197">
        <f t="shared" si="27"/>
        <v>46147</v>
      </c>
      <c r="L139" s="147">
        <f>IF(t&lt;Tvie,1-EXP((T0-t)*PertePVj)+'2025'!Pspv,1-EXP((T0-t)*PertePVj)+Pspv)</f>
        <v>4.991969000383456E-2</v>
      </c>
      <c r="M139" s="832"/>
      <c r="N139" s="832"/>
      <c r="O139" s="48">
        <f>IF(t&lt;Tnet,'2025'!Resal+('2025'!Salim-'2025'!Resal)*(1-EXP(('2025'!Tnet-t)/('2025'!Tau_j))),Resal+(Salim-Resal)*(1-EXP((Tnet-t)/(Tau_j))))*Salcycl</f>
        <v>3.9128585986338907E-2</v>
      </c>
      <c r="P139" s="169">
        <f>(INDEX(Models!$BJ139:$BT139,,T139)*(1-R139)+INDEX(Models!$BJ139:$BT139,,T139+1)*R139-ERP_i)*Q139*Ramure*Pc/MaxiM</f>
        <v>2.7280879828235268E-5</v>
      </c>
      <c r="Q139" s="304">
        <f t="shared" si="28"/>
        <v>0.7</v>
      </c>
      <c r="R139" s="177">
        <f t="shared" si="29"/>
        <v>0.85272171572855293</v>
      </c>
      <c r="S139" s="799">
        <f t="shared" si="30"/>
        <v>-2</v>
      </c>
      <c r="T139" s="176">
        <f t="shared" si="31"/>
        <v>4</v>
      </c>
      <c r="U139" s="250">
        <f t="shared" si="32"/>
        <v>-1.1472782842714471</v>
      </c>
      <c r="V139" s="382">
        <f t="shared" si="33"/>
        <v>55.751537261226886</v>
      </c>
      <c r="W139" s="400">
        <f t="shared" si="34"/>
        <v>34.427473335597334</v>
      </c>
      <c r="X139" s="157">
        <f t="shared" si="35"/>
        <v>46147</v>
      </c>
      <c r="Y139" s="383">
        <f t="shared" si="36"/>
        <v>33.146392178552659</v>
      </c>
      <c r="Z139" s="383">
        <f t="shared" si="37"/>
        <v>34.887989814973054</v>
      </c>
      <c r="AA139" s="384">
        <f t="shared" si="38"/>
        <v>37.637235154520489</v>
      </c>
      <c r="AB139" s="197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7.3045890014512185E-2</v>
      </c>
      <c r="AD139" s="230">
        <f>(INDEX(Models!$BJ139:$BT139,,AH139)*(1-AF139)+INDEX(Models!$BJ139:$BT139,,AH139+1)*AF139-ERP_i)*AE139*Ramure*Pc/MaxiM</f>
        <v>4.3978902181380604E-3</v>
      </c>
      <c r="AE139" s="304">
        <f t="shared" si="40"/>
        <v>0.7</v>
      </c>
      <c r="AF139" s="177">
        <f t="shared" si="41"/>
        <v>0.60837954656790383</v>
      </c>
      <c r="AG139" s="799">
        <f t="shared" si="49"/>
        <v>1</v>
      </c>
      <c r="AH139" s="176">
        <f t="shared" si="42"/>
        <v>7</v>
      </c>
      <c r="AI139" s="224">
        <f t="shared" si="43"/>
        <v>1.6083795465679038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46148</v>
      </c>
      <c r="B140" s="409">
        <f>'2025'!Wh/'2025'!Env_an*'2026'!Env_an</f>
        <v>39.414417824983893</v>
      </c>
      <c r="C140" s="829"/>
      <c r="D140" s="391">
        <f t="shared" si="25"/>
        <v>41.486148900344496</v>
      </c>
      <c r="E140" s="383">
        <f t="shared" si="47"/>
        <v>43.179666784908655</v>
      </c>
      <c r="F140" s="383">
        <f t="shared" si="26"/>
        <v>43.180332857070447</v>
      </c>
      <c r="G140" s="110">
        <f t="shared" si="48"/>
        <v>0.70617325612359128</v>
      </c>
      <c r="H140" s="412" t="b">
        <f>Wh_hp&gt;='2025'!Maxi_hp</f>
        <v>0</v>
      </c>
      <c r="I140" s="388">
        <f>IF(H140,Wh_hp,'2025'!Maxi_hp)</f>
        <v>58.310376218958538</v>
      </c>
      <c r="J140" s="85">
        <f>IF(H140,An,'2025'!An_max)</f>
        <v>2018</v>
      </c>
      <c r="K140" s="197">
        <f t="shared" si="27"/>
        <v>46148</v>
      </c>
      <c r="L140" s="147">
        <f>IF(t&lt;Tvie,1-EXP((T0-t)*PertePVj)+'2025'!Pspv,1-EXP((T0-t)*PertePVj)+Pspv)</f>
        <v>4.9937898076227505E-2</v>
      </c>
      <c r="M140" s="832"/>
      <c r="N140" s="832"/>
      <c r="O140" s="48">
        <f>IF(t&lt;Tnet,'2025'!Resal+('2025'!Salim-'2025'!Resal)*(1-EXP(('2025'!Tnet-t)/('2025'!Tau_j))),Resal+(Salim-Resal)*(1-EXP((Tnet-t)/(Tau_j))))*Salcycl</f>
        <v>3.922026293070071E-2</v>
      </c>
      <c r="P140" s="169">
        <f>(INDEX(Models!$BJ140:$BT140,,T140)*(1-R140)+INDEX(Models!$BJ140:$BT140,,T140+1)*R140-ERP_i)*Q140*Ramure*Pc/MaxiM</f>
        <v>2.6583587372226997E-5</v>
      </c>
      <c r="Q140" s="304">
        <f t="shared" si="28"/>
        <v>0.7</v>
      </c>
      <c r="R140" s="177">
        <f t="shared" si="29"/>
        <v>0.85524198721762623</v>
      </c>
      <c r="S140" s="799">
        <f t="shared" si="30"/>
        <v>-2</v>
      </c>
      <c r="T140" s="176">
        <f t="shared" si="31"/>
        <v>4</v>
      </c>
      <c r="U140" s="250">
        <f t="shared" si="32"/>
        <v>-1.1447580127823738</v>
      </c>
      <c r="V140" s="382">
        <f t="shared" si="33"/>
        <v>55.813467419459982</v>
      </c>
      <c r="W140" s="400">
        <f t="shared" si="34"/>
        <v>39.414417824983893</v>
      </c>
      <c r="X140" s="157">
        <f t="shared" si="35"/>
        <v>46148</v>
      </c>
      <c r="Y140" s="383">
        <f t="shared" si="36"/>
        <v>37.928964336329706</v>
      </c>
      <c r="Z140" s="383">
        <f t="shared" si="37"/>
        <v>39.922615857981995</v>
      </c>
      <c r="AA140" s="384">
        <f t="shared" si="38"/>
        <v>43.071917845821332</v>
      </c>
      <c r="AB140" s="197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7.3117291853881772E-2</v>
      </c>
      <c r="AD140" s="230">
        <f>(INDEX(Models!$BJ140:$BT140,,AH140)*(1-AF140)+INDEX(Models!$BJ140:$BT140,,AH140+1)*AF140-ERP_i)*AE140*Ramure*Pc/MaxiM</f>
        <v>4.3269484739438917E-3</v>
      </c>
      <c r="AE140" s="304">
        <f t="shared" si="40"/>
        <v>0.7</v>
      </c>
      <c r="AF140" s="177">
        <f t="shared" si="41"/>
        <v>0.61089981805697713</v>
      </c>
      <c r="AG140" s="799">
        <f t="shared" si="49"/>
        <v>1</v>
      </c>
      <c r="AH140" s="176">
        <f t="shared" si="42"/>
        <v>7</v>
      </c>
      <c r="AI140" s="224">
        <f t="shared" si="43"/>
        <v>1.6108998180569771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46149</v>
      </c>
      <c r="B141" s="409">
        <f>'2025'!Wh/'2025'!Env_an*'2026'!Env_an</f>
        <v>43.920793196154115</v>
      </c>
      <c r="C141" s="829"/>
      <c r="D141" s="391">
        <f t="shared" si="25"/>
        <v>46.230277847449287</v>
      </c>
      <c r="E141" s="383">
        <f t="shared" si="47"/>
        <v>48.122072324223019</v>
      </c>
      <c r="F141" s="383">
        <f t="shared" si="26"/>
        <v>48.122930384329024</v>
      </c>
      <c r="G141" s="110">
        <f t="shared" si="48"/>
        <v>0.7860915096396367</v>
      </c>
      <c r="H141" s="412" t="b">
        <f>Wh_hp&gt;='2025'!Maxi_hp</f>
        <v>0</v>
      </c>
      <c r="I141" s="388">
        <f>IF(H141,Wh_hp,'2025'!Maxi_hp)</f>
        <v>58.360511547826988</v>
      </c>
      <c r="J141" s="85">
        <f>IF(H141,An,'2025'!An_max)</f>
        <v>2020</v>
      </c>
      <c r="K141" s="197">
        <f t="shared" si="27"/>
        <v>46149</v>
      </c>
      <c r="L141" s="147">
        <f>IF(t&lt;Tvie,1-EXP((T0-t)*PertePVj)+'2025'!Pspv,1-EXP((T0-t)*PertePVj)+Pspv)</f>
        <v>4.9956105799666917E-2</v>
      </c>
      <c r="M141" s="832"/>
      <c r="N141" s="832"/>
      <c r="O141" s="48">
        <f>IF(t&lt;Tnet,'2025'!Resal+('2025'!Salim-'2025'!Resal)*(1-EXP(('2025'!Tnet-t)/('2025'!Tau_j))),Resal+(Salim-Resal)*(1-EXP((Tnet-t)/(Tau_j))))*Salcycl</f>
        <v>3.9312406665027805E-2</v>
      </c>
      <c r="P141" s="169">
        <f>(INDEX(Models!$BJ141:$BT141,,T141)*(1-R141)+INDEX(Models!$BJ141:$BT141,,T141+1)*R141-ERP_i)*Q141*Ramure*Pc/MaxiM</f>
        <v>2.56767551201307E-5</v>
      </c>
      <c r="Q141" s="304">
        <f t="shared" si="28"/>
        <v>0.7</v>
      </c>
      <c r="R141" s="177">
        <f t="shared" si="29"/>
        <v>0.85782691074174799</v>
      </c>
      <c r="S141" s="799">
        <f t="shared" si="30"/>
        <v>-2</v>
      </c>
      <c r="T141" s="176">
        <f t="shared" si="31"/>
        <v>4</v>
      </c>
      <c r="U141" s="250">
        <f t="shared" si="32"/>
        <v>-1.142173089258252</v>
      </c>
      <c r="V141" s="382">
        <f t="shared" si="33"/>
        <v>55.871928447903613</v>
      </c>
      <c r="W141" s="400">
        <f t="shared" si="34"/>
        <v>43.920793196154115</v>
      </c>
      <c r="X141" s="157">
        <f t="shared" si="35"/>
        <v>46149</v>
      </c>
      <c r="Y141" s="383">
        <f t="shared" si="36"/>
        <v>42.247713067502417</v>
      </c>
      <c r="Z141" s="383">
        <f t="shared" si="37"/>
        <v>44.469222238476661</v>
      </c>
      <c r="AA141" s="384">
        <f t="shared" si="38"/>
        <v>47.980925284990157</v>
      </c>
      <c r="AB141" s="197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7.3189564929296222E-2</v>
      </c>
      <c r="AD141" s="230">
        <f>(INDEX(Models!$BJ141:$BT141,,AH141)*(1-AF141)+INDEX(Models!$BJ141:$BT141,,AH141+1)*AF141-ERP_i)*AE141*Ramure*Pc/MaxiM</f>
        <v>4.2493878179432161E-3</v>
      </c>
      <c r="AE141" s="304">
        <f t="shared" si="40"/>
        <v>0.7</v>
      </c>
      <c r="AF141" s="177">
        <f t="shared" si="41"/>
        <v>0.61348474158109889</v>
      </c>
      <c r="AG141" s="799">
        <f t="shared" si="49"/>
        <v>1</v>
      </c>
      <c r="AH141" s="176">
        <f t="shared" si="42"/>
        <v>7</v>
      </c>
      <c r="AI141" s="224">
        <f t="shared" si="43"/>
        <v>1.6134847415810989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46150</v>
      </c>
      <c r="B142" s="409">
        <f>'2025'!Wh/'2025'!Env_an*'2026'!Env_an</f>
        <v>54.502093633925647</v>
      </c>
      <c r="C142" s="829"/>
      <c r="D142" s="391">
        <f t="shared" si="25"/>
        <v>57.36907368896965</v>
      </c>
      <c r="E142" s="383">
        <f t="shared" si="47"/>
        <v>59.722436600756012</v>
      </c>
      <c r="F142" s="383">
        <f t="shared" si="26"/>
        <v>59.723853900569182</v>
      </c>
      <c r="G142" s="110">
        <f t="shared" si="48"/>
        <v>0.97451912260045581</v>
      </c>
      <c r="H142" s="412" t="b">
        <f>Wh_hp&gt;='2025'!Maxi_hp</f>
        <v>0</v>
      </c>
      <c r="I142" s="388">
        <f>IF(H142,Wh_hp,'2025'!Maxi_hp)</f>
        <v>61.177065802959824</v>
      </c>
      <c r="J142" s="85">
        <f>IF(H142,An,'2025'!An_max)</f>
        <v>2021</v>
      </c>
      <c r="K142" s="197">
        <f t="shared" si="27"/>
        <v>46150</v>
      </c>
      <c r="L142" s="147">
        <f>IF(t&lt;Tvie,1-EXP((T0-t)*PertePVj)+'2025'!Pspv,1-EXP((T0-t)*PertePVj)+Pspv)</f>
        <v>4.9974313174159457E-2</v>
      </c>
      <c r="M142" s="832"/>
      <c r="N142" s="832"/>
      <c r="O142" s="48">
        <f>IF(t&lt;Tnet,'2025'!Resal+('2025'!Salim-'2025'!Resal)*(1-EXP(('2025'!Tnet-t)/('2025'!Tau_j))),Resal+(Salim-Resal)*(1-EXP((Tnet-t)/(Tau_j))))*Salcycl</f>
        <v>3.9405004981939523E-2</v>
      </c>
      <c r="P142" s="169">
        <f>(INDEX(Models!$BJ142:$BT142,,T142)*(1-R142)+INDEX(Models!$BJ142:$BT142,,T142+1)*R142-ERP_i)*Q142*Ramure*Pc/MaxiM</f>
        <v>2.4627317905913552E-5</v>
      </c>
      <c r="Q142" s="304">
        <f t="shared" si="28"/>
        <v>0.7</v>
      </c>
      <c r="R142" s="177">
        <f t="shared" si="29"/>
        <v>0.86047673938025437</v>
      </c>
      <c r="S142" s="799">
        <f t="shared" si="30"/>
        <v>-2</v>
      </c>
      <c r="T142" s="176">
        <f t="shared" si="31"/>
        <v>4</v>
      </c>
      <c r="U142" s="250">
        <f t="shared" si="32"/>
        <v>-1.1395232606197456</v>
      </c>
      <c r="V142" s="382">
        <f t="shared" si="33"/>
        <v>55.927116781221152</v>
      </c>
      <c r="W142" s="400">
        <f t="shared" si="34"/>
        <v>54.502093633925647</v>
      </c>
      <c r="X142" s="157">
        <f t="shared" si="35"/>
        <v>46150</v>
      </c>
      <c r="Y142" s="383">
        <f t="shared" si="36"/>
        <v>52.37141206498908</v>
      </c>
      <c r="Z142" s="383">
        <f t="shared" si="37"/>
        <v>55.126311626340112</v>
      </c>
      <c r="AA142" s="384">
        <f t="shared" si="38"/>
        <v>59.484290336897182</v>
      </c>
      <c r="AB142" s="197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7.3262683069346135E-2</v>
      </c>
      <c r="AD142" s="230">
        <f>(INDEX(Models!$BJ142:$BT142,,AH142)*(1-AF142)+INDEX(Models!$BJ142:$BT142,,AH142+1)*AF142-ERP_i)*AE142*Ramure*Pc/MaxiM</f>
        <v>4.1627099548027435E-3</v>
      </c>
      <c r="AE142" s="304">
        <f t="shared" si="40"/>
        <v>0.7</v>
      </c>
      <c r="AF142" s="177">
        <f t="shared" si="41"/>
        <v>0.61613457021960527</v>
      </c>
      <c r="AG142" s="799">
        <f t="shared" si="49"/>
        <v>1</v>
      </c>
      <c r="AH142" s="176">
        <f t="shared" si="42"/>
        <v>7</v>
      </c>
      <c r="AI142" s="224">
        <f t="shared" si="43"/>
        <v>1.6161345702196053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46151</v>
      </c>
      <c r="B143" s="409">
        <f>'2025'!Wh/'2025'!Env_an*'2026'!Env_an</f>
        <v>52.274322657189664</v>
      </c>
      <c r="C143" s="829"/>
      <c r="D143" s="391">
        <f t="shared" ref="D143:D206" si="50">Wh/(1-Ppv)</f>
        <v>55.025169557800574</v>
      </c>
      <c r="E143" s="383">
        <f t="shared" si="47"/>
        <v>57.287930783988983</v>
      </c>
      <c r="F143" s="383">
        <f t="shared" ref="F143:F206" si="51">Wh_sa/(1-Pvg*MEDIAN((-Sdif+Wh/Env_an)/Csdif,0,1))</f>
        <v>57.289149478253869</v>
      </c>
      <c r="G143" s="110">
        <f t="shared" si="48"/>
        <v>0.93381433068059538</v>
      </c>
      <c r="H143" s="412" t="b">
        <f>Wh_hp&gt;='2025'!Maxi_hp</f>
        <v>1</v>
      </c>
      <c r="I143" s="388">
        <f>IF(H143,Wh_hp,'2025'!Maxi_hp)</f>
        <v>57.289149478253869</v>
      </c>
      <c r="J143" s="85">
        <f>IF(H143,An,'2025'!An_max)</f>
        <v>2026</v>
      </c>
      <c r="K143" s="197">
        <f t="shared" ref="K143:K206" si="52">t</f>
        <v>46151</v>
      </c>
      <c r="L143" s="147">
        <f>IF(t&lt;Tvie,1-EXP((T0-t)*PertePVj)+'2025'!Pspv,1-EXP((T0-t)*PertePVj)+Pspv)</f>
        <v>4.9992520199711787E-2</v>
      </c>
      <c r="M143" s="832"/>
      <c r="N143" s="832"/>
      <c r="O143" s="48">
        <f>IF(t&lt;Tnet,'2025'!Resal+('2025'!Salim-'2025'!Resal)*(1-EXP(('2025'!Tnet-t)/('2025'!Tau_j))),Resal+(Salim-Resal)*(1-EXP((Tnet-t)/(Tau_j))))*Salcycl</f>
        <v>3.9498044269052492E-2</v>
      </c>
      <c r="P143" s="169">
        <f>(INDEX(Models!$BJ143:$BT143,,T143)*(1-R143)+INDEX(Models!$BJ143:$BT143,,T143+1)*R143-ERP_i)*Q143*Ramure*Pc/MaxiM</f>
        <v>2.3493999591485705E-5</v>
      </c>
      <c r="Q143" s="304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0.86319162675413064</v>
      </c>
      <c r="S143" s="799">
        <f t="shared" ref="S143:S206" si="55">INDEX(Echel_vg,T143)</f>
        <v>-2</v>
      </c>
      <c r="T143" s="176">
        <f t="shared" ref="T143:T206" si="56">MIN(MATCH(Hp_vg,Echel_vg),10)</f>
        <v>4</v>
      </c>
      <c r="U143" s="250">
        <f t="shared" ref="U143:U206" si="57">IF(OR(t&lt;Ttai,Notai),Hdd+PousH*Croivg,Hdtf+PousH*(Croivg-Croi_tai))</f>
        <v>-1.1368083732458694</v>
      </c>
      <c r="V143" s="382">
        <f t="shared" ref="V143:V206" si="58">MaxiM*(1-Ppv)*(1-Pvg)*(1-Psa)</f>
        <v>55.979229296168782</v>
      </c>
      <c r="W143" s="400">
        <f t="shared" ref="W143:W206" si="59">Wh*(A143&gt;Tmaj)</f>
        <v>52.274322657189664</v>
      </c>
      <c r="X143" s="157">
        <f t="shared" ref="X143:X206" si="60">t</f>
        <v>46151</v>
      </c>
      <c r="Y143" s="383">
        <f t="shared" ref="Y143:Y206" si="61">Wh_pvt_s*(1-Ppv)</f>
        <v>50.247988052991538</v>
      </c>
      <c r="Z143" s="383">
        <f t="shared" ref="Z143:Z206" si="62">Wh_sa_s*(1-Psa_s)</f>
        <v>52.892202557768002</v>
      </c>
      <c r="AA143" s="384">
        <f t="shared" ref="AA143:AA206" si="63">Wh_hp*(1-Pvg_s*MEDIAN((-Sdif+Wh/Env_an)/Csdif,0,1))</f>
        <v>57.078118726960007</v>
      </c>
      <c r="AB143" s="197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7.3336617648802241E-2</v>
      </c>
      <c r="AD143" s="230">
        <f>(INDEX(Models!$BJ143:$BT143,,AH143)*(1-AF143)+INDEX(Models!$BJ143:$BT143,,AH143+1)*AF143-ERP_i)*AE143*Ramure*Pc/MaxiM</f>
        <v>4.0682528239714038E-3</v>
      </c>
      <c r="AE143" s="304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0.61884945759348153</v>
      </c>
      <c r="AG143" s="799">
        <f t="shared" si="49"/>
        <v>1</v>
      </c>
      <c r="AH143" s="176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1.6188494575934815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46152</v>
      </c>
      <c r="B144" s="409">
        <f>'2025'!Wh/'2025'!Env_an*'2026'!Env_an</f>
        <v>53.384805509563265</v>
      </c>
      <c r="C144" s="829"/>
      <c r="D144" s="391">
        <f t="shared" si="50"/>
        <v>56.195166640174939</v>
      </c>
      <c r="E144" s="383">
        <f t="shared" ref="E144:E169" si="72">Wh_pvt/(1-Psa)</f>
        <v>58.511734533443665</v>
      </c>
      <c r="F144" s="383">
        <f t="shared" si="51"/>
        <v>58.512950333342488</v>
      </c>
      <c r="G144" s="110">
        <f t="shared" ref="G144:G169" si="73">+Wh_hp/MaxiM</f>
        <v>0.95281433134298044</v>
      </c>
      <c r="H144" s="412" t="b">
        <f>Wh_hp&gt;='2025'!Maxi_hp</f>
        <v>1</v>
      </c>
      <c r="I144" s="388">
        <f>IF(H144,Wh_hp,'2025'!Maxi_hp)</f>
        <v>58.512950333342488</v>
      </c>
      <c r="J144" s="85">
        <f>IF(H144,An,'2025'!An_max)</f>
        <v>2026</v>
      </c>
      <c r="K144" s="197">
        <f t="shared" si="52"/>
        <v>46152</v>
      </c>
      <c r="L144" s="147">
        <f>IF(t&lt;Tvie,1-EXP((T0-t)*PertePVj)+'2025'!Pspv,1-EXP((T0-t)*PertePVj)+Pspv)</f>
        <v>5.0010726876330569E-2</v>
      </c>
      <c r="M144" s="832"/>
      <c r="N144" s="832"/>
      <c r="O144" s="48">
        <f>IF(t&lt;Tnet,'2025'!Resal+('2025'!Salim-'2025'!Resal)*(1-EXP(('2025'!Tnet-t)/('2025'!Tau_j))),Resal+(Salim-Resal)*(1-EXP((Tnet-t)/(Tau_j))))*Salcycl</f>
        <v>3.9591509493615118E-2</v>
      </c>
      <c r="P144" s="169">
        <f>(INDEX(Models!$BJ144:$BT144,,T144)*(1-R144)+INDEX(Models!$BJ144:$BT144,,T144+1)*R144-ERP_i)*Q144*Ramure*Pc/MaxiM</f>
        <v>2.2280119422118868E-5</v>
      </c>
      <c r="Q144" s="304">
        <f t="shared" si="53"/>
        <v>0.7</v>
      </c>
      <c r="R144" s="177">
        <f t="shared" si="54"/>
        <v>0.8659716215915052</v>
      </c>
      <c r="S144" s="799">
        <f t="shared" si="55"/>
        <v>-2</v>
      </c>
      <c r="T144" s="176">
        <f t="shared" si="56"/>
        <v>4</v>
      </c>
      <c r="U144" s="250">
        <f t="shared" si="57"/>
        <v>-1.1340283784084948</v>
      </c>
      <c r="V144" s="382">
        <f t="shared" si="58"/>
        <v>56.028465964144694</v>
      </c>
      <c r="W144" s="400">
        <f t="shared" si="59"/>
        <v>53.384805509563265</v>
      </c>
      <c r="X144" s="157">
        <f t="shared" si="60"/>
        <v>46152</v>
      </c>
      <c r="Y144" s="383">
        <f t="shared" si="61"/>
        <v>51.315484225117004</v>
      </c>
      <c r="Z144" s="383">
        <f t="shared" si="62"/>
        <v>54.016909113495601</v>
      </c>
      <c r="AA144" s="384">
        <f t="shared" si="63"/>
        <v>58.296535781235292</v>
      </c>
      <c r="AB144" s="197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7.3411337575863947E-2</v>
      </c>
      <c r="AD144" s="230">
        <f>(INDEX(Models!$BJ144:$BT144,,AH144)*(1-AF144)+INDEX(Models!$BJ144:$BT144,,AH144+1)*AF144-ERP_i)*AE144*Ramure*Pc/MaxiM</f>
        <v>3.9659010255717678E-3</v>
      </c>
      <c r="AE144" s="304">
        <f t="shared" si="65"/>
        <v>0.7</v>
      </c>
      <c r="AF144" s="177">
        <f t="shared" si="66"/>
        <v>0.6216294524308561</v>
      </c>
      <c r="AG144" s="799">
        <f t="shared" ref="AG144:AG207" si="74">INDEX(Echel_vg,AH144)</f>
        <v>1</v>
      </c>
      <c r="AH144" s="176">
        <f t="shared" si="67"/>
        <v>7</v>
      </c>
      <c r="AI144" s="224">
        <f t="shared" si="68"/>
        <v>1.6216294524308561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46153</v>
      </c>
      <c r="B145" s="409">
        <f>'2025'!Wh/'2025'!Env_an*'2026'!Env_an</f>
        <v>56.479359604672936</v>
      </c>
      <c r="C145" s="829"/>
      <c r="D145" s="391">
        <f t="shared" si="50"/>
        <v>59.453768202819219</v>
      </c>
      <c r="E145" s="383">
        <f t="shared" si="72"/>
        <v>61.910718866679723</v>
      </c>
      <c r="F145" s="383">
        <f t="shared" si="51"/>
        <v>61.91201836877741</v>
      </c>
      <c r="G145" s="110">
        <f t="shared" si="73"/>
        <v>1.0072105694192106</v>
      </c>
      <c r="H145" s="412" t="b">
        <f>Wh_hp&gt;='2025'!Maxi_hp</f>
        <v>1</v>
      </c>
      <c r="I145" s="388">
        <f>IF(H145,Wh_hp,'2025'!Maxi_hp)</f>
        <v>61.91201836877741</v>
      </c>
      <c r="J145" s="85">
        <f>IF(H145,An,'2025'!An_max)</f>
        <v>2026</v>
      </c>
      <c r="K145" s="197">
        <f t="shared" si="52"/>
        <v>46153</v>
      </c>
      <c r="L145" s="147">
        <f>IF(t&lt;Tvie,1-EXP((T0-t)*PertePVj)+'2025'!Pspv,1-EXP((T0-t)*PertePVj)+Pspv)</f>
        <v>5.0028933204022574E-2</v>
      </c>
      <c r="M145" s="832"/>
      <c r="N145" s="832"/>
      <c r="O145" s="48">
        <f>IF(t&lt;Tnet,'2025'!Resal+('2025'!Salim-'2025'!Resal)*(1-EXP(('2025'!Tnet-t)/('2025'!Tau_j))),Resal+(Salim-Resal)*(1-EXP((Tnet-t)/(Tau_j))))*Salcycl</f>
        <v>3.9685384192539717E-2</v>
      </c>
      <c r="P145" s="169">
        <f>(INDEX(Models!$BJ145:$BT145,,T145)*(1-R145)+INDEX(Models!$BJ145:$BT145,,T145+1)*R145-ERP_i)*Q145*Ramure*Pc/MaxiM</f>
        <v>2.0989496578022593E-5</v>
      </c>
      <c r="Q145" s="304">
        <f t="shared" si="53"/>
        <v>0.7</v>
      </c>
      <c r="R145" s="177">
        <f t="shared" si="54"/>
        <v>0.86881666243819677</v>
      </c>
      <c r="S145" s="799">
        <f t="shared" si="55"/>
        <v>-2</v>
      </c>
      <c r="T145" s="176">
        <f t="shared" si="56"/>
        <v>4</v>
      </c>
      <c r="U145" s="250">
        <f t="shared" si="57"/>
        <v>-1.1311833375618032</v>
      </c>
      <c r="V145" s="382">
        <f t="shared" si="58"/>
        <v>56.075026731739634</v>
      </c>
      <c r="W145" s="400">
        <f t="shared" si="59"/>
        <v>56.479359604672936</v>
      </c>
      <c r="X145" s="157">
        <f t="shared" si="60"/>
        <v>46153</v>
      </c>
      <c r="Y145" s="383">
        <f t="shared" si="61"/>
        <v>54.282429049586931</v>
      </c>
      <c r="Z145" s="383">
        <f t="shared" si="62"/>
        <v>57.141139290345372</v>
      </c>
      <c r="AA145" s="384">
        <f t="shared" si="63"/>
        <v>61.673314382627474</v>
      </c>
      <c r="AB145" s="197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7.3486809289412106E-2</v>
      </c>
      <c r="AD145" s="230">
        <f>(INDEX(Models!$BJ145:$BT145,,AH145)*(1-AF145)+INDEX(Models!$BJ145:$BT145,,AH145+1)*AF145-ERP_i)*AE145*Ramure*Pc/MaxiM</f>
        <v>3.8555355234600403E-3</v>
      </c>
      <c r="AE145" s="304">
        <f t="shared" si="65"/>
        <v>0.7</v>
      </c>
      <c r="AF145" s="177">
        <f t="shared" si="66"/>
        <v>0.62447449327754767</v>
      </c>
      <c r="AG145" s="799">
        <f t="shared" si="74"/>
        <v>1</v>
      </c>
      <c r="AH145" s="176">
        <f t="shared" si="67"/>
        <v>7</v>
      </c>
      <c r="AI145" s="224">
        <f t="shared" si="68"/>
        <v>1.6244744932775477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46154</v>
      </c>
      <c r="B146" s="409">
        <f>'2025'!Wh/'2025'!Env_an*'2026'!Env_an</f>
        <v>42.84001810541988</v>
      </c>
      <c r="C146" s="829"/>
      <c r="D146" s="391">
        <f t="shared" si="50"/>
        <v>45.09699362194285</v>
      </c>
      <c r="E146" s="383">
        <f t="shared" si="72"/>
        <v>46.965255052067711</v>
      </c>
      <c r="F146" s="383">
        <f t="shared" si="51"/>
        <v>46.965865236082536</v>
      </c>
      <c r="G146" s="110">
        <f t="shared" si="73"/>
        <v>0.76337156323449806</v>
      </c>
      <c r="H146" s="412" t="b">
        <f>Wh_hp&gt;='2025'!Maxi_hp</f>
        <v>1</v>
      </c>
      <c r="I146" s="388">
        <f>IF(H146,Wh_hp,'2025'!Maxi_hp)</f>
        <v>46.965865236082536</v>
      </c>
      <c r="J146" s="85">
        <f>IF(H146,An,'2025'!An_max)</f>
        <v>2026</v>
      </c>
      <c r="K146" s="197">
        <f t="shared" si="52"/>
        <v>46154</v>
      </c>
      <c r="L146" s="147">
        <f>IF(t&lt;Tvie,1-EXP((T0-t)*PertePVj)+'2025'!Pspv,1-EXP((T0-t)*PertePVj)+Pspv)</f>
        <v>5.0047139182794576E-2</v>
      </c>
      <c r="M146" s="832"/>
      <c r="N146" s="832"/>
      <c r="O146" s="48">
        <f>IF(t&lt;Tnet,'2025'!Resal+('2025'!Salim-'2025'!Resal)*(1-EXP(('2025'!Tnet-t)/('2025'!Tau_j))),Resal+(Salim-Resal)*(1-EXP((Tnet-t)/(Tau_j))))*Salcycl</f>
        <v>3.9779650468279637E-2</v>
      </c>
      <c r="P146" s="169">
        <f>(INDEX(Models!$BJ146:$BT146,,T146)*(1-R146)+INDEX(Models!$BJ146:$BT146,,T146+1)*R146-ERP_i)*Q146*Ramure*Pc/MaxiM</f>
        <v>1.9626479897006802E-5</v>
      </c>
      <c r="Q146" s="304">
        <f t="shared" si="53"/>
        <v>0.7</v>
      </c>
      <c r="R146" s="177">
        <f t="shared" si="54"/>
        <v>0.87172657255645958</v>
      </c>
      <c r="S146" s="799">
        <f t="shared" si="55"/>
        <v>-2</v>
      </c>
      <c r="T146" s="176">
        <f t="shared" si="56"/>
        <v>4</v>
      </c>
      <c r="U146" s="250">
        <f t="shared" si="57"/>
        <v>-1.1282734274435404</v>
      </c>
      <c r="V146" s="382">
        <f t="shared" si="58"/>
        <v>56.119111513871367</v>
      </c>
      <c r="W146" s="400">
        <f t="shared" si="59"/>
        <v>42.84001810541988</v>
      </c>
      <c r="X146" s="157">
        <f t="shared" si="60"/>
        <v>46154</v>
      </c>
      <c r="Y146" s="383">
        <f t="shared" si="61"/>
        <v>41.231068576225965</v>
      </c>
      <c r="Z146" s="383">
        <f t="shared" si="62"/>
        <v>43.403278496110396</v>
      </c>
      <c r="AA146" s="384">
        <f t="shared" si="63"/>
        <v>46.849681462037189</v>
      </c>
      <c r="AB146" s="197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7.3562996766999358E-2</v>
      </c>
      <c r="AD146" s="230">
        <f>(INDEX(Models!$BJ146:$BT146,,AH146)*(1-AF146)+INDEX(Models!$BJ146:$BT146,,AH146+1)*AF146-ERP_i)*AE146*Ramure*Pc/MaxiM</f>
        <v>3.7370341573606525E-3</v>
      </c>
      <c r="AE146" s="304">
        <f t="shared" si="65"/>
        <v>0.7</v>
      </c>
      <c r="AF146" s="177">
        <f t="shared" si="66"/>
        <v>0.62738440339581047</v>
      </c>
      <c r="AG146" s="799">
        <f t="shared" si="74"/>
        <v>1</v>
      </c>
      <c r="AH146" s="176">
        <f t="shared" si="67"/>
        <v>7</v>
      </c>
      <c r="AI146" s="224">
        <f t="shared" si="68"/>
        <v>1.6273844033958105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46155</v>
      </c>
      <c r="B147" s="409">
        <f>'2025'!Wh/'2025'!Env_an*'2026'!Env_an</f>
        <v>36.99466452089019</v>
      </c>
      <c r="C147" s="829"/>
      <c r="D147" s="391">
        <f t="shared" si="50"/>
        <v>38.944430881505284</v>
      </c>
      <c r="E147" s="383">
        <f t="shared" si="72"/>
        <v>40.56180397520783</v>
      </c>
      <c r="F147" s="383">
        <f t="shared" si="51"/>
        <v>40.562182210136704</v>
      </c>
      <c r="G147" s="110">
        <f t="shared" si="73"/>
        <v>0.6587202667586719</v>
      </c>
      <c r="H147" s="412" t="b">
        <f>Wh_hp&gt;='2025'!Maxi_hp</f>
        <v>0</v>
      </c>
      <c r="I147" s="388">
        <f>IF(H147,Wh_hp,'2025'!Maxi_hp)</f>
        <v>60.109259389460362</v>
      </c>
      <c r="J147" s="85">
        <f>IF(H147,An,'2025'!An_max)</f>
        <v>2018</v>
      </c>
      <c r="K147" s="197">
        <f t="shared" si="52"/>
        <v>46155</v>
      </c>
      <c r="L147" s="147">
        <f>IF(t&lt;Tvie,1-EXP((T0-t)*PertePVj)+'2025'!Pspv,1-EXP((T0-t)*PertePVj)+Pspv)</f>
        <v>5.0065344812653012E-2</v>
      </c>
      <c r="M147" s="832"/>
      <c r="N147" s="832"/>
      <c r="O147" s="48">
        <f>IF(t&lt;Tnet,'2025'!Resal+('2025'!Salim-'2025'!Resal)*(1-EXP(('2025'!Tnet-t)/('2025'!Tau_j))),Resal+(Salim-Resal)*(1-EXP((Tnet-t)/(Tau_j))))*Salcycl</f>
        <v>3.9874288990970876E-2</v>
      </c>
      <c r="P147" s="169">
        <f>(INDEX(Models!$BJ147:$BT147,,T147)*(1-R147)+INDEX(Models!$BJ147:$BT147,,T147+1)*R147-ERP_i)*Q147*Ramure*Pc/MaxiM</f>
        <v>1.8195976693605778E-5</v>
      </c>
      <c r="Q147" s="304">
        <f t="shared" si="53"/>
        <v>0.7</v>
      </c>
      <c r="R147" s="177">
        <f t="shared" si="54"/>
        <v>0.87470105505682128</v>
      </c>
      <c r="S147" s="799">
        <f t="shared" si="55"/>
        <v>-2</v>
      </c>
      <c r="T147" s="176">
        <f t="shared" si="56"/>
        <v>4</v>
      </c>
      <c r="U147" s="250">
        <f t="shared" si="57"/>
        <v>-1.1252989449431787</v>
      </c>
      <c r="V147" s="382">
        <f t="shared" si="58"/>
        <v>56.160920194988826</v>
      </c>
      <c r="W147" s="400">
        <f t="shared" si="59"/>
        <v>36.99466452089019</v>
      </c>
      <c r="X147" s="157">
        <f t="shared" si="60"/>
        <v>46155</v>
      </c>
      <c r="Y147" s="383">
        <f t="shared" si="61"/>
        <v>35.627935053376433</v>
      </c>
      <c r="Z147" s="383">
        <f t="shared" si="62"/>
        <v>37.505669320327996</v>
      </c>
      <c r="AA147" s="384">
        <f t="shared" si="63"/>
        <v>40.487136442259271</v>
      </c>
      <c r="AB147" s="197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7.3639861544253518E-2</v>
      </c>
      <c r="AD147" s="230">
        <f>(INDEX(Models!$BJ147:$BT147,,AH147)*(1-AF147)+INDEX(Models!$BJ147:$BT147,,AH147+1)*AF147-ERP_i)*AE147*Ramure*Pc/MaxiM</f>
        <v>3.6102721853688178E-3</v>
      </c>
      <c r="AE147" s="304">
        <f t="shared" si="65"/>
        <v>0.7</v>
      </c>
      <c r="AF147" s="177">
        <f t="shared" si="66"/>
        <v>0.63035888589617217</v>
      </c>
      <c r="AG147" s="799">
        <f t="shared" si="74"/>
        <v>1</v>
      </c>
      <c r="AH147" s="176">
        <f t="shared" si="67"/>
        <v>7</v>
      </c>
      <c r="AI147" s="224">
        <f t="shared" si="68"/>
        <v>1.6303588858961722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46156</v>
      </c>
      <c r="B148" s="409">
        <f>'2025'!Wh/'2025'!Env_an*'2026'!Env_an</f>
        <v>51.435821830546885</v>
      </c>
      <c r="C148" s="829"/>
      <c r="D148" s="391">
        <f t="shared" si="50"/>
        <v>54.147732503859018</v>
      </c>
      <c r="E148" s="383">
        <f t="shared" si="72"/>
        <v>56.402083099866246</v>
      </c>
      <c r="F148" s="383">
        <f t="shared" si="51"/>
        <v>56.402911116658252</v>
      </c>
      <c r="G148" s="110">
        <f t="shared" si="73"/>
        <v>0.91521566685972344</v>
      </c>
      <c r="H148" s="412" t="b">
        <f>Wh_hp&gt;='2025'!Maxi_hp</f>
        <v>0</v>
      </c>
      <c r="I148" s="388">
        <f>IF(H148,Wh_hp,'2025'!Maxi_hp)</f>
        <v>59.065123459499134</v>
      </c>
      <c r="J148" s="85">
        <f>IF(H148,An,'2025'!An_max)</f>
        <v>2018</v>
      </c>
      <c r="K148" s="197">
        <f t="shared" si="52"/>
        <v>46156</v>
      </c>
      <c r="L148" s="147">
        <f>IF(t&lt;Tvie,1-EXP((T0-t)*PertePVj)+'2025'!Pspv,1-EXP((T0-t)*PertePVj)+Pspv)</f>
        <v>5.0083550093604767E-2</v>
      </c>
      <c r="M148" s="832"/>
      <c r="N148" s="832"/>
      <c r="O148" s="48">
        <f>IF(t&lt;Tnet,'2025'!Resal+('2025'!Salim-'2025'!Resal)*(1-EXP(('2025'!Tnet-t)/('2025'!Tau_j))),Resal+(Salim-Resal)*(1-EXP((Tnet-t)/(Tau_j))))*Salcycl</f>
        <v>3.9969279007224676E-2</v>
      </c>
      <c r="P148" s="169">
        <f>(INDEX(Models!$BJ148:$BT148,,T148)*(1-R148)+INDEX(Models!$BJ148:$BT148,,T148+1)*R148-ERP_i)*Q148*Ramure*Pc/MaxiM</f>
        <v>1.6703480366611999E-5</v>
      </c>
      <c r="Q148" s="304">
        <f t="shared" si="53"/>
        <v>0.7</v>
      </c>
      <c r="R148" s="177">
        <f t="shared" si="54"/>
        <v>0.87773968830930316</v>
      </c>
      <c r="S148" s="799">
        <f t="shared" si="55"/>
        <v>-2</v>
      </c>
      <c r="T148" s="176">
        <f t="shared" si="56"/>
        <v>4</v>
      </c>
      <c r="U148" s="250">
        <f t="shared" si="57"/>
        <v>-1.1222603116906968</v>
      </c>
      <c r="V148" s="382">
        <f t="shared" si="58"/>
        <v>56.200652624581487</v>
      </c>
      <c r="W148" s="400">
        <f t="shared" si="59"/>
        <v>51.435821830546885</v>
      </c>
      <c r="X148" s="157">
        <f t="shared" si="60"/>
        <v>46156</v>
      </c>
      <c r="Y148" s="383">
        <f t="shared" si="61"/>
        <v>49.476844028876414</v>
      </c>
      <c r="Z148" s="383">
        <f t="shared" si="62"/>
        <v>52.085469236533235</v>
      </c>
      <c r="AA148" s="384">
        <f t="shared" si="63"/>
        <v>56.230644019151171</v>
      </c>
      <c r="AB148" s="197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7.3717362746301779E-2</v>
      </c>
      <c r="AD148" s="230">
        <f>(INDEX(Models!$BJ148:$BT148,,AH148)*(1-AF148)+INDEX(Models!$BJ148:$BT148,,AH148+1)*AF148-ERP_i)*AE148*Ramure*Pc/MaxiM</f>
        <v>3.4751228583670374E-3</v>
      </c>
      <c r="AE148" s="304">
        <f t="shared" si="65"/>
        <v>0.7</v>
      </c>
      <c r="AF148" s="177">
        <f t="shared" si="66"/>
        <v>0.63339751914865405</v>
      </c>
      <c r="AG148" s="799">
        <f t="shared" si="74"/>
        <v>1</v>
      </c>
      <c r="AH148" s="176">
        <f t="shared" si="67"/>
        <v>7</v>
      </c>
      <c r="AI148" s="224">
        <f t="shared" si="68"/>
        <v>1.6333975191486541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46157</v>
      </c>
      <c r="B149" s="409">
        <f>'2025'!Wh/'2025'!Env_an*'2026'!Env_an</f>
        <v>53.241594717883515</v>
      </c>
      <c r="C149" s="829"/>
      <c r="D149" s="391">
        <f t="shared" si="50"/>
        <v>56.049787437307614</v>
      </c>
      <c r="E149" s="383">
        <f t="shared" si="72"/>
        <v>58.389124248685029</v>
      </c>
      <c r="F149" s="383">
        <f t="shared" si="51"/>
        <v>58.389941805877257</v>
      </c>
      <c r="G149" s="110">
        <f t="shared" si="73"/>
        <v>0.94671789268585982</v>
      </c>
      <c r="H149" s="412" t="b">
        <f>Wh_hp&gt;='2025'!Maxi_hp</f>
        <v>0</v>
      </c>
      <c r="I149" s="388">
        <f>IF(H149,Wh_hp,'2025'!Maxi_hp)</f>
        <v>59.483162733669118</v>
      </c>
      <c r="J149" s="85">
        <f>IF(H149,An,'2025'!An_max)</f>
        <v>2018</v>
      </c>
      <c r="K149" s="197">
        <f t="shared" si="52"/>
        <v>46157</v>
      </c>
      <c r="L149" s="147">
        <f>IF(t&lt;Tvie,1-EXP((T0-t)*PertePVj)+'2025'!Pspv,1-EXP((T0-t)*PertePVj)+Pspv)</f>
        <v>5.0101755025656391E-2</v>
      </c>
      <c r="M149" s="832"/>
      <c r="N149" s="832"/>
      <c r="O149" s="48">
        <f>IF(t&lt;Tnet,'2025'!Resal+('2025'!Salim-'2025'!Resal)*(1-EXP(('2025'!Tnet-t)/('2025'!Tau_j))),Resal+(Salim-Resal)*(1-EXP((Tnet-t)/(Tau_j))))*Salcycl</f>
        <v>4.0064598355919002E-2</v>
      </c>
      <c r="P149" s="169">
        <f>(INDEX(Models!$BJ149:$BT149,,T149)*(1-R149)+INDEX(Models!$BJ149:$BT149,,T149+1)*R149-ERP_i)*Q149*Ramure*Pc/MaxiM</f>
        <v>1.515522997417484E-5</v>
      </c>
      <c r="Q149" s="304">
        <f t="shared" si="53"/>
        <v>0.7</v>
      </c>
      <c r="R149" s="177">
        <f t="shared" si="54"/>
        <v>0.88084192168133502</v>
      </c>
      <c r="S149" s="799">
        <f t="shared" si="55"/>
        <v>-2</v>
      </c>
      <c r="T149" s="176">
        <f t="shared" si="56"/>
        <v>4</v>
      </c>
      <c r="U149" s="250">
        <f t="shared" si="57"/>
        <v>-1.119158078318665</v>
      </c>
      <c r="V149" s="382">
        <f t="shared" si="58"/>
        <v>56.238013152001955</v>
      </c>
      <c r="W149" s="400">
        <f t="shared" si="59"/>
        <v>53.241594717883515</v>
      </c>
      <c r="X149" s="157">
        <f t="shared" si="60"/>
        <v>46157</v>
      </c>
      <c r="Y149" s="383">
        <f t="shared" si="61"/>
        <v>51.213358161312307</v>
      </c>
      <c r="Z149" s="383">
        <f t="shared" si="62"/>
        <v>53.914572884273049</v>
      </c>
      <c r="AA149" s="384">
        <f t="shared" si="63"/>
        <v>58.210222892355262</v>
      </c>
      <c r="AB149" s="197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7.3795457131746497E-2</v>
      </c>
      <c r="AD149" s="230">
        <f>(INDEX(Models!$BJ149:$BT149,,AH149)*(1-AF149)+INDEX(Models!$BJ149:$BT149,,AH149+1)*AF149-ERP_i)*AE149*Ramure*Pc/MaxiM</f>
        <v>3.3314873760799213E-3</v>
      </c>
      <c r="AE149" s="304">
        <f t="shared" si="65"/>
        <v>0.7</v>
      </c>
      <c r="AF149" s="177">
        <f t="shared" si="66"/>
        <v>0.63649975252068591</v>
      </c>
      <c r="AG149" s="799">
        <f t="shared" si="74"/>
        <v>1</v>
      </c>
      <c r="AH149" s="176">
        <f t="shared" si="67"/>
        <v>7</v>
      </c>
      <c r="AI149" s="224">
        <f t="shared" si="68"/>
        <v>1.6364997525206859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46158</v>
      </c>
      <c r="B150" s="409">
        <f>'2025'!Wh/'2025'!Env_an*'2026'!Env_an</f>
        <v>49.616612986413259</v>
      </c>
      <c r="C150" s="829"/>
      <c r="D150" s="391">
        <f t="shared" si="50"/>
        <v>52.234609504985336</v>
      </c>
      <c r="E150" s="383">
        <f t="shared" si="72"/>
        <v>54.420134259263484</v>
      </c>
      <c r="F150" s="383">
        <f t="shared" si="51"/>
        <v>54.420752027388176</v>
      </c>
      <c r="G150" s="110">
        <f t="shared" si="73"/>
        <v>0.88171732338308617</v>
      </c>
      <c r="H150" s="412" t="b">
        <f>Wh_hp&gt;='2025'!Maxi_hp</f>
        <v>0</v>
      </c>
      <c r="I150" s="388">
        <f>IF(H150,Wh_hp,'2025'!Maxi_hp)</f>
        <v>55.435904399739371</v>
      </c>
      <c r="J150" s="85">
        <f>IF(H150,An,'2025'!An_max)</f>
        <v>2018</v>
      </c>
      <c r="K150" s="197">
        <f t="shared" si="52"/>
        <v>46158</v>
      </c>
      <c r="L150" s="147">
        <f>IF(t&lt;Tvie,1-EXP((T0-t)*PertePVj)+'2025'!Pspv,1-EXP((T0-t)*PertePVj)+Pspv)</f>
        <v>5.0119959608814768E-2</v>
      </c>
      <c r="M150" s="832"/>
      <c r="N150" s="832"/>
      <c r="O150" s="48">
        <f>IF(t&lt;Tnet,'2025'!Resal+('2025'!Salim-'2025'!Resal)*(1-EXP(('2025'!Tnet-t)/('2025'!Tau_j))),Resal+(Salim-Resal)*(1-EXP((Tnet-t)/(Tau_j))))*Salcycl</f>
        <v>4.0160223491292203E-2</v>
      </c>
      <c r="P150" s="169">
        <f>(INDEX(Models!$BJ150:$BT150,,T150)*(1-R150)+INDEX(Models!$BJ150:$BT150,,T150+1)*R150-ERP_i)*Q150*Ramure*Pc/MaxiM</f>
        <v>1.3659835853991353E-5</v>
      </c>
      <c r="Q150" s="304">
        <f t="shared" si="53"/>
        <v>0.7</v>
      </c>
      <c r="R150" s="177">
        <f t="shared" si="54"/>
        <v>0.88400707165023595</v>
      </c>
      <c r="S150" s="799">
        <f t="shared" si="55"/>
        <v>-2</v>
      </c>
      <c r="T150" s="176">
        <f t="shared" si="56"/>
        <v>4</v>
      </c>
      <c r="U150" s="250">
        <f t="shared" si="57"/>
        <v>-1.115992928349764</v>
      </c>
      <c r="V150" s="382">
        <f t="shared" si="58"/>
        <v>56.272568483652186</v>
      </c>
      <c r="W150" s="400">
        <f t="shared" si="59"/>
        <v>49.616612986413259</v>
      </c>
      <c r="X150" s="157">
        <f t="shared" si="60"/>
        <v>46158</v>
      </c>
      <c r="Y150" s="383">
        <f t="shared" si="61"/>
        <v>47.747881741277524</v>
      </c>
      <c r="Z150" s="383">
        <f t="shared" si="62"/>
        <v>50.267275562094881</v>
      </c>
      <c r="AA150" s="384">
        <f t="shared" si="63"/>
        <v>54.276935258953245</v>
      </c>
      <c r="AB150" s="197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7.3874099149637468E-2</v>
      </c>
      <c r="AD150" s="230">
        <f>(INDEX(Models!$BJ150:$BT150,,AH150)*(1-AF150)+INDEX(Models!$BJ150:$BT150,,AH150+1)*AF150-ERP_i)*AE150*Ramure*Pc/MaxiM</f>
        <v>3.1800175038770857E-3</v>
      </c>
      <c r="AE150" s="304">
        <f t="shared" si="65"/>
        <v>0.7</v>
      </c>
      <c r="AF150" s="177">
        <f t="shared" si="66"/>
        <v>0.63966490248958685</v>
      </c>
      <c r="AG150" s="799">
        <f t="shared" si="74"/>
        <v>1</v>
      </c>
      <c r="AH150" s="176">
        <f t="shared" si="67"/>
        <v>7</v>
      </c>
      <c r="AI150" s="224">
        <f t="shared" si="68"/>
        <v>1.6396649024895869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46159</v>
      </c>
      <c r="B151" s="409">
        <f>'2025'!Wh/'2025'!Env_an*'2026'!Env_an</f>
        <v>54.289549716529784</v>
      </c>
      <c r="C151" s="829"/>
      <c r="D151" s="391">
        <f t="shared" si="50"/>
        <v>57.155206841641501</v>
      </c>
      <c r="E151" s="383">
        <f t="shared" si="72"/>
        <v>59.55256251094859</v>
      </c>
      <c r="F151" s="383">
        <f t="shared" si="51"/>
        <v>59.553254003490785</v>
      </c>
      <c r="G151" s="110">
        <f t="shared" si="73"/>
        <v>0.96421581578314319</v>
      </c>
      <c r="H151" s="412" t="b">
        <f>Wh_hp&gt;='2025'!Maxi_hp</f>
        <v>1</v>
      </c>
      <c r="I151" s="388">
        <f>IF(H151,Wh_hp,'2025'!Maxi_hp)</f>
        <v>59.553254003490785</v>
      </c>
      <c r="J151" s="85">
        <f>IF(H151,An,'2025'!An_max)</f>
        <v>2026</v>
      </c>
      <c r="K151" s="197">
        <f t="shared" si="52"/>
        <v>46159</v>
      </c>
      <c r="L151" s="147">
        <f>IF(t&lt;Tvie,1-EXP((T0-t)*PertePVj)+'2025'!Pspv,1-EXP((T0-t)*PertePVj)+Pspv)</f>
        <v>5.0138163843086447E-2</v>
      </c>
      <c r="M151" s="832"/>
      <c r="N151" s="832"/>
      <c r="O151" s="48">
        <f>IF(t&lt;Tnet,'2025'!Resal+('2025'!Salim-'2025'!Resal)*(1-EXP(('2025'!Tnet-t)/('2025'!Tau_j))),Resal+(Salim-Resal)*(1-EXP((Tnet-t)/(Tau_j))))*Salcycl</f>
        <v>4.0256129513593003E-2</v>
      </c>
      <c r="P151" s="169">
        <f>(INDEX(Models!$BJ151:$BT151,,T151)*(1-R151)+INDEX(Models!$BJ151:$BT151,,T151+1)*R151-ERP_i)*Q151*Ramure*Pc/MaxiM</f>
        <v>1.2236872565411138E-5</v>
      </c>
      <c r="Q151" s="304">
        <f t="shared" si="53"/>
        <v>0.7</v>
      </c>
      <c r="R151" s="177">
        <f t="shared" si="54"/>
        <v>0.88723431833821498</v>
      </c>
      <c r="S151" s="799">
        <f t="shared" si="55"/>
        <v>-2</v>
      </c>
      <c r="T151" s="176">
        <f t="shared" si="56"/>
        <v>4</v>
      </c>
      <c r="U151" s="250">
        <f t="shared" si="57"/>
        <v>-1.112765681661785</v>
      </c>
      <c r="V151" s="382">
        <f t="shared" si="58"/>
        <v>56.304319911688253</v>
      </c>
      <c r="W151" s="400">
        <f t="shared" si="59"/>
        <v>54.289549716529784</v>
      </c>
      <c r="X151" s="157">
        <f t="shared" si="60"/>
        <v>46159</v>
      </c>
      <c r="Y151" s="383">
        <f t="shared" si="61"/>
        <v>52.233610573414985</v>
      </c>
      <c r="Z151" s="383">
        <f t="shared" si="62"/>
        <v>54.990745585430801</v>
      </c>
      <c r="AA151" s="384">
        <f t="shared" si="63"/>
        <v>59.3822558651298</v>
      </c>
      <c r="AB151" s="197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7.3953241009790602E-2</v>
      </c>
      <c r="AD151" s="230">
        <f>(INDEX(Models!$BJ151:$BT151,,AH151)*(1-AF151)+INDEX(Models!$BJ151:$BT151,,AH151+1)*AF151-ERP_i)*AE151*Ramure*Pc/MaxiM</f>
        <v>3.0260375931289944E-3</v>
      </c>
      <c r="AE151" s="304">
        <f t="shared" si="65"/>
        <v>0.7</v>
      </c>
      <c r="AF151" s="177">
        <f t="shared" si="66"/>
        <v>0.64289214917756587</v>
      </c>
      <c r="AG151" s="799">
        <f t="shared" si="74"/>
        <v>1</v>
      </c>
      <c r="AH151" s="176">
        <f t="shared" si="67"/>
        <v>7</v>
      </c>
      <c r="AI151" s="224">
        <f t="shared" si="68"/>
        <v>1.6428921491775659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46160</v>
      </c>
      <c r="B152" s="409">
        <f>'2025'!Wh/'2025'!Env_an*'2026'!Env_an</f>
        <v>52.032013144306539</v>
      </c>
      <c r="C152" s="829"/>
      <c r="D152" s="391">
        <f t="shared" si="50"/>
        <v>54.779556735958295</v>
      </c>
      <c r="E152" s="383">
        <f t="shared" si="72"/>
        <v>57.082985950961401</v>
      </c>
      <c r="F152" s="383">
        <f t="shared" si="51"/>
        <v>57.083540656220364</v>
      </c>
      <c r="G152" s="110">
        <f t="shared" si="73"/>
        <v>0.92364516388948847</v>
      </c>
      <c r="H152" s="412" t="b">
        <f>Wh_hp&gt;='2025'!Maxi_hp</f>
        <v>0</v>
      </c>
      <c r="I152" s="388">
        <f>IF(H152,Wh_hp,'2025'!Maxi_hp)</f>
        <v>60.850795316552379</v>
      </c>
      <c r="J152" s="85">
        <f>IF(H152,An,'2025'!An_max)</f>
        <v>2020</v>
      </c>
      <c r="K152" s="197">
        <f t="shared" si="52"/>
        <v>46160</v>
      </c>
      <c r="L152" s="147">
        <f>IF(t&lt;Tvie,1-EXP((T0-t)*PertePVj)+'2025'!Pspv,1-EXP((T0-t)*PertePVj)+Pspv)</f>
        <v>5.0156367728478091E-2</v>
      </c>
      <c r="M152" s="832"/>
      <c r="N152" s="832"/>
      <c r="O152" s="48">
        <f>IF(t&lt;Tnet,'2025'!Resal+('2025'!Salim-'2025'!Resal)*(1-EXP(('2025'!Tnet-t)/('2025'!Tau_j))),Resal+(Salim-Resal)*(1-EXP((Tnet-t)/(Tau_j))))*Salcycl</f>
        <v>4.0352290207487131E-2</v>
      </c>
      <c r="P152" s="169">
        <f>(INDEX(Models!$BJ152:$BT152,,T152)*(1-R152)+INDEX(Models!$BJ152:$BT152,,T152+1)*R152-ERP_i)*Q152*Ramure*Pc/MaxiM</f>
        <v>1.0907145242859893E-5</v>
      </c>
      <c r="Q152" s="304">
        <f t="shared" si="53"/>
        <v>0.7</v>
      </c>
      <c r="R152" s="177">
        <f t="shared" si="54"/>
        <v>0.89052270251738053</v>
      </c>
      <c r="S152" s="799">
        <f t="shared" si="55"/>
        <v>-2</v>
      </c>
      <c r="T152" s="176">
        <f t="shared" si="56"/>
        <v>4</v>
      </c>
      <c r="U152" s="250">
        <f t="shared" si="57"/>
        <v>-1.1094772974826195</v>
      </c>
      <c r="V152" s="382">
        <f t="shared" si="58"/>
        <v>56.333268742805174</v>
      </c>
      <c r="W152" s="400">
        <f t="shared" si="59"/>
        <v>52.032013144306539</v>
      </c>
      <c r="X152" s="157">
        <f t="shared" si="60"/>
        <v>46160</v>
      </c>
      <c r="Y152" s="383">
        <f t="shared" si="61"/>
        <v>50.077996510869525</v>
      </c>
      <c r="Z152" s="383">
        <f t="shared" si="62"/>
        <v>52.722358511905306</v>
      </c>
      <c r="AA152" s="384">
        <f t="shared" si="63"/>
        <v>56.937611156813155</v>
      </c>
      <c r="AB152" s="197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7.4032832766701973E-2</v>
      </c>
      <c r="AD152" s="230">
        <f>(INDEX(Models!$BJ152:$BT152,,AH152)*(1-AF152)+INDEX(Models!$BJ152:$BT152,,AH152+1)*AF152-ERP_i)*AE152*Ramure*Pc/MaxiM</f>
        <v>2.8694053635388659E-3</v>
      </c>
      <c r="AE152" s="304">
        <f t="shared" si="65"/>
        <v>0.7</v>
      </c>
      <c r="AF152" s="177">
        <f t="shared" si="66"/>
        <v>0.64618053335673142</v>
      </c>
      <c r="AG152" s="799">
        <f t="shared" si="74"/>
        <v>1</v>
      </c>
      <c r="AH152" s="176">
        <f t="shared" si="67"/>
        <v>7</v>
      </c>
      <c r="AI152" s="224">
        <f t="shared" si="68"/>
        <v>1.6461805333567314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46161</v>
      </c>
      <c r="B153" s="409">
        <f>'2025'!Wh/'2025'!Env_an*'2026'!Env_an</f>
        <v>50.4827107311242</v>
      </c>
      <c r="C153" s="829"/>
      <c r="D153" s="391">
        <f t="shared" si="50"/>
        <v>53.149462210501227</v>
      </c>
      <c r="E153" s="383">
        <f t="shared" si="72"/>
        <v>55.389910885241434</v>
      </c>
      <c r="F153" s="383">
        <f t="shared" si="51"/>
        <v>55.39036779345853</v>
      </c>
      <c r="G153" s="110">
        <f t="shared" si="73"/>
        <v>0.89572676865928913</v>
      </c>
      <c r="H153" s="412" t="b">
        <f>Wh_hp&gt;='2025'!Maxi_hp</f>
        <v>0</v>
      </c>
      <c r="I153" s="388">
        <f>IF(H153,Wh_hp,'2025'!Maxi_hp)</f>
        <v>61.039716032201341</v>
      </c>
      <c r="J153" s="85">
        <f>IF(H153,An,'2025'!An_max)</f>
        <v>2020</v>
      </c>
      <c r="K153" s="197">
        <f t="shared" si="52"/>
        <v>46161</v>
      </c>
      <c r="L153" s="147">
        <f>IF(t&lt;Tvie,1-EXP((T0-t)*PertePVj)+'2025'!Pspv,1-EXP((T0-t)*PertePVj)+Pspv)</f>
        <v>5.0174571264996359E-2</v>
      </c>
      <c r="M153" s="832"/>
      <c r="N153" s="832"/>
      <c r="O153" s="48">
        <f>IF(t&lt;Tnet,'2025'!Resal+('2025'!Salim-'2025'!Resal)*(1-EXP(('2025'!Tnet-t)/('2025'!Tau_j))),Resal+(Salim-Resal)*(1-EXP((Tnet-t)/(Tau_j))))*Salcycl</f>
        <v>4.0448678088362437E-2</v>
      </c>
      <c r="P153" s="169">
        <f>(INDEX(Models!$BJ153:$BT153,,T153)*(1-R153)+INDEX(Models!$BJ153:$BT153,,T153+1)*R153-ERP_i)*Q153*Ramure*Pc/MaxiM</f>
        <v>9.6926984483798543E-6</v>
      </c>
      <c r="Q153" s="304">
        <f t="shared" si="53"/>
        <v>0.7</v>
      </c>
      <c r="R153" s="177">
        <f t="shared" si="54"/>
        <v>0.89387112313121775</v>
      </c>
      <c r="S153" s="799">
        <f t="shared" si="55"/>
        <v>-2</v>
      </c>
      <c r="T153" s="176">
        <f t="shared" si="56"/>
        <v>4</v>
      </c>
      <c r="U153" s="250">
        <f t="shared" si="57"/>
        <v>-1.1061288768687823</v>
      </c>
      <c r="V153" s="382">
        <f t="shared" si="58"/>
        <v>56.359416296065781</v>
      </c>
      <c r="W153" s="400">
        <f t="shared" si="59"/>
        <v>50.4827107311242</v>
      </c>
      <c r="X153" s="157">
        <f t="shared" si="60"/>
        <v>46161</v>
      </c>
      <c r="Y153" s="383">
        <f t="shared" si="61"/>
        <v>48.599672371426202</v>
      </c>
      <c r="Z153" s="383">
        <f t="shared" si="62"/>
        <v>51.166952264219972</v>
      </c>
      <c r="AA153" s="384">
        <f t="shared" si="63"/>
        <v>55.262621087161634</v>
      </c>
      <c r="AB153" s="197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7.4112822417197077E-2</v>
      </c>
      <c r="AD153" s="230">
        <f>(INDEX(Models!$BJ153:$BT153,,AH153)*(1-AF153)+INDEX(Models!$BJ153:$BT153,,AH153+1)*AF153-ERP_i)*AE153*Ramure*Pc/MaxiM</f>
        <v>2.7099759986243346E-3</v>
      </c>
      <c r="AE153" s="304">
        <f t="shared" si="65"/>
        <v>0.7</v>
      </c>
      <c r="AF153" s="177">
        <f t="shared" si="66"/>
        <v>0.64952895397056865</v>
      </c>
      <c r="AG153" s="799">
        <f t="shared" si="74"/>
        <v>1</v>
      </c>
      <c r="AH153" s="176">
        <f t="shared" si="67"/>
        <v>7</v>
      </c>
      <c r="AI153" s="224">
        <f t="shared" si="68"/>
        <v>1.6495289539705686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46162</v>
      </c>
      <c r="B154" s="409">
        <f>'2025'!Wh/'2025'!Env_an*'2026'!Env_an</f>
        <v>48.946979631525473</v>
      </c>
      <c r="C154" s="829"/>
      <c r="D154" s="391">
        <f t="shared" si="50"/>
        <v>51.533593675620288</v>
      </c>
      <c r="E154" s="383">
        <f t="shared" si="72"/>
        <v>53.711333913458908</v>
      </c>
      <c r="F154" s="383">
        <f t="shared" si="51"/>
        <v>53.711709541326854</v>
      </c>
      <c r="G154" s="110">
        <f t="shared" si="73"/>
        <v>0.86811814082631078</v>
      </c>
      <c r="H154" s="412" t="b">
        <f>Wh_hp&gt;='2025'!Maxi_hp</f>
        <v>0</v>
      </c>
      <c r="I154" s="388">
        <f>IF(H154,Wh_hp,'2025'!Maxi_hp)</f>
        <v>60.491890433923544</v>
      </c>
      <c r="J154" s="85">
        <f>IF(H154,An,'2025'!An_max)</f>
        <v>2020</v>
      </c>
      <c r="K154" s="197">
        <f t="shared" si="52"/>
        <v>46162</v>
      </c>
      <c r="L154" s="147">
        <f>IF(t&lt;Tvie,1-EXP((T0-t)*PertePVj)+'2025'!Pspv,1-EXP((T0-t)*PertePVj)+Pspv)</f>
        <v>5.0192774452648026E-2</v>
      </c>
      <c r="M154" s="832"/>
      <c r="N154" s="832"/>
      <c r="O154" s="48">
        <f>IF(t&lt;Tnet,'2025'!Resal+('2025'!Salim-'2025'!Resal)*(1-EXP(('2025'!Tnet-t)/('2025'!Tau_j))),Resal+(Salim-Resal)*(1-EXP((Tnet-t)/(Tau_j))))*Salcycl</f>
        <v>4.0545264456612669E-2</v>
      </c>
      <c r="P154" s="169">
        <f>(INDEX(Models!$BJ154:$BT154,,T154)*(1-R154)+INDEX(Models!$BJ154:$BT154,,T154+1)*R154-ERP_i)*Q154*Ramure*Pc/MaxiM</f>
        <v>8.6168222716857911E-6</v>
      </c>
      <c r="Q154" s="304">
        <f t="shared" si="53"/>
        <v>0.7</v>
      </c>
      <c r="R154" s="177">
        <f t="shared" si="54"/>
        <v>0.89727833537734636</v>
      </c>
      <c r="S154" s="799">
        <f t="shared" si="55"/>
        <v>-2</v>
      </c>
      <c r="T154" s="176">
        <f t="shared" si="56"/>
        <v>4</v>
      </c>
      <c r="U154" s="250">
        <f t="shared" si="57"/>
        <v>-1.1027216646226536</v>
      </c>
      <c r="V154" s="382">
        <f t="shared" si="58"/>
        <v>56.382763897925585</v>
      </c>
      <c r="W154" s="400">
        <f t="shared" si="59"/>
        <v>48.946979631525473</v>
      </c>
      <c r="X154" s="157">
        <f t="shared" si="60"/>
        <v>46162</v>
      </c>
      <c r="Y154" s="383">
        <f t="shared" si="61"/>
        <v>47.133093021183726</v>
      </c>
      <c r="Z154" s="383">
        <f t="shared" si="62"/>
        <v>49.623851823218139</v>
      </c>
      <c r="AA154" s="384">
        <f t="shared" si="63"/>
        <v>53.600653468330691</v>
      </c>
      <c r="AB154" s="197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7.4193156011842176E-2</v>
      </c>
      <c r="AD154" s="230">
        <f>(INDEX(Models!$BJ154:$BT154,,AH154)*(1-AF154)+INDEX(Models!$BJ154:$BT154,,AH154+1)*AF154-ERP_i)*AE154*Ramure*Pc/MaxiM</f>
        <v>2.5476023608648145E-3</v>
      </c>
      <c r="AE154" s="304">
        <f t="shared" si="65"/>
        <v>0.7</v>
      </c>
      <c r="AF154" s="177">
        <f t="shared" si="66"/>
        <v>0.65293616621669726</v>
      </c>
      <c r="AG154" s="799">
        <f t="shared" si="74"/>
        <v>1</v>
      </c>
      <c r="AH154" s="176">
        <f t="shared" si="67"/>
        <v>7</v>
      </c>
      <c r="AI154" s="224">
        <f t="shared" si="68"/>
        <v>1.6529361662166973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46163</v>
      </c>
      <c r="B155" s="409">
        <f>'2025'!Wh/'2025'!Env_an*'2026'!Env_an</f>
        <v>53.606022229822187</v>
      </c>
      <c r="C155" s="829"/>
      <c r="D155" s="391">
        <f t="shared" si="50"/>
        <v>56.439926076373524</v>
      </c>
      <c r="E155" s="383">
        <f t="shared" si="72"/>
        <v>58.830934042576899</v>
      </c>
      <c r="F155" s="383">
        <f t="shared" si="51"/>
        <v>58.831355170721324</v>
      </c>
      <c r="G155" s="110">
        <f t="shared" si="73"/>
        <v>0.95040504239331747</v>
      </c>
      <c r="H155" s="412" t="b">
        <f>Wh_hp&gt;='2025'!Maxi_hp</f>
        <v>0</v>
      </c>
      <c r="I155" s="388">
        <f>IF(H155,Wh_hp,'2025'!Maxi_hp)</f>
        <v>59.791074222210042</v>
      </c>
      <c r="J155" s="85">
        <f>IF(H155,An,'2025'!An_max)</f>
        <v>2020</v>
      </c>
      <c r="K155" s="197">
        <f t="shared" si="52"/>
        <v>46163</v>
      </c>
      <c r="L155" s="147">
        <f>IF(t&lt;Tvie,1-EXP((T0-t)*PertePVj)+'2025'!Pspv,1-EXP((T0-t)*PertePVj)+Pspv)</f>
        <v>5.0210977291439862E-2</v>
      </c>
      <c r="M155" s="832"/>
      <c r="N155" s="832"/>
      <c r="O155" s="48">
        <f>IF(t&lt;Tnet,'2025'!Resal+('2025'!Salim-'2025'!Resal)*(1-EXP(('2025'!Tnet-t)/('2025'!Tau_j))),Resal+(Salim-Resal)*(1-EXP((Tnet-t)/(Tau_j))))*Salcycl</f>
        <v>4.0642019459914865E-2</v>
      </c>
      <c r="P155" s="169">
        <f>(INDEX(Models!$BJ155:$BT155,,T155)*(1-R155)+INDEX(Models!$BJ155:$BT155,,T155+1)*R155-ERP_i)*Q155*Ramure*Pc/MaxiM</f>
        <v>7.7040520518111335E-6</v>
      </c>
      <c r="Q155" s="304">
        <f t="shared" si="53"/>
        <v>0.7</v>
      </c>
      <c r="R155" s="177">
        <f t="shared" si="54"/>
        <v>0.9007429493941006</v>
      </c>
      <c r="S155" s="799">
        <f t="shared" si="55"/>
        <v>-2</v>
      </c>
      <c r="T155" s="176">
        <f t="shared" si="56"/>
        <v>4</v>
      </c>
      <c r="U155" s="250">
        <f t="shared" si="57"/>
        <v>-1.0992570506058994</v>
      </c>
      <c r="V155" s="382">
        <f t="shared" si="58"/>
        <v>56.403312881280321</v>
      </c>
      <c r="W155" s="400">
        <f t="shared" si="59"/>
        <v>53.606022229822187</v>
      </c>
      <c r="X155" s="157">
        <f t="shared" si="60"/>
        <v>46163</v>
      </c>
      <c r="Y155" s="383">
        <f t="shared" si="61"/>
        <v>51.612660617808913</v>
      </c>
      <c r="Z155" s="383">
        <f t="shared" si="62"/>
        <v>54.341184603947674</v>
      </c>
      <c r="AA155" s="384">
        <f t="shared" si="63"/>
        <v>58.701140034288571</v>
      </c>
      <c r="AB155" s="197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7.4273777780025363E-2</v>
      </c>
      <c r="AD155" s="230">
        <f>(INDEX(Models!$BJ155:$BT155,,AH155)*(1-AF155)+INDEX(Models!$BJ155:$BT155,,AH155+1)*AF155-ERP_i)*AE155*Ramure*Pc/MaxiM</f>
        <v>2.3821352295896967E-3</v>
      </c>
      <c r="AE155" s="304">
        <f t="shared" si="65"/>
        <v>0.7</v>
      </c>
      <c r="AF155" s="177">
        <f t="shared" si="66"/>
        <v>0.6564007802334515</v>
      </c>
      <c r="AG155" s="799">
        <f t="shared" si="74"/>
        <v>1</v>
      </c>
      <c r="AH155" s="176">
        <f t="shared" si="67"/>
        <v>7</v>
      </c>
      <c r="AI155" s="224">
        <f t="shared" si="68"/>
        <v>1.6564007802334515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46164</v>
      </c>
      <c r="B156" s="409">
        <f>'2025'!Wh/'2025'!Env_an*'2026'!Env_an</f>
        <v>40.778862721025575</v>
      </c>
      <c r="C156" s="829"/>
      <c r="D156" s="391">
        <f t="shared" si="50"/>
        <v>42.935476488569051</v>
      </c>
      <c r="E156" s="383">
        <f t="shared" si="72"/>
        <v>44.758905612863543</v>
      </c>
      <c r="F156" s="383">
        <f t="shared" si="51"/>
        <v>44.759094390439792</v>
      </c>
      <c r="G156" s="110">
        <f t="shared" si="73"/>
        <v>0.72275754406150139</v>
      </c>
      <c r="H156" s="412" t="b">
        <f>Wh_hp&gt;='2025'!Maxi_hp</f>
        <v>0</v>
      </c>
      <c r="I156" s="388">
        <f>IF(H156,Wh_hp,'2025'!Maxi_hp)</f>
        <v>60.114527951171105</v>
      </c>
      <c r="J156" s="85">
        <f>IF(H156,An,'2025'!An_max)</f>
        <v>2018</v>
      </c>
      <c r="K156" s="197">
        <f t="shared" si="52"/>
        <v>46164</v>
      </c>
      <c r="L156" s="147">
        <f>IF(t&lt;Tvie,1-EXP((T0-t)*PertePVj)+'2025'!Pspv,1-EXP((T0-t)*PertePVj)+Pspv)</f>
        <v>5.0229179781378308E-2</v>
      </c>
      <c r="M156" s="832"/>
      <c r="N156" s="832"/>
      <c r="O156" s="48">
        <f>IF(t&lt;Tnet,'2025'!Resal+('2025'!Salim-'2025'!Resal)*(1-EXP(('2025'!Tnet-t)/('2025'!Tau_j))),Resal+(Salim-Resal)*(1-EXP((Tnet-t)/(Tau_j))))*Salcycl</f>
        <v>4.0738912163447723E-2</v>
      </c>
      <c r="P156" s="169">
        <f>(INDEX(Models!$BJ156:$BT156,,T156)*(1-R156)+INDEX(Models!$BJ156:$BT156,,T156+1)*R156-ERP_i)*Q156*Ramure*Pc/MaxiM</f>
        <v>6.9835096088474288E-6</v>
      </c>
      <c r="Q156" s="304">
        <f t="shared" si="53"/>
        <v>0.7</v>
      </c>
      <c r="R156" s="177">
        <f t="shared" si="54"/>
        <v>0.90426342959054495</v>
      </c>
      <c r="S156" s="799">
        <f t="shared" si="55"/>
        <v>-2</v>
      </c>
      <c r="T156" s="176">
        <f t="shared" si="56"/>
        <v>4</v>
      </c>
      <c r="U156" s="250">
        <f t="shared" si="57"/>
        <v>-1.095736570409455</v>
      </c>
      <c r="V156" s="382">
        <f t="shared" si="58"/>
        <v>56.421064389342945</v>
      </c>
      <c r="W156" s="400">
        <f t="shared" si="59"/>
        <v>40.778862721025575</v>
      </c>
      <c r="X156" s="157">
        <f t="shared" si="60"/>
        <v>46164</v>
      </c>
      <c r="Y156" s="383">
        <f t="shared" si="61"/>
        <v>39.297233608243367</v>
      </c>
      <c r="Z156" s="383">
        <f t="shared" si="62"/>
        <v>41.375490562236678</v>
      </c>
      <c r="AA156" s="384">
        <f t="shared" si="63"/>
        <v>44.699073657374996</v>
      </c>
      <c r="AB156" s="197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7.4354630268494412E-2</v>
      </c>
      <c r="AD156" s="230">
        <f>(INDEX(Models!$BJ156:$BT156,,AH156)*(1-AF156)+INDEX(Models!$BJ156:$BT156,,AH156+1)*AF156-ERP_i)*AE156*Ramure*Pc/MaxiM</f>
        <v>2.2203662872292604E-3</v>
      </c>
      <c r="AE156" s="304">
        <f t="shared" si="65"/>
        <v>0.7</v>
      </c>
      <c r="AF156" s="177">
        <f t="shared" si="66"/>
        <v>0.65992126042989585</v>
      </c>
      <c r="AG156" s="799">
        <f t="shared" si="74"/>
        <v>1</v>
      </c>
      <c r="AH156" s="176">
        <f t="shared" si="67"/>
        <v>7</v>
      </c>
      <c r="AI156" s="224">
        <f t="shared" si="68"/>
        <v>1.6599212604298959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46165</v>
      </c>
      <c r="B157" s="409">
        <f>'2025'!Wh/'2025'!Env_an*'2026'!Env_an</f>
        <v>16.962512393057491</v>
      </c>
      <c r="C157" s="829"/>
      <c r="D157" s="391">
        <f t="shared" si="50"/>
        <v>17.859926964342218</v>
      </c>
      <c r="E157" s="383">
        <f t="shared" si="72"/>
        <v>18.620304035813565</v>
      </c>
      <c r="F157" s="383">
        <f t="shared" si="51"/>
        <v>18.620304130423484</v>
      </c>
      <c r="G157" s="110">
        <f t="shared" si="73"/>
        <v>0.30055986584459049</v>
      </c>
      <c r="H157" s="412" t="b">
        <f>Wh_hp&gt;='2025'!Maxi_hp</f>
        <v>0</v>
      </c>
      <c r="I157" s="388">
        <f>IF(H157,Wh_hp,'2025'!Maxi_hp)</f>
        <v>59.059449252254765</v>
      </c>
      <c r="J157" s="85">
        <f>IF(H157,An,'2025'!An_max)</f>
        <v>2018</v>
      </c>
      <c r="K157" s="197">
        <f t="shared" si="52"/>
        <v>46165</v>
      </c>
      <c r="L157" s="147">
        <f>IF(t&lt;Tvie,1-EXP((T0-t)*PertePVj)+'2025'!Pspv,1-EXP((T0-t)*PertePVj)+Pspv)</f>
        <v>5.0247381922470247E-2</v>
      </c>
      <c r="M157" s="832"/>
      <c r="N157" s="832"/>
      <c r="O157" s="48">
        <f>IF(t&lt;Tnet,'2025'!Resal+('2025'!Salim-'2025'!Resal)*(1-EXP(('2025'!Tnet-t)/('2025'!Tau_j))),Resal+(Salim-Resal)*(1-EXP((Tnet-t)/(Tau_j))))*Salcycl</f>
        <v>4.083591062792883E-2</v>
      </c>
      <c r="P157" s="169">
        <f>(INDEX(Models!$BJ157:$BT157,,T157)*(1-R157)+INDEX(Models!$BJ157:$BT157,,T157+1)*R157-ERP_i)*Q157*Ramure*Pc/MaxiM</f>
        <v>6.3312801492446635E-6</v>
      </c>
      <c r="Q157" s="304">
        <f t="shared" si="53"/>
        <v>0.7</v>
      </c>
      <c r="R157" s="177">
        <f t="shared" si="54"/>
        <v>0.90783809465596299</v>
      </c>
      <c r="S157" s="799">
        <f t="shared" si="55"/>
        <v>-2</v>
      </c>
      <c r="T157" s="176">
        <f t="shared" si="56"/>
        <v>4</v>
      </c>
      <c r="U157" s="250">
        <f t="shared" si="57"/>
        <v>-1.092161905344037</v>
      </c>
      <c r="V157" s="382">
        <f t="shared" si="58"/>
        <v>56.43602826731469</v>
      </c>
      <c r="W157" s="400">
        <f t="shared" si="59"/>
        <v>16.962512393057491</v>
      </c>
      <c r="X157" s="157">
        <f t="shared" si="60"/>
        <v>46165</v>
      </c>
      <c r="Y157" s="383">
        <f t="shared" si="61"/>
        <v>16.368284548407335</v>
      </c>
      <c r="Z157" s="383">
        <f t="shared" si="62"/>
        <v>17.234261045302183</v>
      </c>
      <c r="AA157" s="384">
        <f t="shared" si="63"/>
        <v>18.620273273234151</v>
      </c>
      <c r="AB157" s="197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7.4435654493014397E-2</v>
      </c>
      <c r="AD157" s="230">
        <f>(INDEX(Models!$BJ157:$BT157,,AH157)*(1-AF157)+INDEX(Models!$BJ157:$BT157,,AH157+1)*AF157-ERP_i)*AE157*Ramure*Pc/MaxiM</f>
        <v>2.0649579475628095E-3</v>
      </c>
      <c r="AE157" s="304">
        <f t="shared" si="65"/>
        <v>0.7</v>
      </c>
      <c r="AF157" s="177">
        <f t="shared" si="66"/>
        <v>0.66349592549531389</v>
      </c>
      <c r="AG157" s="799">
        <f t="shared" si="74"/>
        <v>1</v>
      </c>
      <c r="AH157" s="176">
        <f t="shared" si="67"/>
        <v>7</v>
      </c>
      <c r="AI157" s="224">
        <f t="shared" si="68"/>
        <v>1.6634959254953139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46166</v>
      </c>
      <c r="B158" s="409">
        <f>'2025'!Wh/'2025'!Env_an*'2026'!Env_an</f>
        <v>14.741215730101699</v>
      </c>
      <c r="C158" s="829"/>
      <c r="D158" s="391">
        <f t="shared" si="50"/>
        <v>15.521408382523845</v>
      </c>
      <c r="E158" s="383">
        <f t="shared" si="72"/>
        <v>16.183862119265815</v>
      </c>
      <c r="F158" s="383">
        <f t="shared" si="51"/>
        <v>16.183862119265815</v>
      </c>
      <c r="G158" s="110">
        <f t="shared" si="73"/>
        <v>0.2611443600539784</v>
      </c>
      <c r="H158" s="412" t="b">
        <f>Wh_hp&gt;='2025'!Maxi_hp</f>
        <v>0</v>
      </c>
      <c r="I158" s="388">
        <f>IF(H158,Wh_hp,'2025'!Maxi_hp)</f>
        <v>26.660992397930677</v>
      </c>
      <c r="J158" s="85">
        <f>IF(H158,An,'2025'!An_max)</f>
        <v>2021</v>
      </c>
      <c r="K158" s="197">
        <f t="shared" si="52"/>
        <v>46166</v>
      </c>
      <c r="L158" s="147">
        <f>IF(t&lt;Tvie,1-EXP((T0-t)*PertePVj)+'2025'!Pspv,1-EXP((T0-t)*PertePVj)+Pspv)</f>
        <v>5.0265583714722339E-2</v>
      </c>
      <c r="M158" s="832"/>
      <c r="N158" s="832"/>
      <c r="O158" s="48">
        <f>IF(t&lt;Tnet,'2025'!Resal+('2025'!Salim-'2025'!Resal)*(1-EXP(('2025'!Tnet-t)/('2025'!Tau_j))),Resal+(Salim-Resal)*(1-EXP((Tnet-t)/(Tau_j))))*Salcycl</f>
        <v>4.0932981995277937E-2</v>
      </c>
      <c r="P158" s="169">
        <f>(INDEX(Models!$BJ158:$BT158,,T158)*(1-R158)+INDEX(Models!$BJ158:$BT158,,T158+1)*R158-ERP_i)*Q158*Ramure*Pc/MaxiM</f>
        <v>5.7596953432837652E-6</v>
      </c>
      <c r="Q158" s="304">
        <f t="shared" si="53"/>
        <v>0.7</v>
      </c>
      <c r="R158" s="177">
        <f t="shared" si="54"/>
        <v>0.9114651182806266</v>
      </c>
      <c r="S158" s="799">
        <f t="shared" si="55"/>
        <v>-2</v>
      </c>
      <c r="T158" s="176">
        <f t="shared" si="56"/>
        <v>4</v>
      </c>
      <c r="U158" s="250">
        <f t="shared" si="57"/>
        <v>-1.0885348817193734</v>
      </c>
      <c r="V158" s="382">
        <f t="shared" si="58"/>
        <v>56.44820673953334</v>
      </c>
      <c r="W158" s="400">
        <f t="shared" si="59"/>
        <v>14.741215730101699</v>
      </c>
      <c r="X158" s="157">
        <f t="shared" si="60"/>
        <v>46166</v>
      </c>
      <c r="Y158" s="383">
        <f t="shared" si="61"/>
        <v>14.225020145167964</v>
      </c>
      <c r="Z158" s="383">
        <f t="shared" si="62"/>
        <v>14.977892662673714</v>
      </c>
      <c r="AA158" s="384">
        <f t="shared" si="63"/>
        <v>16.183862119265815</v>
      </c>
      <c r="AB158" s="197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7.4516790102683431E-2</v>
      </c>
      <c r="AD158" s="230">
        <f>(INDEX(Models!$BJ158:$BT158,,AH158)*(1-AF158)+INDEX(Models!$BJ158:$BT158,,AH158+1)*AF158-ERP_i)*AE158*Ramure*Pc/MaxiM</f>
        <v>1.9159165434231228E-3</v>
      </c>
      <c r="AE158" s="304">
        <f t="shared" si="65"/>
        <v>0.7</v>
      </c>
      <c r="AF158" s="177">
        <f t="shared" si="66"/>
        <v>0.66712294911997749</v>
      </c>
      <c r="AG158" s="799">
        <f t="shared" si="74"/>
        <v>1</v>
      </c>
      <c r="AH158" s="176">
        <f t="shared" si="67"/>
        <v>7</v>
      </c>
      <c r="AI158" s="224">
        <f t="shared" si="68"/>
        <v>1.6671229491199775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46167</v>
      </c>
      <c r="B159" s="409">
        <f>'2025'!Wh/'2025'!Env_an*'2026'!Env_an</f>
        <v>40.733766816222108</v>
      </c>
      <c r="C159" s="829"/>
      <c r="D159" s="391">
        <f t="shared" si="50"/>
        <v>42.890461571201939</v>
      </c>
      <c r="E159" s="383">
        <f t="shared" si="72"/>
        <v>44.72555524361271</v>
      </c>
      <c r="F159" s="383">
        <f t="shared" si="51"/>
        <v>44.725697484349809</v>
      </c>
      <c r="G159" s="110">
        <f t="shared" si="73"/>
        <v>0.72149152179306297</v>
      </c>
      <c r="H159" s="412" t="b">
        <f>Wh_hp&gt;='2025'!Maxi_hp</f>
        <v>0</v>
      </c>
      <c r="I159" s="388">
        <f>IF(H159,Wh_hp,'2025'!Maxi_hp)</f>
        <v>56.87087566419774</v>
      </c>
      <c r="J159" s="85">
        <f>IF(H159,An,'2025'!An_max)</f>
        <v>2020</v>
      </c>
      <c r="K159" s="197">
        <f t="shared" si="52"/>
        <v>46167</v>
      </c>
      <c r="L159" s="147">
        <f>IF(t&lt;Tvie,1-EXP((T0-t)*PertePVj)+'2025'!Pspv,1-EXP((T0-t)*PertePVj)+Pspv)</f>
        <v>5.0283785158141248E-2</v>
      </c>
      <c r="M159" s="832"/>
      <c r="N159" s="832"/>
      <c r="O159" s="48">
        <f>IF(t&lt;Tnet,'2025'!Resal+('2025'!Salim-'2025'!Resal)*(1-EXP(('2025'!Tnet-t)/('2025'!Tau_j))),Resal+(Salim-Resal)*(1-EXP((Tnet-t)/(Tau_j))))*Salcycl</f>
        <v>4.1030092581641912E-2</v>
      </c>
      <c r="P159" s="169">
        <f>(INDEX(Models!$BJ159:$BT159,,T159)*(1-R159)+INDEX(Models!$BJ159:$BT159,,T159+1)*R159-ERP_i)*Q159*Ramure*Pc/MaxiM</f>
        <v>5.2817094490763681E-6</v>
      </c>
      <c r="Q159" s="304">
        <f t="shared" si="53"/>
        <v>0.7</v>
      </c>
      <c r="R159" s="177">
        <f t="shared" si="54"/>
        <v>0.91514253061480022</v>
      </c>
      <c r="S159" s="799">
        <f t="shared" si="55"/>
        <v>-2</v>
      </c>
      <c r="T159" s="176">
        <f t="shared" si="56"/>
        <v>4</v>
      </c>
      <c r="U159" s="250">
        <f t="shared" si="57"/>
        <v>-1.0848574693851998</v>
      </c>
      <c r="V159" s="382">
        <f t="shared" si="58"/>
        <v>56.45760204642783</v>
      </c>
      <c r="W159" s="400">
        <f t="shared" si="59"/>
        <v>40.733766816222108</v>
      </c>
      <c r="X159" s="157">
        <f t="shared" si="60"/>
        <v>46167</v>
      </c>
      <c r="Y159" s="383">
        <f t="shared" si="61"/>
        <v>39.266071949547147</v>
      </c>
      <c r="Z159" s="383">
        <f t="shared" si="62"/>
        <v>41.345057961430619</v>
      </c>
      <c r="AA159" s="384">
        <f t="shared" si="63"/>
        <v>44.677941985577476</v>
      </c>
      <c r="AB159" s="197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7.45979755563215E-2</v>
      </c>
      <c r="AD159" s="230">
        <f>(INDEX(Models!$BJ159:$BT159,,AH159)*(1-AF159)+INDEX(Models!$BJ159:$BT159,,AH159+1)*AF159-ERP_i)*AE159*Ramure*Pc/MaxiM</f>
        <v>1.7732660436331892E-3</v>
      </c>
      <c r="AE159" s="304">
        <f t="shared" si="65"/>
        <v>0.7</v>
      </c>
      <c r="AF159" s="177">
        <f t="shared" si="66"/>
        <v>0.67080036145415112</v>
      </c>
      <c r="AG159" s="799">
        <f t="shared" si="74"/>
        <v>1</v>
      </c>
      <c r="AH159" s="176">
        <f t="shared" si="67"/>
        <v>7</v>
      </c>
      <c r="AI159" s="224">
        <f t="shared" si="68"/>
        <v>1.6708003614541511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46168</v>
      </c>
      <c r="B160" s="409">
        <f>'2025'!Wh/'2025'!Env_an*'2026'!Env_an</f>
        <v>29.94188735582091</v>
      </c>
      <c r="C160" s="829"/>
      <c r="D160" s="391">
        <f t="shared" si="50"/>
        <v>31.527798228910527</v>
      </c>
      <c r="E160" s="383">
        <f t="shared" si="72"/>
        <v>32.880063436161166</v>
      </c>
      <c r="F160" s="383">
        <f t="shared" si="51"/>
        <v>32.880116555022752</v>
      </c>
      <c r="G160" s="110">
        <f t="shared" si="73"/>
        <v>0.53027900808468076</v>
      </c>
      <c r="H160" s="412" t="b">
        <f>Wh_hp&gt;='2025'!Maxi_hp</f>
        <v>0</v>
      </c>
      <c r="I160" s="388">
        <f>IF(H160,Wh_hp,'2025'!Maxi_hp)</f>
        <v>60.853144099626277</v>
      </c>
      <c r="J160" s="85">
        <f>IF(H160,An,'2025'!An_max)</f>
        <v>2020</v>
      </c>
      <c r="K160" s="197">
        <f t="shared" si="52"/>
        <v>46168</v>
      </c>
      <c r="L160" s="147">
        <f>IF(t&lt;Tvie,1-EXP((T0-t)*PertePVj)+'2025'!Pspv,1-EXP((T0-t)*PertePVj)+Pspv)</f>
        <v>5.0301986252733633E-2</v>
      </c>
      <c r="M160" s="832"/>
      <c r="N160" s="832"/>
      <c r="O160" s="48">
        <f>IF(t&lt;Tnet,'2025'!Resal+('2025'!Salim-'2025'!Resal)*(1-EXP(('2025'!Tnet-t)/('2025'!Tau_j))),Resal+(Salim-Resal)*(1-EXP((Tnet-t)/(Tau_j))))*Salcycl</f>
        <v>4.1127207977446664E-2</v>
      </c>
      <c r="P160" s="169">
        <f>(INDEX(Models!$BJ160:$BT160,,T160)*(1-R160)+INDEX(Models!$BJ160:$BT160,,T160+1)*R160-ERP_i)*Q160*Ramure*Pc/MaxiM</f>
        <v>4.9108402292950078E-6</v>
      </c>
      <c r="Q160" s="304">
        <f t="shared" si="53"/>
        <v>0.7</v>
      </c>
      <c r="R160" s="177">
        <f t="shared" si="54"/>
        <v>0.91886822048746608</v>
      </c>
      <c r="S160" s="799">
        <f t="shared" si="55"/>
        <v>-2</v>
      </c>
      <c r="T160" s="176">
        <f t="shared" si="56"/>
        <v>4</v>
      </c>
      <c r="U160" s="250">
        <f t="shared" si="57"/>
        <v>-1.0811317795125339</v>
      </c>
      <c r="V160" s="382">
        <f t="shared" si="58"/>
        <v>56.464216443421975</v>
      </c>
      <c r="W160" s="400">
        <f t="shared" si="59"/>
        <v>29.94188735582091</v>
      </c>
      <c r="X160" s="157">
        <f t="shared" si="60"/>
        <v>46168</v>
      </c>
      <c r="Y160" s="383">
        <f t="shared" si="61"/>
        <v>28.878676078066029</v>
      </c>
      <c r="Z160" s="383">
        <f t="shared" si="62"/>
        <v>30.408272587744111</v>
      </c>
      <c r="AA160" s="384">
        <f t="shared" si="63"/>
        <v>32.86240932776348</v>
      </c>
      <c r="AB160" s="197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7.467914831022493E-2</v>
      </c>
      <c r="AD160" s="230">
        <f>(INDEX(Models!$BJ160:$BT160,,AH160)*(1-AF160)+INDEX(Models!$BJ160:$BT160,,AH160+1)*AF160-ERP_i)*AE160*Ramure*Pc/MaxiM</f>
        <v>1.6370336519579811E-3</v>
      </c>
      <c r="AE160" s="304">
        <f t="shared" si="65"/>
        <v>0.7</v>
      </c>
      <c r="AF160" s="177">
        <f t="shared" si="66"/>
        <v>0.67452605132681698</v>
      </c>
      <c r="AG160" s="799">
        <f t="shared" si="74"/>
        <v>1</v>
      </c>
      <c r="AH160" s="176">
        <f t="shared" si="67"/>
        <v>7</v>
      </c>
      <c r="AI160" s="224">
        <f t="shared" si="68"/>
        <v>1.674526051326817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46169</v>
      </c>
      <c r="B161" s="409">
        <f>'2025'!Wh/'2025'!Env_an*'2026'!Env_an</f>
        <v>44.601934490531839</v>
      </c>
      <c r="C161" s="829"/>
      <c r="D161" s="391">
        <f t="shared" si="50"/>
        <v>46.965233839778037</v>
      </c>
      <c r="E161" s="383">
        <f t="shared" si="72"/>
        <v>48.984588892306078</v>
      </c>
      <c r="F161" s="383">
        <f t="shared" si="51"/>
        <v>48.984748674874389</v>
      </c>
      <c r="G161" s="110">
        <f t="shared" si="73"/>
        <v>0.78986028993081481</v>
      </c>
      <c r="H161" s="412" t="b">
        <f>Wh_hp&gt;='2025'!Maxi_hp</f>
        <v>0</v>
      </c>
      <c r="I161" s="388">
        <f>IF(H161,Wh_hp,'2025'!Maxi_hp)</f>
        <v>61.029310689463564</v>
      </c>
      <c r="J161" s="85">
        <f>IF(H161,An,'2025'!An_max)</f>
        <v>2021</v>
      </c>
      <c r="K161" s="197">
        <f t="shared" si="52"/>
        <v>46169</v>
      </c>
      <c r="L161" s="147">
        <f>IF(t&lt;Tvie,1-EXP((T0-t)*PertePVj)+'2025'!Pspv,1-EXP((T0-t)*PertePVj)+Pspv)</f>
        <v>5.0320186998506156E-2</v>
      </c>
      <c r="M161" s="832"/>
      <c r="N161" s="832"/>
      <c r="O161" s="48">
        <f>IF(t&lt;Tnet,'2025'!Resal+('2025'!Salim-'2025'!Resal)*(1-EXP(('2025'!Tnet-t)/('2025'!Tau_j))),Resal+(Salim-Resal)*(1-EXP((Tnet-t)/(Tau_j))))*Salcycl</f>
        <v>4.1224293154070245E-2</v>
      </c>
      <c r="P161" s="169">
        <f>(INDEX(Models!$BJ161:$BT161,,T161)*(1-R161)+INDEX(Models!$BJ161:$BT161,,T161+1)*R161-ERP_i)*Q161*Ramure*Pc/MaxiM</f>
        <v>4.661152782703457E-6</v>
      </c>
      <c r="Q161" s="304">
        <f t="shared" si="53"/>
        <v>0.7</v>
      </c>
      <c r="R161" s="177">
        <f t="shared" si="54"/>
        <v>0.92263993840024683</v>
      </c>
      <c r="S161" s="799">
        <f t="shared" si="55"/>
        <v>-2</v>
      </c>
      <c r="T161" s="176">
        <f t="shared" si="56"/>
        <v>4</v>
      </c>
      <c r="U161" s="250">
        <f t="shared" si="57"/>
        <v>-1.0773600615997532</v>
      </c>
      <c r="V161" s="382">
        <f t="shared" si="58"/>
        <v>56.468052197105344</v>
      </c>
      <c r="W161" s="400">
        <f t="shared" si="59"/>
        <v>44.601934490531839</v>
      </c>
      <c r="X161" s="157">
        <f t="shared" si="60"/>
        <v>46169</v>
      </c>
      <c r="Y161" s="383">
        <f t="shared" si="61"/>
        <v>42.996593622264676</v>
      </c>
      <c r="Z161" s="383">
        <f t="shared" si="62"/>
        <v>45.274831615481588</v>
      </c>
      <c r="AA161" s="384">
        <f t="shared" si="63"/>
        <v>48.933080719480103</v>
      </c>
      <c r="AB161" s="197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7.4760245016459406E-2</v>
      </c>
      <c r="AD161" s="230">
        <f>(INDEX(Models!$BJ161:$BT161,,AH161)*(1-AF161)+INDEX(Models!$BJ161:$BT161,,AH161+1)*AF161-ERP_i)*AE161*Ramure*Pc/MaxiM</f>
        <v>1.5072497369956271E-3</v>
      </c>
      <c r="AE161" s="304">
        <f t="shared" si="65"/>
        <v>0.7</v>
      </c>
      <c r="AF161" s="177">
        <f t="shared" si="66"/>
        <v>0.67829776923959773</v>
      </c>
      <c r="AG161" s="799">
        <f t="shared" si="74"/>
        <v>1</v>
      </c>
      <c r="AH161" s="176">
        <f t="shared" si="67"/>
        <v>7</v>
      </c>
      <c r="AI161" s="224">
        <f t="shared" si="68"/>
        <v>1.6782977692395977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46170</v>
      </c>
      <c r="B162" s="409">
        <f>'2025'!Wh/'2025'!Env_an*'2026'!Env_an</f>
        <v>52.624781014912841</v>
      </c>
      <c r="C162" s="829"/>
      <c r="D162" s="391">
        <f t="shared" si="50"/>
        <v>55.414244733536748</v>
      </c>
      <c r="E162" s="383">
        <f t="shared" si="72"/>
        <v>57.802729382119637</v>
      </c>
      <c r="F162" s="383">
        <f t="shared" si="51"/>
        <v>57.802966663198191</v>
      </c>
      <c r="G162" s="110">
        <f t="shared" si="73"/>
        <v>0.93192112068974275</v>
      </c>
      <c r="H162" s="412" t="b">
        <f>Wh_hp&gt;='2025'!Maxi_hp</f>
        <v>0</v>
      </c>
      <c r="I162" s="388">
        <f>IF(H162,Wh_hp,'2025'!Maxi_hp)</f>
        <v>60.065997038035896</v>
      </c>
      <c r="J162" s="85">
        <f>IF(H162,An,'2025'!An_max)</f>
        <v>2020</v>
      </c>
      <c r="K162" s="197">
        <f t="shared" si="52"/>
        <v>46170</v>
      </c>
      <c r="L162" s="147">
        <f>IF(t&lt;Tvie,1-EXP((T0-t)*PertePVj)+'2025'!Pspv,1-EXP((T0-t)*PertePVj)+Pspv)</f>
        <v>5.0338387395465478E-2</v>
      </c>
      <c r="M162" s="832"/>
      <c r="N162" s="832"/>
      <c r="O162" s="48">
        <f>IF(t&lt;Tnet,'2025'!Resal+('2025'!Salim-'2025'!Resal)*(1-EXP(('2025'!Tnet-t)/('2025'!Tau_j))),Resal+(Salim-Resal)*(1-EXP((Tnet-t)/(Tau_j))))*Salcycl</f>
        <v>4.1321312576664063E-2</v>
      </c>
      <c r="P162" s="169">
        <f>(INDEX(Models!$BJ162:$BT162,,T162)*(1-R162)+INDEX(Models!$BJ162:$BT162,,T162+1)*R162-ERP_i)*Q162*Ramure*Pc/MaxiM</f>
        <v>4.5472398780177236E-6</v>
      </c>
      <c r="Q162" s="304">
        <f t="shared" si="53"/>
        <v>0.7</v>
      </c>
      <c r="R162" s="177">
        <f t="shared" si="54"/>
        <v>0.92645530030548073</v>
      </c>
      <c r="S162" s="799">
        <f t="shared" si="55"/>
        <v>-2</v>
      </c>
      <c r="T162" s="176">
        <f t="shared" si="56"/>
        <v>4</v>
      </c>
      <c r="U162" s="250">
        <f t="shared" si="57"/>
        <v>-1.0735446996945193</v>
      </c>
      <c r="V162" s="382">
        <f t="shared" si="58"/>
        <v>56.469111573521097</v>
      </c>
      <c r="W162" s="400">
        <f t="shared" si="59"/>
        <v>52.624781014912841</v>
      </c>
      <c r="X162" s="157">
        <f t="shared" si="60"/>
        <v>46170</v>
      </c>
      <c r="Y162" s="383">
        <f t="shared" si="61"/>
        <v>50.721532782506017</v>
      </c>
      <c r="Z162" s="383">
        <f t="shared" si="62"/>
        <v>53.410111674828613</v>
      </c>
      <c r="AA162" s="384">
        <f t="shared" si="63"/>
        <v>57.730750412519633</v>
      </c>
      <c r="AB162" s="197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7.4841201730751081E-2</v>
      </c>
      <c r="AD162" s="230">
        <f>(INDEX(Models!$BJ162:$BT162,,AH162)*(1-AF162)+INDEX(Models!$BJ162:$BT162,,AH162+1)*AF162-ERP_i)*AE162*Ramure*Pc/MaxiM</f>
        <v>1.3839477506113001E-3</v>
      </c>
      <c r="AE162" s="304">
        <f t="shared" si="65"/>
        <v>0.7</v>
      </c>
      <c r="AF162" s="177">
        <f t="shared" si="66"/>
        <v>0.68211313114483163</v>
      </c>
      <c r="AG162" s="799">
        <f t="shared" si="74"/>
        <v>1</v>
      </c>
      <c r="AH162" s="176">
        <f t="shared" si="67"/>
        <v>7</v>
      </c>
      <c r="AI162" s="224">
        <f t="shared" si="68"/>
        <v>1.6821131311448316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46171</v>
      </c>
      <c r="B163" s="409">
        <f>'2025'!Wh/'2025'!Env_an*'2026'!Env_an</f>
        <v>57.809396843739712</v>
      </c>
      <c r="C163" s="829"/>
      <c r="D163" s="391">
        <f t="shared" si="50"/>
        <v>60.874846367986045</v>
      </c>
      <c r="E163" s="383">
        <f t="shared" si="72"/>
        <v>63.505115884346175</v>
      </c>
      <c r="F163" s="383">
        <f t="shared" si="51"/>
        <v>63.505407005756886</v>
      </c>
      <c r="G163" s="110">
        <f t="shared" si="73"/>
        <v>1.0237659265557491</v>
      </c>
      <c r="H163" s="412" t="b">
        <f>Wh_hp&gt;='2025'!Maxi_hp</f>
        <v>1</v>
      </c>
      <c r="I163" s="388">
        <f>IF(H163,Wh_hp,'2025'!Maxi_hp)</f>
        <v>63.505407005756886</v>
      </c>
      <c r="J163" s="85">
        <f>IF(H163,An,'2025'!An_max)</f>
        <v>2026</v>
      </c>
      <c r="K163" s="197">
        <f t="shared" si="52"/>
        <v>46171</v>
      </c>
      <c r="L163" s="147">
        <f>IF(t&lt;Tvie,1-EXP((T0-t)*PertePVj)+'2025'!Pspv,1-EXP((T0-t)*PertePVj)+Pspv)</f>
        <v>5.0356587443618483E-2</v>
      </c>
      <c r="M163" s="832"/>
      <c r="N163" s="832"/>
      <c r="O163" s="48">
        <f>IF(t&lt;Tnet,'2025'!Resal+('2025'!Salim-'2025'!Resal)*(1-EXP(('2025'!Tnet-t)/('2025'!Tau_j))),Resal+(Salim-Resal)*(1-EXP((Tnet-t)/(Tau_j))))*Salcycl</f>
        <v>4.1418230322582246E-2</v>
      </c>
      <c r="P163" s="169">
        <f>(INDEX(Models!$BJ163:$BT163,,T163)*(1-R163)+INDEX(Models!$BJ163:$BT163,,T163+1)*R163-ERP_i)*Q163*Ramure*Pc/MaxiM</f>
        <v>4.5841988018852692E-6</v>
      </c>
      <c r="Q163" s="304">
        <f t="shared" si="53"/>
        <v>0.7</v>
      </c>
      <c r="R163" s="177">
        <f t="shared" si="54"/>
        <v>0.93031179217045823</v>
      </c>
      <c r="S163" s="799">
        <f t="shared" si="55"/>
        <v>-2</v>
      </c>
      <c r="T163" s="176">
        <f t="shared" si="56"/>
        <v>4</v>
      </c>
      <c r="U163" s="250">
        <f t="shared" si="57"/>
        <v>-1.0696882078295418</v>
      </c>
      <c r="V163" s="382">
        <f t="shared" si="58"/>
        <v>56.467396837700583</v>
      </c>
      <c r="W163" s="400">
        <f t="shared" si="59"/>
        <v>57.809396843739712</v>
      </c>
      <c r="X163" s="157">
        <f t="shared" si="60"/>
        <v>46171</v>
      </c>
      <c r="Y163" s="383">
        <f t="shared" si="61"/>
        <v>55.718442325905094</v>
      </c>
      <c r="Z163" s="383">
        <f t="shared" si="62"/>
        <v>58.673015143562658</v>
      </c>
      <c r="AA163" s="384">
        <f t="shared" si="63"/>
        <v>63.424935231615763</v>
      </c>
      <c r="AB163" s="197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7.4921954128924204E-2</v>
      </c>
      <c r="AD163" s="230">
        <f>(INDEX(Models!$BJ163:$BT163,,AH163)*(1-AF163)+INDEX(Models!$BJ163:$BT163,,AH163+1)*AF163-ERP_i)*AE163*Ramure*Pc/MaxiM</f>
        <v>1.2671641350764237E-3</v>
      </c>
      <c r="AE163" s="304">
        <f t="shared" si="65"/>
        <v>0.7</v>
      </c>
      <c r="AF163" s="177">
        <f t="shared" si="66"/>
        <v>0.68596962300980913</v>
      </c>
      <c r="AG163" s="799">
        <f t="shared" si="74"/>
        <v>1</v>
      </c>
      <c r="AH163" s="176">
        <f t="shared" si="67"/>
        <v>7</v>
      </c>
      <c r="AI163" s="224">
        <f t="shared" si="68"/>
        <v>1.6859696230098091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46172</v>
      </c>
      <c r="B164" s="409">
        <f>'2025'!Wh/'2025'!Env_an*'2026'!Env_an</f>
        <v>45.025483008162041</v>
      </c>
      <c r="C164" s="829"/>
      <c r="D164" s="391">
        <f t="shared" si="50"/>
        <v>47.413950681342001</v>
      </c>
      <c r="E164" s="383">
        <f t="shared" si="72"/>
        <v>49.46759853951788</v>
      </c>
      <c r="F164" s="383">
        <f t="shared" si="51"/>
        <v>49.467766679339192</v>
      </c>
      <c r="G164" s="110">
        <f t="shared" si="73"/>
        <v>0.79743357703735418</v>
      </c>
      <c r="H164" s="412" t="b">
        <f>Wh_hp&gt;='2025'!Maxi_hp</f>
        <v>0</v>
      </c>
      <c r="I164" s="388">
        <f>IF(H164,Wh_hp,'2025'!Maxi_hp)</f>
        <v>61.091879244383499</v>
      </c>
      <c r="J164" s="85">
        <f>IF(H164,An,'2025'!An_max)</f>
        <v>2018</v>
      </c>
      <c r="K164" s="197">
        <f t="shared" si="52"/>
        <v>46172</v>
      </c>
      <c r="L164" s="147">
        <f>IF(t&lt;Tvie,1-EXP((T0-t)*PertePVj)+'2025'!Pspv,1-EXP((T0-t)*PertePVj)+Pspv)</f>
        <v>5.0374787142971611E-2</v>
      </c>
      <c r="M164" s="832"/>
      <c r="N164" s="832"/>
      <c r="O164" s="48">
        <f>IF(t&lt;Tnet,'2025'!Resal+('2025'!Salim-'2025'!Resal)*(1-EXP(('2025'!Tnet-t)/('2025'!Tau_j))),Resal+(Salim-Resal)*(1-EXP((Tnet-t)/(Tau_j))))*Salcycl</f>
        <v>4.1515010204817078E-2</v>
      </c>
      <c r="P164" s="169">
        <f>(INDEX(Models!$BJ164:$BT164,,T164)*(1-R164)+INDEX(Models!$BJ164:$BT164,,T164+1)*R164-ERP_i)*Q164*Ramure*Pc/MaxiM</f>
        <v>4.7831087711707006E-6</v>
      </c>
      <c r="Q164" s="304">
        <f t="shared" si="53"/>
        <v>0.7</v>
      </c>
      <c r="R164" s="177">
        <f t="shared" si="54"/>
        <v>0.93420677532252827</v>
      </c>
      <c r="S164" s="799">
        <f t="shared" si="55"/>
        <v>-2</v>
      </c>
      <c r="T164" s="176">
        <f t="shared" si="56"/>
        <v>4</v>
      </c>
      <c r="U164" s="250">
        <f t="shared" si="57"/>
        <v>-1.0657932246774717</v>
      </c>
      <c r="V164" s="382">
        <f t="shared" si="58"/>
        <v>56.462910496002181</v>
      </c>
      <c r="W164" s="400">
        <f t="shared" si="59"/>
        <v>45.025483008162041</v>
      </c>
      <c r="X164" s="157">
        <f t="shared" si="60"/>
        <v>46172</v>
      </c>
      <c r="Y164" s="383">
        <f t="shared" si="61"/>
        <v>43.416659007287485</v>
      </c>
      <c r="Z164" s="383">
        <f t="shared" si="62"/>
        <v>45.719783362390693</v>
      </c>
      <c r="AA164" s="384">
        <f t="shared" si="63"/>
        <v>49.426923083156936</v>
      </c>
      <c r="AB164" s="197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7.5002437730733743E-2</v>
      </c>
      <c r="AD164" s="230">
        <f>(INDEX(Models!$BJ164:$BT164,,AH164)*(1-AF164)+INDEX(Models!$BJ164:$BT164,,AH164+1)*AF164-ERP_i)*AE164*Ramure*Pc/MaxiM</f>
        <v>1.1618863492465718E-3</v>
      </c>
      <c r="AE164" s="304">
        <f t="shared" si="65"/>
        <v>0.7</v>
      </c>
      <c r="AF164" s="177">
        <f t="shared" si="66"/>
        <v>0.68986460616187917</v>
      </c>
      <c r="AG164" s="799">
        <f t="shared" si="74"/>
        <v>1</v>
      </c>
      <c r="AH164" s="176">
        <f t="shared" si="67"/>
        <v>7</v>
      </c>
      <c r="AI164" s="224">
        <f t="shared" si="68"/>
        <v>1.6898646061618792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46173</v>
      </c>
      <c r="B165" s="409">
        <f>'2025'!Wh/'2025'!Env_an*'2026'!Env_an</f>
        <v>54.254183799094768</v>
      </c>
      <c r="C165" s="829"/>
      <c r="D165" s="391">
        <f t="shared" si="50"/>
        <v>57.133301489379967</v>
      </c>
      <c r="E165" s="383">
        <f t="shared" si="72"/>
        <v>59.613933596471277</v>
      </c>
      <c r="F165" s="383">
        <f t="shared" si="51"/>
        <v>59.614214338834984</v>
      </c>
      <c r="G165" s="110">
        <f t="shared" si="73"/>
        <v>0.9610048727868975</v>
      </c>
      <c r="H165" s="412" t="b">
        <f>Wh_hp&gt;='2025'!Maxi_hp</f>
        <v>0</v>
      </c>
      <c r="I165" s="388">
        <f>IF(H165,Wh_hp,'2025'!Maxi_hp)</f>
        <v>61.846036188985813</v>
      </c>
      <c r="J165" s="85">
        <f>IF(H165,An,'2025'!An_max)</f>
        <v>2018</v>
      </c>
      <c r="K165" s="197">
        <f t="shared" si="52"/>
        <v>46173</v>
      </c>
      <c r="L165" s="147">
        <f>IF(t&lt;Tvie,1-EXP((T0-t)*PertePVj)+'2025'!Pspv,1-EXP((T0-t)*PertePVj)+Pspv)</f>
        <v>5.0392986493531633E-2</v>
      </c>
      <c r="M165" s="832"/>
      <c r="N165" s="832"/>
      <c r="O165" s="48">
        <f>IF(t&lt;Tnet,'2025'!Resal+('2025'!Salim-'2025'!Resal)*(1-EXP(('2025'!Tnet-t)/('2025'!Tau_j))),Resal+(Salim-Resal)*(1-EXP((Tnet-t)/(Tau_j))))*Salcycl</f>
        <v>4.1611615899779221E-2</v>
      </c>
      <c r="P165" s="169">
        <f>(INDEX(Models!$BJ165:$BT165,,T165)*(1-R165)+INDEX(Models!$BJ165:$BT165,,T165+1)*R165-ERP_i)*Q165*Ramure*Pc/MaxiM</f>
        <v>4.9871373701610903E-6</v>
      </c>
      <c r="Q165" s="304">
        <f t="shared" si="53"/>
        <v>0.7</v>
      </c>
      <c r="R165" s="177">
        <f t="shared" si="54"/>
        <v>0.93813749256222967</v>
      </c>
      <c r="S165" s="799">
        <f t="shared" si="55"/>
        <v>-2</v>
      </c>
      <c r="T165" s="176">
        <f t="shared" si="56"/>
        <v>4</v>
      </c>
      <c r="U165" s="250">
        <f t="shared" si="57"/>
        <v>-1.0618625074377703</v>
      </c>
      <c r="V165" s="382">
        <f t="shared" si="58"/>
        <v>56.455664547141311</v>
      </c>
      <c r="W165" s="400">
        <f t="shared" si="59"/>
        <v>54.254183799094768</v>
      </c>
      <c r="X165" s="157">
        <f t="shared" si="60"/>
        <v>46173</v>
      </c>
      <c r="Y165" s="383">
        <f t="shared" si="61"/>
        <v>52.306856409557028</v>
      </c>
      <c r="Z165" s="383">
        <f t="shared" si="62"/>
        <v>55.082634885363277</v>
      </c>
      <c r="AA165" s="384">
        <f t="shared" si="63"/>
        <v>59.554111727649143</v>
      </c>
      <c r="AB165" s="197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7.5082588129845251E-2</v>
      </c>
      <c r="AD165" s="230">
        <f>(INDEX(Models!$BJ165:$BT165,,AH165)*(1-AF165)+INDEX(Models!$BJ165:$BT165,,AH165+1)*AF165-ERP_i)*AE165*Ramure*Pc/MaxiM</f>
        <v>1.0676692122061164E-3</v>
      </c>
      <c r="AE165" s="304">
        <f t="shared" si="65"/>
        <v>0.7</v>
      </c>
      <c r="AF165" s="177">
        <f t="shared" si="66"/>
        <v>0.69379532340158057</v>
      </c>
      <c r="AG165" s="799">
        <f t="shared" si="74"/>
        <v>1</v>
      </c>
      <c r="AH165" s="176">
        <f t="shared" si="67"/>
        <v>7</v>
      </c>
      <c r="AI165" s="224">
        <f t="shared" si="68"/>
        <v>1.6937953234015806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46174</v>
      </c>
      <c r="B166" s="409">
        <f>'2025'!Wh/'2025'!Env_an*'2026'!Env_an</f>
        <v>56.26350961923999</v>
      </c>
      <c r="C166" s="829"/>
      <c r="D166" s="391">
        <f t="shared" si="50"/>
        <v>59.250392127446261</v>
      </c>
      <c r="E166" s="383">
        <f t="shared" si="72"/>
        <v>61.829163566463521</v>
      </c>
      <c r="F166" s="383">
        <f t="shared" si="51"/>
        <v>61.829483366089306</v>
      </c>
      <c r="G166" s="110">
        <f t="shared" si="73"/>
        <v>0.9967729343391365</v>
      </c>
      <c r="H166" s="412" t="b">
        <f>Wh_hp&gt;='2025'!Maxi_hp</f>
        <v>0</v>
      </c>
      <c r="I166" s="388">
        <f>IF(H166,Wh_hp,'2025'!Maxi_hp)</f>
        <v>63.6031019014615</v>
      </c>
      <c r="J166" s="85">
        <f>IF(H166,An,'2025'!An_max)</f>
        <v>2018</v>
      </c>
      <c r="K166" s="197">
        <f t="shared" si="52"/>
        <v>46174</v>
      </c>
      <c r="L166" s="147">
        <f>IF(t&lt;Tvie,1-EXP((T0-t)*PertePVj)+'2025'!Pspv,1-EXP((T0-t)*PertePVj)+Pspv)</f>
        <v>5.0411185495305322E-2</v>
      </c>
      <c r="M166" s="832"/>
      <c r="N166" s="832"/>
      <c r="O166" s="48">
        <f>IF(t&lt;Tnet,'2025'!Resal+('2025'!Salim-'2025'!Resal)*(1-EXP(('2025'!Tnet-t)/('2025'!Tau_j))),Resal+(Salim-Resal)*(1-EXP((Tnet-t)/(Tau_j))))*Salcycl</f>
        <v>4.1708011078707141E-2</v>
      </c>
      <c r="P166" s="169">
        <f>(INDEX(Models!$BJ166:$BT166,,T166)*(1-R166)+INDEX(Models!$BJ166:$BT166,,T166+1)*R166-ERP_i)*Q166*Ramure*Pc/MaxiM</f>
        <v>5.196238618369898E-6</v>
      </c>
      <c r="Q166" s="304">
        <f t="shared" si="53"/>
        <v>0.7</v>
      </c>
      <c r="R166" s="177">
        <f t="shared" si="54"/>
        <v>0.94210107502389562</v>
      </c>
      <c r="S166" s="799">
        <f t="shared" si="55"/>
        <v>-2</v>
      </c>
      <c r="T166" s="176">
        <f t="shared" si="56"/>
        <v>4</v>
      </c>
      <c r="U166" s="250">
        <f t="shared" si="57"/>
        <v>-1.0578989249761044</v>
      </c>
      <c r="V166" s="382">
        <f t="shared" si="58"/>
        <v>56.44566212940483</v>
      </c>
      <c r="W166" s="400">
        <f t="shared" si="59"/>
        <v>56.26350961923999</v>
      </c>
      <c r="X166" s="157">
        <f t="shared" si="60"/>
        <v>46174</v>
      </c>
      <c r="Y166" s="383">
        <f t="shared" si="61"/>
        <v>54.246388868570804</v>
      </c>
      <c r="Z166" s="383">
        <f t="shared" si="62"/>
        <v>57.126187714064123</v>
      </c>
      <c r="AA166" s="384">
        <f t="shared" si="63"/>
        <v>61.768881459644774</v>
      </c>
      <c r="AB166" s="197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7.5162341228630539E-2</v>
      </c>
      <c r="AD166" s="230">
        <f>(INDEX(Models!$BJ166:$BT166,,AH166)*(1-AF166)+INDEX(Models!$BJ166:$BT166,,AH166+1)*AF166-ERP_i)*AE166*Ramure*Pc/MaxiM</f>
        <v>9.8468522543280947E-4</v>
      </c>
      <c r="AE166" s="304">
        <f t="shared" si="65"/>
        <v>0.7</v>
      </c>
      <c r="AF166" s="177">
        <f t="shared" si="66"/>
        <v>0.69775890586324651</v>
      </c>
      <c r="AG166" s="799">
        <f t="shared" si="74"/>
        <v>1</v>
      </c>
      <c r="AH166" s="176">
        <f t="shared" si="67"/>
        <v>7</v>
      </c>
      <c r="AI166" s="224">
        <f t="shared" si="68"/>
        <v>1.6977589058632465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46175</v>
      </c>
      <c r="B167" s="409">
        <f>'2025'!Wh/'2025'!Env_an*'2026'!Env_an</f>
        <v>39.010872526526747</v>
      </c>
      <c r="C167" s="829"/>
      <c r="D167" s="391">
        <f t="shared" si="50"/>
        <v>41.082645013753542</v>
      </c>
      <c r="E167" s="383">
        <f t="shared" si="72"/>
        <v>42.874998282307573</v>
      </c>
      <c r="F167" s="383">
        <f t="shared" si="51"/>
        <v>42.87512794636222</v>
      </c>
      <c r="G167" s="110">
        <f t="shared" si="73"/>
        <v>0.69127716342316625</v>
      </c>
      <c r="H167" s="412" t="b">
        <f>Wh_hp&gt;='2025'!Maxi_hp</f>
        <v>0</v>
      </c>
      <c r="I167" s="388">
        <f>IF(H167,Wh_hp,'2025'!Maxi_hp)</f>
        <v>62.818886290602684</v>
      </c>
      <c r="J167" s="85">
        <f>IF(H167,An,'2025'!An_max)</f>
        <v>2018</v>
      </c>
      <c r="K167" s="197">
        <f t="shared" si="52"/>
        <v>46175</v>
      </c>
      <c r="L167" s="147">
        <f>IF(t&lt;Tvie,1-EXP((T0-t)*PertePVj)+'2025'!Pspv,1-EXP((T0-t)*PertePVj)+Pspv)</f>
        <v>5.0429384148299339E-2</v>
      </c>
      <c r="M167" s="832"/>
      <c r="N167" s="832"/>
      <c r="O167" s="48">
        <f>IF(t&lt;Tnet,'2025'!Resal+('2025'!Salim-'2025'!Resal)*(1-EXP(('2025'!Tnet-t)/('2025'!Tau_j))),Resal+(Salim-Resal)*(1-EXP((Tnet-t)/(Tau_j))))*Salcycl</f>
        <v>4.1804159541940951E-2</v>
      </c>
      <c r="P167" s="169">
        <f>(INDEX(Models!$BJ167:$BT167,,T167)*(1-R167)+INDEX(Models!$BJ167:$BT167,,T167+1)*R167-ERP_i)*Q167*Ramure*Pc/MaxiM</f>
        <v>5.4103564268879226E-6</v>
      </c>
      <c r="Q167" s="304">
        <f t="shared" si="53"/>
        <v>0.7</v>
      </c>
      <c r="R167" s="177">
        <f t="shared" si="54"/>
        <v>0.94609454975542562</v>
      </c>
      <c r="S167" s="799">
        <f t="shared" si="55"/>
        <v>-2</v>
      </c>
      <c r="T167" s="176">
        <f t="shared" si="56"/>
        <v>4</v>
      </c>
      <c r="U167" s="250">
        <f t="shared" si="57"/>
        <v>-1.0539054502445744</v>
      </c>
      <c r="V167" s="382">
        <f t="shared" si="58"/>
        <v>56.432906372917124</v>
      </c>
      <c r="W167" s="400">
        <f t="shared" si="59"/>
        <v>39.010872526526747</v>
      </c>
      <c r="X167" s="157">
        <f t="shared" si="60"/>
        <v>46175</v>
      </c>
      <c r="Y167" s="383">
        <f t="shared" si="61"/>
        <v>37.630435455485888</v>
      </c>
      <c r="Z167" s="383">
        <f t="shared" si="62"/>
        <v>39.628896289860371</v>
      </c>
      <c r="AA167" s="384">
        <f t="shared" si="63"/>
        <v>42.853244398138507</v>
      </c>
      <c r="AB167" s="197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7.5241633476372152E-2</v>
      </c>
      <c r="AD167" s="230">
        <f>(INDEX(Models!$BJ167:$BT167,,AH167)*(1-AF167)+INDEX(Models!$BJ167:$BT167,,AH167+1)*AF167-ERP_i)*AE167*Ramure*Pc/MaxiM</f>
        <v>9.1311193451280338E-4</v>
      </c>
      <c r="AE167" s="304">
        <f t="shared" si="65"/>
        <v>0.7</v>
      </c>
      <c r="AF167" s="177">
        <f t="shared" si="66"/>
        <v>0.70175238059477651</v>
      </c>
      <c r="AG167" s="799">
        <f t="shared" si="74"/>
        <v>1</v>
      </c>
      <c r="AH167" s="176">
        <f t="shared" si="67"/>
        <v>7</v>
      </c>
      <c r="AI167" s="224">
        <f t="shared" si="68"/>
        <v>1.7017523805947765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46176</v>
      </c>
      <c r="B168" s="409">
        <f>'2025'!Wh/'2025'!Env_an*'2026'!Env_an</f>
        <v>54.841066667570416</v>
      </c>
      <c r="C168" s="829"/>
      <c r="D168" s="391">
        <f t="shared" si="50"/>
        <v>57.754649089530901</v>
      </c>
      <c r="E168" s="383">
        <f t="shared" si="72"/>
        <v>60.280399350752162</v>
      </c>
      <c r="F168" s="383">
        <f t="shared" si="51"/>
        <v>60.280725151537538</v>
      </c>
      <c r="G168" s="110">
        <f t="shared" si="73"/>
        <v>0.97205922233412156</v>
      </c>
      <c r="H168" s="412" t="b">
        <f>Wh_hp&gt;='2025'!Maxi_hp</f>
        <v>1</v>
      </c>
      <c r="I168" s="388">
        <f>IF(H168,Wh_hp,'2025'!Maxi_hp)</f>
        <v>60.280725151537538</v>
      </c>
      <c r="J168" s="85">
        <f>IF(H168,An,'2025'!An_max)</f>
        <v>2026</v>
      </c>
      <c r="K168" s="197">
        <f t="shared" si="52"/>
        <v>46176</v>
      </c>
      <c r="L168" s="147">
        <f>IF(t&lt;Tvie,1-EXP((T0-t)*PertePVj)+'2025'!Pspv,1-EXP((T0-t)*PertePVj)+Pspv)</f>
        <v>5.0447582452520234E-2</v>
      </c>
      <c r="M168" s="832"/>
      <c r="N168" s="832"/>
      <c r="O168" s="48">
        <f>IF(t&lt;Tnet,'2025'!Resal+('2025'!Salim-'2025'!Resal)*(1-EXP(('2025'!Tnet-t)/('2025'!Tau_j))),Resal+(Salim-Resal)*(1-EXP((Tnet-t)/(Tau_j))))*Salcycl</f>
        <v>4.1900025355252488E-2</v>
      </c>
      <c r="P168" s="169">
        <f>(INDEX(Models!$BJ168:$BT168,,T168)*(1-R168)+INDEX(Models!$BJ168:$BT168,,T168+1)*R168-ERP_i)*Q168*Ramure*Pc/MaxiM</f>
        <v>5.6294246780012339E-6</v>
      </c>
      <c r="Q168" s="304">
        <f t="shared" si="53"/>
        <v>0.7</v>
      </c>
      <c r="R168" s="177">
        <f t="shared" si="54"/>
        <v>0.95011484798124313</v>
      </c>
      <c r="S168" s="799">
        <f t="shared" si="55"/>
        <v>-2</v>
      </c>
      <c r="T168" s="176">
        <f t="shared" si="56"/>
        <v>4</v>
      </c>
      <c r="U168" s="250">
        <f t="shared" si="57"/>
        <v>-1.0498851520187569</v>
      </c>
      <c r="V168" s="382">
        <f t="shared" si="58"/>
        <v>56.417400385429154</v>
      </c>
      <c r="W168" s="400">
        <f t="shared" si="59"/>
        <v>54.841066667570416</v>
      </c>
      <c r="X168" s="157">
        <f t="shared" si="60"/>
        <v>46176</v>
      </c>
      <c r="Y168" s="383">
        <f t="shared" si="61"/>
        <v>52.885037937574417</v>
      </c>
      <c r="Z168" s="383">
        <f t="shared" si="62"/>
        <v>55.69470095623241</v>
      </c>
      <c r="AA168" s="384">
        <f t="shared" si="63"/>
        <v>60.231350495117219</v>
      </c>
      <c r="AB168" s="197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7.5320402109406132E-2</v>
      </c>
      <c r="AD168" s="230">
        <f>(INDEX(Models!$BJ168:$BT168,,AH168)*(1-AF168)+INDEX(Models!$BJ168:$BT168,,AH168+1)*AF168-ERP_i)*AE168*Ramure*Pc/MaxiM</f>
        <v>8.531314895331984E-4</v>
      </c>
      <c r="AE168" s="304">
        <f t="shared" si="65"/>
        <v>0.7</v>
      </c>
      <c r="AF168" s="177">
        <f t="shared" si="66"/>
        <v>0.70577267882059402</v>
      </c>
      <c r="AG168" s="799">
        <f t="shared" si="74"/>
        <v>1</v>
      </c>
      <c r="AH168" s="176">
        <f t="shared" si="67"/>
        <v>7</v>
      </c>
      <c r="AI168" s="224">
        <f t="shared" si="68"/>
        <v>1.705772678820594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46177</v>
      </c>
      <c r="B169" s="409">
        <f>'2025'!Wh/'2025'!Env_an*'2026'!Env_an</f>
        <v>24.863753792394213</v>
      </c>
      <c r="C169" s="829"/>
      <c r="D169" s="391">
        <f t="shared" si="50"/>
        <v>26.185210895376809</v>
      </c>
      <c r="E169" s="383">
        <f t="shared" si="72"/>
        <v>27.333079218674683</v>
      </c>
      <c r="F169" s="383">
        <f t="shared" si="51"/>
        <v>27.33311141186654</v>
      </c>
      <c r="G169" s="110">
        <f t="shared" si="73"/>
        <v>0.44085130279639201</v>
      </c>
      <c r="H169" s="412" t="b">
        <f>Wh_hp&gt;='2025'!Maxi_hp</f>
        <v>0</v>
      </c>
      <c r="I169" s="388">
        <f>IF(H169,Wh_hp,'2025'!Maxi_hp)</f>
        <v>60.619800166760626</v>
      </c>
      <c r="J169" s="85">
        <f>IF(H169,An,'2025'!An_max)</f>
        <v>2018</v>
      </c>
      <c r="K169" s="197">
        <f t="shared" si="52"/>
        <v>46177</v>
      </c>
      <c r="L169" s="147">
        <f>IF(t&lt;Tvie,1-EXP((T0-t)*PertePVj)+'2025'!Pspv,1-EXP((T0-t)*PertePVj)+Pspv)</f>
        <v>5.0465780407974781E-2</v>
      </c>
      <c r="M169" s="832"/>
      <c r="N169" s="832"/>
      <c r="O169" s="48">
        <f>IF(t&lt;Tnet,'2025'!Resal+('2025'!Salim-'2025'!Resal)*(1-EXP(('2025'!Tnet-t)/('2025'!Tau_j))),Resal+(Salim-Resal)*(1-EXP((Tnet-t)/(Tau_j))))*Salcycl</f>
        <v>4.1995572987386695E-2</v>
      </c>
      <c r="P169" s="169">
        <f>(INDEX(Models!$BJ169:$BT169,,T169)*(1-R169)+INDEX(Models!$BJ169:$BT169,,T169+1)*R169-ERP_i)*Q169*Ramure*Pc/MaxiM</f>
        <v>5.8533673724002827E-6</v>
      </c>
      <c r="Q169" s="304">
        <f t="shared" si="53"/>
        <v>0.7</v>
      </c>
      <c r="R169" s="177">
        <f t="shared" si="54"/>
        <v>0.95415881400497082</v>
      </c>
      <c r="S169" s="799">
        <f t="shared" si="55"/>
        <v>-2</v>
      </c>
      <c r="T169" s="176">
        <f t="shared" si="56"/>
        <v>4</v>
      </c>
      <c r="U169" s="250">
        <f t="shared" si="57"/>
        <v>-1.0458411859950292</v>
      </c>
      <c r="V169" s="382">
        <f t="shared" si="58"/>
        <v>56.399147246741791</v>
      </c>
      <c r="W169" s="400">
        <f t="shared" si="59"/>
        <v>24.863753792394213</v>
      </c>
      <c r="X169" s="157">
        <f t="shared" si="60"/>
        <v>46177</v>
      </c>
      <c r="Y169" s="383">
        <f t="shared" si="61"/>
        <v>23.992963786382369</v>
      </c>
      <c r="Z169" s="383">
        <f t="shared" si="62"/>
        <v>25.268140201088418</v>
      </c>
      <c r="AA169" s="384">
        <f t="shared" si="63"/>
        <v>27.328684341016867</v>
      </c>
      <c r="AB169" s="197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7.5398585391680775E-2</v>
      </c>
      <c r="AD169" s="230">
        <f>(INDEX(Models!$BJ169:$BT169,,AH169)*(1-AF169)+INDEX(Models!$BJ169:$BT169,,AH169+1)*AF169-ERP_i)*AE169*Ramure*Pc/MaxiM</f>
        <v>8.0493019092417516E-4</v>
      </c>
      <c r="AE169" s="304">
        <f t="shared" si="65"/>
        <v>0.7</v>
      </c>
      <c r="AF169" s="177">
        <f t="shared" si="66"/>
        <v>0.70981664484432172</v>
      </c>
      <c r="AG169" s="799">
        <f t="shared" si="74"/>
        <v>1</v>
      </c>
      <c r="AH169" s="176">
        <f t="shared" si="67"/>
        <v>7</v>
      </c>
      <c r="AI169" s="224">
        <f t="shared" si="68"/>
        <v>1.7098166448443217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46178</v>
      </c>
      <c r="B170" s="409">
        <f>'2025'!Wh/'2025'!Env_an*'2026'!Env_an</f>
        <v>28.722727583969586</v>
      </c>
      <c r="C170" s="829"/>
      <c r="D170" s="391">
        <f t="shared" si="50"/>
        <v>30.249860896410809</v>
      </c>
      <c r="E170" s="383">
        <f t="shared" ref="E170:E232" si="75">Wh_pvt/(1-Psa)</f>
        <v>31.579047229578453</v>
      </c>
      <c r="F170" s="383">
        <f t="shared" si="51"/>
        <v>31.579104659682116</v>
      </c>
      <c r="G170" s="110">
        <f t="shared" ref="G170:G232" si="76">+Wh_hp/MaxiM</f>
        <v>0.50946342023799107</v>
      </c>
      <c r="H170" s="412" t="b">
        <f>Wh_hp&gt;='2025'!Maxi_hp</f>
        <v>0</v>
      </c>
      <c r="I170" s="388">
        <f>IF(H170,Wh_hp,'2025'!Maxi_hp)</f>
        <v>39.216543124389602</v>
      </c>
      <c r="J170" s="85">
        <f>IF(H170,An,'2025'!An_max)</f>
        <v>2021</v>
      </c>
      <c r="K170" s="197">
        <f t="shared" si="52"/>
        <v>46178</v>
      </c>
      <c r="L170" s="147">
        <f>IF(t&lt;Tvie,1-EXP((T0-t)*PertePVj)+'2025'!Pspv,1-EXP((T0-t)*PertePVj)+Pspv)</f>
        <v>5.048397801466975E-2</v>
      </c>
      <c r="M170" s="832"/>
      <c r="N170" s="832"/>
      <c r="O170" s="48">
        <f>IF(t&lt;Tnet,'2025'!Resal+('2025'!Salim-'2025'!Resal)*(1-EXP(('2025'!Tnet-t)/('2025'!Tau_j))),Resal+(Salim-Resal)*(1-EXP((Tnet-t)/(Tau_j))))*Salcycl</f>
        <v>4.2090767447938222E-2</v>
      </c>
      <c r="P170" s="169">
        <f>(INDEX(Models!$BJ170:$BT170,,T170)*(1-R170)+INDEX(Models!$BJ170:$BT170,,T170+1)*R170-ERP_i)*Q170*Ramure*Pc/MaxiM</f>
        <v>6.0775023891697487E-6</v>
      </c>
      <c r="Q170" s="304">
        <f t="shared" si="53"/>
        <v>0.7</v>
      </c>
      <c r="R170" s="177">
        <f t="shared" si="54"/>
        <v>0.95822321470118843</v>
      </c>
      <c r="S170" s="799">
        <f t="shared" si="55"/>
        <v>-2</v>
      </c>
      <c r="T170" s="176">
        <f t="shared" si="56"/>
        <v>4</v>
      </c>
      <c r="U170" s="250">
        <f t="shared" si="57"/>
        <v>-1.0417767852988116</v>
      </c>
      <c r="V170" s="382">
        <f t="shared" si="58"/>
        <v>56.378150257283075</v>
      </c>
      <c r="W170" s="400">
        <f t="shared" si="59"/>
        <v>28.722727583969586</v>
      </c>
      <c r="X170" s="157">
        <f t="shared" si="60"/>
        <v>46178</v>
      </c>
      <c r="Y170" s="383">
        <f t="shared" si="61"/>
        <v>27.71534840265484</v>
      </c>
      <c r="Z170" s="383">
        <f t="shared" si="62"/>
        <v>29.18892126191319</v>
      </c>
      <c r="AA170" s="384">
        <f t="shared" si="63"/>
        <v>31.571841445593144</v>
      </c>
      <c r="AB170" s="197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7.5476122854169561E-2</v>
      </c>
      <c r="AD170" s="230">
        <f>(INDEX(Models!$BJ170:$BT170,,AH170)*(1-AF170)+INDEX(Models!$BJ170:$BT170,,AH170+1)*AF170-ERP_i)*AE170*Ramure*Pc/MaxiM</f>
        <v>7.6862478325402661E-4</v>
      </c>
      <c r="AE170" s="304">
        <f t="shared" si="65"/>
        <v>0.7</v>
      </c>
      <c r="AF170" s="177">
        <f t="shared" si="66"/>
        <v>0.71388104554053933</v>
      </c>
      <c r="AG170" s="799">
        <f t="shared" si="74"/>
        <v>1</v>
      </c>
      <c r="AH170" s="176">
        <f t="shared" si="67"/>
        <v>7</v>
      </c>
      <c r="AI170" s="224">
        <f t="shared" si="68"/>
        <v>1.7138810455405393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46179</v>
      </c>
      <c r="B171" s="409">
        <f>'2025'!Wh/'2025'!Env_an*'2026'!Env_an</f>
        <v>48.386056022503809</v>
      </c>
      <c r="C171" s="829"/>
      <c r="D171" s="391">
        <f t="shared" si="50"/>
        <v>50.959628092245495</v>
      </c>
      <c r="E171" s="383">
        <f t="shared" si="75"/>
        <v>53.204072450292614</v>
      </c>
      <c r="F171" s="383">
        <f t="shared" si="51"/>
        <v>53.204339759567887</v>
      </c>
      <c r="G171" s="110">
        <f t="shared" si="76"/>
        <v>0.85860169840503131</v>
      </c>
      <c r="H171" s="412" t="b">
        <f>Wh_hp&gt;='2025'!Maxi_hp</f>
        <v>0</v>
      </c>
      <c r="I171" s="388">
        <f>IF(H171,Wh_hp,'2025'!Maxi_hp)</f>
        <v>54.078564517697089</v>
      </c>
      <c r="J171" s="85">
        <f>IF(H171,An,'2025'!An_max)</f>
        <v>2018</v>
      </c>
      <c r="K171" s="197">
        <f t="shared" si="52"/>
        <v>46179</v>
      </c>
      <c r="L171" s="147">
        <f>IF(t&lt;Tvie,1-EXP((T0-t)*PertePVj)+'2025'!Pspv,1-EXP((T0-t)*PertePVj)+Pspv)</f>
        <v>5.0502175272611693E-2</v>
      </c>
      <c r="M171" s="832"/>
      <c r="N171" s="832"/>
      <c r="O171" s="48">
        <f>IF(t&lt;Tnet,'2025'!Resal+('2025'!Salim-'2025'!Resal)*(1-EXP(('2025'!Tnet-t)/('2025'!Tau_j))),Resal+(Salim-Resal)*(1-EXP((Tnet-t)/(Tau_j))))*Salcycl</f>
        <v>4.218557442466566E-2</v>
      </c>
      <c r="P171" s="169">
        <f>(INDEX(Models!$BJ171:$BT171,,T171)*(1-R171)+INDEX(Models!$BJ171:$BT171,,T171+1)*R171-ERP_i)*Q171*Ramure*Pc/MaxiM</f>
        <v>6.2959592658964559E-6</v>
      </c>
      <c r="Q171" s="304">
        <f t="shared" si="53"/>
        <v>0.7</v>
      </c>
      <c r="R171" s="177">
        <f t="shared" si="54"/>
        <v>0.96230474953890033</v>
      </c>
      <c r="S171" s="799">
        <f t="shared" si="55"/>
        <v>-2</v>
      </c>
      <c r="T171" s="176">
        <f t="shared" si="56"/>
        <v>4</v>
      </c>
      <c r="U171" s="250">
        <f t="shared" si="57"/>
        <v>-1.0376952504610997</v>
      </c>
      <c r="V171" s="382">
        <f t="shared" si="58"/>
        <v>56.354412734905694</v>
      </c>
      <c r="W171" s="400">
        <f t="shared" si="59"/>
        <v>48.386056022503809</v>
      </c>
      <c r="X171" s="157">
        <f t="shared" si="60"/>
        <v>46179</v>
      </c>
      <c r="Y171" s="383">
        <f t="shared" si="61"/>
        <v>46.673201955027217</v>
      </c>
      <c r="Z171" s="383">
        <f t="shared" si="62"/>
        <v>49.155670228552268</v>
      </c>
      <c r="AA171" s="384">
        <f t="shared" si="63"/>
        <v>53.173051417798064</v>
      </c>
      <c r="AB171" s="197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7.5552955531551474E-2</v>
      </c>
      <c r="AD171" s="230">
        <f>(INDEX(Models!$BJ171:$BT171,,AH171)*(1-AF171)+INDEX(Models!$BJ171:$BT171,,AH171+1)*AF171-ERP_i)*AE171*Ramure*Pc/MaxiM</f>
        <v>7.3693711180924427E-4</v>
      </c>
      <c r="AE171" s="304">
        <f t="shared" si="65"/>
        <v>0.7</v>
      </c>
      <c r="AF171" s="177">
        <f t="shared" si="66"/>
        <v>0.71796258037825122</v>
      </c>
      <c r="AG171" s="799">
        <f t="shared" si="74"/>
        <v>1</v>
      </c>
      <c r="AH171" s="176">
        <f t="shared" si="67"/>
        <v>7</v>
      </c>
      <c r="AI171" s="224">
        <f t="shared" si="68"/>
        <v>1.7179625803782512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46180</v>
      </c>
      <c r="B172" s="409">
        <f>'2025'!Wh/'2025'!Env_an*'2026'!Env_an</f>
        <v>26.868518345352573</v>
      </c>
      <c r="C172" s="829"/>
      <c r="D172" s="391">
        <f t="shared" si="50"/>
        <v>28.298151490720961</v>
      </c>
      <c r="E172" s="383">
        <f t="shared" si="75"/>
        <v>29.547415028624687</v>
      </c>
      <c r="F172" s="383">
        <f t="shared" si="51"/>
        <v>29.547463650669986</v>
      </c>
      <c r="G172" s="110">
        <f t="shared" si="76"/>
        <v>0.47699931541055046</v>
      </c>
      <c r="H172" s="412" t="b">
        <f>Wh_hp&gt;='2025'!Maxi_hp</f>
        <v>0</v>
      </c>
      <c r="I172" s="388">
        <f>IF(H172,Wh_hp,'2025'!Maxi_hp)</f>
        <v>56.44411958910743</v>
      </c>
      <c r="J172" s="85">
        <f>IF(H172,An,'2025'!An_max)</f>
        <v>2021</v>
      </c>
      <c r="K172" s="197">
        <f t="shared" si="52"/>
        <v>46180</v>
      </c>
      <c r="L172" s="147">
        <f>IF(t&lt;Tvie,1-EXP((T0-t)*PertePVj)+'2025'!Pspv,1-EXP((T0-t)*PertePVj)+Pspv)</f>
        <v>5.0520372181807272E-2</v>
      </c>
      <c r="M172" s="832"/>
      <c r="N172" s="832"/>
      <c r="O172" s="48">
        <f>IF(t&lt;Tnet,'2025'!Resal+('2025'!Salim-'2025'!Resal)*(1-EXP(('2025'!Tnet-t)/('2025'!Tau_j))),Resal+(Salim-Resal)*(1-EXP((Tnet-t)/(Tau_j))))*Salcycl</f>
        <v>4.2279960419328612E-2</v>
      </c>
      <c r="P172" s="169">
        <f>(INDEX(Models!$BJ172:$BT172,,T172)*(1-R172)+INDEX(Models!$BJ172:$BT172,,T172+1)*R172-ERP_i)*Q172*Ramure*Pc/MaxiM</f>
        <v>6.5077937312225596E-6</v>
      </c>
      <c r="Q172" s="304">
        <f t="shared" si="53"/>
        <v>0.7</v>
      </c>
      <c r="R172" s="177">
        <f t="shared" si="54"/>
        <v>0.96640006107316134</v>
      </c>
      <c r="S172" s="799">
        <f t="shared" si="55"/>
        <v>-2</v>
      </c>
      <c r="T172" s="176">
        <f t="shared" si="56"/>
        <v>4</v>
      </c>
      <c r="U172" s="250">
        <f t="shared" si="57"/>
        <v>-1.0335999389268387</v>
      </c>
      <c r="V172" s="382">
        <f t="shared" si="58"/>
        <v>56.327937663650737</v>
      </c>
      <c r="W172" s="400">
        <f t="shared" si="59"/>
        <v>26.868518345352573</v>
      </c>
      <c r="X172" s="157">
        <f t="shared" si="60"/>
        <v>46180</v>
      </c>
      <c r="Y172" s="383">
        <f t="shared" si="61"/>
        <v>25.928308604857129</v>
      </c>
      <c r="Z172" s="383">
        <f t="shared" si="62"/>
        <v>27.307914614700827</v>
      </c>
      <c r="AA172" s="384">
        <f t="shared" si="63"/>
        <v>29.54215935868244</v>
      </c>
      <c r="AB172" s="197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7.5629026194558316E-2</v>
      </c>
      <c r="AD172" s="230">
        <f>(INDEX(Models!$BJ172:$BT172,,AH172)*(1-AF172)+INDEX(Models!$BJ172:$BT172,,AH172+1)*AF172-ERP_i)*AE172*Ramure*Pc/MaxiM</f>
        <v>7.0995035138001286E-4</v>
      </c>
      <c r="AE172" s="304">
        <f t="shared" si="65"/>
        <v>0.7</v>
      </c>
      <c r="AF172" s="177">
        <f t="shared" si="66"/>
        <v>0.72205789191251224</v>
      </c>
      <c r="AG172" s="799">
        <f t="shared" si="74"/>
        <v>1</v>
      </c>
      <c r="AH172" s="176">
        <f t="shared" si="67"/>
        <v>7</v>
      </c>
      <c r="AI172" s="224">
        <f t="shared" si="68"/>
        <v>1.7220578919125122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46181</v>
      </c>
      <c r="B173" s="409">
        <f>'2025'!Wh/'2025'!Env_an*'2026'!Env_an</f>
        <v>20.75923988627466</v>
      </c>
      <c r="C173" s="829"/>
      <c r="D173" s="391">
        <f t="shared" si="50"/>
        <v>21.864226605577038</v>
      </c>
      <c r="E173" s="383">
        <f t="shared" si="75"/>
        <v>22.831694377420479</v>
      </c>
      <c r="F173" s="383">
        <f t="shared" si="51"/>
        <v>22.831709424941565</v>
      </c>
      <c r="G173" s="110">
        <f t="shared" si="76"/>
        <v>0.36873149683076173</v>
      </c>
      <c r="H173" s="412" t="b">
        <f>Wh_hp&gt;='2025'!Maxi_hp</f>
        <v>0</v>
      </c>
      <c r="I173" s="388">
        <f>IF(H173,Wh_hp,'2025'!Maxi_hp)</f>
        <v>64.215122991320413</v>
      </c>
      <c r="J173" s="85">
        <f>IF(H173,An,'2025'!An_max)</f>
        <v>2018</v>
      </c>
      <c r="K173" s="197">
        <f t="shared" si="52"/>
        <v>46181</v>
      </c>
      <c r="L173" s="147">
        <f>IF(t&lt;Tvie,1-EXP((T0-t)*PertePVj)+'2025'!Pspv,1-EXP((T0-t)*PertePVj)+Pspv)</f>
        <v>5.0538568742263368E-2</v>
      </c>
      <c r="M173" s="832"/>
      <c r="N173" s="832"/>
      <c r="O173" s="48">
        <f>IF(t&lt;Tnet,'2025'!Resal+('2025'!Salim-'2025'!Resal)*(1-EXP(('2025'!Tnet-t)/('2025'!Tau_j))),Resal+(Salim-Resal)*(1-EXP((Tnet-t)/(Tau_j))))*Salcycl</f>
        <v>4.2373892881126911E-2</v>
      </c>
      <c r="P173" s="169">
        <f>(INDEX(Models!$BJ173:$BT173,,T173)*(1-R173)+INDEX(Models!$BJ173:$BT173,,T173+1)*R173-ERP_i)*Q173*Ramure*Pc/MaxiM</f>
        <v>6.7120420269969214E-6</v>
      </c>
      <c r="Q173" s="304">
        <f t="shared" si="53"/>
        <v>0.7</v>
      </c>
      <c r="R173" s="177">
        <f t="shared" si="54"/>
        <v>0.97050574583577442</v>
      </c>
      <c r="S173" s="799">
        <f t="shared" si="55"/>
        <v>-2</v>
      </c>
      <c r="T173" s="176">
        <f t="shared" si="56"/>
        <v>4</v>
      </c>
      <c r="U173" s="250">
        <f t="shared" si="57"/>
        <v>-1.0294942541642256</v>
      </c>
      <c r="V173" s="382">
        <f t="shared" si="58"/>
        <v>56.298727961564744</v>
      </c>
      <c r="W173" s="400">
        <f t="shared" si="59"/>
        <v>20.75923988627466</v>
      </c>
      <c r="X173" s="157">
        <f t="shared" si="60"/>
        <v>46181</v>
      </c>
      <c r="Y173" s="383">
        <f t="shared" si="61"/>
        <v>20.035370098268906</v>
      </c>
      <c r="Z173" s="383">
        <f t="shared" si="62"/>
        <v>21.101826191853171</v>
      </c>
      <c r="AA173" s="384">
        <f t="shared" si="63"/>
        <v>22.830167581195919</v>
      </c>
      <c r="AB173" s="197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7.5704279576392502E-2</v>
      </c>
      <c r="AD173" s="230">
        <f>(INDEX(Models!$BJ173:$BT173,,AH173)*(1-AF173)+INDEX(Models!$BJ173:$BT173,,AH173+1)*AF173-ERP_i)*AE173*Ramure*Pc/MaxiM</f>
        <v>6.8774916222961069E-4</v>
      </c>
      <c r="AE173" s="304">
        <f t="shared" si="65"/>
        <v>0.7</v>
      </c>
      <c r="AF173" s="177">
        <f t="shared" si="66"/>
        <v>0.72616357667512532</v>
      </c>
      <c r="AG173" s="799">
        <f t="shared" si="74"/>
        <v>1</v>
      </c>
      <c r="AH173" s="176">
        <f t="shared" si="67"/>
        <v>7</v>
      </c>
      <c r="AI173" s="224">
        <f t="shared" si="68"/>
        <v>1.7261635766751253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46182</v>
      </c>
      <c r="B174" s="409">
        <f>'2025'!Wh/'2025'!Env_an*'2026'!Env_an</f>
        <v>49.116342395007003</v>
      </c>
      <c r="C174" s="829"/>
      <c r="D174" s="391">
        <f t="shared" si="50"/>
        <v>51.731731378997758</v>
      </c>
      <c r="E174" s="383">
        <f t="shared" si="75"/>
        <v>54.026075097213777</v>
      </c>
      <c r="F174" s="383">
        <f t="shared" si="51"/>
        <v>54.026380544275248</v>
      </c>
      <c r="G174" s="110">
        <f t="shared" si="76"/>
        <v>0.87291782377549876</v>
      </c>
      <c r="H174" s="412" t="b">
        <f>Wh_hp&gt;='2025'!Maxi_hp</f>
        <v>0</v>
      </c>
      <c r="I174" s="388">
        <f>IF(H174,Wh_hp,'2025'!Maxi_hp)</f>
        <v>59.018802460565581</v>
      </c>
      <c r="J174" s="85">
        <f>IF(H174,An,'2025'!An_max)</f>
        <v>2021</v>
      </c>
      <c r="K174" s="197">
        <f t="shared" si="52"/>
        <v>46182</v>
      </c>
      <c r="L174" s="147">
        <f>IF(t&lt;Tvie,1-EXP((T0-t)*PertePVj)+'2025'!Pspv,1-EXP((T0-t)*PertePVj)+Pspv)</f>
        <v>5.0556764953986422E-2</v>
      </c>
      <c r="M174" s="832"/>
      <c r="N174" s="832"/>
      <c r="O174" s="48">
        <f>IF(t&lt;Tnet,'2025'!Resal+('2025'!Salim-'2025'!Resal)*(1-EXP(('2025'!Tnet-t)/('2025'!Tau_j))),Resal+(Salim-Resal)*(1-EXP((Tnet-t)/(Tau_j))))*Salcycl</f>
        <v>4.2467340336820855E-2</v>
      </c>
      <c r="P174" s="169">
        <f>(INDEX(Models!$BJ174:$BT174,,T174)*(1-R174)+INDEX(Models!$BJ174:$BT174,,T174+1)*R174-ERP_i)*Q174*Ramure*Pc/MaxiM</f>
        <v>6.9077236471558692E-6</v>
      </c>
      <c r="Q174" s="304">
        <f t="shared" si="53"/>
        <v>0.7</v>
      </c>
      <c r="R174" s="177">
        <f t="shared" si="54"/>
        <v>0.97461836555121906</v>
      </c>
      <c r="S174" s="799">
        <f t="shared" si="55"/>
        <v>-2</v>
      </c>
      <c r="T174" s="176">
        <f t="shared" si="56"/>
        <v>4</v>
      </c>
      <c r="U174" s="250">
        <f t="shared" si="57"/>
        <v>-1.0253816344487809</v>
      </c>
      <c r="V174" s="382">
        <f t="shared" si="58"/>
        <v>56.266786474188329</v>
      </c>
      <c r="W174" s="400">
        <f t="shared" si="59"/>
        <v>49.116342395007003</v>
      </c>
      <c r="X174" s="157">
        <f t="shared" si="60"/>
        <v>46182</v>
      </c>
      <c r="Y174" s="383">
        <f t="shared" si="61"/>
        <v>47.381903293895959</v>
      </c>
      <c r="Z174" s="383">
        <f t="shared" si="62"/>
        <v>49.904935382050148</v>
      </c>
      <c r="AA174" s="384">
        <f t="shared" si="63"/>
        <v>53.996735805721471</v>
      </c>
      <c r="AB174" s="197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7.5778662591633086E-2</v>
      </c>
      <c r="AD174" s="230">
        <f>(INDEX(Models!$BJ174:$BT174,,AH174)*(1-AF174)+INDEX(Models!$BJ174:$BT174,,AH174+1)*AF174-ERP_i)*AE174*Ramure*Pc/MaxiM</f>
        <v>6.7041948459262948E-4</v>
      </c>
      <c r="AE174" s="304">
        <f t="shared" si="65"/>
        <v>0.7</v>
      </c>
      <c r="AF174" s="177">
        <f t="shared" si="66"/>
        <v>0.73027619639056995</v>
      </c>
      <c r="AG174" s="799">
        <f t="shared" si="74"/>
        <v>1</v>
      </c>
      <c r="AH174" s="176">
        <f t="shared" si="67"/>
        <v>7</v>
      </c>
      <c r="AI174" s="224">
        <f t="shared" si="68"/>
        <v>1.73027619639057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46183</v>
      </c>
      <c r="B175" s="409">
        <f>'2025'!Wh/'2025'!Env_an*'2026'!Env_an</f>
        <v>56.483402907933943</v>
      </c>
      <c r="C175" s="829"/>
      <c r="D175" s="391">
        <f t="shared" si="50"/>
        <v>59.492219582220095</v>
      </c>
      <c r="E175" s="383">
        <f t="shared" si="75"/>
        <v>62.136777777745628</v>
      </c>
      <c r="F175" s="383">
        <f t="shared" si="51"/>
        <v>62.137218569492148</v>
      </c>
      <c r="G175" s="110">
        <f t="shared" si="76"/>
        <v>1.0044687442388611</v>
      </c>
      <c r="H175" s="412" t="b">
        <f>Wh_hp&gt;='2025'!Maxi_hp</f>
        <v>0</v>
      </c>
      <c r="I175" s="388">
        <f>IF(H175,Wh_hp,'2025'!Maxi_hp)</f>
        <v>62.137218569492155</v>
      </c>
      <c r="J175" s="85">
        <f>IF(H175,An,'2025'!An_max)</f>
        <v>2025</v>
      </c>
      <c r="K175" s="197">
        <f t="shared" si="52"/>
        <v>46183</v>
      </c>
      <c r="L175" s="147">
        <f>IF(t&lt;Tvie,1-EXP((T0-t)*PertePVj)+'2025'!Pspv,1-EXP((T0-t)*PertePVj)+Pspv)</f>
        <v>5.0574960816983316E-2</v>
      </c>
      <c r="M175" s="832"/>
      <c r="N175" s="832"/>
      <c r="O175" s="48">
        <f>IF(t&lt;Tnet,'2025'!Resal+('2025'!Salim-'2025'!Resal)*(1-EXP(('2025'!Tnet-t)/('2025'!Tau_j))),Resal+(Salim-Resal)*(1-EXP((Tnet-t)/(Tau_j))))*Salcycl</f>
        <v>4.2560272516620271E-2</v>
      </c>
      <c r="P175" s="169">
        <f>(INDEX(Models!$BJ175:$BT175,,T175)*(1-R175)+INDEX(Models!$BJ175:$BT175,,T175+1)*R175-ERP_i)*Q175*Ramure*Pc/MaxiM</f>
        <v>7.0938441834090962E-6</v>
      </c>
      <c r="Q175" s="304">
        <f t="shared" si="53"/>
        <v>0.7</v>
      </c>
      <c r="R175" s="177">
        <f t="shared" si="54"/>
        <v>0.97873445860002839</v>
      </c>
      <c r="S175" s="799">
        <f t="shared" si="55"/>
        <v>-2</v>
      </c>
      <c r="T175" s="176">
        <f t="shared" si="56"/>
        <v>4</v>
      </c>
      <c r="U175" s="250">
        <f t="shared" si="57"/>
        <v>-1.0212655413999716</v>
      </c>
      <c r="V175" s="382">
        <f t="shared" si="58"/>
        <v>56.232115963682269</v>
      </c>
      <c r="W175" s="400">
        <f t="shared" si="59"/>
        <v>56.483402907933943</v>
      </c>
      <c r="X175" s="157">
        <f t="shared" si="60"/>
        <v>46183</v>
      </c>
      <c r="Y175" s="383">
        <f t="shared" si="61"/>
        <v>54.483886424298532</v>
      </c>
      <c r="Z175" s="383">
        <f t="shared" si="62"/>
        <v>57.386190774136409</v>
      </c>
      <c r="AA175" s="384">
        <f t="shared" si="63"/>
        <v>62.096329276253144</v>
      </c>
      <c r="AB175" s="197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7.5852124546079813E-2</v>
      </c>
      <c r="AD175" s="230">
        <f>(INDEX(Models!$BJ175:$BT175,,AH175)*(1-AF175)+INDEX(Models!$BJ175:$BT175,,AH175+1)*AF175-ERP_i)*AE175*Ramure*Pc/MaxiM</f>
        <v>6.5804833528679686E-4</v>
      </c>
      <c r="AE175" s="304">
        <f t="shared" si="65"/>
        <v>0.7</v>
      </c>
      <c r="AF175" s="177">
        <f t="shared" si="66"/>
        <v>0.73439228943937929</v>
      </c>
      <c r="AG175" s="799">
        <f t="shared" si="74"/>
        <v>1</v>
      </c>
      <c r="AH175" s="176">
        <f t="shared" si="67"/>
        <v>7</v>
      </c>
      <c r="AI175" s="224">
        <f t="shared" si="68"/>
        <v>1.7343922894393793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46184</v>
      </c>
      <c r="B176" s="409">
        <f>'2025'!Wh/'2025'!Env_an*'2026'!Env_an</f>
        <v>54.95958443293987</v>
      </c>
      <c r="C176" s="829"/>
      <c r="D176" s="391">
        <f t="shared" si="50"/>
        <v>57.888338176036989</v>
      </c>
      <c r="E176" s="383">
        <f t="shared" si="75"/>
        <v>60.467435157605252</v>
      </c>
      <c r="F176" s="383">
        <f t="shared" si="51"/>
        <v>60.467860920510077</v>
      </c>
      <c r="G176" s="110">
        <f t="shared" si="76"/>
        <v>0.97802022618381534</v>
      </c>
      <c r="H176" s="412" t="b">
        <f>Wh_hp&gt;='2025'!Maxi_hp</f>
        <v>1</v>
      </c>
      <c r="I176" s="388">
        <f>IF(H176,Wh_hp,'2025'!Maxi_hp)</f>
        <v>60.467860920510077</v>
      </c>
      <c r="J176" s="85">
        <f>IF(H176,An,'2025'!An_max)</f>
        <v>2026</v>
      </c>
      <c r="K176" s="197">
        <f t="shared" si="52"/>
        <v>46184</v>
      </c>
      <c r="L176" s="147">
        <f>IF(t&lt;Tvie,1-EXP((T0-t)*PertePVj)+'2025'!Pspv,1-EXP((T0-t)*PertePVj)+Pspv)</f>
        <v>5.0593156331260603E-2</v>
      </c>
      <c r="M176" s="832"/>
      <c r="N176" s="832"/>
      <c r="O176" s="48">
        <f>IF(t&lt;Tnet,'2025'!Resal+('2025'!Salim-'2025'!Resal)*(1-EXP(('2025'!Tnet-t)/('2025'!Tau_j))),Resal+(Salim-Resal)*(1-EXP((Tnet-t)/(Tau_j))))*Salcycl</f>
        <v>4.2652660474947902E-2</v>
      </c>
      <c r="P176" s="169">
        <f>(INDEX(Models!$BJ176:$BT176,,T176)*(1-R176)+INDEX(Models!$BJ176:$BT176,,T176+1)*R176-ERP_i)*Q176*Ramure*Pc/MaxiM</f>
        <v>7.2693982512005129E-6</v>
      </c>
      <c r="Q176" s="304">
        <f t="shared" si="53"/>
        <v>0.7</v>
      </c>
      <c r="R176" s="177">
        <f t="shared" si="54"/>
        <v>0.9828505516488375</v>
      </c>
      <c r="S176" s="799">
        <f t="shared" si="55"/>
        <v>-2</v>
      </c>
      <c r="T176" s="176">
        <f t="shared" si="56"/>
        <v>4</v>
      </c>
      <c r="U176" s="250">
        <f t="shared" si="57"/>
        <v>-1.0171494483511625</v>
      </c>
      <c r="V176" s="382">
        <f t="shared" si="58"/>
        <v>56.194719103644623</v>
      </c>
      <c r="W176" s="400">
        <f t="shared" si="59"/>
        <v>54.95958443293987</v>
      </c>
      <c r="X176" s="157">
        <f t="shared" si="60"/>
        <v>46184</v>
      </c>
      <c r="Y176" s="383">
        <f t="shared" si="61"/>
        <v>53.016438043846584</v>
      </c>
      <c r="Z176" s="383">
        <f t="shared" si="62"/>
        <v>55.841643018896036</v>
      </c>
      <c r="AA176" s="384">
        <f t="shared" si="63"/>
        <v>60.42974855353571</v>
      </c>
      <c r="AB176" s="197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7.5924617336029385E-2</v>
      </c>
      <c r="AD176" s="230">
        <f>(INDEX(Models!$BJ176:$BT176,,AH176)*(1-AF176)+INDEX(Models!$BJ176:$BT176,,AH176+1)*AF176-ERP_i)*AE176*Ramure*Pc/MaxiM</f>
        <v>6.5072360859374828E-4</v>
      </c>
      <c r="AE176" s="304">
        <f t="shared" si="65"/>
        <v>0.7</v>
      </c>
      <c r="AF176" s="177">
        <f t="shared" si="66"/>
        <v>0.7385083824881884</v>
      </c>
      <c r="AG176" s="799">
        <f t="shared" si="74"/>
        <v>1</v>
      </c>
      <c r="AH176" s="176">
        <f t="shared" si="67"/>
        <v>7</v>
      </c>
      <c r="AI176" s="224">
        <f t="shared" si="68"/>
        <v>1.7385083824881884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46185</v>
      </c>
      <c r="B177" s="409">
        <f>'2025'!Wh/'2025'!Env_an*'2026'!Env_an</f>
        <v>45.439739870837464</v>
      </c>
      <c r="C177" s="829"/>
      <c r="D177" s="391">
        <f t="shared" si="50"/>
        <v>47.862105727173649</v>
      </c>
      <c r="E177" s="383">
        <f t="shared" si="75"/>
        <v>49.999299625283221</v>
      </c>
      <c r="F177" s="383">
        <f t="shared" si="51"/>
        <v>49.999569980027516</v>
      </c>
      <c r="G177" s="110">
        <f t="shared" si="76"/>
        <v>0.80918836635462654</v>
      </c>
      <c r="H177" s="412" t="b">
        <f>Wh_hp&gt;='2025'!Maxi_hp</f>
        <v>0</v>
      </c>
      <c r="I177" s="388">
        <f>IF(H177,Wh_hp,'2025'!Maxi_hp)</f>
        <v>60.295662422048899</v>
      </c>
      <c r="J177" s="85">
        <f>IF(H177,An,'2025'!An_max)</f>
        <v>2018</v>
      </c>
      <c r="K177" s="197">
        <f t="shared" si="52"/>
        <v>46185</v>
      </c>
      <c r="L177" s="147">
        <f>IF(t&lt;Tvie,1-EXP((T0-t)*PertePVj)+'2025'!Pspv,1-EXP((T0-t)*PertePVj)+Pspv)</f>
        <v>5.0611351496824941E-2</v>
      </c>
      <c r="M177" s="832"/>
      <c r="N177" s="832"/>
      <c r="O177" s="48">
        <f>IF(t&lt;Tnet,'2025'!Resal+('2025'!Salim-'2025'!Resal)*(1-EXP(('2025'!Tnet-t)/('2025'!Tau_j))),Resal+(Salim-Resal)*(1-EXP((Tnet-t)/(Tau_j))))*Salcycl</f>
        <v>4.2744476705206806E-2</v>
      </c>
      <c r="P177" s="169">
        <f>(INDEX(Models!$BJ177:$BT177,,T177)*(1-R177)+INDEX(Models!$BJ177:$BT177,,T177+1)*R177-ERP_i)*Q177*Ramure*Pc/MaxiM</f>
        <v>7.4333724705988245E-6</v>
      </c>
      <c r="Q177" s="304">
        <f t="shared" si="53"/>
        <v>0.7</v>
      </c>
      <c r="R177" s="177">
        <f t="shared" si="54"/>
        <v>0.98696317136428235</v>
      </c>
      <c r="S177" s="799">
        <f t="shared" si="55"/>
        <v>-2</v>
      </c>
      <c r="T177" s="176">
        <f t="shared" si="56"/>
        <v>4</v>
      </c>
      <c r="U177" s="250">
        <f t="shared" si="57"/>
        <v>-1.0130368286357176</v>
      </c>
      <c r="V177" s="382">
        <f t="shared" si="58"/>
        <v>56.154598469613276</v>
      </c>
      <c r="W177" s="400">
        <f t="shared" si="59"/>
        <v>45.439739870837464</v>
      </c>
      <c r="X177" s="157">
        <f t="shared" si="60"/>
        <v>46185</v>
      </c>
      <c r="Y177" s="383">
        <f t="shared" si="61"/>
        <v>43.840871852362277</v>
      </c>
      <c r="Z177" s="383">
        <f t="shared" si="62"/>
        <v>46.178002993276422</v>
      </c>
      <c r="AA177" s="384">
        <f t="shared" si="63"/>
        <v>49.975982542019636</v>
      </c>
      <c r="AB177" s="197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7.5996095635536248E-2</v>
      </c>
      <c r="AD177" s="230">
        <f>(INDEX(Models!$BJ177:$BT177,,AH177)*(1-AF177)+INDEX(Models!$BJ177:$BT177,,AH177+1)*AF177-ERP_i)*AE177*Ramure*Pc/MaxiM</f>
        <v>6.485338838603449E-4</v>
      </c>
      <c r="AE177" s="304">
        <f t="shared" si="65"/>
        <v>0.7</v>
      </c>
      <c r="AF177" s="177">
        <f t="shared" si="66"/>
        <v>0.74262100220363325</v>
      </c>
      <c r="AG177" s="799">
        <f t="shared" si="74"/>
        <v>1</v>
      </c>
      <c r="AH177" s="176">
        <f t="shared" si="67"/>
        <v>7</v>
      </c>
      <c r="AI177" s="224">
        <f t="shared" si="68"/>
        <v>1.7426210022036333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46186</v>
      </c>
      <c r="B178" s="409">
        <f>'2025'!Wh/'2025'!Env_an*'2026'!Env_an</f>
        <v>49.956144714631179</v>
      </c>
      <c r="C178" s="829"/>
      <c r="D178" s="391">
        <f t="shared" si="50"/>
        <v>52.620285917532122</v>
      </c>
      <c r="E178" s="383">
        <f t="shared" si="75"/>
        <v>54.975186241562092</v>
      </c>
      <c r="F178" s="383">
        <f t="shared" si="51"/>
        <v>54.975538064747212</v>
      </c>
      <c r="G178" s="110">
        <f t="shared" si="76"/>
        <v>0.89029623376977407</v>
      </c>
      <c r="H178" s="412" t="b">
        <f>Wh_hp&gt;='2025'!Maxi_hp</f>
        <v>0</v>
      </c>
      <c r="I178" s="388">
        <f>IF(H178,Wh_hp,'2025'!Maxi_hp)</f>
        <v>64.172787836056131</v>
      </c>
      <c r="J178" s="85">
        <f>IF(H178,An,'2025'!An_max)</f>
        <v>2018</v>
      </c>
      <c r="K178" s="197">
        <f t="shared" si="52"/>
        <v>46186</v>
      </c>
      <c r="L178" s="147">
        <f>IF(t&lt;Tvie,1-EXP((T0-t)*PertePVj)+'2025'!Pspv,1-EXP((T0-t)*PertePVj)+Pspv)</f>
        <v>5.0629546313683216E-2</v>
      </c>
      <c r="M178" s="832"/>
      <c r="N178" s="832"/>
      <c r="O178" s="48">
        <f>IF(t&lt;Tnet,'2025'!Resal+('2025'!Salim-'2025'!Resal)*(1-EXP(('2025'!Tnet-t)/('2025'!Tau_j))),Resal+(Salim-Resal)*(1-EXP((Tnet-t)/(Tau_j))))*Salcycl</f>
        <v>4.2835695247715765E-2</v>
      </c>
      <c r="P178" s="169">
        <f>(INDEX(Models!$BJ178:$BT178,,T178)*(1-R178)+INDEX(Models!$BJ178:$BT178,,T178+1)*R178-ERP_i)*Q178*Ramure*Pc/MaxiM</f>
        <v>7.5889591665635098E-6</v>
      </c>
      <c r="Q178" s="304">
        <f t="shared" si="53"/>
        <v>0.7</v>
      </c>
      <c r="R178" s="177">
        <f t="shared" si="54"/>
        <v>0.99106885612689544</v>
      </c>
      <c r="S178" s="799">
        <f t="shared" si="55"/>
        <v>-2</v>
      </c>
      <c r="T178" s="176">
        <f t="shared" si="56"/>
        <v>4</v>
      </c>
      <c r="U178" s="250">
        <f t="shared" si="57"/>
        <v>-1.0089311438731046</v>
      </c>
      <c r="V178" s="382">
        <f t="shared" si="58"/>
        <v>56.111756295426829</v>
      </c>
      <c r="W178" s="400">
        <f t="shared" si="59"/>
        <v>49.956144714631179</v>
      </c>
      <c r="X178" s="157">
        <f t="shared" si="60"/>
        <v>46186</v>
      </c>
      <c r="Y178" s="383">
        <f t="shared" si="61"/>
        <v>48.195578873519928</v>
      </c>
      <c r="Z178" s="383">
        <f t="shared" si="62"/>
        <v>50.765829804773254</v>
      </c>
      <c r="AA178" s="384">
        <f t="shared" si="63"/>
        <v>54.945329661394062</v>
      </c>
      <c r="AB178" s="197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7.6066517070283918E-2</v>
      </c>
      <c r="AD178" s="230">
        <f>(INDEX(Models!$BJ178:$BT178,,AH178)*(1-AF178)+INDEX(Models!$BJ178:$BT178,,AH178+1)*AF178-ERP_i)*AE178*Ramure*Pc/MaxiM</f>
        <v>6.516066854851967E-4</v>
      </c>
      <c r="AE178" s="304">
        <f t="shared" si="65"/>
        <v>0.7</v>
      </c>
      <c r="AF178" s="177">
        <f t="shared" si="66"/>
        <v>0.74672668696624633</v>
      </c>
      <c r="AG178" s="799">
        <f t="shared" si="74"/>
        <v>1</v>
      </c>
      <c r="AH178" s="176">
        <f t="shared" si="67"/>
        <v>7</v>
      </c>
      <c r="AI178" s="224">
        <f t="shared" si="68"/>
        <v>1.7467266869662463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46187</v>
      </c>
      <c r="B179" s="409">
        <f>'2025'!Wh/'2025'!Env_an*'2026'!Env_an</f>
        <v>49.139656412396747</v>
      </c>
      <c r="C179" s="829"/>
      <c r="D179" s="391">
        <f t="shared" si="50"/>
        <v>51.761246613418137</v>
      </c>
      <c r="E179" s="383">
        <f t="shared" si="75"/>
        <v>54.082821593989173</v>
      </c>
      <c r="F179" s="383">
        <f t="shared" si="51"/>
        <v>54.08316641702492</v>
      </c>
      <c r="G179" s="110">
        <f t="shared" si="76"/>
        <v>0.87645665384760141</v>
      </c>
      <c r="H179" s="412" t="b">
        <f>Wh_hp&gt;='2025'!Maxi_hp</f>
        <v>0</v>
      </c>
      <c r="I179" s="388">
        <f>IF(H179,Wh_hp,'2025'!Maxi_hp)</f>
        <v>57.550987024107755</v>
      </c>
      <c r="J179" s="85">
        <f>IF(H179,An,'2025'!An_max)</f>
        <v>2021</v>
      </c>
      <c r="K179" s="197">
        <f t="shared" si="52"/>
        <v>46187</v>
      </c>
      <c r="L179" s="147">
        <f>IF(t&lt;Tvie,1-EXP((T0-t)*PertePVj)+'2025'!Pspv,1-EXP((T0-t)*PertePVj)+Pspv)</f>
        <v>5.0647740781841866E-2</v>
      </c>
      <c r="M179" s="832"/>
      <c r="N179" s="832"/>
      <c r="O179" s="48">
        <f>IF(t&lt;Tnet,'2025'!Resal+('2025'!Salim-'2025'!Resal)*(1-EXP(('2025'!Tnet-t)/('2025'!Tau_j))),Resal+(Salim-Resal)*(1-EXP((Tnet-t)/(Tau_j))))*Salcycl</f>
        <v>4.2926291790017515E-2</v>
      </c>
      <c r="P179" s="169">
        <f>(INDEX(Models!$BJ179:$BT179,,T179)*(1-R179)+INDEX(Models!$BJ179:$BT179,,T179+1)*R179-ERP_i)*Q179*Ramure*Pc/MaxiM</f>
        <v>7.7422045608801873E-6</v>
      </c>
      <c r="Q179" s="304">
        <f t="shared" si="53"/>
        <v>0.7</v>
      </c>
      <c r="R179" s="177">
        <f t="shared" si="54"/>
        <v>0.99516416766115623</v>
      </c>
      <c r="S179" s="799">
        <f t="shared" si="55"/>
        <v>-2</v>
      </c>
      <c r="T179" s="176">
        <f t="shared" si="56"/>
        <v>4</v>
      </c>
      <c r="U179" s="250">
        <f t="shared" si="57"/>
        <v>-1.0048358323388438</v>
      </c>
      <c r="V179" s="382">
        <f t="shared" si="58"/>
        <v>56.066194547350428</v>
      </c>
      <c r="W179" s="400">
        <f t="shared" si="59"/>
        <v>49.139656412396747</v>
      </c>
      <c r="X179" s="157">
        <f t="shared" si="60"/>
        <v>46187</v>
      </c>
      <c r="Y179" s="383">
        <f t="shared" si="61"/>
        <v>47.409287170049573</v>
      </c>
      <c r="Z179" s="383">
        <f t="shared" si="62"/>
        <v>49.938562540624943</v>
      </c>
      <c r="AA179" s="384">
        <f t="shared" si="63"/>
        <v>54.054010136186349</v>
      </c>
      <c r="AB179" s="197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7.6135842376777271E-2</v>
      </c>
      <c r="AD179" s="230">
        <f>(INDEX(Models!$BJ179:$BT179,,AH179)*(1-AF179)+INDEX(Models!$BJ179:$BT179,,AH179+1)*AF179-ERP_i)*AE179*Ramure*Pc/MaxiM</f>
        <v>6.5463692121791976E-4</v>
      </c>
      <c r="AE179" s="304">
        <f t="shared" si="65"/>
        <v>0.7</v>
      </c>
      <c r="AF179" s="177">
        <f t="shared" si="66"/>
        <v>0.75082199850050713</v>
      </c>
      <c r="AG179" s="799">
        <f t="shared" si="74"/>
        <v>1</v>
      </c>
      <c r="AH179" s="176">
        <f t="shared" si="67"/>
        <v>7</v>
      </c>
      <c r="AI179" s="224">
        <f t="shared" si="68"/>
        <v>1.7508219985005071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46188</v>
      </c>
      <c r="B180" s="409">
        <f>'2025'!Wh/'2025'!Env_an*'2026'!Env_an</f>
        <v>52.400859067597175</v>
      </c>
      <c r="C180" s="829"/>
      <c r="D180" s="391">
        <f t="shared" si="50"/>
        <v>55.197491582849302</v>
      </c>
      <c r="E180" s="383">
        <f t="shared" si="75"/>
        <v>57.678608673205105</v>
      </c>
      <c r="F180" s="383">
        <f t="shared" si="51"/>
        <v>57.67902193219367</v>
      </c>
      <c r="G180" s="110">
        <f t="shared" si="76"/>
        <v>0.93542968386531289</v>
      </c>
      <c r="H180" s="412" t="b">
        <f>Wh_hp&gt;='2025'!Maxi_hp</f>
        <v>1</v>
      </c>
      <c r="I180" s="388">
        <f>IF(H180,Wh_hp,'2025'!Maxi_hp)</f>
        <v>57.67902193219367</v>
      </c>
      <c r="J180" s="85">
        <f>IF(H180,An,'2025'!An_max)</f>
        <v>2026</v>
      </c>
      <c r="K180" s="197">
        <f t="shared" si="52"/>
        <v>46188</v>
      </c>
      <c r="L180" s="147">
        <f>IF(t&lt;Tvie,1-EXP((T0-t)*PertePVj)+'2025'!Pspv,1-EXP((T0-t)*PertePVj)+Pspv)</f>
        <v>5.0665934901307774E-2</v>
      </c>
      <c r="M180" s="832"/>
      <c r="N180" s="832"/>
      <c r="O180" s="48">
        <f>IF(t&lt;Tnet,'2025'!Resal+('2025'!Salim-'2025'!Resal)*(1-EXP(('2025'!Tnet-t)/('2025'!Tau_j))),Resal+(Salim-Resal)*(1-EXP((Tnet-t)/(Tau_j))))*Salcycl</f>
        <v>4.3016243758813445E-2</v>
      </c>
      <c r="P180" s="169">
        <f>(INDEX(Models!$BJ180:$BT180,,T180)*(1-R180)+INDEX(Models!$BJ180:$BT180,,T180+1)*R180-ERP_i)*Q180*Ramure*Pc/MaxiM</f>
        <v>7.8928617655328231E-6</v>
      </c>
      <c r="Q180" s="304">
        <f t="shared" si="53"/>
        <v>0.7</v>
      </c>
      <c r="R180" s="177">
        <f t="shared" si="54"/>
        <v>0.99924570249886835</v>
      </c>
      <c r="S180" s="799">
        <f t="shared" si="55"/>
        <v>-2</v>
      </c>
      <c r="T180" s="176">
        <f t="shared" si="56"/>
        <v>4</v>
      </c>
      <c r="U180" s="250">
        <f t="shared" si="57"/>
        <v>-1.0007542975011317</v>
      </c>
      <c r="V180" s="382">
        <f t="shared" si="58"/>
        <v>56.017915424745688</v>
      </c>
      <c r="W180" s="400">
        <f t="shared" si="59"/>
        <v>52.400859067597175</v>
      </c>
      <c r="X180" s="157">
        <f t="shared" si="60"/>
        <v>46188</v>
      </c>
      <c r="Y180" s="383">
        <f t="shared" si="61"/>
        <v>50.553785106238095</v>
      </c>
      <c r="Z180" s="383">
        <f t="shared" si="62"/>
        <v>53.251839331165847</v>
      </c>
      <c r="AA180" s="384">
        <f t="shared" si="63"/>
        <v>57.644589693158565</v>
      </c>
      <c r="AB180" s="197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7.6204035545664822E-2</v>
      </c>
      <c r="AD180" s="230">
        <f>(INDEX(Models!$BJ180:$BT180,,AH180)*(1-AF180)+INDEX(Models!$BJ180:$BT180,,AH180+1)*AF180-ERP_i)*AE180*Ramure*Pc/MaxiM</f>
        <v>6.5762369483337256E-4</v>
      </c>
      <c r="AE180" s="304">
        <f t="shared" si="65"/>
        <v>0.7</v>
      </c>
      <c r="AF180" s="177">
        <f t="shared" si="66"/>
        <v>0.75490353333821925</v>
      </c>
      <c r="AG180" s="799">
        <f t="shared" si="74"/>
        <v>1</v>
      </c>
      <c r="AH180" s="176">
        <f t="shared" si="67"/>
        <v>7</v>
      </c>
      <c r="AI180" s="224">
        <f t="shared" si="68"/>
        <v>1.7549035333382192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46189</v>
      </c>
      <c r="B181" s="409">
        <f>'2025'!Wh/'2025'!Env_an*'2026'!Env_an</f>
        <v>50.543863299260067</v>
      </c>
      <c r="C181" s="829"/>
      <c r="D181" s="391">
        <f t="shared" si="50"/>
        <v>53.242408376211813</v>
      </c>
      <c r="E181" s="383">
        <f t="shared" si="75"/>
        <v>55.640836129637016</v>
      </c>
      <c r="F181" s="383">
        <f t="shared" si="51"/>
        <v>55.641233198911387</v>
      </c>
      <c r="G181" s="110">
        <f t="shared" si="76"/>
        <v>0.90310162993554099</v>
      </c>
      <c r="H181" s="412" t="b">
        <f>Wh_hp&gt;='2025'!Maxi_hp</f>
        <v>0</v>
      </c>
      <c r="I181" s="388">
        <f>IF(H181,Wh_hp,'2025'!Maxi_hp)</f>
        <v>62.895191551516874</v>
      </c>
      <c r="J181" s="85">
        <f>IF(H181,An,'2025'!An_max)</f>
        <v>2018</v>
      </c>
      <c r="K181" s="197">
        <f t="shared" si="52"/>
        <v>46189</v>
      </c>
      <c r="L181" s="147">
        <f>IF(t&lt;Tvie,1-EXP((T0-t)*PertePVj)+'2025'!Pspv,1-EXP((T0-t)*PertePVj)+Pspv)</f>
        <v>5.0684128672087381E-2</v>
      </c>
      <c r="M181" s="832"/>
      <c r="N181" s="832"/>
      <c r="O181" s="48">
        <f>IF(t&lt;Tnet,'2025'!Resal+('2025'!Salim-'2025'!Resal)*(1-EXP(('2025'!Tnet-t)/('2025'!Tau_j))),Resal+(Salim-Resal)*(1-EXP((Tnet-t)/(Tau_j))))*Salcycl</f>
        <v>4.3105530402834574E-2</v>
      </c>
      <c r="P181" s="169">
        <f>(INDEX(Models!$BJ181:$BT181,,T181)*(1-R181)+INDEX(Models!$BJ181:$BT181,,T181+1)*R181-ERP_i)*Q181*Ramure*Pc/MaxiM</f>
        <v>8.2827838405682358E-6</v>
      </c>
      <c r="Q181" s="304">
        <f t="shared" si="53"/>
        <v>0.7</v>
      </c>
      <c r="R181" s="177">
        <f t="shared" si="54"/>
        <v>3.310103195085734E-3</v>
      </c>
      <c r="S181" s="799">
        <f t="shared" si="55"/>
        <v>-1</v>
      </c>
      <c r="T181" s="176">
        <f t="shared" si="56"/>
        <v>5</v>
      </c>
      <c r="U181" s="250">
        <f t="shared" si="57"/>
        <v>-0.99668989680491427</v>
      </c>
      <c r="V181" s="382">
        <f t="shared" si="58"/>
        <v>55.966907458435159</v>
      </c>
      <c r="W181" s="400">
        <f t="shared" si="59"/>
        <v>50.543863299260067</v>
      </c>
      <c r="X181" s="157">
        <f t="shared" si="60"/>
        <v>46189</v>
      </c>
      <c r="Y181" s="383">
        <f t="shared" si="61"/>
        <v>48.76461475037047</v>
      </c>
      <c r="Z181" s="383">
        <f t="shared" si="62"/>
        <v>51.368165458097771</v>
      </c>
      <c r="AA181" s="384">
        <f t="shared" si="63"/>
        <v>55.609566240991015</v>
      </c>
      <c r="AB181" s="197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7.6271063948109244E-2</v>
      </c>
      <c r="AD181" s="230">
        <f>(INDEX(Models!$BJ181:$BT181,,AH181)*(1-AF181)+INDEX(Models!$BJ181:$BT181,,AH181+1)*AF181-ERP_i)*AE181*Ramure*Pc/MaxiM</f>
        <v>6.6056626455863012E-4</v>
      </c>
      <c r="AE181" s="304">
        <f t="shared" si="65"/>
        <v>0.7</v>
      </c>
      <c r="AF181" s="177">
        <f t="shared" si="66"/>
        <v>0.75896793403443663</v>
      </c>
      <c r="AG181" s="799">
        <f t="shared" si="74"/>
        <v>1</v>
      </c>
      <c r="AH181" s="176">
        <f t="shared" si="67"/>
        <v>7</v>
      </c>
      <c r="AI181" s="224">
        <f t="shared" si="68"/>
        <v>1.7589679340344366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46190</v>
      </c>
      <c r="B182" s="409">
        <f>'2025'!Wh/'2025'!Env_an*'2026'!Env_an</f>
        <v>51.511464234993227</v>
      </c>
      <c r="C182" s="829"/>
      <c r="D182" s="391">
        <f t="shared" si="50"/>
        <v>54.262709615628182</v>
      </c>
      <c r="E182" s="383">
        <f t="shared" si="75"/>
        <v>56.712350414579923</v>
      </c>
      <c r="F182" s="383">
        <f t="shared" si="51"/>
        <v>56.712789556337974</v>
      </c>
      <c r="G182" s="110">
        <f t="shared" si="76"/>
        <v>0.92127492704895497</v>
      </c>
      <c r="H182" s="412" t="b">
        <f>Wh_hp&gt;='2025'!Maxi_hp</f>
        <v>0</v>
      </c>
      <c r="I182" s="388">
        <f>IF(H182,Wh_hp,'2025'!Maxi_hp)</f>
        <v>61.943350764633465</v>
      </c>
      <c r="J182" s="85">
        <f>IF(H182,An,'2025'!An_max)</f>
        <v>2018</v>
      </c>
      <c r="K182" s="197">
        <f t="shared" si="52"/>
        <v>46190</v>
      </c>
      <c r="L182" s="147">
        <f>IF(t&lt;Tvie,1-EXP((T0-t)*PertePVj)+'2025'!Pspv,1-EXP((T0-t)*PertePVj)+Pspv)</f>
        <v>5.070232209418768E-2</v>
      </c>
      <c r="M182" s="832"/>
      <c r="N182" s="832"/>
      <c r="O182" s="48">
        <f>IF(t&lt;Tnet,'2025'!Resal+('2025'!Salim-'2025'!Resal)*(1-EXP(('2025'!Tnet-t)/('2025'!Tau_j))),Resal+(Salim-Resal)*(1-EXP((Tnet-t)/(Tau_j))))*Salcycl</f>
        <v>4.3194132866021584E-2</v>
      </c>
      <c r="P182" s="169">
        <f>(INDEX(Models!$BJ182:$BT182,,T182)*(1-R182)+INDEX(Models!$BJ182:$BT182,,T182+1)*R182-ERP_i)*Q182*Ramure*Pc/MaxiM</f>
        <v>8.724434925440775E-6</v>
      </c>
      <c r="Q182" s="304">
        <f t="shared" si="53"/>
        <v>0.7</v>
      </c>
      <c r="R182" s="177">
        <f t="shared" si="54"/>
        <v>7.3540692188136525E-3</v>
      </c>
      <c r="S182" s="799">
        <f t="shared" si="55"/>
        <v>-1</v>
      </c>
      <c r="T182" s="176">
        <f t="shared" si="56"/>
        <v>5</v>
      </c>
      <c r="U182" s="250">
        <f t="shared" si="57"/>
        <v>-0.99264593078118635</v>
      </c>
      <c r="V182" s="382">
        <f t="shared" si="58"/>
        <v>55.913183112169364</v>
      </c>
      <c r="W182" s="400">
        <f t="shared" si="59"/>
        <v>51.511464234993227</v>
      </c>
      <c r="X182" s="157">
        <f t="shared" si="60"/>
        <v>46190</v>
      </c>
      <c r="Y182" s="383">
        <f t="shared" si="61"/>
        <v>49.698263440486095</v>
      </c>
      <c r="Z182" s="383">
        <f t="shared" si="62"/>
        <v>52.352665130417677</v>
      </c>
      <c r="AA182" s="384">
        <f t="shared" si="63"/>
        <v>56.679394296728347</v>
      </c>
      <c r="AB182" s="197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7.6336898444244905E-2</v>
      </c>
      <c r="AD182" s="230">
        <f>(INDEX(Models!$BJ182:$BT182,,AH182)*(1-AF182)+INDEX(Models!$BJ182:$BT182,,AH182+1)*AF182-ERP_i)*AE182*Ramure*Pc/MaxiM</f>
        <v>6.6346404991435748E-4</v>
      </c>
      <c r="AE182" s="304">
        <f t="shared" si="65"/>
        <v>0.7</v>
      </c>
      <c r="AF182" s="177">
        <f t="shared" si="66"/>
        <v>0.76301190005816455</v>
      </c>
      <c r="AG182" s="799">
        <f t="shared" si="74"/>
        <v>1</v>
      </c>
      <c r="AH182" s="176">
        <f t="shared" si="67"/>
        <v>7</v>
      </c>
      <c r="AI182" s="224">
        <f t="shared" si="68"/>
        <v>1.7630119000581645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46191</v>
      </c>
      <c r="B183" s="409">
        <f>'2025'!Wh/'2025'!Env_an*'2026'!Env_an</f>
        <v>54.422740803649582</v>
      </c>
      <c r="C183" s="829"/>
      <c r="D183" s="391">
        <f t="shared" si="50"/>
        <v>57.33057721484316</v>
      </c>
      <c r="E183" s="383">
        <f t="shared" si="75"/>
        <v>59.924219328239829</v>
      </c>
      <c r="F183" s="383">
        <f t="shared" si="51"/>
        <v>59.924748233248508</v>
      </c>
      <c r="G183" s="110">
        <f t="shared" si="76"/>
        <v>0.97432673996764108</v>
      </c>
      <c r="H183" s="412" t="b">
        <f>Wh_hp&gt;='2025'!Maxi_hp</f>
        <v>1</v>
      </c>
      <c r="I183" s="388">
        <f>IF(H183,Wh_hp,'2025'!Maxi_hp)</f>
        <v>59.924748233248508</v>
      </c>
      <c r="J183" s="85">
        <f>IF(H183,An,'2025'!An_max)</f>
        <v>2026</v>
      </c>
      <c r="K183" s="197">
        <f t="shared" si="52"/>
        <v>46191</v>
      </c>
      <c r="L183" s="147">
        <f>IF(t&lt;Tvie,1-EXP((T0-t)*PertePVj)+'2025'!Pspv,1-EXP((T0-t)*PertePVj)+Pspv)</f>
        <v>5.072051516761511E-2</v>
      </c>
      <c r="M183" s="832"/>
      <c r="N183" s="832"/>
      <c r="O183" s="48">
        <f>IF(t&lt;Tnet,'2025'!Resal+('2025'!Salim-'2025'!Resal)*(1-EXP(('2025'!Tnet-t)/('2025'!Tau_j))),Resal+(Salim-Resal)*(1-EXP((Tnet-t)/(Tau_j))))*Salcycl</f>
        <v>4.3282034250455306E-2</v>
      </c>
      <c r="P183" s="169">
        <f>(INDEX(Models!$BJ183:$BT183,,T183)*(1-R183)+INDEX(Models!$BJ183:$BT183,,T183+1)*R183-ERP_i)*Q183*Ramure*Pc/MaxiM</f>
        <v>9.1621818883572265E-6</v>
      </c>
      <c r="Q183" s="304">
        <f t="shared" si="53"/>
        <v>0.7</v>
      </c>
      <c r="R183" s="177">
        <f t="shared" si="54"/>
        <v>1.1374367444631162E-2</v>
      </c>
      <c r="S183" s="799">
        <f t="shared" si="55"/>
        <v>-1</v>
      </c>
      <c r="T183" s="176">
        <f t="shared" si="56"/>
        <v>5</v>
      </c>
      <c r="U183" s="250">
        <f t="shared" si="57"/>
        <v>-0.98862563255536884</v>
      </c>
      <c r="V183" s="382">
        <f t="shared" si="58"/>
        <v>55.856747314246647</v>
      </c>
      <c r="W183" s="400">
        <f t="shared" si="59"/>
        <v>54.422740803649582</v>
      </c>
      <c r="X183" s="157">
        <f t="shared" si="60"/>
        <v>46191</v>
      </c>
      <c r="Y183" s="383">
        <f t="shared" si="61"/>
        <v>52.505484691568192</v>
      </c>
      <c r="Z183" s="383">
        <f t="shared" si="62"/>
        <v>55.310881074017026</v>
      </c>
      <c r="AA183" s="384">
        <f t="shared" si="63"/>
        <v>59.886283791992319</v>
      </c>
      <c r="AB183" s="197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7.640151347289123E-2</v>
      </c>
      <c r="AD183" s="230">
        <f>(INDEX(Models!$BJ183:$BT183,,AH183)*(1-AF183)+INDEX(Models!$BJ183:$BT183,,AH183+1)*AF183-ERP_i)*AE183*Ramure*Pc/MaxiM</f>
        <v>6.6631663765826465E-4</v>
      </c>
      <c r="AE183" s="304">
        <f t="shared" si="65"/>
        <v>0.7</v>
      </c>
      <c r="AF183" s="177">
        <f t="shared" si="66"/>
        <v>0.76703219828398206</v>
      </c>
      <c r="AG183" s="799">
        <f t="shared" si="74"/>
        <v>1</v>
      </c>
      <c r="AH183" s="176">
        <f t="shared" si="67"/>
        <v>7</v>
      </c>
      <c r="AI183" s="224">
        <f t="shared" si="68"/>
        <v>1.7670321982839821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46192</v>
      </c>
      <c r="B184" s="409">
        <f>'2025'!Wh/'2025'!Env_an*'2026'!Env_an</f>
        <v>55.384597338532949</v>
      </c>
      <c r="C184" s="829"/>
      <c r="D184" s="391">
        <f t="shared" si="50"/>
        <v>58.344944431015165</v>
      </c>
      <c r="E184" s="383">
        <f t="shared" si="75"/>
        <v>60.990034640951343</v>
      </c>
      <c r="F184" s="383">
        <f t="shared" si="51"/>
        <v>60.990613979636336</v>
      </c>
      <c r="G184" s="110">
        <f t="shared" si="76"/>
        <v>0.99259807274870104</v>
      </c>
      <c r="H184" s="412" t="b">
        <f>Wh_hp&gt;='2025'!Maxi_hp</f>
        <v>1</v>
      </c>
      <c r="I184" s="388">
        <f>IF(H184,Wh_hp,'2025'!Maxi_hp)</f>
        <v>60.990613979636336</v>
      </c>
      <c r="J184" s="85">
        <f>IF(H184,An,'2025'!An_max)</f>
        <v>2026</v>
      </c>
      <c r="K184" s="197">
        <f t="shared" si="52"/>
        <v>46192</v>
      </c>
      <c r="L184" s="147">
        <f>IF(t&lt;Tvie,1-EXP((T0-t)*PertePVj)+'2025'!Pspv,1-EXP((T0-t)*PertePVj)+Pspv)</f>
        <v>5.0738707892376445E-2</v>
      </c>
      <c r="M184" s="832"/>
      <c r="N184" s="832"/>
      <c r="O184" s="48">
        <f>IF(t&lt;Tnet,'2025'!Resal+('2025'!Salim-'2025'!Resal)*(1-EXP(('2025'!Tnet-t)/('2025'!Tau_j))),Resal+(Salim-Resal)*(1-EXP((Tnet-t)/(Tau_j))))*Salcycl</f>
        <v>4.3369219668554684E-2</v>
      </c>
      <c r="P184" s="169">
        <f>(INDEX(Models!$BJ184:$BT184,,T184)*(1-R184)+INDEX(Models!$BJ184:$BT184,,T184+1)*R184-ERP_i)*Q184*Ramure*Pc/MaxiM</f>
        <v>9.6003313337379303E-6</v>
      </c>
      <c r="Q184" s="304">
        <f t="shared" si="53"/>
        <v>0.7</v>
      </c>
      <c r="R184" s="177">
        <f t="shared" si="54"/>
        <v>1.5367842176161162E-2</v>
      </c>
      <c r="S184" s="799">
        <f t="shared" si="55"/>
        <v>-1</v>
      </c>
      <c r="T184" s="176">
        <f t="shared" si="56"/>
        <v>5</v>
      </c>
      <c r="U184" s="250">
        <f t="shared" si="57"/>
        <v>-0.98463215782383884</v>
      </c>
      <c r="V184" s="382">
        <f t="shared" si="58"/>
        <v>55.797601503276987</v>
      </c>
      <c r="W184" s="400">
        <f t="shared" si="59"/>
        <v>55.384597338532949</v>
      </c>
      <c r="X184" s="157">
        <f t="shared" si="60"/>
        <v>46192</v>
      </c>
      <c r="Y184" s="383">
        <f t="shared" si="61"/>
        <v>53.433614502045948</v>
      </c>
      <c r="Z184" s="383">
        <f t="shared" si="62"/>
        <v>56.289680140026036</v>
      </c>
      <c r="AA184" s="384">
        <f t="shared" si="63"/>
        <v>60.950232812048505</v>
      </c>
      <c r="AB184" s="197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7.6464887121828778E-2</v>
      </c>
      <c r="AD184" s="230">
        <f>(INDEX(Models!$BJ184:$BT184,,AH184)*(1-AF184)+INDEX(Models!$BJ184:$BT184,,AH184+1)*AF184-ERP_i)*AE184*Ramure*Pc/MaxiM</f>
        <v>6.691639942720131E-4</v>
      </c>
      <c r="AE184" s="304">
        <f t="shared" si="65"/>
        <v>0.7</v>
      </c>
      <c r="AF184" s="177">
        <f t="shared" si="66"/>
        <v>0.77102567301551206</v>
      </c>
      <c r="AG184" s="799">
        <f t="shared" si="74"/>
        <v>1</v>
      </c>
      <c r="AH184" s="176">
        <f t="shared" si="67"/>
        <v>7</v>
      </c>
      <c r="AI184" s="224">
        <f t="shared" si="68"/>
        <v>1.7710256730155121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46193</v>
      </c>
      <c r="B185" s="409">
        <f>'2025'!Wh/'2025'!Env_an*'2026'!Env_an</f>
        <v>29.093794734498704</v>
      </c>
      <c r="C185" s="829"/>
      <c r="D185" s="391">
        <f t="shared" si="50"/>
        <v>30.649466656884233</v>
      </c>
      <c r="E185" s="383">
        <f t="shared" si="75"/>
        <v>32.041867686612854</v>
      </c>
      <c r="F185" s="383">
        <f t="shared" si="51"/>
        <v>32.041969765837429</v>
      </c>
      <c r="G185" s="110">
        <f t="shared" si="76"/>
        <v>0.52199166247182216</v>
      </c>
      <c r="H185" s="412" t="b">
        <f>Wh_hp&gt;='2025'!Maxi_hp</f>
        <v>0</v>
      </c>
      <c r="I185" s="388">
        <f>IF(H185,Wh_hp,'2025'!Maxi_hp)</f>
        <v>55.931265464438617</v>
      </c>
      <c r="J185" s="85">
        <f>IF(H185,An,'2025'!An_max)</f>
        <v>2020</v>
      </c>
      <c r="K185" s="197">
        <f t="shared" si="52"/>
        <v>46193</v>
      </c>
      <c r="L185" s="147">
        <f>IF(t&lt;Tvie,1-EXP((T0-t)*PertePVj)+'2025'!Pspv,1-EXP((T0-t)*PertePVj)+Pspv)</f>
        <v>5.0756900268478455E-2</v>
      </c>
      <c r="M185" s="832"/>
      <c r="N185" s="832"/>
      <c r="O185" s="48">
        <f>IF(t&lt;Tnet,'2025'!Resal+('2025'!Salim-'2025'!Resal)*(1-EXP(('2025'!Tnet-t)/('2025'!Tau_j))),Resal+(Salim-Resal)*(1-EXP((Tnet-t)/(Tau_j))))*Salcycl</f>
        <v>4.3455676284137858E-2</v>
      </c>
      <c r="P185" s="169">
        <f>(INDEX(Models!$BJ185:$BT185,,T185)*(1-R185)+INDEX(Models!$BJ185:$BT185,,T185+1)*R185-ERP_i)*Q185*Ramure*Pc/MaxiM</f>
        <v>1.0045522420795849E-5</v>
      </c>
      <c r="Q185" s="304">
        <f t="shared" si="53"/>
        <v>0.7</v>
      </c>
      <c r="R185" s="177">
        <f t="shared" si="54"/>
        <v>1.933142463782711E-2</v>
      </c>
      <c r="S185" s="799">
        <f t="shared" si="55"/>
        <v>-1</v>
      </c>
      <c r="T185" s="176">
        <f t="shared" si="56"/>
        <v>5</v>
      </c>
      <c r="U185" s="250">
        <f t="shared" si="57"/>
        <v>-0.98066857536217289</v>
      </c>
      <c r="V185" s="382">
        <f t="shared" si="58"/>
        <v>55.735746852091275</v>
      </c>
      <c r="W185" s="400">
        <f t="shared" si="59"/>
        <v>29.093794734498704</v>
      </c>
      <c r="X185" s="157">
        <f t="shared" si="60"/>
        <v>46193</v>
      </c>
      <c r="Y185" s="383">
        <f t="shared" si="61"/>
        <v>28.08201589891241</v>
      </c>
      <c r="Z185" s="383">
        <f t="shared" si="62"/>
        <v>29.583587077804374</v>
      </c>
      <c r="AA185" s="384">
        <f t="shared" si="63"/>
        <v>32.035140297057616</v>
      </c>
      <c r="AB185" s="197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7.6527001178091067E-2</v>
      </c>
      <c r="AD185" s="230">
        <f>(INDEX(Models!$BJ185:$BT185,,AH185)*(1-AF185)+INDEX(Models!$BJ185:$BT185,,AH185+1)*AF185-ERP_i)*AE185*Ramure*Pc/MaxiM</f>
        <v>6.7208172903838093E-4</v>
      </c>
      <c r="AE185" s="304">
        <f t="shared" si="65"/>
        <v>0.7</v>
      </c>
      <c r="AF185" s="177">
        <f t="shared" si="66"/>
        <v>0.77498925547717801</v>
      </c>
      <c r="AG185" s="799">
        <f t="shared" si="74"/>
        <v>1</v>
      </c>
      <c r="AH185" s="176">
        <f t="shared" si="67"/>
        <v>7</v>
      </c>
      <c r="AI185" s="224">
        <f t="shared" si="68"/>
        <v>1.774989255477178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46194</v>
      </c>
      <c r="B186" s="409">
        <f>'2025'!Wh/'2025'!Env_an*'2026'!Env_an</f>
        <v>19.247485135477568</v>
      </c>
      <c r="C186" s="829"/>
      <c r="D186" s="391">
        <f t="shared" si="50"/>
        <v>20.277054446487522</v>
      </c>
      <c r="E186" s="383">
        <f t="shared" si="75"/>
        <v>21.200137993779951</v>
      </c>
      <c r="F186" s="383">
        <f t="shared" si="51"/>
        <v>21.200152535052517</v>
      </c>
      <c r="G186" s="110">
        <f t="shared" si="76"/>
        <v>0.34573175263216271</v>
      </c>
      <c r="H186" s="412" t="b">
        <f>Wh_hp&gt;='2025'!Maxi_hp</f>
        <v>0</v>
      </c>
      <c r="I186" s="388">
        <f>IF(H186,Wh_hp,'2025'!Maxi_hp)</f>
        <v>56.260411269728877</v>
      </c>
      <c r="J186" s="85">
        <f>IF(H186,An,'2025'!An_max)</f>
        <v>2020</v>
      </c>
      <c r="K186" s="197">
        <f t="shared" si="52"/>
        <v>46194</v>
      </c>
      <c r="L186" s="147">
        <f>IF(t&lt;Tvie,1-EXP((T0-t)*PertePVj)+'2025'!Pspv,1-EXP((T0-t)*PertePVj)+Pspv)</f>
        <v>5.0775092295927693E-2</v>
      </c>
      <c r="M186" s="832"/>
      <c r="N186" s="832"/>
      <c r="O186" s="48">
        <f>IF(t&lt;Tnet,'2025'!Resal+('2025'!Salim-'2025'!Resal)*(1-EXP(('2025'!Tnet-t)/('2025'!Tau_j))),Resal+(Salim-Resal)*(1-EXP((Tnet-t)/(Tau_j))))*Salcycl</f>
        <v>4.3541393342027189E-2</v>
      </c>
      <c r="P186" s="169">
        <f>(INDEX(Models!$BJ186:$BT186,,T186)*(1-R186)+INDEX(Models!$BJ186:$BT186,,T186+1)*R186-ERP_i)*Q186*Ramure*Pc/MaxiM</f>
        <v>1.0498116996609846E-5</v>
      </c>
      <c r="Q186" s="304">
        <f t="shared" si="53"/>
        <v>0.7</v>
      </c>
      <c r="R186" s="177">
        <f t="shared" si="54"/>
        <v>2.3262141877528397E-2</v>
      </c>
      <c r="S186" s="799">
        <f t="shared" si="55"/>
        <v>-1</v>
      </c>
      <c r="T186" s="176">
        <f t="shared" si="56"/>
        <v>5</v>
      </c>
      <c r="U186" s="250">
        <f t="shared" si="57"/>
        <v>-0.9767378581224716</v>
      </c>
      <c r="V186" s="382">
        <f t="shared" si="58"/>
        <v>55.671184750580366</v>
      </c>
      <c r="W186" s="400">
        <f t="shared" si="59"/>
        <v>19.247485135477568</v>
      </c>
      <c r="X186" s="157">
        <f t="shared" si="60"/>
        <v>46194</v>
      </c>
      <c r="Y186" s="383">
        <f t="shared" si="61"/>
        <v>18.581661505163567</v>
      </c>
      <c r="Z186" s="383">
        <f t="shared" si="62"/>
        <v>19.575615172285946</v>
      </c>
      <c r="AA186" s="384">
        <f t="shared" si="63"/>
        <v>21.19921747276106</v>
      </c>
      <c r="AB186" s="197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7.6587841157876951E-2</v>
      </c>
      <c r="AD186" s="230">
        <f>(INDEX(Models!$BJ186:$BT186,,AH186)*(1-AF186)+INDEX(Models!$BJ186:$BT186,,AH186+1)*AF186-ERP_i)*AE186*Ramure*Pc/MaxiM</f>
        <v>6.7507113223521341E-4</v>
      </c>
      <c r="AE186" s="304">
        <f t="shared" si="65"/>
        <v>0.7</v>
      </c>
      <c r="AF186" s="177">
        <f t="shared" si="66"/>
        <v>0.77891997271687918</v>
      </c>
      <c r="AG186" s="799">
        <f t="shared" si="74"/>
        <v>1</v>
      </c>
      <c r="AH186" s="176">
        <f t="shared" si="67"/>
        <v>7</v>
      </c>
      <c r="AI186" s="224">
        <f t="shared" si="68"/>
        <v>1.7789199727168792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46195</v>
      </c>
      <c r="B187" s="409">
        <f>'2025'!Wh/'2025'!Env_an*'2026'!Env_an</f>
        <v>40.631068693056818</v>
      </c>
      <c r="C187" s="829"/>
      <c r="D187" s="391">
        <f t="shared" si="50"/>
        <v>42.805289940632029</v>
      </c>
      <c r="E187" s="383">
        <f t="shared" si="75"/>
        <v>44.75791494888054</v>
      </c>
      <c r="F187" s="383">
        <f t="shared" si="51"/>
        <v>44.758216751861639</v>
      </c>
      <c r="G187" s="110">
        <f t="shared" si="76"/>
        <v>0.73072006446281235</v>
      </c>
      <c r="H187" s="412" t="b">
        <f>Wh_hp&gt;='2025'!Maxi_hp</f>
        <v>0</v>
      </c>
      <c r="I187" s="388">
        <f>IF(H187,Wh_hp,'2025'!Maxi_hp)</f>
        <v>60.180759205917369</v>
      </c>
      <c r="J187" s="85">
        <f>IF(H187,An,'2025'!An_max)</f>
        <v>2020</v>
      </c>
      <c r="K187" s="197">
        <f t="shared" si="52"/>
        <v>46195</v>
      </c>
      <c r="L187" s="147">
        <f>IF(t&lt;Tvie,1-EXP((T0-t)*PertePVj)+'2025'!Pspv,1-EXP((T0-t)*PertePVj)+Pspv)</f>
        <v>5.0793283974730818E-2</v>
      </c>
      <c r="M187" s="832"/>
      <c r="N187" s="832"/>
      <c r="O187" s="48">
        <f>IF(t&lt;Tnet,'2025'!Resal+('2025'!Salim-'2025'!Resal)*(1-EXP(('2025'!Tnet-t)/('2025'!Tau_j))),Resal+(Salim-Resal)*(1-EXP((Tnet-t)/(Tau_j))))*Salcycl</f>
        <v>4.3626362185965752E-2</v>
      </c>
      <c r="P187" s="169">
        <f>(INDEX(Models!$BJ187:$BT187,,T187)*(1-R187)+INDEX(Models!$BJ187:$BT187,,T187+1)*R187-ERP_i)*Q187*Ramure*Pc/MaxiM</f>
        <v>1.0958486601929351E-5</v>
      </c>
      <c r="Q187" s="304">
        <f t="shared" si="53"/>
        <v>0.7</v>
      </c>
      <c r="R187" s="177">
        <f t="shared" si="54"/>
        <v>2.715712502959855E-2</v>
      </c>
      <c r="S187" s="799">
        <f t="shared" si="55"/>
        <v>-1</v>
      </c>
      <c r="T187" s="176">
        <f t="shared" si="56"/>
        <v>5</v>
      </c>
      <c r="U187" s="250">
        <f t="shared" si="57"/>
        <v>-0.97284287497040145</v>
      </c>
      <c r="V187" s="382">
        <f t="shared" si="58"/>
        <v>55.603916447163456</v>
      </c>
      <c r="W187" s="400">
        <f t="shared" si="59"/>
        <v>40.631068693056818</v>
      </c>
      <c r="X187" s="157">
        <f t="shared" si="60"/>
        <v>46195</v>
      </c>
      <c r="Y187" s="383">
        <f t="shared" si="61"/>
        <v>39.212081847769397</v>
      </c>
      <c r="Z187" s="383">
        <f t="shared" si="62"/>
        <v>41.310371266616194</v>
      </c>
      <c r="AA187" s="384">
        <f t="shared" si="63"/>
        <v>44.739540563148637</v>
      </c>
      <c r="AB187" s="197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7.664739631584426E-2</v>
      </c>
      <c r="AD187" s="230">
        <f>(INDEX(Models!$BJ187:$BT187,,AH187)*(1-AF187)+INDEX(Models!$BJ187:$BT187,,AH187+1)*AF187-ERP_i)*AE187*Ramure*Pc/MaxiM</f>
        <v>6.7813367198038663E-4</v>
      </c>
      <c r="AE187" s="304">
        <f t="shared" si="65"/>
        <v>0.7</v>
      </c>
      <c r="AF187" s="177">
        <f t="shared" si="66"/>
        <v>0.78281495586894945</v>
      </c>
      <c r="AG187" s="799">
        <f t="shared" si="74"/>
        <v>1</v>
      </c>
      <c r="AH187" s="176">
        <f t="shared" si="67"/>
        <v>7</v>
      </c>
      <c r="AI187" s="224">
        <f t="shared" si="68"/>
        <v>1.7828149558689494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46196</v>
      </c>
      <c r="B188" s="409">
        <f>'2025'!Wh/'2025'!Env_an*'2026'!Env_an</f>
        <v>42.267126226967875</v>
      </c>
      <c r="C188" s="829"/>
      <c r="D188" s="391">
        <f t="shared" si="50"/>
        <v>44.529748440168675</v>
      </c>
      <c r="E188" s="383">
        <f t="shared" si="75"/>
        <v>46.56513743112842</v>
      </c>
      <c r="F188" s="383">
        <f t="shared" si="51"/>
        <v>46.565487935630699</v>
      </c>
      <c r="G188" s="110">
        <f t="shared" si="76"/>
        <v>0.7611013924523935</v>
      </c>
      <c r="H188" s="412" t="b">
        <f>Wh_hp&gt;='2025'!Maxi_hp</f>
        <v>0</v>
      </c>
      <c r="I188" s="388">
        <f>IF(H188,Wh_hp,'2025'!Maxi_hp)</f>
        <v>53.862501168142678</v>
      </c>
      <c r="J188" s="85">
        <f>IF(H188,An,'2025'!An_max)</f>
        <v>2018</v>
      </c>
      <c r="K188" s="197">
        <f t="shared" si="52"/>
        <v>46196</v>
      </c>
      <c r="L188" s="147">
        <f>IF(t&lt;Tvie,1-EXP((T0-t)*PertePVj)+'2025'!Pspv,1-EXP((T0-t)*PertePVj)+Pspv)</f>
        <v>5.0811475304894604E-2</v>
      </c>
      <c r="M188" s="832"/>
      <c r="N188" s="832"/>
      <c r="O188" s="48">
        <f>IF(t&lt;Tnet,'2025'!Resal+('2025'!Salim-'2025'!Resal)*(1-EXP(('2025'!Tnet-t)/('2025'!Tau_j))),Resal+(Salim-Resal)*(1-EXP((Tnet-t)/(Tau_j))))*Salcycl</f>
        <v>4.3710576264703704E-2</v>
      </c>
      <c r="P188" s="169">
        <f>(INDEX(Models!$BJ188:$BT188,,T188)*(1-R188)+INDEX(Models!$BJ188:$BT188,,T188+1)*R188-ERP_i)*Q188*Ramure*Pc/MaxiM</f>
        <v>1.1426895442790612E-5</v>
      </c>
      <c r="Q188" s="304">
        <f t="shared" si="53"/>
        <v>0.7</v>
      </c>
      <c r="R188" s="177">
        <f t="shared" si="54"/>
        <v>3.1013616894576046E-2</v>
      </c>
      <c r="S188" s="799">
        <f t="shared" si="55"/>
        <v>-1</v>
      </c>
      <c r="T188" s="176">
        <f t="shared" si="56"/>
        <v>5</v>
      </c>
      <c r="U188" s="250">
        <f t="shared" si="57"/>
        <v>-0.96898638310542395</v>
      </c>
      <c r="V188" s="382">
        <f t="shared" si="58"/>
        <v>55.533943063324287</v>
      </c>
      <c r="W188" s="400">
        <f t="shared" si="59"/>
        <v>42.267126226967875</v>
      </c>
      <c r="X188" s="157">
        <f t="shared" si="60"/>
        <v>46196</v>
      </c>
      <c r="Y188" s="383">
        <f t="shared" si="61"/>
        <v>40.790767018747303</v>
      </c>
      <c r="Z188" s="383">
        <f t="shared" si="62"/>
        <v>42.974357524865731</v>
      </c>
      <c r="AA188" s="384">
        <f t="shared" si="63"/>
        <v>46.544591086539853</v>
      </c>
      <c r="AB188" s="197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7.6705659633705361E-2</v>
      </c>
      <c r="AD188" s="230">
        <f>(INDEX(Models!$BJ188:$BT188,,AH188)*(1-AF188)+INDEX(Models!$BJ188:$BT188,,AH188+1)*AF188-ERP_i)*AE188*Ramure*Pc/MaxiM</f>
        <v>6.8126402968035941E-4</v>
      </c>
      <c r="AE188" s="304">
        <f t="shared" si="65"/>
        <v>0.7</v>
      </c>
      <c r="AF188" s="177">
        <f t="shared" si="66"/>
        <v>0.78667144773392694</v>
      </c>
      <c r="AG188" s="799">
        <f t="shared" si="74"/>
        <v>1</v>
      </c>
      <c r="AH188" s="176">
        <f t="shared" si="67"/>
        <v>7</v>
      </c>
      <c r="AI188" s="224">
        <f t="shared" si="68"/>
        <v>1.7866714477339269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46197</v>
      </c>
      <c r="B189" s="409">
        <f>'2025'!Wh/'2025'!Env_an*'2026'!Env_an</f>
        <v>39.553037724369673</v>
      </c>
      <c r="C189" s="829"/>
      <c r="D189" s="391">
        <f t="shared" si="50"/>
        <v>41.671169356527066</v>
      </c>
      <c r="E189" s="383">
        <f t="shared" si="75"/>
        <v>43.579700099139451</v>
      </c>
      <c r="F189" s="383">
        <f t="shared" si="51"/>
        <v>43.580006289035047</v>
      </c>
      <c r="G189" s="110">
        <f t="shared" si="76"/>
        <v>0.71316159813211133</v>
      </c>
      <c r="H189" s="412" t="b">
        <f>Wh_hp&gt;='2025'!Maxi_hp</f>
        <v>0</v>
      </c>
      <c r="I189" s="388">
        <f>IF(H189,Wh_hp,'2025'!Maxi_hp)</f>
        <v>60.623696514192886</v>
      </c>
      <c r="J189" s="85">
        <f>IF(H189,An,'2025'!An_max)</f>
        <v>2020</v>
      </c>
      <c r="K189" s="197">
        <f t="shared" si="52"/>
        <v>46197</v>
      </c>
      <c r="L189" s="147">
        <f>IF(t&lt;Tvie,1-EXP((T0-t)*PertePVj)+'2025'!Pspv,1-EXP((T0-t)*PertePVj)+Pspv)</f>
        <v>5.0829666286425601E-2</v>
      </c>
      <c r="M189" s="832"/>
      <c r="N189" s="832"/>
      <c r="O189" s="48">
        <f>IF(t&lt;Tnet,'2025'!Resal+('2025'!Salim-'2025'!Resal)*(1-EXP(('2025'!Tnet-t)/('2025'!Tau_j))),Resal+(Salim-Resal)*(1-EXP((Tnet-t)/(Tau_j))))*Salcycl</f>
        <v>4.3794031126204891E-2</v>
      </c>
      <c r="P189" s="169">
        <f>(INDEX(Models!$BJ189:$BT189,,T189)*(1-R189)+INDEX(Models!$BJ189:$BT189,,T189+1)*R189-ERP_i)*Q189*Ramure*Pc/MaxiM</f>
        <v>1.190359112625231E-5</v>
      </c>
      <c r="Q189" s="304">
        <f t="shared" si="53"/>
        <v>0.7</v>
      </c>
      <c r="R189" s="177">
        <f t="shared" si="54"/>
        <v>3.4828978799809951E-2</v>
      </c>
      <c r="S189" s="799">
        <f t="shared" si="55"/>
        <v>-1</v>
      </c>
      <c r="T189" s="176">
        <f t="shared" si="56"/>
        <v>5</v>
      </c>
      <c r="U189" s="250">
        <f t="shared" si="57"/>
        <v>-0.96517102120019005</v>
      </c>
      <c r="V189" s="382">
        <f t="shared" si="58"/>
        <v>55.461265581508549</v>
      </c>
      <c r="W189" s="400">
        <f t="shared" si="59"/>
        <v>39.553037724369673</v>
      </c>
      <c r="X189" s="157">
        <f t="shared" si="60"/>
        <v>46197</v>
      </c>
      <c r="Y189" s="383">
        <f t="shared" si="61"/>
        <v>38.174146360416586</v>
      </c>
      <c r="Z189" s="383">
        <f t="shared" si="62"/>
        <v>40.218436043046594</v>
      </c>
      <c r="AA189" s="384">
        <f t="shared" si="63"/>
        <v>43.56240036806085</v>
      </c>
      <c r="AB189" s="197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7.6762627788205917E-2</v>
      </c>
      <c r="AD189" s="230">
        <f>(INDEX(Models!$BJ189:$BT189,,AH189)*(1-AF189)+INDEX(Models!$BJ189:$BT189,,AH189+1)*AF189-ERP_i)*AE189*Ramure*Pc/MaxiM</f>
        <v>6.844565666243251E-4</v>
      </c>
      <c r="AE189" s="304">
        <f t="shared" si="65"/>
        <v>0.7</v>
      </c>
      <c r="AF189" s="177">
        <f t="shared" si="66"/>
        <v>0.79048680963916085</v>
      </c>
      <c r="AG189" s="799">
        <f t="shared" si="74"/>
        <v>1</v>
      </c>
      <c r="AH189" s="176">
        <f t="shared" si="67"/>
        <v>7</v>
      </c>
      <c r="AI189" s="224">
        <f t="shared" si="68"/>
        <v>1.7904868096391608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46198</v>
      </c>
      <c r="B190" s="409">
        <f>'2025'!Wh/'2025'!Env_an*'2026'!Env_an</f>
        <v>39.563369193544517</v>
      </c>
      <c r="C190" s="829"/>
      <c r="D190" s="391">
        <f t="shared" si="50"/>
        <v>41.682852935603592</v>
      </c>
      <c r="E190" s="383">
        <f t="shared" si="75"/>
        <v>43.595688965365817</v>
      </c>
      <c r="F190" s="383">
        <f t="shared" si="51"/>
        <v>43.59600864930276</v>
      </c>
      <c r="G190" s="110">
        <f t="shared" si="76"/>
        <v>0.71431862591392503</v>
      </c>
      <c r="H190" s="412" t="b">
        <f>Wh_hp&gt;='2025'!Maxi_hp</f>
        <v>0</v>
      </c>
      <c r="I190" s="388">
        <f>IF(H190,Wh_hp,'2025'!Maxi_hp)</f>
        <v>61.35509471330375</v>
      </c>
      <c r="J190" s="85">
        <f>IF(H190,An,'2025'!An_max)</f>
        <v>2020</v>
      </c>
      <c r="K190" s="197">
        <f t="shared" si="52"/>
        <v>46198</v>
      </c>
      <c r="L190" s="147">
        <f>IF(t&lt;Tvie,1-EXP((T0-t)*PertePVj)+'2025'!Pspv,1-EXP((T0-t)*PertePVj)+Pspv)</f>
        <v>5.0847856919330692E-2</v>
      </c>
      <c r="M190" s="832"/>
      <c r="N190" s="832"/>
      <c r="O190" s="48">
        <f>IF(t&lt;Tnet,'2025'!Resal+('2025'!Salim-'2025'!Resal)*(1-EXP(('2025'!Tnet-t)/('2025'!Tau_j))),Resal+(Salim-Resal)*(1-EXP((Tnet-t)/(Tau_j))))*Salcycl</f>
        <v>4.3876724400017129E-2</v>
      </c>
      <c r="P190" s="169">
        <f>(INDEX(Models!$BJ190:$BT190,,T190)*(1-R190)+INDEX(Models!$BJ190:$BT190,,T190+1)*R190-ERP_i)*Q190*Ramure*Pc/MaxiM</f>
        <v>1.2388932348618456E-5</v>
      </c>
      <c r="Q190" s="304">
        <f t="shared" si="53"/>
        <v>0.7</v>
      </c>
      <c r="R190" s="177">
        <f t="shared" si="54"/>
        <v>3.8600696712590699E-2</v>
      </c>
      <c r="S190" s="799">
        <f t="shared" si="55"/>
        <v>-1</v>
      </c>
      <c r="T190" s="176">
        <f t="shared" si="56"/>
        <v>5</v>
      </c>
      <c r="U190" s="250">
        <f t="shared" si="57"/>
        <v>-0.9613993032874093</v>
      </c>
      <c r="V190" s="382">
        <f t="shared" si="58"/>
        <v>55.3858848446854</v>
      </c>
      <c r="W190" s="400">
        <f t="shared" si="59"/>
        <v>39.563369193544517</v>
      </c>
      <c r="X190" s="157">
        <f t="shared" si="60"/>
        <v>46198</v>
      </c>
      <c r="Y190" s="383">
        <f t="shared" si="61"/>
        <v>38.185012218117947</v>
      </c>
      <c r="Z190" s="383">
        <f t="shared" si="62"/>
        <v>40.230654797007155</v>
      </c>
      <c r="AA190" s="384">
        <f t="shared" si="63"/>
        <v>43.578262919301665</v>
      </c>
      <c r="AB190" s="197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7.6818301098729322E-2</v>
      </c>
      <c r="AD190" s="230">
        <f>(INDEX(Models!$BJ190:$BT190,,AH190)*(1-AF190)+INDEX(Models!$BJ190:$BT190,,AH190+1)*AF190-ERP_i)*AE190*Ramure*Pc/MaxiM</f>
        <v>6.8771252807470977E-4</v>
      </c>
      <c r="AE190" s="304">
        <f t="shared" si="65"/>
        <v>0.7</v>
      </c>
      <c r="AF190" s="177">
        <f t="shared" si="66"/>
        <v>0.7942585275519416</v>
      </c>
      <c r="AG190" s="799">
        <f t="shared" si="74"/>
        <v>1</v>
      </c>
      <c r="AH190" s="176">
        <f t="shared" si="67"/>
        <v>7</v>
      </c>
      <c r="AI190" s="224">
        <f t="shared" si="68"/>
        <v>1.7942585275519416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46199</v>
      </c>
      <c r="B191" s="409">
        <f>'2025'!Wh/'2025'!Env_an*'2026'!Env_an</f>
        <v>10.39499799188804</v>
      </c>
      <c r="C191" s="829"/>
      <c r="D191" s="391">
        <f t="shared" si="50"/>
        <v>10.952087385834005</v>
      </c>
      <c r="E191" s="383">
        <f t="shared" si="75"/>
        <v>11.455662929129184</v>
      </c>
      <c r="F191" s="383">
        <f t="shared" si="51"/>
        <v>11.455662929129184</v>
      </c>
      <c r="G191" s="110">
        <f t="shared" si="76"/>
        <v>0.18794788881039856</v>
      </c>
      <c r="H191" s="412" t="b">
        <f>Wh_hp&gt;='2025'!Maxi_hp</f>
        <v>0</v>
      </c>
      <c r="I191" s="388">
        <f>IF(H191,Wh_hp,'2025'!Maxi_hp)</f>
        <v>61.449694288761741</v>
      </c>
      <c r="J191" s="85">
        <f>IF(H191,An,'2025'!An_max)</f>
        <v>2018</v>
      </c>
      <c r="K191" s="197">
        <f t="shared" si="52"/>
        <v>46199</v>
      </c>
      <c r="L191" s="147">
        <f>IF(t&lt;Tvie,1-EXP((T0-t)*PertePVj)+'2025'!Pspv,1-EXP((T0-t)*PertePVj)+Pspv)</f>
        <v>5.0866047203616427E-2</v>
      </c>
      <c r="M191" s="832"/>
      <c r="N191" s="832"/>
      <c r="O191" s="48">
        <f>IF(t&lt;Tnet,'2025'!Resal+('2025'!Salim-'2025'!Resal)*(1-EXP(('2025'!Tnet-t)/('2025'!Tau_j))),Resal+(Salim-Resal)*(1-EXP((Tnet-t)/(Tau_j))))*Salcycl</f>
        <v>4.395865576794334E-2</v>
      </c>
      <c r="P191" s="169">
        <f>(INDEX(Models!$BJ191:$BT191,,T191)*(1-R191)+INDEX(Models!$BJ191:$BT191,,T191+1)*R191-ERP_i)*Q191*Ramure*Pc/MaxiM</f>
        <v>1.2883433417270828E-5</v>
      </c>
      <c r="Q191" s="304">
        <f t="shared" si="53"/>
        <v>0.7</v>
      </c>
      <c r="R191" s="177">
        <f t="shared" si="54"/>
        <v>4.2326386585256448E-2</v>
      </c>
      <c r="S191" s="799">
        <f t="shared" si="55"/>
        <v>-1</v>
      </c>
      <c r="T191" s="176">
        <f t="shared" si="56"/>
        <v>5</v>
      </c>
      <c r="U191" s="250">
        <f t="shared" si="57"/>
        <v>-0.95767361341474355</v>
      </c>
      <c r="V191" s="382">
        <f t="shared" si="58"/>
        <v>55.307160588059894</v>
      </c>
      <c r="W191" s="400">
        <f t="shared" si="59"/>
        <v>10.39499799188804</v>
      </c>
      <c r="X191" s="157">
        <f t="shared" si="60"/>
        <v>46199</v>
      </c>
      <c r="Y191" s="383">
        <f t="shared" si="61"/>
        <v>10.037125130243135</v>
      </c>
      <c r="Z191" s="383">
        <f t="shared" si="62"/>
        <v>10.575035379011867</v>
      </c>
      <c r="AA191" s="384">
        <f t="shared" si="63"/>
        <v>11.455662929129184</v>
      </c>
      <c r="AB191" s="197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7.6872683454929383E-2</v>
      </c>
      <c r="AD191" s="230">
        <f>(INDEX(Models!$BJ191:$BT191,,AH191)*(1-AF191)+INDEX(Models!$BJ191:$BT191,,AH191+1)*AF191-ERP_i)*AE191*Ramure*Pc/MaxiM</f>
        <v>6.9104133122304572E-4</v>
      </c>
      <c r="AE191" s="304">
        <f t="shared" si="65"/>
        <v>0.7</v>
      </c>
      <c r="AF191" s="177">
        <f t="shared" si="66"/>
        <v>0.79798421742460746</v>
      </c>
      <c r="AG191" s="799">
        <f t="shared" si="74"/>
        <v>1</v>
      </c>
      <c r="AH191" s="176">
        <f t="shared" si="67"/>
        <v>7</v>
      </c>
      <c r="AI191" s="224">
        <f t="shared" si="68"/>
        <v>1.7979842174246075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46200</v>
      </c>
      <c r="B192" s="409">
        <f>'2025'!Wh/'2025'!Env_an*'2026'!Env_an</f>
        <v>15.530124426243162</v>
      </c>
      <c r="C192" s="829"/>
      <c r="D192" s="391">
        <f t="shared" si="50"/>
        <v>16.362729430848489</v>
      </c>
      <c r="E192" s="383">
        <f t="shared" si="75"/>
        <v>17.116538838835783</v>
      </c>
      <c r="F192" s="383">
        <f t="shared" si="51"/>
        <v>17.116538838835783</v>
      </c>
      <c r="G192" s="110">
        <f t="shared" si="76"/>
        <v>0.28121348975758859</v>
      </c>
      <c r="H192" s="412" t="b">
        <f>Wh_hp&gt;='2025'!Maxi_hp</f>
        <v>0</v>
      </c>
      <c r="I192" s="388">
        <f>IF(H192,Wh_hp,'2025'!Maxi_hp)</f>
        <v>60.093655665818403</v>
      </c>
      <c r="J192" s="85">
        <f>IF(H192,An,'2025'!An_max)</f>
        <v>2018</v>
      </c>
      <c r="K192" s="197">
        <f t="shared" si="52"/>
        <v>46200</v>
      </c>
      <c r="L192" s="147">
        <f>IF(t&lt;Tvie,1-EXP((T0-t)*PertePVj)+'2025'!Pspv,1-EXP((T0-t)*PertePVj)+Pspv)</f>
        <v>5.0884237139289579E-2</v>
      </c>
      <c r="M192" s="832"/>
      <c r="N192" s="832"/>
      <c r="O192" s="48">
        <f>IF(t&lt;Tnet,'2025'!Resal+('2025'!Salim-'2025'!Resal)*(1-EXP(('2025'!Tnet-t)/('2025'!Tau_j))),Resal+(Salim-Resal)*(1-EXP((Tnet-t)/(Tau_j))))*Salcycl</f>
        <v>4.4039826923243E-2</v>
      </c>
      <c r="P192" s="169">
        <f>(INDEX(Models!$BJ192:$BT192,,T192)*(1-R192)+INDEX(Models!$BJ192:$BT192,,T192+1)*R192-ERP_i)*Q192*Ramure*Pc/MaxiM</f>
        <v>1.3379467709959705E-5</v>
      </c>
      <c r="Q192" s="304">
        <f t="shared" si="53"/>
        <v>0.7</v>
      </c>
      <c r="R192" s="177">
        <f t="shared" si="54"/>
        <v>4.6003798919430183E-2</v>
      </c>
      <c r="S192" s="799">
        <f t="shared" si="55"/>
        <v>-1</v>
      </c>
      <c r="T192" s="176">
        <f t="shared" si="56"/>
        <v>5</v>
      </c>
      <c r="U192" s="250">
        <f t="shared" si="57"/>
        <v>-0.95399620108056982</v>
      </c>
      <c r="V192" s="382">
        <f t="shared" si="58"/>
        <v>55.224650335344705</v>
      </c>
      <c r="W192" s="400">
        <f t="shared" si="59"/>
        <v>15.530124426243162</v>
      </c>
      <c r="X192" s="157">
        <f t="shared" si="60"/>
        <v>46200</v>
      </c>
      <c r="Y192" s="383">
        <f t="shared" si="61"/>
        <v>14.995873113170543</v>
      </c>
      <c r="Z192" s="383">
        <f t="shared" si="62"/>
        <v>15.799835699674599</v>
      </c>
      <c r="AA192" s="384">
        <f t="shared" si="63"/>
        <v>17.116538838835783</v>
      </c>
      <c r="AB192" s="197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7.6925782224950279E-2</v>
      </c>
      <c r="AD192" s="230">
        <f>(INDEX(Models!$BJ192:$BT192,,AH192)*(1-AF192)+INDEX(Models!$BJ192:$BT192,,AH192+1)*AF192-ERP_i)*AE192*Ramure*Pc/MaxiM</f>
        <v>6.9437477943472628E-4</v>
      </c>
      <c r="AE192" s="304">
        <f t="shared" si="65"/>
        <v>0.7</v>
      </c>
      <c r="AF192" s="177">
        <f t="shared" si="66"/>
        <v>0.80166162975878108</v>
      </c>
      <c r="AG192" s="799">
        <f t="shared" si="74"/>
        <v>1</v>
      </c>
      <c r="AH192" s="176">
        <f t="shared" si="67"/>
        <v>7</v>
      </c>
      <c r="AI192" s="224">
        <f t="shared" si="68"/>
        <v>1.8016616297587811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46201</v>
      </c>
      <c r="B193" s="409">
        <f>'2025'!Wh/'2025'!Env_an*'2026'!Env_an</f>
        <v>54.786947364981678</v>
      </c>
      <c r="C193" s="829"/>
      <c r="D193" s="391">
        <f t="shared" si="50"/>
        <v>57.725305498368961</v>
      </c>
      <c r="E193" s="383">
        <f t="shared" si="75"/>
        <v>60.389714277538282</v>
      </c>
      <c r="F193" s="383">
        <f t="shared" si="51"/>
        <v>60.390544316619234</v>
      </c>
      <c r="G193" s="110">
        <f t="shared" si="76"/>
        <v>0.9936213426554964</v>
      </c>
      <c r="H193" s="412" t="b">
        <f>Wh_hp&gt;='2025'!Maxi_hp</f>
        <v>1</v>
      </c>
      <c r="I193" s="388">
        <f>IF(H193,Wh_hp,'2025'!Maxi_hp)</f>
        <v>60.390544316619234</v>
      </c>
      <c r="J193" s="85">
        <f>IF(H193,An,'2025'!An_max)</f>
        <v>2026</v>
      </c>
      <c r="K193" s="197">
        <f t="shared" si="52"/>
        <v>46201</v>
      </c>
      <c r="L193" s="147">
        <f>IF(t&lt;Tvie,1-EXP((T0-t)*PertePVj)+'2025'!Pspv,1-EXP((T0-t)*PertePVj)+Pspv)</f>
        <v>5.0902426726356698E-2</v>
      </c>
      <c r="M193" s="832"/>
      <c r="N193" s="832"/>
      <c r="O193" s="48">
        <f>IF(t&lt;Tnet,'2025'!Resal+('2025'!Salim-'2025'!Resal)*(1-EXP(('2025'!Tnet-t)/('2025'!Tau_j))),Resal+(Salim-Resal)*(1-EXP((Tnet-t)/(Tau_j))))*Salcycl</f>
        <v>4.4120241518684163E-2</v>
      </c>
      <c r="P193" s="169">
        <f>(INDEX(Models!$BJ193:$BT193,,T193)*(1-R193)+INDEX(Models!$BJ193:$BT193,,T193+1)*R193-ERP_i)*Q193*Ramure*Pc/MaxiM</f>
        <v>1.3870914997394385E-5</v>
      </c>
      <c r="Q193" s="304">
        <f t="shared" si="53"/>
        <v>0.7</v>
      </c>
      <c r="R193" s="177">
        <f t="shared" si="54"/>
        <v>4.9630822544093789E-2</v>
      </c>
      <c r="S193" s="799">
        <f t="shared" si="55"/>
        <v>-1</v>
      </c>
      <c r="T193" s="176">
        <f t="shared" si="56"/>
        <v>5</v>
      </c>
      <c r="U193" s="250">
        <f t="shared" si="57"/>
        <v>-0.95036917745590621</v>
      </c>
      <c r="V193" s="382">
        <f t="shared" si="58"/>
        <v>55.138651001299259</v>
      </c>
      <c r="W193" s="400">
        <f t="shared" si="59"/>
        <v>54.786947364981678</v>
      </c>
      <c r="X193" s="157">
        <f t="shared" si="60"/>
        <v>46201</v>
      </c>
      <c r="Y193" s="383">
        <f t="shared" si="61"/>
        <v>52.867857113467132</v>
      </c>
      <c r="Z193" s="383">
        <f t="shared" si="62"/>
        <v>55.7032897377605</v>
      </c>
      <c r="AA193" s="384">
        <f t="shared" si="63"/>
        <v>60.348795683938008</v>
      </c>
      <c r="AB193" s="197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7.697760814494474E-2</v>
      </c>
      <c r="AD193" s="230">
        <f>(INDEX(Models!$BJ193:$BT193,,AH193)*(1-AF193)+INDEX(Models!$BJ193:$BT193,,AH193+1)*AF193-ERP_i)*AE193*Ramure*Pc/MaxiM</f>
        <v>6.9766803571576284E-4</v>
      </c>
      <c r="AE193" s="304">
        <f t="shared" si="65"/>
        <v>0.7</v>
      </c>
      <c r="AF193" s="177">
        <f t="shared" si="66"/>
        <v>0.80528865338344469</v>
      </c>
      <c r="AG193" s="799">
        <f t="shared" si="74"/>
        <v>1</v>
      </c>
      <c r="AH193" s="176">
        <f t="shared" si="67"/>
        <v>7</v>
      </c>
      <c r="AI193" s="224">
        <f t="shared" si="68"/>
        <v>1.8052886533834447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46202</v>
      </c>
      <c r="B194" s="409">
        <f>'2025'!Wh/'2025'!Env_an*'2026'!Env_an</f>
        <v>55.818431275863368</v>
      </c>
      <c r="C194" s="829"/>
      <c r="D194" s="391">
        <f t="shared" si="50"/>
        <v>58.813237559266788</v>
      </c>
      <c r="E194" s="383">
        <f t="shared" si="75"/>
        <v>61.532989872382593</v>
      </c>
      <c r="F194" s="383">
        <f t="shared" si="51"/>
        <v>61.533873329482432</v>
      </c>
      <c r="G194" s="110">
        <f t="shared" si="76"/>
        <v>1.013968753642656</v>
      </c>
      <c r="H194" s="412" t="b">
        <f>Wh_hp&gt;='2025'!Maxi_hp</f>
        <v>1</v>
      </c>
      <c r="I194" s="388">
        <f>IF(H194,Wh_hp,'2025'!Maxi_hp)</f>
        <v>61.533873329482432</v>
      </c>
      <c r="J194" s="85">
        <f>IF(H194,An,'2025'!An_max)</f>
        <v>2026</v>
      </c>
      <c r="K194" s="197">
        <f t="shared" si="52"/>
        <v>46202</v>
      </c>
      <c r="L194" s="147">
        <f>IF(t&lt;Tvie,1-EXP((T0-t)*PertePVj)+'2025'!Pspv,1-EXP((T0-t)*PertePVj)+Pspv)</f>
        <v>5.0920615964824556E-2</v>
      </c>
      <c r="M194" s="832"/>
      <c r="N194" s="832"/>
      <c r="O194" s="48">
        <f>IF(t&lt;Tnet,'2025'!Resal+('2025'!Salim-'2025'!Resal)*(1-EXP(('2025'!Tnet-t)/('2025'!Tau_j))),Resal+(Salim-Resal)*(1-EXP((Tnet-t)/(Tau_j))))*Salcycl</f>
        <v>4.419990510385538E-2</v>
      </c>
      <c r="P194" s="169">
        <f>(INDEX(Models!$BJ194:$BT194,,T194)*(1-R194)+INDEX(Models!$BJ194:$BT194,,T194+1)*R194-ERP_i)*Q194*Ramure*Pc/MaxiM</f>
        <v>1.4357248325729691E-5</v>
      </c>
      <c r="Q194" s="304">
        <f t="shared" si="53"/>
        <v>0.7</v>
      </c>
      <c r="R194" s="177">
        <f t="shared" si="54"/>
        <v>5.3205487609511604E-2</v>
      </c>
      <c r="S194" s="799">
        <f t="shared" si="55"/>
        <v>-1</v>
      </c>
      <c r="T194" s="176">
        <f t="shared" si="56"/>
        <v>5</v>
      </c>
      <c r="U194" s="250">
        <f t="shared" si="57"/>
        <v>-0.9467945123904884</v>
      </c>
      <c r="V194" s="382">
        <f t="shared" si="58"/>
        <v>55.049458945689523</v>
      </c>
      <c r="W194" s="400">
        <f t="shared" si="59"/>
        <v>55.818431275863368</v>
      </c>
      <c r="X194" s="157">
        <f t="shared" si="60"/>
        <v>46202</v>
      </c>
      <c r="Y194" s="383">
        <f t="shared" si="61"/>
        <v>53.864263366100154</v>
      </c>
      <c r="Z194" s="383">
        <f t="shared" si="62"/>
        <v>56.754223379172885</v>
      </c>
      <c r="AA194" s="384">
        <f t="shared" si="63"/>
        <v>61.490743112231172</v>
      </c>
      <c r="AB194" s="197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7.7028175190749046E-2</v>
      </c>
      <c r="AD194" s="230">
        <f>(INDEX(Models!$BJ194:$BT194,,AH194)*(1-AF194)+INDEX(Models!$BJ194:$BT194,,AH194+1)*AF194-ERP_i)*AE194*Ramure*Pc/MaxiM</f>
        <v>7.009182896763488E-4</v>
      </c>
      <c r="AE194" s="304">
        <f t="shared" si="65"/>
        <v>0.7</v>
      </c>
      <c r="AF194" s="177">
        <f t="shared" si="66"/>
        <v>0.8088633184488625</v>
      </c>
      <c r="AG194" s="799">
        <f t="shared" si="74"/>
        <v>1</v>
      </c>
      <c r="AH194" s="176">
        <f t="shared" si="67"/>
        <v>7</v>
      </c>
      <c r="AI194" s="224">
        <f t="shared" si="68"/>
        <v>1.8088633184488625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46203</v>
      </c>
      <c r="B195" s="409">
        <f>'2025'!Wh/'2025'!Env_an*'2026'!Env_an</f>
        <v>12.315615064125199</v>
      </c>
      <c r="C195" s="829"/>
      <c r="D195" s="391">
        <f t="shared" si="50"/>
        <v>12.976629038383232</v>
      </c>
      <c r="E195" s="383">
        <f t="shared" si="75"/>
        <v>13.577839832932883</v>
      </c>
      <c r="F195" s="383">
        <f t="shared" si="51"/>
        <v>13.577839832932883</v>
      </c>
      <c r="G195" s="110">
        <f t="shared" si="76"/>
        <v>0.22409064083601804</v>
      </c>
      <c r="H195" s="412" t="b">
        <f>Wh_hp&gt;='2025'!Maxi_hp</f>
        <v>0</v>
      </c>
      <c r="I195" s="388">
        <f>IF(H195,Wh_hp,'2025'!Maxi_hp)</f>
        <v>46.176742952915681</v>
      </c>
      <c r="J195" s="85">
        <f>IF(H195,An,'2025'!An_max)</f>
        <v>2018</v>
      </c>
      <c r="K195" s="197">
        <f t="shared" si="52"/>
        <v>46203</v>
      </c>
      <c r="L195" s="147">
        <f>IF(t&lt;Tvie,1-EXP((T0-t)*PertePVj)+'2025'!Pspv,1-EXP((T0-t)*PertePVj)+Pspv)</f>
        <v>5.0938804854699704E-2</v>
      </c>
      <c r="M195" s="832"/>
      <c r="N195" s="832"/>
      <c r="O195" s="48">
        <f>IF(t&lt;Tnet,'2025'!Resal+('2025'!Salim-'2025'!Resal)*(1-EXP(('2025'!Tnet-t)/('2025'!Tau_j))),Resal+(Salim-Resal)*(1-EXP((Tnet-t)/(Tau_j))))*Salcycl</f>
        <v>4.4278825052231116E-2</v>
      </c>
      <c r="P195" s="169">
        <f>(INDEX(Models!$BJ195:$BT195,,T195)*(1-R195)+INDEX(Models!$BJ195:$BT195,,T195+1)*R195-ERP_i)*Q195*Ramure*Pc/MaxiM</f>
        <v>1.4837952666615412E-5</v>
      </c>
      <c r="Q195" s="304">
        <f t="shared" si="53"/>
        <v>0.7</v>
      </c>
      <c r="R195" s="177">
        <f t="shared" si="54"/>
        <v>5.6725967805956179E-2</v>
      </c>
      <c r="S195" s="799">
        <f t="shared" si="55"/>
        <v>-1</v>
      </c>
      <c r="T195" s="176">
        <f t="shared" si="56"/>
        <v>5</v>
      </c>
      <c r="U195" s="250">
        <f t="shared" si="57"/>
        <v>-0.94327403219404382</v>
      </c>
      <c r="V195" s="382">
        <f t="shared" si="58"/>
        <v>54.957370284035356</v>
      </c>
      <c r="W195" s="400">
        <f t="shared" si="59"/>
        <v>12.315615064125199</v>
      </c>
      <c r="X195" s="157">
        <f t="shared" si="60"/>
        <v>46203</v>
      </c>
      <c r="Y195" s="383">
        <f t="shared" si="61"/>
        <v>11.892964743940272</v>
      </c>
      <c r="Z195" s="383">
        <f t="shared" si="62"/>
        <v>12.531293877334718</v>
      </c>
      <c r="AA195" s="384">
        <f t="shared" si="63"/>
        <v>13.577839832932883</v>
      </c>
      <c r="AB195" s="197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7.7077500432710888E-2</v>
      </c>
      <c r="AD195" s="230">
        <f>(INDEX(Models!$BJ195:$BT195,,AH195)*(1-AF195)+INDEX(Models!$BJ195:$BT195,,AH195+1)*AF195-ERP_i)*AE195*Ramure*Pc/MaxiM</f>
        <v>7.0412280921821008E-4</v>
      </c>
      <c r="AE195" s="304">
        <f t="shared" si="65"/>
        <v>0.7</v>
      </c>
      <c r="AF195" s="177">
        <f t="shared" si="66"/>
        <v>0.81238379864530708</v>
      </c>
      <c r="AG195" s="799">
        <f t="shared" si="74"/>
        <v>1</v>
      </c>
      <c r="AH195" s="176">
        <f t="shared" si="67"/>
        <v>7</v>
      </c>
      <c r="AI195" s="224">
        <f t="shared" si="68"/>
        <v>1.8123837986453071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46204</v>
      </c>
      <c r="B196" s="409">
        <f>'2025'!Wh/'2025'!Env_an*'2026'!Env_an</f>
        <v>39.256569204966105</v>
      </c>
      <c r="C196" s="829"/>
      <c r="D196" s="391">
        <f t="shared" si="50"/>
        <v>41.364373302153147</v>
      </c>
      <c r="E196" s="383">
        <f t="shared" si="75"/>
        <v>43.284337096291097</v>
      </c>
      <c r="F196" s="383">
        <f t="shared" si="51"/>
        <v>43.284730554639566</v>
      </c>
      <c r="G196" s="110">
        <f t="shared" si="76"/>
        <v>0.71553785351294952</v>
      </c>
      <c r="H196" s="412" t="b">
        <f>Wh_hp&gt;='2025'!Maxi_hp</f>
        <v>0</v>
      </c>
      <c r="I196" s="388">
        <f>IF(H196,Wh_hp,'2025'!Maxi_hp)</f>
        <v>60.353143786946767</v>
      </c>
      <c r="J196" s="85">
        <f>IF(H196,An,'2025'!An_max)</f>
        <v>2020</v>
      </c>
      <c r="K196" s="197">
        <f t="shared" si="52"/>
        <v>46204</v>
      </c>
      <c r="L196" s="147">
        <f>IF(t&lt;Tvie,1-EXP((T0-t)*PertePVj)+'2025'!Pspv,1-EXP((T0-t)*PertePVj)+Pspv)</f>
        <v>5.0956993395989025E-2</v>
      </c>
      <c r="M196" s="832"/>
      <c r="N196" s="832"/>
      <c r="O196" s="48">
        <f>IF(t&lt;Tnet,'2025'!Resal+('2025'!Salim-'2025'!Resal)*(1-EXP(('2025'!Tnet-t)/('2025'!Tau_j))),Resal+(Salim-Resal)*(1-EXP((Tnet-t)/(Tau_j))))*Salcycl</f>
        <v>4.4357010478565509E-2</v>
      </c>
      <c r="P196" s="169">
        <f>(INDEX(Models!$BJ196:$BT196,,T196)*(1-R196)+INDEX(Models!$BJ196:$BT196,,T196+1)*R196-ERP_i)*Q196*Ramure*Pc/MaxiM</f>
        <v>1.5312526057241735E-5</v>
      </c>
      <c r="Q196" s="304">
        <f t="shared" si="53"/>
        <v>0.7</v>
      </c>
      <c r="R196" s="177">
        <f t="shared" si="54"/>
        <v>6.0190581822710421E-2</v>
      </c>
      <c r="S196" s="799">
        <f t="shared" si="55"/>
        <v>-1</v>
      </c>
      <c r="T196" s="176">
        <f t="shared" si="56"/>
        <v>5</v>
      </c>
      <c r="U196" s="250">
        <f t="shared" si="57"/>
        <v>-0.93980941817728958</v>
      </c>
      <c r="V196" s="382">
        <f t="shared" si="58"/>
        <v>54.862680898187264</v>
      </c>
      <c r="W196" s="400">
        <f t="shared" si="59"/>
        <v>39.256569204966105</v>
      </c>
      <c r="X196" s="157">
        <f t="shared" si="60"/>
        <v>46204</v>
      </c>
      <c r="Y196" s="383">
        <f t="shared" si="61"/>
        <v>37.89490531792908</v>
      </c>
      <c r="Z196" s="383">
        <f t="shared" si="62"/>
        <v>39.92959755694271</v>
      </c>
      <c r="AA196" s="384">
        <f t="shared" si="63"/>
        <v>43.266556884221593</v>
      </c>
      <c r="AB196" s="197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7.7125603874797916E-2</v>
      </c>
      <c r="AD196" s="230">
        <f>(INDEX(Models!$BJ196:$BT196,,AH196)*(1-AF196)+INDEX(Models!$BJ196:$BT196,,AH196+1)*AF196-ERP_i)*AE196*Ramure*Pc/MaxiM</f>
        <v>7.0727893540935402E-4</v>
      </c>
      <c r="AE196" s="304">
        <f t="shared" si="65"/>
        <v>0.7</v>
      </c>
      <c r="AF196" s="177">
        <f t="shared" si="66"/>
        <v>0.81584841266206132</v>
      </c>
      <c r="AG196" s="799">
        <f t="shared" si="74"/>
        <v>1</v>
      </c>
      <c r="AH196" s="176">
        <f t="shared" si="67"/>
        <v>7</v>
      </c>
      <c r="AI196" s="224">
        <f t="shared" si="68"/>
        <v>1.8158484126620613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46205</v>
      </c>
      <c r="B197" s="409">
        <f>'2025'!Wh/'2025'!Env_an*'2026'!Env_an</f>
        <v>55.074607413878113</v>
      </c>
      <c r="C197" s="829"/>
      <c r="D197" s="391">
        <f t="shared" si="50"/>
        <v>58.032842076854045</v>
      </c>
      <c r="E197" s="383">
        <f t="shared" si="75"/>
        <v>60.731410233331118</v>
      </c>
      <c r="F197" s="383">
        <f t="shared" si="51"/>
        <v>60.732368619296267</v>
      </c>
      <c r="G197" s="110">
        <f t="shared" si="76"/>
        <v>1.0056407759433343</v>
      </c>
      <c r="H197" s="412" t="b">
        <f>Wh_hp&gt;='2025'!Maxi_hp</f>
        <v>1</v>
      </c>
      <c r="I197" s="388">
        <f>IF(H197,Wh_hp,'2025'!Maxi_hp)</f>
        <v>60.732368619296267</v>
      </c>
      <c r="J197" s="85">
        <f>IF(H197,An,'2025'!An_max)</f>
        <v>2026</v>
      </c>
      <c r="K197" s="197">
        <f t="shared" si="52"/>
        <v>46205</v>
      </c>
      <c r="L197" s="147">
        <f>IF(t&lt;Tvie,1-EXP((T0-t)*PertePVj)+'2025'!Pspv,1-EXP((T0-t)*PertePVj)+Pspv)</f>
        <v>5.097518158869907E-2</v>
      </c>
      <c r="M197" s="832"/>
      <c r="N197" s="832"/>
      <c r="O197" s="48">
        <f>IF(t&lt;Tnet,'2025'!Resal+('2025'!Salim-'2025'!Resal)*(1-EXP(('2025'!Tnet-t)/('2025'!Tau_j))),Resal+(Salim-Resal)*(1-EXP((Tnet-t)/(Tau_j))))*Salcycl</f>
        <v>4.4434472147264981E-2</v>
      </c>
      <c r="P197" s="169">
        <f>(INDEX(Models!$BJ197:$BT197,,T197)*(1-R197)+INDEX(Models!$BJ197:$BT197,,T197+1)*R197-ERP_i)*Q197*Ramure*Pc/MaxiM</f>
        <v>1.5780480605890485E-5</v>
      </c>
      <c r="Q197" s="304">
        <f t="shared" si="53"/>
        <v>0.7</v>
      </c>
      <c r="R197" s="177">
        <f t="shared" si="54"/>
        <v>6.359779406883892E-2</v>
      </c>
      <c r="S197" s="799">
        <f t="shared" si="55"/>
        <v>-1</v>
      </c>
      <c r="T197" s="176">
        <f t="shared" si="56"/>
        <v>5</v>
      </c>
      <c r="U197" s="250">
        <f t="shared" si="57"/>
        <v>-0.93640220593116108</v>
      </c>
      <c r="V197" s="382">
        <f t="shared" si="58"/>
        <v>54.765686447246303</v>
      </c>
      <c r="W197" s="400">
        <f t="shared" si="59"/>
        <v>55.074607413878113</v>
      </c>
      <c r="X197" s="157">
        <f t="shared" si="60"/>
        <v>46205</v>
      </c>
      <c r="Y197" s="383">
        <f t="shared" si="61"/>
        <v>53.150785576986742</v>
      </c>
      <c r="Z197" s="383">
        <f t="shared" si="62"/>
        <v>56.005685568858908</v>
      </c>
      <c r="AA197" s="384">
        <f t="shared" si="63"/>
        <v>60.689225311685249</v>
      </c>
      <c r="AB197" s="197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7.7172508279234164E-2</v>
      </c>
      <c r="AD197" s="230">
        <f>(INDEX(Models!$BJ197:$BT197,,AH197)*(1-AF197)+INDEX(Models!$BJ197:$BT197,,AH197+1)*AF197-ERP_i)*AE197*Ramure*Pc/MaxiM</f>
        <v>7.1038407675916185E-4</v>
      </c>
      <c r="AE197" s="304">
        <f t="shared" si="65"/>
        <v>0.7</v>
      </c>
      <c r="AF197" s="177">
        <f t="shared" si="66"/>
        <v>0.81925562490818971</v>
      </c>
      <c r="AG197" s="799">
        <f t="shared" si="74"/>
        <v>1</v>
      </c>
      <c r="AH197" s="176">
        <f t="shared" si="67"/>
        <v>7</v>
      </c>
      <c r="AI197" s="224">
        <f t="shared" si="68"/>
        <v>1.8192556249081897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46206</v>
      </c>
      <c r="B198" s="409">
        <f>'2025'!Wh/'2025'!Env_an*'2026'!Env_an</f>
        <v>50.023398710507706</v>
      </c>
      <c r="C198" s="829"/>
      <c r="D198" s="391">
        <f t="shared" si="50"/>
        <v>52.711326875147094</v>
      </c>
      <c r="E198" s="383">
        <f t="shared" si="75"/>
        <v>55.166871772192145</v>
      </c>
      <c r="F198" s="383">
        <f t="shared" si="51"/>
        <v>55.167658648289866</v>
      </c>
      <c r="G198" s="110">
        <f t="shared" si="76"/>
        <v>0.9150600986383387</v>
      </c>
      <c r="H198" s="412" t="b">
        <f>Wh_hp&gt;='2025'!Maxi_hp</f>
        <v>1</v>
      </c>
      <c r="I198" s="388">
        <f>IF(H198,Wh_hp,'2025'!Maxi_hp)</f>
        <v>55.167658648289866</v>
      </c>
      <c r="J198" s="85">
        <f>IF(H198,An,'2025'!An_max)</f>
        <v>2026</v>
      </c>
      <c r="K198" s="197">
        <f t="shared" si="52"/>
        <v>46206</v>
      </c>
      <c r="L198" s="147">
        <f>IF(t&lt;Tvie,1-EXP((T0-t)*PertePVj)+'2025'!Pspv,1-EXP((T0-t)*PertePVj)+Pspv)</f>
        <v>5.099336943283661E-2</v>
      </c>
      <c r="M198" s="832"/>
      <c r="N198" s="832"/>
      <c r="O198" s="48">
        <f>IF(t&lt;Tnet,'2025'!Resal+('2025'!Salim-'2025'!Resal)*(1-EXP(('2025'!Tnet-t)/('2025'!Tau_j))),Resal+(Salim-Resal)*(1-EXP((Tnet-t)/(Tau_j))))*Salcycl</f>
        <v>4.4511222372460364E-2</v>
      </c>
      <c r="P198" s="169">
        <f>(INDEX(Models!$BJ198:$BT198,,T198)*(1-R198)+INDEX(Models!$BJ198:$BT198,,T198+1)*R198-ERP_i)*Q198*Ramure*Pc/MaxiM</f>
        <v>1.6233083196166714E-5</v>
      </c>
      <c r="Q198" s="304">
        <f t="shared" si="53"/>
        <v>0.7</v>
      </c>
      <c r="R198" s="177">
        <f t="shared" si="54"/>
        <v>6.6946214682676142E-2</v>
      </c>
      <c r="S198" s="799">
        <f t="shared" si="55"/>
        <v>-1</v>
      </c>
      <c r="T198" s="176">
        <f t="shared" si="56"/>
        <v>5</v>
      </c>
      <c r="U198" s="250">
        <f t="shared" si="57"/>
        <v>-0.93305378531732386</v>
      </c>
      <c r="V198" s="382">
        <f t="shared" si="58"/>
        <v>54.666682823587578</v>
      </c>
      <c r="W198" s="400">
        <f t="shared" si="59"/>
        <v>50.023398710507706</v>
      </c>
      <c r="X198" s="157">
        <f t="shared" si="60"/>
        <v>46206</v>
      </c>
      <c r="Y198" s="383">
        <f t="shared" si="61"/>
        <v>48.281215640963325</v>
      </c>
      <c r="Z198" s="383">
        <f t="shared" si="62"/>
        <v>50.875530355471369</v>
      </c>
      <c r="AA198" s="384">
        <f t="shared" si="63"/>
        <v>55.132787084052083</v>
      </c>
      <c r="AB198" s="197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7.7218238978021547E-2</v>
      </c>
      <c r="AD198" s="230">
        <f>(INDEX(Models!$BJ198:$BT198,,AH198)*(1-AF198)+INDEX(Models!$BJ198:$BT198,,AH198+1)*AF198-ERP_i)*AE198*Ramure*Pc/MaxiM</f>
        <v>7.1939280541379459E-4</v>
      </c>
      <c r="AE198" s="304">
        <f t="shared" si="65"/>
        <v>0.7</v>
      </c>
      <c r="AF198" s="177">
        <f t="shared" si="66"/>
        <v>0.82260404552202715</v>
      </c>
      <c r="AG198" s="799">
        <f t="shared" si="74"/>
        <v>1</v>
      </c>
      <c r="AH198" s="176">
        <f t="shared" si="67"/>
        <v>7</v>
      </c>
      <c r="AI198" s="224">
        <f t="shared" si="68"/>
        <v>1.8226040455220271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46207</v>
      </c>
      <c r="B199" s="409">
        <f>'2025'!Wh/'2025'!Env_an*'2026'!Env_an</f>
        <v>42.282499148539898</v>
      </c>
      <c r="C199" s="829"/>
      <c r="D199" s="391">
        <f t="shared" si="50"/>
        <v>44.555336218515045</v>
      </c>
      <c r="E199" s="383">
        <f t="shared" si="75"/>
        <v>46.634648093413404</v>
      </c>
      <c r="F199" s="383">
        <f t="shared" si="51"/>
        <v>46.635175277526976</v>
      </c>
      <c r="G199" s="110">
        <f t="shared" si="76"/>
        <v>0.77488361251383087</v>
      </c>
      <c r="H199" s="412" t="b">
        <f>Wh_hp&gt;='2025'!Maxi_hp</f>
        <v>0</v>
      </c>
      <c r="I199" s="388">
        <f>IF(H199,Wh_hp,'2025'!Maxi_hp)</f>
        <v>58.802223324731905</v>
      </c>
      <c r="J199" s="85">
        <f>IF(H199,An,'2025'!An_max)</f>
        <v>2018</v>
      </c>
      <c r="K199" s="197">
        <f t="shared" si="52"/>
        <v>46207</v>
      </c>
      <c r="L199" s="147">
        <f>IF(t&lt;Tvie,1-EXP((T0-t)*PertePVj)+'2025'!Pspv,1-EXP((T0-t)*PertePVj)+Pspv)</f>
        <v>5.1011556928408197E-2</v>
      </c>
      <c r="M199" s="832"/>
      <c r="N199" s="832"/>
      <c r="O199" s="48">
        <f>IF(t&lt;Tnet,'2025'!Resal+('2025'!Salim-'2025'!Resal)*(1-EXP(('2025'!Tnet-t)/('2025'!Tau_j))),Resal+(Salim-Resal)*(1-EXP((Tnet-t)/(Tau_j))))*Salcycl</f>
        <v>4.458727491056251E-2</v>
      </c>
      <c r="P199" s="169">
        <f>(INDEX(Models!$BJ199:$BT199,,T199)*(1-R199)+INDEX(Models!$BJ199:$BT199,,T199+1)*R199-ERP_i)*Q199*Ramure*Pc/MaxiM</f>
        <v>1.6663098465489773E-5</v>
      </c>
      <c r="Q199" s="304">
        <f t="shared" si="53"/>
        <v>0.7</v>
      </c>
      <c r="R199" s="177">
        <f t="shared" si="54"/>
        <v>7.0234598861841802E-2</v>
      </c>
      <c r="S199" s="799">
        <f t="shared" si="55"/>
        <v>-1</v>
      </c>
      <c r="T199" s="176">
        <f t="shared" si="56"/>
        <v>5</v>
      </c>
      <c r="U199" s="250">
        <f t="shared" si="57"/>
        <v>-0.9297654011381582</v>
      </c>
      <c r="V199" s="382">
        <f t="shared" si="58"/>
        <v>54.565965630566836</v>
      </c>
      <c r="W199" s="400">
        <f t="shared" si="59"/>
        <v>42.282499148539898</v>
      </c>
      <c r="X199" s="157">
        <f t="shared" si="60"/>
        <v>46207</v>
      </c>
      <c r="Y199" s="383">
        <f t="shared" si="61"/>
        <v>40.81653579617781</v>
      </c>
      <c r="Z199" s="383">
        <f t="shared" si="62"/>
        <v>43.010572040336854</v>
      </c>
      <c r="AA199" s="384">
        <f t="shared" si="63"/>
        <v>46.611942320925245</v>
      </c>
      <c r="AB199" s="197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7.7262823672800296E-2</v>
      </c>
      <c r="AD199" s="230">
        <f>(INDEX(Models!$BJ199:$BT199,,AH199)*(1-AF199)+INDEX(Models!$BJ199:$BT199,,AH199+1)*AF199-ERP_i)*AE199*Ramure*Pc/MaxiM</f>
        <v>7.3434125485384019E-4</v>
      </c>
      <c r="AE199" s="304">
        <f t="shared" si="65"/>
        <v>0.7</v>
      </c>
      <c r="AF199" s="177">
        <f t="shared" si="66"/>
        <v>0.8258924297011927</v>
      </c>
      <c r="AG199" s="799">
        <f t="shared" si="74"/>
        <v>1</v>
      </c>
      <c r="AH199" s="176">
        <f t="shared" si="67"/>
        <v>7</v>
      </c>
      <c r="AI199" s="224">
        <f t="shared" si="68"/>
        <v>1.8258924297011927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46208</v>
      </c>
      <c r="B200" s="409">
        <f>'2025'!Wh/'2025'!Env_an*'2026'!Env_an</f>
        <v>54.265518563518874</v>
      </c>
      <c r="C200" s="829"/>
      <c r="D200" s="391">
        <f t="shared" si="50"/>
        <v>57.183582124655857</v>
      </c>
      <c r="E200" s="383">
        <f t="shared" si="75"/>
        <v>59.856951909356034</v>
      </c>
      <c r="F200" s="383">
        <f t="shared" si="51"/>
        <v>59.857968344640803</v>
      </c>
      <c r="G200" s="110">
        <f t="shared" si="76"/>
        <v>0.99635875434944243</v>
      </c>
      <c r="H200" s="412" t="b">
        <f>Wh_hp&gt;='2025'!Maxi_hp</f>
        <v>1</v>
      </c>
      <c r="I200" s="388">
        <f>IF(H200,Wh_hp,'2025'!Maxi_hp)</f>
        <v>59.857968344640803</v>
      </c>
      <c r="J200" s="85">
        <f>IF(H200,An,'2025'!An_max)</f>
        <v>2026</v>
      </c>
      <c r="K200" s="197">
        <f t="shared" si="52"/>
        <v>46208</v>
      </c>
      <c r="L200" s="147">
        <f>IF(t&lt;Tvie,1-EXP((T0-t)*PertePVj)+'2025'!Pspv,1-EXP((T0-t)*PertePVj)+Pspv)</f>
        <v>5.1029744075420602E-2</v>
      </c>
      <c r="M200" s="832"/>
      <c r="N200" s="832"/>
      <c r="O200" s="48">
        <f>IF(t&lt;Tnet,'2025'!Resal+('2025'!Salim-'2025'!Resal)*(1-EXP(('2025'!Tnet-t)/('2025'!Tau_j))),Resal+(Salim-Resal)*(1-EXP((Tnet-t)/(Tau_j))))*Salcycl</f>
        <v>4.466264484614213E-2</v>
      </c>
      <c r="P200" s="169">
        <f>(INDEX(Models!$BJ200:$BT200,,T200)*(1-R200)+INDEX(Models!$BJ200:$BT200,,T200+1)*R200-ERP_i)*Q200*Ramure*Pc/MaxiM</f>
        <v>1.7069574903481756E-5</v>
      </c>
      <c r="Q200" s="304">
        <f t="shared" si="53"/>
        <v>0.7</v>
      </c>
      <c r="R200" s="177">
        <f t="shared" si="54"/>
        <v>7.3461845549820826E-2</v>
      </c>
      <c r="S200" s="799">
        <f t="shared" si="55"/>
        <v>-1</v>
      </c>
      <c r="T200" s="176">
        <f t="shared" si="56"/>
        <v>5</v>
      </c>
      <c r="U200" s="250">
        <f t="shared" si="57"/>
        <v>-0.92653815445017917</v>
      </c>
      <c r="V200" s="382">
        <f t="shared" si="58"/>
        <v>54.463829929043087</v>
      </c>
      <c r="W200" s="400">
        <f t="shared" si="59"/>
        <v>54.265518563518874</v>
      </c>
      <c r="X200" s="157">
        <f t="shared" si="60"/>
        <v>46208</v>
      </c>
      <c r="Y200" s="383">
        <f t="shared" si="61"/>
        <v>52.372787488883496</v>
      </c>
      <c r="Z200" s="383">
        <f t="shared" si="62"/>
        <v>55.189071693144712</v>
      </c>
      <c r="AA200" s="384">
        <f t="shared" si="63"/>
        <v>59.81299235929967</v>
      </c>
      <c r="AB200" s="197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7.7306292224586154E-2</v>
      </c>
      <c r="AD200" s="230">
        <f>(INDEX(Models!$BJ200:$BT200,,AH200)*(1-AF200)+INDEX(Models!$BJ200:$BT200,,AH200+1)*AF200-ERP_i)*AE200*Ramure*Pc/MaxiM</f>
        <v>7.5530726071946206E-4</v>
      </c>
      <c r="AE200" s="304">
        <f t="shared" si="65"/>
        <v>0.7</v>
      </c>
      <c r="AF200" s="177">
        <f t="shared" si="66"/>
        <v>0.82911967638917172</v>
      </c>
      <c r="AG200" s="799">
        <f t="shared" si="74"/>
        <v>1</v>
      </c>
      <c r="AH200" s="176">
        <f t="shared" si="67"/>
        <v>7</v>
      </c>
      <c r="AI200" s="224">
        <f t="shared" si="68"/>
        <v>1.8291196763891717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46209</v>
      </c>
      <c r="B201" s="409">
        <f>'2025'!Wh/'2025'!Env_an*'2026'!Env_an</f>
        <v>38.622625410572596</v>
      </c>
      <c r="C201" s="829"/>
      <c r="D201" s="391">
        <f t="shared" si="50"/>
        <v>40.700291054889405</v>
      </c>
      <c r="E201" s="383">
        <f t="shared" si="75"/>
        <v>42.606387876452445</v>
      </c>
      <c r="F201" s="383">
        <f t="shared" si="51"/>
        <v>42.606823908538161</v>
      </c>
      <c r="G201" s="110">
        <f t="shared" si="76"/>
        <v>0.71048457031748502</v>
      </c>
      <c r="H201" s="412" t="b">
        <f>Wh_hp&gt;='2025'!Maxi_hp</f>
        <v>0</v>
      </c>
      <c r="I201" s="388">
        <f>IF(H201,Wh_hp,'2025'!Maxi_hp)</f>
        <v>58.562115804958381</v>
      </c>
      <c r="J201" s="85">
        <f>IF(H201,An,'2025'!An_max)</f>
        <v>2020</v>
      </c>
      <c r="K201" s="197">
        <f t="shared" si="52"/>
        <v>46209</v>
      </c>
      <c r="L201" s="147">
        <f>IF(t&lt;Tvie,1-EXP((T0-t)*PertePVj)+'2025'!Pspv,1-EXP((T0-t)*PertePVj)+Pspv)</f>
        <v>5.1047930873880487E-2</v>
      </c>
      <c r="M201" s="832"/>
      <c r="N201" s="832"/>
      <c r="O201" s="48">
        <f>IF(t&lt;Tnet,'2025'!Resal+('2025'!Salim-'2025'!Resal)*(1-EXP(('2025'!Tnet-t)/('2025'!Tau_j))),Resal+(Salim-Resal)*(1-EXP((Tnet-t)/(Tau_j))))*Salcycl</f>
        <v>4.4737348472023208E-2</v>
      </c>
      <c r="P201" s="169">
        <f>(INDEX(Models!$BJ201:$BT201,,T201)*(1-R201)+INDEX(Models!$BJ201:$BT201,,T201+1)*R201-ERP_i)*Q201*Ramure*Pc/MaxiM</f>
        <v>1.745159253286025E-5</v>
      </c>
      <c r="Q201" s="304">
        <f t="shared" si="53"/>
        <v>0.7</v>
      </c>
      <c r="R201" s="177">
        <f t="shared" si="54"/>
        <v>7.6626995518721763E-2</v>
      </c>
      <c r="S201" s="799">
        <f t="shared" si="55"/>
        <v>-1</v>
      </c>
      <c r="T201" s="176">
        <f t="shared" si="56"/>
        <v>5</v>
      </c>
      <c r="U201" s="250">
        <f t="shared" si="57"/>
        <v>-0.92337300448127824</v>
      </c>
      <c r="V201" s="382">
        <f t="shared" si="58"/>
        <v>54.360570592705777</v>
      </c>
      <c r="W201" s="400">
        <f t="shared" si="59"/>
        <v>38.622625410572596</v>
      </c>
      <c r="X201" s="157">
        <f t="shared" si="60"/>
        <v>46209</v>
      </c>
      <c r="Y201" s="383">
        <f t="shared" si="61"/>
        <v>37.287369938670253</v>
      </c>
      <c r="Z201" s="383">
        <f t="shared" si="62"/>
        <v>39.293206845534172</v>
      </c>
      <c r="AA201" s="384">
        <f t="shared" si="63"/>
        <v>42.587276300336526</v>
      </c>
      <c r="AB201" s="197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7.734867643499245E-2</v>
      </c>
      <c r="AD201" s="230">
        <f>(INDEX(Models!$BJ201:$BT201,,AH201)*(1-AF201)+INDEX(Models!$BJ201:$BT201,,AH201+1)*AF201-ERP_i)*AE201*Ramure*Pc/MaxiM</f>
        <v>7.8236649206323309E-4</v>
      </c>
      <c r="AE201" s="304">
        <f t="shared" si="65"/>
        <v>0.7</v>
      </c>
      <c r="AF201" s="177">
        <f t="shared" si="66"/>
        <v>0.83228482635807266</v>
      </c>
      <c r="AG201" s="799">
        <f t="shared" si="74"/>
        <v>1</v>
      </c>
      <c r="AH201" s="176">
        <f t="shared" si="67"/>
        <v>7</v>
      </c>
      <c r="AI201" s="224">
        <f t="shared" si="68"/>
        <v>1.8322848263580727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46210</v>
      </c>
      <c r="B202" s="409">
        <f>'2025'!Wh/'2025'!Env_an*'2026'!Env_an</f>
        <v>53.950047670786994</v>
      </c>
      <c r="C202" s="829"/>
      <c r="D202" s="391">
        <f t="shared" si="50"/>
        <v>56.853326301971443</v>
      </c>
      <c r="E202" s="383">
        <f t="shared" si="75"/>
        <v>59.52052452293227</v>
      </c>
      <c r="F202" s="383">
        <f t="shared" si="51"/>
        <v>59.521575946562791</v>
      </c>
      <c r="G202" s="110">
        <f t="shared" si="76"/>
        <v>0.99435196709025198</v>
      </c>
      <c r="H202" s="412" t="b">
        <f>Wh_hp&gt;='2025'!Maxi_hp</f>
        <v>1</v>
      </c>
      <c r="I202" s="388">
        <f>IF(H202,Wh_hp,'2025'!Maxi_hp)</f>
        <v>59.521575946562791</v>
      </c>
      <c r="J202" s="85">
        <f>IF(H202,An,'2025'!An_max)</f>
        <v>2026</v>
      </c>
      <c r="K202" s="197">
        <f t="shared" si="52"/>
        <v>46210</v>
      </c>
      <c r="L202" s="147">
        <f>IF(t&lt;Tvie,1-EXP((T0-t)*PertePVj)+'2025'!Pspv,1-EXP((T0-t)*PertePVj)+Pspv)</f>
        <v>5.1066117323794513E-2</v>
      </c>
      <c r="M202" s="832"/>
      <c r="N202" s="832"/>
      <c r="O202" s="48">
        <f>IF(t&lt;Tnet,'2025'!Resal+('2025'!Salim-'2025'!Resal)*(1-EXP(('2025'!Tnet-t)/('2025'!Tau_j))),Resal+(Salim-Resal)*(1-EXP((Tnet-t)/(Tau_j))))*Salcycl</f>
        <v>4.4811403164520119E-2</v>
      </c>
      <c r="P202" s="169">
        <f>(INDEX(Models!$BJ202:$BT202,,T202)*(1-R202)+INDEX(Models!$BJ202:$BT202,,T202+1)*R202-ERP_i)*Q202*Ramure*Pc/MaxiM</f>
        <v>1.780826429512563E-5</v>
      </c>
      <c r="Q202" s="304">
        <f t="shared" si="53"/>
        <v>0.7</v>
      </c>
      <c r="R202" s="177">
        <f t="shared" si="54"/>
        <v>7.9729228890753401E-2</v>
      </c>
      <c r="S202" s="799">
        <f t="shared" si="55"/>
        <v>-1</v>
      </c>
      <c r="T202" s="176">
        <f t="shared" si="56"/>
        <v>5</v>
      </c>
      <c r="U202" s="250">
        <f t="shared" si="57"/>
        <v>-0.9202707711092466</v>
      </c>
      <c r="V202" s="382">
        <f t="shared" si="58"/>
        <v>54.256482316557957</v>
      </c>
      <c r="W202" s="400">
        <f t="shared" si="59"/>
        <v>53.950047670786994</v>
      </c>
      <c r="X202" s="157">
        <f t="shared" si="60"/>
        <v>46210</v>
      </c>
      <c r="Y202" s="383">
        <f t="shared" si="61"/>
        <v>52.068736200795904</v>
      </c>
      <c r="Z202" s="383">
        <f t="shared" si="62"/>
        <v>54.870773561115172</v>
      </c>
      <c r="AA202" s="384">
        <f t="shared" si="63"/>
        <v>59.473422296723271</v>
      </c>
      <c r="AB202" s="197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7.7390009820599806E-2</v>
      </c>
      <c r="AD202" s="230">
        <f>(INDEX(Models!$BJ202:$BT202,,AH202)*(1-AF202)+INDEX(Models!$BJ202:$BT202,,AH202+1)*AF202-ERP_i)*AE202*Ramure*Pc/MaxiM</f>
        <v>8.1559221062052283E-4</v>
      </c>
      <c r="AE202" s="304">
        <f t="shared" si="65"/>
        <v>0.7</v>
      </c>
      <c r="AF202" s="177">
        <f t="shared" si="66"/>
        <v>0.8353870597301043</v>
      </c>
      <c r="AG202" s="799">
        <f t="shared" si="74"/>
        <v>1</v>
      </c>
      <c r="AH202" s="176">
        <f t="shared" si="67"/>
        <v>7</v>
      </c>
      <c r="AI202" s="224">
        <f t="shared" si="68"/>
        <v>1.8353870597301043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46211</v>
      </c>
      <c r="B203" s="409">
        <f>'2025'!Wh/'2025'!Env_an*'2026'!Env_an</f>
        <v>55.088899038207849</v>
      </c>
      <c r="C203" s="829"/>
      <c r="D203" s="391">
        <f t="shared" si="50"/>
        <v>58.054576646855573</v>
      </c>
      <c r="E203" s="383">
        <f t="shared" si="75"/>
        <v>60.782802224776148</v>
      </c>
      <c r="F203" s="383">
        <f t="shared" si="51"/>
        <v>60.783904768053468</v>
      </c>
      <c r="G203" s="110">
        <f t="shared" si="76"/>
        <v>1.0173039193298983</v>
      </c>
      <c r="H203" s="412" t="b">
        <f>Wh_hp&gt;='2025'!Maxi_hp</f>
        <v>0</v>
      </c>
      <c r="I203" s="388">
        <f>IF(H203,Wh_hp,'2025'!Maxi_hp)</f>
        <v>61.731530922923696</v>
      </c>
      <c r="J203" s="85">
        <f>IF(H203,An,'2025'!An_max)</f>
        <v>2020</v>
      </c>
      <c r="K203" s="197">
        <f t="shared" si="52"/>
        <v>46211</v>
      </c>
      <c r="L203" s="147">
        <f>IF(t&lt;Tvie,1-EXP((T0-t)*PertePVj)+'2025'!Pspv,1-EXP((T0-t)*PertePVj)+Pspv)</f>
        <v>5.1084303425169453E-2</v>
      </c>
      <c r="M203" s="832"/>
      <c r="N203" s="832"/>
      <c r="O203" s="48">
        <f>IF(t&lt;Tnet,'2025'!Resal+('2025'!Salim-'2025'!Resal)*(1-EXP(('2025'!Tnet-t)/('2025'!Tau_j))),Resal+(Salim-Resal)*(1-EXP((Tnet-t)/(Tau_j))))*Salcycl</f>
        <v>4.4884827254780664E-2</v>
      </c>
      <c r="P203" s="169">
        <f>(INDEX(Models!$BJ203:$BT203,,T203)*(1-R203)+INDEX(Models!$BJ203:$BT203,,T203+1)*R203-ERP_i)*Q203*Ramure*Pc/MaxiM</f>
        <v>1.8138737245145925E-5</v>
      </c>
      <c r="Q203" s="304">
        <f t="shared" si="53"/>
        <v>0.7</v>
      </c>
      <c r="R203" s="177">
        <f t="shared" si="54"/>
        <v>8.2767862143235393E-2</v>
      </c>
      <c r="S203" s="799">
        <f t="shared" si="55"/>
        <v>-1</v>
      </c>
      <c r="T203" s="176">
        <f t="shared" si="56"/>
        <v>5</v>
      </c>
      <c r="U203" s="250">
        <f t="shared" si="57"/>
        <v>-0.91723213785676461</v>
      </c>
      <c r="V203" s="382">
        <f t="shared" si="58"/>
        <v>54.15185962764707</v>
      </c>
      <c r="W203" s="400">
        <f t="shared" si="59"/>
        <v>55.088899038207849</v>
      </c>
      <c r="X203" s="157">
        <f t="shared" si="60"/>
        <v>46211</v>
      </c>
      <c r="Y203" s="383">
        <f t="shared" si="61"/>
        <v>53.167213065093932</v>
      </c>
      <c r="Z203" s="383">
        <f t="shared" si="62"/>
        <v>56.029437869985976</v>
      </c>
      <c r="AA203" s="384">
        <f t="shared" si="63"/>
        <v>60.731931184124605</v>
      </c>
      <c r="AB203" s="197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7.7430327382177228E-2</v>
      </c>
      <c r="AD203" s="230">
        <f>(INDEX(Models!$BJ203:$BT203,,AH203)*(1-AF203)+INDEX(Models!$BJ203:$BT203,,AH203+1)*AF203-ERP_i)*AE203*Ramure*Pc/MaxiM</f>
        <v>8.5505503680934861E-4</v>
      </c>
      <c r="AE203" s="304">
        <f t="shared" si="65"/>
        <v>0.7</v>
      </c>
      <c r="AF203" s="177">
        <f t="shared" si="66"/>
        <v>0.8384256929825864</v>
      </c>
      <c r="AG203" s="799">
        <f t="shared" si="74"/>
        <v>1</v>
      </c>
      <c r="AH203" s="176">
        <f t="shared" si="67"/>
        <v>7</v>
      </c>
      <c r="AI203" s="224">
        <f t="shared" si="68"/>
        <v>1.8384256929825864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46212</v>
      </c>
      <c r="B204" s="409">
        <f>'2025'!Wh/'2025'!Env_an*'2026'!Env_an</f>
        <v>54.74058259074112</v>
      </c>
      <c r="C204" s="829"/>
      <c r="D204" s="391">
        <f t="shared" si="50"/>
        <v>57.688614382939797</v>
      </c>
      <c r="E204" s="383">
        <f t="shared" si="75"/>
        <v>60.404246756899326</v>
      </c>
      <c r="F204" s="383">
        <f t="shared" si="51"/>
        <v>60.405360764254944</v>
      </c>
      <c r="G204" s="110">
        <f t="shared" si="76"/>
        <v>1.012833010801764</v>
      </c>
      <c r="H204" s="412" t="b">
        <f>Wh_hp&gt;='2025'!Maxi_hp</f>
        <v>1</v>
      </c>
      <c r="I204" s="388">
        <f>IF(H204,Wh_hp,'2025'!Maxi_hp)</f>
        <v>60.405360764254944</v>
      </c>
      <c r="J204" s="85">
        <f>IF(H204,An,'2025'!An_max)</f>
        <v>2026</v>
      </c>
      <c r="K204" s="197">
        <f t="shared" si="52"/>
        <v>46212</v>
      </c>
      <c r="L204" s="147">
        <f>IF(t&lt;Tvie,1-EXP((T0-t)*PertePVj)+'2025'!Pspv,1-EXP((T0-t)*PertePVj)+Pspv)</f>
        <v>5.1102489178011856E-2</v>
      </c>
      <c r="M204" s="832"/>
      <c r="N204" s="832"/>
      <c r="O204" s="48">
        <f>IF(t&lt;Tnet,'2025'!Resal+('2025'!Salim-'2025'!Resal)*(1-EXP(('2025'!Tnet-t)/('2025'!Tau_j))),Resal+(Salim-Resal)*(1-EXP((Tnet-t)/(Tau_j))))*Salcycl</f>
        <v>4.4957639897220472E-2</v>
      </c>
      <c r="P204" s="169">
        <f>(INDEX(Models!$BJ204:$BT204,,T204)*(1-R204)+INDEX(Models!$BJ204:$BT204,,T204+1)*R204-ERP_i)*Q204*Ramure*Pc/MaxiM</f>
        <v>1.8442193565607432E-5</v>
      </c>
      <c r="Q204" s="304">
        <f t="shared" si="53"/>
        <v>0.7</v>
      </c>
      <c r="R204" s="177">
        <f t="shared" si="54"/>
        <v>8.5742344643596979E-2</v>
      </c>
      <c r="S204" s="799">
        <f t="shared" si="55"/>
        <v>-1</v>
      </c>
      <c r="T204" s="176">
        <f t="shared" si="56"/>
        <v>5</v>
      </c>
      <c r="U204" s="250">
        <f t="shared" si="57"/>
        <v>-0.91425765535640302</v>
      </c>
      <c r="V204" s="382">
        <f t="shared" si="58"/>
        <v>54.046996895774733</v>
      </c>
      <c r="W204" s="400">
        <f t="shared" si="59"/>
        <v>54.74058259074112</v>
      </c>
      <c r="X204" s="157">
        <f t="shared" si="60"/>
        <v>46212</v>
      </c>
      <c r="Y204" s="383">
        <f t="shared" si="61"/>
        <v>52.830417978035889</v>
      </c>
      <c r="Z204" s="383">
        <f t="shared" si="62"/>
        <v>55.675578632587225</v>
      </c>
      <c r="AA204" s="384">
        <f t="shared" si="63"/>
        <v>60.350946242809641</v>
      </c>
      <c r="AB204" s="197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7.7469665370482083E-2</v>
      </c>
      <c r="AD204" s="230">
        <f>(INDEX(Models!$BJ204:$BT204,,AH204)*(1-AF204)+INDEX(Models!$BJ204:$BT204,,AH204+1)*AF204-ERP_i)*AE204*Ramure*Pc/MaxiM</f>
        <v>9.0082272097775993E-4</v>
      </c>
      <c r="AE204" s="304">
        <f t="shared" si="65"/>
        <v>0.7</v>
      </c>
      <c r="AF204" s="177">
        <f t="shared" si="66"/>
        <v>0.84140017548294788</v>
      </c>
      <c r="AG204" s="799">
        <f t="shared" si="74"/>
        <v>1</v>
      </c>
      <c r="AH204" s="176">
        <f t="shared" si="67"/>
        <v>7</v>
      </c>
      <c r="AI204" s="224">
        <f t="shared" si="68"/>
        <v>1.8414001754829479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46213</v>
      </c>
      <c r="B205" s="409">
        <f>'2025'!Wh/'2025'!Env_an*'2026'!Env_an</f>
        <v>54.348176652426226</v>
      </c>
      <c r="C205" s="829"/>
      <c r="D205" s="391">
        <f t="shared" si="50"/>
        <v>57.276173267347346</v>
      </c>
      <c r="E205" s="383">
        <f t="shared" si="75"/>
        <v>59.976925899995834</v>
      </c>
      <c r="F205" s="383">
        <f t="shared" si="51"/>
        <v>59.97804858000903</v>
      </c>
      <c r="G205" s="110">
        <f t="shared" si="76"/>
        <v>1.0075441398630591</v>
      </c>
      <c r="H205" s="412" t="b">
        <f>Wh_hp&gt;='2025'!Maxi_hp</f>
        <v>1</v>
      </c>
      <c r="I205" s="388">
        <f>IF(H205,Wh_hp,'2025'!Maxi_hp)</f>
        <v>59.97804858000903</v>
      </c>
      <c r="J205" s="85">
        <f>IF(H205,An,'2025'!An_max)</f>
        <v>2026</v>
      </c>
      <c r="K205" s="197">
        <f t="shared" si="52"/>
        <v>46213</v>
      </c>
      <c r="L205" s="147">
        <f>IF(t&lt;Tvie,1-EXP((T0-t)*PertePVj)+'2025'!Pspv,1-EXP((T0-t)*PertePVj)+Pspv)</f>
        <v>5.1120674582328385E-2</v>
      </c>
      <c r="M205" s="832"/>
      <c r="N205" s="832"/>
      <c r="O205" s="48">
        <f>IF(t&lt;Tnet,'2025'!Resal+('2025'!Salim-'2025'!Resal)*(1-EXP(('2025'!Tnet-t)/('2025'!Tau_j))),Resal+(Salim-Resal)*(1-EXP((Tnet-t)/(Tau_j))))*Salcycl</f>
        <v>4.5029860936048285E-2</v>
      </c>
      <c r="P205" s="169">
        <f>(INDEX(Models!$BJ205:$BT205,,T205)*(1-R205)+INDEX(Models!$BJ205:$BT205,,T205+1)*R205-ERP_i)*Q205*Ramure*Pc/MaxiM</f>
        <v>1.8718181731083445E-5</v>
      </c>
      <c r="Q205" s="304">
        <f t="shared" si="53"/>
        <v>0.7</v>
      </c>
      <c r="R205" s="177">
        <f t="shared" si="54"/>
        <v>8.8652254761860005E-2</v>
      </c>
      <c r="S205" s="799">
        <f t="shared" si="55"/>
        <v>-1</v>
      </c>
      <c r="T205" s="176">
        <f t="shared" si="56"/>
        <v>5</v>
      </c>
      <c r="U205" s="250">
        <f t="shared" si="57"/>
        <v>-0.91134774523813999</v>
      </c>
      <c r="V205" s="382">
        <f t="shared" si="58"/>
        <v>53.941236420483754</v>
      </c>
      <c r="W205" s="400">
        <f t="shared" si="59"/>
        <v>54.348176652426226</v>
      </c>
      <c r="X205" s="157">
        <f t="shared" si="60"/>
        <v>46213</v>
      </c>
      <c r="Y205" s="383">
        <f t="shared" si="61"/>
        <v>52.450764872058862</v>
      </c>
      <c r="Z205" s="383">
        <f t="shared" si="62"/>
        <v>55.276538825389018</v>
      </c>
      <c r="AA205" s="384">
        <f t="shared" si="63"/>
        <v>59.920890895077576</v>
      </c>
      <c r="AB205" s="197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7.7508061050375443E-2</v>
      </c>
      <c r="AD205" s="230">
        <f>(INDEX(Models!$BJ205:$BT205,,AH205)*(1-AF205)+INDEX(Models!$BJ205:$BT205,,AH205+1)*AF205-ERP_i)*AE205*Ramure*Pc/MaxiM</f>
        <v>9.5297673540022858E-4</v>
      </c>
      <c r="AE205" s="304">
        <f t="shared" si="65"/>
        <v>0.7</v>
      </c>
      <c r="AF205" s="177">
        <f t="shared" si="66"/>
        <v>0.8443100856012109</v>
      </c>
      <c r="AG205" s="799">
        <f t="shared" si="74"/>
        <v>1</v>
      </c>
      <c r="AH205" s="176">
        <f t="shared" si="67"/>
        <v>7</v>
      </c>
      <c r="AI205" s="224">
        <f t="shared" si="68"/>
        <v>1.8443100856012109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46214</v>
      </c>
      <c r="B206" s="409">
        <f>'2025'!Wh/'2025'!Env_an*'2026'!Env_an</f>
        <v>53.502174019060249</v>
      </c>
      <c r="C206" s="829"/>
      <c r="D206" s="391">
        <f t="shared" si="50"/>
        <v>56.385673038159972</v>
      </c>
      <c r="E206" s="383">
        <f t="shared" si="75"/>
        <v>59.048866108982907</v>
      </c>
      <c r="F206" s="383">
        <f t="shared" si="51"/>
        <v>59.049982117292068</v>
      </c>
      <c r="G206" s="110">
        <f t="shared" si="76"/>
        <v>0.9938399469282907</v>
      </c>
      <c r="H206" s="412" t="b">
        <f>Wh_hp&gt;='2025'!Maxi_hp</f>
        <v>1</v>
      </c>
      <c r="I206" s="388">
        <f>IF(H206,Wh_hp,'2025'!Maxi_hp)</f>
        <v>59.049982117292068</v>
      </c>
      <c r="J206" s="85">
        <f>IF(H206,An,'2025'!An_max)</f>
        <v>2026</v>
      </c>
      <c r="K206" s="197">
        <f t="shared" si="52"/>
        <v>46214</v>
      </c>
      <c r="L206" s="147">
        <f>IF(t&lt;Tvie,1-EXP((T0-t)*PertePVj)+'2025'!Pspv,1-EXP((T0-t)*PertePVj)+Pspv)</f>
        <v>5.1138859638125922E-2</v>
      </c>
      <c r="M206" s="832"/>
      <c r="N206" s="832"/>
      <c r="O206" s="48">
        <f>IF(t&lt;Tnet,'2025'!Resal+('2025'!Salim-'2025'!Resal)*(1-EXP(('2025'!Tnet-t)/('2025'!Tau_j))),Resal+(Salim-Resal)*(1-EXP((Tnet-t)/(Tau_j))))*Salcycl</f>
        <v>4.5101510770886623E-2</v>
      </c>
      <c r="P206" s="169">
        <f>(INDEX(Models!$BJ206:$BT206,,T206)*(1-R206)+INDEX(Models!$BJ206:$BT206,,T206+1)*R206-ERP_i)*Q206*Ramure*Pc/MaxiM</f>
        <v>1.906717239180792E-5</v>
      </c>
      <c r="Q206" s="304">
        <f t="shared" si="53"/>
        <v>0.7</v>
      </c>
      <c r="R206" s="177">
        <f t="shared" si="54"/>
        <v>9.1497295608551465E-2</v>
      </c>
      <c r="S206" s="799">
        <f t="shared" si="55"/>
        <v>-1</v>
      </c>
      <c r="T206" s="176">
        <f t="shared" si="56"/>
        <v>5</v>
      </c>
      <c r="U206" s="250">
        <f t="shared" si="57"/>
        <v>-0.90850270439144853</v>
      </c>
      <c r="V206" s="382">
        <f t="shared" si="58"/>
        <v>53.833784008409452</v>
      </c>
      <c r="W206" s="400">
        <f t="shared" si="59"/>
        <v>53.502174019060249</v>
      </c>
      <c r="X206" s="157">
        <f t="shared" si="60"/>
        <v>46214</v>
      </c>
      <c r="Y206" s="383">
        <f t="shared" si="61"/>
        <v>51.63306542929633</v>
      </c>
      <c r="Z206" s="383">
        <f t="shared" si="62"/>
        <v>54.415828863646638</v>
      </c>
      <c r="AA206" s="384">
        <f t="shared" si="63"/>
        <v>58.99026126336819</v>
      </c>
      <c r="AB206" s="197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7.7545552464982653E-2</v>
      </c>
      <c r="AD206" s="230">
        <f>(INDEX(Models!$BJ206:$BT206,,AH206)*(1-AF206)+INDEX(Models!$BJ206:$BT206,,AH206+1)*AF206-ERP_i)*AE206*Ramure*Pc/MaxiM</f>
        <v>1.0203399094841047E-3</v>
      </c>
      <c r="AE206" s="304">
        <f t="shared" si="65"/>
        <v>0.7</v>
      </c>
      <c r="AF206" s="177">
        <f t="shared" si="66"/>
        <v>0.84715512644790225</v>
      </c>
      <c r="AG206" s="799">
        <f t="shared" si="74"/>
        <v>1</v>
      </c>
      <c r="AH206" s="176">
        <f t="shared" si="67"/>
        <v>7</v>
      </c>
      <c r="AI206" s="224">
        <f t="shared" si="68"/>
        <v>1.8471551264479023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46215</v>
      </c>
      <c r="B207" s="409">
        <f>'2025'!Wh/'2025'!Env_an*'2026'!Env_an</f>
        <v>52.359472846739891</v>
      </c>
      <c r="C207" s="829"/>
      <c r="D207" s="391">
        <f t="shared" ref="D207:D270" si="77">Wh/(1-Ppv)</f>
        <v>55.182443558974484</v>
      </c>
      <c r="E207" s="383">
        <f t="shared" si="75"/>
        <v>57.793109152254978</v>
      </c>
      <c r="F207" s="383">
        <f t="shared" ref="F207:F270" si="78">Wh_sa/(1-Pvg*MEDIAN((-Sdif+Wh/Env_an)/Csdif,0,1))</f>
        <v>57.794195686783667</v>
      </c>
      <c r="G207" s="110">
        <f t="shared" si="76"/>
        <v>0.97458711616757199</v>
      </c>
      <c r="H207" s="412" t="b">
        <f>Wh_hp&gt;='2025'!Maxi_hp</f>
        <v>1</v>
      </c>
      <c r="I207" s="388">
        <f>IF(H207,Wh_hp,'2025'!Maxi_hp)</f>
        <v>57.794195686783667</v>
      </c>
      <c r="J207" s="85">
        <f>IF(H207,An,'2025'!An_max)</f>
        <v>2026</v>
      </c>
      <c r="K207" s="197">
        <f t="shared" ref="K207:K270" si="79">t</f>
        <v>46215</v>
      </c>
      <c r="L207" s="147">
        <f>IF(t&lt;Tvie,1-EXP((T0-t)*PertePVj)+'2025'!Pspv,1-EXP((T0-t)*PertePVj)+Pspv)</f>
        <v>5.1157044345410907E-2</v>
      </c>
      <c r="M207" s="832"/>
      <c r="N207" s="832"/>
      <c r="O207" s="48">
        <f>IF(t&lt;Tnet,'2025'!Resal+('2025'!Salim-'2025'!Resal)*(1-EXP(('2025'!Tnet-t)/('2025'!Tau_j))),Resal+(Salim-Resal)*(1-EXP((Tnet-t)/(Tau_j))))*Salcycl</f>
        <v>4.517261022248769E-2</v>
      </c>
      <c r="P207" s="169">
        <f>(INDEX(Models!$BJ207:$BT207,,T207)*(1-R207)+INDEX(Models!$BJ207:$BT207,,T207+1)*R207-ERP_i)*Q207*Ramure*Pc/MaxiM</f>
        <v>1.9508274654689275E-5</v>
      </c>
      <c r="Q207" s="304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9.4277290445926032E-2</v>
      </c>
      <c r="S207" s="799">
        <f t="shared" ref="S207:S270" si="82">INDEX(Echel_vg,T207)</f>
        <v>-1</v>
      </c>
      <c r="T207" s="176">
        <f t="shared" ref="T207:T270" si="83">MIN(MATCH(Hp_vg,Echel_vg),10)</f>
        <v>5</v>
      </c>
      <c r="U207" s="250">
        <f t="shared" ref="U207:U270" si="84">IF(OR(t&lt;Ttai,Notai),Hdd+PousH*Croivg,Hdtf+PousH*(Croivg-Croi_tai))</f>
        <v>-0.90572270955407397</v>
      </c>
      <c r="V207" s="382">
        <f t="shared" ref="V207:V270" si="85">MaxiM*(1-Ppv)*(1-Pvg)*(1-Psa)</f>
        <v>53.724736245598997</v>
      </c>
      <c r="W207" s="400">
        <f t="shared" ref="W207:W270" si="86">Wh*(A207&gt;Tmaj)</f>
        <v>52.359472846739891</v>
      </c>
      <c r="X207" s="157">
        <f t="shared" ref="X207:X270" si="87">t</f>
        <v>46215</v>
      </c>
      <c r="Y207" s="383">
        <f t="shared" ref="Y207:Y270" si="88">Wh_pvt_s*(1-Ppv)</f>
        <v>50.529418544367239</v>
      </c>
      <c r="Z207" s="383">
        <f t="shared" ref="Z207:Z270" si="89">Wh_sa_s*(1-Psa_s)</f>
        <v>53.253721538679635</v>
      </c>
      <c r="AA207" s="384">
        <f t="shared" ref="AA207:AA270" si="90">Wh_hp*(1-Pvg_s*MEDIAN((-Sdif+Wh/Env_an)/Csdif,0,1))</f>
        <v>57.732754376810874</v>
      </c>
      <c r="AB207" s="197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7.7582178201605095E-2</v>
      </c>
      <c r="AD207" s="230">
        <f>(INDEX(Models!$BJ207:$BT207,,AH207)*(1-AF207)+INDEX(Models!$BJ207:$BT207,,AH207+1)*AF207-ERP_i)*AE207*Ramure*Pc/MaxiM</f>
        <v>1.1031531152012428E-3</v>
      </c>
      <c r="AE207" s="304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0.84993512128527682</v>
      </c>
      <c r="AG207" s="799">
        <f t="shared" si="74"/>
        <v>1</v>
      </c>
      <c r="AH207" s="176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1.8499351212852768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46216</v>
      </c>
      <c r="B208" s="409">
        <f>'2025'!Wh/'2025'!Env_an*'2026'!Env_an</f>
        <v>52.418492993391972</v>
      </c>
      <c r="C208" s="829"/>
      <c r="D208" s="391">
        <f t="shared" si="77"/>
        <v>55.24570455912955</v>
      </c>
      <c r="E208" s="383">
        <f t="shared" si="75"/>
        <v>57.863639646216782</v>
      </c>
      <c r="F208" s="383">
        <f t="shared" si="78"/>
        <v>57.86476288067972</v>
      </c>
      <c r="G208" s="110">
        <f t="shared" si="76"/>
        <v>0.97769749531517902</v>
      </c>
      <c r="H208" s="412" t="b">
        <f>Wh_hp&gt;='2025'!Maxi_hp</f>
        <v>1</v>
      </c>
      <c r="I208" s="388">
        <f>IF(H208,Wh_hp,'2025'!Maxi_hp)</f>
        <v>57.86476288067972</v>
      </c>
      <c r="J208" s="85">
        <f>IF(H208,An,'2025'!An_max)</f>
        <v>2026</v>
      </c>
      <c r="K208" s="197">
        <f t="shared" si="79"/>
        <v>46216</v>
      </c>
      <c r="L208" s="147">
        <f>IF(t&lt;Tvie,1-EXP((T0-t)*PertePVj)+'2025'!Pspv,1-EXP((T0-t)*PertePVj)+Pspv)</f>
        <v>5.1175228704190223E-2</v>
      </c>
      <c r="M208" s="832"/>
      <c r="N208" s="832"/>
      <c r="O208" s="48">
        <f>IF(t&lt;Tnet,'2025'!Resal+('2025'!Salim-'2025'!Resal)*(1-EXP(('2025'!Tnet-t)/('2025'!Tau_j))),Resal+(Salim-Resal)*(1-EXP((Tnet-t)/(Tau_j))))*Salcycl</f>
        <v>4.5243180399530944E-2</v>
      </c>
      <c r="P208" s="169">
        <f>(INDEX(Models!$BJ208:$BT208,,T208)*(1-R208)+INDEX(Models!$BJ208:$BT208,,T208+1)*R208-ERP_i)*Q208*Ramure*Pc/MaxiM</f>
        <v>2.0050167329012763E-5</v>
      </c>
      <c r="Q208" s="304">
        <f t="shared" si="80"/>
        <v>0.7</v>
      </c>
      <c r="R208" s="177">
        <f t="shared" si="81"/>
        <v>9.6992177819802405E-2</v>
      </c>
      <c r="S208" s="799">
        <f t="shared" si="82"/>
        <v>-1</v>
      </c>
      <c r="T208" s="176">
        <f t="shared" si="83"/>
        <v>5</v>
      </c>
      <c r="U208" s="250">
        <f t="shared" si="84"/>
        <v>-0.90300782218019759</v>
      </c>
      <c r="V208" s="382">
        <f t="shared" si="85"/>
        <v>53.614190237009915</v>
      </c>
      <c r="W208" s="400">
        <f t="shared" si="86"/>
        <v>52.418492993391972</v>
      </c>
      <c r="X208" s="157">
        <f t="shared" si="87"/>
        <v>46216</v>
      </c>
      <c r="Y208" s="383">
        <f t="shared" si="88"/>
        <v>50.583108559135702</v>
      </c>
      <c r="Z208" s="383">
        <f t="shared" si="89"/>
        <v>53.311327960013486</v>
      </c>
      <c r="AA208" s="384">
        <f t="shared" si="90"/>
        <v>57.797449039530825</v>
      </c>
      <c r="AB208" s="197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7.7617977161051399E-2</v>
      </c>
      <c r="AD208" s="230">
        <f>(INDEX(Models!$BJ208:$BT208,,AH208)*(1-AF208)+INDEX(Models!$BJ208:$BT208,,AH208+1)*AF208-ERP_i)*AE208*Ramure*Pc/MaxiM</f>
        <v>1.2015779635738369E-3</v>
      </c>
      <c r="AE208" s="304">
        <f t="shared" si="92"/>
        <v>0.7</v>
      </c>
      <c r="AF208" s="177">
        <f t="shared" si="93"/>
        <v>0.8526500086591533</v>
      </c>
      <c r="AG208" s="799">
        <f t="shared" ref="AG208:AG271" si="99">INDEX(Echel_vg,AH208)</f>
        <v>1</v>
      </c>
      <c r="AH208" s="176">
        <f t="shared" si="94"/>
        <v>7</v>
      </c>
      <c r="AI208" s="224">
        <f t="shared" si="95"/>
        <v>1.8526500086591533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46217</v>
      </c>
      <c r="B209" s="409">
        <f>'2025'!Wh/'2025'!Env_an*'2026'!Env_an</f>
        <v>52.17328711968181</v>
      </c>
      <c r="C209" s="829"/>
      <c r="D209" s="391">
        <f t="shared" si="77"/>
        <v>54.988327251127117</v>
      </c>
      <c r="E209" s="383">
        <f t="shared" si="75"/>
        <v>57.59829265780197</v>
      </c>
      <c r="F209" s="383">
        <f t="shared" si="78"/>
        <v>57.599442725125606</v>
      </c>
      <c r="G209" s="110">
        <f t="shared" si="76"/>
        <v>0.97516002699380977</v>
      </c>
      <c r="H209" s="412" t="b">
        <f>Wh_hp&gt;='2025'!Maxi_hp</f>
        <v>0</v>
      </c>
      <c r="I209" s="388">
        <f>IF(H209,Wh_hp,'2025'!Maxi_hp)</f>
        <v>58.629820417743659</v>
      </c>
      <c r="J209" s="85">
        <f>IF(H209,An,'2025'!An_max)</f>
        <v>2018</v>
      </c>
      <c r="K209" s="197">
        <f t="shared" si="79"/>
        <v>46217</v>
      </c>
      <c r="L209" s="147">
        <f>IF(t&lt;Tvie,1-EXP((T0-t)*PertePVj)+'2025'!Pspv,1-EXP((T0-t)*PertePVj)+Pspv)</f>
        <v>5.119341271447031E-2</v>
      </c>
      <c r="M209" s="832"/>
      <c r="N209" s="832"/>
      <c r="O209" s="48">
        <f>IF(t&lt;Tnet,'2025'!Resal+('2025'!Salim-'2025'!Resal)*(1-EXP(('2025'!Tnet-t)/('2025'!Tau_j))),Resal+(Salim-Resal)*(1-EXP((Tnet-t)/(Tau_j))))*Salcycl</f>
        <v>4.5313242567465627E-2</v>
      </c>
      <c r="P209" s="169">
        <f>(INDEX(Models!$BJ209:$BT209,,T209)*(1-R209)+INDEX(Models!$BJ209:$BT209,,T209+1)*R209-ERP_i)*Q209*Ramure*Pc/MaxiM</f>
        <v>2.0701215191095765E-5</v>
      </c>
      <c r="Q209" s="304">
        <f t="shared" si="80"/>
        <v>0.7</v>
      </c>
      <c r="R209" s="177">
        <f t="shared" si="81"/>
        <v>9.9642006458308785E-2</v>
      </c>
      <c r="S209" s="799">
        <f t="shared" si="82"/>
        <v>-1</v>
      </c>
      <c r="T209" s="176">
        <f t="shared" si="83"/>
        <v>5</v>
      </c>
      <c r="U209" s="250">
        <f t="shared" si="84"/>
        <v>-0.90035799354169122</v>
      </c>
      <c r="V209" s="382">
        <f t="shared" si="85"/>
        <v>53.502243067263478</v>
      </c>
      <c r="W209" s="400">
        <f t="shared" si="86"/>
        <v>52.17328711968181</v>
      </c>
      <c r="X209" s="157">
        <f t="shared" si="87"/>
        <v>46217</v>
      </c>
      <c r="Y209" s="383">
        <f t="shared" si="88"/>
        <v>50.342967496276984</v>
      </c>
      <c r="Z209" s="383">
        <f t="shared" si="89"/>
        <v>53.059251665088823</v>
      </c>
      <c r="AA209" s="384">
        <f t="shared" si="90"/>
        <v>57.52634420003708</v>
      </c>
      <c r="AB209" s="197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7.7652988332002834E-2</v>
      </c>
      <c r="AD209" s="230">
        <f>(INDEX(Models!$BJ209:$BT209,,AH209)*(1-AF209)+INDEX(Models!$BJ209:$BT209,,AH209+1)*AF209-ERP_i)*AE209*Ramure*Pc/MaxiM</f>
        <v>1.3157736655196408E-3</v>
      </c>
      <c r="AE209" s="304">
        <f t="shared" si="92"/>
        <v>0.7</v>
      </c>
      <c r="AF209" s="177">
        <f t="shared" si="93"/>
        <v>0.85529983729765968</v>
      </c>
      <c r="AG209" s="799">
        <f t="shared" si="99"/>
        <v>1</v>
      </c>
      <c r="AH209" s="176">
        <f t="shared" si="94"/>
        <v>7</v>
      </c>
      <c r="AI209" s="224">
        <f t="shared" si="95"/>
        <v>1.8552998372976597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46218</v>
      </c>
      <c r="B210" s="409">
        <f>'2025'!Wh/'2025'!Env_an*'2026'!Env_an</f>
        <v>49.704553227932522</v>
      </c>
      <c r="C210" s="829"/>
      <c r="D210" s="391">
        <f t="shared" si="77"/>
        <v>52.387395375084814</v>
      </c>
      <c r="E210" s="383">
        <f t="shared" si="75"/>
        <v>54.877909557886504</v>
      </c>
      <c r="F210" s="383">
        <f t="shared" si="78"/>
        <v>54.878971622282208</v>
      </c>
      <c r="G210" s="110">
        <f t="shared" si="76"/>
        <v>0.93098682585495962</v>
      </c>
      <c r="H210" s="412" t="b">
        <f>Wh_hp&gt;='2025'!Maxi_hp</f>
        <v>0</v>
      </c>
      <c r="I210" s="388">
        <f>IF(H210,Wh_hp,'2025'!Maxi_hp)</f>
        <v>60.732811241786656</v>
      </c>
      <c r="J210" s="85">
        <f>IF(H210,An,'2025'!An_max)</f>
        <v>2018</v>
      </c>
      <c r="K210" s="197">
        <f t="shared" si="79"/>
        <v>46218</v>
      </c>
      <c r="L210" s="147">
        <f>IF(t&lt;Tvie,1-EXP((T0-t)*PertePVj)+'2025'!Pspv,1-EXP((T0-t)*PertePVj)+Pspv)</f>
        <v>5.1211596376258051E-2</v>
      </c>
      <c r="M210" s="832"/>
      <c r="N210" s="832"/>
      <c r="O210" s="48">
        <f>IF(t&lt;Tnet,'2025'!Resal+('2025'!Salim-'2025'!Resal)*(1-EXP(('2025'!Tnet-t)/('2025'!Tau_j))),Resal+(Salim-Resal)*(1-EXP((Tnet-t)/(Tau_j))))*Salcycl</f>
        <v>4.5382818020329944E-2</v>
      </c>
      <c r="P210" s="169">
        <f>(INDEX(Models!$BJ210:$BT210,,T210)*(1-R210)+INDEX(Models!$BJ210:$BT210,,T210+1)*R210-ERP_i)*Q210*Ramure*Pc/MaxiM</f>
        <v>2.1469467714832302E-5</v>
      </c>
      <c r="Q210" s="304">
        <f t="shared" si="80"/>
        <v>0.7</v>
      </c>
      <c r="R210" s="177">
        <f t="shared" si="81"/>
        <v>0.10222692998243055</v>
      </c>
      <c r="S210" s="799">
        <f t="shared" si="82"/>
        <v>-1</v>
      </c>
      <c r="T210" s="176">
        <f t="shared" si="83"/>
        <v>5</v>
      </c>
      <c r="U210" s="250">
        <f t="shared" si="84"/>
        <v>-0.89777307001756945</v>
      </c>
      <c r="V210" s="382">
        <f t="shared" si="85"/>
        <v>53.388991809431126</v>
      </c>
      <c r="W210" s="400">
        <f t="shared" si="86"/>
        <v>49.704553227932522</v>
      </c>
      <c r="X210" s="157">
        <f t="shared" si="87"/>
        <v>46218</v>
      </c>
      <c r="Y210" s="383">
        <f t="shared" si="88"/>
        <v>47.960879409262986</v>
      </c>
      <c r="Z210" s="383">
        <f t="shared" si="89"/>
        <v>50.549605397878246</v>
      </c>
      <c r="AA210" s="384">
        <f t="shared" si="90"/>
        <v>54.807445120135043</v>
      </c>
      <c r="AB210" s="197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7.7687250571958563E-2</v>
      </c>
      <c r="AD210" s="230">
        <f>(INDEX(Models!$BJ210:$BT210,,AH210)*(1-AF210)+INDEX(Models!$BJ210:$BT210,,AH210+1)*AF210-ERP_i)*AE210*Ramure*Pc/MaxiM</f>
        <v>1.4458971930660011E-3</v>
      </c>
      <c r="AE210" s="304">
        <f t="shared" si="92"/>
        <v>0.7</v>
      </c>
      <c r="AF210" s="177">
        <f t="shared" si="93"/>
        <v>0.85788476082178144</v>
      </c>
      <c r="AG210" s="799">
        <f t="shared" si="99"/>
        <v>1</v>
      </c>
      <c r="AH210" s="176">
        <f t="shared" si="94"/>
        <v>7</v>
      </c>
      <c r="AI210" s="224">
        <f t="shared" si="95"/>
        <v>1.8578847608217814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46219</v>
      </c>
      <c r="B211" s="409">
        <f>'2025'!Wh/'2025'!Env_an*'2026'!Env_an</f>
        <v>50.872590535824315</v>
      </c>
      <c r="C211" s="829"/>
      <c r="D211" s="391">
        <f t="shared" si="77"/>
        <v>53.619506016091741</v>
      </c>
      <c r="E211" s="383">
        <f t="shared" si="75"/>
        <v>56.172661793029924</v>
      </c>
      <c r="F211" s="383">
        <f t="shared" si="78"/>
        <v>56.173837079351514</v>
      </c>
      <c r="G211" s="110">
        <f t="shared" si="76"/>
        <v>0.95491248607988199</v>
      </c>
      <c r="H211" s="412" t="b">
        <f>Wh_hp&gt;='2025'!Maxi_hp</f>
        <v>0</v>
      </c>
      <c r="I211" s="388">
        <f>IF(H211,Wh_hp,'2025'!Maxi_hp)</f>
        <v>60.019024315602991</v>
      </c>
      <c r="J211" s="85">
        <f>IF(H211,An,'2025'!An_max)</f>
        <v>2018</v>
      </c>
      <c r="K211" s="197">
        <f t="shared" si="79"/>
        <v>46219</v>
      </c>
      <c r="L211" s="147">
        <f>IF(t&lt;Tvie,1-EXP((T0-t)*PertePVj)+'2025'!Pspv,1-EXP((T0-t)*PertePVj)+Pspv)</f>
        <v>5.1229779689560107E-2</v>
      </c>
      <c r="M211" s="832"/>
      <c r="N211" s="832"/>
      <c r="O211" s="48">
        <f>IF(t&lt;Tnet,'2025'!Resal+('2025'!Salim-'2025'!Resal)*(1-EXP(('2025'!Tnet-t)/('2025'!Tau_j))),Resal+(Salim-Resal)*(1-EXP((Tnet-t)/(Tau_j))))*Salcycl</f>
        <v>4.5451927956438459E-2</v>
      </c>
      <c r="P211" s="169">
        <f>(INDEX(Models!$BJ211:$BT211,,T211)*(1-R211)+INDEX(Models!$BJ211:$BT211,,T211+1)*R211-ERP_i)*Q211*Ramure*Pc/MaxiM</f>
        <v>2.2362659380009551E-5</v>
      </c>
      <c r="Q211" s="304">
        <f t="shared" si="80"/>
        <v>0.7</v>
      </c>
      <c r="R211" s="177">
        <f t="shared" si="81"/>
        <v>0.10474720147150374</v>
      </c>
      <c r="S211" s="799">
        <f t="shared" si="82"/>
        <v>-1</v>
      </c>
      <c r="T211" s="176">
        <f t="shared" si="83"/>
        <v>5</v>
      </c>
      <c r="U211" s="250">
        <f t="shared" si="84"/>
        <v>-0.89525279852849626</v>
      </c>
      <c r="V211" s="382">
        <f t="shared" si="85"/>
        <v>53.274533532102296</v>
      </c>
      <c r="W211" s="400">
        <f t="shared" si="86"/>
        <v>50.872590535824315</v>
      </c>
      <c r="X211" s="157">
        <f t="shared" si="87"/>
        <v>46219</v>
      </c>
      <c r="Y211" s="383">
        <f t="shared" si="88"/>
        <v>49.080633426912875</v>
      </c>
      <c r="Z211" s="383">
        <f t="shared" si="89"/>
        <v>51.730790423474268</v>
      </c>
      <c r="AA211" s="384">
        <f t="shared" si="90"/>
        <v>56.090162889804908</v>
      </c>
      <c r="AB211" s="197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7.7720802396225697E-2</v>
      </c>
      <c r="AD211" s="230">
        <f>(INDEX(Models!$BJ211:$BT211,,AH211)*(1-AF211)+INDEX(Models!$BJ211:$BT211,,AH211+1)*AF211-ERP_i)*AE211*Ramure*Pc/MaxiM</f>
        <v>1.5921034435207207E-3</v>
      </c>
      <c r="AE211" s="304">
        <f t="shared" si="92"/>
        <v>0.7</v>
      </c>
      <c r="AF211" s="177">
        <f t="shared" si="93"/>
        <v>0.86040503231085452</v>
      </c>
      <c r="AG211" s="799">
        <f t="shared" si="99"/>
        <v>1</v>
      </c>
      <c r="AH211" s="176">
        <f t="shared" si="94"/>
        <v>7</v>
      </c>
      <c r="AI211" s="224">
        <f t="shared" si="95"/>
        <v>1.8604050323108545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46220</v>
      </c>
      <c r="B212" s="409">
        <f>'2025'!Wh/'2025'!Env_an*'2026'!Env_an</f>
        <v>51.436839475060935</v>
      </c>
      <c r="C212" s="829"/>
      <c r="D212" s="391">
        <f t="shared" si="77"/>
        <v>54.215261153977607</v>
      </c>
      <c r="E212" s="383">
        <f t="shared" si="75"/>
        <v>56.800870481595062</v>
      </c>
      <c r="F212" s="383">
        <f t="shared" si="78"/>
        <v>56.80216534801567</v>
      </c>
      <c r="G212" s="110">
        <f t="shared" si="76"/>
        <v>0.96760365293900963</v>
      </c>
      <c r="H212" s="412" t="b">
        <f>Wh_hp&gt;='2025'!Maxi_hp</f>
        <v>0</v>
      </c>
      <c r="I212" s="388">
        <f>IF(H212,Wh_hp,'2025'!Maxi_hp)</f>
        <v>58.588907311846619</v>
      </c>
      <c r="J212" s="85">
        <f>IF(H212,An,'2025'!An_max)</f>
        <v>2021</v>
      </c>
      <c r="K212" s="197">
        <f t="shared" si="79"/>
        <v>46220</v>
      </c>
      <c r="L212" s="147">
        <f>IF(t&lt;Tvie,1-EXP((T0-t)*PertePVj)+'2025'!Pspv,1-EXP((T0-t)*PertePVj)+Pspv)</f>
        <v>5.1247962654383139E-2</v>
      </c>
      <c r="M212" s="832"/>
      <c r="N212" s="832"/>
      <c r="O212" s="48">
        <f>IF(t&lt;Tnet,'2025'!Resal+('2025'!Salim-'2025'!Resal)*(1-EXP(('2025'!Tnet-t)/('2025'!Tau_j))),Resal+(Salim-Resal)*(1-EXP((Tnet-t)/(Tau_j))))*Salcycl</f>
        <v>4.5520593358780628E-2</v>
      </c>
      <c r="P212" s="169">
        <f>(INDEX(Models!$BJ212:$BT212,,T212)*(1-R212)+INDEX(Models!$BJ212:$BT212,,T212+1)*R212-ERP_i)*Q212*Ramure*Pc/MaxiM</f>
        <v>2.3902246243780059E-5</v>
      </c>
      <c r="Q212" s="304">
        <f t="shared" si="80"/>
        <v>0.7</v>
      </c>
      <c r="R212" s="177">
        <f t="shared" si="81"/>
        <v>0.10720316792476481</v>
      </c>
      <c r="S212" s="799">
        <f t="shared" si="82"/>
        <v>-1</v>
      </c>
      <c r="T212" s="176">
        <f t="shared" si="83"/>
        <v>5</v>
      </c>
      <c r="U212" s="250">
        <f t="shared" si="84"/>
        <v>-0.89279683207523519</v>
      </c>
      <c r="V212" s="382">
        <f t="shared" si="85"/>
        <v>53.158937980004289</v>
      </c>
      <c r="W212" s="400">
        <f t="shared" si="86"/>
        <v>51.436839475060935</v>
      </c>
      <c r="X212" s="157">
        <f t="shared" si="87"/>
        <v>46220</v>
      </c>
      <c r="Y212" s="383">
        <f t="shared" si="88"/>
        <v>49.617769531063516</v>
      </c>
      <c r="Z212" s="383">
        <f t="shared" si="89"/>
        <v>52.297931996944392</v>
      </c>
      <c r="AA212" s="384">
        <f t="shared" si="90"/>
        <v>56.707119305907959</v>
      </c>
      <c r="AB212" s="197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7.7753681776323233E-2</v>
      </c>
      <c r="AD212" s="230">
        <f>(INDEX(Models!$BJ212:$BT212,,AH212)*(1-AF212)+INDEX(Models!$BJ212:$BT212,,AH212+1)*AF212-ERP_i)*AE212*Ramure*Pc/MaxiM</f>
        <v>1.7544774246942159E-3</v>
      </c>
      <c r="AE212" s="304">
        <f t="shared" si="92"/>
        <v>0.7</v>
      </c>
      <c r="AF212" s="177">
        <f t="shared" si="93"/>
        <v>0.86286099876411582</v>
      </c>
      <c r="AG212" s="799">
        <f t="shared" si="99"/>
        <v>1</v>
      </c>
      <c r="AH212" s="176">
        <f t="shared" si="94"/>
        <v>7</v>
      </c>
      <c r="AI212" s="224">
        <f t="shared" si="95"/>
        <v>1.8628609987641158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46221</v>
      </c>
      <c r="B213" s="409">
        <f>'2025'!Wh/'2025'!Env_an*'2026'!Env_an</f>
        <v>53.509217672506395</v>
      </c>
      <c r="C213" s="829"/>
      <c r="D213" s="391">
        <f t="shared" si="77"/>
        <v>56.400662214985417</v>
      </c>
      <c r="E213" s="383">
        <f t="shared" si="75"/>
        <v>59.094721726089894</v>
      </c>
      <c r="F213" s="383">
        <f t="shared" si="78"/>
        <v>59.09626552839137</v>
      </c>
      <c r="G213" s="110">
        <f t="shared" si="76"/>
        <v>1.0088027243466917</v>
      </c>
      <c r="H213" s="412" t="b">
        <f>Wh_hp&gt;='2025'!Maxi_hp</f>
        <v>1</v>
      </c>
      <c r="I213" s="388">
        <f>IF(H213,Wh_hp,'2025'!Maxi_hp)</f>
        <v>59.09626552839137</v>
      </c>
      <c r="J213" s="85">
        <f>IF(H213,An,'2025'!An_max)</f>
        <v>2026</v>
      </c>
      <c r="K213" s="197">
        <f t="shared" si="79"/>
        <v>46221</v>
      </c>
      <c r="L213" s="147">
        <f>IF(t&lt;Tvie,1-EXP((T0-t)*PertePVj)+'2025'!Pspv,1-EXP((T0-t)*PertePVj)+Pspv)</f>
        <v>5.1266145270733698E-2</v>
      </c>
      <c r="M213" s="832"/>
      <c r="N213" s="832"/>
      <c r="O213" s="48">
        <f>IF(t&lt;Tnet,'2025'!Resal+('2025'!Salim-'2025'!Resal)*(1-EXP(('2025'!Tnet-t)/('2025'!Tau_j))),Resal+(Salim-Resal)*(1-EXP((Tnet-t)/(Tau_j))))*Salcycl</f>
        <v>4.5588834880917424E-2</v>
      </c>
      <c r="P213" s="169">
        <f>(INDEX(Models!$BJ213:$BT213,,T213)*(1-R213)+INDEX(Models!$BJ213:$BT213,,T213+1)*R213-ERP_i)*Q213*Ramure*Pc/MaxiM</f>
        <v>2.6123517072860217E-5</v>
      </c>
      <c r="Q213" s="304">
        <f t="shared" si="80"/>
        <v>0.7</v>
      </c>
      <c r="R213" s="177">
        <f t="shared" si="81"/>
        <v>0.10959526465779712</v>
      </c>
      <c r="S213" s="799">
        <f t="shared" si="82"/>
        <v>-1</v>
      </c>
      <c r="T213" s="176">
        <f t="shared" si="83"/>
        <v>5</v>
      </c>
      <c r="U213" s="250">
        <f t="shared" si="84"/>
        <v>-0.89040473534220288</v>
      </c>
      <c r="V213" s="382">
        <f t="shared" si="85"/>
        <v>53.042300918803889</v>
      </c>
      <c r="W213" s="400">
        <f t="shared" si="86"/>
        <v>53.509217672506395</v>
      </c>
      <c r="X213" s="157">
        <f t="shared" si="87"/>
        <v>46221</v>
      </c>
      <c r="Y213" s="383">
        <f t="shared" si="88"/>
        <v>51.605807145926796</v>
      </c>
      <c r="Z213" s="383">
        <f t="shared" si="89"/>
        <v>54.394398269526491</v>
      </c>
      <c r="AA213" s="384">
        <f t="shared" si="90"/>
        <v>58.982398772762657</v>
      </c>
      <c r="AB213" s="197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7.7785925949062085E-2</v>
      </c>
      <c r="AD213" s="230">
        <f>(INDEX(Models!$BJ213:$BT213,,AH213)*(1-AF213)+INDEX(Models!$BJ213:$BT213,,AH213+1)*AF213-ERP_i)*AE213*Ramure*Pc/MaxiM</f>
        <v>1.9268012049596186E-3</v>
      </c>
      <c r="AE213" s="304">
        <f t="shared" si="92"/>
        <v>0.7</v>
      </c>
      <c r="AF213" s="177">
        <f t="shared" si="93"/>
        <v>0.86525309549714802</v>
      </c>
      <c r="AG213" s="799">
        <f t="shared" si="99"/>
        <v>1</v>
      </c>
      <c r="AH213" s="176">
        <f t="shared" si="94"/>
        <v>7</v>
      </c>
      <c r="AI213" s="224">
        <f t="shared" si="95"/>
        <v>1.865253095497148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46222</v>
      </c>
      <c r="B214" s="409">
        <f>'2025'!Wh/'2025'!Env_an*'2026'!Env_an</f>
        <v>32.262526060741507</v>
      </c>
      <c r="C214" s="829"/>
      <c r="D214" s="391">
        <f t="shared" si="77"/>
        <v>34.006527980125462</v>
      </c>
      <c r="E214" s="383">
        <f t="shared" si="75"/>
        <v>35.633431919861579</v>
      </c>
      <c r="F214" s="383">
        <f t="shared" si="78"/>
        <v>35.633889775221796</v>
      </c>
      <c r="G214" s="110">
        <f t="shared" si="76"/>
        <v>0.60958289672575761</v>
      </c>
      <c r="H214" s="412" t="b">
        <f>Wh_hp&gt;='2025'!Maxi_hp</f>
        <v>0</v>
      </c>
      <c r="I214" s="388">
        <f>IF(H214,Wh_hp,'2025'!Maxi_hp)</f>
        <v>58.821936669758294</v>
      </c>
      <c r="J214" s="85">
        <f>IF(H214,An,'2025'!An_max)</f>
        <v>2020</v>
      </c>
      <c r="K214" s="197">
        <f t="shared" si="79"/>
        <v>46222</v>
      </c>
      <c r="L214" s="147">
        <f>IF(t&lt;Tvie,1-EXP((T0-t)*PertePVj)+'2025'!Pspv,1-EXP((T0-t)*PertePVj)+Pspv)</f>
        <v>5.1284327538618668E-2</v>
      </c>
      <c r="M214" s="832"/>
      <c r="N214" s="832"/>
      <c r="O214" s="48">
        <f>IF(t&lt;Tnet,'2025'!Resal+('2025'!Salim-'2025'!Resal)*(1-EXP(('2025'!Tnet-t)/('2025'!Tau_j))),Resal+(Salim-Resal)*(1-EXP((Tnet-t)/(Tau_j))))*Salcycl</f>
        <v>4.5656672739099909E-2</v>
      </c>
      <c r="P214" s="169">
        <f>(INDEX(Models!$BJ214:$BT214,,T214)*(1-R214)+INDEX(Models!$BJ214:$BT214,,T214+1)*R214-ERP_i)*Q214*Ramure*Pc/MaxiM</f>
        <v>2.9051749789420815E-5</v>
      </c>
      <c r="Q214" s="304">
        <f t="shared" si="80"/>
        <v>0.7</v>
      </c>
      <c r="R214" s="177">
        <f t="shared" si="81"/>
        <v>0.11192400967024807</v>
      </c>
      <c r="S214" s="799">
        <f t="shared" si="82"/>
        <v>-1</v>
      </c>
      <c r="T214" s="176">
        <f t="shared" si="83"/>
        <v>5</v>
      </c>
      <c r="U214" s="250">
        <f t="shared" si="84"/>
        <v>-0.88807599032975193</v>
      </c>
      <c r="V214" s="382">
        <f t="shared" si="85"/>
        <v>52.924718658628713</v>
      </c>
      <c r="W214" s="400">
        <f t="shared" si="86"/>
        <v>32.262526060741507</v>
      </c>
      <c r="X214" s="157">
        <f t="shared" si="87"/>
        <v>46222</v>
      </c>
      <c r="Y214" s="383">
        <f t="shared" si="88"/>
        <v>31.146614324925082</v>
      </c>
      <c r="Z214" s="383">
        <f t="shared" si="89"/>
        <v>32.830293868886145</v>
      </c>
      <c r="AA214" s="384">
        <f t="shared" si="90"/>
        <v>35.600649985209571</v>
      </c>
      <c r="AB214" s="197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7.7817571237446065E-2</v>
      </c>
      <c r="AD214" s="230">
        <f>(INDEX(Models!$BJ214:$BT214,,AH214)*(1-AF214)+INDEX(Models!$BJ214:$BT214,,AH214+1)*AF214-ERP_i)*AE214*Ramure*Pc/MaxiM</f>
        <v>2.1091247289037277E-3</v>
      </c>
      <c r="AE214" s="304">
        <f t="shared" si="92"/>
        <v>0.7</v>
      </c>
      <c r="AF214" s="177">
        <f t="shared" si="93"/>
        <v>0.86758184050959897</v>
      </c>
      <c r="AG214" s="799">
        <f t="shared" si="99"/>
        <v>1</v>
      </c>
      <c r="AH214" s="176">
        <f t="shared" si="94"/>
        <v>7</v>
      </c>
      <c r="AI214" s="224">
        <f t="shared" si="95"/>
        <v>1.867581840509599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46223</v>
      </c>
      <c r="B215" s="409">
        <f>'2025'!Wh/'2025'!Env_an*'2026'!Env_an</f>
        <v>39.197990771402218</v>
      </c>
      <c r="C215" s="829"/>
      <c r="D215" s="391">
        <f t="shared" si="77"/>
        <v>41.317692059045996</v>
      </c>
      <c r="E215" s="383">
        <f t="shared" si="75"/>
        <v>43.297429193428563</v>
      </c>
      <c r="F215" s="383">
        <f t="shared" si="78"/>
        <v>43.298324114777223</v>
      </c>
      <c r="G215" s="110">
        <f t="shared" si="76"/>
        <v>0.74228885455276794</v>
      </c>
      <c r="H215" s="412" t="b">
        <f>Wh_hp&gt;='2025'!Maxi_hp</f>
        <v>0</v>
      </c>
      <c r="I215" s="388">
        <f>IF(H215,Wh_hp,'2025'!Maxi_hp)</f>
        <v>57.966887791855576</v>
      </c>
      <c r="J215" s="85">
        <f>IF(H215,An,'2025'!An_max)</f>
        <v>2020</v>
      </c>
      <c r="K215" s="197">
        <f t="shared" si="79"/>
        <v>46223</v>
      </c>
      <c r="L215" s="147">
        <f>IF(t&lt;Tvie,1-EXP((T0-t)*PertePVj)+'2025'!Pspv,1-EXP((T0-t)*PertePVj)+Pspv)</f>
        <v>5.1302509458044487E-2</v>
      </c>
      <c r="M215" s="832"/>
      <c r="N215" s="832"/>
      <c r="O215" s="48">
        <f>IF(t&lt;Tnet,'2025'!Resal+('2025'!Salim-'2025'!Resal)*(1-EXP(('2025'!Tnet-t)/('2025'!Tau_j))),Resal+(Salim-Resal)*(1-EXP((Tnet-t)/(Tau_j))))*Salcycl</f>
        <v>4.5724126611264015E-2</v>
      </c>
      <c r="P215" s="169">
        <f>(INDEX(Models!$BJ215:$BT215,,T215)*(1-R215)+INDEX(Models!$BJ215:$BT215,,T215+1)*R215-ERP_i)*Q215*Ramure*Pc/MaxiM</f>
        <v>3.2711243072356242E-5</v>
      </c>
      <c r="Q215" s="304">
        <f t="shared" si="80"/>
        <v>0.7</v>
      </c>
      <c r="R215" s="177">
        <f t="shared" si="81"/>
        <v>0.11418999801859631</v>
      </c>
      <c r="S215" s="799">
        <f t="shared" si="82"/>
        <v>-1</v>
      </c>
      <c r="T215" s="176">
        <f t="shared" si="83"/>
        <v>5</v>
      </c>
      <c r="U215" s="250">
        <f t="shared" si="84"/>
        <v>-0.88581000198140369</v>
      </c>
      <c r="V215" s="382">
        <f t="shared" si="85"/>
        <v>52.806287577800219</v>
      </c>
      <c r="W215" s="400">
        <f t="shared" si="86"/>
        <v>39.197990771402218</v>
      </c>
      <c r="X215" s="157">
        <f t="shared" si="87"/>
        <v>46223</v>
      </c>
      <c r="Y215" s="383">
        <f t="shared" si="88"/>
        <v>37.824137037965798</v>
      </c>
      <c r="Z215" s="383">
        <f t="shared" si="89"/>
        <v>39.869544733757309</v>
      </c>
      <c r="AA215" s="384">
        <f t="shared" si="90"/>
        <v>43.235359204826651</v>
      </c>
      <c r="AB215" s="197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7.7848652884410174E-2</v>
      </c>
      <c r="AD215" s="230">
        <f>(INDEX(Models!$BJ215:$BT215,,AH215)*(1-AF215)+INDEX(Models!$BJ215:$BT215,,AH215+1)*AF215-ERP_i)*AE215*Ramure*Pc/MaxiM</f>
        <v>2.30149887194672E-3</v>
      </c>
      <c r="AE215" s="304">
        <f t="shared" si="92"/>
        <v>0.7</v>
      </c>
      <c r="AF215" s="177">
        <f t="shared" si="93"/>
        <v>0.8698478288579472</v>
      </c>
      <c r="AG215" s="799">
        <f t="shared" si="99"/>
        <v>1</v>
      </c>
      <c r="AH215" s="176">
        <f t="shared" si="94"/>
        <v>7</v>
      </c>
      <c r="AI215" s="224">
        <f t="shared" si="95"/>
        <v>1.8698478288579472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46224</v>
      </c>
      <c r="B216" s="409">
        <f>'2025'!Wh/'2025'!Env_an*'2026'!Env_an</f>
        <v>51.155948184922899</v>
      </c>
      <c r="C216" s="829"/>
      <c r="D216" s="391">
        <f t="shared" si="77"/>
        <v>53.923330783308614</v>
      </c>
      <c r="E216" s="383">
        <f t="shared" si="75"/>
        <v>56.511039996368581</v>
      </c>
      <c r="F216" s="383">
        <f t="shared" si="78"/>
        <v>56.513050958729934</v>
      </c>
      <c r="G216" s="110">
        <f t="shared" si="76"/>
        <v>0.97093719961446934</v>
      </c>
      <c r="H216" s="412" t="b">
        <f>Wh_hp&gt;='2025'!Maxi_hp</f>
        <v>1</v>
      </c>
      <c r="I216" s="388">
        <f>IF(H216,Wh_hp,'2025'!Maxi_hp)</f>
        <v>56.513050958729934</v>
      </c>
      <c r="J216" s="85">
        <f>IF(H216,An,'2025'!An_max)</f>
        <v>2026</v>
      </c>
      <c r="K216" s="197">
        <f t="shared" si="79"/>
        <v>46224</v>
      </c>
      <c r="L216" s="147">
        <f>IF(t&lt;Tvie,1-EXP((T0-t)*PertePVj)+'2025'!Pspv,1-EXP((T0-t)*PertePVj)+Pspv)</f>
        <v>5.132069102901804E-2</v>
      </c>
      <c r="M216" s="832"/>
      <c r="N216" s="832"/>
      <c r="O216" s="48">
        <f>IF(t&lt;Tnet,'2025'!Resal+('2025'!Salim-'2025'!Resal)*(1-EXP(('2025'!Tnet-t)/('2025'!Tau_j))),Resal+(Salim-Resal)*(1-EXP((Tnet-t)/(Tau_j))))*Salcycl</f>
        <v>4.5791215543480666E-2</v>
      </c>
      <c r="P216" s="169">
        <f>(INDEX(Models!$BJ216:$BT216,,T216)*(1-R216)+INDEX(Models!$BJ216:$BT216,,T216+1)*R216-ERP_i)*Q216*Ramure*Pc/MaxiM</f>
        <v>3.7125335549183099E-5</v>
      </c>
      <c r="Q216" s="304">
        <f t="shared" si="80"/>
        <v>0.7</v>
      </c>
      <c r="R216" s="177">
        <f t="shared" si="81"/>
        <v>0.11639389622504415</v>
      </c>
      <c r="S216" s="799">
        <f t="shared" si="82"/>
        <v>-1</v>
      </c>
      <c r="T216" s="176">
        <f t="shared" si="83"/>
        <v>5</v>
      </c>
      <c r="U216" s="250">
        <f t="shared" si="84"/>
        <v>-0.88360610377495585</v>
      </c>
      <c r="V216" s="382">
        <f t="shared" si="85"/>
        <v>52.687104125497235</v>
      </c>
      <c r="W216" s="400">
        <f t="shared" si="86"/>
        <v>51.155948184922899</v>
      </c>
      <c r="X216" s="157">
        <f t="shared" si="87"/>
        <v>46224</v>
      </c>
      <c r="Y216" s="383">
        <f t="shared" si="88"/>
        <v>49.318791989814656</v>
      </c>
      <c r="Z216" s="383">
        <f t="shared" si="89"/>
        <v>51.986789975750604</v>
      </c>
      <c r="AA216" s="384">
        <f t="shared" si="90"/>
        <v>56.377418503102426</v>
      </c>
      <c r="AB216" s="197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7.7879204900277707E-2</v>
      </c>
      <c r="AD216" s="230">
        <f>(INDEX(Models!$BJ216:$BT216,,AH216)*(1-AF216)+INDEX(Models!$BJ216:$BT216,,AH216+1)*AF216-ERP_i)*AE216*Ramure*Pc/MaxiM</f>
        <v>2.503975471299308E-3</v>
      </c>
      <c r="AE216" s="304">
        <f t="shared" si="92"/>
        <v>0.7</v>
      </c>
      <c r="AF216" s="177">
        <f t="shared" si="93"/>
        <v>0.87205172706439504</v>
      </c>
      <c r="AG216" s="799">
        <f t="shared" si="99"/>
        <v>1</v>
      </c>
      <c r="AH216" s="176">
        <f t="shared" si="94"/>
        <v>7</v>
      </c>
      <c r="AI216" s="224">
        <f t="shared" si="95"/>
        <v>1.872051727064395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46225</v>
      </c>
      <c r="B217" s="409">
        <f>'2025'!Wh/'2025'!Env_an*'2026'!Env_an</f>
        <v>42.97768292526321</v>
      </c>
      <c r="C217" s="829"/>
      <c r="D217" s="391">
        <f t="shared" si="77"/>
        <v>45.303514256208807</v>
      </c>
      <c r="E217" s="383">
        <f t="shared" si="75"/>
        <v>47.480890952888657</v>
      </c>
      <c r="F217" s="383">
        <f t="shared" si="78"/>
        <v>47.482376603601267</v>
      </c>
      <c r="G217" s="110">
        <f t="shared" si="76"/>
        <v>0.81756600990174033</v>
      </c>
      <c r="H217" s="412" t="b">
        <f>Wh_hp&gt;='2025'!Maxi_hp</f>
        <v>0</v>
      </c>
      <c r="I217" s="388">
        <f>IF(H217,Wh_hp,'2025'!Maxi_hp)</f>
        <v>54.98806790169472</v>
      </c>
      <c r="J217" s="85">
        <f>IF(H217,An,'2025'!An_max)</f>
        <v>2021</v>
      </c>
      <c r="K217" s="197">
        <f t="shared" si="79"/>
        <v>46225</v>
      </c>
      <c r="L217" s="147">
        <f>IF(t&lt;Tvie,1-EXP((T0-t)*PertePVj)+'2025'!Pspv,1-EXP((T0-t)*PertePVj)+Pspv)</f>
        <v>5.1338872251545986E-2</v>
      </c>
      <c r="M217" s="832"/>
      <c r="N217" s="832"/>
      <c r="O217" s="48">
        <f>IF(t&lt;Tnet,'2025'!Resal+('2025'!Salim-'2025'!Resal)*(1-EXP(('2025'!Tnet-t)/('2025'!Tau_j))),Resal+(Salim-Resal)*(1-EXP((Tnet-t)/(Tau_j))))*Salcycl</f>
        <v>4.5857957864360213E-2</v>
      </c>
      <c r="P217" s="169">
        <f>(INDEX(Models!$BJ217:$BT217,,T217)*(1-R217)+INDEX(Models!$BJ217:$BT217,,T217+1)*R217-ERP_i)*Q217*Ramure*Pc/MaxiM</f>
        <v>4.23164273532284E-5</v>
      </c>
      <c r="Q217" s="304">
        <f t="shared" si="80"/>
        <v>0.7</v>
      </c>
      <c r="R217" s="177">
        <f t="shared" si="81"/>
        <v>0.11853643675086745</v>
      </c>
      <c r="S217" s="799">
        <f t="shared" si="82"/>
        <v>-1</v>
      </c>
      <c r="T217" s="176">
        <f t="shared" si="83"/>
        <v>5</v>
      </c>
      <c r="U217" s="250">
        <f t="shared" si="84"/>
        <v>-0.88146356324913255</v>
      </c>
      <c r="V217" s="382">
        <f t="shared" si="85"/>
        <v>52.567264824720624</v>
      </c>
      <c r="W217" s="400">
        <f t="shared" si="86"/>
        <v>42.97768292526321</v>
      </c>
      <c r="X217" s="157">
        <f t="shared" si="87"/>
        <v>46225</v>
      </c>
      <c r="Y217" s="383">
        <f t="shared" si="88"/>
        <v>41.451857424625764</v>
      </c>
      <c r="Z217" s="383">
        <f t="shared" si="89"/>
        <v>43.69511537065646</v>
      </c>
      <c r="AA217" s="384">
        <f t="shared" si="90"/>
        <v>47.387001594969902</v>
      </c>
      <c r="AB217" s="197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7.790925992467379E-2</v>
      </c>
      <c r="AD217" s="230">
        <f>(INDEX(Models!$BJ217:$BT217,,AH217)*(1-AF217)+INDEX(Models!$BJ217:$BT217,,AH217+1)*AF217-ERP_i)*AE217*Ramure*Pc/MaxiM</f>
        <v>2.7166073356253602E-3</v>
      </c>
      <c r="AE217" s="304">
        <f t="shared" si="92"/>
        <v>0.7</v>
      </c>
      <c r="AF217" s="177">
        <f t="shared" si="93"/>
        <v>0.87419426759021834</v>
      </c>
      <c r="AG217" s="799">
        <f t="shared" si="99"/>
        <v>1</v>
      </c>
      <c r="AH217" s="176">
        <f t="shared" si="94"/>
        <v>7</v>
      </c>
      <c r="AI217" s="224">
        <f t="shared" si="95"/>
        <v>1.8741942675902183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46226</v>
      </c>
      <c r="B218" s="409">
        <f>'2025'!Wh/'2025'!Env_an*'2026'!Env_an</f>
        <v>37.9082324478291</v>
      </c>
      <c r="C218" s="829"/>
      <c r="D218" s="391">
        <f t="shared" si="77"/>
        <v>39.960485209668178</v>
      </c>
      <c r="E218" s="383">
        <f t="shared" si="75"/>
        <v>41.883980681980461</v>
      </c>
      <c r="F218" s="383">
        <f t="shared" si="78"/>
        <v>41.885202739280722</v>
      </c>
      <c r="G218" s="110">
        <f t="shared" si="76"/>
        <v>0.72277926114822133</v>
      </c>
      <c r="H218" s="412" t="b">
        <f>Wh_hp&gt;='2025'!Maxi_hp</f>
        <v>0</v>
      </c>
      <c r="I218" s="388">
        <f>IF(H218,Wh_hp,'2025'!Maxi_hp)</f>
        <v>56.499257606465072</v>
      </c>
      <c r="J218" s="85">
        <f>IF(H218,An,'2025'!An_max)</f>
        <v>2018</v>
      </c>
      <c r="K218" s="197">
        <f t="shared" si="79"/>
        <v>46226</v>
      </c>
      <c r="L218" s="147">
        <f>IF(t&lt;Tvie,1-EXP((T0-t)*PertePVj)+'2025'!Pspv,1-EXP((T0-t)*PertePVj)+Pspv)</f>
        <v>5.1357053125634877E-2</v>
      </c>
      <c r="M218" s="832"/>
      <c r="N218" s="832"/>
      <c r="O218" s="48">
        <f>IF(t&lt;Tnet,'2025'!Resal+('2025'!Salim-'2025'!Resal)*(1-EXP(('2025'!Tnet-t)/('2025'!Tau_j))),Resal+(Salim-Resal)*(1-EXP((Tnet-t)/(Tau_j))))*Salcycl</f>
        <v>4.5924371107825934E-2</v>
      </c>
      <c r="P218" s="169">
        <f>(INDEX(Models!$BJ218:$BT218,,T218)*(1-R218)+INDEX(Models!$BJ218:$BT218,,T218+1)*R218-ERP_i)*Q218*Ramure*Pc/MaxiM</f>
        <v>4.8306003536867395E-5</v>
      </c>
      <c r="Q218" s="304">
        <f t="shared" si="80"/>
        <v>0.7</v>
      </c>
      <c r="R218" s="177">
        <f t="shared" si="81"/>
        <v>0.12061841255977312</v>
      </c>
      <c r="S218" s="799">
        <f t="shared" si="82"/>
        <v>-1</v>
      </c>
      <c r="T218" s="176">
        <f t="shared" si="83"/>
        <v>5</v>
      </c>
      <c r="U218" s="250">
        <f t="shared" si="84"/>
        <v>-0.87938158744022688</v>
      </c>
      <c r="V218" s="382">
        <f t="shared" si="85"/>
        <v>52.446866274311347</v>
      </c>
      <c r="W218" s="400">
        <f t="shared" si="86"/>
        <v>37.9082324478291</v>
      </c>
      <c r="X218" s="157">
        <f t="shared" si="87"/>
        <v>46226</v>
      </c>
      <c r="Y218" s="383">
        <f t="shared" si="88"/>
        <v>36.572226236028172</v>
      </c>
      <c r="Z218" s="383">
        <f t="shared" si="89"/>
        <v>38.552151108621132</v>
      </c>
      <c r="AA218" s="384">
        <f t="shared" si="90"/>
        <v>41.810839846291223</v>
      </c>
      <c r="AB218" s="197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7.793884910348553E-2</v>
      </c>
      <c r="AD218" s="230">
        <f>(INDEX(Models!$BJ218:$BT218,,AH218)*(1-AF218)+INDEX(Models!$BJ218:$BT218,,AH218+1)*AF218-ERP_i)*AE218*Ramure*Pc/MaxiM</f>
        <v>2.9394482329047006E-3</v>
      </c>
      <c r="AE218" s="304">
        <f t="shared" si="92"/>
        <v>0.7</v>
      </c>
      <c r="AF218" s="177">
        <f t="shared" si="93"/>
        <v>0.87627624339912402</v>
      </c>
      <c r="AG218" s="799">
        <f t="shared" si="99"/>
        <v>1</v>
      </c>
      <c r="AH218" s="176">
        <f t="shared" si="94"/>
        <v>7</v>
      </c>
      <c r="AI218" s="224">
        <f t="shared" si="95"/>
        <v>1.876276243399124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46227</v>
      </c>
      <c r="B219" s="409">
        <f>'2025'!Wh/'2025'!Env_an*'2026'!Env_an</f>
        <v>51.518174460297693</v>
      </c>
      <c r="C219" s="829"/>
      <c r="D219" s="391">
        <f t="shared" si="77"/>
        <v>54.308274765577792</v>
      </c>
      <c r="E219" s="383">
        <f t="shared" si="75"/>
        <v>56.926344201483872</v>
      </c>
      <c r="F219" s="383">
        <f t="shared" si="78"/>
        <v>56.929412706918249</v>
      </c>
      <c r="G219" s="110">
        <f t="shared" si="76"/>
        <v>0.98456902255913237</v>
      </c>
      <c r="H219" s="412" t="b">
        <f>Wh_hp&gt;='2025'!Maxi_hp</f>
        <v>1</v>
      </c>
      <c r="I219" s="388">
        <f>IF(H219,Wh_hp,'2025'!Maxi_hp)</f>
        <v>56.929412706918249</v>
      </c>
      <c r="J219" s="85">
        <f>IF(H219,An,'2025'!An_max)</f>
        <v>2026</v>
      </c>
      <c r="K219" s="197">
        <f t="shared" si="79"/>
        <v>46227</v>
      </c>
      <c r="L219" s="147">
        <f>IF(t&lt;Tvie,1-EXP((T0-t)*PertePVj)+'2025'!Pspv,1-EXP((T0-t)*PertePVj)+Pspv)</f>
        <v>5.1375233651291485E-2</v>
      </c>
      <c r="M219" s="832"/>
      <c r="N219" s="832"/>
      <c r="O219" s="48">
        <f>IF(t&lt;Tnet,'2025'!Resal+('2025'!Salim-'2025'!Resal)*(1-EXP(('2025'!Tnet-t)/('2025'!Tau_j))),Resal+(Salim-Resal)*(1-EXP((Tnet-t)/(Tau_j))))*Salcycl</f>
        <v>4.599047194458409E-2</v>
      </c>
      <c r="P219" s="169">
        <f>(INDEX(Models!$BJ219:$BT219,,T219)*(1-R219)+INDEX(Models!$BJ219:$BT219,,T219+1)*R219-ERP_i)*Q219*Ramure*Pc/MaxiM</f>
        <v>5.5115053249287395E-5</v>
      </c>
      <c r="Q219" s="304">
        <f t="shared" si="80"/>
        <v>0.7</v>
      </c>
      <c r="R219" s="177">
        <f t="shared" si="81"/>
        <v>0.12264067179407501</v>
      </c>
      <c r="S219" s="799">
        <f t="shared" si="82"/>
        <v>-1</v>
      </c>
      <c r="T219" s="176">
        <f t="shared" si="83"/>
        <v>5</v>
      </c>
      <c r="U219" s="250">
        <f t="shared" si="84"/>
        <v>-0.87735932820592499</v>
      </c>
      <c r="V219" s="382">
        <f t="shared" si="85"/>
        <v>52.325546191592721</v>
      </c>
      <c r="W219" s="400">
        <f t="shared" si="86"/>
        <v>51.518174460297693</v>
      </c>
      <c r="X219" s="157">
        <f t="shared" si="87"/>
        <v>46227</v>
      </c>
      <c r="Y219" s="383">
        <f t="shared" si="88"/>
        <v>49.639523003417381</v>
      </c>
      <c r="Z219" s="383">
        <f t="shared" si="89"/>
        <v>52.327880068408632</v>
      </c>
      <c r="AA219" s="384">
        <f t="shared" si="90"/>
        <v>56.752781010695124</v>
      </c>
      <c r="AB219" s="197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7.7968001981305837E-2</v>
      </c>
      <c r="AD219" s="230">
        <f>(INDEX(Models!$BJ219:$BT219,,AH219)*(1-AF219)+INDEX(Models!$BJ219:$BT219,,AH219+1)*AF219-ERP_i)*AE219*Ramure*Pc/MaxiM</f>
        <v>3.1725755586965716E-3</v>
      </c>
      <c r="AE219" s="304">
        <f t="shared" si="92"/>
        <v>0.7</v>
      </c>
      <c r="AF219" s="177">
        <f t="shared" si="93"/>
        <v>0.87829850263342601</v>
      </c>
      <c r="AG219" s="799">
        <f t="shared" si="99"/>
        <v>1</v>
      </c>
      <c r="AH219" s="176">
        <f t="shared" si="94"/>
        <v>7</v>
      </c>
      <c r="AI219" s="224">
        <f t="shared" si="95"/>
        <v>1.878298502633426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46228</v>
      </c>
      <c r="B220" s="409">
        <f>'2025'!Wh/'2025'!Env_an*'2026'!Env_an</f>
        <v>27.551482655860028</v>
      </c>
      <c r="C220" s="829"/>
      <c r="D220" s="391">
        <f t="shared" si="77"/>
        <v>29.044161254515689</v>
      </c>
      <c r="E220" s="383">
        <f t="shared" si="75"/>
        <v>30.446409497261119</v>
      </c>
      <c r="F220" s="383">
        <f t="shared" si="78"/>
        <v>30.447037022837812</v>
      </c>
      <c r="G220" s="110">
        <f t="shared" si="76"/>
        <v>0.52775418207226155</v>
      </c>
      <c r="H220" s="412" t="b">
        <f>Wh_hp&gt;='2025'!Maxi_hp</f>
        <v>0</v>
      </c>
      <c r="I220" s="388">
        <f>IF(H220,Wh_hp,'2025'!Maxi_hp)</f>
        <v>57.091704599474085</v>
      </c>
      <c r="J220" s="85">
        <f>IF(H220,An,'2025'!An_max)</f>
        <v>2018</v>
      </c>
      <c r="K220" s="197">
        <f t="shared" si="79"/>
        <v>46228</v>
      </c>
      <c r="L220" s="147">
        <f>IF(t&lt;Tvie,1-EXP((T0-t)*PertePVj)+'2025'!Pspv,1-EXP((T0-t)*PertePVj)+Pspv)</f>
        <v>5.1393413828522472E-2</v>
      </c>
      <c r="M220" s="832"/>
      <c r="N220" s="832"/>
      <c r="O220" s="48">
        <f>IF(t&lt;Tnet,'2025'!Resal+('2025'!Salim-'2025'!Resal)*(1-EXP(('2025'!Tnet-t)/('2025'!Tau_j))),Resal+(Salim-Resal)*(1-EXP((Tnet-t)/(Tau_j))))*Salcycl</f>
        <v>4.6056276122528397E-2</v>
      </c>
      <c r="P220" s="169">
        <f>(INDEX(Models!$BJ220:$BT220,,T220)*(1-R220)+INDEX(Models!$BJ220:$BT220,,T220+1)*R220-ERP_i)*Q220*Ramure*Pc/MaxiM</f>
        <v>6.333956475027855E-5</v>
      </c>
      <c r="Q220" s="304">
        <f t="shared" si="80"/>
        <v>0.7</v>
      </c>
      <c r="R220" s="177">
        <f t="shared" si="81"/>
        <v>0.12460411258378301</v>
      </c>
      <c r="S220" s="799">
        <f t="shared" si="82"/>
        <v>-1</v>
      </c>
      <c r="T220" s="176">
        <f t="shared" si="83"/>
        <v>5</v>
      </c>
      <c r="U220" s="250">
        <f t="shared" si="84"/>
        <v>-0.87539588741621699</v>
      </c>
      <c r="V220" s="382">
        <f t="shared" si="85"/>
        <v>52.202912483884965</v>
      </c>
      <c r="W220" s="400">
        <f t="shared" si="86"/>
        <v>27.551482655860028</v>
      </c>
      <c r="X220" s="157">
        <f t="shared" si="87"/>
        <v>46228</v>
      </c>
      <c r="Y220" s="383">
        <f t="shared" si="88"/>
        <v>26.599973244975807</v>
      </c>
      <c r="Z220" s="383">
        <f t="shared" si="89"/>
        <v>28.041101161158696</v>
      </c>
      <c r="AA220" s="384">
        <f t="shared" si="90"/>
        <v>30.413234499948199</v>
      </c>
      <c r="AB220" s="197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7.799674640964431E-2</v>
      </c>
      <c r="AD220" s="230">
        <f>(INDEX(Models!$BJ220:$BT220,,AH220)*(1-AF220)+INDEX(Models!$BJ220:$BT220,,AH220+1)*AF220-ERP_i)*AE220*Ramure*Pc/MaxiM</f>
        <v>3.4118722276977628E-3</v>
      </c>
      <c r="AE220" s="304">
        <f t="shared" si="92"/>
        <v>0.7</v>
      </c>
      <c r="AF220" s="177">
        <f t="shared" si="93"/>
        <v>0.8802619434231338</v>
      </c>
      <c r="AG220" s="799">
        <f t="shared" si="99"/>
        <v>1</v>
      </c>
      <c r="AH220" s="176">
        <f t="shared" si="94"/>
        <v>7</v>
      </c>
      <c r="AI220" s="224">
        <f t="shared" si="95"/>
        <v>1.8802619434231338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46229</v>
      </c>
      <c r="B221" s="409">
        <f>'2025'!Wh/'2025'!Env_an*'2026'!Env_an</f>
        <v>43.400250282943652</v>
      </c>
      <c r="C221" s="829"/>
      <c r="D221" s="391">
        <f t="shared" si="77"/>
        <v>45.752457011651337</v>
      </c>
      <c r="E221" s="383">
        <f t="shared" si="75"/>
        <v>47.964674038767335</v>
      </c>
      <c r="F221" s="383">
        <f t="shared" si="78"/>
        <v>47.96733740046006</v>
      </c>
      <c r="G221" s="110">
        <f t="shared" si="76"/>
        <v>0.83333857823079838</v>
      </c>
      <c r="H221" s="412" t="b">
        <f>Wh_hp&gt;='2025'!Maxi_hp</f>
        <v>0</v>
      </c>
      <c r="I221" s="388">
        <f>IF(H221,Wh_hp,'2025'!Maxi_hp)</f>
        <v>56.969060465949205</v>
      </c>
      <c r="J221" s="85">
        <f>IF(H221,An,'2025'!An_max)</f>
        <v>2020</v>
      </c>
      <c r="K221" s="197">
        <f t="shared" si="79"/>
        <v>46229</v>
      </c>
      <c r="L221" s="147">
        <f>IF(t&lt;Tvie,1-EXP((T0-t)*PertePVj)+'2025'!Pspv,1-EXP((T0-t)*PertePVj)+Pspv)</f>
        <v>5.1411593657334498E-2</v>
      </c>
      <c r="M221" s="832"/>
      <c r="N221" s="832"/>
      <c r="O221" s="48">
        <f>IF(t&lt;Tnet,'2025'!Resal+('2025'!Salim-'2025'!Resal)*(1-EXP(('2025'!Tnet-t)/('2025'!Tau_j))),Resal+(Salim-Resal)*(1-EXP((Tnet-t)/(Tau_j))))*Salcycl</f>
        <v>4.6121798416225615E-2</v>
      </c>
      <c r="P221" s="169">
        <f>(INDEX(Models!$BJ221:$BT221,,T221)*(1-R221)+INDEX(Models!$BJ221:$BT221,,T221+1)*R221-ERP_i)*Q221*Ramure*Pc/MaxiM</f>
        <v>7.2873193995304702E-5</v>
      </c>
      <c r="Q221" s="304">
        <f t="shared" si="80"/>
        <v>0.7</v>
      </c>
      <c r="R221" s="177">
        <f t="shared" si="81"/>
        <v>0.12650967800607016</v>
      </c>
      <c r="S221" s="799">
        <f t="shared" si="82"/>
        <v>-1</v>
      </c>
      <c r="T221" s="176">
        <f t="shared" si="83"/>
        <v>5</v>
      </c>
      <c r="U221" s="250">
        <f t="shared" si="84"/>
        <v>-0.87349032199392984</v>
      </c>
      <c r="V221" s="382">
        <f t="shared" si="85"/>
        <v>52.079068984120141</v>
      </c>
      <c r="W221" s="400">
        <f t="shared" si="86"/>
        <v>43.400250282943652</v>
      </c>
      <c r="X221" s="157">
        <f t="shared" si="87"/>
        <v>46229</v>
      </c>
      <c r="Y221" s="383">
        <f t="shared" si="88"/>
        <v>41.83441010482295</v>
      </c>
      <c r="Z221" s="383">
        <f t="shared" si="89"/>
        <v>44.10175142886029</v>
      </c>
      <c r="AA221" s="384">
        <f t="shared" si="90"/>
        <v>47.834004845537201</v>
      </c>
      <c r="AB221" s="197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7.8025108471032098E-2</v>
      </c>
      <c r="AD221" s="230">
        <f>(INDEX(Models!$BJ221:$BT221,,AH221)*(1-AF221)+INDEX(Models!$BJ221:$BT221,,AH221+1)*AF221-ERP_i)*AE221*Ramure*Pc/MaxiM</f>
        <v>3.6481598302327833E-3</v>
      </c>
      <c r="AE221" s="304">
        <f t="shared" si="92"/>
        <v>0.7</v>
      </c>
      <c r="AF221" s="177">
        <f t="shared" si="93"/>
        <v>0.88216750884542106</v>
      </c>
      <c r="AG221" s="799">
        <f t="shared" si="99"/>
        <v>1</v>
      </c>
      <c r="AH221" s="176">
        <f t="shared" si="94"/>
        <v>7</v>
      </c>
      <c r="AI221" s="224">
        <f t="shared" si="95"/>
        <v>1.8821675088454211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46230</v>
      </c>
      <c r="B222" s="409">
        <f>'2025'!Wh/'2025'!Env_an*'2026'!Env_an</f>
        <v>53.454171443314323</v>
      </c>
      <c r="C222" s="829"/>
      <c r="D222" s="391">
        <f t="shared" si="77"/>
        <v>56.352360562836829</v>
      </c>
      <c r="E222" s="383">
        <f t="shared" si="75"/>
        <v>59.08114449022041</v>
      </c>
      <c r="F222" s="383">
        <f t="shared" si="78"/>
        <v>59.086092502375408</v>
      </c>
      <c r="G222" s="110">
        <f t="shared" si="76"/>
        <v>1.0288727641708302</v>
      </c>
      <c r="H222" s="412" t="b">
        <f>Wh_hp&gt;='2025'!Maxi_hp</f>
        <v>1</v>
      </c>
      <c r="I222" s="388">
        <f>IF(H222,Wh_hp,'2025'!Maxi_hp)</f>
        <v>59.086092502375408</v>
      </c>
      <c r="J222" s="85">
        <f>IF(H222,An,'2025'!An_max)</f>
        <v>2026</v>
      </c>
      <c r="K222" s="197">
        <f t="shared" si="79"/>
        <v>46230</v>
      </c>
      <c r="L222" s="147">
        <f>IF(t&lt;Tvie,1-EXP((T0-t)*PertePVj)+'2025'!Pspv,1-EXP((T0-t)*PertePVj)+Pspv)</f>
        <v>5.1429773137734336E-2</v>
      </c>
      <c r="M222" s="832"/>
      <c r="N222" s="832"/>
      <c r="O222" s="48">
        <f>IF(t&lt;Tnet,'2025'!Resal+('2025'!Salim-'2025'!Resal)*(1-EXP(('2025'!Tnet-t)/('2025'!Tau_j))),Resal+(Salim-Resal)*(1-EXP((Tnet-t)/(Tau_j))))*Salcycl</f>
        <v>4.6187052585537985E-2</v>
      </c>
      <c r="P222" s="169">
        <f>(INDEX(Models!$BJ222:$BT222,,T222)*(1-R222)+INDEX(Models!$BJ222:$BT222,,T222+1)*R222-ERP_i)*Q222*Ramure*Pc/MaxiM</f>
        <v>8.3742416285152263E-5</v>
      </c>
      <c r="Q222" s="304">
        <f t="shared" si="80"/>
        <v>0.7</v>
      </c>
      <c r="R222" s="177">
        <f t="shared" si="81"/>
        <v>0.1283583512100428</v>
      </c>
      <c r="S222" s="799">
        <f t="shared" si="82"/>
        <v>-1</v>
      </c>
      <c r="T222" s="176">
        <f t="shared" si="83"/>
        <v>5</v>
      </c>
      <c r="U222" s="250">
        <f t="shared" si="84"/>
        <v>-0.8716416487899572</v>
      </c>
      <c r="V222" s="382">
        <f t="shared" si="85"/>
        <v>51.954112602439338</v>
      </c>
      <c r="W222" s="400">
        <f t="shared" si="86"/>
        <v>53.454171443314323</v>
      </c>
      <c r="X222" s="157">
        <f t="shared" si="87"/>
        <v>46230</v>
      </c>
      <c r="Y222" s="383">
        <f t="shared" si="88"/>
        <v>51.472081086915559</v>
      </c>
      <c r="Z222" s="383">
        <f t="shared" si="89"/>
        <v>54.262804829092964</v>
      </c>
      <c r="AA222" s="384">
        <f t="shared" si="90"/>
        <v>58.85675797601219</v>
      </c>
      <c r="AB222" s="197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7.8053112418994403E-2</v>
      </c>
      <c r="AD222" s="230">
        <f>(INDEX(Models!$BJ222:$BT222,,AH222)*(1-AF222)+INDEX(Models!$BJ222:$BT222,,AH222+1)*AF222-ERP_i)*AE222*Ramure*Pc/MaxiM</f>
        <v>3.8813622064108838E-3</v>
      </c>
      <c r="AE222" s="304">
        <f t="shared" si="92"/>
        <v>0.7</v>
      </c>
      <c r="AF222" s="177">
        <f t="shared" si="93"/>
        <v>0.8840161820493937</v>
      </c>
      <c r="AG222" s="799">
        <f t="shared" si="99"/>
        <v>1</v>
      </c>
      <c r="AH222" s="176">
        <f t="shared" si="94"/>
        <v>7</v>
      </c>
      <c r="AI222" s="224">
        <f t="shared" si="95"/>
        <v>1.8840161820493937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46231</v>
      </c>
      <c r="B223" s="409">
        <f>'2025'!Wh/'2025'!Env_an*'2026'!Env_an</f>
        <v>42.616947090031658</v>
      </c>
      <c r="C223" s="829"/>
      <c r="D223" s="391">
        <f t="shared" si="77"/>
        <v>44.928422422372051</v>
      </c>
      <c r="E223" s="383">
        <f t="shared" si="75"/>
        <v>47.107228367466909</v>
      </c>
      <c r="F223" s="383">
        <f t="shared" si="78"/>
        <v>47.110601762382963</v>
      </c>
      <c r="G223" s="110">
        <f t="shared" si="76"/>
        <v>0.82225424816466697</v>
      </c>
      <c r="H223" s="412" t="b">
        <f>Wh_hp&gt;='2025'!Maxi_hp</f>
        <v>0</v>
      </c>
      <c r="I223" s="388">
        <f>IF(H223,Wh_hp,'2025'!Maxi_hp)</f>
        <v>55.235892081296527</v>
      </c>
      <c r="J223" s="85">
        <f>IF(H223,An,'2025'!An_max)</f>
        <v>2020</v>
      </c>
      <c r="K223" s="197">
        <f t="shared" si="79"/>
        <v>46231</v>
      </c>
      <c r="L223" s="147">
        <f>IF(t&lt;Tvie,1-EXP((T0-t)*PertePVj)+'2025'!Pspv,1-EXP((T0-t)*PertePVj)+Pspv)</f>
        <v>5.1447952269728425E-2</v>
      </c>
      <c r="M223" s="832"/>
      <c r="N223" s="832"/>
      <c r="O223" s="48">
        <f>IF(t&lt;Tnet,'2025'!Resal+('2025'!Salim-'2025'!Resal)*(1-EXP(('2025'!Tnet-t)/('2025'!Tau_j))),Resal+(Salim-Resal)*(1-EXP((Tnet-t)/(Tau_j))))*Salcycl</f>
        <v>4.6252051343347131E-2</v>
      </c>
      <c r="P223" s="169">
        <f>(INDEX(Models!$BJ223:$BT223,,T223)*(1-R223)+INDEX(Models!$BJ223:$BT223,,T223+1)*R223-ERP_i)*Q223*Ramure*Pc/MaxiM</f>
        <v>9.5972748067305361E-5</v>
      </c>
      <c r="Q223" s="304">
        <f t="shared" si="80"/>
        <v>0.7</v>
      </c>
      <c r="R223" s="177">
        <f t="shared" si="81"/>
        <v>0.13015115071930805</v>
      </c>
      <c r="S223" s="799">
        <f t="shared" si="82"/>
        <v>-1</v>
      </c>
      <c r="T223" s="176">
        <f t="shared" si="83"/>
        <v>5</v>
      </c>
      <c r="U223" s="250">
        <f t="shared" si="84"/>
        <v>-0.86984884928069195</v>
      </c>
      <c r="V223" s="382">
        <f t="shared" si="85"/>
        <v>51.828140344905023</v>
      </c>
      <c r="W223" s="400">
        <f t="shared" si="86"/>
        <v>42.616947090031658</v>
      </c>
      <c r="X223" s="157">
        <f t="shared" si="87"/>
        <v>46231</v>
      </c>
      <c r="Y223" s="383">
        <f t="shared" si="88"/>
        <v>41.071297353445111</v>
      </c>
      <c r="Z223" s="383">
        <f t="shared" si="89"/>
        <v>43.29893910589508</v>
      </c>
      <c r="AA223" s="384">
        <f t="shared" si="90"/>
        <v>46.966087913492025</v>
      </c>
      <c r="AB223" s="197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7.8080780633710739E-2</v>
      </c>
      <c r="AD223" s="230">
        <f>(INDEX(Models!$BJ223:$BT223,,AH223)*(1-AF223)+INDEX(Models!$BJ223:$BT223,,AH223+1)*AF223-ERP_i)*AE223*Ramure*Pc/MaxiM</f>
        <v>4.1114045514961802E-3</v>
      </c>
      <c r="AE223" s="304">
        <f t="shared" si="92"/>
        <v>0.7</v>
      </c>
      <c r="AF223" s="177">
        <f t="shared" si="93"/>
        <v>0.88580898155865895</v>
      </c>
      <c r="AG223" s="799">
        <f t="shared" si="99"/>
        <v>1</v>
      </c>
      <c r="AH223" s="176">
        <f t="shared" si="94"/>
        <v>7</v>
      </c>
      <c r="AI223" s="224">
        <f t="shared" si="95"/>
        <v>1.8858089815586589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46232</v>
      </c>
      <c r="B224" s="409">
        <f>'2025'!Wh/'2025'!Env_an*'2026'!Env_an</f>
        <v>25.107726384949476</v>
      </c>
      <c r="C224" s="829"/>
      <c r="D224" s="391">
        <f t="shared" si="77"/>
        <v>26.470036766142041</v>
      </c>
      <c r="E224" s="383">
        <f t="shared" si="75"/>
        <v>27.755586909675557</v>
      </c>
      <c r="F224" s="383">
        <f t="shared" si="78"/>
        <v>27.75639355277794</v>
      </c>
      <c r="G224" s="110">
        <f t="shared" si="76"/>
        <v>0.48559183395578415</v>
      </c>
      <c r="H224" s="412" t="b">
        <f>Wh_hp&gt;='2025'!Maxi_hp</f>
        <v>0</v>
      </c>
      <c r="I224" s="388">
        <f>IF(H224,Wh_hp,'2025'!Maxi_hp)</f>
        <v>58.807397280234632</v>
      </c>
      <c r="J224" s="85">
        <f>IF(H224,An,'2025'!An_max)</f>
        <v>2018</v>
      </c>
      <c r="K224" s="197">
        <f t="shared" si="79"/>
        <v>46232</v>
      </c>
      <c r="L224" s="147">
        <f>IF(t&lt;Tvie,1-EXP((T0-t)*PertePVj)+'2025'!Pspv,1-EXP((T0-t)*PertePVj)+Pspv)</f>
        <v>5.146613105332376E-2</v>
      </c>
      <c r="M224" s="832"/>
      <c r="N224" s="832"/>
      <c r="O224" s="48">
        <f>IF(t&lt;Tnet,'2025'!Resal+('2025'!Salim-'2025'!Resal)*(1-EXP(('2025'!Tnet-t)/('2025'!Tau_j))),Resal+(Salim-Resal)*(1-EXP((Tnet-t)/(Tau_j))))*Salcycl</f>
        <v>4.6316806332255087E-2</v>
      </c>
      <c r="P224" s="169">
        <f>(INDEX(Models!$BJ224:$BT224,,T224)*(1-R224)+INDEX(Models!$BJ224:$BT224,,T224+1)*R224-ERP_i)*Q224*Ramure*Pc/MaxiM</f>
        <v>1.095887719411439E-4</v>
      </c>
      <c r="Q224" s="304">
        <f t="shared" si="80"/>
        <v>0.7</v>
      </c>
      <c r="R224" s="177">
        <f t="shared" si="81"/>
        <v>0.13188912592253477</v>
      </c>
      <c r="S224" s="799">
        <f t="shared" si="82"/>
        <v>-1</v>
      </c>
      <c r="T224" s="176">
        <f t="shared" si="83"/>
        <v>5</v>
      </c>
      <c r="U224" s="250">
        <f t="shared" si="84"/>
        <v>-0.86811087407746523</v>
      </c>
      <c r="V224" s="382">
        <f t="shared" si="85"/>
        <v>51.701249309666615</v>
      </c>
      <c r="W224" s="400">
        <f t="shared" si="86"/>
        <v>25.107726384949476</v>
      </c>
      <c r="X224" s="157">
        <f t="shared" si="87"/>
        <v>46232</v>
      </c>
      <c r="Y224" s="383">
        <f t="shared" si="88"/>
        <v>24.243535038369746</v>
      </c>
      <c r="Z224" s="383">
        <f t="shared" si="89"/>
        <v>25.558955596695352</v>
      </c>
      <c r="AA224" s="384">
        <f t="shared" si="90"/>
        <v>27.724461542664823</v>
      </c>
      <c r="AB224" s="197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7.8108133593036699E-2</v>
      </c>
      <c r="AD224" s="230">
        <f>(INDEX(Models!$BJ224:$BT224,,AH224)*(1-AF224)+INDEX(Models!$BJ224:$BT224,,AH224+1)*AF224-ERP_i)*AE224*Ramure*Pc/MaxiM</f>
        <v>4.3382132241408938E-3</v>
      </c>
      <c r="AE224" s="304">
        <f t="shared" si="92"/>
        <v>0.7</v>
      </c>
      <c r="AF224" s="177">
        <f t="shared" si="93"/>
        <v>0.88754695676188566</v>
      </c>
      <c r="AG224" s="799">
        <f t="shared" si="99"/>
        <v>1</v>
      </c>
      <c r="AH224" s="176">
        <f t="shared" si="94"/>
        <v>7</v>
      </c>
      <c r="AI224" s="224">
        <f t="shared" si="95"/>
        <v>1.8875469567618857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46233</v>
      </c>
      <c r="B225" s="409">
        <f>'2025'!Wh/'2025'!Env_an*'2026'!Env_an</f>
        <v>41.676199959480968</v>
      </c>
      <c r="C225" s="829"/>
      <c r="D225" s="391">
        <f t="shared" si="77"/>
        <v>43.93833478601465</v>
      </c>
      <c r="E225" s="383">
        <f t="shared" si="75"/>
        <v>46.075371719530786</v>
      </c>
      <c r="F225" s="383">
        <f t="shared" si="78"/>
        <v>46.079539649993066</v>
      </c>
      <c r="G225" s="110">
        <f t="shared" si="76"/>
        <v>0.80806511845883677</v>
      </c>
      <c r="H225" s="412" t="b">
        <f>Wh_hp&gt;='2025'!Maxi_hp</f>
        <v>0</v>
      </c>
      <c r="I225" s="388">
        <f>IF(H225,Wh_hp,'2025'!Maxi_hp)</f>
        <v>48.678240079056877</v>
      </c>
      <c r="J225" s="85">
        <f>IF(H225,An,'2025'!An_max)</f>
        <v>2020</v>
      </c>
      <c r="K225" s="197">
        <f t="shared" si="79"/>
        <v>46233</v>
      </c>
      <c r="L225" s="147">
        <f>IF(t&lt;Tvie,1-EXP((T0-t)*PertePVj)+'2025'!Pspv,1-EXP((T0-t)*PertePVj)+Pspv)</f>
        <v>5.148430948852678E-2</v>
      </c>
      <c r="M225" s="832"/>
      <c r="N225" s="832"/>
      <c r="O225" s="48">
        <f>IF(t&lt;Tnet,'2025'!Resal+('2025'!Salim-'2025'!Resal)*(1-EXP(('2025'!Tnet-t)/('2025'!Tau_j))),Resal+(Salim-Resal)*(1-EXP((Tnet-t)/(Tau_j))))*Salcycl</f>
        <v>4.6381328110051252E-2</v>
      </c>
      <c r="P225" s="169">
        <f>(INDEX(Models!$BJ225:$BT225,,T225)*(1-R225)+INDEX(Models!$BJ225:$BT225,,T225+1)*R225-ERP_i)*Q225*Ramure*Pc/MaxiM</f>
        <v>1.2461415979437331E-4</v>
      </c>
      <c r="Q225" s="304">
        <f t="shared" si="80"/>
        <v>0.7</v>
      </c>
      <c r="R225" s="177">
        <f t="shared" si="81"/>
        <v>0.13357335276004068</v>
      </c>
      <c r="S225" s="799">
        <f t="shared" si="82"/>
        <v>-1</v>
      </c>
      <c r="T225" s="176">
        <f t="shared" si="83"/>
        <v>5</v>
      </c>
      <c r="U225" s="250">
        <f t="shared" si="84"/>
        <v>-0.86642664723995932</v>
      </c>
      <c r="V225" s="382">
        <f t="shared" si="85"/>
        <v>51.573536685341487</v>
      </c>
      <c r="W225" s="400">
        <f t="shared" si="86"/>
        <v>41.676199959480968</v>
      </c>
      <c r="X225" s="157">
        <f t="shared" si="87"/>
        <v>46233</v>
      </c>
      <c r="Y225" s="383">
        <f t="shared" si="88"/>
        <v>40.158687200194215</v>
      </c>
      <c r="Z225" s="383">
        <f t="shared" si="89"/>
        <v>42.338453229528788</v>
      </c>
      <c r="AA225" s="384">
        <f t="shared" si="90"/>
        <v>45.926965389888679</v>
      </c>
      <c r="AB225" s="197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7.8135189858416804E-2</v>
      </c>
      <c r="AD225" s="230">
        <f>(INDEX(Models!$BJ225:$BT225,,AH225)*(1-AF225)+INDEX(Models!$BJ225:$BT225,,AH225+1)*AF225-ERP_i)*AE225*Ramure*Pc/MaxiM</f>
        <v>4.5617155567317727E-3</v>
      </c>
      <c r="AE225" s="304">
        <f t="shared" si="92"/>
        <v>0.7</v>
      </c>
      <c r="AF225" s="177">
        <f t="shared" si="93"/>
        <v>0.88923118359939157</v>
      </c>
      <c r="AG225" s="799">
        <f t="shared" si="99"/>
        <v>1</v>
      </c>
      <c r="AH225" s="176">
        <f t="shared" si="94"/>
        <v>7</v>
      </c>
      <c r="AI225" s="224">
        <f t="shared" si="95"/>
        <v>1.8892311835993916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46234</v>
      </c>
      <c r="B226" s="409">
        <f>'2025'!Wh/'2025'!Env_an*'2026'!Env_an</f>
        <v>52.179818352076829</v>
      </c>
      <c r="C226" s="829"/>
      <c r="D226" s="391">
        <f t="shared" si="77"/>
        <v>55.013131472204833</v>
      </c>
      <c r="E226" s="383">
        <f t="shared" si="75"/>
        <v>57.692705293481701</v>
      </c>
      <c r="F226" s="383">
        <f t="shared" si="78"/>
        <v>57.70083398193163</v>
      </c>
      <c r="G226" s="110">
        <f t="shared" si="76"/>
        <v>1.0142814071359794</v>
      </c>
      <c r="H226" s="412" t="b">
        <f>Wh_hp&gt;='2025'!Maxi_hp</f>
        <v>1</v>
      </c>
      <c r="I226" s="388">
        <f>IF(H226,Wh_hp,'2025'!Maxi_hp)</f>
        <v>57.70083398193163</v>
      </c>
      <c r="J226" s="85">
        <f>IF(H226,An,'2025'!An_max)</f>
        <v>2026</v>
      </c>
      <c r="K226" s="197">
        <f t="shared" si="79"/>
        <v>46234</v>
      </c>
      <c r="L226" s="147">
        <f>IF(t&lt;Tvie,1-EXP((T0-t)*PertePVj)+'2025'!Pspv,1-EXP((T0-t)*PertePVj)+Pspv)</f>
        <v>5.1502487575344147E-2</v>
      </c>
      <c r="M226" s="832"/>
      <c r="N226" s="832"/>
      <c r="O226" s="48">
        <f>IF(t&lt;Tnet,'2025'!Resal+('2025'!Salim-'2025'!Resal)*(1-EXP(('2025'!Tnet-t)/('2025'!Tau_j))),Resal+(Salim-Resal)*(1-EXP((Tnet-t)/(Tau_j))))*Salcycl</f>
        <v>4.6445626143650678E-2</v>
      </c>
      <c r="P226" s="169">
        <f>(INDEX(Models!$BJ226:$BT226,,T226)*(1-R226)+INDEX(Models!$BJ226:$BT226,,T226+1)*R226-ERP_i)*Q226*Ramure*Pc/MaxiM</f>
        <v>1.4087644647347859E-4</v>
      </c>
      <c r="Q226" s="304">
        <f t="shared" si="80"/>
        <v>0.7</v>
      </c>
      <c r="R226" s="177">
        <f t="shared" si="81"/>
        <v>0.13520492961241914</v>
      </c>
      <c r="S226" s="799">
        <f t="shared" si="82"/>
        <v>-1</v>
      </c>
      <c r="T226" s="176">
        <f t="shared" si="83"/>
        <v>5</v>
      </c>
      <c r="U226" s="250">
        <f t="shared" si="84"/>
        <v>-0.86479507038758086</v>
      </c>
      <c r="V226" s="382">
        <f t="shared" si="85"/>
        <v>51.445109793954209</v>
      </c>
      <c r="W226" s="400">
        <f t="shared" si="86"/>
        <v>52.179818352076829</v>
      </c>
      <c r="X226" s="157">
        <f t="shared" si="87"/>
        <v>46234</v>
      </c>
      <c r="Y226" s="383">
        <f t="shared" si="88"/>
        <v>50.210419454649156</v>
      </c>
      <c r="Z226" s="383">
        <f t="shared" si="89"/>
        <v>52.93679614013498</v>
      </c>
      <c r="AA226" s="384">
        <f t="shared" si="90"/>
        <v>57.425267988505112</v>
      </c>
      <c r="AB226" s="197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7.81619660750838E-2</v>
      </c>
      <c r="AD226" s="230">
        <f>(INDEX(Models!$BJ226:$BT226,,AH226)*(1-AF226)+INDEX(Models!$BJ226:$BT226,,AH226+1)*AF226-ERP_i)*AE226*Ramure*Pc/MaxiM</f>
        <v>4.7757714128154353E-3</v>
      </c>
      <c r="AE226" s="304">
        <f t="shared" si="92"/>
        <v>0.7</v>
      </c>
      <c r="AF226" s="177">
        <f t="shared" si="93"/>
        <v>0.89086276045177004</v>
      </c>
      <c r="AG226" s="799">
        <f t="shared" si="99"/>
        <v>1</v>
      </c>
      <c r="AH226" s="176">
        <f t="shared" si="94"/>
        <v>7</v>
      </c>
      <c r="AI226" s="224">
        <f t="shared" si="95"/>
        <v>1.89086276045177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46235</v>
      </c>
      <c r="B227" s="409">
        <f>'2025'!Wh/'2025'!Env_an*'2026'!Env_an</f>
        <v>51.860064152623032</v>
      </c>
      <c r="C227" s="829"/>
      <c r="D227" s="391">
        <f t="shared" si="77"/>
        <v>54.677062805780317</v>
      </c>
      <c r="E227" s="383">
        <f t="shared" si="75"/>
        <v>57.344121184082141</v>
      </c>
      <c r="F227" s="383">
        <f t="shared" si="78"/>
        <v>57.353171023524027</v>
      </c>
      <c r="G227" s="110">
        <f t="shared" si="76"/>
        <v>1.0106003214513373</v>
      </c>
      <c r="H227" s="412" t="b">
        <f>Wh_hp&gt;='2025'!Maxi_hp</f>
        <v>1</v>
      </c>
      <c r="I227" s="388">
        <f>IF(H227,Wh_hp,'2025'!Maxi_hp)</f>
        <v>57.353171023524027</v>
      </c>
      <c r="J227" s="85">
        <f>IF(H227,An,'2025'!An_max)</f>
        <v>2026</v>
      </c>
      <c r="K227" s="197">
        <f t="shared" si="79"/>
        <v>46235</v>
      </c>
      <c r="L227" s="147">
        <f>IF(t&lt;Tvie,1-EXP((T0-t)*PertePVj)+'2025'!Pspv,1-EXP((T0-t)*PertePVj)+Pspv)</f>
        <v>5.1520665313782743E-2</v>
      </c>
      <c r="M227" s="832"/>
      <c r="N227" s="832"/>
      <c r="O227" s="48">
        <f>IF(t&lt;Tnet,'2025'!Resal+('2025'!Salim-'2025'!Resal)*(1-EXP(('2025'!Tnet-t)/('2025'!Tau_j))),Resal+(Salim-Resal)*(1-EXP((Tnet-t)/(Tau_j))))*Salcycl</f>
        <v>4.6509708811130271E-2</v>
      </c>
      <c r="P227" s="169">
        <f>(INDEX(Models!$BJ227:$BT227,,T227)*(1-R227)+INDEX(Models!$BJ227:$BT227,,T227+1)*R227-ERP_i)*Q227*Ramure*Pc/MaxiM</f>
        <v>1.5779143995676753E-4</v>
      </c>
      <c r="Q227" s="304">
        <f t="shared" si="80"/>
        <v>0.7</v>
      </c>
      <c r="R227" s="177">
        <f t="shared" si="81"/>
        <v>0.13678497339535456</v>
      </c>
      <c r="S227" s="799">
        <f t="shared" si="82"/>
        <v>-1</v>
      </c>
      <c r="T227" s="176">
        <f t="shared" si="83"/>
        <v>5</v>
      </c>
      <c r="U227" s="250">
        <f t="shared" si="84"/>
        <v>-0.86321502660464544</v>
      </c>
      <c r="V227" s="382">
        <f t="shared" si="85"/>
        <v>51.31609702849299</v>
      </c>
      <c r="W227" s="400">
        <f t="shared" si="86"/>
        <v>51.860064152623032</v>
      </c>
      <c r="X227" s="157">
        <f t="shared" si="87"/>
        <v>46235</v>
      </c>
      <c r="Y227" s="383">
        <f t="shared" si="88"/>
        <v>49.895231678511649</v>
      </c>
      <c r="Z227" s="383">
        <f t="shared" si="89"/>
        <v>52.605502148360827</v>
      </c>
      <c r="AA227" s="384">
        <f t="shared" si="90"/>
        <v>57.06752501460231</v>
      </c>
      <c r="AB227" s="197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7.8188476985812022E-2</v>
      </c>
      <c r="AD227" s="230">
        <f>(INDEX(Models!$BJ227:$BT227,,AH227)*(1-AF227)+INDEX(Models!$BJ227:$BT227,,AH227+1)*AF227-ERP_i)*AE227*Ramure*Pc/MaxiM</f>
        <v>4.9804745548342189E-3</v>
      </c>
      <c r="AE227" s="304">
        <f t="shared" si="92"/>
        <v>0.7</v>
      </c>
      <c r="AF227" s="177">
        <f t="shared" si="93"/>
        <v>0.89244280423470546</v>
      </c>
      <c r="AG227" s="799">
        <f t="shared" si="99"/>
        <v>1</v>
      </c>
      <c r="AH227" s="176">
        <f t="shared" si="94"/>
        <v>7</v>
      </c>
      <c r="AI227" s="224">
        <f t="shared" si="95"/>
        <v>1.8924428042347055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46236</v>
      </c>
      <c r="B228" s="409">
        <f>'2025'!Wh/'2025'!Env_an*'2026'!Env_an</f>
        <v>52.084568165393797</v>
      </c>
      <c r="C228" s="829"/>
      <c r="D228" s="391">
        <f t="shared" si="77"/>
        <v>54.914814133111335</v>
      </c>
      <c r="E228" s="383">
        <f t="shared" si="75"/>
        <v>57.597328097536604</v>
      </c>
      <c r="F228" s="383">
        <f t="shared" si="78"/>
        <v>57.60743001404979</v>
      </c>
      <c r="G228" s="110">
        <f t="shared" si="76"/>
        <v>1.01754309840446</v>
      </c>
      <c r="H228" s="412" t="b">
        <f>Wh_hp&gt;='2025'!Maxi_hp</f>
        <v>1</v>
      </c>
      <c r="I228" s="388">
        <f>IF(H228,Wh_hp,'2025'!Maxi_hp)</f>
        <v>57.60743001404979</v>
      </c>
      <c r="J228" s="85">
        <f>IF(H228,An,'2025'!An_max)</f>
        <v>2026</v>
      </c>
      <c r="K228" s="197">
        <f t="shared" si="79"/>
        <v>46236</v>
      </c>
      <c r="L228" s="147">
        <f>IF(t&lt;Tvie,1-EXP((T0-t)*PertePVj)+'2025'!Pspv,1-EXP((T0-t)*PertePVj)+Pspv)</f>
        <v>5.1538842703849119E-2</v>
      </c>
      <c r="M228" s="832"/>
      <c r="N228" s="832"/>
      <c r="O228" s="48">
        <f>IF(t&lt;Tnet,'2025'!Resal+('2025'!Salim-'2025'!Resal)*(1-EXP(('2025'!Tnet-t)/('2025'!Tau_j))),Resal+(Salim-Resal)*(1-EXP((Tnet-t)/(Tau_j))))*Salcycl</f>
        <v>4.6573583411415161E-2</v>
      </c>
      <c r="P228" s="169">
        <f>(INDEX(Models!$BJ228:$BT228,,T228)*(1-R228)+INDEX(Models!$BJ228:$BT228,,T228+1)*R228-ERP_i)*Q228*Ramure*Pc/MaxiM</f>
        <v>1.7535787502963594E-4</v>
      </c>
      <c r="Q228" s="304">
        <f t="shared" si="80"/>
        <v>0.7</v>
      </c>
      <c r="R228" s="177">
        <f t="shared" si="81"/>
        <v>0.13831461586306393</v>
      </c>
      <c r="S228" s="799">
        <f t="shared" si="82"/>
        <v>-1</v>
      </c>
      <c r="T228" s="176">
        <f t="shared" si="83"/>
        <v>5</v>
      </c>
      <c r="U228" s="250">
        <f t="shared" si="84"/>
        <v>-0.86168538413693607</v>
      </c>
      <c r="V228" s="382">
        <f t="shared" si="85"/>
        <v>51.186596663142886</v>
      </c>
      <c r="W228" s="400">
        <f t="shared" si="86"/>
        <v>52.084568165393797</v>
      </c>
      <c r="X228" s="157">
        <f t="shared" si="87"/>
        <v>46236</v>
      </c>
      <c r="Y228" s="383">
        <f t="shared" si="88"/>
        <v>50.104205363875664</v>
      </c>
      <c r="Z228" s="383">
        <f t="shared" si="89"/>
        <v>52.826839537331679</v>
      </c>
      <c r="AA228" s="384">
        <f t="shared" si="90"/>
        <v>57.309268838815207</v>
      </c>
      <c r="AB228" s="197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7.8214735457375242E-2</v>
      </c>
      <c r="AD228" s="230">
        <f>(INDEX(Models!$BJ228:$BT228,,AH228)*(1-AF228)+INDEX(Models!$BJ228:$BT228,,AH228+1)*AF228-ERP_i)*AE228*Ramure*Pc/MaxiM</f>
        <v>5.1757416562735184E-3</v>
      </c>
      <c r="AE228" s="304">
        <f t="shared" si="92"/>
        <v>0.7</v>
      </c>
      <c r="AF228" s="177">
        <f t="shared" si="93"/>
        <v>0.89397244670241482</v>
      </c>
      <c r="AG228" s="799">
        <f t="shared" si="99"/>
        <v>1</v>
      </c>
      <c r="AH228" s="176">
        <f t="shared" si="94"/>
        <v>7</v>
      </c>
      <c r="AI228" s="224">
        <f t="shared" si="95"/>
        <v>1.8939724467024148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46237</v>
      </c>
      <c r="B229" s="409">
        <f>'2025'!Wh/'2025'!Env_an*'2026'!Env_an</f>
        <v>52.19242953981508</v>
      </c>
      <c r="C229" s="829"/>
      <c r="D229" s="391">
        <f t="shared" si="77"/>
        <v>55.029591263159325</v>
      </c>
      <c r="E229" s="383">
        <f t="shared" si="75"/>
        <v>57.721566759286631</v>
      </c>
      <c r="F229" s="383">
        <f t="shared" si="78"/>
        <v>57.732742346129783</v>
      </c>
      <c r="G229" s="110">
        <f t="shared" si="76"/>
        <v>1.0222443360490967</v>
      </c>
      <c r="H229" s="412" t="b">
        <f>Wh_hp&gt;='2025'!Maxi_hp</f>
        <v>1</v>
      </c>
      <c r="I229" s="388">
        <f>IF(H229,Wh_hp,'2025'!Maxi_hp)</f>
        <v>57.732742346129783</v>
      </c>
      <c r="J229" s="85">
        <f>IF(H229,An,'2025'!An_max)</f>
        <v>2026</v>
      </c>
      <c r="K229" s="197">
        <f t="shared" si="79"/>
        <v>46237</v>
      </c>
      <c r="L229" s="147">
        <f>IF(t&lt;Tvie,1-EXP((T0-t)*PertePVj)+'2025'!Pspv,1-EXP((T0-t)*PertePVj)+Pspv)</f>
        <v>5.1557019745549937E-2</v>
      </c>
      <c r="M229" s="832"/>
      <c r="N229" s="832"/>
      <c r="O229" s="48">
        <f>IF(t&lt;Tnet,'2025'!Resal+('2025'!Salim-'2025'!Resal)*(1-EXP(('2025'!Tnet-t)/('2025'!Tau_j))),Resal+(Salim-Resal)*(1-EXP((Tnet-t)/(Tau_j))))*Salcycl</f>
        <v>4.6637256181099804E-2</v>
      </c>
      <c r="P229" s="169">
        <f>(INDEX(Models!$BJ229:$BT229,,T229)*(1-R229)+INDEX(Models!$BJ229:$BT229,,T229+1)*R229-ERP_i)*Q229*Ramure*Pc/MaxiM</f>
        <v>1.9357450190309213E-4</v>
      </c>
      <c r="Q229" s="304">
        <f t="shared" si="80"/>
        <v>0.7</v>
      </c>
      <c r="R229" s="177">
        <f t="shared" si="81"/>
        <v>0.13979500012124235</v>
      </c>
      <c r="S229" s="799">
        <f t="shared" si="82"/>
        <v>-1</v>
      </c>
      <c r="T229" s="176">
        <f t="shared" si="83"/>
        <v>5</v>
      </c>
      <c r="U229" s="250">
        <f t="shared" si="84"/>
        <v>-0.86020499987875765</v>
      </c>
      <c r="V229" s="382">
        <f t="shared" si="85"/>
        <v>51.056706991926404</v>
      </c>
      <c r="W229" s="400">
        <f t="shared" si="86"/>
        <v>52.19242953981508</v>
      </c>
      <c r="X229" s="157">
        <f t="shared" si="87"/>
        <v>46237</v>
      </c>
      <c r="Y229" s="383">
        <f t="shared" si="88"/>
        <v>50.201441555791504</v>
      </c>
      <c r="Z229" s="383">
        <f t="shared" si="89"/>
        <v>52.930373887445896</v>
      </c>
      <c r="AA229" s="384">
        <f t="shared" si="90"/>
        <v>57.42320896924091</v>
      </c>
      <c r="AB229" s="197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7.8240752518752954E-2</v>
      </c>
      <c r="AD229" s="230">
        <f>(INDEX(Models!$BJ229:$BT229,,AH229)*(1-AF229)+INDEX(Models!$BJ229:$BT229,,AH229+1)*AF229-ERP_i)*AE229*Ramure*Pc/MaxiM</f>
        <v>5.3614875079569177E-3</v>
      </c>
      <c r="AE229" s="304">
        <f t="shared" si="92"/>
        <v>0.7</v>
      </c>
      <c r="AF229" s="177">
        <f t="shared" si="93"/>
        <v>0.89545283096059336</v>
      </c>
      <c r="AG229" s="799">
        <f t="shared" si="99"/>
        <v>1</v>
      </c>
      <c r="AH229" s="176">
        <f t="shared" si="94"/>
        <v>7</v>
      </c>
      <c r="AI229" s="224">
        <f t="shared" si="95"/>
        <v>1.8954528309605934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46238</v>
      </c>
      <c r="B230" s="409">
        <f>'2025'!Wh/'2025'!Env_an*'2026'!Env_an</f>
        <v>49.623102503120911</v>
      </c>
      <c r="C230" s="829"/>
      <c r="D230" s="391">
        <f t="shared" si="77"/>
        <v>52.321599263112944</v>
      </c>
      <c r="E230" s="383">
        <f t="shared" si="75"/>
        <v>54.884757637888768</v>
      </c>
      <c r="F230" s="383">
        <f t="shared" si="78"/>
        <v>54.895993343435229</v>
      </c>
      <c r="G230" s="110">
        <f t="shared" si="76"/>
        <v>0.97439822735242709</v>
      </c>
      <c r="H230" s="412" t="b">
        <f>Wh_hp&gt;='2025'!Maxi_hp</f>
        <v>0</v>
      </c>
      <c r="I230" s="388">
        <f>IF(H230,Wh_hp,'2025'!Maxi_hp)</f>
        <v>54.940621976631377</v>
      </c>
      <c r="J230" s="85">
        <f>IF(H230,An,'2025'!An_max)</f>
        <v>2018</v>
      </c>
      <c r="K230" s="197">
        <f t="shared" si="79"/>
        <v>46238</v>
      </c>
      <c r="L230" s="147">
        <f>IF(t&lt;Tvie,1-EXP((T0-t)*PertePVj)+'2025'!Pspv,1-EXP((T0-t)*PertePVj)+Pspv)</f>
        <v>5.1575196438891857E-2</v>
      </c>
      <c r="M230" s="832"/>
      <c r="N230" s="832"/>
      <c r="O230" s="48">
        <f>IF(t&lt;Tnet,'2025'!Resal+('2025'!Salim-'2025'!Resal)*(1-EXP(('2025'!Tnet-t)/('2025'!Tau_j))),Resal+(Salim-Resal)*(1-EXP((Tnet-t)/(Tau_j))))*Salcycl</f>
        <v>4.6700732317826413E-2</v>
      </c>
      <c r="P230" s="169">
        <f>(INDEX(Models!$BJ230:$BT230,,T230)*(1-R230)+INDEX(Models!$BJ230:$BT230,,T230+1)*R230-ERP_i)*Q230*Ramure*Pc/MaxiM</f>
        <v>2.1244007498200061E-4</v>
      </c>
      <c r="Q230" s="304">
        <f t="shared" si="80"/>
        <v>0.7</v>
      </c>
      <c r="R230" s="177">
        <f t="shared" si="81"/>
        <v>0.14122727734898377</v>
      </c>
      <c r="S230" s="799">
        <f t="shared" si="82"/>
        <v>-1</v>
      </c>
      <c r="T230" s="176">
        <f t="shared" si="83"/>
        <v>5</v>
      </c>
      <c r="U230" s="250">
        <f t="shared" si="84"/>
        <v>-0.85877272265101623</v>
      </c>
      <c r="V230" s="382">
        <f t="shared" si="85"/>
        <v>50.926526326624916</v>
      </c>
      <c r="W230" s="400">
        <f t="shared" si="86"/>
        <v>49.623102503120911</v>
      </c>
      <c r="X230" s="157">
        <f t="shared" si="87"/>
        <v>46238</v>
      </c>
      <c r="Y230" s="383">
        <f t="shared" si="88"/>
        <v>47.733763355694727</v>
      </c>
      <c r="Z230" s="383">
        <f t="shared" si="89"/>
        <v>50.329518140463925</v>
      </c>
      <c r="AA230" s="384">
        <f t="shared" si="90"/>
        <v>54.603114873407925</v>
      </c>
      <c r="AB230" s="197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7.8266537410034601E-2</v>
      </c>
      <c r="AD230" s="230">
        <f>(INDEX(Models!$BJ230:$BT230,,AH230)*(1-AF230)+INDEX(Models!$BJ230:$BT230,,AH230+1)*AF230-ERP_i)*AE230*Ramure*Pc/MaxiM</f>
        <v>5.5376250183798255E-3</v>
      </c>
      <c r="AE230" s="304">
        <f t="shared" si="92"/>
        <v>0.7</v>
      </c>
      <c r="AF230" s="177">
        <f t="shared" si="93"/>
        <v>0.89688510818833467</v>
      </c>
      <c r="AG230" s="799">
        <f t="shared" si="99"/>
        <v>1</v>
      </c>
      <c r="AH230" s="176">
        <f t="shared" si="94"/>
        <v>7</v>
      </c>
      <c r="AI230" s="224">
        <f t="shared" si="95"/>
        <v>1.8968851081883347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46239</v>
      </c>
      <c r="B231" s="409">
        <f>'2025'!Wh/'2025'!Env_an*'2026'!Env_an</f>
        <v>40.069084303840199</v>
      </c>
      <c r="C231" s="829"/>
      <c r="D231" s="391">
        <f t="shared" si="77"/>
        <v>42.248844698034198</v>
      </c>
      <c r="E231" s="383">
        <f t="shared" si="75"/>
        <v>44.321495839019043</v>
      </c>
      <c r="F231" s="383">
        <f t="shared" si="78"/>
        <v>44.328676053512197</v>
      </c>
      <c r="G231" s="110">
        <f t="shared" si="76"/>
        <v>0.78876603027578218</v>
      </c>
      <c r="H231" s="412" t="b">
        <f>Wh_hp&gt;='2025'!Maxi_hp</f>
        <v>0</v>
      </c>
      <c r="I231" s="388">
        <f>IF(H231,Wh_hp,'2025'!Maxi_hp)</f>
        <v>53.590627988169963</v>
      </c>
      <c r="J231" s="85">
        <f>IF(H231,An,'2025'!An_max)</f>
        <v>2018</v>
      </c>
      <c r="K231" s="197">
        <f t="shared" si="79"/>
        <v>46239</v>
      </c>
      <c r="L231" s="147">
        <f>IF(t&lt;Tvie,1-EXP((T0-t)*PertePVj)+'2025'!Pspv,1-EXP((T0-t)*PertePVj)+Pspv)</f>
        <v>5.1593372783881652E-2</v>
      </c>
      <c r="M231" s="832"/>
      <c r="N231" s="832"/>
      <c r="O231" s="48">
        <f>IF(t&lt;Tnet,'2025'!Resal+('2025'!Salim-'2025'!Resal)*(1-EXP(('2025'!Tnet-t)/('2025'!Tau_j))),Resal+(Salim-Resal)*(1-EXP((Tnet-t)/(Tau_j))))*Salcycl</f>
        <v>4.6764016009589564E-2</v>
      </c>
      <c r="P231" s="169">
        <f>(INDEX(Models!$BJ231:$BT231,,T231)*(1-R231)+INDEX(Models!$BJ231:$BT231,,T231+1)*R231-ERP_i)*Q231*Ramure*Pc/MaxiM</f>
        <v>2.3195334006924823E-4</v>
      </c>
      <c r="Q231" s="304">
        <f t="shared" si="80"/>
        <v>0.7</v>
      </c>
      <c r="R231" s="177">
        <f t="shared" si="81"/>
        <v>0.14261260372789764</v>
      </c>
      <c r="S231" s="799">
        <f t="shared" si="82"/>
        <v>-1</v>
      </c>
      <c r="T231" s="176">
        <f t="shared" si="83"/>
        <v>5</v>
      </c>
      <c r="U231" s="250">
        <f t="shared" si="84"/>
        <v>-0.85738739627210236</v>
      </c>
      <c r="V231" s="382">
        <f t="shared" si="85"/>
        <v>50.796152995275598</v>
      </c>
      <c r="W231" s="400">
        <f t="shared" si="86"/>
        <v>40.069084303840199</v>
      </c>
      <c r="X231" s="157">
        <f t="shared" si="87"/>
        <v>46239</v>
      </c>
      <c r="Y231" s="383">
        <f t="shared" si="88"/>
        <v>38.595733399773302</v>
      </c>
      <c r="Z231" s="383">
        <f t="shared" si="89"/>
        <v>40.69534342359492</v>
      </c>
      <c r="AA231" s="384">
        <f t="shared" si="90"/>
        <v>44.152104283184755</v>
      </c>
      <c r="AB231" s="197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7.829209764088943E-2</v>
      </c>
      <c r="AD231" s="230">
        <f>(INDEX(Models!$BJ231:$BT231,,AH231)*(1-AF231)+INDEX(Models!$BJ231:$BT231,,AH231+1)*AF231-ERP_i)*AE231*Ramure*Pc/MaxiM</f>
        <v>5.7040652376671641E-3</v>
      </c>
      <c r="AE231" s="304">
        <f t="shared" si="92"/>
        <v>0.7</v>
      </c>
      <c r="AF231" s="177">
        <f t="shared" si="93"/>
        <v>0.89827043456724853</v>
      </c>
      <c r="AG231" s="799">
        <f t="shared" si="99"/>
        <v>1</v>
      </c>
      <c r="AH231" s="176">
        <f t="shared" si="94"/>
        <v>7</v>
      </c>
      <c r="AI231" s="224">
        <f t="shared" si="95"/>
        <v>1.8982704345672485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46240</v>
      </c>
      <c r="B232" s="409">
        <f>'2025'!Wh/'2025'!Env_an*'2026'!Env_an</f>
        <v>47.538735887798346</v>
      </c>
      <c r="C232" s="829"/>
      <c r="D232" s="391">
        <f t="shared" si="77"/>
        <v>50.125806389429592</v>
      </c>
      <c r="E232" s="383">
        <f t="shared" si="75"/>
        <v>52.588367692778952</v>
      </c>
      <c r="F232" s="383">
        <f t="shared" si="78"/>
        <v>52.600459740333086</v>
      </c>
      <c r="G232" s="110">
        <f t="shared" si="76"/>
        <v>0.93826183591280576</v>
      </c>
      <c r="H232" s="412" t="b">
        <f>Wh_hp&gt;='2025'!Maxi_hp</f>
        <v>0</v>
      </c>
      <c r="I232" s="388">
        <f>IF(H232,Wh_hp,'2025'!Maxi_hp)</f>
        <v>56.645072121276598</v>
      </c>
      <c r="J232" s="85">
        <f>IF(H232,An,'2025'!An_max)</f>
        <v>2020</v>
      </c>
      <c r="K232" s="197">
        <f t="shared" si="79"/>
        <v>46240</v>
      </c>
      <c r="L232" s="147">
        <f>IF(t&lt;Tvie,1-EXP((T0-t)*PertePVj)+'2025'!Pspv,1-EXP((T0-t)*PertePVj)+Pspv)</f>
        <v>5.1611548780525984E-2</v>
      </c>
      <c r="M232" s="832"/>
      <c r="N232" s="832"/>
      <c r="O232" s="48">
        <f>IF(t&lt;Tnet,'2025'!Resal+('2025'!Salim-'2025'!Resal)*(1-EXP(('2025'!Tnet-t)/('2025'!Tau_j))),Resal+(Salim-Resal)*(1-EXP((Tnet-t)/(Tau_j))))*Salcycl</f>
        <v>4.6827110469289196E-2</v>
      </c>
      <c r="P232" s="169">
        <f>(INDEX(Models!$BJ232:$BT232,,T232)*(1-R232)+INDEX(Models!$BJ232:$BT232,,T232+1)*R232-ERP_i)*Q232*Ramure*Pc/MaxiM</f>
        <v>2.5211302014350339E-4</v>
      </c>
      <c r="Q232" s="304">
        <f t="shared" si="80"/>
        <v>0.7</v>
      </c>
      <c r="R232" s="177">
        <f t="shared" si="81"/>
        <v>0.14395213757552283</v>
      </c>
      <c r="S232" s="799">
        <f t="shared" si="82"/>
        <v>-1</v>
      </c>
      <c r="T232" s="176">
        <f t="shared" si="83"/>
        <v>5</v>
      </c>
      <c r="U232" s="250">
        <f t="shared" si="84"/>
        <v>-0.85604786242447717</v>
      </c>
      <c r="V232" s="382">
        <f t="shared" si="85"/>
        <v>50.665685339681239</v>
      </c>
      <c r="W232" s="400">
        <f t="shared" si="86"/>
        <v>47.538735887798346</v>
      </c>
      <c r="X232" s="157">
        <f t="shared" si="87"/>
        <v>46240</v>
      </c>
      <c r="Y232" s="383">
        <f t="shared" si="88"/>
        <v>45.733040656831875</v>
      </c>
      <c r="Z232" s="383">
        <f t="shared" si="89"/>
        <v>48.221844749402621</v>
      </c>
      <c r="AA232" s="384">
        <f t="shared" si="90"/>
        <v>52.319363295847239</v>
      </c>
      <c r="AB232" s="197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7.831743905740253E-2</v>
      </c>
      <c r="AD232" s="230">
        <f>(INDEX(Models!$BJ232:$BT232,,AH232)*(1-AF232)+INDEX(Models!$BJ232:$BT232,,AH232+1)*AF232-ERP_i)*AE232*Ramure*Pc/MaxiM</f>
        <v>5.8607174056887427E-3</v>
      </c>
      <c r="AE232" s="304">
        <f t="shared" si="92"/>
        <v>0.7</v>
      </c>
      <c r="AF232" s="177">
        <f t="shared" si="93"/>
        <v>0.89960996841487373</v>
      </c>
      <c r="AG232" s="799">
        <f t="shared" si="99"/>
        <v>1</v>
      </c>
      <c r="AH232" s="176">
        <f t="shared" si="94"/>
        <v>7</v>
      </c>
      <c r="AI232" s="224">
        <f t="shared" si="95"/>
        <v>1.8996099684148737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46241</v>
      </c>
      <c r="B233" s="409">
        <f>'2025'!Wh/'2025'!Env_an*'2026'!Env_an</f>
        <v>50.322681247819347</v>
      </c>
      <c r="C233" s="829"/>
      <c r="D233" s="391">
        <f t="shared" si="77"/>
        <v>53.062271713979904</v>
      </c>
      <c r="E233" s="383">
        <f t="shared" ref="E233:E296" si="100">Wh_pvt/(1-Psa)</f>
        <v>55.672768845812129</v>
      </c>
      <c r="F233" s="383">
        <f t="shared" si="78"/>
        <v>55.687875457776215</v>
      </c>
      <c r="G233" s="110">
        <f t="shared" ref="G233:G296" si="101">+Wh_hp/MaxiM</f>
        <v>0.99578483258171946</v>
      </c>
      <c r="H233" s="412" t="b">
        <f>Wh_hp&gt;='2025'!Maxi_hp</f>
        <v>1</v>
      </c>
      <c r="I233" s="388">
        <f>IF(H233,Wh_hp,'2025'!Maxi_hp)</f>
        <v>55.687875457776215</v>
      </c>
      <c r="J233" s="85">
        <f>IF(H233,An,'2025'!An_max)</f>
        <v>2026</v>
      </c>
      <c r="K233" s="197">
        <f t="shared" si="79"/>
        <v>46241</v>
      </c>
      <c r="L233" s="147">
        <f>IF(t&lt;Tvie,1-EXP((T0-t)*PertePVj)+'2025'!Pspv,1-EXP((T0-t)*PertePVj)+Pspv)</f>
        <v>5.1629724428831403E-2</v>
      </c>
      <c r="M233" s="832"/>
      <c r="N233" s="832"/>
      <c r="O233" s="48">
        <f>IF(t&lt;Tnet,'2025'!Resal+('2025'!Salim-'2025'!Resal)*(1-EXP(('2025'!Tnet-t)/('2025'!Tau_j))),Resal+(Salim-Resal)*(1-EXP((Tnet-t)/(Tau_j))))*Salcycl</f>
        <v>4.6890017973815833E-2</v>
      </c>
      <c r="P233" s="169">
        <f>(INDEX(Models!$BJ233:$BT233,,T233)*(1-R233)+INDEX(Models!$BJ233:$BT233,,T233+1)*R233-ERP_i)*Q233*Ramure*Pc/MaxiM</f>
        <v>2.7291567844763573E-4</v>
      </c>
      <c r="Q233" s="304">
        <f t="shared" si="80"/>
        <v>0.7</v>
      </c>
      <c r="R233" s="177">
        <f t="shared" si="81"/>
        <v>0.14524703667917382</v>
      </c>
      <c r="S233" s="799">
        <f t="shared" si="82"/>
        <v>-1</v>
      </c>
      <c r="T233" s="176">
        <f t="shared" si="83"/>
        <v>5</v>
      </c>
      <c r="U233" s="250">
        <f t="shared" si="84"/>
        <v>-0.85475296332082618</v>
      </c>
      <c r="V233" s="382">
        <f t="shared" si="85"/>
        <v>50.535614633081714</v>
      </c>
      <c r="W233" s="400">
        <f t="shared" si="86"/>
        <v>50.322681247819347</v>
      </c>
      <c r="X233" s="157">
        <f t="shared" si="87"/>
        <v>46241</v>
      </c>
      <c r="Y233" s="383">
        <f t="shared" si="88"/>
        <v>48.384587771625149</v>
      </c>
      <c r="Z233" s="383">
        <f t="shared" si="89"/>
        <v>51.018667516213419</v>
      </c>
      <c r="AA233" s="384">
        <f t="shared" si="90"/>
        <v>55.3553474745421</v>
      </c>
      <c r="AB233" s="197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7.8342565916023177E-2</v>
      </c>
      <c r="AD233" s="230">
        <f>(INDEX(Models!$BJ233:$BT233,,AH233)*(1-AF233)+INDEX(Models!$BJ233:$BT233,,AH233+1)*AF233-ERP_i)*AE233*Ramure*Pc/MaxiM</f>
        <v>6.0074423280971328E-3</v>
      </c>
      <c r="AE233" s="304">
        <f t="shared" si="92"/>
        <v>0.7</v>
      </c>
      <c r="AF233" s="177">
        <f t="shared" si="93"/>
        <v>0.90090486751852472</v>
      </c>
      <c r="AG233" s="799">
        <f t="shared" si="99"/>
        <v>1</v>
      </c>
      <c r="AH233" s="176">
        <f t="shared" si="94"/>
        <v>7</v>
      </c>
      <c r="AI233" s="224">
        <f t="shared" si="95"/>
        <v>1.9009048675185247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46242</v>
      </c>
      <c r="B234" s="409">
        <f>'2025'!Wh/'2025'!Env_an*'2026'!Env_an</f>
        <v>51.245288308714876</v>
      </c>
      <c r="C234" s="829"/>
      <c r="D234" s="391">
        <f t="shared" si="77"/>
        <v>54.036141528089125</v>
      </c>
      <c r="E234" s="383">
        <f t="shared" si="100"/>
        <v>56.69828117738026</v>
      </c>
      <c r="F234" s="383">
        <f t="shared" si="78"/>
        <v>56.714919727372155</v>
      </c>
      <c r="G234" s="110">
        <f t="shared" si="101"/>
        <v>1.016646129097615</v>
      </c>
      <c r="H234" s="412" t="b">
        <f>Wh_hp&gt;='2025'!Maxi_hp</f>
        <v>1</v>
      </c>
      <c r="I234" s="388">
        <f>IF(H234,Wh_hp,'2025'!Maxi_hp)</f>
        <v>56.714919727372155</v>
      </c>
      <c r="J234" s="85">
        <f>IF(H234,An,'2025'!An_max)</f>
        <v>2026</v>
      </c>
      <c r="K234" s="197">
        <f t="shared" si="79"/>
        <v>46242</v>
      </c>
      <c r="L234" s="147">
        <f>IF(t&lt;Tvie,1-EXP((T0-t)*PertePVj)+'2025'!Pspv,1-EXP((T0-t)*PertePVj)+Pspv)</f>
        <v>5.164789972880468E-2</v>
      </c>
      <c r="M234" s="832"/>
      <c r="N234" s="832"/>
      <c r="O234" s="48">
        <f>IF(t&lt;Tnet,'2025'!Resal+('2025'!Salim-'2025'!Resal)*(1-EXP(('2025'!Tnet-t)/('2025'!Tau_j))),Resal+(Salim-Resal)*(1-EXP((Tnet-t)/(Tau_j))))*Salcycl</f>
        <v>4.6952739906923155E-2</v>
      </c>
      <c r="P234" s="169">
        <f>(INDEX(Models!$BJ234:$BT234,,T234)*(1-R234)+INDEX(Models!$BJ234:$BT234,,T234+1)*R234-ERP_i)*Q234*Ramure*Pc/MaxiM</f>
        <v>2.9337165726191856E-4</v>
      </c>
      <c r="Q234" s="304">
        <f t="shared" si="80"/>
        <v>0.7</v>
      </c>
      <c r="R234" s="177">
        <f t="shared" si="81"/>
        <v>0.14649845582551091</v>
      </c>
      <c r="S234" s="799">
        <f t="shared" si="82"/>
        <v>-1</v>
      </c>
      <c r="T234" s="176">
        <f t="shared" si="83"/>
        <v>5</v>
      </c>
      <c r="U234" s="250">
        <f t="shared" si="84"/>
        <v>-0.85350154417448909</v>
      </c>
      <c r="V234" s="382">
        <f t="shared" si="85"/>
        <v>50.406219865510828</v>
      </c>
      <c r="W234" s="400">
        <f t="shared" si="86"/>
        <v>51.245288308714876</v>
      </c>
      <c r="X234" s="157">
        <f t="shared" si="87"/>
        <v>46242</v>
      </c>
      <c r="Y234" s="383">
        <f t="shared" si="88"/>
        <v>49.266117613819745</v>
      </c>
      <c r="Z234" s="383">
        <f t="shared" si="89"/>
        <v>51.949183852422919</v>
      </c>
      <c r="AA234" s="384">
        <f t="shared" si="90"/>
        <v>56.366483147450886</v>
      </c>
      <c r="AB234" s="197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7.836748096333436E-2</v>
      </c>
      <c r="AD234" s="230">
        <f>(INDEX(Models!$BJ234:$BT234,,AH234)*(1-AF234)+INDEX(Models!$BJ234:$BT234,,AH234+1)*AF234-ERP_i)*AE234*Ramure*Pc/MaxiM</f>
        <v>6.1436493535774427E-3</v>
      </c>
      <c r="AE234" s="304">
        <f t="shared" si="92"/>
        <v>0.7</v>
      </c>
      <c r="AF234" s="177">
        <f t="shared" si="93"/>
        <v>0.90215628666486181</v>
      </c>
      <c r="AG234" s="799">
        <f t="shared" si="99"/>
        <v>1</v>
      </c>
      <c r="AH234" s="176">
        <f t="shared" si="94"/>
        <v>7</v>
      </c>
      <c r="AI234" s="224">
        <f t="shared" si="95"/>
        <v>1.9021562866648618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46243</v>
      </c>
      <c r="B235" s="409">
        <f>'2025'!Wh/'2025'!Env_an*'2026'!Env_an</f>
        <v>49.577213792574724</v>
      </c>
      <c r="C235" s="829"/>
      <c r="D235" s="391">
        <f t="shared" si="77"/>
        <v>52.27822444068881</v>
      </c>
      <c r="E235" s="383">
        <f t="shared" si="100"/>
        <v>54.857358327241819</v>
      </c>
      <c r="F235" s="383">
        <f t="shared" si="78"/>
        <v>54.874182219126233</v>
      </c>
      <c r="G235" s="110">
        <f t="shared" si="101"/>
        <v>0.98607054684463635</v>
      </c>
      <c r="H235" s="412" t="b">
        <f>Wh_hp&gt;='2025'!Maxi_hp</f>
        <v>0</v>
      </c>
      <c r="I235" s="388">
        <f>IF(H235,Wh_hp,'2025'!Maxi_hp)</f>
        <v>54.928479355291955</v>
      </c>
      <c r="J235" s="85">
        <f>IF(H235,An,'2025'!An_max)</f>
        <v>2018</v>
      </c>
      <c r="K235" s="197">
        <f t="shared" si="79"/>
        <v>46243</v>
      </c>
      <c r="L235" s="147">
        <f>IF(t&lt;Tvie,1-EXP((T0-t)*PertePVj)+'2025'!Pspv,1-EXP((T0-t)*PertePVj)+Pspv)</f>
        <v>5.1666074680452478E-2</v>
      </c>
      <c r="M235" s="832"/>
      <c r="N235" s="832"/>
      <c r="O235" s="48">
        <f>IF(t&lt;Tnet,'2025'!Resal+('2025'!Salim-'2025'!Resal)*(1-EXP(('2025'!Tnet-t)/('2025'!Tau_j))),Resal+(Salim-Resal)*(1-EXP((Tnet-t)/(Tau_j))))*Salcycl</f>
        <v>4.7015276805121527E-2</v>
      </c>
      <c r="P235" s="169">
        <f>(INDEX(Models!$BJ235:$BT235,,T235)*(1-R235)+INDEX(Models!$BJ235:$BT235,,T235+1)*R235-ERP_i)*Q235*Ramure*Pc/MaxiM</f>
        <v>3.1281227543555407E-4</v>
      </c>
      <c r="Q235" s="304">
        <f t="shared" si="80"/>
        <v>0.7</v>
      </c>
      <c r="R235" s="177">
        <f t="shared" si="81"/>
        <v>0.14770754452041368</v>
      </c>
      <c r="S235" s="799">
        <f t="shared" si="82"/>
        <v>-1</v>
      </c>
      <c r="T235" s="176">
        <f t="shared" si="83"/>
        <v>5</v>
      </c>
      <c r="U235" s="250">
        <f t="shared" si="84"/>
        <v>-0.85229245547958632</v>
      </c>
      <c r="V235" s="382">
        <f t="shared" si="85"/>
        <v>50.277239684639802</v>
      </c>
      <c r="W235" s="400">
        <f t="shared" si="86"/>
        <v>49.577213792574724</v>
      </c>
      <c r="X235" s="157">
        <f t="shared" si="87"/>
        <v>46243</v>
      </c>
      <c r="Y235" s="383">
        <f t="shared" si="88"/>
        <v>47.664691686154754</v>
      </c>
      <c r="Z235" s="383">
        <f t="shared" si="89"/>
        <v>50.261506430969256</v>
      </c>
      <c r="AA235" s="384">
        <f t="shared" si="90"/>
        <v>54.536762428979905</v>
      </c>
      <c r="AB235" s="197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7.8392185520327978E-2</v>
      </c>
      <c r="AD235" s="230">
        <f>(INDEX(Models!$BJ235:$BT235,,AH235)*(1-AF235)+INDEX(Models!$BJ235:$BT235,,AH235+1)*AF235-ERP_i)*AE235*Ramure*Pc/MaxiM</f>
        <v>6.2737595473051494E-3</v>
      </c>
      <c r="AE235" s="304">
        <f t="shared" si="92"/>
        <v>0.7</v>
      </c>
      <c r="AF235" s="177">
        <f t="shared" si="93"/>
        <v>0.90336537535976458</v>
      </c>
      <c r="AG235" s="799">
        <f t="shared" si="99"/>
        <v>1</v>
      </c>
      <c r="AH235" s="176">
        <f t="shared" si="94"/>
        <v>7</v>
      </c>
      <c r="AI235" s="224">
        <f t="shared" si="95"/>
        <v>1.9033653753597646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46244</v>
      </c>
      <c r="B236" s="409">
        <f>'2025'!Wh/'2025'!Env_an*'2026'!Env_an</f>
        <v>48.214350955505545</v>
      </c>
      <c r="C236" s="829"/>
      <c r="D236" s="391">
        <f t="shared" si="77"/>
        <v>50.842086002569822</v>
      </c>
      <c r="E236" s="383">
        <f t="shared" si="100"/>
        <v>53.35385915802771</v>
      </c>
      <c r="F236" s="383">
        <f t="shared" si="78"/>
        <v>53.370561745499188</v>
      </c>
      <c r="G236" s="110">
        <f t="shared" si="101"/>
        <v>0.96141630389152954</v>
      </c>
      <c r="H236" s="412" t="b">
        <f>Wh_hp&gt;='2025'!Maxi_hp</f>
        <v>1</v>
      </c>
      <c r="I236" s="388">
        <f>IF(H236,Wh_hp,'2025'!Maxi_hp)</f>
        <v>53.370561745499188</v>
      </c>
      <c r="J236" s="85">
        <f>IF(H236,An,'2025'!An_max)</f>
        <v>2026</v>
      </c>
      <c r="K236" s="197">
        <f t="shared" si="79"/>
        <v>46244</v>
      </c>
      <c r="L236" s="147">
        <f>IF(t&lt;Tvie,1-EXP((T0-t)*PertePVj)+'2025'!Pspv,1-EXP((T0-t)*PertePVj)+Pspv)</f>
        <v>5.1684249283781458E-2</v>
      </c>
      <c r="M236" s="832"/>
      <c r="N236" s="832"/>
      <c r="O236" s="48">
        <f>IF(t&lt;Tnet,'2025'!Resal+('2025'!Salim-'2025'!Resal)*(1-EXP(('2025'!Tnet-t)/('2025'!Tau_j))),Resal+(Salim-Resal)*(1-EXP((Tnet-t)/(Tau_j))))*Salcycl</f>
        <v>4.7077628405816321E-2</v>
      </c>
      <c r="P236" s="169">
        <f>(INDEX(Models!$BJ236:$BT236,,T236)*(1-R236)+INDEX(Models!$BJ236:$BT236,,T236+1)*R236-ERP_i)*Q236*Ramure*Pc/MaxiM</f>
        <v>3.3120249670978361E-4</v>
      </c>
      <c r="Q236" s="304">
        <f t="shared" si="80"/>
        <v>0.7</v>
      </c>
      <c r="R236" s="177">
        <f t="shared" si="81"/>
        <v>0.14887544489313131</v>
      </c>
      <c r="S236" s="799">
        <f t="shared" si="82"/>
        <v>-1</v>
      </c>
      <c r="T236" s="176">
        <f t="shared" si="83"/>
        <v>5</v>
      </c>
      <c r="U236" s="250">
        <f t="shared" si="84"/>
        <v>-0.85112455510686869</v>
      </c>
      <c r="V236" s="382">
        <f t="shared" si="85"/>
        <v>50.148380776070134</v>
      </c>
      <c r="W236" s="400">
        <f t="shared" si="86"/>
        <v>48.214350955505545</v>
      </c>
      <c r="X236" s="157">
        <f t="shared" si="87"/>
        <v>46244</v>
      </c>
      <c r="Y236" s="383">
        <f t="shared" si="88"/>
        <v>46.361335102568674</v>
      </c>
      <c r="Z236" s="383">
        <f t="shared" si="89"/>
        <v>48.888078751780853</v>
      </c>
      <c r="AA236" s="384">
        <f t="shared" si="90"/>
        <v>53.047920538495646</v>
      </c>
      <c r="AB236" s="197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7.8416679569863493E-2</v>
      </c>
      <c r="AD236" s="230">
        <f>(INDEX(Models!$BJ236:$BT236,,AH236)*(1-AF236)+INDEX(Models!$BJ236:$BT236,,AH236+1)*AF236-ERP_i)*AE236*Ramure*Pc/MaxiM</f>
        <v>6.3977855816346012E-3</v>
      </c>
      <c r="AE236" s="304">
        <f t="shared" si="92"/>
        <v>0.7</v>
      </c>
      <c r="AF236" s="177">
        <f t="shared" si="93"/>
        <v>0.90453327573248221</v>
      </c>
      <c r="AG236" s="799">
        <f t="shared" si="99"/>
        <v>1</v>
      </c>
      <c r="AH236" s="176">
        <f t="shared" si="94"/>
        <v>7</v>
      </c>
      <c r="AI236" s="224">
        <f t="shared" si="95"/>
        <v>1.9045332757324822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46245</v>
      </c>
      <c r="B237" s="409">
        <f>'2025'!Wh/'2025'!Env_an*'2026'!Env_an</f>
        <v>46.14366192140448</v>
      </c>
      <c r="C237" s="829"/>
      <c r="D237" s="391">
        <f t="shared" si="77"/>
        <v>48.65947469105695</v>
      </c>
      <c r="E237" s="383">
        <f t="shared" si="100"/>
        <v>51.066750787973618</v>
      </c>
      <c r="F237" s="383">
        <f t="shared" si="78"/>
        <v>51.082582933195006</v>
      </c>
      <c r="G237" s="110">
        <f t="shared" si="101"/>
        <v>0.92248062817902832</v>
      </c>
      <c r="H237" s="412" t="b">
        <f>Wh_hp&gt;='2025'!Maxi_hp</f>
        <v>0</v>
      </c>
      <c r="I237" s="388">
        <f>IF(H237,Wh_hp,'2025'!Maxi_hp)</f>
        <v>51.137114320029383</v>
      </c>
      <c r="J237" s="85">
        <f>IF(H237,An,'2025'!An_max)</f>
        <v>2021</v>
      </c>
      <c r="K237" s="197">
        <f t="shared" si="79"/>
        <v>46245</v>
      </c>
      <c r="L237" s="147">
        <f>IF(t&lt;Tvie,1-EXP((T0-t)*PertePVj)+'2025'!Pspv,1-EXP((T0-t)*PertePVj)+Pspv)</f>
        <v>5.1702423538798392E-2</v>
      </c>
      <c r="M237" s="832"/>
      <c r="N237" s="832"/>
      <c r="O237" s="48">
        <f>IF(t&lt;Tnet,'2025'!Resal+('2025'!Salim-'2025'!Resal)*(1-EXP(('2025'!Tnet-t)/('2025'!Tau_j))),Resal+(Salim-Resal)*(1-EXP((Tnet-t)/(Tau_j))))*Salcycl</f>
        <v>4.7139793696911472E-2</v>
      </c>
      <c r="P237" s="169">
        <f>(INDEX(Models!$BJ237:$BT237,,T237)*(1-R237)+INDEX(Models!$BJ237:$BT237,,T237+1)*R237-ERP_i)*Q237*Ramure*Pc/MaxiM</f>
        <v>3.4850922594371647E-4</v>
      </c>
      <c r="Q237" s="304">
        <f t="shared" si="80"/>
        <v>0.7</v>
      </c>
      <c r="R237" s="177">
        <f t="shared" si="81"/>
        <v>0.15000328977820532</v>
      </c>
      <c r="S237" s="799">
        <f t="shared" si="82"/>
        <v>-1</v>
      </c>
      <c r="T237" s="176">
        <f t="shared" si="83"/>
        <v>5</v>
      </c>
      <c r="U237" s="250">
        <f t="shared" si="84"/>
        <v>-0.84999671022179468</v>
      </c>
      <c r="V237" s="382">
        <f t="shared" si="85"/>
        <v>50.019349872437651</v>
      </c>
      <c r="W237" s="400">
        <f t="shared" si="86"/>
        <v>46.14366192140448</v>
      </c>
      <c r="X237" s="157">
        <f t="shared" si="87"/>
        <v>46245</v>
      </c>
      <c r="Y237" s="383">
        <f t="shared" si="88"/>
        <v>44.383015970958091</v>
      </c>
      <c r="Z237" s="383">
        <f t="shared" si="89"/>
        <v>46.802836021772713</v>
      </c>
      <c r="AA237" s="384">
        <f t="shared" si="90"/>
        <v>50.786584563832712</v>
      </c>
      <c r="AB237" s="197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7.8440961845994903E-2</v>
      </c>
      <c r="AD237" s="230">
        <f>(INDEX(Models!$BJ237:$BT237,,AH237)*(1-AF237)+INDEX(Models!$BJ237:$BT237,,AH237+1)*AF237-ERP_i)*AE237*Ramure*Pc/MaxiM</f>
        <v>6.5157413063462385E-3</v>
      </c>
      <c r="AE237" s="304">
        <f t="shared" si="92"/>
        <v>0.7</v>
      </c>
      <c r="AF237" s="177">
        <f t="shared" si="93"/>
        <v>0.90566112061755621</v>
      </c>
      <c r="AG237" s="799">
        <f t="shared" si="99"/>
        <v>1</v>
      </c>
      <c r="AH237" s="176">
        <f t="shared" si="94"/>
        <v>7</v>
      </c>
      <c r="AI237" s="224">
        <f t="shared" si="95"/>
        <v>1.9056611206175562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46246</v>
      </c>
      <c r="B238" s="409">
        <f>'2025'!Wh/'2025'!Env_an*'2026'!Env_an</f>
        <v>46.556898181712839</v>
      </c>
      <c r="C238" s="829"/>
      <c r="D238" s="391">
        <f t="shared" si="77"/>
        <v>49.096182049612302</v>
      </c>
      <c r="E238" s="383">
        <f t="shared" si="100"/>
        <v>51.528414467610631</v>
      </c>
      <c r="F238" s="383">
        <f t="shared" si="78"/>
        <v>51.545419043772277</v>
      </c>
      <c r="G238" s="110">
        <f t="shared" si="101"/>
        <v>0.93316122770927801</v>
      </c>
      <c r="H238" s="412" t="b">
        <f>Wh_hp&gt;='2025'!Maxi_hp</f>
        <v>1</v>
      </c>
      <c r="I238" s="388">
        <f>IF(H238,Wh_hp,'2025'!Maxi_hp)</f>
        <v>51.545419043772277</v>
      </c>
      <c r="J238" s="85">
        <f>IF(H238,An,'2025'!An_max)</f>
        <v>2026</v>
      </c>
      <c r="K238" s="197">
        <f t="shared" si="79"/>
        <v>46246</v>
      </c>
      <c r="L238" s="147">
        <f>IF(t&lt;Tvie,1-EXP((T0-t)*PertePVj)+'2025'!Pspv,1-EXP((T0-t)*PertePVj)+Pspv)</f>
        <v>5.1720597445509831E-2</v>
      </c>
      <c r="M238" s="832"/>
      <c r="N238" s="832"/>
      <c r="O238" s="48">
        <f>IF(t&lt;Tnet,'2025'!Resal+('2025'!Salim-'2025'!Resal)*(1-EXP(('2025'!Tnet-t)/('2025'!Tau_j))),Resal+(Salim-Resal)*(1-EXP((Tnet-t)/(Tau_j))))*Salcycl</f>
        <v>4.7201770967107252E-2</v>
      </c>
      <c r="P238" s="169">
        <f>(INDEX(Models!$BJ238:$BT238,,T238)*(1-R238)+INDEX(Models!$BJ238:$BT238,,T238+1)*R238-ERP_i)*Q238*Ramure*Pc/MaxiM</f>
        <v>3.6470118848522969E-4</v>
      </c>
      <c r="Q238" s="304">
        <f t="shared" si="80"/>
        <v>0.7</v>
      </c>
      <c r="R238" s="177">
        <f t="shared" si="81"/>
        <v>0.15109220096825826</v>
      </c>
      <c r="S238" s="799">
        <f t="shared" si="82"/>
        <v>-1</v>
      </c>
      <c r="T238" s="176">
        <f t="shared" si="83"/>
        <v>5</v>
      </c>
      <c r="U238" s="250">
        <f t="shared" si="84"/>
        <v>-0.84890779903174174</v>
      </c>
      <c r="V238" s="382">
        <f t="shared" si="85"/>
        <v>49.889853753562555</v>
      </c>
      <c r="W238" s="400">
        <f t="shared" si="86"/>
        <v>46.556898181712839</v>
      </c>
      <c r="X238" s="157">
        <f t="shared" si="87"/>
        <v>46246</v>
      </c>
      <c r="Y238" s="383">
        <f t="shared" si="88"/>
        <v>44.774086173314771</v>
      </c>
      <c r="Z238" s="383">
        <f t="shared" si="89"/>
        <v>47.216132769204542</v>
      </c>
      <c r="AA238" s="384">
        <f t="shared" si="90"/>
        <v>51.236398294580319</v>
      </c>
      <c r="AB238" s="197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7.8465029923874108E-2</v>
      </c>
      <c r="AD238" s="230">
        <f>(INDEX(Models!$BJ238:$BT238,,AH238)*(1-AF238)+INDEX(Models!$BJ238:$BT238,,AH238+1)*AF238-ERP_i)*AE238*Ramure*Pc/MaxiM</f>
        <v>6.6276414904786821E-3</v>
      </c>
      <c r="AE238" s="304">
        <f t="shared" si="92"/>
        <v>0.7</v>
      </c>
      <c r="AF238" s="177">
        <f t="shared" si="93"/>
        <v>0.90675003180760916</v>
      </c>
      <c r="AG238" s="799">
        <f t="shared" si="99"/>
        <v>1</v>
      </c>
      <c r="AH238" s="176">
        <f t="shared" si="94"/>
        <v>7</v>
      </c>
      <c r="AI238" s="224">
        <f t="shared" si="95"/>
        <v>1.9067500318076092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46247</v>
      </c>
      <c r="B239" s="409">
        <f>'2025'!Wh/'2025'!Env_an*'2026'!Env_an</f>
        <v>34.990776382598519</v>
      </c>
      <c r="C239" s="829"/>
      <c r="D239" s="391">
        <f t="shared" si="77"/>
        <v>36.899933597035478</v>
      </c>
      <c r="E239" s="383">
        <f t="shared" si="100"/>
        <v>38.730473575674992</v>
      </c>
      <c r="F239" s="383">
        <f t="shared" si="78"/>
        <v>38.738947077971225</v>
      </c>
      <c r="G239" s="110">
        <f t="shared" si="101"/>
        <v>0.70308325683790518</v>
      </c>
      <c r="H239" s="412" t="b">
        <f>Wh_hp&gt;='2025'!Maxi_hp</f>
        <v>0</v>
      </c>
      <c r="I239" s="388">
        <f>IF(H239,Wh_hp,'2025'!Maxi_hp)</f>
        <v>44.585045141201746</v>
      </c>
      <c r="J239" s="85">
        <f>IF(H239,An,'2025'!An_max)</f>
        <v>2018</v>
      </c>
      <c r="K239" s="197">
        <f t="shared" si="79"/>
        <v>46247</v>
      </c>
      <c r="L239" s="147">
        <f>IF(t&lt;Tvie,1-EXP((T0-t)*PertePVj)+'2025'!Pspv,1-EXP((T0-t)*PertePVj)+Pspv)</f>
        <v>5.1738771003922435E-2</v>
      </c>
      <c r="M239" s="832"/>
      <c r="N239" s="832"/>
      <c r="O239" s="48">
        <f>IF(t&lt;Tnet,'2025'!Resal+('2025'!Salim-'2025'!Resal)*(1-EXP(('2025'!Tnet-t)/('2025'!Tau_j))),Resal+(Salim-Resal)*(1-EXP((Tnet-t)/(Tau_j))))*Salcycl</f>
        <v>4.7263557856137318E-2</v>
      </c>
      <c r="P239" s="169">
        <f>(INDEX(Models!$BJ239:$BT239,,T239)*(1-R239)+INDEX(Models!$BJ239:$BT239,,T239+1)*R239-ERP_i)*Q239*Ramure*Pc/MaxiM</f>
        <v>3.7974880678230726E-4</v>
      </c>
      <c r="Q239" s="304">
        <f t="shared" si="80"/>
        <v>0.7</v>
      </c>
      <c r="R239" s="177">
        <f t="shared" si="81"/>
        <v>0.15214328763045315</v>
      </c>
      <c r="S239" s="799">
        <f t="shared" si="82"/>
        <v>-1</v>
      </c>
      <c r="T239" s="176">
        <f t="shared" si="83"/>
        <v>5</v>
      </c>
      <c r="U239" s="250">
        <f t="shared" si="84"/>
        <v>-0.84785671236954685</v>
      </c>
      <c r="V239" s="382">
        <f t="shared" si="85"/>
        <v>49.759599245539661</v>
      </c>
      <c r="W239" s="400">
        <f t="shared" si="86"/>
        <v>34.990776382598519</v>
      </c>
      <c r="X239" s="157">
        <f t="shared" si="87"/>
        <v>46247</v>
      </c>
      <c r="Y239" s="383">
        <f t="shared" si="88"/>
        <v>33.72008934330421</v>
      </c>
      <c r="Z239" s="383">
        <f t="shared" si="89"/>
        <v>35.559915677459053</v>
      </c>
      <c r="AA239" s="384">
        <f t="shared" si="90"/>
        <v>38.588699493265011</v>
      </c>
      <c r="AB239" s="197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7.8488880308976966E-2</v>
      </c>
      <c r="AD239" s="230">
        <f>(INDEX(Models!$BJ239:$BT239,,AH239)*(1-AF239)+INDEX(Models!$BJ239:$BT239,,AH239+1)*AF239-ERP_i)*AE239*Ramure*Pc/MaxiM</f>
        <v>6.7335015698847707E-3</v>
      </c>
      <c r="AE239" s="304">
        <f t="shared" si="92"/>
        <v>0.7</v>
      </c>
      <c r="AF239" s="177">
        <f t="shared" si="93"/>
        <v>0.90780111846980405</v>
      </c>
      <c r="AG239" s="799">
        <f t="shared" si="99"/>
        <v>1</v>
      </c>
      <c r="AH239" s="176">
        <f t="shared" si="94"/>
        <v>7</v>
      </c>
      <c r="AI239" s="224">
        <f t="shared" si="95"/>
        <v>1.907801118469804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46248</v>
      </c>
      <c r="B240" s="409">
        <f>'2025'!Wh/'2025'!Env_an*'2026'!Env_an</f>
        <v>34.867149639708671</v>
      </c>
      <c r="C240" s="829"/>
      <c r="D240" s="391">
        <f t="shared" si="77"/>
        <v>36.770266259222772</v>
      </c>
      <c r="E240" s="383">
        <f t="shared" si="100"/>
        <v>38.596868924818473</v>
      </c>
      <c r="F240" s="383">
        <f t="shared" si="78"/>
        <v>38.605612290472784</v>
      </c>
      <c r="G240" s="110">
        <f t="shared" si="101"/>
        <v>0.70244850644302137</v>
      </c>
      <c r="H240" s="412" t="b">
        <f>Wh_hp&gt;='2025'!Maxi_hp</f>
        <v>0</v>
      </c>
      <c r="I240" s="388">
        <f>IF(H240,Wh_hp,'2025'!Maxi_hp)</f>
        <v>56.167943192678834</v>
      </c>
      <c r="J240" s="85">
        <f>IF(H240,An,'2025'!An_max)</f>
        <v>2018</v>
      </c>
      <c r="K240" s="197">
        <f t="shared" si="79"/>
        <v>46248</v>
      </c>
      <c r="L240" s="147">
        <f>IF(t&lt;Tvie,1-EXP((T0-t)*PertePVj)+'2025'!Pspv,1-EXP((T0-t)*PertePVj)+Pspv)</f>
        <v>5.1756944214042977E-2</v>
      </c>
      <c r="M240" s="832"/>
      <c r="N240" s="832"/>
      <c r="O240" s="48">
        <f>IF(t&lt;Tnet,'2025'!Resal+('2025'!Salim-'2025'!Resal)*(1-EXP(('2025'!Tnet-t)/('2025'!Tau_j))),Resal+(Salim-Resal)*(1-EXP((Tnet-t)/(Tau_j))))*Salcycl</f>
        <v>4.7325151404215712E-2</v>
      </c>
      <c r="P240" s="169">
        <f>(INDEX(Models!$BJ240:$BT240,,T240)*(1-R240)+INDEX(Models!$BJ240:$BT240,,T240+1)*R240-ERP_i)*Q240*Ramure*Pc/MaxiM</f>
        <v>3.938120865992704E-4</v>
      </c>
      <c r="Q240" s="304">
        <f t="shared" si="80"/>
        <v>0.7</v>
      </c>
      <c r="R240" s="177">
        <f t="shared" si="81"/>
        <v>0.15315764487921224</v>
      </c>
      <c r="S240" s="799">
        <f t="shared" si="82"/>
        <v>-1</v>
      </c>
      <c r="T240" s="176">
        <f t="shared" si="83"/>
        <v>5</v>
      </c>
      <c r="U240" s="250">
        <f t="shared" si="84"/>
        <v>-0.84684235512078776</v>
      </c>
      <c r="V240" s="382">
        <f t="shared" si="85"/>
        <v>49.62828388870355</v>
      </c>
      <c r="W240" s="400">
        <f t="shared" si="86"/>
        <v>34.867149639708671</v>
      </c>
      <c r="X240" s="157">
        <f t="shared" si="87"/>
        <v>46248</v>
      </c>
      <c r="Y240" s="383">
        <f t="shared" si="88"/>
        <v>33.600588940329366</v>
      </c>
      <c r="Z240" s="383">
        <f t="shared" si="89"/>
        <v>35.434574221563174</v>
      </c>
      <c r="AA240" s="384">
        <f t="shared" si="90"/>
        <v>38.453668171689323</v>
      </c>
      <c r="AB240" s="197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7.8512508524450603E-2</v>
      </c>
      <c r="AD240" s="230">
        <f>(INDEX(Models!$BJ240:$BT240,,AH240)*(1-AF240)+INDEX(Models!$BJ240:$BT240,,AH240+1)*AF240-ERP_i)*AE240*Ramure*Pc/MaxiM</f>
        <v>6.843752489646528E-3</v>
      </c>
      <c r="AE240" s="304">
        <f t="shared" si="92"/>
        <v>0.7</v>
      </c>
      <c r="AF240" s="177">
        <f t="shared" si="93"/>
        <v>0.90881547571856314</v>
      </c>
      <c r="AG240" s="799">
        <f t="shared" si="99"/>
        <v>1</v>
      </c>
      <c r="AH240" s="176">
        <f t="shared" si="94"/>
        <v>7</v>
      </c>
      <c r="AI240" s="224">
        <f t="shared" si="95"/>
        <v>1.9088154757185631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46249</v>
      </c>
      <c r="B241" s="409">
        <f>'2025'!Wh/'2025'!Env_an*'2026'!Env_an</f>
        <v>32.565693470296225</v>
      </c>
      <c r="C241" s="829"/>
      <c r="D241" s="391">
        <f t="shared" si="77"/>
        <v>34.343850342621913</v>
      </c>
      <c r="E241" s="383">
        <f t="shared" si="100"/>
        <v>36.052241624472785</v>
      </c>
      <c r="F241" s="383">
        <f t="shared" si="78"/>
        <v>36.059748356331589</v>
      </c>
      <c r="G241" s="110">
        <f t="shared" si="101"/>
        <v>0.65782033151708785</v>
      </c>
      <c r="H241" s="412" t="b">
        <f>Wh_hp&gt;='2025'!Maxi_hp</f>
        <v>0</v>
      </c>
      <c r="I241" s="388">
        <f>IF(H241,Wh_hp,'2025'!Maxi_hp)</f>
        <v>48.01365532613444</v>
      </c>
      <c r="J241" s="85">
        <f>IF(H241,An,'2025'!An_max)</f>
        <v>2020</v>
      </c>
      <c r="K241" s="197">
        <f t="shared" si="79"/>
        <v>46249</v>
      </c>
      <c r="L241" s="147">
        <f>IF(t&lt;Tvie,1-EXP((T0-t)*PertePVj)+'2025'!Pspv,1-EXP((T0-t)*PertePVj)+Pspv)</f>
        <v>5.1775117075878119E-2</v>
      </c>
      <c r="M241" s="832"/>
      <c r="N241" s="832"/>
      <c r="O241" s="48">
        <f>IF(t&lt;Tnet,'2025'!Resal+('2025'!Salim-'2025'!Resal)*(1-EXP(('2025'!Tnet-t)/('2025'!Tau_j))),Resal+(Salim-Resal)*(1-EXP((Tnet-t)/(Tau_j))))*Salcycl</f>
        <v>4.7386548099999162E-2</v>
      </c>
      <c r="P241" s="169">
        <f>(INDEX(Models!$BJ241:$BT241,,T241)*(1-R241)+INDEX(Models!$BJ241:$BT241,,T241+1)*R241-ERP_i)*Q241*Ramure*Pc/MaxiM</f>
        <v>4.0710119485642027E-4</v>
      </c>
      <c r="Q241" s="304">
        <f t="shared" si="80"/>
        <v>0.7</v>
      </c>
      <c r="R241" s="177">
        <f t="shared" si="81"/>
        <v>0.15413635249764446</v>
      </c>
      <c r="S241" s="799">
        <f t="shared" si="82"/>
        <v>-1</v>
      </c>
      <c r="T241" s="176">
        <f t="shared" si="83"/>
        <v>5</v>
      </c>
      <c r="U241" s="250">
        <f t="shared" si="84"/>
        <v>-0.84586364750235554</v>
      </c>
      <c r="V241" s="382">
        <f t="shared" si="85"/>
        <v>49.49560295772433</v>
      </c>
      <c r="W241" s="400">
        <f t="shared" si="86"/>
        <v>32.565693470296225</v>
      </c>
      <c r="X241" s="157">
        <f t="shared" si="87"/>
        <v>46249</v>
      </c>
      <c r="Y241" s="383">
        <f t="shared" si="88"/>
        <v>31.395178954501663</v>
      </c>
      <c r="Z241" s="383">
        <f t="shared" si="89"/>
        <v>33.109423217924501</v>
      </c>
      <c r="AA241" s="384">
        <f t="shared" si="90"/>
        <v>35.931322281930555</v>
      </c>
      <c r="AB241" s="197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7.8535909195447409E-2</v>
      </c>
      <c r="AD241" s="230">
        <f>(INDEX(Models!$BJ241:$BT241,,AH241)*(1-AF241)+INDEX(Models!$BJ241:$BT241,,AH241+1)*AF241-ERP_i)*AE241*Ramure*Pc/MaxiM</f>
        <v>6.9647363623416515E-3</v>
      </c>
      <c r="AE241" s="304">
        <f t="shared" si="92"/>
        <v>0.7</v>
      </c>
      <c r="AF241" s="177">
        <f t="shared" si="93"/>
        <v>0.90979418333699535</v>
      </c>
      <c r="AG241" s="799">
        <f t="shared" si="99"/>
        <v>1</v>
      </c>
      <c r="AH241" s="176">
        <f t="shared" si="94"/>
        <v>7</v>
      </c>
      <c r="AI241" s="224">
        <f t="shared" si="95"/>
        <v>1.9097941833369954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46250</v>
      </c>
      <c r="B242" s="409">
        <f>'2025'!Wh/'2025'!Env_an*'2026'!Env_an</f>
        <v>37.443081091525784</v>
      </c>
      <c r="C242" s="829"/>
      <c r="D242" s="391">
        <f t="shared" si="77"/>
        <v>39.488310597710544</v>
      </c>
      <c r="E242" s="383">
        <f t="shared" si="100"/>
        <v>41.45526961479365</v>
      </c>
      <c r="F242" s="383">
        <f t="shared" si="78"/>
        <v>41.466667600874509</v>
      </c>
      <c r="G242" s="110">
        <f t="shared" si="101"/>
        <v>0.75844210864391848</v>
      </c>
      <c r="H242" s="412" t="b">
        <f>Wh_hp&gt;='2025'!Maxi_hp</f>
        <v>0</v>
      </c>
      <c r="I242" s="388">
        <f>IF(H242,Wh_hp,'2025'!Maxi_hp)</f>
        <v>56.53449474291795</v>
      </c>
      <c r="J242" s="85">
        <f>IF(H242,An,'2025'!An_max)</f>
        <v>2018</v>
      </c>
      <c r="K242" s="197">
        <f t="shared" si="79"/>
        <v>46250</v>
      </c>
      <c r="L242" s="147">
        <f>IF(t&lt;Tvie,1-EXP((T0-t)*PertePVj)+'2025'!Pspv,1-EXP((T0-t)*PertePVj)+Pspv)</f>
        <v>5.1793289589434521E-2</v>
      </c>
      <c r="M242" s="832"/>
      <c r="N242" s="832"/>
      <c r="O242" s="48">
        <f>IF(t&lt;Tnet,'2025'!Resal+('2025'!Salim-'2025'!Resal)*(1-EXP(('2025'!Tnet-t)/('2025'!Tau_j))),Resal+(Salim-Resal)*(1-EXP((Tnet-t)/(Tau_j))))*Salcycl</f>
        <v>4.7447743926412288E-2</v>
      </c>
      <c r="P242" s="169">
        <f>(INDEX(Models!$BJ242:$BT242,,T242)*(1-R242)+INDEX(Models!$BJ242:$BT242,,T242+1)*R242-ERP_i)*Q242*Ramure*Pc/MaxiM</f>
        <v>4.196029235751662E-4</v>
      </c>
      <c r="Q242" s="304">
        <f t="shared" si="80"/>
        <v>0.7</v>
      </c>
      <c r="R242" s="177">
        <f t="shared" si="81"/>
        <v>0.1550804738000594</v>
      </c>
      <c r="S242" s="799">
        <f t="shared" si="82"/>
        <v>-1</v>
      </c>
      <c r="T242" s="176">
        <f t="shared" si="83"/>
        <v>5</v>
      </c>
      <c r="U242" s="250">
        <f t="shared" si="84"/>
        <v>-0.8449195261999406</v>
      </c>
      <c r="V242" s="382">
        <f t="shared" si="85"/>
        <v>49.361262998499136</v>
      </c>
      <c r="W242" s="400">
        <f t="shared" si="86"/>
        <v>37.443081091525784</v>
      </c>
      <c r="X242" s="157">
        <f t="shared" si="87"/>
        <v>46250</v>
      </c>
      <c r="Y242" s="383">
        <f t="shared" si="88"/>
        <v>36.061684012215487</v>
      </c>
      <c r="Z242" s="383">
        <f t="shared" si="89"/>
        <v>38.031458347938795</v>
      </c>
      <c r="AA242" s="384">
        <f t="shared" si="90"/>
        <v>41.273897612647403</v>
      </c>
      <c r="AB242" s="197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7.8559076129389879E-2</v>
      </c>
      <c r="AD242" s="230">
        <f>(INDEX(Models!$BJ242:$BT242,,AH242)*(1-AF242)+INDEX(Models!$BJ242:$BT242,,AH242+1)*AF242-ERP_i)*AE242*Ramure*Pc/MaxiM</f>
        <v>7.0965914560508986E-3</v>
      </c>
      <c r="AE242" s="304">
        <f t="shared" si="92"/>
        <v>0.7</v>
      </c>
      <c r="AF242" s="177">
        <f t="shared" si="93"/>
        <v>0.91073830463941041</v>
      </c>
      <c r="AG242" s="799">
        <f t="shared" si="99"/>
        <v>1</v>
      </c>
      <c r="AH242" s="176">
        <f t="shared" si="94"/>
        <v>7</v>
      </c>
      <c r="AI242" s="224">
        <f t="shared" si="95"/>
        <v>1.9107383046394104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46251</v>
      </c>
      <c r="B243" s="409">
        <f>'2025'!Wh/'2025'!Env_an*'2026'!Env_an</f>
        <v>23.391348166773035</v>
      </c>
      <c r="C243" s="829"/>
      <c r="D243" s="391">
        <f t="shared" si="77"/>
        <v>24.669511624830534</v>
      </c>
      <c r="E243" s="383">
        <f t="shared" si="100"/>
        <v>25.89998723965962</v>
      </c>
      <c r="F243" s="383">
        <f t="shared" si="78"/>
        <v>25.902783314497473</v>
      </c>
      <c r="G243" s="110">
        <f t="shared" si="101"/>
        <v>0.47503905485106579</v>
      </c>
      <c r="H243" s="412" t="b">
        <f>Wh_hp&gt;='2025'!Maxi_hp</f>
        <v>0</v>
      </c>
      <c r="I243" s="388">
        <f>IF(H243,Wh_hp,'2025'!Maxi_hp)</f>
        <v>53.858600637454124</v>
      </c>
      <c r="J243" s="85">
        <f>IF(H243,An,'2025'!An_max)</f>
        <v>2018</v>
      </c>
      <c r="K243" s="197">
        <f t="shared" si="79"/>
        <v>46251</v>
      </c>
      <c r="L243" s="147">
        <f>IF(t&lt;Tvie,1-EXP((T0-t)*PertePVj)+'2025'!Pspv,1-EXP((T0-t)*PertePVj)+Pspv)</f>
        <v>5.1811461754718846E-2</v>
      </c>
      <c r="M243" s="832"/>
      <c r="N243" s="832"/>
      <c r="O243" s="48">
        <f>IF(t&lt;Tnet,'2025'!Resal+('2025'!Salim-'2025'!Resal)*(1-EXP(('2025'!Tnet-t)/('2025'!Tau_j))),Resal+(Salim-Resal)*(1-EXP((Tnet-t)/(Tau_j))))*Salcycl</f>
        <v>4.7508734403733925E-2</v>
      </c>
      <c r="P243" s="169">
        <f>(INDEX(Models!$BJ243:$BT243,,T243)*(1-R243)+INDEX(Models!$BJ243:$BT243,,T243+1)*R243-ERP_i)*Q243*Ramure*Pc/MaxiM</f>
        <v>4.3130482762192794E-4</v>
      </c>
      <c r="Q243" s="304">
        <f t="shared" si="80"/>
        <v>0.7</v>
      </c>
      <c r="R243" s="177">
        <f t="shared" si="81"/>
        <v>0.15599105462794149</v>
      </c>
      <c r="S243" s="799">
        <f t="shared" si="82"/>
        <v>-1</v>
      </c>
      <c r="T243" s="176">
        <f t="shared" si="83"/>
        <v>5</v>
      </c>
      <c r="U243" s="250">
        <f t="shared" si="84"/>
        <v>-0.84400894537205851</v>
      </c>
      <c r="V243" s="382">
        <f t="shared" si="85"/>
        <v>49.22497063789595</v>
      </c>
      <c r="W243" s="400">
        <f t="shared" si="86"/>
        <v>23.391348166773035</v>
      </c>
      <c r="X243" s="157">
        <f t="shared" si="87"/>
        <v>46251</v>
      </c>
      <c r="Y243" s="383">
        <f t="shared" si="88"/>
        <v>22.589687902499932</v>
      </c>
      <c r="Z243" s="383">
        <f t="shared" si="89"/>
        <v>23.824046580761706</v>
      </c>
      <c r="AA243" s="384">
        <f t="shared" si="90"/>
        <v>25.855851136604993</v>
      </c>
      <c r="AB243" s="197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7.858200239120311E-2</v>
      </c>
      <c r="AD243" s="230">
        <f>(INDEX(Models!$BJ243:$BT243,,AH243)*(1-AF243)+INDEX(Models!$BJ243:$BT243,,AH243+1)*AF243-ERP_i)*AE243*Ramure*Pc/MaxiM</f>
        <v>7.2394610551243001E-3</v>
      </c>
      <c r="AE243" s="304">
        <f t="shared" si="92"/>
        <v>0.7</v>
      </c>
      <c r="AF243" s="177">
        <f t="shared" si="93"/>
        <v>0.91164888546729239</v>
      </c>
      <c r="AG243" s="799">
        <f t="shared" si="99"/>
        <v>1</v>
      </c>
      <c r="AH243" s="176">
        <f t="shared" si="94"/>
        <v>7</v>
      </c>
      <c r="AI243" s="224">
        <f t="shared" si="95"/>
        <v>1.9116488854672924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46252</v>
      </c>
      <c r="B244" s="409">
        <f>'2025'!Wh/'2025'!Env_an*'2026'!Env_an</f>
        <v>31.350757157871119</v>
      </c>
      <c r="C244" s="829"/>
      <c r="D244" s="391">
        <f t="shared" si="77"/>
        <v>33.064476878737267</v>
      </c>
      <c r="E244" s="383">
        <f t="shared" si="100"/>
        <v>34.715895161494728</v>
      </c>
      <c r="F244" s="383">
        <f t="shared" si="78"/>
        <v>34.723324205016667</v>
      </c>
      <c r="G244" s="110">
        <f t="shared" si="101"/>
        <v>0.63853896706792079</v>
      </c>
      <c r="H244" s="412" t="b">
        <f>Wh_hp&gt;='2025'!Maxi_hp</f>
        <v>0</v>
      </c>
      <c r="I244" s="388">
        <f>IF(H244,Wh_hp,'2025'!Maxi_hp)</f>
        <v>45.332057361760235</v>
      </c>
      <c r="J244" s="85">
        <f>IF(H244,An,'2025'!An_max)</f>
        <v>2021</v>
      </c>
      <c r="K244" s="197">
        <f t="shared" si="79"/>
        <v>46252</v>
      </c>
      <c r="L244" s="147">
        <f>IF(t&lt;Tvie,1-EXP((T0-t)*PertePVj)+'2025'!Pspv,1-EXP((T0-t)*PertePVj)+Pspv)</f>
        <v>5.1829633571737754E-2</v>
      </c>
      <c r="M244" s="832"/>
      <c r="N244" s="832"/>
      <c r="O244" s="48">
        <f>IF(t&lt;Tnet,'2025'!Resal+('2025'!Salim-'2025'!Resal)*(1-EXP(('2025'!Tnet-t)/('2025'!Tau_j))),Resal+(Salim-Resal)*(1-EXP((Tnet-t)/(Tau_j))))*Salcycl</f>
        <v>4.7569514629400629E-2</v>
      </c>
      <c r="P244" s="169">
        <f>(INDEX(Models!$BJ244:$BT244,,T244)*(1-R244)+INDEX(Models!$BJ244:$BT244,,T244+1)*R244-ERP_i)*Q244*Ramure*Pc/MaxiM</f>
        <v>4.4219514804834929E-4</v>
      </c>
      <c r="Q244" s="304">
        <f t="shared" si="80"/>
        <v>0.7</v>
      </c>
      <c r="R244" s="177">
        <f t="shared" si="81"/>
        <v>0.15686912247179241</v>
      </c>
      <c r="S244" s="799">
        <f t="shared" si="82"/>
        <v>-1</v>
      </c>
      <c r="T244" s="176">
        <f t="shared" si="83"/>
        <v>5</v>
      </c>
      <c r="U244" s="250">
        <f t="shared" si="84"/>
        <v>-0.84313087752820759</v>
      </c>
      <c r="V244" s="382">
        <f t="shared" si="85"/>
        <v>49.086432581790305</v>
      </c>
      <c r="W244" s="400">
        <f t="shared" si="86"/>
        <v>31.350757157871119</v>
      </c>
      <c r="X244" s="157">
        <f t="shared" si="87"/>
        <v>46252</v>
      </c>
      <c r="Y244" s="383">
        <f t="shared" si="88"/>
        <v>30.227158038544236</v>
      </c>
      <c r="Z244" s="383">
        <f t="shared" si="89"/>
        <v>31.879458701508781</v>
      </c>
      <c r="AA244" s="384">
        <f t="shared" si="90"/>
        <v>34.59911074260966</v>
      </c>
      <c r="AB244" s="197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7.8604680372653668E-2</v>
      </c>
      <c r="AD244" s="230">
        <f>(INDEX(Models!$BJ244:$BT244,,AH244)*(1-AF244)+INDEX(Models!$BJ244:$BT244,,AH244+1)*AF244-ERP_i)*AE244*Ramure*Pc/MaxiM</f>
        <v>7.393494227954372E-3</v>
      </c>
      <c r="AE244" s="304">
        <f t="shared" si="92"/>
        <v>0.7</v>
      </c>
      <c r="AF244" s="177">
        <f t="shared" si="93"/>
        <v>0.91252695331114331</v>
      </c>
      <c r="AG244" s="799">
        <f t="shared" si="99"/>
        <v>1</v>
      </c>
      <c r="AH244" s="176">
        <f t="shared" si="94"/>
        <v>7</v>
      </c>
      <c r="AI244" s="224">
        <f t="shared" si="95"/>
        <v>1.9125269533111433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46253</v>
      </c>
      <c r="B245" s="409">
        <f>'2025'!Wh/'2025'!Env_an*'2026'!Env_an</f>
        <v>32.743623026020444</v>
      </c>
      <c r="C245" s="829"/>
      <c r="D245" s="391">
        <f t="shared" si="77"/>
        <v>34.534142514344971</v>
      </c>
      <c r="E245" s="383">
        <f t="shared" si="100"/>
        <v>36.261269664492815</v>
      </c>
      <c r="F245" s="383">
        <f t="shared" si="78"/>
        <v>36.269916276436128</v>
      </c>
      <c r="G245" s="110">
        <f t="shared" si="101"/>
        <v>0.66884014185862217</v>
      </c>
      <c r="H245" s="412" t="b">
        <f>Wh_hp&gt;='2025'!Maxi_hp</f>
        <v>0</v>
      </c>
      <c r="I245" s="388">
        <f>IF(H245,Wh_hp,'2025'!Maxi_hp)</f>
        <v>41.817185675969036</v>
      </c>
      <c r="J245" s="85">
        <f>IF(H245,An,'2025'!An_max)</f>
        <v>2021</v>
      </c>
      <c r="K245" s="197">
        <f t="shared" si="79"/>
        <v>46253</v>
      </c>
      <c r="L245" s="147">
        <f>IF(t&lt;Tvie,1-EXP((T0-t)*PertePVj)+'2025'!Pspv,1-EXP((T0-t)*PertePVj)+Pspv)</f>
        <v>5.1847805040497907E-2</v>
      </c>
      <c r="M245" s="832"/>
      <c r="N245" s="832"/>
      <c r="O245" s="48">
        <f>IF(t&lt;Tnet,'2025'!Resal+('2025'!Salim-'2025'!Resal)*(1-EXP(('2025'!Tnet-t)/('2025'!Tau_j))),Resal+(Salim-Resal)*(1-EXP((Tnet-t)/(Tau_j))))*Salcycl</f>
        <v>4.7630079314047065E-2</v>
      </c>
      <c r="P245" s="169">
        <f>(INDEX(Models!$BJ245:$BT245,,T245)*(1-R245)+INDEX(Models!$BJ245:$BT245,,T245+1)*R245-ERP_i)*Q245*Ramure*Pc/MaxiM</f>
        <v>4.522627349150155E-4</v>
      </c>
      <c r="Q245" s="304">
        <f t="shared" si="80"/>
        <v>0.7</v>
      </c>
      <c r="R245" s="177">
        <f t="shared" si="81"/>
        <v>0.15771568571134387</v>
      </c>
      <c r="S245" s="799">
        <f t="shared" si="82"/>
        <v>-1</v>
      </c>
      <c r="T245" s="176">
        <f t="shared" si="83"/>
        <v>5</v>
      </c>
      <c r="U245" s="250">
        <f t="shared" si="84"/>
        <v>-0.84228431428865613</v>
      </c>
      <c r="V245" s="382">
        <f t="shared" si="85"/>
        <v>48.945355614545427</v>
      </c>
      <c r="W245" s="400">
        <f t="shared" si="86"/>
        <v>32.743623026020444</v>
      </c>
      <c r="X245" s="157">
        <f t="shared" si="87"/>
        <v>46253</v>
      </c>
      <c r="Y245" s="383">
        <f t="shared" si="88"/>
        <v>31.559213908227044</v>
      </c>
      <c r="Z245" s="383">
        <f t="shared" si="89"/>
        <v>33.284966354557682</v>
      </c>
      <c r="AA245" s="384">
        <f t="shared" si="90"/>
        <v>36.125402018631078</v>
      </c>
      <c r="AB245" s="197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7.862710185504615E-2</v>
      </c>
      <c r="AD245" s="230">
        <f>(INDEX(Models!$BJ245:$BT245,,AH245)*(1-AF245)+INDEX(Models!$BJ245:$BT245,,AH245+1)*AF245-ERP_i)*AE245*Ramure*Pc/MaxiM</f>
        <v>7.558846620806435E-3</v>
      </c>
      <c r="AE245" s="304">
        <f t="shared" si="92"/>
        <v>0.7</v>
      </c>
      <c r="AF245" s="177">
        <f t="shared" si="93"/>
        <v>0.91337351655069465</v>
      </c>
      <c r="AG245" s="799">
        <f t="shared" si="99"/>
        <v>1</v>
      </c>
      <c r="AH245" s="176">
        <f t="shared" si="94"/>
        <v>7</v>
      </c>
      <c r="AI245" s="224">
        <f t="shared" si="95"/>
        <v>1.9133735165506947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46254</v>
      </c>
      <c r="B246" s="409">
        <f>'2025'!Wh/'2025'!Env_an*'2026'!Env_an</f>
        <v>47.801873049237976</v>
      </c>
      <c r="C246" s="829"/>
      <c r="D246" s="391">
        <f t="shared" si="77"/>
        <v>50.416789027028301</v>
      </c>
      <c r="E246" s="383">
        <f t="shared" si="100"/>
        <v>52.941596130927095</v>
      </c>
      <c r="F246" s="383">
        <f t="shared" si="78"/>
        <v>52.965324239561944</v>
      </c>
      <c r="G246" s="110">
        <f t="shared" si="101"/>
        <v>0.97950430967092672</v>
      </c>
      <c r="H246" s="412" t="b">
        <f>Wh_hp&gt;='2025'!Maxi_hp</f>
        <v>1</v>
      </c>
      <c r="I246" s="388">
        <f>IF(H246,Wh_hp,'2025'!Maxi_hp)</f>
        <v>52.965324239561944</v>
      </c>
      <c r="J246" s="85">
        <f>IF(H246,An,'2025'!An_max)</f>
        <v>2026</v>
      </c>
      <c r="K246" s="197">
        <f t="shared" si="79"/>
        <v>46254</v>
      </c>
      <c r="L246" s="147">
        <f>IF(t&lt;Tvie,1-EXP((T0-t)*PertePVj)+'2025'!Pspv,1-EXP((T0-t)*PertePVj)+Pspv)</f>
        <v>5.1865976161006078E-2</v>
      </c>
      <c r="M246" s="832"/>
      <c r="N246" s="832"/>
      <c r="O246" s="48">
        <f>IF(t&lt;Tnet,'2025'!Resal+('2025'!Salim-'2025'!Resal)*(1-EXP(('2025'!Tnet-t)/('2025'!Tau_j))),Resal+(Salim-Resal)*(1-EXP((Tnet-t)/(Tau_j))))*Salcycl</f>
        <v>4.7690422813373955E-2</v>
      </c>
      <c r="P246" s="169">
        <f>(INDEX(Models!$BJ246:$BT246,,T246)*(1-R246)+INDEX(Models!$BJ246:$BT246,,T246+1)*R246-ERP_i)*Q246*Ramure*Pc/MaxiM</f>
        <v>4.6149696964362883E-4</v>
      </c>
      <c r="Q246" s="304">
        <f t="shared" si="80"/>
        <v>0.7</v>
      </c>
      <c r="R246" s="177">
        <f t="shared" si="81"/>
        <v>0.15853173296677214</v>
      </c>
      <c r="S246" s="799">
        <f t="shared" si="82"/>
        <v>-1</v>
      </c>
      <c r="T246" s="176">
        <f t="shared" si="83"/>
        <v>5</v>
      </c>
      <c r="U246" s="250">
        <f t="shared" si="84"/>
        <v>-0.84146826703322786</v>
      </c>
      <c r="V246" s="382">
        <f t="shared" si="85"/>
        <v>48.801446594655005</v>
      </c>
      <c r="W246" s="400">
        <f t="shared" si="86"/>
        <v>47.801873049237976</v>
      </c>
      <c r="X246" s="157">
        <f t="shared" si="87"/>
        <v>46254</v>
      </c>
      <c r="Y246" s="383">
        <f t="shared" si="88"/>
        <v>45.921153586021319</v>
      </c>
      <c r="Z246" s="383">
        <f t="shared" si="89"/>
        <v>48.43318816899599</v>
      </c>
      <c r="AA246" s="384">
        <f t="shared" si="90"/>
        <v>52.567590131049698</v>
      </c>
      <c r="AB246" s="197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7.8649258064650646E-2</v>
      </c>
      <c r="AD246" s="230">
        <f>(INDEX(Models!$BJ246:$BT246,,AH246)*(1-AF246)+INDEX(Models!$BJ246:$BT246,,AH246+1)*AF246-ERP_i)*AE246*Ramure*Pc/MaxiM</f>
        <v>7.7356812810918402E-3</v>
      </c>
      <c r="AE246" s="304">
        <f t="shared" si="92"/>
        <v>0.7</v>
      </c>
      <c r="AF246" s="177">
        <f t="shared" si="93"/>
        <v>0.91418956380612304</v>
      </c>
      <c r="AG246" s="799">
        <f t="shared" si="99"/>
        <v>1</v>
      </c>
      <c r="AH246" s="176">
        <f t="shared" si="94"/>
        <v>7</v>
      </c>
      <c r="AI246" s="224">
        <f t="shared" si="95"/>
        <v>1.914189563806123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46255</v>
      </c>
      <c r="B247" s="409">
        <f>'2025'!Wh/'2025'!Env_an*'2026'!Env_an</f>
        <v>37.866511018645021</v>
      </c>
      <c r="C247" s="829"/>
      <c r="D247" s="391">
        <f t="shared" si="77"/>
        <v>39.938696200642333</v>
      </c>
      <c r="E247" s="383">
        <f t="shared" si="100"/>
        <v>41.94142169975413</v>
      </c>
      <c r="F247" s="383">
        <f t="shared" si="78"/>
        <v>41.954890349351437</v>
      </c>
      <c r="G247" s="110">
        <f t="shared" si="101"/>
        <v>0.77813711240441419</v>
      </c>
      <c r="H247" s="412" t="b">
        <f>Wh_hp&gt;='2025'!Maxi_hp</f>
        <v>0</v>
      </c>
      <c r="I247" s="388">
        <f>IF(H247,Wh_hp,'2025'!Maxi_hp)</f>
        <v>53.982802943625828</v>
      </c>
      <c r="J247" s="85">
        <f>IF(H247,An,'2025'!An_max)</f>
        <v>2020</v>
      </c>
      <c r="K247" s="197">
        <f t="shared" si="79"/>
        <v>46255</v>
      </c>
      <c r="L247" s="147">
        <f>IF(t&lt;Tvie,1-EXP((T0-t)*PertePVj)+'2025'!Pspv,1-EXP((T0-t)*PertePVj)+Pspv)</f>
        <v>5.1884146933268815E-2</v>
      </c>
      <c r="M247" s="832"/>
      <c r="N247" s="832"/>
      <c r="O247" s="48">
        <f>IF(t&lt;Tnet,'2025'!Resal+('2025'!Salim-'2025'!Resal)*(1-EXP(('2025'!Tnet-t)/('2025'!Tau_j))),Resal+(Salim-Resal)*(1-EXP((Tnet-t)/(Tau_j))))*Salcycl</f>
        <v>4.7750539155508344E-2</v>
      </c>
      <c r="P247" s="169">
        <f>(INDEX(Models!$BJ247:$BT247,,T247)*(1-R247)+INDEX(Models!$BJ247:$BT247,,T247+1)*R247-ERP_i)*Q247*Ramure*Pc/MaxiM</f>
        <v>4.6987442749911619E-4</v>
      </c>
      <c r="Q247" s="304">
        <f t="shared" si="80"/>
        <v>0.7</v>
      </c>
      <c r="R247" s="177">
        <f t="shared" si="81"/>
        <v>0.15931823255370348</v>
      </c>
      <c r="S247" s="799">
        <f t="shared" si="82"/>
        <v>-1</v>
      </c>
      <c r="T247" s="176">
        <f t="shared" si="83"/>
        <v>5</v>
      </c>
      <c r="U247" s="250">
        <f t="shared" si="84"/>
        <v>-0.84068176744629652</v>
      </c>
      <c r="V247" s="382">
        <f t="shared" si="85"/>
        <v>48.655786068615264</v>
      </c>
      <c r="W247" s="400">
        <f t="shared" si="86"/>
        <v>37.866511018645021</v>
      </c>
      <c r="X247" s="157">
        <f t="shared" si="87"/>
        <v>46255</v>
      </c>
      <c r="Y247" s="383">
        <f t="shared" si="88"/>
        <v>36.450300156614773</v>
      </c>
      <c r="Z247" s="383">
        <f t="shared" si="89"/>
        <v>38.444985429485584</v>
      </c>
      <c r="AA247" s="384">
        <f t="shared" si="90"/>
        <v>41.727755513722741</v>
      </c>
      <c r="AB247" s="197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7.8671139720361313E-2</v>
      </c>
      <c r="AD247" s="230">
        <f>(INDEX(Models!$BJ247:$BT247,,AH247)*(1-AF247)+INDEX(Models!$BJ247:$BT247,,AH247+1)*AF247-ERP_i)*AE247*Ramure*Pc/MaxiM</f>
        <v>7.9239459075029946E-3</v>
      </c>
      <c r="AE247" s="304">
        <f t="shared" si="92"/>
        <v>0.7</v>
      </c>
      <c r="AF247" s="177">
        <f t="shared" si="93"/>
        <v>0.91497606339305437</v>
      </c>
      <c r="AG247" s="799">
        <f t="shared" si="99"/>
        <v>1</v>
      </c>
      <c r="AH247" s="176">
        <f t="shared" si="94"/>
        <v>7</v>
      </c>
      <c r="AI247" s="224">
        <f t="shared" si="95"/>
        <v>1.9149760633930544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46256</v>
      </c>
      <c r="B248" s="409">
        <f>'2025'!Wh/'2025'!Env_an*'2026'!Env_an</f>
        <v>26.594935367560737</v>
      </c>
      <c r="C248" s="829"/>
      <c r="D248" s="391">
        <f t="shared" si="77"/>
        <v>28.050838910849968</v>
      </c>
      <c r="E248" s="383">
        <f t="shared" si="100"/>
        <v>29.4593005015264</v>
      </c>
      <c r="F248" s="383">
        <f t="shared" si="78"/>
        <v>29.464298520775461</v>
      </c>
      <c r="G248" s="110">
        <f t="shared" si="101"/>
        <v>0.54807356733172274</v>
      </c>
      <c r="H248" s="412" t="b">
        <f>Wh_hp&gt;='2025'!Maxi_hp</f>
        <v>0</v>
      </c>
      <c r="I248" s="388">
        <f>IF(H248,Wh_hp,'2025'!Maxi_hp)</f>
        <v>55.500972969341134</v>
      </c>
      <c r="J248" s="85">
        <f>IF(H248,An,'2025'!An_max)</f>
        <v>2018</v>
      </c>
      <c r="K248" s="197">
        <f t="shared" si="79"/>
        <v>46256</v>
      </c>
      <c r="L248" s="147">
        <f>IF(t&lt;Tvie,1-EXP((T0-t)*PertePVj)+'2025'!Pspv,1-EXP((T0-t)*PertePVj)+Pspv)</f>
        <v>5.1902317357292782E-2</v>
      </c>
      <c r="M248" s="832"/>
      <c r="N248" s="832"/>
      <c r="O248" s="48">
        <f>IF(t&lt;Tnet,'2025'!Resal+('2025'!Salim-'2025'!Resal)*(1-EXP(('2025'!Tnet-t)/('2025'!Tau_j))),Resal+(Salim-Resal)*(1-EXP((Tnet-t)/(Tau_j))))*Salcycl</f>
        <v>4.7810422063601074E-2</v>
      </c>
      <c r="P248" s="169">
        <f>(INDEX(Models!$BJ248:$BT248,,T248)*(1-R248)+INDEX(Models!$BJ248:$BT248,,T248+1)*R248-ERP_i)*Q248*Ramure*Pc/MaxiM</f>
        <v>4.7832505949527349E-4</v>
      </c>
      <c r="Q248" s="304">
        <f t="shared" si="80"/>
        <v>0.7</v>
      </c>
      <c r="R248" s="177">
        <f t="shared" si="81"/>
        <v>0.16007613203499815</v>
      </c>
      <c r="S248" s="799">
        <f t="shared" si="82"/>
        <v>-1</v>
      </c>
      <c r="T248" s="176">
        <f t="shared" si="83"/>
        <v>5</v>
      </c>
      <c r="U248" s="250">
        <f t="shared" si="84"/>
        <v>-0.83992386796500185</v>
      </c>
      <c r="V248" s="382">
        <f t="shared" si="85"/>
        <v>48.509407907094456</v>
      </c>
      <c r="W248" s="400">
        <f t="shared" si="86"/>
        <v>26.594935367560737</v>
      </c>
      <c r="X248" s="157">
        <f t="shared" si="87"/>
        <v>46256</v>
      </c>
      <c r="Y248" s="383">
        <f t="shared" si="88"/>
        <v>25.662590097561864</v>
      </c>
      <c r="Z248" s="383">
        <f t="shared" si="89"/>
        <v>27.067453667886319</v>
      </c>
      <c r="AA248" s="384">
        <f t="shared" si="90"/>
        <v>29.379398987802748</v>
      </c>
      <c r="AB248" s="197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7.86927370732214E-2</v>
      </c>
      <c r="AD248" s="230">
        <f>(INDEX(Models!$BJ248:$BT248,,AH248)*(1-AF248)+INDEX(Models!$BJ248:$BT248,,AH248+1)*AF248-ERP_i)*AE248*Ramure*Pc/MaxiM</f>
        <v>8.1251336052618126E-3</v>
      </c>
      <c r="AE248" s="304">
        <f t="shared" si="92"/>
        <v>0.7</v>
      </c>
      <c r="AF248" s="177">
        <f t="shared" si="93"/>
        <v>0.91573396287434905</v>
      </c>
      <c r="AG248" s="799">
        <f t="shared" si="99"/>
        <v>1</v>
      </c>
      <c r="AH248" s="176">
        <f t="shared" si="94"/>
        <v>7</v>
      </c>
      <c r="AI248" s="224">
        <f t="shared" si="95"/>
        <v>1.9157339628743491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46257</v>
      </c>
      <c r="B249" s="409">
        <f>'2025'!Wh/'2025'!Env_an*'2026'!Env_an</f>
        <v>41.38427901229187</v>
      </c>
      <c r="C249" s="829"/>
      <c r="D249" s="391">
        <f t="shared" si="77"/>
        <v>43.650641600981736</v>
      </c>
      <c r="E249" s="383">
        <f t="shared" si="100"/>
        <v>45.845257033921825</v>
      </c>
      <c r="F249" s="383">
        <f t="shared" si="78"/>
        <v>45.863023471666487</v>
      </c>
      <c r="G249" s="110">
        <f t="shared" si="101"/>
        <v>0.85563345662092727</v>
      </c>
      <c r="H249" s="412" t="b">
        <f>Wh_hp&gt;='2025'!Maxi_hp</f>
        <v>0</v>
      </c>
      <c r="I249" s="388">
        <f>IF(H249,Wh_hp,'2025'!Maxi_hp)</f>
        <v>53.062243382697936</v>
      </c>
      <c r="J249" s="85">
        <f>IF(H249,An,'2025'!An_max)</f>
        <v>2018</v>
      </c>
      <c r="K249" s="197">
        <f t="shared" si="79"/>
        <v>46257</v>
      </c>
      <c r="L249" s="147">
        <f>IF(t&lt;Tvie,1-EXP((T0-t)*PertePVj)+'2025'!Pspv,1-EXP((T0-t)*PertePVj)+Pspv)</f>
        <v>5.1920487433084861E-2</v>
      </c>
      <c r="M249" s="832"/>
      <c r="N249" s="832"/>
      <c r="O249" s="48">
        <f>IF(t&lt;Tnet,'2025'!Resal+('2025'!Salim-'2025'!Resal)*(1-EXP(('2025'!Tnet-t)/('2025'!Tau_j))),Resal+(Salim-Resal)*(1-EXP((Tnet-t)/(Tau_j))))*Salcycl</f>
        <v>4.7870064973487871E-2</v>
      </c>
      <c r="P249" s="169">
        <f>(INDEX(Models!$BJ249:$BT249,,T249)*(1-R249)+INDEX(Models!$BJ249:$BT249,,T249+1)*R249-ERP_i)*Q249*Ramure*Pc/MaxiM</f>
        <v>4.87955298645069E-4</v>
      </c>
      <c r="Q249" s="304">
        <f t="shared" si="80"/>
        <v>0.7</v>
      </c>
      <c r="R249" s="177">
        <f t="shared" si="81"/>
        <v>0.16080635786250719</v>
      </c>
      <c r="S249" s="799">
        <f t="shared" si="82"/>
        <v>-1</v>
      </c>
      <c r="T249" s="176">
        <f t="shared" si="83"/>
        <v>5</v>
      </c>
      <c r="U249" s="250">
        <f t="shared" si="84"/>
        <v>-0.83919364213749281</v>
      </c>
      <c r="V249" s="382">
        <f t="shared" si="85"/>
        <v>48.361964881889961</v>
      </c>
      <c r="W249" s="400">
        <f t="shared" si="86"/>
        <v>41.38427901229187</v>
      </c>
      <c r="X249" s="157">
        <f t="shared" si="87"/>
        <v>46257</v>
      </c>
      <c r="Y249" s="383">
        <f t="shared" si="88"/>
        <v>39.793938953874893</v>
      </c>
      <c r="Z249" s="383">
        <f t="shared" si="89"/>
        <v>41.9732083927573</v>
      </c>
      <c r="AA249" s="384">
        <f t="shared" si="90"/>
        <v>45.559370501981604</v>
      </c>
      <c r="AB249" s="197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7.8714039937587035E-2</v>
      </c>
      <c r="AD249" s="230">
        <f>(INDEX(Models!$BJ249:$BT249,,AH249)*(1-AF249)+INDEX(Models!$BJ249:$BT249,,AH249+1)*AF249-ERP_i)*AE249*Ramure*Pc/MaxiM</f>
        <v>8.339830282046632E-3</v>
      </c>
      <c r="AE249" s="304">
        <f t="shared" si="92"/>
        <v>0.7</v>
      </c>
      <c r="AF249" s="177">
        <f t="shared" si="93"/>
        <v>0.91646418870185808</v>
      </c>
      <c r="AG249" s="799">
        <f t="shared" si="99"/>
        <v>1</v>
      </c>
      <c r="AH249" s="176">
        <f t="shared" si="94"/>
        <v>7</v>
      </c>
      <c r="AI249" s="224">
        <f t="shared" si="95"/>
        <v>1.9164641887018581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46258</v>
      </c>
      <c r="B250" s="409">
        <f>'2025'!Wh/'2025'!Env_an*'2026'!Env_an</f>
        <v>48.403914097394761</v>
      </c>
      <c r="C250" s="829"/>
      <c r="D250" s="391">
        <f t="shared" si="77"/>
        <v>51.055677423182239</v>
      </c>
      <c r="E250" s="383">
        <f t="shared" si="100"/>
        <v>53.625939816699358</v>
      </c>
      <c r="F250" s="383">
        <f t="shared" si="78"/>
        <v>53.652701401553543</v>
      </c>
      <c r="G250" s="110">
        <f t="shared" si="101"/>
        <v>1.003956420084732</v>
      </c>
      <c r="H250" s="412" t="b">
        <f>Wh_hp&gt;='2025'!Maxi_hp</f>
        <v>1</v>
      </c>
      <c r="I250" s="388">
        <f>IF(H250,Wh_hp,'2025'!Maxi_hp)</f>
        <v>53.652701401553543</v>
      </c>
      <c r="J250" s="85">
        <f>IF(H250,An,'2025'!An_max)</f>
        <v>2026</v>
      </c>
      <c r="K250" s="197">
        <f t="shared" si="79"/>
        <v>46258</v>
      </c>
      <c r="L250" s="147">
        <f>IF(t&lt;Tvie,1-EXP((T0-t)*PertePVj)+'2025'!Pspv,1-EXP((T0-t)*PertePVj)+Pspv)</f>
        <v>5.1938657160651491E-2</v>
      </c>
      <c r="M250" s="832"/>
      <c r="N250" s="832"/>
      <c r="O250" s="48">
        <f>IF(t&lt;Tnet,'2025'!Resal+('2025'!Salim-'2025'!Resal)*(1-EXP(('2025'!Tnet-t)/('2025'!Tau_j))),Resal+(Salim-Resal)*(1-EXP((Tnet-t)/(Tau_j))))*Salcycl</f>
        <v>4.7929461046326061E-2</v>
      </c>
      <c r="P250" s="169">
        <f>(INDEX(Models!$BJ250:$BT250,,T250)*(1-R250)+INDEX(Models!$BJ250:$BT250,,T250+1)*R250-ERP_i)*Q250*Ramure*Pc/MaxiM</f>
        <v>4.9879286886027427E-4</v>
      </c>
      <c r="Q250" s="304">
        <f t="shared" si="80"/>
        <v>0.7</v>
      </c>
      <c r="R250" s="177">
        <f t="shared" si="81"/>
        <v>0.16150981510223861</v>
      </c>
      <c r="S250" s="799">
        <f t="shared" si="82"/>
        <v>-1</v>
      </c>
      <c r="T250" s="176">
        <f t="shared" si="83"/>
        <v>5</v>
      </c>
      <c r="U250" s="250">
        <f t="shared" si="84"/>
        <v>-0.83849018489776139</v>
      </c>
      <c r="V250" s="382">
        <f t="shared" si="85"/>
        <v>48.213162572643903</v>
      </c>
      <c r="W250" s="400">
        <f t="shared" si="86"/>
        <v>48.403914097394761</v>
      </c>
      <c r="X250" s="157">
        <f t="shared" si="87"/>
        <v>46258</v>
      </c>
      <c r="Y250" s="383">
        <f t="shared" si="88"/>
        <v>46.459596191483207</v>
      </c>
      <c r="Z250" s="383">
        <f t="shared" si="89"/>
        <v>49.00484187272248</v>
      </c>
      <c r="AA250" s="384">
        <f t="shared" si="90"/>
        <v>53.192994283767142</v>
      </c>
      <c r="AB250" s="197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7.8735037713843395E-2</v>
      </c>
      <c r="AD250" s="230">
        <f>(INDEX(Models!$BJ250:$BT250,,AH250)*(1-AF250)+INDEX(Models!$BJ250:$BT250,,AH250+1)*AF250-ERP_i)*AE250*Ramure*Pc/MaxiM</f>
        <v>8.5682007760580162E-3</v>
      </c>
      <c r="AE250" s="304">
        <f t="shared" si="92"/>
        <v>0.7</v>
      </c>
      <c r="AF250" s="177">
        <f t="shared" si="93"/>
        <v>0.91716764594158962</v>
      </c>
      <c r="AG250" s="799">
        <f t="shared" si="99"/>
        <v>1</v>
      </c>
      <c r="AH250" s="176">
        <f t="shared" si="94"/>
        <v>7</v>
      </c>
      <c r="AI250" s="224">
        <f t="shared" si="95"/>
        <v>1.9171676459415896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46259</v>
      </c>
      <c r="B251" s="409">
        <f>'2025'!Wh/'2025'!Env_an*'2026'!Env_an</f>
        <v>27.258228306998387</v>
      </c>
      <c r="C251" s="829"/>
      <c r="D251" s="391">
        <f t="shared" si="77"/>
        <v>28.75209596997162</v>
      </c>
      <c r="E251" s="383">
        <f t="shared" si="100"/>
        <v>30.201419926166324</v>
      </c>
      <c r="F251" s="383">
        <f t="shared" si="78"/>
        <v>30.207309142331518</v>
      </c>
      <c r="G251" s="110">
        <f t="shared" si="101"/>
        <v>0.56695965487855282</v>
      </c>
      <c r="H251" s="412" t="b">
        <f>Wh_hp&gt;='2025'!Maxi_hp</f>
        <v>0</v>
      </c>
      <c r="I251" s="388">
        <f>IF(H251,Wh_hp,'2025'!Maxi_hp)</f>
        <v>51.419146627981888</v>
      </c>
      <c r="J251" s="85">
        <f>IF(H251,An,'2025'!An_max)</f>
        <v>2021</v>
      </c>
      <c r="K251" s="197">
        <f t="shared" si="79"/>
        <v>46259</v>
      </c>
      <c r="L251" s="147">
        <f>IF(t&lt;Tvie,1-EXP((T0-t)*PertePVj)+'2025'!Pspv,1-EXP((T0-t)*PertePVj)+Pspv)</f>
        <v>5.1956826539999446E-2</v>
      </c>
      <c r="M251" s="832"/>
      <c r="N251" s="832"/>
      <c r="O251" s="48">
        <f>IF(t&lt;Tnet,'2025'!Resal+('2025'!Salim-'2025'!Resal)*(1-EXP(('2025'!Tnet-t)/('2025'!Tau_j))),Resal+(Salim-Resal)*(1-EXP((Tnet-t)/(Tau_j))))*Salcycl</f>
        <v>4.7988603176204223E-2</v>
      </c>
      <c r="P251" s="169">
        <f>(INDEX(Models!$BJ251:$BT251,,T251)*(1-R251)+INDEX(Models!$BJ251:$BT251,,T251+1)*R251-ERP_i)*Q251*Ramure*Pc/MaxiM</f>
        <v>5.1086534154093236E-4</v>
      </c>
      <c r="Q251" s="304">
        <f t="shared" si="80"/>
        <v>0.7</v>
      </c>
      <c r="R251" s="177">
        <f t="shared" si="81"/>
        <v>0.1621873872366103</v>
      </c>
      <c r="S251" s="799">
        <f t="shared" si="82"/>
        <v>-1</v>
      </c>
      <c r="T251" s="176">
        <f t="shared" si="83"/>
        <v>5</v>
      </c>
      <c r="U251" s="250">
        <f t="shared" si="84"/>
        <v>-0.8378126127633897</v>
      </c>
      <c r="V251" s="382">
        <f t="shared" si="85"/>
        <v>48.062706707121855</v>
      </c>
      <c r="W251" s="400">
        <f t="shared" si="86"/>
        <v>27.258228306998387</v>
      </c>
      <c r="X251" s="157">
        <f t="shared" si="87"/>
        <v>46259</v>
      </c>
      <c r="Y251" s="383">
        <f t="shared" si="88"/>
        <v>26.293734535240844</v>
      </c>
      <c r="Z251" s="383">
        <f t="shared" si="89"/>
        <v>27.73474380842659</v>
      </c>
      <c r="AA251" s="384">
        <f t="shared" si="90"/>
        <v>30.105743278476876</v>
      </c>
      <c r="AB251" s="197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7.8755719402727825E-2</v>
      </c>
      <c r="AD251" s="230">
        <f>(INDEX(Models!$BJ251:$BT251,,AH251)*(1-AF251)+INDEX(Models!$BJ251:$BT251,,AH251+1)*AF251-ERP_i)*AE251*Ramure*Pc/MaxiM</f>
        <v>8.8104220105978195E-3</v>
      </c>
      <c r="AE251" s="304">
        <f t="shared" si="92"/>
        <v>0.7</v>
      </c>
      <c r="AF251" s="177">
        <f t="shared" si="93"/>
        <v>0.91784521807596109</v>
      </c>
      <c r="AG251" s="799">
        <f t="shared" si="99"/>
        <v>1</v>
      </c>
      <c r="AH251" s="176">
        <f t="shared" si="94"/>
        <v>7</v>
      </c>
      <c r="AI251" s="224">
        <f t="shared" si="95"/>
        <v>1.9178452180759611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46260</v>
      </c>
      <c r="B252" s="409">
        <f>'2025'!Wh/'2025'!Env_an*'2026'!Env_an</f>
        <v>34.839288614608371</v>
      </c>
      <c r="C252" s="829"/>
      <c r="D252" s="391">
        <f t="shared" si="77"/>
        <v>36.749335146067395</v>
      </c>
      <c r="E252" s="383">
        <f t="shared" si="100"/>
        <v>38.604168304745336</v>
      </c>
      <c r="F252" s="383">
        <f t="shared" si="78"/>
        <v>38.61652152517339</v>
      </c>
      <c r="G252" s="110">
        <f t="shared" si="101"/>
        <v>0.72702876376541981</v>
      </c>
      <c r="H252" s="412" t="b">
        <f>Wh_hp&gt;='2025'!Maxi_hp</f>
        <v>0</v>
      </c>
      <c r="I252" s="388">
        <f>IF(H252,Wh_hp,'2025'!Maxi_hp)</f>
        <v>52.553587232779272</v>
      </c>
      <c r="J252" s="85">
        <f>IF(H252,An,'2025'!An_max)</f>
        <v>2020</v>
      </c>
      <c r="K252" s="197">
        <f t="shared" si="79"/>
        <v>46260</v>
      </c>
      <c r="L252" s="147">
        <f>IF(t&lt;Tvie,1-EXP((T0-t)*PertePVj)+'2025'!Pspv,1-EXP((T0-t)*PertePVj)+Pspv)</f>
        <v>5.1974995571135385E-2</v>
      </c>
      <c r="M252" s="832"/>
      <c r="N252" s="832"/>
      <c r="O252" s="48">
        <f>IF(t&lt;Tnet,'2025'!Resal+('2025'!Salim-'2025'!Resal)*(1-EXP(('2025'!Tnet-t)/('2025'!Tau_j))),Resal+(Salim-Resal)*(1-EXP((Tnet-t)/(Tau_j))))*Salcycl</f>
        <v>4.8047483992808726E-2</v>
      </c>
      <c r="P252" s="169">
        <f>(INDEX(Models!$BJ252:$BT252,,T252)*(1-R252)+INDEX(Models!$BJ252:$BT252,,T252+1)*R252-ERP_i)*Q252*Ramure*Pc/MaxiM</f>
        <v>5.2419978054726185E-4</v>
      </c>
      <c r="Q252" s="304">
        <f t="shared" si="80"/>
        <v>0.7</v>
      </c>
      <c r="R252" s="177">
        <f t="shared" si="81"/>
        <v>0.16283993603773328</v>
      </c>
      <c r="S252" s="799">
        <f t="shared" si="82"/>
        <v>-1</v>
      </c>
      <c r="T252" s="176">
        <f t="shared" si="83"/>
        <v>5</v>
      </c>
      <c r="U252" s="250">
        <f t="shared" si="84"/>
        <v>-0.83716006396226672</v>
      </c>
      <c r="V252" s="382">
        <f t="shared" si="85"/>
        <v>47.910303180748564</v>
      </c>
      <c r="W252" s="400">
        <f t="shared" si="86"/>
        <v>34.839288614608371</v>
      </c>
      <c r="X252" s="157">
        <f t="shared" si="87"/>
        <v>46260</v>
      </c>
      <c r="Y252" s="383">
        <f t="shared" si="88"/>
        <v>33.538878935194845</v>
      </c>
      <c r="Z252" s="383">
        <f t="shared" si="89"/>
        <v>35.377631157946368</v>
      </c>
      <c r="AA252" s="384">
        <f t="shared" si="90"/>
        <v>38.402857486166852</v>
      </c>
      <c r="AB252" s="197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7.8776073611454708E-2</v>
      </c>
      <c r="AD252" s="230">
        <f>(INDEX(Models!$BJ252:$BT252,,AH252)*(1-AF252)+INDEX(Models!$BJ252:$BT252,,AH252+1)*AF252-ERP_i)*AE252*Ramure*Pc/MaxiM</f>
        <v>9.0666756098421591E-3</v>
      </c>
      <c r="AE252" s="304">
        <f t="shared" si="92"/>
        <v>0.7</v>
      </c>
      <c r="AF252" s="177">
        <f t="shared" si="93"/>
        <v>0.91849776687708418</v>
      </c>
      <c r="AG252" s="799">
        <f t="shared" si="99"/>
        <v>1</v>
      </c>
      <c r="AH252" s="176">
        <f t="shared" si="94"/>
        <v>7</v>
      </c>
      <c r="AI252" s="224">
        <f t="shared" si="95"/>
        <v>1.9184977668770842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46261</v>
      </c>
      <c r="B253" s="409">
        <f>'2025'!Wh/'2025'!Env_an*'2026'!Env_an</f>
        <v>44.09839710345225</v>
      </c>
      <c r="C253" s="829"/>
      <c r="D253" s="391">
        <f t="shared" si="77"/>
        <v>46.516961102663011</v>
      </c>
      <c r="E253" s="383">
        <f t="shared" si="100"/>
        <v>48.86780018268518</v>
      </c>
      <c r="F253" s="383">
        <f t="shared" si="78"/>
        <v>48.891261817650822</v>
      </c>
      <c r="G253" s="110">
        <f t="shared" si="101"/>
        <v>0.92336276144042684</v>
      </c>
      <c r="H253" s="412" t="b">
        <f>Wh_hp&gt;='2025'!Maxi_hp</f>
        <v>1</v>
      </c>
      <c r="I253" s="388">
        <f>IF(H253,Wh_hp,'2025'!Maxi_hp)</f>
        <v>48.891261817650822</v>
      </c>
      <c r="J253" s="85">
        <f>IF(H253,An,'2025'!An_max)</f>
        <v>2026</v>
      </c>
      <c r="K253" s="197">
        <f t="shared" si="79"/>
        <v>46261</v>
      </c>
      <c r="L253" s="147">
        <f>IF(t&lt;Tvie,1-EXP((T0-t)*PertePVj)+'2025'!Pspv,1-EXP((T0-t)*PertePVj)+Pspv)</f>
        <v>5.1993164254066082E-2</v>
      </c>
      <c r="M253" s="832"/>
      <c r="N253" s="832"/>
      <c r="O253" s="48">
        <f>IF(t&lt;Tnet,'2025'!Resal+('2025'!Salim-'2025'!Resal)*(1-EXP(('2025'!Tnet-t)/('2025'!Tau_j))),Resal+(Salim-Resal)*(1-EXP((Tnet-t)/(Tau_j))))*Salcycl</f>
        <v>4.810609585931637E-2</v>
      </c>
      <c r="P253" s="169">
        <f>(INDEX(Models!$BJ253:$BT253,,T253)*(1-R253)+INDEX(Models!$BJ253:$BT253,,T253+1)*R253-ERP_i)*Q253*Ramure*Pc/MaxiM</f>
        <v>5.3882318114353942E-4</v>
      </c>
      <c r="Q253" s="304">
        <f t="shared" si="80"/>
        <v>0.7</v>
      </c>
      <c r="R253" s="177">
        <f t="shared" si="81"/>
        <v>0.16346830150593106</v>
      </c>
      <c r="S253" s="799">
        <f t="shared" si="82"/>
        <v>-1</v>
      </c>
      <c r="T253" s="176">
        <f t="shared" si="83"/>
        <v>5</v>
      </c>
      <c r="U253" s="250">
        <f t="shared" si="84"/>
        <v>-0.83653169849406894</v>
      </c>
      <c r="V253" s="382">
        <f t="shared" si="85"/>
        <v>47.755658039328928</v>
      </c>
      <c r="W253" s="400">
        <f t="shared" si="86"/>
        <v>44.09839710345225</v>
      </c>
      <c r="X253" s="157">
        <f t="shared" si="87"/>
        <v>46261</v>
      </c>
      <c r="Y253" s="383">
        <f t="shared" si="88"/>
        <v>42.342057293536023</v>
      </c>
      <c r="Z253" s="383">
        <f t="shared" si="89"/>
        <v>44.664295337300402</v>
      </c>
      <c r="AA253" s="384">
        <f t="shared" si="90"/>
        <v>48.484700056357113</v>
      </c>
      <c r="AB253" s="197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7.8796088551975937E-2</v>
      </c>
      <c r="AD253" s="230">
        <f>(INDEX(Models!$BJ253:$BT253,,AH253)*(1-AF253)+INDEX(Models!$BJ253:$BT253,,AH253+1)*AF253-ERP_i)*AE253*Ramure*Pc/MaxiM</f>
        <v>9.3371541187307946E-3</v>
      </c>
      <c r="AE253" s="304">
        <f t="shared" si="92"/>
        <v>0.7</v>
      </c>
      <c r="AF253" s="177">
        <f t="shared" si="93"/>
        <v>0.91912613234528195</v>
      </c>
      <c r="AG253" s="799">
        <f t="shared" si="99"/>
        <v>1</v>
      </c>
      <c r="AH253" s="176">
        <f t="shared" si="94"/>
        <v>7</v>
      </c>
      <c r="AI253" s="224">
        <f t="shared" si="95"/>
        <v>1.919126132345282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46262</v>
      </c>
      <c r="B254" s="409">
        <f>'2025'!Wh/'2025'!Env_an*'2026'!Env_an</f>
        <v>47.154213068487152</v>
      </c>
      <c r="C254" s="829"/>
      <c r="D254" s="391">
        <f t="shared" si="77"/>
        <v>49.741325703035457</v>
      </c>
      <c r="E254" s="383">
        <f t="shared" si="100"/>
        <v>52.258317839791317</v>
      </c>
      <c r="F254" s="383">
        <f t="shared" si="78"/>
        <v>52.2869153478984</v>
      </c>
      <c r="G254" s="110">
        <f t="shared" si="101"/>
        <v>0.99065865611635828</v>
      </c>
      <c r="H254" s="412" t="b">
        <f>Wh_hp&gt;='2025'!Maxi_hp</f>
        <v>0</v>
      </c>
      <c r="I254" s="388">
        <f>IF(H254,Wh_hp,'2025'!Maxi_hp)</f>
        <v>53.319342181775433</v>
      </c>
      <c r="J254" s="85">
        <f>IF(H254,An,'2025'!An_max)</f>
        <v>2021</v>
      </c>
      <c r="K254" s="197">
        <f t="shared" si="79"/>
        <v>46262</v>
      </c>
      <c r="L254" s="147">
        <f>IF(t&lt;Tvie,1-EXP((T0-t)*PertePVj)+'2025'!Pspv,1-EXP((T0-t)*PertePVj)+Pspv)</f>
        <v>5.2011332588797976E-2</v>
      </c>
      <c r="M254" s="832"/>
      <c r="N254" s="832"/>
      <c r="O254" s="48">
        <f>IF(t&lt;Tnet,'2025'!Resal+('2025'!Salim-'2025'!Resal)*(1-EXP(('2025'!Tnet-t)/('2025'!Tau_j))),Resal+(Salim-Resal)*(1-EXP((Tnet-t)/(Tau_j))))*Salcycl</f>
        <v>4.8164430865766147E-2</v>
      </c>
      <c r="P254" s="169">
        <f>(INDEX(Models!$BJ254:$BT254,,T254)*(1-R254)+INDEX(Models!$BJ254:$BT254,,T254+1)*R254-ERP_i)*Q254*Ramure*Pc/MaxiM</f>
        <v>5.5432586584979598E-4</v>
      </c>
      <c r="Q254" s="304">
        <f t="shared" si="80"/>
        <v>0.7</v>
      </c>
      <c r="R254" s="177">
        <f t="shared" si="81"/>
        <v>0.16407330186797886</v>
      </c>
      <c r="S254" s="799">
        <f t="shared" si="82"/>
        <v>-1</v>
      </c>
      <c r="T254" s="176">
        <f t="shared" si="83"/>
        <v>5</v>
      </c>
      <c r="U254" s="250">
        <f t="shared" si="84"/>
        <v>-0.83592669813202114</v>
      </c>
      <c r="V254" s="382">
        <f t="shared" si="85"/>
        <v>47.598498275616372</v>
      </c>
      <c r="W254" s="400">
        <f t="shared" si="86"/>
        <v>47.154213068487152</v>
      </c>
      <c r="X254" s="157">
        <f t="shared" si="87"/>
        <v>46262</v>
      </c>
      <c r="Y254" s="383">
        <f t="shared" si="88"/>
        <v>45.227683086317604</v>
      </c>
      <c r="Z254" s="383">
        <f t="shared" si="89"/>
        <v>47.709096786807393</v>
      </c>
      <c r="AA254" s="384">
        <f t="shared" si="90"/>
        <v>51.791047113580923</v>
      </c>
      <c r="AB254" s="197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7.8815752031843739E-2</v>
      </c>
      <c r="AD254" s="230">
        <f>(INDEX(Models!$BJ254:$BT254,,AH254)*(1-AF254)+INDEX(Models!$BJ254:$BT254,,AH254+1)*AF254-ERP_i)*AE254*Ramure*Pc/MaxiM</f>
        <v>9.6117671269198048E-3</v>
      </c>
      <c r="AE254" s="304">
        <f t="shared" si="92"/>
        <v>0.7</v>
      </c>
      <c r="AF254" s="177">
        <f t="shared" si="93"/>
        <v>0.91973113270732965</v>
      </c>
      <c r="AG254" s="799">
        <f t="shared" si="99"/>
        <v>1</v>
      </c>
      <c r="AH254" s="176">
        <f t="shared" si="94"/>
        <v>7</v>
      </c>
      <c r="AI254" s="224">
        <f t="shared" si="95"/>
        <v>1.9197311327073296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46263</v>
      </c>
      <c r="B255" s="409">
        <f>'2025'!Wh/'2025'!Env_an*'2026'!Env_an</f>
        <v>31.641247400241998</v>
      </c>
      <c r="C255" s="829"/>
      <c r="D255" s="391">
        <f t="shared" si="77"/>
        <v>33.377881927175537</v>
      </c>
      <c r="E255" s="383">
        <f t="shared" si="100"/>
        <v>35.068995909748466</v>
      </c>
      <c r="F255" s="383">
        <f t="shared" si="78"/>
        <v>35.079488466053135</v>
      </c>
      <c r="G255" s="110">
        <f t="shared" si="101"/>
        <v>0.66681345729053654</v>
      </c>
      <c r="H255" s="412" t="b">
        <f>Wh_hp&gt;='2025'!Maxi_hp</f>
        <v>0</v>
      </c>
      <c r="I255" s="388">
        <f>IF(H255,Wh_hp,'2025'!Maxi_hp)</f>
        <v>52.692719517671406</v>
      </c>
      <c r="J255" s="85">
        <f>IF(H255,An,'2025'!An_max)</f>
        <v>2021</v>
      </c>
      <c r="K255" s="197">
        <f t="shared" si="79"/>
        <v>46263</v>
      </c>
      <c r="L255" s="147">
        <f>IF(t&lt;Tvie,1-EXP((T0-t)*PertePVj)+'2025'!Pspv,1-EXP((T0-t)*PertePVj)+Pspv)</f>
        <v>5.202950057533795E-2</v>
      </c>
      <c r="M255" s="832"/>
      <c r="N255" s="832"/>
      <c r="O255" s="48">
        <f>IF(t&lt;Tnet,'2025'!Resal+('2025'!Salim-'2025'!Resal)*(1-EXP(('2025'!Tnet-t)/('2025'!Tau_j))),Resal+(Salim-Resal)*(1-EXP((Tnet-t)/(Tau_j))))*Salcycl</f>
        <v>4.8222480818244207E-2</v>
      </c>
      <c r="P255" s="169">
        <f>(INDEX(Models!$BJ255:$BT255,,T255)*(1-R255)+INDEX(Models!$BJ255:$BT255,,T255+1)*R255-ERP_i)*Q255*Ramure*Pc/MaxiM</f>
        <v>5.7051424940543374E-4</v>
      </c>
      <c r="Q255" s="304">
        <f t="shared" si="80"/>
        <v>0.7</v>
      </c>
      <c r="R255" s="177">
        <f t="shared" si="81"/>
        <v>0.16465573362981456</v>
      </c>
      <c r="S255" s="799">
        <f t="shared" si="82"/>
        <v>-1</v>
      </c>
      <c r="T255" s="176">
        <f t="shared" si="83"/>
        <v>5</v>
      </c>
      <c r="U255" s="250">
        <f t="shared" si="84"/>
        <v>-0.83534426637018544</v>
      </c>
      <c r="V255" s="382">
        <f t="shared" si="85"/>
        <v>47.438540499312339</v>
      </c>
      <c r="W255" s="400">
        <f t="shared" si="86"/>
        <v>31.641247400241998</v>
      </c>
      <c r="X255" s="157">
        <f t="shared" si="87"/>
        <v>46263</v>
      </c>
      <c r="Y255" s="383">
        <f t="shared" si="88"/>
        <v>30.474044533367493</v>
      </c>
      <c r="Z255" s="383">
        <f t="shared" si="89"/>
        <v>32.146616958927162</v>
      </c>
      <c r="AA255" s="384">
        <f t="shared" si="90"/>
        <v>34.897785688784253</v>
      </c>
      <c r="AB255" s="197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7.8835051438271866E-2</v>
      </c>
      <c r="AD255" s="230">
        <f>(INDEX(Models!$BJ255:$BT255,,AH255)*(1-AF255)+INDEX(Models!$BJ255:$BT255,,AH255+1)*AF255-ERP_i)*AE255*Ramure*Pc/MaxiM</f>
        <v>9.8797681497615857E-3</v>
      </c>
      <c r="AE255" s="304">
        <f t="shared" si="92"/>
        <v>0.7</v>
      </c>
      <c r="AF255" s="177">
        <f t="shared" si="93"/>
        <v>0.92031356446916535</v>
      </c>
      <c r="AG255" s="799">
        <f t="shared" si="99"/>
        <v>1</v>
      </c>
      <c r="AH255" s="176">
        <f t="shared" si="94"/>
        <v>7</v>
      </c>
      <c r="AI255" s="224">
        <f t="shared" si="95"/>
        <v>1.9203135644691653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46264</v>
      </c>
      <c r="B256" s="409">
        <f>'2025'!Wh/'2025'!Env_an*'2026'!Env_an</f>
        <v>46.54609374169533</v>
      </c>
      <c r="C256" s="829"/>
      <c r="D256" s="391">
        <f t="shared" si="77"/>
        <v>49.101723980133634</v>
      </c>
      <c r="E256" s="383">
        <f t="shared" si="100"/>
        <v>51.592628314166362</v>
      </c>
      <c r="F256" s="383">
        <f t="shared" si="78"/>
        <v>51.62228320677383</v>
      </c>
      <c r="G256" s="110">
        <f t="shared" si="101"/>
        <v>0.9845585832122602</v>
      </c>
      <c r="H256" s="412" t="b">
        <f>Wh_hp&gt;='2025'!Maxi_hp</f>
        <v>1</v>
      </c>
      <c r="I256" s="388">
        <f>IF(H256,Wh_hp,'2025'!Maxi_hp)</f>
        <v>51.62228320677383</v>
      </c>
      <c r="J256" s="85">
        <f>IF(H256,An,'2025'!An_max)</f>
        <v>2026</v>
      </c>
      <c r="K256" s="197">
        <f t="shared" si="79"/>
        <v>46264</v>
      </c>
      <c r="L256" s="147">
        <f>IF(t&lt;Tvie,1-EXP((T0-t)*PertePVj)+'2025'!Pspv,1-EXP((T0-t)*PertePVj)+Pspv)</f>
        <v>5.2047668213692555E-2</v>
      </c>
      <c r="M256" s="832"/>
      <c r="N256" s="832"/>
      <c r="O256" s="48">
        <f>IF(t&lt;Tnet,'2025'!Resal+('2025'!Salim-'2025'!Resal)*(1-EXP(('2025'!Tnet-t)/('2025'!Tau_j))),Resal+(Salim-Resal)*(1-EXP((Tnet-t)/(Tau_j))))*Salcycl</f>
        <v>4.8280237224292977E-2</v>
      </c>
      <c r="P256" s="169">
        <f>(INDEX(Models!$BJ256:$BT256,,T256)*(1-R256)+INDEX(Models!$BJ256:$BT256,,T256+1)*R256-ERP_i)*Q256*Ramure*Pc/MaxiM</f>
        <v>5.8740613054020251E-4</v>
      </c>
      <c r="Q256" s="304">
        <f t="shared" si="80"/>
        <v>0.7</v>
      </c>
      <c r="R256" s="177">
        <f t="shared" si="81"/>
        <v>0.16521637167875425</v>
      </c>
      <c r="S256" s="799">
        <f t="shared" si="82"/>
        <v>-1</v>
      </c>
      <c r="T256" s="176">
        <f t="shared" si="83"/>
        <v>5</v>
      </c>
      <c r="U256" s="250">
        <f t="shared" si="84"/>
        <v>-0.83478362832124575</v>
      </c>
      <c r="V256" s="382">
        <f t="shared" si="85"/>
        <v>47.275491329104419</v>
      </c>
      <c r="W256" s="400">
        <f t="shared" si="86"/>
        <v>46.54609374169533</v>
      </c>
      <c r="X256" s="157">
        <f t="shared" si="87"/>
        <v>46264</v>
      </c>
      <c r="Y256" s="383">
        <f t="shared" si="88"/>
        <v>44.62965257300241</v>
      </c>
      <c r="Z256" s="383">
        <f t="shared" si="89"/>
        <v>47.08005991071613</v>
      </c>
      <c r="AA256" s="384">
        <f t="shared" si="90"/>
        <v>51.110311033580366</v>
      </c>
      <c r="AB256" s="197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7.8853973716111539E-2</v>
      </c>
      <c r="AD256" s="230">
        <f>(INDEX(Models!$BJ256:$BT256,,AH256)*(1-AF256)+INDEX(Models!$BJ256:$BT256,,AH256+1)*AF256-ERP_i)*AE256*Ramure*Pc/MaxiM</f>
        <v>1.0141179642110941E-2</v>
      </c>
      <c r="AE256" s="304">
        <f t="shared" si="92"/>
        <v>0.7</v>
      </c>
      <c r="AF256" s="177">
        <f t="shared" si="93"/>
        <v>0.92087420251810514</v>
      </c>
      <c r="AG256" s="799">
        <f t="shared" si="99"/>
        <v>1</v>
      </c>
      <c r="AH256" s="176">
        <f t="shared" si="94"/>
        <v>7</v>
      </c>
      <c r="AI256" s="224">
        <f t="shared" si="95"/>
        <v>1.9208742025181051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46265</v>
      </c>
      <c r="B257" s="409">
        <f>'2025'!Wh/'2025'!Env_an*'2026'!Env_an</f>
        <v>19.611184953789724</v>
      </c>
      <c r="C257" s="829"/>
      <c r="D257" s="391">
        <f t="shared" si="77"/>
        <v>20.688340697387911</v>
      </c>
      <c r="E257" s="383">
        <f t="shared" si="100"/>
        <v>21.739161578339647</v>
      </c>
      <c r="F257" s="383">
        <f t="shared" si="78"/>
        <v>21.74134688610129</v>
      </c>
      <c r="G257" s="110">
        <f t="shared" si="101"/>
        <v>0.4160832553268099</v>
      </c>
      <c r="H257" s="412" t="b">
        <f>Wh_hp&gt;='2025'!Maxi_hp</f>
        <v>0</v>
      </c>
      <c r="I257" s="388">
        <f>IF(H257,Wh_hp,'2025'!Maxi_hp)</f>
        <v>51.112198719060622</v>
      </c>
      <c r="J257" s="85">
        <f>IF(H257,An,'2025'!An_max)</f>
        <v>2021</v>
      </c>
      <c r="K257" s="197">
        <f t="shared" si="79"/>
        <v>46265</v>
      </c>
      <c r="L257" s="147">
        <f>IF(t&lt;Tvie,1-EXP((T0-t)*PertePVj)+'2025'!Pspv,1-EXP((T0-t)*PertePVj)+Pspv)</f>
        <v>5.2065835503868563E-2</v>
      </c>
      <c r="M257" s="832"/>
      <c r="N257" s="832"/>
      <c r="O257" s="48">
        <f>IF(t&lt;Tnet,'2025'!Resal+('2025'!Salim-'2025'!Resal)*(1-EXP(('2025'!Tnet-t)/('2025'!Tau_j))),Resal+(Salim-Resal)*(1-EXP((Tnet-t)/(Tau_j))))*Salcycl</f>
        <v>4.8337691275028176E-2</v>
      </c>
      <c r="P257" s="169">
        <f>(INDEX(Models!$BJ257:$BT257,,T257)*(1-R257)+INDEX(Models!$BJ257:$BT257,,T257+1)*R257-ERP_i)*Q257*Ramure*Pc/MaxiM</f>
        <v>6.0501969580077045E-4</v>
      </c>
      <c r="Q257" s="304">
        <f t="shared" si="80"/>
        <v>0.7</v>
      </c>
      <c r="R257" s="177">
        <f t="shared" si="81"/>
        <v>0.1657559694305144</v>
      </c>
      <c r="S257" s="799">
        <f t="shared" si="82"/>
        <v>-1</v>
      </c>
      <c r="T257" s="176">
        <f t="shared" si="83"/>
        <v>5</v>
      </c>
      <c r="U257" s="250">
        <f t="shared" si="84"/>
        <v>-0.8342440305694856</v>
      </c>
      <c r="V257" s="382">
        <f t="shared" si="85"/>
        <v>47.109057507055638</v>
      </c>
      <c r="W257" s="400">
        <f t="shared" si="86"/>
        <v>19.611184953789724</v>
      </c>
      <c r="X257" s="157">
        <f t="shared" si="87"/>
        <v>46265</v>
      </c>
      <c r="Y257" s="383">
        <f t="shared" si="88"/>
        <v>18.951065688952351</v>
      </c>
      <c r="Z257" s="383">
        <f t="shared" si="89"/>
        <v>19.991963997864424</v>
      </c>
      <c r="AA257" s="384">
        <f t="shared" si="90"/>
        <v>21.703796829184999</v>
      </c>
      <c r="AB257" s="197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7.8872505340571608E-2</v>
      </c>
      <c r="AD257" s="230">
        <f>(INDEX(Models!$BJ257:$BT257,,AH257)*(1-AF257)+INDEX(Models!$BJ257:$BT257,,AH257+1)*AF257-ERP_i)*AE257*Ramure*Pc/MaxiM</f>
        <v>1.0396029525700706E-2</v>
      </c>
      <c r="AE257" s="304">
        <f t="shared" si="92"/>
        <v>0.7</v>
      </c>
      <c r="AF257" s="177">
        <f t="shared" si="93"/>
        <v>0.9214138002698653</v>
      </c>
      <c r="AG257" s="799">
        <f t="shared" si="99"/>
        <v>1</v>
      </c>
      <c r="AH257" s="176">
        <f t="shared" si="94"/>
        <v>7</v>
      </c>
      <c r="AI257" s="224">
        <f t="shared" si="95"/>
        <v>1.9214138002698653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46266</v>
      </c>
      <c r="B258" s="409">
        <f>'2025'!Wh/'2025'!Env_an*'2026'!Env_an</f>
        <v>41.627751540346033</v>
      </c>
      <c r="C258" s="829"/>
      <c r="D258" s="391">
        <f t="shared" si="77"/>
        <v>43.915021634571609</v>
      </c>
      <c r="E258" s="383">
        <f t="shared" si="100"/>
        <v>46.148364043741672</v>
      </c>
      <c r="F258" s="383">
        <f t="shared" si="78"/>
        <v>46.17249419161962</v>
      </c>
      <c r="G258" s="110">
        <f t="shared" si="101"/>
        <v>0.88675946882943346</v>
      </c>
      <c r="H258" s="412" t="b">
        <f>Wh_hp&gt;='2025'!Maxi_hp</f>
        <v>1</v>
      </c>
      <c r="I258" s="388">
        <f>IF(H258,Wh_hp,'2025'!Maxi_hp)</f>
        <v>46.17249419161962</v>
      </c>
      <c r="J258" s="85">
        <f>IF(H258,An,'2025'!An_max)</f>
        <v>2026</v>
      </c>
      <c r="K258" s="197">
        <f t="shared" si="79"/>
        <v>46266</v>
      </c>
      <c r="L258" s="147">
        <f>IF(t&lt;Tvie,1-EXP((T0-t)*PertePVj)+'2025'!Pspv,1-EXP((T0-t)*PertePVj)+Pspv)</f>
        <v>5.2084002445872635E-2</v>
      </c>
      <c r="M258" s="832"/>
      <c r="N258" s="832"/>
      <c r="O258" s="48">
        <f>IF(t&lt;Tnet,'2025'!Resal+('2025'!Salim-'2025'!Resal)*(1-EXP(('2025'!Tnet-t)/('2025'!Tau_j))),Resal+(Salim-Resal)*(1-EXP((Tnet-t)/(Tau_j))))*Salcycl</f>
        <v>4.8394833824514101E-2</v>
      </c>
      <c r="P258" s="169">
        <f>(INDEX(Models!$BJ258:$BT258,,T258)*(1-R258)+INDEX(Models!$BJ258:$BT258,,T258+1)*R258-ERP_i)*Q258*Ramure*Pc/MaxiM</f>
        <v>6.2337360439822557E-4</v>
      </c>
      <c r="Q258" s="304">
        <f t="shared" si="80"/>
        <v>0.7</v>
      </c>
      <c r="R258" s="177">
        <f t="shared" si="81"/>
        <v>0.16627525901661167</v>
      </c>
      <c r="S258" s="799">
        <f t="shared" si="82"/>
        <v>-1</v>
      </c>
      <c r="T258" s="176">
        <f t="shared" si="83"/>
        <v>5</v>
      </c>
      <c r="U258" s="250">
        <f t="shared" si="84"/>
        <v>-0.83372474098338833</v>
      </c>
      <c r="V258" s="382">
        <f t="shared" si="85"/>
        <v>46.938945897291049</v>
      </c>
      <c r="W258" s="400">
        <f t="shared" si="86"/>
        <v>41.627751540346033</v>
      </c>
      <c r="X258" s="157">
        <f t="shared" si="87"/>
        <v>46266</v>
      </c>
      <c r="Y258" s="383">
        <f t="shared" si="88"/>
        <v>39.955029518512333</v>
      </c>
      <c r="Z258" s="383">
        <f t="shared" si="89"/>
        <v>42.150390563728031</v>
      </c>
      <c r="AA258" s="384">
        <f t="shared" si="90"/>
        <v>45.760462374103092</v>
      </c>
      <c r="AB258" s="197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7.8890632285614437E-2</v>
      </c>
      <c r="AD258" s="230">
        <f>(INDEX(Models!$BJ258:$BT258,,AH258)*(1-AF258)+INDEX(Models!$BJ258:$BT258,,AH258+1)*AF258-ERP_i)*AE258*Ramure*Pc/MaxiM</f>
        <v>1.0644350814225954E-2</v>
      </c>
      <c r="AE258" s="304">
        <f t="shared" si="92"/>
        <v>0.7</v>
      </c>
      <c r="AF258" s="177">
        <f t="shared" si="93"/>
        <v>0.92193308985596256</v>
      </c>
      <c r="AG258" s="799">
        <f t="shared" si="99"/>
        <v>1</v>
      </c>
      <c r="AH258" s="176">
        <f t="shared" si="94"/>
        <v>7</v>
      </c>
      <c r="AI258" s="224">
        <f t="shared" si="95"/>
        <v>1.9219330898559626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46267</v>
      </c>
      <c r="B259" s="409">
        <f>'2025'!Wh/'2025'!Env_an*'2026'!Env_an</f>
        <v>36.840928441262001</v>
      </c>
      <c r="C259" s="829"/>
      <c r="D259" s="391">
        <f t="shared" si="77"/>
        <v>38.865927569366299</v>
      </c>
      <c r="E259" s="383">
        <f t="shared" si="100"/>
        <v>40.844932145152043</v>
      </c>
      <c r="F259" s="383">
        <f t="shared" si="78"/>
        <v>40.863227153331799</v>
      </c>
      <c r="G259" s="110">
        <f t="shared" si="101"/>
        <v>0.78763727367225422</v>
      </c>
      <c r="H259" s="412" t="b">
        <f>Wh_hp&gt;='2025'!Maxi_hp</f>
        <v>0</v>
      </c>
      <c r="I259" s="388">
        <f>IF(H259,Wh_hp,'2025'!Maxi_hp)</f>
        <v>43.932172595785929</v>
      </c>
      <c r="J259" s="85">
        <f>IF(H259,An,'2025'!An_max)</f>
        <v>2018</v>
      </c>
      <c r="K259" s="197">
        <f t="shared" si="79"/>
        <v>46267</v>
      </c>
      <c r="L259" s="147">
        <f>IF(t&lt;Tvie,1-EXP((T0-t)*PertePVj)+'2025'!Pspv,1-EXP((T0-t)*PertePVj)+Pspv)</f>
        <v>5.2102169039711321E-2</v>
      </c>
      <c r="M259" s="832"/>
      <c r="N259" s="832"/>
      <c r="O259" s="48">
        <f>IF(t&lt;Tnet,'2025'!Resal+('2025'!Salim-'2025'!Resal)*(1-EXP(('2025'!Tnet-t)/('2025'!Tau_j))),Resal+(Salim-Resal)*(1-EXP((Tnet-t)/(Tau_j))))*Salcycl</f>
        <v>4.8451655367008274E-2</v>
      </c>
      <c r="P259" s="169">
        <f>(INDEX(Models!$BJ259:$BT259,,T259)*(1-R259)+INDEX(Models!$BJ259:$BT259,,T259+1)*R259-ERP_i)*Q259*Ramure*Pc/MaxiM</f>
        <v>6.4248707584038049E-4</v>
      </c>
      <c r="Q259" s="304">
        <f t="shared" si="80"/>
        <v>0.7</v>
      </c>
      <c r="R259" s="177">
        <f t="shared" si="81"/>
        <v>0.16677495150797694</v>
      </c>
      <c r="S259" s="799">
        <f t="shared" si="82"/>
        <v>-1</v>
      </c>
      <c r="T259" s="176">
        <f t="shared" si="83"/>
        <v>5</v>
      </c>
      <c r="U259" s="250">
        <f t="shared" si="84"/>
        <v>-0.83322504849202306</v>
      </c>
      <c r="V259" s="382">
        <f t="shared" si="85"/>
        <v>46.764863484467156</v>
      </c>
      <c r="W259" s="400">
        <f t="shared" si="86"/>
        <v>36.840928441262001</v>
      </c>
      <c r="X259" s="157">
        <f t="shared" si="87"/>
        <v>46267</v>
      </c>
      <c r="Y259" s="383">
        <f t="shared" si="88"/>
        <v>35.407065696984048</v>
      </c>
      <c r="Z259" s="383">
        <f t="shared" si="89"/>
        <v>37.353251099977875</v>
      </c>
      <c r="AA259" s="384">
        <f t="shared" si="90"/>
        <v>40.553239945233926</v>
      </c>
      <c r="AB259" s="197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7.8908339989050211E-2</v>
      </c>
      <c r="AD259" s="230">
        <f>(INDEX(Models!$BJ259:$BT259,,AH259)*(1-AF259)+INDEX(Models!$BJ259:$BT259,,AH259+1)*AF259-ERP_i)*AE259*Ramure*Pc/MaxiM</f>
        <v>1.0886181242546426E-2</v>
      </c>
      <c r="AE259" s="304">
        <f t="shared" si="92"/>
        <v>0.7</v>
      </c>
      <c r="AF259" s="177">
        <f t="shared" si="93"/>
        <v>0.92243278234732795</v>
      </c>
      <c r="AG259" s="799">
        <f t="shared" si="99"/>
        <v>1</v>
      </c>
      <c r="AH259" s="176">
        <f t="shared" si="94"/>
        <v>7</v>
      </c>
      <c r="AI259" s="224">
        <f t="shared" si="95"/>
        <v>1.922432782347328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46268</v>
      </c>
      <c r="B260" s="409">
        <f>'2025'!Wh/'2025'!Env_an*'2026'!Env_an</f>
        <v>30.950912606189867</v>
      </c>
      <c r="C260" s="829"/>
      <c r="D260" s="391">
        <f t="shared" si="77"/>
        <v>32.6527868023297</v>
      </c>
      <c r="E260" s="383">
        <f t="shared" si="100"/>
        <v>34.317463324039004</v>
      </c>
      <c r="F260" s="383">
        <f t="shared" si="78"/>
        <v>34.329299803557547</v>
      </c>
      <c r="G260" s="110">
        <f t="shared" si="101"/>
        <v>0.66416382532941542</v>
      </c>
      <c r="H260" s="412" t="b">
        <f>Wh_hp&gt;='2025'!Maxi_hp</f>
        <v>0</v>
      </c>
      <c r="I260" s="388">
        <f>IF(H260,Wh_hp,'2025'!Maxi_hp)</f>
        <v>53.184089947763461</v>
      </c>
      <c r="J260" s="85">
        <f>IF(H260,An,'2025'!An_max)</f>
        <v>2018</v>
      </c>
      <c r="K260" s="197">
        <f t="shared" si="79"/>
        <v>46268</v>
      </c>
      <c r="L260" s="147">
        <f>IF(t&lt;Tvie,1-EXP((T0-t)*PertePVj)+'2025'!Pspv,1-EXP((T0-t)*PertePVj)+Pspv)</f>
        <v>5.2120335285391506E-2</v>
      </c>
      <c r="M260" s="832"/>
      <c r="N260" s="832"/>
      <c r="O260" s="48">
        <f>IF(t&lt;Tnet,'2025'!Resal+('2025'!Salim-'2025'!Resal)*(1-EXP(('2025'!Tnet-t)/('2025'!Tau_j))),Resal+(Salim-Resal)*(1-EXP((Tnet-t)/(Tau_j))))*Salcycl</f>
        <v>4.8508146012739159E-2</v>
      </c>
      <c r="P260" s="169">
        <f>(INDEX(Models!$BJ260:$BT260,,T260)*(1-R260)+INDEX(Models!$BJ260:$BT260,,T260+1)*R260-ERP_i)*Q260*Ramure*Pc/MaxiM</f>
        <v>6.6237998064800946E-4</v>
      </c>
      <c r="Q260" s="304">
        <f t="shared" si="80"/>
        <v>0.7</v>
      </c>
      <c r="R260" s="177">
        <f t="shared" si="81"/>
        <v>0.16725573717087738</v>
      </c>
      <c r="S260" s="799">
        <f t="shared" si="82"/>
        <v>-1</v>
      </c>
      <c r="T260" s="176">
        <f t="shared" si="83"/>
        <v>5</v>
      </c>
      <c r="U260" s="250">
        <f t="shared" si="84"/>
        <v>-0.83274426282912262</v>
      </c>
      <c r="V260" s="382">
        <f t="shared" si="85"/>
        <v>46.586517374838323</v>
      </c>
      <c r="W260" s="400">
        <f t="shared" si="86"/>
        <v>30.950912606189867</v>
      </c>
      <c r="X260" s="157">
        <f t="shared" si="87"/>
        <v>46268</v>
      </c>
      <c r="Y260" s="383">
        <f t="shared" si="88"/>
        <v>29.798290335194782</v>
      </c>
      <c r="Z260" s="383">
        <f t="shared" si="89"/>
        <v>31.436786170707201</v>
      </c>
      <c r="AA260" s="384">
        <f t="shared" si="90"/>
        <v>34.130561684452779</v>
      </c>
      <c r="AB260" s="197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7.892561331543084E-2</v>
      </c>
      <c r="AD260" s="230">
        <f>(INDEX(Models!$BJ260:$BT260,,AH260)*(1-AF260)+INDEX(Models!$BJ260:$BT260,,AH260+1)*AF260-ERP_i)*AE260*Ramure*Pc/MaxiM</f>
        <v>1.1121562900560454E-2</v>
      </c>
      <c r="AE260" s="304">
        <f t="shared" si="92"/>
        <v>0.7</v>
      </c>
      <c r="AF260" s="177">
        <f t="shared" si="93"/>
        <v>0.92291356801022828</v>
      </c>
      <c r="AG260" s="799">
        <f t="shared" si="99"/>
        <v>1</v>
      </c>
      <c r="AH260" s="176">
        <f t="shared" si="94"/>
        <v>7</v>
      </c>
      <c r="AI260" s="224">
        <f t="shared" si="95"/>
        <v>1.9229135680102283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46269</v>
      </c>
      <c r="B261" s="409">
        <f>'2025'!Wh/'2025'!Env_an*'2026'!Env_an</f>
        <v>47.012699628503725</v>
      </c>
      <c r="C261" s="829"/>
      <c r="D261" s="391">
        <f t="shared" si="77"/>
        <v>49.598701590026607</v>
      </c>
      <c r="E261" s="383">
        <f t="shared" si="100"/>
        <v>52.130376601915685</v>
      </c>
      <c r="F261" s="383">
        <f t="shared" si="78"/>
        <v>52.166009389945373</v>
      </c>
      <c r="G261" s="110">
        <f t="shared" si="101"/>
        <v>1.0131143940679885</v>
      </c>
      <c r="H261" s="412" t="b">
        <f>Wh_hp&gt;='2025'!Maxi_hp</f>
        <v>0</v>
      </c>
      <c r="I261" s="388">
        <f>IF(H261,Wh_hp,'2025'!Maxi_hp)</f>
        <v>52.707977140675048</v>
      </c>
      <c r="J261" s="85">
        <f>IF(H261,An,'2025'!An_max)</f>
        <v>2018</v>
      </c>
      <c r="K261" s="197">
        <f t="shared" si="79"/>
        <v>46269</v>
      </c>
      <c r="L261" s="147">
        <f>IF(t&lt;Tvie,1-EXP((T0-t)*PertePVj)+'2025'!Pspv,1-EXP((T0-t)*PertePVj)+Pspv)</f>
        <v>5.2138501182919628E-2</v>
      </c>
      <c r="M261" s="832"/>
      <c r="N261" s="832"/>
      <c r="O261" s="48">
        <f>IF(t&lt;Tnet,'2025'!Resal+('2025'!Salim-'2025'!Resal)*(1-EXP(('2025'!Tnet-t)/('2025'!Tau_j))),Resal+(Salim-Resal)*(1-EXP((Tnet-t)/(Tau_j))))*Salcycl</f>
        <v>4.856429546292676E-2</v>
      </c>
      <c r="P261" s="169">
        <f>(INDEX(Models!$BJ261:$BT261,,T261)*(1-R261)+INDEX(Models!$BJ261:$BT261,,T261+1)*R261-ERP_i)*Q261*Ramure*Pc/MaxiM</f>
        <v>6.8306524586408404E-4</v>
      </c>
      <c r="Q261" s="304">
        <f t="shared" si="80"/>
        <v>0.7</v>
      </c>
      <c r="R261" s="177">
        <f t="shared" si="81"/>
        <v>0.16771828575148873</v>
      </c>
      <c r="S261" s="799">
        <f t="shared" si="82"/>
        <v>-1</v>
      </c>
      <c r="T261" s="176">
        <f t="shared" si="83"/>
        <v>5</v>
      </c>
      <c r="U261" s="250">
        <f t="shared" si="84"/>
        <v>-0.83228171424851127</v>
      </c>
      <c r="V261" s="382">
        <f t="shared" si="85"/>
        <v>46.404137483164398</v>
      </c>
      <c r="W261" s="400">
        <f t="shared" si="86"/>
        <v>47.012699628503725</v>
      </c>
      <c r="X261" s="157">
        <f t="shared" si="87"/>
        <v>46269</v>
      </c>
      <c r="Y261" s="383">
        <f t="shared" si="88"/>
        <v>45.025823047773727</v>
      </c>
      <c r="Z261" s="383">
        <f t="shared" si="89"/>
        <v>47.502533971435078</v>
      </c>
      <c r="AA261" s="384">
        <f t="shared" si="90"/>
        <v>51.573903580846888</v>
      </c>
      <c r="AB261" s="197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7.8942436517909872E-2</v>
      </c>
      <c r="AD261" s="230">
        <f>(INDEX(Models!$BJ261:$BT261,,AH261)*(1-AF261)+INDEX(Models!$BJ261:$BT261,,AH261+1)*AF261-ERP_i)*AE261*Ramure*Pc/MaxiM</f>
        <v>1.1350414111082306E-2</v>
      </c>
      <c r="AE261" s="304">
        <f t="shared" si="92"/>
        <v>0.7</v>
      </c>
      <c r="AF261" s="177">
        <f t="shared" si="93"/>
        <v>0.92337611659083962</v>
      </c>
      <c r="AG261" s="799">
        <f t="shared" si="99"/>
        <v>1</v>
      </c>
      <c r="AH261" s="176">
        <f t="shared" si="94"/>
        <v>7</v>
      </c>
      <c r="AI261" s="224">
        <f t="shared" si="95"/>
        <v>1.9233761165908396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46270</v>
      </c>
      <c r="B262" s="409">
        <f>'2025'!Wh/'2025'!Env_an*'2026'!Env_an</f>
        <v>40.275137952072029</v>
      </c>
      <c r="C262" s="829"/>
      <c r="D262" s="391">
        <f t="shared" si="77"/>
        <v>42.491344865214344</v>
      </c>
      <c r="E262" s="383">
        <f t="shared" si="100"/>
        <v>44.662857131935517</v>
      </c>
      <c r="F262" s="383">
        <f t="shared" si="78"/>
        <v>44.688540334957665</v>
      </c>
      <c r="G262" s="110">
        <f t="shared" si="101"/>
        <v>0.87129946017326099</v>
      </c>
      <c r="H262" s="412" t="b">
        <f>Wh_hp&gt;='2025'!Maxi_hp</f>
        <v>0</v>
      </c>
      <c r="I262" s="388">
        <f>IF(H262,Wh_hp,'2025'!Maxi_hp)</f>
        <v>52.360214050968047</v>
      </c>
      <c r="J262" s="85">
        <f>IF(H262,An,'2025'!An_max)</f>
        <v>2020</v>
      </c>
      <c r="K262" s="197">
        <f t="shared" si="79"/>
        <v>46270</v>
      </c>
      <c r="L262" s="147">
        <f>IF(t&lt;Tvie,1-EXP((T0-t)*PertePVj)+'2025'!Pspv,1-EXP((T0-t)*PertePVj)+Pspv)</f>
        <v>5.2156666732302459E-2</v>
      </c>
      <c r="M262" s="832"/>
      <c r="N262" s="832"/>
      <c r="O262" s="48">
        <f>IF(t&lt;Tnet,'2025'!Resal+('2025'!Salim-'2025'!Resal)*(1-EXP(('2025'!Tnet-t)/('2025'!Tau_j))),Resal+(Salim-Resal)*(1-EXP((Tnet-t)/(Tau_j))))*Salcycl</f>
        <v>4.8620092984791759E-2</v>
      </c>
      <c r="P262" s="169">
        <f>(INDEX(Models!$BJ262:$BT262,,T262)*(1-R262)+INDEX(Models!$BJ262:$BT262,,T262+1)*R262-ERP_i)*Q262*Ramure*Pc/MaxiM</f>
        <v>7.0404679721718176E-4</v>
      </c>
      <c r="Q262" s="304">
        <f t="shared" si="80"/>
        <v>0.7</v>
      </c>
      <c r="R262" s="177">
        <f t="shared" si="81"/>
        <v>0.16816324678570616</v>
      </c>
      <c r="S262" s="799">
        <f t="shared" si="82"/>
        <v>-1</v>
      </c>
      <c r="T262" s="176">
        <f t="shared" si="83"/>
        <v>5</v>
      </c>
      <c r="U262" s="250">
        <f t="shared" si="84"/>
        <v>-0.83183675321429384</v>
      </c>
      <c r="V262" s="382">
        <f t="shared" si="85"/>
        <v>46.218238352305043</v>
      </c>
      <c r="W262" s="400">
        <f t="shared" si="86"/>
        <v>40.275137952072029</v>
      </c>
      <c r="X262" s="157">
        <f t="shared" si="87"/>
        <v>46270</v>
      </c>
      <c r="Y262" s="383">
        <f t="shared" si="88"/>
        <v>38.645254478607917</v>
      </c>
      <c r="Z262" s="383">
        <f t="shared" si="89"/>
        <v>40.771774324115455</v>
      </c>
      <c r="AA262" s="384">
        <f t="shared" si="90"/>
        <v>44.26704692809853</v>
      </c>
      <c r="AB262" s="197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7.8958793200285787E-2</v>
      </c>
      <c r="AD262" s="230">
        <f>(INDEX(Models!$BJ262:$BT262,,AH262)*(1-AF262)+INDEX(Models!$BJ262:$BT262,,AH262+1)*AF262-ERP_i)*AE262*Ramure*Pc/MaxiM</f>
        <v>1.1554286390657868E-2</v>
      </c>
      <c r="AE262" s="304">
        <f t="shared" si="92"/>
        <v>0.7</v>
      </c>
      <c r="AF262" s="177">
        <f t="shared" si="93"/>
        <v>0.92382107762505705</v>
      </c>
      <c r="AG262" s="799">
        <f t="shared" si="99"/>
        <v>1</v>
      </c>
      <c r="AH262" s="176">
        <f t="shared" si="94"/>
        <v>7</v>
      </c>
      <c r="AI262" s="224">
        <f t="shared" si="95"/>
        <v>1.9238210776250571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46271</v>
      </c>
      <c r="B263" s="409">
        <f>'2025'!Wh/'2025'!Env_an*'2026'!Env_an</f>
        <v>43.788384869598602</v>
      </c>
      <c r="C263" s="829"/>
      <c r="D263" s="391">
        <f t="shared" si="77"/>
        <v>46.198799467338624</v>
      </c>
      <c r="E263" s="383">
        <f t="shared" si="100"/>
        <v>48.562610126553771</v>
      </c>
      <c r="F263" s="383">
        <f t="shared" si="78"/>
        <v>48.595359665024667</v>
      </c>
      <c r="G263" s="110">
        <f t="shared" si="101"/>
        <v>0.95127439624026744</v>
      </c>
      <c r="H263" s="412" t="b">
        <f>Wh_hp&gt;='2025'!Maxi_hp</f>
        <v>0</v>
      </c>
      <c r="I263" s="388">
        <f>IF(H263,Wh_hp,'2025'!Maxi_hp)</f>
        <v>51.253626858987126</v>
      </c>
      <c r="J263" s="85">
        <f>IF(H263,An,'2025'!An_max)</f>
        <v>2018</v>
      </c>
      <c r="K263" s="197">
        <f t="shared" si="79"/>
        <v>46271</v>
      </c>
      <c r="L263" s="147">
        <f>IF(t&lt;Tvie,1-EXP((T0-t)*PertePVj)+'2025'!Pspv,1-EXP((T0-t)*PertePVj)+Pspv)</f>
        <v>5.2174831933546773E-2</v>
      </c>
      <c r="M263" s="832"/>
      <c r="N263" s="832"/>
      <c r="O263" s="48">
        <f>IF(t&lt;Tnet,'2025'!Resal+('2025'!Salim-'2025'!Resal)*(1-EXP(('2025'!Tnet-t)/('2025'!Tau_j))),Resal+(Salim-Resal)*(1-EXP((Tnet-t)/(Tau_j))))*Salcycl</f>
        <v>4.8675527387326986E-2</v>
      </c>
      <c r="P263" s="169">
        <f>(INDEX(Models!$BJ263:$BT263,,T263)*(1-R263)+INDEX(Models!$BJ263:$BT263,,T263+1)*R263-ERP_i)*Q263*Ramure*Pc/MaxiM</f>
        <v>7.2428992868955573E-4</v>
      </c>
      <c r="Q263" s="304">
        <f t="shared" si="80"/>
        <v>0.7</v>
      </c>
      <c r="R263" s="177">
        <f t="shared" si="81"/>
        <v>0.1685912499310116</v>
      </c>
      <c r="S263" s="799">
        <f t="shared" si="82"/>
        <v>-1</v>
      </c>
      <c r="T263" s="176">
        <f t="shared" si="83"/>
        <v>5</v>
      </c>
      <c r="U263" s="250">
        <f t="shared" si="84"/>
        <v>-0.8314087500689884</v>
      </c>
      <c r="V263" s="382">
        <f t="shared" si="85"/>
        <v>46.028967116101377</v>
      </c>
      <c r="W263" s="400">
        <f t="shared" si="86"/>
        <v>43.788384869598602</v>
      </c>
      <c r="X263" s="157">
        <f t="shared" si="87"/>
        <v>46271</v>
      </c>
      <c r="Y263" s="383">
        <f t="shared" si="88"/>
        <v>41.959278709071278</v>
      </c>
      <c r="Z263" s="383">
        <f t="shared" si="89"/>
        <v>44.269006693151518</v>
      </c>
      <c r="AA263" s="384">
        <f t="shared" si="90"/>
        <v>48.064917513585783</v>
      </c>
      <c r="AB263" s="197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7.8974666280480652E-2</v>
      </c>
      <c r="AD263" s="230">
        <f>(INDEX(Models!$BJ263:$BT263,,AH263)*(1-AF263)+INDEX(Models!$BJ263:$BT263,,AH263+1)*AF263-ERP_i)*AE263*Ramure*Pc/MaxiM</f>
        <v>1.1731277018790006E-2</v>
      </c>
      <c r="AE263" s="304">
        <f t="shared" si="92"/>
        <v>0.7</v>
      </c>
      <c r="AF263" s="177">
        <f t="shared" si="93"/>
        <v>0.9242490807703625</v>
      </c>
      <c r="AG263" s="799">
        <f t="shared" si="99"/>
        <v>1</v>
      </c>
      <c r="AH263" s="176">
        <f t="shared" si="94"/>
        <v>7</v>
      </c>
      <c r="AI263" s="224">
        <f t="shared" si="95"/>
        <v>1.9242490807703625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46272</v>
      </c>
      <c r="B264" s="409">
        <f>'2025'!Wh/'2025'!Env_an*'2026'!Env_an</f>
        <v>34.119100300256392</v>
      </c>
      <c r="C264" s="829"/>
      <c r="D264" s="391">
        <f t="shared" si="77"/>
        <v>35.997940703732652</v>
      </c>
      <c r="E264" s="383">
        <f t="shared" si="100"/>
        <v>37.842003760169824</v>
      </c>
      <c r="F264" s="383">
        <f t="shared" si="78"/>
        <v>37.859879689446501</v>
      </c>
      <c r="G264" s="110">
        <f t="shared" si="101"/>
        <v>0.74416427038826138</v>
      </c>
      <c r="H264" s="412" t="b">
        <f>Wh_hp&gt;='2025'!Maxi_hp</f>
        <v>0</v>
      </c>
      <c r="I264" s="388">
        <f>IF(H264,Wh_hp,'2025'!Maxi_hp)</f>
        <v>52.759985924745806</v>
      </c>
      <c r="J264" s="85">
        <f>IF(H264,An,'2025'!An_max)</f>
        <v>2018</v>
      </c>
      <c r="K264" s="197">
        <f t="shared" si="79"/>
        <v>46272</v>
      </c>
      <c r="L264" s="147">
        <f>IF(t&lt;Tvie,1-EXP((T0-t)*PertePVj)+'2025'!Pspv,1-EXP((T0-t)*PertePVj)+Pspv)</f>
        <v>5.2192996786659118E-2</v>
      </c>
      <c r="M264" s="832"/>
      <c r="N264" s="832"/>
      <c r="O264" s="48">
        <f>IF(t&lt;Tnet,'2025'!Resal+('2025'!Salim-'2025'!Resal)*(1-EXP(('2025'!Tnet-t)/('2025'!Tau_j))),Resal+(Salim-Resal)*(1-EXP((Tnet-t)/(Tau_j))))*Salcycl</f>
        <v>4.8730586998622955E-2</v>
      </c>
      <c r="P264" s="169">
        <f>(INDEX(Models!$BJ264:$BT264,,T264)*(1-R264)+INDEX(Models!$BJ264:$BT264,,T264+1)*R264-ERP_i)*Q264*Ramure*Pc/MaxiM</f>
        <v>7.4378270576390296E-4</v>
      </c>
      <c r="Q264" s="304">
        <f t="shared" si="80"/>
        <v>0.7</v>
      </c>
      <c r="R264" s="177">
        <f t="shared" si="81"/>
        <v>0.16900290531744155</v>
      </c>
      <c r="S264" s="799">
        <f t="shared" si="82"/>
        <v>-1</v>
      </c>
      <c r="T264" s="176">
        <f t="shared" si="83"/>
        <v>5</v>
      </c>
      <c r="U264" s="250">
        <f t="shared" si="84"/>
        <v>-0.83099709468255845</v>
      </c>
      <c r="V264" s="382">
        <f t="shared" si="85"/>
        <v>45.836423172995964</v>
      </c>
      <c r="W264" s="400">
        <f t="shared" si="86"/>
        <v>34.119100300256392</v>
      </c>
      <c r="X264" s="157">
        <f t="shared" si="87"/>
        <v>46272</v>
      </c>
      <c r="Y264" s="383">
        <f t="shared" si="88"/>
        <v>32.80012608195878</v>
      </c>
      <c r="Z264" s="383">
        <f t="shared" si="89"/>
        <v>34.606334381110109</v>
      </c>
      <c r="AA264" s="384">
        <f t="shared" si="90"/>
        <v>37.574332317031093</v>
      </c>
      <c r="AB264" s="197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7.899003795672771E-2</v>
      </c>
      <c r="AD264" s="230">
        <f>(INDEX(Models!$BJ264:$BT264,,AH264)*(1-AF264)+INDEX(Models!$BJ264:$BT264,,AH264+1)*AF264-ERP_i)*AE264*Ramure*Pc/MaxiM</f>
        <v>1.1881071690970326E-2</v>
      </c>
      <c r="AE264" s="304">
        <f t="shared" si="92"/>
        <v>0.7</v>
      </c>
      <c r="AF264" s="177">
        <f t="shared" si="93"/>
        <v>0.92466073615679245</v>
      </c>
      <c r="AG264" s="799">
        <f t="shared" si="99"/>
        <v>1</v>
      </c>
      <c r="AH264" s="176">
        <f t="shared" si="94"/>
        <v>7</v>
      </c>
      <c r="AI264" s="224">
        <f t="shared" si="95"/>
        <v>1.9246607361567925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46273</v>
      </c>
      <c r="B265" s="409">
        <f>'2025'!Wh/'2025'!Env_an*'2026'!Env_an</f>
        <v>38.894296842608377</v>
      </c>
      <c r="C265" s="829"/>
      <c r="D265" s="391">
        <f t="shared" si="77"/>
        <v>41.036880003370271</v>
      </c>
      <c r="E265" s="383">
        <f t="shared" si="100"/>
        <v>43.141551809929517</v>
      </c>
      <c r="F265" s="383">
        <f t="shared" si="78"/>
        <v>43.167516930802137</v>
      </c>
      <c r="G265" s="110">
        <f t="shared" si="101"/>
        <v>0.85204708632335291</v>
      </c>
      <c r="H265" s="412" t="b">
        <f>Wh_hp&gt;='2025'!Maxi_hp</f>
        <v>0</v>
      </c>
      <c r="I265" s="388">
        <f>IF(H265,Wh_hp,'2025'!Maxi_hp)</f>
        <v>48.227232610216525</v>
      </c>
      <c r="J265" s="85">
        <f>IF(H265,An,'2025'!An_max)</f>
        <v>2020</v>
      </c>
      <c r="K265" s="197">
        <f t="shared" si="79"/>
        <v>46273</v>
      </c>
      <c r="L265" s="147">
        <f>IF(t&lt;Tvie,1-EXP((T0-t)*PertePVj)+'2025'!Pspv,1-EXP((T0-t)*PertePVj)+Pspv)</f>
        <v>5.2211161291646158E-2</v>
      </c>
      <c r="M265" s="832"/>
      <c r="N265" s="832"/>
      <c r="O265" s="48">
        <f>IF(t&lt;Tnet,'2025'!Resal+('2025'!Salim-'2025'!Resal)*(1-EXP(('2025'!Tnet-t)/('2025'!Tau_j))),Resal+(Salim-Resal)*(1-EXP((Tnet-t)/(Tau_j))))*Salcycl</f>
        <v>4.8785259645547308E-2</v>
      </c>
      <c r="P265" s="169">
        <f>(INDEX(Models!$BJ265:$BT265,,T265)*(1-R265)+INDEX(Models!$BJ265:$BT265,,T265+1)*R265-ERP_i)*Q265*Ramure*Pc/MaxiM</f>
        <v>7.6251290799299527E-4</v>
      </c>
      <c r="Q265" s="304">
        <f t="shared" si="80"/>
        <v>0.7</v>
      </c>
      <c r="R265" s="177">
        <f t="shared" si="81"/>
        <v>0.16939880391491835</v>
      </c>
      <c r="S265" s="799">
        <f t="shared" si="82"/>
        <v>-1</v>
      </c>
      <c r="T265" s="176">
        <f t="shared" si="83"/>
        <v>5</v>
      </c>
      <c r="U265" s="250">
        <f t="shared" si="84"/>
        <v>-0.83060119608508165</v>
      </c>
      <c r="V265" s="382">
        <f t="shared" si="85"/>
        <v>45.640705880141333</v>
      </c>
      <c r="W265" s="400">
        <f t="shared" si="86"/>
        <v>38.894296842608377</v>
      </c>
      <c r="X265" s="157">
        <f t="shared" si="87"/>
        <v>46273</v>
      </c>
      <c r="Y265" s="383">
        <f t="shared" si="88"/>
        <v>37.324517845032602</v>
      </c>
      <c r="Z265" s="383">
        <f t="shared" si="89"/>
        <v>39.380626064238569</v>
      </c>
      <c r="AA265" s="384">
        <f t="shared" si="90"/>
        <v>42.75877865460032</v>
      </c>
      <c r="AB265" s="197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7.9004889677743509E-2</v>
      </c>
      <c r="AD265" s="230">
        <f>(INDEX(Models!$BJ265:$BT265,,AH265)*(1-AF265)+INDEX(Models!$BJ265:$BT265,,AH265+1)*AF265-ERP_i)*AE265*Ramure*Pc/MaxiM</f>
        <v>1.2003341448850721E-2</v>
      </c>
      <c r="AE265" s="304">
        <f t="shared" si="92"/>
        <v>0.7</v>
      </c>
      <c r="AF265" s="177">
        <f t="shared" si="93"/>
        <v>0.92505663475426925</v>
      </c>
      <c r="AG265" s="799">
        <f t="shared" si="99"/>
        <v>1</v>
      </c>
      <c r="AH265" s="176">
        <f t="shared" si="94"/>
        <v>7</v>
      </c>
      <c r="AI265" s="224">
        <f t="shared" si="95"/>
        <v>1.9250566347542692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46274</v>
      </c>
      <c r="B266" s="409">
        <f>'2025'!Wh/'2025'!Env_an*'2026'!Env_an</f>
        <v>16.414888237689304</v>
      </c>
      <c r="C266" s="829"/>
      <c r="D266" s="391">
        <f t="shared" si="77"/>
        <v>17.319472609191397</v>
      </c>
      <c r="E266" s="383">
        <f t="shared" si="100"/>
        <v>18.208780961219126</v>
      </c>
      <c r="F266" s="383">
        <f t="shared" si="78"/>
        <v>18.210024092768169</v>
      </c>
      <c r="G266" s="110">
        <f t="shared" si="101"/>
        <v>0.36097063448580441</v>
      </c>
      <c r="H266" s="412" t="b">
        <f>Wh_hp&gt;='2025'!Maxi_hp</f>
        <v>0</v>
      </c>
      <c r="I266" s="388">
        <f>IF(H266,Wh_hp,'2025'!Maxi_hp)</f>
        <v>49.53769434119436</v>
      </c>
      <c r="J266" s="85">
        <f>IF(H266,An,'2025'!An_max)</f>
        <v>2020</v>
      </c>
      <c r="K266" s="197">
        <f t="shared" si="79"/>
        <v>46274</v>
      </c>
      <c r="L266" s="147">
        <f>IF(t&lt;Tvie,1-EXP((T0-t)*PertePVj)+'2025'!Pspv,1-EXP((T0-t)*PertePVj)+Pspv)</f>
        <v>5.2229325448514663E-2</v>
      </c>
      <c r="M266" s="832"/>
      <c r="N266" s="832"/>
      <c r="O266" s="48">
        <f>IF(t&lt;Tnet,'2025'!Resal+('2025'!Salim-'2025'!Resal)*(1-EXP(('2025'!Tnet-t)/('2025'!Tau_j))),Resal+(Salim-Resal)*(1-EXP((Tnet-t)/(Tau_j))))*Salcycl</f>
        <v>4.8839532636576248E-2</v>
      </c>
      <c r="P266" s="169">
        <f>(INDEX(Models!$BJ266:$BT266,,T266)*(1-R266)+INDEX(Models!$BJ266:$BT266,,T266+1)*R266-ERP_i)*Q266*Ramure*Pc/MaxiM</f>
        <v>7.8046801174376187E-4</v>
      </c>
      <c r="Q266" s="304">
        <f t="shared" si="80"/>
        <v>0.7</v>
      </c>
      <c r="R266" s="177">
        <f t="shared" si="81"/>
        <v>0.16977951791440238</v>
      </c>
      <c r="S266" s="799">
        <f t="shared" si="82"/>
        <v>-1</v>
      </c>
      <c r="T266" s="176">
        <f t="shared" si="83"/>
        <v>5</v>
      </c>
      <c r="U266" s="250">
        <f t="shared" si="84"/>
        <v>-0.83022048208559762</v>
      </c>
      <c r="V266" s="382">
        <f t="shared" si="85"/>
        <v>45.44191455335956</v>
      </c>
      <c r="W266" s="400">
        <f t="shared" si="86"/>
        <v>16.414888237689304</v>
      </c>
      <c r="X266" s="157">
        <f t="shared" si="87"/>
        <v>46274</v>
      </c>
      <c r="Y266" s="383">
        <f t="shared" si="88"/>
        <v>15.878320416872006</v>
      </c>
      <c r="Z266" s="383">
        <f t="shared" si="89"/>
        <v>16.753335847182782</v>
      </c>
      <c r="AA266" s="384">
        <f t="shared" si="90"/>
        <v>18.190754775467113</v>
      </c>
      <c r="AB266" s="197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7.9019202118149556E-2</v>
      </c>
      <c r="AD266" s="230">
        <f>(INDEX(Models!$BJ266:$BT266,,AH266)*(1-AF266)+INDEX(Models!$BJ266:$BT266,,AH266+1)*AF266-ERP_i)*AE266*Ramure*Pc/MaxiM</f>
        <v>1.2097742811867001E-2</v>
      </c>
      <c r="AE266" s="304">
        <f t="shared" si="92"/>
        <v>0.7</v>
      </c>
      <c r="AF266" s="177">
        <f t="shared" si="93"/>
        <v>0.92543734875375327</v>
      </c>
      <c r="AG266" s="799">
        <f t="shared" si="99"/>
        <v>1</v>
      </c>
      <c r="AH266" s="176">
        <f t="shared" si="94"/>
        <v>7</v>
      </c>
      <c r="AI266" s="224">
        <f t="shared" si="95"/>
        <v>1.9254373487537533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46275</v>
      </c>
      <c r="B267" s="409">
        <f>'2025'!Wh/'2025'!Env_an*'2026'!Env_an</f>
        <v>43.086085935637044</v>
      </c>
      <c r="C267" s="829"/>
      <c r="D267" s="391">
        <f t="shared" si="77"/>
        <v>45.461326081712627</v>
      </c>
      <c r="E267" s="383">
        <f t="shared" si="100"/>
        <v>47.79834955945627</v>
      </c>
      <c r="F267" s="383">
        <f t="shared" si="78"/>
        <v>47.833908333949203</v>
      </c>
      <c r="G267" s="110">
        <f t="shared" si="101"/>
        <v>0.95233433171088033</v>
      </c>
      <c r="H267" s="412" t="b">
        <f>Wh_hp&gt;='2025'!Maxi_hp</f>
        <v>1</v>
      </c>
      <c r="I267" s="388">
        <f>IF(H267,Wh_hp,'2025'!Maxi_hp)</f>
        <v>47.833908333949203</v>
      </c>
      <c r="J267" s="85">
        <f>IF(H267,An,'2025'!An_max)</f>
        <v>2026</v>
      </c>
      <c r="K267" s="197">
        <f t="shared" si="79"/>
        <v>46275</v>
      </c>
      <c r="L267" s="147">
        <f>IF(t&lt;Tvie,1-EXP((T0-t)*PertePVj)+'2025'!Pspv,1-EXP((T0-t)*PertePVj)+Pspv)</f>
        <v>5.2247489257271185E-2</v>
      </c>
      <c r="M267" s="832"/>
      <c r="N267" s="832"/>
      <c r="O267" s="48">
        <f>IF(t&lt;Tnet,'2025'!Resal+('2025'!Salim-'2025'!Resal)*(1-EXP(('2025'!Tnet-t)/('2025'!Tau_j))),Resal+(Salim-Resal)*(1-EXP((Tnet-t)/(Tau_j))))*Salcycl</f>
        <v>4.8893392748563955E-2</v>
      </c>
      <c r="P267" s="169">
        <f>(INDEX(Models!$BJ267:$BT267,,T267)*(1-R267)+INDEX(Models!$BJ267:$BT267,,T267+1)*R267-ERP_i)*Q267*Ramure*Pc/MaxiM</f>
        <v>7.9763517444479811E-4</v>
      </c>
      <c r="Q267" s="304">
        <f t="shared" si="80"/>
        <v>0.7</v>
      </c>
      <c r="R267" s="177">
        <f t="shared" si="81"/>
        <v>0.17014560112053434</v>
      </c>
      <c r="S267" s="799">
        <f t="shared" si="82"/>
        <v>-1</v>
      </c>
      <c r="T267" s="176">
        <f t="shared" si="83"/>
        <v>5</v>
      </c>
      <c r="U267" s="250">
        <f t="shared" si="84"/>
        <v>-0.82985439887946566</v>
      </c>
      <c r="V267" s="382">
        <f t="shared" si="85"/>
        <v>45.240148467006563</v>
      </c>
      <c r="W267" s="400">
        <f t="shared" si="86"/>
        <v>43.086085935637044</v>
      </c>
      <c r="X267" s="157">
        <f t="shared" si="87"/>
        <v>46275</v>
      </c>
      <c r="Y267" s="383">
        <f t="shared" si="88"/>
        <v>41.278450718464576</v>
      </c>
      <c r="Z267" s="383">
        <f t="shared" si="89"/>
        <v>43.554039953020791</v>
      </c>
      <c r="AA267" s="384">
        <f t="shared" si="90"/>
        <v>47.29163784639583</v>
      </c>
      <c r="AB267" s="197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7.9032955160377991E-2</v>
      </c>
      <c r="AD267" s="230">
        <f>(INDEX(Models!$BJ267:$BT267,,AH267)*(1-AF267)+INDEX(Models!$BJ267:$BT267,,AH267+1)*AF267-ERP_i)*AE267*Ramure*Pc/MaxiM</f>
        <v>1.2163917938787119E-2</v>
      </c>
      <c r="AE267" s="304">
        <f t="shared" si="92"/>
        <v>0.7</v>
      </c>
      <c r="AF267" s="177">
        <f t="shared" si="93"/>
        <v>0.92580343195988535</v>
      </c>
      <c r="AG267" s="799">
        <f t="shared" si="99"/>
        <v>1</v>
      </c>
      <c r="AH267" s="176">
        <f t="shared" si="94"/>
        <v>7</v>
      </c>
      <c r="AI267" s="224">
        <f t="shared" si="95"/>
        <v>1.9258034319598853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46276</v>
      </c>
      <c r="B268" s="409">
        <f>'2025'!Wh/'2025'!Env_an*'2026'!Env_an</f>
        <v>45.26373633640501</v>
      </c>
      <c r="C268" s="829"/>
      <c r="D268" s="391">
        <f t="shared" si="77"/>
        <v>47.759940816973469</v>
      </c>
      <c r="E268" s="383">
        <f t="shared" si="100"/>
        <v>50.21795009322129</v>
      </c>
      <c r="F268" s="383">
        <f t="shared" si="78"/>
        <v>50.258801282332193</v>
      </c>
      <c r="G268" s="110">
        <f t="shared" si="101"/>
        <v>1.0050665759483837</v>
      </c>
      <c r="H268" s="412" t="b">
        <f>Wh_hp&gt;='2025'!Maxi_hp</f>
        <v>1</v>
      </c>
      <c r="I268" s="388">
        <f>IF(H268,Wh_hp,'2025'!Maxi_hp)</f>
        <v>50.258801282332193</v>
      </c>
      <c r="J268" s="85">
        <f>IF(H268,An,'2025'!An_max)</f>
        <v>2026</v>
      </c>
      <c r="K268" s="197">
        <f t="shared" si="79"/>
        <v>46276</v>
      </c>
      <c r="L268" s="147">
        <f>IF(t&lt;Tvie,1-EXP((T0-t)*PertePVj)+'2025'!Pspv,1-EXP((T0-t)*PertePVj)+Pspv)</f>
        <v>5.2265652717922384E-2</v>
      </c>
      <c r="M268" s="832"/>
      <c r="N268" s="832"/>
      <c r="O268" s="48">
        <f>IF(t&lt;Tnet,'2025'!Resal+('2025'!Salim-'2025'!Resal)*(1-EXP(('2025'!Tnet-t)/('2025'!Tau_j))),Resal+(Salim-Resal)*(1-EXP((Tnet-t)/(Tau_j))))*Salcycl</f>
        <v>4.894682621821355E-2</v>
      </c>
      <c r="P268" s="169">
        <f>(INDEX(Models!$BJ268:$BT268,,T268)*(1-R268)+INDEX(Models!$BJ268:$BT268,,T268+1)*R268-ERP_i)*Q268*Ramure*Pc/MaxiM</f>
        <v>8.1281662253380386E-4</v>
      </c>
      <c r="Q268" s="304">
        <f t="shared" si="80"/>
        <v>0.7</v>
      </c>
      <c r="R268" s="177">
        <f t="shared" si="81"/>
        <v>0.17049758935360371</v>
      </c>
      <c r="S268" s="799">
        <f t="shared" si="82"/>
        <v>-1</v>
      </c>
      <c r="T268" s="176">
        <f t="shared" si="83"/>
        <v>5</v>
      </c>
      <c r="U268" s="250">
        <f t="shared" si="84"/>
        <v>-0.82950241064639629</v>
      </c>
      <c r="V268" s="382">
        <f t="shared" si="85"/>
        <v>45.035560250020275</v>
      </c>
      <c r="W268" s="400">
        <f t="shared" si="86"/>
        <v>45.26373633640501</v>
      </c>
      <c r="X268" s="157">
        <f t="shared" si="87"/>
        <v>46276</v>
      </c>
      <c r="Y268" s="383">
        <f t="shared" si="88"/>
        <v>43.33213367880861</v>
      </c>
      <c r="Z268" s="383">
        <f t="shared" si="89"/>
        <v>45.72181413818857</v>
      </c>
      <c r="AA268" s="384">
        <f t="shared" si="90"/>
        <v>49.646150065203429</v>
      </c>
      <c r="AB268" s="197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7.9046127884252415E-2</v>
      </c>
      <c r="AD268" s="230">
        <f>(INDEX(Models!$BJ268:$BT268,,AH268)*(1-AF268)+INDEX(Models!$BJ268:$BT268,,AH268+1)*AF268-ERP_i)*AE268*Ramure*Pc/MaxiM</f>
        <v>1.2189928957659696E-2</v>
      </c>
      <c r="AE268" s="304">
        <f t="shared" si="92"/>
        <v>0.7</v>
      </c>
      <c r="AF268" s="177">
        <f t="shared" si="93"/>
        <v>0.92615542019295471</v>
      </c>
      <c r="AG268" s="799">
        <f t="shared" si="99"/>
        <v>1</v>
      </c>
      <c r="AH268" s="176">
        <f t="shared" si="94"/>
        <v>7</v>
      </c>
      <c r="AI268" s="224">
        <f t="shared" si="95"/>
        <v>1.9261554201929547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46277</v>
      </c>
      <c r="B269" s="409">
        <f>'2025'!Wh/'2025'!Env_an*'2026'!Env_an</f>
        <v>34.873055419716586</v>
      </c>
      <c r="C269" s="829"/>
      <c r="D269" s="391">
        <f t="shared" si="77"/>
        <v>36.796939845736127</v>
      </c>
      <c r="E269" s="383">
        <f t="shared" si="100"/>
        <v>38.692884155861734</v>
      </c>
      <c r="F269" s="383">
        <f t="shared" si="78"/>
        <v>38.714729088004802</v>
      </c>
      <c r="G269" s="110">
        <f t="shared" si="101"/>
        <v>0.77772216603784128</v>
      </c>
      <c r="H269" s="412" t="b">
        <f>Wh_hp&gt;='2025'!Maxi_hp</f>
        <v>0</v>
      </c>
      <c r="I269" s="388">
        <f>IF(H269,Wh_hp,'2025'!Maxi_hp)</f>
        <v>50.45491962020855</v>
      </c>
      <c r="J269" s="85">
        <f>IF(H269,An,'2025'!An_max)</f>
        <v>2018</v>
      </c>
      <c r="K269" s="197">
        <f t="shared" si="79"/>
        <v>46277</v>
      </c>
      <c r="L269" s="147">
        <f>IF(t&lt;Tvie,1-EXP((T0-t)*PertePVj)+'2025'!Pspv,1-EXP((T0-t)*PertePVj)+Pspv)</f>
        <v>5.2283815830475144E-2</v>
      </c>
      <c r="M269" s="832"/>
      <c r="N269" s="832"/>
      <c r="O269" s="48">
        <f>IF(t&lt;Tnet,'2025'!Resal+('2025'!Salim-'2025'!Resal)*(1-EXP(('2025'!Tnet-t)/('2025'!Tau_j))),Resal+(Salim-Resal)*(1-EXP((Tnet-t)/(Tau_j))))*Salcycl</f>
        <v>4.8999818738980801E-2</v>
      </c>
      <c r="P269" s="169">
        <f>(INDEX(Models!$BJ269:$BT269,,T269)*(1-R269)+INDEX(Models!$BJ269:$BT269,,T269+1)*R269-ERP_i)*Q269*Ramure*Pc/MaxiM</f>
        <v>8.264405858969912E-4</v>
      </c>
      <c r="Q269" s="304">
        <f t="shared" si="80"/>
        <v>0.7</v>
      </c>
      <c r="R269" s="177">
        <f t="shared" si="81"/>
        <v>0.17083600085887329</v>
      </c>
      <c r="S269" s="799">
        <f t="shared" si="82"/>
        <v>-1</v>
      </c>
      <c r="T269" s="176">
        <f t="shared" si="83"/>
        <v>5</v>
      </c>
      <c r="U269" s="250">
        <f t="shared" si="84"/>
        <v>-0.82916399914112671</v>
      </c>
      <c r="V269" s="382">
        <f t="shared" si="85"/>
        <v>44.828228543637799</v>
      </c>
      <c r="W269" s="400">
        <f t="shared" si="86"/>
        <v>34.873055419716586</v>
      </c>
      <c r="X269" s="157">
        <f t="shared" si="87"/>
        <v>46277</v>
      </c>
      <c r="Y269" s="383">
        <f t="shared" si="88"/>
        <v>33.508730558663736</v>
      </c>
      <c r="Z269" s="383">
        <f t="shared" si="89"/>
        <v>35.35734760932371</v>
      </c>
      <c r="AA269" s="384">
        <f t="shared" si="90"/>
        <v>38.392618024888918</v>
      </c>
      <c r="AB269" s="197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7.9058698565373259E-2</v>
      </c>
      <c r="AD269" s="230">
        <f>(INDEX(Models!$BJ269:$BT269,,AH269)*(1-AF269)+INDEX(Models!$BJ269:$BT269,,AH269+1)*AF269-ERP_i)*AE269*Ramure*Pc/MaxiM</f>
        <v>1.2186151642952222E-2</v>
      </c>
      <c r="AE269" s="304">
        <f t="shared" si="92"/>
        <v>0.7</v>
      </c>
      <c r="AF269" s="177">
        <f t="shared" si="93"/>
        <v>0.9264938316982243</v>
      </c>
      <c r="AG269" s="799">
        <f t="shared" si="99"/>
        <v>1</v>
      </c>
      <c r="AH269" s="176">
        <f t="shared" si="94"/>
        <v>7</v>
      </c>
      <c r="AI269" s="224">
        <f t="shared" si="95"/>
        <v>1.9264938316982243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46278</v>
      </c>
      <c r="B270" s="409">
        <f>'2025'!Wh/'2025'!Env_an*'2026'!Env_an</f>
        <v>11.007303403883995</v>
      </c>
      <c r="C270" s="829"/>
      <c r="D270" s="391">
        <f t="shared" si="77"/>
        <v>11.614779344547419</v>
      </c>
      <c r="E270" s="383">
        <f t="shared" si="100"/>
        <v>12.213899904253807</v>
      </c>
      <c r="F270" s="383">
        <f t="shared" si="78"/>
        <v>12.213899904253807</v>
      </c>
      <c r="G270" s="110">
        <f t="shared" si="101"/>
        <v>0.2464927099312936</v>
      </c>
      <c r="H270" s="412" t="b">
        <f>Wh_hp&gt;='2025'!Maxi_hp</f>
        <v>0</v>
      </c>
      <c r="I270" s="388">
        <f>IF(H270,Wh_hp,'2025'!Maxi_hp)</f>
        <v>48.157798418886934</v>
      </c>
      <c r="J270" s="85">
        <f>IF(H270,An,'2025'!An_max)</f>
        <v>2020</v>
      </c>
      <c r="K270" s="197">
        <f t="shared" si="79"/>
        <v>46278</v>
      </c>
      <c r="L270" s="147">
        <f>IF(t&lt;Tvie,1-EXP((T0-t)*PertePVj)+'2025'!Pspv,1-EXP((T0-t)*PertePVj)+Pspv)</f>
        <v>5.2301978594935905E-2</v>
      </c>
      <c r="M270" s="832"/>
      <c r="N270" s="832"/>
      <c r="O270" s="48">
        <f>IF(t&lt;Tnet,'2025'!Resal+('2025'!Salim-'2025'!Resal)*(1-EXP(('2025'!Tnet-t)/('2025'!Tau_j))),Resal+(Salim-Resal)*(1-EXP((Tnet-t)/(Tau_j))))*Salcycl</f>
        <v>4.9052355464099508E-2</v>
      </c>
      <c r="P270" s="169">
        <f>(INDEX(Models!$BJ270:$BT270,,T270)*(1-R270)+INDEX(Models!$BJ270:$BT270,,T270+1)*R270-ERP_i)*Q270*Ramure*Pc/MaxiM</f>
        <v>8.3847745642840507E-4</v>
      </c>
      <c r="Q270" s="304">
        <f t="shared" si="80"/>
        <v>0.7</v>
      </c>
      <c r="R270" s="177">
        <f t="shared" si="81"/>
        <v>0.17116133672144129</v>
      </c>
      <c r="S270" s="799">
        <f t="shared" si="82"/>
        <v>-1</v>
      </c>
      <c r="T270" s="176">
        <f t="shared" si="83"/>
        <v>5</v>
      </c>
      <c r="U270" s="250">
        <f t="shared" si="84"/>
        <v>-0.82883866327855871</v>
      </c>
      <c r="V270" s="382">
        <f t="shared" si="85"/>
        <v>44.61825273124439</v>
      </c>
      <c r="W270" s="400">
        <f t="shared" si="86"/>
        <v>11.007303403883995</v>
      </c>
      <c r="X270" s="157">
        <f t="shared" si="87"/>
        <v>46278</v>
      </c>
      <c r="Y270" s="383">
        <f t="shared" si="88"/>
        <v>10.659839041360433</v>
      </c>
      <c r="Z270" s="383">
        <f t="shared" si="89"/>
        <v>11.248138964726419</v>
      </c>
      <c r="AA270" s="384">
        <f t="shared" si="90"/>
        <v>12.213899904253807</v>
      </c>
      <c r="AB270" s="197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7.9070644683360947E-2</v>
      </c>
      <c r="AD270" s="230">
        <f>(INDEX(Models!$BJ270:$BT270,,AH270)*(1-AF270)+INDEX(Models!$BJ270:$BT270,,AH270+1)*AF270-ERP_i)*AE270*Ramure*Pc/MaxiM</f>
        <v>1.2152185123289395E-2</v>
      </c>
      <c r="AE270" s="304">
        <f t="shared" si="92"/>
        <v>0.7</v>
      </c>
      <c r="AF270" s="177">
        <f t="shared" si="93"/>
        <v>0.92681916756079219</v>
      </c>
      <c r="AG270" s="799">
        <f t="shared" si="99"/>
        <v>1</v>
      </c>
      <c r="AH270" s="176">
        <f t="shared" si="94"/>
        <v>7</v>
      </c>
      <c r="AI270" s="224">
        <f t="shared" si="95"/>
        <v>1.9268191675607922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46279</v>
      </c>
      <c r="B271" s="409">
        <f>'2025'!Wh/'2025'!Env_an*'2026'!Env_an</f>
        <v>36.923276286922103</v>
      </c>
      <c r="C271" s="829"/>
      <c r="D271" s="391">
        <f t="shared" ref="D271:D334" si="102">Wh/(1-Ppv)</f>
        <v>38.961761122922439</v>
      </c>
      <c r="E271" s="383">
        <f t="shared" si="100"/>
        <v>40.973753568784858</v>
      </c>
      <c r="F271" s="383">
        <f t="shared" ref="F271:F334" si="103">Wh_sa/(1-Pvg*MEDIAN((-Sdif+Wh/Env_an)/Csdif,0,1))</f>
        <v>41.000180364858409</v>
      </c>
      <c r="G271" s="110">
        <f t="shared" si="101"/>
        <v>0.83132795242879698</v>
      </c>
      <c r="H271" s="412" t="b">
        <f>Wh_hp&gt;='2025'!Maxi_hp</f>
        <v>0</v>
      </c>
      <c r="I271" s="388">
        <f>IF(H271,Wh_hp,'2025'!Maxi_hp)</f>
        <v>47.866073313841895</v>
      </c>
      <c r="J271" s="85">
        <f>IF(H271,An,'2025'!An_max)</f>
        <v>2020</v>
      </c>
      <c r="K271" s="197">
        <f t="shared" ref="K271:K334" si="104">t</f>
        <v>46279</v>
      </c>
      <c r="L271" s="147">
        <f>IF(t&lt;Tvie,1-EXP((T0-t)*PertePVj)+'2025'!Pspv,1-EXP((T0-t)*PertePVj)+Pspv)</f>
        <v>5.2320141011311549E-2</v>
      </c>
      <c r="M271" s="832"/>
      <c r="N271" s="832"/>
      <c r="O271" s="48">
        <f>IF(t&lt;Tnet,'2025'!Resal+('2025'!Salim-'2025'!Resal)*(1-EXP(('2025'!Tnet-t)/('2025'!Tau_j))),Resal+(Salim-Resal)*(1-EXP((Tnet-t)/(Tau_j))))*Salcycl</f>
        <v>4.9104421016365481E-2</v>
      </c>
      <c r="P271" s="169">
        <f>(INDEX(Models!$BJ271:$BT271,,T271)*(1-R271)+INDEX(Models!$BJ271:$BT271,,T271+1)*R271-ERP_i)*Q271*Ramure*Pc/MaxiM</f>
        <v>8.4889734048645906E-4</v>
      </c>
      <c r="Q271" s="304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0.17147408128498975</v>
      </c>
      <c r="S271" s="799">
        <f t="shared" ref="S271:S334" si="107">INDEX(Echel_vg,T271)</f>
        <v>-1</v>
      </c>
      <c r="T271" s="176">
        <f t="shared" ref="T271:T334" si="108">MIN(MATCH(Hp_vg,Echel_vg),10)</f>
        <v>5</v>
      </c>
      <c r="U271" s="250">
        <f t="shared" ref="U271:U334" si="109">IF(OR(t&lt;Ttai,Notai),Hdd+PousH*Croivg,Hdtf+PousH*(Croivg-Croi_tai))</f>
        <v>-0.82852591871501025</v>
      </c>
      <c r="V271" s="382">
        <f t="shared" ref="V271:V334" si="110">MaxiM*(1-Ppv)*(1-Pvg)*(1-Psa)</f>
        <v>44.405732125742126</v>
      </c>
      <c r="W271" s="400">
        <f t="shared" ref="W271:W334" si="111">Wh*(A271&gt;Tmaj)</f>
        <v>36.923276286922103</v>
      </c>
      <c r="X271" s="157">
        <f t="shared" ref="X271:X334" si="112">t</f>
        <v>46279</v>
      </c>
      <c r="Y271" s="383">
        <f t="shared" ref="Y271:Y334" si="113">Wh_pvt_s*(1-Ppv)</f>
        <v>35.453905556142118</v>
      </c>
      <c r="Z271" s="383">
        <f t="shared" ref="Z271:Z334" si="114">Wh_sa_s*(1-Psa_s)</f>
        <v>37.41126839392426</v>
      </c>
      <c r="AA271" s="384">
        <f t="shared" ref="AA271:AA334" si="115">Wh_hp*(1-Pvg_s*MEDIAN((-Sdif+Wh/Env_an)/Csdif,0,1))</f>
        <v>40.62388407650063</v>
      </c>
      <c r="AB271" s="197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7.9081942940919955E-2</v>
      </c>
      <c r="AD271" s="230">
        <f>(INDEX(Models!$BJ271:$BT271,,AH271)*(1-AF271)+INDEX(Models!$BJ271:$BT271,,AH271+1)*AF271-ERP_i)*AE271*Ramure*Pc/MaxiM</f>
        <v>1.2087614311354047E-2</v>
      </c>
      <c r="AE271" s="304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0.92713191212434065</v>
      </c>
      <c r="AG271" s="799">
        <f t="shared" si="99"/>
        <v>1</v>
      </c>
      <c r="AH271" s="176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1.9271319121243407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46280</v>
      </c>
      <c r="B272" s="409">
        <f>'2025'!Wh/'2025'!Env_an*'2026'!Env_an</f>
        <v>41.267184867262465</v>
      </c>
      <c r="C272" s="829"/>
      <c r="D272" s="391">
        <f t="shared" si="102"/>
        <v>43.546325657529579</v>
      </c>
      <c r="E272" s="383">
        <f t="shared" si="100"/>
        <v>45.797550002809579</v>
      </c>
      <c r="F272" s="383">
        <f t="shared" si="103"/>
        <v>45.833144489620118</v>
      </c>
      <c r="G272" s="110">
        <f t="shared" si="101"/>
        <v>0.9337660537432052</v>
      </c>
      <c r="H272" s="412" t="b">
        <f>Wh_hp&gt;='2025'!Maxi_hp</f>
        <v>0</v>
      </c>
      <c r="I272" s="388">
        <f>IF(H272,Wh_hp,'2025'!Maxi_hp)</f>
        <v>49.308768016515323</v>
      </c>
      <c r="J272" s="85">
        <f>IF(H272,An,'2025'!An_max)</f>
        <v>2020</v>
      </c>
      <c r="K272" s="197">
        <f t="shared" si="104"/>
        <v>46280</v>
      </c>
      <c r="L272" s="147">
        <f>IF(t&lt;Tvie,1-EXP((T0-t)*PertePVj)+'2025'!Pspv,1-EXP((T0-t)*PertePVj)+Pspv)</f>
        <v>5.2338303079608517E-2</v>
      </c>
      <c r="M272" s="832"/>
      <c r="N272" s="832"/>
      <c r="O272" s="48">
        <f>IF(t&lt;Tnet,'2025'!Resal+('2025'!Salim-'2025'!Resal)*(1-EXP(('2025'!Tnet-t)/('2025'!Tau_j))),Resal+(Salim-Resal)*(1-EXP((Tnet-t)/(Tau_j))))*Salcycl</f>
        <v>4.9155999505255094E-2</v>
      </c>
      <c r="P272" s="169">
        <f>(INDEX(Models!$BJ272:$BT272,,T272)*(1-R272)+INDEX(Models!$BJ272:$BT272,,T272+1)*R272-ERP_i)*Q272*Ramure*Pc/MaxiM</f>
        <v>8.5767003857235369E-4</v>
      </c>
      <c r="Q272" s="304">
        <f t="shared" si="105"/>
        <v>0.7</v>
      </c>
      <c r="R272" s="177">
        <f t="shared" si="106"/>
        <v>0.17177470257290828</v>
      </c>
      <c r="S272" s="799">
        <f t="shared" si="107"/>
        <v>-1</v>
      </c>
      <c r="T272" s="176">
        <f t="shared" si="108"/>
        <v>5</v>
      </c>
      <c r="U272" s="250">
        <f t="shared" si="109"/>
        <v>-0.82822529742709172</v>
      </c>
      <c r="V272" s="382">
        <f t="shared" si="110"/>
        <v>44.19076597399097</v>
      </c>
      <c r="W272" s="400">
        <f t="shared" si="111"/>
        <v>41.267184867262465</v>
      </c>
      <c r="X272" s="157">
        <f t="shared" si="112"/>
        <v>46280</v>
      </c>
      <c r="Y272" s="383">
        <f t="shared" si="113"/>
        <v>39.564649907507629</v>
      </c>
      <c r="Z272" s="383">
        <f t="shared" si="114"/>
        <v>41.749761582725725</v>
      </c>
      <c r="AA272" s="384">
        <f t="shared" si="115"/>
        <v>45.335459559431747</v>
      </c>
      <c r="AB272" s="197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7.9092569294580861E-2</v>
      </c>
      <c r="AD272" s="230">
        <f>(INDEX(Models!$BJ272:$BT272,,AH272)*(1-AF272)+INDEX(Models!$BJ272:$BT272,,AH272+1)*AF272-ERP_i)*AE272*Ramure*Pc/MaxiM</f>
        <v>1.1992010322934643E-2</v>
      </c>
      <c r="AE272" s="304">
        <f t="shared" si="117"/>
        <v>0.7</v>
      </c>
      <c r="AF272" s="177">
        <f t="shared" si="118"/>
        <v>0.92743253341225929</v>
      </c>
      <c r="AG272" s="799">
        <f t="shared" ref="AG272:AG335" si="124">INDEX(Echel_vg,AH272)</f>
        <v>1</v>
      </c>
      <c r="AH272" s="176">
        <f t="shared" si="119"/>
        <v>7</v>
      </c>
      <c r="AI272" s="224">
        <f t="shared" si="120"/>
        <v>1.9274325334122593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46281</v>
      </c>
      <c r="B273" s="409">
        <f>'2025'!Wh/'2025'!Env_an*'2026'!Env_an</f>
        <v>24.553573607717944</v>
      </c>
      <c r="C273" s="829"/>
      <c r="D273" s="391">
        <f t="shared" si="102"/>
        <v>25.910136771556832</v>
      </c>
      <c r="E273" s="383">
        <f t="shared" si="100"/>
        <v>27.251082836302345</v>
      </c>
      <c r="F273" s="383">
        <f t="shared" si="103"/>
        <v>27.259783833350433</v>
      </c>
      <c r="G273" s="110">
        <f t="shared" si="101"/>
        <v>0.5580679145887546</v>
      </c>
      <c r="H273" s="412" t="b">
        <f>Wh_hp&gt;='2025'!Maxi_hp</f>
        <v>0</v>
      </c>
      <c r="I273" s="388">
        <f>IF(H273,Wh_hp,'2025'!Maxi_hp)</f>
        <v>44.025352482191991</v>
      </c>
      <c r="J273" s="85">
        <f>IF(H273,An,'2025'!An_max)</f>
        <v>2018</v>
      </c>
      <c r="K273" s="197">
        <f t="shared" si="104"/>
        <v>46281</v>
      </c>
      <c r="L273" s="147">
        <f>IF(t&lt;Tvie,1-EXP((T0-t)*PertePVj)+'2025'!Pspv,1-EXP((T0-t)*PertePVj)+Pspv)</f>
        <v>5.235646479983358E-2</v>
      </c>
      <c r="M273" s="832"/>
      <c r="N273" s="832"/>
      <c r="O273" s="48">
        <f>IF(t&lt;Tnet,'2025'!Resal+('2025'!Salim-'2025'!Resal)*(1-EXP(('2025'!Tnet-t)/('2025'!Tau_j))),Resal+(Salim-Resal)*(1-EXP((Tnet-t)/(Tau_j))))*Salcycl</f>
        <v>4.9207074551884673E-2</v>
      </c>
      <c r="P273" s="169">
        <f>(INDEX(Models!$BJ273:$BT273,,T273)*(1-R273)+INDEX(Models!$BJ273:$BT273,,T273+1)*R273-ERP_i)*Q273*Ramure*Pc/MaxiM</f>
        <v>8.6476502999524802E-4</v>
      </c>
      <c r="Q273" s="304">
        <f t="shared" si="105"/>
        <v>0.7</v>
      </c>
      <c r="R273" s="177">
        <f t="shared" si="106"/>
        <v>0.17206365271042479</v>
      </c>
      <c r="S273" s="799">
        <f t="shared" si="107"/>
        <v>-1</v>
      </c>
      <c r="T273" s="176">
        <f t="shared" si="108"/>
        <v>5</v>
      </c>
      <c r="U273" s="250">
        <f t="shared" si="109"/>
        <v>-0.82793634728957521</v>
      </c>
      <c r="V273" s="382">
        <f t="shared" si="110"/>
        <v>43.97345345310211</v>
      </c>
      <c r="W273" s="400">
        <f t="shared" si="111"/>
        <v>24.553573607717944</v>
      </c>
      <c r="X273" s="157">
        <f t="shared" si="112"/>
        <v>46281</v>
      </c>
      <c r="Y273" s="383">
        <f t="shared" si="113"/>
        <v>23.684956099445031</v>
      </c>
      <c r="Z273" s="383">
        <f t="shared" si="114"/>
        <v>24.993528916379056</v>
      </c>
      <c r="AA273" s="384">
        <f t="shared" si="115"/>
        <v>27.14040258463141</v>
      </c>
      <c r="AB273" s="197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7.9102498997861107E-2</v>
      </c>
      <c r="AD273" s="230">
        <f>(INDEX(Models!$BJ273:$BT273,,AH273)*(1-AF273)+INDEX(Models!$BJ273:$BT273,,AH273+1)*AF273-ERP_i)*AE273*Ramure*Pc/MaxiM</f>
        <v>1.1864930945134251E-2</v>
      </c>
      <c r="AE273" s="304">
        <f t="shared" si="117"/>
        <v>0.7</v>
      </c>
      <c r="AF273" s="177">
        <f t="shared" si="118"/>
        <v>0.92772148354977579</v>
      </c>
      <c r="AG273" s="799">
        <f t="shared" si="124"/>
        <v>1</v>
      </c>
      <c r="AH273" s="176">
        <f t="shared" si="119"/>
        <v>7</v>
      </c>
      <c r="AI273" s="224">
        <f t="shared" si="120"/>
        <v>1.9277214835497758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46282</v>
      </c>
      <c r="B274" s="409">
        <f>'2025'!Wh/'2025'!Env_an*'2026'!Env_an</f>
        <v>45.197426266661331</v>
      </c>
      <c r="C274" s="829"/>
      <c r="D274" s="391">
        <f t="shared" si="102"/>
        <v>47.695458052249919</v>
      </c>
      <c r="E274" s="383">
        <f t="shared" si="100"/>
        <v>50.16654303336562</v>
      </c>
      <c r="F274" s="383">
        <f t="shared" si="103"/>
        <v>50.210233541506341</v>
      </c>
      <c r="G274" s="110">
        <f t="shared" si="101"/>
        <v>1.0329920945130591</v>
      </c>
      <c r="H274" s="412" t="b">
        <f>Wh_hp&gt;='2025'!Maxi_hp</f>
        <v>0</v>
      </c>
      <c r="I274" s="388">
        <f>IF(H274,Wh_hp,'2025'!Maxi_hp)</f>
        <v>50.210233541506355</v>
      </c>
      <c r="J274" s="85">
        <f>IF(H274,An,'2025'!An_max)</f>
        <v>2024</v>
      </c>
      <c r="K274" s="197">
        <f t="shared" si="104"/>
        <v>46282</v>
      </c>
      <c r="L274" s="147">
        <f>IF(t&lt;Tvie,1-EXP((T0-t)*PertePVj)+'2025'!Pspv,1-EXP((T0-t)*PertePVj)+Pspv)</f>
        <v>5.237462617199351E-2</v>
      </c>
      <c r="M274" s="832"/>
      <c r="N274" s="832"/>
      <c r="O274" s="48">
        <f>IF(t&lt;Tnet,'2025'!Resal+('2025'!Salim-'2025'!Resal)*(1-EXP(('2025'!Tnet-t)/('2025'!Tau_j))),Resal+(Salim-Resal)*(1-EXP((Tnet-t)/(Tau_j))))*Salcycl</f>
        <v>4.9257629322239559E-2</v>
      </c>
      <c r="P274" s="169">
        <f>(INDEX(Models!$BJ274:$BT274,,T274)*(1-R274)+INDEX(Models!$BJ274:$BT274,,T274+1)*R274-ERP_i)*Q274*Ramure*Pc/MaxiM</f>
        <v>8.7015146234295298E-4</v>
      </c>
      <c r="Q274" s="304">
        <f t="shared" si="105"/>
        <v>0.7</v>
      </c>
      <c r="R274" s="177">
        <f t="shared" si="106"/>
        <v>0.17234136834650338</v>
      </c>
      <c r="S274" s="799">
        <f t="shared" si="107"/>
        <v>-1</v>
      </c>
      <c r="T274" s="176">
        <f t="shared" si="108"/>
        <v>5</v>
      </c>
      <c r="U274" s="250">
        <f t="shared" si="109"/>
        <v>-0.82765863165349662</v>
      </c>
      <c r="V274" s="382">
        <f t="shared" si="110"/>
        <v>43.75389367134207</v>
      </c>
      <c r="W274" s="400">
        <f t="shared" si="111"/>
        <v>45.197426266661331</v>
      </c>
      <c r="X274" s="157">
        <f t="shared" si="112"/>
        <v>46282</v>
      </c>
      <c r="Y274" s="383">
        <f t="shared" si="113"/>
        <v>43.303407099746167</v>
      </c>
      <c r="Z274" s="383">
        <f t="shared" si="114"/>
        <v>45.696757701641822</v>
      </c>
      <c r="AA274" s="384">
        <f t="shared" si="115"/>
        <v>49.622476506652553</v>
      </c>
      <c r="AB274" s="197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7.911170665745472E-2</v>
      </c>
      <c r="AD274" s="230">
        <f>(INDEX(Models!$BJ274:$BT274,,AH274)*(1-AF274)+INDEX(Models!$BJ274:$BT274,,AH274+1)*AF274-ERP_i)*AE274*Ramure*Pc/MaxiM</f>
        <v>1.1705921151868772E-2</v>
      </c>
      <c r="AE274" s="304">
        <f t="shared" si="117"/>
        <v>0.7</v>
      </c>
      <c r="AF274" s="177">
        <f t="shared" si="118"/>
        <v>0.92799919918585427</v>
      </c>
      <c r="AG274" s="799">
        <f t="shared" si="124"/>
        <v>1</v>
      </c>
      <c r="AH274" s="176">
        <f t="shared" si="119"/>
        <v>7</v>
      </c>
      <c r="AI274" s="224">
        <f t="shared" si="120"/>
        <v>1.9279991991858543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46283</v>
      </c>
      <c r="B275" s="409">
        <f>'2025'!Wh/'2025'!Env_an*'2026'!Env_an</f>
        <v>44.483126770932081</v>
      </c>
      <c r="C275" s="829"/>
      <c r="D275" s="391">
        <f t="shared" si="102"/>
        <v>46.942579340768781</v>
      </c>
      <c r="E275" s="383">
        <f t="shared" si="100"/>
        <v>49.377255608879402</v>
      </c>
      <c r="F275" s="383">
        <f t="shared" si="103"/>
        <v>49.420439760582568</v>
      </c>
      <c r="G275" s="110">
        <f t="shared" si="101"/>
        <v>1.0218602561464745</v>
      </c>
      <c r="H275" s="412" t="b">
        <f>Wh_hp&gt;='2025'!Maxi_hp</f>
        <v>1</v>
      </c>
      <c r="I275" s="388">
        <f>IF(H275,Wh_hp,'2025'!Maxi_hp)</f>
        <v>49.420439760582568</v>
      </c>
      <c r="J275" s="85">
        <f>IF(H275,An,'2025'!An_max)</f>
        <v>2026</v>
      </c>
      <c r="K275" s="197">
        <f t="shared" si="104"/>
        <v>46283</v>
      </c>
      <c r="L275" s="147">
        <f>IF(t&lt;Tvie,1-EXP((T0-t)*PertePVj)+'2025'!Pspv,1-EXP((T0-t)*PertePVj)+Pspv)</f>
        <v>5.2392787196094859E-2</v>
      </c>
      <c r="M275" s="832"/>
      <c r="N275" s="832"/>
      <c r="O275" s="48">
        <f>IF(t&lt;Tnet,'2025'!Resal+('2025'!Salim-'2025'!Resal)*(1-EXP(('2025'!Tnet-t)/('2025'!Tau_j))),Resal+(Salim-Resal)*(1-EXP((Tnet-t)/(Tau_j))))*Salcycl</f>
        <v>4.9307646569016671E-2</v>
      </c>
      <c r="P275" s="169">
        <f>(INDEX(Models!$BJ275:$BT275,,T275)*(1-R275)+INDEX(Models!$BJ275:$BT275,,T275+1)*R275-ERP_i)*Q275*Ramure*Pc/MaxiM</f>
        <v>8.7381156283453673E-4</v>
      </c>
      <c r="Q275" s="304">
        <f t="shared" si="105"/>
        <v>0.7</v>
      </c>
      <c r="R275" s="177">
        <f t="shared" si="106"/>
        <v>0.1726082710743897</v>
      </c>
      <c r="S275" s="799">
        <f t="shared" si="107"/>
        <v>-1</v>
      </c>
      <c r="T275" s="176">
        <f t="shared" si="108"/>
        <v>5</v>
      </c>
      <c r="U275" s="250">
        <f t="shared" si="109"/>
        <v>-0.8273917289256103</v>
      </c>
      <c r="V275" s="382">
        <f t="shared" si="110"/>
        <v>43.531516666165189</v>
      </c>
      <c r="W275" s="400">
        <f t="shared" si="111"/>
        <v>44.483126770932081</v>
      </c>
      <c r="X275" s="157">
        <f t="shared" si="112"/>
        <v>46283</v>
      </c>
      <c r="Y275" s="383">
        <f t="shared" si="113"/>
        <v>42.629294491251542</v>
      </c>
      <c r="Z275" s="383">
        <f t="shared" si="114"/>
        <v>44.986249487395064</v>
      </c>
      <c r="AA275" s="384">
        <f t="shared" si="115"/>
        <v>48.851378693773434</v>
      </c>
      <c r="AB275" s="197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7.9120166302921985E-2</v>
      </c>
      <c r="AD275" s="230">
        <f>(INDEX(Models!$BJ275:$BT275,,AH275)*(1-AF275)+INDEX(Models!$BJ275:$BT275,,AH275+1)*AF275-ERP_i)*AE275*Ramure*Pc/MaxiM</f>
        <v>1.1514690471512415E-2</v>
      </c>
      <c r="AE275" s="304">
        <f t="shared" si="117"/>
        <v>0.7</v>
      </c>
      <c r="AF275" s="177">
        <f t="shared" si="118"/>
        <v>0.92826610191374059</v>
      </c>
      <c r="AG275" s="799">
        <f t="shared" si="124"/>
        <v>1</v>
      </c>
      <c r="AH275" s="176">
        <f t="shared" si="119"/>
        <v>7</v>
      </c>
      <c r="AI275" s="224">
        <f t="shared" si="120"/>
        <v>1.9282661019137406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46284</v>
      </c>
      <c r="B276" s="409">
        <f>'2025'!Wh/'2025'!Env_an*'2026'!Env_an</f>
        <v>42.889255223482344</v>
      </c>
      <c r="C276" s="829"/>
      <c r="D276" s="391">
        <f t="shared" si="102"/>
        <v>45.261450759875821</v>
      </c>
      <c r="E276" s="383">
        <f t="shared" si="100"/>
        <v>47.611412417064265</v>
      </c>
      <c r="F276" s="383">
        <f t="shared" si="103"/>
        <v>47.652494258532265</v>
      </c>
      <c r="G276" s="110">
        <f t="shared" si="101"/>
        <v>0.99036741442258525</v>
      </c>
      <c r="H276" s="412" t="b">
        <f>Wh_hp&gt;='2025'!Maxi_hp</f>
        <v>1</v>
      </c>
      <c r="I276" s="388">
        <f>IF(H276,Wh_hp,'2025'!Maxi_hp)</f>
        <v>47.652494258532265</v>
      </c>
      <c r="J276" s="85">
        <f>IF(H276,An,'2025'!An_max)</f>
        <v>2026</v>
      </c>
      <c r="K276" s="197">
        <f t="shared" si="104"/>
        <v>46284</v>
      </c>
      <c r="L276" s="147">
        <f>IF(t&lt;Tvie,1-EXP((T0-t)*PertePVj)+'2025'!Pspv,1-EXP((T0-t)*PertePVj)+Pspv)</f>
        <v>5.2410947872144287E-2</v>
      </c>
      <c r="M276" s="832"/>
      <c r="N276" s="832"/>
      <c r="O276" s="48">
        <f>IF(t&lt;Tnet,'2025'!Resal+('2025'!Salim-'2025'!Resal)*(1-EXP(('2025'!Tnet-t)/('2025'!Tau_j))),Resal+(Salim-Resal)*(1-EXP((Tnet-t)/(Tau_j))))*Salcycl</f>
        <v>4.9357108682333603E-2</v>
      </c>
      <c r="P276" s="169">
        <f>(INDEX(Models!$BJ276:$BT276,,T276)*(1-R276)+INDEX(Models!$BJ276:$BT276,,T276+1)*R276-ERP_i)*Q276*Ramure*Pc/MaxiM</f>
        <v>8.7412698807563674E-4</v>
      </c>
      <c r="Q276" s="304">
        <f t="shared" si="105"/>
        <v>0.7</v>
      </c>
      <c r="R276" s="177">
        <f t="shared" si="106"/>
        <v>0.17286476784979898</v>
      </c>
      <c r="S276" s="799">
        <f t="shared" si="107"/>
        <v>-1</v>
      </c>
      <c r="T276" s="176">
        <f t="shared" si="108"/>
        <v>5</v>
      </c>
      <c r="U276" s="250">
        <f t="shared" si="109"/>
        <v>-0.82713523215020102</v>
      </c>
      <c r="V276" s="382">
        <f t="shared" si="110"/>
        <v>43.305887178147927</v>
      </c>
      <c r="W276" s="400">
        <f t="shared" si="111"/>
        <v>42.889255223482344</v>
      </c>
      <c r="X276" s="157">
        <f t="shared" si="112"/>
        <v>46284</v>
      </c>
      <c r="Y276" s="383">
        <f t="shared" si="113"/>
        <v>41.117867053654336</v>
      </c>
      <c r="Z276" s="383">
        <f t="shared" si="114"/>
        <v>43.392087489109585</v>
      </c>
      <c r="AA276" s="384">
        <f t="shared" si="115"/>
        <v>47.120642706358744</v>
      </c>
      <c r="AB276" s="197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7.9127851470200822E-2</v>
      </c>
      <c r="AD276" s="230">
        <f>(INDEX(Models!$BJ276:$BT276,,AH276)*(1-AF276)+INDEX(Models!$BJ276:$BT276,,AH276+1)*AF276-ERP_i)*AE276*Ramure*Pc/MaxiM</f>
        <v>1.1316576345949582E-2</v>
      </c>
      <c r="AE276" s="304">
        <f t="shared" si="117"/>
        <v>0.7</v>
      </c>
      <c r="AF276" s="177">
        <f t="shared" si="118"/>
        <v>0.92852259868914988</v>
      </c>
      <c r="AG276" s="799">
        <f t="shared" si="124"/>
        <v>1</v>
      </c>
      <c r="AH276" s="176">
        <f t="shared" si="119"/>
        <v>7</v>
      </c>
      <c r="AI276" s="224">
        <f t="shared" si="120"/>
        <v>1.9285225986891499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46285</v>
      </c>
      <c r="B277" s="409">
        <f>'2025'!Wh/'2025'!Env_an*'2026'!Env_an</f>
        <v>42.88716880346152</v>
      </c>
      <c r="C277" s="829"/>
      <c r="D277" s="391">
        <f t="shared" si="102"/>
        <v>45.260116340213905</v>
      </c>
      <c r="E277" s="383">
        <f t="shared" si="100"/>
        <v>47.612457298342065</v>
      </c>
      <c r="F277" s="383">
        <f t="shared" si="103"/>
        <v>47.653729975137772</v>
      </c>
      <c r="G277" s="110">
        <f t="shared" si="101"/>
        <v>0.99558361205394652</v>
      </c>
      <c r="H277" s="412" t="b">
        <f>Wh_hp&gt;='2025'!Maxi_hp</f>
        <v>0</v>
      </c>
      <c r="I277" s="388">
        <f>IF(H277,Wh_hp,'2025'!Maxi_hp)</f>
        <v>48.889969383535792</v>
      </c>
      <c r="J277" s="85">
        <f>IF(H277,An,'2025'!An_max)</f>
        <v>2018</v>
      </c>
      <c r="K277" s="197">
        <f t="shared" si="104"/>
        <v>46285</v>
      </c>
      <c r="L277" s="147">
        <f>IF(t&lt;Tvie,1-EXP((T0-t)*PertePVj)+'2025'!Pspv,1-EXP((T0-t)*PertePVj)+Pspv)</f>
        <v>5.2429108200148455E-2</v>
      </c>
      <c r="M277" s="832"/>
      <c r="N277" s="832"/>
      <c r="O277" s="48">
        <f>IF(t&lt;Tnet,'2025'!Resal+('2025'!Salim-'2025'!Resal)*(1-EXP(('2025'!Tnet-t)/('2025'!Tau_j))),Resal+(Salim-Resal)*(1-EXP((Tnet-t)/(Tau_j))))*Salcycl</f>
        <v>4.9405997749460293E-2</v>
      </c>
      <c r="P277" s="169">
        <f>(INDEX(Models!$BJ277:$BT277,,T277)*(1-R277)+INDEX(Models!$BJ277:$BT277,,T277+1)*R277-ERP_i)*Q277*Ramure*Pc/MaxiM</f>
        <v>8.7158755111514565E-4</v>
      </c>
      <c r="Q277" s="304">
        <f t="shared" si="105"/>
        <v>0.7</v>
      </c>
      <c r="R277" s="177">
        <f t="shared" si="106"/>
        <v>0.17311125140584593</v>
      </c>
      <c r="S277" s="799">
        <f t="shared" si="107"/>
        <v>-1</v>
      </c>
      <c r="T277" s="176">
        <f t="shared" si="108"/>
        <v>5</v>
      </c>
      <c r="U277" s="250">
        <f t="shared" si="109"/>
        <v>-0.82688874859415407</v>
      </c>
      <c r="V277" s="382">
        <f t="shared" si="110"/>
        <v>43.07717858916596</v>
      </c>
      <c r="W277" s="400">
        <f t="shared" si="111"/>
        <v>42.88716880346152</v>
      </c>
      <c r="X277" s="157">
        <f t="shared" si="112"/>
        <v>46285</v>
      </c>
      <c r="Y277" s="383">
        <f t="shared" si="113"/>
        <v>41.122006709529948</v>
      </c>
      <c r="Z277" s="383">
        <f t="shared" si="114"/>
        <v>43.397287807586906</v>
      </c>
      <c r="AA277" s="384">
        <f t="shared" si="115"/>
        <v>47.126642160493184</v>
      </c>
      <c r="AB277" s="197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7.9134735299105224E-2</v>
      </c>
      <c r="AD277" s="230">
        <f>(INDEX(Models!$BJ277:$BT277,,AH277)*(1-AF277)+INDEX(Models!$BJ277:$BT277,,AH277+1)*AF277-ERP_i)*AE277*Ramure*Pc/MaxiM</f>
        <v>1.113092760769272E-2</v>
      </c>
      <c r="AE277" s="304">
        <f t="shared" si="117"/>
        <v>0.7</v>
      </c>
      <c r="AF277" s="177">
        <f t="shared" si="118"/>
        <v>0.92876908224519683</v>
      </c>
      <c r="AG277" s="799">
        <f t="shared" si="124"/>
        <v>1</v>
      </c>
      <c r="AH277" s="176">
        <f t="shared" si="119"/>
        <v>7</v>
      </c>
      <c r="AI277" s="224">
        <f t="shared" si="120"/>
        <v>1.9287690822451968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46286</v>
      </c>
      <c r="B278" s="409">
        <f>'2025'!Wh/'2025'!Env_an*'2026'!Env_an</f>
        <v>44.317426552818041</v>
      </c>
      <c r="C278" s="829"/>
      <c r="D278" s="391">
        <f t="shared" si="102"/>
        <v>46.770406611251325</v>
      </c>
      <c r="E278" s="383">
        <f t="shared" si="100"/>
        <v>49.203743066658916</v>
      </c>
      <c r="F278" s="383">
        <f t="shared" si="103"/>
        <v>49.246397473223013</v>
      </c>
      <c r="G278" s="110">
        <f t="shared" si="101"/>
        <v>1.0343521668497799</v>
      </c>
      <c r="H278" s="412" t="b">
        <f>Wh_hp&gt;='2025'!Maxi_hp</f>
        <v>1</v>
      </c>
      <c r="I278" s="388">
        <f>IF(H278,Wh_hp,'2025'!Maxi_hp)</f>
        <v>49.246397473223013</v>
      </c>
      <c r="J278" s="85">
        <f>IF(H278,An,'2025'!An_max)</f>
        <v>2026</v>
      </c>
      <c r="K278" s="197">
        <f t="shared" si="104"/>
        <v>46286</v>
      </c>
      <c r="L278" s="147">
        <f>IF(t&lt;Tvie,1-EXP((T0-t)*PertePVj)+'2025'!Pspv,1-EXP((T0-t)*PertePVj)+Pspv)</f>
        <v>5.2447268180114137E-2</v>
      </c>
      <c r="M278" s="832"/>
      <c r="N278" s="832"/>
      <c r="O278" s="48">
        <f>IF(t&lt;Tnet,'2025'!Resal+('2025'!Salim-'2025'!Resal)*(1-EXP(('2025'!Tnet-t)/('2025'!Tau_j))),Resal+(Salim-Resal)*(1-EXP((Tnet-t)/(Tau_j))))*Salcycl</f>
        <v>4.9454295623628082E-2</v>
      </c>
      <c r="P278" s="169">
        <f>(INDEX(Models!$BJ278:$BT278,,T278)*(1-R278)+INDEX(Models!$BJ278:$BT278,,T278+1)*R278-ERP_i)*Q278*Ramure*Pc/MaxiM</f>
        <v>8.6614267748805229E-4</v>
      </c>
      <c r="Q278" s="304">
        <f t="shared" si="105"/>
        <v>0.7</v>
      </c>
      <c r="R278" s="177">
        <f t="shared" si="106"/>
        <v>0.17334810066391615</v>
      </c>
      <c r="S278" s="799">
        <f t="shared" si="107"/>
        <v>-1</v>
      </c>
      <c r="T278" s="176">
        <f t="shared" si="108"/>
        <v>5</v>
      </c>
      <c r="U278" s="250">
        <f t="shared" si="109"/>
        <v>-0.82665189933608385</v>
      </c>
      <c r="V278" s="382">
        <f t="shared" si="110"/>
        <v>42.845587772867603</v>
      </c>
      <c r="W278" s="400">
        <f t="shared" si="111"/>
        <v>44.317426552818041</v>
      </c>
      <c r="X278" s="157">
        <f t="shared" si="112"/>
        <v>46286</v>
      </c>
      <c r="Y278" s="383">
        <f t="shared" si="113"/>
        <v>42.499702289720659</v>
      </c>
      <c r="Z278" s="383">
        <f t="shared" si="114"/>
        <v>44.85207087957523</v>
      </c>
      <c r="AA278" s="384">
        <f t="shared" si="115"/>
        <v>48.706762579897529</v>
      </c>
      <c r="AB278" s="197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7.9140790644813275E-2</v>
      </c>
      <c r="AD278" s="230">
        <f>(INDEX(Models!$BJ278:$BT278,,AH278)*(1-AF278)+INDEX(Models!$BJ278:$BT278,,AH278+1)*AF278-ERP_i)*AE278*Ramure*Pc/MaxiM</f>
        <v>1.0957855214057028E-2</v>
      </c>
      <c r="AE278" s="304">
        <f t="shared" si="117"/>
        <v>0.7</v>
      </c>
      <c r="AF278" s="177">
        <f t="shared" si="118"/>
        <v>0.92900593150326705</v>
      </c>
      <c r="AG278" s="799">
        <f t="shared" si="124"/>
        <v>1</v>
      </c>
      <c r="AH278" s="176">
        <f t="shared" si="119"/>
        <v>7</v>
      </c>
      <c r="AI278" s="224">
        <f t="shared" si="120"/>
        <v>1.929005931503267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46287</v>
      </c>
      <c r="B279" s="409">
        <f>'2025'!Wh/'2025'!Env_an*'2026'!Env_an</f>
        <v>43.155684122429363</v>
      </c>
      <c r="C279" s="829"/>
      <c r="D279" s="391">
        <f t="shared" si="102"/>
        <v>45.54523432615084</v>
      </c>
      <c r="E279" s="383">
        <f t="shared" si="100"/>
        <v>47.91723239771634</v>
      </c>
      <c r="F279" s="383">
        <f t="shared" si="103"/>
        <v>47.958368246020804</v>
      </c>
      <c r="G279" s="110">
        <f t="shared" si="101"/>
        <v>1.0127753085273883</v>
      </c>
      <c r="H279" s="412" t="b">
        <f>Wh_hp&gt;='2025'!Maxi_hp</f>
        <v>1</v>
      </c>
      <c r="I279" s="388">
        <f>IF(H279,Wh_hp,'2025'!Maxi_hp)</f>
        <v>47.958368246020804</v>
      </c>
      <c r="J279" s="85">
        <f>IF(H279,An,'2025'!An_max)</f>
        <v>2026</v>
      </c>
      <c r="K279" s="197">
        <f t="shared" si="104"/>
        <v>46287</v>
      </c>
      <c r="L279" s="147">
        <f>IF(t&lt;Tvie,1-EXP((T0-t)*PertePVj)+'2025'!Pspv,1-EXP((T0-t)*PertePVj)+Pspv)</f>
        <v>5.2465427812047993E-2</v>
      </c>
      <c r="M279" s="832"/>
      <c r="N279" s="832"/>
      <c r="O279" s="48">
        <f>IF(t&lt;Tnet,'2025'!Resal+('2025'!Salim-'2025'!Resal)*(1-EXP(('2025'!Tnet-t)/('2025'!Tau_j))),Resal+(Salim-Resal)*(1-EXP((Tnet-t)/(Tau_j))))*Salcycl</f>
        <v>4.9501984001867061E-2</v>
      </c>
      <c r="P279" s="169">
        <f>(INDEX(Models!$BJ279:$BT279,,T279)*(1-R279)+INDEX(Models!$BJ279:$BT279,,T279+1)*R279-ERP_i)*Q279*Ramure*Pc/MaxiM</f>
        <v>8.5774078245203173E-4</v>
      </c>
      <c r="Q279" s="304">
        <f t="shared" si="105"/>
        <v>0.7</v>
      </c>
      <c r="R279" s="177">
        <f t="shared" si="106"/>
        <v>0.17357568113976418</v>
      </c>
      <c r="S279" s="799">
        <f t="shared" si="107"/>
        <v>-1</v>
      </c>
      <c r="T279" s="176">
        <f t="shared" si="108"/>
        <v>5</v>
      </c>
      <c r="U279" s="250">
        <f t="shared" si="109"/>
        <v>-0.82642431886023582</v>
      </c>
      <c r="V279" s="382">
        <f t="shared" si="110"/>
        <v>42.611311471622734</v>
      </c>
      <c r="W279" s="400">
        <f t="shared" si="111"/>
        <v>43.155684122429363</v>
      </c>
      <c r="X279" s="157">
        <f t="shared" si="112"/>
        <v>46287</v>
      </c>
      <c r="Y279" s="383">
        <f t="shared" si="113"/>
        <v>41.393815665695818</v>
      </c>
      <c r="Z279" s="383">
        <f t="shared" si="114"/>
        <v>43.685810397517592</v>
      </c>
      <c r="AA279" s="384">
        <f t="shared" si="115"/>
        <v>47.440538818044168</v>
      </c>
      <c r="AB279" s="197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7.9145990203181513E-2</v>
      </c>
      <c r="AD279" s="230">
        <f>(INDEX(Models!$BJ279:$BT279,,AH279)*(1-AF279)+INDEX(Models!$BJ279:$BT279,,AH279+1)*AF279-ERP_i)*AE279*Ramure*Pc/MaxiM</f>
        <v>1.0797478040124984E-2</v>
      </c>
      <c r="AE279" s="304">
        <f t="shared" si="117"/>
        <v>0.7</v>
      </c>
      <c r="AF279" s="177">
        <f t="shared" si="118"/>
        <v>0.92923351197911508</v>
      </c>
      <c r="AG279" s="799">
        <f t="shared" si="124"/>
        <v>1</v>
      </c>
      <c r="AH279" s="176">
        <f t="shared" si="119"/>
        <v>7</v>
      </c>
      <c r="AI279" s="224">
        <f t="shared" si="120"/>
        <v>1.9292335119791151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46288</v>
      </c>
      <c r="B280" s="409">
        <f>'2025'!Wh/'2025'!Env_an*'2026'!Env_an</f>
        <v>32.469360860669106</v>
      </c>
      <c r="C280" s="829"/>
      <c r="D280" s="391">
        <f t="shared" si="102"/>
        <v>34.267861135147783</v>
      </c>
      <c r="E280" s="383">
        <f t="shared" si="100"/>
        <v>36.054318150001734</v>
      </c>
      <c r="F280" s="383">
        <f t="shared" si="103"/>
        <v>36.074653971210275</v>
      </c>
      <c r="G280" s="110">
        <f t="shared" si="101"/>
        <v>0.76603013394198671</v>
      </c>
      <c r="H280" s="412" t="b">
        <f>Wh_hp&gt;='2025'!Maxi_hp</f>
        <v>0</v>
      </c>
      <c r="I280" s="388">
        <f>IF(H280,Wh_hp,'2025'!Maxi_hp)</f>
        <v>41.960409852229127</v>
      </c>
      <c r="J280" s="85">
        <f>IF(H280,An,'2025'!An_max)</f>
        <v>2021</v>
      </c>
      <c r="K280" s="197">
        <f t="shared" si="104"/>
        <v>46288</v>
      </c>
      <c r="L280" s="147">
        <f>IF(t&lt;Tvie,1-EXP((T0-t)*PertePVj)+'2025'!Pspv,1-EXP((T0-t)*PertePVj)+Pspv)</f>
        <v>5.2483587095956574E-2</v>
      </c>
      <c r="M280" s="832"/>
      <c r="N280" s="832"/>
      <c r="O280" s="48">
        <f>IF(t&lt;Tnet,'2025'!Resal+('2025'!Salim-'2025'!Resal)*(1-EXP(('2025'!Tnet-t)/('2025'!Tau_j))),Resal+(Salim-Resal)*(1-EXP((Tnet-t)/(Tau_j))))*Salcycl</f>
        <v>4.9549044511714449E-2</v>
      </c>
      <c r="P280" s="169">
        <f>(INDEX(Models!$BJ280:$BT280,,T280)*(1-R280)+INDEX(Models!$BJ280:$BT280,,T280+1)*R280-ERP_i)*Q280*Ramure*Pc/MaxiM</f>
        <v>8.4633383911055817E-4</v>
      </c>
      <c r="Q280" s="304">
        <f t="shared" si="105"/>
        <v>0.7</v>
      </c>
      <c r="R280" s="177">
        <f t="shared" si="106"/>
        <v>0.17379434534421645</v>
      </c>
      <c r="S280" s="799">
        <f t="shared" si="107"/>
        <v>-1</v>
      </c>
      <c r="T280" s="176">
        <f t="shared" si="108"/>
        <v>5</v>
      </c>
      <c r="U280" s="250">
        <f t="shared" si="109"/>
        <v>-0.82620565465578355</v>
      </c>
      <c r="V280" s="382">
        <f t="shared" si="110"/>
        <v>42.374546106448939</v>
      </c>
      <c r="W280" s="400">
        <f t="shared" si="111"/>
        <v>32.469360860669106</v>
      </c>
      <c r="X280" s="157">
        <f t="shared" si="112"/>
        <v>46288</v>
      </c>
      <c r="Y280" s="383">
        <f t="shared" si="113"/>
        <v>31.252587098103017</v>
      </c>
      <c r="Z280" s="383">
        <f t="shared" si="114"/>
        <v>32.983689435328039</v>
      </c>
      <c r="AA280" s="384">
        <f t="shared" si="115"/>
        <v>35.818754866843861</v>
      </c>
      <c r="AB280" s="197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7.9150306649552055E-2</v>
      </c>
      <c r="AD280" s="230">
        <f>(INDEX(Models!$BJ280:$BT280,,AH280)*(1-AF280)+INDEX(Models!$BJ280:$BT280,,AH280+1)*AF280-ERP_i)*AE280*Ramure*Pc/MaxiM</f>
        <v>1.0649979128082038E-2</v>
      </c>
      <c r="AE280" s="304">
        <f t="shared" si="117"/>
        <v>0.7</v>
      </c>
      <c r="AF280" s="177">
        <f t="shared" si="118"/>
        <v>0.92945217618356724</v>
      </c>
      <c r="AG280" s="799">
        <f t="shared" si="124"/>
        <v>1</v>
      </c>
      <c r="AH280" s="176">
        <f t="shared" si="119"/>
        <v>7</v>
      </c>
      <c r="AI280" s="224">
        <f t="shared" si="120"/>
        <v>1.9294521761835672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46289</v>
      </c>
      <c r="B281" s="409">
        <f>'2025'!Wh/'2025'!Env_an*'2026'!Env_an</f>
        <v>21.78360033963337</v>
      </c>
      <c r="C281" s="829"/>
      <c r="D281" s="391">
        <f t="shared" si="102"/>
        <v>22.990649585266198</v>
      </c>
      <c r="E281" s="383">
        <f t="shared" si="100"/>
        <v>24.190382714707663</v>
      </c>
      <c r="F281" s="383">
        <f t="shared" si="103"/>
        <v>24.196622230562699</v>
      </c>
      <c r="G281" s="110">
        <f t="shared" si="101"/>
        <v>0.51669256143296383</v>
      </c>
      <c r="H281" s="412" t="b">
        <f>Wh_hp&gt;='2025'!Maxi_hp</f>
        <v>0</v>
      </c>
      <c r="I281" s="388">
        <f>IF(H281,Wh_hp,'2025'!Maxi_hp)</f>
        <v>41.038887067631343</v>
      </c>
      <c r="J281" s="85">
        <f>IF(H281,An,'2025'!An_max)</f>
        <v>2021</v>
      </c>
      <c r="K281" s="197">
        <f t="shared" si="104"/>
        <v>46289</v>
      </c>
      <c r="L281" s="147">
        <f>IF(t&lt;Tvie,1-EXP((T0-t)*PertePVj)+'2025'!Pspv,1-EXP((T0-t)*PertePVj)+Pspv)</f>
        <v>5.2501746031846652E-2</v>
      </c>
      <c r="M281" s="832"/>
      <c r="N281" s="832"/>
      <c r="O281" s="48">
        <f>IF(t&lt;Tnet,'2025'!Resal+('2025'!Salim-'2025'!Resal)*(1-EXP(('2025'!Tnet-t)/('2025'!Tau_j))),Resal+(Salim-Resal)*(1-EXP((Tnet-t)/(Tau_j))))*Salcycl</f>
        <v>4.9595458806529519E-2</v>
      </c>
      <c r="P281" s="169">
        <f>(INDEX(Models!$BJ281:$BT281,,T281)*(1-R281)+INDEX(Models!$BJ281:$BT281,,T281+1)*R281-ERP_i)*Q281*Ramure*Pc/MaxiM</f>
        <v>8.3187042910758493E-4</v>
      </c>
      <c r="Q281" s="304">
        <f t="shared" si="105"/>
        <v>0.7</v>
      </c>
      <c r="R281" s="177">
        <f t="shared" si="106"/>
        <v>0.17400443317792536</v>
      </c>
      <c r="S281" s="799">
        <f t="shared" si="107"/>
        <v>-1</v>
      </c>
      <c r="T281" s="176">
        <f t="shared" si="108"/>
        <v>5</v>
      </c>
      <c r="U281" s="250">
        <f t="shared" si="109"/>
        <v>-0.82599556682207464</v>
      </c>
      <c r="V281" s="382">
        <f t="shared" si="110"/>
        <v>42.135488069965312</v>
      </c>
      <c r="W281" s="400">
        <f t="shared" si="111"/>
        <v>21.78360033963337</v>
      </c>
      <c r="X281" s="157">
        <f t="shared" si="112"/>
        <v>46289</v>
      </c>
      <c r="Y281" s="383">
        <f t="shared" si="113"/>
        <v>21.042742611089228</v>
      </c>
      <c r="Z281" s="383">
        <f t="shared" si="114"/>
        <v>22.208740251458554</v>
      </c>
      <c r="AA281" s="384">
        <f t="shared" si="115"/>
        <v>24.117749683022929</v>
      </c>
      <c r="AB281" s="197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7.9153712790549932E-2</v>
      </c>
      <c r="AD281" s="230">
        <f>(INDEX(Models!$BJ281:$BT281,,AH281)*(1-AF281)+INDEX(Models!$BJ281:$BT281,,AH281+1)*AF281-ERP_i)*AE281*Ramure*Pc/MaxiM</f>
        <v>1.0515517788731037E-2</v>
      </c>
      <c r="AE281" s="304">
        <f t="shared" si="117"/>
        <v>0.7</v>
      </c>
      <c r="AF281" s="177">
        <f t="shared" si="118"/>
        <v>0.92966226401727625</v>
      </c>
      <c r="AG281" s="799">
        <f t="shared" si="124"/>
        <v>1</v>
      </c>
      <c r="AH281" s="176">
        <f t="shared" si="119"/>
        <v>7</v>
      </c>
      <c r="AI281" s="224">
        <f t="shared" si="120"/>
        <v>1.9296622640172763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46290</v>
      </c>
      <c r="B282" s="409">
        <f>'2025'!Wh/'2025'!Env_an*'2026'!Env_an</f>
        <v>32.969219166298778</v>
      </c>
      <c r="C282" s="829"/>
      <c r="D282" s="391">
        <f t="shared" si="102"/>
        <v>34.796740667218387</v>
      </c>
      <c r="E282" s="383">
        <f t="shared" si="100"/>
        <v>36.614319754422695</v>
      </c>
      <c r="F282" s="383">
        <f t="shared" si="103"/>
        <v>36.635114347240354</v>
      </c>
      <c r="G282" s="110">
        <f t="shared" si="101"/>
        <v>0.78676705652028511</v>
      </c>
      <c r="H282" s="412" t="b">
        <f>Wh_hp&gt;='2025'!Maxi_hp</f>
        <v>1</v>
      </c>
      <c r="I282" s="388">
        <f>IF(H282,Wh_hp,'2025'!Maxi_hp)</f>
        <v>36.635114347240354</v>
      </c>
      <c r="J282" s="85">
        <f>IF(H282,An,'2025'!An_max)</f>
        <v>2026</v>
      </c>
      <c r="K282" s="197">
        <f t="shared" si="104"/>
        <v>46290</v>
      </c>
      <c r="L282" s="147">
        <f>IF(t&lt;Tvie,1-EXP((T0-t)*PertePVj)+'2025'!Pspv,1-EXP((T0-t)*PertePVj)+Pspv)</f>
        <v>5.2519904619724889E-2</v>
      </c>
      <c r="M282" s="832"/>
      <c r="N282" s="832"/>
      <c r="O282" s="48">
        <f>IF(t&lt;Tnet,'2025'!Resal+('2025'!Salim-'2025'!Resal)*(1-EXP(('2025'!Tnet-t)/('2025'!Tau_j))),Resal+(Salim-Resal)*(1-EXP((Tnet-t)/(Tau_j))))*Salcycl</f>
        <v>4.9641208669041592E-2</v>
      </c>
      <c r="P282" s="169">
        <f>(INDEX(Models!$BJ282:$BT282,,T282)*(1-R282)+INDEX(Models!$BJ282:$BT282,,T282+1)*R282-ERP_i)*Q282*Ramure*Pc/MaxiM</f>
        <v>8.1593453192140627E-4</v>
      </c>
      <c r="Q282" s="304">
        <f t="shared" si="105"/>
        <v>0.7</v>
      </c>
      <c r="R282" s="177">
        <f t="shared" si="106"/>
        <v>0.17420627231969998</v>
      </c>
      <c r="S282" s="799">
        <f t="shared" si="107"/>
        <v>-1</v>
      </c>
      <c r="T282" s="176">
        <f t="shared" si="108"/>
        <v>5</v>
      </c>
      <c r="U282" s="250">
        <f t="shared" si="109"/>
        <v>-0.82579372768030002</v>
      </c>
      <c r="V282" s="382">
        <f t="shared" si="110"/>
        <v>41.89426501727047</v>
      </c>
      <c r="W282" s="400">
        <f t="shared" si="111"/>
        <v>32.969219166298778</v>
      </c>
      <c r="X282" s="157">
        <f t="shared" si="112"/>
        <v>46290</v>
      </c>
      <c r="Y282" s="383">
        <f t="shared" si="113"/>
        <v>31.730821777907828</v>
      </c>
      <c r="Z282" s="383">
        <f t="shared" si="114"/>
        <v>33.489697496149013</v>
      </c>
      <c r="AA282" s="384">
        <f t="shared" si="115"/>
        <v>36.368488153616539</v>
      </c>
      <c r="AB282" s="197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7.9156181728199007E-2</v>
      </c>
      <c r="AD282" s="230">
        <f>(INDEX(Models!$BJ282:$BT282,,AH282)*(1-AF282)+INDEX(Models!$BJ282:$BT282,,AH282+1)*AF282-ERP_i)*AE282*Ramure*Pc/MaxiM</f>
        <v>1.0461831130815074E-2</v>
      </c>
      <c r="AE282" s="304">
        <f t="shared" si="117"/>
        <v>0.7</v>
      </c>
      <c r="AF282" s="177">
        <f t="shared" si="118"/>
        <v>0.92986410315905088</v>
      </c>
      <c r="AG282" s="799">
        <f t="shared" si="124"/>
        <v>1</v>
      </c>
      <c r="AH282" s="176">
        <f t="shared" si="119"/>
        <v>7</v>
      </c>
      <c r="AI282" s="224">
        <f t="shared" si="120"/>
        <v>1.9298641031590509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46291</v>
      </c>
      <c r="B283" s="409">
        <f>'2025'!Wh/'2025'!Env_an*'2026'!Env_an</f>
        <v>34.314412445235291</v>
      </c>
      <c r="C283" s="829"/>
      <c r="D283" s="391">
        <f t="shared" si="102"/>
        <v>36.21719364136348</v>
      </c>
      <c r="E283" s="383">
        <f t="shared" si="100"/>
        <v>38.110776190408643</v>
      </c>
      <c r="F283" s="383">
        <f t="shared" si="103"/>
        <v>38.133600669931432</v>
      </c>
      <c r="G283" s="110">
        <f t="shared" si="101"/>
        <v>0.82368938492318744</v>
      </c>
      <c r="H283" s="412" t="b">
        <f>Wh_hp&gt;='2025'!Maxi_hp</f>
        <v>0</v>
      </c>
      <c r="I283" s="388">
        <f>IF(H283,Wh_hp,'2025'!Maxi_hp)</f>
        <v>39.791402666859739</v>
      </c>
      <c r="J283" s="85">
        <f>IF(H283,An,'2025'!An_max)</f>
        <v>2018</v>
      </c>
      <c r="K283" s="197">
        <f t="shared" si="104"/>
        <v>46291</v>
      </c>
      <c r="L283" s="147">
        <f>IF(t&lt;Tvie,1-EXP((T0-t)*PertePVj)+'2025'!Pspv,1-EXP((T0-t)*PertePVj)+Pspv)</f>
        <v>5.2538062859597945E-2</v>
      </c>
      <c r="M283" s="832"/>
      <c r="N283" s="832"/>
      <c r="O283" s="48">
        <f>IF(t&lt;Tnet,'2025'!Resal+('2025'!Salim-'2025'!Resal)*(1-EXP(('2025'!Tnet-t)/('2025'!Tau_j))),Resal+(Salim-Resal)*(1-EXP((Tnet-t)/(Tau_j))))*Salcycl</f>
        <v>4.9686276122650148E-2</v>
      </c>
      <c r="P283" s="169">
        <f>(INDEX(Models!$BJ283:$BT283,,T283)*(1-R283)+INDEX(Models!$BJ283:$BT283,,T283+1)*R283-ERP_i)*Q283*Ramure*Pc/MaxiM</f>
        <v>7.9979700563022566E-4</v>
      </c>
      <c r="Q283" s="304">
        <f t="shared" si="105"/>
        <v>0.7</v>
      </c>
      <c r="R283" s="177">
        <f t="shared" si="106"/>
        <v>0.17440017860800228</v>
      </c>
      <c r="S283" s="799">
        <f t="shared" si="107"/>
        <v>-1</v>
      </c>
      <c r="T283" s="176">
        <f t="shared" si="108"/>
        <v>5</v>
      </c>
      <c r="U283" s="250">
        <f t="shared" si="109"/>
        <v>-0.82559982139199772</v>
      </c>
      <c r="V283" s="382">
        <f t="shared" si="110"/>
        <v>41.651019080806094</v>
      </c>
      <c r="W283" s="400">
        <f t="shared" si="111"/>
        <v>34.314412445235291</v>
      </c>
      <c r="X283" s="157">
        <f t="shared" si="112"/>
        <v>46291</v>
      </c>
      <c r="Y283" s="383">
        <f t="shared" si="113"/>
        <v>33.0086661767807</v>
      </c>
      <c r="Z283" s="383">
        <f t="shared" si="114"/>
        <v>34.839041952868683</v>
      </c>
      <c r="AA283" s="384">
        <f t="shared" si="115"/>
        <v>37.833884762213906</v>
      </c>
      <c r="AB283" s="197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7.915768703551912E-2</v>
      </c>
      <c r="AD283" s="230">
        <f>(INDEX(Models!$BJ283:$BT283,,AH283)*(1-AF283)+INDEX(Models!$BJ283:$BT283,,AH283+1)*AF283-ERP_i)*AE283*Ramure*Pc/MaxiM</f>
        <v>1.0502403145399937E-2</v>
      </c>
      <c r="AE283" s="304">
        <f t="shared" si="117"/>
        <v>0.7</v>
      </c>
      <c r="AF283" s="177">
        <f t="shared" si="118"/>
        <v>0.93005800944735317</v>
      </c>
      <c r="AG283" s="799">
        <f t="shared" si="124"/>
        <v>1</v>
      </c>
      <c r="AH283" s="176">
        <f t="shared" si="119"/>
        <v>7</v>
      </c>
      <c r="AI283" s="224">
        <f t="shared" si="120"/>
        <v>1.9300580094473532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46292</v>
      </c>
      <c r="B284" s="409">
        <f>'2025'!Wh/'2025'!Env_an*'2026'!Env_an</f>
        <v>14.696386858452144</v>
      </c>
      <c r="C284" s="829"/>
      <c r="D284" s="391">
        <f t="shared" si="102"/>
        <v>15.511618926991844</v>
      </c>
      <c r="E284" s="383">
        <f t="shared" si="100"/>
        <v>16.323391701209982</v>
      </c>
      <c r="F284" s="383">
        <f t="shared" si="103"/>
        <v>16.324395383068953</v>
      </c>
      <c r="G284" s="110">
        <f t="shared" si="101"/>
        <v>0.35467794212779125</v>
      </c>
      <c r="H284" s="412" t="b">
        <f>Wh_hp&gt;='2025'!Maxi_hp</f>
        <v>0</v>
      </c>
      <c r="I284" s="388">
        <f>IF(H284,Wh_hp,'2025'!Maxi_hp)</f>
        <v>40.257199501289676</v>
      </c>
      <c r="J284" s="85">
        <f>IF(H284,An,'2025'!An_max)</f>
        <v>2018</v>
      </c>
      <c r="K284" s="197">
        <f t="shared" si="104"/>
        <v>46292</v>
      </c>
      <c r="L284" s="147">
        <f>IF(t&lt;Tvie,1-EXP((T0-t)*PertePVj)+'2025'!Pspv,1-EXP((T0-t)*PertePVj)+Pspv)</f>
        <v>5.2556220751472371E-2</v>
      </c>
      <c r="M284" s="832"/>
      <c r="N284" s="832"/>
      <c r="O284" s="48">
        <f>IF(t&lt;Tnet,'2025'!Resal+('2025'!Salim-'2025'!Resal)*(1-EXP(('2025'!Tnet-t)/('2025'!Tau_j))),Resal+(Salim-Resal)*(1-EXP((Tnet-t)/(Tau_j))))*Salcycl</f>
        <v>4.973064354989188E-2</v>
      </c>
      <c r="P284" s="169">
        <f>(INDEX(Models!$BJ284:$BT284,,T284)*(1-R284)+INDEX(Models!$BJ284:$BT284,,T284+1)*R284-ERP_i)*Q284*Ramure*Pc/MaxiM</f>
        <v>7.8345512146379438E-4</v>
      </c>
      <c r="Q284" s="304">
        <f t="shared" si="105"/>
        <v>0.7</v>
      </c>
      <c r="R284" s="177">
        <f t="shared" si="106"/>
        <v>0.17458645641525772</v>
      </c>
      <c r="S284" s="799">
        <f t="shared" si="107"/>
        <v>-1</v>
      </c>
      <c r="T284" s="176">
        <f t="shared" si="108"/>
        <v>5</v>
      </c>
      <c r="U284" s="250">
        <f t="shared" si="109"/>
        <v>-0.82541354358474228</v>
      </c>
      <c r="V284" s="382">
        <f t="shared" si="110"/>
        <v>41.405946319925121</v>
      </c>
      <c r="W284" s="400">
        <f t="shared" si="111"/>
        <v>14.696386858452144</v>
      </c>
      <c r="X284" s="157">
        <f t="shared" si="112"/>
        <v>46292</v>
      </c>
      <c r="Y284" s="383">
        <f t="shared" si="113"/>
        <v>14.230260103891064</v>
      </c>
      <c r="Z284" s="383">
        <f t="shared" si="114"/>
        <v>15.019635376336424</v>
      </c>
      <c r="AA284" s="384">
        <f t="shared" si="115"/>
        <v>16.310766327432784</v>
      </c>
      <c r="AB284" s="197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7.9158202942606712E-2</v>
      </c>
      <c r="AD284" s="230">
        <f>(INDEX(Models!$BJ284:$BT284,,AH284)*(1-AF284)+INDEX(Models!$BJ284:$BT284,,AH284+1)*AF284-ERP_i)*AE284*Ramure*Pc/MaxiM</f>
        <v>1.0638583674150145E-2</v>
      </c>
      <c r="AE284" s="304">
        <f t="shared" si="117"/>
        <v>0.7</v>
      </c>
      <c r="AF284" s="177">
        <f t="shared" si="118"/>
        <v>0.93024428725460862</v>
      </c>
      <c r="AG284" s="799">
        <f t="shared" si="124"/>
        <v>1</v>
      </c>
      <c r="AH284" s="176">
        <f t="shared" si="119"/>
        <v>7</v>
      </c>
      <c r="AI284" s="224">
        <f t="shared" si="120"/>
        <v>1.9302442872546086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46293</v>
      </c>
      <c r="B285" s="409">
        <f>'2025'!Wh/'2025'!Env_an*'2026'!Env_an</f>
        <v>14.764594550640918</v>
      </c>
      <c r="C285" s="829"/>
      <c r="D285" s="391">
        <f t="shared" si="102"/>
        <v>15.583908870942171</v>
      </c>
      <c r="E285" s="383">
        <f t="shared" si="100"/>
        <v>16.400218147694758</v>
      </c>
      <c r="F285" s="383">
        <f t="shared" si="103"/>
        <v>16.401273260703331</v>
      </c>
      <c r="G285" s="110">
        <f t="shared" si="101"/>
        <v>0.35846676663675764</v>
      </c>
      <c r="H285" s="412" t="b">
        <f>Wh_hp&gt;='2025'!Maxi_hp</f>
        <v>0</v>
      </c>
      <c r="I285" s="388">
        <f>IF(H285,Wh_hp,'2025'!Maxi_hp)</f>
        <v>31.058972746779887</v>
      </c>
      <c r="J285" s="85">
        <f>IF(H285,An,'2025'!An_max)</f>
        <v>2021</v>
      </c>
      <c r="K285" s="197">
        <f t="shared" si="104"/>
        <v>46293</v>
      </c>
      <c r="L285" s="147">
        <f>IF(t&lt;Tvie,1-EXP((T0-t)*PertePVj)+'2025'!Pspv,1-EXP((T0-t)*PertePVj)+Pspv)</f>
        <v>5.2574378295355051E-2</v>
      </c>
      <c r="M285" s="832"/>
      <c r="N285" s="832"/>
      <c r="O285" s="48">
        <f>IF(t&lt;Tnet,'2025'!Resal+('2025'!Salim-'2025'!Resal)*(1-EXP(('2025'!Tnet-t)/('2025'!Tau_j))),Resal+(Salim-Resal)*(1-EXP((Tnet-t)/(Tau_j))))*Salcycl</f>
        <v>4.9774293817386142E-2</v>
      </c>
      <c r="P285" s="169">
        <f>(INDEX(Models!$BJ285:$BT285,,T285)*(1-R285)+INDEX(Models!$BJ285:$BT285,,T285+1)*R285-ERP_i)*Q285*Ramure*Pc/MaxiM</f>
        <v>7.6690613098560076E-4</v>
      </c>
      <c r="Q285" s="304">
        <f t="shared" si="105"/>
        <v>0.7</v>
      </c>
      <c r="R285" s="177">
        <f t="shared" si="106"/>
        <v>0.17476539901468691</v>
      </c>
      <c r="S285" s="799">
        <f t="shared" si="107"/>
        <v>-1</v>
      </c>
      <c r="T285" s="176">
        <f t="shared" si="108"/>
        <v>5</v>
      </c>
      <c r="U285" s="250">
        <f t="shared" si="109"/>
        <v>-0.82523460098531309</v>
      </c>
      <c r="V285" s="382">
        <f t="shared" si="110"/>
        <v>41.159242702421288</v>
      </c>
      <c r="W285" s="400">
        <f t="shared" si="111"/>
        <v>14.764594550640918</v>
      </c>
      <c r="X285" s="157">
        <f t="shared" si="112"/>
        <v>46293</v>
      </c>
      <c r="Y285" s="383">
        <f t="shared" si="113"/>
        <v>14.295906723401977</v>
      </c>
      <c r="Z285" s="383">
        <f t="shared" si="114"/>
        <v>15.089212700074784</v>
      </c>
      <c r="AA285" s="384">
        <f t="shared" si="115"/>
        <v>16.386315848368735</v>
      </c>
      <c r="AB285" s="197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7.9157704532045722E-2</v>
      </c>
      <c r="AD285" s="230">
        <f>(INDEX(Models!$BJ285:$BT285,,AH285)*(1-AF285)+INDEX(Models!$BJ285:$BT285,,AH285+1)*AF285-ERP_i)*AE285*Ramure*Pc/MaxiM</f>
        <v>1.0871756039305814E-2</v>
      </c>
      <c r="AE285" s="304">
        <f t="shared" si="117"/>
        <v>0.7</v>
      </c>
      <c r="AF285" s="177">
        <f t="shared" si="118"/>
        <v>0.9304232298540378</v>
      </c>
      <c r="AG285" s="799">
        <f t="shared" si="124"/>
        <v>1</v>
      </c>
      <c r="AH285" s="176">
        <f t="shared" si="119"/>
        <v>7</v>
      </c>
      <c r="AI285" s="224">
        <f t="shared" si="120"/>
        <v>1.9304232298540378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46294</v>
      </c>
      <c r="B286" s="409">
        <f>'2025'!Wh/'2025'!Env_an*'2026'!Env_an</f>
        <v>20.932363899044546</v>
      </c>
      <c r="C286" s="829"/>
      <c r="D286" s="391">
        <f t="shared" si="102"/>
        <v>22.094362439817228</v>
      </c>
      <c r="E286" s="383">
        <f t="shared" si="100"/>
        <v>23.2527495570288</v>
      </c>
      <c r="F286" s="383">
        <f t="shared" si="103"/>
        <v>23.258024885687291</v>
      </c>
      <c r="G286" s="110">
        <f t="shared" si="101"/>
        <v>0.51138700225764877</v>
      </c>
      <c r="H286" s="412" t="b">
        <f>Wh_hp&gt;='2025'!Maxi_hp</f>
        <v>0</v>
      </c>
      <c r="I286" s="388">
        <f>IF(H286,Wh_hp,'2025'!Maxi_hp)</f>
        <v>45.479306908151436</v>
      </c>
      <c r="J286" s="85">
        <f>IF(H286,An,'2025'!An_max)</f>
        <v>2018</v>
      </c>
      <c r="K286" s="197">
        <f t="shared" si="104"/>
        <v>46294</v>
      </c>
      <c r="L286" s="147">
        <f>IF(t&lt;Tvie,1-EXP((T0-t)*PertePVj)+'2025'!Pspv,1-EXP((T0-t)*PertePVj)+Pspv)</f>
        <v>5.2592535491252423E-2</v>
      </c>
      <c r="M286" s="832"/>
      <c r="N286" s="832"/>
      <c r="O286" s="48">
        <f>IF(t&lt;Tnet,'2025'!Resal+('2025'!Salim-'2025'!Resal)*(1-EXP(('2025'!Tnet-t)/('2025'!Tau_j))),Resal+(Salim-Resal)*(1-EXP((Tnet-t)/(Tau_j))))*Salcycl</f>
        <v>4.9817210406474945E-2</v>
      </c>
      <c r="P286" s="169">
        <f>(INDEX(Models!$BJ286:$BT286,,T286)*(1-R286)+INDEX(Models!$BJ286:$BT286,,T286+1)*R286-ERP_i)*Q286*Ramure*Pc/MaxiM</f>
        <v>7.5014730461040184E-4</v>
      </c>
      <c r="Q286" s="304">
        <f t="shared" si="105"/>
        <v>0.7</v>
      </c>
      <c r="R286" s="177">
        <f t="shared" si="106"/>
        <v>0.17493728893941518</v>
      </c>
      <c r="S286" s="799">
        <f t="shared" si="107"/>
        <v>-1</v>
      </c>
      <c r="T286" s="176">
        <f t="shared" si="108"/>
        <v>5</v>
      </c>
      <c r="U286" s="250">
        <f t="shared" si="109"/>
        <v>-0.82506271106058482</v>
      </c>
      <c r="V286" s="382">
        <f t="shared" si="110"/>
        <v>40.911104101137113</v>
      </c>
      <c r="W286" s="400">
        <f t="shared" si="111"/>
        <v>20.932363899044546</v>
      </c>
      <c r="X286" s="157">
        <f t="shared" si="112"/>
        <v>46294</v>
      </c>
      <c r="Y286" s="383">
        <f t="shared" si="113"/>
        <v>20.221899756545394</v>
      </c>
      <c r="Z286" s="383">
        <f t="shared" si="114"/>
        <v>21.344458972603633</v>
      </c>
      <c r="AA286" s="384">
        <f t="shared" si="115"/>
        <v>23.179238682534152</v>
      </c>
      <c r="AB286" s="197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7.9156167942351308E-2</v>
      </c>
      <c r="AD286" s="230">
        <f>(INDEX(Models!$BJ286:$BT286,,AH286)*(1-AF286)+INDEX(Models!$BJ286:$BT286,,AH286+1)*AF286-ERP_i)*AE286*Ramure*Pc/MaxiM</f>
        <v>1.1203331917655775E-2</v>
      </c>
      <c r="AE286" s="304">
        <f t="shared" si="117"/>
        <v>0.7</v>
      </c>
      <c r="AF286" s="177">
        <f t="shared" si="118"/>
        <v>0.93059511977876608</v>
      </c>
      <c r="AG286" s="799">
        <f t="shared" si="124"/>
        <v>1</v>
      </c>
      <c r="AH286" s="176">
        <f t="shared" si="119"/>
        <v>7</v>
      </c>
      <c r="AI286" s="224">
        <f t="shared" si="120"/>
        <v>1.9305951197787661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46295</v>
      </c>
      <c r="B287" s="409">
        <f>'2025'!Wh/'2025'!Env_an*'2026'!Env_an</f>
        <v>28.919439019651772</v>
      </c>
      <c r="C287" s="829"/>
      <c r="D287" s="391">
        <f t="shared" si="102"/>
        <v>30.525401527969443</v>
      </c>
      <c r="E287" s="383">
        <f t="shared" si="100"/>
        <v>32.127246016716235</v>
      </c>
      <c r="F287" s="383">
        <f t="shared" si="103"/>
        <v>32.14108949302468</v>
      </c>
      <c r="G287" s="110">
        <f t="shared" si="101"/>
        <v>0.71100493588761915</v>
      </c>
      <c r="H287" s="412" t="b">
        <f>Wh_hp&gt;='2025'!Maxi_hp</f>
        <v>0</v>
      </c>
      <c r="I287" s="388">
        <f>IF(H287,Wh_hp,'2025'!Maxi_hp)</f>
        <v>37.731180167005817</v>
      </c>
      <c r="J287" s="85">
        <f>IF(H287,An,'2025'!An_max)</f>
        <v>2020</v>
      </c>
      <c r="K287" s="197">
        <f t="shared" si="104"/>
        <v>46295</v>
      </c>
      <c r="L287" s="147">
        <f>IF(t&lt;Tvie,1-EXP((T0-t)*PertePVj)+'2025'!Pspv,1-EXP((T0-t)*PertePVj)+Pspv)</f>
        <v>5.2610692339171372E-2</v>
      </c>
      <c r="M287" s="832"/>
      <c r="N287" s="832"/>
      <c r="O287" s="48">
        <f>IF(t&lt;Tnet,'2025'!Resal+('2025'!Salim-'2025'!Resal)*(1-EXP(('2025'!Tnet-t)/('2025'!Tau_j))),Resal+(Salim-Resal)*(1-EXP((Tnet-t)/(Tau_j))))*Salcycl</f>
        <v>4.9859377548680368E-2</v>
      </c>
      <c r="P287" s="169">
        <f>(INDEX(Models!$BJ287:$BT287,,T287)*(1-R287)+INDEX(Models!$BJ287:$BT287,,T287+1)*R287-ERP_i)*Q287*Ramure*Pc/MaxiM</f>
        <v>7.3317596915387399E-4</v>
      </c>
      <c r="Q287" s="304">
        <f t="shared" si="105"/>
        <v>0.7</v>
      </c>
      <c r="R287" s="177">
        <f t="shared" si="106"/>
        <v>0.17510239833366237</v>
      </c>
      <c r="S287" s="799">
        <f t="shared" si="107"/>
        <v>-1</v>
      </c>
      <c r="T287" s="176">
        <f t="shared" si="108"/>
        <v>5</v>
      </c>
      <c r="U287" s="250">
        <f t="shared" si="109"/>
        <v>-0.82489760166633763</v>
      </c>
      <c r="V287" s="382">
        <f t="shared" si="110"/>
        <v>40.661726289131252</v>
      </c>
      <c r="W287" s="400">
        <f t="shared" si="111"/>
        <v>28.919439019651772</v>
      </c>
      <c r="X287" s="157">
        <f t="shared" si="112"/>
        <v>46295</v>
      </c>
      <c r="Y287" s="383">
        <f t="shared" si="113"/>
        <v>27.848238128324788</v>
      </c>
      <c r="Z287" s="383">
        <f t="shared" si="114"/>
        <v>29.394714404244294</v>
      </c>
      <c r="AA287" s="384">
        <f t="shared" si="115"/>
        <v>31.921407810306903</v>
      </c>
      <c r="AB287" s="197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7.9153570578011284E-2</v>
      </c>
      <c r="AD287" s="230">
        <f>(INDEX(Models!$BJ287:$BT287,,AH287)*(1-AF287)+INDEX(Models!$BJ287:$BT287,,AH287+1)*AF287-ERP_i)*AE287*Ramure*Pc/MaxiM</f>
        <v>1.1634746001890522E-2</v>
      </c>
      <c r="AE287" s="304">
        <f t="shared" si="117"/>
        <v>0.7</v>
      </c>
      <c r="AF287" s="177">
        <f t="shared" si="118"/>
        <v>0.93076022917301326</v>
      </c>
      <c r="AG287" s="799">
        <f t="shared" si="124"/>
        <v>1</v>
      </c>
      <c r="AH287" s="176">
        <f t="shared" si="119"/>
        <v>7</v>
      </c>
      <c r="AI287" s="224">
        <f t="shared" si="120"/>
        <v>1.9307602291730133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46296</v>
      </c>
      <c r="B288" s="409">
        <f>'2025'!Wh/'2025'!Env_an*'2026'!Env_an</f>
        <v>33.883817425810179</v>
      </c>
      <c r="C288" s="829"/>
      <c r="D288" s="391">
        <f t="shared" si="102"/>
        <v>35.766148657038919</v>
      </c>
      <c r="E288" s="383">
        <f t="shared" si="100"/>
        <v>37.644645862123653</v>
      </c>
      <c r="F288" s="383">
        <f t="shared" si="103"/>
        <v>37.66539096713646</v>
      </c>
      <c r="G288" s="110">
        <f t="shared" si="101"/>
        <v>0.83833512061837612</v>
      </c>
      <c r="H288" s="412" t="b">
        <f>Wh_hp&gt;='2025'!Maxi_hp</f>
        <v>0</v>
      </c>
      <c r="I288" s="388">
        <f>IF(H288,Wh_hp,'2025'!Maxi_hp)</f>
        <v>44.215885035477228</v>
      </c>
      <c r="J288" s="85">
        <f>IF(H288,An,'2025'!An_max)</f>
        <v>2020</v>
      </c>
      <c r="K288" s="197">
        <f t="shared" si="104"/>
        <v>46296</v>
      </c>
      <c r="L288" s="147">
        <f>IF(t&lt;Tvie,1-EXP((T0-t)*PertePVj)+'2025'!Pspv,1-EXP((T0-t)*PertePVj)+Pspv)</f>
        <v>5.2628848839118447E-2</v>
      </c>
      <c r="M288" s="832"/>
      <c r="N288" s="832"/>
      <c r="O288" s="48">
        <f>IF(t&lt;Tnet,'2025'!Resal+('2025'!Salim-'2025'!Resal)*(1-EXP(('2025'!Tnet-t)/('2025'!Tau_j))),Resal+(Salim-Resal)*(1-EXP((Tnet-t)/(Tau_j))))*Salcycl</f>
        <v>4.99007803650185E-2</v>
      </c>
      <c r="P288" s="169">
        <f>(INDEX(Models!$BJ288:$BT288,,T288)*(1-R288)+INDEX(Models!$BJ288:$BT288,,T288+1)*R288-ERP_i)*Q288*Ramure*Pc/MaxiM</f>
        <v>7.1598954432127912E-4</v>
      </c>
      <c r="Q288" s="304">
        <f t="shared" si="105"/>
        <v>0.7</v>
      </c>
      <c r="R288" s="177">
        <f t="shared" si="106"/>
        <v>0.17526098929586098</v>
      </c>
      <c r="S288" s="799">
        <f t="shared" si="107"/>
        <v>-1</v>
      </c>
      <c r="T288" s="176">
        <f t="shared" si="108"/>
        <v>5</v>
      </c>
      <c r="U288" s="250">
        <f t="shared" si="109"/>
        <v>-0.82473901070413902</v>
      </c>
      <c r="V288" s="382">
        <f t="shared" si="110"/>
        <v>40.41130493345883</v>
      </c>
      <c r="W288" s="400">
        <f t="shared" si="111"/>
        <v>33.883817425810179</v>
      </c>
      <c r="X288" s="157">
        <f t="shared" si="112"/>
        <v>46296</v>
      </c>
      <c r="Y288" s="383">
        <f t="shared" si="113"/>
        <v>32.551239578574872</v>
      </c>
      <c r="Z288" s="383">
        <f t="shared" si="114"/>
        <v>34.359542760709481</v>
      </c>
      <c r="AA288" s="384">
        <f t="shared" si="115"/>
        <v>37.312850850539469</v>
      </c>
      <c r="AB288" s="197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7.9149891324567304E-2</v>
      </c>
      <c r="AD288" s="230">
        <f>(INDEX(Models!$BJ288:$BT288,,AH288)*(1-AF288)+INDEX(Models!$BJ288:$BT288,,AH288+1)*AF288-ERP_i)*AE288*Ramure*Pc/MaxiM</f>
        <v>1.2167450455489469E-2</v>
      </c>
      <c r="AE288" s="304">
        <f t="shared" si="117"/>
        <v>0.7</v>
      </c>
      <c r="AF288" s="177">
        <f t="shared" si="118"/>
        <v>0.93091882013521188</v>
      </c>
      <c r="AG288" s="799">
        <f t="shared" si="124"/>
        <v>1</v>
      </c>
      <c r="AH288" s="176">
        <f t="shared" si="119"/>
        <v>7</v>
      </c>
      <c r="AI288" s="224">
        <f t="shared" si="120"/>
        <v>1.9309188201352119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46297</v>
      </c>
      <c r="B289" s="409">
        <f>'2025'!Wh/'2025'!Env_an*'2026'!Env_an</f>
        <v>38.351910813370672</v>
      </c>
      <c r="C289" s="829"/>
      <c r="D289" s="391">
        <f t="shared" si="102"/>
        <v>40.483231715555391</v>
      </c>
      <c r="E289" s="383">
        <f t="shared" si="100"/>
        <v>42.61129990187802</v>
      </c>
      <c r="F289" s="383">
        <f t="shared" si="103"/>
        <v>42.639173429368263</v>
      </c>
      <c r="G289" s="110">
        <f t="shared" si="101"/>
        <v>0.9549658908052121</v>
      </c>
      <c r="H289" s="412" t="b">
        <f>Wh_hp&gt;='2025'!Maxi_hp</f>
        <v>1</v>
      </c>
      <c r="I289" s="388">
        <f>IF(H289,Wh_hp,'2025'!Maxi_hp)</f>
        <v>42.639173429368263</v>
      </c>
      <c r="J289" s="85">
        <f>IF(H289,An,'2025'!An_max)</f>
        <v>2026</v>
      </c>
      <c r="K289" s="197">
        <f t="shared" si="104"/>
        <v>46297</v>
      </c>
      <c r="L289" s="147">
        <f>IF(t&lt;Tvie,1-EXP((T0-t)*PertePVj)+'2025'!Pspv,1-EXP((T0-t)*PertePVj)+Pspv)</f>
        <v>5.2647004991100421E-2</v>
      </c>
      <c r="M289" s="832"/>
      <c r="N289" s="832"/>
      <c r="O289" s="48">
        <f>IF(t&lt;Tnet,'2025'!Resal+('2025'!Salim-'2025'!Resal)*(1-EXP(('2025'!Tnet-t)/('2025'!Tau_j))),Resal+(Salim-Resal)*(1-EXP((Tnet-t)/(Tau_j))))*Salcycl</f>
        <v>4.9941405008131108E-2</v>
      </c>
      <c r="P289" s="169">
        <f>(INDEX(Models!$BJ289:$BT289,,T289)*(1-R289)+INDEX(Models!$BJ289:$BT289,,T289+1)*R289-ERP_i)*Q289*Ramure*Pc/MaxiM</f>
        <v>6.9860881528229304E-4</v>
      </c>
      <c r="Q289" s="304">
        <f t="shared" si="105"/>
        <v>0.7</v>
      </c>
      <c r="R289" s="177">
        <f t="shared" si="106"/>
        <v>0.17541331421358608</v>
      </c>
      <c r="S289" s="799">
        <f t="shared" si="107"/>
        <v>-1</v>
      </c>
      <c r="T289" s="176">
        <f t="shared" si="108"/>
        <v>5</v>
      </c>
      <c r="U289" s="250">
        <f t="shared" si="109"/>
        <v>-0.82458668578641392</v>
      </c>
      <c r="V289" s="382">
        <f t="shared" si="110"/>
        <v>40.158698846682576</v>
      </c>
      <c r="W289" s="400">
        <f t="shared" si="111"/>
        <v>38.351910813370672</v>
      </c>
      <c r="X289" s="157">
        <f t="shared" si="112"/>
        <v>46297</v>
      </c>
      <c r="Y289" s="383">
        <f t="shared" si="113"/>
        <v>36.751693610846587</v>
      </c>
      <c r="Z289" s="383">
        <f t="shared" si="114"/>
        <v>38.794086052898727</v>
      </c>
      <c r="AA289" s="384">
        <f t="shared" si="115"/>
        <v>42.128338032948847</v>
      </c>
      <c r="AB289" s="197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7.9145110767065624E-2</v>
      </c>
      <c r="AD289" s="230">
        <f>(INDEX(Models!$BJ289:$BT289,,AH289)*(1-AF289)+INDEX(Models!$BJ289:$BT289,,AH289+1)*AF289-ERP_i)*AE289*Ramure*Pc/MaxiM</f>
        <v>1.280333503614639E-2</v>
      </c>
      <c r="AE289" s="304">
        <f t="shared" si="117"/>
        <v>0.7</v>
      </c>
      <c r="AF289" s="177">
        <f t="shared" si="118"/>
        <v>0.93107114505293698</v>
      </c>
      <c r="AG289" s="799">
        <f t="shared" si="124"/>
        <v>1</v>
      </c>
      <c r="AH289" s="176">
        <f t="shared" si="119"/>
        <v>7</v>
      </c>
      <c r="AI289" s="224">
        <f t="shared" si="120"/>
        <v>1.931071145052937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46298</v>
      </c>
      <c r="B290" s="409">
        <f>'2025'!Wh/'2025'!Env_an*'2026'!Env_an</f>
        <v>34.122304629107447</v>
      </c>
      <c r="C290" s="829"/>
      <c r="D290" s="391">
        <f t="shared" si="102"/>
        <v>36.019265012724773</v>
      </c>
      <c r="E290" s="383">
        <f t="shared" si="100"/>
        <v>37.914267048221241</v>
      </c>
      <c r="F290" s="383">
        <f t="shared" si="103"/>
        <v>37.934926703288703</v>
      </c>
      <c r="G290" s="110">
        <f t="shared" si="101"/>
        <v>0.85501676603719001</v>
      </c>
      <c r="H290" s="412" t="b">
        <f>Wh_hp&gt;='2025'!Maxi_hp</f>
        <v>1</v>
      </c>
      <c r="I290" s="388">
        <f>IF(H290,Wh_hp,'2025'!Maxi_hp)</f>
        <v>37.934926703288703</v>
      </c>
      <c r="J290" s="85">
        <f>IF(H290,An,'2025'!An_max)</f>
        <v>2026</v>
      </c>
      <c r="K290" s="197">
        <f t="shared" si="104"/>
        <v>46298</v>
      </c>
      <c r="L290" s="147">
        <f>IF(t&lt;Tvie,1-EXP((T0-t)*PertePVj)+'2025'!Pspv,1-EXP((T0-t)*PertePVj)+Pspv)</f>
        <v>5.2665160795123844E-2</v>
      </c>
      <c r="M290" s="832"/>
      <c r="N290" s="832"/>
      <c r="O290" s="48">
        <f>IF(t&lt;Tnet,'2025'!Resal+('2025'!Salim-'2025'!Resal)*(1-EXP(('2025'!Tnet-t)/('2025'!Tau_j))),Resal+(Salim-Resal)*(1-EXP((Tnet-t)/(Tau_j))))*Salcycl</f>
        <v>4.9981238806128321E-2</v>
      </c>
      <c r="P290" s="169">
        <f>(INDEX(Models!$BJ290:$BT290,,T290)*(1-R290)+INDEX(Models!$BJ290:$BT290,,T290+1)*R290-ERP_i)*Q290*Ramure*Pc/MaxiM</f>
        <v>6.8672146055360247E-4</v>
      </c>
      <c r="Q290" s="304">
        <f t="shared" si="105"/>
        <v>0.7</v>
      </c>
      <c r="R290" s="177">
        <f t="shared" si="106"/>
        <v>0.17555961609021653</v>
      </c>
      <c r="S290" s="799">
        <f t="shared" si="107"/>
        <v>-1</v>
      </c>
      <c r="T290" s="176">
        <f t="shared" si="108"/>
        <v>5</v>
      </c>
      <c r="U290" s="250">
        <f t="shared" si="109"/>
        <v>-0.82444038390978347</v>
      </c>
      <c r="V290" s="382">
        <f t="shared" si="110"/>
        <v>39.902671028925184</v>
      </c>
      <c r="W290" s="400">
        <f t="shared" si="111"/>
        <v>34.122304629107447</v>
      </c>
      <c r="X290" s="157">
        <f t="shared" si="112"/>
        <v>46298</v>
      </c>
      <c r="Y290" s="383">
        <f t="shared" si="113"/>
        <v>32.735920829568919</v>
      </c>
      <c r="Z290" s="383">
        <f t="shared" si="114"/>
        <v>34.555808015089013</v>
      </c>
      <c r="AA290" s="384">
        <f t="shared" si="115"/>
        <v>37.525550488477435</v>
      </c>
      <c r="AB290" s="197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7.9139211410111307E-2</v>
      </c>
      <c r="AD290" s="230">
        <f>(INDEX(Models!$BJ290:$BT290,,AH290)*(1-AF290)+INDEX(Models!$BJ290:$BT290,,AH290+1)*AF290-ERP_i)*AE290*Ramure*Pc/MaxiM</f>
        <v>1.3607556913853484E-2</v>
      </c>
      <c r="AE290" s="304">
        <f t="shared" si="117"/>
        <v>0.7</v>
      </c>
      <c r="AF290" s="177">
        <f t="shared" si="118"/>
        <v>0.93121744692956732</v>
      </c>
      <c r="AG290" s="799">
        <f t="shared" si="124"/>
        <v>1</v>
      </c>
      <c r="AH290" s="176">
        <f t="shared" si="119"/>
        <v>7</v>
      </c>
      <c r="AI290" s="224">
        <f t="shared" si="120"/>
        <v>1.9312174469295673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46299</v>
      </c>
      <c r="B291" s="409">
        <f>'2025'!Wh/'2025'!Env_an*'2026'!Env_an</f>
        <v>40.710039435537979</v>
      </c>
      <c r="C291" s="829"/>
      <c r="D291" s="391">
        <f t="shared" si="102"/>
        <v>42.974055174914312</v>
      </c>
      <c r="E291" s="383">
        <f t="shared" si="100"/>
        <v>45.236812782652315</v>
      </c>
      <c r="F291" s="383">
        <f t="shared" si="103"/>
        <v>45.267692249825423</v>
      </c>
      <c r="G291" s="110">
        <f t="shared" si="101"/>
        <v>1.0269021069326252</v>
      </c>
      <c r="H291" s="412" t="b">
        <f>Wh_hp&gt;='2025'!Maxi_hp</f>
        <v>1</v>
      </c>
      <c r="I291" s="388">
        <f>IF(H291,Wh_hp,'2025'!Maxi_hp)</f>
        <v>45.267692249825423</v>
      </c>
      <c r="J291" s="85">
        <f>IF(H291,An,'2025'!An_max)</f>
        <v>2026</v>
      </c>
      <c r="K291" s="197">
        <f t="shared" si="104"/>
        <v>46299</v>
      </c>
      <c r="L291" s="147">
        <f>IF(t&lt;Tvie,1-EXP((T0-t)*PertePVj)+'2025'!Pspv,1-EXP((T0-t)*PertePVj)+Pspv)</f>
        <v>5.2683316251195378E-2</v>
      </c>
      <c r="M291" s="832"/>
      <c r="N291" s="832"/>
      <c r="O291" s="48">
        <f>IF(t&lt;Tnet,'2025'!Resal+('2025'!Salim-'2025'!Resal)*(1-EXP(('2025'!Tnet-t)/('2025'!Tau_j))),Resal+(Salim-Resal)*(1-EXP((Tnet-t)/(Tau_j))))*Salcycl</f>
        <v>5.0020270406975709E-2</v>
      </c>
      <c r="P291" s="169">
        <f>(INDEX(Models!$BJ291:$BT291,,T291)*(1-R291)+INDEX(Models!$BJ291:$BT291,,T291+1)*R291-ERP_i)*Q291*Ramure*Pc/MaxiM</f>
        <v>6.8215244997880964E-4</v>
      </c>
      <c r="Q291" s="304">
        <f t="shared" si="105"/>
        <v>0.7</v>
      </c>
      <c r="R291" s="177">
        <f t="shared" si="106"/>
        <v>0.1757001288632809</v>
      </c>
      <c r="S291" s="799">
        <f t="shared" si="107"/>
        <v>-1</v>
      </c>
      <c r="T291" s="176">
        <f t="shared" si="108"/>
        <v>5</v>
      </c>
      <c r="U291" s="250">
        <f t="shared" si="109"/>
        <v>-0.8242998711367191</v>
      </c>
      <c r="V291" s="382">
        <f t="shared" si="110"/>
        <v>39.643544560580942</v>
      </c>
      <c r="W291" s="400">
        <f t="shared" si="111"/>
        <v>40.710039435537979</v>
      </c>
      <c r="X291" s="157">
        <f t="shared" si="112"/>
        <v>46299</v>
      </c>
      <c r="Y291" s="383">
        <f t="shared" si="113"/>
        <v>38.914659022654128</v>
      </c>
      <c r="Z291" s="383">
        <f t="shared" si="114"/>
        <v>41.078827904368396</v>
      </c>
      <c r="AA291" s="384">
        <f t="shared" si="115"/>
        <v>44.608821069006716</v>
      </c>
      <c r="AB291" s="197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7.9132177897677847E-2</v>
      </c>
      <c r="AD291" s="230">
        <f>(INDEX(Models!$BJ291:$BT291,,AH291)*(1-AF291)+INDEX(Models!$BJ291:$BT291,,AH291+1)*AF291-ERP_i)*AE291*Ramure*Pc/MaxiM</f>
        <v>1.4554998235441209E-2</v>
      </c>
      <c r="AE291" s="304">
        <f t="shared" si="117"/>
        <v>0.7</v>
      </c>
      <c r="AF291" s="177">
        <f t="shared" si="118"/>
        <v>0.9313579597026318</v>
      </c>
      <c r="AG291" s="799">
        <f t="shared" si="124"/>
        <v>1</v>
      </c>
      <c r="AH291" s="176">
        <f t="shared" si="119"/>
        <v>7</v>
      </c>
      <c r="AI291" s="224">
        <f t="shared" si="120"/>
        <v>1.9313579597026318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46300</v>
      </c>
      <c r="B292" s="409">
        <f>'2025'!Wh/'2025'!Env_an*'2026'!Env_an</f>
        <v>40.395471078641741</v>
      </c>
      <c r="C292" s="829"/>
      <c r="D292" s="391">
        <f t="shared" si="102"/>
        <v>42.642809903449375</v>
      </c>
      <c r="E292" s="383">
        <f t="shared" si="100"/>
        <v>44.889932117986362</v>
      </c>
      <c r="F292" s="383">
        <f t="shared" si="103"/>
        <v>44.920703887087065</v>
      </c>
      <c r="G292" s="110">
        <f t="shared" si="101"/>
        <v>1.0257418885232881</v>
      </c>
      <c r="H292" s="412" t="b">
        <f>Wh_hp&gt;='2025'!Maxi_hp</f>
        <v>1</v>
      </c>
      <c r="I292" s="388">
        <f>IF(H292,Wh_hp,'2025'!Maxi_hp)</f>
        <v>44.920703887087065</v>
      </c>
      <c r="J292" s="85">
        <f>IF(H292,An,'2025'!An_max)</f>
        <v>2026</v>
      </c>
      <c r="K292" s="197">
        <f t="shared" si="104"/>
        <v>46300</v>
      </c>
      <c r="L292" s="147">
        <f>IF(t&lt;Tvie,1-EXP((T0-t)*PertePVj)+'2025'!Pspv,1-EXP((T0-t)*PertePVj)+Pspv)</f>
        <v>5.2701471359321683E-2</v>
      </c>
      <c r="M292" s="832"/>
      <c r="N292" s="832"/>
      <c r="O292" s="48">
        <f>IF(t&lt;Tnet,'2025'!Resal+('2025'!Salim-'2025'!Resal)*(1-EXP(('2025'!Tnet-t)/('2025'!Tau_j))),Resal+(Salim-Resal)*(1-EXP((Tnet-t)/(Tau_j))))*Salcycl</f>
        <v>5.0058489922211596E-2</v>
      </c>
      <c r="P292" s="169">
        <f>(INDEX(Models!$BJ292:$BT292,,T292)*(1-R292)+INDEX(Models!$BJ292:$BT292,,T292+1)*R292-ERP_i)*Q292*Ramure*Pc/MaxiM</f>
        <v>6.8502419681690154E-4</v>
      </c>
      <c r="Q292" s="304">
        <f t="shared" si="105"/>
        <v>0.7</v>
      </c>
      <c r="R292" s="177">
        <f t="shared" si="106"/>
        <v>0.17583507771446616</v>
      </c>
      <c r="S292" s="799">
        <f t="shared" si="107"/>
        <v>-1</v>
      </c>
      <c r="T292" s="176">
        <f t="shared" si="108"/>
        <v>5</v>
      </c>
      <c r="U292" s="250">
        <f t="shared" si="109"/>
        <v>-0.82416492228553384</v>
      </c>
      <c r="V292" s="382">
        <f t="shared" si="110"/>
        <v>39.381711452573299</v>
      </c>
      <c r="W292" s="400">
        <f t="shared" si="111"/>
        <v>40.395471078641741</v>
      </c>
      <c r="X292" s="157">
        <f t="shared" si="112"/>
        <v>46300</v>
      </c>
      <c r="Y292" s="383">
        <f t="shared" si="113"/>
        <v>38.573146832399615</v>
      </c>
      <c r="Z292" s="383">
        <f t="shared" si="114"/>
        <v>40.719103499242181</v>
      </c>
      <c r="AA292" s="384">
        <f t="shared" si="115"/>
        <v>44.217791946790406</v>
      </c>
      <c r="AB292" s="197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7.9123997230761314E-2</v>
      </c>
      <c r="AD292" s="230">
        <f>(INDEX(Models!$BJ292:$BT292,,AH292)*(1-AF292)+INDEX(Models!$BJ292:$BT292,,AH292+1)*AF292-ERP_i)*AE292*Ramure*Pc/MaxiM</f>
        <v>1.5647838957811033E-2</v>
      </c>
      <c r="AE292" s="304">
        <f t="shared" si="117"/>
        <v>0.7</v>
      </c>
      <c r="AF292" s="177">
        <f t="shared" si="118"/>
        <v>0.93149290855381706</v>
      </c>
      <c r="AG292" s="799">
        <f t="shared" si="124"/>
        <v>1</v>
      </c>
      <c r="AH292" s="176">
        <f t="shared" si="119"/>
        <v>7</v>
      </c>
      <c r="AI292" s="224">
        <f t="shared" si="120"/>
        <v>1.9314929085538171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46301</v>
      </c>
      <c r="B293" s="409">
        <f>'2025'!Wh/'2025'!Env_an*'2026'!Env_an</f>
        <v>14.369429735611119</v>
      </c>
      <c r="C293" s="829"/>
      <c r="D293" s="391">
        <f t="shared" si="102"/>
        <v>15.169141187574079</v>
      </c>
      <c r="E293" s="383">
        <f t="shared" si="100"/>
        <v>15.969128897339635</v>
      </c>
      <c r="F293" s="383">
        <f t="shared" si="103"/>
        <v>15.970197351431271</v>
      </c>
      <c r="G293" s="110">
        <f t="shared" si="101"/>
        <v>0.36710867839821959</v>
      </c>
      <c r="H293" s="412" t="b">
        <f>Wh_hp&gt;='2025'!Maxi_hp</f>
        <v>0</v>
      </c>
      <c r="I293" s="388">
        <f>IF(H293,Wh_hp,'2025'!Maxi_hp)</f>
        <v>37.456299477721394</v>
      </c>
      <c r="J293" s="85">
        <f>IF(H293,An,'2025'!An_max)</f>
        <v>2021</v>
      </c>
      <c r="K293" s="197">
        <f t="shared" si="104"/>
        <v>46301</v>
      </c>
      <c r="L293" s="147">
        <f>IF(t&lt;Tvie,1-EXP((T0-t)*PertePVj)+'2025'!Pspv,1-EXP((T0-t)*PertePVj)+Pspv)</f>
        <v>5.2719626119509644E-2</v>
      </c>
      <c r="M293" s="832"/>
      <c r="N293" s="832"/>
      <c r="O293" s="48">
        <f>IF(t&lt;Tnet,'2025'!Resal+('2025'!Salim-'2025'!Resal)*(1-EXP(('2025'!Tnet-t)/('2025'!Tau_j))),Resal+(Salim-Resal)*(1-EXP((Tnet-t)/(Tau_j))))*Salcycl</f>
        <v>5.0095889068741184E-2</v>
      </c>
      <c r="P293" s="169">
        <f>(INDEX(Models!$BJ293:$BT293,,T293)*(1-R293)+INDEX(Models!$BJ293:$BT293,,T293+1)*R293-ERP_i)*Q293*Ramure*Pc/MaxiM</f>
        <v>6.9546161805159295E-4</v>
      </c>
      <c r="Q293" s="304">
        <f t="shared" si="105"/>
        <v>0.7</v>
      </c>
      <c r="R293" s="177">
        <f t="shared" si="106"/>
        <v>0.17596467937129756</v>
      </c>
      <c r="S293" s="799">
        <f t="shared" si="107"/>
        <v>-1</v>
      </c>
      <c r="T293" s="176">
        <f t="shared" si="108"/>
        <v>5</v>
      </c>
      <c r="U293" s="250">
        <f t="shared" si="109"/>
        <v>-0.82403532062870244</v>
      </c>
      <c r="V293" s="382">
        <f t="shared" si="110"/>
        <v>39.11756367362991</v>
      </c>
      <c r="W293" s="400">
        <f t="shared" si="111"/>
        <v>14.369429735611119</v>
      </c>
      <c r="X293" s="157">
        <f t="shared" si="112"/>
        <v>46301</v>
      </c>
      <c r="Y293" s="383">
        <f t="shared" si="113"/>
        <v>13.908754292989778</v>
      </c>
      <c r="Z293" s="383">
        <f t="shared" si="114"/>
        <v>14.682827467451064</v>
      </c>
      <c r="AA293" s="384">
        <f t="shared" si="115"/>
        <v>15.944251486512526</v>
      </c>
      <c r="AB293" s="197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7.9114658980919711E-2</v>
      </c>
      <c r="AD293" s="230">
        <f>(INDEX(Models!$BJ293:$BT293,,AH293)*(1-AF293)+INDEX(Models!$BJ293:$BT293,,AH293+1)*AF293-ERP_i)*AE293*Ramure*Pc/MaxiM</f>
        <v>1.6888281246155275E-2</v>
      </c>
      <c r="AE293" s="304">
        <f t="shared" si="117"/>
        <v>0.7</v>
      </c>
      <c r="AF293" s="177">
        <f t="shared" si="118"/>
        <v>0.93162251021064835</v>
      </c>
      <c r="AG293" s="799">
        <f t="shared" si="124"/>
        <v>1</v>
      </c>
      <c r="AH293" s="176">
        <f t="shared" si="119"/>
        <v>7</v>
      </c>
      <c r="AI293" s="224">
        <f t="shared" si="120"/>
        <v>1.9316225102106483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46302</v>
      </c>
      <c r="B294" s="409">
        <f>'2025'!Wh/'2025'!Env_an*'2026'!Env_an</f>
        <v>30.43900789903358</v>
      </c>
      <c r="C294" s="829"/>
      <c r="D294" s="391">
        <f t="shared" si="102"/>
        <v>32.133666131138597</v>
      </c>
      <c r="E294" s="383">
        <f t="shared" si="100"/>
        <v>33.829628682088078</v>
      </c>
      <c r="F294" s="383">
        <f t="shared" si="103"/>
        <v>33.846310106905257</v>
      </c>
      <c r="G294" s="110">
        <f t="shared" si="101"/>
        <v>0.78329771166939643</v>
      </c>
      <c r="H294" s="412" t="b">
        <f>Wh_hp&gt;='2025'!Maxi_hp</f>
        <v>0</v>
      </c>
      <c r="I294" s="388">
        <f>IF(H294,Wh_hp,'2025'!Maxi_hp)</f>
        <v>42.329866448649689</v>
      </c>
      <c r="J294" s="85">
        <f>IF(H294,An,'2025'!An_max)</f>
        <v>2021</v>
      </c>
      <c r="K294" s="197">
        <f t="shared" si="104"/>
        <v>46302</v>
      </c>
      <c r="L294" s="147">
        <f>IF(t&lt;Tvie,1-EXP((T0-t)*PertePVj)+'2025'!Pspv,1-EXP((T0-t)*PertePVj)+Pspv)</f>
        <v>5.2737780531765588E-2</v>
      </c>
      <c r="M294" s="832"/>
      <c r="N294" s="832"/>
      <c r="O294" s="48">
        <f>IF(t&lt;Tnet,'2025'!Resal+('2025'!Salim-'2025'!Resal)*(1-EXP(('2025'!Tnet-t)/('2025'!Tau_j))),Resal+(Salim-Resal)*(1-EXP((Tnet-t)/(Tau_j))))*Salcycl</f>
        <v>5.0132461307429224E-2</v>
      </c>
      <c r="P294" s="169">
        <f>(INDEX(Models!$BJ294:$BT294,,T294)*(1-R294)+INDEX(Models!$BJ294:$BT294,,T294+1)*R294-ERP_i)*Q294*Ramure*Pc/MaxiM</f>
        <v>7.1359149000490413E-4</v>
      </c>
      <c r="Q294" s="304">
        <f t="shared" si="105"/>
        <v>0.7</v>
      </c>
      <c r="R294" s="177">
        <f t="shared" si="106"/>
        <v>0.17608914240051576</v>
      </c>
      <c r="S294" s="799">
        <f t="shared" si="107"/>
        <v>-1</v>
      </c>
      <c r="T294" s="176">
        <f t="shared" si="108"/>
        <v>5</v>
      </c>
      <c r="U294" s="250">
        <f t="shared" si="109"/>
        <v>-0.82391085759948424</v>
      </c>
      <c r="V294" s="382">
        <f t="shared" si="110"/>
        <v>38.851493147768736</v>
      </c>
      <c r="W294" s="400">
        <f t="shared" si="111"/>
        <v>30.43900789903358</v>
      </c>
      <c r="X294" s="157">
        <f t="shared" si="112"/>
        <v>46302</v>
      </c>
      <c r="Y294" s="383">
        <f t="shared" si="113"/>
        <v>29.152406673386732</v>
      </c>
      <c r="Z294" s="383">
        <f t="shared" si="114"/>
        <v>30.775434799618683</v>
      </c>
      <c r="AA294" s="384">
        <f t="shared" si="115"/>
        <v>33.419017995734073</v>
      </c>
      <c r="AB294" s="197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7.9104155497712228E-2</v>
      </c>
      <c r="AD294" s="230">
        <f>(INDEX(Models!$BJ294:$BT294,,AH294)*(1-AF294)+INDEX(Models!$BJ294:$BT294,,AH294+1)*AF294-ERP_i)*AE294*Ramure*Pc/MaxiM</f>
        <v>1.8278535414071539E-2</v>
      </c>
      <c r="AE294" s="304">
        <f t="shared" si="117"/>
        <v>0.7</v>
      </c>
      <c r="AF294" s="177">
        <f t="shared" si="118"/>
        <v>0.93174697323986666</v>
      </c>
      <c r="AG294" s="799">
        <f t="shared" si="124"/>
        <v>1</v>
      </c>
      <c r="AH294" s="176">
        <f t="shared" si="119"/>
        <v>7</v>
      </c>
      <c r="AI294" s="224">
        <f t="shared" si="120"/>
        <v>1.9317469732398667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46303</v>
      </c>
      <c r="B295" s="409">
        <f>'2025'!Wh/'2025'!Env_an*'2026'!Env_an</f>
        <v>14.672779027985577</v>
      </c>
      <c r="C295" s="829"/>
      <c r="D295" s="391">
        <f t="shared" si="102"/>
        <v>15.489966698001032</v>
      </c>
      <c r="E295" s="383">
        <f t="shared" si="100"/>
        <v>16.308115531871429</v>
      </c>
      <c r="F295" s="383">
        <f t="shared" si="103"/>
        <v>16.309498863163345</v>
      </c>
      <c r="G295" s="110">
        <f t="shared" si="101"/>
        <v>0.38003350416725901</v>
      </c>
      <c r="H295" s="412" t="b">
        <f>Wh_hp&gt;='2025'!Maxi_hp</f>
        <v>0</v>
      </c>
      <c r="I295" s="388">
        <f>IF(H295,Wh_hp,'2025'!Maxi_hp)</f>
        <v>42.692090541725008</v>
      </c>
      <c r="J295" s="85">
        <f>IF(H295,An,'2025'!An_max)</f>
        <v>2021</v>
      </c>
      <c r="K295" s="197">
        <f t="shared" si="104"/>
        <v>46303</v>
      </c>
      <c r="L295" s="147">
        <f>IF(t&lt;Tvie,1-EXP((T0-t)*PertePVj)+'2025'!Pspv,1-EXP((T0-t)*PertePVj)+Pspv)</f>
        <v>5.275593459609651E-2</v>
      </c>
      <c r="M295" s="832"/>
      <c r="N295" s="832"/>
      <c r="O295" s="48">
        <f>IF(t&lt;Tnet,'2025'!Resal+('2025'!Salim-'2025'!Resal)*(1-EXP(('2025'!Tnet-t)/('2025'!Tau_j))),Resal+(Salim-Resal)*(1-EXP((Tnet-t)/(Tau_j))))*Salcycl</f>
        <v>5.0168201977197534E-2</v>
      </c>
      <c r="P295" s="169">
        <f>(INDEX(Models!$BJ295:$BT295,,T295)*(1-R295)+INDEX(Models!$BJ295:$BT295,,T295+1)*R295-ERP_i)*Q295*Ramure*Pc/MaxiM</f>
        <v>7.3954176725824232E-4</v>
      </c>
      <c r="Q295" s="304">
        <f t="shared" si="105"/>
        <v>0.7</v>
      </c>
      <c r="R295" s="177">
        <f t="shared" si="106"/>
        <v>0.17620866749320485</v>
      </c>
      <c r="S295" s="799">
        <f t="shared" si="107"/>
        <v>-1</v>
      </c>
      <c r="T295" s="176">
        <f t="shared" si="108"/>
        <v>5</v>
      </c>
      <c r="U295" s="250">
        <f t="shared" si="109"/>
        <v>-0.82379133250679515</v>
      </c>
      <c r="V295" s="382">
        <f t="shared" si="110"/>
        <v>38.583891757317012</v>
      </c>
      <c r="W295" s="400">
        <f t="shared" si="111"/>
        <v>14.672779027985577</v>
      </c>
      <c r="X295" s="157">
        <f t="shared" si="112"/>
        <v>46303</v>
      </c>
      <c r="Y295" s="383">
        <f t="shared" si="113"/>
        <v>14.194828550847911</v>
      </c>
      <c r="Z295" s="383">
        <f t="shared" si="114"/>
        <v>14.985397184616044</v>
      </c>
      <c r="AA295" s="384">
        <f t="shared" si="115"/>
        <v>16.272423553365051</v>
      </c>
      <c r="AB295" s="197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7.9092482108042053E-2</v>
      </c>
      <c r="AD295" s="230">
        <f>(INDEX(Models!$BJ295:$BT295,,AH295)*(1-AF295)+INDEX(Models!$BJ295:$BT295,,AH295+1)*AF295-ERP_i)*AE295*Ramure*Pc/MaxiM</f>
        <v>1.9820805247520272E-2</v>
      </c>
      <c r="AE295" s="304">
        <f t="shared" si="117"/>
        <v>0.7</v>
      </c>
      <c r="AF295" s="177">
        <f t="shared" si="118"/>
        <v>0.93186649833255575</v>
      </c>
      <c r="AG295" s="799">
        <f t="shared" si="124"/>
        <v>1</v>
      </c>
      <c r="AH295" s="176">
        <f t="shared" si="119"/>
        <v>7</v>
      </c>
      <c r="AI295" s="224">
        <f t="shared" si="120"/>
        <v>1.9318664983325557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46304</v>
      </c>
      <c r="B296" s="409">
        <f>'2025'!Wh/'2025'!Env_an*'2026'!Env_an</f>
        <v>38.410395482861482</v>
      </c>
      <c r="C296" s="829"/>
      <c r="D296" s="391">
        <f t="shared" si="102"/>
        <v>40.550406200811196</v>
      </c>
      <c r="E296" s="383">
        <f t="shared" si="100"/>
        <v>42.693765962423115</v>
      </c>
      <c r="F296" s="383">
        <f t="shared" si="103"/>
        <v>42.727093613485295</v>
      </c>
      <c r="G296" s="110">
        <f t="shared" si="101"/>
        <v>1.0024924014672847</v>
      </c>
      <c r="H296" s="412" t="b">
        <f>Wh_hp&gt;='2025'!Maxi_hp</f>
        <v>1</v>
      </c>
      <c r="I296" s="388">
        <f>IF(H296,Wh_hp,'2025'!Maxi_hp)</f>
        <v>42.727093613485295</v>
      </c>
      <c r="J296" s="85">
        <f>IF(H296,An,'2025'!An_max)</f>
        <v>2026</v>
      </c>
      <c r="K296" s="197">
        <f t="shared" si="104"/>
        <v>46304</v>
      </c>
      <c r="L296" s="147">
        <f>IF(t&lt;Tvie,1-EXP((T0-t)*PertePVj)+'2025'!Pspv,1-EXP((T0-t)*PertePVj)+Pspv)</f>
        <v>5.2774088312508849E-2</v>
      </c>
      <c r="M296" s="832"/>
      <c r="N296" s="832"/>
      <c r="O296" s="48">
        <f>IF(t&lt;Tnet,'2025'!Resal+('2025'!Salim-'2025'!Resal)*(1-EXP(('2025'!Tnet-t)/('2025'!Tau_j))),Resal+(Salim-Resal)*(1-EXP((Tnet-t)/(Tau_j))))*Salcycl</f>
        <v>5.0203108423332726E-2</v>
      </c>
      <c r="P296" s="169">
        <f>(INDEX(Models!$BJ296:$BT296,,T296)*(1-R296)+INDEX(Models!$BJ296:$BT296,,T296+1)*R296-ERP_i)*Q296*Ramure*Pc/MaxiM</f>
        <v>7.800121244769581E-4</v>
      </c>
      <c r="Q296" s="304">
        <f t="shared" si="105"/>
        <v>0.7</v>
      </c>
      <c r="R296" s="177">
        <f t="shared" si="106"/>
        <v>0.17632344774173481</v>
      </c>
      <c r="S296" s="799">
        <f t="shared" si="107"/>
        <v>-1</v>
      </c>
      <c r="T296" s="176">
        <f t="shared" si="108"/>
        <v>5</v>
      </c>
      <c r="U296" s="250">
        <f t="shared" si="109"/>
        <v>-0.82367655225826519</v>
      </c>
      <c r="V296" s="382">
        <f t="shared" si="110"/>
        <v>38.314899371449215</v>
      </c>
      <c r="W296" s="400">
        <f t="shared" si="111"/>
        <v>38.410395482861482</v>
      </c>
      <c r="X296" s="157">
        <f t="shared" si="112"/>
        <v>46304</v>
      </c>
      <c r="Y296" s="383">
        <f t="shared" si="113"/>
        <v>36.470318646362429</v>
      </c>
      <c r="Z296" s="383">
        <f t="shared" si="114"/>
        <v>38.502239219142815</v>
      </c>
      <c r="AA296" s="384">
        <f t="shared" si="115"/>
        <v>41.808435103429133</v>
      </c>
      <c r="AB296" s="197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7.9079637305418754E-2</v>
      </c>
      <c r="AD296" s="230">
        <f>(INDEX(Models!$BJ296:$BT296,,AH296)*(1-AF296)+INDEX(Models!$BJ296:$BT296,,AH296+1)*AF296-ERP_i)*AE296*Ramure*Pc/MaxiM</f>
        <v>2.150060845154746E-2</v>
      </c>
      <c r="AE296" s="304">
        <f t="shared" si="117"/>
        <v>0.7</v>
      </c>
      <c r="AF296" s="177">
        <f t="shared" si="118"/>
        <v>0.9319812785810857</v>
      </c>
      <c r="AG296" s="799">
        <f t="shared" si="124"/>
        <v>1</v>
      </c>
      <c r="AH296" s="176">
        <f t="shared" si="119"/>
        <v>7</v>
      </c>
      <c r="AI296" s="224">
        <f t="shared" si="120"/>
        <v>1.9319812785810857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46305</v>
      </c>
      <c r="B297" s="409">
        <f>'2025'!Wh/'2025'!Env_an*'2026'!Env_an</f>
        <v>33.525921458789007</v>
      </c>
      <c r="C297" s="829"/>
      <c r="D297" s="391">
        <f t="shared" si="102"/>
        <v>35.394475144806087</v>
      </c>
      <c r="E297" s="383">
        <f t="shared" ref="E297:E360" si="125">Wh_pvt/(1-Psa)</f>
        <v>37.266646370964857</v>
      </c>
      <c r="F297" s="383">
        <f t="shared" si="103"/>
        <v>37.292453382084915</v>
      </c>
      <c r="G297" s="110">
        <f t="shared" ref="G297:G360" si="126">+Wh_hp/MaxiM</f>
        <v>0.88109335533347743</v>
      </c>
      <c r="H297" s="412" t="b">
        <f>Wh_hp&gt;='2025'!Maxi_hp</f>
        <v>1</v>
      </c>
      <c r="I297" s="388">
        <f>IF(H297,Wh_hp,'2025'!Maxi_hp)</f>
        <v>37.292453382084915</v>
      </c>
      <c r="J297" s="85">
        <f>IF(H297,An,'2025'!An_max)</f>
        <v>2026</v>
      </c>
      <c r="K297" s="197">
        <f t="shared" si="104"/>
        <v>46305</v>
      </c>
      <c r="L297" s="147">
        <f>IF(t&lt;Tvie,1-EXP((T0-t)*PertePVj)+'2025'!Pspv,1-EXP((T0-t)*PertePVj)+Pspv)</f>
        <v>5.2792241681009378E-2</v>
      </c>
      <c r="M297" s="832"/>
      <c r="N297" s="832"/>
      <c r="O297" s="48">
        <f>IF(t&lt;Tnet,'2025'!Resal+('2025'!Salim-'2025'!Resal)*(1-EXP(('2025'!Tnet-t)/('2025'!Tau_j))),Resal+(Salim-Resal)*(1-EXP((Tnet-t)/(Tau_j))))*Salcycl</f>
        <v>5.0237180118719152E-2</v>
      </c>
      <c r="P297" s="169">
        <f>(INDEX(Models!$BJ297:$BT297,,T297)*(1-R297)+INDEX(Models!$BJ297:$BT297,,T297+1)*R297-ERP_i)*Q297*Ramure*Pc/MaxiM</f>
        <v>8.3344258411373112E-4</v>
      </c>
      <c r="Q297" s="304">
        <f t="shared" si="105"/>
        <v>0.7</v>
      </c>
      <c r="R297" s="177">
        <f t="shared" si="106"/>
        <v>0.17643366890860768</v>
      </c>
      <c r="S297" s="799">
        <f t="shared" si="107"/>
        <v>-1</v>
      </c>
      <c r="T297" s="176">
        <f t="shared" si="108"/>
        <v>5</v>
      </c>
      <c r="U297" s="250">
        <f t="shared" si="109"/>
        <v>-0.82356633109139232</v>
      </c>
      <c r="V297" s="382">
        <f t="shared" si="110"/>
        <v>38.044977355579455</v>
      </c>
      <c r="W297" s="400">
        <f t="shared" si="111"/>
        <v>33.525921458789007</v>
      </c>
      <c r="X297" s="157">
        <f t="shared" si="112"/>
        <v>46305</v>
      </c>
      <c r="Y297" s="383">
        <f t="shared" si="113"/>
        <v>31.902900416542728</v>
      </c>
      <c r="Z297" s="383">
        <f t="shared" si="114"/>
        <v>33.680995680568323</v>
      </c>
      <c r="AA297" s="384">
        <f t="shared" si="115"/>
        <v>36.572633750108402</v>
      </c>
      <c r="AB297" s="197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7.9065622927184179E-2</v>
      </c>
      <c r="AD297" s="230">
        <f>(INDEX(Models!$BJ297:$BT297,,AH297)*(1-AF297)+INDEX(Models!$BJ297:$BT297,,AH297+1)*AF297-ERP_i)*AE297*Ramure*Pc/MaxiM</f>
        <v>2.3246718939259933E-2</v>
      </c>
      <c r="AE297" s="304">
        <f t="shared" si="117"/>
        <v>0.7</v>
      </c>
      <c r="AF297" s="177">
        <f t="shared" si="118"/>
        <v>0.93209149974795857</v>
      </c>
      <c r="AG297" s="799">
        <f t="shared" si="124"/>
        <v>1</v>
      </c>
      <c r="AH297" s="176">
        <f t="shared" si="119"/>
        <v>7</v>
      </c>
      <c r="AI297" s="224">
        <f t="shared" si="120"/>
        <v>1.9320914997479586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46306</v>
      </c>
      <c r="B298" s="409">
        <f>'2025'!Wh/'2025'!Env_an*'2026'!Env_an</f>
        <v>24.130226220190696</v>
      </c>
      <c r="C298" s="829"/>
      <c r="D298" s="391">
        <f t="shared" si="102"/>
        <v>25.47560286262738</v>
      </c>
      <c r="E298" s="383">
        <f t="shared" si="125"/>
        <v>26.824059570530057</v>
      </c>
      <c r="F298" s="383">
        <f t="shared" si="103"/>
        <v>26.835749590887833</v>
      </c>
      <c r="G298" s="110">
        <f t="shared" si="126"/>
        <v>0.63849959321712835</v>
      </c>
      <c r="H298" s="412" t="b">
        <f>Wh_hp&gt;='2025'!Maxi_hp</f>
        <v>0</v>
      </c>
      <c r="I298" s="388">
        <f>IF(H298,Wh_hp,'2025'!Maxi_hp)</f>
        <v>42.840909894173365</v>
      </c>
      <c r="J298" s="85">
        <f>IF(H298,An,'2025'!An_max)</f>
        <v>2018</v>
      </c>
      <c r="K298" s="197">
        <f t="shared" si="104"/>
        <v>46306</v>
      </c>
      <c r="L298" s="147">
        <f>IF(t&lt;Tvie,1-EXP((T0-t)*PertePVj)+'2025'!Pspv,1-EXP((T0-t)*PertePVj)+Pspv)</f>
        <v>5.2810394701604757E-2</v>
      </c>
      <c r="M298" s="832"/>
      <c r="N298" s="832"/>
      <c r="O298" s="48">
        <f>IF(t&lt;Tnet,'2025'!Resal+('2025'!Salim-'2025'!Resal)*(1-EXP(('2025'!Tnet-t)/('2025'!Tau_j))),Resal+(Salim-Resal)*(1-EXP((Tnet-t)/(Tau_j))))*Salcycl</f>
        <v>5.0270418776736686E-2</v>
      </c>
      <c r="P298" s="169">
        <f>(INDEX(Models!$BJ298:$BT298,,T298)*(1-R298)+INDEX(Models!$BJ298:$BT298,,T298+1)*R298-ERP_i)*Q298*Ramure*Pc/MaxiM</f>
        <v>9.0003789695462311E-4</v>
      </c>
      <c r="Q298" s="304">
        <f t="shared" si="105"/>
        <v>0.7</v>
      </c>
      <c r="R298" s="177">
        <f t="shared" si="106"/>
        <v>0.17653950968730081</v>
      </c>
      <c r="S298" s="799">
        <f t="shared" si="107"/>
        <v>-1</v>
      </c>
      <c r="T298" s="176">
        <f t="shared" si="108"/>
        <v>5</v>
      </c>
      <c r="U298" s="250">
        <f t="shared" si="109"/>
        <v>-0.82346049031269919</v>
      </c>
      <c r="V298" s="382">
        <f t="shared" si="110"/>
        <v>37.774518467577224</v>
      </c>
      <c r="W298" s="400">
        <f t="shared" si="111"/>
        <v>24.130226220190696</v>
      </c>
      <c r="X298" s="157">
        <f t="shared" si="112"/>
        <v>46306</v>
      </c>
      <c r="Y298" s="383">
        <f t="shared" si="113"/>
        <v>23.125270522652034</v>
      </c>
      <c r="Z298" s="383">
        <f t="shared" si="114"/>
        <v>24.414616031778376</v>
      </c>
      <c r="AA298" s="384">
        <f t="shared" si="115"/>
        <v>26.51026419540753</v>
      </c>
      <c r="AB298" s="197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7.9050444317797119E-2</v>
      </c>
      <c r="AD298" s="230">
        <f>(INDEX(Models!$BJ298:$BT298,,AH298)*(1-AF298)+INDEX(Models!$BJ298:$BT298,,AH298+1)*AF298-ERP_i)*AE298*Ramure*Pc/MaxiM</f>
        <v>2.5059767380360209E-2</v>
      </c>
      <c r="AE298" s="304">
        <f t="shared" si="117"/>
        <v>0.7</v>
      </c>
      <c r="AF298" s="177">
        <f t="shared" si="118"/>
        <v>0.93219734052665171</v>
      </c>
      <c r="AG298" s="799">
        <f t="shared" si="124"/>
        <v>1</v>
      </c>
      <c r="AH298" s="176">
        <f t="shared" si="119"/>
        <v>7</v>
      </c>
      <c r="AI298" s="224">
        <f t="shared" si="120"/>
        <v>1.9321973405266517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46307</v>
      </c>
      <c r="B299" s="409">
        <f>'2025'!Wh/'2025'!Env_an*'2026'!Env_an</f>
        <v>22.972261785831062</v>
      </c>
      <c r="C299" s="829"/>
      <c r="D299" s="391">
        <f t="shared" si="102"/>
        <v>24.25354113254636</v>
      </c>
      <c r="E299" s="383">
        <f t="shared" si="125"/>
        <v>25.538184022470642</v>
      </c>
      <c r="F299" s="383">
        <f t="shared" si="103"/>
        <v>25.549362938884201</v>
      </c>
      <c r="G299" s="110">
        <f t="shared" si="126"/>
        <v>0.61219727381280109</v>
      </c>
      <c r="H299" s="412" t="b">
        <f>Wh_hp&gt;='2025'!Maxi_hp</f>
        <v>0</v>
      </c>
      <c r="I299" s="388">
        <f>IF(H299,Wh_hp,'2025'!Maxi_hp)</f>
        <v>40.800834584500151</v>
      </c>
      <c r="J299" s="85">
        <f>IF(H299,An,'2025'!An_max)</f>
        <v>2021</v>
      </c>
      <c r="K299" s="197">
        <f t="shared" si="104"/>
        <v>46307</v>
      </c>
      <c r="L299" s="147">
        <f>IF(t&lt;Tvie,1-EXP((T0-t)*PertePVj)+'2025'!Pspv,1-EXP((T0-t)*PertePVj)+Pspv)</f>
        <v>5.2828547374301649E-2</v>
      </c>
      <c r="M299" s="832"/>
      <c r="N299" s="832"/>
      <c r="O299" s="48">
        <f>IF(t&lt;Tnet,'2025'!Resal+('2025'!Salim-'2025'!Resal)*(1-EXP(('2025'!Tnet-t)/('2025'!Tau_j))),Resal+(Salim-Resal)*(1-EXP((Tnet-t)/(Tau_j))))*Salcycl</f>
        <v>5.0302828454597416E-2</v>
      </c>
      <c r="P299" s="169">
        <f>(INDEX(Models!$BJ299:$BT299,,T299)*(1-R299)+INDEX(Models!$BJ299:$BT299,,T299+1)*R299-ERP_i)*Q299*Ramure*Pc/MaxiM</f>
        <v>9.8000070947764999E-4</v>
      </c>
      <c r="Q299" s="304">
        <f t="shared" si="105"/>
        <v>0.7</v>
      </c>
      <c r="R299" s="177">
        <f t="shared" si="106"/>
        <v>0.17664114195522185</v>
      </c>
      <c r="S299" s="799">
        <f t="shared" si="107"/>
        <v>-1</v>
      </c>
      <c r="T299" s="176">
        <f t="shared" si="108"/>
        <v>5</v>
      </c>
      <c r="U299" s="250">
        <f t="shared" si="109"/>
        <v>-0.82335885804477815</v>
      </c>
      <c r="V299" s="382">
        <f t="shared" si="110"/>
        <v>37.5039154975128</v>
      </c>
      <c r="W299" s="400">
        <f t="shared" si="111"/>
        <v>22.972261785831062</v>
      </c>
      <c r="X299" s="157">
        <f t="shared" si="112"/>
        <v>46307</v>
      </c>
      <c r="Y299" s="383">
        <f t="shared" si="113"/>
        <v>22.018961276073089</v>
      </c>
      <c r="Z299" s="383">
        <f t="shared" si="114"/>
        <v>23.247070226866843</v>
      </c>
      <c r="AA299" s="384">
        <f t="shared" si="115"/>
        <v>25.242053469418551</v>
      </c>
      <c r="AB299" s="197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7.9034110476340014E-2</v>
      </c>
      <c r="AD299" s="230">
        <f>(INDEX(Models!$BJ299:$BT299,,AH299)*(1-AF299)+INDEX(Models!$BJ299:$BT299,,AH299+1)*AF299-ERP_i)*AE299*Ramure*Pc/MaxiM</f>
        <v>2.6940312188060488E-2</v>
      </c>
      <c r="AE299" s="304">
        <f t="shared" si="117"/>
        <v>0.7</v>
      </c>
      <c r="AF299" s="177">
        <f t="shared" si="118"/>
        <v>0.93229897279457274</v>
      </c>
      <c r="AG299" s="799">
        <f t="shared" si="124"/>
        <v>1</v>
      </c>
      <c r="AH299" s="176">
        <f t="shared" si="119"/>
        <v>7</v>
      </c>
      <c r="AI299" s="224">
        <f t="shared" si="120"/>
        <v>1.9322989727945727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46308</v>
      </c>
      <c r="B300" s="409">
        <f>'2025'!Wh/'2025'!Env_an*'2026'!Env_an</f>
        <v>23.632609917318586</v>
      </c>
      <c r="C300" s="829"/>
      <c r="D300" s="391">
        <f t="shared" si="102"/>
        <v>24.951198406647517</v>
      </c>
      <c r="E300" s="383">
        <f t="shared" si="125"/>
        <v>26.273668139315451</v>
      </c>
      <c r="F300" s="383">
        <f t="shared" si="103"/>
        <v>26.287161867139758</v>
      </c>
      <c r="G300" s="110">
        <f t="shared" si="126"/>
        <v>0.6343568298491109</v>
      </c>
      <c r="H300" s="412" t="b">
        <f>Wh_hp&gt;='2025'!Maxi_hp</f>
        <v>0</v>
      </c>
      <c r="I300" s="388">
        <f>IF(H300,Wh_hp,'2025'!Maxi_hp)</f>
        <v>40.05086474432693</v>
      </c>
      <c r="J300" s="85">
        <f>IF(H300,An,'2025'!An_max)</f>
        <v>2021</v>
      </c>
      <c r="K300" s="197">
        <f t="shared" si="104"/>
        <v>46308</v>
      </c>
      <c r="L300" s="147">
        <f>IF(t&lt;Tvie,1-EXP((T0-t)*PertePVj)+'2025'!Pspv,1-EXP((T0-t)*PertePVj)+Pspv)</f>
        <v>5.2846699699106714E-2</v>
      </c>
      <c r="M300" s="832"/>
      <c r="N300" s="832"/>
      <c r="O300" s="48">
        <f>IF(t&lt;Tnet,'2025'!Resal+('2025'!Salim-'2025'!Resal)*(1-EXP(('2025'!Tnet-t)/('2025'!Tau_j))),Resal+(Salim-Resal)*(1-EXP((Tnet-t)/(Tau_j))))*Salcycl</f>
        <v>5.0334415645945305E-2</v>
      </c>
      <c r="P300" s="169">
        <f>(INDEX(Models!$BJ300:$BT300,,T300)*(1-R300)+INDEX(Models!$BJ300:$BT300,,T300+1)*R300-ERP_i)*Q300*Ramure*Pc/MaxiM</f>
        <v>1.0735301471083371E-3</v>
      </c>
      <c r="Q300" s="304">
        <f t="shared" si="105"/>
        <v>0.7</v>
      </c>
      <c r="R300" s="177">
        <f t="shared" si="106"/>
        <v>0.17673873101889725</v>
      </c>
      <c r="S300" s="799">
        <f t="shared" si="107"/>
        <v>-1</v>
      </c>
      <c r="T300" s="176">
        <f t="shared" si="108"/>
        <v>5</v>
      </c>
      <c r="U300" s="250">
        <f t="shared" si="109"/>
        <v>-0.82326126898110275</v>
      </c>
      <c r="V300" s="382">
        <f t="shared" si="110"/>
        <v>37.233561270729759</v>
      </c>
      <c r="W300" s="400">
        <f t="shared" si="111"/>
        <v>23.632609917318586</v>
      </c>
      <c r="X300" s="157">
        <f t="shared" si="112"/>
        <v>46308</v>
      </c>
      <c r="Y300" s="383">
        <f t="shared" si="113"/>
        <v>22.613865889680657</v>
      </c>
      <c r="Z300" s="383">
        <f t="shared" si="114"/>
        <v>23.875613253415942</v>
      </c>
      <c r="AA300" s="384">
        <f t="shared" si="115"/>
        <v>25.924043950920552</v>
      </c>
      <c r="AB300" s="197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7.901663418649893E-2</v>
      </c>
      <c r="AD300" s="230">
        <f>(INDEX(Models!$BJ300:$BT300,,AH300)*(1-AF300)+INDEX(Models!$BJ300:$BT300,,AH300+1)*AF300-ERP_i)*AE300*Ramure*Pc/MaxiM</f>
        <v>2.8888831543954625E-2</v>
      </c>
      <c r="AE300" s="304">
        <f t="shared" si="117"/>
        <v>0.7</v>
      </c>
      <c r="AF300" s="177">
        <f t="shared" si="118"/>
        <v>0.93239656185824815</v>
      </c>
      <c r="AG300" s="799">
        <f t="shared" si="124"/>
        <v>1</v>
      </c>
      <c r="AH300" s="176">
        <f t="shared" si="119"/>
        <v>7</v>
      </c>
      <c r="AI300" s="224">
        <f t="shared" si="120"/>
        <v>1.9323965618582482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46309</v>
      </c>
      <c r="B301" s="409">
        <f>'2025'!Wh/'2025'!Env_an*'2026'!Env_an</f>
        <v>14.720535745671128</v>
      </c>
      <c r="C301" s="829"/>
      <c r="D301" s="391">
        <f t="shared" si="102"/>
        <v>15.542170271814131</v>
      </c>
      <c r="E301" s="383">
        <f t="shared" si="125"/>
        <v>16.366470666093019</v>
      </c>
      <c r="F301" s="383">
        <f t="shared" si="103"/>
        <v>16.369183401589275</v>
      </c>
      <c r="G301" s="110">
        <f t="shared" si="126"/>
        <v>0.39783710347658979</v>
      </c>
      <c r="H301" s="412" t="b">
        <f>Wh_hp&gt;='2025'!Maxi_hp</f>
        <v>0</v>
      </c>
      <c r="I301" s="388">
        <f>IF(H301,Wh_hp,'2025'!Maxi_hp)</f>
        <v>42.197658918664054</v>
      </c>
      <c r="J301" s="85">
        <f>IF(H301,An,'2025'!An_max)</f>
        <v>2021</v>
      </c>
      <c r="K301" s="197">
        <f t="shared" si="104"/>
        <v>46309</v>
      </c>
      <c r="L301" s="147">
        <f>IF(t&lt;Tvie,1-EXP((T0-t)*PertePVj)+'2025'!Pspv,1-EXP((T0-t)*PertePVj)+Pspv)</f>
        <v>5.2864851676026503E-2</v>
      </c>
      <c r="M301" s="832"/>
      <c r="N301" s="832"/>
      <c r="O301" s="48">
        <f>IF(t&lt;Tnet,'2025'!Resal+('2025'!Salim-'2025'!Resal)*(1-EXP(('2025'!Tnet-t)/('2025'!Tau_j))),Resal+(Salim-Resal)*(1-EXP((Tnet-t)/(Tau_j))))*Salcycl</f>
        <v>5.0365189361602503E-2</v>
      </c>
      <c r="P301" s="169">
        <f>(INDEX(Models!$BJ301:$BT301,,T301)*(1-R301)+INDEX(Models!$BJ301:$BT301,,T301+1)*R301-ERP_i)*Q301*Ramure*Pc/MaxiM</f>
        <v>1.1808203357570755E-3</v>
      </c>
      <c r="Q301" s="304">
        <f t="shared" si="105"/>
        <v>0.7</v>
      </c>
      <c r="R301" s="177">
        <f t="shared" si="106"/>
        <v>0.17683243585152186</v>
      </c>
      <c r="S301" s="799">
        <f t="shared" si="107"/>
        <v>-1</v>
      </c>
      <c r="T301" s="176">
        <f t="shared" si="108"/>
        <v>5</v>
      </c>
      <c r="U301" s="250">
        <f t="shared" si="109"/>
        <v>-0.82316756414847814</v>
      </c>
      <c r="V301" s="382">
        <f t="shared" si="110"/>
        <v>36.963848647046781</v>
      </c>
      <c r="W301" s="400">
        <f t="shared" si="111"/>
        <v>14.720535745671128</v>
      </c>
      <c r="X301" s="157">
        <f t="shared" si="112"/>
        <v>46309</v>
      </c>
      <c r="Y301" s="383">
        <f t="shared" si="113"/>
        <v>14.217122143523342</v>
      </c>
      <c r="Z301" s="383">
        <f t="shared" si="114"/>
        <v>15.010658371914086</v>
      </c>
      <c r="AA301" s="384">
        <f t="shared" si="115"/>
        <v>16.298182735251295</v>
      </c>
      <c r="AB301" s="197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7.8998032127374898E-2</v>
      </c>
      <c r="AD301" s="230">
        <f>(INDEX(Models!$BJ301:$BT301,,AH301)*(1-AF301)+INDEX(Models!$BJ301:$BT301,,AH301+1)*AF301-ERP_i)*AE301*Ramure*Pc/MaxiM</f>
        <v>3.0905715201471971E-2</v>
      </c>
      <c r="AE301" s="304">
        <f t="shared" si="117"/>
        <v>0.7</v>
      </c>
      <c r="AF301" s="177">
        <f t="shared" si="118"/>
        <v>0.93249026669087276</v>
      </c>
      <c r="AG301" s="799">
        <f t="shared" si="124"/>
        <v>1</v>
      </c>
      <c r="AH301" s="176">
        <f t="shared" si="119"/>
        <v>7</v>
      </c>
      <c r="AI301" s="224">
        <f t="shared" si="120"/>
        <v>1.9324902666908728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46310</v>
      </c>
      <c r="B302" s="409">
        <f>'2025'!Wh/'2025'!Env_an*'2026'!Env_an</f>
        <v>37.546461535207293</v>
      </c>
      <c r="C302" s="829"/>
      <c r="D302" s="391">
        <f t="shared" si="102"/>
        <v>39.642896987626408</v>
      </c>
      <c r="E302" s="383">
        <f t="shared" si="125"/>
        <v>41.746730184752153</v>
      </c>
      <c r="F302" s="383">
        <f t="shared" si="103"/>
        <v>41.801157752638467</v>
      </c>
      <c r="G302" s="110">
        <f t="shared" si="126"/>
        <v>1.0231989932940344</v>
      </c>
      <c r="H302" s="412" t="b">
        <f>Wh_hp&gt;='2025'!Maxi_hp</f>
        <v>1</v>
      </c>
      <c r="I302" s="388">
        <f>IF(H302,Wh_hp,'2025'!Maxi_hp)</f>
        <v>41.801157752638467</v>
      </c>
      <c r="J302" s="85">
        <f>IF(H302,An,'2025'!An_max)</f>
        <v>2026</v>
      </c>
      <c r="K302" s="197">
        <f t="shared" si="104"/>
        <v>46310</v>
      </c>
      <c r="L302" s="147">
        <f>IF(t&lt;Tvie,1-EXP((T0-t)*PertePVj)+'2025'!Pspv,1-EXP((T0-t)*PertePVj)+Pspv)</f>
        <v>5.2883003305067899E-2</v>
      </c>
      <c r="M302" s="832"/>
      <c r="N302" s="832"/>
      <c r="O302" s="48">
        <f>IF(t&lt;Tnet,'2025'!Resal+('2025'!Salim-'2025'!Resal)*(1-EXP(('2025'!Tnet-t)/('2025'!Tau_j))),Resal+(Salim-Resal)*(1-EXP((Tnet-t)/(Tau_j))))*Salcycl</f>
        <v>5.0395161197419096E-2</v>
      </c>
      <c r="P302" s="169">
        <f>(INDEX(Models!$BJ302:$BT302,,T302)*(1-R302)+INDEX(Models!$BJ302:$BT302,,T302+1)*R302-ERP_i)*Q302*Ramure*Pc/MaxiM</f>
        <v>1.3020588618236136E-3</v>
      </c>
      <c r="Q302" s="304">
        <f t="shared" si="105"/>
        <v>0.7</v>
      </c>
      <c r="R302" s="177">
        <f t="shared" si="106"/>
        <v>0.17692240932301462</v>
      </c>
      <c r="S302" s="799">
        <f t="shared" si="107"/>
        <v>-1</v>
      </c>
      <c r="T302" s="176">
        <f t="shared" si="108"/>
        <v>5</v>
      </c>
      <c r="U302" s="250">
        <f t="shared" si="109"/>
        <v>-0.82307759067698538</v>
      </c>
      <c r="V302" s="382">
        <f t="shared" si="110"/>
        <v>36.695170520381524</v>
      </c>
      <c r="W302" s="400">
        <f t="shared" si="111"/>
        <v>37.546461535207293</v>
      </c>
      <c r="X302" s="157">
        <f t="shared" si="112"/>
        <v>46310</v>
      </c>
      <c r="Y302" s="383">
        <f t="shared" si="113"/>
        <v>35.260802552302593</v>
      </c>
      <c r="Z302" s="383">
        <f t="shared" si="114"/>
        <v>37.22961648386525</v>
      </c>
      <c r="AA302" s="384">
        <f t="shared" si="115"/>
        <v>40.422085052878067</v>
      </c>
      <c r="AB302" s="197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7.8978324963608321E-2</v>
      </c>
      <c r="AD302" s="230">
        <f>(INDEX(Models!$BJ302:$BT302,,AH302)*(1-AF302)+INDEX(Models!$BJ302:$BT302,,AH302+1)*AF302-ERP_i)*AE302*Ramure*Pc/MaxiM</f>
        <v>3.2991256077670651E-2</v>
      </c>
      <c r="AE302" s="304">
        <f t="shared" si="117"/>
        <v>0.7</v>
      </c>
      <c r="AF302" s="177">
        <f t="shared" si="118"/>
        <v>0.93258024016236551</v>
      </c>
      <c r="AG302" s="799">
        <f t="shared" si="124"/>
        <v>1</v>
      </c>
      <c r="AH302" s="176">
        <f t="shared" si="119"/>
        <v>7</v>
      </c>
      <c r="AI302" s="224">
        <f t="shared" si="120"/>
        <v>1.9325802401623655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46311</v>
      </c>
      <c r="B303" s="409">
        <f>'2025'!Wh/'2025'!Env_an*'2026'!Env_an</f>
        <v>33.548226394752334</v>
      </c>
      <c r="C303" s="829"/>
      <c r="D303" s="391">
        <f t="shared" si="102"/>
        <v>35.422096180569199</v>
      </c>
      <c r="E303" s="383">
        <f t="shared" si="125"/>
        <v>37.303079547729908</v>
      </c>
      <c r="F303" s="383">
        <f t="shared" si="103"/>
        <v>37.350710486754203</v>
      </c>
      <c r="G303" s="110">
        <f t="shared" si="126"/>
        <v>0.92083932486515807</v>
      </c>
      <c r="H303" s="412" t="b">
        <f>Wh_hp&gt;='2025'!Maxi_hp</f>
        <v>0</v>
      </c>
      <c r="I303" s="388">
        <f>IF(H303,Wh_hp,'2025'!Maxi_hp)</f>
        <v>39.40385171327874</v>
      </c>
      <c r="J303" s="85">
        <f>IF(H303,An,'2025'!An_max)</f>
        <v>2018</v>
      </c>
      <c r="K303" s="197">
        <f t="shared" si="104"/>
        <v>46311</v>
      </c>
      <c r="L303" s="147">
        <f>IF(t&lt;Tvie,1-EXP((T0-t)*PertePVj)+'2025'!Pspv,1-EXP((T0-t)*PertePVj)+Pspv)</f>
        <v>5.2901154586237453E-2</v>
      </c>
      <c r="M303" s="832"/>
      <c r="N303" s="832"/>
      <c r="O303" s="48">
        <f>IF(t&lt;Tnet,'2025'!Resal+('2025'!Salim-'2025'!Resal)*(1-EXP(('2025'!Tnet-t)/('2025'!Tau_j))),Resal+(Salim-Resal)*(1-EXP((Tnet-t)/(Tau_j))))*Salcycl</f>
        <v>5.0424345388266477E-2</v>
      </c>
      <c r="P303" s="169">
        <f>(INDEX(Models!$BJ303:$BT303,,T303)*(1-R303)+INDEX(Models!$BJ303:$BT303,,T303+1)*R303-ERP_i)*Q303*Ramure*Pc/MaxiM</f>
        <v>1.4374887159620559E-3</v>
      </c>
      <c r="Q303" s="304">
        <f t="shared" si="105"/>
        <v>0.7</v>
      </c>
      <c r="R303" s="177">
        <f t="shared" si="106"/>
        <v>0.1770087984227211</v>
      </c>
      <c r="S303" s="799">
        <f t="shared" si="107"/>
        <v>-1</v>
      </c>
      <c r="T303" s="176">
        <f t="shared" si="108"/>
        <v>5</v>
      </c>
      <c r="U303" s="250">
        <f t="shared" si="109"/>
        <v>-0.8229912015772789</v>
      </c>
      <c r="V303" s="382">
        <f t="shared" si="110"/>
        <v>36.426307195389292</v>
      </c>
      <c r="W303" s="400">
        <f t="shared" si="111"/>
        <v>33.548226394752334</v>
      </c>
      <c r="X303" s="157">
        <f t="shared" si="112"/>
        <v>46311</v>
      </c>
      <c r="Y303" s="383">
        <f t="shared" si="113"/>
        <v>31.565807980278915</v>
      </c>
      <c r="Z303" s="383">
        <f t="shared" si="114"/>
        <v>33.328947800045775</v>
      </c>
      <c r="AA303" s="384">
        <f t="shared" si="115"/>
        <v>36.18611427148339</v>
      </c>
      <c r="AB303" s="197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7.8957537413438611E-2</v>
      </c>
      <c r="AD303" s="230">
        <f>(INDEX(Models!$BJ303:$BT303,,AH303)*(1-AF303)+INDEX(Models!$BJ303:$BT303,,AH303+1)*AF303-ERP_i)*AE303*Ramure*Pc/MaxiM</f>
        <v>3.514719533977826E-2</v>
      </c>
      <c r="AE303" s="304">
        <f t="shared" si="117"/>
        <v>0.7</v>
      </c>
      <c r="AF303" s="177">
        <f t="shared" si="118"/>
        <v>0.932666629262072</v>
      </c>
      <c r="AG303" s="799">
        <f t="shared" si="124"/>
        <v>1</v>
      </c>
      <c r="AH303" s="176">
        <f t="shared" si="119"/>
        <v>7</v>
      </c>
      <c r="AI303" s="224">
        <f t="shared" si="120"/>
        <v>1.932666629262072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46312</v>
      </c>
      <c r="B304" s="409">
        <f>'2025'!Wh/'2025'!Env_an*'2026'!Env_an</f>
        <v>18.419108057820448</v>
      </c>
      <c r="C304" s="829"/>
      <c r="D304" s="391">
        <f t="shared" si="102"/>
        <v>19.44829850842293</v>
      </c>
      <c r="E304" s="383">
        <f t="shared" si="125"/>
        <v>20.481654482839552</v>
      </c>
      <c r="F304" s="383">
        <f t="shared" si="103"/>
        <v>20.491395695063648</v>
      </c>
      <c r="G304" s="110">
        <f t="shared" si="126"/>
        <v>0.50886794795699442</v>
      </c>
      <c r="H304" s="412" t="b">
        <f>Wh_hp&gt;='2025'!Maxi_hp</f>
        <v>0</v>
      </c>
      <c r="I304" s="388">
        <f>IF(H304,Wh_hp,'2025'!Maxi_hp)</f>
        <v>38.717430776256577</v>
      </c>
      <c r="J304" s="85">
        <f>IF(H304,An,'2025'!An_max)</f>
        <v>2021</v>
      </c>
      <c r="K304" s="197">
        <f t="shared" si="104"/>
        <v>46312</v>
      </c>
      <c r="L304" s="147">
        <f>IF(t&lt;Tvie,1-EXP((T0-t)*PertePVj)+'2025'!Pspv,1-EXP((T0-t)*PertePVj)+Pspv)</f>
        <v>5.2919305519541826E-2</v>
      </c>
      <c r="M304" s="832"/>
      <c r="N304" s="832"/>
      <c r="O304" s="48">
        <f>IF(t&lt;Tnet,'2025'!Resal+('2025'!Salim-'2025'!Resal)*(1-EXP(('2025'!Tnet-t)/('2025'!Tau_j))),Resal+(Salim-Resal)*(1-EXP((Tnet-t)/(Tau_j))))*Salcycl</f>
        <v>5.045275884730957E-2</v>
      </c>
      <c r="P304" s="169">
        <f>(INDEX(Models!$BJ304:$BT304,,T304)*(1-R304)+INDEX(Models!$BJ304:$BT304,,T304+1)*R304-ERP_i)*Q304*Ramure*Pc/MaxiM</f>
        <v>1.5888733062162201E-3</v>
      </c>
      <c r="Q304" s="304">
        <f t="shared" si="105"/>
        <v>0.7</v>
      </c>
      <c r="R304" s="177">
        <f t="shared" si="106"/>
        <v>0.17709174447491693</v>
      </c>
      <c r="S304" s="799">
        <f t="shared" si="107"/>
        <v>-1</v>
      </c>
      <c r="T304" s="176">
        <f t="shared" si="108"/>
        <v>5</v>
      </c>
      <c r="U304" s="250">
        <f t="shared" si="109"/>
        <v>-0.82290825552508307</v>
      </c>
      <c r="V304" s="382">
        <f t="shared" si="110"/>
        <v>36.155919890323325</v>
      </c>
      <c r="W304" s="400">
        <f t="shared" si="111"/>
        <v>18.419108057820448</v>
      </c>
      <c r="X304" s="157">
        <f t="shared" si="112"/>
        <v>46312</v>
      </c>
      <c r="Y304" s="383">
        <f t="shared" si="113"/>
        <v>17.675660712243904</v>
      </c>
      <c r="Z304" s="383">
        <f t="shared" si="114"/>
        <v>18.66331012262928</v>
      </c>
      <c r="AA304" s="384">
        <f t="shared" si="115"/>
        <v>20.262765681017516</v>
      </c>
      <c r="AB304" s="197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7.8935698293477796E-2</v>
      </c>
      <c r="AD304" s="230">
        <f>(INDEX(Models!$BJ304:$BT304,,AH304)*(1-AF304)+INDEX(Models!$BJ304:$BT304,,AH304+1)*AF304-ERP_i)*AE304*Ramure*Pc/MaxiM</f>
        <v>3.7291470297624398E-2</v>
      </c>
      <c r="AE304" s="304">
        <f t="shared" si="117"/>
        <v>0.7</v>
      </c>
      <c r="AF304" s="177">
        <f t="shared" si="118"/>
        <v>0.93274957531426783</v>
      </c>
      <c r="AG304" s="799">
        <f t="shared" si="124"/>
        <v>1</v>
      </c>
      <c r="AH304" s="176">
        <f t="shared" si="119"/>
        <v>7</v>
      </c>
      <c r="AI304" s="224">
        <f t="shared" si="120"/>
        <v>1.9327495753142678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46313</v>
      </c>
      <c r="B305" s="409">
        <f>'2025'!Wh/'2025'!Env_an*'2026'!Env_an</f>
        <v>35.029503615286771</v>
      </c>
      <c r="C305" s="829"/>
      <c r="D305" s="391">
        <f t="shared" si="102"/>
        <v>36.987529325381082</v>
      </c>
      <c r="E305" s="383">
        <f t="shared" si="125"/>
        <v>38.953940656735426</v>
      </c>
      <c r="F305" s="383">
        <f t="shared" si="103"/>
        <v>39.019911362418313</v>
      </c>
      <c r="G305" s="110">
        <f t="shared" si="126"/>
        <v>0.97611467234744176</v>
      </c>
      <c r="H305" s="412" t="b">
        <f>Wh_hp&gt;='2025'!Maxi_hp</f>
        <v>1</v>
      </c>
      <c r="I305" s="388">
        <f>IF(H305,Wh_hp,'2025'!Maxi_hp)</f>
        <v>39.019911362418313</v>
      </c>
      <c r="J305" s="85">
        <f>IF(H305,An,'2025'!An_max)</f>
        <v>2026</v>
      </c>
      <c r="K305" s="197">
        <f t="shared" si="104"/>
        <v>46313</v>
      </c>
      <c r="L305" s="147">
        <f>IF(t&lt;Tvie,1-EXP((T0-t)*PertePVj)+'2025'!Pspv,1-EXP((T0-t)*PertePVj)+Pspv)</f>
        <v>5.293745610498779E-2</v>
      </c>
      <c r="M305" s="832"/>
      <c r="N305" s="832"/>
      <c r="O305" s="48">
        <f>IF(t&lt;Tnet,'2025'!Resal+('2025'!Salim-'2025'!Resal)*(1-EXP(('2025'!Tnet-t)/('2025'!Tau_j))),Resal+(Salim-Resal)*(1-EXP((Tnet-t)/(Tau_j))))*Salcycl</f>
        <v>5.0480421189796558E-2</v>
      </c>
      <c r="P305" s="169">
        <f>(INDEX(Models!$BJ305:$BT305,,T305)*(1-R305)+INDEX(Models!$BJ305:$BT305,,T305+1)*R305-ERP_i)*Q305*Ramure*Pc/MaxiM</f>
        <v>1.7502702549441116E-3</v>
      </c>
      <c r="Q305" s="304">
        <f t="shared" si="105"/>
        <v>0.7</v>
      </c>
      <c r="R305" s="177">
        <f t="shared" si="106"/>
        <v>0.17717138334726934</v>
      </c>
      <c r="S305" s="799">
        <f t="shared" si="107"/>
        <v>-1</v>
      </c>
      <c r="T305" s="176">
        <f t="shared" si="108"/>
        <v>5</v>
      </c>
      <c r="U305" s="250">
        <f t="shared" si="109"/>
        <v>-0.82282861665273066</v>
      </c>
      <c r="V305" s="382">
        <f t="shared" si="110"/>
        <v>35.88452681302018</v>
      </c>
      <c r="W305" s="400">
        <f t="shared" si="111"/>
        <v>35.029503615286771</v>
      </c>
      <c r="X305" s="157">
        <f t="shared" si="112"/>
        <v>46313</v>
      </c>
      <c r="Y305" s="383">
        <f t="shared" si="113"/>
        <v>32.744149643459998</v>
      </c>
      <c r="Z305" s="383">
        <f t="shared" si="114"/>
        <v>34.574432126512114</v>
      </c>
      <c r="AA305" s="384">
        <f t="shared" si="115"/>
        <v>37.536547732084138</v>
      </c>
      <c r="AB305" s="197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7.8912840539146697E-2</v>
      </c>
      <c r="AD305" s="230">
        <f>(INDEX(Models!$BJ305:$BT305,,AH305)*(1-AF305)+INDEX(Models!$BJ305:$BT305,,AH305+1)*AF305-ERP_i)*AE305*Ramure*Pc/MaxiM</f>
        <v>3.9355153360340706E-2</v>
      </c>
      <c r="AE305" s="304">
        <f t="shared" si="117"/>
        <v>0.7</v>
      </c>
      <c r="AF305" s="177">
        <f t="shared" si="118"/>
        <v>0.93282921418662035</v>
      </c>
      <c r="AG305" s="799">
        <f t="shared" si="124"/>
        <v>1</v>
      </c>
      <c r="AH305" s="176">
        <f t="shared" si="119"/>
        <v>7</v>
      </c>
      <c r="AI305" s="224">
        <f t="shared" si="120"/>
        <v>1.9328292141866203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46314</v>
      </c>
      <c r="B306" s="409">
        <f>'2025'!Wh/'2025'!Env_an*'2026'!Env_an</f>
        <v>15.668095460507091</v>
      </c>
      <c r="C306" s="829"/>
      <c r="D306" s="391">
        <f t="shared" si="102"/>
        <v>16.544203804425702</v>
      </c>
      <c r="E306" s="383">
        <f t="shared" si="125"/>
        <v>17.42425693029768</v>
      </c>
      <c r="F306" s="383">
        <f t="shared" si="103"/>
        <v>17.430954889367964</v>
      </c>
      <c r="G306" s="110">
        <f t="shared" si="126"/>
        <v>0.4392847886706045</v>
      </c>
      <c r="H306" s="412" t="b">
        <f>Wh_hp&gt;='2025'!Maxi_hp</f>
        <v>0</v>
      </c>
      <c r="I306" s="388">
        <f>IF(H306,Wh_hp,'2025'!Maxi_hp)</f>
        <v>39.339930108632885</v>
      </c>
      <c r="J306" s="85">
        <f>IF(H306,An,'2025'!An_max)</f>
        <v>2020</v>
      </c>
      <c r="K306" s="197">
        <f t="shared" si="104"/>
        <v>46314</v>
      </c>
      <c r="L306" s="147">
        <f>IF(t&lt;Tvie,1-EXP((T0-t)*PertePVj)+'2025'!Pspv,1-EXP((T0-t)*PertePVj)+Pspv)</f>
        <v>5.2955606342581785E-2</v>
      </c>
      <c r="M306" s="832"/>
      <c r="N306" s="832"/>
      <c r="O306" s="48">
        <f>IF(t&lt;Tnet,'2025'!Resal+('2025'!Salim-'2025'!Resal)*(1-EXP(('2025'!Tnet-t)/('2025'!Tau_j))),Resal+(Salim-Resal)*(1-EXP((Tnet-t)/(Tau_j))))*Salcycl</f>
        <v>5.0507354740719108E-2</v>
      </c>
      <c r="P306" s="169">
        <f>(INDEX(Models!$BJ306:$BT306,,T306)*(1-R306)+INDEX(Models!$BJ306:$BT306,,T306+1)*R306-ERP_i)*Q306*Ramure*Pc/MaxiM</f>
        <v>1.9218111999202596E-3</v>
      </c>
      <c r="Q306" s="304">
        <f t="shared" si="105"/>
        <v>0.7</v>
      </c>
      <c r="R306" s="177">
        <f t="shared" si="106"/>
        <v>0.17724784565241336</v>
      </c>
      <c r="S306" s="799">
        <f t="shared" si="107"/>
        <v>-1</v>
      </c>
      <c r="T306" s="176">
        <f t="shared" si="108"/>
        <v>5</v>
      </c>
      <c r="U306" s="250">
        <f t="shared" si="109"/>
        <v>-0.82275215434758664</v>
      </c>
      <c r="V306" s="382">
        <f t="shared" si="110"/>
        <v>35.612422853839981</v>
      </c>
      <c r="W306" s="400">
        <f t="shared" si="111"/>
        <v>15.668095460507091</v>
      </c>
      <c r="X306" s="157">
        <f t="shared" si="112"/>
        <v>46314</v>
      </c>
      <c r="Y306" s="383">
        <f t="shared" si="113"/>
        <v>15.07992236876181</v>
      </c>
      <c r="Z306" s="383">
        <f t="shared" si="114"/>
        <v>15.923142008712201</v>
      </c>
      <c r="AA306" s="384">
        <f t="shared" si="115"/>
        <v>17.286887280094188</v>
      </c>
      <c r="AB306" s="197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7.8889001199905856E-2</v>
      </c>
      <c r="AD306" s="230">
        <f>(INDEX(Models!$BJ306:$BT306,,AH306)*(1-AF306)+INDEX(Models!$BJ306:$BT306,,AH306+1)*AF306-ERP_i)*AE306*Ramure*Pc/MaxiM</f>
        <v>4.1336583598498761E-2</v>
      </c>
      <c r="AE306" s="304">
        <f t="shared" si="117"/>
        <v>0.7</v>
      </c>
      <c r="AF306" s="177">
        <f t="shared" si="118"/>
        <v>0.93290567649176426</v>
      </c>
      <c r="AG306" s="799">
        <f t="shared" si="124"/>
        <v>1</v>
      </c>
      <c r="AH306" s="176">
        <f t="shared" si="119"/>
        <v>7</v>
      </c>
      <c r="AI306" s="224">
        <f t="shared" si="120"/>
        <v>1.9329056764917643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46315</v>
      </c>
      <c r="B307" s="409">
        <f>'2025'!Wh/'2025'!Env_an*'2026'!Env_an</f>
        <v>12.180942229248412</v>
      </c>
      <c r="C307" s="829"/>
      <c r="D307" s="391">
        <f t="shared" si="102"/>
        <v>12.862306941766992</v>
      </c>
      <c r="E307" s="383">
        <f t="shared" si="125"/>
        <v>13.546879312569773</v>
      </c>
      <c r="F307" s="383">
        <f t="shared" si="103"/>
        <v>13.548698497295629</v>
      </c>
      <c r="G307" s="110">
        <f t="shared" si="126"/>
        <v>0.34400067437127901</v>
      </c>
      <c r="H307" s="412" t="b">
        <f>Wh_hp&gt;='2025'!Maxi_hp</f>
        <v>0</v>
      </c>
      <c r="I307" s="388">
        <f>IF(H307,Wh_hp,'2025'!Maxi_hp)</f>
        <v>36.661931071686425</v>
      </c>
      <c r="J307" s="85">
        <f>IF(H307,An,'2025'!An_max)</f>
        <v>2020</v>
      </c>
      <c r="K307" s="197">
        <f t="shared" si="104"/>
        <v>46315</v>
      </c>
      <c r="L307" s="147">
        <f>IF(t&lt;Tvie,1-EXP((T0-t)*PertePVj)+'2025'!Pspv,1-EXP((T0-t)*PertePVj)+Pspv)</f>
        <v>5.2973756232330693E-2</v>
      </c>
      <c r="M307" s="832"/>
      <c r="N307" s="832"/>
      <c r="O307" s="48">
        <f>IF(t&lt;Tnet,'2025'!Resal+('2025'!Salim-'2025'!Resal)*(1-EXP(('2025'!Tnet-t)/('2025'!Tau_j))),Resal+(Salim-Resal)*(1-EXP((Tnet-t)/(Tau_j))))*Salcycl</f>
        <v>5.0533584525816674E-2</v>
      </c>
      <c r="P307" s="169">
        <f>(INDEX(Models!$BJ307:$BT307,,T307)*(1-R307)+INDEX(Models!$BJ307:$BT307,,T307+1)*R307-ERP_i)*Q307*Ramure*Pc/MaxiM</f>
        <v>2.1036251567739454E-3</v>
      </c>
      <c r="Q307" s="304">
        <f t="shared" si="105"/>
        <v>0.7</v>
      </c>
      <c r="R307" s="177">
        <f t="shared" si="106"/>
        <v>0.1773212569428082</v>
      </c>
      <c r="S307" s="799">
        <f t="shared" si="107"/>
        <v>-1</v>
      </c>
      <c r="T307" s="176">
        <f t="shared" si="108"/>
        <v>5</v>
      </c>
      <c r="U307" s="250">
        <f t="shared" si="109"/>
        <v>-0.8226787430571918</v>
      </c>
      <c r="V307" s="382">
        <f t="shared" si="110"/>
        <v>35.339902834696431</v>
      </c>
      <c r="W307" s="400">
        <f t="shared" si="111"/>
        <v>12.180942229248412</v>
      </c>
      <c r="X307" s="157">
        <f t="shared" si="112"/>
        <v>46315</v>
      </c>
      <c r="Y307" s="383">
        <f t="shared" si="113"/>
        <v>11.786453158945305</v>
      </c>
      <c r="Z307" s="383">
        <f t="shared" si="114"/>
        <v>12.445751357484909</v>
      </c>
      <c r="AA307" s="384">
        <f t="shared" si="115"/>
        <v>13.511310326602482</v>
      </c>
      <c r="AB307" s="197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7.886422140860673E-2</v>
      </c>
      <c r="AD307" s="230">
        <f>(INDEX(Models!$BJ307:$BT307,,AH307)*(1-AF307)+INDEX(Models!$BJ307:$BT307,,AH307+1)*AF307-ERP_i)*AE307*Ramure*Pc/MaxiM</f>
        <v>4.3234035179623445E-2</v>
      </c>
      <c r="AE307" s="304">
        <f t="shared" si="117"/>
        <v>0.7</v>
      </c>
      <c r="AF307" s="177">
        <f t="shared" si="118"/>
        <v>0.9329790877821591</v>
      </c>
      <c r="AG307" s="799">
        <f t="shared" si="124"/>
        <v>1</v>
      </c>
      <c r="AH307" s="176">
        <f t="shared" si="119"/>
        <v>7</v>
      </c>
      <c r="AI307" s="224">
        <f t="shared" si="120"/>
        <v>1.9329790877821591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46316</v>
      </c>
      <c r="B308" s="409">
        <f>'2025'!Wh/'2025'!Env_an*'2026'!Env_an</f>
        <v>16.56076739310874</v>
      </c>
      <c r="C308" s="829"/>
      <c r="D308" s="391">
        <f t="shared" si="102"/>
        <v>17.487461294244007</v>
      </c>
      <c r="E308" s="383">
        <f t="shared" si="125"/>
        <v>18.418694621936652</v>
      </c>
      <c r="F308" s="383">
        <f t="shared" si="103"/>
        <v>18.429106399624342</v>
      </c>
      <c r="G308" s="110">
        <f t="shared" si="126"/>
        <v>0.47143933904763657</v>
      </c>
      <c r="H308" s="412" t="b">
        <f>Wh_hp&gt;='2025'!Maxi_hp</f>
        <v>0</v>
      </c>
      <c r="I308" s="388">
        <f>IF(H308,Wh_hp,'2025'!Maxi_hp)</f>
        <v>22.202361362008595</v>
      </c>
      <c r="J308" s="85">
        <f>IF(H308,An,'2025'!An_max)</f>
        <v>2018</v>
      </c>
      <c r="K308" s="197">
        <f t="shared" si="104"/>
        <v>46316</v>
      </c>
      <c r="L308" s="147">
        <f>IF(t&lt;Tvie,1-EXP((T0-t)*PertePVj)+'2025'!Pspv,1-EXP((T0-t)*PertePVj)+Pspv)</f>
        <v>5.2991905774241066E-2</v>
      </c>
      <c r="M308" s="832"/>
      <c r="N308" s="832"/>
      <c r="O308" s="48">
        <f>IF(t&lt;Tnet,'2025'!Resal+('2025'!Salim-'2025'!Resal)*(1-EXP(('2025'!Tnet-t)/('2025'!Tau_j))),Resal+(Salim-Resal)*(1-EXP((Tnet-t)/(Tau_j))))*Salcycl</f>
        <v>5.0559138245527241E-2</v>
      </c>
      <c r="P308" s="169">
        <f>(INDEX(Models!$BJ308:$BT308,,T308)*(1-R308)+INDEX(Models!$BJ308:$BT308,,T308+1)*R308-ERP_i)*Q308*Ramure*Pc/MaxiM</f>
        <v>2.295837883149248E-3</v>
      </c>
      <c r="Q308" s="304">
        <f t="shared" si="105"/>
        <v>0.7</v>
      </c>
      <c r="R308" s="177">
        <f t="shared" si="106"/>
        <v>0.17739173789903639</v>
      </c>
      <c r="S308" s="799">
        <f t="shared" si="107"/>
        <v>-1</v>
      </c>
      <c r="T308" s="176">
        <f t="shared" si="108"/>
        <v>5</v>
      </c>
      <c r="U308" s="250">
        <f t="shared" si="109"/>
        <v>-0.82260826210096361</v>
      </c>
      <c r="V308" s="382">
        <f t="shared" si="110"/>
        <v>35.067261505045167</v>
      </c>
      <c r="W308" s="400">
        <f t="shared" si="111"/>
        <v>16.56076739310874</v>
      </c>
      <c r="X308" s="157">
        <f t="shared" si="112"/>
        <v>46316</v>
      </c>
      <c r="Y308" s="383">
        <f t="shared" si="113"/>
        <v>15.898374395839085</v>
      </c>
      <c r="Z308" s="383">
        <f t="shared" si="114"/>
        <v>16.78800265042829</v>
      </c>
      <c r="AA308" s="384">
        <f t="shared" si="115"/>
        <v>18.224821048951672</v>
      </c>
      <c r="AB308" s="197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7.8838546324493594E-2</v>
      </c>
      <c r="AD308" s="230">
        <f>(INDEX(Models!$BJ308:$BT308,,AH308)*(1-AF308)+INDEX(Models!$BJ308:$BT308,,AH308+1)*AF308-ERP_i)*AE308*Ramure*Pc/MaxiM</f>
        <v>4.504572236508475E-2</v>
      </c>
      <c r="AE308" s="304">
        <f t="shared" si="117"/>
        <v>0.7</v>
      </c>
      <c r="AF308" s="177">
        <f t="shared" si="118"/>
        <v>0.93304956873838729</v>
      </c>
      <c r="AG308" s="799">
        <f t="shared" si="124"/>
        <v>1</v>
      </c>
      <c r="AH308" s="176">
        <f t="shared" si="119"/>
        <v>7</v>
      </c>
      <c r="AI308" s="224">
        <f t="shared" si="120"/>
        <v>1.9330495687383873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46317</v>
      </c>
      <c r="B309" s="409">
        <f>'2025'!Wh/'2025'!Env_an*'2026'!Env_an</f>
        <v>34.513926546561123</v>
      </c>
      <c r="C309" s="829"/>
      <c r="D309" s="391">
        <f t="shared" si="102"/>
        <v>36.445927148050664</v>
      </c>
      <c r="E309" s="383">
        <f t="shared" si="125"/>
        <v>38.387734062600423</v>
      </c>
      <c r="F309" s="383">
        <f t="shared" si="103"/>
        <v>38.48277723921764</v>
      </c>
      <c r="G309" s="110">
        <f t="shared" si="126"/>
        <v>0.99189925111213129</v>
      </c>
      <c r="H309" s="412" t="b">
        <f>Wh_hp&gt;='2025'!Maxi_hp</f>
        <v>1</v>
      </c>
      <c r="I309" s="388">
        <f>IF(H309,Wh_hp,'2025'!Maxi_hp)</f>
        <v>38.48277723921764</v>
      </c>
      <c r="J309" s="85">
        <f>IF(H309,An,'2025'!An_max)</f>
        <v>2026</v>
      </c>
      <c r="K309" s="197">
        <f t="shared" si="104"/>
        <v>46317</v>
      </c>
      <c r="L309" s="147">
        <f>IF(t&lt;Tvie,1-EXP((T0-t)*PertePVj)+'2025'!Pspv,1-EXP((T0-t)*PertePVj)+Pspv)</f>
        <v>5.3010054968319675E-2</v>
      </c>
      <c r="M309" s="832"/>
      <c r="N309" s="832"/>
      <c r="O309" s="48">
        <f>IF(t&lt;Tnet,'2025'!Resal+('2025'!Salim-'2025'!Resal)*(1-EXP(('2025'!Tnet-t)/('2025'!Tau_j))),Resal+(Salim-Resal)*(1-EXP((Tnet-t)/(Tau_j))))*Salcycl</f>
        <v>5.0584046231621174E-2</v>
      </c>
      <c r="P309" s="169">
        <f>(INDEX(Models!$BJ309:$BT309,,T309)*(1-R309)+INDEX(Models!$BJ309:$BT309,,T309+1)*R309-ERP_i)*Q309*Ramure*Pc/MaxiM</f>
        <v>2.4985712171976368E-3</v>
      </c>
      <c r="Q309" s="304">
        <f t="shared" si="105"/>
        <v>0.7</v>
      </c>
      <c r="R309" s="177">
        <f t="shared" si="106"/>
        <v>0.17745940451171305</v>
      </c>
      <c r="S309" s="799">
        <f t="shared" si="107"/>
        <v>-1</v>
      </c>
      <c r="T309" s="176">
        <f t="shared" si="108"/>
        <v>5</v>
      </c>
      <c r="U309" s="250">
        <f t="shared" si="109"/>
        <v>-0.82254059548828695</v>
      </c>
      <c r="V309" s="382">
        <f t="shared" si="110"/>
        <v>34.794793538887014</v>
      </c>
      <c r="W309" s="400">
        <f t="shared" si="111"/>
        <v>34.513926546561123</v>
      </c>
      <c r="X309" s="157">
        <f t="shared" si="112"/>
        <v>46317</v>
      </c>
      <c r="Y309" s="383">
        <f t="shared" si="113"/>
        <v>32.018683868568388</v>
      </c>
      <c r="Z309" s="383">
        <f t="shared" si="114"/>
        <v>33.811007219825598</v>
      </c>
      <c r="AA309" s="384">
        <f t="shared" si="115"/>
        <v>36.703700155927429</v>
      </c>
      <c r="AB309" s="197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7.8812025049596446E-2</v>
      </c>
      <c r="AD309" s="230">
        <f>(INDEX(Models!$BJ309:$BT309,,AH309)*(1-AF309)+INDEX(Models!$BJ309:$BT309,,AH309+1)*AF309-ERP_i)*AE309*Ramure*Pc/MaxiM</f>
        <v>4.6769804542494117E-2</v>
      </c>
      <c r="AE309" s="304">
        <f t="shared" si="117"/>
        <v>0.7</v>
      </c>
      <c r="AF309" s="177">
        <f t="shared" si="118"/>
        <v>0.93311723535106395</v>
      </c>
      <c r="AG309" s="799">
        <f t="shared" si="124"/>
        <v>1</v>
      </c>
      <c r="AH309" s="176">
        <f t="shared" si="119"/>
        <v>7</v>
      </c>
      <c r="AI309" s="224">
        <f t="shared" si="120"/>
        <v>1.9331172353510639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46318</v>
      </c>
      <c r="B310" s="409">
        <f>'2025'!Wh/'2025'!Env_an*'2026'!Env_an</f>
        <v>20.282081645369669</v>
      </c>
      <c r="C310" s="829"/>
      <c r="D310" s="391">
        <f t="shared" si="102"/>
        <v>21.41783073906694</v>
      </c>
      <c r="E310" s="383">
        <f t="shared" si="125"/>
        <v>22.559531195316513</v>
      </c>
      <c r="F310" s="383">
        <f t="shared" si="103"/>
        <v>22.584616951741488</v>
      </c>
      <c r="G310" s="110">
        <f t="shared" si="126"/>
        <v>0.58655652838194627</v>
      </c>
      <c r="H310" s="412" t="b">
        <f>Wh_hp&gt;='2025'!Maxi_hp</f>
        <v>0</v>
      </c>
      <c r="I310" s="388">
        <f>IF(H310,Wh_hp,'2025'!Maxi_hp)</f>
        <v>34.945512770955865</v>
      </c>
      <c r="J310" s="85">
        <f>IF(H310,An,'2025'!An_max)</f>
        <v>2021</v>
      </c>
      <c r="K310" s="197">
        <f t="shared" si="104"/>
        <v>46318</v>
      </c>
      <c r="L310" s="147">
        <f>IF(t&lt;Tvie,1-EXP((T0-t)*PertePVj)+'2025'!Pspv,1-EXP((T0-t)*PertePVj)+Pspv)</f>
        <v>5.3028203814573072E-2</v>
      </c>
      <c r="M310" s="832"/>
      <c r="N310" s="832"/>
      <c r="O310" s="48">
        <f>IF(t&lt;Tnet,'2025'!Resal+('2025'!Salim-'2025'!Resal)*(1-EXP(('2025'!Tnet-t)/('2025'!Tau_j))),Resal+(Salim-Resal)*(1-EXP((Tnet-t)/(Tau_j))))*Salcycl</f>
        <v>5.0608341386393557E-2</v>
      </c>
      <c r="P310" s="169">
        <f>(INDEX(Models!$BJ310:$BT310,,T310)*(1-R310)+INDEX(Models!$BJ310:$BT310,,T310+1)*R310-ERP_i)*Q310*Ramure*Pc/MaxiM</f>
        <v>2.7044808384688586E-3</v>
      </c>
      <c r="Q310" s="304">
        <f t="shared" si="105"/>
        <v>0.7</v>
      </c>
      <c r="R310" s="177">
        <f t="shared" si="106"/>
        <v>0.17752436825717055</v>
      </c>
      <c r="S310" s="799">
        <f t="shared" si="107"/>
        <v>-1</v>
      </c>
      <c r="T310" s="176">
        <f t="shared" si="108"/>
        <v>5</v>
      </c>
      <c r="U310" s="250">
        <f t="shared" si="109"/>
        <v>-0.82247563174282945</v>
      </c>
      <c r="V310" s="382">
        <f t="shared" si="110"/>
        <v>34.523051823023735</v>
      </c>
      <c r="W310" s="400">
        <f t="shared" si="111"/>
        <v>20.282081645369669</v>
      </c>
      <c r="X310" s="157">
        <f t="shared" si="112"/>
        <v>46318</v>
      </c>
      <c r="Y310" s="383">
        <f t="shared" si="113"/>
        <v>19.310950177665624</v>
      </c>
      <c r="Z310" s="383">
        <f t="shared" si="114"/>
        <v>20.392318182498794</v>
      </c>
      <c r="AA310" s="384">
        <f t="shared" si="115"/>
        <v>22.136321894934987</v>
      </c>
      <c r="AB310" s="197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7.8784710518473161E-2</v>
      </c>
      <c r="AD310" s="230">
        <f>(INDEX(Models!$BJ310:$BT310,,AH310)*(1-AF310)+INDEX(Models!$BJ310:$BT310,,AH310+1)*AF310-ERP_i)*AE310*Ramure*Pc/MaxiM</f>
        <v>4.833042984928318E-2</v>
      </c>
      <c r="AE310" s="304">
        <f t="shared" si="117"/>
        <v>0.7</v>
      </c>
      <c r="AF310" s="177">
        <f t="shared" si="118"/>
        <v>0.93318219909652145</v>
      </c>
      <c r="AG310" s="799">
        <f t="shared" si="124"/>
        <v>1</v>
      </c>
      <c r="AH310" s="176">
        <f t="shared" si="119"/>
        <v>7</v>
      </c>
      <c r="AI310" s="224">
        <f t="shared" si="120"/>
        <v>1.9331821990965214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46319</v>
      </c>
      <c r="B311" s="409">
        <f>'2025'!Wh/'2025'!Env_an*'2026'!Env_an</f>
        <v>29.081054399517313</v>
      </c>
      <c r="C311" s="829"/>
      <c r="D311" s="391">
        <f t="shared" si="102"/>
        <v>30.710113922207338</v>
      </c>
      <c r="E311" s="383">
        <f t="shared" si="125"/>
        <v>32.347957624561843</v>
      </c>
      <c r="F311" s="383">
        <f t="shared" si="103"/>
        <v>32.421865882855876</v>
      </c>
      <c r="G311" s="110">
        <f t="shared" si="126"/>
        <v>0.84848465237715232</v>
      </c>
      <c r="H311" s="412" t="b">
        <f>Wh_hp&gt;='2025'!Maxi_hp</f>
        <v>0</v>
      </c>
      <c r="I311" s="388">
        <f>IF(H311,Wh_hp,'2025'!Maxi_hp)</f>
        <v>39.130239680184168</v>
      </c>
      <c r="J311" s="85">
        <f>IF(H311,An,'2025'!An_max)</f>
        <v>2021</v>
      </c>
      <c r="K311" s="197">
        <f t="shared" si="104"/>
        <v>46319</v>
      </c>
      <c r="L311" s="147">
        <f>IF(t&lt;Tvie,1-EXP((T0-t)*PertePVj)+'2025'!Pspv,1-EXP((T0-t)*PertePVj)+Pspv)</f>
        <v>5.3046352313008027E-2</v>
      </c>
      <c r="M311" s="832"/>
      <c r="N311" s="832"/>
      <c r="O311" s="48">
        <f>IF(t&lt;Tnet,'2025'!Resal+('2025'!Salim-'2025'!Resal)*(1-EXP(('2025'!Tnet-t)/('2025'!Tau_j))),Resal+(Salim-Resal)*(1-EXP((Tnet-t)/(Tau_j))))*Salcycl</f>
        <v>5.0632059104432817E-2</v>
      </c>
      <c r="P311" s="169">
        <f>(INDEX(Models!$BJ311:$BT311,,T311)*(1-R311)+INDEX(Models!$BJ311:$BT311,,T311+1)*R311-ERP_i)*Q311*Ramure*Pc/MaxiM</f>
        <v>2.9064732571869511E-3</v>
      </c>
      <c r="Q311" s="304">
        <f t="shared" si="105"/>
        <v>0.7</v>
      </c>
      <c r="R311" s="177">
        <f t="shared" si="106"/>
        <v>0.17758673626708465</v>
      </c>
      <c r="S311" s="799">
        <f t="shared" si="107"/>
        <v>-1</v>
      </c>
      <c r="T311" s="176">
        <f t="shared" si="108"/>
        <v>5</v>
      </c>
      <c r="U311" s="250">
        <f t="shared" si="109"/>
        <v>-0.82241326373291535</v>
      </c>
      <c r="V311" s="382">
        <f t="shared" si="110"/>
        <v>34.252572473708533</v>
      </c>
      <c r="W311" s="400">
        <f t="shared" si="111"/>
        <v>29.081054399517313</v>
      </c>
      <c r="X311" s="157">
        <f t="shared" si="112"/>
        <v>46319</v>
      </c>
      <c r="Y311" s="383">
        <f t="shared" si="113"/>
        <v>27.180539618029648</v>
      </c>
      <c r="Z311" s="383">
        <f t="shared" si="114"/>
        <v>28.703136298614229</v>
      </c>
      <c r="AA311" s="384">
        <f t="shared" si="115"/>
        <v>31.15695390397055</v>
      </c>
      <c r="AB311" s="197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7.875665936147927E-2</v>
      </c>
      <c r="AD311" s="230">
        <f>(INDEX(Models!$BJ311:$BT311,,AH311)*(1-AF311)+INDEX(Models!$BJ311:$BT311,,AH311+1)*AF311-ERP_i)*AE311*Ramure*Pc/MaxiM</f>
        <v>4.9743194119114903E-2</v>
      </c>
      <c r="AE311" s="304">
        <f t="shared" si="117"/>
        <v>0.7</v>
      </c>
      <c r="AF311" s="177">
        <f t="shared" si="118"/>
        <v>0.93324456710643555</v>
      </c>
      <c r="AG311" s="799">
        <f t="shared" si="124"/>
        <v>1</v>
      </c>
      <c r="AH311" s="176">
        <f t="shared" si="119"/>
        <v>7</v>
      </c>
      <c r="AI311" s="224">
        <f t="shared" si="120"/>
        <v>1.9332445671064356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46320</v>
      </c>
      <c r="B312" s="409">
        <f>'2025'!Wh/'2025'!Env_an*'2026'!Env_an</f>
        <v>22.632421161458723</v>
      </c>
      <c r="C312" s="829"/>
      <c r="D312" s="391">
        <f t="shared" si="102"/>
        <v>23.900699860275417</v>
      </c>
      <c r="E312" s="383">
        <f t="shared" si="125"/>
        <v>25.175995903960967</v>
      </c>
      <c r="F312" s="383">
        <f t="shared" si="103"/>
        <v>25.216925473807958</v>
      </c>
      <c r="G312" s="110">
        <f t="shared" si="126"/>
        <v>0.66499164163437174</v>
      </c>
      <c r="H312" s="412" t="b">
        <f>Wh_hp&gt;='2025'!Maxi_hp</f>
        <v>0</v>
      </c>
      <c r="I312" s="388">
        <f>IF(H312,Wh_hp,'2025'!Maxi_hp)</f>
        <v>36.653360755544639</v>
      </c>
      <c r="J312" s="85">
        <f>IF(H312,An,'2025'!An_max)</f>
        <v>2021</v>
      </c>
      <c r="K312" s="197">
        <f t="shared" si="104"/>
        <v>46320</v>
      </c>
      <c r="L312" s="147">
        <f>IF(t&lt;Tvie,1-EXP((T0-t)*PertePVj)+'2025'!Pspv,1-EXP((T0-t)*PertePVj)+Pspv)</f>
        <v>5.3064500463631092E-2</v>
      </c>
      <c r="M312" s="832"/>
      <c r="N312" s="832"/>
      <c r="O312" s="48">
        <f>IF(t&lt;Tnet,'2025'!Resal+('2025'!Salim-'2025'!Resal)*(1-EXP(('2025'!Tnet-t)/('2025'!Tau_j))),Resal+(Salim-Resal)*(1-EXP((Tnet-t)/(Tau_j))))*Salcycl</f>
        <v>5.0655237177128158E-2</v>
      </c>
      <c r="P312" s="169">
        <f>(INDEX(Models!$BJ312:$BT312,,T312)*(1-R312)+INDEX(Models!$BJ312:$BT312,,T312+1)*R312-ERP_i)*Q312*Ramure*Pc/MaxiM</f>
        <v>3.1044592839446468E-3</v>
      </c>
      <c r="Q312" s="304">
        <f t="shared" si="105"/>
        <v>0.7</v>
      </c>
      <c r="R312" s="177">
        <f t="shared" si="106"/>
        <v>0.17764661149221128</v>
      </c>
      <c r="S312" s="799">
        <f t="shared" si="107"/>
        <v>-1</v>
      </c>
      <c r="T312" s="176">
        <f t="shared" si="108"/>
        <v>5</v>
      </c>
      <c r="U312" s="250">
        <f t="shared" si="109"/>
        <v>-0.82235338850778872</v>
      </c>
      <c r="V312" s="382">
        <f t="shared" si="110"/>
        <v>33.983645017448175</v>
      </c>
      <c r="W312" s="400">
        <f t="shared" si="111"/>
        <v>22.632421161458723</v>
      </c>
      <c r="X312" s="157">
        <f t="shared" si="112"/>
        <v>46320</v>
      </c>
      <c r="Y312" s="383">
        <f t="shared" si="113"/>
        <v>21.412223764290228</v>
      </c>
      <c r="Z312" s="383">
        <f t="shared" si="114"/>
        <v>22.612124875214747</v>
      </c>
      <c r="AA312" s="384">
        <f t="shared" si="115"/>
        <v>24.544459399458795</v>
      </c>
      <c r="AB312" s="197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7.8727931741966017E-2</v>
      </c>
      <c r="AD312" s="230">
        <f>(INDEX(Models!$BJ312:$BT312,,AH312)*(1-AF312)+INDEX(Models!$BJ312:$BT312,,AH312+1)*AF312-ERP_i)*AE312*Ramure*Pc/MaxiM</f>
        <v>5.1005753430964793E-2</v>
      </c>
      <c r="AE312" s="304">
        <f t="shared" si="117"/>
        <v>0.7</v>
      </c>
      <c r="AF312" s="177">
        <f t="shared" si="118"/>
        <v>0.93330444233156218</v>
      </c>
      <c r="AG312" s="799">
        <f t="shared" si="124"/>
        <v>1</v>
      </c>
      <c r="AH312" s="176">
        <f t="shared" si="119"/>
        <v>7</v>
      </c>
      <c r="AI312" s="224">
        <f t="shared" si="120"/>
        <v>1.9333044423315622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46321</v>
      </c>
      <c r="B313" s="409">
        <f>'2025'!Wh/'2025'!Env_an*'2026'!Env_an</f>
        <v>15.583004744406258</v>
      </c>
      <c r="C313" s="829"/>
      <c r="D313" s="391">
        <f t="shared" si="102"/>
        <v>16.456562672421164</v>
      </c>
      <c r="E313" s="383">
        <f t="shared" si="125"/>
        <v>17.335067775456711</v>
      </c>
      <c r="F313" s="383">
        <f t="shared" si="103"/>
        <v>17.34832464565752</v>
      </c>
      <c r="G313" s="110">
        <f t="shared" si="126"/>
        <v>0.46100447012686091</v>
      </c>
      <c r="H313" s="412" t="b">
        <f>Wh_hp&gt;='2025'!Maxi_hp</f>
        <v>0</v>
      </c>
      <c r="I313" s="388">
        <f>IF(H313,Wh_hp,'2025'!Maxi_hp)</f>
        <v>37.378397618671073</v>
      </c>
      <c r="J313" s="85">
        <f>IF(H313,An,'2025'!An_max)</f>
        <v>2018</v>
      </c>
      <c r="K313" s="197">
        <f t="shared" si="104"/>
        <v>46321</v>
      </c>
      <c r="L313" s="147">
        <f>IF(t&lt;Tvie,1-EXP((T0-t)*PertePVj)+'2025'!Pspv,1-EXP((T0-t)*PertePVj)+Pspv)</f>
        <v>5.308264826644904E-2</v>
      </c>
      <c r="M313" s="832"/>
      <c r="N313" s="832"/>
      <c r="O313" s="48">
        <f>IF(t&lt;Tnet,'2025'!Resal+('2025'!Salim-'2025'!Resal)*(1-EXP(('2025'!Tnet-t)/('2025'!Tau_j))),Resal+(Salim-Resal)*(1-EXP((Tnet-t)/(Tau_j))))*Salcycl</f>
        <v>5.0677915680223083E-2</v>
      </c>
      <c r="P313" s="169">
        <f>(INDEX(Models!$BJ313:$BT313,,T313)*(1-R313)+INDEX(Models!$BJ313:$BT313,,T313+1)*R313-ERP_i)*Q313*Ramure*Pc/MaxiM</f>
        <v>3.298324023816906E-3</v>
      </c>
      <c r="Q313" s="304">
        <f t="shared" si="105"/>
        <v>0.7</v>
      </c>
      <c r="R313" s="177">
        <f t="shared" si="106"/>
        <v>0.17770409286039479</v>
      </c>
      <c r="S313" s="799">
        <f t="shared" si="107"/>
        <v>-1</v>
      </c>
      <c r="T313" s="176">
        <f t="shared" si="108"/>
        <v>5</v>
      </c>
      <c r="U313" s="250">
        <f t="shared" si="109"/>
        <v>-0.82229590713960521</v>
      </c>
      <c r="V313" s="382">
        <f t="shared" si="110"/>
        <v>33.716559467486796</v>
      </c>
      <c r="W313" s="400">
        <f t="shared" si="111"/>
        <v>15.583004744406258</v>
      </c>
      <c r="X313" s="157">
        <f t="shared" si="112"/>
        <v>46321</v>
      </c>
      <c r="Y313" s="383">
        <f t="shared" si="113"/>
        <v>14.951876844041685</v>
      </c>
      <c r="Z313" s="383">
        <f t="shared" si="114"/>
        <v>15.790054767365726</v>
      </c>
      <c r="AA313" s="384">
        <f t="shared" si="115"/>
        <v>17.138858809935414</v>
      </c>
      <c r="AB313" s="197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7.8698591168029464E-2</v>
      </c>
      <c r="AD313" s="230">
        <f>(INDEX(Models!$BJ313:$BT313,,AH313)*(1-AF313)+INDEX(Models!$BJ313:$BT313,,AH313+1)*AF313-ERP_i)*AE313*Ramure*Pc/MaxiM</f>
        <v>5.2115332477871368E-2</v>
      </c>
      <c r="AE313" s="304">
        <f t="shared" si="117"/>
        <v>0.7</v>
      </c>
      <c r="AF313" s="177">
        <f t="shared" si="118"/>
        <v>0.93336192369974569</v>
      </c>
      <c r="AG313" s="799">
        <f t="shared" si="124"/>
        <v>1</v>
      </c>
      <c r="AH313" s="176">
        <f t="shared" si="119"/>
        <v>7</v>
      </c>
      <c r="AI313" s="224">
        <f t="shared" si="120"/>
        <v>1.9333619236997457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46322</v>
      </c>
      <c r="B314" s="409">
        <f>'2025'!Wh/'2025'!Env_an*'2026'!Env_an</f>
        <v>15.773898748614215</v>
      </c>
      <c r="C314" s="829"/>
      <c r="D314" s="391">
        <f t="shared" si="102"/>
        <v>16.65847714027047</v>
      </c>
      <c r="E314" s="383">
        <f t="shared" si="125"/>
        <v>17.54817185468</v>
      </c>
      <c r="F314" s="383">
        <f t="shared" si="103"/>
        <v>17.563184261449976</v>
      </c>
      <c r="G314" s="110">
        <f t="shared" si="126"/>
        <v>0.47030112242684607</v>
      </c>
      <c r="H314" s="412" t="b">
        <f>Wh_hp&gt;='2025'!Maxi_hp</f>
        <v>0</v>
      </c>
      <c r="I314" s="388">
        <f>IF(H314,Wh_hp,'2025'!Maxi_hp)</f>
        <v>34.064654173647206</v>
      </c>
      <c r="J314" s="85">
        <f>IF(H314,An,'2025'!An_max)</f>
        <v>2021</v>
      </c>
      <c r="K314" s="197">
        <f t="shared" si="104"/>
        <v>46322</v>
      </c>
      <c r="L314" s="147">
        <f>IF(t&lt;Tvie,1-EXP((T0-t)*PertePVj)+'2025'!Pspv,1-EXP((T0-t)*PertePVj)+Pspv)</f>
        <v>5.3100795721468419E-2</v>
      </c>
      <c r="M314" s="832"/>
      <c r="N314" s="832"/>
      <c r="O314" s="48">
        <f>IF(t&lt;Tnet,'2025'!Resal+('2025'!Salim-'2025'!Resal)*(1-EXP(('2025'!Tnet-t)/('2025'!Tau_j))),Resal+(Salim-Resal)*(1-EXP((Tnet-t)/(Tau_j))))*Salcycl</f>
        <v>5.0700136844867488E-2</v>
      </c>
      <c r="P314" s="169">
        <f>(INDEX(Models!$BJ314:$BT314,,T314)*(1-R314)+INDEX(Models!$BJ314:$BT314,,T314+1)*R314-ERP_i)*Q314*Ramure*Pc/MaxiM</f>
        <v>3.4879477008096884E-3</v>
      </c>
      <c r="Q314" s="304">
        <f t="shared" si="105"/>
        <v>0.7</v>
      </c>
      <c r="R314" s="177">
        <f t="shared" si="106"/>
        <v>0.17775927542901671</v>
      </c>
      <c r="S314" s="799">
        <f t="shared" si="107"/>
        <v>-1</v>
      </c>
      <c r="T314" s="176">
        <f t="shared" si="108"/>
        <v>5</v>
      </c>
      <c r="U314" s="250">
        <f t="shared" si="109"/>
        <v>-0.82224072457098329</v>
      </c>
      <c r="V314" s="382">
        <f t="shared" si="110"/>
        <v>33.451605615965164</v>
      </c>
      <c r="W314" s="400">
        <f t="shared" si="111"/>
        <v>15.773898748614215</v>
      </c>
      <c r="X314" s="157">
        <f t="shared" si="112"/>
        <v>46322</v>
      </c>
      <c r="Y314" s="383">
        <f t="shared" si="113"/>
        <v>15.122990230911595</v>
      </c>
      <c r="Z314" s="383">
        <f t="shared" si="114"/>
        <v>15.971066574540229</v>
      </c>
      <c r="AA314" s="384">
        <f t="shared" si="115"/>
        <v>17.334770509508385</v>
      </c>
      <c r="AB314" s="197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7.8668704279652432E-2</v>
      </c>
      <c r="AD314" s="230">
        <f>(INDEX(Models!$BJ314:$BT314,,AH314)*(1-AF314)+INDEX(Models!$BJ314:$BT314,,AH314+1)*AF314-ERP_i)*AE314*Ramure*Pc/MaxiM</f>
        <v>5.3069120303308216E-2</v>
      </c>
      <c r="AE314" s="304">
        <f t="shared" si="117"/>
        <v>0.7</v>
      </c>
      <c r="AF314" s="177">
        <f t="shared" si="118"/>
        <v>0.9334171062683676</v>
      </c>
      <c r="AG314" s="799">
        <f t="shared" si="124"/>
        <v>1</v>
      </c>
      <c r="AH314" s="176">
        <f t="shared" si="119"/>
        <v>7</v>
      </c>
      <c r="AI314" s="224">
        <f t="shared" si="120"/>
        <v>1.9334171062683676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46323</v>
      </c>
      <c r="B315" s="409">
        <f>'2025'!Wh/'2025'!Env_an*'2026'!Env_an</f>
        <v>17.251771653646031</v>
      </c>
      <c r="C315" s="829"/>
      <c r="D315" s="391">
        <f t="shared" si="102"/>
        <v>18.219576284674734</v>
      </c>
      <c r="E315" s="383">
        <f t="shared" si="125"/>
        <v>19.193086985456951</v>
      </c>
      <c r="F315" s="383">
        <f t="shared" si="103"/>
        <v>19.215249875553283</v>
      </c>
      <c r="G315" s="110">
        <f t="shared" si="126"/>
        <v>0.51849144260110769</v>
      </c>
      <c r="H315" s="412" t="b">
        <f>Wh_hp&gt;='2025'!Maxi_hp</f>
        <v>0</v>
      </c>
      <c r="I315" s="388">
        <f>IF(H315,Wh_hp,'2025'!Maxi_hp)</f>
        <v>36.268866308329294</v>
      </c>
      <c r="J315" s="85">
        <f>IF(H315,An,'2025'!An_max)</f>
        <v>2021</v>
      </c>
      <c r="K315" s="197">
        <f t="shared" si="104"/>
        <v>46323</v>
      </c>
      <c r="L315" s="147">
        <f>IF(t&lt;Tvie,1-EXP((T0-t)*PertePVj)+'2025'!Pspv,1-EXP((T0-t)*PertePVj)+Pspv)</f>
        <v>5.3118942828696003E-2</v>
      </c>
      <c r="M315" s="832"/>
      <c r="N315" s="832"/>
      <c r="O315" s="48">
        <f>IF(t&lt;Tnet,'2025'!Resal+('2025'!Salim-'2025'!Resal)*(1-EXP(('2025'!Tnet-t)/('2025'!Tau_j))),Resal+(Salim-Resal)*(1-EXP((Tnet-t)/(Tau_j))))*Salcycl</f>
        <v>5.0721944912763058E-2</v>
      </c>
      <c r="P315" s="169">
        <f>(INDEX(Models!$BJ315:$BT315,,T315)*(1-R315)+INDEX(Models!$BJ315:$BT315,,T315+1)*R315-ERP_i)*Q315*Ramure*Pc/MaxiM</f>
        <v>3.6732058042649547E-3</v>
      </c>
      <c r="Q315" s="304">
        <f t="shared" si="105"/>
        <v>0.7</v>
      </c>
      <c r="R315" s="177">
        <f t="shared" si="106"/>
        <v>0.1778122505320423</v>
      </c>
      <c r="S315" s="799">
        <f t="shared" si="107"/>
        <v>-1</v>
      </c>
      <c r="T315" s="176">
        <f t="shared" si="108"/>
        <v>5</v>
      </c>
      <c r="U315" s="250">
        <f t="shared" si="109"/>
        <v>-0.8221877494679577</v>
      </c>
      <c r="V315" s="382">
        <f t="shared" si="110"/>
        <v>33.189073042786326</v>
      </c>
      <c r="W315" s="400">
        <f t="shared" si="111"/>
        <v>17.251771653646031</v>
      </c>
      <c r="X315" s="157">
        <f t="shared" si="112"/>
        <v>46323</v>
      </c>
      <c r="Y315" s="383">
        <f t="shared" si="113"/>
        <v>16.480230845331711</v>
      </c>
      <c r="Z315" s="383">
        <f t="shared" si="114"/>
        <v>17.404752920672493</v>
      </c>
      <c r="AA315" s="384">
        <f t="shared" si="115"/>
        <v>18.89025090564212</v>
      </c>
      <c r="AB315" s="197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7.8638340612296326E-2</v>
      </c>
      <c r="AD315" s="230">
        <f>(INDEX(Models!$BJ315:$BT315,,AH315)*(1-AF315)+INDEX(Models!$BJ315:$BT315,,AH315+1)*AF315-ERP_i)*AE315*Ramure*Pc/MaxiM</f>
        <v>5.3864279318674366E-2</v>
      </c>
      <c r="AE315" s="304">
        <f t="shared" si="117"/>
        <v>0.7</v>
      </c>
      <c r="AF315" s="177">
        <f t="shared" si="118"/>
        <v>0.9334700813713932</v>
      </c>
      <c r="AG315" s="799">
        <f t="shared" si="124"/>
        <v>1</v>
      </c>
      <c r="AH315" s="176">
        <f t="shared" si="119"/>
        <v>7</v>
      </c>
      <c r="AI315" s="224">
        <f t="shared" si="120"/>
        <v>1.9334700813713932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46324</v>
      </c>
      <c r="B316" s="409">
        <f>'2025'!Wh/'2025'!Env_an*'2026'!Env_an</f>
        <v>27.734903990089883</v>
      </c>
      <c r="C316" s="829"/>
      <c r="D316" s="391">
        <f t="shared" si="102"/>
        <v>29.291361700951931</v>
      </c>
      <c r="E316" s="383">
        <f t="shared" si="125"/>
        <v>30.857158399757616</v>
      </c>
      <c r="F316" s="383">
        <f t="shared" si="103"/>
        <v>30.949558003040423</v>
      </c>
      <c r="G316" s="110">
        <f t="shared" si="126"/>
        <v>0.84152368271630074</v>
      </c>
      <c r="H316" s="412" t="b">
        <f>Wh_hp&gt;='2025'!Maxi_hp</f>
        <v>1</v>
      </c>
      <c r="I316" s="388">
        <f>IF(H316,Wh_hp,'2025'!Maxi_hp)</f>
        <v>30.949558003040423</v>
      </c>
      <c r="J316" s="85">
        <f>IF(H316,An,'2025'!An_max)</f>
        <v>2026</v>
      </c>
      <c r="K316" s="197">
        <f t="shared" si="104"/>
        <v>46324</v>
      </c>
      <c r="L316" s="147">
        <f>IF(t&lt;Tvie,1-EXP((T0-t)*PertePVj)+'2025'!Pspv,1-EXP((T0-t)*PertePVj)+Pspv)</f>
        <v>5.3137089588138342E-2</v>
      </c>
      <c r="M316" s="832"/>
      <c r="N316" s="832"/>
      <c r="O316" s="48">
        <f>IF(t&lt;Tnet,'2025'!Resal+('2025'!Salim-'2025'!Resal)*(1-EXP(('2025'!Tnet-t)/('2025'!Tau_j))),Resal+(Salim-Resal)*(1-EXP((Tnet-t)/(Tau_j))))*Salcycl</f>
        <v>5.07433859761365E-2</v>
      </c>
      <c r="P316" s="169">
        <f>(INDEX(Models!$BJ316:$BT316,,T316)*(1-R316)+INDEX(Models!$BJ316:$BT316,,T316+1)*R316-ERP_i)*Q316*Ramure*Pc/MaxiM</f>
        <v>3.8539692337631248E-3</v>
      </c>
      <c r="Q316" s="304">
        <f t="shared" si="105"/>
        <v>0.7</v>
      </c>
      <c r="R316" s="177">
        <f t="shared" si="106"/>
        <v>0.1778631059218313</v>
      </c>
      <c r="S316" s="799">
        <f t="shared" si="107"/>
        <v>-1</v>
      </c>
      <c r="T316" s="176">
        <f t="shared" si="108"/>
        <v>5</v>
      </c>
      <c r="U316" s="250">
        <f t="shared" si="109"/>
        <v>-0.8221368940781687</v>
      </c>
      <c r="V316" s="382">
        <f t="shared" si="110"/>
        <v>32.929251131344415</v>
      </c>
      <c r="W316" s="400">
        <f t="shared" si="111"/>
        <v>27.734903990089883</v>
      </c>
      <c r="X316" s="157">
        <f t="shared" si="112"/>
        <v>46324</v>
      </c>
      <c r="Y316" s="383">
        <f t="shared" si="113"/>
        <v>25.861476035797782</v>
      </c>
      <c r="Z316" s="383">
        <f t="shared" si="114"/>
        <v>27.312798665383024</v>
      </c>
      <c r="AA316" s="384">
        <f t="shared" si="115"/>
        <v>29.642959769806669</v>
      </c>
      <c r="AB316" s="197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7.8607572338207227E-2</v>
      </c>
      <c r="AD316" s="230">
        <f>(INDEX(Models!$BJ316:$BT316,,AH316)*(1-AF316)+INDEX(Models!$BJ316:$BT316,,AH316+1)*AF316-ERP_i)*AE316*Ramure*Pc/MaxiM</f>
        <v>5.4497954675840635E-2</v>
      </c>
      <c r="AE316" s="304">
        <f t="shared" si="117"/>
        <v>0.7</v>
      </c>
      <c r="AF316" s="177">
        <f t="shared" si="118"/>
        <v>0.93352093676118209</v>
      </c>
      <c r="AG316" s="799">
        <f t="shared" si="124"/>
        <v>1</v>
      </c>
      <c r="AH316" s="176">
        <f t="shared" si="119"/>
        <v>7</v>
      </c>
      <c r="AI316" s="224">
        <f t="shared" si="120"/>
        <v>1.9335209367611821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46325</v>
      </c>
      <c r="B317" s="409">
        <f>'2025'!Wh/'2025'!Env_an*'2026'!Env_an</f>
        <v>24.745805915966233</v>
      </c>
      <c r="C317" s="829"/>
      <c r="D317" s="391">
        <f t="shared" si="102"/>
        <v>26.135019019824316</v>
      </c>
      <c r="E317" s="383">
        <f t="shared" si="125"/>
        <v>27.532703143396223</v>
      </c>
      <c r="F317" s="383">
        <f t="shared" si="103"/>
        <v>27.605400455541471</v>
      </c>
      <c r="G317" s="110">
        <f t="shared" si="126"/>
        <v>0.7563424670227672</v>
      </c>
      <c r="H317" s="412" t="b">
        <f>Wh_hp&gt;='2025'!Maxi_hp</f>
        <v>0</v>
      </c>
      <c r="I317" s="388">
        <f>IF(H317,Wh_hp,'2025'!Maxi_hp)</f>
        <v>31.493556755699309</v>
      </c>
      <c r="J317" s="85">
        <f>IF(H317,An,'2025'!An_max)</f>
        <v>2020</v>
      </c>
      <c r="K317" s="197">
        <f t="shared" si="104"/>
        <v>46325</v>
      </c>
      <c r="L317" s="147">
        <f>IF(t&lt;Tvie,1-EXP((T0-t)*PertePVj)+'2025'!Pspv,1-EXP((T0-t)*PertePVj)+Pspv)</f>
        <v>5.3155235999802319E-2</v>
      </c>
      <c r="M317" s="832"/>
      <c r="N317" s="832"/>
      <c r="O317" s="48">
        <f>IF(t&lt;Tnet,'2025'!Resal+('2025'!Salim-'2025'!Resal)*(1-EXP(('2025'!Tnet-t)/('2025'!Tau_j))),Resal+(Salim-Resal)*(1-EXP((Tnet-t)/(Tau_j))))*Salcycl</f>
        <v>5.0764507803409867E-2</v>
      </c>
      <c r="P317" s="169">
        <f>(INDEX(Models!$BJ317:$BT317,,T317)*(1-R317)+INDEX(Models!$BJ317:$BT317,,T317+1)*R317-ERP_i)*Q317*Ramure*Pc/MaxiM</f>
        <v>4.0301684427906902E-3</v>
      </c>
      <c r="Q317" s="304">
        <f t="shared" si="105"/>
        <v>0.7</v>
      </c>
      <c r="R317" s="177">
        <f t="shared" si="106"/>
        <v>0.17791192590586546</v>
      </c>
      <c r="S317" s="799">
        <f t="shared" si="107"/>
        <v>-1</v>
      </c>
      <c r="T317" s="176">
        <f t="shared" si="108"/>
        <v>5</v>
      </c>
      <c r="U317" s="250">
        <f t="shared" si="109"/>
        <v>-0.82208807409413454</v>
      </c>
      <c r="V317" s="382">
        <f t="shared" si="110"/>
        <v>32.671908154621427</v>
      </c>
      <c r="W317" s="400">
        <f t="shared" si="111"/>
        <v>24.745805915966233</v>
      </c>
      <c r="X317" s="157">
        <f t="shared" si="112"/>
        <v>46325</v>
      </c>
      <c r="Y317" s="383">
        <f t="shared" si="113"/>
        <v>23.21913836043009</v>
      </c>
      <c r="Z317" s="383">
        <f t="shared" si="114"/>
        <v>24.522645361985909</v>
      </c>
      <c r="AA317" s="384">
        <f t="shared" si="115"/>
        <v>26.613869376759659</v>
      </c>
      <c r="AB317" s="197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7.8576473986901568E-2</v>
      </c>
      <c r="AD317" s="230">
        <f>(INDEX(Models!$BJ317:$BT317,,AH317)*(1-AF317)+INDEX(Models!$BJ317:$BT317,,AH317+1)*AF317-ERP_i)*AE317*Ramure*Pc/MaxiM</f>
        <v>5.4968156948756057E-2</v>
      </c>
      <c r="AE317" s="304">
        <f t="shared" si="117"/>
        <v>0.7</v>
      </c>
      <c r="AF317" s="177">
        <f t="shared" si="118"/>
        <v>0.93356975674521636</v>
      </c>
      <c r="AG317" s="799">
        <f t="shared" si="124"/>
        <v>1</v>
      </c>
      <c r="AH317" s="176">
        <f t="shared" si="119"/>
        <v>7</v>
      </c>
      <c r="AI317" s="224">
        <f t="shared" si="120"/>
        <v>1.9335697567452164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46326</v>
      </c>
      <c r="B318" s="409">
        <f>'2025'!Wh/'2025'!Env_an*'2026'!Env_an</f>
        <v>24.081285455906038</v>
      </c>
      <c r="C318" s="829"/>
      <c r="D318" s="391">
        <f t="shared" si="102"/>
        <v>25.433680253300633</v>
      </c>
      <c r="E318" s="383">
        <f t="shared" si="125"/>
        <v>26.794445820983693</v>
      </c>
      <c r="F318" s="383">
        <f t="shared" si="103"/>
        <v>26.865715932138809</v>
      </c>
      <c r="G318" s="110">
        <f t="shared" si="126"/>
        <v>0.74171632064574344</v>
      </c>
      <c r="H318" s="412" t="b">
        <f>Wh_hp&gt;='2025'!Maxi_hp</f>
        <v>0</v>
      </c>
      <c r="I318" s="388">
        <f>IF(H318,Wh_hp,'2025'!Maxi_hp)</f>
        <v>35.545081569193108</v>
      </c>
      <c r="J318" s="85">
        <f>IF(H318,An,'2025'!An_max)</f>
        <v>2020</v>
      </c>
      <c r="K318" s="197">
        <f t="shared" si="104"/>
        <v>46326</v>
      </c>
      <c r="L318" s="147">
        <f>IF(t&lt;Tvie,1-EXP((T0-t)*PertePVj)+'2025'!Pspv,1-EXP((T0-t)*PertePVj)+Pspv)</f>
        <v>5.3173382063694374E-2</v>
      </c>
      <c r="M318" s="832"/>
      <c r="N318" s="832"/>
      <c r="O318" s="48">
        <f>IF(t&lt;Tnet,'2025'!Resal+('2025'!Salim-'2025'!Resal)*(1-EXP(('2025'!Tnet-t)/('2025'!Tau_j))),Resal+(Salim-Resal)*(1-EXP((Tnet-t)/(Tau_j))))*Salcycl</f>
        <v>5.0785359651566109E-2</v>
      </c>
      <c r="P318" s="169">
        <f>(INDEX(Models!$BJ318:$BT318,,T318)*(1-R318)+INDEX(Models!$BJ318:$BT318,,T318+1)*R318-ERP_i)*Q318*Ramure*Pc/MaxiM</f>
        <v>4.1931179755826309E-3</v>
      </c>
      <c r="Q318" s="304">
        <f t="shared" si="105"/>
        <v>0.7</v>
      </c>
      <c r="R318" s="177">
        <f t="shared" si="106"/>
        <v>0.17795879147855409</v>
      </c>
      <c r="S318" s="799">
        <f t="shared" si="107"/>
        <v>-1</v>
      </c>
      <c r="T318" s="176">
        <f t="shared" si="108"/>
        <v>5</v>
      </c>
      <c r="U318" s="250">
        <f t="shared" si="109"/>
        <v>-0.82204120852144591</v>
      </c>
      <c r="V318" s="382">
        <f t="shared" si="110"/>
        <v>32.416833703325096</v>
      </c>
      <c r="W318" s="400">
        <f t="shared" si="111"/>
        <v>24.081285455906038</v>
      </c>
      <c r="X318" s="157">
        <f t="shared" si="112"/>
        <v>46326</v>
      </c>
      <c r="Y318" s="383">
        <f t="shared" si="113"/>
        <v>22.619571452675491</v>
      </c>
      <c r="Z318" s="383">
        <f t="shared" si="114"/>
        <v>23.88987701040439</v>
      </c>
      <c r="AA318" s="384">
        <f t="shared" si="115"/>
        <v>25.926258121346851</v>
      </c>
      <c r="AB318" s="197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7.8545122146484014E-2</v>
      </c>
      <c r="AD318" s="230">
        <f>(INDEX(Models!$BJ318:$BT318,,AH318)*(1-AF318)+INDEX(Models!$BJ318:$BT318,,AH318+1)*AF318-ERP_i)*AE318*Ramure*Pc/MaxiM</f>
        <v>5.527222239291301E-2</v>
      </c>
      <c r="AE318" s="304">
        <f t="shared" si="117"/>
        <v>0.7</v>
      </c>
      <c r="AF318" s="177">
        <f t="shared" si="118"/>
        <v>0.93361662231790499</v>
      </c>
      <c r="AG318" s="799">
        <f t="shared" si="124"/>
        <v>1</v>
      </c>
      <c r="AH318" s="176">
        <f t="shared" si="119"/>
        <v>7</v>
      </c>
      <c r="AI318" s="224">
        <f t="shared" si="120"/>
        <v>1.933616622317905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46327</v>
      </c>
      <c r="B319" s="409">
        <f>'2025'!Wh/'2025'!Env_an*'2026'!Env_an</f>
        <v>25.884832574860372</v>
      </c>
      <c r="C319" s="829"/>
      <c r="D319" s="391">
        <f t="shared" si="102"/>
        <v>27.339037761420556</v>
      </c>
      <c r="E319" s="383">
        <f t="shared" si="125"/>
        <v>28.802370782908486</v>
      </c>
      <c r="F319" s="383">
        <f t="shared" si="103"/>
        <v>28.89281537592537</v>
      </c>
      <c r="G319" s="110">
        <f t="shared" si="126"/>
        <v>0.80379976750722115</v>
      </c>
      <c r="H319" s="412" t="b">
        <f>Wh_hp&gt;='2025'!Maxi_hp</f>
        <v>1</v>
      </c>
      <c r="I319" s="388">
        <f>IF(H319,Wh_hp,'2025'!Maxi_hp)</f>
        <v>28.89281537592537</v>
      </c>
      <c r="J319" s="85">
        <f>IF(H319,An,'2025'!An_max)</f>
        <v>2026</v>
      </c>
      <c r="K319" s="197">
        <f t="shared" si="104"/>
        <v>46327</v>
      </c>
      <c r="L319" s="147">
        <f>IF(t&lt;Tvie,1-EXP((T0-t)*PertePVj)+'2025'!Pspv,1-EXP((T0-t)*PertePVj)+Pspv)</f>
        <v>5.3191527779821279E-2</v>
      </c>
      <c r="M319" s="832"/>
      <c r="N319" s="832"/>
      <c r="O319" s="48">
        <f>IF(t&lt;Tnet,'2025'!Resal+('2025'!Salim-'2025'!Resal)*(1-EXP(('2025'!Tnet-t)/('2025'!Tau_j))),Resal+(Salim-Resal)*(1-EXP((Tnet-t)/(Tau_j))))*Salcycl</f>
        <v>5.0805992066329554E-2</v>
      </c>
      <c r="P319" s="169">
        <f>(INDEX(Models!$BJ319:$BT319,,T319)*(1-R319)+INDEX(Models!$BJ319:$BT319,,T319+1)*R319-ERP_i)*Q319*Ramure*Pc/MaxiM</f>
        <v>4.3410131963294556E-3</v>
      </c>
      <c r="Q319" s="304">
        <f t="shared" si="105"/>
        <v>0.7</v>
      </c>
      <c r="R319" s="177">
        <f t="shared" si="106"/>
        <v>0.17800378044826748</v>
      </c>
      <c r="S319" s="799">
        <f t="shared" si="107"/>
        <v>-1</v>
      </c>
      <c r="T319" s="176">
        <f t="shared" si="108"/>
        <v>5</v>
      </c>
      <c r="U319" s="250">
        <f t="shared" si="109"/>
        <v>-0.82199621955173252</v>
      </c>
      <c r="V319" s="382">
        <f t="shared" si="110"/>
        <v>32.16397586946735</v>
      </c>
      <c r="W319" s="400">
        <f t="shared" si="111"/>
        <v>25.884832574860372</v>
      </c>
      <c r="X319" s="157">
        <f t="shared" si="112"/>
        <v>46327</v>
      </c>
      <c r="Y319" s="383">
        <f t="shared" si="113"/>
        <v>24.199297050338558</v>
      </c>
      <c r="Z319" s="383">
        <f t="shared" si="114"/>
        <v>25.558809157667795</v>
      </c>
      <c r="AA319" s="384">
        <f t="shared" si="115"/>
        <v>27.736501616388466</v>
      </c>
      <c r="AB319" s="197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7.851359514762872E-2</v>
      </c>
      <c r="AD319" s="230">
        <f>(INDEX(Models!$BJ319:$BT319,,AH319)*(1-AF319)+INDEX(Models!$BJ319:$BT319,,AH319+1)*AF319-ERP_i)*AE319*Ramure*Pc/MaxiM</f>
        <v>5.5498876403921149E-2</v>
      </c>
      <c r="AE319" s="304">
        <f t="shared" si="117"/>
        <v>0.7</v>
      </c>
      <c r="AF319" s="177">
        <f t="shared" si="118"/>
        <v>0.93366161128761838</v>
      </c>
      <c r="AG319" s="799">
        <f t="shared" si="124"/>
        <v>1</v>
      </c>
      <c r="AH319" s="176">
        <f t="shared" si="119"/>
        <v>7</v>
      </c>
      <c r="AI319" s="224">
        <f t="shared" si="120"/>
        <v>1.9336616112876184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46328</v>
      </c>
      <c r="B320" s="409">
        <f>'2025'!Wh/'2025'!Env_an*'2026'!Env_an</f>
        <v>28.748773259747782</v>
      </c>
      <c r="C320" s="829"/>
      <c r="D320" s="391">
        <f t="shared" si="102"/>
        <v>30.364456041012634</v>
      </c>
      <c r="E320" s="383">
        <f t="shared" si="125"/>
        <v>31.990415508769004</v>
      </c>
      <c r="F320" s="383">
        <f t="shared" si="103"/>
        <v>32.113729938183305</v>
      </c>
      <c r="G320" s="110">
        <f t="shared" si="126"/>
        <v>0.90026877342519995</v>
      </c>
      <c r="H320" s="412" t="b">
        <f>Wh_hp&gt;='2025'!Maxi_hp</f>
        <v>1</v>
      </c>
      <c r="I320" s="388">
        <f>IF(H320,Wh_hp,'2025'!Maxi_hp)</f>
        <v>32.113729938183305</v>
      </c>
      <c r="J320" s="85">
        <f>IF(H320,An,'2025'!An_max)</f>
        <v>2026</v>
      </c>
      <c r="K320" s="197">
        <f t="shared" si="104"/>
        <v>46328</v>
      </c>
      <c r="L320" s="147">
        <f>IF(t&lt;Tvie,1-EXP((T0-t)*PertePVj)+'2025'!Pspv,1-EXP((T0-t)*PertePVj)+Pspv)</f>
        <v>5.3209673148189585E-2</v>
      </c>
      <c r="M320" s="832"/>
      <c r="N320" s="832"/>
      <c r="O320" s="48">
        <f>IF(t&lt;Tnet,'2025'!Resal+('2025'!Salim-'2025'!Resal)*(1-EXP(('2025'!Tnet-t)/('2025'!Tau_j))),Resal+(Salim-Resal)*(1-EXP((Tnet-t)/(Tau_j))))*Salcycl</f>
        <v>5.0826456671395001E-2</v>
      </c>
      <c r="P320" s="169">
        <f>(INDEX(Models!$BJ320:$BT320,,T320)*(1-R320)+INDEX(Models!$BJ320:$BT320,,T320+1)*R320-ERP_i)*Q320*Ramure*Pc/MaxiM</f>
        <v>4.4736398057771878E-3</v>
      </c>
      <c r="Q320" s="304">
        <f t="shared" si="105"/>
        <v>0.7</v>
      </c>
      <c r="R320" s="177">
        <f t="shared" si="106"/>
        <v>0.1780469675597508</v>
      </c>
      <c r="S320" s="799">
        <f t="shared" si="107"/>
        <v>-1</v>
      </c>
      <c r="T320" s="176">
        <f t="shared" si="108"/>
        <v>5</v>
      </c>
      <c r="U320" s="250">
        <f t="shared" si="109"/>
        <v>-0.8219530324402492</v>
      </c>
      <c r="V320" s="382">
        <f t="shared" si="110"/>
        <v>31.913230204585869</v>
      </c>
      <c r="W320" s="400">
        <f t="shared" si="111"/>
        <v>28.748773259747782</v>
      </c>
      <c r="X320" s="157">
        <f t="shared" si="112"/>
        <v>46328</v>
      </c>
      <c r="Y320" s="383">
        <f t="shared" si="113"/>
        <v>26.680422646204232</v>
      </c>
      <c r="Z320" s="383">
        <f t="shared" si="114"/>
        <v>28.179863998948729</v>
      </c>
      <c r="AA320" s="384">
        <f t="shared" si="115"/>
        <v>30.579829330631139</v>
      </c>
      <c r="AB320" s="197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7.8481972732215854E-2</v>
      </c>
      <c r="AD320" s="230">
        <f>(INDEX(Models!$BJ320:$BT320,,AH320)*(1-AF320)+INDEX(Models!$BJ320:$BT320,,AH320+1)*AF320-ERP_i)*AE320*Ramure*Pc/MaxiM</f>
        <v>5.5647330556885206E-2</v>
      </c>
      <c r="AE320" s="304">
        <f t="shared" si="117"/>
        <v>0.7</v>
      </c>
      <c r="AF320" s="177">
        <f t="shared" si="118"/>
        <v>0.93370479839910159</v>
      </c>
      <c r="AG320" s="799">
        <f t="shared" si="124"/>
        <v>1</v>
      </c>
      <c r="AH320" s="176">
        <f t="shared" si="119"/>
        <v>7</v>
      </c>
      <c r="AI320" s="224">
        <f t="shared" si="120"/>
        <v>1.9337047983991016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46329</v>
      </c>
      <c r="B321" s="409">
        <f>'2025'!Wh/'2025'!Env_an*'2026'!Env_an</f>
        <v>9.0165752353470179</v>
      </c>
      <c r="C321" s="829"/>
      <c r="D321" s="391">
        <f t="shared" si="102"/>
        <v>9.5234898198082476</v>
      </c>
      <c r="E321" s="383">
        <f t="shared" si="125"/>
        <v>10.033669885418854</v>
      </c>
      <c r="F321" s="383">
        <f t="shared" si="103"/>
        <v>10.033669885418854</v>
      </c>
      <c r="G321" s="110">
        <f t="shared" si="126"/>
        <v>0.28344626556341374</v>
      </c>
      <c r="H321" s="412" t="b">
        <f>Wh_hp&gt;='2025'!Maxi_hp</f>
        <v>0</v>
      </c>
      <c r="I321" s="388">
        <f>IF(H321,Wh_hp,'2025'!Maxi_hp)</f>
        <v>28.049300463393088</v>
      </c>
      <c r="J321" s="85">
        <f>IF(H321,An,'2025'!An_max)</f>
        <v>2020</v>
      </c>
      <c r="K321" s="197">
        <f t="shared" si="104"/>
        <v>46329</v>
      </c>
      <c r="L321" s="147">
        <f>IF(t&lt;Tvie,1-EXP((T0-t)*PertePVj)+'2025'!Pspv,1-EXP((T0-t)*PertePVj)+Pspv)</f>
        <v>5.3227818168806174E-2</v>
      </c>
      <c r="M321" s="832"/>
      <c r="N321" s="832"/>
      <c r="O321" s="48">
        <f>IF(t&lt;Tnet,'2025'!Resal+('2025'!Salim-'2025'!Resal)*(1-EXP(('2025'!Tnet-t)/('2025'!Tau_j))),Resal+(Salim-Resal)*(1-EXP((Tnet-t)/(Tau_j))))*Salcycl</f>
        <v>5.0846805948042154E-2</v>
      </c>
      <c r="P321" s="169">
        <f>(INDEX(Models!$BJ321:$BT321,,T321)*(1-R321)+INDEX(Models!$BJ321:$BT321,,T321+1)*R321-ERP_i)*Q321*Ramure*Pc/MaxiM</f>
        <v>4.5907863861350349E-3</v>
      </c>
      <c r="Q321" s="304">
        <f t="shared" si="105"/>
        <v>0.7</v>
      </c>
      <c r="R321" s="177">
        <f t="shared" si="106"/>
        <v>0.17808842461206531</v>
      </c>
      <c r="S321" s="799">
        <f t="shared" si="107"/>
        <v>-1</v>
      </c>
      <c r="T321" s="176">
        <f t="shared" si="108"/>
        <v>5</v>
      </c>
      <c r="U321" s="250">
        <f t="shared" si="109"/>
        <v>-0.82191157538793469</v>
      </c>
      <c r="V321" s="382">
        <f t="shared" si="110"/>
        <v>31.664492198077873</v>
      </c>
      <c r="W321" s="400">
        <f t="shared" si="111"/>
        <v>9.0165752353470179</v>
      </c>
      <c r="X321" s="157">
        <f t="shared" si="112"/>
        <v>46329</v>
      </c>
      <c r="Y321" s="383">
        <f t="shared" si="113"/>
        <v>8.7543527570280322</v>
      </c>
      <c r="Z321" s="383">
        <f t="shared" si="114"/>
        <v>9.2465251145168335</v>
      </c>
      <c r="AA321" s="384">
        <f t="shared" si="115"/>
        <v>10.033669885418854</v>
      </c>
      <c r="AB321" s="197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7.8450335708763683E-2</v>
      </c>
      <c r="AD321" s="230">
        <f>(INDEX(Models!$BJ321:$BT321,,AH321)*(1-AF321)+INDEX(Models!$BJ321:$BT321,,AH321+1)*AF321-ERP_i)*AE321*Ramure*Pc/MaxiM</f>
        <v>5.571680217179166E-2</v>
      </c>
      <c r="AE321" s="304">
        <f t="shared" si="117"/>
        <v>0.7</v>
      </c>
      <c r="AF321" s="177">
        <f t="shared" si="118"/>
        <v>0.93374625545141621</v>
      </c>
      <c r="AG321" s="799">
        <f t="shared" si="124"/>
        <v>1</v>
      </c>
      <c r="AH321" s="176">
        <f t="shared" si="119"/>
        <v>7</v>
      </c>
      <c r="AI321" s="224">
        <f t="shared" si="120"/>
        <v>1.9337462554514162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46330</v>
      </c>
      <c r="B322" s="409">
        <f>'2025'!Wh/'2025'!Env_an*'2026'!Env_an</f>
        <v>12.583930266219438</v>
      </c>
      <c r="C322" s="829"/>
      <c r="D322" s="391">
        <f t="shared" si="102"/>
        <v>13.291657360120736</v>
      </c>
      <c r="E322" s="383">
        <f t="shared" si="125"/>
        <v>14.004000137583146</v>
      </c>
      <c r="F322" s="383">
        <f t="shared" si="103"/>
        <v>14.013444067512998</v>
      </c>
      <c r="G322" s="110">
        <f t="shared" si="126"/>
        <v>0.39892630226652026</v>
      </c>
      <c r="H322" s="412" t="b">
        <f>Wh_hp&gt;='2025'!Maxi_hp</f>
        <v>0</v>
      </c>
      <c r="I322" s="388">
        <f>IF(H322,Wh_hp,'2025'!Maxi_hp)</f>
        <v>18.973893501694523</v>
      </c>
      <c r="J322" s="85">
        <f>IF(H322,An,'2025'!An_max)</f>
        <v>2018</v>
      </c>
      <c r="K322" s="197">
        <f t="shared" si="104"/>
        <v>46330</v>
      </c>
      <c r="L322" s="147">
        <f>IF(t&lt;Tvie,1-EXP((T0-t)*PertePVj)+'2025'!Pspv,1-EXP((T0-t)*PertePVj)+Pspv)</f>
        <v>5.3245962841677485E-2</v>
      </c>
      <c r="M322" s="832"/>
      <c r="N322" s="832"/>
      <c r="O322" s="48">
        <f>IF(t&lt;Tnet,'2025'!Resal+('2025'!Salim-'2025'!Resal)*(1-EXP(('2025'!Tnet-t)/('2025'!Tau_j))),Resal+(Salim-Resal)*(1-EXP((Tnet-t)/(Tau_j))))*Salcycl</f>
        <v>5.0867093006566465E-2</v>
      </c>
      <c r="P322" s="169">
        <f>(INDEX(Models!$BJ322:$BT322,,T322)*(1-R322)+INDEX(Models!$BJ322:$BT322,,T322+1)*R322-ERP_i)*Q322*Ramure*Pc/MaxiM</f>
        <v>4.692243391628245E-3</v>
      </c>
      <c r="Q322" s="304">
        <f t="shared" si="105"/>
        <v>0.7</v>
      </c>
      <c r="R322" s="177">
        <f t="shared" si="106"/>
        <v>0.17812822057220323</v>
      </c>
      <c r="S322" s="799">
        <f t="shared" si="107"/>
        <v>-1</v>
      </c>
      <c r="T322" s="176">
        <f t="shared" si="108"/>
        <v>5</v>
      </c>
      <c r="U322" s="250">
        <f t="shared" si="109"/>
        <v>-0.82187177942779677</v>
      </c>
      <c r="V322" s="382">
        <f t="shared" si="110"/>
        <v>31.417657306188055</v>
      </c>
      <c r="W322" s="400">
        <f t="shared" si="111"/>
        <v>12.583930266219438</v>
      </c>
      <c r="X322" s="157">
        <f t="shared" si="112"/>
        <v>46330</v>
      </c>
      <c r="Y322" s="383">
        <f t="shared" si="113"/>
        <v>12.129055856959189</v>
      </c>
      <c r="Z322" s="383">
        <f t="shared" si="114"/>
        <v>12.811200566267971</v>
      </c>
      <c r="AA322" s="384">
        <f t="shared" si="115"/>
        <v>13.901325339557317</v>
      </c>
      <c r="AB322" s="197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7.8418765596925483E-2</v>
      </c>
      <c r="AD322" s="230">
        <f>(INDEX(Models!$BJ322:$BT322,,AH322)*(1-AF322)+INDEX(Models!$BJ322:$BT322,,AH322+1)*AF322-ERP_i)*AE322*Ramure*Pc/MaxiM</f>
        <v>5.5706508226503477E-2</v>
      </c>
      <c r="AE322" s="304">
        <f t="shared" si="117"/>
        <v>0.7</v>
      </c>
      <c r="AF322" s="177">
        <f t="shared" si="118"/>
        <v>0.93378605141155413</v>
      </c>
      <c r="AG322" s="799">
        <f t="shared" si="124"/>
        <v>1</v>
      </c>
      <c r="AH322" s="176">
        <f t="shared" si="119"/>
        <v>7</v>
      </c>
      <c r="AI322" s="224">
        <f t="shared" si="120"/>
        <v>1.9337860514115541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46331</v>
      </c>
      <c r="B323" s="409">
        <f>'2025'!Wh/'2025'!Env_an*'2026'!Env_an</f>
        <v>30.501857317453883</v>
      </c>
      <c r="C323" s="829"/>
      <c r="D323" s="391">
        <f t="shared" si="102"/>
        <v>32.217915839415802</v>
      </c>
      <c r="E323" s="383">
        <f t="shared" si="125"/>
        <v>33.945303083025259</v>
      </c>
      <c r="F323" s="383">
        <f t="shared" si="103"/>
        <v>34.103232915386066</v>
      </c>
      <c r="G323" s="110">
        <f t="shared" si="126"/>
        <v>0.97833790596744086</v>
      </c>
      <c r="H323" s="412" t="b">
        <f>Wh_hp&gt;='2025'!Maxi_hp</f>
        <v>1</v>
      </c>
      <c r="I323" s="388">
        <f>IF(H323,Wh_hp,'2025'!Maxi_hp)</f>
        <v>34.103232915386066</v>
      </c>
      <c r="J323" s="85">
        <f>IF(H323,An,'2025'!An_max)</f>
        <v>2026</v>
      </c>
      <c r="K323" s="197">
        <f t="shared" si="104"/>
        <v>46331</v>
      </c>
      <c r="L323" s="147">
        <f>IF(t&lt;Tvie,1-EXP((T0-t)*PertePVj)+'2025'!Pspv,1-EXP((T0-t)*PertePVj)+Pspv)</f>
        <v>5.3264107166810293E-2</v>
      </c>
      <c r="M323" s="832"/>
      <c r="N323" s="832"/>
      <c r="O323" s="48">
        <f>IF(t&lt;Tnet,'2025'!Resal+('2025'!Salim-'2025'!Resal)*(1-EXP(('2025'!Tnet-t)/('2025'!Tau_j))),Resal+(Salim-Resal)*(1-EXP((Tnet-t)/(Tau_j))))*Salcycl</f>
        <v>5.0887371351038373E-2</v>
      </c>
      <c r="P323" s="169">
        <f>(INDEX(Models!$BJ323:$BT323,,T323)*(1-R323)+INDEX(Models!$BJ323:$BT323,,T323+1)*R323-ERP_i)*Q323*Ramure*Pc/MaxiM</f>
        <v>4.7778020485681125E-3</v>
      </c>
      <c r="Q323" s="304">
        <f t="shared" si="105"/>
        <v>0.7</v>
      </c>
      <c r="R323" s="177">
        <f t="shared" si="106"/>
        <v>0.1781664216845148</v>
      </c>
      <c r="S323" s="799">
        <f t="shared" si="107"/>
        <v>-1</v>
      </c>
      <c r="T323" s="176">
        <f t="shared" si="108"/>
        <v>5</v>
      </c>
      <c r="U323" s="250">
        <f t="shared" si="109"/>
        <v>-0.8218335783154852</v>
      </c>
      <c r="V323" s="382">
        <f t="shared" si="110"/>
        <v>31.17262098463689</v>
      </c>
      <c r="W323" s="400">
        <f t="shared" si="111"/>
        <v>30.501857317453883</v>
      </c>
      <c r="X323" s="157">
        <f t="shared" si="112"/>
        <v>46331</v>
      </c>
      <c r="Y323" s="383">
        <f t="shared" si="113"/>
        <v>28.151859486975393</v>
      </c>
      <c r="Z323" s="383">
        <f t="shared" si="114"/>
        <v>29.735705279672558</v>
      </c>
      <c r="AA323" s="384">
        <f t="shared" si="115"/>
        <v>32.264862135500167</v>
      </c>
      <c r="AB323" s="197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7.8387344263431469E-2</v>
      </c>
      <c r="AD323" s="230">
        <f>(INDEX(Models!$BJ323:$BT323,,AH323)*(1-AF323)+INDEX(Models!$BJ323:$BT323,,AH323+1)*AF323-ERP_i)*AE323*Ramure*Pc/MaxiM</f>
        <v>5.5615658845886214E-2</v>
      </c>
      <c r="AE323" s="304">
        <f t="shared" si="117"/>
        <v>0.7</v>
      </c>
      <c r="AF323" s="177">
        <f t="shared" si="118"/>
        <v>0.93382425252386581</v>
      </c>
      <c r="AG323" s="799">
        <f t="shared" si="124"/>
        <v>1</v>
      </c>
      <c r="AH323" s="176">
        <f t="shared" si="119"/>
        <v>7</v>
      </c>
      <c r="AI323" s="224">
        <f t="shared" si="120"/>
        <v>1.9338242525238658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46332</v>
      </c>
      <c r="B324" s="409">
        <f>'2025'!Wh/'2025'!Env_an*'2026'!Env_an</f>
        <v>31.557526575154618</v>
      </c>
      <c r="C324" s="829"/>
      <c r="D324" s="391">
        <f t="shared" si="102"/>
        <v>33.333616712367885</v>
      </c>
      <c r="E324" s="383">
        <f t="shared" si="125"/>
        <v>35.121575134557716</v>
      </c>
      <c r="F324" s="383">
        <f t="shared" si="103"/>
        <v>35.292571273233243</v>
      </c>
      <c r="G324" s="110">
        <f t="shared" si="126"/>
        <v>1.0203101945035624</v>
      </c>
      <c r="H324" s="412" t="b">
        <f>Wh_hp&gt;='2025'!Maxi_hp</f>
        <v>1</v>
      </c>
      <c r="I324" s="388">
        <f>IF(H324,Wh_hp,'2025'!Maxi_hp)</f>
        <v>35.292571273233243</v>
      </c>
      <c r="J324" s="85">
        <f>IF(H324,An,'2025'!An_max)</f>
        <v>2026</v>
      </c>
      <c r="K324" s="197">
        <f t="shared" si="104"/>
        <v>46332</v>
      </c>
      <c r="L324" s="147">
        <f>IF(t&lt;Tvie,1-EXP((T0-t)*PertePVj)+'2025'!Pspv,1-EXP((T0-t)*PertePVj)+Pspv)</f>
        <v>5.3282251144211257E-2</v>
      </c>
      <c r="M324" s="832"/>
      <c r="N324" s="832"/>
      <c r="O324" s="48">
        <f>IF(t&lt;Tnet,'2025'!Resal+('2025'!Salim-'2025'!Resal)*(1-EXP(('2025'!Tnet-t)/('2025'!Tau_j))),Resal+(Salim-Resal)*(1-EXP((Tnet-t)/(Tau_j))))*Salcycl</f>
        <v>5.0907694638973586E-2</v>
      </c>
      <c r="P324" s="169">
        <f>(INDEX(Models!$BJ324:$BT324,,T324)*(1-R324)+INDEX(Models!$BJ324:$BT324,,T324+1)*R324-ERP_i)*Q324*Ramure*Pc/MaxiM</f>
        <v>4.8451028787809929E-3</v>
      </c>
      <c r="Q324" s="304">
        <f t="shared" si="105"/>
        <v>0.7</v>
      </c>
      <c r="R324" s="177">
        <f t="shared" si="106"/>
        <v>0.17820309157609016</v>
      </c>
      <c r="S324" s="799">
        <f t="shared" si="107"/>
        <v>-1</v>
      </c>
      <c r="T324" s="176">
        <f t="shared" si="108"/>
        <v>5</v>
      </c>
      <c r="U324" s="250">
        <f t="shared" si="109"/>
        <v>-0.82179690842390984</v>
      </c>
      <c r="V324" s="382">
        <f t="shared" si="110"/>
        <v>30.929345551143012</v>
      </c>
      <c r="W324" s="400">
        <f t="shared" si="111"/>
        <v>31.557526575154618</v>
      </c>
      <c r="X324" s="157">
        <f t="shared" si="112"/>
        <v>46332</v>
      </c>
      <c r="Y324" s="383">
        <f t="shared" si="113"/>
        <v>29.085345255962675</v>
      </c>
      <c r="Z324" s="383">
        <f t="shared" si="114"/>
        <v>30.72229847926214</v>
      </c>
      <c r="AA324" s="384">
        <f t="shared" si="115"/>
        <v>33.334241418378319</v>
      </c>
      <c r="AB324" s="197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7.8356153551948735E-2</v>
      </c>
      <c r="AD324" s="230">
        <f>(INDEX(Models!$BJ324:$BT324,,AH324)*(1-AF324)+INDEX(Models!$BJ324:$BT324,,AH324+1)*AF324-ERP_i)*AE324*Ramure*Pc/MaxiM</f>
        <v>5.5488443720737655E-2</v>
      </c>
      <c r="AE324" s="304">
        <f t="shared" si="117"/>
        <v>0.7</v>
      </c>
      <c r="AF324" s="177">
        <f t="shared" si="118"/>
        <v>0.93386092241544105</v>
      </c>
      <c r="AG324" s="799">
        <f t="shared" si="124"/>
        <v>1</v>
      </c>
      <c r="AH324" s="176">
        <f t="shared" si="119"/>
        <v>7</v>
      </c>
      <c r="AI324" s="224">
        <f t="shared" si="120"/>
        <v>1.9338609224154411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46333</v>
      </c>
      <c r="B325" s="409">
        <f>'2025'!Wh/'2025'!Env_an*'2026'!Env_an</f>
        <v>31.659414257956698</v>
      </c>
      <c r="C325" s="829"/>
      <c r="D325" s="391">
        <f t="shared" si="102"/>
        <v>33.441879645016918</v>
      </c>
      <c r="E325" s="383">
        <f t="shared" si="125"/>
        <v>35.236403294858022</v>
      </c>
      <c r="F325" s="383">
        <f t="shared" si="103"/>
        <v>35.409981593380152</v>
      </c>
      <c r="G325" s="110">
        <f t="shared" si="126"/>
        <v>1.0316720956581413</v>
      </c>
      <c r="H325" s="412" t="b">
        <f>Wh_hp&gt;='2025'!Maxi_hp</f>
        <v>1</v>
      </c>
      <c r="I325" s="388">
        <f>IF(H325,Wh_hp,'2025'!Maxi_hp)</f>
        <v>35.409981593380152</v>
      </c>
      <c r="J325" s="85">
        <f>IF(H325,An,'2025'!An_max)</f>
        <v>2026</v>
      </c>
      <c r="K325" s="197">
        <f t="shared" si="104"/>
        <v>46333</v>
      </c>
      <c r="L325" s="147">
        <f>IF(t&lt;Tvie,1-EXP((T0-t)*PertePVj)+'2025'!Pspv,1-EXP((T0-t)*PertePVj)+Pspv)</f>
        <v>5.3300394773887039E-2</v>
      </c>
      <c r="M325" s="832"/>
      <c r="N325" s="832"/>
      <c r="O325" s="48">
        <f>IF(t&lt;Tnet,'2025'!Resal+('2025'!Salim-'2025'!Resal)*(1-EXP(('2025'!Tnet-t)/('2025'!Tau_j))),Resal+(Salim-Resal)*(1-EXP((Tnet-t)/(Tau_j))))*Salcycl</f>
        <v>5.0928116437552871E-2</v>
      </c>
      <c r="P325" s="169">
        <f>(INDEX(Models!$BJ325:$BT325,,T325)*(1-R325)+INDEX(Models!$BJ325:$BT325,,T325+1)*R325-ERP_i)*Q325*Ramure*Pc/MaxiM</f>
        <v>4.9019595806448447E-3</v>
      </c>
      <c r="Q325" s="304">
        <f t="shared" si="105"/>
        <v>0.7</v>
      </c>
      <c r="R325" s="177">
        <f t="shared" si="106"/>
        <v>0.178238291358227</v>
      </c>
      <c r="S325" s="799">
        <f t="shared" si="107"/>
        <v>-1</v>
      </c>
      <c r="T325" s="176">
        <f t="shared" si="108"/>
        <v>5</v>
      </c>
      <c r="U325" s="250">
        <f t="shared" si="109"/>
        <v>-0.821761708641773</v>
      </c>
      <c r="V325" s="382">
        <f t="shared" si="110"/>
        <v>30.687477533993015</v>
      </c>
      <c r="W325" s="400">
        <f t="shared" si="111"/>
        <v>31.659414257956698</v>
      </c>
      <c r="X325" s="157">
        <f t="shared" si="112"/>
        <v>46333</v>
      </c>
      <c r="Y325" s="383">
        <f t="shared" si="113"/>
        <v>29.185120928230166</v>
      </c>
      <c r="Z325" s="383">
        <f t="shared" si="114"/>
        <v>30.828280446213444</v>
      </c>
      <c r="AA325" s="384">
        <f t="shared" si="115"/>
        <v>33.448113099969298</v>
      </c>
      <c r="AB325" s="197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7.8325274909401693E-2</v>
      </c>
      <c r="AD325" s="230">
        <f>(INDEX(Models!$BJ325:$BT325,,AH325)*(1-AF325)+INDEX(Models!$BJ325:$BT325,,AH325+1)*AF325-ERP_i)*AE325*Ramure*Pc/MaxiM</f>
        <v>5.5404391788151097E-2</v>
      </c>
      <c r="AE325" s="304">
        <f t="shared" si="117"/>
        <v>0.7</v>
      </c>
      <c r="AF325" s="177">
        <f t="shared" si="118"/>
        <v>0.93389612219757789</v>
      </c>
      <c r="AG325" s="799">
        <f t="shared" si="124"/>
        <v>1</v>
      </c>
      <c r="AH325" s="176">
        <f t="shared" si="119"/>
        <v>7</v>
      </c>
      <c r="AI325" s="224">
        <f t="shared" si="120"/>
        <v>1.9338961221975779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46334</v>
      </c>
      <c r="B326" s="409">
        <f>'2025'!Wh/'2025'!Env_an*'2026'!Env_an</f>
        <v>20.496644720013666</v>
      </c>
      <c r="C326" s="829"/>
      <c r="D326" s="391">
        <f t="shared" si="102"/>
        <v>21.651046887429974</v>
      </c>
      <c r="E326" s="383">
        <f t="shared" si="125"/>
        <v>22.81335756960258</v>
      </c>
      <c r="F326" s="383">
        <f t="shared" si="103"/>
        <v>22.873700064912875</v>
      </c>
      <c r="G326" s="110">
        <f t="shared" si="126"/>
        <v>0.67163353866137943</v>
      </c>
      <c r="H326" s="412" t="b">
        <f>Wh_hp&gt;='2025'!Maxi_hp</f>
        <v>0</v>
      </c>
      <c r="I326" s="388">
        <f>IF(H326,Wh_hp,'2025'!Maxi_hp)</f>
        <v>29.721733914268235</v>
      </c>
      <c r="J326" s="85">
        <f>IF(H326,An,'2025'!An_max)</f>
        <v>2021</v>
      </c>
      <c r="K326" s="197">
        <f t="shared" si="104"/>
        <v>46334</v>
      </c>
      <c r="L326" s="147">
        <f>IF(t&lt;Tvie,1-EXP((T0-t)*PertePVj)+'2025'!Pspv,1-EXP((T0-t)*PertePVj)+Pspv)</f>
        <v>5.3318538055844411E-2</v>
      </c>
      <c r="M326" s="832"/>
      <c r="N326" s="832"/>
      <c r="O326" s="48">
        <f>IF(t&lt;Tnet,'2025'!Resal+('2025'!Salim-'2025'!Resal)*(1-EXP(('2025'!Tnet-t)/('2025'!Tau_j))),Resal+(Salim-Resal)*(1-EXP((Tnet-t)/(Tau_j))))*Salcycl</f>
        <v>5.0948689978073024E-2</v>
      </c>
      <c r="P326" s="169">
        <f>(INDEX(Models!$BJ326:$BT326,,T326)*(1-R326)+INDEX(Models!$BJ326:$BT326,,T326+1)*R326-ERP_i)*Q326*Ramure*Pc/MaxiM</f>
        <v>4.948249314414262E-3</v>
      </c>
      <c r="Q326" s="304">
        <f t="shared" si="105"/>
        <v>0.7</v>
      </c>
      <c r="R326" s="177">
        <f t="shared" si="106"/>
        <v>0.17827207972411985</v>
      </c>
      <c r="S326" s="799">
        <f t="shared" si="107"/>
        <v>-1</v>
      </c>
      <c r="T326" s="176">
        <f t="shared" si="108"/>
        <v>5</v>
      </c>
      <c r="U326" s="250">
        <f t="shared" si="109"/>
        <v>-0.82172792027588015</v>
      </c>
      <c r="V326" s="382">
        <f t="shared" si="110"/>
        <v>30.446914036542797</v>
      </c>
      <c r="W326" s="400">
        <f t="shared" si="111"/>
        <v>20.496644720013666</v>
      </c>
      <c r="X326" s="157">
        <f t="shared" si="112"/>
        <v>46334</v>
      </c>
      <c r="Y326" s="383">
        <f t="shared" si="113"/>
        <v>19.369590009621696</v>
      </c>
      <c r="Z326" s="383">
        <f t="shared" si="114"/>
        <v>20.460514743621651</v>
      </c>
      <c r="AA326" s="384">
        <f t="shared" si="115"/>
        <v>22.198545152712096</v>
      </c>
      <c r="AB326" s="197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7.8294789011346705E-2</v>
      </c>
      <c r="AD326" s="230">
        <f>(INDEX(Models!$BJ326:$BT326,,AH326)*(1-AF326)+INDEX(Models!$BJ326:$BT326,,AH326+1)*AF326-ERP_i)*AE326*Ramure*Pc/MaxiM</f>
        <v>5.5364545570109697E-2</v>
      </c>
      <c r="AE326" s="304">
        <f t="shared" si="117"/>
        <v>0.7</v>
      </c>
      <c r="AF326" s="177">
        <f t="shared" si="118"/>
        <v>0.93392991056347086</v>
      </c>
      <c r="AG326" s="799">
        <f t="shared" si="124"/>
        <v>1</v>
      </c>
      <c r="AH326" s="176">
        <f t="shared" si="119"/>
        <v>7</v>
      </c>
      <c r="AI326" s="224">
        <f t="shared" si="120"/>
        <v>1.9339299105634709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46335</v>
      </c>
      <c r="B327" s="409">
        <f>'2025'!Wh/'2025'!Env_an*'2026'!Env_an</f>
        <v>12.149011306128791</v>
      </c>
      <c r="C327" s="829"/>
      <c r="D327" s="391">
        <f t="shared" si="102"/>
        <v>12.833508029903511</v>
      </c>
      <c r="E327" s="383">
        <f t="shared" si="125"/>
        <v>13.52275569221735</v>
      </c>
      <c r="F327" s="383">
        <f t="shared" si="103"/>
        <v>13.532601089839073</v>
      </c>
      <c r="G327" s="110">
        <f t="shared" si="126"/>
        <v>0.40047149548710687</v>
      </c>
      <c r="H327" s="412" t="b">
        <f>Wh_hp&gt;='2025'!Maxi_hp</f>
        <v>0</v>
      </c>
      <c r="I327" s="388">
        <f>IF(H327,Wh_hp,'2025'!Maxi_hp)</f>
        <v>28.934926580180637</v>
      </c>
      <c r="J327" s="85">
        <f>IF(H327,An,'2025'!An_max)</f>
        <v>2020</v>
      </c>
      <c r="K327" s="197">
        <f t="shared" si="104"/>
        <v>46335</v>
      </c>
      <c r="L327" s="147">
        <f>IF(t&lt;Tvie,1-EXP((T0-t)*PertePVj)+'2025'!Pspv,1-EXP((T0-t)*PertePVj)+Pspv)</f>
        <v>5.3336680990089813E-2</v>
      </c>
      <c r="M327" s="832"/>
      <c r="N327" s="832"/>
      <c r="O327" s="48">
        <f>IF(t&lt;Tnet,'2025'!Resal+('2025'!Salim-'2025'!Resal)*(1-EXP(('2025'!Tnet-t)/('2025'!Tau_j))),Resal+(Salim-Resal)*(1-EXP((Tnet-t)/(Tau_j))))*Salcycl</f>
        <v>5.0969467910339926E-2</v>
      </c>
      <c r="P327" s="169">
        <f>(INDEX(Models!$BJ327:$BT327,,T327)*(1-R327)+INDEX(Models!$BJ327:$BT327,,T327+1)*R327-ERP_i)*Q327*Ramure*Pc/MaxiM</f>
        <v>4.9838471581337192E-3</v>
      </c>
      <c r="Q327" s="304">
        <f t="shared" si="105"/>
        <v>0.7</v>
      </c>
      <c r="R327" s="177">
        <f t="shared" si="106"/>
        <v>0.17830451304289552</v>
      </c>
      <c r="S327" s="799">
        <f t="shared" si="107"/>
        <v>-1</v>
      </c>
      <c r="T327" s="176">
        <f t="shared" si="108"/>
        <v>5</v>
      </c>
      <c r="U327" s="250">
        <f t="shared" si="109"/>
        <v>-0.82169548695710448</v>
      </c>
      <c r="V327" s="382">
        <f t="shared" si="110"/>
        <v>30.207552275156228</v>
      </c>
      <c r="W327" s="400">
        <f t="shared" si="111"/>
        <v>12.149011306128791</v>
      </c>
      <c r="X327" s="157">
        <f t="shared" si="112"/>
        <v>46335</v>
      </c>
      <c r="Y327" s="383">
        <f t="shared" si="113"/>
        <v>11.712738240828937</v>
      </c>
      <c r="Z327" s="383">
        <f t="shared" si="114"/>
        <v>12.372654570665077</v>
      </c>
      <c r="AA327" s="384">
        <f t="shared" si="115"/>
        <v>13.423219857836067</v>
      </c>
      <c r="AB327" s="197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7.8264775389021241E-2</v>
      </c>
      <c r="AD327" s="230">
        <f>(INDEX(Models!$BJ327:$BT327,,AH327)*(1-AF327)+INDEX(Models!$BJ327:$BT327,,AH327+1)*AF327-ERP_i)*AE327*Ramure*Pc/MaxiM</f>
        <v>5.5369967086813347E-2</v>
      </c>
      <c r="AE327" s="304">
        <f t="shared" si="117"/>
        <v>0.7</v>
      </c>
      <c r="AF327" s="177">
        <f t="shared" si="118"/>
        <v>0.93396234388224642</v>
      </c>
      <c r="AG327" s="799">
        <f t="shared" si="124"/>
        <v>1</v>
      </c>
      <c r="AH327" s="176">
        <f t="shared" si="119"/>
        <v>7</v>
      </c>
      <c r="AI327" s="224">
        <f t="shared" si="120"/>
        <v>1.9339623438822464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46336</v>
      </c>
      <c r="B328" s="409">
        <f>'2025'!Wh/'2025'!Env_an*'2026'!Env_an</f>
        <v>21.207325634239311</v>
      </c>
      <c r="C328" s="829"/>
      <c r="D328" s="391">
        <f t="shared" si="102"/>
        <v>22.402613104062041</v>
      </c>
      <c r="E328" s="383">
        <f t="shared" si="125"/>
        <v>23.606310740473113</v>
      </c>
      <c r="F328" s="383">
        <f t="shared" si="103"/>
        <v>23.675364749287397</v>
      </c>
      <c r="G328" s="110">
        <f t="shared" si="126"/>
        <v>0.70615059837210314</v>
      </c>
      <c r="H328" s="412" t="b">
        <f>Wh_hp&gt;='2025'!Maxi_hp</f>
        <v>1</v>
      </c>
      <c r="I328" s="388">
        <f>IF(H328,Wh_hp,'2025'!Maxi_hp)</f>
        <v>23.675364749287397</v>
      </c>
      <c r="J328" s="85">
        <f>IF(H328,An,'2025'!An_max)</f>
        <v>2026</v>
      </c>
      <c r="K328" s="197">
        <f t="shared" si="104"/>
        <v>46336</v>
      </c>
      <c r="L328" s="147">
        <f>IF(t&lt;Tvie,1-EXP((T0-t)*PertePVj)+'2025'!Pspv,1-EXP((T0-t)*PertePVj)+Pspv)</f>
        <v>5.3354823576630017E-2</v>
      </c>
      <c r="M328" s="832"/>
      <c r="N328" s="832"/>
      <c r="O328" s="48">
        <f>IF(t&lt;Tnet,'2025'!Resal+('2025'!Salim-'2025'!Resal)*(1-EXP(('2025'!Tnet-t)/('2025'!Tau_j))),Resal+(Salim-Resal)*(1-EXP((Tnet-t)/(Tau_j))))*Salcycl</f>
        <v>5.0990502058728113E-2</v>
      </c>
      <c r="P328" s="169">
        <f>(INDEX(Models!$BJ328:$BT328,,T328)*(1-R328)+INDEX(Models!$BJ328:$BT328,,T328+1)*R328-ERP_i)*Q328*Ramure*Pc/MaxiM</f>
        <v>5.008625137083068E-3</v>
      </c>
      <c r="Q328" s="304">
        <f t="shared" si="105"/>
        <v>0.7</v>
      </c>
      <c r="R328" s="177">
        <f t="shared" si="106"/>
        <v>0.17833564545012359</v>
      </c>
      <c r="S328" s="799">
        <f t="shared" si="107"/>
        <v>-1</v>
      </c>
      <c r="T328" s="176">
        <f t="shared" si="108"/>
        <v>5</v>
      </c>
      <c r="U328" s="250">
        <f t="shared" si="109"/>
        <v>-0.82166435454987641</v>
      </c>
      <c r="V328" s="382">
        <f t="shared" si="110"/>
        <v>29.969289603374165</v>
      </c>
      <c r="W328" s="400">
        <f t="shared" si="111"/>
        <v>21.207325634239311</v>
      </c>
      <c r="X328" s="157">
        <f t="shared" si="112"/>
        <v>46336</v>
      </c>
      <c r="Y328" s="383">
        <f t="shared" si="113"/>
        <v>19.992004728954694</v>
      </c>
      <c r="Z328" s="383">
        <f t="shared" si="114"/>
        <v>21.118794271459564</v>
      </c>
      <c r="AA328" s="384">
        <f t="shared" si="115"/>
        <v>22.911264173801964</v>
      </c>
      <c r="AB328" s="197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7.8235312060694256E-2</v>
      </c>
      <c r="AD328" s="230">
        <f>(INDEX(Models!$BJ328:$BT328,,AH328)*(1-AF328)+INDEX(Models!$BJ328:$BT328,,AH328+1)*AF328-ERP_i)*AE328*Ramure*Pc/MaxiM</f>
        <v>5.5421740393504199E-2</v>
      </c>
      <c r="AE328" s="304">
        <f t="shared" si="117"/>
        <v>0.7</v>
      </c>
      <c r="AF328" s="177">
        <f t="shared" si="118"/>
        <v>0.9339934762894746</v>
      </c>
      <c r="AG328" s="799">
        <f t="shared" si="124"/>
        <v>1</v>
      </c>
      <c r="AH328" s="176">
        <f t="shared" si="119"/>
        <v>7</v>
      </c>
      <c r="AI328" s="224">
        <f t="shared" si="120"/>
        <v>1.9339934762894746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46337</v>
      </c>
      <c r="B329" s="409">
        <f>'2025'!Wh/'2025'!Env_an*'2026'!Env_an</f>
        <v>28.778537966618092</v>
      </c>
      <c r="C329" s="829"/>
      <c r="D329" s="391">
        <f t="shared" si="102"/>
        <v>30.401136801897231</v>
      </c>
      <c r="E329" s="383">
        <f t="shared" si="125"/>
        <v>32.035317388808963</v>
      </c>
      <c r="F329" s="383">
        <f t="shared" si="103"/>
        <v>32.189581326122102</v>
      </c>
      <c r="G329" s="110">
        <f t="shared" si="126"/>
        <v>0.96770689842871838</v>
      </c>
      <c r="H329" s="412" t="b">
        <f>Wh_hp&gt;='2025'!Maxi_hp</f>
        <v>1</v>
      </c>
      <c r="I329" s="388">
        <f>IF(H329,Wh_hp,'2025'!Maxi_hp)</f>
        <v>32.189581326122102</v>
      </c>
      <c r="J329" s="85">
        <f>IF(H329,An,'2025'!An_max)</f>
        <v>2026</v>
      </c>
      <c r="K329" s="197">
        <f t="shared" si="104"/>
        <v>46337</v>
      </c>
      <c r="L329" s="147">
        <f>IF(t&lt;Tvie,1-EXP((T0-t)*PertePVj)+'2025'!Pspv,1-EXP((T0-t)*PertePVj)+Pspv)</f>
        <v>5.3372965815471685E-2</v>
      </c>
      <c r="M329" s="832"/>
      <c r="N329" s="832"/>
      <c r="O329" s="48">
        <f>IF(t&lt;Tnet,'2025'!Resal+('2025'!Salim-'2025'!Resal)*(1-EXP(('2025'!Tnet-t)/('2025'!Tau_j))),Resal+(Salim-Resal)*(1-EXP((Tnet-t)/(Tau_j))))*Salcycl</f>
        <v>5.1011843181631995E-2</v>
      </c>
      <c r="P329" s="169">
        <f>(INDEX(Models!$BJ329:$BT329,,T329)*(1-R329)+INDEX(Models!$BJ329:$BT329,,T329+1)*R329-ERP_i)*Q329*Ramure*Pc/MaxiM</f>
        <v>5.0224512133132957E-3</v>
      </c>
      <c r="Q329" s="304">
        <f t="shared" si="105"/>
        <v>0.7</v>
      </c>
      <c r="R329" s="177">
        <f t="shared" si="106"/>
        <v>0.1783655289349213</v>
      </c>
      <c r="S329" s="799">
        <f t="shared" si="107"/>
        <v>-1</v>
      </c>
      <c r="T329" s="176">
        <f t="shared" si="108"/>
        <v>5</v>
      </c>
      <c r="U329" s="250">
        <f t="shared" si="109"/>
        <v>-0.8216344710650787</v>
      </c>
      <c r="V329" s="382">
        <f t="shared" si="110"/>
        <v>29.732023535574356</v>
      </c>
      <c r="W329" s="400">
        <f t="shared" si="111"/>
        <v>28.778537966618092</v>
      </c>
      <c r="X329" s="157">
        <f t="shared" si="112"/>
        <v>46337</v>
      </c>
      <c r="Y329" s="383">
        <f t="shared" si="113"/>
        <v>26.600404386151304</v>
      </c>
      <c r="Z329" s="383">
        <f t="shared" si="114"/>
        <v>28.100195140809831</v>
      </c>
      <c r="AA329" s="384">
        <f t="shared" si="115"/>
        <v>30.484261804713736</v>
      </c>
      <c r="AB329" s="197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7.8206475169927236E-2</v>
      </c>
      <c r="AD329" s="230">
        <f>(INDEX(Models!$BJ329:$BT329,,AH329)*(1-AF329)+INDEX(Models!$BJ329:$BT329,,AH329+1)*AF329-ERP_i)*AE329*Ramure*Pc/MaxiM</f>
        <v>5.5520974302623483E-2</v>
      </c>
      <c r="AE329" s="304">
        <f t="shared" si="117"/>
        <v>0.7</v>
      </c>
      <c r="AF329" s="177">
        <f t="shared" si="118"/>
        <v>0.9340233597742722</v>
      </c>
      <c r="AG329" s="799">
        <f t="shared" si="124"/>
        <v>1</v>
      </c>
      <c r="AH329" s="176">
        <f t="shared" si="119"/>
        <v>7</v>
      </c>
      <c r="AI329" s="224">
        <f t="shared" si="120"/>
        <v>1.9340233597742722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46338</v>
      </c>
      <c r="B330" s="409">
        <f>'2025'!Wh/'2025'!Env_an*'2026'!Env_an</f>
        <v>28.540928159884576</v>
      </c>
      <c r="C330" s="829"/>
      <c r="D330" s="391">
        <f t="shared" si="102"/>
        <v>30.150707850142407</v>
      </c>
      <c r="E330" s="383">
        <f t="shared" si="125"/>
        <v>31.772153331454177</v>
      </c>
      <c r="F330" s="383">
        <f t="shared" si="103"/>
        <v>31.925164948506623</v>
      </c>
      <c r="G330" s="110">
        <f t="shared" si="126"/>
        <v>0.96740578859845117</v>
      </c>
      <c r="H330" s="412" t="b">
        <f>Wh_hp&gt;='2025'!Maxi_hp</f>
        <v>0</v>
      </c>
      <c r="I330" s="388">
        <f>IF(H330,Wh_hp,'2025'!Maxi_hp)</f>
        <v>33.228636444643307</v>
      </c>
      <c r="J330" s="85">
        <f>IF(H330,An,'2025'!An_max)</f>
        <v>2020</v>
      </c>
      <c r="K330" s="197">
        <f t="shared" si="104"/>
        <v>46338</v>
      </c>
      <c r="L330" s="147">
        <f>IF(t&lt;Tvie,1-EXP((T0-t)*PertePVj)+'2025'!Pspv,1-EXP((T0-t)*PertePVj)+Pspv)</f>
        <v>5.3391107706621477E-2</v>
      </c>
      <c r="M330" s="832"/>
      <c r="N330" s="832"/>
      <c r="O330" s="48">
        <f>IF(t&lt;Tnet,'2025'!Resal+('2025'!Salim-'2025'!Resal)*(1-EXP(('2025'!Tnet-t)/('2025'!Tau_j))),Resal+(Salim-Resal)*(1-EXP((Tnet-t)/(Tau_j))))*Salcycl</f>
        <v>5.1033540736017791E-2</v>
      </c>
      <c r="P330" s="169">
        <f>(INDEX(Models!$BJ330:$BT330,,T330)*(1-R330)+INDEX(Models!$BJ330:$BT330,,T330+1)*R330-ERP_i)*Q330*Ramure*Pc/MaxiM</f>
        <v>5.0251882398644129E-3</v>
      </c>
      <c r="Q330" s="304">
        <f t="shared" si="105"/>
        <v>0.7</v>
      </c>
      <c r="R330" s="177">
        <f t="shared" si="106"/>
        <v>0.17839421342377193</v>
      </c>
      <c r="S330" s="799">
        <f t="shared" si="107"/>
        <v>-1</v>
      </c>
      <c r="T330" s="176">
        <f t="shared" si="108"/>
        <v>5</v>
      </c>
      <c r="U330" s="250">
        <f t="shared" si="109"/>
        <v>-0.82160578657622807</v>
      </c>
      <c r="V330" s="382">
        <f t="shared" si="110"/>
        <v>29.495651767798321</v>
      </c>
      <c r="W330" s="400">
        <f t="shared" si="111"/>
        <v>28.540928159884576</v>
      </c>
      <c r="X330" s="157">
        <f t="shared" si="112"/>
        <v>46338</v>
      </c>
      <c r="Y330" s="383">
        <f t="shared" si="113"/>
        <v>26.378931846326026</v>
      </c>
      <c r="Z330" s="383">
        <f t="shared" si="114"/>
        <v>27.866769540287091</v>
      </c>
      <c r="AA330" s="384">
        <f t="shared" si="115"/>
        <v>30.230109258847399</v>
      </c>
      <c r="AB330" s="197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7.8178338633315803E-2</v>
      </c>
      <c r="AD330" s="230">
        <f>(INDEX(Models!$BJ330:$BT330,,AH330)*(1-AF330)+INDEX(Models!$BJ330:$BT330,,AH330+1)*AF330-ERP_i)*AE330*Ramure*Pc/MaxiM</f>
        <v>5.5668805295164499E-2</v>
      </c>
      <c r="AE330" s="304">
        <f t="shared" si="117"/>
        <v>0.7</v>
      </c>
      <c r="AF330" s="177">
        <f t="shared" si="118"/>
        <v>0.93405204426312283</v>
      </c>
      <c r="AG330" s="799">
        <f t="shared" si="124"/>
        <v>1</v>
      </c>
      <c r="AH330" s="176">
        <f t="shared" si="119"/>
        <v>7</v>
      </c>
      <c r="AI330" s="224">
        <f t="shared" si="120"/>
        <v>1.9340520442631228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46339</v>
      </c>
      <c r="B331" s="409">
        <f>'2025'!Wh/'2025'!Env_an*'2026'!Env_an</f>
        <v>28.685301862383564</v>
      </c>
      <c r="C331" s="829"/>
      <c r="D331" s="391">
        <f t="shared" si="102"/>
        <v>30.303805355860828</v>
      </c>
      <c r="E331" s="383">
        <f t="shared" si="125"/>
        <v>31.934227882914879</v>
      </c>
      <c r="F331" s="383">
        <f t="shared" si="103"/>
        <v>32.090707243924719</v>
      </c>
      <c r="G331" s="110">
        <f t="shared" si="126"/>
        <v>0.98023811239470993</v>
      </c>
      <c r="H331" s="412" t="b">
        <f>Wh_hp&gt;='2025'!Maxi_hp</f>
        <v>1</v>
      </c>
      <c r="I331" s="388">
        <f>IF(H331,Wh_hp,'2025'!Maxi_hp)</f>
        <v>32.090707243924719</v>
      </c>
      <c r="J331" s="85">
        <f>IF(H331,An,'2025'!An_max)</f>
        <v>2026</v>
      </c>
      <c r="K331" s="197">
        <f t="shared" si="104"/>
        <v>46339</v>
      </c>
      <c r="L331" s="147">
        <f>IF(t&lt;Tvie,1-EXP((T0-t)*PertePVj)+'2025'!Pspv,1-EXP((T0-t)*PertePVj)+Pspv)</f>
        <v>5.3409249250086055E-2</v>
      </c>
      <c r="M331" s="832"/>
      <c r="N331" s="832"/>
      <c r="O331" s="48">
        <f>IF(t&lt;Tnet,'2025'!Resal+('2025'!Salim-'2025'!Resal)*(1-EXP(('2025'!Tnet-t)/('2025'!Tau_j))),Resal+(Salim-Resal)*(1-EXP((Tnet-t)/(Tau_j))))*Salcycl</f>
        <v>5.1055642648756228E-2</v>
      </c>
      <c r="P331" s="169">
        <f>(INDEX(Models!$BJ331:$BT331,,T331)*(1-R331)+INDEX(Models!$BJ331:$BT331,,T331+1)*R331-ERP_i)*Q331*Ramure*Pc/MaxiM</f>
        <v>5.0167955765452465E-3</v>
      </c>
      <c r="Q331" s="304">
        <f t="shared" si="105"/>
        <v>0.7</v>
      </c>
      <c r="R331" s="177">
        <f t="shared" si="106"/>
        <v>0.1784217468611724</v>
      </c>
      <c r="S331" s="799">
        <f t="shared" si="107"/>
        <v>-1</v>
      </c>
      <c r="T331" s="176">
        <f t="shared" si="108"/>
        <v>5</v>
      </c>
      <c r="U331" s="250">
        <f t="shared" si="109"/>
        <v>-0.8215782531388276</v>
      </c>
      <c r="V331" s="382">
        <f t="shared" si="110"/>
        <v>29.259470227060692</v>
      </c>
      <c r="W331" s="400">
        <f t="shared" si="111"/>
        <v>28.685301862383564</v>
      </c>
      <c r="X331" s="157">
        <f t="shared" si="112"/>
        <v>46339</v>
      </c>
      <c r="Y331" s="383">
        <f t="shared" si="113"/>
        <v>26.482202177151454</v>
      </c>
      <c r="Z331" s="383">
        <f t="shared" si="114"/>
        <v>27.976400737247392</v>
      </c>
      <c r="AA331" s="384">
        <f t="shared" si="115"/>
        <v>30.348137213505584</v>
      </c>
      <c r="AB331" s="197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7.8150973800221207E-2</v>
      </c>
      <c r="AD331" s="230">
        <f>(INDEX(Models!$BJ331:$BT331,,AH331)*(1-AF331)+INDEX(Models!$BJ331:$BT331,,AH331+1)*AF331-ERP_i)*AE331*Ramure*Pc/MaxiM</f>
        <v>5.5867544218034561E-2</v>
      </c>
      <c r="AE331" s="304">
        <f t="shared" si="117"/>
        <v>0.7</v>
      </c>
      <c r="AF331" s="177">
        <f t="shared" si="118"/>
        <v>0.9340795777005233</v>
      </c>
      <c r="AG331" s="799">
        <f t="shared" si="124"/>
        <v>1</v>
      </c>
      <c r="AH331" s="176">
        <f t="shared" si="119"/>
        <v>7</v>
      </c>
      <c r="AI331" s="224">
        <f t="shared" si="120"/>
        <v>1.9340795777005233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46340</v>
      </c>
      <c r="B332" s="409">
        <f>'2025'!Wh/'2025'!Env_an*'2026'!Env_an</f>
        <v>12.182284743199958</v>
      </c>
      <c r="C332" s="829"/>
      <c r="D332" s="391">
        <f t="shared" si="102"/>
        <v>12.869889346299892</v>
      </c>
      <c r="E332" s="383">
        <f t="shared" si="125"/>
        <v>13.562644761447908</v>
      </c>
      <c r="F332" s="383">
        <f t="shared" si="103"/>
        <v>13.574248287473972</v>
      </c>
      <c r="G332" s="110">
        <f t="shared" si="126"/>
        <v>0.41800421140514438</v>
      </c>
      <c r="H332" s="412" t="b">
        <f>Wh_hp&gt;='2025'!Maxi_hp</f>
        <v>0</v>
      </c>
      <c r="I332" s="388">
        <f>IF(H332,Wh_hp,'2025'!Maxi_hp)</f>
        <v>18.993319038472997</v>
      </c>
      <c r="J332" s="85">
        <f>IF(H332,An,'2025'!An_max)</f>
        <v>2020</v>
      </c>
      <c r="K332" s="197">
        <f t="shared" si="104"/>
        <v>46340</v>
      </c>
      <c r="L332" s="147">
        <f>IF(t&lt;Tvie,1-EXP((T0-t)*PertePVj)+'2025'!Pspv,1-EXP((T0-t)*PertePVj)+Pspv)</f>
        <v>5.3427390445872192E-2</v>
      </c>
      <c r="M332" s="832"/>
      <c r="N332" s="832"/>
      <c r="O332" s="48">
        <f>IF(t&lt;Tnet,'2025'!Resal+('2025'!Salim-'2025'!Resal)*(1-EXP(('2025'!Tnet-t)/('2025'!Tau_j))),Resal+(Salim-Resal)*(1-EXP((Tnet-t)/(Tau_j))))*Salcycl</f>
        <v>5.1078195096371334E-2</v>
      </c>
      <c r="P332" s="169">
        <f>(INDEX(Models!$BJ332:$BT332,,T332)*(1-R332)+INDEX(Models!$BJ332:$BT332,,T332+1)*R332-ERP_i)*Q332*Ramure*Pc/MaxiM</f>
        <v>4.9970885345646783E-3</v>
      </c>
      <c r="Q332" s="304">
        <f t="shared" si="105"/>
        <v>0.7</v>
      </c>
      <c r="R332" s="177">
        <f t="shared" si="106"/>
        <v>0.17844817528722179</v>
      </c>
      <c r="S332" s="799">
        <f t="shared" si="107"/>
        <v>-1</v>
      </c>
      <c r="T332" s="176">
        <f t="shared" si="108"/>
        <v>5</v>
      </c>
      <c r="U332" s="250">
        <f t="shared" si="109"/>
        <v>-0.82155182471277821</v>
      </c>
      <c r="V332" s="382">
        <f t="shared" si="110"/>
        <v>29.023102956376469</v>
      </c>
      <c r="W332" s="400">
        <f t="shared" si="111"/>
        <v>12.182284743199958</v>
      </c>
      <c r="X332" s="157">
        <f t="shared" si="112"/>
        <v>46340</v>
      </c>
      <c r="Y332" s="383">
        <f t="shared" si="113"/>
        <v>11.731406251421271</v>
      </c>
      <c r="Z332" s="383">
        <f t="shared" si="114"/>
        <v>12.393561923313221</v>
      </c>
      <c r="AA332" s="384">
        <f t="shared" si="115"/>
        <v>13.443855747747754</v>
      </c>
      <c r="AB332" s="197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7.8124449126917225E-2</v>
      </c>
      <c r="AD332" s="230">
        <f>(INDEX(Models!$BJ332:$BT332,,AH332)*(1-AF332)+INDEX(Models!$BJ332:$BT332,,AH332+1)*AF332-ERP_i)*AE332*Ramure*Pc/MaxiM</f>
        <v>5.6153884930753573E-2</v>
      </c>
      <c r="AE332" s="304">
        <f t="shared" si="117"/>
        <v>0.7</v>
      </c>
      <c r="AF332" s="177">
        <f t="shared" si="118"/>
        <v>0.93410600612657269</v>
      </c>
      <c r="AG332" s="799">
        <f t="shared" si="124"/>
        <v>1</v>
      </c>
      <c r="AH332" s="176">
        <f t="shared" si="119"/>
        <v>7</v>
      </c>
      <c r="AI332" s="224">
        <f t="shared" si="120"/>
        <v>1.9341060061265727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46341</v>
      </c>
      <c r="B333" s="409">
        <f>'2025'!Wh/'2025'!Env_an*'2026'!Env_an</f>
        <v>13.33128008168285</v>
      </c>
      <c r="C333" s="829"/>
      <c r="D333" s="391">
        <f t="shared" si="102"/>
        <v>14.084007336532215</v>
      </c>
      <c r="E333" s="383">
        <f t="shared" si="125"/>
        <v>14.842476314957418</v>
      </c>
      <c r="F333" s="383">
        <f t="shared" si="103"/>
        <v>14.85970258674941</v>
      </c>
      <c r="G333" s="110">
        <f t="shared" si="126"/>
        <v>0.46133685871240787</v>
      </c>
      <c r="H333" s="412" t="b">
        <f>Wh_hp&gt;='2025'!Maxi_hp</f>
        <v>0</v>
      </c>
      <c r="I333" s="388">
        <f>IF(H333,Wh_hp,'2025'!Maxi_hp)</f>
        <v>31.702886154707713</v>
      </c>
      <c r="J333" s="85">
        <f>IF(H333,An,'2025'!An_max)</f>
        <v>2020</v>
      </c>
      <c r="K333" s="197">
        <f t="shared" si="104"/>
        <v>46341</v>
      </c>
      <c r="L333" s="147">
        <f>IF(t&lt;Tvie,1-EXP((T0-t)*PertePVj)+'2025'!Pspv,1-EXP((T0-t)*PertePVj)+Pspv)</f>
        <v>5.3445531293986326E-2</v>
      </c>
      <c r="M333" s="832"/>
      <c r="N333" s="832"/>
      <c r="O333" s="48">
        <f>IF(t&lt;Tnet,'2025'!Resal+('2025'!Salim-'2025'!Resal)*(1-EXP(('2025'!Tnet-t)/('2025'!Tau_j))),Resal+(Salim-Resal)*(1-EXP((Tnet-t)/(Tau_j))))*Salcycl</f>
        <v>5.1101242294782127E-2</v>
      </c>
      <c r="P333" s="169">
        <f>(INDEX(Models!$BJ333:$BT333,,T333)*(1-R333)+INDEX(Models!$BJ333:$BT333,,T333+1)*R333-ERP_i)*Q333*Ramure*Pc/MaxiM</f>
        <v>4.9751828937990615E-3</v>
      </c>
      <c r="Q333" s="304">
        <f t="shared" si="105"/>
        <v>0.7</v>
      </c>
      <c r="R333" s="177">
        <f t="shared" si="106"/>
        <v>0.17847354291225792</v>
      </c>
      <c r="S333" s="799">
        <f t="shared" si="107"/>
        <v>-1</v>
      </c>
      <c r="T333" s="176">
        <f t="shared" si="108"/>
        <v>5</v>
      </c>
      <c r="U333" s="250">
        <f t="shared" si="109"/>
        <v>-0.82152645708774208</v>
      </c>
      <c r="V333" s="382">
        <f t="shared" si="110"/>
        <v>28.78666567455442</v>
      </c>
      <c r="W333" s="400">
        <f t="shared" si="111"/>
        <v>13.33128008168285</v>
      </c>
      <c r="X333" s="157">
        <f t="shared" si="112"/>
        <v>46341</v>
      </c>
      <c r="Y333" s="383">
        <f t="shared" si="113"/>
        <v>12.796216043129144</v>
      </c>
      <c r="Z333" s="383">
        <f t="shared" si="114"/>
        <v>13.518731849232298</v>
      </c>
      <c r="AA333" s="384">
        <f t="shared" si="115"/>
        <v>14.663970810763749</v>
      </c>
      <c r="AB333" s="197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7.8098829867474517E-2</v>
      </c>
      <c r="AD333" s="230">
        <f>(INDEX(Models!$BJ333:$BT333,,AH333)*(1-AF333)+INDEX(Models!$BJ333:$BT333,,AH333+1)*AF333-ERP_i)*AE333*Ramure*Pc/MaxiM</f>
        <v>5.6530013888982385E-2</v>
      </c>
      <c r="AE333" s="304">
        <f t="shared" si="117"/>
        <v>0.7</v>
      </c>
      <c r="AF333" s="177">
        <f t="shared" si="118"/>
        <v>0.93413137375160882</v>
      </c>
      <c r="AG333" s="799">
        <f t="shared" si="124"/>
        <v>1</v>
      </c>
      <c r="AH333" s="176">
        <f t="shared" si="119"/>
        <v>7</v>
      </c>
      <c r="AI333" s="224">
        <f t="shared" si="120"/>
        <v>1.9341313737516088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46342</v>
      </c>
      <c r="B334" s="409">
        <f>'2025'!Wh/'2025'!Env_an*'2026'!Env_an</f>
        <v>28.074276554156526</v>
      </c>
      <c r="C334" s="829"/>
      <c r="D334" s="391">
        <f t="shared" si="102"/>
        <v>29.660009571296111</v>
      </c>
      <c r="E334" s="383">
        <f t="shared" si="125"/>
        <v>31.258073130587022</v>
      </c>
      <c r="F334" s="383">
        <f t="shared" si="103"/>
        <v>31.409877016011794</v>
      </c>
      <c r="G334" s="110">
        <f t="shared" si="126"/>
        <v>0.98320175743742555</v>
      </c>
      <c r="H334" s="412" t="b">
        <f>Wh_hp&gt;='2025'!Maxi_hp</f>
        <v>1</v>
      </c>
      <c r="I334" s="388">
        <f>IF(H334,Wh_hp,'2025'!Maxi_hp)</f>
        <v>31.409877016011794</v>
      </c>
      <c r="J334" s="85">
        <f>IF(H334,An,'2025'!An_max)</f>
        <v>2026</v>
      </c>
      <c r="K334" s="197">
        <f t="shared" si="104"/>
        <v>46342</v>
      </c>
      <c r="L334" s="147">
        <f>IF(t&lt;Tvie,1-EXP((T0-t)*PertePVj)+'2025'!Pspv,1-EXP((T0-t)*PertePVj)+Pspv)</f>
        <v>5.3463671794435341E-2</v>
      </c>
      <c r="M334" s="832"/>
      <c r="N334" s="832"/>
      <c r="O334" s="48">
        <f>IF(t&lt;Tnet,'2025'!Resal+('2025'!Salim-'2025'!Resal)*(1-EXP(('2025'!Tnet-t)/('2025'!Tau_j))),Resal+(Salim-Resal)*(1-EXP((Tnet-t)/(Tau_j))))*Salcycl</f>
        <v>5.1124826300542318E-2</v>
      </c>
      <c r="P334" s="169">
        <f>(INDEX(Models!$BJ334:$BT334,,T334)*(1-R334)+INDEX(Models!$BJ334:$BT334,,T334+1)*R334-ERP_i)*Q334*Ramure*Pc/MaxiM</f>
        <v>4.9509850486345189E-3</v>
      </c>
      <c r="Q334" s="304">
        <f t="shared" si="105"/>
        <v>0.7</v>
      </c>
      <c r="R334" s="177">
        <f t="shared" si="106"/>
        <v>0.17849789218864953</v>
      </c>
      <c r="S334" s="799">
        <f t="shared" si="107"/>
        <v>-1</v>
      </c>
      <c r="T334" s="176">
        <f t="shared" si="108"/>
        <v>5</v>
      </c>
      <c r="U334" s="250">
        <f t="shared" si="109"/>
        <v>-0.82150210781135047</v>
      </c>
      <c r="V334" s="382">
        <f t="shared" si="110"/>
        <v>28.55054709325486</v>
      </c>
      <c r="W334" s="400">
        <f t="shared" si="111"/>
        <v>28.074276554156526</v>
      </c>
      <c r="X334" s="157">
        <f t="shared" si="112"/>
        <v>46342</v>
      </c>
      <c r="Y334" s="383">
        <f t="shared" si="113"/>
        <v>25.88437695007034</v>
      </c>
      <c r="Z334" s="383">
        <f t="shared" si="114"/>
        <v>27.346416802767322</v>
      </c>
      <c r="AA334" s="384">
        <f t="shared" si="115"/>
        <v>29.662274495168457</v>
      </c>
      <c r="AB334" s="197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7.8074177783580043E-2</v>
      </c>
      <c r="AD334" s="230">
        <f>(INDEX(Models!$BJ334:$BT334,,AH334)*(1-AF334)+INDEX(Models!$BJ334:$BT334,,AH334+1)*AF334-ERP_i)*AE334*Ramure*Pc/MaxiM</f>
        <v>5.6996920253000856E-2</v>
      </c>
      <c r="AE334" s="304">
        <f t="shared" si="117"/>
        <v>0.7</v>
      </c>
      <c r="AF334" s="177">
        <f t="shared" si="118"/>
        <v>0.93415572302800043</v>
      </c>
      <c r="AG334" s="799">
        <f t="shared" si="124"/>
        <v>1</v>
      </c>
      <c r="AH334" s="176">
        <f t="shared" si="119"/>
        <v>7</v>
      </c>
      <c r="AI334" s="224">
        <f t="shared" si="120"/>
        <v>1.9341557230280004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46343</v>
      </c>
      <c r="B335" s="409">
        <f>'2025'!Wh/'2025'!Env_an*'2026'!Env_an</f>
        <v>12.335715422679106</v>
      </c>
      <c r="C335" s="829"/>
      <c r="D335" s="391">
        <f t="shared" ref="D335:D379" si="127">Wh/(1-Ppv)</f>
        <v>13.032729405925917</v>
      </c>
      <c r="E335" s="383">
        <f t="shared" si="125"/>
        <v>13.735274795477508</v>
      </c>
      <c r="F335" s="383">
        <f t="shared" ref="F335:F379" si="128">Wh_sa/(1-Pvg*MEDIAN((-Sdif+Wh/Env_an)/Csdif,0,1))</f>
        <v>13.748395357618429</v>
      </c>
      <c r="G335" s="110">
        <f t="shared" si="126"/>
        <v>0.43392675409254977</v>
      </c>
      <c r="H335" s="412" t="b">
        <f>Wh_hp&gt;='2025'!Maxi_hp</f>
        <v>0</v>
      </c>
      <c r="I335" s="388">
        <f>IF(H335,Wh_hp,'2025'!Maxi_hp)</f>
        <v>19.304439918384041</v>
      </c>
      <c r="J335" s="85">
        <f>IF(H335,An,'2025'!An_max)</f>
        <v>2020</v>
      </c>
      <c r="K335" s="197">
        <f t="shared" ref="K335:K379" si="129">t</f>
        <v>46343</v>
      </c>
      <c r="L335" s="147">
        <f>IF(t&lt;Tvie,1-EXP((T0-t)*PertePVj)+'2025'!Pspv,1-EXP((T0-t)*PertePVj)+Pspv)</f>
        <v>5.3481811947225788E-2</v>
      </c>
      <c r="M335" s="832"/>
      <c r="N335" s="832"/>
      <c r="O335" s="48">
        <f>IF(t&lt;Tnet,'2025'!Resal+('2025'!Salim-'2025'!Resal)*(1-EXP(('2025'!Tnet-t)/('2025'!Tau_j))),Resal+(Salim-Resal)*(1-EXP((Tnet-t)/(Tau_j))))*Salcycl</f>
        <v>5.1148986824996939E-2</v>
      </c>
      <c r="P335" s="169">
        <f>(INDEX(Models!$BJ335:$BT335,,T335)*(1-R335)+INDEX(Models!$BJ335:$BT335,,T335+1)*R335-ERP_i)*Q335*Ramure*Pc/MaxiM</f>
        <v>4.9243971669037743E-3</v>
      </c>
      <c r="Q335" s="304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0.1785212638798449</v>
      </c>
      <c r="S335" s="799">
        <f t="shared" ref="S335:S379" si="132">INDEX(Echel_vg,T335)</f>
        <v>-1</v>
      </c>
      <c r="T335" s="176">
        <f t="shared" ref="T335:T379" si="133">MIN(MATCH(Hp_vg,Echel_vg),10)</f>
        <v>5</v>
      </c>
      <c r="U335" s="250">
        <f t="shared" ref="U335:U379" si="134">IF(OR(t&lt;Ttai,Notai),Hdd+PousH*Croivg,Hdtf+PousH*(Croivg-Croi_tai))</f>
        <v>-0.8214787361201551</v>
      </c>
      <c r="V335" s="382">
        <f t="shared" ref="V335:V379" si="135">MaxiM*(1-Ppv)*(1-Pvg)*(1-Psa)</f>
        <v>28.315136037298441</v>
      </c>
      <c r="W335" s="400">
        <f t="shared" ref="W335:W379" si="136">Wh*(A335&gt;Tmaj)</f>
        <v>12.335715422679106</v>
      </c>
      <c r="X335" s="157">
        <f t="shared" ref="X335:X379" si="137">t</f>
        <v>46343</v>
      </c>
      <c r="Y335" s="383">
        <f t="shared" ref="Y335:Y379" si="138">Wh_pvt_s*(1-Ppv)</f>
        <v>11.863605510907165</v>
      </c>
      <c r="Z335" s="383">
        <f t="shared" ref="Z335:Z379" si="139">Wh_sa_s*(1-Psa_s)</f>
        <v>12.533943521268812</v>
      </c>
      <c r="AA335" s="384">
        <f t="shared" ref="AA335:AA379" si="140">Wh_hp*(1-Pvg_s*MEDIAN((-Sdif+Wh/Env_an)/Csdif,0,1))</f>
        <v>13.595044211121541</v>
      </c>
      <c r="AB335" s="197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7.8050550875346694E-2</v>
      </c>
      <c r="AD335" s="230">
        <f>(INDEX(Models!$BJ335:$BT335,,AH335)*(1-AF335)+INDEX(Models!$BJ335:$BT335,,AH335+1)*AF335-ERP_i)*AE335*Ramure*Pc/MaxiM</f>
        <v>5.7555609526477321E-2</v>
      </c>
      <c r="AE335" s="304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0.93417909471919591</v>
      </c>
      <c r="AG335" s="799">
        <f t="shared" si="124"/>
        <v>1</v>
      </c>
      <c r="AH335" s="176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1.9341790947191959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46344</v>
      </c>
      <c r="B336" s="409">
        <f>'2025'!Wh/'2025'!Env_an*'2026'!Env_an</f>
        <v>14.181452699106796</v>
      </c>
      <c r="C336" s="829"/>
      <c r="D336" s="391">
        <f t="shared" si="127"/>
        <v>14.983044877137143</v>
      </c>
      <c r="E336" s="383">
        <f t="shared" si="125"/>
        <v>15.79113673533949</v>
      </c>
      <c r="F336" s="383">
        <f t="shared" si="128"/>
        <v>15.8138103787704</v>
      </c>
      <c r="G336" s="110">
        <f t="shared" si="126"/>
        <v>0.50327205420007914</v>
      </c>
      <c r="H336" s="412" t="b">
        <f>Wh_hp&gt;='2025'!Maxi_hp</f>
        <v>0</v>
      </c>
      <c r="I336" s="388">
        <f>IF(H336,Wh_hp,'2025'!Maxi_hp)</f>
        <v>28.981060402104621</v>
      </c>
      <c r="J336" s="85">
        <f>IF(H336,An,'2025'!An_max)</f>
        <v>2020</v>
      </c>
      <c r="K336" s="197">
        <f t="shared" si="129"/>
        <v>46344</v>
      </c>
      <c r="L336" s="147">
        <f>IF(t&lt;Tvie,1-EXP((T0-t)*PertePVj)+'2025'!Pspv,1-EXP((T0-t)*PertePVj)+Pspv)</f>
        <v>5.3499951752364328E-2</v>
      </c>
      <c r="M336" s="832"/>
      <c r="N336" s="832"/>
      <c r="O336" s="48">
        <f>IF(t&lt;Tnet,'2025'!Resal+('2025'!Salim-'2025'!Resal)*(1-EXP(('2025'!Tnet-t)/('2025'!Tau_j))),Resal+(Salim-Resal)*(1-EXP((Tnet-t)/(Tau_j))))*Salcycl</f>
        <v>5.1173761062678472E-2</v>
      </c>
      <c r="P336" s="169">
        <f>(INDEX(Models!$BJ336:$BT336,,T336)*(1-R336)+INDEX(Models!$BJ336:$BT336,,T336+1)*R336-ERP_i)*Q336*Ramure*Pc/MaxiM</f>
        <v>4.8953172733694414E-3</v>
      </c>
      <c r="Q336" s="304">
        <f t="shared" si="130"/>
        <v>0.7</v>
      </c>
      <c r="R336" s="177">
        <f t="shared" si="131"/>
        <v>0.17854369712677554</v>
      </c>
      <c r="S336" s="799">
        <f t="shared" si="132"/>
        <v>-1</v>
      </c>
      <c r="T336" s="176">
        <f t="shared" si="133"/>
        <v>5</v>
      </c>
      <c r="U336" s="250">
        <f t="shared" si="134"/>
        <v>-0.82145630287322446</v>
      </c>
      <c r="V336" s="382">
        <f t="shared" si="135"/>
        <v>28.080821446812124</v>
      </c>
      <c r="W336" s="400">
        <f t="shared" si="136"/>
        <v>14.181452699106796</v>
      </c>
      <c r="X336" s="157">
        <f t="shared" si="137"/>
        <v>46344</v>
      </c>
      <c r="Y336" s="383">
        <f t="shared" si="138"/>
        <v>13.564603299023108</v>
      </c>
      <c r="Z336" s="383">
        <f t="shared" si="139"/>
        <v>14.331328692625867</v>
      </c>
      <c r="AA336" s="384">
        <f t="shared" si="140"/>
        <v>15.544212558903174</v>
      </c>
      <c r="AB336" s="197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7.802800313500674E-2</v>
      </c>
      <c r="AD336" s="230">
        <f>(INDEX(Models!$BJ336:$BT336,,AH336)*(1-AF336)+INDEX(Models!$BJ336:$BT336,,AH336+1)*AF336-ERP_i)*AE336*Ramure*Pc/MaxiM</f>
        <v>5.8207092674821478E-2</v>
      </c>
      <c r="AE336" s="304">
        <f t="shared" si="142"/>
        <v>0.7</v>
      </c>
      <c r="AF336" s="177">
        <f t="shared" si="143"/>
        <v>0.93420152796612643</v>
      </c>
      <c r="AG336" s="799">
        <f t="shared" ref="AG336:AG379" si="149">INDEX(Echel_vg,AH336)</f>
        <v>1</v>
      </c>
      <c r="AH336" s="176">
        <f t="shared" si="144"/>
        <v>7</v>
      </c>
      <c r="AI336" s="224">
        <f t="shared" si="145"/>
        <v>1.9342015279661264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46345</v>
      </c>
      <c r="B337" s="409">
        <f>'2025'!Wh/'2025'!Env_an*'2026'!Env_an</f>
        <v>5.9363315686138387</v>
      </c>
      <c r="C337" s="829"/>
      <c r="D337" s="391">
        <f t="shared" si="127"/>
        <v>6.2719968691235337</v>
      </c>
      <c r="E337" s="383">
        <f t="shared" si="125"/>
        <v>6.6104463236999331</v>
      </c>
      <c r="F337" s="383">
        <f t="shared" si="128"/>
        <v>6.6104463236999331</v>
      </c>
      <c r="G337" s="110">
        <f t="shared" si="126"/>
        <v>0.21213232580945868</v>
      </c>
      <c r="H337" s="412" t="b">
        <f>Wh_hp&gt;='2025'!Maxi_hp</f>
        <v>0</v>
      </c>
      <c r="I337" s="388">
        <f>IF(H337,Wh_hp,'2025'!Maxi_hp)</f>
        <v>31.083466174894443</v>
      </c>
      <c r="J337" s="85">
        <f>IF(H337,An,'2025'!An_max)</f>
        <v>2020</v>
      </c>
      <c r="K337" s="197">
        <f t="shared" si="129"/>
        <v>46345</v>
      </c>
      <c r="L337" s="147">
        <f>IF(t&lt;Tvie,1-EXP((T0-t)*PertePVj)+'2025'!Pspv,1-EXP((T0-t)*PertePVj)+Pspv)</f>
        <v>5.3518091209857621E-2</v>
      </c>
      <c r="M337" s="832"/>
      <c r="N337" s="832"/>
      <c r="O337" s="48">
        <f>IF(t&lt;Tnet,'2025'!Resal+('2025'!Salim-'2025'!Resal)*(1-EXP(('2025'!Tnet-t)/('2025'!Tau_j))),Resal+(Salim-Resal)*(1-EXP((Tnet-t)/(Tau_j))))*Salcycl</f>
        <v>5.1199183535154451E-2</v>
      </c>
      <c r="P337" s="169">
        <f>(INDEX(Models!$BJ337:$BT337,,T337)*(1-R337)+INDEX(Models!$BJ337:$BT337,,T337+1)*R337-ERP_i)*Q337*Ramure*Pc/MaxiM</f>
        <v>4.8636393874601181E-3</v>
      </c>
      <c r="Q337" s="304">
        <f t="shared" si="130"/>
        <v>0.7</v>
      </c>
      <c r="R337" s="177">
        <f t="shared" si="131"/>
        <v>0.17856522951171194</v>
      </c>
      <c r="S337" s="799">
        <f t="shared" si="132"/>
        <v>-1</v>
      </c>
      <c r="T337" s="176">
        <f t="shared" si="133"/>
        <v>5</v>
      </c>
      <c r="U337" s="250">
        <f t="shared" si="134"/>
        <v>-0.82143477048828806</v>
      </c>
      <c r="V337" s="382">
        <f t="shared" si="135"/>
        <v>27.847992379463648</v>
      </c>
      <c r="W337" s="400">
        <f t="shared" si="136"/>
        <v>5.9363315686138387</v>
      </c>
      <c r="X337" s="157">
        <f t="shared" si="137"/>
        <v>46345</v>
      </c>
      <c r="Y337" s="383">
        <f t="shared" si="138"/>
        <v>5.7686065658304297</v>
      </c>
      <c r="Z337" s="383">
        <f t="shared" si="139"/>
        <v>6.094787985122986</v>
      </c>
      <c r="AA337" s="384">
        <f t="shared" si="140"/>
        <v>6.6104463236999331</v>
      </c>
      <c r="AB337" s="197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7.8006584325206074E-2</v>
      </c>
      <c r="AD337" s="230">
        <f>(INDEX(Models!$BJ337:$BT337,,AH337)*(1-AF337)+INDEX(Models!$BJ337:$BT337,,AH337+1)*AF337-ERP_i)*AE337*Ramure*Pc/MaxiM</f>
        <v>5.8952374171744246E-2</v>
      </c>
      <c r="AE337" s="304">
        <f t="shared" si="142"/>
        <v>0.7</v>
      </c>
      <c r="AF337" s="177">
        <f t="shared" si="143"/>
        <v>0.93422306035106284</v>
      </c>
      <c r="AG337" s="799">
        <f t="shared" si="149"/>
        <v>1</v>
      </c>
      <c r="AH337" s="176">
        <f t="shared" si="144"/>
        <v>7</v>
      </c>
      <c r="AI337" s="224">
        <f t="shared" si="145"/>
        <v>1.9342230603510628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46346</v>
      </c>
      <c r="B338" s="409">
        <f>'2025'!Wh/'2025'!Env_an*'2026'!Env_an</f>
        <v>19.691892062590732</v>
      </c>
      <c r="C338" s="829"/>
      <c r="D338" s="391">
        <f t="shared" si="127"/>
        <v>20.805753683780825</v>
      </c>
      <c r="E338" s="383">
        <f t="shared" si="125"/>
        <v>21.929076919640067</v>
      </c>
      <c r="F338" s="383">
        <f t="shared" si="128"/>
        <v>21.991750954679958</v>
      </c>
      <c r="G338" s="110">
        <f t="shared" si="126"/>
        <v>0.71161879164861175</v>
      </c>
      <c r="H338" s="412" t="b">
        <f>Wh_hp&gt;='2025'!Maxi_hp</f>
        <v>0</v>
      </c>
      <c r="I338" s="388">
        <f>IF(H338,Wh_hp,'2025'!Maxi_hp)</f>
        <v>30.262737933685557</v>
      </c>
      <c r="J338" s="85">
        <f>IF(H338,An,'2025'!An_max)</f>
        <v>2018</v>
      </c>
      <c r="K338" s="197">
        <f t="shared" si="129"/>
        <v>46346</v>
      </c>
      <c r="L338" s="147">
        <f>IF(t&lt;Tvie,1-EXP((T0-t)*PertePVj)+'2025'!Pspv,1-EXP((T0-t)*PertePVj)+Pspv)</f>
        <v>5.353623031971233E-2</v>
      </c>
      <c r="M338" s="832"/>
      <c r="N338" s="832"/>
      <c r="O338" s="48">
        <f>IF(t&lt;Tnet,'2025'!Resal+('2025'!Salim-'2025'!Resal)*(1-EXP(('2025'!Tnet-t)/('2025'!Tau_j))),Resal+(Salim-Resal)*(1-EXP((Tnet-t)/(Tau_j))))*Salcycl</f>
        <v>5.1225285951419848E-2</v>
      </c>
      <c r="P338" s="169">
        <f>(INDEX(Models!$BJ338:$BT338,,T338)*(1-R338)+INDEX(Models!$BJ338:$BT338,,T338+1)*R338-ERP_i)*Q338*Ramure*Pc/MaxiM</f>
        <v>4.8299139890140381E-3</v>
      </c>
      <c r="Q338" s="304">
        <f t="shared" si="130"/>
        <v>0.7</v>
      </c>
      <c r="R338" s="177">
        <f t="shared" si="131"/>
        <v>0.17858589711966322</v>
      </c>
      <c r="S338" s="799">
        <f t="shared" si="132"/>
        <v>-1</v>
      </c>
      <c r="T338" s="176">
        <f t="shared" si="133"/>
        <v>5</v>
      </c>
      <c r="U338" s="250">
        <f t="shared" si="134"/>
        <v>-0.82141410288033678</v>
      </c>
      <c r="V338" s="382">
        <f t="shared" si="135"/>
        <v>27.617019682773023</v>
      </c>
      <c r="W338" s="400">
        <f t="shared" si="136"/>
        <v>19.691892062590732</v>
      </c>
      <c r="X338" s="157">
        <f t="shared" si="137"/>
        <v>46346</v>
      </c>
      <c r="Y338" s="383">
        <f t="shared" si="138"/>
        <v>18.513907026541439</v>
      </c>
      <c r="Z338" s="383">
        <f t="shared" si="139"/>
        <v>19.561136537529986</v>
      </c>
      <c r="AA338" s="384">
        <f t="shared" si="140"/>
        <v>21.215668901190877</v>
      </c>
      <c r="AB338" s="197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7.7986339783423966E-2</v>
      </c>
      <c r="AD338" s="230">
        <f>(INDEX(Models!$BJ338:$BT338,,AH338)*(1-AF338)+INDEX(Models!$BJ338:$BT338,,AH338+1)*AF338-ERP_i)*AE338*Ramure*Pc/MaxiM</f>
        <v>5.9808014026605724E-2</v>
      </c>
      <c r="AE338" s="304">
        <f t="shared" si="142"/>
        <v>0.7</v>
      </c>
      <c r="AF338" s="177">
        <f t="shared" si="143"/>
        <v>0.93424372795901411</v>
      </c>
      <c r="AG338" s="799">
        <f t="shared" si="149"/>
        <v>1</v>
      </c>
      <c r="AH338" s="176">
        <f t="shared" si="144"/>
        <v>7</v>
      </c>
      <c r="AI338" s="224">
        <f t="shared" si="145"/>
        <v>1.9342437279590141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46347</v>
      </c>
      <c r="B339" s="409">
        <f>'2025'!Wh/'2025'!Env_an*'2026'!Env_an</f>
        <v>3.1727790632297066</v>
      </c>
      <c r="C339" s="829"/>
      <c r="D339" s="391">
        <f t="shared" si="127"/>
        <v>3.3523099051681062</v>
      </c>
      <c r="E339" s="383">
        <f t="shared" si="125"/>
        <v>3.5334042846061124</v>
      </c>
      <c r="F339" s="383">
        <f t="shared" si="128"/>
        <v>3.5334042846061124</v>
      </c>
      <c r="G339" s="110">
        <f t="shared" si="126"/>
        <v>0.11528899085271345</v>
      </c>
      <c r="H339" s="412" t="b">
        <f>Wh_hp&gt;='2025'!Maxi_hp</f>
        <v>0</v>
      </c>
      <c r="I339" s="388">
        <f>IF(H339,Wh_hp,'2025'!Maxi_hp)</f>
        <v>27.490335001003508</v>
      </c>
      <c r="J339" s="85">
        <f>IF(H339,An,'2025'!An_max)</f>
        <v>2018</v>
      </c>
      <c r="K339" s="197">
        <f t="shared" si="129"/>
        <v>46347</v>
      </c>
      <c r="L339" s="147">
        <f>IF(t&lt;Tvie,1-EXP((T0-t)*PertePVj)+'2025'!Pspv,1-EXP((T0-t)*PertePVj)+Pspv)</f>
        <v>5.3554369081935116E-2</v>
      </c>
      <c r="M339" s="832"/>
      <c r="N339" s="832"/>
      <c r="O339" s="48">
        <f>IF(t&lt;Tnet,'2025'!Resal+('2025'!Salim-'2025'!Resal)*(1-EXP(('2025'!Tnet-t)/('2025'!Tau_j))),Resal+(Salim-Resal)*(1-EXP((Tnet-t)/(Tau_j))))*Salcycl</f>
        <v>5.1252097085797664E-2</v>
      </c>
      <c r="P339" s="169">
        <f>(INDEX(Models!$BJ339:$BT339,,T339)*(1-R339)+INDEX(Models!$BJ339:$BT339,,T339+1)*R339-ERP_i)*Q339*Ramure*Pc/MaxiM</f>
        <v>4.7963749574472352E-3</v>
      </c>
      <c r="Q339" s="304">
        <f t="shared" si="130"/>
        <v>0.7</v>
      </c>
      <c r="R339" s="177">
        <f t="shared" si="131"/>
        <v>0.17860573459741125</v>
      </c>
      <c r="S339" s="799">
        <f t="shared" si="132"/>
        <v>-1</v>
      </c>
      <c r="T339" s="176">
        <f t="shared" si="133"/>
        <v>5</v>
      </c>
      <c r="U339" s="250">
        <f t="shared" si="134"/>
        <v>-0.82139426540258875</v>
      </c>
      <c r="V339" s="382">
        <f t="shared" si="135"/>
        <v>27.388228501533479</v>
      </c>
      <c r="W339" s="400">
        <f t="shared" si="136"/>
        <v>3.1727790632297066</v>
      </c>
      <c r="X339" s="157">
        <f t="shared" si="137"/>
        <v>46347</v>
      </c>
      <c r="Y339" s="383">
        <f t="shared" si="138"/>
        <v>3.0834387139663022</v>
      </c>
      <c r="Z339" s="383">
        <f t="shared" si="139"/>
        <v>3.2579142564959866</v>
      </c>
      <c r="AA339" s="384">
        <f t="shared" si="140"/>
        <v>3.5334042846061124</v>
      </c>
      <c r="AB339" s="197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7.7967310253838185E-2</v>
      </c>
      <c r="AD339" s="230">
        <f>(INDEX(Models!$BJ339:$BT339,,AH339)*(1-AF339)+INDEX(Models!$BJ339:$BT339,,AH339+1)*AF339-ERP_i)*AE339*Ramure*Pc/MaxiM</f>
        <v>6.072638691605492E-2</v>
      </c>
      <c r="AE339" s="304">
        <f t="shared" si="142"/>
        <v>0.7</v>
      </c>
      <c r="AF339" s="177">
        <f t="shared" si="143"/>
        <v>0.93426356543676214</v>
      </c>
      <c r="AG339" s="799">
        <f t="shared" si="149"/>
        <v>1</v>
      </c>
      <c r="AH339" s="176">
        <f t="shared" si="144"/>
        <v>7</v>
      </c>
      <c r="AI339" s="224">
        <f t="shared" si="145"/>
        <v>1.9342635654367621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46348</v>
      </c>
      <c r="B340" s="409">
        <f>'2025'!Wh/'2025'!Env_an*'2026'!Env_an</f>
        <v>9.7044921091673384</v>
      </c>
      <c r="C340" s="829"/>
      <c r="D340" s="391">
        <f t="shared" si="127"/>
        <v>10.253814672582312</v>
      </c>
      <c r="E340" s="383">
        <f t="shared" si="125"/>
        <v>10.808047485652054</v>
      </c>
      <c r="F340" s="383">
        <f t="shared" si="128"/>
        <v>10.812261658387646</v>
      </c>
      <c r="G340" s="110">
        <f t="shared" si="126"/>
        <v>0.35571875168998873</v>
      </c>
      <c r="H340" s="412" t="b">
        <f>Wh_hp&gt;='2025'!Maxi_hp</f>
        <v>0</v>
      </c>
      <c r="I340" s="388">
        <f>IF(H340,Wh_hp,'2025'!Maxi_hp)</f>
        <v>31.520653340989391</v>
      </c>
      <c r="J340" s="85">
        <f>IF(H340,An,'2025'!An_max)</f>
        <v>2020</v>
      </c>
      <c r="K340" s="197">
        <f t="shared" si="129"/>
        <v>46348</v>
      </c>
      <c r="L340" s="147">
        <f>IF(t&lt;Tvie,1-EXP((T0-t)*PertePVj)+'2025'!Pspv,1-EXP((T0-t)*PertePVj)+Pspv)</f>
        <v>5.3572507496532751E-2</v>
      </c>
      <c r="M340" s="832"/>
      <c r="N340" s="832"/>
      <c r="O340" s="48">
        <f>IF(t&lt;Tnet,'2025'!Resal+('2025'!Salim-'2025'!Resal)*(1-EXP(('2025'!Tnet-t)/('2025'!Tau_j))),Resal+(Salim-Resal)*(1-EXP((Tnet-t)/(Tau_j))))*Salcycl</f>
        <v>5.1279642674173898E-2</v>
      </c>
      <c r="P340" s="169">
        <f>(INDEX(Models!$BJ340:$BT340,,T340)*(1-R340)+INDEX(Models!$BJ340:$BT340,,T340+1)*R340-ERP_i)*Q340*Ramure*Pc/MaxiM</f>
        <v>4.762960381825266E-3</v>
      </c>
      <c r="Q340" s="304">
        <f t="shared" si="130"/>
        <v>0.7</v>
      </c>
      <c r="R340" s="177">
        <f t="shared" si="131"/>
        <v>0.17862477521026621</v>
      </c>
      <c r="S340" s="799">
        <f t="shared" si="132"/>
        <v>-1</v>
      </c>
      <c r="T340" s="176">
        <f t="shared" si="133"/>
        <v>5</v>
      </c>
      <c r="U340" s="250">
        <f t="shared" si="134"/>
        <v>-0.82137522478973379</v>
      </c>
      <c r="V340" s="382">
        <f t="shared" si="135"/>
        <v>27.162008789469454</v>
      </c>
      <c r="W340" s="400">
        <f t="shared" si="136"/>
        <v>9.7044921091673384</v>
      </c>
      <c r="X340" s="157">
        <f t="shared" si="137"/>
        <v>46348</v>
      </c>
      <c r="Y340" s="383">
        <f t="shared" si="138"/>
        <v>9.3877174339533216</v>
      </c>
      <c r="Z340" s="383">
        <f t="shared" si="139"/>
        <v>9.9191089738117775</v>
      </c>
      <c r="AA340" s="384">
        <f t="shared" si="140"/>
        <v>10.757663832234005</v>
      </c>
      <c r="AB340" s="197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7.7949531747739012E-2</v>
      </c>
      <c r="AD340" s="230">
        <f>(INDEX(Models!$BJ340:$BT340,,AH340)*(1-AF340)+INDEX(Models!$BJ340:$BT340,,AH340+1)*AF340-ERP_i)*AE340*Ramure*Pc/MaxiM</f>
        <v>6.17077892197734E-2</v>
      </c>
      <c r="AE340" s="304">
        <f t="shared" si="142"/>
        <v>0.7</v>
      </c>
      <c r="AF340" s="177">
        <f t="shared" si="143"/>
        <v>0.93428260604961721</v>
      </c>
      <c r="AG340" s="799">
        <f t="shared" si="149"/>
        <v>1</v>
      </c>
      <c r="AH340" s="176">
        <f t="shared" si="144"/>
        <v>7</v>
      </c>
      <c r="AI340" s="224">
        <f t="shared" si="145"/>
        <v>1.9342826060496172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46349</v>
      </c>
      <c r="B341" s="409">
        <f>'2025'!Wh/'2025'!Env_an*'2026'!Env_an</f>
        <v>13.263333618966485</v>
      </c>
      <c r="C341" s="829"/>
      <c r="D341" s="391">
        <f t="shared" si="127"/>
        <v>14.014372910402759</v>
      </c>
      <c r="E341" s="383">
        <f t="shared" si="125"/>
        <v>14.772309772602142</v>
      </c>
      <c r="F341" s="383">
        <f t="shared" si="128"/>
        <v>14.79153329416839</v>
      </c>
      <c r="G341" s="110">
        <f t="shared" si="126"/>
        <v>0.49066052492945228</v>
      </c>
      <c r="H341" s="412" t="b">
        <f>Wh_hp&gt;='2025'!Maxi_hp</f>
        <v>0</v>
      </c>
      <c r="I341" s="388">
        <f>IF(H341,Wh_hp,'2025'!Maxi_hp)</f>
        <v>31.418721073336016</v>
      </c>
      <c r="J341" s="85">
        <f>IF(H341,An,'2025'!An_max)</f>
        <v>2020</v>
      </c>
      <c r="K341" s="197">
        <f t="shared" si="129"/>
        <v>46349</v>
      </c>
      <c r="L341" s="147">
        <f>IF(t&lt;Tvie,1-EXP((T0-t)*PertePVj)+'2025'!Pspv,1-EXP((T0-t)*PertePVj)+Pspv)</f>
        <v>5.3590645563511785E-2</v>
      </c>
      <c r="M341" s="832"/>
      <c r="N341" s="832"/>
      <c r="O341" s="48">
        <f>IF(t&lt;Tnet,'2025'!Resal+('2025'!Salim-'2025'!Resal)*(1-EXP(('2025'!Tnet-t)/('2025'!Tau_j))),Resal+(Salim-Resal)*(1-EXP((Tnet-t)/(Tau_j))))*Salcycl</f>
        <v>5.1307945329247741E-2</v>
      </c>
      <c r="P341" s="169">
        <f>(INDEX(Models!$BJ341:$BT341,,T341)*(1-R341)+INDEX(Models!$BJ341:$BT341,,T341+1)*R341-ERP_i)*Q341*Ramure*Pc/MaxiM</f>
        <v>4.7295770223058234E-3</v>
      </c>
      <c r="Q341" s="304">
        <f t="shared" si="130"/>
        <v>0.7</v>
      </c>
      <c r="R341" s="177">
        <f t="shared" si="131"/>
        <v>0.17864305089662591</v>
      </c>
      <c r="S341" s="799">
        <f t="shared" si="132"/>
        <v>-1</v>
      </c>
      <c r="T341" s="176">
        <f t="shared" si="133"/>
        <v>5</v>
      </c>
      <c r="U341" s="250">
        <f t="shared" si="134"/>
        <v>-0.82135694910337409</v>
      </c>
      <c r="V341" s="382">
        <f t="shared" si="135"/>
        <v>26.938751369589426</v>
      </c>
      <c r="W341" s="400">
        <f t="shared" si="136"/>
        <v>13.263333618966485</v>
      </c>
      <c r="X341" s="157">
        <f t="shared" si="137"/>
        <v>46349</v>
      </c>
      <c r="Y341" s="383">
        <f t="shared" si="138"/>
        <v>12.685296076513012</v>
      </c>
      <c r="Z341" s="383">
        <f t="shared" si="139"/>
        <v>13.403603860262033</v>
      </c>
      <c r="AA341" s="384">
        <f t="shared" si="140"/>
        <v>14.536475522210798</v>
      </c>
      <c r="AB341" s="197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7.7933035433369727E-2</v>
      </c>
      <c r="AD341" s="230">
        <f>(INDEX(Models!$BJ341:$BT341,,AH341)*(1-AF341)+INDEX(Models!$BJ341:$BT341,,AH341+1)*AF341-ERP_i)*AE341*Ramure*Pc/MaxiM</f>
        <v>6.2752049537536755E-2</v>
      </c>
      <c r="AE341" s="304">
        <f t="shared" si="142"/>
        <v>0.7</v>
      </c>
      <c r="AF341" s="177">
        <f t="shared" si="143"/>
        <v>0.93430088173597681</v>
      </c>
      <c r="AG341" s="799">
        <f t="shared" si="149"/>
        <v>1</v>
      </c>
      <c r="AH341" s="176">
        <f t="shared" si="144"/>
        <v>7</v>
      </c>
      <c r="AI341" s="224">
        <f t="shared" si="145"/>
        <v>1.9343008817359768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46350</v>
      </c>
      <c r="B342" s="409">
        <f>'2025'!Wh/'2025'!Env_an*'2026'!Env_an</f>
        <v>13.886742061565167</v>
      </c>
      <c r="C342" s="829"/>
      <c r="D342" s="391">
        <f t="shared" si="127"/>
        <v>14.673363209916552</v>
      </c>
      <c r="E342" s="383">
        <f t="shared" si="125"/>
        <v>15.467414232964277</v>
      </c>
      <c r="F342" s="383">
        <f t="shared" si="128"/>
        <v>15.490249349311251</v>
      </c>
      <c r="G342" s="110">
        <f t="shared" si="126"/>
        <v>0.51805878075524836</v>
      </c>
      <c r="H342" s="412" t="b">
        <f>Wh_hp&gt;='2025'!Maxi_hp</f>
        <v>0</v>
      </c>
      <c r="I342" s="388">
        <f>IF(H342,Wh_hp,'2025'!Maxi_hp)</f>
        <v>29.328916242000091</v>
      </c>
      <c r="J342" s="85">
        <f>IF(H342,An,'2025'!An_max)</f>
        <v>2020</v>
      </c>
      <c r="K342" s="197">
        <f t="shared" si="129"/>
        <v>46350</v>
      </c>
      <c r="L342" s="147">
        <f>IF(t&lt;Tvie,1-EXP((T0-t)*PertePVj)+'2025'!Pspv,1-EXP((T0-t)*PertePVj)+Pspv)</f>
        <v>5.360878328287888E-2</v>
      </c>
      <c r="M342" s="832"/>
      <c r="N342" s="832"/>
      <c r="O342" s="48">
        <f>IF(t&lt;Tnet,'2025'!Resal+('2025'!Salim-'2025'!Resal)*(1-EXP(('2025'!Tnet-t)/('2025'!Tau_j))),Resal+(Salim-Resal)*(1-EXP((Tnet-t)/(Tau_j))))*Salcycl</f>
        <v>5.1337024475328091E-2</v>
      </c>
      <c r="P342" s="169">
        <f>(INDEX(Models!$BJ342:$BT342,,T342)*(1-R342)+INDEX(Models!$BJ342:$BT342,,T342+1)*R342-ERP_i)*Q342*Ramure*Pc/MaxiM</f>
        <v>4.6961500931282643E-3</v>
      </c>
      <c r="Q342" s="304">
        <f t="shared" si="130"/>
        <v>0.7</v>
      </c>
      <c r="R342" s="177">
        <f t="shared" si="131"/>
        <v>0.17866059232042431</v>
      </c>
      <c r="S342" s="799">
        <f t="shared" si="132"/>
        <v>-1</v>
      </c>
      <c r="T342" s="176">
        <f t="shared" si="133"/>
        <v>5</v>
      </c>
      <c r="U342" s="250">
        <f t="shared" si="134"/>
        <v>-0.82133940767957569</v>
      </c>
      <c r="V342" s="382">
        <f t="shared" si="135"/>
        <v>26.718846555747053</v>
      </c>
      <c r="W342" s="400">
        <f t="shared" si="136"/>
        <v>13.886742061565167</v>
      </c>
      <c r="X342" s="157">
        <f t="shared" si="137"/>
        <v>46350</v>
      </c>
      <c r="Y342" s="383">
        <f t="shared" si="138"/>
        <v>13.246600914616883</v>
      </c>
      <c r="Z342" s="383">
        <f t="shared" si="139"/>
        <v>13.996960961416368</v>
      </c>
      <c r="AA342" s="384">
        <f t="shared" si="140"/>
        <v>15.179733090283397</v>
      </c>
      <c r="AB342" s="197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7.7917847555839179E-2</v>
      </c>
      <c r="AD342" s="230">
        <f>(INDEX(Models!$BJ342:$BT342,,AH342)*(1-AF342)+INDEX(Models!$BJ342:$BT342,,AH342+1)*AF342-ERP_i)*AE342*Ramure*Pc/MaxiM</f>
        <v>6.3859142935561067E-2</v>
      </c>
      <c r="AE342" s="304">
        <f t="shared" si="142"/>
        <v>0.7</v>
      </c>
      <c r="AF342" s="177">
        <f t="shared" si="143"/>
        <v>0.9343184231597752</v>
      </c>
      <c r="AG342" s="799">
        <f t="shared" si="149"/>
        <v>1</v>
      </c>
      <c r="AH342" s="176">
        <f t="shared" si="144"/>
        <v>7</v>
      </c>
      <c r="AI342" s="224">
        <f t="shared" si="145"/>
        <v>1.9343184231597752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46351</v>
      </c>
      <c r="B343" s="409">
        <f>'2025'!Wh/'2025'!Env_an*'2026'!Env_an</f>
        <v>4.0740822948118245</v>
      </c>
      <c r="C343" s="829"/>
      <c r="D343" s="391">
        <f t="shared" si="127"/>
        <v>4.304943138946868</v>
      </c>
      <c r="E343" s="383">
        <f t="shared" si="125"/>
        <v>4.538048611386146</v>
      </c>
      <c r="F343" s="383">
        <f t="shared" si="128"/>
        <v>4.538048611386146</v>
      </c>
      <c r="G343" s="110">
        <f t="shared" si="126"/>
        <v>0.15300662971353521</v>
      </c>
      <c r="H343" s="412" t="b">
        <f>Wh_hp&gt;='2025'!Maxi_hp</f>
        <v>0</v>
      </c>
      <c r="I343" s="388">
        <f>IF(H343,Wh_hp,'2025'!Maxi_hp)</f>
        <v>27.79857439619018</v>
      </c>
      <c r="J343" s="85">
        <f>IF(H343,An,'2025'!An_max)</f>
        <v>2020</v>
      </c>
      <c r="K343" s="197">
        <f t="shared" si="129"/>
        <v>46351</v>
      </c>
      <c r="L343" s="147">
        <f>IF(t&lt;Tvie,1-EXP((T0-t)*PertePVj)+'2025'!Pspv,1-EXP((T0-t)*PertePVj)+Pspv)</f>
        <v>5.3626920654640697E-2</v>
      </c>
      <c r="M343" s="832"/>
      <c r="N343" s="832"/>
      <c r="O343" s="48">
        <f>IF(t&lt;Tnet,'2025'!Resal+('2025'!Salim-'2025'!Resal)*(1-EXP(('2025'!Tnet-t)/('2025'!Tau_j))),Resal+(Salim-Resal)*(1-EXP((Tnet-t)/(Tau_j))))*Salcycl</f>
        <v>5.1366896303051211E-2</v>
      </c>
      <c r="P343" s="169">
        <f>(INDEX(Models!$BJ343:$BT343,,T343)*(1-R343)+INDEX(Models!$BJ343:$BT343,,T343+1)*R343-ERP_i)*Q343*Ramure*Pc/MaxiM</f>
        <v>4.6626272201673001E-3</v>
      </c>
      <c r="Q343" s="304">
        <f t="shared" si="130"/>
        <v>0.7</v>
      </c>
      <c r="R343" s="177">
        <f t="shared" si="131"/>
        <v>0.17867742892154226</v>
      </c>
      <c r="S343" s="799">
        <f t="shared" si="132"/>
        <v>-1</v>
      </c>
      <c r="T343" s="176">
        <f t="shared" si="133"/>
        <v>5</v>
      </c>
      <c r="U343" s="250">
        <f t="shared" si="134"/>
        <v>-0.82132257107845774</v>
      </c>
      <c r="V343" s="382">
        <f t="shared" si="135"/>
        <v>26.502684069304181</v>
      </c>
      <c r="W343" s="400">
        <f t="shared" si="136"/>
        <v>4.0740822948118245</v>
      </c>
      <c r="X343" s="157">
        <f t="shared" si="137"/>
        <v>46351</v>
      </c>
      <c r="Y343" s="383">
        <f t="shared" si="138"/>
        <v>3.9601137851004915</v>
      </c>
      <c r="Z343" s="383">
        <f t="shared" si="139"/>
        <v>4.1845165205247028</v>
      </c>
      <c r="AA343" s="384">
        <f t="shared" si="140"/>
        <v>4.538048611386146</v>
      </c>
      <c r="AB343" s="197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7.7903989387512765E-2</v>
      </c>
      <c r="AD343" s="230">
        <f>(INDEX(Models!$BJ343:$BT343,,AH343)*(1-AF343)+INDEX(Models!$BJ343:$BT343,,AH343+1)*AF343-ERP_i)*AE343*Ramure*Pc/MaxiM</f>
        <v>6.5029260760258514E-2</v>
      </c>
      <c r="AE343" s="304">
        <f t="shared" si="142"/>
        <v>0.7</v>
      </c>
      <c r="AF343" s="177">
        <f t="shared" si="143"/>
        <v>0.93433525976089316</v>
      </c>
      <c r="AG343" s="799">
        <f t="shared" si="149"/>
        <v>1</v>
      </c>
      <c r="AH343" s="176">
        <f t="shared" si="144"/>
        <v>7</v>
      </c>
      <c r="AI343" s="224">
        <f t="shared" si="145"/>
        <v>1.9343352597608932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46352</v>
      </c>
      <c r="B344" s="409">
        <f>'2025'!Wh/'2025'!Env_an*'2026'!Env_an</f>
        <v>14.405801008242781</v>
      </c>
      <c r="C344" s="829"/>
      <c r="D344" s="391">
        <f t="shared" si="127"/>
        <v>15.222407961339103</v>
      </c>
      <c r="E344" s="383">
        <f t="shared" si="125"/>
        <v>16.047194841598294</v>
      </c>
      <c r="F344" s="383">
        <f t="shared" si="128"/>
        <v>16.073549043872433</v>
      </c>
      <c r="G344" s="110">
        <f t="shared" si="126"/>
        <v>0.54630312426908445</v>
      </c>
      <c r="H344" s="412" t="b">
        <f>Wh_hp&gt;='2025'!Maxi_hp</f>
        <v>0</v>
      </c>
      <c r="I344" s="388">
        <f>IF(H344,Wh_hp,'2025'!Maxi_hp)</f>
        <v>28.034337428546774</v>
      </c>
      <c r="J344" s="85">
        <f>IF(H344,An,'2025'!An_max)</f>
        <v>2020</v>
      </c>
      <c r="K344" s="197">
        <f t="shared" si="129"/>
        <v>46352</v>
      </c>
      <c r="L344" s="147">
        <f>IF(t&lt;Tvie,1-EXP((T0-t)*PertePVj)+'2025'!Pspv,1-EXP((T0-t)*PertePVj)+Pspv)</f>
        <v>5.3645057678804009E-2</v>
      </c>
      <c r="M344" s="832"/>
      <c r="N344" s="832"/>
      <c r="O344" s="48">
        <f>IF(t&lt;Tnet,'2025'!Resal+('2025'!Salim-'2025'!Resal)*(1-EXP(('2025'!Tnet-t)/('2025'!Tau_j))),Resal+(Salim-Resal)*(1-EXP((Tnet-t)/(Tau_j))))*Salcycl</f>
        <v>5.1397573744237209E-2</v>
      </c>
      <c r="P344" s="169">
        <f>(INDEX(Models!$BJ344:$BT344,,T344)*(1-R344)+INDEX(Models!$BJ344:$BT344,,T344+1)*R344-ERP_i)*Q344*Ramure*Pc/MaxiM</f>
        <v>4.6289539608401408E-3</v>
      </c>
      <c r="Q344" s="304">
        <f t="shared" si="130"/>
        <v>0.7</v>
      </c>
      <c r="R344" s="177">
        <f t="shared" si="131"/>
        <v>0.17869358896426091</v>
      </c>
      <c r="S344" s="799">
        <f t="shared" si="132"/>
        <v>-1</v>
      </c>
      <c r="T344" s="176">
        <f t="shared" si="133"/>
        <v>5</v>
      </c>
      <c r="U344" s="250">
        <f t="shared" si="134"/>
        <v>-0.82130641103573909</v>
      </c>
      <c r="V344" s="382">
        <f t="shared" si="135"/>
        <v>26.290653701605141</v>
      </c>
      <c r="W344" s="400">
        <f t="shared" si="136"/>
        <v>14.405801008242781</v>
      </c>
      <c r="X344" s="157">
        <f t="shared" si="137"/>
        <v>46352</v>
      </c>
      <c r="Y344" s="383">
        <f t="shared" si="138"/>
        <v>13.697244966304739</v>
      </c>
      <c r="Z344" s="383">
        <f t="shared" si="139"/>
        <v>14.47368672552021</v>
      </c>
      <c r="AA344" s="384">
        <f t="shared" si="140"/>
        <v>15.696294273164954</v>
      </c>
      <c r="AB344" s="197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7.7891477209048321E-2</v>
      </c>
      <c r="AD344" s="230">
        <f>(INDEX(Models!$BJ344:$BT344,,AH344)*(1-AF344)+INDEX(Models!$BJ344:$BT344,,AH344+1)*AF344-ERP_i)*AE344*Ramure*Pc/MaxiM</f>
        <v>6.6262486223149869E-2</v>
      </c>
      <c r="AE344" s="304">
        <f t="shared" si="142"/>
        <v>0.7</v>
      </c>
      <c r="AF344" s="177">
        <f t="shared" si="143"/>
        <v>0.9343514198036118</v>
      </c>
      <c r="AG344" s="799">
        <f t="shared" si="149"/>
        <v>1</v>
      </c>
      <c r="AH344" s="176">
        <f t="shared" si="144"/>
        <v>7</v>
      </c>
      <c r="AI344" s="224">
        <f t="shared" si="145"/>
        <v>1.9343514198036118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46353</v>
      </c>
      <c r="B345" s="409">
        <f>'2025'!Wh/'2025'!Env_an*'2026'!Env_an</f>
        <v>16.275817994957453</v>
      </c>
      <c r="C345" s="829"/>
      <c r="D345" s="391">
        <f t="shared" si="127"/>
        <v>17.198758304524265</v>
      </c>
      <c r="E345" s="383">
        <f t="shared" si="125"/>
        <v>18.13123056645388</v>
      </c>
      <c r="F345" s="383">
        <f t="shared" si="128"/>
        <v>18.169893090033739</v>
      </c>
      <c r="G345" s="110">
        <f t="shared" si="126"/>
        <v>0.62255318802585036</v>
      </c>
      <c r="H345" s="412" t="b">
        <f>Wh_hp&gt;='2025'!Maxi_hp</f>
        <v>0</v>
      </c>
      <c r="I345" s="388">
        <f>IF(H345,Wh_hp,'2025'!Maxi_hp)</f>
        <v>23.110543581605093</v>
      </c>
      <c r="J345" s="85">
        <f>IF(H345,An,'2025'!An_max)</f>
        <v>2020</v>
      </c>
      <c r="K345" s="197">
        <f t="shared" si="129"/>
        <v>46353</v>
      </c>
      <c r="L345" s="147">
        <f>IF(t&lt;Tvie,1-EXP((T0-t)*PertePVj)+'2025'!Pspv,1-EXP((T0-t)*PertePVj)+Pspv)</f>
        <v>5.3663194355375365E-2</v>
      </c>
      <c r="M345" s="832"/>
      <c r="N345" s="832"/>
      <c r="O345" s="48">
        <f>IF(t&lt;Tnet,'2025'!Resal+('2025'!Salim-'2025'!Resal)*(1-EXP(('2025'!Tnet-t)/('2025'!Tau_j))),Resal+(Salim-Resal)*(1-EXP((Tnet-t)/(Tau_j))))*Salcycl</f>
        <v>5.1429066466942439E-2</v>
      </c>
      <c r="P345" s="169">
        <f>(INDEX(Models!$BJ345:$BT345,,T345)*(1-R345)+INDEX(Models!$BJ345:$BT345,,T345+1)*R345-ERP_i)*Q345*Ramure*Pc/MaxiM</f>
        <v>4.5958011234984233E-3</v>
      </c>
      <c r="Q345" s="304">
        <f t="shared" si="130"/>
        <v>0.7</v>
      </c>
      <c r="R345" s="177">
        <f t="shared" si="131"/>
        <v>0.17870909958382941</v>
      </c>
      <c r="S345" s="799">
        <f t="shared" si="132"/>
        <v>-1</v>
      </c>
      <c r="T345" s="176">
        <f t="shared" si="133"/>
        <v>5</v>
      </c>
      <c r="U345" s="250">
        <f t="shared" si="134"/>
        <v>-0.82129090041617059</v>
      </c>
      <c r="V345" s="382">
        <f t="shared" si="135"/>
        <v>26.078999315324314</v>
      </c>
      <c r="W345" s="400">
        <f t="shared" si="136"/>
        <v>16.275817994957453</v>
      </c>
      <c r="X345" s="157">
        <f t="shared" si="137"/>
        <v>46353</v>
      </c>
      <c r="Y345" s="383">
        <f t="shared" si="138"/>
        <v>15.359663790673848</v>
      </c>
      <c r="Z345" s="383">
        <f t="shared" si="139"/>
        <v>16.230652447477375</v>
      </c>
      <c r="AA345" s="384">
        <f t="shared" si="140"/>
        <v>17.601459810867894</v>
      </c>
      <c r="AB345" s="197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7.7880322321000076E-2</v>
      </c>
      <c r="AD345" s="230">
        <f>(INDEX(Models!$BJ345:$BT345,,AH345)*(1-AF345)+INDEX(Models!$BJ345:$BT345,,AH345+1)*AF345-ERP_i)*AE345*Ramure*Pc/MaxiM</f>
        <v>6.7569471962383526E-2</v>
      </c>
      <c r="AE345" s="304">
        <f t="shared" si="142"/>
        <v>0.7</v>
      </c>
      <c r="AF345" s="177">
        <f t="shared" si="143"/>
        <v>0.93436693042318031</v>
      </c>
      <c r="AG345" s="799">
        <f t="shared" si="149"/>
        <v>1</v>
      </c>
      <c r="AH345" s="176">
        <f t="shared" si="144"/>
        <v>7</v>
      </c>
      <c r="AI345" s="224">
        <f t="shared" si="145"/>
        <v>1.9343669304231803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46354</v>
      </c>
      <c r="B346" s="409">
        <f>'2025'!Wh/'2025'!Env_an*'2026'!Env_an</f>
        <v>9.1833386083151769</v>
      </c>
      <c r="C346" s="829"/>
      <c r="D346" s="391">
        <f t="shared" si="127"/>
        <v>9.7042771173017321</v>
      </c>
      <c r="E346" s="383">
        <f t="shared" si="125"/>
        <v>10.230766488362177</v>
      </c>
      <c r="F346" s="383">
        <f t="shared" si="128"/>
        <v>10.234441492782572</v>
      </c>
      <c r="G346" s="110">
        <f t="shared" si="126"/>
        <v>0.35355982762496363</v>
      </c>
      <c r="H346" s="412" t="b">
        <f>Wh_hp&gt;='2025'!Maxi_hp</f>
        <v>0</v>
      </c>
      <c r="I346" s="388">
        <f>IF(H346,Wh_hp,'2025'!Maxi_hp)</f>
        <v>17.324015395081876</v>
      </c>
      <c r="J346" s="85">
        <f>IF(H346,An,'2025'!An_max)</f>
        <v>2020</v>
      </c>
      <c r="K346" s="197">
        <f t="shared" si="129"/>
        <v>46354</v>
      </c>
      <c r="L346" s="147">
        <f>IF(t&lt;Tvie,1-EXP((T0-t)*PertePVj)+'2025'!Pspv,1-EXP((T0-t)*PertePVj)+Pspv)</f>
        <v>5.3681330684361428E-2</v>
      </c>
      <c r="M346" s="832"/>
      <c r="N346" s="832"/>
      <c r="O346" s="48">
        <f>IF(t&lt;Tnet,'2025'!Resal+('2025'!Salim-'2025'!Resal)*(1-EXP(('2025'!Tnet-t)/('2025'!Tau_j))),Resal+(Salim-Resal)*(1-EXP((Tnet-t)/(Tau_j))))*Salcycl</f>
        <v>5.1461380890605014E-2</v>
      </c>
      <c r="P346" s="169">
        <f>(INDEX(Models!$BJ346:$BT346,,T346)*(1-R346)+INDEX(Models!$BJ346:$BT346,,T346+1)*R346-ERP_i)*Q346*Ramure*Pc/MaxiM</f>
        <v>4.565658932304803E-3</v>
      </c>
      <c r="Q346" s="304">
        <f t="shared" si="130"/>
        <v>0.7</v>
      </c>
      <c r="R346" s="177">
        <f t="shared" si="131"/>
        <v>0.17872398683121715</v>
      </c>
      <c r="S346" s="799">
        <f t="shared" si="132"/>
        <v>-1</v>
      </c>
      <c r="T346" s="176">
        <f t="shared" si="133"/>
        <v>5</v>
      </c>
      <c r="U346" s="250">
        <f t="shared" si="134"/>
        <v>-0.82127601316878285</v>
      </c>
      <c r="V346" s="382">
        <f t="shared" si="135"/>
        <v>25.864630530985053</v>
      </c>
      <c r="W346" s="400">
        <f t="shared" si="136"/>
        <v>9.1833386083151769</v>
      </c>
      <c r="X346" s="157">
        <f t="shared" si="137"/>
        <v>46354</v>
      </c>
      <c r="Y346" s="383">
        <f t="shared" si="138"/>
        <v>8.8824518392050269</v>
      </c>
      <c r="Z346" s="383">
        <f t="shared" si="139"/>
        <v>9.3863220997517285</v>
      </c>
      <c r="AA346" s="384">
        <f t="shared" si="140"/>
        <v>10.178963384396305</v>
      </c>
      <c r="AB346" s="197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7.7870531085674544E-2</v>
      </c>
      <c r="AD346" s="230">
        <f>(INDEX(Models!$BJ346:$BT346,,AH346)*(1-AF346)+INDEX(Models!$BJ346:$BT346,,AH346+1)*AF346-ERP_i)*AE346*Ramure*Pc/MaxiM</f>
        <v>6.8923487464505287E-2</v>
      </c>
      <c r="AE346" s="304">
        <f t="shared" si="142"/>
        <v>0.7</v>
      </c>
      <c r="AF346" s="177">
        <f t="shared" si="143"/>
        <v>0.93438181767056805</v>
      </c>
      <c r="AG346" s="799">
        <f t="shared" si="149"/>
        <v>1</v>
      </c>
      <c r="AH346" s="176">
        <f t="shared" si="144"/>
        <v>7</v>
      </c>
      <c r="AI346" s="224">
        <f t="shared" si="145"/>
        <v>1.934381817670568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46355</v>
      </c>
      <c r="B347" s="409">
        <f>'2025'!Wh/'2025'!Env_an*'2026'!Env_an</f>
        <v>10.216335826071132</v>
      </c>
      <c r="C347" s="829"/>
      <c r="D347" s="391">
        <f t="shared" si="127"/>
        <v>10.796079539419161</v>
      </c>
      <c r="E347" s="383">
        <f t="shared" si="125"/>
        <v>11.382200492858381</v>
      </c>
      <c r="F347" s="383">
        <f t="shared" si="128"/>
        <v>11.389460214435601</v>
      </c>
      <c r="G347" s="110">
        <f t="shared" si="126"/>
        <v>0.39675826325140662</v>
      </c>
      <c r="H347" s="412" t="b">
        <f>Wh_hp&gt;='2025'!Maxi_hp</f>
        <v>0</v>
      </c>
      <c r="I347" s="388">
        <f>IF(H347,Wh_hp,'2025'!Maxi_hp)</f>
        <v>14.807733331286865</v>
      </c>
      <c r="J347" s="85">
        <f>IF(H347,An,'2025'!An_max)</f>
        <v>2018</v>
      </c>
      <c r="K347" s="197">
        <f t="shared" si="129"/>
        <v>46355</v>
      </c>
      <c r="L347" s="147">
        <f>IF(t&lt;Tvie,1-EXP((T0-t)*PertePVj)+'2025'!Pspv,1-EXP((T0-t)*PertePVj)+Pspv)</f>
        <v>5.3699466665768858E-2</v>
      </c>
      <c r="M347" s="832"/>
      <c r="N347" s="832"/>
      <c r="O347" s="48">
        <f>IF(t&lt;Tnet,'2025'!Resal+('2025'!Salim-'2025'!Resal)*(1-EXP(('2025'!Tnet-t)/('2025'!Tau_j))),Resal+(Salim-Resal)*(1-EXP((Tnet-t)/(Tau_j))))*Salcycl</f>
        <v>5.1494520221021689E-2</v>
      </c>
      <c r="P347" s="169">
        <f>(INDEX(Models!$BJ347:$BT347,,T347)*(1-R347)+INDEX(Models!$BJ347:$BT347,,T347+1)*R347-ERP_i)*Q347*Ramure*Pc/MaxiM</f>
        <v>4.5384085286565429E-3</v>
      </c>
      <c r="Q347" s="304">
        <f t="shared" si="130"/>
        <v>0.7</v>
      </c>
      <c r="R347" s="177">
        <f t="shared" si="131"/>
        <v>0.17873827571612044</v>
      </c>
      <c r="S347" s="799">
        <f t="shared" si="132"/>
        <v>-1</v>
      </c>
      <c r="T347" s="176">
        <f t="shared" si="133"/>
        <v>5</v>
      </c>
      <c r="U347" s="250">
        <f t="shared" si="134"/>
        <v>-0.82126172428387956</v>
      </c>
      <c r="V347" s="382">
        <f t="shared" si="135"/>
        <v>25.649009504016185</v>
      </c>
      <c r="W347" s="400">
        <f t="shared" si="136"/>
        <v>10.216335826071132</v>
      </c>
      <c r="X347" s="157">
        <f t="shared" si="137"/>
        <v>46355</v>
      </c>
      <c r="Y347" s="383">
        <f t="shared" si="138"/>
        <v>9.8405592559653705</v>
      </c>
      <c r="Z347" s="383">
        <f t="shared" si="139"/>
        <v>10.398978875445385</v>
      </c>
      <c r="AA347" s="384">
        <f t="shared" si="140"/>
        <v>11.277032352553455</v>
      </c>
      <c r="AB347" s="197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7.7862104998683637E-2</v>
      </c>
      <c r="AD347" s="230">
        <f>(INDEX(Models!$BJ347:$BT347,,AH347)*(1-AF347)+INDEX(Models!$BJ347:$BT347,,AH347+1)*AF347-ERP_i)*AE347*Ramure*Pc/MaxiM</f>
        <v>7.0284178504248007E-2</v>
      </c>
      <c r="AE347" s="304">
        <f t="shared" si="142"/>
        <v>0.7</v>
      </c>
      <c r="AF347" s="177">
        <f t="shared" si="143"/>
        <v>0.93439610655547134</v>
      </c>
      <c r="AG347" s="799">
        <f t="shared" si="149"/>
        <v>1</v>
      </c>
      <c r="AH347" s="176">
        <f t="shared" si="144"/>
        <v>7</v>
      </c>
      <c r="AI347" s="224">
        <f t="shared" si="145"/>
        <v>1.9343961065554713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46356</v>
      </c>
      <c r="B348" s="409">
        <f>'2025'!Wh/'2025'!Env_an*'2026'!Env_an</f>
        <v>4.555966897940035</v>
      </c>
      <c r="C348" s="829"/>
      <c r="D348" s="391">
        <f t="shared" si="127"/>
        <v>4.8145954199419743</v>
      </c>
      <c r="E348" s="383">
        <f t="shared" si="125"/>
        <v>5.0761623741836299</v>
      </c>
      <c r="F348" s="383">
        <f t="shared" si="128"/>
        <v>5.0761623741836299</v>
      </c>
      <c r="G348" s="110">
        <f t="shared" si="126"/>
        <v>0.17832323728955718</v>
      </c>
      <c r="H348" s="412" t="b">
        <f>Wh_hp&gt;='2025'!Maxi_hp</f>
        <v>0</v>
      </c>
      <c r="I348" s="388">
        <f>IF(H348,Wh_hp,'2025'!Maxi_hp)</f>
        <v>27.039927040267969</v>
      </c>
      <c r="J348" s="85">
        <f>IF(H348,An,'2025'!An_max)</f>
        <v>2020</v>
      </c>
      <c r="K348" s="197">
        <f t="shared" si="129"/>
        <v>46356</v>
      </c>
      <c r="L348" s="147">
        <f>IF(t&lt;Tvie,1-EXP((T0-t)*PertePVj)+'2025'!Pspv,1-EXP((T0-t)*PertePVj)+Pspv)</f>
        <v>5.3717602299604317E-2</v>
      </c>
      <c r="M348" s="832"/>
      <c r="N348" s="832"/>
      <c r="O348" s="48">
        <f>IF(t&lt;Tnet,'2025'!Resal+('2025'!Salim-'2025'!Resal)*(1-EXP(('2025'!Tnet-t)/('2025'!Tau_j))),Resal+(Salim-Resal)*(1-EXP((Tnet-t)/(Tau_j))))*Salcycl</f>
        <v>5.152848450473814E-2</v>
      </c>
      <c r="P348" s="169">
        <f>(INDEX(Models!$BJ348:$BT348,,T348)*(1-R348)+INDEX(Models!$BJ348:$BT348,,T348+1)*R348-ERP_i)*Q348*Ramure*Pc/MaxiM</f>
        <v>4.5138437879511809E-3</v>
      </c>
      <c r="Q348" s="304">
        <f t="shared" si="130"/>
        <v>0.7</v>
      </c>
      <c r="R348" s="177">
        <f t="shared" si="131"/>
        <v>0.1787519902482877</v>
      </c>
      <c r="S348" s="799">
        <f t="shared" si="132"/>
        <v>-1</v>
      </c>
      <c r="T348" s="176">
        <f t="shared" si="133"/>
        <v>5</v>
      </c>
      <c r="U348" s="250">
        <f t="shared" si="134"/>
        <v>-0.8212480097517123</v>
      </c>
      <c r="V348" s="382">
        <f t="shared" si="135"/>
        <v>25.433600488618179</v>
      </c>
      <c r="W348" s="400">
        <f t="shared" si="136"/>
        <v>4.555966897940035</v>
      </c>
      <c r="X348" s="157">
        <f t="shared" si="137"/>
        <v>46356</v>
      </c>
      <c r="Y348" s="383">
        <f t="shared" si="138"/>
        <v>4.4295077296780461</v>
      </c>
      <c r="Z348" s="383">
        <f t="shared" si="139"/>
        <v>4.6809575454878969</v>
      </c>
      <c r="AA348" s="384">
        <f t="shared" si="140"/>
        <v>5.0761623741836299</v>
      </c>
      <c r="AB348" s="197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7.7855040789409649E-2</v>
      </c>
      <c r="AD348" s="230">
        <f>(INDEX(Models!$BJ348:$BT348,,AH348)*(1-AF348)+INDEX(Models!$BJ348:$BT348,,AH348+1)*AF348-ERP_i)*AE348*Ramure*Pc/MaxiM</f>
        <v>7.1648239664579672E-2</v>
      </c>
      <c r="AE348" s="304">
        <f t="shared" si="142"/>
        <v>0.7</v>
      </c>
      <c r="AF348" s="177">
        <f t="shared" si="143"/>
        <v>0.93440982108763859</v>
      </c>
      <c r="AG348" s="799">
        <f t="shared" si="149"/>
        <v>1</v>
      </c>
      <c r="AH348" s="176">
        <f t="shared" si="144"/>
        <v>7</v>
      </c>
      <c r="AI348" s="224">
        <f t="shared" si="145"/>
        <v>1.9344098210876386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46357</v>
      </c>
      <c r="B349" s="409">
        <f>'2025'!Wh/'2025'!Env_an*'2026'!Env_an</f>
        <v>3.3815396464099186</v>
      </c>
      <c r="C349" s="829"/>
      <c r="D349" s="391">
        <f t="shared" si="127"/>
        <v>3.5735679563580658</v>
      </c>
      <c r="E349" s="383">
        <f t="shared" si="125"/>
        <v>3.7678506599002763</v>
      </c>
      <c r="F349" s="383">
        <f t="shared" si="128"/>
        <v>3.7678506599002763</v>
      </c>
      <c r="G349" s="110">
        <f t="shared" si="126"/>
        <v>0.1334801061504948</v>
      </c>
      <c r="H349" s="412" t="b">
        <f>Wh_hp&gt;='2025'!Maxi_hp</f>
        <v>0</v>
      </c>
      <c r="I349" s="388">
        <f>IF(H349,Wh_hp,'2025'!Maxi_hp)</f>
        <v>27.868335200452961</v>
      </c>
      <c r="J349" s="85">
        <f>IF(H349,An,'2025'!An_max)</f>
        <v>2020</v>
      </c>
      <c r="K349" s="197">
        <f t="shared" si="129"/>
        <v>46357</v>
      </c>
      <c r="L349" s="147">
        <f>IF(t&lt;Tvie,1-EXP((T0-t)*PertePVj)+'2025'!Pspv,1-EXP((T0-t)*PertePVj)+Pspv)</f>
        <v>5.3735737585874577E-2</v>
      </c>
      <c r="M349" s="832"/>
      <c r="N349" s="832"/>
      <c r="O349" s="48">
        <f>IF(t&lt;Tnet,'2025'!Resal+('2025'!Salim-'2025'!Resal)*(1-EXP(('2025'!Tnet-t)/('2025'!Tau_j))),Resal+(Salim-Resal)*(1-EXP((Tnet-t)/(Tau_j))))*Salcycl</f>
        <v>5.1563270702282171E-2</v>
      </c>
      <c r="P349" s="169">
        <f>(INDEX(Models!$BJ349:$BT349,,T349)*(1-R349)+INDEX(Models!$BJ349:$BT349,,T349+1)*R349-ERP_i)*Q349*Ramure*Pc/MaxiM</f>
        <v>4.4917566187619527E-3</v>
      </c>
      <c r="Q349" s="304">
        <f t="shared" si="130"/>
        <v>0.7</v>
      </c>
      <c r="R349" s="177">
        <f t="shared" si="131"/>
        <v>0.1787651534772281</v>
      </c>
      <c r="S349" s="799">
        <f t="shared" si="132"/>
        <v>-1</v>
      </c>
      <c r="T349" s="176">
        <f t="shared" si="133"/>
        <v>5</v>
      </c>
      <c r="U349" s="250">
        <f t="shared" si="134"/>
        <v>-0.8212348465227719</v>
      </c>
      <c r="V349" s="382">
        <f t="shared" si="135"/>
        <v>25.219867517381893</v>
      </c>
      <c r="W349" s="400">
        <f t="shared" si="136"/>
        <v>3.3815396464099186</v>
      </c>
      <c r="X349" s="157">
        <f t="shared" si="137"/>
        <v>46357</v>
      </c>
      <c r="Y349" s="383">
        <f t="shared" si="138"/>
        <v>3.2878197905934372</v>
      </c>
      <c r="Z349" s="383">
        <f t="shared" si="139"/>
        <v>3.4745260084170311</v>
      </c>
      <c r="AA349" s="384">
        <f t="shared" si="140"/>
        <v>3.7678506599002763</v>
      </c>
      <c r="AB349" s="197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7.7849330549371834E-2</v>
      </c>
      <c r="AD349" s="230">
        <f>(INDEX(Models!$BJ349:$BT349,,AH349)*(1-AF349)+INDEX(Models!$BJ349:$BT349,,AH349+1)*AF349-ERP_i)*AE349*Ramure*Pc/MaxiM</f>
        <v>7.3011913747700538E-2</v>
      </c>
      <c r="AE349" s="304">
        <f t="shared" si="142"/>
        <v>0.7</v>
      </c>
      <c r="AF349" s="177">
        <f t="shared" si="143"/>
        <v>0.934422984316579</v>
      </c>
      <c r="AG349" s="799">
        <f t="shared" si="149"/>
        <v>1</v>
      </c>
      <c r="AH349" s="176">
        <f t="shared" si="144"/>
        <v>7</v>
      </c>
      <c r="AI349" s="224">
        <f t="shared" si="145"/>
        <v>1.934422984316579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46358</v>
      </c>
      <c r="B350" s="409">
        <f>'2025'!Wh/'2025'!Env_an*'2026'!Env_an</f>
        <v>5.9007541395079102</v>
      </c>
      <c r="C350" s="829"/>
      <c r="D350" s="391">
        <f t="shared" si="127"/>
        <v>6.2359612030869087</v>
      </c>
      <c r="E350" s="383">
        <f t="shared" si="125"/>
        <v>6.5752359672567318</v>
      </c>
      <c r="F350" s="383">
        <f t="shared" si="128"/>
        <v>6.5752359672567318</v>
      </c>
      <c r="G350" s="110">
        <f t="shared" si="126"/>
        <v>0.23488751639578592</v>
      </c>
      <c r="H350" s="412" t="b">
        <f>Wh_hp&gt;='2025'!Maxi_hp</f>
        <v>0</v>
      </c>
      <c r="I350" s="388">
        <f>IF(H350,Wh_hp,'2025'!Maxi_hp)</f>
        <v>10.826785026069079</v>
      </c>
      <c r="J350" s="85">
        <f>IF(H350,An,'2025'!An_max)</f>
        <v>2021</v>
      </c>
      <c r="K350" s="197">
        <f t="shared" si="129"/>
        <v>46358</v>
      </c>
      <c r="L350" s="147">
        <f>IF(t&lt;Tvie,1-EXP((T0-t)*PertePVj)+'2025'!Pspv,1-EXP((T0-t)*PertePVj)+Pspv)</f>
        <v>5.3753872524586188E-2</v>
      </c>
      <c r="M350" s="832"/>
      <c r="N350" s="832"/>
      <c r="O350" s="48">
        <f>IF(t&lt;Tnet,'2025'!Resal+('2025'!Salim-'2025'!Resal)*(1-EXP(('2025'!Tnet-t)/('2025'!Tau_j))),Resal+(Salim-Resal)*(1-EXP((Tnet-t)/(Tau_j))))*Salcycl</f>
        <v>5.1598872779522957E-2</v>
      </c>
      <c r="P350" s="169">
        <f>(INDEX(Models!$BJ350:$BT350,,T350)*(1-R350)+INDEX(Models!$BJ350:$BT350,,T350+1)*R350-ERP_i)*Q350*Ramure*Pc/MaxiM</f>
        <v>4.4719356489112214E-3</v>
      </c>
      <c r="Q350" s="304">
        <f t="shared" si="130"/>
        <v>0.7</v>
      </c>
      <c r="R350" s="177">
        <f t="shared" si="131"/>
        <v>0.17877778753036577</v>
      </c>
      <c r="S350" s="799">
        <f t="shared" si="132"/>
        <v>-1</v>
      </c>
      <c r="T350" s="176">
        <f t="shared" si="133"/>
        <v>5</v>
      </c>
      <c r="U350" s="250">
        <f t="shared" si="134"/>
        <v>-0.82122221246963423</v>
      </c>
      <c r="V350" s="382">
        <f t="shared" si="135"/>
        <v>25.009274383137775</v>
      </c>
      <c r="W350" s="400">
        <f t="shared" si="136"/>
        <v>5.9007541395079102</v>
      </c>
      <c r="X350" s="157">
        <f t="shared" si="137"/>
        <v>46358</v>
      </c>
      <c r="Y350" s="383">
        <f t="shared" si="138"/>
        <v>5.7374564435189503</v>
      </c>
      <c r="Z350" s="383">
        <f t="shared" si="139"/>
        <v>6.0633869739858204</v>
      </c>
      <c r="AA350" s="384">
        <f t="shared" si="140"/>
        <v>6.5752359672567318</v>
      </c>
      <c r="AB350" s="197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7.7844961887270622E-2</v>
      </c>
      <c r="AD350" s="230">
        <f>(INDEX(Models!$BJ350:$BT350,,AH350)*(1-AF350)+INDEX(Models!$BJ350:$BT350,,AH350+1)*AF350-ERP_i)*AE350*Ramure*Pc/MaxiM</f>
        <v>7.4370972270967325E-2</v>
      </c>
      <c r="AE350" s="304">
        <f t="shared" si="142"/>
        <v>0.7</v>
      </c>
      <c r="AF350" s="177">
        <f t="shared" si="143"/>
        <v>0.93443561836971667</v>
      </c>
      <c r="AG350" s="799">
        <f t="shared" si="149"/>
        <v>1</v>
      </c>
      <c r="AH350" s="176">
        <f t="shared" si="144"/>
        <v>7</v>
      </c>
      <c r="AI350" s="224">
        <f t="shared" si="145"/>
        <v>1.9344356183697167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46359</v>
      </c>
      <c r="B351" s="409">
        <f>'2025'!Wh/'2025'!Env_an*'2026'!Env_an</f>
        <v>10.907665576489372</v>
      </c>
      <c r="C351" s="829"/>
      <c r="D351" s="391">
        <f t="shared" si="127"/>
        <v>11.527523660805112</v>
      </c>
      <c r="E351" s="383">
        <f t="shared" si="125"/>
        <v>12.155158706117319</v>
      </c>
      <c r="F351" s="383">
        <f t="shared" si="128"/>
        <v>12.165978522663037</v>
      </c>
      <c r="G351" s="110">
        <f t="shared" si="126"/>
        <v>0.43819789704596573</v>
      </c>
      <c r="H351" s="412" t="b">
        <f>Wh_hp&gt;='2025'!Maxi_hp</f>
        <v>0</v>
      </c>
      <c r="I351" s="388">
        <f>IF(H351,Wh_hp,'2025'!Maxi_hp)</f>
        <v>17.956998625515752</v>
      </c>
      <c r="J351" s="85">
        <f>IF(H351,An,'2025'!An_max)</f>
        <v>2021</v>
      </c>
      <c r="K351" s="197">
        <f t="shared" si="129"/>
        <v>46359</v>
      </c>
      <c r="L351" s="147">
        <f>IF(t&lt;Tvie,1-EXP((T0-t)*PertePVj)+'2025'!Pspv,1-EXP((T0-t)*PertePVj)+Pspv)</f>
        <v>5.3772007115745812E-2</v>
      </c>
      <c r="M351" s="832"/>
      <c r="N351" s="832"/>
      <c r="O351" s="48">
        <f>IF(t&lt;Tnet,'2025'!Resal+('2025'!Salim-'2025'!Resal)*(1-EXP(('2025'!Tnet-t)/('2025'!Tau_j))),Resal+(Salim-Resal)*(1-EXP((Tnet-t)/(Tau_j))))*Salcycl</f>
        <v>5.1635281816298985E-2</v>
      </c>
      <c r="P351" s="169">
        <f>(INDEX(Models!$BJ351:$BT351,,T351)*(1-R351)+INDEX(Models!$BJ351:$BT351,,T351+1)*R351-ERP_i)*Q351*Ramure*Pc/MaxiM</f>
        <v>4.454165086131022E-3</v>
      </c>
      <c r="Q351" s="304">
        <f t="shared" si="130"/>
        <v>0.7</v>
      </c>
      <c r="R351" s="177">
        <f t="shared" si="131"/>
        <v>0.17878991364969576</v>
      </c>
      <c r="S351" s="799">
        <f t="shared" si="132"/>
        <v>-1</v>
      </c>
      <c r="T351" s="176">
        <f t="shared" si="133"/>
        <v>5</v>
      </c>
      <c r="U351" s="250">
        <f t="shared" si="134"/>
        <v>-0.82121008635030424</v>
      </c>
      <c r="V351" s="382">
        <f t="shared" si="135"/>
        <v>24.803284611882937</v>
      </c>
      <c r="W351" s="400">
        <f t="shared" si="136"/>
        <v>10.907665576489372</v>
      </c>
      <c r="X351" s="157">
        <f t="shared" si="137"/>
        <v>46359</v>
      </c>
      <c r="Y351" s="383">
        <f t="shared" si="138"/>
        <v>10.455191758944169</v>
      </c>
      <c r="Z351" s="383">
        <f t="shared" si="139"/>
        <v>11.049336774612927</v>
      </c>
      <c r="AA351" s="384">
        <f t="shared" si="140"/>
        <v>11.982041898888163</v>
      </c>
      <c r="AB351" s="197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7.7841918109281871E-2</v>
      </c>
      <c r="AD351" s="230">
        <f>(INDEX(Models!$BJ351:$BT351,,AH351)*(1-AF351)+INDEX(Models!$BJ351:$BT351,,AH351+1)*AF351-ERP_i)*AE351*Ramure*Pc/MaxiM</f>
        <v>7.5720700458932838E-2</v>
      </c>
      <c r="AE351" s="304">
        <f t="shared" si="142"/>
        <v>0.7</v>
      </c>
      <c r="AF351" s="177">
        <f t="shared" si="143"/>
        <v>0.93444774448904666</v>
      </c>
      <c r="AG351" s="799">
        <f t="shared" si="149"/>
        <v>1</v>
      </c>
      <c r="AH351" s="176">
        <f t="shared" si="144"/>
        <v>7</v>
      </c>
      <c r="AI351" s="224">
        <f t="shared" si="145"/>
        <v>1.9344477444890467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46360</v>
      </c>
      <c r="B352" s="409">
        <f>'2025'!Wh/'2025'!Env_an*'2026'!Env_an</f>
        <v>21.352344976792779</v>
      </c>
      <c r="C352" s="829"/>
      <c r="D352" s="391">
        <f t="shared" si="127"/>
        <v>22.56618315884845</v>
      </c>
      <c r="E352" s="383">
        <f t="shared" si="125"/>
        <v>23.795769740762189</v>
      </c>
      <c r="F352" s="383">
        <f t="shared" si="128"/>
        <v>23.881775382002694</v>
      </c>
      <c r="G352" s="110">
        <f t="shared" si="126"/>
        <v>0.86713396202125415</v>
      </c>
      <c r="H352" s="412" t="b">
        <f>Wh_hp&gt;='2025'!Maxi_hp</f>
        <v>1</v>
      </c>
      <c r="I352" s="388">
        <f>IF(H352,Wh_hp,'2025'!Maxi_hp)</f>
        <v>23.881775382002694</v>
      </c>
      <c r="J352" s="85">
        <f>IF(H352,An,'2025'!An_max)</f>
        <v>2026</v>
      </c>
      <c r="K352" s="197">
        <f t="shared" si="129"/>
        <v>46360</v>
      </c>
      <c r="L352" s="147">
        <f>IF(t&lt;Tvie,1-EXP((T0-t)*PertePVj)+'2025'!Pspv,1-EXP((T0-t)*PertePVj)+Pspv)</f>
        <v>5.3790141359360111E-2</v>
      </c>
      <c r="M352" s="832"/>
      <c r="N352" s="832"/>
      <c r="O352" s="48">
        <f>IF(t&lt;Tnet,'2025'!Resal+('2025'!Salim-'2025'!Resal)*(1-EXP(('2025'!Tnet-t)/('2025'!Tau_j))),Resal+(Salim-Resal)*(1-EXP((Tnet-t)/(Tau_j))))*Salcycl</f>
        <v>5.1672486131325156E-2</v>
      </c>
      <c r="P352" s="169">
        <f>(INDEX(Models!$BJ352:$BT352,,T352)*(1-R352)+INDEX(Models!$BJ352:$BT352,,T352+1)*R352-ERP_i)*Q352*Ramure*Pc/MaxiM</f>
        <v>4.4392964379058467E-3</v>
      </c>
      <c r="Q352" s="304">
        <f t="shared" si="130"/>
        <v>0.7</v>
      </c>
      <c r="R352" s="177">
        <f t="shared" si="131"/>
        <v>0.17880155222700378</v>
      </c>
      <c r="S352" s="799">
        <f t="shared" si="132"/>
        <v>-1</v>
      </c>
      <c r="T352" s="176">
        <f t="shared" si="133"/>
        <v>5</v>
      </c>
      <c r="U352" s="250">
        <f t="shared" si="134"/>
        <v>-0.82119844777299622</v>
      </c>
      <c r="V352" s="382">
        <f t="shared" si="135"/>
        <v>24.603334932113398</v>
      </c>
      <c r="W352" s="400">
        <f t="shared" si="136"/>
        <v>21.352344976792779</v>
      </c>
      <c r="X352" s="157">
        <f t="shared" si="137"/>
        <v>46360</v>
      </c>
      <c r="Y352" s="383">
        <f t="shared" si="138"/>
        <v>19.536217741859062</v>
      </c>
      <c r="Z352" s="383">
        <f t="shared" si="139"/>
        <v>20.64681271649982</v>
      </c>
      <c r="AA352" s="384">
        <f t="shared" si="140"/>
        <v>22.389625131564543</v>
      </c>
      <c r="AB352" s="197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7.7840178422984463E-2</v>
      </c>
      <c r="AD352" s="230">
        <f>(INDEX(Models!$BJ352:$BT352,,AH352)*(1-AF352)+INDEX(Models!$BJ352:$BT352,,AH352+1)*AF352-ERP_i)*AE352*Ramure*Pc/MaxiM</f>
        <v>7.7019334965097455E-2</v>
      </c>
      <c r="AE352" s="304">
        <f t="shared" si="142"/>
        <v>0.7</v>
      </c>
      <c r="AF352" s="177">
        <f t="shared" si="143"/>
        <v>0.93445938306635457</v>
      </c>
      <c r="AG352" s="799">
        <f t="shared" si="149"/>
        <v>1</v>
      </c>
      <c r="AH352" s="176">
        <f t="shared" si="144"/>
        <v>7</v>
      </c>
      <c r="AI352" s="224">
        <f t="shared" si="145"/>
        <v>1.9344593830663546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46361</v>
      </c>
      <c r="B353" s="409">
        <f>'2025'!Wh/'2025'!Env_an*'2026'!Env_an</f>
        <v>25.309117700911806</v>
      </c>
      <c r="C353" s="829"/>
      <c r="D353" s="391">
        <f t="shared" si="127"/>
        <v>26.748403139695927</v>
      </c>
      <c r="E353" s="383">
        <f t="shared" si="125"/>
        <v>28.207000429303289</v>
      </c>
      <c r="F353" s="383">
        <f t="shared" si="128"/>
        <v>28.332410903227842</v>
      </c>
      <c r="G353" s="110">
        <f t="shared" si="126"/>
        <v>1.0367954994143609</v>
      </c>
      <c r="H353" s="412" t="b">
        <f>Wh_hp&gt;='2025'!Maxi_hp</f>
        <v>1</v>
      </c>
      <c r="I353" s="388">
        <f>IF(H353,Wh_hp,'2025'!Maxi_hp)</f>
        <v>28.332410903227842</v>
      </c>
      <c r="J353" s="85">
        <f>IF(H353,An,'2025'!An_max)</f>
        <v>2026</v>
      </c>
      <c r="K353" s="197">
        <f t="shared" si="129"/>
        <v>46361</v>
      </c>
      <c r="L353" s="147">
        <f>IF(t&lt;Tvie,1-EXP((T0-t)*PertePVj)+'2025'!Pspv,1-EXP((T0-t)*PertePVj)+Pspv)</f>
        <v>5.3808275255435856E-2</v>
      </c>
      <c r="M353" s="832"/>
      <c r="N353" s="832"/>
      <c r="O353" s="48">
        <f>IF(t&lt;Tnet,'2025'!Resal+('2025'!Salim-'2025'!Resal)*(1-EXP(('2025'!Tnet-t)/('2025'!Tau_j))),Resal+(Salim-Resal)*(1-EXP((Tnet-t)/(Tau_j))))*Salcycl</f>
        <v>5.1710471422267056E-2</v>
      </c>
      <c r="P353" s="169">
        <f>(INDEX(Models!$BJ353:$BT353,,T353)*(1-R353)+INDEX(Models!$BJ353:$BT353,,T353+1)*R353-ERP_i)*Q353*Ramure*Pc/MaxiM</f>
        <v>4.4263961281976721E-3</v>
      </c>
      <c r="Q353" s="304">
        <f t="shared" si="130"/>
        <v>0.7</v>
      </c>
      <c r="R353" s="177">
        <f t="shared" si="131"/>
        <v>0.178812722837699</v>
      </c>
      <c r="S353" s="799">
        <f t="shared" si="132"/>
        <v>-1</v>
      </c>
      <c r="T353" s="176">
        <f t="shared" si="133"/>
        <v>5</v>
      </c>
      <c r="U353" s="250">
        <f t="shared" si="134"/>
        <v>-0.821187277162301</v>
      </c>
      <c r="V353" s="382">
        <f t="shared" si="135"/>
        <v>24.410906215553393</v>
      </c>
      <c r="W353" s="400">
        <f t="shared" si="136"/>
        <v>25.309117700911806</v>
      </c>
      <c r="X353" s="157">
        <f t="shared" si="137"/>
        <v>46361</v>
      </c>
      <c r="Y353" s="383">
        <f t="shared" si="138"/>
        <v>22.786906464171832</v>
      </c>
      <c r="Z353" s="383">
        <f t="shared" si="139"/>
        <v>24.082758143254139</v>
      </c>
      <c r="AA353" s="384">
        <f t="shared" si="140"/>
        <v>26.11558816573968</v>
      </c>
      <c r="AB353" s="197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7.7839718163129679E-2</v>
      </c>
      <c r="AD353" s="230">
        <f>(INDEX(Models!$BJ353:$BT353,,AH353)*(1-AF353)+INDEX(Models!$BJ353:$BT353,,AH353+1)*AF353-ERP_i)*AE353*Ramure*Pc/MaxiM</f>
        <v>7.8243349817985502E-2</v>
      </c>
      <c r="AE353" s="304">
        <f t="shared" si="142"/>
        <v>0.7</v>
      </c>
      <c r="AF353" s="177">
        <f t="shared" si="143"/>
        <v>0.9344705536770499</v>
      </c>
      <c r="AG353" s="799">
        <f t="shared" si="149"/>
        <v>1</v>
      </c>
      <c r="AH353" s="176">
        <f t="shared" si="144"/>
        <v>7</v>
      </c>
      <c r="AI353" s="224">
        <f t="shared" si="145"/>
        <v>1.9344705536770499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46362</v>
      </c>
      <c r="B354" s="409">
        <f>'2025'!Wh/'2025'!Env_an*'2026'!Env_an</f>
        <v>16.043373337828374</v>
      </c>
      <c r="C354" s="829"/>
      <c r="D354" s="391">
        <f t="shared" si="127"/>
        <v>16.956056993250659</v>
      </c>
      <c r="E354" s="383">
        <f t="shared" si="125"/>
        <v>17.881405813024699</v>
      </c>
      <c r="F354" s="383">
        <f t="shared" si="128"/>
        <v>17.922350424550245</v>
      </c>
      <c r="G354" s="110">
        <f t="shared" si="126"/>
        <v>0.66078371601805441</v>
      </c>
      <c r="H354" s="412" t="b">
        <f>Wh_hp&gt;='2025'!Maxi_hp</f>
        <v>0</v>
      </c>
      <c r="I354" s="388">
        <f>IF(H354,Wh_hp,'2025'!Maxi_hp)</f>
        <v>24.344380996305986</v>
      </c>
      <c r="J354" s="85">
        <f>IF(H354,An,'2025'!An_max)</f>
        <v>2020</v>
      </c>
      <c r="K354" s="197">
        <f t="shared" si="129"/>
        <v>46362</v>
      </c>
      <c r="L354" s="147">
        <f>IF(t&lt;Tvie,1-EXP((T0-t)*PertePVj)+'2025'!Pspv,1-EXP((T0-t)*PertePVj)+Pspv)</f>
        <v>5.3826408803979486E-2</v>
      </c>
      <c r="M354" s="832"/>
      <c r="N354" s="832"/>
      <c r="O354" s="48">
        <f>IF(t&lt;Tnet,'2025'!Resal+('2025'!Salim-'2025'!Resal)*(1-EXP(('2025'!Tnet-t)/('2025'!Tau_j))),Resal+(Salim-Resal)*(1-EXP((Tnet-t)/(Tau_j))))*Salcycl</f>
        <v>5.1749220919756818E-2</v>
      </c>
      <c r="P354" s="169">
        <f>(INDEX(Models!$BJ354:$BT354,,T354)*(1-R354)+INDEX(Models!$BJ354:$BT354,,T354+1)*R354-ERP_i)*Q354*Ramure*Pc/MaxiM</f>
        <v>4.4152360604322689E-3</v>
      </c>
      <c r="Q354" s="304">
        <f t="shared" si="130"/>
        <v>0.7</v>
      </c>
      <c r="R354" s="177">
        <f t="shared" si="131"/>
        <v>0.17882344427331731</v>
      </c>
      <c r="S354" s="799">
        <f t="shared" si="132"/>
        <v>-1</v>
      </c>
      <c r="T354" s="176">
        <f t="shared" si="133"/>
        <v>5</v>
      </c>
      <c r="U354" s="250">
        <f t="shared" si="134"/>
        <v>-0.82117655572668269</v>
      </c>
      <c r="V354" s="382">
        <f t="shared" si="135"/>
        <v>24.227461089175666</v>
      </c>
      <c r="W354" s="400">
        <f t="shared" si="136"/>
        <v>16.043373337828374</v>
      </c>
      <c r="X354" s="157">
        <f t="shared" si="137"/>
        <v>46362</v>
      </c>
      <c r="Y354" s="383">
        <f t="shared" si="138"/>
        <v>14.995327673003896</v>
      </c>
      <c r="Z354" s="383">
        <f t="shared" si="139"/>
        <v>15.848389568819922</v>
      </c>
      <c r="AA354" s="384">
        <f t="shared" si="140"/>
        <v>17.186169772297021</v>
      </c>
      <c r="AB354" s="197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7.7840509037302344E-2</v>
      </c>
      <c r="AD354" s="230">
        <f>(INDEX(Models!$BJ354:$BT354,,AH354)*(1-AF354)+INDEX(Models!$BJ354:$BT354,,AH354+1)*AF354-ERP_i)*AE354*Ramure*Pc/MaxiM</f>
        <v>7.9385570938754604E-2</v>
      </c>
      <c r="AE354" s="304">
        <f t="shared" si="142"/>
        <v>0.7</v>
      </c>
      <c r="AF354" s="177">
        <f t="shared" si="143"/>
        <v>0.9344812751126681</v>
      </c>
      <c r="AG354" s="799">
        <f t="shared" si="149"/>
        <v>1</v>
      </c>
      <c r="AH354" s="176">
        <f t="shared" si="144"/>
        <v>7</v>
      </c>
      <c r="AI354" s="224">
        <f t="shared" si="145"/>
        <v>1.9344812751126681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46363</v>
      </c>
      <c r="B355" s="409">
        <f>'2025'!Wh/'2025'!Env_an*'2026'!Env_an</f>
        <v>18.776505871100493</v>
      </c>
      <c r="C355" s="829"/>
      <c r="D355" s="391">
        <f t="shared" si="127"/>
        <v>19.845053698564275</v>
      </c>
      <c r="E355" s="383">
        <f t="shared" si="125"/>
        <v>20.928936434414414</v>
      </c>
      <c r="F355" s="383">
        <f t="shared" si="128"/>
        <v>20.992430963698428</v>
      </c>
      <c r="G355" s="110">
        <f t="shared" si="126"/>
        <v>0.77950186906627872</v>
      </c>
      <c r="H355" s="412" t="b">
        <f>Wh_hp&gt;='2025'!Maxi_hp</f>
        <v>1</v>
      </c>
      <c r="I355" s="388">
        <f>IF(H355,Wh_hp,'2025'!Maxi_hp)</f>
        <v>20.992430963698428</v>
      </c>
      <c r="J355" s="85">
        <f>IF(H355,An,'2025'!An_max)</f>
        <v>2026</v>
      </c>
      <c r="K355" s="197">
        <f t="shared" si="129"/>
        <v>46363</v>
      </c>
      <c r="L355" s="147">
        <f>IF(t&lt;Tvie,1-EXP((T0-t)*PertePVj)+'2025'!Pspv,1-EXP((T0-t)*PertePVj)+Pspv)</f>
        <v>5.3844542004997886E-2</v>
      </c>
      <c r="M355" s="832"/>
      <c r="N355" s="832"/>
      <c r="O355" s="48">
        <f>IF(t&lt;Tnet,'2025'!Resal+('2025'!Salim-'2025'!Resal)*(1-EXP(('2025'!Tnet-t)/('2025'!Tau_j))),Resal+(Salim-Resal)*(1-EXP((Tnet-t)/(Tau_j))))*Salcycl</f>
        <v>5.1788715554024048E-2</v>
      </c>
      <c r="P355" s="169">
        <f>(INDEX(Models!$BJ355:$BT355,,T355)*(1-R355)+INDEX(Models!$BJ355:$BT355,,T355+1)*R355-ERP_i)*Q355*Ramure*Pc/MaxiM</f>
        <v>4.4055804776557605E-3</v>
      </c>
      <c r="Q355" s="304">
        <f t="shared" si="130"/>
        <v>0.7</v>
      </c>
      <c r="R355" s="177">
        <f t="shared" si="131"/>
        <v>0.17883373457274532</v>
      </c>
      <c r="S355" s="799">
        <f t="shared" si="132"/>
        <v>-1</v>
      </c>
      <c r="T355" s="176">
        <f t="shared" si="133"/>
        <v>5</v>
      </c>
      <c r="U355" s="250">
        <f t="shared" si="134"/>
        <v>-0.82116626542725468</v>
      </c>
      <c r="V355" s="382">
        <f t="shared" si="135"/>
        <v>24.054461827922921</v>
      </c>
      <c r="W355" s="400">
        <f t="shared" si="136"/>
        <v>18.776505871100493</v>
      </c>
      <c r="X355" s="157">
        <f t="shared" si="137"/>
        <v>46363</v>
      </c>
      <c r="Y355" s="383">
        <f t="shared" si="138"/>
        <v>17.304490352437</v>
      </c>
      <c r="Z355" s="383">
        <f t="shared" si="139"/>
        <v>18.289267589394814</v>
      </c>
      <c r="AA355" s="384">
        <f t="shared" si="140"/>
        <v>19.833128260570398</v>
      </c>
      <c r="AB355" s="197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7.7842519389383663E-2</v>
      </c>
      <c r="AD355" s="230">
        <f>(INDEX(Models!$BJ355:$BT355,,AH355)*(1-AF355)+INDEX(Models!$BJ355:$BT355,,AH355+1)*AF355-ERP_i)*AE355*Ramure*Pc/MaxiM</f>
        <v>8.043844744086126E-2</v>
      </c>
      <c r="AE355" s="304">
        <f t="shared" si="142"/>
        <v>0.7</v>
      </c>
      <c r="AF355" s="177">
        <f t="shared" si="143"/>
        <v>0.93449156541209621</v>
      </c>
      <c r="AG355" s="799">
        <f t="shared" si="149"/>
        <v>1</v>
      </c>
      <c r="AH355" s="176">
        <f t="shared" si="144"/>
        <v>7</v>
      </c>
      <c r="AI355" s="224">
        <f t="shared" si="145"/>
        <v>1.9344915654120962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46364</v>
      </c>
      <c r="B356" s="409">
        <f>'2025'!Wh/'2025'!Env_an*'2026'!Env_an</f>
        <v>4.5759958359737967</v>
      </c>
      <c r="C356" s="829"/>
      <c r="D356" s="391">
        <f t="shared" si="127"/>
        <v>4.8365028145247519</v>
      </c>
      <c r="E356" s="383">
        <f t="shared" si="125"/>
        <v>5.1008757687631965</v>
      </c>
      <c r="F356" s="383">
        <f t="shared" si="128"/>
        <v>5.1008757687631965</v>
      </c>
      <c r="G356" s="110">
        <f t="shared" si="126"/>
        <v>0.19067524879706751</v>
      </c>
      <c r="H356" s="412" t="b">
        <f>Wh_hp&gt;='2025'!Maxi_hp</f>
        <v>0</v>
      </c>
      <c r="I356" s="388">
        <f>IF(H356,Wh_hp,'2025'!Maxi_hp)</f>
        <v>18.164839905008368</v>
      </c>
      <c r="J356" s="85">
        <f>IF(H356,An,'2025'!An_max)</f>
        <v>2018</v>
      </c>
      <c r="K356" s="197">
        <f t="shared" si="129"/>
        <v>46364</v>
      </c>
      <c r="L356" s="147">
        <f>IF(t&lt;Tvie,1-EXP((T0-t)*PertePVj)+'2025'!Pspv,1-EXP((T0-t)*PertePVj)+Pspv)</f>
        <v>5.3862674858497606E-2</v>
      </c>
      <c r="M356" s="832"/>
      <c r="N356" s="832"/>
      <c r="O356" s="48">
        <f>IF(t&lt;Tnet,'2025'!Resal+('2025'!Salim-'2025'!Resal)*(1-EXP(('2025'!Tnet-t)/('2025'!Tau_j))),Resal+(Salim-Resal)*(1-EXP((Tnet-t)/(Tau_j))))*Salcycl</f>
        <v>5.1828934132725712E-2</v>
      </c>
      <c r="P356" s="169">
        <f>(INDEX(Models!$BJ356:$BT356,,T356)*(1-R356)+INDEX(Models!$BJ356:$BT356,,T356+1)*R356-ERP_i)*Q356*Ramure*Pc/MaxiM</f>
        <v>4.3971857809874384E-3</v>
      </c>
      <c r="Q356" s="304">
        <f t="shared" si="130"/>
        <v>0.7</v>
      </c>
      <c r="R356" s="177">
        <f t="shared" si="131"/>
        <v>0.17884361105221258</v>
      </c>
      <c r="S356" s="799">
        <f t="shared" si="132"/>
        <v>-1</v>
      </c>
      <c r="T356" s="176">
        <f t="shared" si="133"/>
        <v>5</v>
      </c>
      <c r="U356" s="250">
        <f t="shared" si="134"/>
        <v>-0.82115638894778742</v>
      </c>
      <c r="V356" s="382">
        <f t="shared" si="135"/>
        <v>23.893370329353736</v>
      </c>
      <c r="W356" s="400">
        <f t="shared" si="136"/>
        <v>4.5759958359737967</v>
      </c>
      <c r="X356" s="157">
        <f t="shared" si="137"/>
        <v>46364</v>
      </c>
      <c r="Y356" s="383">
        <f t="shared" si="138"/>
        <v>4.4504354990115118</v>
      </c>
      <c r="Z356" s="383">
        <f t="shared" si="139"/>
        <v>4.7037944500772273</v>
      </c>
      <c r="AA356" s="384">
        <f t="shared" si="140"/>
        <v>5.1008757687631965</v>
      </c>
      <c r="AB356" s="197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7.7845714478604042E-2</v>
      </c>
      <c r="AD356" s="230">
        <f>(INDEX(Models!$BJ356:$BT356,,AH356)*(1-AF356)+INDEX(Models!$BJ356:$BT356,,AH356+1)*AF356-ERP_i)*AE356*Ramure*Pc/MaxiM</f>
        <v>8.139412118605259E-2</v>
      </c>
      <c r="AE356" s="304">
        <f t="shared" si="142"/>
        <v>0.7</v>
      </c>
      <c r="AF356" s="177">
        <f t="shared" si="143"/>
        <v>0.93450144189156337</v>
      </c>
      <c r="AG356" s="799">
        <f t="shared" si="149"/>
        <v>1</v>
      </c>
      <c r="AH356" s="176">
        <f t="shared" si="144"/>
        <v>7</v>
      </c>
      <c r="AI356" s="224">
        <f t="shared" si="145"/>
        <v>1.9345014418915634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46365</v>
      </c>
      <c r="B357" s="409">
        <f>'2025'!Wh/'2025'!Env_an*'2026'!Env_an</f>
        <v>9.2502917634992059</v>
      </c>
      <c r="C357" s="829"/>
      <c r="D357" s="391">
        <f t="shared" si="127"/>
        <v>9.7770892245949934</v>
      </c>
      <c r="E357" s="383">
        <f t="shared" si="125"/>
        <v>10.31196957609732</v>
      </c>
      <c r="F357" s="383">
        <f t="shared" si="128"/>
        <v>10.317764311390514</v>
      </c>
      <c r="G357" s="110">
        <f t="shared" si="126"/>
        <v>0.38806521955948753</v>
      </c>
      <c r="H357" s="412" t="b">
        <f>Wh_hp&gt;='2025'!Maxi_hp</f>
        <v>1</v>
      </c>
      <c r="I357" s="388">
        <f>IF(H357,Wh_hp,'2025'!Maxi_hp)</f>
        <v>10.317764311390514</v>
      </c>
      <c r="J357" s="85">
        <f>IF(H357,An,'2025'!An_max)</f>
        <v>2026</v>
      </c>
      <c r="K357" s="197">
        <f t="shared" si="129"/>
        <v>46365</v>
      </c>
      <c r="L357" s="147">
        <f>IF(t&lt;Tvie,1-EXP((T0-t)*PertePVj)+'2025'!Pspv,1-EXP((T0-t)*PertePVj)+Pspv)</f>
        <v>5.3880807364485306E-2</v>
      </c>
      <c r="M357" s="832"/>
      <c r="N357" s="832"/>
      <c r="O357" s="48">
        <f>IF(t&lt;Tnet,'2025'!Resal+('2025'!Salim-'2025'!Resal)*(1-EXP(('2025'!Tnet-t)/('2025'!Tau_j))),Resal+(Salim-Resal)*(1-EXP((Tnet-t)/(Tau_j))))*Salcycl</f>
        <v>5.1869853528481731E-2</v>
      </c>
      <c r="P357" s="169">
        <f>(INDEX(Models!$BJ357:$BT357,,T357)*(1-R357)+INDEX(Models!$BJ357:$BT357,,T357+1)*R357-ERP_i)*Q357*Ramure*Pc/MaxiM</f>
        <v>4.3898006739363261E-3</v>
      </c>
      <c r="Q357" s="304">
        <f t="shared" si="130"/>
        <v>0.7</v>
      </c>
      <c r="R357" s="177">
        <f t="shared" si="131"/>
        <v>0.17885309033410057</v>
      </c>
      <c r="S357" s="799">
        <f t="shared" si="132"/>
        <v>-1</v>
      </c>
      <c r="T357" s="176">
        <f t="shared" si="133"/>
        <v>5</v>
      </c>
      <c r="U357" s="250">
        <f t="shared" si="134"/>
        <v>-0.82114690966589943</v>
      </c>
      <c r="V357" s="382">
        <f t="shared" si="135"/>
        <v>23.745648093495962</v>
      </c>
      <c r="W357" s="400">
        <f t="shared" si="136"/>
        <v>9.2502917634992059</v>
      </c>
      <c r="X357" s="157">
        <f t="shared" si="137"/>
        <v>46365</v>
      </c>
      <c r="Y357" s="383">
        <f t="shared" si="138"/>
        <v>8.9071551312286932</v>
      </c>
      <c r="Z357" s="383">
        <f t="shared" si="139"/>
        <v>9.4144112079756823</v>
      </c>
      <c r="AA357" s="384">
        <f t="shared" si="140"/>
        <v>10.209197839365572</v>
      </c>
      <c r="AB357" s="197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7.7850056771872664E-2</v>
      </c>
      <c r="AD357" s="230">
        <f>(INDEX(Models!$BJ357:$BT357,,AH357)*(1-AF357)+INDEX(Models!$BJ357:$BT357,,AH357+1)*AF357-ERP_i)*AE357*Ramure*Pc/MaxiM</f>
        <v>8.2244511258663555E-2</v>
      </c>
      <c r="AE357" s="304">
        <f t="shared" si="142"/>
        <v>0.7</v>
      </c>
      <c r="AF357" s="177">
        <f t="shared" si="143"/>
        <v>0.93451092117345147</v>
      </c>
      <c r="AG357" s="799">
        <f t="shared" si="149"/>
        <v>1</v>
      </c>
      <c r="AH357" s="176">
        <f t="shared" si="144"/>
        <v>7</v>
      </c>
      <c r="AI357" s="224">
        <f t="shared" si="145"/>
        <v>1.9345109211734515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46366</v>
      </c>
      <c r="B358" s="409">
        <f>'2025'!Wh/'2025'!Env_an*'2026'!Env_an</f>
        <v>15.475081346154631</v>
      </c>
      <c r="C358" s="829"/>
      <c r="D358" s="391">
        <f t="shared" si="127"/>
        <v>16.356689567974865</v>
      </c>
      <c r="E358" s="383">
        <f t="shared" si="125"/>
        <v>17.252280442115318</v>
      </c>
      <c r="F358" s="383">
        <f t="shared" si="128"/>
        <v>17.290755929831324</v>
      </c>
      <c r="G358" s="110">
        <f t="shared" si="126"/>
        <v>0.6539521311302765</v>
      </c>
      <c r="H358" s="412" t="b">
        <f>Wh_hp&gt;='2025'!Maxi_hp</f>
        <v>0</v>
      </c>
      <c r="I358" s="388">
        <f>IF(H358,Wh_hp,'2025'!Maxi_hp)</f>
        <v>19.483808473016875</v>
      </c>
      <c r="J358" s="85">
        <f>IF(H358,An,'2025'!An_max)</f>
        <v>2018</v>
      </c>
      <c r="K358" s="197">
        <f t="shared" si="129"/>
        <v>46366</v>
      </c>
      <c r="L358" s="147">
        <f>IF(t&lt;Tvie,1-EXP((T0-t)*PertePVj)+'2025'!Pspv,1-EXP((T0-t)*PertePVj)+Pspv)</f>
        <v>5.3898939522967759E-2</v>
      </c>
      <c r="M358" s="832"/>
      <c r="N358" s="832"/>
      <c r="O358" s="48">
        <f>IF(t&lt;Tnet,'2025'!Resal+('2025'!Salim-'2025'!Resal)*(1-EXP(('2025'!Tnet-t)/('2025'!Tau_j))),Resal+(Salim-Resal)*(1-EXP((Tnet-t)/(Tau_j))))*Salcycl</f>
        <v>5.1911448874560673E-2</v>
      </c>
      <c r="P358" s="169">
        <f>(INDEX(Models!$BJ358:$BT358,,T358)*(1-R358)+INDEX(Models!$BJ358:$BT358,,T358+1)*R358-ERP_i)*Q358*Ramure*Pc/MaxiM</f>
        <v>4.3831666634698094E-3</v>
      </c>
      <c r="Q358" s="304">
        <f t="shared" si="130"/>
        <v>0.7</v>
      </c>
      <c r="R358" s="177">
        <f t="shared" si="131"/>
        <v>0.1788621883746162</v>
      </c>
      <c r="S358" s="799">
        <f t="shared" si="132"/>
        <v>-1</v>
      </c>
      <c r="T358" s="176">
        <f t="shared" si="133"/>
        <v>5</v>
      </c>
      <c r="U358" s="250">
        <f t="shared" si="134"/>
        <v>-0.8211378116253838</v>
      </c>
      <c r="V358" s="382">
        <f t="shared" si="135"/>
        <v>23.612756214358509</v>
      </c>
      <c r="W358" s="400">
        <f t="shared" si="136"/>
        <v>15.475081346154631</v>
      </c>
      <c r="X358" s="157">
        <f t="shared" si="137"/>
        <v>46366</v>
      </c>
      <c r="Y358" s="383">
        <f t="shared" si="138"/>
        <v>14.449682697673898</v>
      </c>
      <c r="Z358" s="383">
        <f t="shared" si="139"/>
        <v>15.272874433084606</v>
      </c>
      <c r="AA358" s="384">
        <f t="shared" si="140"/>
        <v>16.562344119115178</v>
      </c>
      <c r="AB358" s="197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7.7855506246990058E-2</v>
      </c>
      <c r="AD358" s="230">
        <f>(INDEX(Models!$BJ358:$BT358,,AH358)*(1-AF358)+INDEX(Models!$BJ358:$BT358,,AH358+1)*AF358-ERP_i)*AE358*Ramure*Pc/MaxiM</f>
        <v>8.2981413765950737E-2</v>
      </c>
      <c r="AE358" s="304">
        <f t="shared" si="142"/>
        <v>0.7</v>
      </c>
      <c r="AF358" s="177">
        <f t="shared" si="143"/>
        <v>0.9345200192139671</v>
      </c>
      <c r="AG358" s="799">
        <f t="shared" si="149"/>
        <v>1</v>
      </c>
      <c r="AH358" s="176">
        <f t="shared" si="144"/>
        <v>7</v>
      </c>
      <c r="AI358" s="224">
        <f t="shared" si="145"/>
        <v>1.9345200192139671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46367</v>
      </c>
      <c r="B359" s="409">
        <f>'2025'!Wh/'2025'!Env_an*'2026'!Env_an</f>
        <v>14.753831290860607</v>
      </c>
      <c r="C359" s="829"/>
      <c r="D359" s="391">
        <f t="shared" si="127"/>
        <v>15.594649098745615</v>
      </c>
      <c r="E359" s="383">
        <f t="shared" si="125"/>
        <v>16.449248308040712</v>
      </c>
      <c r="F359" s="383">
        <f t="shared" si="128"/>
        <v>16.483070849051703</v>
      </c>
      <c r="G359" s="110">
        <f t="shared" si="126"/>
        <v>0.62661672468838403</v>
      </c>
      <c r="H359" s="412" t="b">
        <f>Wh_hp&gt;='2025'!Maxi_hp</f>
        <v>1</v>
      </c>
      <c r="I359" s="388">
        <f>IF(H359,Wh_hp,'2025'!Maxi_hp)</f>
        <v>16.483070849051703</v>
      </c>
      <c r="J359" s="85">
        <f>IF(H359,An,'2025'!An_max)</f>
        <v>2026</v>
      </c>
      <c r="K359" s="197">
        <f t="shared" si="129"/>
        <v>46367</v>
      </c>
      <c r="L359" s="147">
        <f>IF(t&lt;Tvie,1-EXP((T0-t)*PertePVj)+'2025'!Pspv,1-EXP((T0-t)*PertePVj)+Pspv)</f>
        <v>5.3917071333951405E-2</v>
      </c>
      <c r="M359" s="832"/>
      <c r="N359" s="832"/>
      <c r="O359" s="48">
        <f>IF(t&lt;Tnet,'2025'!Resal+('2025'!Salim-'2025'!Resal)*(1-EXP(('2025'!Tnet-t)/('2025'!Tau_j))),Resal+(Salim-Resal)*(1-EXP((Tnet-t)/(Tau_j))))*Salcycl</f>
        <v>5.1953693767109926E-2</v>
      </c>
      <c r="P359" s="169">
        <f>(INDEX(Models!$BJ359:$BT359,,T359)*(1-R359)+INDEX(Models!$BJ359:$BT359,,T359+1)*R359-ERP_i)*Q359*Ramure*Pc/MaxiM</f>
        <v>4.3780974075034304E-3</v>
      </c>
      <c r="Q359" s="304">
        <f t="shared" si="130"/>
        <v>0.7</v>
      </c>
      <c r="R359" s="177">
        <f t="shared" si="131"/>
        <v>0.17887092049036935</v>
      </c>
      <c r="S359" s="799">
        <f t="shared" si="132"/>
        <v>-1</v>
      </c>
      <c r="T359" s="176">
        <f t="shared" si="133"/>
        <v>5</v>
      </c>
      <c r="U359" s="250">
        <f t="shared" si="134"/>
        <v>-0.82112907950963065</v>
      </c>
      <c r="V359" s="382">
        <f t="shared" si="135"/>
        <v>23.490342103087134</v>
      </c>
      <c r="W359" s="400">
        <f t="shared" si="136"/>
        <v>14.753831290860607</v>
      </c>
      <c r="X359" s="157">
        <f t="shared" si="137"/>
        <v>46367</v>
      </c>
      <c r="Y359" s="383">
        <f t="shared" si="138"/>
        <v>13.816582290566823</v>
      </c>
      <c r="Z359" s="383">
        <f t="shared" si="139"/>
        <v>14.603986470877167</v>
      </c>
      <c r="AA359" s="384">
        <f t="shared" si="140"/>
        <v>15.837094663459236</v>
      </c>
      <c r="AB359" s="197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7.7862020704290352E-2</v>
      </c>
      <c r="AD359" s="230">
        <f>(INDEX(Models!$BJ359:$BT359,,AH359)*(1-AF359)+INDEX(Models!$BJ359:$BT359,,AH359+1)*AF359-ERP_i)*AE359*Ramure*Pc/MaxiM</f>
        <v>8.3617214405392423E-2</v>
      </c>
      <c r="AE359" s="304">
        <f t="shared" si="142"/>
        <v>0.7</v>
      </c>
      <c r="AF359" s="177">
        <f t="shared" si="143"/>
        <v>0.93452875132972024</v>
      </c>
      <c r="AG359" s="799">
        <f t="shared" si="149"/>
        <v>1</v>
      </c>
      <c r="AH359" s="176">
        <f t="shared" si="144"/>
        <v>7</v>
      </c>
      <c r="AI359" s="224">
        <f t="shared" si="145"/>
        <v>1.9345287513297202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46368</v>
      </c>
      <c r="B360" s="409">
        <f>'2025'!Wh/'2025'!Env_an*'2026'!Env_an</f>
        <v>6.8067351330286678</v>
      </c>
      <c r="C360" s="829"/>
      <c r="D360" s="391">
        <f t="shared" si="127"/>
        <v>7.1947874534129976</v>
      </c>
      <c r="E360" s="383">
        <f t="shared" si="125"/>
        <v>7.5894107061440668</v>
      </c>
      <c r="F360" s="383">
        <f t="shared" si="128"/>
        <v>7.5894107061440668</v>
      </c>
      <c r="G360" s="110">
        <f t="shared" si="126"/>
        <v>0.28993868376887622</v>
      </c>
      <c r="H360" s="412" t="b">
        <f>Wh_hp&gt;='2025'!Maxi_hp</f>
        <v>0</v>
      </c>
      <c r="I360" s="388">
        <f>IF(H360,Wh_hp,'2025'!Maxi_hp)</f>
        <v>25.134038937177625</v>
      </c>
      <c r="J360" s="85">
        <f>IF(H360,An,'2025'!An_max)</f>
        <v>2021</v>
      </c>
      <c r="K360" s="197">
        <f t="shared" si="129"/>
        <v>46368</v>
      </c>
      <c r="L360" s="147">
        <f>IF(t&lt;Tvie,1-EXP((T0-t)*PertePVj)+'2025'!Pspv,1-EXP((T0-t)*PertePVj)+Pspv)</f>
        <v>5.3935202797443127E-2</v>
      </c>
      <c r="M360" s="832"/>
      <c r="N360" s="832"/>
      <c r="O360" s="48">
        <f>IF(t&lt;Tnet,'2025'!Resal+('2025'!Salim-'2025'!Resal)*(1-EXP(('2025'!Tnet-t)/('2025'!Tau_j))),Resal+(Salim-Resal)*(1-EXP((Tnet-t)/(Tau_j))))*Salcycl</f>
        <v>5.1996560472290537E-2</v>
      </c>
      <c r="P360" s="169">
        <f>(INDEX(Models!$BJ360:$BT360,,T360)*(1-R360)+INDEX(Models!$BJ360:$BT360,,T360+1)*R360-ERP_i)*Q360*Ramure*Pc/MaxiM</f>
        <v>4.3754747789205755E-3</v>
      </c>
      <c r="Q360" s="304">
        <f t="shared" si="130"/>
        <v>0.7</v>
      </c>
      <c r="R360" s="177">
        <f t="shared" si="131"/>
        <v>0.17887930138390118</v>
      </c>
      <c r="S360" s="799">
        <f t="shared" si="132"/>
        <v>-1</v>
      </c>
      <c r="T360" s="176">
        <f t="shared" si="133"/>
        <v>5</v>
      </c>
      <c r="U360" s="250">
        <f t="shared" si="134"/>
        <v>-0.82112069861609882</v>
      </c>
      <c r="V360" s="382">
        <f t="shared" si="135"/>
        <v>23.373743534441704</v>
      </c>
      <c r="W360" s="400">
        <f t="shared" si="136"/>
        <v>6.8067351330286678</v>
      </c>
      <c r="X360" s="157">
        <f t="shared" si="137"/>
        <v>46368</v>
      </c>
      <c r="Y360" s="383">
        <f t="shared" si="138"/>
        <v>6.6209651021560241</v>
      </c>
      <c r="Z360" s="383">
        <f t="shared" si="139"/>
        <v>6.9984266635157812</v>
      </c>
      <c r="AA360" s="384">
        <f t="shared" si="140"/>
        <v>7.5894107061440668</v>
      </c>
      <c r="AB360" s="197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7.7869556084222649E-2</v>
      </c>
      <c r="AD360" s="230">
        <f>(INDEX(Models!$BJ360:$BT360,,AH360)*(1-AF360)+INDEX(Models!$BJ360:$BT360,,AH360+1)*AF360-ERP_i)*AE360*Ramure*Pc/MaxiM</f>
        <v>8.4166420110469639E-2</v>
      </c>
      <c r="AE360" s="304">
        <f t="shared" si="142"/>
        <v>0.7</v>
      </c>
      <c r="AF360" s="177">
        <f t="shared" si="143"/>
        <v>0.93453713222325208</v>
      </c>
      <c r="AG360" s="799">
        <f t="shared" si="149"/>
        <v>1</v>
      </c>
      <c r="AH360" s="176">
        <f t="shared" si="144"/>
        <v>7</v>
      </c>
      <c r="AI360" s="224">
        <f t="shared" si="145"/>
        <v>1.9345371322232521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46369</v>
      </c>
      <c r="B361" s="409">
        <f>'2025'!Wh/'2025'!Env_an*'2026'!Env_an</f>
        <v>6.3762657428124498</v>
      </c>
      <c r="C361" s="829"/>
      <c r="D361" s="391">
        <f t="shared" si="127"/>
        <v>6.7399061498612243</v>
      </c>
      <c r="E361" s="383">
        <f t="shared" ref="E361:E379" si="150">Wh_pvt/(1-Psa)</f>
        <v>7.1099057903613589</v>
      </c>
      <c r="F361" s="383">
        <f t="shared" si="128"/>
        <v>7.1099057903613589</v>
      </c>
      <c r="G361" s="110">
        <f t="shared" ref="G361:G379" si="151">+Wh_hp/MaxiM</f>
        <v>0.27288430924773677</v>
      </c>
      <c r="H361" s="412" t="b">
        <f>Wh_hp&gt;='2025'!Maxi_hp</f>
        <v>0</v>
      </c>
      <c r="I361" s="388">
        <f>IF(H361,Wh_hp,'2025'!Maxi_hp)</f>
        <v>25.832835378767957</v>
      </c>
      <c r="J361" s="85">
        <f>IF(H361,An,'2025'!An_max)</f>
        <v>2021</v>
      </c>
      <c r="K361" s="197">
        <f t="shared" si="129"/>
        <v>46369</v>
      </c>
      <c r="L361" s="147">
        <f>IF(t&lt;Tvie,1-EXP((T0-t)*PertePVj)+'2025'!Pspv,1-EXP((T0-t)*PertePVj)+Pspv)</f>
        <v>5.3953333913449475E-2</v>
      </c>
      <c r="M361" s="832"/>
      <c r="N361" s="832"/>
      <c r="O361" s="48">
        <f>IF(t&lt;Tnet,'2025'!Resal+('2025'!Salim-'2025'!Resal)*(1-EXP(('2025'!Tnet-t)/('2025'!Tau_j))),Resal+(Salim-Resal)*(1-EXP((Tnet-t)/(Tau_j))))*Salcycl</f>
        <v>5.2040020136656366E-2</v>
      </c>
      <c r="P361" s="169">
        <f>(INDEX(Models!$BJ361:$BT361,,T361)*(1-R361)+INDEX(Models!$BJ361:$BT361,,T361+1)*R361-ERP_i)*Q361*Ramure*Pc/MaxiM</f>
        <v>4.3739285356602766E-3</v>
      </c>
      <c r="Q361" s="304">
        <f t="shared" si="130"/>
        <v>0.7</v>
      </c>
      <c r="R361" s="177">
        <f t="shared" si="131"/>
        <v>0.17888734516820182</v>
      </c>
      <c r="S361" s="799">
        <f t="shared" si="132"/>
        <v>-1</v>
      </c>
      <c r="T361" s="176">
        <f t="shared" si="133"/>
        <v>5</v>
      </c>
      <c r="U361" s="250">
        <f t="shared" si="134"/>
        <v>-0.82111265483179818</v>
      </c>
      <c r="V361" s="382">
        <f t="shared" si="135"/>
        <v>23.263984762002806</v>
      </c>
      <c r="W361" s="400">
        <f t="shared" si="136"/>
        <v>6.3762657428124498</v>
      </c>
      <c r="X361" s="157">
        <f t="shared" si="137"/>
        <v>46369</v>
      </c>
      <c r="Y361" s="383">
        <f t="shared" si="138"/>
        <v>6.2024712206531589</v>
      </c>
      <c r="Z361" s="383">
        <f t="shared" si="139"/>
        <v>6.5562000723606131</v>
      </c>
      <c r="AA361" s="384">
        <f t="shared" si="140"/>
        <v>7.1099057903613589</v>
      </c>
      <c r="AB361" s="197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7.7878066788365202E-2</v>
      </c>
      <c r="AD361" s="230">
        <f>(INDEX(Models!$BJ361:$BT361,,AH361)*(1-AF361)+INDEX(Models!$BJ361:$BT361,,AH361+1)*AF361-ERP_i)*AE361*Ramure*Pc/MaxiM</f>
        <v>8.4664813085449472E-2</v>
      </c>
      <c r="AE361" s="304">
        <f t="shared" si="142"/>
        <v>0.7</v>
      </c>
      <c r="AF361" s="177">
        <f t="shared" si="143"/>
        <v>0.93454517600755271</v>
      </c>
      <c r="AG361" s="799">
        <f t="shared" si="149"/>
        <v>1</v>
      </c>
      <c r="AH361" s="176">
        <f t="shared" si="144"/>
        <v>7</v>
      </c>
      <c r="AI361" s="224">
        <f t="shared" si="145"/>
        <v>1.9345451760075527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46370</v>
      </c>
      <c r="B362" s="409">
        <f>'2025'!Wh/'2025'!Env_an*'2026'!Env_an</f>
        <v>14.966137794197513</v>
      </c>
      <c r="C362" s="829"/>
      <c r="D362" s="391">
        <f t="shared" si="127"/>
        <v>15.819964446597165</v>
      </c>
      <c r="E362" s="383">
        <f t="shared" si="150"/>
        <v>16.689205756858396</v>
      </c>
      <c r="F362" s="383">
        <f t="shared" si="128"/>
        <v>16.725375665557017</v>
      </c>
      <c r="G362" s="110">
        <f t="shared" si="151"/>
        <v>0.64471724489533488</v>
      </c>
      <c r="H362" s="412" t="b">
        <f>Wh_hp&gt;='2025'!Maxi_hp</f>
        <v>0</v>
      </c>
      <c r="I362" s="388">
        <f>IF(H362,Wh_hp,'2025'!Maxi_hp)</f>
        <v>25.956270173874294</v>
      </c>
      <c r="J362" s="85">
        <f>IF(H362,An,'2025'!An_max)</f>
        <v>2021</v>
      </c>
      <c r="K362" s="197">
        <f t="shared" si="129"/>
        <v>46370</v>
      </c>
      <c r="L362" s="147">
        <f>IF(t&lt;Tvie,1-EXP((T0-t)*PertePVj)+'2025'!Pspv,1-EXP((T0-t)*PertePVj)+Pspv)</f>
        <v>5.397146468197711E-2</v>
      </c>
      <c r="M362" s="832"/>
      <c r="N362" s="832"/>
      <c r="O362" s="48">
        <f>IF(t&lt;Tnet,'2025'!Resal+('2025'!Salim-'2025'!Resal)*(1-EXP(('2025'!Tnet-t)/('2025'!Tau_j))),Resal+(Salim-Resal)*(1-EXP((Tnet-t)/(Tau_j))))*Salcycl</f>
        <v>5.2084042999111541E-2</v>
      </c>
      <c r="P362" s="169">
        <f>(INDEX(Models!$BJ362:$BT362,,T362)*(1-R362)+INDEX(Models!$BJ362:$BT362,,T362+1)*R362-ERP_i)*Q362*Ramure*Pc/MaxiM</f>
        <v>4.3732747777690531E-3</v>
      </c>
      <c r="Q362" s="304">
        <f t="shared" si="130"/>
        <v>0.7</v>
      </c>
      <c r="R362" s="177">
        <f t="shared" si="131"/>
        <v>0.17889506539025724</v>
      </c>
      <c r="S362" s="799">
        <f t="shared" si="132"/>
        <v>-1</v>
      </c>
      <c r="T362" s="176">
        <f t="shared" si="133"/>
        <v>5</v>
      </c>
      <c r="U362" s="250">
        <f t="shared" si="134"/>
        <v>-0.82110493460974276</v>
      </c>
      <c r="V362" s="382">
        <f t="shared" si="135"/>
        <v>23.162061502183839</v>
      </c>
      <c r="W362" s="400">
        <f t="shared" si="136"/>
        <v>14.966137794197513</v>
      </c>
      <c r="X362" s="157">
        <f t="shared" si="137"/>
        <v>46370</v>
      </c>
      <c r="Y362" s="383">
        <f t="shared" si="138"/>
        <v>13.976252374091091</v>
      </c>
      <c r="Z362" s="383">
        <f t="shared" si="139"/>
        <v>14.773605501648792</v>
      </c>
      <c r="AA362" s="384">
        <f t="shared" si="140"/>
        <v>16.021478504845831</v>
      </c>
      <c r="AB362" s="197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7.7887506001372384E-2</v>
      </c>
      <c r="AD362" s="230">
        <f>(INDEX(Models!$BJ362:$BT362,,AH362)*(1-AF362)+INDEX(Models!$BJ362:$BT362,,AH362+1)*AF362-ERP_i)*AE362*Ramure*Pc/MaxiM</f>
        <v>8.5107643614226375E-2</v>
      </c>
      <c r="AE362" s="304">
        <f t="shared" si="142"/>
        <v>0.7</v>
      </c>
      <c r="AF362" s="177">
        <f t="shared" si="143"/>
        <v>0.93455289622960813</v>
      </c>
      <c r="AG362" s="799">
        <f t="shared" si="149"/>
        <v>1</v>
      </c>
      <c r="AH362" s="176">
        <f t="shared" si="144"/>
        <v>7</v>
      </c>
      <c r="AI362" s="224">
        <f t="shared" si="145"/>
        <v>1.9345528962296081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46371</v>
      </c>
      <c r="B363" s="409">
        <f>'2025'!Wh/'2025'!Env_an*'2026'!Env_an</f>
        <v>7.1223842475930326</v>
      </c>
      <c r="C363" s="829"/>
      <c r="D363" s="391">
        <f t="shared" si="127"/>
        <v>7.5288645988716709</v>
      </c>
      <c r="E363" s="383">
        <f t="shared" si="150"/>
        <v>7.9429177710961056</v>
      </c>
      <c r="F363" s="383">
        <f t="shared" si="128"/>
        <v>7.943351662692427</v>
      </c>
      <c r="G363" s="110">
        <f t="shared" si="151"/>
        <v>0.30740962268204641</v>
      </c>
      <c r="H363" s="412" t="b">
        <f>Wh_hp&gt;='2025'!Maxi_hp</f>
        <v>0</v>
      </c>
      <c r="I363" s="388">
        <f>IF(H363,Wh_hp,'2025'!Maxi_hp)</f>
        <v>25.992364486751338</v>
      </c>
      <c r="J363" s="85">
        <f>IF(H363,An,'2025'!An_max)</f>
        <v>2018</v>
      </c>
      <c r="K363" s="197">
        <f t="shared" si="129"/>
        <v>46371</v>
      </c>
      <c r="L363" s="147">
        <f>IF(t&lt;Tvie,1-EXP((T0-t)*PertePVj)+'2025'!Pspv,1-EXP((T0-t)*PertePVj)+Pspv)</f>
        <v>5.3989595103032695E-2</v>
      </c>
      <c r="M363" s="832"/>
      <c r="N363" s="832"/>
      <c r="O363" s="48">
        <f>IF(t&lt;Tnet,'2025'!Resal+('2025'!Salim-'2025'!Resal)*(1-EXP(('2025'!Tnet-t)/('2025'!Tau_j))),Resal+(Salim-Resal)*(1-EXP((Tnet-t)/(Tau_j))))*Salcycl</f>
        <v>5.2128598602789893E-2</v>
      </c>
      <c r="P363" s="169">
        <f>(INDEX(Models!$BJ363:$BT363,,T363)*(1-R363)+INDEX(Models!$BJ363:$BT363,,T363+1)*R363-ERP_i)*Q363*Ramure*Pc/MaxiM</f>
        <v>4.3733253674489731E-3</v>
      </c>
      <c r="Q363" s="304">
        <f t="shared" si="130"/>
        <v>0.7</v>
      </c>
      <c r="R363" s="177">
        <f t="shared" si="131"/>
        <v>0.17890247505366252</v>
      </c>
      <c r="S363" s="799">
        <f t="shared" si="132"/>
        <v>-1</v>
      </c>
      <c r="T363" s="176">
        <f t="shared" si="133"/>
        <v>5</v>
      </c>
      <c r="U363" s="250">
        <f t="shared" si="134"/>
        <v>-0.82109752494633748</v>
      </c>
      <c r="V363" s="382">
        <f t="shared" si="135"/>
        <v>23.068969180074347</v>
      </c>
      <c r="W363" s="400">
        <f t="shared" si="136"/>
        <v>7.1223842475930326</v>
      </c>
      <c r="X363" s="157">
        <f t="shared" si="137"/>
        <v>46371</v>
      </c>
      <c r="Y363" s="383">
        <f t="shared" si="138"/>
        <v>6.9217318483333106</v>
      </c>
      <c r="Z363" s="383">
        <f t="shared" si="139"/>
        <v>7.3167608014704406</v>
      </c>
      <c r="AA363" s="384">
        <f t="shared" si="140"/>
        <v>7.9348699177459752</v>
      </c>
      <c r="AB363" s="197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7.7897826011383134E-2</v>
      </c>
      <c r="AD363" s="230">
        <f>(INDEX(Models!$BJ363:$BT363,,AH363)*(1-AF363)+INDEX(Models!$BJ363:$BT363,,AH363+1)*AF363-ERP_i)*AE363*Ramure*Pc/MaxiM</f>
        <v>8.5490087037982734E-2</v>
      </c>
      <c r="AE363" s="304">
        <f t="shared" si="142"/>
        <v>0.7</v>
      </c>
      <c r="AF363" s="177">
        <f t="shared" si="143"/>
        <v>0.93456030589301342</v>
      </c>
      <c r="AG363" s="799">
        <f t="shared" si="149"/>
        <v>1</v>
      </c>
      <c r="AH363" s="176">
        <f t="shared" si="144"/>
        <v>7</v>
      </c>
      <c r="AI363" s="224">
        <f t="shared" si="145"/>
        <v>1.9345603058930134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46372</v>
      </c>
      <c r="B364" s="409">
        <f>'2025'!Wh/'2025'!Env_an*'2026'!Env_an</f>
        <v>5.1078210493683409</v>
      </c>
      <c r="C364" s="829"/>
      <c r="D364" s="391">
        <f t="shared" si="127"/>
        <v>5.3994320940115541</v>
      </c>
      <c r="E364" s="383">
        <f t="shared" si="150"/>
        <v>5.6966469946960094</v>
      </c>
      <c r="F364" s="383">
        <f t="shared" si="128"/>
        <v>5.6966469946960094</v>
      </c>
      <c r="G364" s="110">
        <f t="shared" si="151"/>
        <v>0.22124535557387473</v>
      </c>
      <c r="H364" s="412" t="b">
        <f>Wh_hp&gt;='2025'!Maxi_hp</f>
        <v>0</v>
      </c>
      <c r="I364" s="388">
        <f>IF(H364,Wh_hp,'2025'!Maxi_hp)</f>
        <v>25.444176400080966</v>
      </c>
      <c r="J364" s="85">
        <f>IF(H364,An,'2025'!An_max)</f>
        <v>2021</v>
      </c>
      <c r="K364" s="197">
        <f t="shared" si="129"/>
        <v>46372</v>
      </c>
      <c r="L364" s="147">
        <f>IF(t&lt;Tvie,1-EXP((T0-t)*PertePVj)+'2025'!Pspv,1-EXP((T0-t)*PertePVj)+Pspv)</f>
        <v>5.4007725176622889E-2</v>
      </c>
      <c r="M364" s="832"/>
      <c r="N364" s="832"/>
      <c r="O364" s="48">
        <f>IF(t&lt;Tnet,'2025'!Resal+('2025'!Salim-'2025'!Resal)*(1-EXP(('2025'!Tnet-t)/('2025'!Tau_j))),Resal+(Salim-Resal)*(1-EXP((Tnet-t)/(Tau_j))))*Salcycl</f>
        <v>5.2173656005222682E-2</v>
      </c>
      <c r="P364" s="169">
        <f>(INDEX(Models!$BJ364:$BT364,,T364)*(1-R364)+INDEX(Models!$BJ364:$BT364,,T364+1)*R364-ERP_i)*Q364*Ramure*Pc/MaxiM</f>
        <v>4.3738882568766062E-3</v>
      </c>
      <c r="Q364" s="304">
        <f t="shared" si="130"/>
        <v>0.7</v>
      </c>
      <c r="R364" s="177">
        <f t="shared" si="131"/>
        <v>0.17890958664033874</v>
      </c>
      <c r="S364" s="799">
        <f t="shared" si="132"/>
        <v>-1</v>
      </c>
      <c r="T364" s="176">
        <f t="shared" si="133"/>
        <v>5</v>
      </c>
      <c r="U364" s="250">
        <f t="shared" si="134"/>
        <v>-0.82109041335966126</v>
      </c>
      <c r="V364" s="382">
        <f t="shared" si="135"/>
        <v>22.985702898356294</v>
      </c>
      <c r="W364" s="400">
        <f t="shared" si="136"/>
        <v>5.1078210493683409</v>
      </c>
      <c r="X364" s="157">
        <f t="shared" si="137"/>
        <v>46372</v>
      </c>
      <c r="Y364" s="383">
        <f t="shared" si="138"/>
        <v>4.9691338067957469</v>
      </c>
      <c r="Z364" s="383">
        <f t="shared" si="139"/>
        <v>5.2528270463133708</v>
      </c>
      <c r="AA364" s="384">
        <f t="shared" si="140"/>
        <v>5.6966469946960094</v>
      </c>
      <c r="AB364" s="197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7.790897852646779E-2</v>
      </c>
      <c r="AD364" s="230">
        <f>(INDEX(Models!$BJ364:$BT364,,AH364)*(1-AF364)+INDEX(Models!$BJ364:$BT364,,AH364+1)*AF364-ERP_i)*AE364*Ramure*Pc/MaxiM</f>
        <v>8.5807286894879903E-2</v>
      </c>
      <c r="AE364" s="304">
        <f t="shared" si="142"/>
        <v>0.7</v>
      </c>
      <c r="AF364" s="177">
        <f t="shared" si="143"/>
        <v>0.93456741747968963</v>
      </c>
      <c r="AG364" s="799">
        <f t="shared" si="149"/>
        <v>1</v>
      </c>
      <c r="AH364" s="176">
        <f t="shared" si="144"/>
        <v>7</v>
      </c>
      <c r="AI364" s="224">
        <f t="shared" si="145"/>
        <v>1.9345674174796896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46373</v>
      </c>
      <c r="B365" s="409">
        <f>'2025'!Wh/'2025'!Env_an*'2026'!Env_an</f>
        <v>2.8474501806901409</v>
      </c>
      <c r="C365" s="829"/>
      <c r="D365" s="391">
        <f t="shared" si="127"/>
        <v>3.0100718877442727</v>
      </c>
      <c r="E365" s="383">
        <f t="shared" si="150"/>
        <v>3.1759156092660019</v>
      </c>
      <c r="F365" s="383">
        <f t="shared" si="128"/>
        <v>3.1759156092660019</v>
      </c>
      <c r="G365" s="110">
        <f t="shared" si="151"/>
        <v>0.12372720258236845</v>
      </c>
      <c r="H365" s="412" t="b">
        <f>Wh_hp&gt;='2025'!Maxi_hp</f>
        <v>0</v>
      </c>
      <c r="I365" s="388">
        <f>IF(H365,Wh_hp,'2025'!Maxi_hp)</f>
        <v>25.822433356414916</v>
      </c>
      <c r="J365" s="85">
        <f>IF(H365,An,'2025'!An_max)</f>
        <v>2021</v>
      </c>
      <c r="K365" s="197">
        <f t="shared" si="129"/>
        <v>46373</v>
      </c>
      <c r="L365" s="147">
        <f>IF(t&lt;Tvie,1-EXP((T0-t)*PertePVj)+'2025'!Pspv,1-EXP((T0-t)*PertePVj)+Pspv)</f>
        <v>5.4025854902754356E-2</v>
      </c>
      <c r="M365" s="832"/>
      <c r="N365" s="832"/>
      <c r="O365" s="48">
        <f>IF(t&lt;Tnet,'2025'!Resal+('2025'!Salim-'2025'!Resal)*(1-EXP(('2025'!Tnet-t)/('2025'!Tau_j))),Resal+(Salim-Resal)*(1-EXP((Tnet-t)/(Tau_j))))*Salcycl</f>
        <v>5.2219183985199785E-2</v>
      </c>
      <c r="P365" s="169">
        <f>(INDEX(Models!$BJ365:$BT365,,T365)*(1-R365)+INDEX(Models!$BJ365:$BT365,,T365+1)*R365-ERP_i)*Q365*Ramure*Pc/MaxiM</f>
        <v>4.3747679970108679E-3</v>
      </c>
      <c r="Q365" s="304">
        <f t="shared" si="130"/>
        <v>0.7</v>
      </c>
      <c r="R365" s="177">
        <f t="shared" si="131"/>
        <v>0.17891641213138865</v>
      </c>
      <c r="S365" s="799">
        <f t="shared" si="132"/>
        <v>-1</v>
      </c>
      <c r="T365" s="176">
        <f t="shared" si="133"/>
        <v>5</v>
      </c>
      <c r="U365" s="250">
        <f t="shared" si="134"/>
        <v>-0.82108358786861135</v>
      </c>
      <c r="V365" s="382">
        <f t="shared" si="135"/>
        <v>22.913257453462951</v>
      </c>
      <c r="W365" s="400">
        <f t="shared" si="136"/>
        <v>2.8474501806901409</v>
      </c>
      <c r="X365" s="157">
        <f t="shared" si="137"/>
        <v>46373</v>
      </c>
      <c r="Y365" s="383">
        <f t="shared" si="138"/>
        <v>2.770233595017435</v>
      </c>
      <c r="Z365" s="383">
        <f t="shared" si="139"/>
        <v>2.9284453590776063</v>
      </c>
      <c r="AA365" s="384">
        <f t="shared" si="140"/>
        <v>3.1759156092660019</v>
      </c>
      <c r="AB365" s="197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7.7920914984762252E-2</v>
      </c>
      <c r="AD365" s="230">
        <f>(INDEX(Models!$BJ365:$BT365,,AH365)*(1-AF365)+INDEX(Models!$BJ365:$BT365,,AH365+1)*AF365-ERP_i)*AE365*Ramure*Pc/MaxiM</f>
        <v>8.6054403319449316E-2</v>
      </c>
      <c r="AE365" s="304">
        <f t="shared" si="142"/>
        <v>0.7</v>
      </c>
      <c r="AF365" s="177">
        <f t="shared" si="143"/>
        <v>0.93457424297073954</v>
      </c>
      <c r="AG365" s="799">
        <f t="shared" si="149"/>
        <v>1</v>
      </c>
      <c r="AH365" s="176">
        <f t="shared" si="144"/>
        <v>7</v>
      </c>
      <c r="AI365" s="224">
        <f t="shared" si="145"/>
        <v>1.9345742429707395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46374</v>
      </c>
      <c r="B366" s="409">
        <f>'2025'!Wh/'2025'!Env_an*'2026'!Env_an</f>
        <v>19.253324591014145</v>
      </c>
      <c r="C366" s="829"/>
      <c r="D366" s="391">
        <f t="shared" si="127"/>
        <v>20.353297902956886</v>
      </c>
      <c r="E366" s="383">
        <f t="shared" si="150"/>
        <v>21.475730189397851</v>
      </c>
      <c r="F366" s="383">
        <f t="shared" si="128"/>
        <v>21.548822452369979</v>
      </c>
      <c r="G366" s="110">
        <f t="shared" si="151"/>
        <v>0.84166769499451299</v>
      </c>
      <c r="H366" s="412" t="b">
        <f>Wh_hp&gt;='2025'!Maxi_hp</f>
        <v>0</v>
      </c>
      <c r="I366" s="388">
        <f>IF(H366,Wh_hp,'2025'!Maxi_hp)</f>
        <v>24.301759677464336</v>
      </c>
      <c r="J366" s="85">
        <f>IF(H366,An,'2025'!An_max)</f>
        <v>2021</v>
      </c>
      <c r="K366" s="197">
        <f t="shared" si="129"/>
        <v>46374</v>
      </c>
      <c r="L366" s="147">
        <f>IF(t&lt;Tvie,1-EXP((T0-t)*PertePVj)+'2025'!Pspv,1-EXP((T0-t)*PertePVj)+Pspv)</f>
        <v>5.4043984281433755E-2</v>
      </c>
      <c r="M366" s="832"/>
      <c r="N366" s="832"/>
      <c r="O366" s="48">
        <f>IF(t&lt;Tnet,'2025'!Resal+('2025'!Salim-'2025'!Resal)*(1-EXP(('2025'!Tnet-t)/('2025'!Tau_j))),Resal+(Salim-Resal)*(1-EXP((Tnet-t)/(Tau_j))))*Salcycl</f>
        <v>5.2265151244779956E-2</v>
      </c>
      <c r="P366" s="169">
        <f>(INDEX(Models!$BJ366:$BT366,,T366)*(1-R366)+INDEX(Models!$BJ366:$BT366,,T366+1)*R366-ERP_i)*Q366*Ramure*Pc/MaxiM</f>
        <v>4.3766923792723927E-3</v>
      </c>
      <c r="Q366" s="304">
        <f t="shared" si="130"/>
        <v>0.7</v>
      </c>
      <c r="R366" s="177">
        <f t="shared" si="131"/>
        <v>0.17892296302712407</v>
      </c>
      <c r="S366" s="799">
        <f t="shared" si="132"/>
        <v>-1</v>
      </c>
      <c r="T366" s="176">
        <f t="shared" si="133"/>
        <v>5</v>
      </c>
      <c r="U366" s="250">
        <f t="shared" si="134"/>
        <v>-0.82107703697287593</v>
      </c>
      <c r="V366" s="382">
        <f t="shared" si="135"/>
        <v>22.852606051427596</v>
      </c>
      <c r="W366" s="400">
        <f t="shared" si="136"/>
        <v>19.253324591014145</v>
      </c>
      <c r="X366" s="157">
        <f t="shared" si="137"/>
        <v>46374</v>
      </c>
      <c r="Y366" s="383">
        <f t="shared" si="138"/>
        <v>17.539575050184506</v>
      </c>
      <c r="Z366" s="383">
        <f t="shared" si="139"/>
        <v>18.541639102385865</v>
      </c>
      <c r="AA366" s="384">
        <f t="shared" si="140"/>
        <v>20.10878916971323</v>
      </c>
      <c r="AB366" s="197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7.7933586856026235E-2</v>
      </c>
      <c r="AD366" s="230">
        <f>(INDEX(Models!$BJ366:$BT366,,AH366)*(1-AF366)+INDEX(Models!$BJ366:$BT366,,AH366+1)*AF366-ERP_i)*AE366*Ramure*Pc/MaxiM</f>
        <v>8.6227767999270052E-2</v>
      </c>
      <c r="AE366" s="304">
        <f t="shared" si="142"/>
        <v>0.7</v>
      </c>
      <c r="AF366" s="177">
        <f t="shared" si="143"/>
        <v>0.93458079386647497</v>
      </c>
      <c r="AG366" s="799">
        <f t="shared" si="149"/>
        <v>1</v>
      </c>
      <c r="AH366" s="176">
        <f t="shared" si="144"/>
        <v>7</v>
      </c>
      <c r="AI366" s="224">
        <f t="shared" si="145"/>
        <v>1.934580793866475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46375</v>
      </c>
      <c r="B367" s="409">
        <f>'2025'!Wh/'2025'!Env_an*'2026'!Env_an</f>
        <v>17.215564613612312</v>
      </c>
      <c r="C367" s="829"/>
      <c r="D367" s="391">
        <f t="shared" si="127"/>
        <v>18.19946621854961</v>
      </c>
      <c r="E367" s="383">
        <f t="shared" si="150"/>
        <v>19.204059909424952</v>
      </c>
      <c r="F367" s="383">
        <f t="shared" si="128"/>
        <v>19.258858159487676</v>
      </c>
      <c r="G367" s="110">
        <f t="shared" si="151"/>
        <v>0.75375016273024276</v>
      </c>
      <c r="H367" s="412" t="b">
        <f>Wh_hp&gt;='2025'!Maxi_hp</f>
        <v>0</v>
      </c>
      <c r="I367" s="388">
        <f>IF(H367,Wh_hp,'2025'!Maxi_hp)</f>
        <v>25.50206749437104</v>
      </c>
      <c r="J367" s="85">
        <f>IF(H367,An,'2025'!An_max)</f>
        <v>2021</v>
      </c>
      <c r="K367" s="197">
        <f t="shared" si="129"/>
        <v>46375</v>
      </c>
      <c r="L367" s="147">
        <f>IF(t&lt;Tvie,1-EXP((T0-t)*PertePVj)+'2025'!Pspv,1-EXP((T0-t)*PertePVj)+Pspv)</f>
        <v>5.4062113312667748E-2</v>
      </c>
      <c r="M367" s="832"/>
      <c r="N367" s="832"/>
      <c r="O367" s="48">
        <f>IF(t&lt;Tnet,'2025'!Resal+('2025'!Salim-'2025'!Resal)*(1-EXP(('2025'!Tnet-t)/('2025'!Tau_j))),Resal+(Salim-Resal)*(1-EXP((Tnet-t)/(Tau_j))))*Salcycl</f>
        <v>5.2311526604971133E-2</v>
      </c>
      <c r="P367" s="169">
        <f>(INDEX(Models!$BJ367:$BT367,,T367)*(1-R367)+INDEX(Models!$BJ367:$BT367,,T367+1)*R367-ERP_i)*Q367*Ramure*Pc/MaxiM</f>
        <v>4.3783252651822214E-3</v>
      </c>
      <c r="Q367" s="304">
        <f t="shared" si="130"/>
        <v>0.7</v>
      </c>
      <c r="R367" s="177">
        <f t="shared" si="131"/>
        <v>0.17892925036629703</v>
      </c>
      <c r="S367" s="799">
        <f t="shared" si="132"/>
        <v>-1</v>
      </c>
      <c r="T367" s="176">
        <f t="shared" si="133"/>
        <v>5</v>
      </c>
      <c r="U367" s="250">
        <f t="shared" si="134"/>
        <v>-0.82107074963370297</v>
      </c>
      <c r="V367" s="382">
        <f t="shared" si="135"/>
        <v>22.804768973490546</v>
      </c>
      <c r="W367" s="400">
        <f t="shared" si="136"/>
        <v>17.215564613612312</v>
      </c>
      <c r="X367" s="157">
        <f t="shared" si="137"/>
        <v>46375</v>
      </c>
      <c r="Y367" s="383">
        <f t="shared" si="138"/>
        <v>15.854917698542968</v>
      </c>
      <c r="Z367" s="383">
        <f t="shared" si="139"/>
        <v>16.761055796239198</v>
      </c>
      <c r="AA367" s="384">
        <f t="shared" si="140"/>
        <v>18.177973298065449</v>
      </c>
      <c r="AB367" s="197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7.794694593247331E-2</v>
      </c>
      <c r="AD367" s="230">
        <f>(INDEX(Models!$BJ367:$BT367,,AH367)*(1-AF367)+INDEX(Models!$BJ367:$BT367,,AH367+1)*AF367-ERP_i)*AE367*Ramure*Pc/MaxiM</f>
        <v>8.6361617243272265E-2</v>
      </c>
      <c r="AE367" s="304">
        <f t="shared" si="142"/>
        <v>0.7</v>
      </c>
      <c r="AF367" s="177">
        <f t="shared" si="143"/>
        <v>0.93458708120564804</v>
      </c>
      <c r="AG367" s="799">
        <f t="shared" si="149"/>
        <v>1</v>
      </c>
      <c r="AH367" s="176">
        <f t="shared" si="144"/>
        <v>7</v>
      </c>
      <c r="AI367" s="224">
        <f t="shared" si="145"/>
        <v>1.934587081205648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46376</v>
      </c>
      <c r="B368" s="409">
        <f>'2025'!Wh/'2025'!Env_an*'2026'!Env_an</f>
        <v>3.8554910571637229</v>
      </c>
      <c r="C368" s="829"/>
      <c r="D368" s="391">
        <f t="shared" si="127"/>
        <v>4.0759176711787282</v>
      </c>
      <c r="E368" s="383">
        <f t="shared" si="150"/>
        <v>4.3011167424231207</v>
      </c>
      <c r="F368" s="383">
        <f t="shared" si="128"/>
        <v>4.3011167424231207</v>
      </c>
      <c r="G368" s="110">
        <f t="shared" si="151"/>
        <v>0.16857625506611829</v>
      </c>
      <c r="H368" s="412" t="b">
        <f>Wh_hp&gt;='2025'!Maxi_hp</f>
        <v>0</v>
      </c>
      <c r="I368" s="388">
        <f>IF(H368,Wh_hp,'2025'!Maxi_hp)</f>
        <v>25.974540677970943</v>
      </c>
      <c r="J368" s="85">
        <f>IF(H368,An,'2025'!An_max)</f>
        <v>2021</v>
      </c>
      <c r="K368" s="197">
        <f t="shared" si="129"/>
        <v>46376</v>
      </c>
      <c r="L368" s="147">
        <f>IF(t&lt;Tvie,1-EXP((T0-t)*PertePVj)+'2025'!Pspv,1-EXP((T0-t)*PertePVj)+Pspv)</f>
        <v>5.4080241996462997E-2</v>
      </c>
      <c r="M368" s="832"/>
      <c r="N368" s="832"/>
      <c r="O368" s="48">
        <f>IF(t&lt;Tnet,'2025'!Resal+('2025'!Salim-'2025'!Resal)*(1-EXP(('2025'!Tnet-t)/('2025'!Tau_j))),Resal+(Salim-Resal)*(1-EXP((Tnet-t)/(Tau_j))))*Salcycl</f>
        <v>5.235827919367813E-2</v>
      </c>
      <c r="P368" s="169">
        <f>(INDEX(Models!$BJ368:$BT368,,T368)*(1-R368)+INDEX(Models!$BJ368:$BT368,,T368+1)*R368-ERP_i)*Q368*Ramure*Pc/MaxiM</f>
        <v>4.3794638938256178E-3</v>
      </c>
      <c r="Q368" s="304">
        <f t="shared" si="130"/>
        <v>0.7</v>
      </c>
      <c r="R368" s="177">
        <f t="shared" si="131"/>
        <v>0.17893528474456777</v>
      </c>
      <c r="S368" s="799">
        <f t="shared" si="132"/>
        <v>-1</v>
      </c>
      <c r="T368" s="176">
        <f t="shared" si="133"/>
        <v>5</v>
      </c>
      <c r="U368" s="250">
        <f t="shared" si="134"/>
        <v>-0.82106471525543223</v>
      </c>
      <c r="V368" s="382">
        <f t="shared" si="135"/>
        <v>22.770739994077722</v>
      </c>
      <c r="W368" s="400">
        <f t="shared" si="136"/>
        <v>3.8554910571637229</v>
      </c>
      <c r="X368" s="157">
        <f t="shared" si="137"/>
        <v>46376</v>
      </c>
      <c r="Y368" s="383">
        <f t="shared" si="138"/>
        <v>3.7513263234117815</v>
      </c>
      <c r="Z368" s="383">
        <f t="shared" si="139"/>
        <v>3.9657976183194963</v>
      </c>
      <c r="AA368" s="384">
        <f t="shared" si="140"/>
        <v>4.3011167424231207</v>
      </c>
      <c r="AB368" s="197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7.7960944606845439E-2</v>
      </c>
      <c r="AD368" s="230">
        <f>(INDEX(Models!$BJ368:$BT368,,AH368)*(1-AF368)+INDEX(Models!$BJ368:$BT368,,AH368+1)*AF368-ERP_i)*AE368*Ramure*Pc/MaxiM</f>
        <v>8.6451630388744566E-2</v>
      </c>
      <c r="AE368" s="304">
        <f t="shared" si="142"/>
        <v>0.7</v>
      </c>
      <c r="AF368" s="177">
        <f t="shared" si="143"/>
        <v>0.93459311558391867</v>
      </c>
      <c r="AG368" s="799">
        <f t="shared" si="149"/>
        <v>1</v>
      </c>
      <c r="AH368" s="176">
        <f t="shared" si="144"/>
        <v>7</v>
      </c>
      <c r="AI368" s="224">
        <f t="shared" si="145"/>
        <v>1.9345931155839187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46377</v>
      </c>
      <c r="B369" s="409">
        <f>'2025'!Wh/'2025'!Env_an*'2026'!Env_an</f>
        <v>19.651566670428462</v>
      </c>
      <c r="C369" s="829"/>
      <c r="D369" s="391">
        <f t="shared" si="127"/>
        <v>20.775486640553826</v>
      </c>
      <c r="E369" s="383">
        <f t="shared" si="150"/>
        <v>21.924445508564663</v>
      </c>
      <c r="F369" s="383">
        <f t="shared" si="128"/>
        <v>22.002055002015201</v>
      </c>
      <c r="G369" s="110">
        <f t="shared" si="151"/>
        <v>0.86300872254456251</v>
      </c>
      <c r="H369" s="412" t="b">
        <f>Wh_hp&gt;='2025'!Maxi_hp</f>
        <v>0</v>
      </c>
      <c r="I369" s="388">
        <f>IF(H369,Wh_hp,'2025'!Maxi_hp)</f>
        <v>22.295003218801163</v>
      </c>
      <c r="J369" s="85">
        <f>IF(H369,An,'2025'!An_max)</f>
        <v>2018</v>
      </c>
      <c r="K369" s="197">
        <f t="shared" si="129"/>
        <v>46377</v>
      </c>
      <c r="L369" s="147">
        <f>IF(t&lt;Tvie,1-EXP((T0-t)*PertePVj)+'2025'!Pspv,1-EXP((T0-t)*PertePVj)+Pspv)</f>
        <v>5.4098370332826162E-2</v>
      </c>
      <c r="M369" s="832"/>
      <c r="N369" s="832"/>
      <c r="O369" s="48">
        <f>IF(t&lt;Tnet,'2025'!Resal+('2025'!Salim-'2025'!Resal)*(1-EXP(('2025'!Tnet-t)/('2025'!Tau_j))),Resal+(Salim-Resal)*(1-EXP((Tnet-t)/(Tau_j))))*Salcycl</f>
        <v>5.2405378624604301E-2</v>
      </c>
      <c r="P369" s="169">
        <f>(INDEX(Models!$BJ369:$BT369,,T369)*(1-R369)+INDEX(Models!$BJ369:$BT369,,T369+1)*R369-ERP_i)*Q369*Ramure*Pc/MaxiM</f>
        <v>4.3799066915063013E-3</v>
      </c>
      <c r="Q369" s="304">
        <f t="shared" si="130"/>
        <v>0.7</v>
      </c>
      <c r="R369" s="177">
        <f t="shared" si="131"/>
        <v>0.17894107633223721</v>
      </c>
      <c r="S369" s="799">
        <f t="shared" si="132"/>
        <v>-1</v>
      </c>
      <c r="T369" s="176">
        <f t="shared" si="133"/>
        <v>5</v>
      </c>
      <c r="U369" s="250">
        <f t="shared" si="134"/>
        <v>-0.82105892366776279</v>
      </c>
      <c r="V369" s="382">
        <f t="shared" si="135"/>
        <v>22.751512544439535</v>
      </c>
      <c r="W369" s="400">
        <f t="shared" si="136"/>
        <v>19.651566670428462</v>
      </c>
      <c r="X369" s="157">
        <f t="shared" si="137"/>
        <v>46377</v>
      </c>
      <c r="Y369" s="383">
        <f t="shared" si="138"/>
        <v>17.852305553079876</v>
      </c>
      <c r="Z369" s="383">
        <f t="shared" si="139"/>
        <v>18.873321488368099</v>
      </c>
      <c r="AA369" s="384">
        <f t="shared" si="140"/>
        <v>20.469436797014151</v>
      </c>
      <c r="AB369" s="197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7.7975536135848927E-2</v>
      </c>
      <c r="AD369" s="230">
        <f>(INDEX(Models!$BJ369:$BT369,,AH369)*(1-AF369)+INDEX(Models!$BJ369:$BT369,,AH369+1)*AF369-ERP_i)*AE369*Ramure*Pc/MaxiM</f>
        <v>8.6493603207018321E-2</v>
      </c>
      <c r="AE369" s="304">
        <f t="shared" si="142"/>
        <v>0.7</v>
      </c>
      <c r="AF369" s="177">
        <f t="shared" si="143"/>
        <v>0.93459890717158811</v>
      </c>
      <c r="AG369" s="799">
        <f t="shared" si="149"/>
        <v>1</v>
      </c>
      <c r="AH369" s="176">
        <f t="shared" si="144"/>
        <v>7</v>
      </c>
      <c r="AI369" s="224">
        <f t="shared" si="145"/>
        <v>1.9345989071715881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46378</v>
      </c>
      <c r="B370" s="409">
        <f>'2025'!Wh/'2025'!Env_an*'2026'!Env_an</f>
        <v>19.216120820669016</v>
      </c>
      <c r="C370" s="829"/>
      <c r="D370" s="391">
        <f t="shared" si="127"/>
        <v>20.315525946456162</v>
      </c>
      <c r="E370" s="383">
        <f t="shared" si="150"/>
        <v>21.440120178511762</v>
      </c>
      <c r="F370" s="383">
        <f t="shared" si="128"/>
        <v>21.51343940980745</v>
      </c>
      <c r="G370" s="110">
        <f t="shared" si="151"/>
        <v>0.84391258169783112</v>
      </c>
      <c r="H370" s="412" t="b">
        <f>Wh_hp&gt;='2025'!Maxi_hp</f>
        <v>0</v>
      </c>
      <c r="I370" s="388">
        <f>IF(H370,Wh_hp,'2025'!Maxi_hp)</f>
        <v>25.041210642089073</v>
      </c>
      <c r="J370" s="85">
        <f>IF(H370,An,'2025'!An_max)</f>
        <v>2021</v>
      </c>
      <c r="K370" s="197">
        <f t="shared" si="129"/>
        <v>46378</v>
      </c>
      <c r="L370" s="147">
        <f>IF(t&lt;Tvie,1-EXP((T0-t)*PertePVj)+'2025'!Pspv,1-EXP((T0-t)*PertePVj)+Pspv)</f>
        <v>5.4116498321763906E-2</v>
      </c>
      <c r="M370" s="832"/>
      <c r="N370" s="832"/>
      <c r="O370" s="48">
        <f>IF(t&lt;Tnet,'2025'!Resal+('2025'!Salim-'2025'!Resal)*(1-EXP(('2025'!Tnet-t)/('2025'!Tau_j))),Resal+(Salim-Resal)*(1-EXP((Tnet-t)/(Tau_j))))*Salcycl</f>
        <v>5.2452795165892671E-2</v>
      </c>
      <c r="P370" s="169">
        <f>(INDEX(Models!$BJ370:$BT370,,T370)*(1-R370)+INDEX(Models!$BJ370:$BT370,,T370+1)*R370-ERP_i)*Q370*Ramure*Pc/MaxiM</f>
        <v>4.3794548576519595E-3</v>
      </c>
      <c r="Q370" s="304">
        <f t="shared" si="130"/>
        <v>0.7</v>
      </c>
      <c r="R370" s="177">
        <f t="shared" si="131"/>
        <v>0.17894663489127505</v>
      </c>
      <c r="S370" s="799">
        <f t="shared" si="132"/>
        <v>-1</v>
      </c>
      <c r="T370" s="176">
        <f t="shared" si="133"/>
        <v>5</v>
      </c>
      <c r="U370" s="250">
        <f t="shared" si="134"/>
        <v>-0.82105336510872495</v>
      </c>
      <c r="V370" s="382">
        <f t="shared" si="135"/>
        <v>22.748079702330799</v>
      </c>
      <c r="W370" s="400">
        <f t="shared" si="136"/>
        <v>19.216120820669016</v>
      </c>
      <c r="X370" s="157">
        <f t="shared" si="137"/>
        <v>46378</v>
      </c>
      <c r="Y370" s="383">
        <f t="shared" si="138"/>
        <v>17.499447725317729</v>
      </c>
      <c r="Z370" s="383">
        <f t="shared" si="139"/>
        <v>18.500637440307703</v>
      </c>
      <c r="AA370" s="384">
        <f t="shared" si="140"/>
        <v>20.065564345615293</v>
      </c>
      <c r="AB370" s="197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7.7990674887225817E-2</v>
      </c>
      <c r="AD370" s="230">
        <f>(INDEX(Models!$BJ370:$BT370,,AH370)*(1-AF370)+INDEX(Models!$BJ370:$BT370,,AH370+1)*AF370-ERP_i)*AE370*Ramure*Pc/MaxiM</f>
        <v>8.6483496500082344E-2</v>
      </c>
      <c r="AE370" s="304">
        <f t="shared" si="142"/>
        <v>0.7</v>
      </c>
      <c r="AF370" s="177">
        <f t="shared" si="143"/>
        <v>0.93460446573062583</v>
      </c>
      <c r="AG370" s="799">
        <f t="shared" si="149"/>
        <v>1</v>
      </c>
      <c r="AH370" s="176">
        <f t="shared" si="144"/>
        <v>7</v>
      </c>
      <c r="AI370" s="224">
        <f t="shared" si="145"/>
        <v>1.9346044657306258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46379</v>
      </c>
      <c r="B371" s="409">
        <f>'2025'!Wh/'2025'!Env_an*'2026'!Env_an</f>
        <v>19.347999839286899</v>
      </c>
      <c r="C371" s="829"/>
      <c r="D371" s="391">
        <f t="shared" si="127"/>
        <v>20.455342134699855</v>
      </c>
      <c r="E371" s="383">
        <f t="shared" si="150"/>
        <v>21.588762983500121</v>
      </c>
      <c r="F371" s="383">
        <f t="shared" si="128"/>
        <v>21.663283622686397</v>
      </c>
      <c r="G371" s="110">
        <f t="shared" si="151"/>
        <v>0.84923424976329032</v>
      </c>
      <c r="H371" s="412" t="b">
        <f>Wh_hp&gt;='2025'!Maxi_hp</f>
        <v>0</v>
      </c>
      <c r="I371" s="388">
        <f>IF(H371,Wh_hp,'2025'!Maxi_hp)</f>
        <v>22.181600514114333</v>
      </c>
      <c r="J371" s="85">
        <f>IF(H371,An,'2025'!An_max)</f>
        <v>2020</v>
      </c>
      <c r="K371" s="197">
        <f t="shared" si="129"/>
        <v>46379</v>
      </c>
      <c r="L371" s="147">
        <f>IF(t&lt;Tvie,1-EXP((T0-t)*PertePVj)+'2025'!Pspv,1-EXP((T0-t)*PertePVj)+Pspv)</f>
        <v>5.4134625963282779E-2</v>
      </c>
      <c r="M371" s="832"/>
      <c r="N371" s="832"/>
      <c r="O371" s="48">
        <f>IF(t&lt;Tnet,'2025'!Resal+('2025'!Salim-'2025'!Resal)*(1-EXP(('2025'!Tnet-t)/('2025'!Tau_j))),Resal+(Salim-Resal)*(1-EXP((Tnet-t)/(Tau_j))))*Salcycl</f>
        <v>5.2500499897401187E-2</v>
      </c>
      <c r="P371" s="169">
        <f>(INDEX(Models!$BJ371:$BT371,,T371)*(1-R371)+INDEX(Models!$BJ371:$BT371,,T371+1)*R371-ERP_i)*Q371*Ramure*Pc/MaxiM</f>
        <v>4.3778471661306672E-3</v>
      </c>
      <c r="Q371" s="304">
        <f t="shared" si="130"/>
        <v>0.7</v>
      </c>
      <c r="R371" s="177">
        <f t="shared" si="131"/>
        <v>0.17894663489127505</v>
      </c>
      <c r="S371" s="799">
        <f t="shared" si="132"/>
        <v>-1</v>
      </c>
      <c r="T371" s="176">
        <f t="shared" si="133"/>
        <v>5</v>
      </c>
      <c r="U371" s="250">
        <f t="shared" si="134"/>
        <v>-0.82105336510872495</v>
      </c>
      <c r="V371" s="382">
        <f t="shared" si="135"/>
        <v>22.761435724067901</v>
      </c>
      <c r="W371" s="400">
        <f t="shared" si="136"/>
        <v>19.347999839286899</v>
      </c>
      <c r="X371" s="157">
        <f t="shared" si="137"/>
        <v>46379</v>
      </c>
      <c r="Y371" s="383">
        <f t="shared" si="138"/>
        <v>17.609313258633666</v>
      </c>
      <c r="Z371" s="383">
        <f t="shared" si="139"/>
        <v>18.617145464878913</v>
      </c>
      <c r="AA371" s="384">
        <f t="shared" si="140"/>
        <v>20.192270076729098</v>
      </c>
      <c r="AB371" s="197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7.8006316568906414E-2</v>
      </c>
      <c r="AD371" s="230">
        <f>(INDEX(Models!$BJ371:$BT371,,AH371)*(1-AF371)+INDEX(Models!$BJ371:$BT371,,AH371+1)*AF371-ERP_i)*AE371*Ramure*Pc/MaxiM</f>
        <v>8.6417300681111003E-2</v>
      </c>
      <c r="AE371" s="304">
        <f t="shared" si="142"/>
        <v>0.7</v>
      </c>
      <c r="AF371" s="177">
        <f t="shared" si="143"/>
        <v>0.93460446573062583</v>
      </c>
      <c r="AG371" s="799">
        <f t="shared" si="149"/>
        <v>1</v>
      </c>
      <c r="AH371" s="176">
        <f t="shared" si="144"/>
        <v>7</v>
      </c>
      <c r="AI371" s="224">
        <f t="shared" si="145"/>
        <v>1.9346044657306258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46380</v>
      </c>
      <c r="B372" s="409">
        <f>'2025'!Wh/'2025'!Env_an*'2026'!Env_an</f>
        <v>20.543791186949864</v>
      </c>
      <c r="C372" s="829"/>
      <c r="D372" s="391">
        <f t="shared" si="127"/>
        <v>21.719988357211303</v>
      </c>
      <c r="E372" s="383">
        <f t="shared" si="150"/>
        <v>22.924643162778288</v>
      </c>
      <c r="F372" s="383">
        <f t="shared" si="128"/>
        <v>23.011126380029076</v>
      </c>
      <c r="G372" s="110">
        <f t="shared" si="151"/>
        <v>0.90077924296798562</v>
      </c>
      <c r="H372" s="412" t="b">
        <f>Wh_hp&gt;='2025'!Maxi_hp</f>
        <v>1</v>
      </c>
      <c r="I372" s="388">
        <f>IF(H372,Wh_hp,'2025'!Maxi_hp)</f>
        <v>23.011126380029076</v>
      </c>
      <c r="J372" s="85">
        <f>IF(H372,An,'2025'!An_max)</f>
        <v>2026</v>
      </c>
      <c r="K372" s="197">
        <f t="shared" si="129"/>
        <v>46380</v>
      </c>
      <c r="L372" s="147">
        <f>IF(t&lt;Tvie,1-EXP((T0-t)*PertePVj)+'2025'!Pspv,1-EXP((T0-t)*PertePVj)+Pspv)</f>
        <v>5.4152753257389663E-2</v>
      </c>
      <c r="M372" s="832"/>
      <c r="N372" s="832"/>
      <c r="O372" s="48">
        <f>IF(t&lt;Tnet,'2025'!Resal+('2025'!Salim-'2025'!Resal)*(1-EXP(('2025'!Tnet-t)/('2025'!Tau_j))),Resal+(Salim-Resal)*(1-EXP((Tnet-t)/(Tau_j))))*Salcycl</f>
        <v>5.2548464855624442E-2</v>
      </c>
      <c r="P372" s="169">
        <f>(INDEX(Models!$BJ372:$BT372,,T372)*(1-R372)+INDEX(Models!$BJ372:$BT372,,T372+1)*R372-ERP_i)*Q372*Ramure*Pc/MaxiM</f>
        <v>4.3749588627240172E-3</v>
      </c>
      <c r="Q372" s="304">
        <f t="shared" si="130"/>
        <v>0.7</v>
      </c>
      <c r="R372" s="177">
        <f t="shared" si="131"/>
        <v>0.17894663489127505</v>
      </c>
      <c r="S372" s="799">
        <f t="shared" si="132"/>
        <v>-1</v>
      </c>
      <c r="T372" s="176">
        <f t="shared" si="133"/>
        <v>5</v>
      </c>
      <c r="U372" s="250">
        <f t="shared" si="134"/>
        <v>-0.82105336510872495</v>
      </c>
      <c r="V372" s="382">
        <f t="shared" si="135"/>
        <v>22.792571535487475</v>
      </c>
      <c r="W372" s="400">
        <f t="shared" si="136"/>
        <v>20.543791186949864</v>
      </c>
      <c r="X372" s="157">
        <f t="shared" si="137"/>
        <v>46380</v>
      </c>
      <c r="Y372" s="383">
        <f t="shared" si="138"/>
        <v>18.579316177420758</v>
      </c>
      <c r="Z372" s="383">
        <f t="shared" si="139"/>
        <v>19.64304092590616</v>
      </c>
      <c r="AA372" s="384">
        <f t="shared" si="140"/>
        <v>21.305334661875172</v>
      </c>
      <c r="AB372" s="197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7.8022418438871297E-2</v>
      </c>
      <c r="AD372" s="230">
        <f>(INDEX(Models!$BJ372:$BT372,,AH372)*(1-AF372)+INDEX(Models!$BJ372:$BT372,,AH372+1)*AF372-ERP_i)*AE372*Ramure*Pc/MaxiM</f>
        <v>8.6291523749143909E-2</v>
      </c>
      <c r="AE372" s="304">
        <f t="shared" si="142"/>
        <v>0.7</v>
      </c>
      <c r="AF372" s="177">
        <f t="shared" si="143"/>
        <v>0.93460446573062583</v>
      </c>
      <c r="AG372" s="799">
        <f t="shared" si="149"/>
        <v>1</v>
      </c>
      <c r="AH372" s="176">
        <f t="shared" si="144"/>
        <v>7</v>
      </c>
      <c r="AI372" s="224">
        <f t="shared" si="145"/>
        <v>1.9346044657306258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46381</v>
      </c>
      <c r="B373" s="409">
        <f>'2025'!Wh/'2025'!Env_an*'2026'!Env_an</f>
        <v>11.528674499973812</v>
      </c>
      <c r="C373" s="829"/>
      <c r="D373" s="391">
        <f t="shared" si="127"/>
        <v>12.188961260213123</v>
      </c>
      <c r="E373" s="383">
        <f t="shared" si="150"/>
        <v>12.865651604033872</v>
      </c>
      <c r="F373" s="383">
        <f t="shared" si="128"/>
        <v>12.882116048595789</v>
      </c>
      <c r="G373" s="110">
        <f t="shared" si="151"/>
        <v>0.5031381664735759</v>
      </c>
      <c r="H373" s="412" t="b">
        <f>Wh_hp&gt;='2025'!Maxi_hp</f>
        <v>0</v>
      </c>
      <c r="I373" s="388">
        <f>IF(H373,Wh_hp,'2025'!Maxi_hp)</f>
        <v>15.402591944038759</v>
      </c>
      <c r="J373" s="85">
        <f>IF(H373,An,'2025'!An_max)</f>
        <v>2018</v>
      </c>
      <c r="K373" s="197">
        <f t="shared" si="129"/>
        <v>46381</v>
      </c>
      <c r="L373" s="147">
        <f>IF(t&lt;Tvie,1-EXP((T0-t)*PertePVj)+'2025'!Pspv,1-EXP((T0-t)*PertePVj)+Pspv)</f>
        <v>5.4170880204090999E-2</v>
      </c>
      <c r="M373" s="832"/>
      <c r="N373" s="832"/>
      <c r="O373" s="48">
        <f>IF(t&lt;Tnet,'2025'!Resal+('2025'!Salim-'2025'!Resal)*(1-EXP(('2025'!Tnet-t)/('2025'!Tau_j))),Resal+(Salim-Resal)*(1-EXP((Tnet-t)/(Tau_j))))*Salcycl</f>
        <v>5.2596663165399377E-2</v>
      </c>
      <c r="P373" s="169">
        <f>(INDEX(Models!$BJ373:$BT373,,T373)*(1-R373)+INDEX(Models!$BJ373:$BT373,,T373+1)*R373-ERP_i)*Q373*Ramure*Pc/MaxiM</f>
        <v>4.3705699170843056E-3</v>
      </c>
      <c r="Q373" s="304">
        <f t="shared" si="130"/>
        <v>0.7</v>
      </c>
      <c r="R373" s="177">
        <f t="shared" si="131"/>
        <v>0.17894663489127505</v>
      </c>
      <c r="S373" s="799">
        <f t="shared" si="132"/>
        <v>-1</v>
      </c>
      <c r="T373" s="176">
        <f t="shared" si="133"/>
        <v>5</v>
      </c>
      <c r="U373" s="250">
        <f t="shared" si="134"/>
        <v>-0.82105336510872495</v>
      </c>
      <c r="V373" s="382">
        <f t="shared" si="135"/>
        <v>22.842585583021354</v>
      </c>
      <c r="W373" s="400">
        <f t="shared" si="136"/>
        <v>11.528674499973812</v>
      </c>
      <c r="X373" s="157">
        <f t="shared" si="137"/>
        <v>46381</v>
      </c>
      <c r="Y373" s="383">
        <f t="shared" si="138"/>
        <v>10.950587364713723</v>
      </c>
      <c r="Z373" s="383">
        <f t="shared" si="139"/>
        <v>11.577765090460145</v>
      </c>
      <c r="AA373" s="384">
        <f t="shared" si="140"/>
        <v>12.557759309392907</v>
      </c>
      <c r="AB373" s="197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7.8038939494544074E-2</v>
      </c>
      <c r="AD373" s="230">
        <f>(INDEX(Models!$BJ373:$BT373,,AH373)*(1-AF373)+INDEX(Models!$BJ373:$BT373,,AH373+1)*AF373-ERP_i)*AE373*Ramure*Pc/MaxiM</f>
        <v>8.6102133687689014E-2</v>
      </c>
      <c r="AE373" s="304">
        <f t="shared" si="142"/>
        <v>0.7</v>
      </c>
      <c r="AF373" s="177">
        <f t="shared" si="143"/>
        <v>0.93460446573062583</v>
      </c>
      <c r="AG373" s="799">
        <f t="shared" si="149"/>
        <v>1</v>
      </c>
      <c r="AH373" s="176">
        <f t="shared" si="144"/>
        <v>7</v>
      </c>
      <c r="AI373" s="224">
        <f t="shared" si="145"/>
        <v>1.9346044657306258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46382</v>
      </c>
      <c r="B374" s="409">
        <f>'2025'!Wh/'2025'!Env_an*'2026'!Env_an</f>
        <v>19.681164134318315</v>
      </c>
      <c r="C374" s="829"/>
      <c r="D374" s="391">
        <f t="shared" si="127"/>
        <v>20.808770754292954</v>
      </c>
      <c r="E374" s="383">
        <f t="shared" si="150"/>
        <v>21.965126350048045</v>
      </c>
      <c r="F374" s="383">
        <f t="shared" si="128"/>
        <v>22.041957603987257</v>
      </c>
      <c r="G374" s="110">
        <f t="shared" si="151"/>
        <v>0.85826264735324231</v>
      </c>
      <c r="H374" s="412" t="b">
        <f>Wh_hp&gt;='2025'!Maxi_hp</f>
        <v>1</v>
      </c>
      <c r="I374" s="388">
        <f>IF(H374,Wh_hp,'2025'!Maxi_hp)</f>
        <v>22.041957603987257</v>
      </c>
      <c r="J374" s="85">
        <f>IF(H374,An,'2025'!An_max)</f>
        <v>2026</v>
      </c>
      <c r="K374" s="197">
        <f t="shared" si="129"/>
        <v>46382</v>
      </c>
      <c r="L374" s="147">
        <f>IF(t&lt;Tvie,1-EXP((T0-t)*PertePVj)+'2025'!Pspv,1-EXP((T0-t)*PertePVj)+Pspv)</f>
        <v>5.4189006803393669E-2</v>
      </c>
      <c r="M374" s="832"/>
      <c r="N374" s="832"/>
      <c r="O374" s="48">
        <f>IF(t&lt;Tnet,'2025'!Resal+('2025'!Salim-'2025'!Resal)*(1-EXP(('2025'!Tnet-t)/('2025'!Tau_j))),Resal+(Salim-Resal)*(1-EXP((Tnet-t)/(Tau_j))))*Salcycl</f>
        <v>5.2645069157663156E-2</v>
      </c>
      <c r="P374" s="169">
        <f>(INDEX(Models!$BJ374:$BT374,,T374)*(1-R374)+INDEX(Models!$BJ374:$BT374,,T374+1)*R374-ERP_i)*Q374*Ramure*Pc/MaxiM</f>
        <v>4.3647375008236192E-3</v>
      </c>
      <c r="Q374" s="304">
        <f t="shared" si="130"/>
        <v>0.7</v>
      </c>
      <c r="R374" s="177">
        <f t="shared" si="131"/>
        <v>0.17894663489127505</v>
      </c>
      <c r="S374" s="799">
        <f t="shared" si="132"/>
        <v>-1</v>
      </c>
      <c r="T374" s="176">
        <f t="shared" si="133"/>
        <v>5</v>
      </c>
      <c r="U374" s="250">
        <f t="shared" si="134"/>
        <v>-0.82105336510872495</v>
      </c>
      <c r="V374" s="382">
        <f t="shared" si="135"/>
        <v>22.911171588771449</v>
      </c>
      <c r="W374" s="400">
        <f t="shared" si="136"/>
        <v>19.681164134318315</v>
      </c>
      <c r="X374" s="157">
        <f t="shared" si="137"/>
        <v>46382</v>
      </c>
      <c r="Y374" s="383">
        <f t="shared" si="138"/>
        <v>17.902505569874382</v>
      </c>
      <c r="Z374" s="383">
        <f t="shared" si="139"/>
        <v>18.928206268113207</v>
      </c>
      <c r="AA374" s="384">
        <f t="shared" si="140"/>
        <v>20.530751321498691</v>
      </c>
      <c r="AB374" s="197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7.8055840640735979E-2</v>
      </c>
      <c r="AD374" s="230">
        <f>(INDEX(Models!$BJ374:$BT374,,AH374)*(1-AF374)+INDEX(Models!$BJ374:$BT374,,AH374+1)*AF374-ERP_i)*AE374*Ramure*Pc/MaxiM</f>
        <v>8.5850723429256454E-2</v>
      </c>
      <c r="AE374" s="304">
        <f t="shared" si="142"/>
        <v>0.7</v>
      </c>
      <c r="AF374" s="177">
        <f t="shared" si="143"/>
        <v>0.93460446573062583</v>
      </c>
      <c r="AG374" s="799">
        <f t="shared" si="149"/>
        <v>1</v>
      </c>
      <c r="AH374" s="176">
        <f t="shared" si="144"/>
        <v>7</v>
      </c>
      <c r="AI374" s="224">
        <f t="shared" si="145"/>
        <v>1.9346044657306258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46383</v>
      </c>
      <c r="B375" s="409">
        <f>'2025'!Wh/'2025'!Env_an*'2026'!Env_an</f>
        <v>6.6639146131786173</v>
      </c>
      <c r="C375" s="829"/>
      <c r="D375" s="391">
        <f t="shared" si="127"/>
        <v>7.0458499382701323</v>
      </c>
      <c r="E375" s="383">
        <f t="shared" si="150"/>
        <v>7.4377734312537021</v>
      </c>
      <c r="F375" s="383">
        <f t="shared" si="128"/>
        <v>7.4377734312537021</v>
      </c>
      <c r="G375" s="110">
        <f t="shared" si="151"/>
        <v>0.28850777557587498</v>
      </c>
      <c r="H375" s="412" t="b">
        <f>Wh_hp&gt;='2025'!Maxi_hp</f>
        <v>0</v>
      </c>
      <c r="I375" s="388">
        <f>IF(H375,Wh_hp,'2025'!Maxi_hp)</f>
        <v>24.49923801757005</v>
      </c>
      <c r="J375" s="85">
        <f>IF(H375,An,'2025'!An_max)</f>
        <v>2018</v>
      </c>
      <c r="K375" s="197">
        <f t="shared" si="129"/>
        <v>46383</v>
      </c>
      <c r="L375" s="147">
        <f>IF(t&lt;Tvie,1-EXP((T0-t)*PertePVj)+'2025'!Pspv,1-EXP((T0-t)*PertePVj)+Pspv)</f>
        <v>5.4207133055304113E-2</v>
      </c>
      <c r="M375" s="832"/>
      <c r="N375" s="832"/>
      <c r="O375" s="48">
        <f>IF(t&lt;Tnet,'2025'!Resal+('2025'!Salim-'2025'!Resal)*(1-EXP(('2025'!Tnet-t)/('2025'!Tau_j))),Resal+(Salim-Resal)*(1-EXP((Tnet-t)/(Tau_j))))*Salcycl</f>
        <v>5.2693658472668402E-2</v>
      </c>
      <c r="P375" s="169">
        <f>(INDEX(Models!$BJ375:$BT375,,T375)*(1-R375)+INDEX(Models!$BJ375:$BT375,,T375+1)*R375-ERP_i)*Q375*Ramure*Pc/MaxiM</f>
        <v>4.3588079935218682E-3</v>
      </c>
      <c r="Q375" s="304">
        <f t="shared" si="130"/>
        <v>0.7</v>
      </c>
      <c r="R375" s="177">
        <f t="shared" si="131"/>
        <v>0.17894663489127505</v>
      </c>
      <c r="S375" s="799">
        <f t="shared" si="132"/>
        <v>-1</v>
      </c>
      <c r="T375" s="176">
        <f t="shared" si="133"/>
        <v>5</v>
      </c>
      <c r="U375" s="250">
        <f t="shared" si="134"/>
        <v>-0.82105336510872495</v>
      </c>
      <c r="V375" s="382">
        <f t="shared" si="135"/>
        <v>22.997189159463872</v>
      </c>
      <c r="W375" s="400">
        <f t="shared" si="136"/>
        <v>6.6639146131786173</v>
      </c>
      <c r="X375" s="157">
        <f t="shared" si="137"/>
        <v>46383</v>
      </c>
      <c r="Y375" s="383">
        <f t="shared" si="138"/>
        <v>6.4853806766910571</v>
      </c>
      <c r="Z375" s="383">
        <f t="shared" si="139"/>
        <v>6.8570835151691645</v>
      </c>
      <c r="AA375" s="384">
        <f t="shared" si="140"/>
        <v>7.4377734312537021</v>
      </c>
      <c r="AB375" s="197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7.8073084835370898E-2</v>
      </c>
      <c r="AD375" s="230">
        <f>(INDEX(Models!$BJ375:$BT375,,AH375)*(1-AF375)+INDEX(Models!$BJ375:$BT375,,AH375+1)*AF375-ERP_i)*AE375*Ramure*Pc/MaxiM</f>
        <v>8.5503671276248611E-2</v>
      </c>
      <c r="AE375" s="304">
        <f t="shared" si="142"/>
        <v>0.7</v>
      </c>
      <c r="AF375" s="177">
        <f t="shared" si="143"/>
        <v>0.93460446573062583</v>
      </c>
      <c r="AG375" s="799">
        <f t="shared" si="149"/>
        <v>1</v>
      </c>
      <c r="AH375" s="176">
        <f t="shared" si="144"/>
        <v>7</v>
      </c>
      <c r="AI375" s="224">
        <f t="shared" si="145"/>
        <v>1.9346044657306258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46384</v>
      </c>
      <c r="B376" s="409">
        <f>'2025'!Wh/'2025'!Env_an*'2026'!Env_an</f>
        <v>21.424197330456263</v>
      </c>
      <c r="C376" s="829"/>
      <c r="D376" s="391">
        <f t="shared" si="127"/>
        <v>22.65253701626008</v>
      </c>
      <c r="E376" s="383">
        <f t="shared" si="150"/>
        <v>23.913808884842496</v>
      </c>
      <c r="F376" s="383">
        <f t="shared" si="128"/>
        <v>24.00746563980147</v>
      </c>
      <c r="G376" s="110">
        <f t="shared" si="151"/>
        <v>0.92705282625497709</v>
      </c>
      <c r="H376" s="412" t="b">
        <f>Wh_hp&gt;='2025'!Maxi_hp</f>
        <v>1</v>
      </c>
      <c r="I376" s="388">
        <f>IF(H376,Wh_hp,'2025'!Maxi_hp)</f>
        <v>24.00746563980147</v>
      </c>
      <c r="J376" s="85">
        <f>IF(H376,An,'2025'!An_max)</f>
        <v>2026</v>
      </c>
      <c r="K376" s="197">
        <f t="shared" si="129"/>
        <v>46384</v>
      </c>
      <c r="L376" s="147">
        <f>IF(t&lt;Tvie,1-EXP((T0-t)*PertePVj)+'2025'!Pspv,1-EXP((T0-t)*PertePVj)+Pspv)</f>
        <v>5.4225258959829103E-2</v>
      </c>
      <c r="M376" s="832"/>
      <c r="N376" s="832"/>
      <c r="O376" s="48">
        <f>IF(t&lt;Tnet,'2025'!Resal+('2025'!Salim-'2025'!Resal)*(1-EXP(('2025'!Tnet-t)/('2025'!Tau_j))),Resal+(Salim-Resal)*(1-EXP((Tnet-t)/(Tau_j))))*Salcycl</f>
        <v>5.2742408148200075E-2</v>
      </c>
      <c r="P376" s="169">
        <f>(INDEX(Models!$BJ376:$BT376,,T376)*(1-R376)+INDEX(Models!$BJ376:$BT376,,T376+1)*R376-ERP_i)*Q376*Ramure*Pc/MaxiM</f>
        <v>4.3520713677789582E-3</v>
      </c>
      <c r="Q376" s="304">
        <f t="shared" si="130"/>
        <v>0.7</v>
      </c>
      <c r="R376" s="177">
        <f t="shared" si="131"/>
        <v>0.17894663489127505</v>
      </c>
      <c r="S376" s="799">
        <f t="shared" si="132"/>
        <v>-1</v>
      </c>
      <c r="T376" s="176">
        <f t="shared" si="133"/>
        <v>5</v>
      </c>
      <c r="U376" s="250">
        <f t="shared" si="134"/>
        <v>-0.82105336510872495</v>
      </c>
      <c r="V376" s="382">
        <f t="shared" si="135"/>
        <v>23.099545449468209</v>
      </c>
      <c r="W376" s="400">
        <f t="shared" si="136"/>
        <v>21.424197330456263</v>
      </c>
      <c r="X376" s="157">
        <f t="shared" si="137"/>
        <v>46384</v>
      </c>
      <c r="Y376" s="383">
        <f t="shared" si="138"/>
        <v>19.336411587698727</v>
      </c>
      <c r="Z376" s="383">
        <f t="shared" si="139"/>
        <v>20.445049702249801</v>
      </c>
      <c r="AA376" s="384">
        <f t="shared" si="140"/>
        <v>22.17685439318052</v>
      </c>
      <c r="AB376" s="197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7.8090637212428773E-2</v>
      </c>
      <c r="AD376" s="230">
        <f>(INDEX(Models!$BJ376:$BT376,,AH376)*(1-AF376)+INDEX(Models!$BJ376:$BT376,,AH376+1)*AF376-ERP_i)*AE376*Ramure*Pc/MaxiM</f>
        <v>8.5065415681366607E-2</v>
      </c>
      <c r="AE376" s="304">
        <f t="shared" si="142"/>
        <v>0.7</v>
      </c>
      <c r="AF376" s="177">
        <f t="shared" si="143"/>
        <v>0.93460446573062583</v>
      </c>
      <c r="AG376" s="799">
        <f t="shared" si="149"/>
        <v>1</v>
      </c>
      <c r="AH376" s="176">
        <f t="shared" si="144"/>
        <v>7</v>
      </c>
      <c r="AI376" s="224">
        <f t="shared" si="145"/>
        <v>1.9346044657306258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46385</v>
      </c>
      <c r="B377" s="409">
        <f>'2025'!Wh/'2025'!Env_an*'2026'!Env_an</f>
        <v>10.90086820838239</v>
      </c>
      <c r="C377" s="829"/>
      <c r="D377" s="391">
        <f t="shared" si="127"/>
        <v>11.526081900907462</v>
      </c>
      <c r="E377" s="383">
        <f t="shared" si="150"/>
        <v>12.168471278462707</v>
      </c>
      <c r="F377" s="383">
        <f t="shared" si="128"/>
        <v>12.181287971920595</v>
      </c>
      <c r="G377" s="110">
        <f t="shared" si="151"/>
        <v>0.46797084744159401</v>
      </c>
      <c r="H377" s="412" t="b">
        <f>Wh_hp&gt;='2025'!Maxi_hp</f>
        <v>0</v>
      </c>
      <c r="I377" s="388">
        <f>IF(H377,Wh_hp,'2025'!Maxi_hp)</f>
        <v>25.350843824112598</v>
      </c>
      <c r="J377" s="85">
        <f>IF(H377,An,'2025'!An_max)</f>
        <v>2018</v>
      </c>
      <c r="K377" s="197">
        <f t="shared" si="129"/>
        <v>46385</v>
      </c>
      <c r="L377" s="147">
        <f>IF(t&lt;Tvie,1-EXP((T0-t)*PertePVj)+'2025'!Pspv,1-EXP((T0-t)*PertePVj)+Pspv)</f>
        <v>5.424338451697519E-2</v>
      </c>
      <c r="M377" s="832"/>
      <c r="N377" s="832"/>
      <c r="O377" s="48">
        <f>IF(t&lt;Tnet,'2025'!Resal+('2025'!Salim-'2025'!Resal)*(1-EXP(('2025'!Tnet-t)/('2025'!Tau_j))),Resal+(Salim-Resal)*(1-EXP((Tnet-t)/(Tau_j))))*Salcycl</f>
        <v>5.2791296692480005E-2</v>
      </c>
      <c r="P377" s="169">
        <f>(INDEX(Models!$BJ377:$BT377,,T377)*(1-R377)+INDEX(Models!$BJ377:$BT377,,T377+1)*R377-ERP_i)*Q377*Ramure*Pc/MaxiM</f>
        <v>4.3447418411470895E-3</v>
      </c>
      <c r="Q377" s="304">
        <f t="shared" si="130"/>
        <v>0.7</v>
      </c>
      <c r="R377" s="177">
        <f t="shared" si="131"/>
        <v>0.17894663489127505</v>
      </c>
      <c r="S377" s="799">
        <f t="shared" si="132"/>
        <v>-1</v>
      </c>
      <c r="T377" s="176">
        <f t="shared" si="133"/>
        <v>5</v>
      </c>
      <c r="U377" s="250">
        <f t="shared" si="134"/>
        <v>-0.82105336510872495</v>
      </c>
      <c r="V377" s="382">
        <f t="shared" si="135"/>
        <v>23.217126642625214</v>
      </c>
      <c r="W377" s="400">
        <f t="shared" si="136"/>
        <v>10.90086820838239</v>
      </c>
      <c r="X377" s="157">
        <f t="shared" si="137"/>
        <v>46385</v>
      </c>
      <c r="Y377" s="383">
        <f t="shared" si="138"/>
        <v>10.403241044740628</v>
      </c>
      <c r="Z377" s="383">
        <f t="shared" si="139"/>
        <v>10.999913587099147</v>
      </c>
      <c r="AA377" s="384">
        <f t="shared" si="140"/>
        <v>11.931895642438967</v>
      </c>
      <c r="AB377" s="197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7.8108465181758416E-2</v>
      </c>
      <c r="AD377" s="230">
        <f>(INDEX(Models!$BJ377:$BT377,,AH377)*(1-AF377)+INDEX(Models!$BJ377:$BT377,,AH377+1)*AF377-ERP_i)*AE377*Ramure*Pc/MaxiM</f>
        <v>8.4541718370669899E-2</v>
      </c>
      <c r="AE377" s="304">
        <f t="shared" si="142"/>
        <v>0.7</v>
      </c>
      <c r="AF377" s="177">
        <f t="shared" si="143"/>
        <v>0.93460446573062583</v>
      </c>
      <c r="AG377" s="799">
        <f t="shared" si="149"/>
        <v>1</v>
      </c>
      <c r="AH377" s="176">
        <f t="shared" si="144"/>
        <v>7</v>
      </c>
      <c r="AI377" s="224">
        <f t="shared" si="145"/>
        <v>1.9346044657306258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46386</v>
      </c>
      <c r="B378" s="409">
        <f>'2025'!Wh/'2025'!Env_an*'2026'!Env_an</f>
        <v>14.877523869349574</v>
      </c>
      <c r="C378" s="829"/>
      <c r="D378" s="391">
        <f t="shared" si="127"/>
        <v>15.731118086407832</v>
      </c>
      <c r="E378" s="383">
        <f t="shared" si="150"/>
        <v>16.608728343482476</v>
      </c>
      <c r="F378" s="383">
        <f t="shared" si="128"/>
        <v>16.643498589149985</v>
      </c>
      <c r="G378" s="110">
        <f t="shared" si="151"/>
        <v>0.63574994387185146</v>
      </c>
      <c r="H378" s="412" t="b">
        <f>Wh_hp&gt;='2025'!Maxi_hp</f>
        <v>0</v>
      </c>
      <c r="I378" s="388">
        <f>IF(H378,Wh_hp,'2025'!Maxi_hp)</f>
        <v>26.258304943114872</v>
      </c>
      <c r="J378" s="85">
        <f>IF(H378,An,'2025'!An_max)</f>
        <v>2018</v>
      </c>
      <c r="K378" s="197">
        <f t="shared" si="129"/>
        <v>46386</v>
      </c>
      <c r="L378" s="147">
        <f>IF(t&lt;Tvie,1-EXP((T0-t)*PertePVj)+'2025'!Pspv,1-EXP((T0-t)*PertePVj)+Pspv)</f>
        <v>5.4261509726749146E-2</v>
      </c>
      <c r="M378" s="832"/>
      <c r="N378" s="832"/>
      <c r="O378" s="48">
        <f>IF(t&lt;Tnet,'2025'!Resal+('2025'!Salim-'2025'!Resal)*(1-EXP(('2025'!Tnet-t)/('2025'!Tau_j))),Resal+(Salim-Resal)*(1-EXP((Tnet-t)/(Tau_j))))*Salcycl</f>
        <v>5.2840304141589002E-2</v>
      </c>
      <c r="P378" s="169">
        <f>(INDEX(Models!$BJ378:$BT378,,T378)*(1-R378)+INDEX(Models!$BJ378:$BT378,,T378+1)*R378-ERP_i)*Q378*Ramure*Pc/MaxiM</f>
        <v>4.337031431041926E-3</v>
      </c>
      <c r="Q378" s="304">
        <f t="shared" si="130"/>
        <v>0.7</v>
      </c>
      <c r="R378" s="177">
        <f t="shared" si="131"/>
        <v>0.17894663489127505</v>
      </c>
      <c r="S378" s="799">
        <f t="shared" si="132"/>
        <v>-1</v>
      </c>
      <c r="T378" s="176">
        <f t="shared" si="133"/>
        <v>5</v>
      </c>
      <c r="U378" s="250">
        <f t="shared" si="134"/>
        <v>-0.82105336510872495</v>
      </c>
      <c r="V378" s="382">
        <f t="shared" si="135"/>
        <v>23.348819178112283</v>
      </c>
      <c r="W378" s="400">
        <f t="shared" si="136"/>
        <v>14.877523869349574</v>
      </c>
      <c r="X378" s="157">
        <f t="shared" si="137"/>
        <v>46386</v>
      </c>
      <c r="Y378" s="383">
        <f t="shared" si="138"/>
        <v>13.923950987861422</v>
      </c>
      <c r="Z378" s="383">
        <f t="shared" si="139"/>
        <v>14.722834198953239</v>
      </c>
      <c r="AA378" s="384">
        <f t="shared" si="140"/>
        <v>15.970558665488863</v>
      </c>
      <c r="AB378" s="197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7.8126538505622817E-2</v>
      </c>
      <c r="AD378" s="230">
        <f>(INDEX(Models!$BJ378:$BT378,,AH378)*(1-AF378)+INDEX(Models!$BJ378:$BT378,,AH378+1)*AF378-ERP_i)*AE378*Ramure*Pc/MaxiM</f>
        <v>8.3938480850262856E-2</v>
      </c>
      <c r="AE378" s="304">
        <f t="shared" si="142"/>
        <v>0.7</v>
      </c>
      <c r="AF378" s="177">
        <f t="shared" si="143"/>
        <v>0.93460446573062583</v>
      </c>
      <c r="AG378" s="799">
        <f t="shared" si="149"/>
        <v>1</v>
      </c>
      <c r="AH378" s="176">
        <f t="shared" si="144"/>
        <v>7</v>
      </c>
      <c r="AI378" s="224">
        <f t="shared" si="145"/>
        <v>1.9346044657306258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46387</v>
      </c>
      <c r="B379" s="409">
        <f>'2025'!Wh/'2025'!Env_an*'2026'!Env_an</f>
        <v>12.807623180751841</v>
      </c>
      <c r="C379" s="829"/>
      <c r="D379" s="391">
        <f t="shared" si="127"/>
        <v>13.542716905739805</v>
      </c>
      <c r="E379" s="383">
        <f t="shared" si="150"/>
        <v>14.298981638234409</v>
      </c>
      <c r="F379" s="383">
        <f t="shared" si="128"/>
        <v>14.320694180709307</v>
      </c>
      <c r="G379" s="110">
        <f t="shared" si="151"/>
        <v>0.54361996076327457</v>
      </c>
      <c r="H379" s="412" t="b">
        <f>Wh_hp&gt;='2025'!Maxi_hp</f>
        <v>0</v>
      </c>
      <c r="I379" s="388">
        <f>IF(H379,Wh_hp,'2025'!Maxi_hp)</f>
        <v>25.860373589041732</v>
      </c>
      <c r="J379" s="85">
        <f>IF(H379,An,'2025'!An_max)</f>
        <v>2021</v>
      </c>
      <c r="K379" s="197">
        <f t="shared" si="129"/>
        <v>46387</v>
      </c>
      <c r="L379" s="147">
        <f>IF(t&lt;Tvie,1-EXP((T0-t)*PertePVj)+'2025'!Pspv,1-EXP((T0-t)*PertePVj)+Pspv)</f>
        <v>5.4279634589157633E-2</v>
      </c>
      <c r="M379" s="832"/>
      <c r="N379" s="832"/>
      <c r="O379" s="48">
        <f>IF(t&lt;Tnet,'2025'!Resal+('2025'!Salim-'2025'!Resal)*(1-EXP(('2025'!Tnet-t)/('2025'!Tau_j))),Resal+(Salim-Resal)*(1-EXP((Tnet-t)/(Tau_j))))*Salcycl</f>
        <v>5.2889412101377084E-2</v>
      </c>
      <c r="P379" s="169">
        <f>(INDEX(Models!$BJ379:$BT379,,T379)*(1-R379)+INDEX(Models!$BJ379:$BT379,,T379+1)*R379-ERP_i)*Q379*Ramure*Pc/MaxiM</f>
        <v>4.3291483896708031E-3</v>
      </c>
      <c r="Q379" s="305">
        <f t="shared" si="130"/>
        <v>0.7</v>
      </c>
      <c r="R379" s="177">
        <f t="shared" si="131"/>
        <v>0.17894663489127505</v>
      </c>
      <c r="S379" s="799">
        <f t="shared" si="132"/>
        <v>-1</v>
      </c>
      <c r="T379" s="176">
        <f t="shared" si="133"/>
        <v>5</v>
      </c>
      <c r="U379" s="306">
        <f t="shared" si="134"/>
        <v>-0.82105336510872495</v>
      </c>
      <c r="V379" s="382">
        <f t="shared" si="135"/>
        <v>23.493509751165735</v>
      </c>
      <c r="W379" s="400">
        <f t="shared" si="136"/>
        <v>12.807623180751841</v>
      </c>
      <c r="X379" s="157">
        <f t="shared" si="137"/>
        <v>46387</v>
      </c>
      <c r="Y379" s="383">
        <f t="shared" si="138"/>
        <v>12.120962781449407</v>
      </c>
      <c r="Z379" s="383">
        <f t="shared" si="139"/>
        <v>12.816645622497287</v>
      </c>
      <c r="AA379" s="384">
        <f t="shared" si="140"/>
        <v>13.903101084185243</v>
      </c>
      <c r="AB379" s="197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7.8144829352049958E-2</v>
      </c>
      <c r="AD379" s="230">
        <f>(INDEX(Models!$BJ379:$BT379,,AH379)*(1-AF379)+INDEX(Models!$BJ379:$BT379,,AH379+1)*AF379-ERP_i)*AE379*Ramure*Pc/MaxiM</f>
        <v>8.3261667003983006E-2</v>
      </c>
      <c r="AE379" s="305">
        <f t="shared" si="142"/>
        <v>0.7</v>
      </c>
      <c r="AF379" s="177">
        <f t="shared" si="143"/>
        <v>0.93460446573062583</v>
      </c>
      <c r="AG379" s="799">
        <f t="shared" si="149"/>
        <v>1</v>
      </c>
      <c r="AH379" s="176">
        <f t="shared" si="144"/>
        <v>7</v>
      </c>
      <c r="AI379" s="221">
        <f t="shared" si="145"/>
        <v>1.9346044657306258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Wh_hp&gt;='2025'!Maxi_hp</f>
        <v>0</v>
      </c>
      <c r="I380" s="388">
        <f>IF(H380,Wh_hp,'2025'!Maxi_hp)</f>
        <v>16.92839300504739</v>
      </c>
      <c r="J380" s="85">
        <f>IF(H380,An,'2025'!An_max)</f>
        <v>2024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1.3290277181879573</v>
      </c>
      <c r="C381" s="374"/>
      <c r="D381" s="372">
        <f>MIN(D15:D380)</f>
        <v>1.3957786438314577</v>
      </c>
      <c r="E381" s="372">
        <f>MIN(E15:E380)</f>
        <v>1.43925765406989</v>
      </c>
      <c r="F381" s="373">
        <f>MIN(F15:F380)</f>
        <v>1.43925765406989</v>
      </c>
      <c r="G381" s="125">
        <f>+MIN(G15:G380)</f>
        <v>5.0436092546249166E-2</v>
      </c>
      <c r="H381" s="94"/>
      <c r="I381" s="373">
        <f>MIN(I15:I380)</f>
        <v>10.317764311390514</v>
      </c>
      <c r="J381" s="57">
        <f>MIN(J15:J380)</f>
        <v>2018</v>
      </c>
      <c r="K381" s="200" t="s">
        <v>7</v>
      </c>
      <c r="L381" s="146">
        <f t="shared" ref="L381:T381" si="152">MIN(L15:L380)</f>
        <v>4.7659182458928306E-2</v>
      </c>
      <c r="M381" s="833"/>
      <c r="N381" s="833"/>
      <c r="O381" s="47">
        <f t="shared" si="152"/>
        <v>2.9511734569786206E-2</v>
      </c>
      <c r="P381" s="168">
        <f t="shared" si="152"/>
        <v>0</v>
      </c>
      <c r="Q381" s="309">
        <f t="shared" si="152"/>
        <v>0.7</v>
      </c>
      <c r="R381" s="310">
        <f t="shared" si="152"/>
        <v>3.310103195085734E-3</v>
      </c>
      <c r="S381" s="799">
        <f t="shared" si="152"/>
        <v>-2</v>
      </c>
      <c r="T381" s="176">
        <f t="shared" si="152"/>
        <v>4</v>
      </c>
      <c r="U381" s="251">
        <f>MIN(U15:U380)</f>
        <v>-1.2010628157667154</v>
      </c>
      <c r="V381" s="57">
        <f>MIN(V15:V380)</f>
        <v>22.748079702330799</v>
      </c>
      <c r="W381" s="58"/>
      <c r="X381" s="112" t="s">
        <v>7</v>
      </c>
      <c r="Y381" s="372">
        <f>MIN(Y15:Y380)</f>
        <v>1.2765359843314328</v>
      </c>
      <c r="Z381" s="372">
        <f>MIN(Z15:Z380)</f>
        <v>1.3406504925581975</v>
      </c>
      <c r="AA381" s="372">
        <f>MIN(AA15:AA380)</f>
        <v>1.43925765406989</v>
      </c>
      <c r="AB381" s="200" t="s">
        <v>7</v>
      </c>
      <c r="AC381" s="47">
        <f t="shared" ref="AC381:AH381" si="153">MIN(AC15:AC380)</f>
        <v>6.8233251586122021E-2</v>
      </c>
      <c r="AD381" s="168">
        <f t="shared" si="153"/>
        <v>6.485338838603449E-4</v>
      </c>
      <c r="AE381" s="309">
        <f t="shared" si="153"/>
        <v>0.7</v>
      </c>
      <c r="AF381" s="310">
        <f t="shared" si="153"/>
        <v>0.55459501507263553</v>
      </c>
      <c r="AG381" s="799">
        <f t="shared" si="153"/>
        <v>1</v>
      </c>
      <c r="AH381" s="176">
        <f t="shared" si="153"/>
        <v>7</v>
      </c>
      <c r="AI381" s="225">
        <f>MIN(AI15:AI380)</f>
        <v>1.5545950150726355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30.131694925593553</v>
      </c>
      <c r="C382" s="374"/>
      <c r="D382" s="374">
        <f>AVERAGE(D15:D380)</f>
        <v>31.74768393269985</v>
      </c>
      <c r="E382" s="374">
        <f>AVERAGE(E15:E380)</f>
        <v>33.178784340464929</v>
      </c>
      <c r="F382" s="375">
        <f>AVERAGE(F15:F380)</f>
        <v>33.303861096058512</v>
      </c>
      <c r="G382" s="126">
        <f>AVERAGE(G15:G380)</f>
        <v>0.6875436068229589</v>
      </c>
      <c r="H382" s="94"/>
      <c r="I382" s="375">
        <f>AVERAGE(I15:I380)</f>
        <v>43.499101450173733</v>
      </c>
      <c r="J382" s="59">
        <f>AVERAGE(J15:J380)</f>
        <v>2021.3251366120219</v>
      </c>
      <c r="K382" s="200" t="s">
        <v>8</v>
      </c>
      <c r="L382" s="147">
        <f t="shared" ref="L382:V382" si="154">AVERAGE(L15:L380)</f>
        <v>5.0973246661213473E-2</v>
      </c>
      <c r="M382" s="832"/>
      <c r="N382" s="832"/>
      <c r="O382" s="48">
        <f t="shared" si="154"/>
        <v>4.2983893302623893E-2</v>
      </c>
      <c r="P382" s="169">
        <f t="shared" si="154"/>
        <v>8.7574602552014554E-3</v>
      </c>
      <c r="Q382" s="311">
        <f t="shared" si="154"/>
        <v>0.69999999999999529</v>
      </c>
      <c r="R382" s="177">
        <f t="shared" si="154"/>
        <v>0.39806972802830037</v>
      </c>
      <c r="S382" s="799">
        <f t="shared" si="154"/>
        <v>-0.72328767123287674</v>
      </c>
      <c r="T382" s="176">
        <f t="shared" si="154"/>
        <v>5.2767123287671236</v>
      </c>
      <c r="U382" s="250">
        <f>AVERAGE(U15:U380)</f>
        <v>-0.32521794320457642</v>
      </c>
      <c r="V382" s="59">
        <f t="shared" si="154"/>
        <v>42.507199062520101</v>
      </c>
      <c r="X382" s="112" t="s">
        <v>8</v>
      </c>
      <c r="Y382" s="374">
        <f>AVERAGE(Y15:Y380)</f>
        <v>28.905842693261789</v>
      </c>
      <c r="Z382" s="374">
        <f>AVERAGE(Z15:Z380)</f>
        <v>30.455828395292354</v>
      </c>
      <c r="AA382" s="374">
        <f>AVERAGE(AA15:AA380)</f>
        <v>32.942856913042675</v>
      </c>
      <c r="AB382" s="200" t="s">
        <v>8</v>
      </c>
      <c r="AC382" s="48">
        <f t="shared" ref="AC382:AH382" si="155">AVERAGE(AC15:AC380)</f>
        <v>7.5134729616269408E-2</v>
      </c>
      <c r="AD382" s="169">
        <f t="shared" si="155"/>
        <v>2.5506950786299356E-2</v>
      </c>
      <c r="AE382" s="311">
        <f t="shared" si="155"/>
        <v>0.69999999999999529</v>
      </c>
      <c r="AF382" s="177">
        <f t="shared" si="155"/>
        <v>0.7741988488304522</v>
      </c>
      <c r="AG382" s="799">
        <f t="shared" si="155"/>
        <v>1</v>
      </c>
      <c r="AH382" s="176">
        <f t="shared" si="155"/>
        <v>7</v>
      </c>
      <c r="AI382" s="224">
        <f>AVERAGE(AI15:AI380)</f>
        <v>1.7741988488304552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57.809396843739712</v>
      </c>
      <c r="C383" s="376"/>
      <c r="D383" s="376">
        <f>MAX(D15:D380)</f>
        <v>60.874846367986045</v>
      </c>
      <c r="E383" s="376">
        <f>MAX(E15:E380)</f>
        <v>63.505115884346175</v>
      </c>
      <c r="F383" s="377">
        <f>MAX(F15:F380)</f>
        <v>63.505407005756886</v>
      </c>
      <c r="G383" s="127">
        <f>+MAX(G15:G380)</f>
        <v>1.0482441826576603</v>
      </c>
      <c r="H383" s="94"/>
      <c r="I383" s="377">
        <f>MAX(I15:I380)</f>
        <v>64.215122991320413</v>
      </c>
      <c r="J383" s="60">
        <f>MAX(J15:J380)</f>
        <v>2026</v>
      </c>
      <c r="K383" s="200" t="s">
        <v>9</v>
      </c>
      <c r="L383" s="148">
        <f t="shared" ref="L383:T383" si="156">MAX(L15:L380)</f>
        <v>5.4279634589157633E-2</v>
      </c>
      <c r="M383" s="834"/>
      <c r="N383" s="834"/>
      <c r="O383" s="49">
        <f t="shared" si="156"/>
        <v>5.2889412101377084E-2</v>
      </c>
      <c r="P383" s="170">
        <f t="shared" si="156"/>
        <v>6.4729917006849297E-2</v>
      </c>
      <c r="Q383" s="312">
        <f t="shared" si="156"/>
        <v>0.7</v>
      </c>
      <c r="R383" s="313">
        <f t="shared" si="156"/>
        <v>0.99924570249886835</v>
      </c>
      <c r="S383" s="800">
        <f t="shared" si="156"/>
        <v>1</v>
      </c>
      <c r="T383" s="232">
        <f t="shared" si="156"/>
        <v>7</v>
      </c>
      <c r="U383" s="252">
        <f>MAX(U15:U380)</f>
        <v>1.5538085154857042</v>
      </c>
      <c r="V383" s="60">
        <f>MAX(V15:V380)</f>
        <v>56.469111573521097</v>
      </c>
      <c r="X383" s="112" t="s">
        <v>9</v>
      </c>
      <c r="Y383" s="376">
        <f>MAX(Y15:Y380)</f>
        <v>55.718442325905094</v>
      </c>
      <c r="Z383" s="376">
        <f>MAX(Z15:Z380)</f>
        <v>58.673015143562658</v>
      </c>
      <c r="AA383" s="376">
        <f>MAX(AA15:AA380)</f>
        <v>63.424935231615763</v>
      </c>
      <c r="AB383" s="200" t="s">
        <v>9</v>
      </c>
      <c r="AC383" s="49">
        <f t="shared" ref="AC383:AH383" si="157">MAX(AC15:AC380)</f>
        <v>7.9158202942606712E-2</v>
      </c>
      <c r="AD383" s="170">
        <f t="shared" si="157"/>
        <v>8.6493603207018321E-2</v>
      </c>
      <c r="AE383" s="312">
        <f t="shared" si="157"/>
        <v>0.7</v>
      </c>
      <c r="AF383" s="313">
        <f t="shared" si="157"/>
        <v>0.93460446573062583</v>
      </c>
      <c r="AG383" s="800">
        <f t="shared" si="157"/>
        <v>1</v>
      </c>
      <c r="AH383" s="232">
        <f t="shared" si="157"/>
        <v>7</v>
      </c>
      <c r="AI383" s="226">
        <f>MAX(AI15:AI380)</f>
        <v>1.9346044657306258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5" priority="3" stopIfTrue="1" operator="lessThan">
      <formula>0.01</formula>
    </cfRule>
    <cfRule type="cellIs" dxfId="4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A380" sqref="A380:G380"/>
      <selection pane="topRight" activeCell="A380" sqref="A380:G380"/>
      <selection pane="bottomLeft" activeCell="A380" sqref="A380:G380"/>
      <selection pane="bottomRight" activeCell="V380" sqref="V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3">
        <f>'2026'!An+1</f>
        <v>2027</v>
      </c>
      <c r="K1" s="1274"/>
      <c r="L1" s="113" t="str">
        <f>"Calcul pertes et enveloppes en "&amp;TEXT(An,0)</f>
        <v>Calcul pertes et enveloppes en 2027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2027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3">
        <f>Tmaj</f>
        <v>44926</v>
      </c>
      <c r="F3" s="1283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165</v>
      </c>
      <c r="V3" s="622">
        <f>Salim_i</f>
        <v>0.08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67.280951630299711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4" t="str">
        <f>Station</f>
        <v>Noueilles salle des fêtes</v>
      </c>
      <c r="F4" s="1215"/>
      <c r="G4" s="1215"/>
      <c r="H4" s="1215"/>
      <c r="I4" s="1216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0.8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395.87526319743245</v>
      </c>
      <c r="AK4" s="822">
        <f>AM12-AK12</f>
        <v>128.42458774110102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4">
        <f>T0</f>
        <v>43475</v>
      </c>
      <c r="F5" s="1284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463.31533831056186</v>
      </c>
      <c r="AA5" s="236">
        <f>Wh_Pvg_s-Wh_Pvg</f>
        <v>128.42458774110102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2874.7935568610451</v>
      </c>
      <c r="AK5" s="514">
        <f>SUMIF(AK15:AK380,"VRAI",Wh)</f>
        <v>0</v>
      </c>
      <c r="AL5" s="514">
        <f>SUMIF(AJ15:AJ380,"VRAI",Wh_s)</f>
        <v>2758.4265273683468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5">
        <f>Tservice</f>
        <v>43522</v>
      </c>
      <c r="F6" s="1285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8265.11702867245</v>
      </c>
      <c r="AK6" s="514">
        <f>SUMIF(AK15:AK380,"FAUX",Wh)</f>
        <v>11139.910585533496</v>
      </c>
      <c r="AL6" s="514">
        <f>SUMIF(AJ15:AJ380,"FAUX",Wh_s)</f>
        <v>7779.782186707168</v>
      </c>
      <c r="AM6" s="514">
        <f>SUMIF(AK15:AK380,"FAUX",Wh_s)</f>
        <v>10538.208714075527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AND(YEAR(Tnet)=An,Resal_2027="I")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3043.7687956107211</v>
      </c>
      <c r="AK7" s="514">
        <f>SUMIF(AK15:AK380,"VRAI",Wh_sa)</f>
        <v>0</v>
      </c>
      <c r="AL7" s="514">
        <f>SUMIF(AJ15:AJ380,"VRAI",Wh_pvt_s)</f>
        <v>2920.5899947141725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AND(YEAR(Tnet)=An,Resal_2027&lt;&gt;"I")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1" t="s">
        <v>102</v>
      </c>
      <c r="Y8" s="1272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8776.1306283135182</v>
      </c>
      <c r="AK8" s="514">
        <f>SUMIF(AK15:AK380,"FAUX",Wh_sa)</f>
        <v>12155.075891868464</v>
      </c>
      <c r="AL8" s="514">
        <f>SUMIF(AJ15:AJ380,"FAUX",Wh_pvt_s)</f>
        <v>8260.7007146569522</v>
      </c>
      <c r="AM8" s="514">
        <f>SUMIF(AK15:AK380,"FAUX",Wh_sa_s)</f>
        <v>12008.050447681768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11819.899423924237</v>
      </c>
      <c r="E9" s="184">
        <f>SUM(E$15:E$380)</f>
        <v>12155.075891868464</v>
      </c>
      <c r="F9" s="184">
        <f>SUM(F$15:F$380)</f>
        <v>12170.614601993953</v>
      </c>
      <c r="H9" s="1275">
        <f>+SUM(Wh)</f>
        <v>11139.910585533496</v>
      </c>
      <c r="I9" s="1276"/>
      <c r="J9" s="1277"/>
      <c r="K9" s="191"/>
      <c r="L9" s="231"/>
      <c r="M9" s="231"/>
      <c r="N9" s="231"/>
      <c r="O9" s="222">
        <f>Tnet_2027</f>
        <v>46507</v>
      </c>
      <c r="P9" s="243" t="s">
        <v>91</v>
      </c>
      <c r="Q9" s="244"/>
      <c r="R9" s="244"/>
      <c r="S9" s="244"/>
      <c r="T9" s="244"/>
      <c r="U9" s="245"/>
      <c r="V9" s="460"/>
      <c r="W9" s="519"/>
      <c r="X9" s="1269">
        <f>+SUM(Wh_s)</f>
        <v>10538.208714075527</v>
      </c>
      <c r="Y9" s="1270"/>
      <c r="Z9" s="514">
        <f>SUM(Z$15:Z$380)</f>
        <v>11181.290709371115</v>
      </c>
      <c r="AA9" s="514">
        <f>SUM(AA$15:AA$380)</f>
        <v>12008.050447681768</v>
      </c>
      <c r="AB9" s="514">
        <f>F9</f>
        <v>12170.614601993953</v>
      </c>
      <c r="AC9" s="324">
        <f>IF(An_Tnet,Tnet,'2026'!Tnet_s)</f>
        <v>46507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3225.4200010057398</v>
      </c>
      <c r="AK9" s="514">
        <f>SUMIF(AK15:AK380,"VRAI",Wh_hp)</f>
        <v>0</v>
      </c>
      <c r="AL9" s="514">
        <f>SUMIF(AJ15:AJ380,"VRAI",Wh_sa_s)</f>
        <v>3173.4792370726673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IF(Inflex,'2026'!Resal+('2026'!Salim-'2026'!Resal)*(1-EXP(-(Tnet-'2026'!Tnet)/('2026'!Tau_j))),IF(An_Tnet,Resal_2027,'2026'!Resal))</f>
        <v>7.0000000000000001E-3</v>
      </c>
      <c r="P10" s="419" t="b">
        <f>NOT(Acti_tai)</f>
        <v>1</v>
      </c>
      <c r="Q10" s="256">
        <f>IF(Acti_tai,'2026'!PousD,Dens-Dd)</f>
        <v>0</v>
      </c>
      <c r="R10" s="273"/>
      <c r="S10" s="274"/>
      <c r="T10" s="275"/>
      <c r="U10" s="265">
        <f>IF(Acti_tai,'2026'!PousH,Hdtf-Hdd)</f>
        <v>0.4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IF(OR(Inflex,GainD),'2026'!Resal_s+('2026'!Salim-'2026'!Resal_s)*(1-EXP(('2026'!Tnet_s-Tnet)/('2026'!Tau_j))),IF(Acti_net,'2026'!Resal+('2026'!Salim-'2026'!Resal)*(1-EXP(('2026'!Tnet-Tnet)/'2026'!Tau_j)),'2026'!Resal_s))</f>
        <v>5.8614568170966823E-2</v>
      </c>
      <c r="AD10" s="426"/>
      <c r="AE10" s="426"/>
      <c r="AF10" s="259"/>
      <c r="AG10" s="260"/>
      <c r="AH10" s="261"/>
      <c r="AI10" s="471"/>
      <c r="AJ10" s="514">
        <f>SUMIF(AJ15:AJ380,"FAUX",Wh_sa)</f>
        <v>8929.6558908627194</v>
      </c>
      <c r="AK10" s="514">
        <f>SUMIF(AK15:AK380,"FAUX",Wh_hp)</f>
        <v>12170.614601993953</v>
      </c>
      <c r="AL10" s="514">
        <f>SUMIF(AJ15:AJ380,"FAUX",Wh_sa_s)</f>
        <v>8834.5712106090959</v>
      </c>
      <c r="AM10" s="514">
        <f>SUMIF(AK15:AK380,"FAUX",Wh_hp)</f>
        <v>12170.614601993953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679.98883839074006</v>
      </c>
      <c r="E11" s="51">
        <f>(E$9-D$9)*Prod_an/D$9</f>
        <v>315.89404861737705</v>
      </c>
      <c r="F11" s="186">
        <f>(F$9-E$9)*Prod_an/E$9</f>
        <v>14.240951101611307</v>
      </c>
      <c r="G11" s="185" t="s">
        <v>6</v>
      </c>
      <c r="K11" s="194"/>
      <c r="L11" s="211">
        <f>Tvie_2027</f>
        <v>43475</v>
      </c>
      <c r="M11" s="831"/>
      <c r="N11" s="831"/>
      <c r="O11" s="202">
        <f>IF(An_Tnet,Salim_2027,'2026'!Salim)</f>
        <v>9.6666666666666679E-2</v>
      </c>
      <c r="P11" s="255">
        <f>Ttai_2027</f>
        <v>46112</v>
      </c>
      <c r="Q11" s="271">
        <f>Dens_2027</f>
        <v>0.7</v>
      </c>
      <c r="R11" s="276"/>
      <c r="S11" s="229"/>
      <c r="T11" s="229"/>
      <c r="U11" s="265">
        <f>Htf_2027</f>
        <v>-0.42105336510872493</v>
      </c>
      <c r="V11" s="426"/>
      <c r="W11" s="517"/>
      <c r="X11" s="524" t="s">
        <v>43</v>
      </c>
      <c r="Y11" s="50">
        <f>Z$9-Prod_an_s</f>
        <v>643.08199529558806</v>
      </c>
      <c r="Z11" s="51">
        <f>(AA$9-Z$9)*Prod_an_s/Z$9</f>
        <v>779.20938692793891</v>
      </c>
      <c r="AA11" s="186">
        <f>(AB$9-AA$9)*Prod_an_s/AA$9</f>
        <v>142.66553884271232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171.5668140164577</v>
      </c>
      <c r="AK11" s="822">
        <f>IF($AK7=0,0,($AK9-$AK7)*$AK5/$AK7)</f>
        <v>0</v>
      </c>
      <c r="AL11" s="821">
        <f>IF($AL7=0,0,($AL9-$AL7)*$AL5/$AL7)</f>
        <v>238.84776564675741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4.8244182657660062E-2</v>
      </c>
      <c r="K12" s="191"/>
      <c r="L12" s="212">
        <f>Pspv_2027</f>
        <v>0</v>
      </c>
      <c r="M12" s="212"/>
      <c r="N12" s="212"/>
      <c r="O12" s="205">
        <f>IF(An_Tnet,Tau_2027*365,'2026'!Tau_j)</f>
        <v>851.66666666666674</v>
      </c>
      <c r="P12" s="280">
        <f>INDEX(Croivg,MIN(MAX(Ttai-$A$15,0)+1,366))</f>
        <v>2.3909964587625958E-6</v>
      </c>
      <c r="Q12" s="279">
        <f>'2026'!Df</f>
        <v>0.7</v>
      </c>
      <c r="R12" s="277"/>
      <c r="S12" s="278"/>
      <c r="T12" s="278"/>
      <c r="U12" s="266">
        <f>'2026'!Hdf</f>
        <v>-0.82105336510872495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'2026'!Df_s</f>
        <v>0.7</v>
      </c>
      <c r="AF12" s="203"/>
      <c r="AG12" s="203"/>
      <c r="AH12" s="203"/>
      <c r="AI12" s="296">
        <f>'2026'!Hdf_s</f>
        <v>1.9346044657306258</v>
      </c>
      <c r="AJ12" s="821">
        <f>IF($AJ8=0,0,($AJ10-$AJ8)*$AJ6/$AJ8)</f>
        <v>144.58584489764519</v>
      </c>
      <c r="AK12" s="822">
        <f>IF($AK8=0,0,($AK10-$AK8)*$AK6/$AK8)</f>
        <v>14.240951101611307</v>
      </c>
      <c r="AL12" s="821">
        <f>IF($AL8=0,0,($AL10-$AL8)*$AL6/$AL8)</f>
        <v>540.46110809507763</v>
      </c>
      <c r="AM12" s="822">
        <f>IF($AM8=0,0,($AM10-$AM8)*$AM6/$AM8)</f>
        <v>142.66553884271232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202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206</v>
      </c>
      <c r="AJ13" s="73">
        <f>+AJ11+AJ12</f>
        <v>316.15265891410286</v>
      </c>
      <c r="AK13" s="73">
        <f>+AK11+AK12</f>
        <v>14.240951101611307</v>
      </c>
      <c r="AL13" s="73">
        <f>+AL11+AL12</f>
        <v>779.30887374183499</v>
      </c>
      <c r="AM13" s="73">
        <f>+AM11+AM12</f>
        <v>142.66553884271232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188</v>
      </c>
      <c r="C14" s="414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2027</v>
      </c>
      <c r="W14" s="371" t="s">
        <v>116</v>
      </c>
      <c r="X14" s="257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46388</v>
      </c>
      <c r="B15" s="408">
        <f>'2026'!Wh/'2026'!Env_an*'2027'!Env_an</f>
        <v>23.390623258484112</v>
      </c>
      <c r="C15" s="829"/>
      <c r="D15" s="391">
        <f t="shared" ref="D15:D78" si="0">Wh/(1-Ppv)</f>
        <v>24.733602445869149</v>
      </c>
      <c r="E15" s="398">
        <f t="shared" ref="E15:E79" si="1">Wh_pvt/(1-Psa)</f>
        <v>26.116155240231372</v>
      </c>
      <c r="F15" s="398">
        <f t="shared" ref="F15:F78" si="2">Wh_sa/(1-Pvg*MEDIAN((-Sdif+Wh/Env_an)/Csdif,0,1))</f>
        <v>26.227716979001745</v>
      </c>
      <c r="G15" s="123">
        <f>+Wh_hp/MaxiM</f>
        <v>0.98896187041285155</v>
      </c>
      <c r="H15" s="412" t="b">
        <f>Wh_hp&gt;='2026'!Maxi_hp</f>
        <v>1</v>
      </c>
      <c r="I15" s="394">
        <f>IF(H15,Wh_hp,'2026'!Maxi_hp)</f>
        <v>26.227716979001745</v>
      </c>
      <c r="J15" s="84">
        <f>IF(H15,An,'2026'!An_max)</f>
        <v>2027</v>
      </c>
      <c r="K15" s="197">
        <f t="shared" ref="K15:K78" si="3">t</f>
        <v>46388</v>
      </c>
      <c r="L15" s="146">
        <f>IF(t&lt;Tvie,1-EXP((T0-t)*PertePVj)+'2026'!Pspv,1-EXP((T0-t)*PertePVj)+Pspv)</f>
        <v>5.429775910420731E-2</v>
      </c>
      <c r="M15" s="832"/>
      <c r="N15" s="832"/>
      <c r="O15" s="48">
        <f>IF(t&lt;Tnet,'2026'!Resal+('2026'!Salim-'2026'!Resal)*(1-EXP(('2026'!Tnet-t)/('2026'!Tau_j))),Resal+(Salim-Resal)*(1-EXP((Tnet-t)/(Tau_j))))*Salcycl</f>
        <v>5.2938603773974718E-2</v>
      </c>
      <c r="P15" s="301">
        <f>(INDEX(Models!$BJ15:$BT15,,T15)*(1-R15)+INDEX(Models!$BJ15:$BT15,,T15+1)*R15-ERP_i)*Q15*Ramure*Pc/MaxiM</f>
        <v>4.3213081500407874E-3</v>
      </c>
      <c r="Q15" s="302">
        <f t="shared" ref="Q15:Q78" si="4">IF(OR(t&lt;Ttai,Notai),Dd+PousD*Croivg,Dens+PousD*(Croivg-Croi_tai))</f>
        <v>0.7</v>
      </c>
      <c r="R15" s="303">
        <f t="shared" ref="R15:R78" si="5">(Hp_vg-S15)/(INDEX(Echel_vg,T15+1)-S15)</f>
        <v>0.1789475912898586</v>
      </c>
      <c r="S15" s="798">
        <f t="shared" ref="S15:S78" si="6">INDEX(Echel_vg,T15)</f>
        <v>-1</v>
      </c>
      <c r="T15" s="248">
        <f t="shared" ref="T15:T78" si="7">MIN(MATCH(Hp_vg,Echel_vg),10)</f>
        <v>5</v>
      </c>
      <c r="U15" s="250">
        <f t="shared" ref="U15:U78" si="8">IF(OR(t&lt;Ttai,Notai),Hdd+PousH*Croivg,Hdtf+PousH*(Croivg-Croi_tai))</f>
        <v>-0.8210524087101414</v>
      </c>
      <c r="V15" s="381">
        <f t="shared" ref="V15:V78" si="9">MaxiM*(1-Ppv)*(1-Pvg)*(1-Psa)</f>
        <v>23.650085032394291</v>
      </c>
      <c r="W15" s="400">
        <f t="shared" ref="W15:W78" si="10">Wh*(A15&gt;Tmaj)</f>
        <v>23.390623258484112</v>
      </c>
      <c r="X15" s="156">
        <f t="shared" ref="X15:X78" si="11">t</f>
        <v>46388</v>
      </c>
      <c r="Y15" s="383">
        <f t="shared" ref="Y15:Y78" si="12">Wh_pvt_s*(1-Ppv)</f>
        <v>21.007701231089577</v>
      </c>
      <c r="Z15" s="383">
        <f>Wh_sa_s*(1-Psa_s)</f>
        <v>22.213864282684327</v>
      </c>
      <c r="AA15" s="384">
        <f t="shared" ref="AA15:AA78" si="13">Wh_hp*(1-Pvg_s*MEDIAN((-Sdif+Wh/Env_an)/Csdif,0,1))</f>
        <v>24.09739662099722</v>
      </c>
      <c r="AB15" s="197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7.8163312325269255E-2</v>
      </c>
      <c r="AD15" s="230">
        <f>(INDEX(Models!$BJ15:$BT15,,AH15)*(1-AF15)+INDEX(Models!$BJ15:$BT15,,AH15+1)*AF15-ERP_i)*AE15*Ramure*Pc/MaxiM</f>
        <v>8.2517275427114317E-2</v>
      </c>
      <c r="AE15" s="302">
        <f t="shared" ref="AE15:AE78" si="15">IF(OR(t&lt;Ttai,Notai),Dd_s+PousD*Croivg,Dens_s+PousD*(Croivg-Croi_tai))</f>
        <v>0.7</v>
      </c>
      <c r="AF15" s="303">
        <f>(Hp_vg_s-AG15)/(INDEX(Echel_vg,AH15+1)-AG15)</f>
        <v>0.93460542212920927</v>
      </c>
      <c r="AG15" s="798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1.9346054221292093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46389</v>
      </c>
      <c r="B16" s="409">
        <f>'2026'!Wh/'2026'!Env_an*'2027'!Env_an</f>
        <v>15.832609536622007</v>
      </c>
      <c r="C16" s="829"/>
      <c r="D16" s="391">
        <f t="shared" si="0"/>
        <v>16.74196410467389</v>
      </c>
      <c r="E16" s="383">
        <f t="shared" si="1"/>
        <v>17.678721811151707</v>
      </c>
      <c r="F16" s="383">
        <f t="shared" si="2"/>
        <v>17.718562025726637</v>
      </c>
      <c r="G16" s="110">
        <f t="shared" ref="G16:G79" si="21">+Wh_hp/MaxiM</f>
        <v>0.66337286448614652</v>
      </c>
      <c r="H16" s="412" t="b">
        <f>Wh_hp&gt;='2026'!Maxi_hp</f>
        <v>0</v>
      </c>
      <c r="I16" s="388">
        <f>IF(H16,Wh_hp,'2026'!Maxi_hp)</f>
        <v>26.138638462365517</v>
      </c>
      <c r="J16" s="85">
        <f>IF(H16,An,'2026'!An_max)</f>
        <v>2020</v>
      </c>
      <c r="K16" s="197">
        <f t="shared" si="3"/>
        <v>46389</v>
      </c>
      <c r="L16" s="147">
        <f>IF(t&lt;Tvie,1-EXP((T0-t)*PertePVj)+'2026'!Pspv,1-EXP((T0-t)*PertePVj)+Pspv)</f>
        <v>5.4315883271904619E-2</v>
      </c>
      <c r="M16" s="832"/>
      <c r="N16" s="832"/>
      <c r="O16" s="48">
        <f>IF(t&lt;Tnet,'2026'!Resal+('2026'!Salim-'2026'!Resal)*(1-EXP(('2026'!Tnet-t)/('2026'!Tau_j))),Resal+(Salim-Resal)*(1-EXP((Tnet-t)/(Tau_j))))*Salcycl</f>
        <v>5.2987863969153642E-2</v>
      </c>
      <c r="P16" s="169">
        <f>(INDEX(Models!$BJ16:$BT16,,T16)*(1-R16)+INDEX(Models!$BJ16:$BT16,,T16+1)*R16-ERP_i)*Q16*Ramure*Pc/MaxiM</f>
        <v>4.3151531399971896E-3</v>
      </c>
      <c r="Q16" s="304">
        <f t="shared" si="4"/>
        <v>0.7</v>
      </c>
      <c r="R16" s="177">
        <f t="shared" si="5"/>
        <v>0.17897096298105397</v>
      </c>
      <c r="S16" s="799">
        <f t="shared" si="6"/>
        <v>-1</v>
      </c>
      <c r="T16" s="176">
        <f t="shared" si="7"/>
        <v>5</v>
      </c>
      <c r="U16" s="250">
        <f t="shared" si="8"/>
        <v>-0.82102903701894603</v>
      </c>
      <c r="V16" s="382">
        <f t="shared" si="9"/>
        <v>23.817397661683419</v>
      </c>
      <c r="W16" s="400">
        <f t="shared" si="10"/>
        <v>15.832609536622007</v>
      </c>
      <c r="X16" s="157">
        <f t="shared" si="11"/>
        <v>46389</v>
      </c>
      <c r="Y16" s="383">
        <f t="shared" si="12"/>
        <v>14.788790294375261</v>
      </c>
      <c r="Z16" s="383">
        <f t="shared" ref="Z16:Z78" si="22">Wh_sa_s*(1-Psa_s)</f>
        <v>15.638192534672079</v>
      </c>
      <c r="AA16" s="384">
        <f t="shared" si="13"/>
        <v>16.964511359060005</v>
      </c>
      <c r="AB16" s="197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7.818196447371277E-2</v>
      </c>
      <c r="AD16" s="230">
        <f>(INDEX(Models!$BJ16:$BT16,,AH16)*(1-AF16)+INDEX(Models!$BJ16:$BT16,,AH16+1)*AF16-ERP_i)*AE16*Ramure*Pc/MaxiM</f>
        <v>8.1672353843972187E-2</v>
      </c>
      <c r="AE16" s="304">
        <f t="shared" si="15"/>
        <v>0.7</v>
      </c>
      <c r="AF16" s="177">
        <f t="shared" ref="AF16:AF78" si="23">(Hp_vg_s-AG16)/(INDEX(Echel_vg,AH16+1)-AG16)</f>
        <v>0.93462879382040476</v>
      </c>
      <c r="AG16" s="799">
        <f t="shared" ref="AG16:AG79" si="24">INDEX(Echel_vg,AH16)</f>
        <v>1</v>
      </c>
      <c r="AH16" s="176">
        <f t="shared" si="16"/>
        <v>7</v>
      </c>
      <c r="AI16" s="224">
        <f t="shared" si="17"/>
        <v>1.9346287938204048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46390</v>
      </c>
      <c r="B17" s="409">
        <f>'2026'!Wh/'2026'!Env_an*'2027'!Env_an</f>
        <v>17.948662093205012</v>
      </c>
      <c r="C17" s="829"/>
      <c r="D17" s="391">
        <f t="shared" si="0"/>
        <v>18.979917040282142</v>
      </c>
      <c r="E17" s="383">
        <f t="shared" si="1"/>
        <v>20.042937928927284</v>
      </c>
      <c r="F17" s="383">
        <f t="shared" si="2"/>
        <v>20.098389311715675</v>
      </c>
      <c r="G17" s="110">
        <f t="shared" si="21"/>
        <v>0.74687343479400592</v>
      </c>
      <c r="H17" s="412" t="b">
        <f>Wh_hp&gt;='2026'!Maxi_hp</f>
        <v>0</v>
      </c>
      <c r="I17" s="388">
        <f>IF(H17,Wh_hp,'2026'!Maxi_hp)</f>
        <v>25.752586103343905</v>
      </c>
      <c r="J17" s="85">
        <f>IF(H17,An,'2026'!An_max)</f>
        <v>2021</v>
      </c>
      <c r="K17" s="197">
        <f t="shared" si="3"/>
        <v>46390</v>
      </c>
      <c r="L17" s="147">
        <f>IF(t&lt;Tvie,1-EXP((T0-t)*PertePVj)+'2026'!Pspv,1-EXP((T0-t)*PertePVj)+Pspv)</f>
        <v>5.4334007092256553E-2</v>
      </c>
      <c r="M17" s="832"/>
      <c r="N17" s="832"/>
      <c r="O17" s="48">
        <f>IF(t&lt;Tnet,'2026'!Resal+('2026'!Salim-'2026'!Resal)*(1-EXP(('2026'!Tnet-t)/('2026'!Tau_j))),Resal+(Salim-Resal)*(1-EXP((Tnet-t)/(Tau_j))))*Salcycl</f>
        <v>5.303717910092004E-2</v>
      </c>
      <c r="P17" s="169">
        <f>(INDEX(Models!$BJ17:$BT17,,T17)*(1-R17)+INDEX(Models!$BJ17:$BT17,,T17+1)*R17-ERP_i)*Q17*Ramure*Pc/MaxiM</f>
        <v>4.3105730688265207E-3</v>
      </c>
      <c r="Q17" s="304">
        <f t="shared" si="4"/>
        <v>0.7</v>
      </c>
      <c r="R17" s="177">
        <f t="shared" si="5"/>
        <v>0.17899531225744558</v>
      </c>
      <c r="S17" s="799">
        <f t="shared" si="6"/>
        <v>-1</v>
      </c>
      <c r="T17" s="176">
        <f t="shared" si="7"/>
        <v>5</v>
      </c>
      <c r="U17" s="250">
        <f t="shared" si="8"/>
        <v>-0.82100468774255442</v>
      </c>
      <c r="V17" s="382">
        <f t="shared" si="9"/>
        <v>23.994341591270679</v>
      </c>
      <c r="W17" s="400">
        <f t="shared" si="10"/>
        <v>17.948662093205012</v>
      </c>
      <c r="X17" s="157">
        <f t="shared" si="11"/>
        <v>46390</v>
      </c>
      <c r="Y17" s="383">
        <f t="shared" si="12"/>
        <v>16.614735199273962</v>
      </c>
      <c r="Z17" s="383">
        <f t="shared" si="22"/>
        <v>17.569348294091451</v>
      </c>
      <c r="AA17" s="384">
        <f t="shared" si="13"/>
        <v>19.05984256903491</v>
      </c>
      <c r="AB17" s="197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7.820076527625415E-2</v>
      </c>
      <c r="AD17" s="230">
        <f>(INDEX(Models!$BJ17:$BT17,,AH17)*(1-AF17)+INDEX(Models!$BJ17:$BT17,,AH17+1)*AF17-ERP_i)*AE17*Ramure*Pc/MaxiM</f>
        <v>8.073255155423352E-2</v>
      </c>
      <c r="AE17" s="304">
        <f t="shared" si="15"/>
        <v>0.7</v>
      </c>
      <c r="AF17" s="177">
        <f>(Hp_vg_s-AG17)/(INDEX(Echel_vg,AH17+1)-AG17)</f>
        <v>0.93465314309679637</v>
      </c>
      <c r="AG17" s="799">
        <f>INDEX(Echel_vg,AH17)</f>
        <v>1</v>
      </c>
      <c r="AH17" s="176">
        <f t="shared" si="16"/>
        <v>7</v>
      </c>
      <c r="AI17" s="224">
        <f t="shared" si="17"/>
        <v>1.9346531430967964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46391</v>
      </c>
      <c r="B18" s="409">
        <f>'2026'!Wh/'2026'!Env_an*'2027'!Env_an</f>
        <v>18.23883477095594</v>
      </c>
      <c r="C18" s="829"/>
      <c r="D18" s="391">
        <f t="shared" si="0"/>
        <v>19.287131458201632</v>
      </c>
      <c r="E18" s="383">
        <f t="shared" si="1"/>
        <v>20.368420362887161</v>
      </c>
      <c r="F18" s="383">
        <f t="shared" si="2"/>
        <v>20.425524315690819</v>
      </c>
      <c r="G18" s="110">
        <f t="shared" si="21"/>
        <v>0.75315663290779777</v>
      </c>
      <c r="H18" s="412" t="b">
        <f>Wh_hp&gt;='2026'!Maxi_hp</f>
        <v>0</v>
      </c>
      <c r="I18" s="388">
        <f>IF(H18,Wh_hp,'2026'!Maxi_hp)</f>
        <v>23.895973120339946</v>
      </c>
      <c r="J18" s="85">
        <f>IF(H18,An,'2026'!An_max)</f>
        <v>2021</v>
      </c>
      <c r="K18" s="197">
        <f t="shared" si="3"/>
        <v>46391</v>
      </c>
      <c r="L18" s="147">
        <f>IF(t&lt;Tvie,1-EXP((T0-t)*PertePVj)+'2026'!Pspv,1-EXP((T0-t)*PertePVj)+Pspv)</f>
        <v>5.4352130565269552E-2</v>
      </c>
      <c r="M18" s="832"/>
      <c r="N18" s="832"/>
      <c r="O18" s="48">
        <f>IF(t&lt;Tnet,'2026'!Resal+('2026'!Salim-'2026'!Resal)*(1-EXP(('2026'!Tnet-t)/('2026'!Tau_j))),Resal+(Salim-Resal)*(1-EXP((Tnet-t)/(Tau_j))))*Salcycl</f>
        <v>5.3086537169849471E-2</v>
      </c>
      <c r="P18" s="169">
        <f>(INDEX(Models!$BJ18:$BT18,,T18)*(1-R18)+INDEX(Models!$BJ18:$BT18,,T18+1)*R18-ERP_i)*Q18*Ramure*Pc/MaxiM</f>
        <v>4.3077246640332552E-3</v>
      </c>
      <c r="Q18" s="304">
        <f t="shared" si="4"/>
        <v>0.7</v>
      </c>
      <c r="R18" s="177">
        <f t="shared" si="5"/>
        <v>0.17902067988248171</v>
      </c>
      <c r="S18" s="799">
        <f t="shared" si="6"/>
        <v>-1</v>
      </c>
      <c r="T18" s="176">
        <f t="shared" si="7"/>
        <v>5</v>
      </c>
      <c r="U18" s="250">
        <f t="shared" si="8"/>
        <v>-0.82097932011751829</v>
      </c>
      <c r="V18" s="382">
        <f t="shared" si="9"/>
        <v>24.179804536861422</v>
      </c>
      <c r="W18" s="400">
        <f t="shared" si="10"/>
        <v>18.23883477095594</v>
      </c>
      <c r="X18" s="157">
        <f t="shared" si="11"/>
        <v>46391</v>
      </c>
      <c r="Y18" s="383">
        <f t="shared" si="12"/>
        <v>16.883517585273133</v>
      </c>
      <c r="Z18" s="383">
        <f>Wh_sa_s*(1-Psa_s)</f>
        <v>17.853915956438847</v>
      </c>
      <c r="AA18" s="384">
        <f t="shared" si="13"/>
        <v>19.368949293807301</v>
      </c>
      <c r="AB18" s="197">
        <f>t</f>
        <v>46391</v>
      </c>
      <c r="AC18" s="119">
        <f>IF(OR(t&lt;Tnet,NoTnet),'2026'!Resal_s+('2026'!Salim-'2026'!Resal_s)*(1-EXP(('2026'!Tnet_s-t)/'2026'!Tau_j)),Resal_s+(Salim-Resal_s)*(1-EXP((Tnet_s-t)/Tau_j)))*Salcycl</f>
        <v>7.8219696607541064E-2</v>
      </c>
      <c r="AD18" s="230">
        <f>(INDEX(Models!$BJ18:$BT18,,AH18)*(1-AF18)+INDEX(Models!$BJ18:$BT18,,AH18+1)*AF18-ERP_i)*AE18*Ramure*Pc/MaxiM</f>
        <v>7.9704364719172083E-2</v>
      </c>
      <c r="AE18" s="304">
        <f t="shared" si="15"/>
        <v>0.7</v>
      </c>
      <c r="AF18" s="177">
        <f t="shared" si="23"/>
        <v>0.9346785107218325</v>
      </c>
      <c r="AG18" s="799">
        <f t="shared" si="24"/>
        <v>1</v>
      </c>
      <c r="AH18" s="176">
        <f t="shared" si="16"/>
        <v>7</v>
      </c>
      <c r="AI18" s="224">
        <f t="shared" si="17"/>
        <v>1.9346785107218325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46392</v>
      </c>
      <c r="B19" s="409">
        <f>'2026'!Wh/'2026'!Env_an*'2027'!Env_an</f>
        <v>13.184094236151694</v>
      </c>
      <c r="C19" s="829"/>
      <c r="D19" s="391">
        <f t="shared" si="0"/>
        <v>13.942131460660377</v>
      </c>
      <c r="E19" s="383">
        <f t="shared" si="1"/>
        <v>14.724533192248067</v>
      </c>
      <c r="F19" s="383">
        <f t="shared" si="2"/>
        <v>14.746392806336477</v>
      </c>
      <c r="G19" s="110">
        <f t="shared" si="21"/>
        <v>0.53940744156349729</v>
      </c>
      <c r="H19" s="412" t="b">
        <f>Wh_hp&gt;='2026'!Maxi_hp</f>
        <v>1</v>
      </c>
      <c r="I19" s="388">
        <f>IF(H19,Wh_hp,'2026'!Maxi_hp)</f>
        <v>14.746392806336477</v>
      </c>
      <c r="J19" s="85">
        <f>IF(H19,An,'2026'!An_max)</f>
        <v>2027</v>
      </c>
      <c r="K19" s="197">
        <f t="shared" si="3"/>
        <v>46392</v>
      </c>
      <c r="L19" s="147">
        <f>IF(t&lt;Tvie,1-EXP((T0-t)*PertePVj)+'2026'!Pspv,1-EXP((T0-t)*PertePVj)+Pspv)</f>
        <v>5.4370253690950276E-2</v>
      </c>
      <c r="M19" s="832"/>
      <c r="N19" s="832"/>
      <c r="O19" s="48">
        <f>IF(t&lt;Tnet,'2026'!Resal+('2026'!Salim-'2026'!Resal)*(1-EXP(('2026'!Tnet-t)/('2026'!Tau_j))),Resal+(Salim-Resal)*(1-EXP((Tnet-t)/(Tau_j))))*Salcycl</f>
        <v>5.3135927731793667E-2</v>
      </c>
      <c r="P19" s="169">
        <f>(INDEX(Models!$BJ19:$BT19,,T19)*(1-R19)+INDEX(Models!$BJ19:$BT19,,T19+1)*R19-ERP_i)*Q19*Ramure*Pc/MaxiM</f>
        <v>4.3067561813192367E-3</v>
      </c>
      <c r="Q19" s="304">
        <f t="shared" si="4"/>
        <v>0.7</v>
      </c>
      <c r="R19" s="177">
        <f t="shared" si="5"/>
        <v>0.17904710830853099</v>
      </c>
      <c r="S19" s="799">
        <f t="shared" si="6"/>
        <v>-1</v>
      </c>
      <c r="T19" s="176">
        <f t="shared" si="7"/>
        <v>5</v>
      </c>
      <c r="U19" s="250">
        <f t="shared" si="8"/>
        <v>-0.82095289169146901</v>
      </c>
      <c r="V19" s="382">
        <f t="shared" si="9"/>
        <v>24.372674479481802</v>
      </c>
      <c r="W19" s="400">
        <f t="shared" si="10"/>
        <v>13.184094236151694</v>
      </c>
      <c r="X19" s="157">
        <f t="shared" si="11"/>
        <v>46392</v>
      </c>
      <c r="Y19" s="383">
        <f t="shared" si="12"/>
        <v>12.505903847064269</v>
      </c>
      <c r="Z19" s="383">
        <f t="shared" si="22"/>
        <v>13.224947603305514</v>
      </c>
      <c r="AA19" s="384">
        <f t="shared" si="13"/>
        <v>14.34747609354533</v>
      </c>
      <c r="AB19" s="197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7.8238742683448062E-2</v>
      </c>
      <c r="AD19" s="230">
        <f>(INDEX(Models!$BJ19:$BT19,,AH19)*(1-AF19)+INDEX(Models!$BJ19:$BT19,,AH19+1)*AF19-ERP_i)*AE19*Ramure*Pc/MaxiM</f>
        <v>7.859411477697531E-2</v>
      </c>
      <c r="AE19" s="304">
        <f t="shared" si="15"/>
        <v>0.7</v>
      </c>
      <c r="AF19" s="177">
        <f t="shared" si="23"/>
        <v>0.93470493914788189</v>
      </c>
      <c r="AG19" s="799">
        <f t="shared" si="24"/>
        <v>1</v>
      </c>
      <c r="AH19" s="176">
        <f t="shared" si="16"/>
        <v>7</v>
      </c>
      <c r="AI19" s="224">
        <f t="shared" si="17"/>
        <v>1.9347049391478819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46393</v>
      </c>
      <c r="B20" s="409">
        <f>'2026'!Wh/'2026'!Env_an*'2027'!Env_an</f>
        <v>24.790284666536774</v>
      </c>
      <c r="C20" s="829"/>
      <c r="D20" s="391">
        <f t="shared" si="0"/>
        <v>26.216137841004535</v>
      </c>
      <c r="E20" s="383">
        <f t="shared" si="1"/>
        <v>27.688774793929873</v>
      </c>
      <c r="F20" s="383">
        <f t="shared" si="2"/>
        <v>27.80856876746417</v>
      </c>
      <c r="G20" s="110">
        <f t="shared" si="21"/>
        <v>1.0088900542938466</v>
      </c>
      <c r="H20" s="412" t="b">
        <f>Wh_hp&gt;='2026'!Maxi_hp</f>
        <v>1</v>
      </c>
      <c r="I20" s="388">
        <f>IF(H20,Wh_hp,'2026'!Maxi_hp)</f>
        <v>27.80856876746417</v>
      </c>
      <c r="J20" s="85">
        <f>IF(H20,An,'2026'!An_max)</f>
        <v>2027</v>
      </c>
      <c r="K20" s="197">
        <f t="shared" si="3"/>
        <v>46393</v>
      </c>
      <c r="L20" s="147">
        <f>IF(t&lt;Tvie,1-EXP((T0-t)*PertePVj)+'2026'!Pspv,1-EXP((T0-t)*PertePVj)+Pspv)</f>
        <v>5.4388376469305499E-2</v>
      </c>
      <c r="M20" s="832"/>
      <c r="N20" s="832"/>
      <c r="O20" s="48">
        <f>IF(t&lt;Tnet,'2026'!Resal+('2026'!Salim-'2026'!Resal)*(1-EXP(('2026'!Tnet-t)/('2026'!Tau_j))),Resal+(Salim-Resal)*(1-EXP((Tnet-t)/(Tau_j))))*Salcycl</f>
        <v>5.3185341853702356E-2</v>
      </c>
      <c r="P20" s="169">
        <f>(INDEX(Models!$BJ20:$BT20,,T20)*(1-R20)+INDEX(Models!$BJ20:$BT20,,T20+1)*R20-ERP_i)*Q20*Ramure*Pc/MaxiM</f>
        <v>4.3078079471122119E-3</v>
      </c>
      <c r="Q20" s="304">
        <f t="shared" si="4"/>
        <v>0.7</v>
      </c>
      <c r="R20" s="177">
        <f t="shared" si="5"/>
        <v>0.17907464174593157</v>
      </c>
      <c r="S20" s="799">
        <f t="shared" si="6"/>
        <v>-1</v>
      </c>
      <c r="T20" s="176">
        <f t="shared" si="7"/>
        <v>5</v>
      </c>
      <c r="U20" s="250">
        <f t="shared" si="8"/>
        <v>-0.82092535825406843</v>
      </c>
      <c r="V20" s="382">
        <f t="shared" si="9"/>
        <v>24.571839677702307</v>
      </c>
      <c r="W20" s="400">
        <f t="shared" si="10"/>
        <v>24.790284666536774</v>
      </c>
      <c r="X20" s="157">
        <f t="shared" si="11"/>
        <v>46393</v>
      </c>
      <c r="Y20" s="383">
        <f t="shared" si="12"/>
        <v>22.361997814263049</v>
      </c>
      <c r="Z20" s="383">
        <f t="shared" si="22"/>
        <v>23.648184157009972</v>
      </c>
      <c r="AA20" s="384">
        <f t="shared" si="13"/>
        <v>25.655965915127769</v>
      </c>
      <c r="AB20" s="197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7.8257889987838378E-2</v>
      </c>
      <c r="AD20" s="230">
        <f>(INDEX(Models!$BJ20:$BT20,,AH20)*(1-AF20)+INDEX(Models!$BJ20:$BT20,,AH20+1)*AF20-ERP_i)*AE20*Ramure*Pc/MaxiM</f>
        <v>7.7407897915801036E-2</v>
      </c>
      <c r="AE20" s="304">
        <f t="shared" si="15"/>
        <v>0.7</v>
      </c>
      <c r="AF20" s="177">
        <f t="shared" si="23"/>
        <v>0.93473247258528236</v>
      </c>
      <c r="AG20" s="799">
        <f t="shared" si="24"/>
        <v>1</v>
      </c>
      <c r="AH20" s="176">
        <f t="shared" si="16"/>
        <v>7</v>
      </c>
      <c r="AI20" s="224">
        <f t="shared" si="17"/>
        <v>1.9347324725852824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46394</v>
      </c>
      <c r="B21" s="409">
        <f>'2026'!Wh/'2026'!Env_an*'2027'!Env_an</f>
        <v>8.5156688848458639</v>
      </c>
      <c r="C21" s="829"/>
      <c r="D21" s="391">
        <f t="shared" si="0"/>
        <v>9.0056338954770148</v>
      </c>
      <c r="E21" s="383">
        <f t="shared" si="1"/>
        <v>9.5120032186301078</v>
      </c>
      <c r="F21" s="383">
        <f t="shared" si="2"/>
        <v>9.5145640965115188</v>
      </c>
      <c r="G21" s="110">
        <f t="shared" si="21"/>
        <v>0.34231417095403116</v>
      </c>
      <c r="H21" s="412" t="b">
        <f>Wh_hp&gt;='2026'!Maxi_hp</f>
        <v>0</v>
      </c>
      <c r="I21" s="388">
        <f>IF(H21,Wh_hp,'2026'!Maxi_hp)</f>
        <v>14.667527811072381</v>
      </c>
      <c r="J21" s="85">
        <f>IF(H21,An,'2026'!An_max)</f>
        <v>2021</v>
      </c>
      <c r="K21" s="197">
        <f t="shared" si="3"/>
        <v>46394</v>
      </c>
      <c r="L21" s="147">
        <f>IF(t&lt;Tvie,1-EXP((T0-t)*PertePVj)+'2026'!Pspv,1-EXP((T0-t)*PertePVj)+Pspv)</f>
        <v>5.4406498900341771E-2</v>
      </c>
      <c r="M21" s="832"/>
      <c r="N21" s="832"/>
      <c r="O21" s="48">
        <f>IF(t&lt;Tnet,'2026'!Resal+('2026'!Salim-'2026'!Resal)*(1-EXP(('2026'!Tnet-t)/('2026'!Tau_j))),Resal+(Salim-Resal)*(1-EXP((Tnet-t)/(Tau_j))))*Salcycl</f>
        <v>5.3234772057406711E-2</v>
      </c>
      <c r="P21" s="169">
        <f>(INDEX(Models!$BJ21:$BT21,,T21)*(1-R21)+INDEX(Models!$BJ21:$BT21,,T21+1)*R21-ERP_i)*Q21*Ramure*Pc/MaxiM</f>
        <v>4.3110130457890434E-3</v>
      </c>
      <c r="Q21" s="304">
        <f t="shared" si="4"/>
        <v>0.7</v>
      </c>
      <c r="R21" s="177">
        <f t="shared" si="5"/>
        <v>0.1791033262347822</v>
      </c>
      <c r="S21" s="799">
        <f t="shared" si="6"/>
        <v>-1</v>
      </c>
      <c r="T21" s="176">
        <f t="shared" si="7"/>
        <v>5</v>
      </c>
      <c r="U21" s="250">
        <f t="shared" si="8"/>
        <v>-0.8208966737652178</v>
      </c>
      <c r="V21" s="382">
        <f t="shared" si="9"/>
        <v>24.776188659685118</v>
      </c>
      <c r="W21" s="400">
        <f t="shared" si="10"/>
        <v>8.5156688848458639</v>
      </c>
      <c r="X21" s="157">
        <f t="shared" si="11"/>
        <v>46394</v>
      </c>
      <c r="Y21" s="383">
        <f t="shared" si="12"/>
        <v>8.2532307679242773</v>
      </c>
      <c r="Z21" s="383">
        <f t="shared" si="22"/>
        <v>8.7280959083648053</v>
      </c>
      <c r="AA21" s="384">
        <f t="shared" si="13"/>
        <v>9.4693276751177109</v>
      </c>
      <c r="AB21" s="197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7.8277127181966569E-2</v>
      </c>
      <c r="AD21" s="230">
        <f>(INDEX(Models!$BJ21:$BT21,,AH21)*(1-AF21)+INDEX(Models!$BJ21:$BT21,,AH21+1)*AF21-ERP_i)*AE21*Ramure*Pc/MaxiM</f>
        <v>7.6151543261433918E-2</v>
      </c>
      <c r="AE21" s="304">
        <f t="shared" si="15"/>
        <v>0.7</v>
      </c>
      <c r="AF21" s="177">
        <f t="shared" si="23"/>
        <v>0.93476115707413299</v>
      </c>
      <c r="AG21" s="799">
        <f t="shared" si="24"/>
        <v>1</v>
      </c>
      <c r="AH21" s="176">
        <f t="shared" si="16"/>
        <v>7</v>
      </c>
      <c r="AI21" s="224">
        <f t="shared" si="17"/>
        <v>1.934761157074133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46395</v>
      </c>
      <c r="B22" s="409">
        <f>'2026'!Wh/'2026'!Env_an*'2027'!Env_an</f>
        <v>5.9260907935880143</v>
      </c>
      <c r="C22" s="829"/>
      <c r="D22" s="391">
        <f t="shared" si="0"/>
        <v>6.2671796718685</v>
      </c>
      <c r="E22" s="383">
        <f t="shared" si="1"/>
        <v>6.6199167194397139</v>
      </c>
      <c r="F22" s="383">
        <f t="shared" si="2"/>
        <v>6.6199167194397139</v>
      </c>
      <c r="G22" s="110">
        <f t="shared" si="21"/>
        <v>0.23616581472805373</v>
      </c>
      <c r="H22" s="412" t="b">
        <f>Wh_hp&gt;='2026'!Maxi_hp</f>
        <v>0</v>
      </c>
      <c r="I22" s="388">
        <f>IF(H22,Wh_hp,'2026'!Maxi_hp)</f>
        <v>22.512666153472253</v>
      </c>
      <c r="J22" s="85">
        <f>IF(H22,An,'2026'!An_max)</f>
        <v>2021</v>
      </c>
      <c r="K22" s="197">
        <f t="shared" si="3"/>
        <v>46395</v>
      </c>
      <c r="L22" s="147">
        <f>IF(t&lt;Tvie,1-EXP((T0-t)*PertePVj)+'2026'!Pspv,1-EXP((T0-t)*PertePVj)+Pspv)</f>
        <v>5.4424620984065863E-2</v>
      </c>
      <c r="M22" s="832"/>
      <c r="N22" s="832"/>
      <c r="O22" s="48">
        <f>IF(t&lt;Tnet,'2026'!Resal+('2026'!Salim-'2026'!Resal)*(1-EXP(('2026'!Tnet-t)/('2026'!Tau_j))),Resal+(Salim-Resal)*(1-EXP((Tnet-t)/(Tau_j))))*Salcycl</f>
        <v>5.3284212252305799E-2</v>
      </c>
      <c r="P22" s="169">
        <f>(INDEX(Models!$BJ22:$BT22,,T22)*(1-R22)+INDEX(Models!$BJ22:$BT22,,T22+1)*R22-ERP_i)*Q22*Ramure*Pc/MaxiM</f>
        <v>4.316498119337926E-3</v>
      </c>
      <c r="Q22" s="304">
        <f t="shared" si="4"/>
        <v>0.7</v>
      </c>
      <c r="R22" s="177">
        <f t="shared" si="5"/>
        <v>0.17913320971957991</v>
      </c>
      <c r="S22" s="799">
        <f t="shared" si="6"/>
        <v>-1</v>
      </c>
      <c r="T22" s="176">
        <f t="shared" si="7"/>
        <v>5</v>
      </c>
      <c r="U22" s="250">
        <f t="shared" si="8"/>
        <v>-0.82086679028042009</v>
      </c>
      <c r="V22" s="382">
        <f t="shared" si="9"/>
        <v>24.984610243514446</v>
      </c>
      <c r="W22" s="400">
        <f t="shared" si="10"/>
        <v>5.9260907935880143</v>
      </c>
      <c r="X22" s="157">
        <f t="shared" si="11"/>
        <v>46395</v>
      </c>
      <c r="Y22" s="383">
        <f t="shared" si="12"/>
        <v>5.7695234645970226</v>
      </c>
      <c r="Z22" s="383">
        <f t="shared" si="22"/>
        <v>6.1016007741248508</v>
      </c>
      <c r="AA22" s="384">
        <f t="shared" si="13"/>
        <v>6.6199167194397139</v>
      </c>
      <c r="AB22" s="197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7.8296444997986478E-2</v>
      </c>
      <c r="AD22" s="230">
        <f>(INDEX(Models!$BJ22:$BT22,,AH22)*(1-AF22)+INDEX(Models!$BJ22:$BT22,,AH22+1)*AF22-ERP_i)*AE22*Ramure*Pc/MaxiM</f>
        <v>7.4830579036597622E-2</v>
      </c>
      <c r="AE22" s="304">
        <f t="shared" si="15"/>
        <v>0.7</v>
      </c>
      <c r="AF22" s="177">
        <f t="shared" si="23"/>
        <v>0.93479104055893059</v>
      </c>
      <c r="AG22" s="799">
        <f t="shared" si="24"/>
        <v>1</v>
      </c>
      <c r="AH22" s="176">
        <f t="shared" si="16"/>
        <v>7</v>
      </c>
      <c r="AI22" s="224">
        <f t="shared" si="17"/>
        <v>1.9347910405589306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46396</v>
      </c>
      <c r="B23" s="409">
        <f>'2026'!Wh/'2026'!Env_an*'2027'!Env_an</f>
        <v>1.6895990216971217</v>
      </c>
      <c r="C23" s="829"/>
      <c r="D23" s="391">
        <f t="shared" si="0"/>
        <v>1.7868817659528153</v>
      </c>
      <c r="E23" s="383">
        <f t="shared" si="1"/>
        <v>1.8875518078863269</v>
      </c>
      <c r="F23" s="383">
        <f t="shared" si="2"/>
        <v>1.8875518078863269</v>
      </c>
      <c r="G23" s="110">
        <f t="shared" si="21"/>
        <v>6.6753779734385496E-2</v>
      </c>
      <c r="H23" s="412" t="b">
        <f>Wh_hp&gt;='2026'!Maxi_hp</f>
        <v>0</v>
      </c>
      <c r="I23" s="388">
        <f>IF(H23,Wh_hp,'2026'!Maxi_hp)</f>
        <v>26.668518012021664</v>
      </c>
      <c r="J23" s="85">
        <f>IF(H23,An,'2026'!An_max)</f>
        <v>2020</v>
      </c>
      <c r="K23" s="197">
        <f t="shared" si="3"/>
        <v>46396</v>
      </c>
      <c r="L23" s="147">
        <f>IF(t&lt;Tvie,1-EXP((T0-t)*PertePVj)+'2026'!Pspv,1-EXP((T0-t)*PertePVj)+Pspv)</f>
        <v>5.4442742720484216E-2</v>
      </c>
      <c r="M23" s="832"/>
      <c r="N23" s="832"/>
      <c r="O23" s="48">
        <f>IF(t&lt;Tnet,'2026'!Resal+('2026'!Salim-'2026'!Resal)*(1-EXP(('2026'!Tnet-t)/('2026'!Tau_j))),Resal+(Salim-Resal)*(1-EXP((Tnet-t)/(Tau_j))))*Salcycl</f>
        <v>5.3333657657980482E-2</v>
      </c>
      <c r="P23" s="169">
        <f>(INDEX(Models!$BJ23:$BT23,,T23)*(1-R23)+INDEX(Models!$BJ23:$BT23,,T23+1)*R23-ERP_i)*Q23*Ramure*Pc/MaxiM</f>
        <v>4.3234466827346066E-3</v>
      </c>
      <c r="Q23" s="304">
        <f t="shared" si="4"/>
        <v>0.7</v>
      </c>
      <c r="R23" s="177">
        <f t="shared" si="5"/>
        <v>0.17916434212680798</v>
      </c>
      <c r="S23" s="799">
        <f t="shared" si="6"/>
        <v>-1</v>
      </c>
      <c r="T23" s="176">
        <f t="shared" si="7"/>
        <v>5</v>
      </c>
      <c r="U23" s="250">
        <f t="shared" si="8"/>
        <v>-0.82083565787319202</v>
      </c>
      <c r="V23" s="382">
        <f t="shared" si="9"/>
        <v>25.201481280992517</v>
      </c>
      <c r="W23" s="400">
        <f t="shared" si="10"/>
        <v>1.6895990216971217</v>
      </c>
      <c r="X23" s="157">
        <f t="shared" si="11"/>
        <v>46396</v>
      </c>
      <c r="Y23" s="383">
        <f t="shared" si="12"/>
        <v>1.6450111216121499</v>
      </c>
      <c r="Z23" s="383">
        <f t="shared" si="22"/>
        <v>1.7397266098353987</v>
      </c>
      <c r="AA23" s="384">
        <f t="shared" si="13"/>
        <v>1.8875518078863269</v>
      </c>
      <c r="AB23" s="197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7.831583611814194E-2</v>
      </c>
      <c r="AD23" s="230">
        <f>(INDEX(Models!$BJ23:$BT23,,AH23)*(1-AF23)+INDEX(Models!$BJ23:$BT23,,AH23+1)*AF23-ERP_i)*AE23*Ramure*Pc/MaxiM</f>
        <v>7.3434281168646282E-2</v>
      </c>
      <c r="AE23" s="304">
        <f t="shared" si="15"/>
        <v>0.7</v>
      </c>
      <c r="AF23" s="177">
        <f t="shared" si="23"/>
        <v>0.93482217296615877</v>
      </c>
      <c r="AG23" s="799">
        <f t="shared" si="24"/>
        <v>1</v>
      </c>
      <c r="AH23" s="176">
        <f t="shared" si="16"/>
        <v>7</v>
      </c>
      <c r="AI23" s="224">
        <f t="shared" si="17"/>
        <v>1.9348221729661588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46397</v>
      </c>
      <c r="B24" s="409">
        <f>'2026'!Wh/'2026'!Env_an*'2027'!Env_an</f>
        <v>1.359367658462433</v>
      </c>
      <c r="C24" s="829"/>
      <c r="D24" s="391">
        <f t="shared" si="0"/>
        <v>1.43766408693633</v>
      </c>
      <c r="E24" s="383">
        <f t="shared" si="1"/>
        <v>1.5187390950885058</v>
      </c>
      <c r="F24" s="383">
        <f t="shared" si="2"/>
        <v>1.5187390950885058</v>
      </c>
      <c r="G24" s="110">
        <f t="shared" si="21"/>
        <v>5.3221370987248502E-2</v>
      </c>
      <c r="H24" s="412" t="b">
        <f>Wh_hp&gt;='2026'!Maxi_hp</f>
        <v>0</v>
      </c>
      <c r="I24" s="388">
        <f>IF(H24,Wh_hp,'2026'!Maxi_hp)</f>
        <v>10.460260744050126</v>
      </c>
      <c r="J24" s="85">
        <f>IF(H24,An,'2026'!An_max)</f>
        <v>2020</v>
      </c>
      <c r="K24" s="197">
        <f t="shared" si="3"/>
        <v>46397</v>
      </c>
      <c r="L24" s="147">
        <f>IF(t&lt;Tvie,1-EXP((T0-t)*PertePVj)+'2026'!Pspv,1-EXP((T0-t)*PertePVj)+Pspv)</f>
        <v>5.4460864109603713E-2</v>
      </c>
      <c r="M24" s="832"/>
      <c r="N24" s="832"/>
      <c r="O24" s="48">
        <f>IF(t&lt;Tnet,'2026'!Resal+('2026'!Salim-'2026'!Resal)*(1-EXP(('2026'!Tnet-t)/('2026'!Tau_j))),Resal+(Salim-Resal)*(1-EXP((Tnet-t)/(Tau_j))))*Salcycl</f>
        <v>5.3383104717832496E-2</v>
      </c>
      <c r="P24" s="169">
        <f>(INDEX(Models!$BJ24:$BT24,,T24)*(1-R24)+INDEX(Models!$BJ24:$BT24,,T24+1)*R24-ERP_i)*Q24*Ramure*Pc/MaxiM</f>
        <v>4.3317608923659871E-3</v>
      </c>
      <c r="Q24" s="304">
        <f t="shared" si="4"/>
        <v>0.7</v>
      </c>
      <c r="R24" s="177">
        <f t="shared" si="5"/>
        <v>0.17919677544558366</v>
      </c>
      <c r="S24" s="799">
        <f t="shared" si="6"/>
        <v>-1</v>
      </c>
      <c r="T24" s="176">
        <f t="shared" si="7"/>
        <v>5</v>
      </c>
      <c r="U24" s="250">
        <f t="shared" si="8"/>
        <v>-0.82080322455441634</v>
      </c>
      <c r="V24" s="382">
        <f t="shared" si="9"/>
        <v>25.431122455027385</v>
      </c>
      <c r="W24" s="400">
        <f t="shared" si="10"/>
        <v>1.359367658462433</v>
      </c>
      <c r="X24" s="157">
        <f t="shared" si="11"/>
        <v>46397</v>
      </c>
      <c r="Y24" s="383">
        <f t="shared" si="12"/>
        <v>1.323535633170478</v>
      </c>
      <c r="Z24" s="383">
        <f t="shared" si="22"/>
        <v>1.3997682199839667</v>
      </c>
      <c r="AA24" s="384">
        <f t="shared" si="13"/>
        <v>1.5187390950885058</v>
      </c>
      <c r="AB24" s="197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7.8335295041315894E-2</v>
      </c>
      <c r="AD24" s="230">
        <f>(INDEX(Models!$BJ24:$BT24,,AH24)*(1-AF24)+INDEX(Models!$BJ24:$BT24,,AH24+1)*AF24-ERP_i)*AE24*Ramure*Pc/MaxiM</f>
        <v>7.1969729524600928E-2</v>
      </c>
      <c r="AE24" s="304">
        <f t="shared" si="15"/>
        <v>0.7</v>
      </c>
      <c r="AF24" s="177">
        <f t="shared" si="23"/>
        <v>0.93485460628493433</v>
      </c>
      <c r="AG24" s="799">
        <f t="shared" si="24"/>
        <v>1</v>
      </c>
      <c r="AH24" s="176">
        <f t="shared" si="16"/>
        <v>7</v>
      </c>
      <c r="AI24" s="224">
        <f t="shared" si="17"/>
        <v>1.9348546062849343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46398</v>
      </c>
      <c r="B25" s="409">
        <f>'2026'!Wh/'2026'!Env_an*'2027'!Env_an</f>
        <v>23.627592469435314</v>
      </c>
      <c r="C25" s="829"/>
      <c r="D25" s="391">
        <f t="shared" si="0"/>
        <v>24.988965975779411</v>
      </c>
      <c r="E25" s="383">
        <f t="shared" si="1"/>
        <v>26.39956191427089</v>
      </c>
      <c r="F25" s="383">
        <f t="shared" si="2"/>
        <v>26.501504517915368</v>
      </c>
      <c r="G25" s="110">
        <f t="shared" si="21"/>
        <v>0.91989396399185153</v>
      </c>
      <c r="H25" s="412" t="b">
        <f>Wh_hp&gt;='2026'!Maxi_hp</f>
        <v>0</v>
      </c>
      <c r="I25" s="388">
        <f>IF(H25,Wh_hp,'2026'!Maxi_hp)</f>
        <v>28.239972558041078</v>
      </c>
      <c r="J25" s="85">
        <f>IF(H25,An,'2026'!An_max)</f>
        <v>2020</v>
      </c>
      <c r="K25" s="197">
        <f t="shared" si="3"/>
        <v>46398</v>
      </c>
      <c r="L25" s="147">
        <f>IF(t&lt;Tvie,1-EXP((T0-t)*PertePVj)+'2026'!Pspv,1-EXP((T0-t)*PertePVj)+Pspv)</f>
        <v>5.4478985151430903E-2</v>
      </c>
      <c r="M25" s="832"/>
      <c r="N25" s="832"/>
      <c r="O25" s="48">
        <f>IF(t&lt;Tnet,'2026'!Resal+('2026'!Salim-'2026'!Resal)*(1-EXP(('2026'!Tnet-t)/('2026'!Tau_j))),Resal+(Salim-Resal)*(1-EXP((Tnet-t)/(Tau_j))))*Salcycl</f>
        <v>5.3432551004907007E-2</v>
      </c>
      <c r="P25" s="169">
        <f>(INDEX(Models!$BJ25:$BT25,,T25)*(1-R25)+INDEX(Models!$BJ25:$BT25,,T25+1)*R25-ERP_i)*Q25*Ramure*Pc/MaxiM</f>
        <v>4.3405648927873275E-3</v>
      </c>
      <c r="Q25" s="304">
        <f t="shared" si="4"/>
        <v>0.7</v>
      </c>
      <c r="R25" s="177">
        <f t="shared" si="5"/>
        <v>0.1792305638114764</v>
      </c>
      <c r="S25" s="799">
        <f t="shared" si="6"/>
        <v>-1</v>
      </c>
      <c r="T25" s="176">
        <f t="shared" si="7"/>
        <v>5</v>
      </c>
      <c r="U25" s="250">
        <f t="shared" si="8"/>
        <v>-0.8207694361885236</v>
      </c>
      <c r="V25" s="382">
        <f t="shared" si="9"/>
        <v>25.672391426800456</v>
      </c>
      <c r="W25" s="400">
        <f t="shared" si="10"/>
        <v>23.627592469435314</v>
      </c>
      <c r="X25" s="157">
        <f t="shared" si="11"/>
        <v>46398</v>
      </c>
      <c r="Y25" s="383">
        <f t="shared" si="12"/>
        <v>21.651884550297172</v>
      </c>
      <c r="Z25" s="383">
        <f t="shared" si="22"/>
        <v>22.89942181112162</v>
      </c>
      <c r="AA25" s="384">
        <f t="shared" si="13"/>
        <v>24.846244798791108</v>
      </c>
      <c r="AB25" s="197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7.8354817938693616E-2</v>
      </c>
      <c r="AD25" s="230">
        <f>(INDEX(Models!$BJ25:$BT25,,AH25)*(1-AF25)+INDEX(Models!$BJ25:$BT25,,AH25+1)*AF25-ERP_i)*AE25*Ramure*Pc/MaxiM</f>
        <v>7.0478504260421515E-2</v>
      </c>
      <c r="AE25" s="304">
        <f t="shared" si="15"/>
        <v>0.7</v>
      </c>
      <c r="AF25" s="177">
        <f t="shared" si="23"/>
        <v>0.93488839465082729</v>
      </c>
      <c r="AG25" s="799">
        <f t="shared" si="24"/>
        <v>1</v>
      </c>
      <c r="AH25" s="176">
        <f t="shared" si="16"/>
        <v>7</v>
      </c>
      <c r="AI25" s="224">
        <f t="shared" si="17"/>
        <v>1.9348883946508273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46399</v>
      </c>
      <c r="B26" s="409">
        <f>'2026'!Wh/'2026'!Env_an*'2027'!Env_an</f>
        <v>20.189222215932801</v>
      </c>
      <c r="C26" s="829"/>
      <c r="D26" s="391">
        <f t="shared" si="0"/>
        <v>21.352893090821009</v>
      </c>
      <c r="E26" s="383">
        <f t="shared" si="1"/>
        <v>22.559415648467326</v>
      </c>
      <c r="F26" s="383">
        <f t="shared" si="2"/>
        <v>22.626736921231505</v>
      </c>
      <c r="G26" s="110">
        <f t="shared" si="21"/>
        <v>0.77770758720983957</v>
      </c>
      <c r="H26" s="412" t="b">
        <f>Wh_hp&gt;='2026'!Maxi_hp</f>
        <v>0</v>
      </c>
      <c r="I26" s="388">
        <f>IF(H26,Wh_hp,'2026'!Maxi_hp)</f>
        <v>29.063431932857039</v>
      </c>
      <c r="J26" s="85">
        <f>IF(H26,An,'2026'!An_max)</f>
        <v>2020</v>
      </c>
      <c r="K26" s="197">
        <f t="shared" si="3"/>
        <v>46399</v>
      </c>
      <c r="L26" s="147">
        <f>IF(t&lt;Tvie,1-EXP((T0-t)*PertePVj)+'2026'!Pspv,1-EXP((T0-t)*PertePVj)+Pspv)</f>
        <v>5.4497105845972449E-2</v>
      </c>
      <c r="M26" s="832"/>
      <c r="N26" s="832"/>
      <c r="O26" s="48">
        <f>IF(t&lt;Tnet,'2026'!Resal+('2026'!Salim-'2026'!Resal)*(1-EXP(('2026'!Tnet-t)/('2026'!Tau_j))),Resal+(Salim-Resal)*(1-EXP((Tnet-t)/(Tau_j))))*Salcycl</f>
        <v>5.3481995121105297E-2</v>
      </c>
      <c r="P26" s="169">
        <f>(INDEX(Models!$BJ26:$BT26,,T26)*(1-R26)+INDEX(Models!$BJ26:$BT26,,T26+1)*R26-ERP_i)*Q26*Ramure*Pc/MaxiM</f>
        <v>4.3500191582413056E-3</v>
      </c>
      <c r="Q26" s="304">
        <f t="shared" si="4"/>
        <v>0.7</v>
      </c>
      <c r="R26" s="177">
        <f t="shared" si="5"/>
        <v>0.17926576359361335</v>
      </c>
      <c r="S26" s="799">
        <f t="shared" si="6"/>
        <v>-1</v>
      </c>
      <c r="T26" s="176">
        <f t="shared" si="7"/>
        <v>5</v>
      </c>
      <c r="U26" s="250">
        <f t="shared" si="8"/>
        <v>-0.82073423640638665</v>
      </c>
      <c r="V26" s="382">
        <f t="shared" si="9"/>
        <v>25.924120017649805</v>
      </c>
      <c r="W26" s="400">
        <f t="shared" si="10"/>
        <v>20.189222215932801</v>
      </c>
      <c r="X26" s="157">
        <f t="shared" si="11"/>
        <v>46399</v>
      </c>
      <c r="Y26" s="383">
        <f t="shared" si="12"/>
        <v>18.786861804511087</v>
      </c>
      <c r="Z26" s="383">
        <f t="shared" si="22"/>
        <v>19.86970311848734</v>
      </c>
      <c r="AA26" s="384">
        <f t="shared" si="13"/>
        <v>21.559408910075348</v>
      </c>
      <c r="AB26" s="197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7.8374402500355989E-2</v>
      </c>
      <c r="AD26" s="230">
        <f>(INDEX(Models!$BJ26:$BT26,,AH26)*(1-AF26)+INDEX(Models!$BJ26:$BT26,,AH26+1)*AF26-ERP_i)*AE26*Ramure*Pc/MaxiM</f>
        <v>6.8966273304436707E-2</v>
      </c>
      <c r="AE26" s="304">
        <f t="shared" si="15"/>
        <v>0.7</v>
      </c>
      <c r="AF26" s="177">
        <f t="shared" si="23"/>
        <v>0.93492359443296413</v>
      </c>
      <c r="AG26" s="799">
        <f t="shared" si="24"/>
        <v>1</v>
      </c>
      <c r="AH26" s="176">
        <f t="shared" si="16"/>
        <v>7</v>
      </c>
      <c r="AI26" s="224">
        <f t="shared" si="17"/>
        <v>1.9349235944329641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46400</v>
      </c>
      <c r="B27" s="409">
        <f>'2026'!Wh/'2026'!Env_an*'2027'!Env_an</f>
        <v>6.125771788404367</v>
      </c>
      <c r="C27" s="829"/>
      <c r="D27" s="391">
        <f t="shared" si="0"/>
        <v>6.4789745515841934</v>
      </c>
      <c r="E27" s="383">
        <f t="shared" si="1"/>
        <v>6.8454197023178169</v>
      </c>
      <c r="F27" s="383">
        <f t="shared" si="2"/>
        <v>6.8454197023178169</v>
      </c>
      <c r="G27" s="110">
        <f t="shared" si="21"/>
        <v>0.23292071911061227</v>
      </c>
      <c r="H27" s="412" t="b">
        <f>Wh_hp&gt;='2026'!Maxi_hp</f>
        <v>0</v>
      </c>
      <c r="I27" s="388">
        <f>IF(H27,Wh_hp,'2026'!Maxi_hp)</f>
        <v>18.417034678656321</v>
      </c>
      <c r="J27" s="85">
        <f>IF(H27,An,'2026'!An_max)</f>
        <v>2020</v>
      </c>
      <c r="K27" s="197">
        <f t="shared" si="3"/>
        <v>46400</v>
      </c>
      <c r="L27" s="147">
        <f>IF(t&lt;Tvie,1-EXP((T0-t)*PertePVj)+'2026'!Pspv,1-EXP((T0-t)*PertePVj)+Pspv)</f>
        <v>5.4515226193235122E-2</v>
      </c>
      <c r="M27" s="832"/>
      <c r="N27" s="832"/>
      <c r="O27" s="48">
        <f>IF(t&lt;Tnet,'2026'!Resal+('2026'!Salim-'2026'!Resal)*(1-EXP(('2026'!Tnet-t)/('2026'!Tau_j))),Resal+(Salim-Resal)*(1-EXP((Tnet-t)/(Tau_j))))*Salcycl</f>
        <v>5.3531436591031413E-2</v>
      </c>
      <c r="P27" s="169">
        <f>(INDEX(Models!$BJ27:$BT27,,T27)*(1-R27)+INDEX(Models!$BJ27:$BT27,,T27+1)*R27-ERP_i)*Q27*Ramure*Pc/MaxiM</f>
        <v>4.3602779434386181E-3</v>
      </c>
      <c r="Q27" s="304">
        <f t="shared" si="4"/>
        <v>0.7</v>
      </c>
      <c r="R27" s="177">
        <f t="shared" si="5"/>
        <v>0.17930243348518859</v>
      </c>
      <c r="S27" s="799">
        <f t="shared" si="6"/>
        <v>-1</v>
      </c>
      <c r="T27" s="176">
        <f t="shared" si="7"/>
        <v>5</v>
      </c>
      <c r="U27" s="250">
        <f t="shared" si="8"/>
        <v>-0.82069756651481141</v>
      </c>
      <c r="V27" s="382">
        <f t="shared" si="9"/>
        <v>26.185140351951478</v>
      </c>
      <c r="W27" s="400">
        <f t="shared" si="10"/>
        <v>6.125771788404367</v>
      </c>
      <c r="X27" s="157">
        <f t="shared" si="11"/>
        <v>46400</v>
      </c>
      <c r="Y27" s="383">
        <f t="shared" si="12"/>
        <v>5.9648549993393392</v>
      </c>
      <c r="Z27" s="383">
        <f t="shared" si="22"/>
        <v>6.3087795431366906</v>
      </c>
      <c r="AA27" s="384">
        <f t="shared" si="13"/>
        <v>6.8454197023178169</v>
      </c>
      <c r="AB27" s="197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7.839404777466355E-2</v>
      </c>
      <c r="AD27" s="230">
        <f>(INDEX(Models!$BJ27:$BT27,,AH27)*(1-AF27)+INDEX(Models!$BJ27:$BT27,,AH27+1)*AF27-ERP_i)*AE27*Ramure*Pc/MaxiM</f>
        <v>6.7438289894638723E-2</v>
      </c>
      <c r="AE27" s="304">
        <f t="shared" si="15"/>
        <v>0.7</v>
      </c>
      <c r="AF27" s="177">
        <f t="shared" si="23"/>
        <v>0.93496026432453938</v>
      </c>
      <c r="AG27" s="799">
        <f t="shared" si="24"/>
        <v>1</v>
      </c>
      <c r="AH27" s="176">
        <f t="shared" si="16"/>
        <v>7</v>
      </c>
      <c r="AI27" s="224">
        <f t="shared" si="17"/>
        <v>1.9349602643245394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46401</v>
      </c>
      <c r="B28" s="409">
        <f>'2026'!Wh/'2026'!Env_an*'2027'!Env_an</f>
        <v>26.283562505849908</v>
      </c>
      <c r="C28" s="829"/>
      <c r="D28" s="391">
        <f t="shared" si="0"/>
        <v>27.799565854621338</v>
      </c>
      <c r="E28" s="383">
        <f t="shared" si="1"/>
        <v>29.373419389324464</v>
      </c>
      <c r="F28" s="383">
        <f t="shared" si="2"/>
        <v>29.501194588891863</v>
      </c>
      <c r="G28" s="110">
        <f t="shared" si="21"/>
        <v>0.99350629724046724</v>
      </c>
      <c r="H28" s="412" t="b">
        <f>Wh_hp&gt;='2026'!Maxi_hp</f>
        <v>1</v>
      </c>
      <c r="I28" s="388">
        <f>IF(H28,Wh_hp,'2026'!Maxi_hp)</f>
        <v>29.501194588891863</v>
      </c>
      <c r="J28" s="85">
        <f>IF(H28,An,'2026'!An_max)</f>
        <v>2027</v>
      </c>
      <c r="K28" s="197">
        <f t="shared" si="3"/>
        <v>46401</v>
      </c>
      <c r="L28" s="147">
        <f>IF(t&lt;Tvie,1-EXP((T0-t)*PertePVj)+'2026'!Pspv,1-EXP((T0-t)*PertePVj)+Pspv)</f>
        <v>5.4533346193225363E-2</v>
      </c>
      <c r="M28" s="832"/>
      <c r="N28" s="832"/>
      <c r="O28" s="48">
        <f>IF(t&lt;Tnet,'2026'!Resal+('2026'!Salim-'2026'!Resal)*(1-EXP(('2026'!Tnet-t)/('2026'!Tau_j))),Resal+(Salim-Resal)*(1-EXP((Tnet-t)/(Tau_j))))*Salcycl</f>
        <v>5.3580875751739351E-2</v>
      </c>
      <c r="P28" s="169">
        <f>(INDEX(Models!$BJ28:$BT28,,T28)*(1-R28)+INDEX(Models!$BJ28:$BT28,,T28+1)*R28-ERP_i)*Q28*Ramure*Pc/MaxiM</f>
        <v>4.3714892331903421E-3</v>
      </c>
      <c r="Q28" s="304">
        <f t="shared" si="4"/>
        <v>0.7</v>
      </c>
      <c r="R28" s="177">
        <f t="shared" si="5"/>
        <v>0.17934063459750016</v>
      </c>
      <c r="S28" s="799">
        <f t="shared" si="6"/>
        <v>-1</v>
      </c>
      <c r="T28" s="176">
        <f t="shared" si="7"/>
        <v>5</v>
      </c>
      <c r="U28" s="250">
        <f t="shared" si="8"/>
        <v>-0.82065936540249984</v>
      </c>
      <c r="V28" s="382">
        <f t="shared" si="9"/>
        <v>26.454284882527272</v>
      </c>
      <c r="W28" s="400">
        <f t="shared" si="10"/>
        <v>26.283562505849908</v>
      </c>
      <c r="X28" s="157">
        <f t="shared" si="11"/>
        <v>46401</v>
      </c>
      <c r="Y28" s="383">
        <f t="shared" si="12"/>
        <v>24.026905317876807</v>
      </c>
      <c r="Z28" s="383">
        <f t="shared" si="22"/>
        <v>25.412747473574242</v>
      </c>
      <c r="AA28" s="384">
        <f t="shared" si="13"/>
        <v>27.575007313681279</v>
      </c>
      <c r="AB28" s="197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7.8413754002314845E-2</v>
      </c>
      <c r="AD28" s="230">
        <f>(INDEX(Models!$BJ28:$BT28,,AH28)*(1-AF28)+INDEX(Models!$BJ28:$BT28,,AH28+1)*AF28-ERP_i)*AE28*Ramure*Pc/MaxiM</f>
        <v>6.5899383943047049E-2</v>
      </c>
      <c r="AE28" s="304">
        <f t="shared" si="15"/>
        <v>0.7</v>
      </c>
      <c r="AF28" s="177">
        <f t="shared" si="23"/>
        <v>0.93499846543685106</v>
      </c>
      <c r="AG28" s="799">
        <f t="shared" si="24"/>
        <v>1</v>
      </c>
      <c r="AH28" s="176">
        <f t="shared" si="16"/>
        <v>7</v>
      </c>
      <c r="AI28" s="224">
        <f t="shared" si="17"/>
        <v>1.9349984654368511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46402</v>
      </c>
      <c r="B29" s="409">
        <f>'2026'!Wh/'2026'!Env_an*'2027'!Env_an</f>
        <v>27.060685915610865</v>
      </c>
      <c r="C29" s="829"/>
      <c r="D29" s="391">
        <f t="shared" si="0"/>
        <v>28.622061315927361</v>
      </c>
      <c r="E29" s="383">
        <f t="shared" si="1"/>
        <v>30.244059724699579</v>
      </c>
      <c r="F29" s="383">
        <f t="shared" si="2"/>
        <v>30.3772272575339</v>
      </c>
      <c r="G29" s="110">
        <f t="shared" si="21"/>
        <v>1.0123567064288315</v>
      </c>
      <c r="H29" s="412" t="b">
        <f>Wh_hp&gt;='2026'!Maxi_hp</f>
        <v>1</v>
      </c>
      <c r="I29" s="388">
        <f>IF(H29,Wh_hp,'2026'!Maxi_hp)</f>
        <v>30.3772272575339</v>
      </c>
      <c r="J29" s="85">
        <f>IF(H29,An,'2026'!An_max)</f>
        <v>2027</v>
      </c>
      <c r="K29" s="197">
        <f t="shared" si="3"/>
        <v>46402</v>
      </c>
      <c r="L29" s="147">
        <f>IF(t&lt;Tvie,1-EXP((T0-t)*PertePVj)+'2026'!Pspv,1-EXP((T0-t)*PertePVj)+Pspv)</f>
        <v>5.4551465845949942E-2</v>
      </c>
      <c r="M29" s="832"/>
      <c r="N29" s="832"/>
      <c r="O29" s="48">
        <f>IF(t&lt;Tnet,'2026'!Resal+('2026'!Salim-'2026'!Resal)*(1-EXP(('2026'!Tnet-t)/('2026'!Tau_j))),Resal+(Salim-Resal)*(1-EXP((Tnet-t)/(Tau_j))))*Salcycl</f>
        <v>5.3630313639658943E-2</v>
      </c>
      <c r="P29" s="169">
        <f>(INDEX(Models!$BJ29:$BT29,,T29)*(1-R29)+INDEX(Models!$BJ29:$BT29,,T29+1)*R29-ERP_i)*Q29*Ramure*Pc/MaxiM</f>
        <v>4.3837948640059873E-3</v>
      </c>
      <c r="Q29" s="304">
        <f t="shared" si="4"/>
        <v>0.7</v>
      </c>
      <c r="R29" s="177">
        <f t="shared" si="5"/>
        <v>0.17938043055763808</v>
      </c>
      <c r="S29" s="799">
        <f t="shared" si="6"/>
        <v>-1</v>
      </c>
      <c r="T29" s="176">
        <f t="shared" si="7"/>
        <v>5</v>
      </c>
      <c r="U29" s="250">
        <f t="shared" si="8"/>
        <v>-0.82061956944236192</v>
      </c>
      <c r="V29" s="382">
        <f t="shared" si="9"/>
        <v>26.730386378403693</v>
      </c>
      <c r="W29" s="400">
        <f t="shared" si="10"/>
        <v>27.060685915610865</v>
      </c>
      <c r="X29" s="157">
        <f t="shared" si="11"/>
        <v>46402</v>
      </c>
      <c r="Y29" s="383">
        <f t="shared" si="12"/>
        <v>24.764198433120804</v>
      </c>
      <c r="Z29" s="383">
        <f t="shared" si="22"/>
        <v>26.193068727192887</v>
      </c>
      <c r="AA29" s="384">
        <f t="shared" si="13"/>
        <v>28.422332371226727</v>
      </c>
      <c r="AB29" s="197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7.8433522446969384E-2</v>
      </c>
      <c r="AD29" s="230">
        <f>(INDEX(Models!$BJ29:$BT29,,AH29)*(1-AF29)+INDEX(Models!$BJ29:$BT29,,AH29+1)*AF29-ERP_i)*AE29*Ramure*Pc/MaxiM</f>
        <v>6.4353960607854227E-2</v>
      </c>
      <c r="AE29" s="304">
        <f t="shared" si="15"/>
        <v>0.7</v>
      </c>
      <c r="AF29" s="177">
        <f t="shared" si="23"/>
        <v>0.93503826139698876</v>
      </c>
      <c r="AG29" s="799">
        <f t="shared" si="24"/>
        <v>1</v>
      </c>
      <c r="AH29" s="176">
        <f t="shared" si="16"/>
        <v>7</v>
      </c>
      <c r="AI29" s="224">
        <f t="shared" si="17"/>
        <v>1.9350382613969888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46403</v>
      </c>
      <c r="B30" s="409">
        <f>'2026'!Wh/'2026'!Env_an*'2027'!Env_an</f>
        <v>26.770966431235458</v>
      </c>
      <c r="C30" s="829"/>
      <c r="D30" s="391">
        <f t="shared" si="0"/>
        <v>28.316167970461333</v>
      </c>
      <c r="E30" s="383">
        <f t="shared" si="1"/>
        <v>29.922394693123227</v>
      </c>
      <c r="F30" s="383">
        <f t="shared" si="2"/>
        <v>30.05285823559619</v>
      </c>
      <c r="G30" s="110">
        <f t="shared" si="21"/>
        <v>0.99101066338592958</v>
      </c>
      <c r="H30" s="412" t="b">
        <f>Wh_hp&gt;='2026'!Maxi_hp</f>
        <v>1</v>
      </c>
      <c r="I30" s="388">
        <f>IF(H30,Wh_hp,'2026'!Maxi_hp)</f>
        <v>30.05285823559619</v>
      </c>
      <c r="J30" s="85">
        <f>IF(H30,An,'2026'!An_max)</f>
        <v>2027</v>
      </c>
      <c r="K30" s="197">
        <f t="shared" si="3"/>
        <v>46403</v>
      </c>
      <c r="L30" s="147">
        <f>IF(t&lt;Tvie,1-EXP((T0-t)*PertePVj)+'2026'!Pspv,1-EXP((T0-t)*PertePVj)+Pspv)</f>
        <v>5.4569585151415523E-2</v>
      </c>
      <c r="M30" s="832"/>
      <c r="N30" s="832"/>
      <c r="O30" s="48">
        <f>IF(t&lt;Tnet,'2026'!Resal+('2026'!Salim-'2026'!Resal)*(1-EXP(('2026'!Tnet-t)/('2026'!Tau_j))),Resal+(Salim-Resal)*(1-EXP((Tnet-t)/(Tau_j))))*Salcycl</f>
        <v>5.3679751875976657E-2</v>
      </c>
      <c r="P30" s="169">
        <f>(INDEX(Models!$BJ30:$BT30,,T30)*(1-R30)+INDEX(Models!$BJ30:$BT30,,T30+1)*R30-ERP_i)*Q30*Ramure*Pc/MaxiM</f>
        <v>4.3972541655930963E-3</v>
      </c>
      <c r="Q30" s="304">
        <f t="shared" si="4"/>
        <v>0.7</v>
      </c>
      <c r="R30" s="177">
        <f t="shared" si="5"/>
        <v>0.1794218876099527</v>
      </c>
      <c r="S30" s="799">
        <f t="shared" si="6"/>
        <v>-1</v>
      </c>
      <c r="T30" s="176">
        <f t="shared" si="7"/>
        <v>5</v>
      </c>
      <c r="U30" s="250">
        <f t="shared" si="8"/>
        <v>-0.8205781123900473</v>
      </c>
      <c r="V30" s="382">
        <f t="shared" si="9"/>
        <v>27.012280019154282</v>
      </c>
      <c r="W30" s="400">
        <f t="shared" si="10"/>
        <v>26.770966431235458</v>
      </c>
      <c r="X30" s="157">
        <f t="shared" si="11"/>
        <v>46403</v>
      </c>
      <c r="Y30" s="383">
        <f t="shared" si="12"/>
        <v>24.559368832936027</v>
      </c>
      <c r="Z30" s="383">
        <f t="shared" si="22"/>
        <v>25.976918498935046</v>
      </c>
      <c r="AA30" s="384">
        <f t="shared" si="13"/>
        <v>28.188392466295667</v>
      </c>
      <c r="AB30" s="197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7.8453355224312252E-2</v>
      </c>
      <c r="AD30" s="230">
        <f>(INDEX(Models!$BJ30:$BT30,,AH30)*(1-AF30)+INDEX(Models!$BJ30:$BT30,,AH30+1)*AF30-ERP_i)*AE30*Ramure*Pc/MaxiM</f>
        <v>6.2841539599933605E-2</v>
      </c>
      <c r="AE30" s="304">
        <f t="shared" si="15"/>
        <v>0.7</v>
      </c>
      <c r="AF30" s="177">
        <f t="shared" si="23"/>
        <v>0.93507971844930338</v>
      </c>
      <c r="AG30" s="799">
        <f t="shared" si="24"/>
        <v>1</v>
      </c>
      <c r="AH30" s="176">
        <f t="shared" si="16"/>
        <v>7</v>
      </c>
      <c r="AI30" s="224">
        <f t="shared" si="17"/>
        <v>1.9350797184493034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46404</v>
      </c>
      <c r="B31" s="409">
        <f>'2026'!Wh/'2026'!Env_an*'2027'!Env_an</f>
        <v>17.340513221447559</v>
      </c>
      <c r="C31" s="829"/>
      <c r="D31" s="391">
        <f t="shared" si="0"/>
        <v>18.341747084129675</v>
      </c>
      <c r="E31" s="383">
        <f t="shared" si="1"/>
        <v>19.38319024507415</v>
      </c>
      <c r="F31" s="383">
        <f t="shared" si="2"/>
        <v>19.424212624059329</v>
      </c>
      <c r="G31" s="110">
        <f t="shared" si="21"/>
        <v>0.6337474440009685</v>
      </c>
      <c r="H31" s="412" t="b">
        <f>Wh_hp&gt;='2026'!Maxi_hp</f>
        <v>1</v>
      </c>
      <c r="I31" s="388">
        <f>IF(H31,Wh_hp,'2026'!Maxi_hp)</f>
        <v>19.424212624059329</v>
      </c>
      <c r="J31" s="85">
        <f>IF(H31,An,'2026'!An_max)</f>
        <v>2027</v>
      </c>
      <c r="K31" s="197">
        <f t="shared" si="3"/>
        <v>46404</v>
      </c>
      <c r="L31" s="147">
        <f>IF(t&lt;Tvie,1-EXP((T0-t)*PertePVj)+'2026'!Pspv,1-EXP((T0-t)*PertePVj)+Pspv)</f>
        <v>5.4587704109628765E-2</v>
      </c>
      <c r="M31" s="832"/>
      <c r="N31" s="832"/>
      <c r="O31" s="48">
        <f>IF(t&lt;Tnet,'2026'!Resal+('2026'!Salim-'2026'!Resal)*(1-EXP(('2026'!Tnet-t)/('2026'!Tau_j))),Resal+(Salim-Resal)*(1-EXP((Tnet-t)/(Tau_j))))*Salcycl</f>
        <v>5.3729192551733577E-2</v>
      </c>
      <c r="P31" s="169">
        <f>(INDEX(Models!$BJ31:$BT31,,T31)*(1-R31)+INDEX(Models!$BJ31:$BT31,,T31+1)*R31-ERP_i)*Q31*Ramure*Pc/MaxiM</f>
        <v>4.4101965486698655E-3</v>
      </c>
      <c r="Q31" s="304">
        <f t="shared" si="4"/>
        <v>0.7</v>
      </c>
      <c r="R31" s="177">
        <f t="shared" si="5"/>
        <v>0.17946507472143602</v>
      </c>
      <c r="S31" s="799">
        <f t="shared" si="6"/>
        <v>-1</v>
      </c>
      <c r="T31" s="176">
        <f t="shared" si="7"/>
        <v>5</v>
      </c>
      <c r="U31" s="250">
        <f t="shared" si="8"/>
        <v>-0.82053492527856398</v>
      </c>
      <c r="V31" s="382">
        <f t="shared" si="9"/>
        <v>27.2988486841877</v>
      </c>
      <c r="W31" s="400">
        <f t="shared" si="10"/>
        <v>17.340513221447559</v>
      </c>
      <c r="X31" s="157">
        <f t="shared" si="11"/>
        <v>46404</v>
      </c>
      <c r="Y31" s="383">
        <f t="shared" si="12"/>
        <v>16.42525025513573</v>
      </c>
      <c r="Z31" s="383">
        <f t="shared" si="22"/>
        <v>17.373637223182868</v>
      </c>
      <c r="AA31" s="384">
        <f t="shared" si="13"/>
        <v>18.853101464418486</v>
      </c>
      <c r="AB31" s="197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7.8473255131407252E-2</v>
      </c>
      <c r="AD31" s="230">
        <f>(INDEX(Models!$BJ31:$BT31,,AH31)*(1-AF31)+INDEX(Models!$BJ31:$BT31,,AH31+1)*AF31-ERP_i)*AE31*Ramure*Pc/MaxiM</f>
        <v>6.1398498270049291E-2</v>
      </c>
      <c r="AE31" s="304">
        <f t="shared" si="15"/>
        <v>0.7</v>
      </c>
      <c r="AF31" s="177">
        <f t="shared" si="23"/>
        <v>0.93512290556078681</v>
      </c>
      <c r="AG31" s="799">
        <f t="shared" si="24"/>
        <v>1</v>
      </c>
      <c r="AH31" s="176">
        <f t="shared" si="16"/>
        <v>7</v>
      </c>
      <c r="AI31" s="224">
        <f t="shared" si="17"/>
        <v>1.9351229055607868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46405</v>
      </c>
      <c r="B32" s="409">
        <f>'2026'!Wh/'2026'!Env_an*'2027'!Env_an</f>
        <v>4.5623544025065623</v>
      </c>
      <c r="C32" s="829"/>
      <c r="D32" s="391">
        <f t="shared" si="0"/>
        <v>4.8258752932409852</v>
      </c>
      <c r="E32" s="383">
        <f t="shared" si="1"/>
        <v>5.1001546653115764</v>
      </c>
      <c r="F32" s="383">
        <f t="shared" si="2"/>
        <v>5.1001546653115764</v>
      </c>
      <c r="G32" s="110">
        <f t="shared" si="21"/>
        <v>0.16463765089025331</v>
      </c>
      <c r="H32" s="412" t="b">
        <f>Wh_hp&gt;='2026'!Maxi_hp</f>
        <v>0</v>
      </c>
      <c r="I32" s="388">
        <f>IF(H32,Wh_hp,'2026'!Maxi_hp)</f>
        <v>30.433829557852597</v>
      </c>
      <c r="J32" s="85">
        <f>IF(H32,An,'2026'!An_max)</f>
        <v>2021</v>
      </c>
      <c r="K32" s="197">
        <f t="shared" si="3"/>
        <v>46405</v>
      </c>
      <c r="L32" s="147">
        <f>IF(t&lt;Tvie,1-EXP((T0-t)*PertePVj)+'2026'!Pspv,1-EXP((T0-t)*PertePVj)+Pspv)</f>
        <v>5.4605822720596331E-2</v>
      </c>
      <c r="M32" s="832"/>
      <c r="N32" s="832"/>
      <c r="O32" s="48">
        <f>IF(t&lt;Tnet,'2026'!Resal+('2026'!Salim-'2026'!Resal)*(1-EXP(('2026'!Tnet-t)/('2026'!Tau_j))),Resal+(Salim-Resal)*(1-EXP((Tnet-t)/(Tau_j))))*Salcycl</f>
        <v>5.3778638113876627E-2</v>
      </c>
      <c r="P32" s="169">
        <f>(INDEX(Models!$BJ32:$BT32,,T32)*(1-R32)+INDEX(Models!$BJ32:$BT32,,T32+1)*R32-ERP_i)*Q32*Ramure*Pc/MaxiM</f>
        <v>4.4228068166684703E-3</v>
      </c>
      <c r="Q32" s="304">
        <f t="shared" si="4"/>
        <v>0.7</v>
      </c>
      <c r="R32" s="177">
        <f t="shared" si="5"/>
        <v>0.1795100636911493</v>
      </c>
      <c r="S32" s="799">
        <f t="shared" si="6"/>
        <v>-1</v>
      </c>
      <c r="T32" s="176">
        <f t="shared" si="7"/>
        <v>5</v>
      </c>
      <c r="U32" s="250">
        <f t="shared" si="8"/>
        <v>-0.8204899363088507</v>
      </c>
      <c r="V32" s="382">
        <f t="shared" si="9"/>
        <v>27.588926140490745</v>
      </c>
      <c r="W32" s="400">
        <f t="shared" si="10"/>
        <v>4.5623544025065623</v>
      </c>
      <c r="X32" s="157">
        <f t="shared" si="11"/>
        <v>46405</v>
      </c>
      <c r="Y32" s="383">
        <f t="shared" si="12"/>
        <v>4.4431891511084061</v>
      </c>
      <c r="Z32" s="383">
        <f t="shared" si="22"/>
        <v>4.6998270751939035</v>
      </c>
      <c r="AA32" s="384">
        <f t="shared" si="13"/>
        <v>5.1001546653115764</v>
      </c>
      <c r="AB32" s="197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7.849322547813678E-2</v>
      </c>
      <c r="AD32" s="230">
        <f>(INDEX(Models!$BJ32:$BT32,,AH32)*(1-AF32)+INDEX(Models!$BJ32:$BT32,,AH32+1)*AF32-ERP_i)*AE32*Ramure*Pc/MaxiM</f>
        <v>6.0025864552653331E-2</v>
      </c>
      <c r="AE32" s="304">
        <f t="shared" si="15"/>
        <v>0.7</v>
      </c>
      <c r="AF32" s="177">
        <f t="shared" si="23"/>
        <v>0.9351678945305002</v>
      </c>
      <c r="AG32" s="799">
        <f t="shared" si="24"/>
        <v>1</v>
      </c>
      <c r="AH32" s="176">
        <f t="shared" si="16"/>
        <v>7</v>
      </c>
      <c r="AI32" s="224">
        <f t="shared" si="17"/>
        <v>1.9351678945305002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46406</v>
      </c>
      <c r="B33" s="409">
        <f>'2026'!Wh/'2026'!Env_an*'2027'!Env_an</f>
        <v>11.5261001387692</v>
      </c>
      <c r="C33" s="829"/>
      <c r="D33" s="391">
        <f t="shared" si="0"/>
        <v>12.192079573889533</v>
      </c>
      <c r="E33" s="383">
        <f t="shared" si="1"/>
        <v>12.885691766141367</v>
      </c>
      <c r="F33" s="383">
        <f t="shared" si="2"/>
        <v>12.894956815445642</v>
      </c>
      <c r="G33" s="110">
        <f t="shared" si="21"/>
        <v>0.41186065268943983</v>
      </c>
      <c r="H33" s="412" t="b">
        <f>Wh_hp&gt;='2026'!Maxi_hp</f>
        <v>0</v>
      </c>
      <c r="I33" s="388">
        <f>IF(H33,Wh_hp,'2026'!Maxi_hp)</f>
        <v>32.683118262088648</v>
      </c>
      <c r="J33" s="85">
        <f>IF(H33,An,'2026'!An_max)</f>
        <v>2021</v>
      </c>
      <c r="K33" s="197">
        <f t="shared" si="3"/>
        <v>46406</v>
      </c>
      <c r="L33" s="147">
        <f>IF(t&lt;Tvie,1-EXP((T0-t)*PertePVj)+'2026'!Pspv,1-EXP((T0-t)*PertePVj)+Pspv)</f>
        <v>5.462394098432477E-2</v>
      </c>
      <c r="M33" s="832"/>
      <c r="N33" s="832"/>
      <c r="O33" s="48">
        <f>IF(t&lt;Tnet,'2026'!Resal+('2026'!Salim-'2026'!Resal)*(1-EXP(('2026'!Tnet-t)/('2026'!Tau_j))),Resal+(Salim-Resal)*(1-EXP((Tnet-t)/(Tau_j))))*Salcycl</f>
        <v>5.3828091253461441E-2</v>
      </c>
      <c r="P33" s="169">
        <f>(INDEX(Models!$BJ33:$BT33,,T33)*(1-R33)+INDEX(Models!$BJ33:$BT33,,T33+1)*R33-ERP_i)*Q33*Ramure*Pc/MaxiM</f>
        <v>4.4352641473102954E-3</v>
      </c>
      <c r="Q33" s="304">
        <f t="shared" si="4"/>
        <v>0.7</v>
      </c>
      <c r="R33" s="177">
        <f t="shared" si="5"/>
        <v>0.17955692926383804</v>
      </c>
      <c r="S33" s="799">
        <f t="shared" si="6"/>
        <v>-1</v>
      </c>
      <c r="T33" s="176">
        <f t="shared" si="7"/>
        <v>5</v>
      </c>
      <c r="U33" s="250">
        <f t="shared" si="8"/>
        <v>-0.82044307073616196</v>
      </c>
      <c r="V33" s="382">
        <f t="shared" si="9"/>
        <v>27.881346484186768</v>
      </c>
      <c r="W33" s="400">
        <f t="shared" si="10"/>
        <v>11.5261001387692</v>
      </c>
      <c r="X33" s="157">
        <f t="shared" si="11"/>
        <v>46406</v>
      </c>
      <c r="Y33" s="383">
        <f t="shared" si="12"/>
        <v>11.126594765318995</v>
      </c>
      <c r="Z33" s="383">
        <f t="shared" si="22"/>
        <v>11.769490732507014</v>
      </c>
      <c r="AA33" s="384">
        <f t="shared" si="13"/>
        <v>12.772284557496221</v>
      </c>
      <c r="AB33" s="197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7.8513269922463005E-2</v>
      </c>
      <c r="AD33" s="230">
        <f>(INDEX(Models!$BJ33:$BT33,,AH33)*(1-AF33)+INDEX(Models!$BJ33:$BT33,,AH33+1)*AF33-ERP_i)*AE33*Ramure*Pc/MaxiM</f>
        <v>5.8724335908464785E-2</v>
      </c>
      <c r="AE33" s="304">
        <f t="shared" si="15"/>
        <v>0.7</v>
      </c>
      <c r="AF33" s="177">
        <f t="shared" si="23"/>
        <v>0.93521476010318882</v>
      </c>
      <c r="AG33" s="799">
        <f t="shared" si="24"/>
        <v>1</v>
      </c>
      <c r="AH33" s="176">
        <f t="shared" si="16"/>
        <v>7</v>
      </c>
      <c r="AI33" s="224">
        <f t="shared" si="17"/>
        <v>1.9352147601031888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46407</v>
      </c>
      <c r="B34" s="409">
        <f>'2026'!Wh/'2026'!Env_an*'2027'!Env_an</f>
        <v>4.7795249316280026</v>
      </c>
      <c r="C34" s="829"/>
      <c r="D34" s="391">
        <f t="shared" si="0"/>
        <v>5.0557833428370964</v>
      </c>
      <c r="E34" s="383">
        <f t="shared" si="1"/>
        <v>5.3436881964608318</v>
      </c>
      <c r="F34" s="383">
        <f t="shared" si="2"/>
        <v>5.3436881964608318</v>
      </c>
      <c r="G34" s="110">
        <f t="shared" si="21"/>
        <v>0.16888291995563154</v>
      </c>
      <c r="H34" s="412" t="b">
        <f>Wh_hp&gt;='2026'!Maxi_hp</f>
        <v>0</v>
      </c>
      <c r="I34" s="388">
        <f>IF(H34,Wh_hp,'2026'!Maxi_hp)</f>
        <v>11.30286271509741</v>
      </c>
      <c r="J34" s="85">
        <f>IF(H34,An,'2026'!An_max)</f>
        <v>2020</v>
      </c>
      <c r="K34" s="197">
        <f t="shared" si="3"/>
        <v>46407</v>
      </c>
      <c r="L34" s="147">
        <f>IF(t&lt;Tvie,1-EXP((T0-t)*PertePVj)+'2026'!Pspv,1-EXP((T0-t)*PertePVj)+Pspv)</f>
        <v>5.4642058900820856E-2</v>
      </c>
      <c r="M34" s="832"/>
      <c r="N34" s="832"/>
      <c r="O34" s="48">
        <f>IF(t&lt;Tnet,'2026'!Resal+('2026'!Salim-'2026'!Resal)*(1-EXP(('2026'!Tnet-t)/('2026'!Tau_j))),Resal+(Salim-Resal)*(1-EXP((Tnet-t)/(Tau_j))))*Salcycl</f>
        <v>5.3877554797156148E-2</v>
      </c>
      <c r="P34" s="169">
        <f>(INDEX(Models!$BJ34:$BT34,,T34)*(1-R34)+INDEX(Models!$BJ34:$BT34,,T34+1)*R34-ERP_i)*Q34*Ramure*Pc/MaxiM</f>
        <v>4.4477668615979741E-3</v>
      </c>
      <c r="Q34" s="304">
        <f t="shared" si="4"/>
        <v>0.7</v>
      </c>
      <c r="R34" s="177">
        <f t="shared" si="5"/>
        <v>0.17960574924787209</v>
      </c>
      <c r="S34" s="799">
        <f t="shared" si="6"/>
        <v>-1</v>
      </c>
      <c r="T34" s="176">
        <f t="shared" si="7"/>
        <v>5</v>
      </c>
      <c r="U34" s="250">
        <f t="shared" si="8"/>
        <v>-0.82039425075212791</v>
      </c>
      <c r="V34" s="382">
        <f t="shared" si="9"/>
        <v>28.174943447644118</v>
      </c>
      <c r="W34" s="400">
        <f t="shared" si="10"/>
        <v>4.7795249316280026</v>
      </c>
      <c r="X34" s="157">
        <f t="shared" si="11"/>
        <v>46407</v>
      </c>
      <c r="Y34" s="383">
        <f t="shared" si="12"/>
        <v>4.6549710848126455</v>
      </c>
      <c r="Z34" s="383">
        <f t="shared" si="22"/>
        <v>4.9240302349396403</v>
      </c>
      <c r="AA34" s="384">
        <f t="shared" si="13"/>
        <v>5.3436881964608318</v>
      </c>
      <c r="AB34" s="197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7.8533392311163353E-2</v>
      </c>
      <c r="AD34" s="230">
        <f>(INDEX(Models!$BJ34:$BT34,,AH34)*(1-AF34)+INDEX(Models!$BJ34:$BT34,,AH34+1)*AF34-ERP_i)*AE34*Ramure*Pc/MaxiM</f>
        <v>5.7494643682315077E-2</v>
      </c>
      <c r="AE34" s="304">
        <f t="shared" si="15"/>
        <v>0.7</v>
      </c>
      <c r="AF34" s="177">
        <f t="shared" si="23"/>
        <v>0.93526358008722288</v>
      </c>
      <c r="AG34" s="799">
        <f t="shared" si="24"/>
        <v>1</v>
      </c>
      <c r="AH34" s="176">
        <f t="shared" si="16"/>
        <v>7</v>
      </c>
      <c r="AI34" s="224">
        <f t="shared" si="17"/>
        <v>1.9352635800872229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46408</v>
      </c>
      <c r="B35" s="409">
        <f>'2026'!Wh/'2026'!Env_an*'2027'!Env_an</f>
        <v>18.246360191747765</v>
      </c>
      <c r="C35" s="829"/>
      <c r="D35" s="391">
        <f t="shared" si="0"/>
        <v>19.301376856859438</v>
      </c>
      <c r="E35" s="383">
        <f t="shared" si="1"/>
        <v>20.401573136124941</v>
      </c>
      <c r="F35" s="383">
        <f t="shared" si="2"/>
        <v>20.445991371906487</v>
      </c>
      <c r="G35" s="110">
        <f t="shared" si="21"/>
        <v>0.63946074497413186</v>
      </c>
      <c r="H35" s="412" t="b">
        <f>Wh_hp&gt;='2026'!Maxi_hp</f>
        <v>1</v>
      </c>
      <c r="I35" s="388">
        <f>IF(H35,Wh_hp,'2026'!Maxi_hp)</f>
        <v>20.445991371906487</v>
      </c>
      <c r="J35" s="85">
        <f>IF(H35,An,'2026'!An_max)</f>
        <v>2027</v>
      </c>
      <c r="K35" s="197">
        <f t="shared" si="3"/>
        <v>46408</v>
      </c>
      <c r="L35" s="147">
        <f>IF(t&lt;Tvie,1-EXP((T0-t)*PertePVj)+'2026'!Pspv,1-EXP((T0-t)*PertePVj)+Pspv)</f>
        <v>5.4660176470091248E-2</v>
      </c>
      <c r="M35" s="832"/>
      <c r="N35" s="832"/>
      <c r="O35" s="48">
        <f>IF(t&lt;Tnet,'2026'!Resal+('2026'!Salim-'2026'!Resal)*(1-EXP(('2026'!Tnet-t)/('2026'!Tau_j))),Resal+(Salim-Resal)*(1-EXP((Tnet-t)/(Tau_j))))*Salcycl</f>
        <v>5.3927031603136187E-2</v>
      </c>
      <c r="P35" s="169">
        <f>(INDEX(Models!$BJ35:$BT35,,T35)*(1-R35)+INDEX(Models!$BJ35:$BT35,,T35+1)*R35-ERP_i)*Q35*Ramure*Pc/MaxiM</f>
        <v>4.4605192512301266E-3</v>
      </c>
      <c r="Q35" s="304">
        <f t="shared" si="4"/>
        <v>0.7</v>
      </c>
      <c r="R35" s="177">
        <f t="shared" si="5"/>
        <v>0.17965660463766109</v>
      </c>
      <c r="S35" s="799">
        <f t="shared" si="6"/>
        <v>-1</v>
      </c>
      <c r="T35" s="176">
        <f t="shared" si="7"/>
        <v>5</v>
      </c>
      <c r="U35" s="250">
        <f t="shared" si="8"/>
        <v>-0.82034339536233891</v>
      </c>
      <c r="V35" s="382">
        <f t="shared" si="9"/>
        <v>28.468550742480414</v>
      </c>
      <c r="W35" s="400">
        <f t="shared" si="10"/>
        <v>18.246360191747765</v>
      </c>
      <c r="X35" s="157">
        <f t="shared" si="11"/>
        <v>46408</v>
      </c>
      <c r="Y35" s="383">
        <f t="shared" si="12"/>
        <v>17.321406922238719</v>
      </c>
      <c r="Z35" s="383">
        <f t="shared" si="22"/>
        <v>18.322942174974081</v>
      </c>
      <c r="AA35" s="384">
        <f t="shared" si="13"/>
        <v>19.884978774593364</v>
      </c>
      <c r="AB35" s="197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7.8553596527599287E-2</v>
      </c>
      <c r="AD35" s="230">
        <f>(INDEX(Models!$BJ35:$BT35,,AH35)*(1-AF35)+INDEX(Models!$BJ35:$BT35,,AH35+1)*AF35-ERP_i)*AE35*Ramure*Pc/MaxiM</f>
        <v>5.6337390408863215E-2</v>
      </c>
      <c r="AE35" s="304">
        <f t="shared" si="15"/>
        <v>0.7</v>
      </c>
      <c r="AF35" s="177">
        <f t="shared" si="23"/>
        <v>0.93531443547701199</v>
      </c>
      <c r="AG35" s="799">
        <f t="shared" si="24"/>
        <v>1</v>
      </c>
      <c r="AH35" s="176">
        <f t="shared" si="16"/>
        <v>7</v>
      </c>
      <c r="AI35" s="224">
        <f t="shared" si="17"/>
        <v>1.935314435477012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46409</v>
      </c>
      <c r="B36" s="409">
        <f>'2026'!Wh/'2026'!Env_an*'2027'!Env_an</f>
        <v>28.209677977277515</v>
      </c>
      <c r="C36" s="829"/>
      <c r="D36" s="391">
        <f t="shared" si="0"/>
        <v>29.841352196868556</v>
      </c>
      <c r="E36" s="383">
        <f t="shared" si="1"/>
        <v>31.543986981834912</v>
      </c>
      <c r="F36" s="383">
        <f t="shared" si="2"/>
        <v>31.681840726246193</v>
      </c>
      <c r="G36" s="110">
        <f t="shared" si="21"/>
        <v>0.98071012928458345</v>
      </c>
      <c r="H36" s="412" t="b">
        <f>Wh_hp&gt;='2026'!Maxi_hp</f>
        <v>1</v>
      </c>
      <c r="I36" s="388">
        <f>IF(H36,Wh_hp,'2026'!Maxi_hp)</f>
        <v>31.681840726246193</v>
      </c>
      <c r="J36" s="85">
        <f>IF(H36,An,'2026'!An_max)</f>
        <v>2027</v>
      </c>
      <c r="K36" s="197">
        <f t="shared" si="3"/>
        <v>46409</v>
      </c>
      <c r="L36" s="147">
        <f>IF(t&lt;Tvie,1-EXP((T0-t)*PertePVj)+'2026'!Pspv,1-EXP((T0-t)*PertePVj)+Pspv)</f>
        <v>5.4678293692142499E-2</v>
      </c>
      <c r="M36" s="832"/>
      <c r="N36" s="832"/>
      <c r="O36" s="48">
        <f>IF(t&lt;Tnet,'2026'!Resal+('2026'!Salim-'2026'!Resal)*(1-EXP(('2026'!Tnet-t)/('2026'!Tau_j))),Resal+(Salim-Resal)*(1-EXP((Tnet-t)/(Tau_j))))*Salcycl</f>
        <v>5.3976524462391019E-2</v>
      </c>
      <c r="P36" s="169">
        <f>(INDEX(Models!$BJ36:$BT36,,T36)*(1-R36)+INDEX(Models!$BJ36:$BT36,,T36+1)*R36-ERP_i)*Q36*Ramure*Pc/MaxiM</f>
        <v>4.4737014240395293E-3</v>
      </c>
      <c r="Q36" s="304">
        <f t="shared" si="4"/>
        <v>0.7</v>
      </c>
      <c r="R36" s="177">
        <f t="shared" si="5"/>
        <v>0.1797095797406868</v>
      </c>
      <c r="S36" s="799">
        <f t="shared" si="6"/>
        <v>-1</v>
      </c>
      <c r="T36" s="176">
        <f t="shared" si="7"/>
        <v>5</v>
      </c>
      <c r="U36" s="250">
        <f t="shared" si="8"/>
        <v>-0.8202904202593132</v>
      </c>
      <c r="V36" s="382">
        <f t="shared" si="9"/>
        <v>28.761002926150265</v>
      </c>
      <c r="W36" s="400">
        <f t="shared" si="10"/>
        <v>28.209677977277515</v>
      </c>
      <c r="X36" s="157">
        <f t="shared" si="11"/>
        <v>46409</v>
      </c>
      <c r="Y36" s="383">
        <f t="shared" si="12"/>
        <v>26.113266669934845</v>
      </c>
      <c r="Z36" s="383">
        <f t="shared" si="22"/>
        <v>27.623682494211856</v>
      </c>
      <c r="AA36" s="384">
        <f t="shared" si="13"/>
        <v>29.979270269133789</v>
      </c>
      <c r="AB36" s="197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7.8573886347967914E-2</v>
      </c>
      <c r="AD36" s="230">
        <f>(INDEX(Models!$BJ36:$BT36,,AH36)*(1-AF36)+INDEX(Models!$BJ36:$BT36,,AH36+1)*AF36-ERP_i)*AE36*Ramure*Pc/MaxiM</f>
        <v>5.5252702137615524E-2</v>
      </c>
      <c r="AE36" s="304">
        <f t="shared" si="15"/>
        <v>0.7</v>
      </c>
      <c r="AF36" s="177">
        <f t="shared" si="23"/>
        <v>0.93536741058003758</v>
      </c>
      <c r="AG36" s="799">
        <f t="shared" si="24"/>
        <v>1</v>
      </c>
      <c r="AH36" s="176">
        <f t="shared" si="16"/>
        <v>7</v>
      </c>
      <c r="AI36" s="224">
        <f t="shared" si="17"/>
        <v>1.9353674105800376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46410</v>
      </c>
      <c r="B37" s="409">
        <f>'2026'!Wh/'2026'!Env_an*'2027'!Env_an</f>
        <v>28.553025679698681</v>
      </c>
      <c r="C37" s="829"/>
      <c r="D37" s="391">
        <f t="shared" si="0"/>
        <v>30.205138326856911</v>
      </c>
      <c r="E37" s="383">
        <f t="shared" si="1"/>
        <v>31.930200488119155</v>
      </c>
      <c r="F37" s="383">
        <f t="shared" si="2"/>
        <v>32.070539962914758</v>
      </c>
      <c r="G37" s="110">
        <f t="shared" si="21"/>
        <v>0.98259625973052767</v>
      </c>
      <c r="H37" s="412" t="b">
        <f>Wh_hp&gt;='2026'!Maxi_hp</f>
        <v>1</v>
      </c>
      <c r="I37" s="388">
        <f>IF(H37,Wh_hp,'2026'!Maxi_hp)</f>
        <v>32.070539962914758</v>
      </c>
      <c r="J37" s="85">
        <f>IF(H37,An,'2026'!An_max)</f>
        <v>2027</v>
      </c>
      <c r="K37" s="197">
        <f t="shared" si="3"/>
        <v>46410</v>
      </c>
      <c r="L37" s="147">
        <f>IF(t&lt;Tvie,1-EXP((T0-t)*PertePVj)+'2026'!Pspv,1-EXP((T0-t)*PertePVj)+Pspv)</f>
        <v>5.4696410566981379E-2</v>
      </c>
      <c r="M37" s="832"/>
      <c r="N37" s="832"/>
      <c r="O37" s="48">
        <f>IF(t&lt;Tnet,'2026'!Resal+('2026'!Salim-'2026'!Resal)*(1-EXP(('2026'!Tnet-t)/('2026'!Tau_j))),Resal+(Salim-Resal)*(1-EXP((Tnet-t)/(Tau_j))))*Salcycl</f>
        <v>5.4026036006385759E-2</v>
      </c>
      <c r="P37" s="169">
        <f>(INDEX(Models!$BJ37:$BT37,,T37)*(1-R37)+INDEX(Models!$BJ37:$BT37,,T37+1)*R37-ERP_i)*Q37*Ramure*Pc/MaxiM</f>
        <v>4.4868143775947944E-3</v>
      </c>
      <c r="Q37" s="304">
        <f t="shared" si="4"/>
        <v>0.7</v>
      </c>
      <c r="R37" s="177">
        <f t="shared" si="5"/>
        <v>0.1797647623093086</v>
      </c>
      <c r="S37" s="799">
        <f t="shared" si="6"/>
        <v>-1</v>
      </c>
      <c r="T37" s="176">
        <f t="shared" si="7"/>
        <v>5</v>
      </c>
      <c r="U37" s="250">
        <f t="shared" si="8"/>
        <v>-0.8202352376906914</v>
      </c>
      <c r="V37" s="382">
        <f t="shared" si="9"/>
        <v>29.055521353884604</v>
      </c>
      <c r="W37" s="400">
        <f t="shared" si="10"/>
        <v>28.553025679698681</v>
      </c>
      <c r="X37" s="157">
        <f t="shared" si="11"/>
        <v>46410</v>
      </c>
      <c r="Y37" s="383">
        <f t="shared" si="12"/>
        <v>26.456218285087491</v>
      </c>
      <c r="Z37" s="383">
        <f t="shared" si="22"/>
        <v>27.987007116894166</v>
      </c>
      <c r="AA37" s="384">
        <f t="shared" si="13"/>
        <v>30.374248892894261</v>
      </c>
      <c r="AB37" s="197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7.8594265307365865E-2</v>
      </c>
      <c r="AD37" s="230">
        <f>(INDEX(Models!$BJ37:$BT37,,AH37)*(1-AF37)+INDEX(Models!$BJ37:$BT37,,AH37+1)*AF37-ERP_i)*AE37*Ramure*Pc/MaxiM</f>
        <v>5.4232375977170649E-2</v>
      </c>
      <c r="AE37" s="304">
        <f t="shared" si="15"/>
        <v>0.7</v>
      </c>
      <c r="AF37" s="177">
        <f t="shared" si="23"/>
        <v>0.9354225931486595</v>
      </c>
      <c r="AG37" s="799">
        <f t="shared" si="24"/>
        <v>1</v>
      </c>
      <c r="AH37" s="176">
        <f t="shared" si="16"/>
        <v>7</v>
      </c>
      <c r="AI37" s="224">
        <f t="shared" si="17"/>
        <v>1.9354225931486595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46411</v>
      </c>
      <c r="B38" s="409">
        <f>'2026'!Wh/'2026'!Env_an*'2027'!Env_an</f>
        <v>29.049921917540015</v>
      </c>
      <c r="C38" s="829"/>
      <c r="D38" s="391">
        <f t="shared" si="0"/>
        <v>30.731374542606186</v>
      </c>
      <c r="E38" s="383">
        <f t="shared" si="1"/>
        <v>32.488191998419317</v>
      </c>
      <c r="F38" s="383">
        <f t="shared" si="2"/>
        <v>32.632764926208949</v>
      </c>
      <c r="G38" s="110">
        <f t="shared" si="21"/>
        <v>0.98951677797730242</v>
      </c>
      <c r="H38" s="412" t="b">
        <f>Wh_hp&gt;='2026'!Maxi_hp</f>
        <v>1</v>
      </c>
      <c r="I38" s="388">
        <f>IF(H38,Wh_hp,'2026'!Maxi_hp)</f>
        <v>32.632764926208949</v>
      </c>
      <c r="J38" s="85">
        <f>IF(H38,An,'2026'!An_max)</f>
        <v>2027</v>
      </c>
      <c r="K38" s="197">
        <f t="shared" si="3"/>
        <v>46411</v>
      </c>
      <c r="L38" s="147">
        <f>IF(t&lt;Tvie,1-EXP((T0-t)*PertePVj)+'2026'!Pspv,1-EXP((T0-t)*PertePVj)+Pspv)</f>
        <v>5.471452709461444E-2</v>
      </c>
      <c r="M38" s="832"/>
      <c r="N38" s="832"/>
      <c r="O38" s="48">
        <f>IF(t&lt;Tnet,'2026'!Resal+('2026'!Salim-'2026'!Resal)*(1-EXP(('2026'!Tnet-t)/('2026'!Tau_j))),Resal+(Salim-Resal)*(1-EXP((Tnet-t)/(Tau_j))))*Salcycl</f>
        <v>5.4075568621935216E-2</v>
      </c>
      <c r="P38" s="169">
        <f>(INDEX(Models!$BJ38:$BT38,,T38)*(1-R38)+INDEX(Models!$BJ38:$BT38,,T38+1)*R38-ERP_i)*Q38*Ramure*Pc/MaxiM</f>
        <v>4.4972228545944121E-3</v>
      </c>
      <c r="Q38" s="304">
        <f t="shared" si="4"/>
        <v>0.7</v>
      </c>
      <c r="R38" s="177">
        <f t="shared" si="5"/>
        <v>0.17982224367749222</v>
      </c>
      <c r="S38" s="799">
        <f t="shared" si="6"/>
        <v>-1</v>
      </c>
      <c r="T38" s="176">
        <f t="shared" si="7"/>
        <v>5</v>
      </c>
      <c r="U38" s="250">
        <f t="shared" si="8"/>
        <v>-0.82017775632250778</v>
      </c>
      <c r="V38" s="382">
        <f t="shared" si="9"/>
        <v>29.355711595303116</v>
      </c>
      <c r="W38" s="400">
        <f t="shared" si="10"/>
        <v>29.049921917540015</v>
      </c>
      <c r="X38" s="157">
        <f t="shared" si="11"/>
        <v>46411</v>
      </c>
      <c r="Y38" s="383">
        <f t="shared" si="12"/>
        <v>26.929520546605271</v>
      </c>
      <c r="Z38" s="383">
        <f t="shared" si="22"/>
        <v>28.488241191135568</v>
      </c>
      <c r="AA38" s="384">
        <f t="shared" si="13"/>
        <v>30.91892427853238</v>
      </c>
      <c r="AB38" s="197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7.8614736576863506E-2</v>
      </c>
      <c r="AD38" s="230">
        <f>(INDEX(Models!$BJ38:$BT38,,AH38)*(1-AF38)+INDEX(Models!$BJ38:$BT38,,AH38+1)*AF38-ERP_i)*AE38*Ramure*Pc/MaxiM</f>
        <v>5.3312355554418156E-2</v>
      </c>
      <c r="AE38" s="304">
        <f t="shared" si="15"/>
        <v>0.7</v>
      </c>
      <c r="AF38" s="177">
        <f t="shared" si="23"/>
        <v>0.93548007451684301</v>
      </c>
      <c r="AG38" s="799">
        <f t="shared" si="24"/>
        <v>1</v>
      </c>
      <c r="AH38" s="176">
        <f t="shared" si="16"/>
        <v>7</v>
      </c>
      <c r="AI38" s="224">
        <f t="shared" si="17"/>
        <v>1.935480074516843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46412</v>
      </c>
      <c r="B39" s="409">
        <f>'2026'!Wh/'2026'!Env_an*'2027'!Env_an</f>
        <v>27.133432227074497</v>
      </c>
      <c r="C39" s="829"/>
      <c r="D39" s="391">
        <f t="shared" si="0"/>
        <v>28.704505697819869</v>
      </c>
      <c r="E39" s="383">
        <f t="shared" si="1"/>
        <v>30.347043184569479</v>
      </c>
      <c r="F39" s="383">
        <f t="shared" si="2"/>
        <v>30.467578215389366</v>
      </c>
      <c r="G39" s="110">
        <f t="shared" si="21"/>
        <v>0.91428398272516143</v>
      </c>
      <c r="H39" s="412" t="b">
        <f>Wh_hp&gt;='2026'!Maxi_hp</f>
        <v>1</v>
      </c>
      <c r="I39" s="388">
        <f>IF(H39,Wh_hp,'2026'!Maxi_hp)</f>
        <v>30.467578215389366</v>
      </c>
      <c r="J39" s="85">
        <f>IF(H39,An,'2026'!An_max)</f>
        <v>2027</v>
      </c>
      <c r="K39" s="197">
        <f t="shared" si="3"/>
        <v>46412</v>
      </c>
      <c r="L39" s="147">
        <f>IF(t&lt;Tvie,1-EXP((T0-t)*PertePVj)+'2026'!Pspv,1-EXP((T0-t)*PertePVj)+Pspv)</f>
        <v>5.4732643275048454E-2</v>
      </c>
      <c r="M39" s="832"/>
      <c r="N39" s="832"/>
      <c r="O39" s="48">
        <f>IF(t&lt;Tnet,'2026'!Resal+('2026'!Salim-'2026'!Resal)*(1-EXP(('2026'!Tnet-t)/('2026'!Tau_j))),Resal+(Salim-Resal)*(1-EXP((Tnet-t)/(Tau_j))))*Salcycl</f>
        <v>5.4125124374053993E-2</v>
      </c>
      <c r="P39" s="169">
        <f>(INDEX(Models!$BJ39:$BT39,,T39)*(1-R39)+INDEX(Models!$BJ39:$BT39,,T39+1)*R39-ERP_i)*Q39*Ramure*Pc/MaxiM</f>
        <v>4.5045176595137531E-3</v>
      </c>
      <c r="Q39" s="304">
        <f t="shared" si="4"/>
        <v>0.7</v>
      </c>
      <c r="R39" s="177">
        <f t="shared" si="5"/>
        <v>0.17988211890261874</v>
      </c>
      <c r="S39" s="799">
        <f t="shared" si="6"/>
        <v>-1</v>
      </c>
      <c r="T39" s="176">
        <f t="shared" si="7"/>
        <v>5</v>
      </c>
      <c r="U39" s="250">
        <f t="shared" si="8"/>
        <v>-0.82011788109738126</v>
      </c>
      <c r="V39" s="382">
        <f t="shared" si="9"/>
        <v>29.660909727752635</v>
      </c>
      <c r="W39" s="400">
        <f t="shared" si="10"/>
        <v>27.133432227074497</v>
      </c>
      <c r="X39" s="157">
        <f t="shared" si="11"/>
        <v>46412</v>
      </c>
      <c r="Y39" s="383">
        <f t="shared" si="12"/>
        <v>25.312316377437792</v>
      </c>
      <c r="Z39" s="383">
        <f t="shared" si="22"/>
        <v>26.777944035999354</v>
      </c>
      <c r="AA39" s="384">
        <f t="shared" si="13"/>
        <v>29.063349310980531</v>
      </c>
      <c r="AB39" s="197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7.8635302852645361E-2</v>
      </c>
      <c r="AD39" s="230">
        <f>(INDEX(Models!$BJ39:$BT39,,AH39)*(1-AF39)+INDEX(Models!$BJ39:$BT39,,AH39+1)*AF39-ERP_i)*AE39*Ramure*Pc/MaxiM</f>
        <v>5.2477473601522488E-2</v>
      </c>
      <c r="AE39" s="304">
        <f t="shared" si="15"/>
        <v>0.7</v>
      </c>
      <c r="AF39" s="177">
        <f t="shared" si="23"/>
        <v>0.93553994974196963</v>
      </c>
      <c r="AG39" s="799">
        <f t="shared" si="24"/>
        <v>1</v>
      </c>
      <c r="AH39" s="176">
        <f t="shared" si="16"/>
        <v>7</v>
      </c>
      <c r="AI39" s="224">
        <f t="shared" si="17"/>
        <v>1.9355399497419696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46413</v>
      </c>
      <c r="B40" s="409">
        <f>'2026'!Wh/'2026'!Env_an*'2027'!Env_an</f>
        <v>29.228157023902732</v>
      </c>
      <c r="C40" s="829"/>
      <c r="D40" s="391">
        <f t="shared" si="0"/>
        <v>30.921111342369411</v>
      </c>
      <c r="E40" s="383">
        <f t="shared" si="1"/>
        <v>32.692201724552604</v>
      </c>
      <c r="F40" s="383">
        <f t="shared" si="2"/>
        <v>32.835013320516431</v>
      </c>
      <c r="G40" s="110">
        <f t="shared" si="21"/>
        <v>0.97507675736410626</v>
      </c>
      <c r="H40" s="412" t="b">
        <f>Wh_hp&gt;='2026'!Maxi_hp</f>
        <v>1</v>
      </c>
      <c r="I40" s="388">
        <f>IF(H40,Wh_hp,'2026'!Maxi_hp)</f>
        <v>32.835013320516431</v>
      </c>
      <c r="J40" s="85">
        <f>IF(H40,An,'2026'!An_max)</f>
        <v>2027</v>
      </c>
      <c r="K40" s="197">
        <f t="shared" si="3"/>
        <v>46413</v>
      </c>
      <c r="L40" s="147">
        <f>IF(t&lt;Tvie,1-EXP((T0-t)*PertePVj)+'2026'!Pspv,1-EXP((T0-t)*PertePVj)+Pspv)</f>
        <v>5.475075910828997E-2</v>
      </c>
      <c r="M40" s="832"/>
      <c r="N40" s="832"/>
      <c r="O40" s="48">
        <f>IF(t&lt;Tnet,'2026'!Resal+('2026'!Salim-'2026'!Resal)*(1-EXP(('2026'!Tnet-t)/('2026'!Tau_j))),Resal+(Salim-Resal)*(1-EXP((Tnet-t)/(Tau_j))))*Salcycl</f>
        <v>5.4174704937448956E-2</v>
      </c>
      <c r="P40" s="169">
        <f>(INDEX(Models!$BJ40:$BT40,,T40)*(1-R40)+INDEX(Models!$BJ40:$BT40,,T40+1)*R40-ERP_i)*Q40*Ramure*Pc/MaxiM</f>
        <v>4.5089004391044843E-3</v>
      </c>
      <c r="Q40" s="304">
        <f t="shared" si="4"/>
        <v>0.7</v>
      </c>
      <c r="R40" s="177">
        <f t="shared" si="5"/>
        <v>0.17994448691253295</v>
      </c>
      <c r="S40" s="799">
        <f t="shared" si="6"/>
        <v>-1</v>
      </c>
      <c r="T40" s="176">
        <f t="shared" si="7"/>
        <v>5</v>
      </c>
      <c r="U40" s="250">
        <f t="shared" si="8"/>
        <v>-0.82005551308746705</v>
      </c>
      <c r="V40" s="382">
        <f t="shared" si="9"/>
        <v>29.970434256125547</v>
      </c>
      <c r="W40" s="400">
        <f t="shared" si="10"/>
        <v>29.228157023902732</v>
      </c>
      <c r="X40" s="157">
        <f t="shared" si="11"/>
        <v>46413</v>
      </c>
      <c r="Y40" s="383">
        <f t="shared" si="12"/>
        <v>27.169160769083653</v>
      </c>
      <c r="Z40" s="383">
        <f t="shared" si="22"/>
        <v>28.742853835516822</v>
      </c>
      <c r="AA40" s="384">
        <f t="shared" si="13"/>
        <v>31.196657038937857</v>
      </c>
      <c r="AB40" s="197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7.865596625812632E-2</v>
      </c>
      <c r="AD40" s="230">
        <f>(INDEX(Models!$BJ40:$BT40,,AH40)*(1-AF40)+INDEX(Models!$BJ40:$BT40,,AH40+1)*AF40-ERP_i)*AE40*Ramure*Pc/MaxiM</f>
        <v>5.1726789463863845E-2</v>
      </c>
      <c r="AE40" s="304">
        <f t="shared" si="15"/>
        <v>0.7</v>
      </c>
      <c r="AF40" s="177">
        <f t="shared" si="23"/>
        <v>0.93560231775188374</v>
      </c>
      <c r="AG40" s="799">
        <f t="shared" si="24"/>
        <v>1</v>
      </c>
      <c r="AH40" s="176">
        <f t="shared" si="16"/>
        <v>7</v>
      </c>
      <c r="AI40" s="224">
        <f t="shared" si="17"/>
        <v>1.9356023177518837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46414</v>
      </c>
      <c r="B41" s="409">
        <f>'2026'!Wh/'2026'!Env_an*'2027'!Env_an</f>
        <v>29.026907222314875</v>
      </c>
      <c r="C41" s="829"/>
      <c r="D41" s="391">
        <f t="shared" si="0"/>
        <v>30.708793269855263</v>
      </c>
      <c r="E41" s="383">
        <f t="shared" si="1"/>
        <v>32.469425514381513</v>
      </c>
      <c r="F41" s="383">
        <f t="shared" si="2"/>
        <v>32.60778593624844</v>
      </c>
      <c r="G41" s="110">
        <f t="shared" si="21"/>
        <v>0.9582450148742</v>
      </c>
      <c r="H41" s="412" t="b">
        <f>Wh_hp&gt;='2026'!Maxi_hp</f>
        <v>1</v>
      </c>
      <c r="I41" s="388">
        <f>IF(H41,Wh_hp,'2026'!Maxi_hp)</f>
        <v>32.60778593624844</v>
      </c>
      <c r="J41" s="85">
        <f>IF(H41,An,'2026'!An_max)</f>
        <v>2027</v>
      </c>
      <c r="K41" s="197">
        <f t="shared" si="3"/>
        <v>46414</v>
      </c>
      <c r="L41" s="147">
        <f>IF(t&lt;Tvie,1-EXP((T0-t)*PertePVj)+'2026'!Pspv,1-EXP((T0-t)*PertePVj)+Pspv)</f>
        <v>5.4768874594345651E-2</v>
      </c>
      <c r="M41" s="832"/>
      <c r="N41" s="832"/>
      <c r="O41" s="48">
        <f>IF(t&lt;Tnet,'2026'!Resal+('2026'!Salim-'2026'!Resal)*(1-EXP(('2026'!Tnet-t)/('2026'!Tau_j))),Resal+(Salim-Resal)*(1-EXP((Tnet-t)/(Tau_j))))*Salcycl</f>
        <v>5.4224311537215797E-2</v>
      </c>
      <c r="P41" s="169">
        <f>(INDEX(Models!$BJ41:$BT41,,T41)*(1-R41)+INDEX(Models!$BJ41:$BT41,,T41+1)*R41-ERP_i)*Q41*Ramure*Pc/MaxiM</f>
        <v>4.5105680488557063E-3</v>
      </c>
      <c r="Q41" s="304">
        <f t="shared" si="4"/>
        <v>0.7</v>
      </c>
      <c r="R41" s="177">
        <f t="shared" si="5"/>
        <v>0.18000945065799034</v>
      </c>
      <c r="S41" s="799">
        <f t="shared" si="6"/>
        <v>-1</v>
      </c>
      <c r="T41" s="176">
        <f t="shared" si="7"/>
        <v>5</v>
      </c>
      <c r="U41" s="250">
        <f t="shared" si="8"/>
        <v>-0.81999054934200966</v>
      </c>
      <c r="V41" s="382">
        <f t="shared" si="9"/>
        <v>30.283603876945875</v>
      </c>
      <c r="W41" s="400">
        <f t="shared" si="10"/>
        <v>29.026907222314875</v>
      </c>
      <c r="X41" s="157">
        <f t="shared" si="11"/>
        <v>46414</v>
      </c>
      <c r="Y41" s="383">
        <f t="shared" si="12"/>
        <v>27.032957437226063</v>
      </c>
      <c r="Z41" s="383">
        <f t="shared" si="22"/>
        <v>28.599309428817875</v>
      </c>
      <c r="AA41" s="384">
        <f t="shared" si="13"/>
        <v>31.04155762265643</v>
      </c>
      <c r="AB41" s="197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7.8676728259796574E-2</v>
      </c>
      <c r="AD41" s="230">
        <f>(INDEX(Models!$BJ41:$BT41,,AH41)*(1-AF41)+INDEX(Models!$BJ41:$BT41,,AH41+1)*AF41-ERP_i)*AE41*Ramure*Pc/MaxiM</f>
        <v>5.1059250132207142E-2</v>
      </c>
      <c r="AE41" s="304">
        <f t="shared" si="15"/>
        <v>0.7</v>
      </c>
      <c r="AF41" s="177">
        <f t="shared" si="23"/>
        <v>0.93566728149734102</v>
      </c>
      <c r="AG41" s="799">
        <f t="shared" si="24"/>
        <v>1</v>
      </c>
      <c r="AH41" s="176">
        <f t="shared" si="16"/>
        <v>7</v>
      </c>
      <c r="AI41" s="224">
        <f t="shared" si="17"/>
        <v>1.935667281497341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46415</v>
      </c>
      <c r="B42" s="409">
        <f>'2026'!Wh/'2026'!Env_an*'2027'!Env_an</f>
        <v>3.9594235118825782</v>
      </c>
      <c r="C42" s="829"/>
      <c r="D42" s="391">
        <f t="shared" si="0"/>
        <v>4.1889219349245588</v>
      </c>
      <c r="E42" s="383">
        <f t="shared" si="1"/>
        <v>4.4293185244622011</v>
      </c>
      <c r="F42" s="383">
        <f t="shared" si="2"/>
        <v>4.4293185244622011</v>
      </c>
      <c r="G42" s="110">
        <f t="shared" si="21"/>
        <v>0.12881050547287509</v>
      </c>
      <c r="H42" s="412" t="b">
        <f>Wh_hp&gt;='2026'!Maxi_hp</f>
        <v>0</v>
      </c>
      <c r="I42" s="388">
        <f>IF(H42,Wh_hp,'2026'!Maxi_hp)</f>
        <v>18.718380052919283</v>
      </c>
      <c r="J42" s="85">
        <f>IF(H42,An,'2026'!An_max)</f>
        <v>2021</v>
      </c>
      <c r="K42" s="197">
        <f t="shared" si="3"/>
        <v>46415</v>
      </c>
      <c r="L42" s="147">
        <f>IF(t&lt;Tvie,1-EXP((T0-t)*PertePVj)+'2026'!Pspv,1-EXP((T0-t)*PertePVj)+Pspv)</f>
        <v>5.4786989733222158E-2</v>
      </c>
      <c r="M42" s="832"/>
      <c r="N42" s="832"/>
      <c r="O42" s="48">
        <f>IF(t&lt;Tnet,'2026'!Resal+('2026'!Salim-'2026'!Resal)*(1-EXP(('2026'!Tnet-t)/('2026'!Tau_j))),Resal+(Salim-Resal)*(1-EXP((Tnet-t)/(Tau_j))))*Salcycl</f>
        <v>5.4273944899194376E-2</v>
      </c>
      <c r="P42" s="169">
        <f>(INDEX(Models!$BJ42:$BT42,,T42)*(1-R42)+INDEX(Models!$BJ42:$BT42,,T42+1)*R42-ERP_i)*Q42*Ramure*Pc/MaxiM</f>
        <v>4.5097118735434229E-3</v>
      </c>
      <c r="Q42" s="304">
        <f t="shared" si="4"/>
        <v>0.7</v>
      </c>
      <c r="R42" s="177">
        <f t="shared" si="5"/>
        <v>0.18007711727066711</v>
      </c>
      <c r="S42" s="799">
        <f t="shared" si="6"/>
        <v>-1</v>
      </c>
      <c r="T42" s="176">
        <f t="shared" si="7"/>
        <v>5</v>
      </c>
      <c r="U42" s="250">
        <f t="shared" si="8"/>
        <v>-0.81992288272933289</v>
      </c>
      <c r="V42" s="382">
        <f t="shared" si="9"/>
        <v>30.599737484056917</v>
      </c>
      <c r="W42" s="400">
        <f t="shared" si="10"/>
        <v>3.9594235118825782</v>
      </c>
      <c r="X42" s="157">
        <f t="shared" si="11"/>
        <v>46415</v>
      </c>
      <c r="Y42" s="383">
        <f t="shared" si="12"/>
        <v>3.857170272117922</v>
      </c>
      <c r="Z42" s="383">
        <f t="shared" si="22"/>
        <v>4.0807418330279548</v>
      </c>
      <c r="AA42" s="384">
        <f t="shared" si="13"/>
        <v>4.4293185244622011</v>
      </c>
      <c r="AB42" s="197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7.8697589597390594E-2</v>
      </c>
      <c r="AD42" s="230">
        <f>(INDEX(Models!$BJ42:$BT42,,AH42)*(1-AF42)+INDEX(Models!$BJ42:$BT42,,AH42+1)*AF42-ERP_i)*AE42*Ramure*Pc/MaxiM</f>
        <v>5.047371666286244E-2</v>
      </c>
      <c r="AE42" s="304">
        <f t="shared" si="15"/>
        <v>0.7</v>
      </c>
      <c r="AF42" s="177">
        <f t="shared" si="23"/>
        <v>0.93573494811001789</v>
      </c>
      <c r="AG42" s="799">
        <f t="shared" si="24"/>
        <v>1</v>
      </c>
      <c r="AH42" s="176">
        <f t="shared" si="16"/>
        <v>7</v>
      </c>
      <c r="AI42" s="224">
        <f t="shared" si="17"/>
        <v>1.9357349481100179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46416</v>
      </c>
      <c r="B43" s="409">
        <f>'2026'!Wh/'2026'!Env_an*'2027'!Env_an</f>
        <v>6.0949358339468089</v>
      </c>
      <c r="C43" s="829"/>
      <c r="D43" s="391">
        <f t="shared" si="0"/>
        <v>6.4483376530333167</v>
      </c>
      <c r="E43" s="383">
        <f t="shared" si="1"/>
        <v>6.8187571230087576</v>
      </c>
      <c r="F43" s="383">
        <f t="shared" si="2"/>
        <v>6.8187571230087576</v>
      </c>
      <c r="G43" s="110">
        <f t="shared" si="21"/>
        <v>0.19624292144615241</v>
      </c>
      <c r="H43" s="412" t="b">
        <f>Wh_hp&gt;='2026'!Maxi_hp</f>
        <v>0</v>
      </c>
      <c r="I43" s="388">
        <f>IF(H43,Wh_hp,'2026'!Maxi_hp)</f>
        <v>27.689355662253256</v>
      </c>
      <c r="J43" s="85">
        <f>IF(H43,An,'2026'!An_max)</f>
        <v>2020</v>
      </c>
      <c r="K43" s="197">
        <f t="shared" si="3"/>
        <v>46416</v>
      </c>
      <c r="L43" s="147">
        <f>IF(t&lt;Tvie,1-EXP((T0-t)*PertePVj)+'2026'!Pspv,1-EXP((T0-t)*PertePVj)+Pspv)</f>
        <v>5.4805104524926151E-2</v>
      </c>
      <c r="M43" s="832"/>
      <c r="N43" s="832"/>
      <c r="O43" s="48">
        <f>IF(t&lt;Tnet,'2026'!Resal+('2026'!Salim-'2026'!Resal)*(1-EXP(('2026'!Tnet-t)/('2026'!Tau_j))),Resal+(Salim-Resal)*(1-EXP((Tnet-t)/(Tau_j))))*Salcycl</f>
        <v>5.4323605210328162E-2</v>
      </c>
      <c r="P43" s="169">
        <f>(INDEX(Models!$BJ43:$BT43,,T43)*(1-R43)+INDEX(Models!$BJ43:$BT43,,T43+1)*R43-ERP_i)*Q43*Ramure*Pc/MaxiM</f>
        <v>4.5065172892383432E-3</v>
      </c>
      <c r="Q43" s="304">
        <f t="shared" si="4"/>
        <v>0.7</v>
      </c>
      <c r="R43" s="177">
        <f t="shared" si="5"/>
        <v>0.1801475982268953</v>
      </c>
      <c r="S43" s="799">
        <f t="shared" si="6"/>
        <v>-1</v>
      </c>
      <c r="T43" s="176">
        <f t="shared" si="7"/>
        <v>5</v>
      </c>
      <c r="U43" s="250">
        <f t="shared" si="8"/>
        <v>-0.8198524017731047</v>
      </c>
      <c r="V43" s="382">
        <f t="shared" si="9"/>
        <v>30.918154170973228</v>
      </c>
      <c r="W43" s="400">
        <f t="shared" si="10"/>
        <v>6.0949358339468089</v>
      </c>
      <c r="X43" s="157">
        <f t="shared" si="11"/>
        <v>46416</v>
      </c>
      <c r="Y43" s="383">
        <f t="shared" si="12"/>
        <v>5.9377090855796864</v>
      </c>
      <c r="Z43" s="383">
        <f t="shared" si="22"/>
        <v>6.2819944479231182</v>
      </c>
      <c r="AA43" s="384">
        <f t="shared" si="13"/>
        <v>6.8187571230087576</v>
      </c>
      <c r="AB43" s="197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7.8718550228812717E-2</v>
      </c>
      <c r="AD43" s="230">
        <f>(INDEX(Models!$BJ43:$BT43,,AH43)*(1-AF43)+INDEX(Models!$BJ43:$BT43,,AH43+1)*AF43-ERP_i)*AE43*Ramure*Pc/MaxiM</f>
        <v>4.9968988674494161E-2</v>
      </c>
      <c r="AE43" s="304">
        <f t="shared" si="15"/>
        <v>0.7</v>
      </c>
      <c r="AF43" s="177">
        <f t="shared" si="23"/>
        <v>0.93580542906624609</v>
      </c>
      <c r="AG43" s="799">
        <f t="shared" si="24"/>
        <v>1</v>
      </c>
      <c r="AH43" s="176">
        <f t="shared" si="16"/>
        <v>7</v>
      </c>
      <c r="AI43" s="224">
        <f t="shared" si="17"/>
        <v>1.9358054290662461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46417</v>
      </c>
      <c r="B44" s="409">
        <f>'2026'!Wh/'2026'!Env_an*'2027'!Env_an</f>
        <v>5.496098723139756</v>
      </c>
      <c r="C44" s="829"/>
      <c r="D44" s="391">
        <f t="shared" si="0"/>
        <v>5.8148896941239974</v>
      </c>
      <c r="E44" s="383">
        <f t="shared" si="1"/>
        <v>6.1492443534842378</v>
      </c>
      <c r="F44" s="383">
        <f t="shared" si="2"/>
        <v>6.1492443534842378</v>
      </c>
      <c r="G44" s="110">
        <f t="shared" si="21"/>
        <v>0.17514980291585702</v>
      </c>
      <c r="H44" s="412" t="b">
        <f>Wh_hp&gt;='2026'!Maxi_hp</f>
        <v>0</v>
      </c>
      <c r="I44" s="388">
        <f>IF(H44,Wh_hp,'2026'!Maxi_hp)</f>
        <v>10.667841852164717</v>
      </c>
      <c r="J44" s="85">
        <f>IF(H44,An,'2026'!An_max)</f>
        <v>2020</v>
      </c>
      <c r="K44" s="197">
        <f t="shared" si="3"/>
        <v>46417</v>
      </c>
      <c r="L44" s="147">
        <f>IF(t&lt;Tvie,1-EXP((T0-t)*PertePVj)+'2026'!Pspv,1-EXP((T0-t)*PertePVj)+Pspv)</f>
        <v>5.4823218969464294E-2</v>
      </c>
      <c r="M44" s="832"/>
      <c r="N44" s="832"/>
      <c r="O44" s="48">
        <f>IF(t&lt;Tnet,'2026'!Resal+('2026'!Salim-'2026'!Resal)*(1-EXP(('2026'!Tnet-t)/('2026'!Tau_j))),Resal+(Salim-Resal)*(1-EXP((Tnet-t)/(Tau_j))))*Salcycl</f>
        <v>5.4373292089261456E-2</v>
      </c>
      <c r="P44" s="169">
        <f>(INDEX(Models!$BJ44:$BT44,,T44)*(1-R44)+INDEX(Models!$BJ44:$BT44,,T44+1)*R44-ERP_i)*Q44*Ramure*Pc/MaxiM</f>
        <v>4.4929329626903743E-3</v>
      </c>
      <c r="Q44" s="304">
        <f t="shared" si="4"/>
        <v>0.7</v>
      </c>
      <c r="R44" s="177">
        <f t="shared" si="5"/>
        <v>0.18022100951729003</v>
      </c>
      <c r="S44" s="799">
        <f t="shared" si="6"/>
        <v>-1</v>
      </c>
      <c r="T44" s="176">
        <f t="shared" si="7"/>
        <v>5</v>
      </c>
      <c r="U44" s="250">
        <f t="shared" si="8"/>
        <v>-0.81977899048270997</v>
      </c>
      <c r="V44" s="382">
        <f t="shared" si="9"/>
        <v>31.238431496545026</v>
      </c>
      <c r="W44" s="400">
        <f t="shared" si="10"/>
        <v>5.496098723139756</v>
      </c>
      <c r="X44" s="157">
        <f t="shared" si="11"/>
        <v>46417</v>
      </c>
      <c r="Y44" s="383">
        <f t="shared" si="12"/>
        <v>5.3544786909063449</v>
      </c>
      <c r="Z44" s="383">
        <f t="shared" si="22"/>
        <v>5.6650552556615947</v>
      </c>
      <c r="AA44" s="384">
        <f t="shared" si="13"/>
        <v>6.1492443534842378</v>
      </c>
      <c r="AB44" s="197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7.8739609290090384E-2</v>
      </c>
      <c r="AD44" s="230">
        <f>(INDEX(Models!$BJ44:$BT44,,AH44)*(1-AF44)+INDEX(Models!$BJ44:$BT44,,AH44+1)*AF44-ERP_i)*AE44*Ramure*Pc/MaxiM</f>
        <v>4.9542790898686899E-2</v>
      </c>
      <c r="AE44" s="304">
        <f t="shared" si="15"/>
        <v>0.7</v>
      </c>
      <c r="AF44" s="177">
        <f t="shared" si="23"/>
        <v>0.93587884035664093</v>
      </c>
      <c r="AG44" s="799">
        <f t="shared" si="24"/>
        <v>1</v>
      </c>
      <c r="AH44" s="176">
        <f t="shared" si="16"/>
        <v>7</v>
      </c>
      <c r="AI44" s="224">
        <f t="shared" si="17"/>
        <v>1.9358788403566409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46418</v>
      </c>
      <c r="B45" s="409">
        <f>'2026'!Wh/'2026'!Env_an*'2027'!Env_an</f>
        <v>6.8758712410099934</v>
      </c>
      <c r="C45" s="829"/>
      <c r="D45" s="391">
        <f t="shared" si="0"/>
        <v>7.2748327678365001</v>
      </c>
      <c r="E45" s="383">
        <f t="shared" si="1"/>
        <v>7.6935382343005099</v>
      </c>
      <c r="F45" s="383">
        <f t="shared" si="2"/>
        <v>7.6935382343005099</v>
      </c>
      <c r="G45" s="110">
        <f t="shared" si="21"/>
        <v>0.21689367644355506</v>
      </c>
      <c r="H45" s="412" t="b">
        <f>Wh_hp&gt;='2026'!Maxi_hp</f>
        <v>0</v>
      </c>
      <c r="I45" s="388">
        <f>IF(H45,Wh_hp,'2026'!Maxi_hp)</f>
        <v>21.848733659114771</v>
      </c>
      <c r="J45" s="85">
        <f>IF(H45,An,'2026'!An_max)</f>
        <v>2020</v>
      </c>
      <c r="K45" s="197">
        <f t="shared" si="3"/>
        <v>46418</v>
      </c>
      <c r="L45" s="147">
        <f>IF(t&lt;Tvie,1-EXP((T0-t)*PertePVj)+'2026'!Pspv,1-EXP((T0-t)*PertePVj)+Pspv)</f>
        <v>5.4841333066843245E-2</v>
      </c>
      <c r="M45" s="832"/>
      <c r="N45" s="832"/>
      <c r="O45" s="48">
        <f>IF(t&lt;Tnet,'2026'!Resal+('2026'!Salim-'2026'!Resal)*(1-EXP(('2026'!Tnet-t)/('2026'!Tau_j))),Resal+(Salim-Resal)*(1-EXP((Tnet-t)/(Tau_j))))*Salcycl</f>
        <v>5.4423004567296825E-2</v>
      </c>
      <c r="P45" s="169">
        <f>(INDEX(Models!$BJ45:$BT45,,T45)*(1-R45)+INDEX(Models!$BJ45:$BT45,,T45+1)*R45-ERP_i)*Q45*Ramure*Pc/MaxiM</f>
        <v>4.4694384577136119E-3</v>
      </c>
      <c r="Q45" s="304">
        <f t="shared" si="4"/>
        <v>0.7</v>
      </c>
      <c r="R45" s="177">
        <f t="shared" si="5"/>
        <v>0.18029747182243416</v>
      </c>
      <c r="S45" s="799">
        <f t="shared" si="6"/>
        <v>-1</v>
      </c>
      <c r="T45" s="176">
        <f t="shared" si="7"/>
        <v>5</v>
      </c>
      <c r="U45" s="250">
        <f t="shared" si="8"/>
        <v>-0.81970252817756584</v>
      </c>
      <c r="V45" s="382">
        <f t="shared" si="9"/>
        <v>31.559887175579011</v>
      </c>
      <c r="W45" s="400">
        <f t="shared" si="10"/>
        <v>6.8758712410099934</v>
      </c>
      <c r="X45" s="157">
        <f t="shared" si="11"/>
        <v>46418</v>
      </c>
      <c r="Y45" s="383">
        <f t="shared" si="12"/>
        <v>6.6988964326944345</v>
      </c>
      <c r="Z45" s="383">
        <f t="shared" si="22"/>
        <v>7.0875892768681474</v>
      </c>
      <c r="AA45" s="384">
        <f t="shared" si="13"/>
        <v>7.6935382343005099</v>
      </c>
      <c r="AB45" s="197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7.8760765070462327E-2</v>
      </c>
      <c r="AD45" s="230">
        <f>(INDEX(Models!$BJ45:$BT45,,AH45)*(1-AF45)+INDEX(Models!$BJ45:$BT45,,AH45+1)*AF45-ERP_i)*AE45*Ramure*Pc/MaxiM</f>
        <v>4.9163489514032856E-2</v>
      </c>
      <c r="AE45" s="304">
        <f t="shared" si="15"/>
        <v>0.7</v>
      </c>
      <c r="AF45" s="177">
        <f t="shared" si="23"/>
        <v>0.93595530266178484</v>
      </c>
      <c r="AG45" s="799">
        <f t="shared" si="24"/>
        <v>1</v>
      </c>
      <c r="AH45" s="176">
        <f t="shared" si="16"/>
        <v>7</v>
      </c>
      <c r="AI45" s="224">
        <f t="shared" si="17"/>
        <v>1.9359553026617848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46419</v>
      </c>
      <c r="B46" s="409">
        <f>'2026'!Wh/'2026'!Env_an*'2027'!Env_an</f>
        <v>17.250006248596037</v>
      </c>
      <c r="C46" s="829"/>
      <c r="D46" s="391">
        <f t="shared" si="0"/>
        <v>18.251260291925416</v>
      </c>
      <c r="E46" s="383">
        <f t="shared" si="1"/>
        <v>19.302733072727122</v>
      </c>
      <c r="F46" s="383">
        <f t="shared" si="2"/>
        <v>19.332268609914742</v>
      </c>
      <c r="G46" s="110">
        <f t="shared" si="21"/>
        <v>0.53948437975074648</v>
      </c>
      <c r="H46" s="412" t="b">
        <f>Wh_hp&gt;='2026'!Maxi_hp</f>
        <v>1</v>
      </c>
      <c r="I46" s="388">
        <f>IF(H46,Wh_hp,'2026'!Maxi_hp)</f>
        <v>19.332268609914742</v>
      </c>
      <c r="J46" s="85">
        <f>IF(H46,An,'2026'!An_max)</f>
        <v>2027</v>
      </c>
      <c r="K46" s="197">
        <f t="shared" si="3"/>
        <v>46419</v>
      </c>
      <c r="L46" s="147">
        <f>IF(t&lt;Tvie,1-EXP((T0-t)*PertePVj)+'2026'!Pspv,1-EXP((T0-t)*PertePVj)+Pspv)</f>
        <v>5.4859446817069779E-2</v>
      </c>
      <c r="M46" s="832"/>
      <c r="N46" s="832"/>
      <c r="O46" s="48">
        <f>IF(t&lt;Tnet,'2026'!Resal+('2026'!Salim-'2026'!Resal)*(1-EXP(('2026'!Tnet-t)/('2026'!Tau_j))),Resal+(Salim-Resal)*(1-EXP((Tnet-t)/(Tau_j))))*Salcycl</f>
        <v>5.4472741079724878E-2</v>
      </c>
      <c r="P46" s="169">
        <f>(INDEX(Models!$BJ46:$BT46,,T46)*(1-R46)+INDEX(Models!$BJ46:$BT46,,T46+1)*R46-ERP_i)*Q46*Ramure*Pc/MaxiM</f>
        <v>4.4364333655990025E-3</v>
      </c>
      <c r="Q46" s="304">
        <f t="shared" si="4"/>
        <v>0.7</v>
      </c>
      <c r="R46" s="177">
        <f t="shared" si="5"/>
        <v>0.18037711069478646</v>
      </c>
      <c r="S46" s="799">
        <f t="shared" si="6"/>
        <v>-1</v>
      </c>
      <c r="T46" s="176">
        <f t="shared" si="7"/>
        <v>5</v>
      </c>
      <c r="U46" s="250">
        <f t="shared" si="8"/>
        <v>-0.81962288930521354</v>
      </c>
      <c r="V46" s="382">
        <f t="shared" si="9"/>
        <v>31.88184108307296</v>
      </c>
      <c r="W46" s="400">
        <f t="shared" si="10"/>
        <v>17.250006248596037</v>
      </c>
      <c r="X46" s="157">
        <f t="shared" si="11"/>
        <v>46419</v>
      </c>
      <c r="Y46" s="383">
        <f t="shared" si="12"/>
        <v>16.549178629627427</v>
      </c>
      <c r="Z46" s="383">
        <f t="shared" si="22"/>
        <v>17.509754050754783</v>
      </c>
      <c r="AA46" s="384">
        <f t="shared" si="13"/>
        <v>19.007177818834339</v>
      </c>
      <c r="AB46" s="197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7.8782015002550637E-2</v>
      </c>
      <c r="AD46" s="230">
        <f>(INDEX(Models!$BJ46:$BT46,,AH46)*(1-AF46)+INDEX(Models!$BJ46:$BT46,,AH46+1)*AF46-ERP_i)*AE46*Ramure*Pc/MaxiM</f>
        <v>4.8830790624746212E-2</v>
      </c>
      <c r="AE46" s="304">
        <f t="shared" si="15"/>
        <v>0.7</v>
      </c>
      <c r="AF46" s="177">
        <f t="shared" si="23"/>
        <v>0.93603494153413735</v>
      </c>
      <c r="AG46" s="799">
        <f t="shared" si="24"/>
        <v>1</v>
      </c>
      <c r="AH46" s="176">
        <f t="shared" si="16"/>
        <v>7</v>
      </c>
      <c r="AI46" s="224">
        <f t="shared" si="17"/>
        <v>1.9360349415341374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46420</v>
      </c>
      <c r="B47" s="409">
        <f>'2026'!Wh/'2026'!Env_an*'2027'!Env_an</f>
        <v>6.3321080408163741</v>
      </c>
      <c r="C47" s="829"/>
      <c r="D47" s="391">
        <f t="shared" si="0"/>
        <v>6.6997753669792575</v>
      </c>
      <c r="E47" s="383">
        <f t="shared" si="1"/>
        <v>7.086128821897292</v>
      </c>
      <c r="F47" s="383">
        <f t="shared" si="2"/>
        <v>7.086128821897292</v>
      </c>
      <c r="G47" s="110">
        <f t="shared" si="21"/>
        <v>0.19576321457710072</v>
      </c>
      <c r="H47" s="412" t="b">
        <f>Wh_hp&gt;='2026'!Maxi_hp</f>
        <v>0</v>
      </c>
      <c r="I47" s="388">
        <f>IF(H47,Wh_hp,'2026'!Maxi_hp)</f>
        <v>33.054204591173026</v>
      </c>
      <c r="J47" s="85">
        <f>IF(H47,An,'2026'!An_max)</f>
        <v>2021</v>
      </c>
      <c r="K47" s="197">
        <f t="shared" si="3"/>
        <v>46420</v>
      </c>
      <c r="L47" s="147">
        <f>IF(t&lt;Tvie,1-EXP((T0-t)*PertePVj)+'2026'!Pspv,1-EXP((T0-t)*PertePVj)+Pspv)</f>
        <v>5.4877560220150223E-2</v>
      </c>
      <c r="M47" s="832"/>
      <c r="N47" s="832"/>
      <c r="O47" s="48">
        <f>IF(t&lt;Tnet,'2026'!Resal+('2026'!Salim-'2026'!Resal)*(1-EXP(('2026'!Tnet-t)/('2026'!Tau_j))),Resal+(Salim-Resal)*(1-EXP((Tnet-t)/(Tau_j))))*Salcycl</f>
        <v>5.4522499467429812E-2</v>
      </c>
      <c r="P47" s="169">
        <f>(INDEX(Models!$BJ47:$BT47,,T47)*(1-R47)+INDEX(Models!$BJ47:$BT47,,T47+1)*R47-ERP_i)*Q47*Ramure*Pc/MaxiM</f>
        <v>4.3942990622215664E-3</v>
      </c>
      <c r="Q47" s="304">
        <f t="shared" si="4"/>
        <v>0.7</v>
      </c>
      <c r="R47" s="177">
        <f t="shared" si="5"/>
        <v>0.1804600567469824</v>
      </c>
      <c r="S47" s="799">
        <f t="shared" si="6"/>
        <v>-1</v>
      </c>
      <c r="T47" s="176">
        <f t="shared" si="7"/>
        <v>5</v>
      </c>
      <c r="U47" s="250">
        <f t="shared" si="8"/>
        <v>-0.8195399432530176</v>
      </c>
      <c r="V47" s="382">
        <f t="shared" si="9"/>
        <v>32.203613319333847</v>
      </c>
      <c r="W47" s="400">
        <f t="shared" si="10"/>
        <v>6.3321080408163741</v>
      </c>
      <c r="X47" s="157">
        <f t="shared" si="11"/>
        <v>46420</v>
      </c>
      <c r="Y47" s="383">
        <f t="shared" si="12"/>
        <v>6.1694928493441399</v>
      </c>
      <c r="Z47" s="383">
        <f t="shared" si="22"/>
        <v>6.5277180920402422</v>
      </c>
      <c r="AA47" s="384">
        <f t="shared" si="13"/>
        <v>7.086128821897292</v>
      </c>
      <c r="AB47" s="197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7.8803355667408911E-2</v>
      </c>
      <c r="AD47" s="230">
        <f>(INDEX(Models!$BJ47:$BT47,,AH47)*(1-AF47)+INDEX(Models!$BJ47:$BT47,,AH47+1)*AF47-ERP_i)*AE47*Ramure*Pc/MaxiM</f>
        <v>4.8544378245768696E-2</v>
      </c>
      <c r="AE47" s="304">
        <f t="shared" si="15"/>
        <v>0.7</v>
      </c>
      <c r="AF47" s="177">
        <f t="shared" si="23"/>
        <v>0.93611788758633319</v>
      </c>
      <c r="AG47" s="799">
        <f t="shared" si="24"/>
        <v>1</v>
      </c>
      <c r="AH47" s="176">
        <f t="shared" si="16"/>
        <v>7</v>
      </c>
      <c r="AI47" s="224">
        <f t="shared" si="17"/>
        <v>1.9361178875863332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46421</v>
      </c>
      <c r="B48" s="409">
        <f>'2026'!Wh/'2026'!Env_an*'2027'!Env_an</f>
        <v>14.958804634990544</v>
      </c>
      <c r="C48" s="829"/>
      <c r="D48" s="391">
        <f t="shared" si="0"/>
        <v>15.827675540163337</v>
      </c>
      <c r="E48" s="383">
        <f t="shared" si="1"/>
        <v>16.74128561594123</v>
      </c>
      <c r="F48" s="383">
        <f t="shared" si="2"/>
        <v>16.757914563800654</v>
      </c>
      <c r="G48" s="110">
        <f t="shared" si="21"/>
        <v>0.45838107863067318</v>
      </c>
      <c r="H48" s="412" t="b">
        <f>Wh_hp&gt;='2026'!Maxi_hp</f>
        <v>0</v>
      </c>
      <c r="I48" s="388">
        <f>IF(H48,Wh_hp,'2026'!Maxi_hp)</f>
        <v>27.412753039742405</v>
      </c>
      <c r="J48" s="85">
        <f>IF(H48,An,'2026'!An_max)</f>
        <v>2020</v>
      </c>
      <c r="K48" s="197">
        <f t="shared" si="3"/>
        <v>46421</v>
      </c>
      <c r="L48" s="147">
        <f>IF(t&lt;Tvie,1-EXP((T0-t)*PertePVj)+'2026'!Pspv,1-EXP((T0-t)*PertePVj)+Pspv)</f>
        <v>5.4895673276091572E-2</v>
      </c>
      <c r="M48" s="832"/>
      <c r="N48" s="832"/>
      <c r="O48" s="48">
        <f>IF(t&lt;Tnet,'2026'!Resal+('2026'!Salim-'2026'!Resal)*(1-EXP(('2026'!Tnet-t)/('2026'!Tau_j))),Resal+(Salim-Resal)*(1-EXP((Tnet-t)/(Tau_j))))*Salcycl</f>
        <v>5.4572276988569035E-2</v>
      </c>
      <c r="P48" s="169">
        <f>(INDEX(Models!$BJ48:$BT48,,T48)*(1-R48)+INDEX(Models!$BJ48:$BT48,,T48+1)*R48-ERP_i)*Q48*Ramure*Pc/MaxiM</f>
        <v>4.343397562112764E-3</v>
      </c>
      <c r="Q48" s="304">
        <f t="shared" si="4"/>
        <v>0.7</v>
      </c>
      <c r="R48" s="177">
        <f t="shared" si="5"/>
        <v>0.18054644584668877</v>
      </c>
      <c r="S48" s="799">
        <f t="shared" si="6"/>
        <v>-1</v>
      </c>
      <c r="T48" s="176">
        <f t="shared" si="7"/>
        <v>5</v>
      </c>
      <c r="U48" s="250">
        <f t="shared" si="8"/>
        <v>-0.81945355415331123</v>
      </c>
      <c r="V48" s="382">
        <f t="shared" si="9"/>
        <v>32.524524213799928</v>
      </c>
      <c r="W48" s="400">
        <f t="shared" si="10"/>
        <v>14.958804634990544</v>
      </c>
      <c r="X48" s="157">
        <f t="shared" si="11"/>
        <v>46421</v>
      </c>
      <c r="Y48" s="383">
        <f t="shared" si="12"/>
        <v>14.428547327631442</v>
      </c>
      <c r="Z48" s="383">
        <f t="shared" si="22"/>
        <v>15.266618636321645</v>
      </c>
      <c r="AA48" s="384">
        <f t="shared" si="13"/>
        <v>16.572980201268841</v>
      </c>
      <c r="AB48" s="197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7.882478281408789E-2</v>
      </c>
      <c r="AD48" s="230">
        <f>(INDEX(Models!$BJ48:$BT48,,AH48)*(1-AF48)+INDEX(Models!$BJ48:$BT48,,AH48+1)*AF48-ERP_i)*AE48*Ramure*Pc/MaxiM</f>
        <v>4.8303925549713453E-2</v>
      </c>
      <c r="AE48" s="304">
        <f t="shared" si="15"/>
        <v>0.7</v>
      </c>
      <c r="AF48" s="177">
        <f t="shared" si="23"/>
        <v>0.93620427668603967</v>
      </c>
      <c r="AG48" s="799">
        <f t="shared" si="24"/>
        <v>1</v>
      </c>
      <c r="AH48" s="176">
        <f t="shared" si="16"/>
        <v>7</v>
      </c>
      <c r="AI48" s="224">
        <f t="shared" si="17"/>
        <v>1.9362042766860397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46422</v>
      </c>
      <c r="B49" s="409">
        <f>'2026'!Wh/'2026'!Env_an*'2027'!Env_an</f>
        <v>13.510578330414363</v>
      </c>
      <c r="C49" s="829"/>
      <c r="D49" s="391">
        <f t="shared" si="0"/>
        <v>14.295604073004183</v>
      </c>
      <c r="E49" s="383">
        <f t="shared" si="1"/>
        <v>15.121575852892907</v>
      </c>
      <c r="F49" s="383">
        <f t="shared" si="2"/>
        <v>15.131888513318001</v>
      </c>
      <c r="G49" s="110">
        <f t="shared" si="21"/>
        <v>0.40987443321323341</v>
      </c>
      <c r="H49" s="412" t="b">
        <f>Wh_hp&gt;='2026'!Maxi_hp</f>
        <v>0</v>
      </c>
      <c r="I49" s="388">
        <f>IF(H49,Wh_hp,'2026'!Maxi_hp)</f>
        <v>16.754733277342279</v>
      </c>
      <c r="J49" s="85">
        <f>IF(H49,An,'2026'!An_max)</f>
        <v>2020</v>
      </c>
      <c r="K49" s="197">
        <f t="shared" si="3"/>
        <v>46422</v>
      </c>
      <c r="L49" s="147">
        <f>IF(t&lt;Tvie,1-EXP((T0-t)*PertePVj)+'2026'!Pspv,1-EXP((T0-t)*PertePVj)+Pspv)</f>
        <v>5.4913785984900265E-2</v>
      </c>
      <c r="M49" s="832"/>
      <c r="N49" s="832"/>
      <c r="O49" s="48">
        <f>IF(t&lt;Tnet,'2026'!Resal+('2026'!Salim-'2026'!Resal)*(1-EXP(('2026'!Tnet-t)/('2026'!Tau_j))),Resal+(Salim-Resal)*(1-EXP((Tnet-t)/(Tau_j))))*Salcycl</f>
        <v>5.4622070340023858E-2</v>
      </c>
      <c r="P49" s="169">
        <f>(INDEX(Models!$BJ49:$BT49,,T49)*(1-R49)+INDEX(Models!$BJ49:$BT49,,T49+1)*R49-ERP_i)*Q49*Ramure*Pc/MaxiM</f>
        <v>4.2840705987281088E-3</v>
      </c>
      <c r="Q49" s="304">
        <f t="shared" si="4"/>
        <v>0.7</v>
      </c>
      <c r="R49" s="177">
        <f t="shared" si="5"/>
        <v>0.18063641931818153</v>
      </c>
      <c r="S49" s="799">
        <f t="shared" si="6"/>
        <v>-1</v>
      </c>
      <c r="T49" s="176">
        <f t="shared" si="7"/>
        <v>5</v>
      </c>
      <c r="U49" s="250">
        <f t="shared" si="8"/>
        <v>-0.81936358068181847</v>
      </c>
      <c r="V49" s="382">
        <f t="shared" si="9"/>
        <v>32.843894329583058</v>
      </c>
      <c r="W49" s="400">
        <f t="shared" si="10"/>
        <v>13.510578330414363</v>
      </c>
      <c r="X49" s="157">
        <f t="shared" si="11"/>
        <v>46422</v>
      </c>
      <c r="Y49" s="383">
        <f t="shared" si="12"/>
        <v>13.072543617996994</v>
      </c>
      <c r="Z49" s="383">
        <f t="shared" si="22"/>
        <v>13.83211756148644</v>
      </c>
      <c r="AA49" s="384">
        <f t="shared" si="13"/>
        <v>15.016079761983583</v>
      </c>
      <c r="AB49" s="197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7.8846291393216916E-2</v>
      </c>
      <c r="AD49" s="230">
        <f>(INDEX(Models!$BJ49:$BT49,,AH49)*(1-AF49)+INDEX(Models!$BJ49:$BT49,,AH49+1)*AF49-ERP_i)*AE49*Ramure*Pc/MaxiM</f>
        <v>4.810910533424817E-2</v>
      </c>
      <c r="AE49" s="304">
        <f t="shared" si="15"/>
        <v>0.7</v>
      </c>
      <c r="AF49" s="177">
        <f t="shared" si="23"/>
        <v>0.93629425015753243</v>
      </c>
      <c r="AG49" s="799">
        <f t="shared" si="24"/>
        <v>1</v>
      </c>
      <c r="AH49" s="176">
        <f t="shared" si="16"/>
        <v>7</v>
      </c>
      <c r="AI49" s="224">
        <f t="shared" si="17"/>
        <v>1.9362942501575324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46423</v>
      </c>
      <c r="B50" s="409">
        <f>'2026'!Wh/'2026'!Env_an*'2027'!Env_an</f>
        <v>9.9239950739086495</v>
      </c>
      <c r="C50" s="829"/>
      <c r="D50" s="391">
        <f t="shared" si="0"/>
        <v>10.50082534427562</v>
      </c>
      <c r="E50" s="383">
        <f t="shared" si="1"/>
        <v>11.108127510667773</v>
      </c>
      <c r="F50" s="383">
        <f t="shared" si="2"/>
        <v>11.108127510667773</v>
      </c>
      <c r="G50" s="110">
        <f t="shared" si="21"/>
        <v>0.29800476219095301</v>
      </c>
      <c r="H50" s="412" t="b">
        <f>Wh_hp&gt;='2026'!Maxi_hp</f>
        <v>0</v>
      </c>
      <c r="I50" s="388">
        <f>IF(H50,Wh_hp,'2026'!Maxi_hp)</f>
        <v>35.887391837973411</v>
      </c>
      <c r="J50" s="85">
        <f>IF(H50,An,'2026'!An_max)</f>
        <v>2020</v>
      </c>
      <c r="K50" s="197">
        <f t="shared" si="3"/>
        <v>46423</v>
      </c>
      <c r="L50" s="147">
        <f>IF(t&lt;Tvie,1-EXP((T0-t)*PertePVj)+'2026'!Pspv,1-EXP((T0-t)*PertePVj)+Pspv)</f>
        <v>5.4931898346583075E-2</v>
      </c>
      <c r="M50" s="832"/>
      <c r="N50" s="832"/>
      <c r="O50" s="48">
        <f>IF(t&lt;Tnet,'2026'!Resal+('2026'!Salim-'2026'!Resal)*(1-EXP(('2026'!Tnet-t)/('2026'!Tau_j))),Resal+(Salim-Resal)*(1-EXP((Tnet-t)/(Tau_j))))*Salcycl</f>
        <v>5.4671875688222397E-2</v>
      </c>
      <c r="P50" s="169">
        <f>(INDEX(Models!$BJ50:$BT50,,T50)*(1-R50)+INDEX(Models!$BJ50:$BT50,,T50+1)*R50-ERP_i)*Q50*Ramure*Pc/MaxiM</f>
        <v>4.2166389004849644E-3</v>
      </c>
      <c r="Q50" s="304">
        <f t="shared" si="4"/>
        <v>0.7</v>
      </c>
      <c r="R50" s="177">
        <f t="shared" si="5"/>
        <v>0.18073012415080625</v>
      </c>
      <c r="S50" s="799">
        <f t="shared" si="6"/>
        <v>-1</v>
      </c>
      <c r="T50" s="176">
        <f t="shared" si="7"/>
        <v>5</v>
      </c>
      <c r="U50" s="250">
        <f t="shared" si="8"/>
        <v>-0.81926987584919375</v>
      </c>
      <c r="V50" s="382">
        <f t="shared" si="9"/>
        <v>33.161044466462535</v>
      </c>
      <c r="W50" s="400">
        <f t="shared" si="10"/>
        <v>9.9239950739086495</v>
      </c>
      <c r="X50" s="157">
        <f t="shared" si="11"/>
        <v>46423</v>
      </c>
      <c r="Y50" s="383">
        <f t="shared" si="12"/>
        <v>9.6699869916388845</v>
      </c>
      <c r="Z50" s="383">
        <f t="shared" si="22"/>
        <v>10.232053091963463</v>
      </c>
      <c r="AA50" s="384">
        <f t="shared" si="13"/>
        <v>11.108127510667773</v>
      </c>
      <c r="AB50" s="197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7.8867875603963397E-2</v>
      </c>
      <c r="AD50" s="230">
        <f>(INDEX(Models!$BJ50:$BT50,,AH50)*(1-AF50)+INDEX(Models!$BJ50:$BT50,,AH50+1)*AF50-ERP_i)*AE50*Ramure*Pc/MaxiM</f>
        <v>4.7959599768299284E-2</v>
      </c>
      <c r="AE50" s="304">
        <f t="shared" si="15"/>
        <v>0.7</v>
      </c>
      <c r="AF50" s="177">
        <f t="shared" si="23"/>
        <v>0.93638795499015703</v>
      </c>
      <c r="AG50" s="799">
        <f t="shared" si="24"/>
        <v>1</v>
      </c>
      <c r="AH50" s="176">
        <f t="shared" si="16"/>
        <v>7</v>
      </c>
      <c r="AI50" s="224">
        <f t="shared" si="17"/>
        <v>1.936387954990157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46424</v>
      </c>
      <c r="B51" s="409">
        <f>'2026'!Wh/'2026'!Env_an*'2027'!Env_an</f>
        <v>26.120685989706086</v>
      </c>
      <c r="C51" s="829"/>
      <c r="D51" s="391">
        <f t="shared" si="0"/>
        <v>27.639475452180033</v>
      </c>
      <c r="E51" s="383">
        <f t="shared" si="1"/>
        <v>29.239510863660144</v>
      </c>
      <c r="F51" s="383">
        <f t="shared" si="2"/>
        <v>29.32282148803376</v>
      </c>
      <c r="G51" s="110">
        <f t="shared" si="21"/>
        <v>0.77923566329621519</v>
      </c>
      <c r="H51" s="412" t="b">
        <f>Wh_hp&gt;='2026'!Maxi_hp</f>
        <v>0</v>
      </c>
      <c r="I51" s="388">
        <f>IF(H51,Wh_hp,'2026'!Maxi_hp)</f>
        <v>39.205696557026307</v>
      </c>
      <c r="J51" s="85">
        <f>IF(H51,An,'2026'!An_max)</f>
        <v>2020</v>
      </c>
      <c r="K51" s="197">
        <f t="shared" si="3"/>
        <v>46424</v>
      </c>
      <c r="L51" s="147">
        <f>IF(t&lt;Tvie,1-EXP((T0-t)*PertePVj)+'2026'!Pspv,1-EXP((T0-t)*PertePVj)+Pspv)</f>
        <v>5.4950010361146551E-2</v>
      </c>
      <c r="M51" s="832"/>
      <c r="N51" s="832"/>
      <c r="O51" s="48">
        <f>IF(t&lt;Tnet,'2026'!Resal+('2026'!Salim-'2026'!Resal)*(1-EXP(('2026'!Tnet-t)/('2026'!Tau_j))),Resal+(Salim-Resal)*(1-EXP((Tnet-t)/(Tau_j))))*Salcycl</f>
        <v>5.4721688708845327E-2</v>
      </c>
      <c r="P51" s="169">
        <f>(INDEX(Models!$BJ51:$BT51,,T51)*(1-R51)+INDEX(Models!$BJ51:$BT51,,T51+1)*R51-ERP_i)*Q51*Ramure*Pc/MaxiM</f>
        <v>4.1411664181685804E-3</v>
      </c>
      <c r="Q51" s="304">
        <f t="shared" si="4"/>
        <v>0.7</v>
      </c>
      <c r="R51" s="177">
        <f t="shared" si="5"/>
        <v>0.18082771321448154</v>
      </c>
      <c r="S51" s="799">
        <f t="shared" si="6"/>
        <v>-1</v>
      </c>
      <c r="T51" s="176">
        <f t="shared" si="7"/>
        <v>5</v>
      </c>
      <c r="U51" s="250">
        <f t="shared" si="8"/>
        <v>-0.81917228678551846</v>
      </c>
      <c r="V51" s="382">
        <f t="shared" si="9"/>
        <v>33.477204939997428</v>
      </c>
      <c r="W51" s="400">
        <f t="shared" si="10"/>
        <v>26.120685989706086</v>
      </c>
      <c r="X51" s="157">
        <f t="shared" si="11"/>
        <v>46424</v>
      </c>
      <c r="Y51" s="383">
        <f t="shared" si="12"/>
        <v>24.687375025424238</v>
      </c>
      <c r="Z51" s="383">
        <f t="shared" si="22"/>
        <v>26.122824502498968</v>
      </c>
      <c r="AA51" s="384">
        <f t="shared" si="13"/>
        <v>28.360142809822911</v>
      </c>
      <c r="AB51" s="197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7.8889528953606555E-2</v>
      </c>
      <c r="AD51" s="230">
        <f>(INDEX(Models!$BJ51:$BT51,,AH51)*(1-AF51)+INDEX(Models!$BJ51:$BT51,,AH51+1)*AF51-ERP_i)*AE51*Ramure*Pc/MaxiM</f>
        <v>4.7852391500696631E-2</v>
      </c>
      <c r="AE51" s="304">
        <f t="shared" si="15"/>
        <v>0.7</v>
      </c>
      <c r="AF51" s="177">
        <f t="shared" si="23"/>
        <v>0.93648554405383244</v>
      </c>
      <c r="AG51" s="799">
        <f t="shared" si="24"/>
        <v>1</v>
      </c>
      <c r="AH51" s="176">
        <f t="shared" si="16"/>
        <v>7</v>
      </c>
      <c r="AI51" s="224">
        <f t="shared" si="17"/>
        <v>1.9364855440538324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46425</v>
      </c>
      <c r="B52" s="409">
        <f>'2026'!Wh/'2026'!Env_an*'2027'!Env_an</f>
        <v>11.794561181678594</v>
      </c>
      <c r="C52" s="829"/>
      <c r="D52" s="391">
        <f t="shared" si="0"/>
        <v>12.480596111738262</v>
      </c>
      <c r="E52" s="383">
        <f t="shared" si="1"/>
        <v>13.203787415355906</v>
      </c>
      <c r="F52" s="383">
        <f t="shared" si="2"/>
        <v>13.207533360607609</v>
      </c>
      <c r="G52" s="110">
        <f t="shared" si="21"/>
        <v>0.3476959609843811</v>
      </c>
      <c r="H52" s="412" t="b">
        <f>Wh_hp&gt;='2026'!Maxi_hp</f>
        <v>0</v>
      </c>
      <c r="I52" s="388">
        <f>IF(H52,Wh_hp,'2026'!Maxi_hp)</f>
        <v>26.902092201697947</v>
      </c>
      <c r="J52" s="85">
        <f>IF(H52,An,'2026'!An_max)</f>
        <v>2020</v>
      </c>
      <c r="K52" s="197">
        <f t="shared" si="3"/>
        <v>46425</v>
      </c>
      <c r="L52" s="147">
        <f>IF(t&lt;Tvie,1-EXP((T0-t)*PertePVj)+'2026'!Pspv,1-EXP((T0-t)*PertePVj)+Pspv)</f>
        <v>5.4968122028597466E-2</v>
      </c>
      <c r="M52" s="832"/>
      <c r="N52" s="832"/>
      <c r="O52" s="48">
        <f>IF(t&lt;Tnet,'2026'!Resal+('2026'!Salim-'2026'!Resal)*(1-EXP(('2026'!Tnet-t)/('2026'!Tau_j))),Resal+(Salim-Resal)*(1-EXP((Tnet-t)/(Tau_j))))*Salcycl</f>
        <v>5.4771504634842851E-2</v>
      </c>
      <c r="P52" s="169">
        <f>(INDEX(Models!$BJ52:$BT52,,T52)*(1-R52)+INDEX(Models!$BJ52:$BT52,,T52+1)*R52-ERP_i)*Q52*Ramure*Pc/MaxiM</f>
        <v>4.0508209544035554E-3</v>
      </c>
      <c r="Q52" s="304">
        <f t="shared" si="4"/>
        <v>0.7</v>
      </c>
      <c r="R52" s="177">
        <f t="shared" si="5"/>
        <v>0.18092934548240269</v>
      </c>
      <c r="S52" s="799">
        <f t="shared" si="6"/>
        <v>-1</v>
      </c>
      <c r="T52" s="176">
        <f t="shared" si="7"/>
        <v>5</v>
      </c>
      <c r="U52" s="250">
        <f t="shared" si="8"/>
        <v>-0.81907065451759731</v>
      </c>
      <c r="V52" s="382">
        <f t="shared" si="9"/>
        <v>33.794226664823121</v>
      </c>
      <c r="W52" s="400">
        <f t="shared" si="10"/>
        <v>11.794561181678594</v>
      </c>
      <c r="X52" s="157">
        <f t="shared" si="11"/>
        <v>46425</v>
      </c>
      <c r="Y52" s="383">
        <f t="shared" si="12"/>
        <v>11.458196737931745</v>
      </c>
      <c r="Z52" s="383">
        <f t="shared" si="22"/>
        <v>12.124666908091834</v>
      </c>
      <c r="AA52" s="384">
        <f t="shared" si="13"/>
        <v>13.163407796957811</v>
      </c>
      <c r="AB52" s="197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7.8911244328846261E-2</v>
      </c>
      <c r="AD52" s="230">
        <f>(INDEX(Models!$BJ52:$BT52,,AH52)*(1-AF52)+INDEX(Models!$BJ52:$BT52,,AH52+1)*AF52-ERP_i)*AE52*Ramure*Pc/MaxiM</f>
        <v>4.7716863394138553E-2</v>
      </c>
      <c r="AE52" s="304">
        <f t="shared" si="15"/>
        <v>0.7</v>
      </c>
      <c r="AF52" s="177">
        <f t="shared" si="23"/>
        <v>0.93658717632175348</v>
      </c>
      <c r="AG52" s="799">
        <f t="shared" si="24"/>
        <v>1</v>
      </c>
      <c r="AH52" s="176">
        <f t="shared" si="16"/>
        <v>7</v>
      </c>
      <c r="AI52" s="224">
        <f t="shared" si="17"/>
        <v>1.9365871763217535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46426</v>
      </c>
      <c r="B53" s="409">
        <f>'2026'!Wh/'2026'!Env_an*'2027'!Env_an</f>
        <v>33.946600173988223</v>
      </c>
      <c r="C53" s="829"/>
      <c r="D53" s="391">
        <f t="shared" si="0"/>
        <v>35.921804921729638</v>
      </c>
      <c r="E53" s="383">
        <f t="shared" si="1"/>
        <v>38.005305893676137</v>
      </c>
      <c r="F53" s="383">
        <f t="shared" si="2"/>
        <v>38.154891922053508</v>
      </c>
      <c r="G53" s="110">
        <f t="shared" si="21"/>
        <v>0.99512539255387245</v>
      </c>
      <c r="H53" s="412" t="b">
        <f>Wh_hp&gt;='2026'!Maxi_hp</f>
        <v>1</v>
      </c>
      <c r="I53" s="388">
        <f>IF(H53,Wh_hp,'2026'!Maxi_hp)</f>
        <v>38.154891922053508</v>
      </c>
      <c r="J53" s="85">
        <f>IF(H53,An,'2026'!An_max)</f>
        <v>2027</v>
      </c>
      <c r="K53" s="197">
        <f t="shared" si="3"/>
        <v>46426</v>
      </c>
      <c r="L53" s="147">
        <f>IF(t&lt;Tvie,1-EXP((T0-t)*PertePVj)+'2026'!Pspv,1-EXP((T0-t)*PertePVj)+Pspv)</f>
        <v>5.498623334894237E-2</v>
      </c>
      <c r="M53" s="832"/>
      <c r="N53" s="832"/>
      <c r="O53" s="48">
        <f>IF(t&lt;Tnet,'2026'!Resal+('2026'!Salim-'2026'!Resal)*(1-EXP(('2026'!Tnet-t)/('2026'!Tau_j))),Resal+(Salim-Resal)*(1-EXP((Tnet-t)/(Tau_j))))*Salcycl</f>
        <v>5.4821318312114481E-2</v>
      </c>
      <c r="P53" s="169">
        <f>(INDEX(Models!$BJ53:$BT53,,T53)*(1-R53)+INDEX(Models!$BJ53:$BT53,,T53+1)*R53-ERP_i)*Q53*Ramure*Pc/MaxiM</f>
        <v>3.947831672306789E-3</v>
      </c>
      <c r="Q53" s="304">
        <f t="shared" si="4"/>
        <v>0.7</v>
      </c>
      <c r="R53" s="177">
        <f t="shared" si="5"/>
        <v>0.18103518626109572</v>
      </c>
      <c r="S53" s="799">
        <f t="shared" si="6"/>
        <v>-1</v>
      </c>
      <c r="T53" s="176">
        <f t="shared" si="7"/>
        <v>5</v>
      </c>
      <c r="U53" s="250">
        <f t="shared" si="8"/>
        <v>-0.81896481373890428</v>
      </c>
      <c r="V53" s="382">
        <f t="shared" si="9"/>
        <v>34.111950873213928</v>
      </c>
      <c r="W53" s="400">
        <f t="shared" si="10"/>
        <v>33.946600173988223</v>
      </c>
      <c r="X53" s="157">
        <f t="shared" si="11"/>
        <v>46426</v>
      </c>
      <c r="Y53" s="383">
        <f t="shared" si="12"/>
        <v>31.64369591117255</v>
      </c>
      <c r="Z53" s="383">
        <f t="shared" si="22"/>
        <v>33.484904694363941</v>
      </c>
      <c r="AA53" s="384">
        <f t="shared" si="13"/>
        <v>36.354472808337775</v>
      </c>
      <c r="AB53" s="197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7.89330140778636E-2</v>
      </c>
      <c r="AD53" s="230">
        <f>(INDEX(Models!$BJ53:$BT53,,AH53)*(1-AF53)+INDEX(Models!$BJ53:$BT53,,AH53+1)*AF53-ERP_i)*AE53*Ramure*Pc/MaxiM</f>
        <v>4.7516146244770519E-2</v>
      </c>
      <c r="AE53" s="304">
        <f t="shared" si="15"/>
        <v>0.7</v>
      </c>
      <c r="AF53" s="177">
        <f t="shared" si="23"/>
        <v>0.93669301710044661</v>
      </c>
      <c r="AG53" s="799">
        <f t="shared" si="24"/>
        <v>1</v>
      </c>
      <c r="AH53" s="176">
        <f t="shared" si="16"/>
        <v>7</v>
      </c>
      <c r="AI53" s="224">
        <f t="shared" si="17"/>
        <v>1.9366930171004466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46427</v>
      </c>
      <c r="B54" s="409">
        <f>'2026'!Wh/'2026'!Env_an*'2027'!Env_an</f>
        <v>34.56321803214999</v>
      </c>
      <c r="C54" s="829"/>
      <c r="D54" s="391">
        <f t="shared" si="0"/>
        <v>36.57500203782314</v>
      </c>
      <c r="E54" s="383">
        <f t="shared" si="1"/>
        <v>38.69842830615984</v>
      </c>
      <c r="F54" s="383">
        <f t="shared" si="2"/>
        <v>38.847312619802175</v>
      </c>
      <c r="G54" s="110">
        <f t="shared" si="21"/>
        <v>1.0038610536611314</v>
      </c>
      <c r="H54" s="412" t="b">
        <f>Wh_hp&gt;='2026'!Maxi_hp</f>
        <v>1</v>
      </c>
      <c r="I54" s="388">
        <f>IF(H54,Wh_hp,'2026'!Maxi_hp)</f>
        <v>38.847312619802175</v>
      </c>
      <c r="J54" s="85">
        <f>IF(H54,An,'2026'!An_max)</f>
        <v>2027</v>
      </c>
      <c r="K54" s="197">
        <f t="shared" si="3"/>
        <v>46427</v>
      </c>
      <c r="L54" s="147">
        <f>IF(t&lt;Tvie,1-EXP((T0-t)*PertePVj)+'2026'!Pspv,1-EXP((T0-t)*PertePVj)+Pspv)</f>
        <v>5.5004344322187926E-2</v>
      </c>
      <c r="M54" s="832"/>
      <c r="N54" s="832"/>
      <c r="O54" s="48">
        <f>IF(t&lt;Tnet,'2026'!Resal+('2026'!Salim-'2026'!Resal)*(1-EXP(('2026'!Tnet-t)/('2026'!Tau_j))),Resal+(Salim-Resal)*(1-EXP((Tnet-t)/(Tau_j))))*Salcycl</f>
        <v>5.4871124262136993E-2</v>
      </c>
      <c r="P54" s="169">
        <f>(INDEX(Models!$BJ54:$BT54,,T54)*(1-R54)+INDEX(Models!$BJ54:$BT54,,T54+1)*R54-ERP_i)*Q54*Ramure*Pc/MaxiM</f>
        <v>3.8325511754046032E-3</v>
      </c>
      <c r="Q54" s="304">
        <f t="shared" si="4"/>
        <v>0.7</v>
      </c>
      <c r="R54" s="177">
        <f t="shared" si="5"/>
        <v>0.1811454074279687</v>
      </c>
      <c r="S54" s="799">
        <f t="shared" si="6"/>
        <v>-1</v>
      </c>
      <c r="T54" s="176">
        <f t="shared" si="7"/>
        <v>5</v>
      </c>
      <c r="U54" s="250">
        <f t="shared" si="8"/>
        <v>-0.8188545925720313</v>
      </c>
      <c r="V54" s="382">
        <f t="shared" si="9"/>
        <v>34.430280870142546</v>
      </c>
      <c r="W54" s="400">
        <f t="shared" si="10"/>
        <v>34.56321803214999</v>
      </c>
      <c r="X54" s="157">
        <f t="shared" si="11"/>
        <v>46427</v>
      </c>
      <c r="Y54" s="383">
        <f t="shared" si="12"/>
        <v>32.214371591986044</v>
      </c>
      <c r="Z54" s="383">
        <f t="shared" si="22"/>
        <v>34.089438822742324</v>
      </c>
      <c r="AA54" s="384">
        <f t="shared" si="13"/>
        <v>37.011690562928287</v>
      </c>
      <c r="AB54" s="197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7.8954830102058421E-2</v>
      </c>
      <c r="AD54" s="230">
        <f>(INDEX(Models!$BJ54:$BT54,,AH54)*(1-AF54)+INDEX(Models!$BJ54:$BT54,,AH54+1)*AF54-ERP_i)*AE54*Ramure*Pc/MaxiM</f>
        <v>4.7252227582357573E-2</v>
      </c>
      <c r="AE54" s="304">
        <f t="shared" si="15"/>
        <v>0.7</v>
      </c>
      <c r="AF54" s="177">
        <f t="shared" si="23"/>
        <v>0.93680323826731948</v>
      </c>
      <c r="AG54" s="799">
        <f t="shared" si="24"/>
        <v>1</v>
      </c>
      <c r="AH54" s="176">
        <f t="shared" si="16"/>
        <v>7</v>
      </c>
      <c r="AI54" s="224">
        <f t="shared" si="17"/>
        <v>1.9368032382673195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46428</v>
      </c>
      <c r="B55" s="409">
        <f>'2026'!Wh/'2026'!Env_an*'2027'!Env_an</f>
        <v>32.599746651979892</v>
      </c>
      <c r="C55" s="829"/>
      <c r="D55" s="391">
        <f t="shared" si="0"/>
        <v>34.497906138285813</v>
      </c>
      <c r="E55" s="383">
        <f t="shared" si="1"/>
        <v>36.502666019948443</v>
      </c>
      <c r="F55" s="383">
        <f t="shared" si="2"/>
        <v>36.626386442442097</v>
      </c>
      <c r="G55" s="110">
        <f t="shared" si="21"/>
        <v>0.93783775965038063</v>
      </c>
      <c r="H55" s="412" t="b">
        <f>Wh_hp&gt;='2026'!Maxi_hp</f>
        <v>1</v>
      </c>
      <c r="I55" s="388">
        <f>IF(H55,Wh_hp,'2026'!Maxi_hp)</f>
        <v>36.626386442442097</v>
      </c>
      <c r="J55" s="85">
        <f>IF(H55,An,'2026'!An_max)</f>
        <v>2027</v>
      </c>
      <c r="K55" s="197">
        <f t="shared" si="3"/>
        <v>46428</v>
      </c>
      <c r="L55" s="147">
        <f>IF(t&lt;Tvie,1-EXP((T0-t)*PertePVj)+'2026'!Pspv,1-EXP((T0-t)*PertePVj)+Pspv)</f>
        <v>5.5022454948340904E-2</v>
      </c>
      <c r="M55" s="832"/>
      <c r="N55" s="832"/>
      <c r="O55" s="48">
        <f>IF(t&lt;Tnet,'2026'!Resal+('2026'!Salim-'2026'!Resal)*(1-EXP(('2026'!Tnet-t)/('2026'!Tau_j))),Resal+(Salim-Resal)*(1-EXP((Tnet-t)/(Tau_j))))*Salcycl</f>
        <v>5.4920916750766768E-2</v>
      </c>
      <c r="P55" s="169">
        <f>(INDEX(Models!$BJ55:$BT55,,T55)*(1-R55)+INDEX(Models!$BJ55:$BT55,,T55+1)*R55-ERP_i)*Q55*Ramure*Pc/MaxiM</f>
        <v>3.7053167182015683E-3</v>
      </c>
      <c r="Q55" s="304">
        <f t="shared" si="4"/>
        <v>0.7</v>
      </c>
      <c r="R55" s="177">
        <f t="shared" si="5"/>
        <v>0.18126018767649865</v>
      </c>
      <c r="S55" s="799">
        <f t="shared" si="6"/>
        <v>-1</v>
      </c>
      <c r="T55" s="176">
        <f t="shared" si="7"/>
        <v>5</v>
      </c>
      <c r="U55" s="250">
        <f t="shared" si="8"/>
        <v>-0.81873981232350135</v>
      </c>
      <c r="V55" s="382">
        <f t="shared" si="9"/>
        <v>34.749120061691428</v>
      </c>
      <c r="W55" s="400">
        <f t="shared" si="10"/>
        <v>32.599746651979892</v>
      </c>
      <c r="X55" s="157">
        <f t="shared" si="11"/>
        <v>46428</v>
      </c>
      <c r="Y55" s="383">
        <f t="shared" si="12"/>
        <v>30.513903154229943</v>
      </c>
      <c r="Z55" s="383">
        <f t="shared" si="22"/>
        <v>32.290611892330034</v>
      </c>
      <c r="AA55" s="384">
        <f t="shared" si="13"/>
        <v>35.059494509906962</v>
      </c>
      <c r="AB55" s="197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7.8976683956310578E-2</v>
      </c>
      <c r="AD55" s="230">
        <f>(INDEX(Models!$BJ55:$BT55,,AH55)*(1-AF55)+INDEX(Models!$BJ55:$BT55,,AH55+1)*AF55-ERP_i)*AE55*Ramure*Pc/MaxiM</f>
        <v>4.6927021070715301E-2</v>
      </c>
      <c r="AE55" s="304">
        <f t="shared" si="15"/>
        <v>0.7</v>
      </c>
      <c r="AF55" s="177">
        <f t="shared" si="23"/>
        <v>0.93691801851584944</v>
      </c>
      <c r="AG55" s="799">
        <f t="shared" si="24"/>
        <v>1</v>
      </c>
      <c r="AH55" s="176">
        <f t="shared" si="16"/>
        <v>7</v>
      </c>
      <c r="AI55" s="224">
        <f t="shared" si="17"/>
        <v>1.9369180185158494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46429</v>
      </c>
      <c r="B56" s="409">
        <f>'2026'!Wh/'2026'!Env_an*'2027'!Env_an</f>
        <v>13.67263128158686</v>
      </c>
      <c r="C56" s="829"/>
      <c r="D56" s="391">
        <f t="shared" si="0"/>
        <v>14.469013989872725</v>
      </c>
      <c r="E56" s="383">
        <f t="shared" si="1"/>
        <v>15.310651039771329</v>
      </c>
      <c r="F56" s="383">
        <f t="shared" si="2"/>
        <v>15.317665880870109</v>
      </c>
      <c r="G56" s="110">
        <f t="shared" si="21"/>
        <v>0.38867246385966753</v>
      </c>
      <c r="H56" s="412" t="b">
        <f>Wh_hp&gt;='2026'!Maxi_hp</f>
        <v>0</v>
      </c>
      <c r="I56" s="388">
        <f>IF(H56,Wh_hp,'2026'!Maxi_hp)</f>
        <v>36.404215155133031</v>
      </c>
      <c r="J56" s="85">
        <f>IF(H56,An,'2026'!An_max)</f>
        <v>2021</v>
      </c>
      <c r="K56" s="197">
        <f t="shared" si="3"/>
        <v>46429</v>
      </c>
      <c r="L56" s="147">
        <f>IF(t&lt;Tvie,1-EXP((T0-t)*PertePVj)+'2026'!Pspv,1-EXP((T0-t)*PertePVj)+Pspv)</f>
        <v>5.5040565227407745E-2</v>
      </c>
      <c r="M56" s="832"/>
      <c r="N56" s="832"/>
      <c r="O56" s="48">
        <f>IF(t&lt;Tnet,'2026'!Resal+('2026'!Salim-'2026'!Resal)*(1-EXP(('2026'!Tnet-t)/('2026'!Tau_j))),Resal+(Salim-Resal)*(1-EXP((Tnet-t)/(Tau_j))))*Salcycl</f>
        <v>5.4970689862393673E-2</v>
      </c>
      <c r="P56" s="169">
        <f>(INDEX(Models!$BJ56:$BT56,,T56)*(1-R56)+INDEX(Models!$BJ56:$BT56,,T56+1)*R56-ERP_i)*Q56*Ramure*Pc/MaxiM</f>
        <v>3.5664504083786704E-3</v>
      </c>
      <c r="Q56" s="304">
        <f t="shared" si="4"/>
        <v>0.7</v>
      </c>
      <c r="R56" s="177">
        <f t="shared" si="5"/>
        <v>0.18137971276918763</v>
      </c>
      <c r="S56" s="799">
        <f t="shared" si="6"/>
        <v>-1</v>
      </c>
      <c r="T56" s="176">
        <f t="shared" si="7"/>
        <v>5</v>
      </c>
      <c r="U56" s="250">
        <f t="shared" si="8"/>
        <v>-0.81862028723081237</v>
      </c>
      <c r="V56" s="382">
        <f t="shared" si="9"/>
        <v>35.068371958134222</v>
      </c>
      <c r="W56" s="400">
        <f t="shared" si="10"/>
        <v>13.67263128158686</v>
      </c>
      <c r="X56" s="157">
        <f t="shared" si="11"/>
        <v>46429</v>
      </c>
      <c r="Y56" s="383">
        <f t="shared" si="12"/>
        <v>13.251430766714643</v>
      </c>
      <c r="Z56" s="383">
        <f t="shared" si="22"/>
        <v>14.023280025669722</v>
      </c>
      <c r="AA56" s="384">
        <f t="shared" si="13"/>
        <v>15.226121830592311</v>
      </c>
      <c r="AB56" s="197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7.8998566956546931E-2</v>
      </c>
      <c r="AD56" s="230">
        <f>(INDEX(Models!$BJ56:$BT56,,AH56)*(1-AF56)+INDEX(Models!$BJ56:$BT56,,AH56+1)*AF56-ERP_i)*AE56*Ramure*Pc/MaxiM</f>
        <v>4.6542367945401418E-2</v>
      </c>
      <c r="AE56" s="304">
        <f t="shared" si="15"/>
        <v>0.7</v>
      </c>
      <c r="AF56" s="177">
        <f t="shared" si="23"/>
        <v>0.9370375436085383</v>
      </c>
      <c r="AG56" s="799">
        <f t="shared" si="24"/>
        <v>1</v>
      </c>
      <c r="AH56" s="176">
        <f t="shared" si="16"/>
        <v>7</v>
      </c>
      <c r="AI56" s="224">
        <f t="shared" si="17"/>
        <v>1.9370375436085383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46430</v>
      </c>
      <c r="B57" s="409">
        <f>'2026'!Wh/'2026'!Env_an*'2027'!Env_an</f>
        <v>25.925996159057021</v>
      </c>
      <c r="C57" s="829"/>
      <c r="D57" s="391">
        <f t="shared" si="0"/>
        <v>27.436620113349669</v>
      </c>
      <c r="E57" s="383">
        <f t="shared" si="1"/>
        <v>29.034088359589546</v>
      </c>
      <c r="F57" s="383">
        <f t="shared" si="2"/>
        <v>29.095519400646392</v>
      </c>
      <c r="G57" s="110">
        <f t="shared" si="21"/>
        <v>0.73166433440567846</v>
      </c>
      <c r="H57" s="412" t="b">
        <f>Wh_hp&gt;='2026'!Maxi_hp</f>
        <v>1</v>
      </c>
      <c r="I57" s="388">
        <f>IF(H57,Wh_hp,'2026'!Maxi_hp)</f>
        <v>29.095519400646392</v>
      </c>
      <c r="J57" s="85">
        <f>IF(H57,An,'2026'!An_max)</f>
        <v>2027</v>
      </c>
      <c r="K57" s="197">
        <f t="shared" si="3"/>
        <v>46430</v>
      </c>
      <c r="L57" s="147">
        <f>IF(t&lt;Tvie,1-EXP((T0-t)*PertePVj)+'2026'!Pspv,1-EXP((T0-t)*PertePVj)+Pspv)</f>
        <v>5.5058675159395221E-2</v>
      </c>
      <c r="M57" s="832"/>
      <c r="N57" s="832"/>
      <c r="O57" s="48">
        <f>IF(t&lt;Tnet,'2026'!Resal+('2026'!Salim-'2026'!Resal)*(1-EXP(('2026'!Tnet-t)/('2026'!Tau_j))),Resal+(Salim-Resal)*(1-EXP((Tnet-t)/(Tau_j))))*Salcycl</f>
        <v>5.5020437578583714E-2</v>
      </c>
      <c r="P57" s="169">
        <f>(INDEX(Models!$BJ57:$BT57,,T57)*(1-R57)+INDEX(Models!$BJ57:$BT57,,T57+1)*R57-ERP_i)*Q57*Ramure*Pc/MaxiM</f>
        <v>3.4162594122697631E-3</v>
      </c>
      <c r="Q57" s="304">
        <f t="shared" si="4"/>
        <v>0.7</v>
      </c>
      <c r="R57" s="177">
        <f t="shared" si="5"/>
        <v>0.18150417579840583</v>
      </c>
      <c r="S57" s="799">
        <f t="shared" si="6"/>
        <v>-1</v>
      </c>
      <c r="T57" s="176">
        <f t="shared" si="7"/>
        <v>5</v>
      </c>
      <c r="U57" s="250">
        <f t="shared" si="8"/>
        <v>-0.81849582420159417</v>
      </c>
      <c r="V57" s="382">
        <f t="shared" si="9"/>
        <v>35.387940176257061</v>
      </c>
      <c r="W57" s="400">
        <f t="shared" si="10"/>
        <v>25.925996159057021</v>
      </c>
      <c r="X57" s="157">
        <f t="shared" si="11"/>
        <v>46430</v>
      </c>
      <c r="Y57" s="383">
        <f t="shared" si="12"/>
        <v>24.599576469293293</v>
      </c>
      <c r="Z57" s="383">
        <f t="shared" si="22"/>
        <v>26.032914237762661</v>
      </c>
      <c r="AA57" s="384">
        <f t="shared" si="13"/>
        <v>28.266550339131335</v>
      </c>
      <c r="AB57" s="197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7.9020470293345177E-2</v>
      </c>
      <c r="AD57" s="230">
        <f>(INDEX(Models!$BJ57:$BT57,,AH57)*(1-AF57)+INDEX(Models!$BJ57:$BT57,,AH57+1)*AF57-ERP_i)*AE57*Ramure*Pc/MaxiM</f>
        <v>4.6100038517347341E-2</v>
      </c>
      <c r="AE57" s="304">
        <f t="shared" si="15"/>
        <v>0.7</v>
      </c>
      <c r="AF57" s="177">
        <f t="shared" si="23"/>
        <v>0.93716200663775662</v>
      </c>
      <c r="AG57" s="799">
        <f t="shared" si="24"/>
        <v>1</v>
      </c>
      <c r="AH57" s="176">
        <f t="shared" si="16"/>
        <v>7</v>
      </c>
      <c r="AI57" s="224">
        <f t="shared" si="17"/>
        <v>1.9371620066377566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46431</v>
      </c>
      <c r="B58" s="409">
        <f>'2026'!Wh/'2026'!Env_an*'2027'!Env_an</f>
        <v>32.80509752387286</v>
      </c>
      <c r="C58" s="829"/>
      <c r="D58" s="391">
        <f t="shared" si="0"/>
        <v>34.717209815821931</v>
      </c>
      <c r="E58" s="383">
        <f t="shared" si="1"/>
        <v>36.740515666482572</v>
      </c>
      <c r="F58" s="383">
        <f t="shared" si="2"/>
        <v>36.846567149422981</v>
      </c>
      <c r="G58" s="110">
        <f t="shared" si="21"/>
        <v>0.91836419874602826</v>
      </c>
      <c r="H58" s="412" t="b">
        <f>Wh_hp&gt;='2026'!Maxi_hp</f>
        <v>1</v>
      </c>
      <c r="I58" s="388">
        <f>IF(H58,Wh_hp,'2026'!Maxi_hp)</f>
        <v>36.846567149422981</v>
      </c>
      <c r="J58" s="85">
        <f>IF(H58,An,'2026'!An_max)</f>
        <v>2027</v>
      </c>
      <c r="K58" s="197">
        <f t="shared" si="3"/>
        <v>46431</v>
      </c>
      <c r="L58" s="147">
        <f>IF(t&lt;Tvie,1-EXP((T0-t)*PertePVj)+'2026'!Pspv,1-EXP((T0-t)*PertePVj)+Pspv)</f>
        <v>5.5076784744310103E-2</v>
      </c>
      <c r="M58" s="832"/>
      <c r="N58" s="832"/>
      <c r="O58" s="48">
        <f>IF(t&lt;Tnet,'2026'!Resal+('2026'!Salim-'2026'!Resal)*(1-EXP(('2026'!Tnet-t)/('2026'!Tau_j))),Resal+(Salim-Resal)*(1-EXP((Tnet-t)/(Tau_j))))*Salcycl</f>
        <v>5.5070153860318591E-2</v>
      </c>
      <c r="P58" s="169">
        <f>(INDEX(Models!$BJ58:$BT58,,T58)*(1-R58)+INDEX(Models!$BJ58:$BT58,,T58+1)*R58-ERP_i)*Q58*Ramure*Pc/MaxiM</f>
        <v>3.2563328431352819E-3</v>
      </c>
      <c r="Q58" s="304">
        <f t="shared" si="4"/>
        <v>0.7</v>
      </c>
      <c r="R58" s="177">
        <f t="shared" si="5"/>
        <v>0.18163377745523723</v>
      </c>
      <c r="S58" s="799">
        <f t="shared" si="6"/>
        <v>-1</v>
      </c>
      <c r="T58" s="176">
        <f t="shared" si="7"/>
        <v>5</v>
      </c>
      <c r="U58" s="250">
        <f t="shared" si="8"/>
        <v>-0.81836622254476277</v>
      </c>
      <c r="V58" s="382">
        <f t="shared" si="9"/>
        <v>35.707681989292475</v>
      </c>
      <c r="W58" s="400">
        <f t="shared" si="10"/>
        <v>32.80509752387286</v>
      </c>
      <c r="X58" s="157">
        <f t="shared" si="11"/>
        <v>46431</v>
      </c>
      <c r="Y58" s="383">
        <f t="shared" si="12"/>
        <v>30.774838973911077</v>
      </c>
      <c r="Z58" s="383">
        <f t="shared" si="22"/>
        <v>32.568613488434202</v>
      </c>
      <c r="AA58" s="384">
        <f t="shared" si="13"/>
        <v>35.363857101880143</v>
      </c>
      <c r="AB58" s="197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7.9042385150270497E-2</v>
      </c>
      <c r="AD58" s="230">
        <f>(INDEX(Models!$BJ58:$BT58,,AH58)*(1-AF58)+INDEX(Models!$BJ58:$BT58,,AH58+1)*AF58-ERP_i)*AE58*Ramure*Pc/MaxiM</f>
        <v>4.5526920423859335E-2</v>
      </c>
      <c r="AE58" s="304">
        <f t="shared" si="15"/>
        <v>0.7</v>
      </c>
      <c r="AF58" s="177">
        <f t="shared" si="23"/>
        <v>0.93729160829458791</v>
      </c>
      <c r="AG58" s="799">
        <f t="shared" si="24"/>
        <v>1</v>
      </c>
      <c r="AH58" s="176">
        <f t="shared" si="16"/>
        <v>7</v>
      </c>
      <c r="AI58" s="224">
        <f t="shared" si="17"/>
        <v>1.9372916082945879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46432</v>
      </c>
      <c r="B59" s="409">
        <f>'2026'!Wh/'2026'!Env_an*'2027'!Env_an</f>
        <v>15.616204329907099</v>
      </c>
      <c r="C59" s="829"/>
      <c r="D59" s="391">
        <f t="shared" si="0"/>
        <v>16.526743511546059</v>
      </c>
      <c r="E59" s="383">
        <f t="shared" si="1"/>
        <v>17.490835435087071</v>
      </c>
      <c r="F59" s="383">
        <f t="shared" si="2"/>
        <v>17.501159165914459</v>
      </c>
      <c r="G59" s="110">
        <f t="shared" si="21"/>
        <v>0.43236934860865883</v>
      </c>
      <c r="H59" s="412" t="b">
        <f>Wh_hp&gt;='2026'!Maxi_hp</f>
        <v>0</v>
      </c>
      <c r="I59" s="388">
        <f>IF(H59,Wh_hp,'2026'!Maxi_hp)</f>
        <v>33.094825571206165</v>
      </c>
      <c r="J59" s="85">
        <f>IF(H59,An,'2026'!An_max)</f>
        <v>2021</v>
      </c>
      <c r="K59" s="197">
        <f t="shared" si="3"/>
        <v>46432</v>
      </c>
      <c r="L59" s="147">
        <f>IF(t&lt;Tvie,1-EXP((T0-t)*PertePVj)+'2026'!Pspv,1-EXP((T0-t)*PertePVj)+Pspv)</f>
        <v>5.5094893982158832E-2</v>
      </c>
      <c r="M59" s="832"/>
      <c r="N59" s="832"/>
      <c r="O59" s="48">
        <f>IF(t&lt;Tnet,'2026'!Resal+('2026'!Salim-'2026'!Resal)*(1-EXP(('2026'!Tnet-t)/('2026'!Tau_j))),Resal+(Salim-Resal)*(1-EXP((Tnet-t)/(Tau_j))))*Salcycl</f>
        <v>5.5119832732919136E-2</v>
      </c>
      <c r="P59" s="169">
        <f>(INDEX(Models!$BJ59:$BT59,,T59)*(1-R59)+INDEX(Models!$BJ59:$BT59,,T59+1)*R59-ERP_i)*Q59*Ramure*Pc/MaxiM</f>
        <v>3.0940804407274679E-3</v>
      </c>
      <c r="Q59" s="304">
        <f t="shared" si="4"/>
        <v>0.7</v>
      </c>
      <c r="R59" s="177">
        <f t="shared" si="5"/>
        <v>0.1817687263064226</v>
      </c>
      <c r="S59" s="799">
        <f t="shared" si="6"/>
        <v>-1</v>
      </c>
      <c r="T59" s="176">
        <f t="shared" si="7"/>
        <v>5</v>
      </c>
      <c r="U59" s="250">
        <f t="shared" si="8"/>
        <v>-0.8182312736935774</v>
      </c>
      <c r="V59" s="382">
        <f t="shared" si="9"/>
        <v>36.027242272633373</v>
      </c>
      <c r="W59" s="400">
        <f t="shared" si="10"/>
        <v>15.616204329907099</v>
      </c>
      <c r="X59" s="157">
        <f t="shared" si="11"/>
        <v>46432</v>
      </c>
      <c r="Y59" s="383">
        <f t="shared" si="12"/>
        <v>15.099296684085978</v>
      </c>
      <c r="Z59" s="383">
        <f t="shared" si="22"/>
        <v>15.979696360960167</v>
      </c>
      <c r="AA59" s="384">
        <f t="shared" si="13"/>
        <v>17.351587532103608</v>
      </c>
      <c r="AB59" s="197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7.9064302825617105E-2</v>
      </c>
      <c r="AD59" s="230">
        <f>(INDEX(Models!$BJ59:$BT59,,AH59)*(1-AF59)+INDEX(Models!$BJ59:$BT59,,AH59+1)*AF59-ERP_i)*AE59*Ramure*Pc/MaxiM</f>
        <v>4.4827463481917199E-2</v>
      </c>
      <c r="AE59" s="304">
        <f t="shared" si="15"/>
        <v>0.7</v>
      </c>
      <c r="AF59" s="177">
        <f t="shared" si="23"/>
        <v>0.93742655714577339</v>
      </c>
      <c r="AG59" s="799">
        <f t="shared" si="24"/>
        <v>1</v>
      </c>
      <c r="AH59" s="176">
        <f t="shared" si="16"/>
        <v>7</v>
      </c>
      <c r="AI59" s="224">
        <f t="shared" si="17"/>
        <v>1.9374265571457734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46433</v>
      </c>
      <c r="B60" s="409">
        <f>'2026'!Wh/'2026'!Env_an*'2027'!Env_an</f>
        <v>20.631886899150075</v>
      </c>
      <c r="C60" s="829"/>
      <c r="D60" s="391">
        <f t="shared" si="0"/>
        <v>21.835295608767765</v>
      </c>
      <c r="E60" s="383">
        <f t="shared" si="1"/>
        <v>23.110277322602112</v>
      </c>
      <c r="F60" s="383">
        <f t="shared" si="2"/>
        <v>23.136192402639402</v>
      </c>
      <c r="G60" s="110">
        <f t="shared" si="21"/>
        <v>0.56661573372784557</v>
      </c>
      <c r="H60" s="412" t="b">
        <f>Wh_hp&gt;='2026'!Maxi_hp</f>
        <v>0</v>
      </c>
      <c r="I60" s="388">
        <f>IF(H60,Wh_hp,'2026'!Maxi_hp)</f>
        <v>40.783875694870723</v>
      </c>
      <c r="J60" s="85">
        <f>IF(H60,An,'2026'!An_max)</f>
        <v>2020</v>
      </c>
      <c r="K60" s="197">
        <f t="shared" si="3"/>
        <v>46433</v>
      </c>
      <c r="L60" s="147">
        <f>IF(t&lt;Tvie,1-EXP((T0-t)*PertePVj)+'2026'!Pspv,1-EXP((T0-t)*PertePVj)+Pspv)</f>
        <v>5.511300287294818E-2</v>
      </c>
      <c r="M60" s="832"/>
      <c r="N60" s="832"/>
      <c r="O60" s="48">
        <f>IF(t&lt;Tnet,'2026'!Resal+('2026'!Salim-'2026'!Resal)*(1-EXP(('2026'!Tnet-t)/('2026'!Tau_j))),Resal+(Salim-Resal)*(1-EXP((Tnet-t)/(Tau_j))))*Salcycl</f>
        <v>5.5169468372731276E-2</v>
      </c>
      <c r="P60" s="169">
        <f>(INDEX(Models!$BJ60:$BT60,,T60)*(1-R60)+INDEX(Models!$BJ60:$BT60,,T60+1)*R60-ERP_i)*Q60*Ramure*Pc/MaxiM</f>
        <v>2.9295518455873496E-3</v>
      </c>
      <c r="Q60" s="304">
        <f t="shared" si="4"/>
        <v>0.7</v>
      </c>
      <c r="R60" s="177">
        <f t="shared" si="5"/>
        <v>0.18190923907948697</v>
      </c>
      <c r="S60" s="799">
        <f t="shared" si="6"/>
        <v>-1</v>
      </c>
      <c r="T60" s="176">
        <f t="shared" si="7"/>
        <v>5</v>
      </c>
      <c r="U60" s="250">
        <f t="shared" si="8"/>
        <v>-0.81809076092051303</v>
      </c>
      <c r="V60" s="382">
        <f t="shared" si="9"/>
        <v>36.346524832091013</v>
      </c>
      <c r="W60" s="400">
        <f t="shared" si="10"/>
        <v>20.631886899150075</v>
      </c>
      <c r="X60" s="157">
        <f t="shared" si="11"/>
        <v>46433</v>
      </c>
      <c r="Y60" s="383">
        <f t="shared" si="12"/>
        <v>19.793447197867689</v>
      </c>
      <c r="Z60" s="383">
        <f t="shared" si="22"/>
        <v>20.947951721264097</v>
      </c>
      <c r="AA60" s="384">
        <f t="shared" si="13"/>
        <v>22.746919482797821</v>
      </c>
      <c r="AB60" s="197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7.9086214856221707E-2</v>
      </c>
      <c r="AD60" s="230">
        <f>(INDEX(Models!$BJ60:$BT60,,AH60)*(1-AF60)+INDEX(Models!$BJ60:$BT60,,AH60+1)*AF60-ERP_i)*AE60*Ramure*Pc/MaxiM</f>
        <v>4.4005081177375283E-2</v>
      </c>
      <c r="AE60" s="304">
        <f t="shared" si="15"/>
        <v>0.7</v>
      </c>
      <c r="AF60" s="177">
        <f t="shared" si="23"/>
        <v>0.93756706991883765</v>
      </c>
      <c r="AG60" s="799">
        <f t="shared" si="24"/>
        <v>1</v>
      </c>
      <c r="AH60" s="176">
        <f t="shared" si="16"/>
        <v>7</v>
      </c>
      <c r="AI60" s="224">
        <f t="shared" si="17"/>
        <v>1.9375670699188376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46434</v>
      </c>
      <c r="B61" s="409">
        <f>'2026'!Wh/'2026'!Env_an*'2027'!Env_an</f>
        <v>8.8062286881838467</v>
      </c>
      <c r="C61" s="829"/>
      <c r="D61" s="391">
        <f t="shared" si="0"/>
        <v>9.320053601709148</v>
      </c>
      <c r="E61" s="383">
        <f t="shared" si="1"/>
        <v>9.8647772829810236</v>
      </c>
      <c r="F61" s="383">
        <f t="shared" si="2"/>
        <v>9.8647772829810236</v>
      </c>
      <c r="G61" s="110">
        <f t="shared" si="21"/>
        <v>0.23951438894951846</v>
      </c>
      <c r="H61" s="412" t="b">
        <f>Wh_hp&gt;='2026'!Maxi_hp</f>
        <v>0</v>
      </c>
      <c r="I61" s="388">
        <f>IF(H61,Wh_hp,'2026'!Maxi_hp)</f>
        <v>34.426764095706375</v>
      </c>
      <c r="J61" s="85">
        <f>IF(H61,An,'2026'!An_max)</f>
        <v>2021</v>
      </c>
      <c r="K61" s="197">
        <f t="shared" si="3"/>
        <v>46434</v>
      </c>
      <c r="L61" s="147">
        <f>IF(t&lt;Tvie,1-EXP((T0-t)*PertePVj)+'2026'!Pspv,1-EXP((T0-t)*PertePVj)+Pspv)</f>
        <v>5.5131111416684697E-2</v>
      </c>
      <c r="M61" s="832"/>
      <c r="N61" s="832"/>
      <c r="O61" s="48">
        <f>IF(t&lt;Tnet,'2026'!Resal+('2026'!Salim-'2026'!Resal)*(1-EXP(('2026'!Tnet-t)/('2026'!Tau_j))),Resal+(Salim-Resal)*(1-EXP((Tnet-t)/(Tau_j))))*Salcycl</f>
        <v>5.5219055194651798E-2</v>
      </c>
      <c r="P61" s="169">
        <f>(INDEX(Models!$BJ61:$BT61,,T61)*(1-R61)+INDEX(Models!$BJ61:$BT61,,T61+1)*R61-ERP_i)*Q61*Ramure*Pc/MaxiM</f>
        <v>2.7627914445221245E-3</v>
      </c>
      <c r="Q61" s="304">
        <f t="shared" si="4"/>
        <v>0.7</v>
      </c>
      <c r="R61" s="177">
        <f t="shared" si="5"/>
        <v>0.18205554095611742</v>
      </c>
      <c r="S61" s="799">
        <f t="shared" si="6"/>
        <v>-1</v>
      </c>
      <c r="T61" s="176">
        <f t="shared" si="7"/>
        <v>5</v>
      </c>
      <c r="U61" s="250">
        <f t="shared" si="8"/>
        <v>-0.81794445904388258</v>
      </c>
      <c r="V61" s="382">
        <f t="shared" si="9"/>
        <v>36.665433560889554</v>
      </c>
      <c r="W61" s="400">
        <f t="shared" si="10"/>
        <v>8.8062286881838467</v>
      </c>
      <c r="X61" s="157">
        <f t="shared" si="11"/>
        <v>46434</v>
      </c>
      <c r="Y61" s="383">
        <f t="shared" si="12"/>
        <v>8.5835606627685479</v>
      </c>
      <c r="Z61" s="383">
        <f t="shared" si="22"/>
        <v>9.0843933655581246</v>
      </c>
      <c r="AA61" s="384">
        <f t="shared" si="13"/>
        <v>9.8647772829810236</v>
      </c>
      <c r="AB61" s="197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7.9108113142020819E-2</v>
      </c>
      <c r="AD61" s="230">
        <f>(INDEX(Models!$BJ61:$BT61,,AH61)*(1-AF61)+INDEX(Models!$BJ61:$BT61,,AH61+1)*AF61-ERP_i)*AE61*Ramure*Pc/MaxiM</f>
        <v>4.3063046436662908E-2</v>
      </c>
      <c r="AE61" s="304">
        <f t="shared" si="15"/>
        <v>0.7</v>
      </c>
      <c r="AF61" s="177">
        <f t="shared" si="23"/>
        <v>0.93771337179546821</v>
      </c>
      <c r="AG61" s="799">
        <f t="shared" si="24"/>
        <v>1</v>
      </c>
      <c r="AH61" s="176">
        <f t="shared" si="16"/>
        <v>7</v>
      </c>
      <c r="AI61" s="224">
        <f t="shared" si="17"/>
        <v>1.9377133717954682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46435</v>
      </c>
      <c r="B62" s="409">
        <f>'2026'!Wh/'2026'!Env_an*'2027'!Env_an</f>
        <v>9.7141609824787718</v>
      </c>
      <c r="C62" s="829"/>
      <c r="D62" s="391">
        <f t="shared" si="0"/>
        <v>10.281158870931788</v>
      </c>
      <c r="E62" s="383">
        <f t="shared" si="1"/>
        <v>10.882626257243871</v>
      </c>
      <c r="F62" s="383">
        <f t="shared" si="2"/>
        <v>10.882626257243871</v>
      </c>
      <c r="G62" s="110">
        <f t="shared" si="21"/>
        <v>0.26197808340043932</v>
      </c>
      <c r="H62" s="412" t="b">
        <f>Wh_hp&gt;='2026'!Maxi_hp</f>
        <v>0</v>
      </c>
      <c r="I62" s="388">
        <f>IF(H62,Wh_hp,'2026'!Maxi_hp)</f>
        <v>38.684101035723138</v>
      </c>
      <c r="J62" s="85">
        <f>IF(H62,An,'2026'!An_max)</f>
        <v>2021</v>
      </c>
      <c r="K62" s="197">
        <f t="shared" si="3"/>
        <v>46435</v>
      </c>
      <c r="L62" s="147">
        <f>IF(t&lt;Tvie,1-EXP((T0-t)*PertePVj)+'2026'!Pspv,1-EXP((T0-t)*PertePVj)+Pspv)</f>
        <v>5.5149219613375156E-2</v>
      </c>
      <c r="M62" s="832"/>
      <c r="N62" s="832"/>
      <c r="O62" s="48">
        <f>IF(t&lt;Tnet,'2026'!Resal+('2026'!Salim-'2026'!Resal)*(1-EXP(('2026'!Tnet-t)/('2026'!Tau_j))),Resal+(Salim-Resal)*(1-EXP((Tnet-t)/(Tau_j))))*Salcycl</f>
        <v>5.5268587939581511E-2</v>
      </c>
      <c r="P62" s="169">
        <f>(INDEX(Models!$BJ62:$BT62,,T62)*(1-R62)+INDEX(Models!$BJ62:$BT62,,T62+1)*R62-ERP_i)*Q62*Ramure*Pc/MaxiM</f>
        <v>2.5938384321672306E-3</v>
      </c>
      <c r="Q62" s="304">
        <f t="shared" si="4"/>
        <v>0.7</v>
      </c>
      <c r="R62" s="177">
        <f t="shared" si="5"/>
        <v>0.18220786587384252</v>
      </c>
      <c r="S62" s="799">
        <f t="shared" si="6"/>
        <v>-1</v>
      </c>
      <c r="T62" s="176">
        <f t="shared" si="7"/>
        <v>5</v>
      </c>
      <c r="U62" s="250">
        <f t="shared" si="8"/>
        <v>-0.81779213412615748</v>
      </c>
      <c r="V62" s="382">
        <f t="shared" si="9"/>
        <v>36.983872439345859</v>
      </c>
      <c r="W62" s="400">
        <f t="shared" si="10"/>
        <v>9.7141609824787718</v>
      </c>
      <c r="X62" s="157">
        <f t="shared" si="11"/>
        <v>46435</v>
      </c>
      <c r="Y62" s="383">
        <f t="shared" si="12"/>
        <v>9.4688071193554393</v>
      </c>
      <c r="Z62" s="383">
        <f t="shared" si="22"/>
        <v>10.021484149572151</v>
      </c>
      <c r="AA62" s="384">
        <f t="shared" si="13"/>
        <v>10.882626257243871</v>
      </c>
      <c r="AB62" s="197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7.9129990070045023E-2</v>
      </c>
      <c r="AD62" s="230">
        <f>(INDEX(Models!$BJ62:$BT62,,AH62)*(1-AF62)+INDEX(Models!$BJ62:$BT62,,AH62+1)*AF62-ERP_i)*AE62*Ramure*Pc/MaxiM</f>
        <v>4.2004494072036609E-2</v>
      </c>
      <c r="AE62" s="304">
        <f t="shared" si="15"/>
        <v>0.7</v>
      </c>
      <c r="AF62" s="177">
        <f t="shared" si="23"/>
        <v>0.93786569671319331</v>
      </c>
      <c r="AG62" s="799">
        <f t="shared" si="24"/>
        <v>1</v>
      </c>
      <c r="AH62" s="176">
        <f t="shared" si="16"/>
        <v>7</v>
      </c>
      <c r="AI62" s="224">
        <f t="shared" si="17"/>
        <v>1.9378656967131933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46436</v>
      </c>
      <c r="B63" s="409">
        <f>'2026'!Wh/'2026'!Env_an*'2027'!Env_an</f>
        <v>32.354569530298591</v>
      </c>
      <c r="C63" s="829"/>
      <c r="D63" s="391">
        <f t="shared" si="0"/>
        <v>34.243703113508147</v>
      </c>
      <c r="E63" s="383">
        <f t="shared" si="1"/>
        <v>36.248923290879624</v>
      </c>
      <c r="F63" s="383">
        <f t="shared" si="2"/>
        <v>36.32024549038001</v>
      </c>
      <c r="G63" s="110">
        <f t="shared" si="21"/>
        <v>0.86697521379460207</v>
      </c>
      <c r="H63" s="412" t="b">
        <f>Wh_hp&gt;='2026'!Maxi_hp</f>
        <v>0</v>
      </c>
      <c r="I63" s="388">
        <f>IF(H63,Wh_hp,'2026'!Maxi_hp)</f>
        <v>38.693234723420318</v>
      </c>
      <c r="J63" s="85">
        <f>IF(H63,An,'2026'!An_max)</f>
        <v>2020</v>
      </c>
      <c r="K63" s="197">
        <f t="shared" si="3"/>
        <v>46436</v>
      </c>
      <c r="L63" s="147">
        <f>IF(t&lt;Tvie,1-EXP((T0-t)*PertePVj)+'2026'!Pspv,1-EXP((T0-t)*PertePVj)+Pspv)</f>
        <v>5.5167327463026217E-2</v>
      </c>
      <c r="M63" s="832"/>
      <c r="N63" s="832"/>
      <c r="O63" s="48">
        <f>IF(t&lt;Tnet,'2026'!Resal+('2026'!Salim-'2026'!Resal)*(1-EXP(('2026'!Tnet-t)/('2026'!Tau_j))),Resal+(Salim-Resal)*(1-EXP((Tnet-t)/(Tau_j))))*Salcycl</f>
        <v>5.5318061760912869E-2</v>
      </c>
      <c r="P63" s="169">
        <f>(INDEX(Models!$BJ63:$BT63,,T63)*(1-R63)+INDEX(Models!$BJ63:$BT63,,T63+1)*R63-ERP_i)*Q63*Ramure*Pc/MaxiM</f>
        <v>2.4227268566420117E-3</v>
      </c>
      <c r="Q63" s="304">
        <f t="shared" si="4"/>
        <v>0.7</v>
      </c>
      <c r="R63" s="177">
        <f t="shared" si="5"/>
        <v>0.18236645683604114</v>
      </c>
      <c r="S63" s="799">
        <f t="shared" si="6"/>
        <v>-1</v>
      </c>
      <c r="T63" s="176">
        <f t="shared" si="7"/>
        <v>5</v>
      </c>
      <c r="U63" s="250">
        <f t="shared" si="8"/>
        <v>-0.81763354316395886</v>
      </c>
      <c r="V63" s="382">
        <f t="shared" si="9"/>
        <v>37.30174553658081</v>
      </c>
      <c r="W63" s="400">
        <f t="shared" si="10"/>
        <v>32.354569530298591</v>
      </c>
      <c r="X63" s="157">
        <f t="shared" si="11"/>
        <v>46436</v>
      </c>
      <c r="Y63" s="383">
        <f t="shared" si="12"/>
        <v>30.554488737162927</v>
      </c>
      <c r="Z63" s="383">
        <f t="shared" si="22"/>
        <v>32.338518369735198</v>
      </c>
      <c r="AA63" s="384">
        <f t="shared" si="13"/>
        <v>35.118187478220371</v>
      </c>
      <c r="AB63" s="197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7.9151838636577432E-2</v>
      </c>
      <c r="AD63" s="230">
        <f>(INDEX(Models!$BJ63:$BT63,,AH63)*(1-AF63)+INDEX(Models!$BJ63:$BT63,,AH63+1)*AF63-ERP_i)*AE63*Ramure*Pc/MaxiM</f>
        <v>4.0832423140359848E-2</v>
      </c>
      <c r="AE63" s="304">
        <f t="shared" si="15"/>
        <v>0.7</v>
      </c>
      <c r="AF63" s="177">
        <f t="shared" si="23"/>
        <v>0.93802428767539192</v>
      </c>
      <c r="AG63" s="799">
        <f t="shared" si="24"/>
        <v>1</v>
      </c>
      <c r="AH63" s="176">
        <f t="shared" si="16"/>
        <v>7</v>
      </c>
      <c r="AI63" s="224">
        <f t="shared" si="17"/>
        <v>1.9380242876753919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46437</v>
      </c>
      <c r="B64" s="409">
        <f>'2026'!Wh/'2026'!Env_an*'2027'!Env_an</f>
        <v>14.827507790701258</v>
      </c>
      <c r="C64" s="829"/>
      <c r="D64" s="391">
        <f t="shared" si="0"/>
        <v>15.693563943060189</v>
      </c>
      <c r="E64" s="383">
        <f t="shared" si="1"/>
        <v>16.613406253777473</v>
      </c>
      <c r="F64" s="383">
        <f t="shared" si="2"/>
        <v>16.618434251934879</v>
      </c>
      <c r="G64" s="110">
        <f t="shared" si="21"/>
        <v>0.39338227605462306</v>
      </c>
      <c r="H64" s="412" t="b">
        <f>Wh_hp&gt;='2026'!Maxi_hp</f>
        <v>0</v>
      </c>
      <c r="I64" s="388">
        <f>IF(H64,Wh_hp,'2026'!Maxi_hp)</f>
        <v>39.852198656392886</v>
      </c>
      <c r="J64" s="85">
        <f>IF(H64,An,'2026'!An_max)</f>
        <v>2021</v>
      </c>
      <c r="K64" s="197">
        <f t="shared" si="3"/>
        <v>46437</v>
      </c>
      <c r="L64" s="147">
        <f>IF(t&lt;Tvie,1-EXP((T0-t)*PertePVj)+'2026'!Pspv,1-EXP((T0-t)*PertePVj)+Pspv)</f>
        <v>5.5185434965644431E-2</v>
      </c>
      <c r="M64" s="832"/>
      <c r="N64" s="832"/>
      <c r="O64" s="48">
        <f>IF(t&lt;Tnet,'2026'!Resal+('2026'!Salim-'2026'!Resal)*(1-EXP(('2026'!Tnet-t)/('2026'!Tau_j))),Resal+(Salim-Resal)*(1-EXP((Tnet-t)/(Tau_j))))*Salcycl</f>
        <v>5.536747230918608E-2</v>
      </c>
      <c r="P64" s="169">
        <f>(INDEX(Models!$BJ64:$BT64,,T64)*(1-R64)+INDEX(Models!$BJ64:$BT64,,T64+1)*R64-ERP_i)*Q64*Ramure*Pc/MaxiM</f>
        <v>2.249485649050839E-3</v>
      </c>
      <c r="Q64" s="304">
        <f t="shared" si="4"/>
        <v>0.7</v>
      </c>
      <c r="R64" s="177">
        <f t="shared" si="5"/>
        <v>0.18253156623028821</v>
      </c>
      <c r="S64" s="799">
        <f t="shared" si="6"/>
        <v>-1</v>
      </c>
      <c r="T64" s="176">
        <f t="shared" si="7"/>
        <v>5</v>
      </c>
      <c r="U64" s="250">
        <f t="shared" si="8"/>
        <v>-0.81746843376971179</v>
      </c>
      <c r="V64" s="382">
        <f t="shared" si="9"/>
        <v>37.618957010080422</v>
      </c>
      <c r="W64" s="400">
        <f t="shared" si="10"/>
        <v>14.827507790701258</v>
      </c>
      <c r="X64" s="157">
        <f t="shared" si="11"/>
        <v>46437</v>
      </c>
      <c r="Y64" s="383">
        <f t="shared" si="12"/>
        <v>14.3812969987831</v>
      </c>
      <c r="Z64" s="383">
        <f t="shared" si="22"/>
        <v>15.221290537852964</v>
      </c>
      <c r="AA64" s="384">
        <f t="shared" si="13"/>
        <v>16.530033681457038</v>
      </c>
      <c r="AB64" s="197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7.9173652566249128E-2</v>
      </c>
      <c r="AD64" s="230">
        <f>(INDEX(Models!$BJ64:$BT64,,AH64)*(1-AF64)+INDEX(Models!$BJ64:$BT64,,AH64+1)*AF64-ERP_i)*AE64*Ramure*Pc/MaxiM</f>
        <v>3.9549699190895085E-2</v>
      </c>
      <c r="AE64" s="304">
        <f t="shared" si="15"/>
        <v>0.7</v>
      </c>
      <c r="AF64" s="177">
        <f t="shared" si="23"/>
        <v>0.93818939706963911</v>
      </c>
      <c r="AG64" s="799">
        <f t="shared" si="24"/>
        <v>1</v>
      </c>
      <c r="AH64" s="176">
        <f t="shared" si="16"/>
        <v>7</v>
      </c>
      <c r="AI64" s="224">
        <f t="shared" si="17"/>
        <v>1.9381893970696391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46438</v>
      </c>
      <c r="B65" s="409">
        <f>'2026'!Wh/'2026'!Env_an*'2027'!Env_an</f>
        <v>25.721755683016102</v>
      </c>
      <c r="C65" s="829"/>
      <c r="D65" s="391">
        <f t="shared" si="0"/>
        <v>27.224652959396174</v>
      </c>
      <c r="E65" s="383">
        <f t="shared" si="1"/>
        <v>28.821869174878056</v>
      </c>
      <c r="F65" s="383">
        <f t="shared" si="2"/>
        <v>28.854189783163527</v>
      </c>
      <c r="G65" s="110">
        <f t="shared" si="21"/>
        <v>0.67738887981565865</v>
      </c>
      <c r="H65" s="412" t="b">
        <f>Wh_hp&gt;='2026'!Maxi_hp</f>
        <v>0</v>
      </c>
      <c r="I65" s="388">
        <f>IF(H65,Wh_hp,'2026'!Maxi_hp)</f>
        <v>42.526823693851945</v>
      </c>
      <c r="J65" s="85">
        <f>IF(H65,An,'2026'!An_max)</f>
        <v>2020</v>
      </c>
      <c r="K65" s="197">
        <f t="shared" si="3"/>
        <v>46438</v>
      </c>
      <c r="L65" s="147">
        <f>IF(t&lt;Tvie,1-EXP((T0-t)*PertePVj)+'2026'!Pspv,1-EXP((T0-t)*PertePVj)+Pspv)</f>
        <v>5.520354212123646E-2</v>
      </c>
      <c r="M65" s="832"/>
      <c r="N65" s="832"/>
      <c r="O65" s="48">
        <f>IF(t&lt;Tnet,'2026'!Resal+('2026'!Salim-'2026'!Resal)*(1-EXP(('2026'!Tnet-t)/('2026'!Tau_j))),Resal+(Salim-Resal)*(1-EXP((Tnet-t)/(Tau_j))))*Salcycl</f>
        <v>5.5416815814085432E-2</v>
      </c>
      <c r="P65" s="169">
        <f>(INDEX(Models!$BJ65:$BT65,,T65)*(1-R65)+INDEX(Models!$BJ65:$BT65,,T65+1)*R65-ERP_i)*Q65*Ramure*Pc/MaxiM</f>
        <v>2.0741254068550757E-3</v>
      </c>
      <c r="Q65" s="304">
        <f t="shared" si="4"/>
        <v>0.7</v>
      </c>
      <c r="R65" s="177">
        <f t="shared" si="5"/>
        <v>0.18270345615501649</v>
      </c>
      <c r="S65" s="799">
        <f t="shared" si="6"/>
        <v>-1</v>
      </c>
      <c r="T65" s="176">
        <f t="shared" si="7"/>
        <v>5</v>
      </c>
      <c r="U65" s="250">
        <f t="shared" si="8"/>
        <v>-0.81729654384498351</v>
      </c>
      <c r="V65" s="382">
        <f t="shared" si="9"/>
        <v>37.935653568743575</v>
      </c>
      <c r="W65" s="400">
        <f t="shared" si="10"/>
        <v>25.721755683016102</v>
      </c>
      <c r="X65" s="157">
        <f t="shared" si="11"/>
        <v>46438</v>
      </c>
      <c r="Y65" s="383">
        <f t="shared" si="12"/>
        <v>24.585060031898781</v>
      </c>
      <c r="Z65" s="383">
        <f t="shared" si="22"/>
        <v>26.021541282126122</v>
      </c>
      <c r="AA65" s="384">
        <f t="shared" si="13"/>
        <v>28.259569977103776</v>
      </c>
      <c r="AB65" s="197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7.9195426426903498E-2</v>
      </c>
      <c r="AD65" s="230">
        <f>(INDEX(Models!$BJ65:$BT65,,AH65)*(1-AF65)+INDEX(Models!$BJ65:$BT65,,AH65+1)*AF65-ERP_i)*AE65*Ramure*Pc/MaxiM</f>
        <v>3.8158812986269657E-2</v>
      </c>
      <c r="AE65" s="304">
        <f t="shared" si="15"/>
        <v>0.7</v>
      </c>
      <c r="AF65" s="177">
        <f t="shared" si="23"/>
        <v>0.93836128699436738</v>
      </c>
      <c r="AG65" s="799">
        <f t="shared" si="24"/>
        <v>1</v>
      </c>
      <c r="AH65" s="176">
        <f t="shared" si="16"/>
        <v>7</v>
      </c>
      <c r="AI65" s="224">
        <f t="shared" si="17"/>
        <v>1.9383612869943674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46439</v>
      </c>
      <c r="B66" s="409">
        <f>'2026'!Wh/'2026'!Env_an*'2027'!Env_an</f>
        <v>19.27235229261121</v>
      </c>
      <c r="C66" s="829"/>
      <c r="D66" s="391">
        <f t="shared" si="0"/>
        <v>20.398808112802953</v>
      </c>
      <c r="E66" s="383">
        <f t="shared" si="1"/>
        <v>21.59669216611433</v>
      </c>
      <c r="F66" s="383">
        <f t="shared" si="2"/>
        <v>21.608662280278139</v>
      </c>
      <c r="G66" s="110">
        <f t="shared" si="21"/>
        <v>0.5031485268579734</v>
      </c>
      <c r="H66" s="412" t="b">
        <f>Wh_hp&gt;='2026'!Maxi_hp</f>
        <v>1</v>
      </c>
      <c r="I66" s="388">
        <f>IF(H66,Wh_hp,'2026'!Maxi_hp)</f>
        <v>21.608662280278139</v>
      </c>
      <c r="J66" s="85">
        <f>IF(H66,An,'2026'!An_max)</f>
        <v>2027</v>
      </c>
      <c r="K66" s="197">
        <f t="shared" si="3"/>
        <v>46439</v>
      </c>
      <c r="L66" s="147">
        <f>IF(t&lt;Tvie,1-EXP((T0-t)*PertePVj)+'2026'!Pspv,1-EXP((T0-t)*PertePVj)+Pspv)</f>
        <v>5.5221648929808964E-2</v>
      </c>
      <c r="M66" s="832"/>
      <c r="N66" s="832"/>
      <c r="O66" s="48">
        <f>IF(t&lt;Tnet,'2026'!Resal+('2026'!Salim-'2026'!Resal)*(1-EXP(('2026'!Tnet-t)/('2026'!Tau_j))),Resal+(Salim-Resal)*(1-EXP((Tnet-t)/(Tau_j))))*Salcycl</f>
        <v>5.5466089162991464E-2</v>
      </c>
      <c r="P66" s="169">
        <f>(INDEX(Models!$BJ66:$BT66,,T66)*(1-R66)+INDEX(Models!$BJ66:$BT66,,T66+1)*R66-ERP_i)*Q66*Ramure*Pc/MaxiM</f>
        <v>1.9024093761727419E-3</v>
      </c>
      <c r="Q66" s="304">
        <f t="shared" si="4"/>
        <v>0.7</v>
      </c>
      <c r="R66" s="177">
        <f t="shared" si="5"/>
        <v>0.18288239875444579</v>
      </c>
      <c r="S66" s="799">
        <f t="shared" si="6"/>
        <v>-1</v>
      </c>
      <c r="T66" s="176">
        <f t="shared" si="7"/>
        <v>5</v>
      </c>
      <c r="U66" s="250">
        <f t="shared" si="8"/>
        <v>-0.81711760124555421</v>
      </c>
      <c r="V66" s="382">
        <f t="shared" si="9"/>
        <v>38.251825998157969</v>
      </c>
      <c r="W66" s="400">
        <f t="shared" si="10"/>
        <v>19.27235229261121</v>
      </c>
      <c r="X66" s="157">
        <f t="shared" si="11"/>
        <v>46439</v>
      </c>
      <c r="Y66" s="383">
        <f t="shared" si="12"/>
        <v>18.597548904530814</v>
      </c>
      <c r="Z66" s="383">
        <f t="shared" si="22"/>
        <v>19.684562927870406</v>
      </c>
      <c r="AA66" s="384">
        <f t="shared" si="13"/>
        <v>21.378073071801825</v>
      </c>
      <c r="AB66" s="197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7.9217155739129658E-2</v>
      </c>
      <c r="AD66" s="230">
        <f>(INDEX(Models!$BJ66:$BT66,,AH66)*(1-AF66)+INDEX(Models!$BJ66:$BT66,,AH66+1)*AF66-ERP_i)*AE66*Ramure*Pc/MaxiM</f>
        <v>3.6647526184493739E-2</v>
      </c>
      <c r="AE66" s="304">
        <f t="shared" si="15"/>
        <v>0.7</v>
      </c>
      <c r="AF66" s="177">
        <f t="shared" si="23"/>
        <v>0.93854022959379657</v>
      </c>
      <c r="AG66" s="799">
        <f t="shared" si="24"/>
        <v>1</v>
      </c>
      <c r="AH66" s="176">
        <f t="shared" si="16"/>
        <v>7</v>
      </c>
      <c r="AI66" s="224">
        <f t="shared" si="17"/>
        <v>1.9385402295937966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46440</v>
      </c>
      <c r="B67" s="409">
        <f>'2026'!Wh/'2026'!Env_an*'2027'!Env_an</f>
        <v>31.900153186452187</v>
      </c>
      <c r="C67" s="829"/>
      <c r="D67" s="391">
        <f t="shared" si="0"/>
        <v>33.765342443750782</v>
      </c>
      <c r="E67" s="383">
        <f t="shared" si="1"/>
        <v>35.750014886815656</v>
      </c>
      <c r="F67" s="383">
        <f t="shared" si="2"/>
        <v>35.796926826156948</v>
      </c>
      <c r="G67" s="110">
        <f t="shared" si="21"/>
        <v>0.82677485099510684</v>
      </c>
      <c r="H67" s="412" t="b">
        <f>Wh_hp&gt;='2026'!Maxi_hp</f>
        <v>0</v>
      </c>
      <c r="I67" s="388">
        <f>IF(H67,Wh_hp,'2026'!Maxi_hp)</f>
        <v>41.235374874521426</v>
      </c>
      <c r="J67" s="85">
        <f>IF(H67,An,'2026'!An_max)</f>
        <v>2020</v>
      </c>
      <c r="K67" s="197">
        <f t="shared" si="3"/>
        <v>46440</v>
      </c>
      <c r="L67" s="147">
        <f>IF(t&lt;Tvie,1-EXP((T0-t)*PertePVj)+'2026'!Pspv,1-EXP((T0-t)*PertePVj)+Pspv)</f>
        <v>5.5239755391368717E-2</v>
      </c>
      <c r="M67" s="832"/>
      <c r="N67" s="832"/>
      <c r="O67" s="48">
        <f>IF(t&lt;Tnet,'2026'!Resal+('2026'!Salim-'2026'!Resal)*(1-EXP(('2026'!Tnet-t)/('2026'!Tau_j))),Resal+(Salim-Resal)*(1-EXP((Tnet-t)/(Tau_j))))*Salcycl</f>
        <v>5.5515289975356312E-2</v>
      </c>
      <c r="P67" s="169">
        <f>(INDEX(Models!$BJ67:$BT67,,T67)*(1-R67)+INDEX(Models!$BJ67:$BT67,,T67+1)*R67-ERP_i)*Q67*Ramure*Pc/MaxiM</f>
        <v>1.7402726519581229E-3</v>
      </c>
      <c r="Q67" s="304">
        <f t="shared" si="4"/>
        <v>0.7</v>
      </c>
      <c r="R67" s="177">
        <f t="shared" si="5"/>
        <v>0.18306867656170123</v>
      </c>
      <c r="S67" s="799">
        <f t="shared" si="6"/>
        <v>-1</v>
      </c>
      <c r="T67" s="176">
        <f t="shared" si="7"/>
        <v>5</v>
      </c>
      <c r="U67" s="250">
        <f t="shared" si="8"/>
        <v>-0.81693132343829877</v>
      </c>
      <c r="V67" s="382">
        <f t="shared" si="9"/>
        <v>38.567241618292343</v>
      </c>
      <c r="W67" s="400">
        <f t="shared" si="10"/>
        <v>31.900153186452187</v>
      </c>
      <c r="X67" s="157">
        <f t="shared" si="11"/>
        <v>46440</v>
      </c>
      <c r="Y67" s="383">
        <f t="shared" si="12"/>
        <v>30.31714418116271</v>
      </c>
      <c r="Z67" s="383">
        <f t="shared" si="22"/>
        <v>32.089775532121003</v>
      </c>
      <c r="AA67" s="384">
        <f t="shared" si="13"/>
        <v>34.851356491118402</v>
      </c>
      <c r="AB67" s="197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7.9238837079445262E-2</v>
      </c>
      <c r="AD67" s="230">
        <f>(INDEX(Models!$BJ67:$BT67,,AH67)*(1-AF67)+INDEX(Models!$BJ67:$BT67,,AH67+1)*AF67-ERP_i)*AE67*Ramure*Pc/MaxiM</f>
        <v>3.5077428426031801E-2</v>
      </c>
      <c r="AE67" s="304">
        <f t="shared" si="15"/>
        <v>0.7</v>
      </c>
      <c r="AF67" s="177">
        <f t="shared" si="23"/>
        <v>0.93872650740105201</v>
      </c>
      <c r="AG67" s="799">
        <f t="shared" si="24"/>
        <v>1</v>
      </c>
      <c r="AH67" s="176">
        <f t="shared" si="16"/>
        <v>7</v>
      </c>
      <c r="AI67" s="224">
        <f t="shared" si="17"/>
        <v>1.938726507401052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46441</v>
      </c>
      <c r="B68" s="409">
        <f>'2026'!Wh/'2026'!Env_an*'2027'!Env_an</f>
        <v>36.927016170620035</v>
      </c>
      <c r="C68" s="829"/>
      <c r="D68" s="391">
        <f t="shared" si="0"/>
        <v>39.086873196406614</v>
      </c>
      <c r="E68" s="383">
        <f t="shared" si="1"/>
        <v>41.386489334383008</v>
      </c>
      <c r="F68" s="383">
        <f t="shared" si="2"/>
        <v>41.447559976111606</v>
      </c>
      <c r="G68" s="110">
        <f t="shared" si="21"/>
        <v>0.94961404363486712</v>
      </c>
      <c r="H68" s="412" t="b">
        <f>Wh_hp&gt;='2026'!Maxi_hp</f>
        <v>0</v>
      </c>
      <c r="I68" s="388">
        <f>IF(H68,Wh_hp,'2026'!Maxi_hp)</f>
        <v>41.868249695321026</v>
      </c>
      <c r="J68" s="85">
        <f>IF(H68,An,'2026'!An_max)</f>
        <v>2020</v>
      </c>
      <c r="K68" s="197">
        <f t="shared" si="3"/>
        <v>46441</v>
      </c>
      <c r="L68" s="147">
        <f>IF(t&lt;Tvie,1-EXP((T0-t)*PertePVj)+'2026'!Pspv,1-EXP((T0-t)*PertePVj)+Pspv)</f>
        <v>5.5257861505922157E-2</v>
      </c>
      <c r="M68" s="832"/>
      <c r="N68" s="832"/>
      <c r="O68" s="48">
        <f>IF(t&lt;Tnet,'2026'!Resal+('2026'!Salim-'2026'!Resal)*(1-EXP(('2026'!Tnet-t)/('2026'!Tau_j))),Resal+(Salim-Resal)*(1-EXP((Tnet-t)/(Tau_j))))*Salcycl</f>
        <v>5.5564416672228466E-2</v>
      </c>
      <c r="P68" s="169">
        <f>(INDEX(Models!$BJ68:$BT68,,T68)*(1-R68)+INDEX(Models!$BJ68:$BT68,,T68+1)*R68-ERP_i)*Q68*Ramure*Pc/MaxiM</f>
        <v>1.5874631569679134E-3</v>
      </c>
      <c r="Q68" s="304">
        <f t="shared" si="4"/>
        <v>0.7</v>
      </c>
      <c r="R68" s="177">
        <f t="shared" si="5"/>
        <v>0.18326258285000352</v>
      </c>
      <c r="S68" s="799">
        <f t="shared" si="6"/>
        <v>-1</v>
      </c>
      <c r="T68" s="176">
        <f t="shared" si="7"/>
        <v>5</v>
      </c>
      <c r="U68" s="250">
        <f t="shared" si="8"/>
        <v>-0.81673741714999648</v>
      </c>
      <c r="V68" s="382">
        <f t="shared" si="9"/>
        <v>38.881901339721963</v>
      </c>
      <c r="W68" s="400">
        <f t="shared" si="10"/>
        <v>36.927016170620035</v>
      </c>
      <c r="X68" s="157">
        <f t="shared" si="11"/>
        <v>46441</v>
      </c>
      <c r="Y68" s="383">
        <f t="shared" si="12"/>
        <v>34.934273192732562</v>
      </c>
      <c r="Z68" s="383">
        <f t="shared" si="22"/>
        <v>36.977574905696393</v>
      </c>
      <c r="AA68" s="384">
        <f t="shared" si="13"/>
        <v>40.160733440488976</v>
      </c>
      <c r="AB68" s="197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7.9260468176196322E-2</v>
      </c>
      <c r="AD68" s="230">
        <f>(INDEX(Models!$BJ68:$BT68,,AH68)*(1-AF68)+INDEX(Models!$BJ68:$BT68,,AH68+1)*AF68-ERP_i)*AE68*Ramure*Pc/MaxiM</f>
        <v>3.3449619275131078E-2</v>
      </c>
      <c r="AE68" s="304">
        <f t="shared" si="15"/>
        <v>0.7</v>
      </c>
      <c r="AF68" s="177">
        <f t="shared" si="23"/>
        <v>0.93892041368935431</v>
      </c>
      <c r="AG68" s="799">
        <f t="shared" si="24"/>
        <v>1</v>
      </c>
      <c r="AH68" s="176">
        <f t="shared" si="16"/>
        <v>7</v>
      </c>
      <c r="AI68" s="224">
        <f t="shared" si="17"/>
        <v>1.9389204136893543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46442</v>
      </c>
      <c r="B69" s="409">
        <f>'2026'!Wh/'2026'!Env_an*'2027'!Env_an</f>
        <v>23.721454383315191</v>
      </c>
      <c r="C69" s="829"/>
      <c r="D69" s="391">
        <f t="shared" si="0"/>
        <v>25.109400800203851</v>
      </c>
      <c r="E69" s="383">
        <f t="shared" si="1"/>
        <v>26.588054746390448</v>
      </c>
      <c r="F69" s="383">
        <f t="shared" si="2"/>
        <v>26.604801990957391</v>
      </c>
      <c r="G69" s="110">
        <f t="shared" si="21"/>
        <v>0.6047107915023886</v>
      </c>
      <c r="H69" s="412" t="b">
        <f>Wh_hp&gt;='2026'!Maxi_hp</f>
        <v>0</v>
      </c>
      <c r="I69" s="388">
        <f>IF(H69,Wh_hp,'2026'!Maxi_hp)</f>
        <v>42.008924715628446</v>
      </c>
      <c r="J69" s="85">
        <f>IF(H69,An,'2026'!An_max)</f>
        <v>2020</v>
      </c>
      <c r="K69" s="197">
        <f t="shared" si="3"/>
        <v>46442</v>
      </c>
      <c r="L69" s="147">
        <f>IF(t&lt;Tvie,1-EXP((T0-t)*PertePVj)+'2026'!Pspv,1-EXP((T0-t)*PertePVj)+Pspv)</f>
        <v>5.5275967273476057E-2</v>
      </c>
      <c r="M69" s="832"/>
      <c r="N69" s="832"/>
      <c r="O69" s="48">
        <f>IF(t&lt;Tnet,'2026'!Resal+('2026'!Salim-'2026'!Resal)*(1-EXP(('2026'!Tnet-t)/('2026'!Tau_j))),Resal+(Salim-Resal)*(1-EXP((Tnet-t)/(Tau_j))))*Salcycl</f>
        <v>5.5613468540316402E-2</v>
      </c>
      <c r="P69" s="169">
        <f>(INDEX(Models!$BJ69:$BT69,,T69)*(1-R69)+INDEX(Models!$BJ69:$BT69,,T69+1)*R69-ERP_i)*Q69*Ramure*Pc/MaxiM</f>
        <v>1.4437476642475563E-3</v>
      </c>
      <c r="Q69" s="304">
        <f t="shared" si="4"/>
        <v>0.7</v>
      </c>
      <c r="R69" s="177">
        <f t="shared" si="5"/>
        <v>0.18346442199177815</v>
      </c>
      <c r="S69" s="799">
        <f t="shared" si="6"/>
        <v>-1</v>
      </c>
      <c r="T69" s="176">
        <f t="shared" si="7"/>
        <v>5</v>
      </c>
      <c r="U69" s="250">
        <f t="shared" si="8"/>
        <v>-0.81653557800822185</v>
      </c>
      <c r="V69" s="382">
        <f t="shared" si="9"/>
        <v>39.195805639077292</v>
      </c>
      <c r="W69" s="400">
        <f t="shared" si="10"/>
        <v>23.721454383315191</v>
      </c>
      <c r="X69" s="157">
        <f t="shared" si="11"/>
        <v>46442</v>
      </c>
      <c r="Y69" s="383">
        <f t="shared" si="12"/>
        <v>22.82099854016154</v>
      </c>
      <c r="Z69" s="383">
        <f t="shared" si="22"/>
        <v>24.156259129238961</v>
      </c>
      <c r="AA69" s="384">
        <f t="shared" si="13"/>
        <v>26.23632902638256</v>
      </c>
      <c r="AB69" s="197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7.9282047997337443E-2</v>
      </c>
      <c r="AD69" s="230">
        <f>(INDEX(Models!$BJ69:$BT69,,AH69)*(1-AF69)+INDEX(Models!$BJ69:$BT69,,AH69+1)*AF69-ERP_i)*AE69*Ramure*Pc/MaxiM</f>
        <v>3.1765343834135547E-2</v>
      </c>
      <c r="AE69" s="304">
        <f t="shared" si="15"/>
        <v>0.7</v>
      </c>
      <c r="AF69" s="177">
        <f t="shared" si="23"/>
        <v>0.93912225283112893</v>
      </c>
      <c r="AG69" s="799">
        <f t="shared" si="24"/>
        <v>1</v>
      </c>
      <c r="AH69" s="176">
        <f t="shared" si="16"/>
        <v>7</v>
      </c>
      <c r="AI69" s="224">
        <f t="shared" si="17"/>
        <v>1.9391222528311289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46443</v>
      </c>
      <c r="B70" s="409">
        <f>'2026'!Wh/'2026'!Env_an*'2027'!Env_an</f>
        <v>25.792117415928157</v>
      </c>
      <c r="C70" s="829"/>
      <c r="D70" s="391">
        <f t="shared" si="0"/>
        <v>27.301741918228526</v>
      </c>
      <c r="E70" s="383">
        <f t="shared" si="1"/>
        <v>28.910998822947025</v>
      </c>
      <c r="F70" s="383">
        <f t="shared" si="2"/>
        <v>28.930084518285895</v>
      </c>
      <c r="G70" s="110">
        <f t="shared" si="21"/>
        <v>0.65239292175577857</v>
      </c>
      <c r="H70" s="412" t="b">
        <f>Wh_hp&gt;='2026'!Maxi_hp</f>
        <v>0</v>
      </c>
      <c r="I70" s="388">
        <f>IF(H70,Wh_hp,'2026'!Maxi_hp)</f>
        <v>38.500224990742687</v>
      </c>
      <c r="J70" s="85">
        <f>IF(H70,An,'2026'!An_max)</f>
        <v>2021</v>
      </c>
      <c r="K70" s="197">
        <f t="shared" si="3"/>
        <v>46443</v>
      </c>
      <c r="L70" s="147">
        <f>IF(t&lt;Tvie,1-EXP((T0-t)*PertePVj)+'2026'!Pspv,1-EXP((T0-t)*PertePVj)+Pspv)</f>
        <v>5.5294072694037077E-2</v>
      </c>
      <c r="M70" s="832"/>
      <c r="N70" s="832"/>
      <c r="O70" s="48">
        <f>IF(t&lt;Tnet,'2026'!Resal+('2026'!Salim-'2026'!Resal)*(1-EXP(('2026'!Tnet-t)/('2026'!Tau_j))),Resal+(Salim-Resal)*(1-EXP((Tnet-t)/(Tau_j))))*Salcycl</f>
        <v>5.5662445790050419E-2</v>
      </c>
      <c r="P70" s="169">
        <f>(INDEX(Models!$BJ70:$BT70,,T70)*(1-R70)+INDEX(Models!$BJ70:$BT70,,T70+1)*R70-ERP_i)*Q70*Ramure*Pc/MaxiM</f>
        <v>1.3089010695124619E-3</v>
      </c>
      <c r="Q70" s="304">
        <f t="shared" si="4"/>
        <v>0.7</v>
      </c>
      <c r="R70" s="177">
        <f t="shared" si="5"/>
        <v>0.18367450982548694</v>
      </c>
      <c r="S70" s="799">
        <f t="shared" si="6"/>
        <v>-1</v>
      </c>
      <c r="T70" s="176">
        <f t="shared" si="7"/>
        <v>5</v>
      </c>
      <c r="U70" s="250">
        <f t="shared" si="8"/>
        <v>-0.81632549017451306</v>
      </c>
      <c r="V70" s="382">
        <f t="shared" si="9"/>
        <v>39.508954948803492</v>
      </c>
      <c r="W70" s="400">
        <f t="shared" si="10"/>
        <v>25.792117415928157</v>
      </c>
      <c r="X70" s="157">
        <f t="shared" si="11"/>
        <v>46443</v>
      </c>
      <c r="Y70" s="383">
        <f t="shared" si="12"/>
        <v>24.782211567085309</v>
      </c>
      <c r="Z70" s="383">
        <f t="shared" si="22"/>
        <v>26.232725815278034</v>
      </c>
      <c r="AA70" s="384">
        <f t="shared" si="13"/>
        <v>28.49226428504987</v>
      </c>
      <c r="AB70" s="197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7.930357682935843E-2</v>
      </c>
      <c r="AD70" s="230">
        <f>(INDEX(Models!$BJ70:$BT70,,AH70)*(1-AF70)+INDEX(Models!$BJ70:$BT70,,AH70+1)*AF70-ERP_i)*AE70*Ramure*Pc/MaxiM</f>
        <v>3.002580526210372E-2</v>
      </c>
      <c r="AE70" s="304">
        <f t="shared" si="15"/>
        <v>0.7</v>
      </c>
      <c r="AF70" s="177">
        <f t="shared" si="23"/>
        <v>0.93933234066483773</v>
      </c>
      <c r="AG70" s="799">
        <f t="shared" si="24"/>
        <v>1</v>
      </c>
      <c r="AH70" s="176">
        <f t="shared" si="16"/>
        <v>7</v>
      </c>
      <c r="AI70" s="224">
        <f t="shared" si="17"/>
        <v>1.9393323406648377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46444</v>
      </c>
      <c r="B71" s="409">
        <f>'2026'!Wh/'2026'!Env_an*'2027'!Env_an</f>
        <v>39.923124810061999</v>
      </c>
      <c r="C71" s="829"/>
      <c r="D71" s="391">
        <f t="shared" si="0"/>
        <v>42.260653594242193</v>
      </c>
      <c r="E71" s="383">
        <f t="shared" si="1"/>
        <v>44.753956935373189</v>
      </c>
      <c r="F71" s="383">
        <f t="shared" si="2"/>
        <v>44.806950383067345</v>
      </c>
      <c r="G71" s="110">
        <f t="shared" si="21"/>
        <v>1.0025557936565523</v>
      </c>
      <c r="H71" s="412" t="b">
        <f>Wh_hp&gt;='2026'!Maxi_hp</f>
        <v>0</v>
      </c>
      <c r="I71" s="388">
        <f>IF(H71,Wh_hp,'2026'!Maxi_hp)</f>
        <v>44.80695038306736</v>
      </c>
      <c r="J71" s="85">
        <f>IF(H71,An,'2026'!An_max)</f>
        <v>2026</v>
      </c>
      <c r="K71" s="197">
        <f t="shared" si="3"/>
        <v>46444</v>
      </c>
      <c r="L71" s="147">
        <f>IF(t&lt;Tvie,1-EXP((T0-t)*PertePVj)+'2026'!Pspv,1-EXP((T0-t)*PertePVj)+Pspv)</f>
        <v>5.5312177767611881E-2</v>
      </c>
      <c r="M71" s="832"/>
      <c r="N71" s="832"/>
      <c r="O71" s="48">
        <f>IF(t&lt;Tnet,'2026'!Resal+('2026'!Salim-'2026'!Resal)*(1-EXP(('2026'!Tnet-t)/('2026'!Tau_j))),Resal+(Salim-Resal)*(1-EXP((Tnet-t)/(Tau_j))))*Salcycl</f>
        <v>5.5711349607174235E-2</v>
      </c>
      <c r="P71" s="169">
        <f>(INDEX(Models!$BJ71:$BT71,,T71)*(1-R71)+INDEX(Models!$BJ71:$BT71,,T71+1)*R71-ERP_i)*Q71*Ramure*Pc/MaxiM</f>
        <v>1.1827059695226859E-3</v>
      </c>
      <c r="Q71" s="304">
        <f t="shared" si="4"/>
        <v>0.7</v>
      </c>
      <c r="R71" s="177">
        <f t="shared" si="5"/>
        <v>0.18389317402993921</v>
      </c>
      <c r="S71" s="799">
        <f t="shared" si="6"/>
        <v>-1</v>
      </c>
      <c r="T71" s="176">
        <f t="shared" si="7"/>
        <v>5</v>
      </c>
      <c r="U71" s="250">
        <f t="shared" si="8"/>
        <v>-0.81610682597006079</v>
      </c>
      <c r="V71" s="382">
        <f t="shared" si="9"/>
        <v>39.821349657212735</v>
      </c>
      <c r="W71" s="400">
        <f t="shared" si="10"/>
        <v>39.923124810061999</v>
      </c>
      <c r="X71" s="157">
        <f t="shared" si="11"/>
        <v>46444</v>
      </c>
      <c r="Y71" s="383">
        <f t="shared" si="12"/>
        <v>37.870631464746239</v>
      </c>
      <c r="Z71" s="383">
        <f t="shared" si="22"/>
        <v>40.087985230141207</v>
      </c>
      <c r="AA71" s="384">
        <f t="shared" si="13"/>
        <v>43.541953114386601</v>
      </c>
      <c r="AB71" s="197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7.9325056346729983E-2</v>
      </c>
      <c r="AD71" s="230">
        <f>(INDEX(Models!$BJ71:$BT71,,AH71)*(1-AF71)+INDEX(Models!$BJ71:$BT71,,AH71+1)*AF71-ERP_i)*AE71*Ramure*Pc/MaxiM</f>
        <v>2.8232166167657603E-2</v>
      </c>
      <c r="AE71" s="304">
        <f t="shared" si="15"/>
        <v>0.7</v>
      </c>
      <c r="AF71" s="177">
        <f t="shared" si="23"/>
        <v>0.93955100486929011</v>
      </c>
      <c r="AG71" s="799">
        <f t="shared" si="24"/>
        <v>1</v>
      </c>
      <c r="AH71" s="176">
        <f t="shared" si="16"/>
        <v>7</v>
      </c>
      <c r="AI71" s="224">
        <f t="shared" si="17"/>
        <v>1.9395510048692901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46445</v>
      </c>
      <c r="B72" s="409">
        <f>'2026'!Wh/'2026'!Env_an*'2027'!Env_an</f>
        <v>21.137575697653258</v>
      </c>
      <c r="C72" s="829"/>
      <c r="D72" s="391">
        <f t="shared" si="0"/>
        <v>22.375625370380984</v>
      </c>
      <c r="E72" s="383">
        <f t="shared" si="1"/>
        <v>23.696972896625443</v>
      </c>
      <c r="F72" s="383">
        <f t="shared" si="2"/>
        <v>23.705186680603148</v>
      </c>
      <c r="G72" s="110">
        <f t="shared" si="21"/>
        <v>0.5263097512028756</v>
      </c>
      <c r="H72" s="412" t="b">
        <f>Wh_hp&gt;='2026'!Maxi_hp</f>
        <v>0</v>
      </c>
      <c r="I72" s="388">
        <f>IF(H72,Wh_hp,'2026'!Maxi_hp)</f>
        <v>43.222165638946798</v>
      </c>
      <c r="J72" s="85">
        <f>IF(H72,An,'2026'!An_max)</f>
        <v>2021</v>
      </c>
      <c r="K72" s="197">
        <f t="shared" si="3"/>
        <v>46445</v>
      </c>
      <c r="L72" s="147">
        <f>IF(t&lt;Tvie,1-EXP((T0-t)*PertePVj)+'2026'!Pspv,1-EXP((T0-t)*PertePVj)+Pspv)</f>
        <v>5.5330282494207017E-2</v>
      </c>
      <c r="M72" s="832"/>
      <c r="N72" s="832"/>
      <c r="O72" s="48">
        <f>IF(t&lt;Tnet,'2026'!Resal+('2026'!Salim-'2026'!Resal)*(1-EXP(('2026'!Tnet-t)/('2026'!Tau_j))),Resal+(Salim-Resal)*(1-EXP((Tnet-t)/(Tau_j))))*Salcycl</f>
        <v>5.5760182197474861E-2</v>
      </c>
      <c r="P72" s="169">
        <f>(INDEX(Models!$BJ72:$BT72,,T72)*(1-R72)+INDEX(Models!$BJ72:$BT72,,T72+1)*R72-ERP_i)*Q72*Ramure*Pc/MaxiM</f>
        <v>1.0699508118854942E-3</v>
      </c>
      <c r="Q72" s="304">
        <f t="shared" si="4"/>
        <v>0.7</v>
      </c>
      <c r="R72" s="177">
        <f t="shared" si="5"/>
        <v>0.18412075450578735</v>
      </c>
      <c r="S72" s="799">
        <f t="shared" si="6"/>
        <v>-1</v>
      </c>
      <c r="T72" s="176">
        <f t="shared" si="7"/>
        <v>5</v>
      </c>
      <c r="U72" s="250">
        <f t="shared" si="8"/>
        <v>-0.81587924549421265</v>
      </c>
      <c r="V72" s="382">
        <f t="shared" si="9"/>
        <v>40.132789286586046</v>
      </c>
      <c r="W72" s="400">
        <f t="shared" si="10"/>
        <v>21.137575697653258</v>
      </c>
      <c r="X72" s="157">
        <f t="shared" si="11"/>
        <v>46445</v>
      </c>
      <c r="Y72" s="383">
        <f t="shared" si="12"/>
        <v>20.440195464231309</v>
      </c>
      <c r="Z72" s="383">
        <f t="shared" si="22"/>
        <v>21.637398855336933</v>
      </c>
      <c r="AA72" s="384">
        <f t="shared" si="13"/>
        <v>23.502217297377161</v>
      </c>
      <c r="AB72" s="197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7.9346489671352896E-2</v>
      </c>
      <c r="AD72" s="230">
        <f>(INDEX(Models!$BJ72:$BT72,,AH72)*(1-AF72)+INDEX(Models!$BJ72:$BT72,,AH72+1)*AF72-ERP_i)*AE72*Ramure*Pc/MaxiM</f>
        <v>2.6439367891823527E-2</v>
      </c>
      <c r="AE72" s="304">
        <f t="shared" si="15"/>
        <v>0.7</v>
      </c>
      <c r="AF72" s="177">
        <f t="shared" si="23"/>
        <v>0.93977858534513814</v>
      </c>
      <c r="AG72" s="799">
        <f t="shared" si="24"/>
        <v>1</v>
      </c>
      <c r="AH72" s="176">
        <f t="shared" si="16"/>
        <v>7</v>
      </c>
      <c r="AI72" s="224">
        <f t="shared" si="17"/>
        <v>1.9397785853451381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46446</v>
      </c>
      <c r="B73" s="409">
        <f>'2026'!Wh/'2026'!Env_an*'2027'!Env_an</f>
        <v>36.574252350929541</v>
      </c>
      <c r="C73" s="829"/>
      <c r="D73" s="391">
        <f t="shared" si="0"/>
        <v>38.717186148545288</v>
      </c>
      <c r="E73" s="383">
        <f t="shared" si="1"/>
        <v>41.005669369906755</v>
      </c>
      <c r="F73" s="383">
        <f t="shared" si="2"/>
        <v>41.04000942696392</v>
      </c>
      <c r="G73" s="110">
        <f t="shared" si="21"/>
        <v>0.90421370948055135</v>
      </c>
      <c r="H73" s="412" t="b">
        <f>Wh_hp&gt;='2026'!Maxi_hp</f>
        <v>1</v>
      </c>
      <c r="I73" s="388">
        <f>IF(H73,Wh_hp,'2026'!Maxi_hp)</f>
        <v>41.04000942696392</v>
      </c>
      <c r="J73" s="85">
        <f>IF(H73,An,'2026'!An_max)</f>
        <v>2027</v>
      </c>
      <c r="K73" s="197">
        <f t="shared" si="3"/>
        <v>46446</v>
      </c>
      <c r="L73" s="147">
        <f>IF(t&lt;Tvie,1-EXP((T0-t)*PertePVj)+'2026'!Pspv,1-EXP((T0-t)*PertePVj)+Pspv)</f>
        <v>5.5348386873829258E-2</v>
      </c>
      <c r="M73" s="832"/>
      <c r="N73" s="832"/>
      <c r="O73" s="48">
        <f>IF(t&lt;Tnet,'2026'!Resal+('2026'!Salim-'2026'!Resal)*(1-EXP(('2026'!Tnet-t)/('2026'!Tau_j))),Resal+(Salim-Resal)*(1-EXP((Tnet-t)/(Tau_j))))*Salcycl</f>
        <v>5.5808946824336909E-2</v>
      </c>
      <c r="P73" s="169">
        <f>(INDEX(Models!$BJ73:$BT73,,T73)*(1-R73)+INDEX(Models!$BJ73:$BT73,,T73+1)*R73-ERP_i)*Q73*Ramure*Pc/MaxiM</f>
        <v>9.6920325230180973E-4</v>
      </c>
      <c r="Q73" s="304">
        <f t="shared" si="4"/>
        <v>0.7</v>
      </c>
      <c r="R73" s="177">
        <f t="shared" si="5"/>
        <v>0.18435760376385746</v>
      </c>
      <c r="S73" s="799">
        <f t="shared" si="6"/>
        <v>-1</v>
      </c>
      <c r="T73" s="176">
        <f t="shared" si="7"/>
        <v>5</v>
      </c>
      <c r="U73" s="250">
        <f t="shared" si="8"/>
        <v>-0.81564239623614254</v>
      </c>
      <c r="V73" s="382">
        <f t="shared" si="9"/>
        <v>40.443319294490301</v>
      </c>
      <c r="W73" s="400">
        <f t="shared" si="10"/>
        <v>36.574252350929541</v>
      </c>
      <c r="X73" s="157">
        <f t="shared" si="11"/>
        <v>46446</v>
      </c>
      <c r="Y73" s="383">
        <f t="shared" si="12"/>
        <v>34.930020630147681</v>
      </c>
      <c r="Z73" s="383">
        <f t="shared" si="22"/>
        <v>36.976616717513942</v>
      </c>
      <c r="AA73" s="384">
        <f t="shared" si="13"/>
        <v>40.164378334542533</v>
      </c>
      <c r="AB73" s="197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7.9367881421608472E-2</v>
      </c>
      <c r="AD73" s="230">
        <f>(INDEX(Models!$BJ73:$BT73,,AH73)*(1-AF73)+INDEX(Models!$BJ73:$BT73,,AH73+1)*AF73-ERP_i)*AE73*Ramure*Pc/MaxiM</f>
        <v>2.471354375383248E-2</v>
      </c>
      <c r="AE73" s="304">
        <f t="shared" si="15"/>
        <v>0.7</v>
      </c>
      <c r="AF73" s="177">
        <f t="shared" si="23"/>
        <v>0.94001543460320836</v>
      </c>
      <c r="AG73" s="799">
        <f t="shared" si="24"/>
        <v>1</v>
      </c>
      <c r="AH73" s="176">
        <f t="shared" si="16"/>
        <v>7</v>
      </c>
      <c r="AI73" s="224">
        <f t="shared" si="17"/>
        <v>1.9400154346032084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46447</v>
      </c>
      <c r="B74" s="409">
        <f>'2026'!Wh/'2026'!Env_an*'2027'!Env_an</f>
        <v>40.481501653451964</v>
      </c>
      <c r="C74" s="829"/>
      <c r="D74" s="391">
        <f t="shared" si="0"/>
        <v>42.854187643945266</v>
      </c>
      <c r="E74" s="383">
        <f t="shared" si="1"/>
        <v>45.389540619434527</v>
      </c>
      <c r="F74" s="383">
        <f t="shared" si="2"/>
        <v>45.429146970654777</v>
      </c>
      <c r="G74" s="110">
        <f t="shared" si="21"/>
        <v>0.99333111178236422</v>
      </c>
      <c r="H74" s="412" t="b">
        <f>Wh_hp&gt;='2026'!Maxi_hp</f>
        <v>1</v>
      </c>
      <c r="I74" s="388">
        <f>IF(H74,Wh_hp,'2026'!Maxi_hp)</f>
        <v>45.429146970654777</v>
      </c>
      <c r="J74" s="85">
        <f>IF(H74,An,'2026'!An_max)</f>
        <v>2027</v>
      </c>
      <c r="K74" s="197">
        <f t="shared" si="3"/>
        <v>46447</v>
      </c>
      <c r="L74" s="147">
        <f>IF(t&lt;Tvie,1-EXP((T0-t)*PertePVj)+'2026'!Pspv,1-EXP((T0-t)*PertePVj)+Pspv)</f>
        <v>5.5366490906485155E-2</v>
      </c>
      <c r="M74" s="832"/>
      <c r="N74" s="832"/>
      <c r="O74" s="48">
        <f>IF(t&lt;Tnet,'2026'!Resal+('2026'!Salim-'2026'!Resal)*(1-EXP(('2026'!Tnet-t)/('2026'!Tau_j))),Resal+(Salim-Resal)*(1-EXP((Tnet-t)/(Tau_j))))*Salcycl</f>
        <v>5.5857647838887713E-2</v>
      </c>
      <c r="P74" s="169">
        <f>(INDEX(Models!$BJ74:$BT74,,T74)*(1-R74)+INDEX(Models!$BJ74:$BT74,,T74+1)*R74-ERP_i)*Q74*Ramure*Pc/MaxiM</f>
        <v>8.8020207474929927E-4</v>
      </c>
      <c r="Q74" s="304">
        <f t="shared" si="4"/>
        <v>0.7</v>
      </c>
      <c r="R74" s="177">
        <f t="shared" si="5"/>
        <v>0.18460408731990452</v>
      </c>
      <c r="S74" s="799">
        <f t="shared" si="6"/>
        <v>-1</v>
      </c>
      <c r="T74" s="176">
        <f t="shared" si="7"/>
        <v>5</v>
      </c>
      <c r="U74" s="250">
        <f t="shared" si="8"/>
        <v>-0.81539591268009548</v>
      </c>
      <c r="V74" s="382">
        <f t="shared" si="9"/>
        <v>40.752939112412328</v>
      </c>
      <c r="W74" s="400">
        <f t="shared" si="10"/>
        <v>40.481501653451964</v>
      </c>
      <c r="X74" s="157">
        <f t="shared" si="11"/>
        <v>46447</v>
      </c>
      <c r="Y74" s="383">
        <f t="shared" si="12"/>
        <v>38.604900645697064</v>
      </c>
      <c r="Z74" s="383">
        <f t="shared" si="22"/>
        <v>40.867596029642158</v>
      </c>
      <c r="AA74" s="384">
        <f t="shared" si="13"/>
        <v>44.391829539112308</v>
      </c>
      <c r="AB74" s="197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7.9389237750722791E-2</v>
      </c>
      <c r="AD74" s="230">
        <f>(INDEX(Models!$BJ74:$BT74,,AH74)*(1-AF74)+INDEX(Models!$BJ74:$BT74,,AH74+1)*AF74-ERP_i)*AE74*Ramure*Pc/MaxiM</f>
        <v>2.3053094447906822E-2</v>
      </c>
      <c r="AE74" s="304">
        <f t="shared" si="15"/>
        <v>0.7</v>
      </c>
      <c r="AF74" s="177">
        <f t="shared" si="23"/>
        <v>0.94026191815925531</v>
      </c>
      <c r="AG74" s="799">
        <f t="shared" si="24"/>
        <v>1</v>
      </c>
      <c r="AH74" s="176">
        <f t="shared" si="16"/>
        <v>7</v>
      </c>
      <c r="AI74" s="224">
        <f t="shared" si="17"/>
        <v>1.9402619181592553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46448</v>
      </c>
      <c r="B75" s="409">
        <f>'2026'!Wh/'2026'!Env_an*'2027'!Env_an</f>
        <v>14.02655036346207</v>
      </c>
      <c r="C75" s="829"/>
      <c r="D75" s="391">
        <f t="shared" si="0"/>
        <v>14.848953640986185</v>
      </c>
      <c r="E75" s="383">
        <f t="shared" si="1"/>
        <v>15.728262453985142</v>
      </c>
      <c r="F75" s="383">
        <f t="shared" si="2"/>
        <v>15.729012728705163</v>
      </c>
      <c r="G75" s="110">
        <f t="shared" si="21"/>
        <v>0.34133943790155336</v>
      </c>
      <c r="H75" s="412" t="b">
        <f>Wh_hp&gt;='2026'!Maxi_hp</f>
        <v>0</v>
      </c>
      <c r="I75" s="388">
        <f>IF(H75,Wh_hp,'2026'!Maxi_hp)</f>
        <v>33.203726330911472</v>
      </c>
      <c r="J75" s="85">
        <f>IF(H75,An,'2026'!An_max)</f>
        <v>2020</v>
      </c>
      <c r="K75" s="197">
        <f t="shared" si="3"/>
        <v>46448</v>
      </c>
      <c r="L75" s="147">
        <f>IF(t&lt;Tvie,1-EXP((T0-t)*PertePVj)+'2026'!Pspv,1-EXP((T0-t)*PertePVj)+Pspv)</f>
        <v>5.5384594592181369E-2</v>
      </c>
      <c r="M75" s="832"/>
      <c r="N75" s="832"/>
      <c r="O75" s="48">
        <f>IF(t&lt;Tnet,'2026'!Resal+('2026'!Salim-'2026'!Resal)*(1-EXP(('2026'!Tnet-t)/('2026'!Tau_j))),Resal+(Salim-Resal)*(1-EXP((Tnet-t)/(Tau_j))))*Salcycl</f>
        <v>5.5906290702579325E-2</v>
      </c>
      <c r="P75" s="169">
        <f>(INDEX(Models!$BJ75:$BT75,,T75)*(1-R75)+INDEX(Models!$BJ75:$BT75,,T75+1)*R75-ERP_i)*Q75*Ramure*Pc/MaxiM</f>
        <v>8.0269613967155567E-4</v>
      </c>
      <c r="Q75" s="304">
        <f t="shared" si="4"/>
        <v>0.7</v>
      </c>
      <c r="R75" s="177">
        <f t="shared" si="5"/>
        <v>0.1848605840953137</v>
      </c>
      <c r="S75" s="799">
        <f t="shared" si="6"/>
        <v>-1</v>
      </c>
      <c r="T75" s="176">
        <f t="shared" si="7"/>
        <v>5</v>
      </c>
      <c r="U75" s="250">
        <f t="shared" si="8"/>
        <v>-0.8151394159046863</v>
      </c>
      <c r="V75" s="382">
        <f t="shared" si="9"/>
        <v>41.06164805862489</v>
      </c>
      <c r="W75" s="400">
        <f t="shared" si="10"/>
        <v>14.02655036346207</v>
      </c>
      <c r="X75" s="157">
        <f t="shared" si="11"/>
        <v>46448</v>
      </c>
      <c r="Y75" s="383">
        <f t="shared" si="12"/>
        <v>13.66055596261892</v>
      </c>
      <c r="Z75" s="383">
        <f t="shared" si="22"/>
        <v>14.461500293573183</v>
      </c>
      <c r="AA75" s="384">
        <f t="shared" si="13"/>
        <v>15.708957506297658</v>
      </c>
      <c r="AB75" s="197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7.941056637427242E-2</v>
      </c>
      <c r="AD75" s="230">
        <f>(INDEX(Models!$BJ75:$BT75,,AH75)*(1-AF75)+INDEX(Models!$BJ75:$BT75,,AH75+1)*AF75-ERP_i)*AE75*Ramure*Pc/MaxiM</f>
        <v>2.1456473445266876E-2</v>
      </c>
      <c r="AE75" s="304">
        <f t="shared" si="15"/>
        <v>0.7</v>
      </c>
      <c r="AF75" s="177">
        <f t="shared" si="23"/>
        <v>0.94051841493466459</v>
      </c>
      <c r="AG75" s="799">
        <f t="shared" si="24"/>
        <v>1</v>
      </c>
      <c r="AH75" s="176">
        <f t="shared" si="16"/>
        <v>7</v>
      </c>
      <c r="AI75" s="224">
        <f t="shared" si="17"/>
        <v>1.9405184149346646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46449</v>
      </c>
      <c r="B76" s="409">
        <f>'2026'!Wh/'2026'!Env_an*'2027'!Env_an</f>
        <v>36.555837197781493</v>
      </c>
      <c r="C76" s="829"/>
      <c r="D76" s="391">
        <f t="shared" si="0"/>
        <v>38.699917009828894</v>
      </c>
      <c r="E76" s="383">
        <f t="shared" si="1"/>
        <v>40.993715524850927</v>
      </c>
      <c r="F76" s="383">
        <f t="shared" si="2"/>
        <v>41.018902344300209</v>
      </c>
      <c r="G76" s="110">
        <f t="shared" si="21"/>
        <v>0.88353515960265339</v>
      </c>
      <c r="H76" s="412" t="b">
        <f>Wh_hp&gt;='2026'!Maxi_hp</f>
        <v>1</v>
      </c>
      <c r="I76" s="388">
        <f>IF(H76,Wh_hp,'2026'!Maxi_hp)</f>
        <v>41.018902344300209</v>
      </c>
      <c r="J76" s="85">
        <f>IF(H76,An,'2026'!An_max)</f>
        <v>2027</v>
      </c>
      <c r="K76" s="197">
        <f t="shared" si="3"/>
        <v>46449</v>
      </c>
      <c r="L76" s="147">
        <f>IF(t&lt;Tvie,1-EXP((T0-t)*PertePVj)+'2026'!Pspv,1-EXP((T0-t)*PertePVj)+Pspv)</f>
        <v>5.540269793092456E-2</v>
      </c>
      <c r="M76" s="832"/>
      <c r="N76" s="832"/>
      <c r="O76" s="48">
        <f>IF(t&lt;Tnet,'2026'!Resal+('2026'!Salim-'2026'!Resal)*(1-EXP(('2026'!Tnet-t)/('2026'!Tau_j))),Resal+(Salim-Resal)*(1-EXP((Tnet-t)/(Tau_j))))*Salcycl</f>
        <v>5.5954882002132694E-2</v>
      </c>
      <c r="P76" s="169">
        <f>(INDEX(Models!$BJ76:$BT76,,T76)*(1-R76)+INDEX(Models!$BJ76:$BT76,,T76+1)*R76-ERP_i)*Q76*Ramure*Pc/MaxiM</f>
        <v>7.364440505341558E-4</v>
      </c>
      <c r="Q76" s="304">
        <f t="shared" si="4"/>
        <v>0.7</v>
      </c>
      <c r="R76" s="177">
        <f t="shared" si="5"/>
        <v>0.18512748682320002</v>
      </c>
      <c r="S76" s="799">
        <f t="shared" si="6"/>
        <v>-1</v>
      </c>
      <c r="T76" s="176">
        <f t="shared" si="7"/>
        <v>5</v>
      </c>
      <c r="U76" s="250">
        <f t="shared" si="8"/>
        <v>-0.81487251317679998</v>
      </c>
      <c r="V76" s="382">
        <f t="shared" si="9"/>
        <v>41.369445332972276</v>
      </c>
      <c r="W76" s="400">
        <f t="shared" si="10"/>
        <v>36.555837197781493</v>
      </c>
      <c r="X76" s="157">
        <f t="shared" si="11"/>
        <v>46449</v>
      </c>
      <c r="Y76" s="383">
        <f t="shared" si="12"/>
        <v>35.076170373208498</v>
      </c>
      <c r="Z76" s="383">
        <f t="shared" si="22"/>
        <v>37.133464489445991</v>
      </c>
      <c r="AA76" s="384">
        <f t="shared" si="13"/>
        <v>40.337551936693963</v>
      </c>
      <c r="AB76" s="197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7.9431876586771769E-2</v>
      </c>
      <c r="AD76" s="230">
        <f>(INDEX(Models!$BJ76:$BT76,,AH76)*(1-AF76)+INDEX(Models!$BJ76:$BT76,,AH76+1)*AF76-ERP_i)*AE76*Ramure*Pc/MaxiM</f>
        <v>1.9922184101932652E-2</v>
      </c>
      <c r="AE76" s="304">
        <f t="shared" si="15"/>
        <v>0.7</v>
      </c>
      <c r="AF76" s="177">
        <f t="shared" si="23"/>
        <v>0.94078531766255091</v>
      </c>
      <c r="AG76" s="799">
        <f t="shared" si="24"/>
        <v>1</v>
      </c>
      <c r="AH76" s="176">
        <f t="shared" si="16"/>
        <v>7</v>
      </c>
      <c r="AI76" s="224">
        <f t="shared" si="17"/>
        <v>1.9407853176625509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46450</v>
      </c>
      <c r="B77" s="409">
        <f>'2026'!Wh/'2026'!Env_an*'2027'!Env_an</f>
        <v>4.8677407259236789</v>
      </c>
      <c r="C77" s="829"/>
      <c r="D77" s="391">
        <f t="shared" si="0"/>
        <v>5.1533431295954637</v>
      </c>
      <c r="E77" s="383">
        <f t="shared" si="1"/>
        <v>5.459069757669095</v>
      </c>
      <c r="F77" s="383">
        <f t="shared" si="2"/>
        <v>5.459069757669095</v>
      </c>
      <c r="G77" s="110">
        <f t="shared" si="21"/>
        <v>0.11671912455419792</v>
      </c>
      <c r="H77" s="412" t="b">
        <f>Wh_hp&gt;='2026'!Maxi_hp</f>
        <v>0</v>
      </c>
      <c r="I77" s="388">
        <f>IF(H77,Wh_hp,'2026'!Maxi_hp)</f>
        <v>31.937048727030085</v>
      </c>
      <c r="J77" s="85">
        <f>IF(H77,An,'2026'!An_max)</f>
        <v>2021</v>
      </c>
      <c r="K77" s="197">
        <f t="shared" si="3"/>
        <v>46450</v>
      </c>
      <c r="L77" s="147">
        <f>IF(t&lt;Tvie,1-EXP((T0-t)*PertePVj)+'2026'!Pspv,1-EXP((T0-t)*PertePVj)+Pspv)</f>
        <v>5.5420800922721503E-2</v>
      </c>
      <c r="M77" s="832"/>
      <c r="N77" s="832"/>
      <c r="O77" s="48">
        <f>IF(t&lt;Tnet,'2026'!Resal+('2026'!Salim-'2026'!Resal)*(1-EXP(('2026'!Tnet-t)/('2026'!Tau_j))),Resal+(Salim-Resal)*(1-EXP((Tnet-t)/(Tau_j))))*Salcycl</f>
        <v>5.6003429456847588E-2</v>
      </c>
      <c r="P77" s="169">
        <f>(INDEX(Models!$BJ77:$BT77,,T77)*(1-R77)+INDEX(Models!$BJ77:$BT77,,T77+1)*R77-ERP_i)*Q77*Ramure*Pc/MaxiM</f>
        <v>6.8121385646047216E-4</v>
      </c>
      <c r="Q77" s="304">
        <f t="shared" si="4"/>
        <v>0.7</v>
      </c>
      <c r="R77" s="177">
        <f t="shared" si="5"/>
        <v>0.18540520245927872</v>
      </c>
      <c r="S77" s="799">
        <f t="shared" si="6"/>
        <v>-1</v>
      </c>
      <c r="T77" s="176">
        <f t="shared" si="7"/>
        <v>5</v>
      </c>
      <c r="U77" s="250">
        <f t="shared" si="8"/>
        <v>-0.81459479754072128</v>
      </c>
      <c r="V77" s="382">
        <f t="shared" si="9"/>
        <v>41.676330010792299</v>
      </c>
      <c r="W77" s="400">
        <f t="shared" si="10"/>
        <v>4.8677407259236789</v>
      </c>
      <c r="X77" s="157">
        <f t="shared" si="11"/>
        <v>46450</v>
      </c>
      <c r="Y77" s="383">
        <f t="shared" si="12"/>
        <v>4.746821534342466</v>
      </c>
      <c r="Z77" s="383">
        <f t="shared" si="22"/>
        <v>5.0253293095798064</v>
      </c>
      <c r="AA77" s="384">
        <f t="shared" si="13"/>
        <v>5.459069757669095</v>
      </c>
      <c r="AB77" s="197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7.9453179267393342E-2</v>
      </c>
      <c r="AD77" s="230">
        <f>(INDEX(Models!$BJ77:$BT77,,AH77)*(1-AF77)+INDEX(Models!$BJ77:$BT77,,AH77+1)*AF77-ERP_i)*AE77*Ramure*Pc/MaxiM</f>
        <v>1.8448776933941178E-2</v>
      </c>
      <c r="AE77" s="304">
        <f t="shared" si="15"/>
        <v>0.7</v>
      </c>
      <c r="AF77" s="177">
        <f t="shared" si="23"/>
        <v>0.94106303329862939</v>
      </c>
      <c r="AG77" s="799">
        <f t="shared" si="24"/>
        <v>1</v>
      </c>
      <c r="AH77" s="176">
        <f t="shared" si="16"/>
        <v>7</v>
      </c>
      <c r="AI77" s="224">
        <f t="shared" si="17"/>
        <v>1.9410630332986294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46451</v>
      </c>
      <c r="B78" s="409">
        <f>'2026'!Wh/'2026'!Env_an*'2027'!Env_an</f>
        <v>14.982898352752597</v>
      </c>
      <c r="C78" s="829"/>
      <c r="D78" s="391">
        <f t="shared" si="0"/>
        <v>15.86228610234166</v>
      </c>
      <c r="E78" s="383">
        <f t="shared" si="1"/>
        <v>16.804193797038053</v>
      </c>
      <c r="F78" s="383">
        <f t="shared" si="2"/>
        <v>16.80506343672571</v>
      </c>
      <c r="G78" s="110">
        <f t="shared" si="21"/>
        <v>0.35667726690898555</v>
      </c>
      <c r="H78" s="412" t="b">
        <f>Wh_hp&gt;='2026'!Maxi_hp</f>
        <v>0</v>
      </c>
      <c r="I78" s="388">
        <f>IF(H78,Wh_hp,'2026'!Maxi_hp)</f>
        <v>34.948583246258117</v>
      </c>
      <c r="J78" s="85">
        <f>IF(H78,An,'2026'!An_max)</f>
        <v>2021</v>
      </c>
      <c r="K78" s="197">
        <f t="shared" si="3"/>
        <v>46451</v>
      </c>
      <c r="L78" s="147">
        <f>IF(t&lt;Tvie,1-EXP((T0-t)*PertePVj)+'2026'!Pspv,1-EXP((T0-t)*PertePVj)+Pspv)</f>
        <v>5.5438903567578635E-2</v>
      </c>
      <c r="M78" s="832"/>
      <c r="N78" s="832"/>
      <c r="O78" s="48">
        <f>IF(t&lt;Tnet,'2026'!Resal+('2026'!Salim-'2026'!Resal)*(1-EXP(('2026'!Tnet-t)/('2026'!Tau_j))),Resal+(Salim-Resal)*(1-EXP((Tnet-t)/(Tau_j))))*Salcycl</f>
        <v>5.6051941918357079E-2</v>
      </c>
      <c r="P78" s="169">
        <f>(INDEX(Models!$BJ78:$BT78,,T78)*(1-R78)+INDEX(Models!$BJ78:$BT78,,T78+1)*R78-ERP_i)*Q78*Ramure*Pc/MaxiM</f>
        <v>6.367827897233192E-4</v>
      </c>
      <c r="Q78" s="304">
        <f t="shared" si="4"/>
        <v>0.7</v>
      </c>
      <c r="R78" s="177">
        <f t="shared" si="5"/>
        <v>0.18569415259679523</v>
      </c>
      <c r="S78" s="799">
        <f t="shared" si="6"/>
        <v>-1</v>
      </c>
      <c r="T78" s="176">
        <f t="shared" si="7"/>
        <v>5</v>
      </c>
      <c r="U78" s="250">
        <f t="shared" si="8"/>
        <v>-0.81430584740320477</v>
      </c>
      <c r="V78" s="382">
        <f t="shared" si="9"/>
        <v>41.982301036872734</v>
      </c>
      <c r="W78" s="400">
        <f t="shared" si="10"/>
        <v>14.982898352752597</v>
      </c>
      <c r="X78" s="157">
        <f t="shared" si="11"/>
        <v>46451</v>
      </c>
      <c r="Y78" s="383">
        <f t="shared" si="12"/>
        <v>14.591650135320132</v>
      </c>
      <c r="Z78" s="383">
        <f t="shared" si="22"/>
        <v>15.448074444768425</v>
      </c>
      <c r="AA78" s="384">
        <f t="shared" si="13"/>
        <v>16.781799335821706</v>
      </c>
      <c r="AB78" s="197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7.947448687497824E-2</v>
      </c>
      <c r="AD78" s="230">
        <f>(INDEX(Models!$BJ78:$BT78,,AH78)*(1-AF78)+INDEX(Models!$BJ78:$BT78,,AH78+1)*AF78-ERP_i)*AE78*Ramure*Pc/MaxiM</f>
        <v>1.7034847057145554E-2</v>
      </c>
      <c r="AE78" s="304">
        <f t="shared" si="15"/>
        <v>0.7</v>
      </c>
      <c r="AF78" s="177">
        <f t="shared" si="23"/>
        <v>0.9413519834361459</v>
      </c>
      <c r="AG78" s="799">
        <f t="shared" si="24"/>
        <v>1</v>
      </c>
      <c r="AH78" s="176">
        <f t="shared" si="16"/>
        <v>7</v>
      </c>
      <c r="AI78" s="224">
        <f t="shared" si="17"/>
        <v>1.9413519834361459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46452</v>
      </c>
      <c r="B79" s="409">
        <f>'2026'!Wh/'2026'!Env_an*'2027'!Env_an</f>
        <v>21.603672134183281</v>
      </c>
      <c r="C79" s="829"/>
      <c r="D79" s="391">
        <f t="shared" ref="D79:D142" si="25">Wh/(1-Ppv)</f>
        <v>22.872089749582162</v>
      </c>
      <c r="E79" s="383">
        <f t="shared" si="1"/>
        <v>24.231486549089279</v>
      </c>
      <c r="F79" s="383">
        <f t="shared" ref="F79:F142" si="26">Wh_sa/(1-Pvg*MEDIAN((-Sdif+Wh/Env_an)/Csdif,0,1))</f>
        <v>24.235888313997396</v>
      </c>
      <c r="G79" s="110">
        <f t="shared" si="21"/>
        <v>0.51064985559920106</v>
      </c>
      <c r="H79" s="412" t="b">
        <f>Wh_hp&gt;='2026'!Maxi_hp</f>
        <v>1</v>
      </c>
      <c r="I79" s="388">
        <f>IF(H79,Wh_hp,'2026'!Maxi_hp)</f>
        <v>24.235888313997396</v>
      </c>
      <c r="J79" s="85">
        <f>IF(H79,An,'2026'!An_max)</f>
        <v>2027</v>
      </c>
      <c r="K79" s="197">
        <f t="shared" ref="K79:K142" si="27">t</f>
        <v>46452</v>
      </c>
      <c r="L79" s="147">
        <f>IF(t&lt;Tvie,1-EXP((T0-t)*PertePVj)+'2026'!Pspv,1-EXP((T0-t)*PertePVj)+Pspv)</f>
        <v>5.5457005865502729E-2</v>
      </c>
      <c r="M79" s="832"/>
      <c r="N79" s="832"/>
      <c r="O79" s="48">
        <f>IF(t&lt;Tnet,'2026'!Resal+('2026'!Salim-'2026'!Resal)*(1-EXP(('2026'!Tnet-t)/('2026'!Tau_j))),Resal+(Salim-Resal)*(1-EXP((Tnet-t)/(Tau_j))))*Salcycl</f>
        <v>5.6100429362977371E-2</v>
      </c>
      <c r="P79" s="169">
        <f>(INDEX(Models!$BJ79:$BT79,,T79)*(1-R79)+INDEX(Models!$BJ79:$BT79,,T79+1)*R79-ERP_i)*Q79*Ramure*Pc/MaxiM</f>
        <v>6.0292208058086868E-4</v>
      </c>
      <c r="Q79" s="304">
        <f t="shared" ref="Q79:Q142" si="28">IF(OR(t&lt;Ttai,Notai),Dd+PousD*Croivg,Dens+PousD*(Croivg-Croi_tai))</f>
        <v>0.7</v>
      </c>
      <c r="R79" s="177">
        <f t="shared" ref="R79:R142" si="29">(Hp_vg-S79)/(INDEX(Echel_vg,T79+1)-S79)</f>
        <v>0.18599477388471364</v>
      </c>
      <c r="S79" s="799">
        <f t="shared" ref="S79:S142" si="30">INDEX(Echel_vg,T79)</f>
        <v>-1</v>
      </c>
      <c r="T79" s="176">
        <f t="shared" ref="T79:T142" si="31">MIN(MATCH(Hp_vg,Echel_vg),10)</f>
        <v>5</v>
      </c>
      <c r="U79" s="250">
        <f t="shared" ref="U79:U142" si="32">IF(OR(t&lt;Ttai,Notai),Hdd+PousH*Croivg,Hdtf+PousH*(Croivg-Croi_tai))</f>
        <v>-0.81400522611528636</v>
      </c>
      <c r="V79" s="382">
        <f t="shared" ref="V79:V142" si="33">MaxiM*(1-Ppv)*(1-Pvg)*(1-Psa)</f>
        <v>42.288406841292073</v>
      </c>
      <c r="W79" s="400">
        <f t="shared" ref="W79:W142" si="34">Wh*(A79&gt;Tmaj)</f>
        <v>21.603672134183281</v>
      </c>
      <c r="X79" s="157">
        <f t="shared" ref="X79:X142" si="35">t</f>
        <v>46452</v>
      </c>
      <c r="Y79" s="383">
        <f t="shared" ref="Y79:Y142" si="36">Wh_pvt_s*(1-Ppv)</f>
        <v>20.972510611069627</v>
      </c>
      <c r="Z79" s="383">
        <f t="shared" ref="Z79:Z142" si="37">Wh_sa_s*(1-Psa_s)</f>
        <v>22.203870804512331</v>
      </c>
      <c r="AA79" s="384">
        <f t="shared" ref="AA79:AA142" si="38">Wh_hp*(1-Pvg_s*MEDIAN((-Sdif+Wh/Env_an)/Csdif,0,1))</f>
        <v>24.121422942476148</v>
      </c>
      <c r="AB79" s="197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7.9495813432595694E-2</v>
      </c>
      <c r="AD79" s="230">
        <f>(INDEX(Models!$BJ79:$BT79,,AH79)*(1-AF79)+INDEX(Models!$BJ79:$BT79,,AH79+1)*AF79-ERP_i)*AE79*Ramure*Pc/MaxiM</f>
        <v>1.5678642860914624E-2</v>
      </c>
      <c r="AE79" s="304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0.94165260472406453</v>
      </c>
      <c r="AG79" s="799">
        <f t="shared" si="24"/>
        <v>1</v>
      </c>
      <c r="AH79" s="176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1.9416526047240645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46453</v>
      </c>
      <c r="B80" s="409">
        <f>'2026'!Wh/'2026'!Env_an*'2027'!Env_an</f>
        <v>33.666645170405594</v>
      </c>
      <c r="C80" s="829"/>
      <c r="D80" s="391">
        <f t="shared" si="25"/>
        <v>35.643999908331622</v>
      </c>
      <c r="E80" s="383">
        <f t="shared" ref="E80:E143" si="47">Wh_pvt/(1-Psa)</f>
        <v>37.76443129321467</v>
      </c>
      <c r="F80" s="383">
        <f t="shared" si="26"/>
        <v>37.779805772856619</v>
      </c>
      <c r="G80" s="110">
        <f t="shared" ref="G80:G143" si="48">+Wh_hp/MaxiM</f>
        <v>0.79024632001748152</v>
      </c>
      <c r="H80" s="412" t="b">
        <f>Wh_hp&gt;='2026'!Maxi_hp</f>
        <v>1</v>
      </c>
      <c r="I80" s="388">
        <f>IF(H80,Wh_hp,'2026'!Maxi_hp)</f>
        <v>37.779805772856619</v>
      </c>
      <c r="J80" s="85">
        <f>IF(H80,An,'2026'!An_max)</f>
        <v>2027</v>
      </c>
      <c r="K80" s="197">
        <f t="shared" si="27"/>
        <v>46453</v>
      </c>
      <c r="L80" s="147">
        <f>IF(t&lt;Tvie,1-EXP((T0-t)*PertePVj)+'2026'!Pspv,1-EXP((T0-t)*PertePVj)+Pspv)</f>
        <v>5.5475107816500446E-2</v>
      </c>
      <c r="M80" s="832"/>
      <c r="N80" s="832"/>
      <c r="O80" s="48">
        <f>IF(t&lt;Tnet,'2026'!Resal+('2026'!Salim-'2026'!Resal)*(1-EXP(('2026'!Tnet-t)/('2026'!Tau_j))),Resal+(Salim-Resal)*(1-EXP((Tnet-t)/(Tau_j))))*Salcycl</f>
        <v>5.6148902876872922E-2</v>
      </c>
      <c r="P80" s="169">
        <f>(INDEX(Models!$BJ80:$BT80,,T80)*(1-R80)+INDEX(Models!$BJ80:$BT80,,T80+1)*R80-ERP_i)*Q80*Ramure*Pc/MaxiM</f>
        <v>5.8090160022567199E-4</v>
      </c>
      <c r="Q80" s="304">
        <f t="shared" si="28"/>
        <v>0.7</v>
      </c>
      <c r="R80" s="177">
        <f t="shared" si="29"/>
        <v>0.1863075184482621</v>
      </c>
      <c r="S80" s="799">
        <f t="shared" si="30"/>
        <v>-1</v>
      </c>
      <c r="T80" s="176">
        <f t="shared" si="31"/>
        <v>5</v>
      </c>
      <c r="U80" s="250">
        <f t="shared" si="32"/>
        <v>-0.8136924815517379</v>
      </c>
      <c r="V80" s="382">
        <f t="shared" si="33"/>
        <v>42.595309279848017</v>
      </c>
      <c r="W80" s="400">
        <f t="shared" si="34"/>
        <v>33.666645170405594</v>
      </c>
      <c r="X80" s="157">
        <f t="shared" si="35"/>
        <v>46453</v>
      </c>
      <c r="Y80" s="383">
        <f t="shared" si="36"/>
        <v>32.514311766892703</v>
      </c>
      <c r="Z80" s="383">
        <f t="shared" si="37"/>
        <v>34.423986107690553</v>
      </c>
      <c r="AA80" s="384">
        <f t="shared" si="38"/>
        <v>37.397749478994015</v>
      </c>
      <c r="AB80" s="197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7.951717450200578E-2</v>
      </c>
      <c r="AD80" s="230">
        <f>(INDEX(Models!$BJ80:$BT80,,AH80)*(1-AF80)+INDEX(Models!$BJ80:$BT80,,AH80+1)*AF80-ERP_i)*AE80*Ramure*Pc/MaxiM</f>
        <v>1.443542270370754E-2</v>
      </c>
      <c r="AE80" s="304">
        <f t="shared" si="40"/>
        <v>0.7</v>
      </c>
      <c r="AF80" s="177">
        <f t="shared" si="41"/>
        <v>0.941965349287613</v>
      </c>
      <c r="AG80" s="799">
        <f t="shared" ref="AG80:AG143" si="49">INDEX(Echel_vg,AH80)</f>
        <v>1</v>
      </c>
      <c r="AH80" s="176">
        <f t="shared" si="42"/>
        <v>7</v>
      </c>
      <c r="AI80" s="224">
        <f t="shared" si="43"/>
        <v>1.941965349287613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46454</v>
      </c>
      <c r="B81" s="409">
        <f>'2026'!Wh/'2026'!Env_an*'2027'!Env_an</f>
        <v>34.03965705361496</v>
      </c>
      <c r="C81" s="829"/>
      <c r="D81" s="391">
        <f t="shared" si="25"/>
        <v>36.039610718661777</v>
      </c>
      <c r="E81" s="383">
        <f t="shared" si="47"/>
        <v>38.185537685591903</v>
      </c>
      <c r="F81" s="383">
        <f t="shared" si="26"/>
        <v>38.20076026566997</v>
      </c>
      <c r="G81" s="110">
        <f t="shared" si="48"/>
        <v>0.79328202203063225</v>
      </c>
      <c r="H81" s="412" t="b">
        <f>Wh_hp&gt;='2026'!Maxi_hp</f>
        <v>1</v>
      </c>
      <c r="I81" s="388">
        <f>IF(H81,Wh_hp,'2026'!Maxi_hp)</f>
        <v>38.20076026566997</v>
      </c>
      <c r="J81" s="85">
        <f>IF(H81,An,'2026'!An_max)</f>
        <v>2027</v>
      </c>
      <c r="K81" s="197">
        <f t="shared" si="27"/>
        <v>46454</v>
      </c>
      <c r="L81" s="147">
        <f>IF(t&lt;Tvie,1-EXP((T0-t)*PertePVj)+'2026'!Pspv,1-EXP((T0-t)*PertePVj)+Pspv)</f>
        <v>5.5493209420578338E-2</v>
      </c>
      <c r="M81" s="832"/>
      <c r="N81" s="832"/>
      <c r="O81" s="48">
        <f>IF(t&lt;Tnet,'2026'!Resal+('2026'!Salim-'2026'!Resal)*(1-EXP(('2026'!Tnet-t)/('2026'!Tau_j))),Resal+(Salim-Resal)*(1-EXP((Tnet-t)/(Tau_j))))*Salcycl</f>
        <v>5.6197374634319334E-2</v>
      </c>
      <c r="P81" s="169">
        <f>(INDEX(Models!$BJ81:$BT81,,T81)*(1-R81)+INDEX(Models!$BJ81:$BT81,,T81+1)*R81-ERP_i)*Q81*Ramure*Pc/MaxiM</f>
        <v>5.6533052746394845E-4</v>
      </c>
      <c r="Q81" s="304">
        <f t="shared" si="28"/>
        <v>0.7</v>
      </c>
      <c r="R81" s="177">
        <f t="shared" si="29"/>
        <v>0.18663285431083021</v>
      </c>
      <c r="S81" s="799">
        <f t="shared" si="30"/>
        <v>-1</v>
      </c>
      <c r="T81" s="176">
        <f t="shared" si="31"/>
        <v>5</v>
      </c>
      <c r="U81" s="250">
        <f t="shared" si="32"/>
        <v>-0.81336714568916979</v>
      </c>
      <c r="V81" s="382">
        <f t="shared" si="33"/>
        <v>42.902744060325155</v>
      </c>
      <c r="W81" s="400">
        <f t="shared" si="34"/>
        <v>34.03965705361496</v>
      </c>
      <c r="X81" s="157">
        <f t="shared" si="35"/>
        <v>46454</v>
      </c>
      <c r="Y81" s="383">
        <f t="shared" si="36"/>
        <v>32.89932821095227</v>
      </c>
      <c r="Z81" s="383">
        <f t="shared" si="37"/>
        <v>34.832283408751024</v>
      </c>
      <c r="AA81" s="384">
        <f t="shared" si="38"/>
        <v>37.842198404431485</v>
      </c>
      <c r="AB81" s="197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7.9538587148467219E-2</v>
      </c>
      <c r="AD81" s="230">
        <f>(INDEX(Models!$BJ81:$BT81,,AH81)*(1-AF81)+INDEX(Models!$BJ81:$BT81,,AH81+1)*AF81-ERP_i)*AE81*Ramure*Pc/MaxiM</f>
        <v>1.3316137284405814E-2</v>
      </c>
      <c r="AE81" s="304">
        <f t="shared" si="40"/>
        <v>0.7</v>
      </c>
      <c r="AF81" s="177">
        <f t="shared" si="41"/>
        <v>0.94229068515018088</v>
      </c>
      <c r="AG81" s="799">
        <f t="shared" si="49"/>
        <v>1</v>
      </c>
      <c r="AH81" s="176">
        <f t="shared" si="42"/>
        <v>7</v>
      </c>
      <c r="AI81" s="224">
        <f t="shared" si="43"/>
        <v>1.9422906851501809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46455</v>
      </c>
      <c r="B82" s="409">
        <f>'2026'!Wh/'2026'!Env_an*'2027'!Env_an</f>
        <v>31.014188696274783</v>
      </c>
      <c r="C82" s="829"/>
      <c r="D82" s="391">
        <f t="shared" si="25"/>
        <v>32.837014404619126</v>
      </c>
      <c r="E82" s="383">
        <f t="shared" si="47"/>
        <v>34.794034737147918</v>
      </c>
      <c r="F82" s="383">
        <f t="shared" si="26"/>
        <v>34.80558586747739</v>
      </c>
      <c r="G82" s="110">
        <f t="shared" si="48"/>
        <v>0.71759015730780462</v>
      </c>
      <c r="H82" s="412" t="b">
        <f>Wh_hp&gt;='2026'!Maxi_hp</f>
        <v>0</v>
      </c>
      <c r="I82" s="388">
        <f>IF(H82,Wh_hp,'2026'!Maxi_hp)</f>
        <v>44.80891493400317</v>
      </c>
      <c r="J82" s="85">
        <f>IF(H82,An,'2026'!An_max)</f>
        <v>2021</v>
      </c>
      <c r="K82" s="197">
        <f t="shared" si="27"/>
        <v>46455</v>
      </c>
      <c r="L82" s="147">
        <f>IF(t&lt;Tvie,1-EXP((T0-t)*PertePVj)+'2026'!Pspv,1-EXP((T0-t)*PertePVj)+Pspv)</f>
        <v>5.5511310677743175E-2</v>
      </c>
      <c r="M82" s="832"/>
      <c r="N82" s="832"/>
      <c r="O82" s="48">
        <f>IF(t&lt;Tnet,'2026'!Resal+('2026'!Salim-'2026'!Resal)*(1-EXP(('2026'!Tnet-t)/('2026'!Tau_j))),Resal+(Salim-Resal)*(1-EXP((Tnet-t)/(Tau_j))))*Salcycl</f>
        <v>5.6245857869405905E-2</v>
      </c>
      <c r="P82" s="169">
        <f>(INDEX(Models!$BJ82:$BT82,,T82)*(1-R82)+INDEX(Models!$BJ82:$BT82,,T82+1)*R82-ERP_i)*Q82*Ramure*Pc/MaxiM</f>
        <v>5.5610387417130453E-4</v>
      </c>
      <c r="Q82" s="304">
        <f t="shared" si="28"/>
        <v>0.7</v>
      </c>
      <c r="R82" s="177">
        <f t="shared" si="29"/>
        <v>0.18697126581609969</v>
      </c>
      <c r="S82" s="799">
        <f t="shared" si="30"/>
        <v>-1</v>
      </c>
      <c r="T82" s="176">
        <f t="shared" si="31"/>
        <v>5</v>
      </c>
      <c r="U82" s="250">
        <f t="shared" si="32"/>
        <v>-0.81302873418390031</v>
      </c>
      <c r="V82" s="382">
        <f t="shared" si="33"/>
        <v>43.210224971461606</v>
      </c>
      <c r="W82" s="400">
        <f t="shared" si="34"/>
        <v>31.014188696274783</v>
      </c>
      <c r="X82" s="157">
        <f t="shared" si="35"/>
        <v>46455</v>
      </c>
      <c r="Y82" s="383">
        <f t="shared" si="36"/>
        <v>30.035625184865854</v>
      </c>
      <c r="Z82" s="383">
        <f t="shared" si="37"/>
        <v>31.800936871376113</v>
      </c>
      <c r="AA82" s="384">
        <f t="shared" si="38"/>
        <v>34.549714578111796</v>
      </c>
      <c r="AB82" s="197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7.9560069896412761E-2</v>
      </c>
      <c r="AD82" s="230">
        <f>(INDEX(Models!$BJ82:$BT82,,AH82)*(1-AF82)+INDEX(Models!$BJ82:$BT82,,AH82+1)*AF82-ERP_i)*AE82*Ramure*Pc/MaxiM</f>
        <v>1.2318362900154254E-2</v>
      </c>
      <c r="AE82" s="304">
        <f t="shared" si="40"/>
        <v>0.7</v>
      </c>
      <c r="AF82" s="177">
        <f t="shared" si="41"/>
        <v>0.94262909665545047</v>
      </c>
      <c r="AG82" s="799">
        <f t="shared" si="49"/>
        <v>1</v>
      </c>
      <c r="AH82" s="176">
        <f t="shared" si="42"/>
        <v>7</v>
      </c>
      <c r="AI82" s="224">
        <f t="shared" si="43"/>
        <v>1.9426290966554505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46456</v>
      </c>
      <c r="B83" s="409">
        <f>'2026'!Wh/'2026'!Env_an*'2027'!Env_an</f>
        <v>24.941751213429832</v>
      </c>
      <c r="C83" s="829"/>
      <c r="D83" s="391">
        <f t="shared" si="25"/>
        <v>26.408182022233291</v>
      </c>
      <c r="E83" s="383">
        <f t="shared" si="47"/>
        <v>27.983495164534943</v>
      </c>
      <c r="F83" s="383">
        <f t="shared" si="26"/>
        <v>27.989536220156776</v>
      </c>
      <c r="G83" s="110">
        <f t="shared" si="48"/>
        <v>0.57295274392046858</v>
      </c>
      <c r="H83" s="412" t="b">
        <f>Wh_hp&gt;='2026'!Maxi_hp</f>
        <v>0</v>
      </c>
      <c r="I83" s="388">
        <f>IF(H83,Wh_hp,'2026'!Maxi_hp)</f>
        <v>45.219822593394703</v>
      </c>
      <c r="J83" s="85">
        <f>IF(H83,An,'2026'!An_max)</f>
        <v>2021</v>
      </c>
      <c r="K83" s="197">
        <f t="shared" si="27"/>
        <v>46456</v>
      </c>
      <c r="L83" s="147">
        <f>IF(t&lt;Tvie,1-EXP((T0-t)*PertePVj)+'2026'!Pspv,1-EXP((T0-t)*PertePVj)+Pspv)</f>
        <v>5.552941158800162E-2</v>
      </c>
      <c r="M83" s="832"/>
      <c r="N83" s="832"/>
      <c r="O83" s="48">
        <f>IF(t&lt;Tnet,'2026'!Resal+('2026'!Salim-'2026'!Resal)*(1-EXP(('2026'!Tnet-t)/('2026'!Tau_j))),Resal+(Salim-Resal)*(1-EXP((Tnet-t)/(Tau_j))))*Salcycl</f>
        <v>5.6294366841570811E-2</v>
      </c>
      <c r="P83" s="169">
        <f>(INDEX(Models!$BJ83:$BT83,,T83)*(1-R83)+INDEX(Models!$BJ83:$BT83,,T83+1)*R83-ERP_i)*Q83*Ramure*Pc/MaxiM</f>
        <v>5.5312102398300379E-4</v>
      </c>
      <c r="Q83" s="304">
        <f t="shared" si="28"/>
        <v>0.7</v>
      </c>
      <c r="R83" s="177">
        <f t="shared" si="29"/>
        <v>0.18732325404916916</v>
      </c>
      <c r="S83" s="799">
        <f t="shared" si="30"/>
        <v>-1</v>
      </c>
      <c r="T83" s="176">
        <f t="shared" si="31"/>
        <v>5</v>
      </c>
      <c r="U83" s="250">
        <f t="shared" si="32"/>
        <v>-0.81267674595083084</v>
      </c>
      <c r="V83" s="382">
        <f t="shared" si="33"/>
        <v>43.517265776365498</v>
      </c>
      <c r="W83" s="400">
        <f t="shared" si="34"/>
        <v>24.941751213429832</v>
      </c>
      <c r="X83" s="157">
        <f t="shared" si="35"/>
        <v>46456</v>
      </c>
      <c r="Y83" s="383">
        <f t="shared" si="36"/>
        <v>24.222916900666981</v>
      </c>
      <c r="Z83" s="383">
        <f t="shared" si="37"/>
        <v>25.647084406719951</v>
      </c>
      <c r="AA83" s="384">
        <f t="shared" si="38"/>
        <v>27.864594619018582</v>
      </c>
      <c r="AB83" s="197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7.9581642676585115E-2</v>
      </c>
      <c r="AD83" s="230">
        <f>(INDEX(Models!$BJ83:$BT83,,AH83)*(1-AF83)+INDEX(Models!$BJ83:$BT83,,AH83+1)*AF83-ERP_i)*AE83*Ramure*Pc/MaxiM</f>
        <v>1.1439693769721447E-2</v>
      </c>
      <c r="AE83" s="304">
        <f t="shared" si="40"/>
        <v>0.7</v>
      </c>
      <c r="AF83" s="177">
        <f t="shared" si="41"/>
        <v>0.94298108488851984</v>
      </c>
      <c r="AG83" s="799">
        <f t="shared" si="49"/>
        <v>1</v>
      </c>
      <c r="AH83" s="176">
        <f t="shared" si="42"/>
        <v>7</v>
      </c>
      <c r="AI83" s="224">
        <f t="shared" si="43"/>
        <v>1.9429810848885198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46457</v>
      </c>
      <c r="B84" s="409">
        <f>'2026'!Wh/'2026'!Env_an*'2027'!Env_an</f>
        <v>17.449461640308485</v>
      </c>
      <c r="C84" s="829"/>
      <c r="D84" s="391">
        <f t="shared" si="25"/>
        <v>18.475743210816738</v>
      </c>
      <c r="E84" s="383">
        <f t="shared" si="47"/>
        <v>19.578874084296025</v>
      </c>
      <c r="F84" s="383">
        <f t="shared" si="26"/>
        <v>19.58040176208214</v>
      </c>
      <c r="G84" s="110">
        <f t="shared" si="48"/>
        <v>0.3979865411727368</v>
      </c>
      <c r="H84" s="412" t="b">
        <f>Wh_hp&gt;='2026'!Maxi_hp</f>
        <v>0</v>
      </c>
      <c r="I84" s="388">
        <f>IF(H84,Wh_hp,'2026'!Maxi_hp)</f>
        <v>39.829659361090641</v>
      </c>
      <c r="J84" s="85">
        <f>IF(H84,An,'2026'!An_max)</f>
        <v>2021</v>
      </c>
      <c r="K84" s="197">
        <f t="shared" si="27"/>
        <v>46457</v>
      </c>
      <c r="L84" s="147">
        <f>IF(t&lt;Tvie,1-EXP((T0-t)*PertePVj)+'2026'!Pspv,1-EXP((T0-t)*PertePVj)+Pspv)</f>
        <v>5.5547512151360112E-2</v>
      </c>
      <c r="M84" s="832"/>
      <c r="N84" s="832"/>
      <c r="O84" s="48">
        <f>IF(t&lt;Tnet,'2026'!Resal+('2026'!Salim-'2026'!Resal)*(1-EXP(('2026'!Tnet-t)/('2026'!Tau_j))),Resal+(Salim-Resal)*(1-EXP((Tnet-t)/(Tau_j))))*Salcycl</f>
        <v>5.6342916795409329E-2</v>
      </c>
      <c r="P84" s="169">
        <f>(INDEX(Models!$BJ84:$BT84,,T84)*(1-R84)+INDEX(Models!$BJ84:$BT84,,T84+1)*R84-ERP_i)*Q84*Ramure*Pc/MaxiM</f>
        <v>5.5628646095183326E-4</v>
      </c>
      <c r="Q84" s="304">
        <f t="shared" si="28"/>
        <v>0.7</v>
      </c>
      <c r="R84" s="177">
        <f t="shared" si="29"/>
        <v>0.18768933725530101</v>
      </c>
      <c r="S84" s="799">
        <f t="shared" si="30"/>
        <v>-1</v>
      </c>
      <c r="T84" s="176">
        <f t="shared" si="31"/>
        <v>5</v>
      </c>
      <c r="U84" s="250">
        <f t="shared" si="32"/>
        <v>-0.81231066274469899</v>
      </c>
      <c r="V84" s="382">
        <f t="shared" si="33"/>
        <v>43.823380204529258</v>
      </c>
      <c r="W84" s="400">
        <f t="shared" si="34"/>
        <v>17.449461640308485</v>
      </c>
      <c r="X84" s="157">
        <f t="shared" si="35"/>
        <v>46457</v>
      </c>
      <c r="Y84" s="383">
        <f t="shared" si="36"/>
        <v>16.995184091854203</v>
      </c>
      <c r="Z84" s="383">
        <f t="shared" si="37"/>
        <v>17.994747550051336</v>
      </c>
      <c r="AA84" s="384">
        <f t="shared" si="38"/>
        <v>19.551078435354672</v>
      </c>
      <c r="AB84" s="197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7.9603326765289154E-2</v>
      </c>
      <c r="AD84" s="230">
        <f>(INDEX(Models!$BJ84:$BT84,,AH84)*(1-AF84)+INDEX(Models!$BJ84:$BT84,,AH84+1)*AF84-ERP_i)*AE84*Ramure*Pc/MaxiM</f>
        <v>1.0677755346604426E-2</v>
      </c>
      <c r="AE84" s="304">
        <f t="shared" si="40"/>
        <v>0.7</v>
      </c>
      <c r="AF84" s="177">
        <f t="shared" si="41"/>
        <v>0.94334716809465191</v>
      </c>
      <c r="AG84" s="799">
        <f t="shared" si="49"/>
        <v>1</v>
      </c>
      <c r="AH84" s="176">
        <f t="shared" si="42"/>
        <v>7</v>
      </c>
      <c r="AI84" s="224">
        <f t="shared" si="43"/>
        <v>1.9433471680946519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46458</v>
      </c>
      <c r="B85" s="409">
        <f>'2026'!Wh/'2026'!Env_an*'2027'!Env_an</f>
        <v>12.727945602888646</v>
      </c>
      <c r="C85" s="829"/>
      <c r="D85" s="391">
        <f t="shared" si="25"/>
        <v>13.476791791539206</v>
      </c>
      <c r="E85" s="383">
        <f t="shared" si="47"/>
        <v>14.282186026409272</v>
      </c>
      <c r="F85" s="383">
        <f t="shared" si="26"/>
        <v>14.282186026409272</v>
      </c>
      <c r="G85" s="110">
        <f t="shared" si="48"/>
        <v>0.28826876799599727</v>
      </c>
      <c r="H85" s="412" t="b">
        <f>Wh_hp&gt;='2026'!Maxi_hp</f>
        <v>0</v>
      </c>
      <c r="I85" s="388">
        <f>IF(H85,Wh_hp,'2026'!Maxi_hp)</f>
        <v>46.64301638858592</v>
      </c>
      <c r="J85" s="85">
        <f>IF(H85,An,'2026'!An_max)</f>
        <v>2018</v>
      </c>
      <c r="K85" s="197">
        <f t="shared" si="27"/>
        <v>46458</v>
      </c>
      <c r="L85" s="147">
        <f>IF(t&lt;Tvie,1-EXP((T0-t)*PertePVj)+'2026'!Pspv,1-EXP((T0-t)*PertePVj)+Pspv)</f>
        <v>5.5565612367825534E-2</v>
      </c>
      <c r="M85" s="832"/>
      <c r="N85" s="832"/>
      <c r="O85" s="48">
        <f>IF(t&lt;Tnet,'2026'!Resal+('2026'!Salim-'2026'!Resal)*(1-EXP(('2026'!Tnet-t)/('2026'!Tau_j))),Resal+(Salim-Resal)*(1-EXP((Tnet-t)/(Tau_j))))*Salcycl</f>
        <v>5.639152391523311E-2</v>
      </c>
      <c r="P85" s="169">
        <f>(INDEX(Models!$BJ85:$BT85,,T85)*(1-R85)+INDEX(Models!$BJ85:$BT85,,T85+1)*R85-ERP_i)*Q85*Ramure*Pc/MaxiM</f>
        <v>5.6551046125874688E-4</v>
      </c>
      <c r="Q85" s="304">
        <f t="shared" si="28"/>
        <v>0.7</v>
      </c>
      <c r="R85" s="177">
        <f t="shared" si="29"/>
        <v>0.18807005125478526</v>
      </c>
      <c r="S85" s="799">
        <f t="shared" si="30"/>
        <v>-1</v>
      </c>
      <c r="T85" s="176">
        <f t="shared" si="31"/>
        <v>5</v>
      </c>
      <c r="U85" s="250">
        <f t="shared" si="32"/>
        <v>-0.81192994874521474</v>
      </c>
      <c r="V85" s="382">
        <f t="shared" si="33"/>
        <v>44.128081945653278</v>
      </c>
      <c r="W85" s="400">
        <f t="shared" si="34"/>
        <v>12.727945602888646</v>
      </c>
      <c r="X85" s="157">
        <f t="shared" si="35"/>
        <v>46458</v>
      </c>
      <c r="Y85" s="383">
        <f t="shared" si="36"/>
        <v>12.414556873123052</v>
      </c>
      <c r="Z85" s="383">
        <f t="shared" si="37"/>
        <v>13.144964897188926</v>
      </c>
      <c r="AA85" s="384">
        <f t="shared" si="38"/>
        <v>14.282186026409272</v>
      </c>
      <c r="AB85" s="197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7.9625144716467464E-2</v>
      </c>
      <c r="AD85" s="230">
        <f>(INDEX(Models!$BJ85:$BT85,,AH85)*(1-AF85)+INDEX(Models!$BJ85:$BT85,,AH85+1)*AF85-ERP_i)*AE85*Ramure*Pc/MaxiM</f>
        <v>1.0030216699932608E-2</v>
      </c>
      <c r="AE85" s="304">
        <f t="shared" si="40"/>
        <v>0.7</v>
      </c>
      <c r="AF85" s="177">
        <f t="shared" si="41"/>
        <v>0.94372788209413594</v>
      </c>
      <c r="AG85" s="799">
        <f t="shared" si="49"/>
        <v>1</v>
      </c>
      <c r="AH85" s="176">
        <f t="shared" si="42"/>
        <v>7</v>
      </c>
      <c r="AI85" s="224">
        <f t="shared" si="43"/>
        <v>1.9437278820941359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46459</v>
      </c>
      <c r="B86" s="409">
        <f>'2026'!Wh/'2026'!Env_an*'2027'!Env_an</f>
        <v>9.4533805307949521</v>
      </c>
      <c r="C86" s="829"/>
      <c r="D86" s="391">
        <f t="shared" si="25"/>
        <v>10.009760159040493</v>
      </c>
      <c r="E86" s="383">
        <f t="shared" si="47"/>
        <v>10.608506440184518</v>
      </c>
      <c r="F86" s="383">
        <f t="shared" si="26"/>
        <v>10.608506440184518</v>
      </c>
      <c r="G86" s="110">
        <f t="shared" si="48"/>
        <v>0.21264242063837679</v>
      </c>
      <c r="H86" s="412" t="b">
        <f>Wh_hp&gt;='2026'!Maxi_hp</f>
        <v>0</v>
      </c>
      <c r="I86" s="388">
        <f>IF(H86,Wh_hp,'2026'!Maxi_hp)</f>
        <v>40.981762819051319</v>
      </c>
      <c r="J86" s="85">
        <f>IF(H86,An,'2026'!An_max)</f>
        <v>2021</v>
      </c>
      <c r="K86" s="197">
        <f t="shared" si="27"/>
        <v>46459</v>
      </c>
      <c r="L86" s="147">
        <f>IF(t&lt;Tvie,1-EXP((T0-t)*PertePVj)+'2026'!Pspv,1-EXP((T0-t)*PertePVj)+Pspv)</f>
        <v>5.5583712237404326E-2</v>
      </c>
      <c r="M86" s="832"/>
      <c r="N86" s="832"/>
      <c r="O86" s="48">
        <f>IF(t&lt;Tnet,'2026'!Resal+('2026'!Salim-'2026'!Resal)*(1-EXP(('2026'!Tnet-t)/('2026'!Tau_j))),Resal+(Salim-Resal)*(1-EXP((Tnet-t)/(Tau_j))))*Salcycl</f>
        <v>5.644020527489179E-2</v>
      </c>
      <c r="P86" s="169">
        <f>(INDEX(Models!$BJ86:$BT86,,T86)*(1-R86)+INDEX(Models!$BJ86:$BT86,,T86+1)*R86-ERP_i)*Q86*Ramure*Pc/MaxiM</f>
        <v>5.7933639353262734E-4</v>
      </c>
      <c r="Q86" s="304">
        <f t="shared" si="28"/>
        <v>0.7</v>
      </c>
      <c r="R86" s="177">
        <f t="shared" si="29"/>
        <v>0.18846594985226184</v>
      </c>
      <c r="S86" s="799">
        <f t="shared" si="30"/>
        <v>-1</v>
      </c>
      <c r="T86" s="176">
        <f t="shared" si="31"/>
        <v>5</v>
      </c>
      <c r="U86" s="250">
        <f t="shared" si="32"/>
        <v>-0.81153405014773816</v>
      </c>
      <c r="V86" s="382">
        <f t="shared" si="33"/>
        <v>44.430945692998911</v>
      </c>
      <c r="W86" s="400">
        <f t="shared" si="34"/>
        <v>9.4533805307949521</v>
      </c>
      <c r="X86" s="157">
        <f t="shared" si="35"/>
        <v>46459</v>
      </c>
      <c r="Y86" s="383">
        <f t="shared" si="36"/>
        <v>9.2208740168622736</v>
      </c>
      <c r="Z86" s="383">
        <f t="shared" si="37"/>
        <v>9.7635694516740354</v>
      </c>
      <c r="AA86" s="384">
        <f t="shared" si="38"/>
        <v>10.608506440184518</v>
      </c>
      <c r="AB86" s="197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7.9647120287348078E-2</v>
      </c>
      <c r="AD86" s="230">
        <f>(INDEX(Models!$BJ86:$BT86,,AH86)*(1-AF86)+INDEX(Models!$BJ86:$BT86,,AH86+1)*AF86-ERP_i)*AE86*Ramure*Pc/MaxiM</f>
        <v>9.5162782000682133E-3</v>
      </c>
      <c r="AE86" s="304">
        <f t="shared" si="40"/>
        <v>0.7</v>
      </c>
      <c r="AF86" s="177">
        <f t="shared" si="41"/>
        <v>0.94412378069161274</v>
      </c>
      <c r="AG86" s="799">
        <f t="shared" si="49"/>
        <v>1</v>
      </c>
      <c r="AH86" s="176">
        <f t="shared" si="42"/>
        <v>7</v>
      </c>
      <c r="AI86" s="224">
        <f t="shared" si="43"/>
        <v>1.9441237806916127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46460</v>
      </c>
      <c r="B87" s="409">
        <f>'2026'!Wh/'2026'!Env_an*'2027'!Env_an</f>
        <v>12.8110568995622</v>
      </c>
      <c r="C87" s="829"/>
      <c r="D87" s="391">
        <f t="shared" si="25"/>
        <v>13.565312872357953</v>
      </c>
      <c r="E87" s="383">
        <f t="shared" si="47"/>
        <v>14.37748215687634</v>
      </c>
      <c r="F87" s="383">
        <f t="shared" si="26"/>
        <v>14.37748215687634</v>
      </c>
      <c r="G87" s="110">
        <f t="shared" si="48"/>
        <v>0.28622791127850983</v>
      </c>
      <c r="H87" s="412" t="b">
        <f>Wh_hp&gt;='2026'!Maxi_hp</f>
        <v>0</v>
      </c>
      <c r="I87" s="388">
        <f>IF(H87,Wh_hp,'2026'!Maxi_hp)</f>
        <v>38.557146236700596</v>
      </c>
      <c r="J87" s="85">
        <f>IF(H87,An,'2026'!An_max)</f>
        <v>2020</v>
      </c>
      <c r="K87" s="197">
        <f t="shared" si="27"/>
        <v>46460</v>
      </c>
      <c r="L87" s="147">
        <f>IF(t&lt;Tvie,1-EXP((T0-t)*PertePVj)+'2026'!Pspv,1-EXP((T0-t)*PertePVj)+Pspv)</f>
        <v>5.560181176010337E-2</v>
      </c>
      <c r="M87" s="832"/>
      <c r="N87" s="832"/>
      <c r="O87" s="48">
        <f>IF(t&lt;Tnet,'2026'!Resal+('2026'!Salim-'2026'!Resal)*(1-EXP(('2026'!Tnet-t)/('2026'!Tau_j))),Resal+(Salim-Resal)*(1-EXP((Tnet-t)/(Tau_j))))*Salcycl</f>
        <v>5.6488978783392048E-2</v>
      </c>
      <c r="P87" s="169">
        <f>(INDEX(Models!$BJ87:$BT87,,T87)*(1-R87)+INDEX(Models!$BJ87:$BT87,,T87+1)*R87-ERP_i)*Q87*Ramure*Pc/MaxiM</f>
        <v>5.9313596270846335E-4</v>
      </c>
      <c r="Q87" s="304">
        <f t="shared" si="28"/>
        <v>0.7</v>
      </c>
      <c r="R87" s="177">
        <f t="shared" si="29"/>
        <v>0.1888776052386919</v>
      </c>
      <c r="S87" s="799">
        <f t="shared" si="30"/>
        <v>-1</v>
      </c>
      <c r="T87" s="176">
        <f t="shared" si="31"/>
        <v>5</v>
      </c>
      <c r="U87" s="250">
        <f t="shared" si="32"/>
        <v>-0.8111223947613081</v>
      </c>
      <c r="V87" s="382">
        <f t="shared" si="33"/>
        <v>44.731690015152118</v>
      </c>
      <c r="W87" s="400">
        <f t="shared" si="34"/>
        <v>12.8110568995622</v>
      </c>
      <c r="X87" s="157">
        <f t="shared" si="35"/>
        <v>46460</v>
      </c>
      <c r="Y87" s="383">
        <f t="shared" si="36"/>
        <v>12.496313213344338</v>
      </c>
      <c r="Z87" s="383">
        <f t="shared" si="37"/>
        <v>13.232038528826589</v>
      </c>
      <c r="AA87" s="384">
        <f t="shared" si="38"/>
        <v>14.37748215687634</v>
      </c>
      <c r="AB87" s="197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7.9669278358444451E-2</v>
      </c>
      <c r="AD87" s="230">
        <f>(INDEX(Models!$BJ87:$BT87,,AH87)*(1-AF87)+INDEX(Models!$BJ87:$BT87,,AH87+1)*AF87-ERP_i)*AE87*Ramure*Pc/MaxiM</f>
        <v>9.0849758575174862E-3</v>
      </c>
      <c r="AE87" s="304">
        <f t="shared" si="40"/>
        <v>0.7</v>
      </c>
      <c r="AF87" s="177">
        <f t="shared" si="41"/>
        <v>0.94453543607804269</v>
      </c>
      <c r="AG87" s="799">
        <f t="shared" si="49"/>
        <v>1</v>
      </c>
      <c r="AH87" s="176">
        <f t="shared" si="42"/>
        <v>7</v>
      </c>
      <c r="AI87" s="224">
        <f t="shared" si="43"/>
        <v>1.9445354360780427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46461</v>
      </c>
      <c r="B88" s="409">
        <f>'2026'!Wh/'2026'!Env_an*'2027'!Env_an</f>
        <v>15.655055978751017</v>
      </c>
      <c r="C88" s="829"/>
      <c r="D88" s="391">
        <f t="shared" si="25"/>
        <v>16.577071202619255</v>
      </c>
      <c r="E88" s="383">
        <f t="shared" si="47"/>
        <v>17.570467912533051</v>
      </c>
      <c r="F88" s="383">
        <f t="shared" si="26"/>
        <v>17.571194005441541</v>
      </c>
      <c r="G88" s="110">
        <f t="shared" si="48"/>
        <v>0.34746302849789901</v>
      </c>
      <c r="H88" s="412" t="b">
        <f>Wh_hp&gt;='2026'!Maxi_hp</f>
        <v>0</v>
      </c>
      <c r="I88" s="388">
        <f>IF(H88,Wh_hp,'2026'!Maxi_hp)</f>
        <v>34.117673354504483</v>
      </c>
      <c r="J88" s="85">
        <f>IF(H88,An,'2026'!An_max)</f>
        <v>2020</v>
      </c>
      <c r="K88" s="197">
        <f t="shared" si="27"/>
        <v>46461</v>
      </c>
      <c r="L88" s="147">
        <f>IF(t&lt;Tvie,1-EXP((T0-t)*PertePVj)+'2026'!Pspv,1-EXP((T0-t)*PertePVj)+Pspv)</f>
        <v>5.5619910935929107E-2</v>
      </c>
      <c r="M88" s="832"/>
      <c r="N88" s="832"/>
      <c r="O88" s="48">
        <f>IF(t&lt;Tnet,'2026'!Resal+('2026'!Salim-'2026'!Resal)*(1-EXP(('2026'!Tnet-t)/('2026'!Tau_j))),Resal+(Salim-Resal)*(1-EXP((Tnet-t)/(Tau_j))))*Salcycl</f>
        <v>5.6537863126866733E-2</v>
      </c>
      <c r="P88" s="169">
        <f>(INDEX(Models!$BJ88:$BT88,,T88)*(1-R88)+INDEX(Models!$BJ88:$BT88,,T88+1)*R88-ERP_i)*Q88*Ramure*Pc/MaxiM</f>
        <v>6.0692899318828103E-4</v>
      </c>
      <c r="Q88" s="304">
        <f t="shared" si="28"/>
        <v>0.7</v>
      </c>
      <c r="R88" s="177">
        <f t="shared" si="29"/>
        <v>0.18930560838399724</v>
      </c>
      <c r="S88" s="799">
        <f t="shared" si="30"/>
        <v>-1</v>
      </c>
      <c r="T88" s="176">
        <f t="shared" si="31"/>
        <v>5</v>
      </c>
      <c r="U88" s="250">
        <f t="shared" si="32"/>
        <v>-0.81069439161600276</v>
      </c>
      <c r="V88" s="382">
        <f t="shared" si="33"/>
        <v>45.02982975086303</v>
      </c>
      <c r="W88" s="400">
        <f t="shared" si="34"/>
        <v>15.655055978751017</v>
      </c>
      <c r="X88" s="157">
        <f t="shared" si="35"/>
        <v>46461</v>
      </c>
      <c r="Y88" s="383">
        <f t="shared" si="36"/>
        <v>15.262409647551186</v>
      </c>
      <c r="Z88" s="383">
        <f t="shared" si="37"/>
        <v>16.161299697325276</v>
      </c>
      <c r="AA88" s="384">
        <f t="shared" si="38"/>
        <v>17.560744294958049</v>
      </c>
      <c r="AB88" s="197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7.9691644848707957E-2</v>
      </c>
      <c r="AD88" s="230">
        <f>(INDEX(Models!$BJ88:$BT88,,AH88)*(1-AF88)+INDEX(Models!$BJ88:$BT88,,AH88+1)*AF88-ERP_i)*AE88*Ramure*Pc/MaxiM</f>
        <v>8.734739299481006E-3</v>
      </c>
      <c r="AE88" s="304">
        <f t="shared" si="40"/>
        <v>0.7</v>
      </c>
      <c r="AF88" s="177">
        <f t="shared" si="41"/>
        <v>0.94496343922334791</v>
      </c>
      <c r="AG88" s="799">
        <f t="shared" si="49"/>
        <v>1</v>
      </c>
      <c r="AH88" s="176">
        <f t="shared" si="42"/>
        <v>7</v>
      </c>
      <c r="AI88" s="224">
        <f t="shared" si="43"/>
        <v>1.9449634392233479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46462</v>
      </c>
      <c r="B89" s="409">
        <f>'2026'!Wh/'2026'!Env_an*'2027'!Env_an</f>
        <v>11.411943435400199</v>
      </c>
      <c r="C89" s="829"/>
      <c r="D89" s="391">
        <f t="shared" si="25"/>
        <v>12.084289238027296</v>
      </c>
      <c r="E89" s="383">
        <f t="shared" si="47"/>
        <v>12.809117185758277</v>
      </c>
      <c r="F89" s="383">
        <f t="shared" si="26"/>
        <v>12.809117185758277</v>
      </c>
      <c r="G89" s="110">
        <f t="shared" si="48"/>
        <v>0.25162470774847745</v>
      </c>
      <c r="H89" s="412" t="b">
        <f>Wh_hp&gt;='2026'!Maxi_hp</f>
        <v>0</v>
      </c>
      <c r="I89" s="388">
        <f>IF(H89,Wh_hp,'2026'!Maxi_hp)</f>
        <v>53.119225306767447</v>
      </c>
      <c r="J89" s="85">
        <f>IF(H89,An,'2026'!An_max)</f>
        <v>2020</v>
      </c>
      <c r="K89" s="197">
        <f t="shared" si="27"/>
        <v>46462</v>
      </c>
      <c r="L89" s="147">
        <f>IF(t&lt;Tvie,1-EXP((T0-t)*PertePVj)+'2026'!Pspv,1-EXP((T0-t)*PertePVj)+Pspv)</f>
        <v>5.5638009764888308E-2</v>
      </c>
      <c r="M89" s="832"/>
      <c r="N89" s="832"/>
      <c r="O89" s="48">
        <f>IF(t&lt;Tnet,'2026'!Resal+('2026'!Salim-'2026'!Resal)*(1-EXP(('2026'!Tnet-t)/('2026'!Tau_j))),Resal+(Salim-Resal)*(1-EXP((Tnet-t)/(Tau_j))))*Salcycl</f>
        <v>5.6586877707456351E-2</v>
      </c>
      <c r="P89" s="169">
        <f>(INDEX(Models!$BJ89:$BT89,,T89)*(1-R89)+INDEX(Models!$BJ89:$BT89,,T89+1)*R89-ERP_i)*Q89*Ramure*Pc/MaxiM</f>
        <v>6.2073615846172929E-4</v>
      </c>
      <c r="Q89" s="304">
        <f t="shared" si="28"/>
        <v>0.7</v>
      </c>
      <c r="R89" s="177">
        <f t="shared" si="29"/>
        <v>0.18975056941821478</v>
      </c>
      <c r="S89" s="799">
        <f t="shared" si="30"/>
        <v>-1</v>
      </c>
      <c r="T89" s="176">
        <f t="shared" si="31"/>
        <v>5</v>
      </c>
      <c r="U89" s="250">
        <f t="shared" si="32"/>
        <v>-0.81024943058178522</v>
      </c>
      <c r="V89" s="382">
        <f t="shared" si="33"/>
        <v>45.324879784348347</v>
      </c>
      <c r="W89" s="400">
        <f t="shared" si="34"/>
        <v>11.411943435400199</v>
      </c>
      <c r="X89" s="157">
        <f t="shared" si="35"/>
        <v>46462</v>
      </c>
      <c r="Y89" s="383">
        <f t="shared" si="36"/>
        <v>11.132184526308464</v>
      </c>
      <c r="Z89" s="383">
        <f t="shared" si="37"/>
        <v>11.788048059343172</v>
      </c>
      <c r="AA89" s="384">
        <f t="shared" si="38"/>
        <v>12.809117185758277</v>
      </c>
      <c r="AB89" s="197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7.9714246626642823E-2</v>
      </c>
      <c r="AD89" s="230">
        <f>(INDEX(Models!$BJ89:$BT89,,AH89)*(1-AF89)+INDEX(Models!$BJ89:$BT89,,AH89+1)*AF89-ERP_i)*AE89*Ramure*Pc/MaxiM</f>
        <v>8.464058127299728E-3</v>
      </c>
      <c r="AE89" s="304">
        <f t="shared" si="40"/>
        <v>0.7</v>
      </c>
      <c r="AF89" s="177">
        <f t="shared" si="41"/>
        <v>0.94540840025756556</v>
      </c>
      <c r="AG89" s="799">
        <f t="shared" si="49"/>
        <v>1</v>
      </c>
      <c r="AH89" s="176">
        <f t="shared" si="42"/>
        <v>7</v>
      </c>
      <c r="AI89" s="224">
        <f t="shared" si="43"/>
        <v>1.9454084002575656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46463</v>
      </c>
      <c r="B90" s="409">
        <f>'2026'!Wh/'2026'!Env_an*'2027'!Env_an</f>
        <v>9.8224640686510654</v>
      </c>
      <c r="C90" s="829"/>
      <c r="D90" s="391">
        <f t="shared" si="25"/>
        <v>10.401363480434384</v>
      </c>
      <c r="E90" s="383">
        <f t="shared" si="47"/>
        <v>11.025822428999019</v>
      </c>
      <c r="F90" s="383">
        <f t="shared" si="26"/>
        <v>11.025822428999019</v>
      </c>
      <c r="G90" s="110">
        <f t="shared" si="48"/>
        <v>0.21519104122485611</v>
      </c>
      <c r="H90" s="412" t="b">
        <f>Wh_hp&gt;='2026'!Maxi_hp</f>
        <v>0</v>
      </c>
      <c r="I90" s="388">
        <f>IF(H90,Wh_hp,'2026'!Maxi_hp)</f>
        <v>33.792366122986927</v>
      </c>
      <c r="J90" s="85">
        <f>IF(H90,An,'2026'!An_max)</f>
        <v>2021</v>
      </c>
      <c r="K90" s="197">
        <f t="shared" si="27"/>
        <v>46463</v>
      </c>
      <c r="L90" s="147">
        <f>IF(t&lt;Tvie,1-EXP((T0-t)*PertePVj)+'2026'!Pspv,1-EXP((T0-t)*PertePVj)+Pspv)</f>
        <v>5.5656108246987523E-2</v>
      </c>
      <c r="M90" s="832"/>
      <c r="N90" s="832"/>
      <c r="O90" s="48">
        <f>IF(t&lt;Tnet,'2026'!Resal+('2026'!Salim-'2026'!Resal)*(1-EXP(('2026'!Tnet-t)/('2026'!Tau_j))),Resal+(Salim-Resal)*(1-EXP((Tnet-t)/(Tau_j))))*Salcycl</f>
        <v>5.6636042579666999E-2</v>
      </c>
      <c r="P90" s="169">
        <f>(INDEX(Models!$BJ90:$BT90,,T90)*(1-R90)+INDEX(Models!$BJ90:$BT90,,T90+1)*R90-ERP_i)*Q90*Ramure*Pc/MaxiM</f>
        <v>6.3457900777473639E-4</v>
      </c>
      <c r="Q90" s="304">
        <f t="shared" si="28"/>
        <v>0.7</v>
      </c>
      <c r="R90" s="177">
        <f t="shared" si="29"/>
        <v>0.19021311799882612</v>
      </c>
      <c r="S90" s="799">
        <f t="shared" si="30"/>
        <v>-1</v>
      </c>
      <c r="T90" s="176">
        <f t="shared" si="31"/>
        <v>5</v>
      </c>
      <c r="U90" s="250">
        <f t="shared" si="32"/>
        <v>-0.80978688200117388</v>
      </c>
      <c r="V90" s="382">
        <f t="shared" si="33"/>
        <v>45.616355045614377</v>
      </c>
      <c r="W90" s="400">
        <f t="shared" si="34"/>
        <v>9.8224640686510654</v>
      </c>
      <c r="X90" s="157">
        <f t="shared" si="35"/>
        <v>46463</v>
      </c>
      <c r="Y90" s="383">
        <f t="shared" si="36"/>
        <v>9.5819318574837578</v>
      </c>
      <c r="Z90" s="383">
        <f t="shared" si="37"/>
        <v>10.146655197500715</v>
      </c>
      <c r="AA90" s="384">
        <f t="shared" si="38"/>
        <v>11.025822428999019</v>
      </c>
      <c r="AB90" s="197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7.9737111418192688E-2</v>
      </c>
      <c r="AD90" s="230">
        <f>(INDEX(Models!$BJ90:$BT90,,AH90)*(1-AF90)+INDEX(Models!$BJ90:$BT90,,AH90+1)*AF90-ERP_i)*AE90*Ramure*Pc/MaxiM</f>
        <v>8.2714886143788417E-3</v>
      </c>
      <c r="AE90" s="304">
        <f t="shared" si="40"/>
        <v>0.7</v>
      </c>
      <c r="AF90" s="177">
        <f t="shared" si="41"/>
        <v>0.94587094883817691</v>
      </c>
      <c r="AG90" s="799">
        <f t="shared" si="49"/>
        <v>1</v>
      </c>
      <c r="AH90" s="176">
        <f t="shared" si="42"/>
        <v>7</v>
      </c>
      <c r="AI90" s="224">
        <f t="shared" si="43"/>
        <v>1.9458709488381769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46464</v>
      </c>
      <c r="B91" s="409">
        <f>'2026'!Wh/'2026'!Env_an*'2027'!Env_an</f>
        <v>12.897891126052391</v>
      </c>
      <c r="C91" s="829"/>
      <c r="D91" s="391">
        <f t="shared" si="25"/>
        <v>13.658306501022098</v>
      </c>
      <c r="E91" s="383">
        <f t="shared" si="47"/>
        <v>14.479057345294837</v>
      </c>
      <c r="F91" s="383">
        <f t="shared" si="26"/>
        <v>14.479057345294837</v>
      </c>
      <c r="G91" s="110">
        <f t="shared" si="48"/>
        <v>0.28079451769729874</v>
      </c>
      <c r="H91" s="412" t="b">
        <f>Wh_hp&gt;='2026'!Maxi_hp</f>
        <v>0</v>
      </c>
      <c r="I91" s="388">
        <f>IF(H91,Wh_hp,'2026'!Maxi_hp)</f>
        <v>34.313153622269041</v>
      </c>
      <c r="J91" s="85">
        <f>IF(H91,An,'2026'!An_max)</f>
        <v>2018</v>
      </c>
      <c r="K91" s="197">
        <f t="shared" si="27"/>
        <v>46464</v>
      </c>
      <c r="L91" s="147">
        <f>IF(t&lt;Tvie,1-EXP((T0-t)*PertePVj)+'2026'!Pspv,1-EXP((T0-t)*PertePVj)+Pspv)</f>
        <v>5.5674206382233526E-2</v>
      </c>
      <c r="M91" s="832"/>
      <c r="N91" s="832"/>
      <c r="O91" s="48">
        <f>IF(t&lt;Tnet,'2026'!Resal+('2026'!Salim-'2026'!Resal)*(1-EXP(('2026'!Tnet-t)/('2026'!Tau_j))),Resal+(Salim-Resal)*(1-EXP((Tnet-t)/(Tau_j))))*Salcycl</f>
        <v>5.6685378384764298E-2</v>
      </c>
      <c r="P91" s="169">
        <f>(INDEX(Models!$BJ91:$BT91,,T91)*(1-R91)+INDEX(Models!$BJ91:$BT91,,T91+1)*R91-ERP_i)*Q91*Ramure*Pc/MaxiM</f>
        <v>6.4847999845604818E-4</v>
      </c>
      <c r="Q91" s="304">
        <f t="shared" si="28"/>
        <v>0.7</v>
      </c>
      <c r="R91" s="177">
        <f t="shared" si="29"/>
        <v>0.19069390366172656</v>
      </c>
      <c r="S91" s="799">
        <f t="shared" si="30"/>
        <v>-1</v>
      </c>
      <c r="T91" s="176">
        <f t="shared" si="31"/>
        <v>5</v>
      </c>
      <c r="U91" s="250">
        <f t="shared" si="32"/>
        <v>-0.80930609633827344</v>
      </c>
      <c r="V91" s="382">
        <f t="shared" si="33"/>
        <v>45.903770512820394</v>
      </c>
      <c r="W91" s="400">
        <f t="shared" si="34"/>
        <v>12.897891126052391</v>
      </c>
      <c r="X91" s="157">
        <f t="shared" si="35"/>
        <v>46464</v>
      </c>
      <c r="Y91" s="383">
        <f t="shared" si="36"/>
        <v>12.582389379899739</v>
      </c>
      <c r="Z91" s="383">
        <f t="shared" si="37"/>
        <v>13.324203855213868</v>
      </c>
      <c r="AA91" s="384">
        <f t="shared" si="38"/>
        <v>14.479057345294837</v>
      </c>
      <c r="AB91" s="197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7.9760267712197061E-2</v>
      </c>
      <c r="AD91" s="230">
        <f>(INDEX(Models!$BJ91:$BT91,,AH91)*(1-AF91)+INDEX(Models!$BJ91:$BT91,,AH91+1)*AF91-ERP_i)*AE91*Ramure*Pc/MaxiM</f>
        <v>8.1556599749303682E-3</v>
      </c>
      <c r="AE91" s="304">
        <f t="shared" si="40"/>
        <v>0.7</v>
      </c>
      <c r="AF91" s="177">
        <f t="shared" si="41"/>
        <v>0.94635173450107724</v>
      </c>
      <c r="AG91" s="799">
        <f t="shared" si="49"/>
        <v>1</v>
      </c>
      <c r="AH91" s="176">
        <f t="shared" si="42"/>
        <v>7</v>
      </c>
      <c r="AI91" s="224">
        <f t="shared" si="43"/>
        <v>1.9463517345010772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46465</v>
      </c>
      <c r="B92" s="409">
        <f>'2026'!Wh/'2026'!Env_an*'2027'!Env_an</f>
        <v>26.877222364894795</v>
      </c>
      <c r="C92" s="829"/>
      <c r="D92" s="391">
        <f t="shared" si="25"/>
        <v>28.462356585253762</v>
      </c>
      <c r="E92" s="383">
        <f t="shared" si="47"/>
        <v>30.174292226926948</v>
      </c>
      <c r="F92" s="383">
        <f t="shared" si="26"/>
        <v>30.182345119244339</v>
      </c>
      <c r="G92" s="110">
        <f t="shared" si="48"/>
        <v>0.5816960213192186</v>
      </c>
      <c r="H92" s="412" t="b">
        <f>Wh_hp&gt;='2026'!Maxi_hp</f>
        <v>0</v>
      </c>
      <c r="I92" s="388">
        <f>IF(H92,Wh_hp,'2026'!Maxi_hp)</f>
        <v>45.384654125633041</v>
      </c>
      <c r="J92" s="85">
        <f>IF(H92,An,'2026'!An_max)</f>
        <v>2020</v>
      </c>
      <c r="K92" s="197">
        <f t="shared" si="27"/>
        <v>46465</v>
      </c>
      <c r="L92" s="147">
        <f>IF(t&lt;Tvie,1-EXP((T0-t)*PertePVj)+'2026'!Pspv,1-EXP((T0-t)*PertePVj)+Pspv)</f>
        <v>5.5692304170632867E-2</v>
      </c>
      <c r="M92" s="832"/>
      <c r="N92" s="832"/>
      <c r="O92" s="48">
        <f>IF(t&lt;Tnet,'2026'!Resal+('2026'!Salim-'2026'!Resal)*(1-EXP(('2026'!Tnet-t)/('2026'!Tau_j))),Resal+(Salim-Resal)*(1-EXP((Tnet-t)/(Tau_j))))*Salcycl</f>
        <v>5.6734906283749956E-2</v>
      </c>
      <c r="P92" s="169">
        <f>(INDEX(Models!$BJ92:$BT92,,T92)*(1-R92)+INDEX(Models!$BJ92:$BT92,,T92+1)*R92-ERP_i)*Q92*Ramure*Pc/MaxiM</f>
        <v>6.6246253412455692E-4</v>
      </c>
      <c r="Q92" s="304">
        <f t="shared" si="28"/>
        <v>0.7</v>
      </c>
      <c r="R92" s="177">
        <f t="shared" si="29"/>
        <v>0.19119359615309173</v>
      </c>
      <c r="S92" s="799">
        <f t="shared" si="30"/>
        <v>-1</v>
      </c>
      <c r="T92" s="176">
        <f t="shared" si="31"/>
        <v>5</v>
      </c>
      <c r="U92" s="250">
        <f t="shared" si="32"/>
        <v>-0.80880640384690827</v>
      </c>
      <c r="V92" s="382">
        <f t="shared" si="33"/>
        <v>46.186641215292738</v>
      </c>
      <c r="W92" s="400">
        <f t="shared" si="34"/>
        <v>26.877222364894795</v>
      </c>
      <c r="X92" s="157">
        <f t="shared" si="35"/>
        <v>46465</v>
      </c>
      <c r="Y92" s="383">
        <f t="shared" si="36"/>
        <v>26.141747664930552</v>
      </c>
      <c r="Z92" s="383">
        <f t="shared" si="37"/>
        <v>27.683505895788304</v>
      </c>
      <c r="AA92" s="384">
        <f t="shared" si="38"/>
        <v>30.083695800055207</v>
      </c>
      <c r="AB92" s="197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7.9783744664194439E-2</v>
      </c>
      <c r="AD92" s="230">
        <f>(INDEX(Models!$BJ92:$BT92,,AH92)*(1-AF92)+INDEX(Models!$BJ92:$BT92,,AH92+1)*AF92-ERP_i)*AE92*Ramure*Pc/MaxiM</f>
        <v>8.1152802501235043E-3</v>
      </c>
      <c r="AE92" s="304">
        <f t="shared" si="40"/>
        <v>0.7</v>
      </c>
      <c r="AF92" s="177">
        <f t="shared" si="41"/>
        <v>0.94685142699244262</v>
      </c>
      <c r="AG92" s="799">
        <f t="shared" si="49"/>
        <v>1</v>
      </c>
      <c r="AH92" s="176">
        <f t="shared" si="42"/>
        <v>7</v>
      </c>
      <c r="AI92" s="224">
        <f t="shared" si="43"/>
        <v>1.9468514269924426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46466</v>
      </c>
      <c r="B93" s="409">
        <f>'2026'!Wh/'2026'!Env_an*'2027'!Env_an</f>
        <v>31.468123768236463</v>
      </c>
      <c r="C93" s="829"/>
      <c r="D93" s="391">
        <f t="shared" si="25"/>
        <v>33.324653604108541</v>
      </c>
      <c r="E93" s="383">
        <f t="shared" si="47"/>
        <v>35.330906700724142</v>
      </c>
      <c r="F93" s="383">
        <f t="shared" si="26"/>
        <v>35.343791296452537</v>
      </c>
      <c r="G93" s="110">
        <f t="shared" si="48"/>
        <v>0.6769977197622371</v>
      </c>
      <c r="H93" s="412" t="b">
        <f>Wh_hp&gt;='2026'!Maxi_hp</f>
        <v>0</v>
      </c>
      <c r="I93" s="388">
        <f>IF(H93,Wh_hp,'2026'!Maxi_hp)</f>
        <v>51.000305055199313</v>
      </c>
      <c r="J93" s="85">
        <f>IF(H93,An,'2026'!An_max)</f>
        <v>2018</v>
      </c>
      <c r="K93" s="197">
        <f t="shared" si="27"/>
        <v>46466</v>
      </c>
      <c r="L93" s="147">
        <f>IF(t&lt;Tvie,1-EXP((T0-t)*PertePVj)+'2026'!Pspv,1-EXP((T0-t)*PertePVj)+Pspv)</f>
        <v>5.5710401612192317E-2</v>
      </c>
      <c r="M93" s="832"/>
      <c r="N93" s="832"/>
      <c r="O93" s="48">
        <f>IF(t&lt;Tnet,'2026'!Resal+('2026'!Salim-'2026'!Resal)*(1-EXP(('2026'!Tnet-t)/('2026'!Tau_j))),Resal+(Salim-Resal)*(1-EXP((Tnet-t)/(Tau_j))))*Salcycl</f>
        <v>5.6784647889449209E-2</v>
      </c>
      <c r="P93" s="169">
        <f>(INDEX(Models!$BJ93:$BT93,,T93)*(1-R93)+INDEX(Models!$BJ93:$BT93,,T93+1)*R93-ERP_i)*Q93*Ramure*Pc/MaxiM</f>
        <v>6.7650901697413558E-4</v>
      </c>
      <c r="Q93" s="304">
        <f t="shared" si="28"/>
        <v>0.7</v>
      </c>
      <c r="R93" s="177">
        <f t="shared" si="29"/>
        <v>0.19171288573918899</v>
      </c>
      <c r="S93" s="799">
        <f t="shared" si="30"/>
        <v>-1</v>
      </c>
      <c r="T93" s="176">
        <f t="shared" si="31"/>
        <v>5</v>
      </c>
      <c r="U93" s="250">
        <f t="shared" si="32"/>
        <v>-0.80828711426081101</v>
      </c>
      <c r="V93" s="382">
        <f t="shared" si="33"/>
        <v>46.467369859253999</v>
      </c>
      <c r="W93" s="400">
        <f t="shared" si="34"/>
        <v>31.468123768236463</v>
      </c>
      <c r="X93" s="157">
        <f t="shared" si="35"/>
        <v>46466</v>
      </c>
      <c r="Y93" s="383">
        <f t="shared" si="36"/>
        <v>30.576360101202404</v>
      </c>
      <c r="Z93" s="383">
        <f t="shared" si="37"/>
        <v>32.380278416076635</v>
      </c>
      <c r="AA93" s="384">
        <f t="shared" si="38"/>
        <v>35.18859472298621</v>
      </c>
      <c r="AB93" s="197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7.9807571999318996E-2</v>
      </c>
      <c r="AD93" s="230">
        <f>(INDEX(Models!$BJ93:$BT93,,AH93)*(1-AF93)+INDEX(Models!$BJ93:$BT93,,AH93+1)*AF93-ERP_i)*AE93*Ramure*Pc/MaxiM</f>
        <v>8.148636058645839E-3</v>
      </c>
      <c r="AE93" s="304">
        <f t="shared" si="40"/>
        <v>0.7</v>
      </c>
      <c r="AF93" s="177">
        <f t="shared" si="41"/>
        <v>0.94737071657853966</v>
      </c>
      <c r="AG93" s="799">
        <f t="shared" si="49"/>
        <v>1</v>
      </c>
      <c r="AH93" s="176">
        <f t="shared" si="42"/>
        <v>7</v>
      </c>
      <c r="AI93" s="224">
        <f t="shared" si="43"/>
        <v>1.9473707165785397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46467</v>
      </c>
      <c r="B94" s="409">
        <f>'2026'!Wh/'2026'!Env_an*'2027'!Env_an</f>
        <v>43.833640263554202</v>
      </c>
      <c r="C94" s="829"/>
      <c r="D94" s="391">
        <f t="shared" si="25"/>
        <v>46.42059005649179</v>
      </c>
      <c r="E94" s="383">
        <f t="shared" si="47"/>
        <v>49.217869205861533</v>
      </c>
      <c r="F94" s="383">
        <f t="shared" si="26"/>
        <v>49.248802642928226</v>
      </c>
      <c r="G94" s="110">
        <f t="shared" si="48"/>
        <v>0.9375961433780049</v>
      </c>
      <c r="H94" s="412" t="b">
        <f>Wh_hp&gt;='2026'!Maxi_hp</f>
        <v>0</v>
      </c>
      <c r="I94" s="388">
        <f>IF(H94,Wh_hp,'2026'!Maxi_hp)</f>
        <v>51.582949818940655</v>
      </c>
      <c r="J94" s="85">
        <f>IF(H94,An,'2026'!An_max)</f>
        <v>2020</v>
      </c>
      <c r="K94" s="197">
        <f t="shared" si="27"/>
        <v>46467</v>
      </c>
      <c r="L94" s="147">
        <f>IF(t&lt;Tvie,1-EXP((T0-t)*PertePVj)+'2026'!Pspv,1-EXP((T0-t)*PertePVj)+Pspv)</f>
        <v>5.5728498706918317E-2</v>
      </c>
      <c r="M94" s="832"/>
      <c r="N94" s="832"/>
      <c r="O94" s="48">
        <f>IF(t&lt;Tnet,'2026'!Resal+('2026'!Salim-'2026'!Resal)*(1-EXP(('2026'!Tnet-t)/('2026'!Tau_j))),Resal+(Salim-Resal)*(1-EXP((Tnet-t)/(Tau_j))))*Salcycl</f>
        <v>5.6834625198211718E-2</v>
      </c>
      <c r="P94" s="169">
        <f>(INDEX(Models!$BJ94:$BT94,,T94)*(1-R94)+INDEX(Models!$BJ94:$BT94,,T94+1)*R94-ERP_i)*Q94*Ramure*Pc/MaxiM</f>
        <v>6.895180102956881E-4</v>
      </c>
      <c r="Q94" s="304">
        <f t="shared" si="28"/>
        <v>0.7</v>
      </c>
      <c r="R94" s="177">
        <f t="shared" si="29"/>
        <v>0.19225248349094914</v>
      </c>
      <c r="S94" s="799">
        <f t="shared" si="30"/>
        <v>-1</v>
      </c>
      <c r="T94" s="176">
        <f t="shared" si="31"/>
        <v>5</v>
      </c>
      <c r="U94" s="250">
        <f t="shared" si="32"/>
        <v>-0.80774751650905086</v>
      </c>
      <c r="V94" s="382">
        <f t="shared" si="33"/>
        <v>46.748215573785842</v>
      </c>
      <c r="W94" s="400">
        <f t="shared" si="34"/>
        <v>43.833640263554202</v>
      </c>
      <c r="X94" s="157">
        <f t="shared" si="35"/>
        <v>46467</v>
      </c>
      <c r="Y94" s="383">
        <f t="shared" si="36"/>
        <v>42.470336272483415</v>
      </c>
      <c r="Z94" s="383">
        <f t="shared" si="37"/>
        <v>44.976827336549611</v>
      </c>
      <c r="AA94" s="384">
        <f t="shared" si="38"/>
        <v>48.878918392111871</v>
      </c>
      <c r="AB94" s="197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7.9831779914998749E-2</v>
      </c>
      <c r="AD94" s="230">
        <f>(INDEX(Models!$BJ94:$BT94,,AH94)*(1-AF94)+INDEX(Models!$BJ94:$BT94,,AH94+1)*AF94-ERP_i)*AE94*Ramure*Pc/MaxiM</f>
        <v>8.2448598295997658E-3</v>
      </c>
      <c r="AE94" s="304">
        <f t="shared" si="40"/>
        <v>0.7</v>
      </c>
      <c r="AF94" s="177">
        <f t="shared" si="41"/>
        <v>0.94791031433029982</v>
      </c>
      <c r="AG94" s="799">
        <f t="shared" si="49"/>
        <v>1</v>
      </c>
      <c r="AH94" s="176">
        <f t="shared" si="42"/>
        <v>7</v>
      </c>
      <c r="AI94" s="224">
        <f t="shared" si="43"/>
        <v>1.9479103143302998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46468</v>
      </c>
      <c r="B95" s="409">
        <f>'2026'!Wh/'2026'!Env_an*'2027'!Env_an</f>
        <v>40.290423572622728</v>
      </c>
      <c r="C95" s="829"/>
      <c r="D95" s="391">
        <f t="shared" si="25"/>
        <v>42.669079485108533</v>
      </c>
      <c r="E95" s="383">
        <f t="shared" si="47"/>
        <v>45.242704415403125</v>
      </c>
      <c r="F95" s="383">
        <f t="shared" si="26"/>
        <v>45.267910755053101</v>
      </c>
      <c r="G95" s="110">
        <f t="shared" si="48"/>
        <v>0.85660129123910356</v>
      </c>
      <c r="H95" s="412" t="b">
        <f>Wh_hp&gt;='2026'!Maxi_hp</f>
        <v>0</v>
      </c>
      <c r="I95" s="388">
        <f>IF(H95,Wh_hp,'2026'!Maxi_hp)</f>
        <v>50.061246590023678</v>
      </c>
      <c r="J95" s="85">
        <f>IF(H95,An,'2026'!An_max)</f>
        <v>2020</v>
      </c>
      <c r="K95" s="197">
        <f t="shared" si="27"/>
        <v>46468</v>
      </c>
      <c r="L95" s="147">
        <f>IF(t&lt;Tvie,1-EXP((T0-t)*PertePVj)+'2026'!Pspv,1-EXP((T0-t)*PertePVj)+Pspv)</f>
        <v>5.5746595454817638E-2</v>
      </c>
      <c r="M95" s="832"/>
      <c r="N95" s="832"/>
      <c r="O95" s="48">
        <f>IF(t&lt;Tnet,'2026'!Resal+('2026'!Salim-'2026'!Resal)*(1-EXP(('2026'!Tnet-t)/('2026'!Tau_j))),Resal+(Salim-Resal)*(1-EXP((Tnet-t)/(Tau_j))))*Salcycl</f>
        <v>5.68848605216975E-2</v>
      </c>
      <c r="P95" s="169">
        <f>(INDEX(Models!$BJ95:$BT95,,T95)*(1-R95)+INDEX(Models!$BJ95:$BT95,,T95+1)*R95-ERP_i)*Q95*Ramure*Pc/MaxiM</f>
        <v>7.0012780841770803E-4</v>
      </c>
      <c r="Q95" s="304">
        <f t="shared" si="28"/>
        <v>0.7</v>
      </c>
      <c r="R95" s="177">
        <f t="shared" si="29"/>
        <v>0.19281312153988894</v>
      </c>
      <c r="S95" s="799">
        <f t="shared" si="30"/>
        <v>-1</v>
      </c>
      <c r="T95" s="176">
        <f t="shared" si="31"/>
        <v>5</v>
      </c>
      <c r="U95" s="250">
        <f t="shared" si="32"/>
        <v>-0.80718687846011106</v>
      </c>
      <c r="V95" s="382">
        <f t="shared" si="33"/>
        <v>47.028468283221869</v>
      </c>
      <c r="W95" s="400">
        <f t="shared" si="34"/>
        <v>40.290423572622728</v>
      </c>
      <c r="X95" s="157">
        <f t="shared" si="35"/>
        <v>46468</v>
      </c>
      <c r="Y95" s="383">
        <f t="shared" si="36"/>
        <v>39.06972450118613</v>
      </c>
      <c r="Z95" s="383">
        <f t="shared" si="37"/>
        <v>41.376313088333326</v>
      </c>
      <c r="AA95" s="384">
        <f t="shared" si="38"/>
        <v>44.96723450845262</v>
      </c>
      <c r="AB95" s="197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7.9856398984115812E-2</v>
      </c>
      <c r="AD95" s="230">
        <f>(INDEX(Models!$BJ95:$BT95,,AH95)*(1-AF95)+INDEX(Models!$BJ95:$BT95,,AH95+1)*AF95-ERP_i)*AE95*Ramure*Pc/MaxiM</f>
        <v>8.3515418937812544E-3</v>
      </c>
      <c r="AE95" s="304">
        <f t="shared" si="40"/>
        <v>0.7</v>
      </c>
      <c r="AF95" s="177">
        <f t="shared" si="41"/>
        <v>0.94847095237923962</v>
      </c>
      <c r="AG95" s="799">
        <f t="shared" si="49"/>
        <v>1</v>
      </c>
      <c r="AH95" s="176">
        <f t="shared" si="42"/>
        <v>7</v>
      </c>
      <c r="AI95" s="224">
        <f t="shared" si="43"/>
        <v>1.9484709523792396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46469</v>
      </c>
      <c r="B96" s="409">
        <f>'2026'!Wh/'2026'!Env_an*'2027'!Env_an</f>
        <v>47.513620689530107</v>
      </c>
      <c r="C96" s="829"/>
      <c r="D96" s="391">
        <f t="shared" si="25"/>
        <v>50.319682265343637</v>
      </c>
      <c r="E96" s="383">
        <f t="shared" si="47"/>
        <v>53.357618350988254</v>
      </c>
      <c r="F96" s="383">
        <f t="shared" si="26"/>
        <v>53.395442827230923</v>
      </c>
      <c r="G96" s="110">
        <f t="shared" si="48"/>
        <v>1.0043601605751804</v>
      </c>
      <c r="H96" s="412" t="b">
        <f>Wh_hp&gt;='2026'!Maxi_hp</f>
        <v>1</v>
      </c>
      <c r="I96" s="388">
        <f>IF(H96,Wh_hp,'2026'!Maxi_hp)</f>
        <v>53.395442827230923</v>
      </c>
      <c r="J96" s="85">
        <f>IF(H96,An,'2026'!An_max)</f>
        <v>2027</v>
      </c>
      <c r="K96" s="197">
        <f t="shared" si="27"/>
        <v>46469</v>
      </c>
      <c r="L96" s="147">
        <f>IF(t&lt;Tvie,1-EXP((T0-t)*PertePVj)+'2026'!Pspv,1-EXP((T0-t)*PertePVj)+Pspv)</f>
        <v>5.5764691855896942E-2</v>
      </c>
      <c r="M96" s="832"/>
      <c r="N96" s="832"/>
      <c r="O96" s="48">
        <f>IF(t&lt;Tnet,'2026'!Resal+('2026'!Salim-'2026'!Resal)*(1-EXP(('2026'!Tnet-t)/('2026'!Tau_j))),Resal+(Salim-Resal)*(1-EXP((Tnet-t)/(Tau_j))))*Salcycl</f>
        <v>5.6935376419182872E-2</v>
      </c>
      <c r="P96" s="169">
        <f>(INDEX(Models!$BJ96:$BT96,,T96)*(1-R96)+INDEX(Models!$BJ96:$BT96,,T96+1)*R96-ERP_i)*Q96*Ramure*Pc/MaxiM</f>
        <v>7.0838397885490169E-4</v>
      </c>
      <c r="Q96" s="304">
        <f t="shared" si="28"/>
        <v>0.7</v>
      </c>
      <c r="R96" s="177">
        <f t="shared" si="29"/>
        <v>0.19339555330172464</v>
      </c>
      <c r="S96" s="799">
        <f t="shared" si="30"/>
        <v>-1</v>
      </c>
      <c r="T96" s="176">
        <f t="shared" si="31"/>
        <v>5</v>
      </c>
      <c r="U96" s="250">
        <f t="shared" si="32"/>
        <v>-0.80660444669827536</v>
      </c>
      <c r="V96" s="382">
        <f t="shared" si="33"/>
        <v>47.30735303391549</v>
      </c>
      <c r="W96" s="400">
        <f t="shared" si="34"/>
        <v>47.513620689530107</v>
      </c>
      <c r="X96" s="157">
        <f t="shared" si="35"/>
        <v>46469</v>
      </c>
      <c r="Y96" s="383">
        <f t="shared" si="36"/>
        <v>45.997542761386399</v>
      </c>
      <c r="Z96" s="383">
        <f t="shared" si="37"/>
        <v>48.714067737834</v>
      </c>
      <c r="AA96" s="384">
        <f t="shared" si="38"/>
        <v>52.943252008561963</v>
      </c>
      <c r="AB96" s="197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7.9881460059235146E-2</v>
      </c>
      <c r="AD96" s="230">
        <f>(INDEX(Models!$BJ96:$BT96,,AH96)*(1-AF96)+INDEX(Models!$BJ96:$BT96,,AH96+1)*AF96-ERP_i)*AE96*Ramure*Pc/MaxiM</f>
        <v>8.468715581816437E-3</v>
      </c>
      <c r="AE96" s="304">
        <f t="shared" si="40"/>
        <v>0.7</v>
      </c>
      <c r="AF96" s="177">
        <f t="shared" si="41"/>
        <v>0.94905338414107532</v>
      </c>
      <c r="AG96" s="799">
        <f t="shared" si="49"/>
        <v>1</v>
      </c>
      <c r="AH96" s="176">
        <f t="shared" si="42"/>
        <v>7</v>
      </c>
      <c r="AI96" s="224">
        <f t="shared" si="43"/>
        <v>1.9490533841410753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46470</v>
      </c>
      <c r="B97" s="409">
        <f>'2026'!Wh/'2026'!Env_an*'2027'!Env_an</f>
        <v>46.438408765686937</v>
      </c>
      <c r="C97" s="829"/>
      <c r="D97" s="391">
        <f t="shared" si="25"/>
        <v>49.181912986848381</v>
      </c>
      <c r="E97" s="383">
        <f t="shared" si="47"/>
        <v>52.153969283351152</v>
      </c>
      <c r="F97" s="383">
        <f t="shared" si="26"/>
        <v>52.189967831143782</v>
      </c>
      <c r="G97" s="110">
        <f t="shared" si="48"/>
        <v>0.97589891887441149</v>
      </c>
      <c r="H97" s="412" t="b">
        <f>Wh_hp&gt;='2026'!Maxi_hp</f>
        <v>1</v>
      </c>
      <c r="I97" s="388">
        <f>IF(H97,Wh_hp,'2026'!Maxi_hp)</f>
        <v>52.189967831143782</v>
      </c>
      <c r="J97" s="85">
        <f>IF(H97,An,'2026'!An_max)</f>
        <v>2027</v>
      </c>
      <c r="K97" s="197">
        <f t="shared" si="27"/>
        <v>46470</v>
      </c>
      <c r="L97" s="147">
        <f>IF(t&lt;Tvie,1-EXP((T0-t)*PertePVj)+'2026'!Pspv,1-EXP((T0-t)*PertePVj)+Pspv)</f>
        <v>5.5782787910162779E-2</v>
      </c>
      <c r="M97" s="832"/>
      <c r="N97" s="832"/>
      <c r="O97" s="48">
        <f>IF(t&lt;Tnet,'2026'!Resal+('2026'!Salim-'2026'!Resal)*(1-EXP(('2026'!Tnet-t)/('2026'!Tau_j))),Resal+(Salim-Resal)*(1-EXP((Tnet-t)/(Tau_j))))*Salcycl</f>
        <v>5.6986195630780598E-2</v>
      </c>
      <c r="P97" s="169">
        <f>(INDEX(Models!$BJ97:$BT97,,T97)*(1-R97)+INDEX(Models!$BJ97:$BT97,,T97+1)*R97-ERP_i)*Q97*Ramure*Pc/MaxiM</f>
        <v>7.1432989007906567E-4</v>
      </c>
      <c r="Q97" s="304">
        <f t="shared" si="28"/>
        <v>0.7</v>
      </c>
      <c r="R97" s="177">
        <f t="shared" si="29"/>
        <v>0.19400055366377245</v>
      </c>
      <c r="S97" s="799">
        <f t="shared" si="30"/>
        <v>-1</v>
      </c>
      <c r="T97" s="176">
        <f t="shared" si="31"/>
        <v>5</v>
      </c>
      <c r="U97" s="250">
        <f t="shared" si="32"/>
        <v>-0.80599944633622755</v>
      </c>
      <c r="V97" s="382">
        <f t="shared" si="33"/>
        <v>47.584095124486709</v>
      </c>
      <c r="W97" s="400">
        <f t="shared" si="34"/>
        <v>46.438408765686937</v>
      </c>
      <c r="X97" s="157">
        <f t="shared" si="35"/>
        <v>46470</v>
      </c>
      <c r="Y97" s="383">
        <f t="shared" si="36"/>
        <v>44.964592023699105</v>
      </c>
      <c r="Z97" s="383">
        <f t="shared" si="37"/>
        <v>47.621025594501624</v>
      </c>
      <c r="AA97" s="384">
        <f t="shared" si="38"/>
        <v>51.756752081797195</v>
      </c>
      <c r="AB97" s="197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7.9906994178448459E-2</v>
      </c>
      <c r="AD97" s="230">
        <f>(INDEX(Models!$BJ97:$BT97,,AH97)*(1-AF97)+INDEX(Models!$BJ97:$BT97,,AH97+1)*AF97-ERP_i)*AE97*Ramure*Pc/MaxiM</f>
        <v>8.5964289557988842E-3</v>
      </c>
      <c r="AE97" s="304">
        <f t="shared" si="40"/>
        <v>0.7</v>
      </c>
      <c r="AF97" s="177">
        <f t="shared" si="41"/>
        <v>0.94965838450312323</v>
      </c>
      <c r="AG97" s="799">
        <f t="shared" si="49"/>
        <v>1</v>
      </c>
      <c r="AH97" s="176">
        <f t="shared" si="42"/>
        <v>7</v>
      </c>
      <c r="AI97" s="224">
        <f t="shared" si="43"/>
        <v>1.9496583845031232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46471</v>
      </c>
      <c r="B98" s="409">
        <f>'2026'!Wh/'2026'!Env_an*'2027'!Env_an</f>
        <v>36.636259985217194</v>
      </c>
      <c r="C98" s="829"/>
      <c r="D98" s="391">
        <f t="shared" si="25"/>
        <v>38.801413123098477</v>
      </c>
      <c r="E98" s="383">
        <f t="shared" si="47"/>
        <v>41.148408956869496</v>
      </c>
      <c r="F98" s="383">
        <f t="shared" si="26"/>
        <v>41.168066548109657</v>
      </c>
      <c r="G98" s="110">
        <f t="shared" si="48"/>
        <v>0.76533715405830172</v>
      </c>
      <c r="H98" s="412" t="b">
        <f>Wh_hp&gt;='2026'!Maxi_hp</f>
        <v>0</v>
      </c>
      <c r="I98" s="388">
        <f>IF(H98,Wh_hp,'2026'!Maxi_hp)</f>
        <v>52.042805728748291</v>
      </c>
      <c r="J98" s="85">
        <f>IF(H98,An,'2026'!An_max)</f>
        <v>2020</v>
      </c>
      <c r="K98" s="197">
        <f t="shared" si="27"/>
        <v>46471</v>
      </c>
      <c r="L98" s="147">
        <f>IF(t&lt;Tvie,1-EXP((T0-t)*PertePVj)+'2026'!Pspv,1-EXP((T0-t)*PertePVj)+Pspv)</f>
        <v>5.5800883617621921E-2</v>
      </c>
      <c r="M98" s="832"/>
      <c r="N98" s="832"/>
      <c r="O98" s="48">
        <f>IF(t&lt;Tnet,'2026'!Resal+('2026'!Salim-'2026'!Resal)*(1-EXP(('2026'!Tnet-t)/('2026'!Tau_j))),Resal+(Salim-Resal)*(1-EXP((Tnet-t)/(Tau_j))))*Salcycl</f>
        <v>5.7037341011922753E-2</v>
      </c>
      <c r="P98" s="169">
        <f>(INDEX(Models!$BJ98:$BT98,,T98)*(1-R98)+INDEX(Models!$BJ98:$BT98,,T98+1)*R98-ERP_i)*Q98*Ramure*Pc/MaxiM</f>
        <v>7.1800630579628509E-4</v>
      </c>
      <c r="Q98" s="304">
        <f t="shared" si="28"/>
        <v>0.7</v>
      </c>
      <c r="R98" s="177">
        <f t="shared" si="29"/>
        <v>0.19462891913197022</v>
      </c>
      <c r="S98" s="799">
        <f t="shared" si="30"/>
        <v>-1</v>
      </c>
      <c r="T98" s="176">
        <f t="shared" si="31"/>
        <v>5</v>
      </c>
      <c r="U98" s="250">
        <f t="shared" si="32"/>
        <v>-0.80537108086802978</v>
      </c>
      <c r="V98" s="382">
        <f t="shared" si="33"/>
        <v>47.85792011686226</v>
      </c>
      <c r="W98" s="400">
        <f t="shared" si="34"/>
        <v>36.636259985217194</v>
      </c>
      <c r="X98" s="157">
        <f t="shared" si="35"/>
        <v>46471</v>
      </c>
      <c r="Y98" s="383">
        <f t="shared" si="36"/>
        <v>35.556039685594364</v>
      </c>
      <c r="Z98" s="383">
        <f t="shared" si="37"/>
        <v>37.657353272924496</v>
      </c>
      <c r="AA98" s="384">
        <f t="shared" si="38"/>
        <v>40.928926482552185</v>
      </c>
      <c r="AB98" s="197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7.993303247331307E-2</v>
      </c>
      <c r="AD98" s="230">
        <f>(INDEX(Models!$BJ98:$BT98,,AH98)*(1-AF98)+INDEX(Models!$BJ98:$BT98,,AH98+1)*AF98-ERP_i)*AE98*Ramure*Pc/MaxiM</f>
        <v>8.7347464366846813E-3</v>
      </c>
      <c r="AE98" s="304">
        <f t="shared" si="40"/>
        <v>0.7</v>
      </c>
      <c r="AF98" s="177">
        <f t="shared" si="41"/>
        <v>0.95028674997132101</v>
      </c>
      <c r="AG98" s="799">
        <f t="shared" si="49"/>
        <v>1</v>
      </c>
      <c r="AH98" s="176">
        <f t="shared" si="42"/>
        <v>7</v>
      </c>
      <c r="AI98" s="224">
        <f t="shared" si="43"/>
        <v>1.950286749971321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46472</v>
      </c>
      <c r="B99" s="409">
        <f>'2026'!Wh/'2026'!Env_an*'2027'!Env_an</f>
        <v>41.881381312623041</v>
      </c>
      <c r="C99" s="829"/>
      <c r="D99" s="391">
        <f t="shared" si="25"/>
        <v>44.357364086075656</v>
      </c>
      <c r="E99" s="383">
        <f t="shared" si="47"/>
        <v>47.042993820269338</v>
      </c>
      <c r="F99" s="383">
        <f t="shared" si="26"/>
        <v>47.070579612494249</v>
      </c>
      <c r="G99" s="110">
        <f t="shared" si="48"/>
        <v>0.87009109525892403</v>
      </c>
      <c r="H99" s="412" t="b">
        <f>Wh_hp&gt;='2026'!Maxi_hp</f>
        <v>0</v>
      </c>
      <c r="I99" s="388">
        <f>IF(H99,Wh_hp,'2026'!Maxi_hp)</f>
        <v>54.406274588280766</v>
      </c>
      <c r="J99" s="85">
        <f>IF(H99,An,'2026'!An_max)</f>
        <v>2020</v>
      </c>
      <c r="K99" s="197">
        <f t="shared" si="27"/>
        <v>46472</v>
      </c>
      <c r="L99" s="147">
        <f>IF(t&lt;Tvie,1-EXP((T0-t)*PertePVj)+'2026'!Pspv,1-EXP((T0-t)*PertePVj)+Pspv)</f>
        <v>5.5818978978281031E-2</v>
      </c>
      <c r="M99" s="832"/>
      <c r="N99" s="832"/>
      <c r="O99" s="48">
        <f>IF(t&lt;Tnet,'2026'!Resal+('2026'!Salim-'2026'!Resal)*(1-EXP(('2026'!Tnet-t)/('2026'!Tau_j))),Resal+(Salim-Resal)*(1-EXP((Tnet-t)/(Tau_j))))*Salcycl</f>
        <v>5.7088835469406921E-2</v>
      </c>
      <c r="P99" s="169">
        <f>(INDEX(Models!$BJ99:$BT99,,T99)*(1-R99)+INDEX(Models!$BJ99:$BT99,,T99+1)*R99-ERP_i)*Q99*Ramure*Pc/MaxiM</f>
        <v>7.1945100072207981E-4</v>
      </c>
      <c r="Q99" s="304">
        <f t="shared" si="28"/>
        <v>0.7</v>
      </c>
      <c r="R99" s="177">
        <f t="shared" si="29"/>
        <v>0.1952814679330932</v>
      </c>
      <c r="S99" s="799">
        <f t="shared" si="30"/>
        <v>-1</v>
      </c>
      <c r="T99" s="176">
        <f t="shared" si="31"/>
        <v>5</v>
      </c>
      <c r="U99" s="250">
        <f t="shared" si="32"/>
        <v>-0.8047185320669068</v>
      </c>
      <c r="V99" s="382">
        <f t="shared" si="33"/>
        <v>48.128053851823076</v>
      </c>
      <c r="W99" s="400">
        <f t="shared" si="34"/>
        <v>41.881381312623041</v>
      </c>
      <c r="X99" s="157">
        <f t="shared" si="35"/>
        <v>46472</v>
      </c>
      <c r="Y99" s="383">
        <f t="shared" si="36"/>
        <v>40.593592827384661</v>
      </c>
      <c r="Z99" s="383">
        <f t="shared" si="37"/>
        <v>42.993442913581809</v>
      </c>
      <c r="AA99" s="384">
        <f t="shared" si="38"/>
        <v>46.729951421336551</v>
      </c>
      <c r="AB99" s="197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7.9959606079296697E-2</v>
      </c>
      <c r="AD99" s="230">
        <f>(INDEX(Models!$BJ99:$BT99,,AH99)*(1-AF99)+INDEX(Models!$BJ99:$BT99,,AH99+1)*AF99-ERP_i)*AE99*Ramure*Pc/MaxiM</f>
        <v>8.8837504105192255E-3</v>
      </c>
      <c r="AE99" s="304">
        <f t="shared" si="40"/>
        <v>0.7</v>
      </c>
      <c r="AF99" s="177">
        <f t="shared" si="41"/>
        <v>0.95093929877244388</v>
      </c>
      <c r="AG99" s="799">
        <f t="shared" si="49"/>
        <v>1</v>
      </c>
      <c r="AH99" s="176">
        <f t="shared" si="42"/>
        <v>7</v>
      </c>
      <c r="AI99" s="224">
        <f t="shared" si="43"/>
        <v>1.9509392987724439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46473</v>
      </c>
      <c r="B100" s="409">
        <f>'2026'!Wh/'2026'!Env_an*'2027'!Env_an</f>
        <v>44.427617250126865</v>
      </c>
      <c r="C100" s="829"/>
      <c r="D100" s="391">
        <f t="shared" si="25"/>
        <v>47.055032586353981</v>
      </c>
      <c r="E100" s="383">
        <f t="shared" si="47"/>
        <v>49.906738663064154</v>
      </c>
      <c r="F100" s="383">
        <f t="shared" si="26"/>
        <v>49.938407236201314</v>
      </c>
      <c r="G100" s="110">
        <f t="shared" si="48"/>
        <v>0.91796738185285254</v>
      </c>
      <c r="H100" s="412" t="b">
        <f>Wh_hp&gt;='2026'!Maxi_hp</f>
        <v>0</v>
      </c>
      <c r="I100" s="388">
        <f>IF(H100,Wh_hp,'2026'!Maxi_hp)</f>
        <v>53.384217171307384</v>
      </c>
      <c r="J100" s="85">
        <f>IF(H100,An,'2026'!An_max)</f>
        <v>2018</v>
      </c>
      <c r="K100" s="197">
        <f t="shared" si="27"/>
        <v>46473</v>
      </c>
      <c r="L100" s="147">
        <f>IF(t&lt;Tvie,1-EXP((T0-t)*PertePVj)+'2026'!Pspv,1-EXP((T0-t)*PertePVj)+Pspv)</f>
        <v>5.5837073992146546E-2</v>
      </c>
      <c r="M100" s="832"/>
      <c r="N100" s="832"/>
      <c r="O100" s="48">
        <f>IF(t&lt;Tnet,'2026'!Resal+('2026'!Salim-'2026'!Resal)*(1-EXP(('2026'!Tnet-t)/('2026'!Tau_j))),Resal+(Salim-Resal)*(1-EXP((Tnet-t)/(Tau_j))))*Salcycl</f>
        <v>5.7140701899255027E-2</v>
      </c>
      <c r="P100" s="169">
        <f>(INDEX(Models!$BJ100:$BT100,,T100)*(1-R100)+INDEX(Models!$BJ100:$BT100,,T100+1)*R100-ERP_i)*Q100*Ramure*Pc/MaxiM</f>
        <v>7.1824400866698362E-4</v>
      </c>
      <c r="Q100" s="304">
        <f t="shared" si="28"/>
        <v>0.7</v>
      </c>
      <c r="R100" s="177">
        <f t="shared" si="29"/>
        <v>0.19595904006746478</v>
      </c>
      <c r="S100" s="799">
        <f t="shared" si="30"/>
        <v>-1</v>
      </c>
      <c r="T100" s="176">
        <f t="shared" si="31"/>
        <v>5</v>
      </c>
      <c r="U100" s="250">
        <f t="shared" si="32"/>
        <v>-0.80404095993253522</v>
      </c>
      <c r="V100" s="382">
        <f t="shared" si="33"/>
        <v>48.393744460666113</v>
      </c>
      <c r="W100" s="400">
        <f t="shared" si="34"/>
        <v>44.427617250126865</v>
      </c>
      <c r="X100" s="157">
        <f t="shared" si="35"/>
        <v>46473</v>
      </c>
      <c r="Y100" s="383">
        <f t="shared" si="36"/>
        <v>43.032824283497852</v>
      </c>
      <c r="Z100" s="383">
        <f t="shared" si="37"/>
        <v>45.577752629465046</v>
      </c>
      <c r="AA100" s="384">
        <f t="shared" si="38"/>
        <v>49.540321765729431</v>
      </c>
      <c r="AB100" s="197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7.9986746049065249E-2</v>
      </c>
      <c r="AD100" s="230">
        <f>(INDEX(Models!$BJ100:$BT100,,AH100)*(1-AF100)+INDEX(Models!$BJ100:$BT100,,AH100+1)*AF100-ERP_i)*AE100*Ramure*Pc/MaxiM</f>
        <v>9.0285881484285808E-3</v>
      </c>
      <c r="AE100" s="304">
        <f t="shared" si="40"/>
        <v>0.7</v>
      </c>
      <c r="AF100" s="177">
        <f t="shared" si="41"/>
        <v>0.95161687090681557</v>
      </c>
      <c r="AG100" s="799">
        <f t="shared" si="49"/>
        <v>1</v>
      </c>
      <c r="AH100" s="176">
        <f t="shared" si="42"/>
        <v>7</v>
      </c>
      <c r="AI100" s="224">
        <f t="shared" si="43"/>
        <v>1.9516168709068156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46474</v>
      </c>
      <c r="B101" s="409">
        <f>'2026'!Wh/'2026'!Env_an*'2027'!Env_an</f>
        <v>37.913720079017381</v>
      </c>
      <c r="C101" s="829"/>
      <c r="D101" s="391">
        <f t="shared" si="25"/>
        <v>40.156678107506373</v>
      </c>
      <c r="E101" s="383">
        <f t="shared" si="47"/>
        <v>42.592679665051982</v>
      </c>
      <c r="F101" s="383">
        <f t="shared" si="26"/>
        <v>42.61356035132313</v>
      </c>
      <c r="G101" s="110">
        <f t="shared" si="48"/>
        <v>0.77907339772227802</v>
      </c>
      <c r="H101" s="412" t="b">
        <f>Wh_hp&gt;='2026'!Maxi_hp</f>
        <v>0</v>
      </c>
      <c r="I101" s="388">
        <f>IF(H101,Wh_hp,'2026'!Maxi_hp)</f>
        <v>52.671348096668545</v>
      </c>
      <c r="J101" s="85">
        <f>IF(H101,An,'2026'!An_max)</f>
        <v>2021</v>
      </c>
      <c r="K101" s="197">
        <f t="shared" si="27"/>
        <v>46474</v>
      </c>
      <c r="L101" s="147">
        <f>IF(t&lt;Tvie,1-EXP((T0-t)*PertePVj)+'2026'!Pspv,1-EXP((T0-t)*PertePVj)+Pspv)</f>
        <v>5.5855168659225352E-2</v>
      </c>
      <c r="M101" s="832"/>
      <c r="N101" s="832"/>
      <c r="O101" s="48">
        <f>IF(t&lt;Tnet,'2026'!Resal+('2026'!Salim-'2026'!Resal)*(1-EXP(('2026'!Tnet-t)/('2026'!Tau_j))),Resal+(Salim-Resal)*(1-EXP((Tnet-t)/(Tau_j))))*Salcycl</f>
        <v>5.7192963126581391E-2</v>
      </c>
      <c r="P101" s="169">
        <f>(INDEX(Models!$BJ101:$BT101,,T101)*(1-R101)+INDEX(Models!$BJ101:$BT101,,T101+1)*R101-ERP_i)*Q101*Ramure*Pc/MaxiM</f>
        <v>7.1570399784353473E-4</v>
      </c>
      <c r="Q101" s="304">
        <f t="shared" si="28"/>
        <v>0.7</v>
      </c>
      <c r="R101" s="177">
        <f t="shared" si="29"/>
        <v>0.1966624973071962</v>
      </c>
      <c r="S101" s="799">
        <f t="shared" si="30"/>
        <v>-1</v>
      </c>
      <c r="T101" s="176">
        <f t="shared" si="31"/>
        <v>5</v>
      </c>
      <c r="U101" s="250">
        <f t="shared" si="32"/>
        <v>-0.8033375026928038</v>
      </c>
      <c r="V101" s="382">
        <f t="shared" si="33"/>
        <v>48.654156018715277</v>
      </c>
      <c r="W101" s="400">
        <f t="shared" si="34"/>
        <v>37.913720079017381</v>
      </c>
      <c r="X101" s="157">
        <f t="shared" si="35"/>
        <v>46474</v>
      </c>
      <c r="Y101" s="383">
        <f t="shared" si="36"/>
        <v>36.782252568831368</v>
      </c>
      <c r="Z101" s="383">
        <f t="shared" si="37"/>
        <v>38.958273506191951</v>
      </c>
      <c r="AA101" s="384">
        <f t="shared" si="38"/>
        <v>42.346616112629441</v>
      </c>
      <c r="AB101" s="197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8.0014483268875614E-2</v>
      </c>
      <c r="AD101" s="230">
        <f>(INDEX(Models!$BJ101:$BT101,,AH101)*(1-AF101)+INDEX(Models!$BJ101:$BT101,,AH101+1)*AF101-ERP_i)*AE101*Ramure*Pc/MaxiM</f>
        <v>9.1497499820393201E-3</v>
      </c>
      <c r="AE101" s="304">
        <f t="shared" si="40"/>
        <v>0.7</v>
      </c>
      <c r="AF101" s="177">
        <f t="shared" si="41"/>
        <v>0.95232032814654688</v>
      </c>
      <c r="AG101" s="799">
        <f t="shared" si="49"/>
        <v>1</v>
      </c>
      <c r="AH101" s="176">
        <f t="shared" si="42"/>
        <v>7</v>
      </c>
      <c r="AI101" s="224">
        <f t="shared" si="43"/>
        <v>1.9523203281465469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46475</v>
      </c>
      <c r="B102" s="409">
        <f>'2026'!Wh/'2026'!Env_an*'2027'!Env_an</f>
        <v>26.437317100712722</v>
      </c>
      <c r="C102" s="829"/>
      <c r="D102" s="391">
        <f t="shared" si="25"/>
        <v>28.001873121552485</v>
      </c>
      <c r="E102" s="383">
        <f t="shared" si="47"/>
        <v>29.702194298449765</v>
      </c>
      <c r="F102" s="383">
        <f t="shared" si="26"/>
        <v>29.709461766880267</v>
      </c>
      <c r="G102" s="110">
        <f t="shared" si="48"/>
        <v>0.5402936833951012</v>
      </c>
      <c r="H102" s="412" t="b">
        <f>Wh_hp&gt;='2026'!Maxi_hp</f>
        <v>0</v>
      </c>
      <c r="I102" s="388">
        <f>IF(H102,Wh_hp,'2026'!Maxi_hp)</f>
        <v>55.509547390631532</v>
      </c>
      <c r="J102" s="85">
        <f>IF(H102,An,'2026'!An_max)</f>
        <v>2021</v>
      </c>
      <c r="K102" s="197">
        <f t="shared" si="27"/>
        <v>46475</v>
      </c>
      <c r="L102" s="147">
        <f>IF(t&lt;Tvie,1-EXP((T0-t)*PertePVj)+'2026'!Pspv,1-EXP((T0-t)*PertePVj)+Pspv)</f>
        <v>5.5873262979523886E-2</v>
      </c>
      <c r="M102" s="832"/>
      <c r="N102" s="832"/>
      <c r="O102" s="48">
        <f>IF(t&lt;Tnet,'2026'!Resal+('2026'!Salim-'2026'!Resal)*(1-EXP(('2026'!Tnet-t)/('2026'!Tau_j))),Resal+(Salim-Resal)*(1-EXP((Tnet-t)/(Tau_j))))*Salcycl</f>
        <v>5.7245641847613341E-2</v>
      </c>
      <c r="P102" s="169">
        <f>(INDEX(Models!$BJ102:$BT102,,T102)*(1-R102)+INDEX(Models!$BJ102:$BT102,,T102+1)*R102-ERP_i)*Q102*Ramure*Pc/MaxiM</f>
        <v>7.1184873844742415E-4</v>
      </c>
      <c r="Q102" s="304">
        <f t="shared" si="28"/>
        <v>0.7</v>
      </c>
      <c r="R102" s="177">
        <f t="shared" si="29"/>
        <v>0.19739272313470535</v>
      </c>
      <c r="S102" s="799">
        <f t="shared" si="30"/>
        <v>-1</v>
      </c>
      <c r="T102" s="176">
        <f t="shared" si="31"/>
        <v>5</v>
      </c>
      <c r="U102" s="250">
        <f t="shared" si="32"/>
        <v>-0.80260727686529465</v>
      </c>
      <c r="V102" s="382">
        <f t="shared" si="33"/>
        <v>48.908515058919178</v>
      </c>
      <c r="W102" s="400">
        <f t="shared" si="34"/>
        <v>26.437317100712722</v>
      </c>
      <c r="X102" s="157">
        <f t="shared" si="35"/>
        <v>46475</v>
      </c>
      <c r="Y102" s="383">
        <f t="shared" si="36"/>
        <v>25.7223321526447</v>
      </c>
      <c r="Z102" s="383">
        <f t="shared" si="37"/>
        <v>27.244575483393852</v>
      </c>
      <c r="AA102" s="384">
        <f t="shared" si="38"/>
        <v>29.615048304549767</v>
      </c>
      <c r="AB102" s="197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8.0042848378259659E-2</v>
      </c>
      <c r="AD102" s="230">
        <f>(INDEX(Models!$BJ102:$BT102,,AH102)*(1-AF102)+INDEX(Models!$BJ102:$BT102,,AH102+1)*AF102-ERP_i)*AE102*Ramure*Pc/MaxiM</f>
        <v>9.2478013073081754E-3</v>
      </c>
      <c r="AE102" s="304">
        <f t="shared" si="40"/>
        <v>0.7</v>
      </c>
      <c r="AF102" s="177">
        <f t="shared" si="41"/>
        <v>0.95305055397405614</v>
      </c>
      <c r="AG102" s="799">
        <f t="shared" si="49"/>
        <v>1</v>
      </c>
      <c r="AH102" s="176">
        <f t="shared" si="42"/>
        <v>7</v>
      </c>
      <c r="AI102" s="224">
        <f t="shared" si="43"/>
        <v>1.9530505539740561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46476</v>
      </c>
      <c r="B103" s="409">
        <f>'2026'!Wh/'2026'!Env_an*'2027'!Env_an</f>
        <v>5.9873570877870215</v>
      </c>
      <c r="C103" s="829"/>
      <c r="D103" s="391">
        <f t="shared" si="25"/>
        <v>6.341809421915511</v>
      </c>
      <c r="E103" s="383">
        <f t="shared" si="47"/>
        <v>6.7272738771157767</v>
      </c>
      <c r="F103" s="383">
        <f t="shared" si="26"/>
        <v>6.7272738771157767</v>
      </c>
      <c r="G103" s="110">
        <f t="shared" si="48"/>
        <v>0.12171698207647474</v>
      </c>
      <c r="H103" s="412" t="b">
        <f>Wh_hp&gt;='2026'!Maxi_hp</f>
        <v>0</v>
      </c>
      <c r="I103" s="388">
        <f>IF(H103,Wh_hp,'2026'!Maxi_hp)</f>
        <v>54.961612248927921</v>
      </c>
      <c r="J103" s="85">
        <f>IF(H103,An,'2026'!An_max)</f>
        <v>2018</v>
      </c>
      <c r="K103" s="197">
        <f t="shared" si="27"/>
        <v>46476</v>
      </c>
      <c r="L103" s="147">
        <f>IF(t&lt;Tvie,1-EXP((T0-t)*PertePVj)+'2026'!Pspv,1-EXP((T0-t)*PertePVj)+Pspv)</f>
        <v>5.5891356953049032E-2</v>
      </c>
      <c r="M103" s="832"/>
      <c r="N103" s="832"/>
      <c r="O103" s="48">
        <f>IF(t&lt;Tnet,'2026'!Resal+('2026'!Salim-'2026'!Resal)*(1-EXP(('2026'!Tnet-t)/('2026'!Tau_j))),Resal+(Salim-Resal)*(1-EXP((Tnet-t)/(Tau_j))))*Salcycl</f>
        <v>5.7298760573953042E-2</v>
      </c>
      <c r="P103" s="169">
        <f>(INDEX(Models!$BJ103:$BT103,,T103)*(1-R103)+INDEX(Models!$BJ103:$BT103,,T103+1)*R103-ERP_i)*Q103*Ramure*Pc/MaxiM</f>
        <v>7.0669293327053526E-4</v>
      </c>
      <c r="Q103" s="304">
        <f t="shared" si="28"/>
        <v>0.7</v>
      </c>
      <c r="R103" s="177">
        <f t="shared" si="29"/>
        <v>0.19815062261600003</v>
      </c>
      <c r="S103" s="799">
        <f t="shared" si="30"/>
        <v>-1</v>
      </c>
      <c r="T103" s="176">
        <f t="shared" si="31"/>
        <v>5</v>
      </c>
      <c r="U103" s="250">
        <f t="shared" si="32"/>
        <v>-0.80184937738399997</v>
      </c>
      <c r="V103" s="382">
        <f t="shared" si="33"/>
        <v>49.156048422930162</v>
      </c>
      <c r="W103" s="400">
        <f t="shared" si="34"/>
        <v>5.9873570877870215</v>
      </c>
      <c r="X103" s="157">
        <f t="shared" si="35"/>
        <v>46476</v>
      </c>
      <c r="Y103" s="383">
        <f t="shared" si="36"/>
        <v>5.8427187415456858</v>
      </c>
      <c r="Z103" s="383">
        <f t="shared" si="37"/>
        <v>6.1886084663829566</v>
      </c>
      <c r="AA103" s="384">
        <f t="shared" si="38"/>
        <v>6.7272738771157767</v>
      </c>
      <c r="AB103" s="197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8.0071871693109253E-2</v>
      </c>
      <c r="AD103" s="230">
        <f>(INDEX(Models!$BJ103:$BT103,,AH103)*(1-AF103)+INDEX(Models!$BJ103:$BT103,,AH103+1)*AF103-ERP_i)*AE103*Ramure*Pc/MaxiM</f>
        <v>9.3232799776577606E-3</v>
      </c>
      <c r="AE103" s="304">
        <f t="shared" si="40"/>
        <v>0.7</v>
      </c>
      <c r="AF103" s="177">
        <f t="shared" si="41"/>
        <v>0.95380845345535081</v>
      </c>
      <c r="AG103" s="799">
        <f t="shared" si="49"/>
        <v>1</v>
      </c>
      <c r="AH103" s="176">
        <f t="shared" si="42"/>
        <v>7</v>
      </c>
      <c r="AI103" s="224">
        <f t="shared" si="43"/>
        <v>1.9538084534553508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46477</v>
      </c>
      <c r="B104" s="409">
        <f>'2026'!Wh/'2026'!Env_an*'2027'!Env_an</f>
        <v>16.575314429834997</v>
      </c>
      <c r="C104" s="829"/>
      <c r="D104" s="391">
        <f t="shared" si="25"/>
        <v>17.556911717858654</v>
      </c>
      <c r="E104" s="383">
        <f t="shared" si="47"/>
        <v>18.625105107957172</v>
      </c>
      <c r="F104" s="383">
        <f t="shared" si="26"/>
        <v>18.625767674272893</v>
      </c>
      <c r="G104" s="110">
        <f t="shared" si="48"/>
        <v>0.33533691884347711</v>
      </c>
      <c r="H104" s="412" t="b">
        <f>Wh_hp&gt;='2026'!Maxi_hp</f>
        <v>0</v>
      </c>
      <c r="I104" s="388">
        <f>IF(H104,Wh_hp,'2026'!Maxi_hp)</f>
        <v>51.391422760958996</v>
      </c>
      <c r="J104" s="85">
        <f>IF(H104,An,'2026'!An_max)</f>
        <v>2021</v>
      </c>
      <c r="K104" s="197">
        <f t="shared" si="27"/>
        <v>46477</v>
      </c>
      <c r="L104" s="147">
        <f>IF(t&lt;Tvie,1-EXP((T0-t)*PertePVj)+'2026'!Pspv,1-EXP((T0-t)*PertePVj)+Pspv)</f>
        <v>5.5909450579807229E-2</v>
      </c>
      <c r="M104" s="832"/>
      <c r="N104" s="832"/>
      <c r="O104" s="48">
        <f>IF(t&lt;Tnet,'2026'!Resal+('2026'!Salim-'2026'!Resal)*(1-EXP(('2026'!Tnet-t)/('2026'!Tau_j))),Resal+(Salim-Resal)*(1-EXP((Tnet-t)/(Tau_j))))*Salcycl</f>
        <v>5.7352341579117068E-2</v>
      </c>
      <c r="P104" s="169">
        <f>(INDEX(Models!$BJ104:$BT104,,T104)*(1-R104)+INDEX(Models!$BJ104:$BT104,,T104+1)*R104-ERP_i)*Q104*Ramure*Pc/MaxiM</f>
        <v>7.0024801043606769E-4</v>
      </c>
      <c r="Q104" s="304">
        <f t="shared" si="28"/>
        <v>0.7</v>
      </c>
      <c r="R104" s="177">
        <f t="shared" si="29"/>
        <v>0.19893712220293136</v>
      </c>
      <c r="S104" s="799">
        <f t="shared" si="30"/>
        <v>-1</v>
      </c>
      <c r="T104" s="176">
        <f t="shared" si="31"/>
        <v>5</v>
      </c>
      <c r="U104" s="250">
        <f t="shared" si="32"/>
        <v>-0.80106287779706864</v>
      </c>
      <c r="V104" s="382">
        <f t="shared" si="33"/>
        <v>49.395983271161128</v>
      </c>
      <c r="W104" s="400">
        <f t="shared" si="34"/>
        <v>16.575314429834997</v>
      </c>
      <c r="X104" s="157">
        <f t="shared" si="35"/>
        <v>46477</v>
      </c>
      <c r="Y104" s="383">
        <f t="shared" si="36"/>
        <v>16.168166915163585</v>
      </c>
      <c r="Z104" s="383">
        <f t="shared" si="37"/>
        <v>17.125652751309886</v>
      </c>
      <c r="AA104" s="384">
        <f t="shared" si="38"/>
        <v>18.616895558557083</v>
      </c>
      <c r="AB104" s="197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8.0101583132197368E-2</v>
      </c>
      <c r="AD104" s="230">
        <f>(INDEX(Models!$BJ104:$BT104,,AH104)*(1-AF104)+INDEX(Models!$BJ104:$BT104,,AH104+1)*AF104-ERP_i)*AE104*Ramure*Pc/MaxiM</f>
        <v>9.3766936696659635E-3</v>
      </c>
      <c r="AE104" s="304">
        <f t="shared" si="40"/>
        <v>0.7</v>
      </c>
      <c r="AF104" s="177">
        <f t="shared" si="41"/>
        <v>0.95459495304228215</v>
      </c>
      <c r="AG104" s="799">
        <f t="shared" si="49"/>
        <v>1</v>
      </c>
      <c r="AH104" s="176">
        <f t="shared" si="42"/>
        <v>7</v>
      </c>
      <c r="AI104" s="224">
        <f t="shared" si="43"/>
        <v>1.9545949530422821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46478</v>
      </c>
      <c r="B105" s="409">
        <f>'2026'!Wh/'2026'!Env_an*'2027'!Env_an</f>
        <v>31.294693541801905</v>
      </c>
      <c r="C105" s="829"/>
      <c r="D105" s="391">
        <f t="shared" si="25"/>
        <v>33.148614111409515</v>
      </c>
      <c r="E105" s="383">
        <f t="shared" si="47"/>
        <v>35.167451118077736</v>
      </c>
      <c r="F105" s="383">
        <f t="shared" si="26"/>
        <v>35.178956729492569</v>
      </c>
      <c r="G105" s="110">
        <f t="shared" si="48"/>
        <v>0.63036064836044947</v>
      </c>
      <c r="H105" s="412" t="b">
        <f>Wh_hp&gt;='2026'!Maxi_hp</f>
        <v>0</v>
      </c>
      <c r="I105" s="388">
        <f>IF(H105,Wh_hp,'2026'!Maxi_hp)</f>
        <v>51.899466717873182</v>
      </c>
      <c r="J105" s="85">
        <f>IF(H105,An,'2026'!An_max)</f>
        <v>2021</v>
      </c>
      <c r="K105" s="197">
        <f t="shared" si="27"/>
        <v>46478</v>
      </c>
      <c r="L105" s="147">
        <f>IF(t&lt;Tvie,1-EXP((T0-t)*PertePVj)+'2026'!Pspv,1-EXP((T0-t)*PertePVj)+Pspv)</f>
        <v>5.592754385980514E-2</v>
      </c>
      <c r="M105" s="832"/>
      <c r="N105" s="832"/>
      <c r="O105" s="48">
        <f>IF(t&lt;Tnet,'2026'!Resal+('2026'!Salim-'2026'!Resal)*(1-EXP(('2026'!Tnet-t)/('2026'!Tau_j))),Resal+(Salim-Resal)*(1-EXP((Tnet-t)/(Tau_j))))*Salcycl</f>
        <v>5.7406406847337429E-2</v>
      </c>
      <c r="P105" s="169">
        <f>(INDEX(Models!$BJ105:$BT105,,T105)*(1-R105)+INDEX(Models!$BJ105:$BT105,,T105+1)*R105-ERP_i)*Q105*Ramure*Pc/MaxiM</f>
        <v>6.9252191662572691E-4</v>
      </c>
      <c r="Q105" s="304">
        <f t="shared" si="28"/>
        <v>0.7</v>
      </c>
      <c r="R105" s="177">
        <f t="shared" si="29"/>
        <v>0.19975316945835953</v>
      </c>
      <c r="S105" s="799">
        <f t="shared" si="30"/>
        <v>-1</v>
      </c>
      <c r="T105" s="176">
        <f t="shared" si="31"/>
        <v>5</v>
      </c>
      <c r="U105" s="250">
        <f t="shared" si="32"/>
        <v>-0.80024683054164047</v>
      </c>
      <c r="V105" s="382">
        <f t="shared" si="33"/>
        <v>49.627547097849025</v>
      </c>
      <c r="W105" s="400">
        <f t="shared" si="34"/>
        <v>31.294693541801905</v>
      </c>
      <c r="X105" s="157">
        <f t="shared" si="35"/>
        <v>46478</v>
      </c>
      <c r="Y105" s="383">
        <f t="shared" si="36"/>
        <v>30.414434673841793</v>
      </c>
      <c r="Z105" s="383">
        <f t="shared" si="37"/>
        <v>32.216208063298531</v>
      </c>
      <c r="AA105" s="384">
        <f t="shared" si="38"/>
        <v>35.02264291041979</v>
      </c>
      <c r="AB105" s="197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8.0132012147098627E-2</v>
      </c>
      <c r="AD105" s="230">
        <f>(INDEX(Models!$BJ105:$BT105,,AH105)*(1-AF105)+INDEX(Models!$BJ105:$BT105,,AH105+1)*AF105-ERP_i)*AE105*Ramure*Pc/MaxiM</f>
        <v>9.4085174334851366E-3</v>
      </c>
      <c r="AE105" s="304">
        <f t="shared" si="40"/>
        <v>0.7</v>
      </c>
      <c r="AF105" s="177">
        <f t="shared" si="41"/>
        <v>0.95541100029771031</v>
      </c>
      <c r="AG105" s="799">
        <f t="shared" si="49"/>
        <v>1</v>
      </c>
      <c r="AH105" s="176">
        <f t="shared" si="42"/>
        <v>7</v>
      </c>
      <c r="AI105" s="224">
        <f t="shared" si="43"/>
        <v>1.9554110002977103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46479</v>
      </c>
      <c r="B106" s="409">
        <f>'2026'!Wh/'2026'!Env_an*'2027'!Env_an</f>
        <v>16.536203625223056</v>
      </c>
      <c r="C106" s="829"/>
      <c r="D106" s="391">
        <f t="shared" si="25"/>
        <v>17.516156134324312</v>
      </c>
      <c r="E106" s="383">
        <f t="shared" si="47"/>
        <v>18.584011617484748</v>
      </c>
      <c r="F106" s="383">
        <f t="shared" si="26"/>
        <v>18.584587231010541</v>
      </c>
      <c r="G106" s="110">
        <f t="shared" si="48"/>
        <v>0.33150297584491373</v>
      </c>
      <c r="H106" s="412" t="b">
        <f>Wh_hp&gt;='2026'!Maxi_hp</f>
        <v>0</v>
      </c>
      <c r="I106" s="388">
        <f>IF(H106,Wh_hp,'2026'!Maxi_hp)</f>
        <v>43.794374405786975</v>
      </c>
      <c r="J106" s="85">
        <f>IF(H106,An,'2026'!An_max)</f>
        <v>2021</v>
      </c>
      <c r="K106" s="197">
        <f t="shared" si="27"/>
        <v>46479</v>
      </c>
      <c r="L106" s="147">
        <f>IF(t&lt;Tvie,1-EXP((T0-t)*PertePVj)+'2026'!Pspv,1-EXP((T0-t)*PertePVj)+Pspv)</f>
        <v>5.5945636793049536E-2</v>
      </c>
      <c r="M106" s="832"/>
      <c r="N106" s="832"/>
      <c r="O106" s="48">
        <f>IF(t&lt;Tnet,'2026'!Resal+('2026'!Salim-'2026'!Resal)*(1-EXP(('2026'!Tnet-t)/('2026'!Tau_j))),Resal+(Salim-Resal)*(1-EXP((Tnet-t)/(Tau_j))))*Salcycl</f>
        <v>5.7460978024558886E-2</v>
      </c>
      <c r="P106" s="169">
        <f>(INDEX(Models!$BJ106:$BT106,,T106)*(1-R106)+INDEX(Models!$BJ106:$BT106,,T106+1)*R106-ERP_i)*Q106*Ramure*Pc/MaxiM</f>
        <v>6.8351890847740684E-4</v>
      </c>
      <c r="Q106" s="304">
        <f t="shared" si="28"/>
        <v>0.7</v>
      </c>
      <c r="R106" s="177">
        <f t="shared" si="29"/>
        <v>0.20059973269791109</v>
      </c>
      <c r="S106" s="799">
        <f t="shared" si="30"/>
        <v>-1</v>
      </c>
      <c r="T106" s="176">
        <f t="shared" si="31"/>
        <v>5</v>
      </c>
      <c r="U106" s="250">
        <f t="shared" si="32"/>
        <v>-0.79940026730208891</v>
      </c>
      <c r="V106" s="382">
        <f t="shared" si="33"/>
        <v>49.849967743810922</v>
      </c>
      <c r="W106" s="400">
        <f t="shared" si="34"/>
        <v>16.536203625223056</v>
      </c>
      <c r="X106" s="157">
        <f t="shared" si="35"/>
        <v>46479</v>
      </c>
      <c r="Y106" s="383">
        <f t="shared" si="36"/>
        <v>16.131520567577411</v>
      </c>
      <c r="Z106" s="383">
        <f t="shared" si="37"/>
        <v>17.087491140635876</v>
      </c>
      <c r="AA106" s="384">
        <f t="shared" si="38"/>
        <v>18.576655023276469</v>
      </c>
      <c r="AB106" s="197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8.0163187655402715E-2</v>
      </c>
      <c r="AD106" s="230">
        <f>(INDEX(Models!$BJ106:$BT106,,AH106)*(1-AF106)+INDEX(Models!$BJ106:$BT106,,AH106+1)*AF106-ERP_i)*AE106*Ramure*Pc/MaxiM</f>
        <v>9.4191914005707922E-3</v>
      </c>
      <c r="AE106" s="304">
        <f t="shared" si="40"/>
        <v>0.7</v>
      </c>
      <c r="AF106" s="177">
        <f t="shared" si="41"/>
        <v>0.95625756353726188</v>
      </c>
      <c r="AG106" s="799">
        <f t="shared" si="49"/>
        <v>1</v>
      </c>
      <c r="AH106" s="176">
        <f t="shared" si="42"/>
        <v>7</v>
      </c>
      <c r="AI106" s="224">
        <f t="shared" si="43"/>
        <v>1.9562575635372619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46480</v>
      </c>
      <c r="B107" s="409">
        <f>'2026'!Wh/'2026'!Env_an*'2027'!Env_an</f>
        <v>30.763912942791936</v>
      </c>
      <c r="C107" s="829"/>
      <c r="D107" s="391">
        <f t="shared" si="25"/>
        <v>32.587638738258264</v>
      </c>
      <c r="E107" s="383">
        <f t="shared" si="47"/>
        <v>34.576333793364618</v>
      </c>
      <c r="F107" s="383">
        <f t="shared" si="26"/>
        <v>34.586795168355401</v>
      </c>
      <c r="G107" s="110">
        <f t="shared" si="48"/>
        <v>0.61426909851082201</v>
      </c>
      <c r="H107" s="412" t="b">
        <f>Wh_hp&gt;='2026'!Maxi_hp</f>
        <v>0</v>
      </c>
      <c r="I107" s="388">
        <f>IF(H107,Wh_hp,'2026'!Maxi_hp)</f>
        <v>44.063854252234997</v>
      </c>
      <c r="J107" s="85">
        <f>IF(H107,An,'2026'!An_max)</f>
        <v>2021</v>
      </c>
      <c r="K107" s="197">
        <f t="shared" si="27"/>
        <v>46480</v>
      </c>
      <c r="L107" s="147">
        <f>IF(t&lt;Tvie,1-EXP((T0-t)*PertePVj)+'2026'!Pspv,1-EXP((T0-t)*PertePVj)+Pspv)</f>
        <v>5.5963729379546967E-2</v>
      </c>
      <c r="M107" s="832"/>
      <c r="N107" s="832"/>
      <c r="O107" s="48">
        <f>IF(t&lt;Tnet,'2026'!Resal+('2026'!Salim-'2026'!Resal)*(1-EXP(('2026'!Tnet-t)/('2026'!Tau_j))),Resal+(Salim-Resal)*(1-EXP((Tnet-t)/(Tau_j))))*Salcycl</f>
        <v>5.7516076371520751E-2</v>
      </c>
      <c r="P107" s="169">
        <f>(INDEX(Models!$BJ107:$BT107,,T107)*(1-R107)+INDEX(Models!$BJ107:$BT107,,T107+1)*R107-ERP_i)*Q107*Ramure*Pc/MaxiM</f>
        <v>6.7322461309558552E-4</v>
      </c>
      <c r="Q107" s="304">
        <f t="shared" si="28"/>
        <v>0.7</v>
      </c>
      <c r="R107" s="177">
        <f t="shared" si="29"/>
        <v>0.2014778005417619</v>
      </c>
      <c r="S107" s="799">
        <f t="shared" si="30"/>
        <v>-1</v>
      </c>
      <c r="T107" s="176">
        <f t="shared" si="31"/>
        <v>5</v>
      </c>
      <c r="U107" s="250">
        <f t="shared" si="32"/>
        <v>-0.7985221994582381</v>
      </c>
      <c r="V107" s="382">
        <f t="shared" si="33"/>
        <v>50.06356924199013</v>
      </c>
      <c r="W107" s="400">
        <f t="shared" si="34"/>
        <v>30.763912942791936</v>
      </c>
      <c r="X107" s="157">
        <f t="shared" si="35"/>
        <v>46480</v>
      </c>
      <c r="Y107" s="383">
        <f t="shared" si="36"/>
        <v>29.905766688141675</v>
      </c>
      <c r="Z107" s="383">
        <f t="shared" si="37"/>
        <v>31.678620428944512</v>
      </c>
      <c r="AA107" s="384">
        <f t="shared" si="38"/>
        <v>34.440588147439186</v>
      </c>
      <c r="AB107" s="197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8.0195137977051009E-2</v>
      </c>
      <c r="AD107" s="230">
        <f>(INDEX(Models!$BJ107:$BT107,,AH107)*(1-AF107)+INDEX(Models!$BJ107:$BT107,,AH107+1)*AF107-ERP_i)*AE107*Ramure*Pc/MaxiM</f>
        <v>9.4089128030381223E-3</v>
      </c>
      <c r="AE107" s="304">
        <f t="shared" si="40"/>
        <v>0.7</v>
      </c>
      <c r="AF107" s="177">
        <f t="shared" si="41"/>
        <v>0.95713563138111279</v>
      </c>
      <c r="AG107" s="799">
        <f t="shared" si="49"/>
        <v>1</v>
      </c>
      <c r="AH107" s="176">
        <f t="shared" si="42"/>
        <v>7</v>
      </c>
      <c r="AI107" s="224">
        <f t="shared" si="43"/>
        <v>1.9571356313811128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46481</v>
      </c>
      <c r="B108" s="409">
        <f>'2026'!Wh/'2026'!Env_an*'2027'!Env_an</f>
        <v>42.598982223487582</v>
      </c>
      <c r="C108" s="829"/>
      <c r="D108" s="391">
        <f t="shared" si="25"/>
        <v>45.125171526420139</v>
      </c>
      <c r="E108" s="383">
        <f t="shared" si="47"/>
        <v>47.881809803712223</v>
      </c>
      <c r="F108" s="383">
        <f t="shared" si="26"/>
        <v>47.906582788163568</v>
      </c>
      <c r="G108" s="110">
        <f t="shared" si="48"/>
        <v>0.84729043517632274</v>
      </c>
      <c r="H108" s="412" t="b">
        <f>Wh_hp&gt;='2026'!Maxi_hp</f>
        <v>0</v>
      </c>
      <c r="I108" s="388">
        <f>IF(H108,Wh_hp,'2026'!Maxi_hp)</f>
        <v>54.48441415561728</v>
      </c>
      <c r="J108" s="85">
        <f>IF(H108,An,'2026'!An_max)</f>
        <v>2020</v>
      </c>
      <c r="K108" s="197">
        <f t="shared" si="27"/>
        <v>46481</v>
      </c>
      <c r="L108" s="147">
        <f>IF(t&lt;Tvie,1-EXP((T0-t)*PertePVj)+'2026'!Pspv,1-EXP((T0-t)*PertePVj)+Pspv)</f>
        <v>5.5981821619304206E-2</v>
      </c>
      <c r="M108" s="832"/>
      <c r="N108" s="832"/>
      <c r="O108" s="48">
        <f>IF(t&lt;Tnet,'2026'!Resal+('2026'!Salim-'2026'!Resal)*(1-EXP(('2026'!Tnet-t)/('2026'!Tau_j))),Resal+(Salim-Resal)*(1-EXP((Tnet-t)/(Tau_j))))*Salcycl</f>
        <v>5.7571722718767572E-2</v>
      </c>
      <c r="P108" s="169">
        <f>(INDEX(Models!$BJ108:$BT108,,T108)*(1-R108)+INDEX(Models!$BJ108:$BT108,,T108+1)*R108-ERP_i)*Q108*Ramure*Pc/MaxiM</f>
        <v>6.6125101456506678E-4</v>
      </c>
      <c r="Q108" s="304">
        <f t="shared" si="28"/>
        <v>0.7</v>
      </c>
      <c r="R108" s="177">
        <f t="shared" si="29"/>
        <v>0.2023883813696441</v>
      </c>
      <c r="S108" s="799">
        <f t="shared" si="30"/>
        <v>-1</v>
      </c>
      <c r="T108" s="176">
        <f t="shared" si="31"/>
        <v>5</v>
      </c>
      <c r="U108" s="250">
        <f t="shared" si="32"/>
        <v>-0.7976116186303559</v>
      </c>
      <c r="V108" s="382">
        <f t="shared" si="33"/>
        <v>50.269467266484128</v>
      </c>
      <c r="W108" s="400">
        <f t="shared" si="34"/>
        <v>42.598982223487582</v>
      </c>
      <c r="X108" s="157">
        <f t="shared" si="35"/>
        <v>46481</v>
      </c>
      <c r="Y108" s="383">
        <f t="shared" si="36"/>
        <v>41.291627853968038</v>
      </c>
      <c r="Z108" s="383">
        <f t="shared" si="37"/>
        <v>43.740288905026034</v>
      </c>
      <c r="AA108" s="384">
        <f t="shared" si="38"/>
        <v>47.555572153425494</v>
      </c>
      <c r="AB108" s="197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8.0227890773566027E-2</v>
      </c>
      <c r="AD108" s="230">
        <f>(INDEX(Models!$BJ108:$BT108,,AH108)*(1-AF108)+INDEX(Models!$BJ108:$BT108,,AH108+1)*AF108-ERP_i)*AE108*Ramure*Pc/MaxiM</f>
        <v>9.3693248304221686E-3</v>
      </c>
      <c r="AE108" s="304">
        <f t="shared" si="40"/>
        <v>0.7</v>
      </c>
      <c r="AF108" s="177">
        <f t="shared" si="41"/>
        <v>0.95804621220899477</v>
      </c>
      <c r="AG108" s="799">
        <f t="shared" si="49"/>
        <v>1</v>
      </c>
      <c r="AH108" s="176">
        <f t="shared" si="42"/>
        <v>7</v>
      </c>
      <c r="AI108" s="224">
        <f t="shared" si="43"/>
        <v>1.9580462122089948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46482</v>
      </c>
      <c r="B109" s="409">
        <f>'2026'!Wh/'2026'!Env_an*'2027'!Env_an</f>
        <v>50.377773434633923</v>
      </c>
      <c r="C109" s="829"/>
      <c r="D109" s="391">
        <f t="shared" si="25"/>
        <v>53.366280528716672</v>
      </c>
      <c r="E109" s="383">
        <f t="shared" si="47"/>
        <v>56.629735375223511</v>
      </c>
      <c r="F109" s="383">
        <f t="shared" si="26"/>
        <v>56.66639849421103</v>
      </c>
      <c r="G109" s="110">
        <f t="shared" si="48"/>
        <v>0.99821062751136147</v>
      </c>
      <c r="H109" s="412" t="b">
        <f>Wh_hp&gt;='2026'!Maxi_hp</f>
        <v>0</v>
      </c>
      <c r="I109" s="388">
        <f>IF(H109,Wh_hp,'2026'!Maxi_hp)</f>
        <v>58.465341345603605</v>
      </c>
      <c r="J109" s="85">
        <f>IF(H109,An,'2026'!An_max)</f>
        <v>2020</v>
      </c>
      <c r="K109" s="197">
        <f t="shared" si="27"/>
        <v>46482</v>
      </c>
      <c r="L109" s="147">
        <f>IF(t&lt;Tvie,1-EXP((T0-t)*PertePVj)+'2026'!Pspv,1-EXP((T0-t)*PertePVj)+Pspv)</f>
        <v>5.5999913512327693E-2</v>
      </c>
      <c r="M109" s="832"/>
      <c r="N109" s="832"/>
      <c r="O109" s="48">
        <f>IF(t&lt;Tnet,'2026'!Resal+('2026'!Salim-'2026'!Resal)*(1-EXP(('2026'!Tnet-t)/('2026'!Tau_j))),Resal+(Salim-Resal)*(1-EXP((Tnet-t)/(Tau_j))))*Salcycl</f>
        <v>5.7627937423395635E-2</v>
      </c>
      <c r="P109" s="169">
        <f>(INDEX(Models!$BJ109:$BT109,,T109)*(1-R109)+INDEX(Models!$BJ109:$BT109,,T109+1)*R109-ERP_i)*Q109*Ramure*Pc/MaxiM</f>
        <v>6.486558702332412E-4</v>
      </c>
      <c r="Q109" s="304">
        <f t="shared" si="28"/>
        <v>0.7</v>
      </c>
      <c r="R109" s="177">
        <f t="shared" si="29"/>
        <v>0.20333250267205905</v>
      </c>
      <c r="S109" s="799">
        <f t="shared" si="30"/>
        <v>-1</v>
      </c>
      <c r="T109" s="176">
        <f t="shared" si="31"/>
        <v>5</v>
      </c>
      <c r="U109" s="250">
        <f t="shared" si="32"/>
        <v>-0.79666749732794095</v>
      </c>
      <c r="V109" s="382">
        <f t="shared" si="33"/>
        <v>50.467995968785061</v>
      </c>
      <c r="W109" s="400">
        <f t="shared" si="34"/>
        <v>50.377773434633923</v>
      </c>
      <c r="X109" s="157">
        <f t="shared" si="35"/>
        <v>46482</v>
      </c>
      <c r="Y109" s="383">
        <f t="shared" si="36"/>
        <v>48.742808934174271</v>
      </c>
      <c r="Z109" s="383">
        <f t="shared" si="37"/>
        <v>51.63432676741688</v>
      </c>
      <c r="AA109" s="384">
        <f t="shared" si="38"/>
        <v>56.140223825645421</v>
      </c>
      <c r="AB109" s="197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8.0261472989892141E-2</v>
      </c>
      <c r="AD109" s="230">
        <f>(INDEX(Models!$BJ109:$BT109,,AH109)*(1-AF109)+INDEX(Models!$BJ109:$BT109,,AH109+1)*AF109-ERP_i)*AE109*Ramure*Pc/MaxiM</f>
        <v>9.3092540121658251E-3</v>
      </c>
      <c r="AE109" s="304">
        <f t="shared" si="40"/>
        <v>0.7</v>
      </c>
      <c r="AF109" s="177">
        <f t="shared" si="41"/>
        <v>0.95899033351140983</v>
      </c>
      <c r="AG109" s="799">
        <f t="shared" si="49"/>
        <v>1</v>
      </c>
      <c r="AH109" s="176">
        <f t="shared" si="42"/>
        <v>7</v>
      </c>
      <c r="AI109" s="224">
        <f t="shared" si="43"/>
        <v>1.9589903335114098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46483</v>
      </c>
      <c r="B110" s="409">
        <f>'2026'!Wh/'2026'!Env_an*'2027'!Env_an</f>
        <v>11.593524242760607</v>
      </c>
      <c r="C110" s="829"/>
      <c r="D110" s="391">
        <f t="shared" si="25"/>
        <v>12.281509928036922</v>
      </c>
      <c r="E110" s="383">
        <f t="shared" si="47"/>
        <v>13.033334440856683</v>
      </c>
      <c r="F110" s="383">
        <f t="shared" si="26"/>
        <v>13.033334440856683</v>
      </c>
      <c r="G110" s="110">
        <f t="shared" si="48"/>
        <v>0.2287063160469581</v>
      </c>
      <c r="H110" s="412" t="b">
        <f>Wh_hp&gt;='2026'!Maxi_hp</f>
        <v>0</v>
      </c>
      <c r="I110" s="388">
        <f>IF(H110,Wh_hp,'2026'!Maxi_hp)</f>
        <v>59.416138633229195</v>
      </c>
      <c r="J110" s="85">
        <f>IF(H110,An,'2026'!An_max)</f>
        <v>2020</v>
      </c>
      <c r="K110" s="197">
        <f t="shared" si="27"/>
        <v>46483</v>
      </c>
      <c r="L110" s="147">
        <f>IF(t&lt;Tvie,1-EXP((T0-t)*PertePVj)+'2026'!Pspv,1-EXP((T0-t)*PertePVj)+Pspv)</f>
        <v>5.6018005058624198E-2</v>
      </c>
      <c r="M110" s="832"/>
      <c r="N110" s="832"/>
      <c r="O110" s="48">
        <f>IF(t&lt;Tnet,'2026'!Resal+('2026'!Salim-'2026'!Resal)*(1-EXP(('2026'!Tnet-t)/('2026'!Tau_j))),Resal+(Salim-Resal)*(1-EXP((Tnet-t)/(Tau_j))))*Salcycl</f>
        <v>5.7684740327306784E-2</v>
      </c>
      <c r="P110" s="169">
        <f>(INDEX(Models!$BJ110:$BT110,,T110)*(1-R110)+INDEX(Models!$BJ110:$BT110,,T110+1)*R110-ERP_i)*Q110*Ramure*Pc/MaxiM</f>
        <v>6.354247002447734E-4</v>
      </c>
      <c r="Q110" s="304">
        <f t="shared" si="28"/>
        <v>0.7</v>
      </c>
      <c r="R110" s="177">
        <f t="shared" si="29"/>
        <v>0.20431121029049115</v>
      </c>
      <c r="S110" s="799">
        <f t="shared" si="30"/>
        <v>-1</v>
      </c>
      <c r="T110" s="176">
        <f t="shared" si="31"/>
        <v>5</v>
      </c>
      <c r="U110" s="250">
        <f t="shared" si="32"/>
        <v>-0.79568878970950885</v>
      </c>
      <c r="V110" s="382">
        <f t="shared" si="33"/>
        <v>50.659542907922983</v>
      </c>
      <c r="W110" s="400">
        <f t="shared" si="34"/>
        <v>11.593524242760607</v>
      </c>
      <c r="X110" s="157">
        <f t="shared" si="35"/>
        <v>46483</v>
      </c>
      <c r="Y110" s="383">
        <f t="shared" si="36"/>
        <v>11.315333743005525</v>
      </c>
      <c r="Z110" s="383">
        <f t="shared" si="37"/>
        <v>11.986810981186396</v>
      </c>
      <c r="AA110" s="384">
        <f t="shared" si="38"/>
        <v>13.033334440856683</v>
      </c>
      <c r="AB110" s="197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8.0295910798518458E-2</v>
      </c>
      <c r="AD110" s="230">
        <f>(INDEX(Models!$BJ110:$BT110,,AH110)*(1-AF110)+INDEX(Models!$BJ110:$BT110,,AH110+1)*AF110-ERP_i)*AE110*Ramure*Pc/MaxiM</f>
        <v>9.2287670303583119E-3</v>
      </c>
      <c r="AE110" s="304">
        <f t="shared" si="40"/>
        <v>0.7</v>
      </c>
      <c r="AF110" s="177">
        <f t="shared" si="41"/>
        <v>0.95996904112984205</v>
      </c>
      <c r="AG110" s="799">
        <f t="shared" si="49"/>
        <v>1</v>
      </c>
      <c r="AH110" s="176">
        <f t="shared" si="42"/>
        <v>7</v>
      </c>
      <c r="AI110" s="224">
        <f t="shared" si="43"/>
        <v>1.959969041129842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46484</v>
      </c>
      <c r="B111" s="409">
        <f>'2026'!Wh/'2026'!Env_an*'2027'!Env_an</f>
        <v>42.165454629516098</v>
      </c>
      <c r="C111" s="829"/>
      <c r="D111" s="391">
        <f t="shared" si="25"/>
        <v>44.66850317302972</v>
      </c>
      <c r="E111" s="383">
        <f t="shared" si="47"/>
        <v>47.405817003282195</v>
      </c>
      <c r="F111" s="383">
        <f t="shared" si="26"/>
        <v>47.428107106416029</v>
      </c>
      <c r="G111" s="110">
        <f t="shared" si="48"/>
        <v>0.82917649772299884</v>
      </c>
      <c r="H111" s="412" t="b">
        <f>Wh_hp&gt;='2026'!Maxi_hp</f>
        <v>0</v>
      </c>
      <c r="I111" s="388">
        <f>IF(H111,Wh_hp,'2026'!Maxi_hp)</f>
        <v>57.546398916195137</v>
      </c>
      <c r="J111" s="85">
        <f>IF(H111,An,'2026'!An_max)</f>
        <v>2021</v>
      </c>
      <c r="K111" s="197">
        <f t="shared" si="27"/>
        <v>46484</v>
      </c>
      <c r="L111" s="147">
        <f>IF(t&lt;Tvie,1-EXP((T0-t)*PertePVj)+'2026'!Pspv,1-EXP((T0-t)*PertePVj)+Pspv)</f>
        <v>5.6036096258200385E-2</v>
      </c>
      <c r="M111" s="832"/>
      <c r="N111" s="832"/>
      <c r="O111" s="48">
        <f>IF(t&lt;Tnet,'2026'!Resal+('2026'!Salim-'2026'!Resal)*(1-EXP(('2026'!Tnet-t)/('2026'!Tau_j))),Resal+(Salim-Resal)*(1-EXP((Tnet-t)/(Tau_j))))*Salcycl</f>
        <v>5.7742150716713854E-2</v>
      </c>
      <c r="P111" s="169">
        <f>(INDEX(Models!$BJ111:$BT111,,T111)*(1-R111)+INDEX(Models!$BJ111:$BT111,,T111+1)*R111-ERP_i)*Q111*Ramure*Pc/MaxiM</f>
        <v>6.2154214964496991E-4</v>
      </c>
      <c r="Q111" s="304">
        <f t="shared" si="28"/>
        <v>0.7</v>
      </c>
      <c r="R111" s="177">
        <f t="shared" si="29"/>
        <v>0.20532556753925046</v>
      </c>
      <c r="S111" s="799">
        <f t="shared" si="30"/>
        <v>-1</v>
      </c>
      <c r="T111" s="176">
        <f t="shared" si="31"/>
        <v>5</v>
      </c>
      <c r="U111" s="250">
        <f t="shared" si="32"/>
        <v>-0.79467443246074954</v>
      </c>
      <c r="V111" s="382">
        <f t="shared" si="33"/>
        <v>50.844495607812874</v>
      </c>
      <c r="W111" s="400">
        <f t="shared" si="34"/>
        <v>42.165454629516098</v>
      </c>
      <c r="X111" s="157">
        <f t="shared" si="35"/>
        <v>46484</v>
      </c>
      <c r="Y111" s="383">
        <f t="shared" si="36"/>
        <v>40.889774296011701</v>
      </c>
      <c r="Z111" s="383">
        <f t="shared" si="37"/>
        <v>43.317095212992584</v>
      </c>
      <c r="AA111" s="384">
        <f t="shared" si="38"/>
        <v>47.100756929678212</v>
      </c>
      <c r="AB111" s="197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8.0331229545518065E-2</v>
      </c>
      <c r="AD111" s="230">
        <f>(INDEX(Models!$BJ111:$BT111,,AH111)*(1-AF111)+INDEX(Models!$BJ111:$BT111,,AH111+1)*AF111-ERP_i)*AE111*Ramure*Pc/MaxiM</f>
        <v>9.1279044926210456E-3</v>
      </c>
      <c r="AE111" s="304">
        <f t="shared" si="40"/>
        <v>0.7</v>
      </c>
      <c r="AF111" s="177">
        <f t="shared" si="41"/>
        <v>0.96098339837860114</v>
      </c>
      <c r="AG111" s="799">
        <f t="shared" si="49"/>
        <v>1</v>
      </c>
      <c r="AH111" s="176">
        <f t="shared" si="42"/>
        <v>7</v>
      </c>
      <c r="AI111" s="224">
        <f t="shared" si="43"/>
        <v>1.9609833983786011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46485</v>
      </c>
      <c r="B112" s="409">
        <f>'2026'!Wh/'2026'!Env_an*'2027'!Env_an</f>
        <v>36.827886165047239</v>
      </c>
      <c r="C112" s="829"/>
      <c r="D112" s="391">
        <f t="shared" si="25"/>
        <v>39.014830790271574</v>
      </c>
      <c r="E112" s="383">
        <f t="shared" si="47"/>
        <v>41.408234499378203</v>
      </c>
      <c r="F112" s="383">
        <f t="shared" si="26"/>
        <v>41.423384866716084</v>
      </c>
      <c r="G112" s="110">
        <f t="shared" si="48"/>
        <v>0.72161229167295438</v>
      </c>
      <c r="H112" s="412" t="b">
        <f>Wh_hp&gt;='2026'!Maxi_hp</f>
        <v>0</v>
      </c>
      <c r="I112" s="388">
        <f>IF(H112,Wh_hp,'2026'!Maxi_hp)</f>
        <v>58.154414706140663</v>
      </c>
      <c r="J112" s="85">
        <f>IF(H112,An,'2026'!An_max)</f>
        <v>2021</v>
      </c>
      <c r="K112" s="197">
        <f t="shared" si="27"/>
        <v>46485</v>
      </c>
      <c r="L112" s="147">
        <f>IF(t&lt;Tvie,1-EXP((T0-t)*PertePVj)+'2026'!Pspv,1-EXP((T0-t)*PertePVj)+Pspv)</f>
        <v>5.6054187111062803E-2</v>
      </c>
      <c r="M112" s="832"/>
      <c r="N112" s="832"/>
      <c r="O112" s="48">
        <f>IF(t&lt;Tnet,'2026'!Resal+('2026'!Salim-'2026'!Resal)*(1-EXP(('2026'!Tnet-t)/('2026'!Tau_j))),Resal+(Salim-Resal)*(1-EXP((Tnet-t)/(Tau_j))))*Salcycl</f>
        <v>5.7800187282618196E-2</v>
      </c>
      <c r="P112" s="169">
        <f>(INDEX(Models!$BJ112:$BT112,,T112)*(1-R112)+INDEX(Models!$BJ112:$BT112,,T112+1)*R112-ERP_i)*Q112*Ramure*Pc/MaxiM</f>
        <v>6.0699198921623744E-4</v>
      </c>
      <c r="Q112" s="304">
        <f t="shared" si="28"/>
        <v>0.7</v>
      </c>
      <c r="R112" s="177">
        <f t="shared" si="29"/>
        <v>0.20637665420144524</v>
      </c>
      <c r="S112" s="799">
        <f t="shared" si="30"/>
        <v>-1</v>
      </c>
      <c r="T112" s="176">
        <f t="shared" si="31"/>
        <v>5</v>
      </c>
      <c r="U112" s="250">
        <f t="shared" si="32"/>
        <v>-0.79362334579855476</v>
      </c>
      <c r="V112" s="382">
        <f t="shared" si="33"/>
        <v>51.023241562228975</v>
      </c>
      <c r="W112" s="400">
        <f t="shared" si="34"/>
        <v>36.827886165047239</v>
      </c>
      <c r="X112" s="157">
        <f t="shared" si="35"/>
        <v>46485</v>
      </c>
      <c r="Y112" s="383">
        <f t="shared" si="36"/>
        <v>35.763799222480891</v>
      </c>
      <c r="Z112" s="383">
        <f t="shared" si="37"/>
        <v>37.887555338612209</v>
      </c>
      <c r="AA112" s="384">
        <f t="shared" si="38"/>
        <v>41.198580336210306</v>
      </c>
      <c r="AB112" s="197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8.03674536981063E-2</v>
      </c>
      <c r="AD112" s="230">
        <f>(INDEX(Models!$BJ112:$BT112,,AH112)*(1-AF112)+INDEX(Models!$BJ112:$BT112,,AH112+1)*AF112-ERP_i)*AE112*Ramure*Pc/MaxiM</f>
        <v>9.0066825518705287E-3</v>
      </c>
      <c r="AE112" s="304">
        <f t="shared" si="40"/>
        <v>0.7</v>
      </c>
      <c r="AF112" s="177">
        <f t="shared" si="41"/>
        <v>0.96203448504079603</v>
      </c>
      <c r="AG112" s="799">
        <f t="shared" si="49"/>
        <v>1</v>
      </c>
      <c r="AH112" s="176">
        <f t="shared" si="42"/>
        <v>7</v>
      </c>
      <c r="AI112" s="224">
        <f t="shared" si="43"/>
        <v>1.962034485040796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46486</v>
      </c>
      <c r="B113" s="409">
        <f>'2026'!Wh/'2026'!Env_an*'2027'!Env_an</f>
        <v>29.687939626738608</v>
      </c>
      <c r="C113" s="829"/>
      <c r="D113" s="391">
        <f t="shared" si="25"/>
        <v>31.451496680059943</v>
      </c>
      <c r="E113" s="383">
        <f t="shared" si="47"/>
        <v>33.382999228608284</v>
      </c>
      <c r="F113" s="383">
        <f t="shared" si="26"/>
        <v>33.390899730809942</v>
      </c>
      <c r="G113" s="110">
        <f t="shared" si="48"/>
        <v>0.57967997336251564</v>
      </c>
      <c r="H113" s="412" t="b">
        <f>Wh_hp&gt;='2026'!Maxi_hp</f>
        <v>0</v>
      </c>
      <c r="I113" s="388">
        <f>IF(H113,Wh_hp,'2026'!Maxi_hp)</f>
        <v>44.615117230380669</v>
      </c>
      <c r="J113" s="85">
        <f>IF(H113,An,'2026'!An_max)</f>
        <v>2018</v>
      </c>
      <c r="K113" s="197">
        <f t="shared" si="27"/>
        <v>46486</v>
      </c>
      <c r="L113" s="147">
        <f>IF(t&lt;Tvie,1-EXP((T0-t)*PertePVj)+'2026'!Pspv,1-EXP((T0-t)*PertePVj)+Pspv)</f>
        <v>5.6072277617218114E-2</v>
      </c>
      <c r="M113" s="832"/>
      <c r="N113" s="832"/>
      <c r="O113" s="48">
        <f>IF(t&lt;Tnet,'2026'!Resal+('2026'!Salim-'2026'!Resal)*(1-EXP(('2026'!Tnet-t)/('2026'!Tau_j))),Resal+(Salim-Resal)*(1-EXP((Tnet-t)/(Tau_j))))*Salcycl</f>
        <v>5.7858868081963589E-2</v>
      </c>
      <c r="P113" s="169">
        <f>(INDEX(Models!$BJ113:$BT113,,T113)*(1-R113)+INDEX(Models!$BJ113:$BT113,,T113+1)*R113-ERP_i)*Q113*Ramure*Pc/MaxiM</f>
        <v>5.9175711677592481E-4</v>
      </c>
      <c r="Q113" s="304">
        <f t="shared" si="28"/>
        <v>0.7</v>
      </c>
      <c r="R113" s="177">
        <f t="shared" si="29"/>
        <v>0.20746556539149807</v>
      </c>
      <c r="S113" s="799">
        <f t="shared" si="30"/>
        <v>-1</v>
      </c>
      <c r="T113" s="176">
        <f t="shared" si="31"/>
        <v>5</v>
      </c>
      <c r="U113" s="250">
        <f t="shared" si="32"/>
        <v>-0.79253443460850193</v>
      </c>
      <c r="V113" s="382">
        <f t="shared" si="33"/>
        <v>51.196168236933161</v>
      </c>
      <c r="W113" s="400">
        <f t="shared" si="34"/>
        <v>29.687939626738608</v>
      </c>
      <c r="X113" s="157">
        <f t="shared" si="35"/>
        <v>46486</v>
      </c>
      <c r="Y113" s="383">
        <f t="shared" si="36"/>
        <v>28.881617855986331</v>
      </c>
      <c r="Z113" s="383">
        <f t="shared" si="37"/>
        <v>30.59727685831675</v>
      </c>
      <c r="AA113" s="384">
        <f t="shared" si="38"/>
        <v>33.272542559855282</v>
      </c>
      <c r="AB113" s="197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8.0404606793300804E-2</v>
      </c>
      <c r="AD113" s="230">
        <f>(INDEX(Models!$BJ113:$BT113,,AH113)*(1-AF113)+INDEX(Models!$BJ113:$BT113,,AH113+1)*AF113-ERP_i)*AE113*Ramure*Pc/MaxiM</f>
        <v>8.8650944517417989E-3</v>
      </c>
      <c r="AE113" s="304">
        <f t="shared" si="40"/>
        <v>0.7</v>
      </c>
      <c r="AF113" s="177">
        <f t="shared" si="41"/>
        <v>0.96312339623084897</v>
      </c>
      <c r="AG113" s="799">
        <f t="shared" si="49"/>
        <v>1</v>
      </c>
      <c r="AH113" s="176">
        <f t="shared" si="42"/>
        <v>7</v>
      </c>
      <c r="AI113" s="224">
        <f t="shared" si="43"/>
        <v>1.963123396230849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46487</v>
      </c>
      <c r="B114" s="409">
        <f>'2026'!Wh/'2026'!Env_an*'2027'!Env_an</f>
        <v>53.841610599319509</v>
      </c>
      <c r="C114" s="829"/>
      <c r="D114" s="391">
        <f t="shared" si="25"/>
        <v>57.041064908405026</v>
      </c>
      <c r="E114" s="383">
        <f t="shared" si="47"/>
        <v>60.547890368020127</v>
      </c>
      <c r="F114" s="383">
        <f t="shared" si="26"/>
        <v>60.582831847269297</v>
      </c>
      <c r="G114" s="110">
        <f t="shared" si="48"/>
        <v>1.0482441826576601</v>
      </c>
      <c r="H114" s="412" t="b">
        <f>Wh_hp&gt;='2026'!Maxi_hp</f>
        <v>1</v>
      </c>
      <c r="I114" s="388">
        <f>IF(H114,Wh_hp,'2026'!Maxi_hp)</f>
        <v>60.582831847269297</v>
      </c>
      <c r="J114" s="85">
        <f>IF(H114,An,'2026'!An_max)</f>
        <v>2027</v>
      </c>
      <c r="K114" s="197">
        <f t="shared" si="27"/>
        <v>46487</v>
      </c>
      <c r="L114" s="147">
        <f>IF(t&lt;Tvie,1-EXP((T0-t)*PertePVj)+'2026'!Pspv,1-EXP((T0-t)*PertePVj)+Pspv)</f>
        <v>5.6090367776673089E-2</v>
      </c>
      <c r="M114" s="832"/>
      <c r="N114" s="832"/>
      <c r="O114" s="48">
        <f>IF(t&lt;Tnet,'2026'!Resal+('2026'!Salim-'2026'!Resal)*(1-EXP(('2026'!Tnet-t)/('2026'!Tau_j))),Resal+(Salim-Resal)*(1-EXP((Tnet-t)/(Tau_j))))*Salcycl</f>
        <v>5.791821049916078E-2</v>
      </c>
      <c r="P114" s="169">
        <f>(INDEX(Models!$BJ114:$BT114,,T114)*(1-R114)+INDEX(Models!$BJ114:$BT114,,T114+1)*R114-ERP_i)*Q114*Ramure*Pc/MaxiM</f>
        <v>5.7675546328476816E-4</v>
      </c>
      <c r="Q114" s="304">
        <f t="shared" si="28"/>
        <v>0.7</v>
      </c>
      <c r="R114" s="177">
        <f t="shared" si="29"/>
        <v>0.20859341027657208</v>
      </c>
      <c r="S114" s="799">
        <f t="shared" si="30"/>
        <v>-1</v>
      </c>
      <c r="T114" s="176">
        <f t="shared" si="31"/>
        <v>5</v>
      </c>
      <c r="U114" s="250">
        <f t="shared" si="32"/>
        <v>-0.79140658972342792</v>
      </c>
      <c r="V114" s="382">
        <f t="shared" si="33"/>
        <v>51.363614976438484</v>
      </c>
      <c r="W114" s="400">
        <f t="shared" si="34"/>
        <v>53.841610599319509</v>
      </c>
      <c r="X114" s="157">
        <f t="shared" si="35"/>
        <v>46487</v>
      </c>
      <c r="Y114" s="383">
        <f t="shared" si="36"/>
        <v>52.126913736649556</v>
      </c>
      <c r="Z114" s="383">
        <f t="shared" si="37"/>
        <v>55.224474840740307</v>
      </c>
      <c r="AA114" s="384">
        <f t="shared" si="38"/>
        <v>60.055502277680255</v>
      </c>
      <c r="AB114" s="197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8.0442711387252952E-2</v>
      </c>
      <c r="AD114" s="230">
        <f>(INDEX(Models!$BJ114:$BT114,,AH114)*(1-AF114)+INDEX(Models!$BJ114:$BT114,,AH114+1)*AF114-ERP_i)*AE114*Ramure*Pc/MaxiM</f>
        <v>8.7042740246684007E-3</v>
      </c>
      <c r="AE114" s="304">
        <f t="shared" si="40"/>
        <v>0.7</v>
      </c>
      <c r="AF114" s="177">
        <f t="shared" si="41"/>
        <v>0.96425124111592297</v>
      </c>
      <c r="AG114" s="799">
        <f t="shared" si="49"/>
        <v>1</v>
      </c>
      <c r="AH114" s="176">
        <f t="shared" si="42"/>
        <v>7</v>
      </c>
      <c r="AI114" s="224">
        <f t="shared" si="43"/>
        <v>1.964251241115923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46488</v>
      </c>
      <c r="B115" s="409">
        <f>'2026'!Wh/'2026'!Env_an*'2027'!Env_an</f>
        <v>42.951892633925844</v>
      </c>
      <c r="C115" s="829"/>
      <c r="D115" s="391">
        <f t="shared" si="25"/>
        <v>45.505114416252503</v>
      </c>
      <c r="E115" s="383">
        <f t="shared" si="47"/>
        <v>48.305799211614932</v>
      </c>
      <c r="F115" s="383">
        <f t="shared" si="26"/>
        <v>48.326518241432801</v>
      </c>
      <c r="G115" s="110">
        <f t="shared" si="48"/>
        <v>0.83348587880335945</v>
      </c>
      <c r="H115" s="412" t="b">
        <f>Wh_hp&gt;='2026'!Maxi_hp</f>
        <v>0</v>
      </c>
      <c r="I115" s="388">
        <f>IF(H115,Wh_hp,'2026'!Maxi_hp)</f>
        <v>58.211509097292016</v>
      </c>
      <c r="J115" s="85">
        <f>IF(H115,An,'2026'!An_max)</f>
        <v>2020</v>
      </c>
      <c r="K115" s="197">
        <f t="shared" si="27"/>
        <v>46488</v>
      </c>
      <c r="L115" s="147">
        <f>IF(t&lt;Tvie,1-EXP((T0-t)*PertePVj)+'2026'!Pspv,1-EXP((T0-t)*PertePVj)+Pspv)</f>
        <v>5.610845758943428E-2</v>
      </c>
      <c r="M115" s="832"/>
      <c r="N115" s="832"/>
      <c r="O115" s="48">
        <f>IF(t&lt;Tnet,'2026'!Resal+('2026'!Salim-'2026'!Resal)*(1-EXP(('2026'!Tnet-t)/('2026'!Tau_j))),Resal+(Salim-Resal)*(1-EXP((Tnet-t)/(Tau_j))))*Salcycl</f>
        <v>5.7978231207672745E-2</v>
      </c>
      <c r="P115" s="169">
        <f>(INDEX(Models!$BJ115:$BT115,,T115)*(1-R115)+INDEX(Models!$BJ115:$BT115,,T115+1)*R115-ERP_i)*Q115*Ramure*Pc/MaxiM</f>
        <v>5.6242971972682299E-4</v>
      </c>
      <c r="Q115" s="304">
        <f t="shared" si="28"/>
        <v>0.7</v>
      </c>
      <c r="R115" s="177">
        <f t="shared" si="29"/>
        <v>0.20976131064928982</v>
      </c>
      <c r="S115" s="799">
        <f t="shared" si="30"/>
        <v>-1</v>
      </c>
      <c r="T115" s="176">
        <f t="shared" si="31"/>
        <v>5</v>
      </c>
      <c r="U115" s="250">
        <f t="shared" si="32"/>
        <v>-0.79023868935071018</v>
      </c>
      <c r="V115" s="382">
        <f t="shared" si="33"/>
        <v>51.525944960148543</v>
      </c>
      <c r="W115" s="400">
        <f t="shared" si="34"/>
        <v>42.951892633925844</v>
      </c>
      <c r="X115" s="157">
        <f t="shared" si="35"/>
        <v>46488</v>
      </c>
      <c r="Y115" s="383">
        <f t="shared" si="36"/>
        <v>41.670814366333062</v>
      </c>
      <c r="Z115" s="383">
        <f t="shared" si="37"/>
        <v>44.1478840459908</v>
      </c>
      <c r="AA115" s="384">
        <f t="shared" si="38"/>
        <v>48.01197357278015</v>
      </c>
      <c r="AB115" s="197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8.04817890048172E-2</v>
      </c>
      <c r="AD115" s="230">
        <f>(INDEX(Models!$BJ115:$BT115,,AH115)*(1-AF115)+INDEX(Models!$BJ115:$BT115,,AH115+1)*AF115-ERP_i)*AE115*Ramure*Pc/MaxiM</f>
        <v>8.5384919751074709E-3</v>
      </c>
      <c r="AE115" s="304">
        <f t="shared" si="40"/>
        <v>0.7</v>
      </c>
      <c r="AF115" s="177">
        <f t="shared" si="41"/>
        <v>0.96541914148864061</v>
      </c>
      <c r="AG115" s="799">
        <f t="shared" si="49"/>
        <v>1</v>
      </c>
      <c r="AH115" s="176">
        <f t="shared" si="42"/>
        <v>7</v>
      </c>
      <c r="AI115" s="224">
        <f t="shared" si="43"/>
        <v>1.9654191414886406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46489</v>
      </c>
      <c r="B116" s="409">
        <f>'2026'!Wh/'2026'!Env_an*'2027'!Env_an</f>
        <v>37.674217558147788</v>
      </c>
      <c r="C116" s="829"/>
      <c r="D116" s="391">
        <f t="shared" si="25"/>
        <v>39.914479468216776</v>
      </c>
      <c r="E116" s="383">
        <f t="shared" si="47"/>
        <v>42.373810790040125</v>
      </c>
      <c r="F116" s="383">
        <f t="shared" si="26"/>
        <v>42.388064714282635</v>
      </c>
      <c r="G116" s="110">
        <f t="shared" si="48"/>
        <v>0.72878533353454977</v>
      </c>
      <c r="H116" s="412" t="b">
        <f>Wh_hp&gt;='2026'!Maxi_hp</f>
        <v>0</v>
      </c>
      <c r="I116" s="388">
        <f>IF(H116,Wh_hp,'2026'!Maxi_hp)</f>
        <v>57.589141732142863</v>
      </c>
      <c r="J116" s="85">
        <f>IF(H116,An,'2026'!An_max)</f>
        <v>2020</v>
      </c>
      <c r="K116" s="197">
        <f t="shared" si="27"/>
        <v>46489</v>
      </c>
      <c r="L116" s="147">
        <f>IF(t&lt;Tvie,1-EXP((T0-t)*PertePVj)+'2026'!Pspv,1-EXP((T0-t)*PertePVj)+Pspv)</f>
        <v>5.6126547055508236E-2</v>
      </c>
      <c r="M116" s="832"/>
      <c r="N116" s="832"/>
      <c r="O116" s="48">
        <f>IF(t&lt;Tnet,'2026'!Resal+('2026'!Salim-'2026'!Resal)*(1-EXP(('2026'!Tnet-t)/('2026'!Tau_j))),Resal+(Salim-Resal)*(1-EXP((Tnet-t)/(Tau_j))))*Salcycl</f>
        <v>5.8038946131354477E-2</v>
      </c>
      <c r="P116" s="169">
        <f>(INDEX(Models!$BJ116:$BT116,,T116)*(1-R116)+INDEX(Models!$BJ116:$BT116,,T116+1)*R116-ERP_i)*Q116*Ramure*Pc/MaxiM</f>
        <v>5.487721476211216E-4</v>
      </c>
      <c r="Q116" s="304">
        <f t="shared" si="28"/>
        <v>0.7</v>
      </c>
      <c r="R116" s="177">
        <f t="shared" si="29"/>
        <v>0.21097039934419248</v>
      </c>
      <c r="S116" s="799">
        <f t="shared" si="30"/>
        <v>-1</v>
      </c>
      <c r="T116" s="176">
        <f t="shared" si="31"/>
        <v>5</v>
      </c>
      <c r="U116" s="250">
        <f t="shared" si="32"/>
        <v>-0.78902960065580752</v>
      </c>
      <c r="V116" s="382">
        <f t="shared" si="33"/>
        <v>51.683544329917417</v>
      </c>
      <c r="W116" s="400">
        <f t="shared" si="34"/>
        <v>37.674217558147788</v>
      </c>
      <c r="X116" s="157">
        <f t="shared" si="35"/>
        <v>46489</v>
      </c>
      <c r="Y116" s="383">
        <f t="shared" si="36"/>
        <v>36.598747258571173</v>
      </c>
      <c r="Z116" s="383">
        <f t="shared" si="37"/>
        <v>38.775057338881957</v>
      </c>
      <c r="AA116" s="384">
        <f t="shared" si="38"/>
        <v>42.170722343254695</v>
      </c>
      <c r="AB116" s="197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8.0521860088931696E-2</v>
      </c>
      <c r="AD116" s="230">
        <f>(INDEX(Models!$BJ116:$BT116,,AH116)*(1-AF116)+INDEX(Models!$BJ116:$BT116,,AH116+1)*AF116-ERP_i)*AE116*Ramure*Pc/MaxiM</f>
        <v>8.3676212731888348E-3</v>
      </c>
      <c r="AE116" s="304">
        <f t="shared" si="40"/>
        <v>0.7</v>
      </c>
      <c r="AF116" s="177">
        <f t="shared" si="41"/>
        <v>0.96662823018354316</v>
      </c>
      <c r="AG116" s="799">
        <f t="shared" si="49"/>
        <v>1</v>
      </c>
      <c r="AH116" s="176">
        <f t="shared" si="42"/>
        <v>7</v>
      </c>
      <c r="AI116" s="224">
        <f t="shared" si="43"/>
        <v>1.9666282301835432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46490</v>
      </c>
      <c r="B117" s="409">
        <f>'2026'!Wh/'2026'!Env_an*'2027'!Env_an</f>
        <v>5.8376415800256822</v>
      </c>
      <c r="C117" s="829"/>
      <c r="D117" s="391">
        <f t="shared" si="25"/>
        <v>6.1848899775998207</v>
      </c>
      <c r="E117" s="383">
        <f t="shared" si="47"/>
        <v>6.5664002652393645</v>
      </c>
      <c r="F117" s="383">
        <f t="shared" si="26"/>
        <v>6.5664002652393645</v>
      </c>
      <c r="G117" s="110">
        <f t="shared" si="48"/>
        <v>0.11255544338014431</v>
      </c>
      <c r="H117" s="412" t="b">
        <f>Wh_hp&gt;='2026'!Maxi_hp</f>
        <v>0</v>
      </c>
      <c r="I117" s="388">
        <f>IF(H117,Wh_hp,'2026'!Maxi_hp)</f>
        <v>56.994672036100951</v>
      </c>
      <c r="J117" s="85">
        <f>IF(H117,An,'2026'!An_max)</f>
        <v>2018</v>
      </c>
      <c r="K117" s="197">
        <f t="shared" si="27"/>
        <v>46490</v>
      </c>
      <c r="L117" s="147">
        <f>IF(t&lt;Tvie,1-EXP((T0-t)*PertePVj)+'2026'!Pspv,1-EXP((T0-t)*PertePVj)+Pspv)</f>
        <v>5.6144636174901841E-2</v>
      </c>
      <c r="M117" s="832"/>
      <c r="N117" s="832"/>
      <c r="O117" s="48">
        <f>IF(t&lt;Tnet,'2026'!Resal+('2026'!Salim-'2026'!Resal)*(1-EXP(('2026'!Tnet-t)/('2026'!Tau_j))),Resal+(Salim-Resal)*(1-EXP((Tnet-t)/(Tau_j))))*Salcycl</f>
        <v>5.8100370405250734E-2</v>
      </c>
      <c r="P117" s="169">
        <f>(INDEX(Models!$BJ117:$BT117,,T117)*(1-R117)+INDEX(Models!$BJ117:$BT117,,T117+1)*R117-ERP_i)*Q117*Ramure*Pc/MaxiM</f>
        <v>5.3577659812154975E-4</v>
      </c>
      <c r="Q117" s="304">
        <f t="shared" si="28"/>
        <v>0.7</v>
      </c>
      <c r="R117" s="177">
        <f t="shared" si="29"/>
        <v>0.21222181849052968</v>
      </c>
      <c r="S117" s="799">
        <f t="shared" si="30"/>
        <v>-1</v>
      </c>
      <c r="T117" s="176">
        <f t="shared" si="31"/>
        <v>5</v>
      </c>
      <c r="U117" s="250">
        <f t="shared" si="32"/>
        <v>-0.78777818150947032</v>
      </c>
      <c r="V117" s="382">
        <f t="shared" si="33"/>
        <v>51.836799119287534</v>
      </c>
      <c r="W117" s="400">
        <f t="shared" si="34"/>
        <v>5.8376415800256822</v>
      </c>
      <c r="X117" s="157">
        <f t="shared" si="35"/>
        <v>46490</v>
      </c>
      <c r="Y117" s="383">
        <f t="shared" si="36"/>
        <v>5.6984245666671338</v>
      </c>
      <c r="Z117" s="383">
        <f t="shared" si="37"/>
        <v>6.0373917287215679</v>
      </c>
      <c r="AA117" s="384">
        <f t="shared" si="38"/>
        <v>6.5664002652393645</v>
      </c>
      <c r="AB117" s="197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8.0562943949398877E-2</v>
      </c>
      <c r="AD117" s="230">
        <f>(INDEX(Models!$BJ117:$BT117,,AH117)*(1-AF117)+INDEX(Models!$BJ117:$BT117,,AH117+1)*AF117-ERP_i)*AE117*Ramure*Pc/MaxiM</f>
        <v>8.1915334245331786E-3</v>
      </c>
      <c r="AE117" s="304">
        <f t="shared" si="40"/>
        <v>0.7</v>
      </c>
      <c r="AF117" s="177">
        <f t="shared" si="41"/>
        <v>0.96787964932988046</v>
      </c>
      <c r="AG117" s="799">
        <f t="shared" si="49"/>
        <v>1</v>
      </c>
      <c r="AH117" s="176">
        <f t="shared" si="42"/>
        <v>7</v>
      </c>
      <c r="AI117" s="224">
        <f t="shared" si="43"/>
        <v>1.9678796493298805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46491</v>
      </c>
      <c r="B118" s="409">
        <f>'2026'!Wh/'2026'!Env_an*'2027'!Env_an</f>
        <v>42.156035368790967</v>
      </c>
      <c r="C118" s="829"/>
      <c r="D118" s="391">
        <f t="shared" si="25"/>
        <v>44.664516313420137</v>
      </c>
      <c r="E118" s="383">
        <f t="shared" si="47"/>
        <v>47.422742440116501</v>
      </c>
      <c r="F118" s="383">
        <f t="shared" si="26"/>
        <v>47.440866875073596</v>
      </c>
      <c r="G118" s="110">
        <f t="shared" si="48"/>
        <v>0.81079512137541854</v>
      </c>
      <c r="H118" s="412" t="b">
        <f>Wh_hp&gt;='2026'!Maxi_hp</f>
        <v>0</v>
      </c>
      <c r="I118" s="388">
        <f>IF(H118,Wh_hp,'2026'!Maxi_hp)</f>
        <v>57.747438215709053</v>
      </c>
      <c r="J118" s="85">
        <f>IF(H118,An,'2026'!An_max)</f>
        <v>2021</v>
      </c>
      <c r="K118" s="197">
        <f t="shared" si="27"/>
        <v>46491</v>
      </c>
      <c r="L118" s="147">
        <f>IF(t&lt;Tvie,1-EXP((T0-t)*PertePVj)+'2026'!Pspv,1-EXP((T0-t)*PertePVj)+Pspv)</f>
        <v>5.6162724947621534E-2</v>
      </c>
      <c r="M118" s="832"/>
      <c r="N118" s="832"/>
      <c r="O118" s="48">
        <f>IF(t&lt;Tnet,'2026'!Resal+('2026'!Salim-'2026'!Resal)*(1-EXP(('2026'!Tnet-t)/('2026'!Tau_j))),Resal+(Salim-Resal)*(1-EXP((Tnet-t)/(Tau_j))))*Salcycl</f>
        <v>5.816251833557165E-2</v>
      </c>
      <c r="P118" s="169">
        <f>(INDEX(Models!$BJ118:$BT118,,T118)*(1-R118)+INDEX(Models!$BJ118:$BT118,,T118+1)*R118-ERP_i)*Q118*Ramure*Pc/MaxiM</f>
        <v>5.2343847965753872E-4</v>
      </c>
      <c r="Q118" s="304">
        <f t="shared" si="28"/>
        <v>0.7</v>
      </c>
      <c r="R118" s="177">
        <f t="shared" si="29"/>
        <v>0.21351671759418056</v>
      </c>
      <c r="S118" s="799">
        <f t="shared" si="30"/>
        <v>-1</v>
      </c>
      <c r="T118" s="176">
        <f t="shared" si="31"/>
        <v>5</v>
      </c>
      <c r="U118" s="250">
        <f t="shared" si="32"/>
        <v>-0.78648328240581944</v>
      </c>
      <c r="V118" s="382">
        <f t="shared" si="33"/>
        <v>51.986095244371981</v>
      </c>
      <c r="W118" s="400">
        <f t="shared" si="34"/>
        <v>42.156035368790967</v>
      </c>
      <c r="X118" s="157">
        <f t="shared" si="35"/>
        <v>46491</v>
      </c>
      <c r="Y118" s="383">
        <f t="shared" si="36"/>
        <v>40.926571707577615</v>
      </c>
      <c r="Z118" s="383">
        <f t="shared" si="37"/>
        <v>43.361893823600454</v>
      </c>
      <c r="AA118" s="384">
        <f t="shared" si="38"/>
        <v>47.16351143154165</v>
      </c>
      <c r="AB118" s="197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8.0605058710679037E-2</v>
      </c>
      <c r="AD118" s="230">
        <f>(INDEX(Models!$BJ118:$BT118,,AH118)*(1-AF118)+INDEX(Models!$BJ118:$BT118,,AH118+1)*AF118-ERP_i)*AE118*Ramure*Pc/MaxiM</f>
        <v>8.0100986337382392E-3</v>
      </c>
      <c r="AE118" s="304">
        <f t="shared" si="40"/>
        <v>0.7</v>
      </c>
      <c r="AF118" s="177">
        <f t="shared" si="41"/>
        <v>0.96917454843353146</v>
      </c>
      <c r="AG118" s="799">
        <f t="shared" si="49"/>
        <v>1</v>
      </c>
      <c r="AH118" s="176">
        <f t="shared" si="42"/>
        <v>7</v>
      </c>
      <c r="AI118" s="224">
        <f t="shared" si="43"/>
        <v>1.9691745484335315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46492</v>
      </c>
      <c r="B119" s="409">
        <f>'2026'!Wh/'2026'!Env_an*'2027'!Env_an</f>
        <v>43.135491667956977</v>
      </c>
      <c r="C119" s="829"/>
      <c r="D119" s="391">
        <f t="shared" si="25"/>
        <v>45.70313072585909</v>
      </c>
      <c r="E119" s="383">
        <f t="shared" si="47"/>
        <v>48.528735951094021</v>
      </c>
      <c r="F119" s="383">
        <f t="shared" si="26"/>
        <v>48.547455530696453</v>
      </c>
      <c r="G119" s="110">
        <f t="shared" si="48"/>
        <v>0.82732674159945208</v>
      </c>
      <c r="H119" s="412" t="b">
        <f>Wh_hp&gt;='2026'!Maxi_hp</f>
        <v>0</v>
      </c>
      <c r="I119" s="388">
        <f>IF(H119,Wh_hp,'2026'!Maxi_hp)</f>
        <v>58.651705388898215</v>
      </c>
      <c r="J119" s="85">
        <f>IF(H119,An,'2026'!An_max)</f>
        <v>2021</v>
      </c>
      <c r="K119" s="197">
        <f t="shared" si="27"/>
        <v>46492</v>
      </c>
      <c r="L119" s="147">
        <f>IF(t&lt;Tvie,1-EXP((T0-t)*PertePVj)+'2026'!Pspv,1-EXP((T0-t)*PertePVj)+Pspv)</f>
        <v>5.6180813373673977E-2</v>
      </c>
      <c r="M119" s="832"/>
      <c r="N119" s="832"/>
      <c r="O119" s="48">
        <f>IF(t&lt;Tnet,'2026'!Resal+('2026'!Salim-'2026'!Resal)*(1-EXP(('2026'!Tnet-t)/('2026'!Tau_j))),Resal+(Salim-Resal)*(1-EXP((Tnet-t)/(Tau_j))))*Salcycl</f>
        <v>5.8225403358589438E-2</v>
      </c>
      <c r="P119" s="169">
        <f>(INDEX(Models!$BJ119:$BT119,,T119)*(1-R119)+INDEX(Models!$BJ119:$BT119,,T119+1)*R119-ERP_i)*Q119*Ramure*Pc/MaxiM</f>
        <v>5.1175472984962692E-4</v>
      </c>
      <c r="Q119" s="304">
        <f t="shared" si="28"/>
        <v>0.7</v>
      </c>
      <c r="R119" s="177">
        <f t="shared" si="29"/>
        <v>0.21485625144180576</v>
      </c>
      <c r="S119" s="799">
        <f t="shared" si="30"/>
        <v>-1</v>
      </c>
      <c r="T119" s="176">
        <f t="shared" si="31"/>
        <v>5</v>
      </c>
      <c r="U119" s="250">
        <f t="shared" si="32"/>
        <v>-0.78514374855819424</v>
      </c>
      <c r="V119" s="382">
        <f t="shared" si="33"/>
        <v>52.131818506670079</v>
      </c>
      <c r="W119" s="400">
        <f t="shared" si="34"/>
        <v>43.135491667956977</v>
      </c>
      <c r="X119" s="157">
        <f t="shared" si="35"/>
        <v>46492</v>
      </c>
      <c r="Y119" s="383">
        <f t="shared" si="36"/>
        <v>41.876410201124351</v>
      </c>
      <c r="Z119" s="383">
        <f t="shared" si="37"/>
        <v>44.369102466343406</v>
      </c>
      <c r="AA119" s="384">
        <f t="shared" si="38"/>
        <v>48.261289630692524</v>
      </c>
      <c r="AB119" s="197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8.0648221258344185E-2</v>
      </c>
      <c r="AD119" s="230">
        <f>(INDEX(Models!$BJ119:$BT119,,AH119)*(1-AF119)+INDEX(Models!$BJ119:$BT119,,AH119+1)*AF119-ERP_i)*AE119*Ramure*Pc/MaxiM</f>
        <v>7.8231859880881754E-3</v>
      </c>
      <c r="AE119" s="304">
        <f t="shared" si="40"/>
        <v>0.7</v>
      </c>
      <c r="AF119" s="177">
        <f t="shared" si="41"/>
        <v>0.97051408228115665</v>
      </c>
      <c r="AG119" s="799">
        <f t="shared" si="49"/>
        <v>1</v>
      </c>
      <c r="AH119" s="176">
        <f t="shared" si="42"/>
        <v>7</v>
      </c>
      <c r="AI119" s="224">
        <f t="shared" si="43"/>
        <v>1.9705140822811567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46493</v>
      </c>
      <c r="B120" s="409">
        <f>'2026'!Wh/'2026'!Env_an*'2027'!Env_an</f>
        <v>35.293605756025869</v>
      </c>
      <c r="C120" s="829"/>
      <c r="D120" s="391">
        <f t="shared" si="25"/>
        <v>37.39517342198851</v>
      </c>
      <c r="E120" s="383">
        <f t="shared" si="47"/>
        <v>39.709820667796535</v>
      </c>
      <c r="F120" s="383">
        <f t="shared" si="26"/>
        <v>39.720480058123769</v>
      </c>
      <c r="G120" s="110">
        <f t="shared" si="48"/>
        <v>0.67500407948854346</v>
      </c>
      <c r="H120" s="412" t="b">
        <f>Wh_hp&gt;='2026'!Maxi_hp</f>
        <v>0</v>
      </c>
      <c r="I120" s="388">
        <f>IF(H120,Wh_hp,'2026'!Maxi_hp)</f>
        <v>57.771393300679215</v>
      </c>
      <c r="J120" s="85">
        <f>IF(H120,An,'2026'!An_max)</f>
        <v>2020</v>
      </c>
      <c r="K120" s="197">
        <f t="shared" si="27"/>
        <v>46493</v>
      </c>
      <c r="L120" s="147">
        <f>IF(t&lt;Tvie,1-EXP((T0-t)*PertePVj)+'2026'!Pspv,1-EXP((T0-t)*PertePVj)+Pspv)</f>
        <v>5.6198901453065941E-2</v>
      </c>
      <c r="M120" s="832"/>
      <c r="N120" s="832"/>
      <c r="O120" s="48">
        <f>IF(t&lt;Tnet,'2026'!Resal+('2026'!Salim-'2026'!Resal)*(1-EXP(('2026'!Tnet-t)/('2026'!Tau_j))),Resal+(Salim-Resal)*(1-EXP((Tnet-t)/(Tau_j))))*Salcycl</f>
        <v>5.8289037998228356E-2</v>
      </c>
      <c r="P120" s="169">
        <f>(INDEX(Models!$BJ120:$BT120,,T120)*(1-R120)+INDEX(Models!$BJ120:$BT120,,T120+1)*R120-ERP_i)*Q120*Ramure*Pc/MaxiM</f>
        <v>5.007237912341341E-4</v>
      </c>
      <c r="Q120" s="304">
        <f t="shared" si="28"/>
        <v>0.7</v>
      </c>
      <c r="R120" s="177">
        <f t="shared" si="29"/>
        <v>0.21624157782071973</v>
      </c>
      <c r="S120" s="799">
        <f t="shared" si="30"/>
        <v>-1</v>
      </c>
      <c r="T120" s="176">
        <f t="shared" si="31"/>
        <v>5</v>
      </c>
      <c r="U120" s="250">
        <f t="shared" si="32"/>
        <v>-0.78375842217928027</v>
      </c>
      <c r="V120" s="382">
        <f t="shared" si="33"/>
        <v>52.274354589627826</v>
      </c>
      <c r="W120" s="400">
        <f t="shared" si="34"/>
        <v>35.293605756025869</v>
      </c>
      <c r="X120" s="157">
        <f t="shared" si="35"/>
        <v>46493</v>
      </c>
      <c r="Y120" s="383">
        <f t="shared" si="36"/>
        <v>34.322274342815447</v>
      </c>
      <c r="Z120" s="383">
        <f t="shared" si="37"/>
        <v>36.366003807007267</v>
      </c>
      <c r="AA120" s="384">
        <f t="shared" si="38"/>
        <v>39.55803876037691</v>
      </c>
      <c r="AB120" s="197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8.0692447183881189E-2</v>
      </c>
      <c r="AD120" s="230">
        <f>(INDEX(Models!$BJ120:$BT120,,AH120)*(1-AF120)+INDEX(Models!$BJ120:$BT120,,AH120+1)*AF120-ERP_i)*AE120*Ramure*Pc/MaxiM</f>
        <v>7.630663664972539E-3</v>
      </c>
      <c r="AE120" s="304">
        <f t="shared" si="40"/>
        <v>0.7</v>
      </c>
      <c r="AF120" s="177">
        <f t="shared" si="41"/>
        <v>0.97189940866007052</v>
      </c>
      <c r="AG120" s="799">
        <f t="shared" si="49"/>
        <v>1</v>
      </c>
      <c r="AH120" s="176">
        <f t="shared" si="42"/>
        <v>7</v>
      </c>
      <c r="AI120" s="224">
        <f t="shared" si="43"/>
        <v>1.9718994086600705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46494</v>
      </c>
      <c r="B121" s="409">
        <f>'2026'!Wh/'2026'!Env_an*'2027'!Env_an</f>
        <v>51.970319346830792</v>
      </c>
      <c r="C121" s="829"/>
      <c r="D121" s="391">
        <f t="shared" si="25"/>
        <v>55.065961933343452</v>
      </c>
      <c r="E121" s="383">
        <f t="shared" si="47"/>
        <v>58.47837597587904</v>
      </c>
      <c r="F121" s="383">
        <f t="shared" si="26"/>
        <v>58.506719317068992</v>
      </c>
      <c r="G121" s="110">
        <f t="shared" si="48"/>
        <v>0.99155371132708137</v>
      </c>
      <c r="H121" s="412" t="b">
        <f>Wh_hp&gt;='2026'!Maxi_hp</f>
        <v>0</v>
      </c>
      <c r="I121" s="388">
        <f>IF(H121,Wh_hp,'2026'!Maxi_hp)</f>
        <v>58.507052448549487</v>
      </c>
      <c r="J121" s="85">
        <f>IF(H121,An,'2026'!An_max)</f>
        <v>2026</v>
      </c>
      <c r="K121" s="197">
        <f t="shared" si="27"/>
        <v>46494</v>
      </c>
      <c r="L121" s="147">
        <f>IF(t&lt;Tvie,1-EXP((T0-t)*PertePVj)+'2026'!Pspv,1-EXP((T0-t)*PertePVj)+Pspv)</f>
        <v>5.6216989185803978E-2</v>
      </c>
      <c r="M121" s="832"/>
      <c r="N121" s="832"/>
      <c r="O121" s="48">
        <f>IF(t&lt;Tnet,'2026'!Resal+('2026'!Salim-'2026'!Resal)*(1-EXP(('2026'!Tnet-t)/('2026'!Tau_j))),Resal+(Salim-Resal)*(1-EXP((Tnet-t)/(Tau_j))))*Salcycl</f>
        <v>5.8353433822155479E-2</v>
      </c>
      <c r="P121" s="169">
        <f>(INDEX(Models!$BJ121:$BT121,,T121)*(1-R121)+INDEX(Models!$BJ121:$BT121,,T121+1)*R121-ERP_i)*Q121*Ramure*Pc/MaxiM</f>
        <v>4.9035853458770124E-4</v>
      </c>
      <c r="Q121" s="304">
        <f t="shared" si="28"/>
        <v>0.7</v>
      </c>
      <c r="R121" s="177">
        <f t="shared" si="29"/>
        <v>0.21767385504846115</v>
      </c>
      <c r="S121" s="799">
        <f t="shared" si="30"/>
        <v>-1</v>
      </c>
      <c r="T121" s="176">
        <f t="shared" si="31"/>
        <v>5</v>
      </c>
      <c r="U121" s="250">
        <f t="shared" si="32"/>
        <v>-0.78232614495153885</v>
      </c>
      <c r="V121" s="382">
        <f t="shared" si="33"/>
        <v>52.412704751645336</v>
      </c>
      <c r="W121" s="400">
        <f t="shared" si="34"/>
        <v>51.970319346830792</v>
      </c>
      <c r="X121" s="157">
        <f t="shared" si="35"/>
        <v>46494</v>
      </c>
      <c r="Y121" s="383">
        <f t="shared" si="36"/>
        <v>50.386773300349837</v>
      </c>
      <c r="Z121" s="383">
        <f t="shared" si="37"/>
        <v>53.388091036817315</v>
      </c>
      <c r="AA121" s="384">
        <f t="shared" si="38"/>
        <v>58.077105939108485</v>
      </c>
      <c r="AB121" s="197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8.0737750727582908E-2</v>
      </c>
      <c r="AD121" s="230">
        <f>(INDEX(Models!$BJ121:$BT121,,AH121)*(1-AF121)+INDEX(Models!$BJ121:$BT121,,AH121+1)*AF121-ERP_i)*AE121*Ramure*Pc/MaxiM</f>
        <v>7.4325953684897814E-3</v>
      </c>
      <c r="AE121" s="304">
        <f t="shared" si="40"/>
        <v>0.7</v>
      </c>
      <c r="AF121" s="177">
        <f t="shared" si="41"/>
        <v>0.97333168588781183</v>
      </c>
      <c r="AG121" s="799">
        <f t="shared" si="49"/>
        <v>1</v>
      </c>
      <c r="AH121" s="176">
        <f t="shared" si="42"/>
        <v>7</v>
      </c>
      <c r="AI121" s="224">
        <f t="shared" si="43"/>
        <v>1.9733316858878118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46495</v>
      </c>
      <c r="B122" s="409">
        <f>'2026'!Wh/'2026'!Env_an*'2027'!Env_an</f>
        <v>33.858573282577986</v>
      </c>
      <c r="C122" s="829"/>
      <c r="D122" s="391">
        <f t="shared" si="25"/>
        <v>35.876066637008563</v>
      </c>
      <c r="E122" s="383">
        <f t="shared" si="47"/>
        <v>38.10192798010587</v>
      </c>
      <c r="F122" s="383">
        <f t="shared" si="26"/>
        <v>38.1109444563144</v>
      </c>
      <c r="G122" s="110">
        <f t="shared" si="48"/>
        <v>0.64420646933977499</v>
      </c>
      <c r="H122" s="412" t="b">
        <f>Wh_hp&gt;='2026'!Maxi_hp</f>
        <v>0</v>
      </c>
      <c r="I122" s="388">
        <f>IF(H122,Wh_hp,'2026'!Maxi_hp)</f>
        <v>47.717829043951738</v>
      </c>
      <c r="J122" s="85">
        <f>IF(H122,An,'2026'!An_max)</f>
        <v>2021</v>
      </c>
      <c r="K122" s="197">
        <f t="shared" si="27"/>
        <v>46495</v>
      </c>
      <c r="L122" s="147">
        <f>IF(t&lt;Tvie,1-EXP((T0-t)*PertePVj)+'2026'!Pspv,1-EXP((T0-t)*PertePVj)+Pspv)</f>
        <v>5.6235076571894749E-2</v>
      </c>
      <c r="M122" s="832"/>
      <c r="N122" s="832"/>
      <c r="O122" s="48">
        <f>IF(t&lt;Tnet,'2026'!Resal+('2026'!Salim-'2026'!Resal)*(1-EXP(('2026'!Tnet-t)/('2026'!Tau_j))),Resal+(Salim-Resal)*(1-EXP((Tnet-t)/(Tau_j))))*Salcycl</f>
        <v>5.8418601396220571E-2</v>
      </c>
      <c r="P122" s="169">
        <f>(INDEX(Models!$BJ122:$BT122,,T122)*(1-R122)+INDEX(Models!$BJ122:$BT122,,T122+1)*R122-ERP_i)*Q122*Ramure*Pc/MaxiM</f>
        <v>4.8091408526679301E-4</v>
      </c>
      <c r="Q122" s="304">
        <f t="shared" si="28"/>
        <v>0.7</v>
      </c>
      <c r="R122" s="177">
        <f t="shared" si="29"/>
        <v>0.21915423930663946</v>
      </c>
      <c r="S122" s="799">
        <f t="shared" si="30"/>
        <v>-1</v>
      </c>
      <c r="T122" s="176">
        <f t="shared" si="31"/>
        <v>5</v>
      </c>
      <c r="U122" s="250">
        <f t="shared" si="32"/>
        <v>-0.78084576069336054</v>
      </c>
      <c r="V122" s="382">
        <f t="shared" si="33"/>
        <v>52.54572920383486</v>
      </c>
      <c r="W122" s="400">
        <f t="shared" si="34"/>
        <v>33.858573282577986</v>
      </c>
      <c r="X122" s="157">
        <f t="shared" si="35"/>
        <v>46495</v>
      </c>
      <c r="Y122" s="383">
        <f t="shared" si="36"/>
        <v>32.94443048121525</v>
      </c>
      <c r="Z122" s="383">
        <f t="shared" si="37"/>
        <v>34.907453819695718</v>
      </c>
      <c r="AA122" s="384">
        <f t="shared" si="38"/>
        <v>37.975252079433481</v>
      </c>
      <c r="AB122" s="197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8.0784144719324075E-2</v>
      </c>
      <c r="AD122" s="230">
        <f>(INDEX(Models!$BJ122:$BT122,,AH122)*(1-AF122)+INDEX(Models!$BJ122:$BT122,,AH122+1)*AF122-ERP_i)*AE122*Ramure*Pc/MaxiM</f>
        <v>7.2374588249484728E-3</v>
      </c>
      <c r="AE122" s="304">
        <f t="shared" si="40"/>
        <v>0.7</v>
      </c>
      <c r="AF122" s="177">
        <f t="shared" si="41"/>
        <v>0.97481207014599014</v>
      </c>
      <c r="AG122" s="799">
        <f t="shared" si="49"/>
        <v>1</v>
      </c>
      <c r="AH122" s="176">
        <f t="shared" si="42"/>
        <v>7</v>
      </c>
      <c r="AI122" s="224">
        <f t="shared" si="43"/>
        <v>1.9748120701459901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46496</v>
      </c>
      <c r="B123" s="409">
        <f>'2026'!Wh/'2026'!Env_an*'2027'!Env_an</f>
        <v>9.0717504995929215</v>
      </c>
      <c r="C123" s="829"/>
      <c r="D123" s="391">
        <f t="shared" si="25"/>
        <v>9.6124830831824681</v>
      </c>
      <c r="E123" s="383">
        <f t="shared" si="47"/>
        <v>10.209586136481938</v>
      </c>
      <c r="F123" s="383">
        <f t="shared" si="26"/>
        <v>10.209586136481938</v>
      </c>
      <c r="G123" s="110">
        <f t="shared" si="48"/>
        <v>0.17214432809429886</v>
      </c>
      <c r="H123" s="412" t="b">
        <f>Wh_hp&gt;='2026'!Maxi_hp</f>
        <v>0</v>
      </c>
      <c r="I123" s="388">
        <f>IF(H123,Wh_hp,'2026'!Maxi_hp)</f>
        <v>57.424115414132181</v>
      </c>
      <c r="J123" s="85">
        <f>IF(H123,An,'2026'!An_max)</f>
        <v>2021</v>
      </c>
      <c r="K123" s="197">
        <f t="shared" si="27"/>
        <v>46496</v>
      </c>
      <c r="L123" s="147">
        <f>IF(t&lt;Tvie,1-EXP((T0-t)*PertePVj)+'2026'!Pspv,1-EXP((T0-t)*PertePVj)+Pspv)</f>
        <v>5.6253163611344803E-2</v>
      </c>
      <c r="M123" s="832"/>
      <c r="N123" s="832"/>
      <c r="O123" s="48">
        <f>IF(t&lt;Tnet,'2026'!Resal+('2026'!Salim-'2026'!Resal)*(1-EXP(('2026'!Tnet-t)/('2026'!Tau_j))),Resal+(Salim-Resal)*(1-EXP((Tnet-t)/(Tau_j))))*Salcycl</f>
        <v>5.8484550237138382E-2</v>
      </c>
      <c r="P123" s="169">
        <f>(INDEX(Models!$BJ123:$BT123,,T123)*(1-R123)+INDEX(Models!$BJ123:$BT123,,T123+1)*R123-ERP_i)*Q123*Ramure*Pc/MaxiM</f>
        <v>4.7275493410850548E-4</v>
      </c>
      <c r="Q123" s="304">
        <f t="shared" si="28"/>
        <v>0.7</v>
      </c>
      <c r="R123" s="177">
        <f t="shared" si="29"/>
        <v>0.22068388177434894</v>
      </c>
      <c r="S123" s="799">
        <f t="shared" si="30"/>
        <v>-1</v>
      </c>
      <c r="T123" s="176">
        <f t="shared" si="31"/>
        <v>5</v>
      </c>
      <c r="U123" s="250">
        <f t="shared" si="32"/>
        <v>-0.77931611822565106</v>
      </c>
      <c r="V123" s="382">
        <f t="shared" si="33"/>
        <v>52.673601768721525</v>
      </c>
      <c r="W123" s="400">
        <f t="shared" si="34"/>
        <v>9.0717504995929215</v>
      </c>
      <c r="X123" s="157">
        <f t="shared" si="35"/>
        <v>46496</v>
      </c>
      <c r="Y123" s="383">
        <f t="shared" si="36"/>
        <v>8.8564303713225012</v>
      </c>
      <c r="Z123" s="383">
        <f t="shared" si="37"/>
        <v>9.3843285400696512</v>
      </c>
      <c r="AA123" s="384">
        <f t="shared" si="38"/>
        <v>10.209586136481938</v>
      </c>
      <c r="AB123" s="197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8.0831640517081471E-2</v>
      </c>
      <c r="AD123" s="230">
        <f>(INDEX(Models!$BJ123:$BT123,,AH123)*(1-AF123)+INDEX(Models!$BJ123:$BT123,,AH123+1)*AF123-ERP_i)*AE123*Ramure*Pc/MaxiM</f>
        <v>7.0533044216700468E-3</v>
      </c>
      <c r="AE123" s="304">
        <f t="shared" si="40"/>
        <v>0.7</v>
      </c>
      <c r="AF123" s="177">
        <f t="shared" si="41"/>
        <v>0.97634171261369973</v>
      </c>
      <c r="AG123" s="799">
        <f t="shared" si="49"/>
        <v>1</v>
      </c>
      <c r="AH123" s="176">
        <f t="shared" si="42"/>
        <v>7</v>
      </c>
      <c r="AI123" s="224">
        <f t="shared" si="43"/>
        <v>1.9763417126136997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46497</v>
      </c>
      <c r="B124" s="409">
        <f>'2026'!Wh/'2026'!Env_an*'2027'!Env_an</f>
        <v>9.3428137245363079</v>
      </c>
      <c r="C124" s="829"/>
      <c r="D124" s="391">
        <f t="shared" si="25"/>
        <v>9.8998930863846937</v>
      </c>
      <c r="E124" s="383">
        <f t="shared" si="47"/>
        <v>10.515594708691737</v>
      </c>
      <c r="F124" s="383">
        <f t="shared" si="26"/>
        <v>10.515594708691737</v>
      </c>
      <c r="G124" s="110">
        <f t="shared" si="48"/>
        <v>0.17687646645370483</v>
      </c>
      <c r="H124" s="412" t="b">
        <f>Wh_hp&gt;='2026'!Maxi_hp</f>
        <v>0</v>
      </c>
      <c r="I124" s="388">
        <f>IF(H124,Wh_hp,'2026'!Maxi_hp)</f>
        <v>54.37744314192939</v>
      </c>
      <c r="J124" s="85">
        <f>IF(H124,An,'2026'!An_max)</f>
        <v>2018</v>
      </c>
      <c r="K124" s="197">
        <f t="shared" si="27"/>
        <v>46497</v>
      </c>
      <c r="L124" s="147">
        <f>IF(t&lt;Tvie,1-EXP((T0-t)*PertePVj)+'2026'!Pspv,1-EXP((T0-t)*PertePVj)+Pspv)</f>
        <v>5.6271250304161025E-2</v>
      </c>
      <c r="M124" s="832"/>
      <c r="N124" s="832"/>
      <c r="O124" s="48">
        <f>IF(t&lt;Tnet,'2026'!Resal+('2026'!Salim-'2026'!Resal)*(1-EXP(('2026'!Tnet-t)/('2026'!Tau_j))),Resal+(Salim-Resal)*(1-EXP((Tnet-t)/(Tau_j))))*Salcycl</f>
        <v>5.8551288763357336E-2</v>
      </c>
      <c r="P124" s="169">
        <f>(INDEX(Models!$BJ124:$BT124,,T124)*(1-R124)+INDEX(Models!$BJ124:$BT124,,T124+1)*R124-ERP_i)*Q124*Ramure*Pc/MaxiM</f>
        <v>4.6589245647155015E-4</v>
      </c>
      <c r="Q124" s="304">
        <f t="shared" si="28"/>
        <v>0.7</v>
      </c>
      <c r="R124" s="177">
        <f t="shared" si="29"/>
        <v>0.22226392555728425</v>
      </c>
      <c r="S124" s="799">
        <f t="shared" si="30"/>
        <v>-1</v>
      </c>
      <c r="T124" s="176">
        <f t="shared" si="31"/>
        <v>5</v>
      </c>
      <c r="U124" s="250">
        <f t="shared" si="32"/>
        <v>-0.77773607444271575</v>
      </c>
      <c r="V124" s="382">
        <f t="shared" si="33"/>
        <v>52.796514795505885</v>
      </c>
      <c r="W124" s="400">
        <f t="shared" si="34"/>
        <v>9.3428137245363079</v>
      </c>
      <c r="X124" s="157">
        <f t="shared" si="35"/>
        <v>46497</v>
      </c>
      <c r="Y124" s="383">
        <f t="shared" si="36"/>
        <v>9.1212240576862165</v>
      </c>
      <c r="Z124" s="383">
        <f t="shared" si="37"/>
        <v>9.6650908013833003</v>
      </c>
      <c r="AA124" s="384">
        <f t="shared" si="38"/>
        <v>10.515594708691737</v>
      </c>
      <c r="AB124" s="197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8.0880247943128314E-2</v>
      </c>
      <c r="AD124" s="230">
        <f>(INDEX(Models!$BJ124:$BT124,,AH124)*(1-AF124)+INDEX(Models!$BJ124:$BT124,,AH124+1)*AF124-ERP_i)*AE124*Ramure*Pc/MaxiM</f>
        <v>6.8799738417921136E-3</v>
      </c>
      <c r="AE124" s="304">
        <f t="shared" si="40"/>
        <v>0.7</v>
      </c>
      <c r="AF124" s="177">
        <f t="shared" si="41"/>
        <v>0.97792175639663514</v>
      </c>
      <c r="AG124" s="799">
        <f t="shared" si="49"/>
        <v>1</v>
      </c>
      <c r="AH124" s="176">
        <f t="shared" si="42"/>
        <v>7</v>
      </c>
      <c r="AI124" s="224">
        <f t="shared" si="43"/>
        <v>1.9779217563966351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46498</v>
      </c>
      <c r="B125" s="409">
        <f>'2026'!Wh/'2026'!Env_an*'2027'!Env_an</f>
        <v>8.5974897546451938</v>
      </c>
      <c r="C125" s="829"/>
      <c r="D125" s="391">
        <f t="shared" si="25"/>
        <v>9.1103026473483588</v>
      </c>
      <c r="E125" s="383">
        <f t="shared" si="47"/>
        <v>9.6775916939630537</v>
      </c>
      <c r="F125" s="383">
        <f t="shared" si="26"/>
        <v>9.6775916939630537</v>
      </c>
      <c r="G125" s="110">
        <f t="shared" si="48"/>
        <v>0.16240361163932501</v>
      </c>
      <c r="H125" s="412" t="b">
        <f>Wh_hp&gt;='2026'!Maxi_hp</f>
        <v>0</v>
      </c>
      <c r="I125" s="388">
        <f>IF(H125,Wh_hp,'2026'!Maxi_hp)</f>
        <v>48.591897253026858</v>
      </c>
      <c r="J125" s="85">
        <f>IF(H125,An,'2026'!An_max)</f>
        <v>2021</v>
      </c>
      <c r="K125" s="197">
        <f t="shared" si="27"/>
        <v>46498</v>
      </c>
      <c r="L125" s="147">
        <f>IF(t&lt;Tvie,1-EXP((T0-t)*PertePVj)+'2026'!Pspv,1-EXP((T0-t)*PertePVj)+Pspv)</f>
        <v>5.6289336650349742E-2</v>
      </c>
      <c r="M125" s="832"/>
      <c r="N125" s="832"/>
      <c r="O125" s="48">
        <f>IF(t&lt;Tnet,'2026'!Resal+('2026'!Salim-'2026'!Resal)*(1-EXP(('2026'!Tnet-t)/('2026'!Tau_j))),Resal+(Salim-Resal)*(1-EXP((Tnet-t)/(Tau_j))))*Salcycl</f>
        <v>5.8618824244111585E-2</v>
      </c>
      <c r="P125" s="169">
        <f>(INDEX(Models!$BJ125:$BT125,,T125)*(1-R125)+INDEX(Models!$BJ125:$BT125,,T125+1)*R125-ERP_i)*Q125*Ramure*Pc/MaxiM</f>
        <v>4.6034193525887427E-4</v>
      </c>
      <c r="Q125" s="304">
        <f t="shared" si="28"/>
        <v>0.7</v>
      </c>
      <c r="R125" s="177">
        <f t="shared" si="29"/>
        <v>0.22389550240966272</v>
      </c>
      <c r="S125" s="799">
        <f t="shared" si="30"/>
        <v>-1</v>
      </c>
      <c r="T125" s="176">
        <f t="shared" si="31"/>
        <v>5</v>
      </c>
      <c r="U125" s="250">
        <f t="shared" si="32"/>
        <v>-0.77610449759033728</v>
      </c>
      <c r="V125" s="382">
        <f t="shared" si="33"/>
        <v>52.9146604735501</v>
      </c>
      <c r="W125" s="400">
        <f t="shared" si="34"/>
        <v>8.5974897546451938</v>
      </c>
      <c r="X125" s="157">
        <f t="shared" si="35"/>
        <v>46498</v>
      </c>
      <c r="Y125" s="383">
        <f t="shared" si="36"/>
        <v>8.3937254380733002</v>
      </c>
      <c r="Z125" s="383">
        <f t="shared" si="37"/>
        <v>8.8943844380016035</v>
      </c>
      <c r="AA125" s="384">
        <f t="shared" si="38"/>
        <v>9.6775916939630537</v>
      </c>
      <c r="AB125" s="197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8.0929975217906749E-2</v>
      </c>
      <c r="AD125" s="230">
        <f>(INDEX(Models!$BJ125:$BT125,,AH125)*(1-AF125)+INDEX(Models!$BJ125:$BT125,,AH125+1)*AF125-ERP_i)*AE125*Ramure*Pc/MaxiM</f>
        <v>6.7173397826250864E-3</v>
      </c>
      <c r="AE125" s="304">
        <f t="shared" si="40"/>
        <v>0.7</v>
      </c>
      <c r="AF125" s="177">
        <f t="shared" si="41"/>
        <v>0.97955333324901361</v>
      </c>
      <c r="AG125" s="799">
        <f t="shared" si="49"/>
        <v>1</v>
      </c>
      <c r="AH125" s="176">
        <f t="shared" si="42"/>
        <v>7</v>
      </c>
      <c r="AI125" s="224">
        <f t="shared" si="43"/>
        <v>1.9795533332490136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46499</v>
      </c>
      <c r="B126" s="409">
        <f>'2026'!Wh/'2026'!Env_an*'2027'!Env_an</f>
        <v>26.548318597846002</v>
      </c>
      <c r="C126" s="829"/>
      <c r="D126" s="391">
        <f t="shared" si="25"/>
        <v>28.132380433037312</v>
      </c>
      <c r="E126" s="383">
        <f t="shared" si="47"/>
        <v>29.886323993122623</v>
      </c>
      <c r="F126" s="383">
        <f t="shared" si="26"/>
        <v>29.890231861118185</v>
      </c>
      <c r="G126" s="110">
        <f t="shared" si="48"/>
        <v>0.50048207728711502</v>
      </c>
      <c r="H126" s="412" t="b">
        <f>Wh_hp&gt;='2026'!Maxi_hp</f>
        <v>0</v>
      </c>
      <c r="I126" s="388">
        <f>IF(H126,Wh_hp,'2026'!Maxi_hp)</f>
        <v>56.763007267600109</v>
      </c>
      <c r="J126" s="85">
        <f>IF(H126,An,'2026'!An_max)</f>
        <v>2021</v>
      </c>
      <c r="K126" s="197">
        <f t="shared" si="27"/>
        <v>46499</v>
      </c>
      <c r="L126" s="147">
        <f>IF(t&lt;Tvie,1-EXP((T0-t)*PertePVj)+'2026'!Pspv,1-EXP((T0-t)*PertePVj)+Pspv)</f>
        <v>5.6307422649917838E-2</v>
      </c>
      <c r="M126" s="832"/>
      <c r="N126" s="832"/>
      <c r="O126" s="48">
        <f>IF(t&lt;Tnet,'2026'!Resal+('2026'!Salim-'2026'!Resal)*(1-EXP(('2026'!Tnet-t)/('2026'!Tau_j))),Resal+(Salim-Resal)*(1-EXP((Tnet-t)/(Tau_j))))*Salcycl</f>
        <v>5.8687162746710694E-2</v>
      </c>
      <c r="P126" s="169">
        <f>(INDEX(Models!$BJ126:$BT126,,T126)*(1-R126)+INDEX(Models!$BJ126:$BT126,,T126+1)*R126-ERP_i)*Q126*Ramure*Pc/MaxiM</f>
        <v>4.5612124621845186E-4</v>
      </c>
      <c r="Q126" s="304">
        <f t="shared" si="28"/>
        <v>0.7</v>
      </c>
      <c r="R126" s="177">
        <f t="shared" si="29"/>
        <v>0.22557972924716874</v>
      </c>
      <c r="S126" s="799">
        <f t="shared" si="30"/>
        <v>-1</v>
      </c>
      <c r="T126" s="176">
        <f t="shared" si="31"/>
        <v>5</v>
      </c>
      <c r="U126" s="250">
        <f t="shared" si="32"/>
        <v>-0.77442027075283126</v>
      </c>
      <c r="V126" s="382">
        <f t="shared" si="33"/>
        <v>53.028230909162794</v>
      </c>
      <c r="W126" s="400">
        <f t="shared" si="34"/>
        <v>26.548318597846002</v>
      </c>
      <c r="X126" s="157">
        <f t="shared" si="35"/>
        <v>46499</v>
      </c>
      <c r="Y126" s="383">
        <f t="shared" si="36"/>
        <v>25.874165346448681</v>
      </c>
      <c r="Z126" s="383">
        <f t="shared" si="37"/>
        <v>27.418002395551458</v>
      </c>
      <c r="AA126" s="384">
        <f t="shared" si="38"/>
        <v>29.833983074025834</v>
      </c>
      <c r="AB126" s="197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8.0980828891660389E-2</v>
      </c>
      <c r="AD126" s="230">
        <f>(INDEX(Models!$BJ126:$BT126,,AH126)*(1-AF126)+INDEX(Models!$BJ126:$BT126,,AH126+1)*AF126-ERP_i)*AE126*Ramure*Pc/MaxiM</f>
        <v>6.5652849318342194E-3</v>
      </c>
      <c r="AE126" s="304">
        <f t="shared" si="40"/>
        <v>0.7</v>
      </c>
      <c r="AF126" s="177">
        <f t="shared" si="41"/>
        <v>0.98123756008651952</v>
      </c>
      <c r="AG126" s="799">
        <f t="shared" si="49"/>
        <v>1</v>
      </c>
      <c r="AH126" s="176">
        <f t="shared" si="42"/>
        <v>7</v>
      </c>
      <c r="AI126" s="224">
        <f t="shared" si="43"/>
        <v>1.9812375600865195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46500</v>
      </c>
      <c r="B127" s="409">
        <f>'2026'!Wh/'2026'!Env_an*'2027'!Env_an</f>
        <v>9.0852727196215728</v>
      </c>
      <c r="C127" s="829"/>
      <c r="D127" s="391">
        <f t="shared" si="25"/>
        <v>9.6275493293056886</v>
      </c>
      <c r="E127" s="383">
        <f t="shared" si="47"/>
        <v>10.228540623648403</v>
      </c>
      <c r="F127" s="383">
        <f t="shared" si="26"/>
        <v>10.228540623648403</v>
      </c>
      <c r="G127" s="110">
        <f t="shared" si="48"/>
        <v>0.17089943645441058</v>
      </c>
      <c r="H127" s="412" t="b">
        <f>Wh_hp&gt;='2026'!Maxi_hp</f>
        <v>0</v>
      </c>
      <c r="I127" s="388">
        <f>IF(H127,Wh_hp,'2026'!Maxi_hp)</f>
        <v>60.533577473745396</v>
      </c>
      <c r="J127" s="85">
        <f>IF(H127,An,'2026'!An_max)</f>
        <v>2021</v>
      </c>
      <c r="K127" s="197">
        <f t="shared" si="27"/>
        <v>46500</v>
      </c>
      <c r="L127" s="147">
        <f>IF(t&lt;Tvie,1-EXP((T0-t)*PertePVj)+'2026'!Pspv,1-EXP((T0-t)*PertePVj)+Pspv)</f>
        <v>5.6325508302871863E-2</v>
      </c>
      <c r="M127" s="832"/>
      <c r="N127" s="832"/>
      <c r="O127" s="48">
        <f>IF(t&lt;Tnet,'2026'!Resal+('2026'!Salim-'2026'!Resal)*(1-EXP(('2026'!Tnet-t)/('2026'!Tau_j))),Resal+(Salim-Resal)*(1-EXP((Tnet-t)/(Tau_j))))*Salcycl</f>
        <v>5.8756309082179492E-2</v>
      </c>
      <c r="P127" s="169">
        <f>(INDEX(Models!$BJ127:$BT127,,T127)*(1-R127)+INDEX(Models!$BJ127:$BT127,,T127+1)*R127-ERP_i)*Q127*Ramure*Pc/MaxiM</f>
        <v>4.5324960168783803E-4</v>
      </c>
      <c r="Q127" s="304">
        <f t="shared" si="28"/>
        <v>0.7</v>
      </c>
      <c r="R127" s="177">
        <f t="shared" si="29"/>
        <v>0.22731770445039545</v>
      </c>
      <c r="S127" s="799">
        <f t="shared" si="30"/>
        <v>-1</v>
      </c>
      <c r="T127" s="176">
        <f t="shared" si="31"/>
        <v>5</v>
      </c>
      <c r="U127" s="250">
        <f t="shared" si="32"/>
        <v>-0.77268229554960455</v>
      </c>
      <c r="V127" s="382">
        <f t="shared" si="33"/>
        <v>53.137418190391074</v>
      </c>
      <c r="W127" s="400">
        <f t="shared" si="34"/>
        <v>9.0852727196215728</v>
      </c>
      <c r="X127" s="157">
        <f t="shared" si="35"/>
        <v>46500</v>
      </c>
      <c r="Y127" s="383">
        <f t="shared" si="36"/>
        <v>8.870250698950521</v>
      </c>
      <c r="Z127" s="383">
        <f t="shared" si="37"/>
        <v>9.3996931961126098</v>
      </c>
      <c r="AA127" s="384">
        <f t="shared" si="38"/>
        <v>10.228540623648403</v>
      </c>
      <c r="AB127" s="197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8.1032813773990076E-2</v>
      </c>
      <c r="AD127" s="230">
        <f>(INDEX(Models!$BJ127:$BT127,,AH127)*(1-AF127)+INDEX(Models!$BJ127:$BT127,,AH127+1)*AF127-ERP_i)*AE127*Ramure*Pc/MaxiM</f>
        <v>6.4236830926150826E-3</v>
      </c>
      <c r="AE127" s="304">
        <f t="shared" si="40"/>
        <v>0.7</v>
      </c>
      <c r="AF127" s="177">
        <f t="shared" si="41"/>
        <v>0.98297553528974624</v>
      </c>
      <c r="AG127" s="799">
        <f t="shared" si="49"/>
        <v>1</v>
      </c>
      <c r="AH127" s="176">
        <f t="shared" si="42"/>
        <v>7</v>
      </c>
      <c r="AI127" s="224">
        <f t="shared" si="43"/>
        <v>1.9829755352897462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46501</v>
      </c>
      <c r="B128" s="409">
        <f>'2026'!Wh/'2026'!Env_an*'2027'!Env_an</f>
        <v>25.773836731917505</v>
      </c>
      <c r="C128" s="829"/>
      <c r="D128" s="391">
        <f t="shared" si="25"/>
        <v>27.312734335683821</v>
      </c>
      <c r="E128" s="383">
        <f t="shared" si="47"/>
        <v>29.019864633655335</v>
      </c>
      <c r="F128" s="383">
        <f t="shared" si="26"/>
        <v>29.023303917194756</v>
      </c>
      <c r="G128" s="110">
        <f t="shared" si="48"/>
        <v>0.48392333375132868</v>
      </c>
      <c r="H128" s="412" t="b">
        <f>Wh_hp&gt;='2026'!Maxi_hp</f>
        <v>0</v>
      </c>
      <c r="I128" s="388">
        <f>IF(H128,Wh_hp,'2026'!Maxi_hp)</f>
        <v>61.221202275533329</v>
      </c>
      <c r="J128" s="85">
        <f>IF(H128,An,'2026'!An_max)</f>
        <v>2021</v>
      </c>
      <c r="K128" s="197">
        <f t="shared" si="27"/>
        <v>46501</v>
      </c>
      <c r="L128" s="147">
        <f>IF(t&lt;Tvie,1-EXP((T0-t)*PertePVj)+'2026'!Pspv,1-EXP((T0-t)*PertePVj)+Pspv)</f>
        <v>5.6343593609218479E-2</v>
      </c>
      <c r="M128" s="832"/>
      <c r="N128" s="832"/>
      <c r="O128" s="48">
        <f>IF(t&lt;Tnet,'2026'!Resal+('2026'!Salim-'2026'!Resal)*(1-EXP(('2026'!Tnet-t)/('2026'!Tau_j))),Resal+(Salim-Resal)*(1-EXP((Tnet-t)/(Tau_j))))*Salcycl</f>
        <v>5.882626674942161E-2</v>
      </c>
      <c r="P128" s="169">
        <f>(INDEX(Models!$BJ128:$BT128,,T128)*(1-R128)+INDEX(Models!$BJ128:$BT128,,T128+1)*R128-ERP_i)*Q128*Ramure*Pc/MaxiM</f>
        <v>4.5061208991219702E-4</v>
      </c>
      <c r="Q128" s="304">
        <f t="shared" si="28"/>
        <v>0.7</v>
      </c>
      <c r="R128" s="177">
        <f t="shared" si="29"/>
        <v>0.22911050395966059</v>
      </c>
      <c r="S128" s="799">
        <f t="shared" si="30"/>
        <v>-1</v>
      </c>
      <c r="T128" s="176">
        <f t="shared" si="31"/>
        <v>5</v>
      </c>
      <c r="U128" s="250">
        <f t="shared" si="32"/>
        <v>-0.77088949604033941</v>
      </c>
      <c r="V128" s="382">
        <f t="shared" si="33"/>
        <v>53.2424748658091</v>
      </c>
      <c r="W128" s="400">
        <f t="shared" si="34"/>
        <v>25.773836731917505</v>
      </c>
      <c r="X128" s="157">
        <f t="shared" si="35"/>
        <v>46501</v>
      </c>
      <c r="Y128" s="383">
        <f t="shared" si="36"/>
        <v>25.125597728787884</v>
      </c>
      <c r="Z128" s="383">
        <f t="shared" si="37"/>
        <v>26.625790445153843</v>
      </c>
      <c r="AA128" s="384">
        <f t="shared" si="38"/>
        <v>28.975277882151552</v>
      </c>
      <c r="AB128" s="197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8.1085932861578003E-2</v>
      </c>
      <c r="AD128" s="230">
        <f>(INDEX(Models!$BJ128:$BT128,,AH128)*(1-AF128)+INDEX(Models!$BJ128:$BT128,,AH128+1)*AF128-ERP_i)*AE128*Ramure*Pc/MaxiM</f>
        <v>6.292331461759045E-3</v>
      </c>
      <c r="AE128" s="304">
        <f t="shared" si="40"/>
        <v>0.7</v>
      </c>
      <c r="AF128" s="177">
        <f t="shared" si="41"/>
        <v>0.98476833479901149</v>
      </c>
      <c r="AG128" s="799">
        <f t="shared" si="49"/>
        <v>1</v>
      </c>
      <c r="AH128" s="176">
        <f t="shared" si="42"/>
        <v>7</v>
      </c>
      <c r="AI128" s="224">
        <f t="shared" si="43"/>
        <v>1.9847683347990115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46502</v>
      </c>
      <c r="B129" s="409">
        <f>'2026'!Wh/'2026'!Env_an*'2027'!Env_an</f>
        <v>40.658177039682748</v>
      </c>
      <c r="C129" s="829"/>
      <c r="D129" s="391">
        <f t="shared" si="25"/>
        <v>43.086610745125604</v>
      </c>
      <c r="E129" s="383">
        <f t="shared" si="47"/>
        <v>45.783099702481351</v>
      </c>
      <c r="F129" s="383">
        <f t="shared" si="26"/>
        <v>45.796622637629852</v>
      </c>
      <c r="G129" s="110">
        <f t="shared" si="48"/>
        <v>0.76207758179039287</v>
      </c>
      <c r="H129" s="412" t="b">
        <f>Wh_hp&gt;='2026'!Maxi_hp</f>
        <v>0</v>
      </c>
      <c r="I129" s="388">
        <f>IF(H129,Wh_hp,'2026'!Maxi_hp)</f>
        <v>49.231227193041249</v>
      </c>
      <c r="J129" s="85">
        <f>IF(H129,An,'2026'!An_max)</f>
        <v>2020</v>
      </c>
      <c r="K129" s="197">
        <f t="shared" si="27"/>
        <v>46502</v>
      </c>
      <c r="L129" s="147">
        <f>IF(t&lt;Tvie,1-EXP((T0-t)*PertePVj)+'2026'!Pspv,1-EXP((T0-t)*PertePVj)+Pspv)</f>
        <v>5.6361678568964346E-2</v>
      </c>
      <c r="M129" s="832"/>
      <c r="N129" s="832"/>
      <c r="O129" s="48">
        <f>IF(t&lt;Tnet,'2026'!Resal+('2026'!Salim-'2026'!Resal)*(1-EXP(('2026'!Tnet-t)/('2026'!Tau_j))),Resal+(Salim-Resal)*(1-EXP((Tnet-t)/(Tau_j))))*Salcycl</f>
        <v>5.8897037878140976E-2</v>
      </c>
      <c r="P129" s="169">
        <f>(INDEX(Models!$BJ129:$BT129,,T129)*(1-R129)+INDEX(Models!$BJ129:$BT129,,T129+1)*R129-ERP_i)*Q129*Ramure*Pc/MaxiM</f>
        <v>4.4721030345058055E-4</v>
      </c>
      <c r="Q129" s="304">
        <f t="shared" si="28"/>
        <v>0.7</v>
      </c>
      <c r="R129" s="177">
        <f t="shared" si="29"/>
        <v>0.23095917716363334</v>
      </c>
      <c r="S129" s="799">
        <f t="shared" si="30"/>
        <v>-1</v>
      </c>
      <c r="T129" s="176">
        <f t="shared" si="31"/>
        <v>5</v>
      </c>
      <c r="U129" s="250">
        <f t="shared" si="32"/>
        <v>-0.76904082283636666</v>
      </c>
      <c r="V129" s="382">
        <f t="shared" si="33"/>
        <v>53.343647777594526</v>
      </c>
      <c r="W129" s="400">
        <f t="shared" si="34"/>
        <v>40.658177039682748</v>
      </c>
      <c r="X129" s="157">
        <f t="shared" si="35"/>
        <v>46502</v>
      </c>
      <c r="Y129" s="383">
        <f t="shared" si="36"/>
        <v>39.547167139999011</v>
      </c>
      <c r="Z129" s="383">
        <f t="shared" si="37"/>
        <v>41.909242388572551</v>
      </c>
      <c r="AA129" s="384">
        <f t="shared" si="38"/>
        <v>45.61005042086029</v>
      </c>
      <c r="AB129" s="197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8.1140187264408983E-2</v>
      </c>
      <c r="AD129" s="230">
        <f>(INDEX(Models!$BJ129:$BT129,,AH129)*(1-AF129)+INDEX(Models!$BJ129:$BT129,,AH129+1)*AF129-ERP_i)*AE129*Ramure*Pc/MaxiM</f>
        <v>6.170037551811283E-3</v>
      </c>
      <c r="AE129" s="304">
        <f t="shared" si="40"/>
        <v>0.7</v>
      </c>
      <c r="AF129" s="177">
        <f t="shared" si="41"/>
        <v>0.98661700800298413</v>
      </c>
      <c r="AG129" s="799">
        <f t="shared" si="49"/>
        <v>1</v>
      </c>
      <c r="AH129" s="176">
        <f t="shared" si="42"/>
        <v>7</v>
      </c>
      <c r="AI129" s="224">
        <f t="shared" si="43"/>
        <v>1.9866170080029841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46503</v>
      </c>
      <c r="B130" s="409">
        <f>'2026'!Wh/'2026'!Env_an*'2027'!Env_an</f>
        <v>52.191898021934655</v>
      </c>
      <c r="C130" s="829"/>
      <c r="D130" s="391">
        <f t="shared" si="25"/>
        <v>55.310278420838436</v>
      </c>
      <c r="E130" s="383">
        <f t="shared" si="47"/>
        <v>58.776231890595476</v>
      </c>
      <c r="F130" s="383">
        <f t="shared" si="26"/>
        <v>58.801412527052001</v>
      </c>
      <c r="G130" s="110">
        <f t="shared" si="48"/>
        <v>0.97660966021205631</v>
      </c>
      <c r="H130" s="412" t="b">
        <f>Wh_hp&gt;='2026'!Maxi_hp</f>
        <v>0</v>
      </c>
      <c r="I130" s="388">
        <f>IF(H130,Wh_hp,'2026'!Maxi_hp)</f>
        <v>58.802231225443137</v>
      </c>
      <c r="J130" s="85">
        <f>IF(H130,An,'2026'!An_max)</f>
        <v>2026</v>
      </c>
      <c r="K130" s="197">
        <f t="shared" si="27"/>
        <v>46503</v>
      </c>
      <c r="L130" s="147">
        <f>IF(t&lt;Tvie,1-EXP((T0-t)*PertePVj)+'2026'!Pspv,1-EXP((T0-t)*PertePVj)+Pspv)</f>
        <v>5.6379763182116127E-2</v>
      </c>
      <c r="M130" s="832"/>
      <c r="N130" s="832"/>
      <c r="O130" s="48">
        <f>IF(t&lt;Tnet,'2026'!Resal+('2026'!Salim-'2026'!Resal)*(1-EXP(('2026'!Tnet-t)/('2026'!Tau_j))),Resal+(Salim-Resal)*(1-EXP((Tnet-t)/(Tau_j))))*Salcycl</f>
        <v>5.8968623170816324E-2</v>
      </c>
      <c r="P130" s="169">
        <f>(INDEX(Models!$BJ130:$BT130,,T130)*(1-R130)+INDEX(Models!$BJ130:$BT130,,T130+1)*R130-ERP_i)*Q130*Ramure*Pc/MaxiM</f>
        <v>4.4302630352821342E-4</v>
      </c>
      <c r="Q130" s="304">
        <f t="shared" si="28"/>
        <v>0.7</v>
      </c>
      <c r="R130" s="177">
        <f t="shared" si="29"/>
        <v>0.23286474258592049</v>
      </c>
      <c r="S130" s="799">
        <f t="shared" si="30"/>
        <v>-1</v>
      </c>
      <c r="T130" s="176">
        <f t="shared" si="31"/>
        <v>5</v>
      </c>
      <c r="U130" s="250">
        <f t="shared" si="32"/>
        <v>-0.76713525741407951</v>
      </c>
      <c r="V130" s="382">
        <f t="shared" si="33"/>
        <v>53.441131770204322</v>
      </c>
      <c r="W130" s="400">
        <f t="shared" si="34"/>
        <v>52.191898021934655</v>
      </c>
      <c r="X130" s="157">
        <f t="shared" si="35"/>
        <v>46503</v>
      </c>
      <c r="Y130" s="383">
        <f t="shared" si="36"/>
        <v>50.6825017686336</v>
      </c>
      <c r="Z130" s="383">
        <f t="shared" si="37"/>
        <v>53.710698214302056</v>
      </c>
      <c r="AA130" s="384">
        <f t="shared" si="38"/>
        <v>58.457161087803016</v>
      </c>
      <c r="AB130" s="197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8.1195576130899422E-2</v>
      </c>
      <c r="AD130" s="230">
        <f>(INDEX(Models!$BJ130:$BT130,,AH130)*(1-AF130)+INDEX(Models!$BJ130:$BT130,,AH130+1)*AF130-ERP_i)*AE130*Ramure*Pc/MaxiM</f>
        <v>6.0567350185159272E-3</v>
      </c>
      <c r="AE130" s="304">
        <f t="shared" si="40"/>
        <v>0.7</v>
      </c>
      <c r="AF130" s="177">
        <f t="shared" si="41"/>
        <v>0.98852257342527117</v>
      </c>
      <c r="AG130" s="799">
        <f t="shared" si="49"/>
        <v>1</v>
      </c>
      <c r="AH130" s="176">
        <f t="shared" si="42"/>
        <v>7</v>
      </c>
      <c r="AI130" s="224">
        <f t="shared" si="43"/>
        <v>1.9885225734252712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46504</v>
      </c>
      <c r="B131" s="409">
        <f>'2026'!Wh/'2026'!Env_an*'2027'!Env_an</f>
        <v>40.104376591033088</v>
      </c>
      <c r="C131" s="829"/>
      <c r="D131" s="391">
        <f t="shared" si="25"/>
        <v>42.501361916776609</v>
      </c>
      <c r="E131" s="383">
        <f t="shared" si="47"/>
        <v>45.168134747032688</v>
      </c>
      <c r="F131" s="383">
        <f t="shared" si="26"/>
        <v>45.180832753478313</v>
      </c>
      <c r="G131" s="110">
        <f t="shared" si="48"/>
        <v>0.74900509060948284</v>
      </c>
      <c r="H131" s="412" t="b">
        <f>Wh_hp&gt;='2026'!Maxi_hp</f>
        <v>0</v>
      </c>
      <c r="I131" s="388">
        <f>IF(H131,Wh_hp,'2026'!Maxi_hp)</f>
        <v>45.187493044529162</v>
      </c>
      <c r="J131" s="85">
        <f>IF(H131,An,'2026'!An_max)</f>
        <v>2026</v>
      </c>
      <c r="K131" s="197">
        <f t="shared" si="27"/>
        <v>46504</v>
      </c>
      <c r="L131" s="147">
        <f>IF(t&lt;Tvie,1-EXP((T0-t)*PertePVj)+'2026'!Pspv,1-EXP((T0-t)*PertePVj)+Pspv)</f>
        <v>5.6397847448680372E-2</v>
      </c>
      <c r="M131" s="832"/>
      <c r="N131" s="832"/>
      <c r="O131" s="48">
        <f>IF(t&lt;Tnet,'2026'!Resal+('2026'!Salim-'2026'!Resal)*(1-EXP(('2026'!Tnet-t)/('2026'!Tau_j))),Resal+(Salim-Resal)*(1-EXP((Tnet-t)/(Tau_j))))*Salcycl</f>
        <v>5.9041021844083871E-2</v>
      </c>
      <c r="P131" s="169">
        <f>(INDEX(Models!$BJ131:$BT131,,T131)*(1-R131)+INDEX(Models!$BJ131:$BT131,,T131+1)*R131-ERP_i)*Q131*Ramure*Pc/MaxiM</f>
        <v>4.3804055111010162E-4</v>
      </c>
      <c r="Q131" s="304">
        <f t="shared" si="28"/>
        <v>0.7</v>
      </c>
      <c r="R131" s="177">
        <f t="shared" si="29"/>
        <v>0.23482818337562839</v>
      </c>
      <c r="S131" s="799">
        <f t="shared" si="30"/>
        <v>-1</v>
      </c>
      <c r="T131" s="176">
        <f t="shared" si="31"/>
        <v>5</v>
      </c>
      <c r="U131" s="250">
        <f t="shared" si="32"/>
        <v>-0.76517181662437161</v>
      </c>
      <c r="V131" s="382">
        <f t="shared" si="33"/>
        <v>53.535121798847619</v>
      </c>
      <c r="W131" s="400">
        <f t="shared" si="34"/>
        <v>40.104376591033088</v>
      </c>
      <c r="X131" s="157">
        <f t="shared" si="35"/>
        <v>46504</v>
      </c>
      <c r="Y131" s="383">
        <f t="shared" si="36"/>
        <v>39.019144442876197</v>
      </c>
      <c r="Z131" s="383">
        <f t="shared" si="37"/>
        <v>41.351266884434182</v>
      </c>
      <c r="AA131" s="384">
        <f t="shared" si="38"/>
        <v>45.008284351087966</v>
      </c>
      <c r="AB131" s="197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8.1252096572425506E-2</v>
      </c>
      <c r="AD131" s="230">
        <f>(INDEX(Models!$BJ131:$BT131,,AH131)*(1-AF131)+INDEX(Models!$BJ131:$BT131,,AH131+1)*AF131-ERP_i)*AE131*Ramure*Pc/MaxiM</f>
        <v>5.9523672160585002E-3</v>
      </c>
      <c r="AE131" s="304">
        <f t="shared" si="40"/>
        <v>0.7</v>
      </c>
      <c r="AF131" s="177">
        <f t="shared" si="41"/>
        <v>0.99048601421497917</v>
      </c>
      <c r="AG131" s="799">
        <f t="shared" si="49"/>
        <v>1</v>
      </c>
      <c r="AH131" s="176">
        <f t="shared" si="42"/>
        <v>7</v>
      </c>
      <c r="AI131" s="224">
        <f t="shared" si="43"/>
        <v>1.9904860142149792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46505</v>
      </c>
      <c r="B132" s="409">
        <f>'2026'!Wh/'2026'!Env_an*'2027'!Env_an</f>
        <v>22.499396673119264</v>
      </c>
      <c r="C132" s="829"/>
      <c r="D132" s="391">
        <f t="shared" si="25"/>
        <v>23.844612707116305</v>
      </c>
      <c r="E132" s="383">
        <f t="shared" si="47"/>
        <v>25.342728636339018</v>
      </c>
      <c r="F132" s="383">
        <f t="shared" si="26"/>
        <v>25.344599750617043</v>
      </c>
      <c r="G132" s="110">
        <f t="shared" si="48"/>
        <v>0.4194124238702131</v>
      </c>
      <c r="H132" s="412" t="b">
        <f>Wh_hp&gt;='2026'!Maxi_hp</f>
        <v>0</v>
      </c>
      <c r="I132" s="388">
        <f>IF(H132,Wh_hp,'2026'!Maxi_hp)</f>
        <v>40.022734639116834</v>
      </c>
      <c r="J132" s="85">
        <f>IF(H132,An,'2026'!An_max)</f>
        <v>2018</v>
      </c>
      <c r="K132" s="197">
        <f t="shared" si="27"/>
        <v>46505</v>
      </c>
      <c r="L132" s="147">
        <f>IF(t&lt;Tvie,1-EXP((T0-t)*PertePVj)+'2026'!Pspv,1-EXP((T0-t)*PertePVj)+Pspv)</f>
        <v>5.6415931368663741E-2</v>
      </c>
      <c r="M132" s="832"/>
      <c r="N132" s="832"/>
      <c r="O132" s="48">
        <f>IF(t&lt;Tnet,'2026'!Resal+('2026'!Salim-'2026'!Resal)*(1-EXP(('2026'!Tnet-t)/('2026'!Tau_j))),Resal+(Salim-Resal)*(1-EXP((Tnet-t)/(Tau_j))))*Salcycl</f>
        <v>5.9114231569940758E-2</v>
      </c>
      <c r="P132" s="169">
        <f>(INDEX(Models!$BJ132:$BT132,,T132)*(1-R132)+INDEX(Models!$BJ132:$BT132,,T132+1)*R132-ERP_i)*Q132*Ramure*Pc/MaxiM</f>
        <v>4.3223189232209804E-4</v>
      </c>
      <c r="Q132" s="304">
        <f t="shared" si="28"/>
        <v>0.7</v>
      </c>
      <c r="R132" s="177">
        <f t="shared" si="29"/>
        <v>0.23685044260993027</v>
      </c>
      <c r="S132" s="799">
        <f t="shared" si="30"/>
        <v>-1</v>
      </c>
      <c r="T132" s="176">
        <f t="shared" si="31"/>
        <v>5</v>
      </c>
      <c r="U132" s="250">
        <f t="shared" si="32"/>
        <v>-0.76314955739006973</v>
      </c>
      <c r="V132" s="382">
        <f t="shared" si="33"/>
        <v>53.625812929041494</v>
      </c>
      <c r="W132" s="400">
        <f t="shared" si="34"/>
        <v>22.499396673119264</v>
      </c>
      <c r="X132" s="157">
        <f t="shared" si="35"/>
        <v>46505</v>
      </c>
      <c r="Y132" s="383">
        <f t="shared" si="36"/>
        <v>21.948278901129992</v>
      </c>
      <c r="Z132" s="383">
        <f t="shared" si="37"/>
        <v>23.260544164300967</v>
      </c>
      <c r="AA132" s="384">
        <f t="shared" si="38"/>
        <v>25.319245525844412</v>
      </c>
      <c r="AB132" s="197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8.1309743587819103E-2</v>
      </c>
      <c r="AD132" s="230">
        <f>(INDEX(Models!$BJ132:$BT132,,AH132)*(1-AF132)+INDEX(Models!$BJ132:$BT132,,AH132+1)*AF132-ERP_i)*AE132*Ramure*Pc/MaxiM</f>
        <v>5.8568868190188731E-3</v>
      </c>
      <c r="AE132" s="304">
        <f t="shared" si="40"/>
        <v>0.7</v>
      </c>
      <c r="AF132" s="177">
        <f t="shared" si="41"/>
        <v>0.99250827344928116</v>
      </c>
      <c r="AG132" s="799">
        <f t="shared" si="49"/>
        <v>1</v>
      </c>
      <c r="AH132" s="176">
        <f t="shared" si="42"/>
        <v>7</v>
      </c>
      <c r="AI132" s="224">
        <f t="shared" si="43"/>
        <v>1.9925082734492812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46506</v>
      </c>
      <c r="B133" s="409">
        <f>'2026'!Wh/'2026'!Env_an*'2027'!Env_an</f>
        <v>40.32408974302146</v>
      </c>
      <c r="C133" s="829"/>
      <c r="D133" s="391">
        <f t="shared" si="25"/>
        <v>42.735845061801271</v>
      </c>
      <c r="E133" s="383">
        <f t="shared" si="47"/>
        <v>45.424437981248801</v>
      </c>
      <c r="F133" s="383">
        <f t="shared" si="26"/>
        <v>45.436888935745941</v>
      </c>
      <c r="G133" s="110">
        <f t="shared" si="48"/>
        <v>0.75061300694188759</v>
      </c>
      <c r="H133" s="412" t="b">
        <f>Wh_hp&gt;='2026'!Maxi_hp</f>
        <v>0</v>
      </c>
      <c r="I133" s="388">
        <f>IF(H133,Wh_hp,'2026'!Maxi_hp)</f>
        <v>47.336974093030854</v>
      </c>
      <c r="J133" s="85">
        <f>IF(H133,An,'2026'!An_max)</f>
        <v>2018</v>
      </c>
      <c r="K133" s="197">
        <f t="shared" si="27"/>
        <v>46506</v>
      </c>
      <c r="L133" s="147">
        <f>IF(t&lt;Tvie,1-EXP((T0-t)*PertePVj)+'2026'!Pspv,1-EXP((T0-t)*PertePVj)+Pspv)</f>
        <v>5.6434014942073008E-2</v>
      </c>
      <c r="M133" s="832"/>
      <c r="N133" s="832"/>
      <c r="O133" s="48">
        <f>IF(t&lt;Tnet,'2026'!Resal+('2026'!Salim-'2026'!Resal)*(1-EXP(('2026'!Tnet-t)/('2026'!Tau_j))),Resal+(Salim-Resal)*(1-EXP((Tnet-t)/(Tau_j))))*Salcycl</f>
        <v>5.9188248417237049E-2</v>
      </c>
      <c r="P133" s="169">
        <f>(INDEX(Models!$BJ133:$BT133,,T133)*(1-R133)+INDEX(Models!$BJ133:$BT133,,T133+1)*R133-ERP_i)*Q133*Ramure*Pc/MaxiM</f>
        <v>4.2557754619004887E-4</v>
      </c>
      <c r="Q133" s="304">
        <f t="shared" si="28"/>
        <v>0.7</v>
      </c>
      <c r="R133" s="177">
        <f t="shared" si="29"/>
        <v>0.23893241841883595</v>
      </c>
      <c r="S133" s="799">
        <f t="shared" si="30"/>
        <v>-1</v>
      </c>
      <c r="T133" s="176">
        <f t="shared" si="31"/>
        <v>5</v>
      </c>
      <c r="U133" s="250">
        <f t="shared" si="32"/>
        <v>-0.76106758158116405</v>
      </c>
      <c r="V133" s="382">
        <f t="shared" si="33"/>
        <v>53.71340034760604</v>
      </c>
      <c r="W133" s="400">
        <f t="shared" si="34"/>
        <v>40.32408974302146</v>
      </c>
      <c r="X133" s="157">
        <f t="shared" si="35"/>
        <v>46506</v>
      </c>
      <c r="Y133" s="383">
        <f t="shared" si="36"/>
        <v>39.237885180700317</v>
      </c>
      <c r="Z133" s="383">
        <f t="shared" si="37"/>
        <v>41.584675372005321</v>
      </c>
      <c r="AA133" s="384">
        <f t="shared" si="38"/>
        <v>45.268070846867595</v>
      </c>
      <c r="AB133" s="197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8.1368509988473434E-2</v>
      </c>
      <c r="AD133" s="230">
        <f>(INDEX(Models!$BJ133:$BT133,,AH133)*(1-AF133)+INDEX(Models!$BJ133:$BT133,,AH133+1)*AF133-ERP_i)*AE133*Ramure*Pc/MaxiM</f>
        <v>5.7702554477899216E-3</v>
      </c>
      <c r="AE133" s="304">
        <f t="shared" si="40"/>
        <v>0.7</v>
      </c>
      <c r="AF133" s="177">
        <f t="shared" si="41"/>
        <v>0.99459024925818662</v>
      </c>
      <c r="AG133" s="799">
        <f t="shared" si="49"/>
        <v>1</v>
      </c>
      <c r="AH133" s="176">
        <f t="shared" si="42"/>
        <v>7</v>
      </c>
      <c r="AI133" s="224">
        <f t="shared" si="43"/>
        <v>1.9945902492581866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46507</v>
      </c>
      <c r="B134" s="409">
        <f>'2026'!Wh/'2026'!Env_an*'2027'!Env_an</f>
        <v>40.471462213808451</v>
      </c>
      <c r="C134" s="829"/>
      <c r="D134" s="391">
        <f t="shared" si="25"/>
        <v>42.892853807705968</v>
      </c>
      <c r="E134" s="383">
        <f t="shared" si="47"/>
        <v>43.198589511792875</v>
      </c>
      <c r="F134" s="383">
        <f t="shared" si="26"/>
        <v>43.209240580287172</v>
      </c>
      <c r="G134" s="110">
        <f t="shared" si="48"/>
        <v>0.7126239499383723</v>
      </c>
      <c r="H134" s="412" t="b">
        <f>Wh_hp&gt;='2026'!Maxi_hp</f>
        <v>0</v>
      </c>
      <c r="I134" s="388">
        <f>IF(H134,Wh_hp,'2026'!Maxi_hp)</f>
        <v>57.134227383129591</v>
      </c>
      <c r="J134" s="85">
        <f>IF(H134,An,'2026'!An_max)</f>
        <v>2018</v>
      </c>
      <c r="K134" s="197">
        <f t="shared" si="27"/>
        <v>46507</v>
      </c>
      <c r="L134" s="147">
        <f>IF(t&lt;Tvie,1-EXP((T0-t)*PertePVj)+'2026'!Pspv,1-EXP((T0-t)*PertePVj)+Pspv)</f>
        <v>5.6452098168914611E-2</v>
      </c>
      <c r="M134" s="832"/>
      <c r="N134" s="832"/>
      <c r="O134" s="48">
        <f>IF(t&lt;Tnet,'2026'!Resal+('2026'!Salim-'2026'!Resal)*(1-EXP(('2026'!Tnet-t)/('2026'!Tau_j))),Resal+(Salim-Resal)*(1-EXP((Tnet-t)/(Tau_j))))*Salcycl</f>
        <v>7.0774464523533078E-3</v>
      </c>
      <c r="P134" s="169">
        <f>(INDEX(Models!$BJ134:$BT134,,T134)*(1-R134)+INDEX(Models!$BJ134:$BT134,,T134+1)*R134-ERP_i)*Q134*Ramure*Pc/MaxiM</f>
        <v>4.1805309556724215E-4</v>
      </c>
      <c r="Q134" s="304">
        <f t="shared" si="28"/>
        <v>0.7</v>
      </c>
      <c r="R134" s="177">
        <f t="shared" si="29"/>
        <v>0.24107495894465925</v>
      </c>
      <c r="S134" s="799">
        <f t="shared" si="30"/>
        <v>-1</v>
      </c>
      <c r="T134" s="176">
        <f t="shared" si="31"/>
        <v>5</v>
      </c>
      <c r="U134" s="250">
        <f t="shared" si="32"/>
        <v>-0.75892504105534075</v>
      </c>
      <c r="V134" s="382">
        <f t="shared" si="33"/>
        <v>56.782427102107235</v>
      </c>
      <c r="W134" s="400">
        <f t="shared" si="34"/>
        <v>40.471462213808451</v>
      </c>
      <c r="X134" s="157">
        <f t="shared" si="35"/>
        <v>46507</v>
      </c>
      <c r="Y134" s="383">
        <f t="shared" si="36"/>
        <v>38.225099948258595</v>
      </c>
      <c r="Z134" s="383">
        <f t="shared" si="37"/>
        <v>40.512092575350437</v>
      </c>
      <c r="AA134" s="384">
        <f t="shared" si="38"/>
        <v>43.064209711938851</v>
      </c>
      <c r="AB134" s="197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5.9263066793975749E-2</v>
      </c>
      <c r="AD134" s="230">
        <f>(INDEX(Models!$BJ134:$BT134,,AH134)*(1-AF134)+INDEX(Models!$BJ134:$BT134,,AH134+1)*AF134-ERP_i)*AE134*Ramure*Pc/MaxiM</f>
        <v>5.6924432978992705E-3</v>
      </c>
      <c r="AE134" s="304">
        <f t="shared" si="40"/>
        <v>0.7</v>
      </c>
      <c r="AF134" s="177">
        <f t="shared" si="41"/>
        <v>0.99673278978400992</v>
      </c>
      <c r="AG134" s="799">
        <f t="shared" si="49"/>
        <v>1</v>
      </c>
      <c r="AH134" s="176">
        <f t="shared" si="42"/>
        <v>7</v>
      </c>
      <c r="AI134" s="224">
        <f t="shared" si="43"/>
        <v>1.9967327897840099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46508</v>
      </c>
      <c r="B135" s="409">
        <f>'2026'!Wh/'2026'!Env_an*'2027'!Env_an</f>
        <v>46.12943769115298</v>
      </c>
      <c r="C135" s="829"/>
      <c r="D135" s="391">
        <f t="shared" si="25"/>
        <v>48.890280693458564</v>
      </c>
      <c r="E135" s="383">
        <f t="shared" si="47"/>
        <v>49.244224678122343</v>
      </c>
      <c r="F135" s="383">
        <f t="shared" si="26"/>
        <v>49.258960442757072</v>
      </c>
      <c r="G135" s="110">
        <f t="shared" si="48"/>
        <v>0.81110209184044468</v>
      </c>
      <c r="H135" s="412" t="b">
        <f>Wh_hp&gt;='2026'!Maxi_hp</f>
        <v>0</v>
      </c>
      <c r="I135" s="388">
        <f>IF(H135,Wh_hp,'2026'!Maxi_hp)</f>
        <v>55.014185059625483</v>
      </c>
      <c r="J135" s="85">
        <f>IF(H135,An,'2026'!An_max)</f>
        <v>2018</v>
      </c>
      <c r="K135" s="197">
        <f t="shared" si="27"/>
        <v>46508</v>
      </c>
      <c r="L135" s="147">
        <f>IF(t&lt;Tvie,1-EXP((T0-t)*PertePVj)+'2026'!Pspv,1-EXP((T0-t)*PertePVj)+Pspv)</f>
        <v>5.6470181049195323E-2</v>
      </c>
      <c r="M135" s="832"/>
      <c r="N135" s="832"/>
      <c r="O135" s="48">
        <f>IF(t&lt;Tnet,'2026'!Resal+('2026'!Salim-'2026'!Resal)*(1-EXP(('2026'!Tnet-t)/('2026'!Tau_j))),Resal+(Salim-Resal)*(1-EXP((Tnet-t)/(Tau_j))))*Salcycl</f>
        <v>7.1875227395148556E-3</v>
      </c>
      <c r="P135" s="169">
        <f>(INDEX(Models!$BJ135:$BT135,,T135)*(1-R135)+INDEX(Models!$BJ135:$BT135,,T135+1)*R135-ERP_i)*Q135*Ramure*Pc/MaxiM</f>
        <v>4.0963932303222938E-4</v>
      </c>
      <c r="Q135" s="304">
        <f t="shared" si="28"/>
        <v>0.7</v>
      </c>
      <c r="R135" s="177">
        <f t="shared" si="29"/>
        <v>0.2432788571511072</v>
      </c>
      <c r="S135" s="799">
        <f t="shared" si="30"/>
        <v>-1</v>
      </c>
      <c r="T135" s="176">
        <f t="shared" si="31"/>
        <v>5</v>
      </c>
      <c r="U135" s="250">
        <f t="shared" si="32"/>
        <v>-0.7567211428488928</v>
      </c>
      <c r="V135" s="382">
        <f t="shared" si="33"/>
        <v>56.866256134273613</v>
      </c>
      <c r="W135" s="400">
        <f t="shared" si="34"/>
        <v>46.12943769115298</v>
      </c>
      <c r="X135" s="157">
        <f t="shared" si="35"/>
        <v>46508</v>
      </c>
      <c r="Y135" s="383">
        <f t="shared" si="36"/>
        <v>43.539853571879327</v>
      </c>
      <c r="Z135" s="383">
        <f t="shared" si="37"/>
        <v>46.145710180410823</v>
      </c>
      <c r="AA135" s="384">
        <f t="shared" si="38"/>
        <v>49.056668079574777</v>
      </c>
      <c r="AB135" s="197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5.9338679390987026E-2</v>
      </c>
      <c r="AD135" s="230">
        <f>(INDEX(Models!$BJ135:$BT135,,AH135)*(1-AF135)+INDEX(Models!$BJ135:$BT135,,AH135+1)*AF135-ERP_i)*AE135*Ramure*Pc/MaxiM</f>
        <v>5.6235226852972579E-3</v>
      </c>
      <c r="AE135" s="304">
        <f t="shared" si="40"/>
        <v>0.7</v>
      </c>
      <c r="AF135" s="177">
        <f t="shared" si="41"/>
        <v>0.99893668799045798</v>
      </c>
      <c r="AG135" s="799">
        <f t="shared" si="49"/>
        <v>1</v>
      </c>
      <c r="AH135" s="176">
        <f t="shared" si="42"/>
        <v>7</v>
      </c>
      <c r="AI135" s="224">
        <f t="shared" si="43"/>
        <v>1.998936687990458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46509</v>
      </c>
      <c r="B136" s="409">
        <f>'2026'!Wh/'2026'!Env_an*'2027'!Env_an</f>
        <v>26.181963383324682</v>
      </c>
      <c r="C136" s="829"/>
      <c r="D136" s="391">
        <f t="shared" si="25"/>
        <v>27.749483522853581</v>
      </c>
      <c r="E136" s="383">
        <f t="shared" si="47"/>
        <v>27.95347908500386</v>
      </c>
      <c r="F136" s="383">
        <f t="shared" si="26"/>
        <v>27.956031556662619</v>
      </c>
      <c r="G136" s="110">
        <f t="shared" si="48"/>
        <v>0.45962967866513765</v>
      </c>
      <c r="H136" s="412" t="b">
        <f>Wh_hp&gt;='2026'!Maxi_hp</f>
        <v>0</v>
      </c>
      <c r="I136" s="388">
        <f>IF(H136,Wh_hp,'2026'!Maxi_hp)</f>
        <v>52.243655726180137</v>
      </c>
      <c r="J136" s="85">
        <f>IF(H136,An,'2026'!An_max)</f>
        <v>2021</v>
      </c>
      <c r="K136" s="197">
        <f t="shared" si="27"/>
        <v>46509</v>
      </c>
      <c r="L136" s="147">
        <f>IF(t&lt;Tvie,1-EXP((T0-t)*PertePVj)+'2026'!Pspv,1-EXP((T0-t)*PertePVj)+Pspv)</f>
        <v>5.6488263582921805E-2</v>
      </c>
      <c r="M136" s="832"/>
      <c r="N136" s="832"/>
      <c r="O136" s="48">
        <f>IF(t&lt;Tnet,'2026'!Resal+('2026'!Salim-'2026'!Resal)*(1-EXP(('2026'!Tnet-t)/('2026'!Tau_j))),Resal+(Salim-Resal)*(1-EXP((Tnet-t)/(Tau_j))))*Salcycl</f>
        <v>7.297680604619888E-3</v>
      </c>
      <c r="P136" s="169">
        <f>(INDEX(Models!$BJ136:$BT136,,T136)*(1-R136)+INDEX(Models!$BJ136:$BT136,,T136+1)*R136-ERP_i)*Q136*Ramure*Pc/MaxiM</f>
        <v>4.0002190693514187E-4</v>
      </c>
      <c r="Q136" s="304">
        <f t="shared" si="28"/>
        <v>0.7</v>
      </c>
      <c r="R136" s="177">
        <f t="shared" si="29"/>
        <v>0.24554484549945532</v>
      </c>
      <c r="S136" s="799">
        <f t="shared" si="30"/>
        <v>-1</v>
      </c>
      <c r="T136" s="176">
        <f t="shared" si="31"/>
        <v>5</v>
      </c>
      <c r="U136" s="250">
        <f t="shared" si="32"/>
        <v>-0.75445515450054468</v>
      </c>
      <c r="V136" s="382">
        <f t="shared" si="33"/>
        <v>56.945582487492793</v>
      </c>
      <c r="W136" s="400">
        <f t="shared" si="34"/>
        <v>26.181963383324682</v>
      </c>
      <c r="X136" s="157">
        <f t="shared" si="35"/>
        <v>46509</v>
      </c>
      <c r="Y136" s="383">
        <f t="shared" si="36"/>
        <v>24.778177899051116</v>
      </c>
      <c r="Z136" s="383">
        <f t="shared" si="37"/>
        <v>26.261653080378803</v>
      </c>
      <c r="AA136" s="384">
        <f t="shared" si="38"/>
        <v>27.920555009726684</v>
      </c>
      <c r="AB136" s="197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5.9415077127584669E-2</v>
      </c>
      <c r="AD136" s="230">
        <f>(INDEX(Models!$BJ136:$BT136,,AH136)*(1-AF136)+INDEX(Models!$BJ136:$BT136,,AH136+1)*AF136-ERP_i)*AE136*Ramure*Pc/MaxiM</f>
        <v>5.5598642625795183E-3</v>
      </c>
      <c r="AE136" s="304">
        <f t="shared" si="40"/>
        <v>0.7</v>
      </c>
      <c r="AF136" s="177">
        <f t="shared" si="41"/>
        <v>1.2026763388059969E-3</v>
      </c>
      <c r="AG136" s="799">
        <f t="shared" si="49"/>
        <v>2</v>
      </c>
      <c r="AH136" s="176">
        <f t="shared" si="42"/>
        <v>8</v>
      </c>
      <c r="AI136" s="224">
        <f t="shared" si="43"/>
        <v>2.001202676338806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46510</v>
      </c>
      <c r="B137" s="409">
        <f>'2026'!Wh/'2026'!Env_an*'2027'!Env_an</f>
        <v>32.176167873444037</v>
      </c>
      <c r="C137" s="829"/>
      <c r="D137" s="391">
        <f t="shared" si="25"/>
        <v>34.103215987930461</v>
      </c>
      <c r="E137" s="383">
        <f t="shared" si="47"/>
        <v>34.357735435146914</v>
      </c>
      <c r="F137" s="383">
        <f t="shared" si="26"/>
        <v>34.362780746467308</v>
      </c>
      <c r="G137" s="110">
        <f t="shared" si="48"/>
        <v>0.56415333361944886</v>
      </c>
      <c r="H137" s="412" t="b">
        <f>Wh_hp&gt;='2026'!Maxi_hp</f>
        <v>0</v>
      </c>
      <c r="I137" s="388">
        <f>IF(H137,Wh_hp,'2026'!Maxi_hp)</f>
        <v>59.318580235290369</v>
      </c>
      <c r="J137" s="85">
        <f>IF(H137,An,'2026'!An_max)</f>
        <v>2021</v>
      </c>
      <c r="K137" s="197">
        <f t="shared" si="27"/>
        <v>46510</v>
      </c>
      <c r="L137" s="147">
        <f>IF(t&lt;Tvie,1-EXP((T0-t)*PertePVj)+'2026'!Pspv,1-EXP((T0-t)*PertePVj)+Pspv)</f>
        <v>5.6506345770100608E-2</v>
      </c>
      <c r="M137" s="832"/>
      <c r="N137" s="832"/>
      <c r="O137" s="48">
        <f>IF(t&lt;Tnet,'2026'!Resal+('2026'!Salim-'2026'!Resal)*(1-EXP(('2026'!Tnet-t)/('2026'!Tau_j))),Resal+(Salim-Resal)*(1-EXP((Tnet-t)/(Tau_j))))*Salcycl</f>
        <v>7.4079226698999558E-3</v>
      </c>
      <c r="P137" s="169">
        <f>(INDEX(Models!$BJ137:$BT137,,T137)*(1-R137)+INDEX(Models!$BJ137:$BT137,,T137+1)*R137-ERP_i)*Q137*Ramure*Pc/MaxiM</f>
        <v>3.8888130907980168E-4</v>
      </c>
      <c r="Q137" s="304">
        <f t="shared" si="28"/>
        <v>0.7</v>
      </c>
      <c r="R137" s="177">
        <f t="shared" si="29"/>
        <v>0.24787359051190627</v>
      </c>
      <c r="S137" s="799">
        <f t="shared" si="30"/>
        <v>-1</v>
      </c>
      <c r="T137" s="176">
        <f t="shared" si="31"/>
        <v>5</v>
      </c>
      <c r="U137" s="250">
        <f t="shared" si="32"/>
        <v>-0.75212640948809373</v>
      </c>
      <c r="V137" s="382">
        <f t="shared" si="33"/>
        <v>57.020629613599084</v>
      </c>
      <c r="W137" s="400">
        <f t="shared" si="34"/>
        <v>32.176167873444037</v>
      </c>
      <c r="X137" s="157">
        <f t="shared" si="35"/>
        <v>46510</v>
      </c>
      <c r="Y137" s="383">
        <f t="shared" si="36"/>
        <v>30.429028213142701</v>
      </c>
      <c r="Z137" s="383">
        <f t="shared" si="37"/>
        <v>32.251439187452249</v>
      </c>
      <c r="AA137" s="384">
        <f t="shared" si="38"/>
        <v>34.291518763757878</v>
      </c>
      <c r="AB137" s="197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5.9492249099849001E-2</v>
      </c>
      <c r="AD137" s="230">
        <f>(INDEX(Models!$BJ137:$BT137,,AH137)*(1-AF137)+INDEX(Models!$BJ137:$BT137,,AH137+1)*AF137-ERP_i)*AE137*Ramure*Pc/MaxiM</f>
        <v>5.4927141981608767E-3</v>
      </c>
      <c r="AE137" s="304">
        <f t="shared" si="40"/>
        <v>0.7</v>
      </c>
      <c r="AF137" s="177">
        <f t="shared" si="41"/>
        <v>3.5314213512571691E-3</v>
      </c>
      <c r="AG137" s="799">
        <f t="shared" si="49"/>
        <v>2</v>
      </c>
      <c r="AH137" s="176">
        <f t="shared" si="42"/>
        <v>8</v>
      </c>
      <c r="AI137" s="224">
        <f t="shared" si="43"/>
        <v>2.0035314213512572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46511</v>
      </c>
      <c r="B138" s="409">
        <f>'2026'!Wh/'2026'!Env_an*'2027'!Env_an</f>
        <v>16.278680850661136</v>
      </c>
      <c r="C138" s="829"/>
      <c r="D138" s="391">
        <f t="shared" si="25"/>
        <v>17.253950528297128</v>
      </c>
      <c r="E138" s="383">
        <f t="shared" si="47"/>
        <v>17.384652714890212</v>
      </c>
      <c r="F138" s="383">
        <f t="shared" si="26"/>
        <v>17.384652714890212</v>
      </c>
      <c r="G138" s="110">
        <f t="shared" si="48"/>
        <v>0.2850253935444827</v>
      </c>
      <c r="H138" s="412" t="b">
        <f>Wh_hp&gt;='2026'!Maxi_hp</f>
        <v>0</v>
      </c>
      <c r="I138" s="388">
        <f>IF(H138,Wh_hp,'2026'!Maxi_hp)</f>
        <v>56.957672371792654</v>
      </c>
      <c r="J138" s="85">
        <f>IF(H138,An,'2026'!An_max)</f>
        <v>2020</v>
      </c>
      <c r="K138" s="197">
        <f t="shared" si="27"/>
        <v>46511</v>
      </c>
      <c r="L138" s="147">
        <f>IF(t&lt;Tvie,1-EXP((T0-t)*PertePVj)+'2026'!Pspv,1-EXP((T0-t)*PertePVj)+Pspv)</f>
        <v>5.6524427610738393E-2</v>
      </c>
      <c r="M138" s="832"/>
      <c r="N138" s="832"/>
      <c r="O138" s="48">
        <f>IF(t&lt;Tnet,'2026'!Resal+('2026'!Salim-'2026'!Resal)*(1-EXP(('2026'!Tnet-t)/('2026'!Tau_j))),Resal+(Salim-Resal)*(1-EXP((Tnet-t)/(Tau_j))))*Salcycl</f>
        <v>7.5182512263322985E-3</v>
      </c>
      <c r="P138" s="169">
        <f>(INDEX(Models!$BJ138:$BT138,,T138)*(1-R138)+INDEX(Models!$BJ138:$BT138,,T138+1)*R138-ERP_i)*Q138*Ramure*Pc/MaxiM</f>
        <v>3.7616477891635742E-4</v>
      </c>
      <c r="Q138" s="304">
        <f t="shared" si="28"/>
        <v>0.7</v>
      </c>
      <c r="R138" s="177">
        <f t="shared" si="29"/>
        <v>0.25026568724493869</v>
      </c>
      <c r="S138" s="799">
        <f t="shared" si="30"/>
        <v>-1</v>
      </c>
      <c r="T138" s="176">
        <f t="shared" si="31"/>
        <v>5</v>
      </c>
      <c r="U138" s="250">
        <f t="shared" si="32"/>
        <v>-0.74973431275506131</v>
      </c>
      <c r="V138" s="382">
        <f t="shared" si="33"/>
        <v>57.091605705434482</v>
      </c>
      <c r="W138" s="400">
        <f t="shared" si="34"/>
        <v>16.278680850661136</v>
      </c>
      <c r="X138" s="157">
        <f t="shared" si="35"/>
        <v>46511</v>
      </c>
      <c r="Y138" s="383">
        <f t="shared" si="36"/>
        <v>15.424925324742491</v>
      </c>
      <c r="Z138" s="383">
        <f t="shared" si="37"/>
        <v>16.349045779405124</v>
      </c>
      <c r="AA138" s="384">
        <f t="shared" si="38"/>
        <v>17.384652714890212</v>
      </c>
      <c r="AB138" s="197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5.9570182532209776E-2</v>
      </c>
      <c r="AD138" s="230">
        <f>(INDEX(Models!$BJ138:$BT138,,AH138)*(1-AF138)+INDEX(Models!$BJ138:$BT138,,AH138+1)*AF138-ERP_i)*AE138*Ramure*Pc/MaxiM</f>
        <v>5.4209775791470832E-3</v>
      </c>
      <c r="AE138" s="304">
        <f t="shared" si="40"/>
        <v>0.7</v>
      </c>
      <c r="AF138" s="177">
        <f t="shared" si="41"/>
        <v>5.9235180842893698E-3</v>
      </c>
      <c r="AG138" s="799">
        <f t="shared" si="49"/>
        <v>2</v>
      </c>
      <c r="AH138" s="176">
        <f t="shared" si="42"/>
        <v>8</v>
      </c>
      <c r="AI138" s="224">
        <f t="shared" si="43"/>
        <v>2.0059235180842894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46512</v>
      </c>
      <c r="B139" s="409">
        <f>'2026'!Wh/'2026'!Env_an*'2027'!Env_an</f>
        <v>35.296430781577264</v>
      </c>
      <c r="C139" s="829"/>
      <c r="D139" s="391">
        <f t="shared" si="25"/>
        <v>37.411787093966261</v>
      </c>
      <c r="E139" s="383">
        <f t="shared" si="47"/>
        <v>37.699383180075088</v>
      </c>
      <c r="F139" s="383">
        <f t="shared" si="26"/>
        <v>37.705571337931154</v>
      </c>
      <c r="G139" s="110">
        <f t="shared" si="48"/>
        <v>0.61739402449145386</v>
      </c>
      <c r="H139" s="412" t="b">
        <f>Wh_hp&gt;='2026'!Maxi_hp</f>
        <v>0</v>
      </c>
      <c r="I139" s="388">
        <f>IF(H139,Wh_hp,'2026'!Maxi_hp)</f>
        <v>61.376169686641241</v>
      </c>
      <c r="J139" s="85">
        <f>IF(H139,An,'2026'!An_max)</f>
        <v>2020</v>
      </c>
      <c r="K139" s="197">
        <f t="shared" si="27"/>
        <v>46512</v>
      </c>
      <c r="L139" s="147">
        <f>IF(t&lt;Tvie,1-EXP((T0-t)*PertePVj)+'2026'!Pspv,1-EXP((T0-t)*PertePVj)+Pspv)</f>
        <v>5.6542509104841931E-2</v>
      </c>
      <c r="M139" s="832"/>
      <c r="N139" s="832"/>
      <c r="O139" s="48">
        <f>IF(t&lt;Tnet,'2026'!Resal+('2026'!Salim-'2026'!Resal)*(1-EXP(('2026'!Tnet-t)/('2026'!Tau_j))),Resal+(Salim-Resal)*(1-EXP((Tnet-t)/(Tau_j))))*Salcycl</f>
        <v>7.6286682128218312E-3</v>
      </c>
      <c r="P139" s="169">
        <f>(INDEX(Models!$BJ139:$BT139,,T139)*(1-R139)+INDEX(Models!$BJ139:$BT139,,T139+1)*R139-ERP_i)*Q139*Ramure*Pc/MaxiM</f>
        <v>3.6181628496619869E-4</v>
      </c>
      <c r="Q139" s="304">
        <f t="shared" si="28"/>
        <v>0.7</v>
      </c>
      <c r="R139" s="177">
        <f t="shared" si="29"/>
        <v>0.25272165369819977</v>
      </c>
      <c r="S139" s="799">
        <f t="shared" si="30"/>
        <v>-1</v>
      </c>
      <c r="T139" s="176">
        <f t="shared" si="31"/>
        <v>5</v>
      </c>
      <c r="U139" s="250">
        <f t="shared" si="32"/>
        <v>-0.74727834630180023</v>
      </c>
      <c r="V139" s="382">
        <f t="shared" si="33"/>
        <v>57.158719047578856</v>
      </c>
      <c r="W139" s="400">
        <f t="shared" si="34"/>
        <v>35.296430781577264</v>
      </c>
      <c r="X139" s="157">
        <f t="shared" si="35"/>
        <v>46512</v>
      </c>
      <c r="Y139" s="383">
        <f t="shared" si="36"/>
        <v>33.370581685527235</v>
      </c>
      <c r="Z139" s="383">
        <f t="shared" si="37"/>
        <v>35.370519612775588</v>
      </c>
      <c r="AA139" s="384">
        <f t="shared" si="38"/>
        <v>37.614161573277848</v>
      </c>
      <c r="AB139" s="197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5.9648862733024631E-2</v>
      </c>
      <c r="AD139" s="230">
        <f>(INDEX(Models!$BJ139:$BT139,,AH139)*(1-AF139)+INDEX(Models!$BJ139:$BT139,,AH139+1)*AF139-ERP_i)*AE139*Ramure*Pc/MaxiM</f>
        <v>5.3446505770833068E-3</v>
      </c>
      <c r="AE139" s="304">
        <f t="shared" si="40"/>
        <v>0.7</v>
      </c>
      <c r="AF139" s="177">
        <f t="shared" si="41"/>
        <v>8.3794845375506632E-3</v>
      </c>
      <c r="AG139" s="799">
        <f t="shared" si="49"/>
        <v>2</v>
      </c>
      <c r="AH139" s="176">
        <f t="shared" si="42"/>
        <v>8</v>
      </c>
      <c r="AI139" s="224">
        <f t="shared" si="43"/>
        <v>2.0083794845375507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46513</v>
      </c>
      <c r="B140" s="409">
        <f>'2026'!Wh/'2026'!Env_an*'2027'!Env_an</f>
        <v>40.409222674233312</v>
      </c>
      <c r="C140" s="829"/>
      <c r="D140" s="391">
        <f t="shared" si="25"/>
        <v>42.831815436928608</v>
      </c>
      <c r="E140" s="383">
        <f t="shared" si="47"/>
        <v>43.165883773930858</v>
      </c>
      <c r="F140" s="383">
        <f t="shared" si="26"/>
        <v>43.174546308776051</v>
      </c>
      <c r="G140" s="110">
        <f t="shared" si="48"/>
        <v>0.70607862263236054</v>
      </c>
      <c r="H140" s="412" t="b">
        <f>Wh_hp&gt;='2026'!Maxi_hp</f>
        <v>0</v>
      </c>
      <c r="I140" s="388">
        <f>IF(H140,Wh_hp,'2026'!Maxi_hp)</f>
        <v>58.310376218958538</v>
      </c>
      <c r="J140" s="85">
        <f>IF(H140,An,'2026'!An_max)</f>
        <v>2018</v>
      </c>
      <c r="K140" s="197">
        <f t="shared" si="27"/>
        <v>46513</v>
      </c>
      <c r="L140" s="147">
        <f>IF(t&lt;Tvie,1-EXP((T0-t)*PertePVj)+'2026'!Pspv,1-EXP((T0-t)*PertePVj)+Pspv)</f>
        <v>5.6560590252417664E-2</v>
      </c>
      <c r="M140" s="832"/>
      <c r="N140" s="832"/>
      <c r="O140" s="48">
        <f>IF(t&lt;Tnet,'2026'!Resal+('2026'!Salim-'2026'!Resal)*(1-EXP(('2026'!Tnet-t)/('2026'!Tau_j))),Resal+(Salim-Resal)*(1-EXP((Tnet-t)/(Tau_j))))*Salcycl</f>
        <v>7.739175195667033E-3</v>
      </c>
      <c r="P140" s="169">
        <f>(INDEX(Models!$BJ140:$BT140,,T140)*(1-R140)+INDEX(Models!$BJ140:$BT140,,T140+1)*R140-ERP_i)*Q140*Ramure*Pc/MaxiM</f>
        <v>3.4577652243059315E-4</v>
      </c>
      <c r="Q140" s="304">
        <f t="shared" si="28"/>
        <v>0.7</v>
      </c>
      <c r="R140" s="177">
        <f t="shared" si="29"/>
        <v>0.25524192518727284</v>
      </c>
      <c r="S140" s="799">
        <f t="shared" si="30"/>
        <v>-1</v>
      </c>
      <c r="T140" s="176">
        <f t="shared" si="31"/>
        <v>5</v>
      </c>
      <c r="U140" s="250">
        <f t="shared" si="32"/>
        <v>-0.74475807481272716</v>
      </c>
      <c r="V140" s="382">
        <f t="shared" si="33"/>
        <v>57.222178015893256</v>
      </c>
      <c r="W140" s="400">
        <f t="shared" si="34"/>
        <v>40.409222674233312</v>
      </c>
      <c r="X140" s="157">
        <f t="shared" si="35"/>
        <v>46513</v>
      </c>
      <c r="Y140" s="383">
        <f t="shared" si="36"/>
        <v>38.182702783676653</v>
      </c>
      <c r="Z140" s="383">
        <f t="shared" si="37"/>
        <v>40.47181238050301</v>
      </c>
      <c r="AA140" s="384">
        <f t="shared" si="38"/>
        <v>43.042677154605627</v>
      </c>
      <c r="AB140" s="197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5.9728273054863529E-2</v>
      </c>
      <c r="AD140" s="230">
        <f>(INDEX(Models!$BJ140:$BT140,,AH140)*(1-AF140)+INDEX(Models!$BJ140:$BT140,,AH140+1)*AF140-ERP_i)*AE140*Ramure*Pc/MaxiM</f>
        <v>5.263731501201999E-3</v>
      </c>
      <c r="AE140" s="304">
        <f t="shared" si="40"/>
        <v>0.7</v>
      </c>
      <c r="AF140" s="177">
        <f t="shared" si="41"/>
        <v>1.0899756026623741E-2</v>
      </c>
      <c r="AG140" s="799">
        <f t="shared" si="49"/>
        <v>2</v>
      </c>
      <c r="AH140" s="176">
        <f t="shared" si="42"/>
        <v>8</v>
      </c>
      <c r="AI140" s="224">
        <f t="shared" si="43"/>
        <v>2.0108997560266237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46514</v>
      </c>
      <c r="B141" s="409">
        <f>'2026'!Wh/'2026'!Env_an*'2027'!Env_an</f>
        <v>45.029397375439508</v>
      </c>
      <c r="C141" s="829"/>
      <c r="D141" s="391">
        <f t="shared" si="25"/>
        <v>47.729891188406384</v>
      </c>
      <c r="E141" s="383">
        <f t="shared" si="47"/>
        <v>48.107524350916719</v>
      </c>
      <c r="F141" s="383">
        <f t="shared" si="26"/>
        <v>48.11848379905728</v>
      </c>
      <c r="G141" s="110">
        <f t="shared" si="48"/>
        <v>0.78601887435119744</v>
      </c>
      <c r="H141" s="412" t="b">
        <f>Wh_hp&gt;='2026'!Maxi_hp</f>
        <v>0</v>
      </c>
      <c r="I141" s="388">
        <f>IF(H141,Wh_hp,'2026'!Maxi_hp)</f>
        <v>58.360511547826988</v>
      </c>
      <c r="J141" s="85">
        <f>IF(H141,An,'2026'!An_max)</f>
        <v>2020</v>
      </c>
      <c r="K141" s="197">
        <f t="shared" si="27"/>
        <v>46514</v>
      </c>
      <c r="L141" s="147">
        <f>IF(t&lt;Tvie,1-EXP((T0-t)*PertePVj)+'2026'!Pspv,1-EXP((T0-t)*PertePVj)+Pspv)</f>
        <v>5.6578671053472362E-2</v>
      </c>
      <c r="M141" s="832"/>
      <c r="N141" s="832"/>
      <c r="O141" s="48">
        <f>IF(t&lt;Tnet,'2026'!Resal+('2026'!Salim-'2026'!Resal)*(1-EXP(('2026'!Tnet-t)/('2026'!Tau_j))),Resal+(Salim-Resal)*(1-EXP((Tnet-t)/(Tau_j))))*Salcycl</f>
        <v>7.8497733484624663E-3</v>
      </c>
      <c r="P141" s="169">
        <f>(INDEX(Models!$BJ141:$BT141,,T141)*(1-R141)+INDEX(Models!$BJ141:$BT141,,T141+1)*R141-ERP_i)*Q141*Ramure*Pc/MaxiM</f>
        <v>3.2798293311564567E-4</v>
      </c>
      <c r="Q141" s="304">
        <f t="shared" si="28"/>
        <v>0.7</v>
      </c>
      <c r="R141" s="177">
        <f t="shared" si="29"/>
        <v>0.25782684871139472</v>
      </c>
      <c r="S141" s="799">
        <f t="shared" si="30"/>
        <v>-1</v>
      </c>
      <c r="T141" s="176">
        <f t="shared" si="31"/>
        <v>5</v>
      </c>
      <c r="U141" s="250">
        <f t="shared" si="32"/>
        <v>-0.74217315128860528</v>
      </c>
      <c r="V141" s="382">
        <f t="shared" si="33"/>
        <v>57.282191079214741</v>
      </c>
      <c r="W141" s="400">
        <f t="shared" si="34"/>
        <v>45.029397375439508</v>
      </c>
      <c r="X141" s="157">
        <f t="shared" si="35"/>
        <v>46514</v>
      </c>
      <c r="Y141" s="383">
        <f t="shared" si="36"/>
        <v>42.52746593484278</v>
      </c>
      <c r="Z141" s="383">
        <f t="shared" si="37"/>
        <v>45.077914426983668</v>
      </c>
      <c r="AA141" s="384">
        <f t="shared" si="38"/>
        <v>47.945455139733646</v>
      </c>
      <c r="AB141" s="197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5.9808394860216323E-2</v>
      </c>
      <c r="AD141" s="230">
        <f>(INDEX(Models!$BJ141:$BT141,,AH141)*(1-AF141)+INDEX(Models!$BJ141:$BT141,,AH141+1)*AF141-ERP_i)*AE141*Ramure*Pc/MaxiM</f>
        <v>5.1782212452831178E-3</v>
      </c>
      <c r="AE141" s="304">
        <f t="shared" si="40"/>
        <v>0.7</v>
      </c>
      <c r="AF141" s="177">
        <f t="shared" si="41"/>
        <v>1.3484679550745504E-2</v>
      </c>
      <c r="AG141" s="799">
        <f t="shared" si="49"/>
        <v>2</v>
      </c>
      <c r="AH141" s="176">
        <f t="shared" si="42"/>
        <v>8</v>
      </c>
      <c r="AI141" s="224">
        <f t="shared" si="43"/>
        <v>2.0134846795507455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46515</v>
      </c>
      <c r="B142" s="409">
        <f>'2026'!Wh/'2026'!Env_an*'2027'!Env_an</f>
        <v>55.87792957660708</v>
      </c>
      <c r="C142" s="829"/>
      <c r="D142" s="391">
        <f t="shared" si="25"/>
        <v>59.230164477307994</v>
      </c>
      <c r="E142" s="383">
        <f t="shared" si="47"/>
        <v>59.705447508929772</v>
      </c>
      <c r="F142" s="383">
        <f t="shared" si="26"/>
        <v>59.723235298616679</v>
      </c>
      <c r="G142" s="110">
        <f t="shared" si="48"/>
        <v>0.97450902882062374</v>
      </c>
      <c r="H142" s="412" t="b">
        <f>Wh_hp&gt;='2026'!Maxi_hp</f>
        <v>0</v>
      </c>
      <c r="I142" s="388">
        <f>IF(H142,Wh_hp,'2026'!Maxi_hp)</f>
        <v>61.177065802959824</v>
      </c>
      <c r="J142" s="85">
        <f>IF(H142,An,'2026'!An_max)</f>
        <v>2021</v>
      </c>
      <c r="K142" s="197">
        <f t="shared" si="27"/>
        <v>46515</v>
      </c>
      <c r="L142" s="147">
        <f>IF(t&lt;Tvie,1-EXP((T0-t)*PertePVj)+'2026'!Pspv,1-EXP((T0-t)*PertePVj)+Pspv)</f>
        <v>5.6596751508012577E-2</v>
      </c>
      <c r="M142" s="832"/>
      <c r="N142" s="832"/>
      <c r="O142" s="48">
        <f>IF(t&lt;Tnet,'2026'!Resal+('2026'!Salim-'2026'!Resal)*(1-EXP(('2026'!Tnet-t)/('2026'!Tau_j))),Resal+(Salim-Resal)*(1-EXP((Tnet-t)/(Tau_j))))*Salcycl</f>
        <v>7.9604634325987026E-3</v>
      </c>
      <c r="P142" s="169">
        <f>(INDEX(Models!$BJ142:$BT142,,T142)*(1-R142)+INDEX(Models!$BJ142:$BT142,,T142+1)*R142-ERP_i)*Q142*Ramure*Pc/MaxiM</f>
        <v>3.0908780541153336E-4</v>
      </c>
      <c r="Q142" s="304">
        <f t="shared" si="28"/>
        <v>0.7</v>
      </c>
      <c r="R142" s="177">
        <f t="shared" si="29"/>
        <v>0.2604766773499011</v>
      </c>
      <c r="S142" s="799">
        <f t="shared" si="30"/>
        <v>-1</v>
      </c>
      <c r="T142" s="176">
        <f t="shared" si="31"/>
        <v>5</v>
      </c>
      <c r="U142" s="250">
        <f t="shared" si="32"/>
        <v>-0.7395233226500989</v>
      </c>
      <c r="V142" s="382">
        <f t="shared" si="33"/>
        <v>57.338925618418727</v>
      </c>
      <c r="W142" s="400">
        <f t="shared" si="34"/>
        <v>55.87792957660708</v>
      </c>
      <c r="X142" s="157">
        <f t="shared" si="35"/>
        <v>46515</v>
      </c>
      <c r="Y142" s="383">
        <f t="shared" si="36"/>
        <v>52.709255495249344</v>
      </c>
      <c r="Z142" s="383">
        <f t="shared" si="37"/>
        <v>55.871394951738942</v>
      </c>
      <c r="AA142" s="384">
        <f t="shared" si="38"/>
        <v>59.430649447993687</v>
      </c>
      <c r="AB142" s="197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5.9889207493338238E-2</v>
      </c>
      <c r="AD142" s="230">
        <f>(INDEX(Models!$BJ142:$BT142,,AH142)*(1-AF142)+INDEX(Models!$BJ142:$BT142,,AH142+1)*AF142-ERP_i)*AE142*Ramure*Pc/MaxiM</f>
        <v>5.0840897073393607E-3</v>
      </c>
      <c r="AE142" s="304">
        <f t="shared" si="40"/>
        <v>0.7</v>
      </c>
      <c r="AF142" s="177">
        <f t="shared" si="41"/>
        <v>1.6134508189251662E-2</v>
      </c>
      <c r="AG142" s="799">
        <f t="shared" si="49"/>
        <v>2</v>
      </c>
      <c r="AH142" s="176">
        <f t="shared" si="42"/>
        <v>8</v>
      </c>
      <c r="AI142" s="224">
        <f t="shared" si="43"/>
        <v>2.0161345081892517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46516</v>
      </c>
      <c r="B143" s="409">
        <f>'2026'!Wh/'2026'!Env_an*'2027'!Env_an</f>
        <v>53.594072124656442</v>
      </c>
      <c r="C143" s="829"/>
      <c r="D143" s="391">
        <f t="shared" ref="D143:D206" si="50">Wh/(1-Ppv)</f>
        <v>56.810382355771587</v>
      </c>
      <c r="E143" s="383">
        <f t="shared" si="47"/>
        <v>57.272643941408845</v>
      </c>
      <c r="F143" s="383">
        <f t="shared" ref="F143:F206" si="51">Wh_sa/(1-Pvg*MEDIAN((-Sdif+Wh/Env_an)/Csdif,0,1))</f>
        <v>57.287703727165415</v>
      </c>
      <c r="G143" s="110">
        <f t="shared" si="48"/>
        <v>0.93379076490771706</v>
      </c>
      <c r="H143" s="412" t="b">
        <f>Wh_hp&gt;='2026'!Maxi_hp</f>
        <v>0</v>
      </c>
      <c r="I143" s="388">
        <f>IF(H143,Wh_hp,'2026'!Maxi_hp)</f>
        <v>57.289149478253869</v>
      </c>
      <c r="J143" s="85">
        <f>IF(H143,An,'2026'!An_max)</f>
        <v>2026</v>
      </c>
      <c r="K143" s="197">
        <f t="shared" ref="K143:K206" si="52">t</f>
        <v>46516</v>
      </c>
      <c r="L143" s="147">
        <f>IF(t&lt;Tvie,1-EXP((T0-t)*PertePVj)+'2026'!Pspv,1-EXP((T0-t)*PertePVj)+Pspv)</f>
        <v>5.661483161604508E-2</v>
      </c>
      <c r="M143" s="832"/>
      <c r="N143" s="832"/>
      <c r="O143" s="48">
        <f>IF(t&lt;Tnet,'2026'!Resal+('2026'!Salim-'2026'!Resal)*(1-EXP(('2026'!Tnet-t)/('2026'!Tau_j))),Resal+(Salim-Resal)*(1-EXP((Tnet-t)/(Tau_j))))*Salcycl</f>
        <v>8.0712457785284443E-3</v>
      </c>
      <c r="P143" s="169">
        <f>(INDEX(Models!$BJ143:$BT143,,T143)*(1-R143)+INDEX(Models!$BJ143:$BT143,,T143+1)*R143-ERP_i)*Q143*Ramure*Pc/MaxiM</f>
        <v>2.9033001935793642E-4</v>
      </c>
      <c r="Q143" s="304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0.26319156472377747</v>
      </c>
      <c r="S143" s="799">
        <f t="shared" ref="S143:S206" si="55">INDEX(Echel_vg,T143)</f>
        <v>-1</v>
      </c>
      <c r="T143" s="176">
        <f t="shared" ref="T143:T206" si="56">MIN(MATCH(Hp_vg,Echel_vg),10)</f>
        <v>5</v>
      </c>
      <c r="U143" s="250">
        <f t="shared" ref="U143:U206" si="57">IF(OR(t&lt;Ttai,Notai),Hdd+PousH*Croivg,Hdtf+PousH*(Croivg-Croi_tai))</f>
        <v>-0.73680843527622253</v>
      </c>
      <c r="V143" s="382">
        <f t="shared" ref="V143:V206" si="58">MaxiM*(1-Ppv)*(1-Pvg)*(1-Psa)</f>
        <v>57.392515098785651</v>
      </c>
      <c r="W143" s="400">
        <f t="shared" ref="W143:W206" si="59">Wh*(A143&gt;Tmaj)</f>
        <v>53.594072124656442</v>
      </c>
      <c r="X143" s="157">
        <f t="shared" ref="X143:X206" si="60">t</f>
        <v>46516</v>
      </c>
      <c r="Y143" s="383">
        <f t="shared" ref="Y143:Y206" si="61">Wh_pvt_s*(1-Ppv)</f>
        <v>50.574157626526066</v>
      </c>
      <c r="Z143" s="383">
        <f t="shared" ref="Z143:Z206" si="62">Wh_sa_s*(1-Psa_s)</f>
        <v>53.60923546546848</v>
      </c>
      <c r="AA143" s="384">
        <f t="shared" ref="AA143:AA206" si="63">Wh_hp*(1-Pvg_s*MEDIAN((-Sdif+Wh/Env_an)/Csdif,0,1))</f>
        <v>57.029323230545742</v>
      </c>
      <c r="AB143" s="197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5.9970688258937886E-2</v>
      </c>
      <c r="AD143" s="230">
        <f>(INDEX(Models!$BJ143:$BT143,,AH143)*(1-AF143)+INDEX(Models!$BJ143:$BT143,,AH143+1)*AF143-ERP_i)*AE143*Ramure*Pc/MaxiM</f>
        <v>4.9811873686563561E-3</v>
      </c>
      <c r="AE143" s="304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1.8849395563128368E-2</v>
      </c>
      <c r="AG143" s="799">
        <f t="shared" si="49"/>
        <v>2</v>
      </c>
      <c r="AH143" s="176">
        <f t="shared" ref="AH143:AH206" si="67">MIN(MATCH(Hp_vg_s,Echel_vg),10)</f>
        <v>8</v>
      </c>
      <c r="AI143" s="224">
        <f t="shared" ref="AI143:AI206" si="68">IF(OR(t&lt;Ttai,Notai),Hdd_s+PousH*Croivg,Hdtai_s+PousH*(Croivg-Croi_tai))</f>
        <v>2.0188493955631284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46517</v>
      </c>
      <c r="B144" s="409">
        <f>'2026'!Wh/'2026'!Env_an*'2027'!Env_an</f>
        <v>54.732752649014394</v>
      </c>
      <c r="C144" s="829"/>
      <c r="D144" s="391">
        <f t="shared" si="50"/>
        <v>58.018509771142561</v>
      </c>
      <c r="E144" s="383">
        <f t="shared" ref="E144:E169" si="72">Wh_pvt/(1-Psa)</f>
        <v>58.497140409304009</v>
      </c>
      <c r="F144" s="383">
        <f t="shared" si="51"/>
        <v>58.511966331255408</v>
      </c>
      <c r="G144" s="110">
        <f t="shared" ref="G144:G169" si="73">+Wh_hp/MaxiM</f>
        <v>0.95279830803044363</v>
      </c>
      <c r="H144" s="412" t="b">
        <f>Wh_hp&gt;='2026'!Maxi_hp</f>
        <v>0</v>
      </c>
      <c r="I144" s="388">
        <f>IF(H144,Wh_hp,'2026'!Maxi_hp)</f>
        <v>58.512950333342488</v>
      </c>
      <c r="J144" s="85">
        <f>IF(H144,An,'2026'!An_max)</f>
        <v>2026</v>
      </c>
      <c r="K144" s="197">
        <f t="shared" si="52"/>
        <v>46517</v>
      </c>
      <c r="L144" s="147">
        <f>IF(t&lt;Tvie,1-EXP((T0-t)*PertePVj)+'2026'!Pspv,1-EXP((T0-t)*PertePVj)+Pspv)</f>
        <v>5.6632911377576423E-2</v>
      </c>
      <c r="M144" s="832"/>
      <c r="N144" s="832"/>
      <c r="O144" s="48">
        <f>IF(t&lt;Tnet,'2026'!Resal+('2026'!Salim-'2026'!Resal)*(1-EXP(('2026'!Tnet-t)/('2026'!Tau_j))),Resal+(Salim-Resal)*(1-EXP((Tnet-t)/(Tau_j))))*Salcycl</f>
        <v>8.1821202679733199E-3</v>
      </c>
      <c r="P144" s="169">
        <f>(INDEX(Models!$BJ144:$BT144,,T144)*(1-R144)+INDEX(Models!$BJ144:$BT144,,T144+1)*R144-ERP_i)*Q144*Ramure*Pc/MaxiM</f>
        <v>2.7169673810870961E-4</v>
      </c>
      <c r="Q144" s="304">
        <f t="shared" si="53"/>
        <v>0.7</v>
      </c>
      <c r="R144" s="177">
        <f t="shared" si="54"/>
        <v>0.26597155956115204</v>
      </c>
      <c r="S144" s="799">
        <f t="shared" si="55"/>
        <v>-1</v>
      </c>
      <c r="T144" s="176">
        <f t="shared" si="56"/>
        <v>5</v>
      </c>
      <c r="U144" s="250">
        <f t="shared" si="57"/>
        <v>-0.73402844043884796</v>
      </c>
      <c r="V144" s="382">
        <f t="shared" si="58"/>
        <v>57.443164579290439</v>
      </c>
      <c r="W144" s="400">
        <f t="shared" si="59"/>
        <v>54.732752649014394</v>
      </c>
      <c r="X144" s="157">
        <f t="shared" si="60"/>
        <v>46517</v>
      </c>
      <c r="Y144" s="383">
        <f t="shared" si="61"/>
        <v>51.64783932751314</v>
      </c>
      <c r="Z144" s="383">
        <f t="shared" si="62"/>
        <v>54.748400649563941</v>
      </c>
      <c r="AA144" s="384">
        <f t="shared" si="63"/>
        <v>58.24625188766597</v>
      </c>
      <c r="AB144" s="197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6.0052812408393302E-2</v>
      </c>
      <c r="AD144" s="230">
        <f>(INDEX(Models!$BJ144:$BT144,,AH144)*(1-AF144)+INDEX(Models!$BJ144:$BT144,,AH144+1)*AF144-ERP_i)*AE144*Ramure*Pc/MaxiM</f>
        <v>4.8694271984086141E-3</v>
      </c>
      <c r="AE144" s="304">
        <f t="shared" si="65"/>
        <v>0.7</v>
      </c>
      <c r="AF144" s="177">
        <f t="shared" si="66"/>
        <v>2.1629390400502935E-2</v>
      </c>
      <c r="AG144" s="799">
        <f t="shared" ref="AG144:AG207" si="74">INDEX(Echel_vg,AH144)</f>
        <v>2</v>
      </c>
      <c r="AH144" s="176">
        <f t="shared" si="67"/>
        <v>8</v>
      </c>
      <c r="AI144" s="224">
        <f t="shared" si="68"/>
        <v>2.0216293904005029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46518</v>
      </c>
      <c r="B145" s="409">
        <f>'2026'!Wh/'2026'!Env_an*'2027'!Env_an</f>
        <v>57.905622446121633</v>
      </c>
      <c r="C145" s="829"/>
      <c r="D145" s="391">
        <f t="shared" si="50"/>
        <v>61.383032028384321</v>
      </c>
      <c r="E145" s="383">
        <f t="shared" si="72"/>
        <v>61.896343749823785</v>
      </c>
      <c r="F145" s="383">
        <f t="shared" si="51"/>
        <v>61.912018368777403</v>
      </c>
      <c r="G145" s="110">
        <f t="shared" si="73"/>
        <v>1.0072105694192104</v>
      </c>
      <c r="H145" s="412" t="b">
        <f>Wh_hp&gt;='2026'!Maxi_hp</f>
        <v>1</v>
      </c>
      <c r="I145" s="388">
        <f>IF(H145,Wh_hp,'2026'!Maxi_hp)</f>
        <v>61.912018368777403</v>
      </c>
      <c r="J145" s="85">
        <f>IF(H145,An,'2026'!An_max)</f>
        <v>2027</v>
      </c>
      <c r="K145" s="197">
        <f t="shared" si="52"/>
        <v>46518</v>
      </c>
      <c r="L145" s="147">
        <f>IF(t&lt;Tvie,1-EXP((T0-t)*PertePVj)+'2026'!Pspv,1-EXP((T0-t)*PertePVj)+Pspv)</f>
        <v>5.6650990792613265E-2</v>
      </c>
      <c r="M145" s="832"/>
      <c r="N145" s="832"/>
      <c r="O145" s="48">
        <f>IF(t&lt;Tnet,'2026'!Resal+('2026'!Salim-'2026'!Resal)*(1-EXP(('2026'!Tnet-t)/('2026'!Tau_j))),Resal+(Salim-Resal)*(1-EXP((Tnet-t)/(Tau_j))))*Salcycl</f>
        <v>8.293086317250049E-3</v>
      </c>
      <c r="P145" s="169">
        <f>(INDEX(Models!$BJ145:$BT145,,T145)*(1-R145)+INDEX(Models!$BJ145:$BT145,,T145+1)*R145-ERP_i)*Q145*Ramure*Pc/MaxiM</f>
        <v>2.5317570589047255E-4</v>
      </c>
      <c r="Q145" s="304">
        <f t="shared" si="53"/>
        <v>0.7</v>
      </c>
      <c r="R145" s="177">
        <f t="shared" si="54"/>
        <v>0.26881660040784339</v>
      </c>
      <c r="S145" s="799">
        <f t="shared" si="55"/>
        <v>-1</v>
      </c>
      <c r="T145" s="176">
        <f t="shared" si="56"/>
        <v>5</v>
      </c>
      <c r="U145" s="250">
        <f t="shared" si="57"/>
        <v>-0.73118339959215661</v>
      </c>
      <c r="V145" s="382">
        <f t="shared" si="58"/>
        <v>57.491079029791997</v>
      </c>
      <c r="W145" s="400">
        <f t="shared" si="59"/>
        <v>57.905622446121633</v>
      </c>
      <c r="X145" s="157">
        <f t="shared" si="60"/>
        <v>46518</v>
      </c>
      <c r="Y145" s="383">
        <f t="shared" si="61"/>
        <v>54.63177690261795</v>
      </c>
      <c r="Z145" s="383">
        <f t="shared" si="62"/>
        <v>57.912582055415768</v>
      </c>
      <c r="AA145" s="384">
        <f t="shared" si="63"/>
        <v>61.618015500571417</v>
      </c>
      <c r="AB145" s="197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6.0135553134152572E-2</v>
      </c>
      <c r="AD145" s="230">
        <f>(INDEX(Models!$BJ145:$BT145,,AH145)*(1-AF145)+INDEX(Models!$BJ145:$BT145,,AH145+1)*AF145-ERP_i)*AE145*Ramure*Pc/MaxiM</f>
        <v>4.7487204577109018E-3</v>
      </c>
      <c r="AE145" s="304">
        <f t="shared" si="65"/>
        <v>0.7</v>
      </c>
      <c r="AF145" s="177">
        <f t="shared" si="66"/>
        <v>2.4474431247194062E-2</v>
      </c>
      <c r="AG145" s="799">
        <f t="shared" si="74"/>
        <v>2</v>
      </c>
      <c r="AH145" s="176">
        <f t="shared" si="67"/>
        <v>8</v>
      </c>
      <c r="AI145" s="224">
        <f t="shared" si="68"/>
        <v>2.0244744312471941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46519</v>
      </c>
      <c r="B146" s="409">
        <f>'2026'!Wh/'2026'!Env_an*'2027'!Env_an</f>
        <v>43.921991351456725</v>
      </c>
      <c r="C146" s="829"/>
      <c r="D146" s="391">
        <f t="shared" si="50"/>
        <v>46.560533475768004</v>
      </c>
      <c r="E146" s="383">
        <f t="shared" si="72"/>
        <v>46.955151275186687</v>
      </c>
      <c r="F146" s="383">
        <f t="shared" si="51"/>
        <v>46.962449246924784</v>
      </c>
      <c r="G146" s="110">
        <f t="shared" si="73"/>
        <v>0.76331604059118607</v>
      </c>
      <c r="H146" s="412" t="b">
        <f>Wh_hp&gt;='2026'!Maxi_hp</f>
        <v>0</v>
      </c>
      <c r="I146" s="388">
        <f>IF(H146,Wh_hp,'2026'!Maxi_hp)</f>
        <v>46.965865236082536</v>
      </c>
      <c r="J146" s="85">
        <f>IF(H146,An,'2026'!An_max)</f>
        <v>2026</v>
      </c>
      <c r="K146" s="197">
        <f t="shared" si="52"/>
        <v>46519</v>
      </c>
      <c r="L146" s="147">
        <f>IF(t&lt;Tvie,1-EXP((T0-t)*PertePVj)+'2026'!Pspv,1-EXP((T0-t)*PertePVj)+Pspv)</f>
        <v>5.6669069861162269E-2</v>
      </c>
      <c r="M146" s="832"/>
      <c r="N146" s="832"/>
      <c r="O146" s="48">
        <f>IF(t&lt;Tnet,'2026'!Resal+('2026'!Salim-'2026'!Resal)*(1-EXP(('2026'!Tnet-t)/('2026'!Tau_j))),Resal+(Salim-Resal)*(1-EXP((Tnet-t)/(Tau_j))))*Salcycl</f>
        <v>8.4041428618975619E-3</v>
      </c>
      <c r="P146" s="169">
        <f>(INDEX(Models!$BJ146:$BT146,,T146)*(1-R146)+INDEX(Models!$BJ146:$BT146,,T146+1)*R146-ERP_i)*Q146*Ramure*Pc/MaxiM</f>
        <v>2.347552717719042E-4</v>
      </c>
      <c r="Q146" s="304">
        <f t="shared" si="53"/>
        <v>0.7</v>
      </c>
      <c r="R146" s="177">
        <f t="shared" si="54"/>
        <v>0.27172651052610641</v>
      </c>
      <c r="S146" s="799">
        <f t="shared" si="55"/>
        <v>-1</v>
      </c>
      <c r="T146" s="176">
        <f t="shared" si="56"/>
        <v>5</v>
      </c>
      <c r="U146" s="250">
        <f t="shared" si="57"/>
        <v>-0.72827348947389359</v>
      </c>
      <c r="V146" s="382">
        <f t="shared" si="58"/>
        <v>57.536463324973553</v>
      </c>
      <c r="W146" s="400">
        <f t="shared" si="59"/>
        <v>43.921991351456725</v>
      </c>
      <c r="X146" s="157">
        <f t="shared" si="60"/>
        <v>46519</v>
      </c>
      <c r="Y146" s="383">
        <f t="shared" si="61"/>
        <v>41.506067826576277</v>
      </c>
      <c r="Z146" s="383">
        <f t="shared" si="62"/>
        <v>43.999477278315773</v>
      </c>
      <c r="AA146" s="384">
        <f t="shared" si="63"/>
        <v>46.818856450275369</v>
      </c>
      <c r="AB146" s="197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6.0218881572939649E-2</v>
      </c>
      <c r="AD146" s="230">
        <f>(INDEX(Models!$BJ146:$BT146,,AH146)*(1-AF146)+INDEX(Models!$BJ146:$BT146,,AH146+1)*AF146-ERP_i)*AE146*Ramure*Pc/MaxiM</f>
        <v>4.6189773284459335E-3</v>
      </c>
      <c r="AE146" s="304">
        <f t="shared" si="65"/>
        <v>0.7</v>
      </c>
      <c r="AF146" s="177">
        <f t="shared" si="66"/>
        <v>2.738434136545731E-2</v>
      </c>
      <c r="AG146" s="799">
        <f t="shared" si="74"/>
        <v>2</v>
      </c>
      <c r="AH146" s="176">
        <f t="shared" si="67"/>
        <v>8</v>
      </c>
      <c r="AI146" s="224">
        <f t="shared" si="68"/>
        <v>2.0273843413654573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46520</v>
      </c>
      <c r="B147" s="409">
        <f>'2026'!Wh/'2026'!Env_an*'2027'!Env_an</f>
        <v>37.929134732725863</v>
      </c>
      <c r="C147" s="829"/>
      <c r="D147" s="391">
        <f t="shared" si="50"/>
        <v>40.208436337700434</v>
      </c>
      <c r="E147" s="383">
        <f t="shared" si="72"/>
        <v>40.553763325804809</v>
      </c>
      <c r="F147" s="383">
        <f t="shared" si="51"/>
        <v>40.558261647757803</v>
      </c>
      <c r="G147" s="110">
        <f t="shared" si="73"/>
        <v>0.65865659775085827</v>
      </c>
      <c r="H147" s="412" t="b">
        <f>Wh_hp&gt;='2026'!Maxi_hp</f>
        <v>0</v>
      </c>
      <c r="I147" s="388">
        <f>IF(H147,Wh_hp,'2026'!Maxi_hp)</f>
        <v>60.109259389460362</v>
      </c>
      <c r="J147" s="85">
        <f>IF(H147,An,'2026'!An_max)</f>
        <v>2018</v>
      </c>
      <c r="K147" s="197">
        <f t="shared" si="52"/>
        <v>46520</v>
      </c>
      <c r="L147" s="147">
        <f>IF(t&lt;Tvie,1-EXP((T0-t)*PertePVj)+'2026'!Pspv,1-EXP((T0-t)*PertePVj)+Pspv)</f>
        <v>5.6687148583229985E-2</v>
      </c>
      <c r="M147" s="832"/>
      <c r="N147" s="832"/>
      <c r="O147" s="48">
        <f>IF(t&lt;Tnet,'2026'!Resal+('2026'!Salim-'2026'!Resal)*(1-EXP(('2026'!Tnet-t)/('2026'!Tau_j))),Resal+(Salim-Resal)*(1-EXP((Tnet-t)/(Tau_j))))*Salcycl</f>
        <v>8.5152883427871903E-3</v>
      </c>
      <c r="P147" s="169">
        <f>(INDEX(Models!$BJ147:$BT147,,T147)*(1-R147)+INDEX(Models!$BJ147:$BT147,,T147+1)*R147-ERP_i)*Q147*Ramure*Pc/MaxiM</f>
        <v>2.1642441595315682E-4</v>
      </c>
      <c r="Q147" s="304">
        <f t="shared" si="53"/>
        <v>0.7</v>
      </c>
      <c r="R147" s="177">
        <f t="shared" si="54"/>
        <v>0.27470099302646811</v>
      </c>
      <c r="S147" s="799">
        <f t="shared" si="55"/>
        <v>-1</v>
      </c>
      <c r="T147" s="176">
        <f t="shared" si="56"/>
        <v>5</v>
      </c>
      <c r="U147" s="250">
        <f t="shared" si="57"/>
        <v>-0.72529900697353189</v>
      </c>
      <c r="V147" s="382">
        <f t="shared" si="58"/>
        <v>57.579522246694488</v>
      </c>
      <c r="W147" s="400">
        <f t="shared" si="59"/>
        <v>37.929134732725863</v>
      </c>
      <c r="X147" s="157">
        <f t="shared" si="60"/>
        <v>46520</v>
      </c>
      <c r="Y147" s="383">
        <f t="shared" si="61"/>
        <v>35.869455809395653</v>
      </c>
      <c r="Z147" s="383">
        <f t="shared" si="62"/>
        <v>38.024983710889764</v>
      </c>
      <c r="AA147" s="384">
        <f t="shared" si="63"/>
        <v>40.465143844409774</v>
      </c>
      <c r="AB147" s="197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6.0302766818339418E-2</v>
      </c>
      <c r="AD147" s="230">
        <f>(INDEX(Models!$BJ147:$BT147,,AH147)*(1-AF147)+INDEX(Models!$BJ147:$BT147,,AH147+1)*AF147-ERP_i)*AE147*Ramure*Pc/MaxiM</f>
        <v>4.4801075634523296E-3</v>
      </c>
      <c r="AE147" s="304">
        <f t="shared" si="65"/>
        <v>0.7</v>
      </c>
      <c r="AF147" s="177">
        <f t="shared" si="66"/>
        <v>3.0358823865818785E-2</v>
      </c>
      <c r="AG147" s="799">
        <f t="shared" si="74"/>
        <v>2</v>
      </c>
      <c r="AH147" s="176">
        <f t="shared" si="67"/>
        <v>8</v>
      </c>
      <c r="AI147" s="224">
        <f t="shared" si="68"/>
        <v>2.0303588238658188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46521</v>
      </c>
      <c r="B148" s="409">
        <f>'2026'!Wh/'2026'!Env_an*'2027'!Env_an</f>
        <v>52.735254853247653</v>
      </c>
      <c r="C148" s="829"/>
      <c r="D148" s="391">
        <f t="shared" si="50"/>
        <v>55.905382241469965</v>
      </c>
      <c r="E148" s="383">
        <f t="shared" si="72"/>
        <v>56.391847682469866</v>
      </c>
      <c r="F148" s="383">
        <f t="shared" si="51"/>
        <v>56.401671190948143</v>
      </c>
      <c r="G148" s="110">
        <f t="shared" si="73"/>
        <v>0.91519554734083397</v>
      </c>
      <c r="H148" s="412" t="b">
        <f>Wh_hp&gt;='2026'!Maxi_hp</f>
        <v>0</v>
      </c>
      <c r="I148" s="388">
        <f>IF(H148,Wh_hp,'2026'!Maxi_hp)</f>
        <v>59.065123459499134</v>
      </c>
      <c r="J148" s="85">
        <f>IF(H148,An,'2026'!An_max)</f>
        <v>2018</v>
      </c>
      <c r="K148" s="197">
        <f t="shared" si="52"/>
        <v>46521</v>
      </c>
      <c r="L148" s="147">
        <f>IF(t&lt;Tvie,1-EXP((T0-t)*PertePVj)+'2026'!Pspv,1-EXP((T0-t)*PertePVj)+Pspv)</f>
        <v>5.6705226958823074E-2</v>
      </c>
      <c r="M148" s="832"/>
      <c r="N148" s="832"/>
      <c r="O148" s="48">
        <f>IF(t&lt;Tnet,'2026'!Resal+('2026'!Salim-'2026'!Resal)*(1-EXP(('2026'!Tnet-t)/('2026'!Tau_j))),Resal+(Salim-Resal)*(1-EXP((Tnet-t)/(Tau_j))))*Salcycl</f>
        <v>8.6265206938967633E-3</v>
      </c>
      <c r="P148" s="169">
        <f>(INDEX(Models!$BJ148:$BT148,,T148)*(1-R148)+INDEX(Models!$BJ148:$BT148,,T148+1)*R148-ERP_i)*Q148*Ramure*Pc/MaxiM</f>
        <v>1.9817277842715475E-4</v>
      </c>
      <c r="Q148" s="304">
        <f t="shared" si="53"/>
        <v>0.7</v>
      </c>
      <c r="R148" s="177">
        <f t="shared" si="54"/>
        <v>0.27773962627894999</v>
      </c>
      <c r="S148" s="799">
        <f t="shared" si="55"/>
        <v>-1</v>
      </c>
      <c r="T148" s="176">
        <f t="shared" si="56"/>
        <v>5</v>
      </c>
      <c r="U148" s="250">
        <f t="shared" si="57"/>
        <v>-0.72226037372105001</v>
      </c>
      <c r="V148" s="382">
        <f t="shared" si="58"/>
        <v>57.620460480637654</v>
      </c>
      <c r="W148" s="400">
        <f t="shared" si="59"/>
        <v>52.735254853247653</v>
      </c>
      <c r="X148" s="157">
        <f t="shared" si="60"/>
        <v>46521</v>
      </c>
      <c r="Y148" s="383">
        <f t="shared" si="61"/>
        <v>49.800267437700171</v>
      </c>
      <c r="Z148" s="383">
        <f t="shared" si="62"/>
        <v>52.793960976953571</v>
      </c>
      <c r="AA148" s="384">
        <f t="shared" si="63"/>
        <v>56.186931069138751</v>
      </c>
      <c r="AB148" s="197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6.0387175943282669E-2</v>
      </c>
      <c r="AD148" s="230">
        <f>(INDEX(Models!$BJ148:$BT148,,AH148)*(1-AF148)+INDEX(Models!$BJ148:$BT148,,AH148+1)*AF148-ERP_i)*AE148*Ramure*Pc/MaxiM</f>
        <v>4.3320211585166878E-3</v>
      </c>
      <c r="AE148" s="304">
        <f t="shared" si="65"/>
        <v>0.7</v>
      </c>
      <c r="AF148" s="177">
        <f t="shared" si="66"/>
        <v>3.3397457118300888E-2</v>
      </c>
      <c r="AG148" s="799">
        <f t="shared" si="74"/>
        <v>2</v>
      </c>
      <c r="AH148" s="176">
        <f t="shared" si="67"/>
        <v>8</v>
      </c>
      <c r="AI148" s="224">
        <f t="shared" si="68"/>
        <v>2.0333974571183009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46522</v>
      </c>
      <c r="B149" s="409">
        <f>'2026'!Wh/'2026'!Env_an*'2027'!Env_an</f>
        <v>54.58684584991655</v>
      </c>
      <c r="C149" s="829"/>
      <c r="D149" s="391">
        <f t="shared" si="50"/>
        <v>57.869388842707629</v>
      </c>
      <c r="E149" s="383">
        <f t="shared" si="72"/>
        <v>58.379499412089764</v>
      </c>
      <c r="F149" s="383">
        <f t="shared" si="51"/>
        <v>58.389209072250239</v>
      </c>
      <c r="G149" s="110">
        <f t="shared" si="73"/>
        <v>0.94670601235144236</v>
      </c>
      <c r="H149" s="412" t="b">
        <f>Wh_hp&gt;='2026'!Maxi_hp</f>
        <v>0</v>
      </c>
      <c r="I149" s="388">
        <f>IF(H149,Wh_hp,'2026'!Maxi_hp)</f>
        <v>59.483162733669118</v>
      </c>
      <c r="J149" s="85">
        <f>IF(H149,An,'2026'!An_max)</f>
        <v>2018</v>
      </c>
      <c r="K149" s="197">
        <f t="shared" si="52"/>
        <v>46522</v>
      </c>
      <c r="L149" s="147">
        <f>IF(t&lt;Tvie,1-EXP((T0-t)*PertePVj)+'2026'!Pspv,1-EXP((T0-t)*PertePVj)+Pspv)</f>
        <v>5.6723304987948309E-2</v>
      </c>
      <c r="M149" s="832"/>
      <c r="N149" s="832"/>
      <c r="O149" s="48">
        <f>IF(t&lt;Tnet,'2026'!Resal+('2026'!Salim-'2026'!Resal)*(1-EXP(('2026'!Tnet-t)/('2026'!Tau_j))),Resal+(Salim-Resal)*(1-EXP((Tnet-t)/(Tau_j))))*Salcycl</f>
        <v>8.7378373319264568E-3</v>
      </c>
      <c r="P149" s="169">
        <f>(INDEX(Models!$BJ149:$BT149,,T149)*(1-R149)+INDEX(Models!$BJ149:$BT149,,T149+1)*R149-ERP_i)*Q149*Ramure*Pc/MaxiM</f>
        <v>1.7999227544281785E-4</v>
      </c>
      <c r="Q149" s="304">
        <f t="shared" si="53"/>
        <v>0.7</v>
      </c>
      <c r="R149" s="177">
        <f t="shared" si="54"/>
        <v>0.28084185965098163</v>
      </c>
      <c r="S149" s="799">
        <f t="shared" si="55"/>
        <v>-1</v>
      </c>
      <c r="T149" s="176">
        <f t="shared" si="56"/>
        <v>5</v>
      </c>
      <c r="U149" s="250">
        <f t="shared" si="57"/>
        <v>-0.71915814034901837</v>
      </c>
      <c r="V149" s="382">
        <f t="shared" si="58"/>
        <v>57.658974549888249</v>
      </c>
      <c r="W149" s="400">
        <f t="shared" si="59"/>
        <v>54.58684584991655</v>
      </c>
      <c r="X149" s="157">
        <f t="shared" si="60"/>
        <v>46522</v>
      </c>
      <c r="Y149" s="383">
        <f t="shared" si="61"/>
        <v>51.546967160642531</v>
      </c>
      <c r="Z149" s="383">
        <f t="shared" si="62"/>
        <v>54.646709107961101</v>
      </c>
      <c r="AA149" s="384">
        <f t="shared" si="63"/>
        <v>58.164007261104103</v>
      </c>
      <c r="AB149" s="197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6.0472074032889303E-2</v>
      </c>
      <c r="AD149" s="230">
        <f>(INDEX(Models!$BJ149:$BT149,,AH149)*(1-AF149)+INDEX(Models!$BJ149:$BT149,,AH149+1)*AF149-ERP_i)*AE149*Ramure*Pc/MaxiM</f>
        <v>4.1746658227068568E-3</v>
      </c>
      <c r="AE149" s="304">
        <f t="shared" si="65"/>
        <v>0.7</v>
      </c>
      <c r="AF149" s="177">
        <f t="shared" si="66"/>
        <v>3.6499690490332526E-2</v>
      </c>
      <c r="AG149" s="799">
        <f t="shared" si="74"/>
        <v>2</v>
      </c>
      <c r="AH149" s="176">
        <f t="shared" si="67"/>
        <v>8</v>
      </c>
      <c r="AI149" s="224">
        <f t="shared" si="68"/>
        <v>2.0364996904903325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46523</v>
      </c>
      <c r="B150" s="409">
        <f>'2026'!Wh/'2026'!Env_an*'2027'!Env_an</f>
        <v>50.870428358212806</v>
      </c>
      <c r="C150" s="829"/>
      <c r="D150" s="391">
        <f t="shared" si="50"/>
        <v>53.930520669124988</v>
      </c>
      <c r="E150" s="383">
        <f t="shared" si="72"/>
        <v>54.412025477450022</v>
      </c>
      <c r="F150" s="383">
        <f t="shared" si="51"/>
        <v>54.419381666716887</v>
      </c>
      <c r="G150" s="110">
        <f t="shared" si="73"/>
        <v>0.88169512099340674</v>
      </c>
      <c r="H150" s="412" t="b">
        <f>Wh_hp&gt;='2026'!Maxi_hp</f>
        <v>0</v>
      </c>
      <c r="I150" s="388">
        <f>IF(H150,Wh_hp,'2026'!Maxi_hp)</f>
        <v>55.435904399739371</v>
      </c>
      <c r="J150" s="85">
        <f>IF(H150,An,'2026'!An_max)</f>
        <v>2018</v>
      </c>
      <c r="K150" s="197">
        <f t="shared" si="52"/>
        <v>46523</v>
      </c>
      <c r="L150" s="147">
        <f>IF(t&lt;Tvie,1-EXP((T0-t)*PertePVj)+'2026'!Pspv,1-EXP((T0-t)*PertePVj)+Pspv)</f>
        <v>5.6741382670612239E-2</v>
      </c>
      <c r="M150" s="832"/>
      <c r="N150" s="832"/>
      <c r="O150" s="48">
        <f>IF(t&lt;Tnet,'2026'!Resal+('2026'!Salim-'2026'!Resal)*(1-EXP(('2026'!Tnet-t)/('2026'!Tau_j))),Resal+(Salim-Resal)*(1-EXP((Tnet-t)/(Tau_j))))*Salcycl</f>
        <v>8.849235147928524E-3</v>
      </c>
      <c r="P150" s="169">
        <f>(INDEX(Models!$BJ150:$BT150,,T150)*(1-R150)+INDEX(Models!$BJ150:$BT150,,T150+1)*R150-ERP_i)*Q150*Ramure*Pc/MaxiM</f>
        <v>1.6266114133056304E-4</v>
      </c>
      <c r="Q150" s="304">
        <f t="shared" si="53"/>
        <v>0.7</v>
      </c>
      <c r="R150" s="177">
        <f t="shared" si="54"/>
        <v>0.28400700961988257</v>
      </c>
      <c r="S150" s="799">
        <f t="shared" si="55"/>
        <v>-1</v>
      </c>
      <c r="T150" s="176">
        <f t="shared" si="56"/>
        <v>5</v>
      </c>
      <c r="U150" s="250">
        <f t="shared" si="57"/>
        <v>-0.71599299038011743</v>
      </c>
      <c r="V150" s="382">
        <f t="shared" si="58"/>
        <v>57.694580328651888</v>
      </c>
      <c r="W150" s="400">
        <f t="shared" si="59"/>
        <v>50.870428358212806</v>
      </c>
      <c r="X150" s="157">
        <f t="shared" si="60"/>
        <v>46523</v>
      </c>
      <c r="Y150" s="383">
        <f t="shared" si="61"/>
        <v>48.062447674852216</v>
      </c>
      <c r="Z150" s="383">
        <f t="shared" si="62"/>
        <v>50.953626918277827</v>
      </c>
      <c r="AA150" s="384">
        <f t="shared" si="63"/>
        <v>54.238149549917054</v>
      </c>
      <c r="AB150" s="197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6.0557424228058918E-2</v>
      </c>
      <c r="AD150" s="230">
        <f>(INDEX(Models!$BJ150:$BT150,,AH150)*(1-AF150)+INDEX(Models!$BJ150:$BT150,,AH150+1)*AF150-ERP_i)*AE150*Ramure*Pc/MaxiM</f>
        <v>4.0074312792906016E-3</v>
      </c>
      <c r="AE150" s="304">
        <f t="shared" si="65"/>
        <v>0.7</v>
      </c>
      <c r="AF150" s="177">
        <f t="shared" si="66"/>
        <v>3.9664840459233464E-2</v>
      </c>
      <c r="AG150" s="799">
        <f t="shared" si="74"/>
        <v>2</v>
      </c>
      <c r="AH150" s="176">
        <f t="shared" si="67"/>
        <v>8</v>
      </c>
      <c r="AI150" s="224">
        <f t="shared" si="68"/>
        <v>2.0396648404592335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46524</v>
      </c>
      <c r="B151" s="409">
        <f>'2026'!Wh/'2026'!Env_an*'2027'!Env_an</f>
        <v>55.661569806996795</v>
      </c>
      <c r="C151" s="829"/>
      <c r="D151" s="391">
        <f t="shared" si="50"/>
        <v>59.011002439949557</v>
      </c>
      <c r="E151" s="383">
        <f t="shared" si="72"/>
        <v>59.544564040229204</v>
      </c>
      <c r="F151" s="383">
        <f t="shared" si="51"/>
        <v>59.552845064842707</v>
      </c>
      <c r="G151" s="110">
        <f t="shared" si="73"/>
        <v>0.96420919473247579</v>
      </c>
      <c r="H151" s="412" t="b">
        <f>Wh_hp&gt;='2026'!Maxi_hp</f>
        <v>0</v>
      </c>
      <c r="I151" s="388">
        <f>IF(H151,Wh_hp,'2026'!Maxi_hp)</f>
        <v>59.553254003490785</v>
      </c>
      <c r="J151" s="85">
        <f>IF(H151,An,'2026'!An_max)</f>
        <v>2026</v>
      </c>
      <c r="K151" s="197">
        <f t="shared" si="52"/>
        <v>46524</v>
      </c>
      <c r="L151" s="147">
        <f>IF(t&lt;Tvie,1-EXP((T0-t)*PertePVj)+'2026'!Pspv,1-EXP((T0-t)*PertePVj)+Pspv)</f>
        <v>5.6759460006821527E-2</v>
      </c>
      <c r="M151" s="832"/>
      <c r="N151" s="832"/>
      <c r="O151" s="48">
        <f>IF(t&lt;Tnet,'2026'!Resal+('2026'!Salim-'2026'!Resal)*(1-EXP(('2026'!Tnet-t)/('2026'!Tau_j))),Resal+(Salim-Resal)*(1-EXP((Tnet-t)/(Tau_j))))*Salcycl</f>
        <v>8.9607105011158487E-3</v>
      </c>
      <c r="P151" s="169">
        <f>(INDEX(Models!$BJ151:$BT151,,T151)*(1-R151)+INDEX(Models!$BJ151:$BT151,,T151+1)*R151-ERP_i)*Q151*Ramure*Pc/MaxiM</f>
        <v>1.4654465892896209E-4</v>
      </c>
      <c r="Q151" s="304">
        <f t="shared" si="53"/>
        <v>0.7</v>
      </c>
      <c r="R151" s="177">
        <f t="shared" si="54"/>
        <v>0.28723425630786159</v>
      </c>
      <c r="S151" s="799">
        <f t="shared" si="55"/>
        <v>-1</v>
      </c>
      <c r="T151" s="176">
        <f t="shared" si="56"/>
        <v>5</v>
      </c>
      <c r="U151" s="250">
        <f t="shared" si="57"/>
        <v>-0.71276574369213841</v>
      </c>
      <c r="V151" s="382">
        <f t="shared" si="58"/>
        <v>57.727257815986199</v>
      </c>
      <c r="W151" s="400">
        <f t="shared" si="59"/>
        <v>55.661569806996795</v>
      </c>
      <c r="X151" s="157">
        <f t="shared" si="60"/>
        <v>46524</v>
      </c>
      <c r="Y151" s="383">
        <f t="shared" si="61"/>
        <v>52.574151511210886</v>
      </c>
      <c r="Z151" s="383">
        <f t="shared" si="62"/>
        <v>55.737798877464598</v>
      </c>
      <c r="AA151" s="384">
        <f t="shared" si="63"/>
        <v>59.336131012608021</v>
      </c>
      <c r="AB151" s="197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6.0643187780120601E-2</v>
      </c>
      <c r="AD151" s="230">
        <f>(INDEX(Models!$BJ151:$BT151,,AH151)*(1-AF151)+INDEX(Models!$BJ151:$BT151,,AH151+1)*AF151-ERP_i)*AE151*Ramure*Pc/MaxiM</f>
        <v>3.835067319817892E-3</v>
      </c>
      <c r="AE151" s="304">
        <f t="shared" si="65"/>
        <v>0.7</v>
      </c>
      <c r="AF151" s="177">
        <f t="shared" si="66"/>
        <v>4.2892087147212266E-2</v>
      </c>
      <c r="AG151" s="799">
        <f t="shared" si="74"/>
        <v>2</v>
      </c>
      <c r="AH151" s="176">
        <f t="shared" si="67"/>
        <v>8</v>
      </c>
      <c r="AI151" s="224">
        <f t="shared" si="68"/>
        <v>2.0428920871472123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46525</v>
      </c>
      <c r="B152" s="409">
        <f>'2026'!Wh/'2026'!Env_an*'2027'!Env_an</f>
        <v>53.347043055769639</v>
      </c>
      <c r="C152" s="829"/>
      <c r="D152" s="391">
        <f t="shared" si="50"/>
        <v>56.558283064953216</v>
      </c>
      <c r="E152" s="383">
        <f t="shared" si="72"/>
        <v>57.076092168081551</v>
      </c>
      <c r="F152" s="383">
        <f t="shared" si="51"/>
        <v>57.082788609137722</v>
      </c>
      <c r="G152" s="110">
        <f t="shared" si="73"/>
        <v>0.92363299532666088</v>
      </c>
      <c r="H152" s="412" t="b">
        <f>Wh_hp&gt;='2026'!Maxi_hp</f>
        <v>0</v>
      </c>
      <c r="I152" s="388">
        <f>IF(H152,Wh_hp,'2026'!Maxi_hp)</f>
        <v>60.850795316552379</v>
      </c>
      <c r="J152" s="85">
        <f>IF(H152,An,'2026'!An_max)</f>
        <v>2020</v>
      </c>
      <c r="K152" s="197">
        <f t="shared" si="52"/>
        <v>46525</v>
      </c>
      <c r="L152" s="147">
        <f>IF(t&lt;Tvie,1-EXP((T0-t)*PertePVj)+'2026'!Pspv,1-EXP((T0-t)*PertePVj)+Pspv)</f>
        <v>5.6777536996582723E-2</v>
      </c>
      <c r="M152" s="832"/>
      <c r="N152" s="832"/>
      <c r="O152" s="48">
        <f>IF(t&lt;Tnet,'2026'!Resal+('2026'!Salim-'2026'!Resal)*(1-EXP(('2026'!Tnet-t)/('2026'!Tau_j))),Resal+(Salim-Resal)*(1-EXP((Tnet-t)/(Tau_j))))*Salcycl</f>
        <v>9.0722592150046747E-3</v>
      </c>
      <c r="P152" s="169">
        <f>(INDEX(Models!$BJ152:$BT152,,T152)*(1-R152)+INDEX(Models!$BJ152:$BT152,,T152+1)*R152-ERP_i)*Q152*Ramure*Pc/MaxiM</f>
        <v>1.3167356230243E-4</v>
      </c>
      <c r="Q152" s="304">
        <f t="shared" si="53"/>
        <v>0.7</v>
      </c>
      <c r="R152" s="177">
        <f t="shared" si="54"/>
        <v>0.29052264048702736</v>
      </c>
      <c r="S152" s="799">
        <f t="shared" si="55"/>
        <v>-1</v>
      </c>
      <c r="T152" s="176">
        <f t="shared" si="56"/>
        <v>5</v>
      </c>
      <c r="U152" s="250">
        <f t="shared" si="57"/>
        <v>-0.70947735951297264</v>
      </c>
      <c r="V152" s="382">
        <f t="shared" si="58"/>
        <v>57.757006340691753</v>
      </c>
      <c r="W152" s="400">
        <f t="shared" si="59"/>
        <v>53.347043055769639</v>
      </c>
      <c r="X152" s="157">
        <f t="shared" si="60"/>
        <v>46525</v>
      </c>
      <c r="Y152" s="383">
        <f t="shared" si="61"/>
        <v>50.407203474359811</v>
      </c>
      <c r="Z152" s="383">
        <f t="shared" si="62"/>
        <v>53.441479026965439</v>
      </c>
      <c r="AA152" s="384">
        <f t="shared" si="63"/>
        <v>56.89678215144172</v>
      </c>
      <c r="AB152" s="197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6.0729324116772114E-2</v>
      </c>
      <c r="AD152" s="230">
        <f>(INDEX(Models!$BJ152:$BT152,,AH152)*(1-AF152)+INDEX(Models!$BJ152:$BT152,,AH152+1)*AF152-ERP_i)*AE152*Ramure*Pc/MaxiM</f>
        <v>3.6574850268446014E-3</v>
      </c>
      <c r="AE152" s="304">
        <f t="shared" si="65"/>
        <v>0.7</v>
      </c>
      <c r="AF152" s="177">
        <f t="shared" si="66"/>
        <v>4.6180471326378036E-2</v>
      </c>
      <c r="AG152" s="799">
        <f t="shared" si="74"/>
        <v>2</v>
      </c>
      <c r="AH152" s="176">
        <f t="shared" si="67"/>
        <v>8</v>
      </c>
      <c r="AI152" s="224">
        <f t="shared" si="68"/>
        <v>2.046180471326378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46526</v>
      </c>
      <c r="B153" s="409">
        <f>'2026'!Wh/'2026'!Env_an*'2027'!Env_an</f>
        <v>51.758593708958117</v>
      </c>
      <c r="C153" s="829"/>
      <c r="D153" s="391">
        <f t="shared" si="50"/>
        <v>54.875268242441862</v>
      </c>
      <c r="E153" s="383">
        <f t="shared" si="72"/>
        <v>55.383907210562235</v>
      </c>
      <c r="F153" s="383">
        <f t="shared" si="51"/>
        <v>55.389473389352368</v>
      </c>
      <c r="G153" s="110">
        <f t="shared" si="73"/>
        <v>0.89571230510304645</v>
      </c>
      <c r="H153" s="412" t="b">
        <f>Wh_hp&gt;='2026'!Maxi_hp</f>
        <v>0</v>
      </c>
      <c r="I153" s="388">
        <f>IF(H153,Wh_hp,'2026'!Maxi_hp)</f>
        <v>61.039716032201341</v>
      </c>
      <c r="J153" s="85">
        <f>IF(H153,An,'2026'!An_max)</f>
        <v>2020</v>
      </c>
      <c r="K153" s="197">
        <f t="shared" si="52"/>
        <v>46526</v>
      </c>
      <c r="L153" s="147">
        <f>IF(t&lt;Tvie,1-EXP((T0-t)*PertePVj)+'2026'!Pspv,1-EXP((T0-t)*PertePVj)+Pspv)</f>
        <v>5.6795613639902598E-2</v>
      </c>
      <c r="M153" s="832"/>
      <c r="N153" s="832"/>
      <c r="O153" s="48">
        <f>IF(t&lt;Tnet,'2026'!Resal+('2026'!Salim-'2026'!Resal)*(1-EXP(('2026'!Tnet-t)/('2026'!Tau_j))),Resal+(Salim-Resal)*(1-EXP((Tnet-t)/(Tau_j))))*Salcycl</f>
        <v>9.1838765760349442E-3</v>
      </c>
      <c r="P153" s="169">
        <f>(INDEX(Models!$BJ153:$BT153,,T153)*(1-R153)+INDEX(Models!$BJ153:$BT153,,T153+1)*R153-ERP_i)*Q153*Ramure*Pc/MaxiM</f>
        <v>1.1808096612105618E-4</v>
      </c>
      <c r="Q153" s="304">
        <f t="shared" si="53"/>
        <v>0.7</v>
      </c>
      <c r="R153" s="177">
        <f t="shared" si="54"/>
        <v>0.29387106110086447</v>
      </c>
      <c r="S153" s="799">
        <f t="shared" si="55"/>
        <v>-1</v>
      </c>
      <c r="T153" s="176">
        <f t="shared" si="56"/>
        <v>5</v>
      </c>
      <c r="U153" s="250">
        <f t="shared" si="57"/>
        <v>-0.70612893889913553</v>
      </c>
      <c r="V153" s="382">
        <f t="shared" si="58"/>
        <v>57.783825145182362</v>
      </c>
      <c r="W153" s="400">
        <f t="shared" si="59"/>
        <v>51.758593708958117</v>
      </c>
      <c r="X153" s="157">
        <f t="shared" si="60"/>
        <v>46526</v>
      </c>
      <c r="Y153" s="383">
        <f t="shared" si="61"/>
        <v>48.921268555470867</v>
      </c>
      <c r="Z153" s="383">
        <f t="shared" si="62"/>
        <v>51.86709186570053</v>
      </c>
      <c r="AA153" s="384">
        <f t="shared" si="63"/>
        <v>55.225685615474418</v>
      </c>
      <c r="AB153" s="197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6.0815790919448581E-2</v>
      </c>
      <c r="AD153" s="230">
        <f>(INDEX(Models!$BJ153:$BT153,,AH153)*(1-AF153)+INDEX(Models!$BJ153:$BT153,,AH153+1)*AF153-ERP_i)*AE153*Ramure*Pc/MaxiM</f>
        <v>3.4745952847576862E-3</v>
      </c>
      <c r="AE153" s="304">
        <f t="shared" si="65"/>
        <v>0.7</v>
      </c>
      <c r="AF153" s="177">
        <f t="shared" si="66"/>
        <v>4.952889194021548E-2</v>
      </c>
      <c r="AG153" s="799">
        <f t="shared" si="74"/>
        <v>2</v>
      </c>
      <c r="AH153" s="176">
        <f t="shared" si="67"/>
        <v>8</v>
      </c>
      <c r="AI153" s="224">
        <f t="shared" si="68"/>
        <v>2.0495288919402155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46527</v>
      </c>
      <c r="B154" s="409">
        <f>'2026'!Wh/'2026'!Env_an*'2027'!Env_an</f>
        <v>50.184006139664987</v>
      </c>
      <c r="C154" s="829"/>
      <c r="D154" s="391">
        <f t="shared" si="50"/>
        <v>53.206885643093834</v>
      </c>
      <c r="E154" s="383">
        <f t="shared" si="72"/>
        <v>53.706113904118773</v>
      </c>
      <c r="F154" s="383">
        <f t="shared" si="51"/>
        <v>53.710725996878772</v>
      </c>
      <c r="G154" s="110">
        <f t="shared" si="73"/>
        <v>0.86810224424091098</v>
      </c>
      <c r="H154" s="412" t="b">
        <f>Wh_hp&gt;='2026'!Maxi_hp</f>
        <v>0</v>
      </c>
      <c r="I154" s="388">
        <f>IF(H154,Wh_hp,'2026'!Maxi_hp)</f>
        <v>60.491890433923544</v>
      </c>
      <c r="J154" s="85">
        <f>IF(H154,An,'2026'!An_max)</f>
        <v>2020</v>
      </c>
      <c r="K154" s="197">
        <f t="shared" si="52"/>
        <v>46527</v>
      </c>
      <c r="L154" s="147">
        <f>IF(t&lt;Tvie,1-EXP((T0-t)*PertePVj)+'2026'!Pspv,1-EXP((T0-t)*PertePVj)+Pspv)</f>
        <v>5.6813689936787592E-2</v>
      </c>
      <c r="M154" s="832"/>
      <c r="N154" s="832"/>
      <c r="O154" s="48">
        <f>IF(t&lt;Tnet,'2026'!Resal+('2026'!Salim-'2026'!Resal)*(1-EXP(('2026'!Tnet-t)/('2026'!Tau_j))),Resal+(Salim-Resal)*(1-EXP((Tnet-t)/(Tau_j))))*Salcycl</f>
        <v>9.2955573347982996E-3</v>
      </c>
      <c r="P154" s="169">
        <f>(INDEX(Models!$BJ154:$BT154,,T154)*(1-R154)+INDEX(Models!$BJ154:$BT154,,T154+1)*R154-ERP_i)*Q154*Ramure*Pc/MaxiM</f>
        <v>1.0580235053746727E-4</v>
      </c>
      <c r="Q154" s="304">
        <f t="shared" si="53"/>
        <v>0.7</v>
      </c>
      <c r="R154" s="177">
        <f t="shared" si="54"/>
        <v>0.29727827334699297</v>
      </c>
      <c r="S154" s="799">
        <f t="shared" si="55"/>
        <v>-1</v>
      </c>
      <c r="T154" s="176">
        <f t="shared" si="56"/>
        <v>5</v>
      </c>
      <c r="U154" s="250">
        <f t="shared" si="57"/>
        <v>-0.70272172665300703</v>
      </c>
      <c r="V154" s="382">
        <f t="shared" si="58"/>
        <v>57.807713385492811</v>
      </c>
      <c r="W154" s="400">
        <f t="shared" si="59"/>
        <v>50.184006139664987</v>
      </c>
      <c r="X154" s="157">
        <f t="shared" si="60"/>
        <v>46527</v>
      </c>
      <c r="Y154" s="383">
        <f t="shared" si="61"/>
        <v>47.447058362452466</v>
      </c>
      <c r="Z154" s="383">
        <f t="shared" si="62"/>
        <v>50.305075313564039</v>
      </c>
      <c r="AA154" s="384">
        <f t="shared" si="63"/>
        <v>53.56747055752794</v>
      </c>
      <c r="AB154" s="197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6.0902544212168938E-2</v>
      </c>
      <c r="AD154" s="230">
        <f>(INDEX(Models!$BJ154:$BT154,,AH154)*(1-AF154)+INDEX(Models!$BJ154:$BT154,,AH154+1)*AF154-ERP_i)*AE154*Ramure*Pc/MaxiM</f>
        <v>3.2863090573645283E-3</v>
      </c>
      <c r="AE154" s="304">
        <f t="shared" si="65"/>
        <v>0.7</v>
      </c>
      <c r="AF154" s="177">
        <f t="shared" si="66"/>
        <v>5.2936104186343869E-2</v>
      </c>
      <c r="AG154" s="799">
        <f t="shared" si="74"/>
        <v>2</v>
      </c>
      <c r="AH154" s="176">
        <f t="shared" si="67"/>
        <v>8</v>
      </c>
      <c r="AI154" s="224">
        <f t="shared" si="68"/>
        <v>2.0529361041863439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46528</v>
      </c>
      <c r="B155" s="409">
        <f>'2026'!Wh/'2026'!Env_an*'2027'!Env_an</f>
        <v>54.960689691396993</v>
      </c>
      <c r="C155" s="829"/>
      <c r="D155" s="391">
        <f t="shared" si="50"/>
        <v>58.272413874391006</v>
      </c>
      <c r="E155" s="383">
        <f t="shared" si="72"/>
        <v>58.82580562326735</v>
      </c>
      <c r="F155" s="383">
        <f t="shared" si="51"/>
        <v>58.830991791690309</v>
      </c>
      <c r="G155" s="110">
        <f t="shared" si="73"/>
        <v>0.95039917210081148</v>
      </c>
      <c r="H155" s="412" t="b">
        <f>Wh_hp&gt;='2026'!Maxi_hp</f>
        <v>0</v>
      </c>
      <c r="I155" s="388">
        <f>IF(H155,Wh_hp,'2026'!Maxi_hp)</f>
        <v>59.791074222210042</v>
      </c>
      <c r="J155" s="85">
        <f>IF(H155,An,'2026'!An_max)</f>
        <v>2020</v>
      </c>
      <c r="K155" s="197">
        <f t="shared" si="52"/>
        <v>46528</v>
      </c>
      <c r="L155" s="147">
        <f>IF(t&lt;Tvie,1-EXP((T0-t)*PertePVj)+'2026'!Pspv,1-EXP((T0-t)*PertePVj)+Pspv)</f>
        <v>5.683176588724459E-2</v>
      </c>
      <c r="M155" s="832"/>
      <c r="N155" s="832"/>
      <c r="O155" s="48">
        <f>IF(t&lt;Tnet,'2026'!Resal+('2026'!Salim-'2026'!Resal)*(1-EXP(('2026'!Tnet-t)/('2026'!Tau_j))),Resal+(Salim-Resal)*(1-EXP((Tnet-t)/(Tau_j))))*Salcycl</f>
        <v>9.4072957099878337E-3</v>
      </c>
      <c r="P155" s="169">
        <f>(INDEX(Models!$BJ155:$BT155,,T155)*(1-R155)+INDEX(Models!$BJ155:$BT155,,T155+1)*R155-ERP_i)*Q155*Ramure*Pc/MaxiM</f>
        <v>9.4875535615685988E-5</v>
      </c>
      <c r="Q155" s="304">
        <f t="shared" si="53"/>
        <v>0.7</v>
      </c>
      <c r="R155" s="177">
        <f t="shared" si="54"/>
        <v>0.30074288736374732</v>
      </c>
      <c r="S155" s="799">
        <f t="shared" si="55"/>
        <v>-1</v>
      </c>
      <c r="T155" s="176">
        <f t="shared" si="56"/>
        <v>5</v>
      </c>
      <c r="U155" s="250">
        <f t="shared" si="57"/>
        <v>-0.69925711263625268</v>
      </c>
      <c r="V155" s="382">
        <f t="shared" si="58"/>
        <v>57.828670136062527</v>
      </c>
      <c r="W155" s="400">
        <f t="shared" si="59"/>
        <v>54.960689691396993</v>
      </c>
      <c r="X155" s="157">
        <f t="shared" si="60"/>
        <v>46528</v>
      </c>
      <c r="Y155" s="383">
        <f t="shared" si="61"/>
        <v>51.953648672308354</v>
      </c>
      <c r="Z155" s="383">
        <f t="shared" si="62"/>
        <v>55.084179887781623</v>
      </c>
      <c r="AA155" s="384">
        <f t="shared" si="63"/>
        <v>58.661944828120888</v>
      </c>
      <c r="AB155" s="197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6.0989538461810211E-2</v>
      </c>
      <c r="AD155" s="230">
        <f>(INDEX(Models!$BJ155:$BT155,,AH155)*(1-AF155)+INDEX(Models!$BJ155:$BT155,,AH155+1)*AF155-ERP_i)*AE155*Ramure*Pc/MaxiM</f>
        <v>3.0925376703643623E-3</v>
      </c>
      <c r="AE155" s="304">
        <f t="shared" si="65"/>
        <v>0.7</v>
      </c>
      <c r="AF155" s="177">
        <f t="shared" si="66"/>
        <v>5.6400718203097888E-2</v>
      </c>
      <c r="AG155" s="799">
        <f t="shared" si="74"/>
        <v>2</v>
      </c>
      <c r="AH155" s="176">
        <f t="shared" si="67"/>
        <v>8</v>
      </c>
      <c r="AI155" s="224">
        <f t="shared" si="68"/>
        <v>2.0564007182030979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46529</v>
      </c>
      <c r="B156" s="409">
        <f>'2026'!Wh/'2026'!Env_an*'2027'!Env_an</f>
        <v>41.809238547269729</v>
      </c>
      <c r="C156" s="829"/>
      <c r="D156" s="391">
        <f t="shared" si="50"/>
        <v>44.329355373673707</v>
      </c>
      <c r="E156" s="383">
        <f t="shared" si="72"/>
        <v>44.755385712161377</v>
      </c>
      <c r="F156" s="383">
        <f t="shared" si="51"/>
        <v>44.757700228352356</v>
      </c>
      <c r="G156" s="110">
        <f t="shared" si="73"/>
        <v>0.72273503151561413</v>
      </c>
      <c r="H156" s="412" t="b">
        <f>Wh_hp&gt;='2026'!Maxi_hp</f>
        <v>0</v>
      </c>
      <c r="I156" s="388">
        <f>IF(H156,Wh_hp,'2026'!Maxi_hp)</f>
        <v>60.114527951171105</v>
      </c>
      <c r="J156" s="85">
        <f>IF(H156,An,'2026'!An_max)</f>
        <v>2018</v>
      </c>
      <c r="K156" s="197">
        <f t="shared" si="52"/>
        <v>46529</v>
      </c>
      <c r="L156" s="147">
        <f>IF(t&lt;Tvie,1-EXP((T0-t)*PertePVj)+'2026'!Pspv,1-EXP((T0-t)*PertePVj)+Pspv)</f>
        <v>5.684984149128014E-2</v>
      </c>
      <c r="M156" s="832"/>
      <c r="N156" s="832"/>
      <c r="O156" s="48">
        <f>IF(t&lt;Tnet,'2026'!Resal+('2026'!Salim-'2026'!Resal)*(1-EXP(('2026'!Tnet-t)/('2026'!Tau_j))),Resal+(Salim-Resal)*(1-EXP((Tnet-t)/(Tau_j))))*Salcycl</f>
        <v>9.5190853951663754E-3</v>
      </c>
      <c r="P156" s="169">
        <f>(INDEX(Models!$BJ156:$BT156,,T156)*(1-R156)+INDEX(Models!$BJ156:$BT156,,T156+1)*R156-ERP_i)*Q156*Ramure*Pc/MaxiM</f>
        <v>8.5624309081322336E-5</v>
      </c>
      <c r="Q156" s="304">
        <f t="shared" si="53"/>
        <v>0.7</v>
      </c>
      <c r="R156" s="177">
        <f t="shared" si="54"/>
        <v>0.30426336756019179</v>
      </c>
      <c r="S156" s="799">
        <f t="shared" si="55"/>
        <v>-1</v>
      </c>
      <c r="T156" s="176">
        <f t="shared" si="56"/>
        <v>5</v>
      </c>
      <c r="U156" s="250">
        <f t="shared" si="57"/>
        <v>-0.69573663243980821</v>
      </c>
      <c r="V156" s="382">
        <f t="shared" si="58"/>
        <v>57.846677978310673</v>
      </c>
      <c r="W156" s="400">
        <f t="shared" si="59"/>
        <v>41.809238547269729</v>
      </c>
      <c r="X156" s="157">
        <f t="shared" si="60"/>
        <v>46529</v>
      </c>
      <c r="Y156" s="383">
        <f t="shared" si="61"/>
        <v>39.565534003958838</v>
      </c>
      <c r="Z156" s="383">
        <f t="shared" si="62"/>
        <v>41.950408052222194</v>
      </c>
      <c r="AA156" s="384">
        <f t="shared" si="63"/>
        <v>44.679271719741912</v>
      </c>
      <c r="AB156" s="197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6.1076726689659737E-2</v>
      </c>
      <c r="AD156" s="230">
        <f>(INDEX(Models!$BJ156:$BT156,,AH156)*(1-AF156)+INDEX(Models!$BJ156:$BT156,,AH156+1)*AF156-ERP_i)*AE156*Ramure*Pc/MaxiM</f>
        <v>2.9014214237125177E-3</v>
      </c>
      <c r="AE156" s="304">
        <f t="shared" si="65"/>
        <v>0.7</v>
      </c>
      <c r="AF156" s="177">
        <f t="shared" si="66"/>
        <v>5.9921198399542686E-2</v>
      </c>
      <c r="AG156" s="799">
        <f t="shared" si="74"/>
        <v>2</v>
      </c>
      <c r="AH156" s="176">
        <f t="shared" si="67"/>
        <v>8</v>
      </c>
      <c r="AI156" s="224">
        <f t="shared" si="68"/>
        <v>2.0599211983995427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46530</v>
      </c>
      <c r="B157" s="409">
        <f>'2026'!Wh/'2026'!Env_an*'2027'!Env_an</f>
        <v>17.39103969645091</v>
      </c>
      <c r="C157" s="829"/>
      <c r="D157" s="391">
        <f t="shared" si="50"/>
        <v>18.439665032390511</v>
      </c>
      <c r="E157" s="383">
        <f t="shared" si="72"/>
        <v>18.618982959721571</v>
      </c>
      <c r="F157" s="383">
        <f t="shared" si="51"/>
        <v>18.618984114439055</v>
      </c>
      <c r="G157" s="110">
        <f t="shared" si="73"/>
        <v>0.30053855879050512</v>
      </c>
      <c r="H157" s="412" t="b">
        <f>Wh_hp&gt;='2026'!Maxi_hp</f>
        <v>0</v>
      </c>
      <c r="I157" s="388">
        <f>IF(H157,Wh_hp,'2026'!Maxi_hp)</f>
        <v>59.059449252254765</v>
      </c>
      <c r="J157" s="85">
        <f>IF(H157,An,'2026'!An_max)</f>
        <v>2018</v>
      </c>
      <c r="K157" s="197">
        <f t="shared" si="52"/>
        <v>46530</v>
      </c>
      <c r="L157" s="147">
        <f>IF(t&lt;Tvie,1-EXP((T0-t)*PertePVj)+'2026'!Pspv,1-EXP((T0-t)*PertePVj)+Pspv)</f>
        <v>5.6867916748900793E-2</v>
      </c>
      <c r="M157" s="832"/>
      <c r="N157" s="832"/>
      <c r="O157" s="48">
        <f>IF(t&lt;Tnet,'2026'!Resal+('2026'!Salim-'2026'!Resal)*(1-EXP(('2026'!Tnet-t)/('2026'!Tau_j))),Resal+(Salim-Resal)*(1-EXP((Tnet-t)/(Tau_j))))*Salcycl</f>
        <v>9.6309195684305994E-3</v>
      </c>
      <c r="P157" s="169">
        <f>(INDEX(Models!$BJ157:$BT157,,T157)*(1-R157)+INDEX(Models!$BJ157:$BT157,,T157+1)*R157-ERP_i)*Q157*Ramure*Pc/MaxiM</f>
        <v>7.7278979249580893E-5</v>
      </c>
      <c r="Q157" s="304">
        <f t="shared" si="53"/>
        <v>0.7</v>
      </c>
      <c r="R157" s="177">
        <f t="shared" si="54"/>
        <v>0.3078380326256096</v>
      </c>
      <c r="S157" s="799">
        <f t="shared" si="55"/>
        <v>-1</v>
      </c>
      <c r="T157" s="176">
        <f t="shared" si="56"/>
        <v>5</v>
      </c>
      <c r="U157" s="250">
        <f t="shared" si="57"/>
        <v>-0.6921619673743904</v>
      </c>
      <c r="V157" s="382">
        <f t="shared" si="58"/>
        <v>57.861782804568584</v>
      </c>
      <c r="W157" s="400">
        <f t="shared" si="59"/>
        <v>17.39103969645091</v>
      </c>
      <c r="X157" s="157">
        <f t="shared" si="60"/>
        <v>46530</v>
      </c>
      <c r="Y157" s="383">
        <f t="shared" si="61"/>
        <v>16.486074559665088</v>
      </c>
      <c r="Z157" s="383">
        <f t="shared" si="62"/>
        <v>17.480133326432327</v>
      </c>
      <c r="AA157" s="384">
        <f t="shared" si="63"/>
        <v>18.61894351583074</v>
      </c>
      <c r="AB157" s="197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6.1164060593993388E-2</v>
      </c>
      <c r="AD157" s="230">
        <f>(INDEX(Models!$BJ157:$BT157,,AH157)*(1-AF157)+INDEX(Models!$BJ157:$BT157,,AH157+1)*AF157-ERP_i)*AE157*Ramure*Pc/MaxiM</f>
        <v>2.7170446905698548E-3</v>
      </c>
      <c r="AE157" s="304">
        <f t="shared" si="65"/>
        <v>0.7</v>
      </c>
      <c r="AF157" s="177">
        <f t="shared" si="66"/>
        <v>6.34958634649605E-2</v>
      </c>
      <c r="AG157" s="799">
        <f t="shared" si="74"/>
        <v>2</v>
      </c>
      <c r="AH157" s="176">
        <f t="shared" si="67"/>
        <v>8</v>
      </c>
      <c r="AI157" s="224">
        <f t="shared" si="68"/>
        <v>2.0634958634649605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46531</v>
      </c>
      <c r="B158" s="409">
        <f>'2026'!Wh/'2026'!Env_an*'2027'!Env_an</f>
        <v>15.113551626614024</v>
      </c>
      <c r="C158" s="829"/>
      <c r="D158" s="391">
        <f t="shared" si="50"/>
        <v>16.0251586690114</v>
      </c>
      <c r="E158" s="383">
        <f t="shared" si="72"/>
        <v>16.182824544804173</v>
      </c>
      <c r="F158" s="383">
        <f t="shared" si="51"/>
        <v>16.182824544804173</v>
      </c>
      <c r="G158" s="110">
        <f t="shared" si="73"/>
        <v>0.26112761765239362</v>
      </c>
      <c r="H158" s="412" t="b">
        <f>Wh_hp&gt;='2026'!Maxi_hp</f>
        <v>0</v>
      </c>
      <c r="I158" s="388">
        <f>IF(H158,Wh_hp,'2026'!Maxi_hp)</f>
        <v>26.660992397930677</v>
      </c>
      <c r="J158" s="85">
        <f>IF(H158,An,'2026'!An_max)</f>
        <v>2021</v>
      </c>
      <c r="K158" s="197">
        <f t="shared" si="52"/>
        <v>46531</v>
      </c>
      <c r="L158" s="147">
        <f>IF(t&lt;Tvie,1-EXP((T0-t)*PertePVj)+'2026'!Pspv,1-EXP((T0-t)*PertePVj)+Pspv)</f>
        <v>5.6885991660113322E-2</v>
      </c>
      <c r="M158" s="832"/>
      <c r="N158" s="832"/>
      <c r="O158" s="48">
        <f>IF(t&lt;Tnet,'2026'!Resal+('2026'!Salim-'2026'!Resal)*(1-EXP(('2026'!Tnet-t)/('2026'!Tau_j))),Resal+(Salim-Resal)*(1-EXP((Tnet-t)/(Tau_j))))*Salcycl</f>
        <v>9.7427909050273719E-3</v>
      </c>
      <c r="P158" s="169">
        <f>(INDEX(Models!$BJ158:$BT158,,T158)*(1-R158)+INDEX(Models!$BJ158:$BT158,,T158+1)*R158-ERP_i)*Q158*Ramure*Pc/MaxiM</f>
        <v>6.9870998188301255E-5</v>
      </c>
      <c r="Q158" s="304">
        <f t="shared" si="53"/>
        <v>0.7</v>
      </c>
      <c r="R158" s="177">
        <f t="shared" si="54"/>
        <v>0.31146505625027321</v>
      </c>
      <c r="S158" s="799">
        <f t="shared" si="55"/>
        <v>-1</v>
      </c>
      <c r="T158" s="176">
        <f t="shared" si="56"/>
        <v>5</v>
      </c>
      <c r="U158" s="250">
        <f t="shared" si="57"/>
        <v>-0.68853494374972679</v>
      </c>
      <c r="V158" s="382">
        <f t="shared" si="58"/>
        <v>57.87398423629427</v>
      </c>
      <c r="W158" s="400">
        <f t="shared" si="59"/>
        <v>15.113551626614024</v>
      </c>
      <c r="X158" s="157">
        <f t="shared" si="60"/>
        <v>46531</v>
      </c>
      <c r="Y158" s="383">
        <f t="shared" si="61"/>
        <v>14.327413049515933</v>
      </c>
      <c r="Z158" s="383">
        <f t="shared" si="62"/>
        <v>15.19160241796823</v>
      </c>
      <c r="AA158" s="384">
        <f t="shared" si="63"/>
        <v>16.182824544804173</v>
      </c>
      <c r="AB158" s="197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6.1251490683324299E-2</v>
      </c>
      <c r="AD158" s="230">
        <f>(INDEX(Models!$BJ158:$BT158,,AH158)*(1-AF158)+INDEX(Models!$BJ158:$BT158,,AH158+1)*AF158-ERP_i)*AE158*Ramure*Pc/MaxiM</f>
        <v>2.5393625655432709E-3</v>
      </c>
      <c r="AE158" s="304">
        <f t="shared" si="65"/>
        <v>0.7</v>
      </c>
      <c r="AF158" s="177">
        <f t="shared" si="66"/>
        <v>6.7122887089623884E-2</v>
      </c>
      <c r="AG158" s="799">
        <f t="shared" si="74"/>
        <v>2</v>
      </c>
      <c r="AH158" s="176">
        <f t="shared" si="67"/>
        <v>8</v>
      </c>
      <c r="AI158" s="224">
        <f t="shared" si="68"/>
        <v>2.0671228870896239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46532</v>
      </c>
      <c r="B159" s="409">
        <f>'2026'!Wh/'2026'!Env_an*'2027'!Env_an</f>
        <v>41.76238484330969</v>
      </c>
      <c r="C159" s="829"/>
      <c r="D159" s="391">
        <f t="shared" si="50"/>
        <v>44.282223417230675</v>
      </c>
      <c r="E159" s="383">
        <f t="shared" si="72"/>
        <v>44.722954339371064</v>
      </c>
      <c r="F159" s="383">
        <f t="shared" si="51"/>
        <v>44.724662627333302</v>
      </c>
      <c r="G159" s="110">
        <f t="shared" si="73"/>
        <v>0.7214748280217933</v>
      </c>
      <c r="H159" s="412" t="b">
        <f>Wh_hp&gt;='2026'!Maxi_hp</f>
        <v>0</v>
      </c>
      <c r="I159" s="388">
        <f>IF(H159,Wh_hp,'2026'!Maxi_hp)</f>
        <v>56.87087566419774</v>
      </c>
      <c r="J159" s="85">
        <f>IF(H159,An,'2026'!An_max)</f>
        <v>2020</v>
      </c>
      <c r="K159" s="197">
        <f t="shared" si="52"/>
        <v>46532</v>
      </c>
      <c r="L159" s="147">
        <f>IF(t&lt;Tvie,1-EXP((T0-t)*PertePVj)+'2026'!Pspv,1-EXP((T0-t)*PertePVj)+Pspv)</f>
        <v>5.6904066224924277E-2</v>
      </c>
      <c r="M159" s="832"/>
      <c r="N159" s="832"/>
      <c r="O159" s="48">
        <f>IF(t&lt;Tnet,'2026'!Resal+('2026'!Salim-'2026'!Resal)*(1-EXP(('2026'!Tnet-t)/('2026'!Tau_j))),Resal+(Salim-Resal)*(1-EXP((Tnet-t)/(Tau_j))))*Salcycl</f>
        <v>9.8546915929566686E-3</v>
      </c>
      <c r="P159" s="169">
        <f>(INDEX(Models!$BJ159:$BT159,,T159)*(1-R159)+INDEX(Models!$BJ159:$BT159,,T159+1)*R159-ERP_i)*Q159*Ramure*Pc/MaxiM</f>
        <v>6.3433933390340307E-5</v>
      </c>
      <c r="Q159" s="304">
        <f t="shared" si="53"/>
        <v>0.7</v>
      </c>
      <c r="R159" s="177">
        <f t="shared" si="54"/>
        <v>0.31514246858444694</v>
      </c>
      <c r="S159" s="799">
        <f t="shared" si="55"/>
        <v>-1</v>
      </c>
      <c r="T159" s="176">
        <f t="shared" si="56"/>
        <v>5</v>
      </c>
      <c r="U159" s="250">
        <f t="shared" si="57"/>
        <v>-0.68485753141555306</v>
      </c>
      <c r="V159" s="382">
        <f t="shared" si="58"/>
        <v>57.883281814594149</v>
      </c>
      <c r="W159" s="400">
        <f t="shared" si="59"/>
        <v>41.76238484330969</v>
      </c>
      <c r="X159" s="157">
        <f t="shared" si="60"/>
        <v>46532</v>
      </c>
      <c r="Y159" s="383">
        <f t="shared" si="61"/>
        <v>39.535930303498731</v>
      </c>
      <c r="Z159" s="383">
        <f t="shared" si="62"/>
        <v>41.921430140454703</v>
      </c>
      <c r="AA159" s="384">
        <f t="shared" si="63"/>
        <v>44.660882513214233</v>
      </c>
      <c r="AB159" s="197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6.1338966419863777E-2</v>
      </c>
      <c r="AD159" s="230">
        <f>(INDEX(Models!$BJ159:$BT159,,AH159)*(1-AF159)+INDEX(Models!$BJ159:$BT159,,AH159+1)*AF159-ERP_i)*AE159*Ramure*Pc/MaxiM</f>
        <v>2.3683498333407233E-3</v>
      </c>
      <c r="AE159" s="304">
        <f t="shared" si="65"/>
        <v>0.7</v>
      </c>
      <c r="AF159" s="177">
        <f t="shared" si="66"/>
        <v>7.0800299423797508E-2</v>
      </c>
      <c r="AG159" s="799">
        <f t="shared" si="74"/>
        <v>2</v>
      </c>
      <c r="AH159" s="176">
        <f t="shared" si="67"/>
        <v>8</v>
      </c>
      <c r="AI159" s="224">
        <f t="shared" si="68"/>
        <v>2.0708002994237975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46533</v>
      </c>
      <c r="B160" s="409">
        <f>'2026'!Wh/'2026'!Env_an*'2027'!Env_an</f>
        <v>30.697780615958404</v>
      </c>
      <c r="C160" s="829"/>
      <c r="D160" s="391">
        <f t="shared" si="50"/>
        <v>32.550632278006624</v>
      </c>
      <c r="E160" s="383">
        <f t="shared" si="72"/>
        <v>32.878317758758278</v>
      </c>
      <c r="F160" s="383">
        <f t="shared" si="51"/>
        <v>32.87894513324833</v>
      </c>
      <c r="G160" s="110">
        <f t="shared" si="73"/>
        <v>0.53026011580443133</v>
      </c>
      <c r="H160" s="412" t="b">
        <f>Wh_hp&gt;='2026'!Maxi_hp</f>
        <v>0</v>
      </c>
      <c r="I160" s="388">
        <f>IF(H160,Wh_hp,'2026'!Maxi_hp)</f>
        <v>60.853144099626277</v>
      </c>
      <c r="J160" s="85">
        <f>IF(H160,An,'2026'!An_max)</f>
        <v>2020</v>
      </c>
      <c r="K160" s="197">
        <f t="shared" si="52"/>
        <v>46533</v>
      </c>
      <c r="L160" s="147">
        <f>IF(t&lt;Tvie,1-EXP((T0-t)*PertePVj)+'2026'!Pspv,1-EXP((T0-t)*PertePVj)+Pspv)</f>
        <v>5.6922140443340319E-2</v>
      </c>
      <c r="M160" s="832"/>
      <c r="N160" s="832"/>
      <c r="O160" s="48">
        <f>IF(t&lt;Tnet,'2026'!Resal+('2026'!Salim-'2026'!Resal)*(1-EXP(('2026'!Tnet-t)/('2026'!Tau_j))),Resal+(Salim-Resal)*(1-EXP((Tnet-t)/(Tau_j))))*Salcycl</f>
        <v>9.9666133515715957E-3</v>
      </c>
      <c r="P160" s="169">
        <f>(INDEX(Models!$BJ160:$BT160,,T160)*(1-R160)+INDEX(Models!$BJ160:$BT160,,T160+1)*R160-ERP_i)*Q160*Ramure*Pc/MaxiM</f>
        <v>5.800285550263958E-5</v>
      </c>
      <c r="Q160" s="304">
        <f t="shared" si="53"/>
        <v>0.7</v>
      </c>
      <c r="R160" s="177">
        <f t="shared" si="54"/>
        <v>0.3188681584571128</v>
      </c>
      <c r="S160" s="799">
        <f t="shared" si="55"/>
        <v>-1</v>
      </c>
      <c r="T160" s="176">
        <f t="shared" si="56"/>
        <v>5</v>
      </c>
      <c r="U160" s="250">
        <f t="shared" si="57"/>
        <v>-0.6811318415428872</v>
      </c>
      <c r="V160" s="382">
        <f t="shared" si="58"/>
        <v>57.889675037308173</v>
      </c>
      <c r="W160" s="400">
        <f t="shared" si="59"/>
        <v>30.697780615958404</v>
      </c>
      <c r="X160" s="157">
        <f t="shared" si="60"/>
        <v>46533</v>
      </c>
      <c r="Y160" s="383">
        <f t="shared" si="61"/>
        <v>29.081629875063882</v>
      </c>
      <c r="Z160" s="383">
        <f t="shared" si="62"/>
        <v>30.836934172895479</v>
      </c>
      <c r="AA160" s="384">
        <f t="shared" si="63"/>
        <v>32.855106267555612</v>
      </c>
      <c r="AB160" s="197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6.1426436372634001E-2</v>
      </c>
      <c r="AD160" s="230">
        <f>(INDEX(Models!$BJ160:$BT160,,AH160)*(1-AF160)+INDEX(Models!$BJ160:$BT160,,AH160+1)*AF160-ERP_i)*AE160*Ramure*Pc/MaxiM</f>
        <v>2.2039823168456406E-3</v>
      </c>
      <c r="AE160" s="304">
        <f t="shared" si="65"/>
        <v>0.7</v>
      </c>
      <c r="AF160" s="177">
        <f t="shared" si="66"/>
        <v>7.4525989296463369E-2</v>
      </c>
      <c r="AG160" s="799">
        <f t="shared" si="74"/>
        <v>2</v>
      </c>
      <c r="AH160" s="176">
        <f t="shared" si="67"/>
        <v>8</v>
      </c>
      <c r="AI160" s="224">
        <f t="shared" si="68"/>
        <v>2.0745259892964634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46534</v>
      </c>
      <c r="B161" s="409">
        <f>'2026'!Wh/'2026'!Env_an*'2027'!Env_an</f>
        <v>45.727574784694347</v>
      </c>
      <c r="C161" s="829"/>
      <c r="D161" s="391">
        <f t="shared" si="50"/>
        <v>48.488521596218376</v>
      </c>
      <c r="E161" s="383">
        <f t="shared" si="72"/>
        <v>48.982190931885206</v>
      </c>
      <c r="F161" s="383">
        <f t="shared" si="51"/>
        <v>48.984028782577361</v>
      </c>
      <c r="G161" s="110">
        <f t="shared" si="73"/>
        <v>0.78984868194355684</v>
      </c>
      <c r="H161" s="412" t="b">
        <f>Wh_hp&gt;='2026'!Maxi_hp</f>
        <v>0</v>
      </c>
      <c r="I161" s="388">
        <f>IF(H161,Wh_hp,'2026'!Maxi_hp)</f>
        <v>61.029310689463564</v>
      </c>
      <c r="J161" s="85">
        <f>IF(H161,An,'2026'!An_max)</f>
        <v>2021</v>
      </c>
      <c r="K161" s="197">
        <f t="shared" si="52"/>
        <v>46534</v>
      </c>
      <c r="L161" s="147">
        <f>IF(t&lt;Tvie,1-EXP((T0-t)*PertePVj)+'2026'!Pspv,1-EXP((T0-t)*PertePVj)+Pspv)</f>
        <v>5.694021431536811E-2</v>
      </c>
      <c r="M161" s="832"/>
      <c r="N161" s="832"/>
      <c r="O161" s="48">
        <f>IF(t&lt;Tnet,'2026'!Resal+('2026'!Salim-'2026'!Resal)*(1-EXP(('2026'!Tnet-t)/('2026'!Tau_j))),Resal+(Salim-Resal)*(1-EXP((Tnet-t)/(Tau_j))))*Salcycl</f>
        <v>1.0078547453161685E-2</v>
      </c>
      <c r="P161" s="169">
        <f>(INDEX(Models!$BJ161:$BT161,,T161)*(1-R161)+INDEX(Models!$BJ161:$BT161,,T161+1)*R161-ERP_i)*Q161*Ramure*Pc/MaxiM</f>
        <v>5.3614288816748436E-5</v>
      </c>
      <c r="Q161" s="304">
        <f t="shared" si="53"/>
        <v>0.7</v>
      </c>
      <c r="R161" s="177">
        <f t="shared" si="54"/>
        <v>0.32263987636989344</v>
      </c>
      <c r="S161" s="799">
        <f t="shared" si="55"/>
        <v>-1</v>
      </c>
      <c r="T161" s="176">
        <f t="shared" si="56"/>
        <v>5</v>
      </c>
      <c r="U161" s="250">
        <f t="shared" si="57"/>
        <v>-0.67736012363010656</v>
      </c>
      <c r="V161" s="382">
        <f t="shared" si="58"/>
        <v>57.8931633635151</v>
      </c>
      <c r="W161" s="400">
        <f t="shared" si="59"/>
        <v>45.727574784694347</v>
      </c>
      <c r="X161" s="157">
        <f t="shared" si="60"/>
        <v>46534</v>
      </c>
      <c r="Y161" s="383">
        <f t="shared" si="61"/>
        <v>43.291163461209223</v>
      </c>
      <c r="Z161" s="383">
        <f t="shared" si="62"/>
        <v>45.90500424082996</v>
      </c>
      <c r="AA161" s="384">
        <f t="shared" si="63"/>
        <v>48.913885582188435</v>
      </c>
      <c r="AB161" s="197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6.151384837957205E-2</v>
      </c>
      <c r="AD161" s="230">
        <f>(INDEX(Models!$BJ161:$BT161,,AH161)*(1-AF161)+INDEX(Models!$BJ161:$BT161,,AH161+1)*AF161-ERP_i)*AE161*Ramure*Pc/MaxiM</f>
        <v>2.0462368462428925E-3</v>
      </c>
      <c r="AE161" s="304">
        <f t="shared" si="65"/>
        <v>0.7</v>
      </c>
      <c r="AF161" s="177">
        <f t="shared" si="66"/>
        <v>7.8297707209244116E-2</v>
      </c>
      <c r="AG161" s="799">
        <f t="shared" si="74"/>
        <v>2</v>
      </c>
      <c r="AH161" s="176">
        <f t="shared" si="67"/>
        <v>8</v>
      </c>
      <c r="AI161" s="224">
        <f t="shared" si="68"/>
        <v>2.0782977072092441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46535</v>
      </c>
      <c r="B162" s="409">
        <f>'2026'!Wh/'2026'!Env_an*'2027'!Env_an</f>
        <v>53.952428709518102</v>
      </c>
      <c r="C162" s="829"/>
      <c r="D162" s="391">
        <f t="shared" si="50"/>
        <v>57.211073501722638</v>
      </c>
      <c r="E162" s="383">
        <f t="shared" si="72"/>
        <v>57.800084380000094</v>
      </c>
      <c r="F162" s="383">
        <f t="shared" si="51"/>
        <v>57.802709410902338</v>
      </c>
      <c r="G162" s="110">
        <f t="shared" si="73"/>
        <v>0.93191697317168798</v>
      </c>
      <c r="H162" s="412" t="b">
        <f>Wh_hp&gt;='2026'!Maxi_hp</f>
        <v>0</v>
      </c>
      <c r="I162" s="388">
        <f>IF(H162,Wh_hp,'2026'!Maxi_hp)</f>
        <v>60.065997038035896</v>
      </c>
      <c r="J162" s="85">
        <f>IF(H162,An,'2026'!An_max)</f>
        <v>2020</v>
      </c>
      <c r="K162" s="197">
        <f t="shared" si="52"/>
        <v>46535</v>
      </c>
      <c r="L162" s="147">
        <f>IF(t&lt;Tvie,1-EXP((T0-t)*PertePVj)+'2026'!Pspv,1-EXP((T0-t)*PertePVj)+Pspv)</f>
        <v>5.6958287841014199E-2</v>
      </c>
      <c r="M162" s="832"/>
      <c r="N162" s="832"/>
      <c r="O162" s="48">
        <f>IF(t&lt;Tnet,'2026'!Resal+('2026'!Salim-'2026'!Resal)*(1-EXP(('2026'!Tnet-t)/('2026'!Tau_j))),Resal+(Salim-Resal)*(1-EXP((Tnet-t)/(Tau_j))))*Salcycl</f>
        <v>1.0190484747480149E-2</v>
      </c>
      <c r="P162" s="169">
        <f>(INDEX(Models!$BJ162:$BT162,,T162)*(1-R162)+INDEX(Models!$BJ162:$BT162,,T162+1)*R162-ERP_i)*Q162*Ramure*Pc/MaxiM</f>
        <v>5.0306153347020672E-5</v>
      </c>
      <c r="Q162" s="304">
        <f t="shared" si="53"/>
        <v>0.7</v>
      </c>
      <c r="R162" s="177">
        <f t="shared" si="54"/>
        <v>0.32645523827512735</v>
      </c>
      <c r="S162" s="799">
        <f t="shared" si="55"/>
        <v>-1</v>
      </c>
      <c r="T162" s="176">
        <f t="shared" si="56"/>
        <v>5</v>
      </c>
      <c r="U162" s="250">
        <f t="shared" si="57"/>
        <v>-0.67354476172487265</v>
      </c>
      <c r="V162" s="382">
        <f t="shared" si="58"/>
        <v>57.893746210494641</v>
      </c>
      <c r="W162" s="400">
        <f t="shared" si="59"/>
        <v>53.952428709518102</v>
      </c>
      <c r="X162" s="157">
        <f t="shared" si="60"/>
        <v>46535</v>
      </c>
      <c r="Y162" s="383">
        <f t="shared" si="61"/>
        <v>51.064954000345502</v>
      </c>
      <c r="Z162" s="383">
        <f t="shared" si="62"/>
        <v>54.149199703413061</v>
      </c>
      <c r="AA162" s="384">
        <f t="shared" si="63"/>
        <v>57.703821447706417</v>
      </c>
      <c r="AB162" s="197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6.1601149717869189E-2</v>
      </c>
      <c r="AD162" s="230">
        <f>(INDEX(Models!$BJ162:$BT162,,AH162)*(1-AF162)+INDEX(Models!$BJ162:$BT162,,AH162+1)*AF162-ERP_i)*AE162*Ramure*Pc/MaxiM</f>
        <v>1.8950912297631759E-3</v>
      </c>
      <c r="AE162" s="304">
        <f t="shared" si="65"/>
        <v>0.7</v>
      </c>
      <c r="AF162" s="177">
        <f t="shared" si="66"/>
        <v>8.2113069114478243E-2</v>
      </c>
      <c r="AG162" s="799">
        <f t="shared" si="74"/>
        <v>2</v>
      </c>
      <c r="AH162" s="176">
        <f t="shared" si="67"/>
        <v>8</v>
      </c>
      <c r="AI162" s="224">
        <f t="shared" si="68"/>
        <v>2.0821130691144782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46536</v>
      </c>
      <c r="B163" s="409">
        <f>'2026'!Wh/'2026'!Env_an*'2027'!Env_an</f>
        <v>59.267266269054268</v>
      </c>
      <c r="C163" s="829"/>
      <c r="D163" s="391">
        <f t="shared" si="50"/>
        <v>62.84812365167992</v>
      </c>
      <c r="E163" s="383">
        <f t="shared" si="72"/>
        <v>63.502351271719604</v>
      </c>
      <c r="F163" s="383">
        <f t="shared" si="51"/>
        <v>63.505407005756894</v>
      </c>
      <c r="G163" s="110">
        <f t="shared" si="73"/>
        <v>1.0237659265557491</v>
      </c>
      <c r="H163" s="412" t="b">
        <f>Wh_hp&gt;='2026'!Maxi_hp</f>
        <v>1</v>
      </c>
      <c r="I163" s="388">
        <f>IF(H163,Wh_hp,'2026'!Maxi_hp)</f>
        <v>63.505407005756894</v>
      </c>
      <c r="J163" s="85">
        <f>IF(H163,An,'2026'!An_max)</f>
        <v>2027</v>
      </c>
      <c r="K163" s="197">
        <f t="shared" si="52"/>
        <v>46536</v>
      </c>
      <c r="L163" s="147">
        <f>IF(t&lt;Tvie,1-EXP((T0-t)*PertePVj)+'2026'!Pspv,1-EXP((T0-t)*PertePVj)+Pspv)</f>
        <v>5.697636102028536E-2</v>
      </c>
      <c r="M163" s="832"/>
      <c r="N163" s="832"/>
      <c r="O163" s="48">
        <f>IF(t&lt;Tnet,'2026'!Resal+('2026'!Salim-'2026'!Resal)*(1-EXP(('2026'!Tnet-t)/('2026'!Tau_j))),Resal+(Salim-Resal)*(1-EXP((Tnet-t)/(Tau_j))))*Salcycl</f>
        <v>1.030241568915017E-2</v>
      </c>
      <c r="P163" s="169">
        <f>(INDEX(Models!$BJ163:$BT163,,T163)*(1-R163)+INDEX(Models!$BJ163:$BT163,,T163+1)*R163-ERP_i)*Q163*Ramure*Pc/MaxiM</f>
        <v>4.8117698655285453E-5</v>
      </c>
      <c r="Q163" s="304">
        <f t="shared" si="53"/>
        <v>0.7</v>
      </c>
      <c r="R163" s="177">
        <f t="shared" si="54"/>
        <v>0.33031173014010495</v>
      </c>
      <c r="S163" s="799">
        <f t="shared" si="55"/>
        <v>-1</v>
      </c>
      <c r="T163" s="176">
        <f t="shared" si="56"/>
        <v>5</v>
      </c>
      <c r="U163" s="250">
        <f t="shared" si="57"/>
        <v>-0.66968826985989505</v>
      </c>
      <c r="V163" s="382">
        <f t="shared" si="58"/>
        <v>57.891422962714586</v>
      </c>
      <c r="W163" s="400">
        <f t="shared" si="59"/>
        <v>59.267266269054268</v>
      </c>
      <c r="X163" s="157">
        <f t="shared" si="60"/>
        <v>46536</v>
      </c>
      <c r="Y163" s="383">
        <f t="shared" si="61"/>
        <v>56.094400578970543</v>
      </c>
      <c r="Z163" s="383">
        <f t="shared" si="62"/>
        <v>59.483557209298318</v>
      </c>
      <c r="AA163" s="384">
        <f t="shared" si="63"/>
        <v>63.394239252298711</v>
      </c>
      <c r="AB163" s="197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6.1688287281696272E-2</v>
      </c>
      <c r="AD163" s="230">
        <f>(INDEX(Models!$BJ163:$BT163,,AH163)*(1-AF163)+INDEX(Models!$BJ163:$BT163,,AH163+1)*AF163-ERP_i)*AE163*Ramure*Pc/MaxiM</f>
        <v>1.750524226198728E-3</v>
      </c>
      <c r="AE163" s="304">
        <f t="shared" si="65"/>
        <v>0.7</v>
      </c>
      <c r="AF163" s="177">
        <f t="shared" si="66"/>
        <v>8.5969560979455739E-2</v>
      </c>
      <c r="AG163" s="799">
        <f t="shared" si="74"/>
        <v>2</v>
      </c>
      <c r="AH163" s="176">
        <f t="shared" si="67"/>
        <v>8</v>
      </c>
      <c r="AI163" s="224">
        <f t="shared" si="68"/>
        <v>2.0859695609794557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46537</v>
      </c>
      <c r="B164" s="409">
        <f>'2026'!Wh/'2026'!Env_an*'2027'!Env_an</f>
        <v>46.160458338686944</v>
      </c>
      <c r="C164" s="829"/>
      <c r="D164" s="391">
        <f t="shared" si="50"/>
        <v>48.950356175840909</v>
      </c>
      <c r="E164" s="383">
        <f t="shared" si="72"/>
        <v>49.465506300265275</v>
      </c>
      <c r="F164" s="383">
        <f t="shared" si="51"/>
        <v>49.467161206865313</v>
      </c>
      <c r="G164" s="110">
        <f t="shared" si="73"/>
        <v>0.79742381665977802</v>
      </c>
      <c r="H164" s="412" t="b">
        <f>Wh_hp&gt;='2026'!Maxi_hp</f>
        <v>0</v>
      </c>
      <c r="I164" s="388">
        <f>IF(H164,Wh_hp,'2026'!Maxi_hp)</f>
        <v>61.091879244383499</v>
      </c>
      <c r="J164" s="85">
        <f>IF(H164,An,'2026'!An_max)</f>
        <v>2018</v>
      </c>
      <c r="K164" s="197">
        <f t="shared" si="52"/>
        <v>46537</v>
      </c>
      <c r="L164" s="147">
        <f>IF(t&lt;Tvie,1-EXP((T0-t)*PertePVj)+'2026'!Pspv,1-EXP((T0-t)*PertePVj)+Pspv)</f>
        <v>5.6994433853188142E-2</v>
      </c>
      <c r="M164" s="832"/>
      <c r="N164" s="832"/>
      <c r="O164" s="48">
        <f>IF(t&lt;Tnet,'2026'!Resal+('2026'!Salim-'2026'!Resal)*(1-EXP(('2026'!Tnet-t)/('2026'!Tau_j))),Resal+(Salim-Resal)*(1-EXP((Tnet-t)/(Tau_j))))*Salcycl</f>
        <v>1.0414330367858925E-2</v>
      </c>
      <c r="P164" s="169">
        <f>(INDEX(Models!$BJ164:$BT164,,T164)*(1-R164)+INDEX(Models!$BJ164:$BT164,,T164+1)*R164-ERP_i)*Q164*Ramure*Pc/MaxiM</f>
        <v>4.7078051460145917E-5</v>
      </c>
      <c r="Q164" s="304">
        <f t="shared" si="53"/>
        <v>0.7</v>
      </c>
      <c r="R164" s="177">
        <f t="shared" si="54"/>
        <v>0.334206713292175</v>
      </c>
      <c r="S164" s="799">
        <f t="shared" si="55"/>
        <v>-1</v>
      </c>
      <c r="T164" s="176">
        <f t="shared" si="56"/>
        <v>5</v>
      </c>
      <c r="U164" s="250">
        <f t="shared" si="57"/>
        <v>-0.665793286707825</v>
      </c>
      <c r="V164" s="382">
        <f t="shared" si="58"/>
        <v>57.886193628600253</v>
      </c>
      <c r="W164" s="400">
        <f t="shared" si="59"/>
        <v>46.160458338686944</v>
      </c>
      <c r="X164" s="157">
        <f t="shared" si="60"/>
        <v>46537</v>
      </c>
      <c r="Y164" s="383">
        <f t="shared" si="61"/>
        <v>43.715790127440215</v>
      </c>
      <c r="Z164" s="383">
        <f t="shared" si="62"/>
        <v>46.357934350341175</v>
      </c>
      <c r="AA164" s="384">
        <f t="shared" si="63"/>
        <v>49.41026365331642</v>
      </c>
      <c r="AB164" s="197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6.1775207766380187E-2</v>
      </c>
      <c r="AD164" s="230">
        <f>(INDEX(Models!$BJ164:$BT164,,AH164)*(1-AF164)+INDEX(Models!$BJ164:$BT164,,AH164+1)*AF164-ERP_i)*AE164*Ramure*Pc/MaxiM</f>
        <v>1.6185964536388282E-3</v>
      </c>
      <c r="AE164" s="304">
        <f t="shared" si="65"/>
        <v>0.7</v>
      </c>
      <c r="AF164" s="177">
        <f t="shared" si="66"/>
        <v>8.9864544131526003E-2</v>
      </c>
      <c r="AG164" s="799">
        <f t="shared" si="74"/>
        <v>2</v>
      </c>
      <c r="AH164" s="176">
        <f t="shared" si="67"/>
        <v>8</v>
      </c>
      <c r="AI164" s="224">
        <f t="shared" si="68"/>
        <v>2.089864544131526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46538</v>
      </c>
      <c r="B165" s="409">
        <f>'2026'!Wh/'2026'!Env_an*'2027'!Env_an</f>
        <v>55.621162036911372</v>
      </c>
      <c r="C165" s="829"/>
      <c r="D165" s="391">
        <f t="shared" si="50"/>
        <v>58.983986967858932</v>
      </c>
      <c r="E165" s="383">
        <f t="shared" si="72"/>
        <v>59.611470332138602</v>
      </c>
      <c r="F165" s="383">
        <f t="shared" si="51"/>
        <v>59.614077111261892</v>
      </c>
      <c r="G165" s="110">
        <f t="shared" si="73"/>
        <v>0.96100266062377704</v>
      </c>
      <c r="H165" s="412" t="b">
        <f>Wh_hp&gt;='2026'!Maxi_hp</f>
        <v>0</v>
      </c>
      <c r="I165" s="388">
        <f>IF(H165,Wh_hp,'2026'!Maxi_hp)</f>
        <v>61.846036188985813</v>
      </c>
      <c r="J165" s="85">
        <f>IF(H165,An,'2026'!An_max)</f>
        <v>2018</v>
      </c>
      <c r="K165" s="197">
        <f t="shared" si="52"/>
        <v>46538</v>
      </c>
      <c r="L165" s="147">
        <f>IF(t&lt;Tvie,1-EXP((T0-t)*PertePVj)+'2026'!Pspv,1-EXP((T0-t)*PertePVj)+Pspv)</f>
        <v>5.7012506339729208E-2</v>
      </c>
      <c r="M165" s="832"/>
      <c r="N165" s="832"/>
      <c r="O165" s="48">
        <f>IF(t&lt;Tnet,'2026'!Resal+('2026'!Salim-'2026'!Resal)*(1-EXP(('2026'!Tnet-t)/('2026'!Tau_j))),Resal+(Salim-Resal)*(1-EXP((Tnet-t)/(Tau_j))))*Salcycl</f>
        <v>1.0526218541222177E-2</v>
      </c>
      <c r="P165" s="169">
        <f>(INDEX(Models!$BJ165:$BT165,,T165)*(1-R165)+INDEX(Models!$BJ165:$BT165,,T165+1)*R165-ERP_i)*Q165*Ramure*Pc/MaxiM</f>
        <v>4.6307209699201385E-5</v>
      </c>
      <c r="Q165" s="304">
        <f t="shared" si="53"/>
        <v>0.7</v>
      </c>
      <c r="R165" s="177">
        <f t="shared" si="54"/>
        <v>0.33813743053187628</v>
      </c>
      <c r="S165" s="799">
        <f t="shared" si="55"/>
        <v>-1</v>
      </c>
      <c r="T165" s="176">
        <f t="shared" si="56"/>
        <v>5</v>
      </c>
      <c r="U165" s="250">
        <f t="shared" si="57"/>
        <v>-0.66186256946812372</v>
      </c>
      <c r="V165" s="382">
        <f t="shared" si="58"/>
        <v>57.87811088092441</v>
      </c>
      <c r="W165" s="400">
        <f t="shared" si="59"/>
        <v>55.621162036911372</v>
      </c>
      <c r="X165" s="157">
        <f t="shared" si="60"/>
        <v>46538</v>
      </c>
      <c r="Y165" s="383">
        <f t="shared" si="61"/>
        <v>52.663049255540727</v>
      </c>
      <c r="Z165" s="383">
        <f t="shared" si="62"/>
        <v>55.84702831118733</v>
      </c>
      <c r="AA165" s="384">
        <f t="shared" si="63"/>
        <v>59.529642600050124</v>
      </c>
      <c r="AB165" s="197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6.1861857858015991E-2</v>
      </c>
      <c r="AD165" s="230">
        <f>(INDEX(Models!$BJ165:$BT165,,AH165)*(1-AF165)+INDEX(Models!$BJ165:$BT165,,AH165+1)*AF165-ERP_i)*AE165*Ramure*Pc/MaxiM</f>
        <v>1.4999071388866795E-3</v>
      </c>
      <c r="AE165" s="304">
        <f t="shared" si="65"/>
        <v>0.7</v>
      </c>
      <c r="AF165" s="177">
        <f t="shared" si="66"/>
        <v>9.3795261371226957E-2</v>
      </c>
      <c r="AG165" s="799">
        <f t="shared" si="74"/>
        <v>2</v>
      </c>
      <c r="AH165" s="176">
        <f t="shared" si="67"/>
        <v>8</v>
      </c>
      <c r="AI165" s="224">
        <f t="shared" si="68"/>
        <v>2.093795261371227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46539</v>
      </c>
      <c r="B166" s="409">
        <f>'2026'!Wh/'2026'!Env_an*'2027'!Env_an</f>
        <v>57.680435974437664</v>
      </c>
      <c r="C166" s="829"/>
      <c r="D166" s="391">
        <f t="shared" si="50"/>
        <v>61.168935766183907</v>
      </c>
      <c r="E166" s="383">
        <f t="shared" si="72"/>
        <v>61.826651997608188</v>
      </c>
      <c r="F166" s="383">
        <f t="shared" si="51"/>
        <v>61.829471787018996</v>
      </c>
      <c r="G166" s="110">
        <f t="shared" si="73"/>
        <v>0.99677274766922974</v>
      </c>
      <c r="H166" s="412" t="b">
        <f>Wh_hp&gt;='2026'!Maxi_hp</f>
        <v>0</v>
      </c>
      <c r="I166" s="388">
        <f>IF(H166,Wh_hp,'2026'!Maxi_hp)</f>
        <v>63.6031019014615</v>
      </c>
      <c r="J166" s="85">
        <f>IF(H166,An,'2026'!An_max)</f>
        <v>2018</v>
      </c>
      <c r="K166" s="197">
        <f t="shared" si="52"/>
        <v>46539</v>
      </c>
      <c r="L166" s="147">
        <f>IF(t&lt;Tvie,1-EXP((T0-t)*PertePVj)+'2026'!Pspv,1-EXP((T0-t)*PertePVj)+Pspv)</f>
        <v>5.7030578479915217E-2</v>
      </c>
      <c r="M166" s="832"/>
      <c r="N166" s="832"/>
      <c r="O166" s="48">
        <f>IF(t&lt;Tnet,'2026'!Resal+('2026'!Salim-'2026'!Resal)*(1-EXP(('2026'!Tnet-t)/('2026'!Tau_j))),Resal+(Salim-Resal)*(1-EXP((Tnet-t)/(Tau_j))))*Salcycl</f>
        <v>1.0638069670176017E-2</v>
      </c>
      <c r="P166" s="169">
        <f>(INDEX(Models!$BJ166:$BT166,,T166)*(1-R166)+INDEX(Models!$BJ166:$BT166,,T166+1)*R166-ERP_i)*Q166*Ramure*Pc/MaxiM</f>
        <v>4.5817131086159883E-5</v>
      </c>
      <c r="Q166" s="304">
        <f t="shared" si="53"/>
        <v>0.7</v>
      </c>
      <c r="R166" s="177">
        <f t="shared" si="54"/>
        <v>0.34210101299354223</v>
      </c>
      <c r="S166" s="799">
        <f t="shared" si="55"/>
        <v>-1</v>
      </c>
      <c r="T166" s="176">
        <f t="shared" si="56"/>
        <v>5</v>
      </c>
      <c r="U166" s="250">
        <f t="shared" si="57"/>
        <v>-0.65789898700645777</v>
      </c>
      <c r="V166" s="382">
        <f t="shared" si="58"/>
        <v>57.86717576851111</v>
      </c>
      <c r="W166" s="400">
        <f t="shared" si="59"/>
        <v>57.680435974437664</v>
      </c>
      <c r="X166" s="157">
        <f t="shared" si="60"/>
        <v>46539</v>
      </c>
      <c r="Y166" s="383">
        <f t="shared" si="61"/>
        <v>54.615603521737889</v>
      </c>
      <c r="Z166" s="383">
        <f t="shared" si="62"/>
        <v>57.918742936220021</v>
      </c>
      <c r="AA166" s="384">
        <f t="shared" si="63"/>
        <v>61.74364995058103</v>
      </c>
      <c r="AB166" s="197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6.1948184427425779E-2</v>
      </c>
      <c r="AD166" s="230">
        <f>(INDEX(Models!$BJ166:$BT166,,AH166)*(1-AF166)+INDEX(Models!$BJ166:$BT166,,AH166+1)*AF166-ERP_i)*AE166*Ramure*Pc/MaxiM</f>
        <v>1.3944695001205857E-3</v>
      </c>
      <c r="AE166" s="304">
        <f t="shared" si="65"/>
        <v>0.7</v>
      </c>
      <c r="AF166" s="177">
        <f t="shared" si="66"/>
        <v>9.7758843832893128E-2</v>
      </c>
      <c r="AG166" s="799">
        <f t="shared" si="74"/>
        <v>2</v>
      </c>
      <c r="AH166" s="176">
        <f t="shared" si="67"/>
        <v>8</v>
      </c>
      <c r="AI166" s="224">
        <f t="shared" si="68"/>
        <v>2.0977588438328931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46540</v>
      </c>
      <c r="B167" s="409">
        <f>'2026'!Wh/'2026'!Env_an*'2027'!Env_an</f>
        <v>39.992822307837642</v>
      </c>
      <c r="C167" s="829"/>
      <c r="D167" s="391">
        <f t="shared" si="50"/>
        <v>42.412392027911245</v>
      </c>
      <c r="E167" s="383">
        <f t="shared" si="72"/>
        <v>42.873274279656492</v>
      </c>
      <c r="F167" s="383">
        <f t="shared" si="51"/>
        <v>42.874367587323441</v>
      </c>
      <c r="G167" s="110">
        <f t="shared" si="73"/>
        <v>0.69126490412821628</v>
      </c>
      <c r="H167" s="412" t="b">
        <f>Wh_hp&gt;='2026'!Maxi_hp</f>
        <v>0</v>
      </c>
      <c r="I167" s="388">
        <f>IF(H167,Wh_hp,'2026'!Maxi_hp)</f>
        <v>62.818886290602684</v>
      </c>
      <c r="J167" s="85">
        <f>IF(H167,An,'2026'!An_max)</f>
        <v>2018</v>
      </c>
      <c r="K167" s="197">
        <f t="shared" si="52"/>
        <v>46540</v>
      </c>
      <c r="L167" s="147">
        <f>IF(t&lt;Tvie,1-EXP((T0-t)*PertePVj)+'2026'!Pspv,1-EXP((T0-t)*PertePVj)+Pspv)</f>
        <v>5.7048650273752721E-2</v>
      </c>
      <c r="M167" s="832"/>
      <c r="N167" s="832"/>
      <c r="O167" s="48">
        <f>IF(t&lt;Tnet,'2026'!Resal+('2026'!Salim-'2026'!Resal)*(1-EXP(('2026'!Tnet-t)/('2026'!Tau_j))),Resal+(Salim-Resal)*(1-EXP((Tnet-t)/(Tau_j))))*Salcycl</f>
        <v>1.0749872956727601E-2</v>
      </c>
      <c r="P167" s="169">
        <f>(INDEX(Models!$BJ167:$BT167,,T167)*(1-R167)+INDEX(Models!$BJ167:$BT167,,T167+1)*R167-ERP_i)*Q167*Ramure*Pc/MaxiM</f>
        <v>4.5620114856497333E-5</v>
      </c>
      <c r="Q167" s="304">
        <f t="shared" si="53"/>
        <v>0.7</v>
      </c>
      <c r="R167" s="177">
        <f t="shared" si="54"/>
        <v>0.34609448772507223</v>
      </c>
      <c r="S167" s="799">
        <f t="shared" si="55"/>
        <v>-1</v>
      </c>
      <c r="T167" s="176">
        <f t="shared" si="56"/>
        <v>5</v>
      </c>
      <c r="U167" s="250">
        <f t="shared" si="57"/>
        <v>-0.65390551227492777</v>
      </c>
      <c r="V167" s="382">
        <f t="shared" si="58"/>
        <v>57.853389342990241</v>
      </c>
      <c r="W167" s="400">
        <f t="shared" si="59"/>
        <v>39.992822307837642</v>
      </c>
      <c r="X167" s="157">
        <f t="shared" si="60"/>
        <v>46540</v>
      </c>
      <c r="Y167" s="383">
        <f t="shared" si="61"/>
        <v>37.892895284570436</v>
      </c>
      <c r="Z167" s="383">
        <f t="shared" si="62"/>
        <v>40.185419211257617</v>
      </c>
      <c r="AA167" s="384">
        <f t="shared" si="63"/>
        <v>42.843157410184418</v>
      </c>
      <c r="AB167" s="197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6.2034134727311632E-2</v>
      </c>
      <c r="AD167" s="230">
        <f>(INDEX(Models!$BJ167:$BT167,,AH167)*(1-AF167)+INDEX(Models!$BJ167:$BT167,,AH167+1)*AF167-ERP_i)*AE167*Ramure*Pc/MaxiM</f>
        <v>1.3022975223007372E-3</v>
      </c>
      <c r="AE167" s="304">
        <f t="shared" si="65"/>
        <v>0.7</v>
      </c>
      <c r="AF167" s="177">
        <f t="shared" si="66"/>
        <v>0.10175231856442313</v>
      </c>
      <c r="AG167" s="799">
        <f t="shared" si="74"/>
        <v>2</v>
      </c>
      <c r="AH167" s="176">
        <f t="shared" si="67"/>
        <v>8</v>
      </c>
      <c r="AI167" s="224">
        <f t="shared" si="68"/>
        <v>2.1017523185644231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46541</v>
      </c>
      <c r="B168" s="409">
        <f>'2026'!Wh/'2026'!Env_an*'2027'!Env_an</f>
        <v>56.220761438820176</v>
      </c>
      <c r="C168" s="829"/>
      <c r="D168" s="391">
        <f t="shared" si="50"/>
        <v>59.623265753698533</v>
      </c>
      <c r="E168" s="383">
        <f t="shared" si="72"/>
        <v>60.277982132291328</v>
      </c>
      <c r="F168" s="383">
        <f t="shared" si="51"/>
        <v>60.280628663300448</v>
      </c>
      <c r="G168" s="110">
        <f t="shared" si="73"/>
        <v>0.97205766640923064</v>
      </c>
      <c r="H168" s="412" t="b">
        <f>Wh_hp&gt;='2026'!Maxi_hp</f>
        <v>0</v>
      </c>
      <c r="I168" s="388">
        <f>IF(H168,Wh_hp,'2026'!Maxi_hp)</f>
        <v>60.280725151537538</v>
      </c>
      <c r="J168" s="85">
        <f>IF(H168,An,'2026'!An_max)</f>
        <v>2026</v>
      </c>
      <c r="K168" s="197">
        <f t="shared" si="52"/>
        <v>46541</v>
      </c>
      <c r="L168" s="147">
        <f>IF(t&lt;Tvie,1-EXP((T0-t)*PertePVj)+'2026'!Pspv,1-EXP((T0-t)*PertePVj)+Pspv)</f>
        <v>5.7066721721248492E-2</v>
      </c>
      <c r="M168" s="832"/>
      <c r="N168" s="832"/>
      <c r="O168" s="48">
        <f>IF(t&lt;Tnet,'2026'!Resal+('2026'!Salim-'2026'!Resal)*(1-EXP(('2026'!Tnet-t)/('2026'!Tau_j))),Resal+(Salim-Resal)*(1-EXP((Tnet-t)/(Tau_j))))*Salcycl</f>
        <v>1.0861617383871635E-2</v>
      </c>
      <c r="P168" s="169">
        <f>(INDEX(Models!$BJ168:$BT168,,T168)*(1-R168)+INDEX(Models!$BJ168:$BT168,,T168+1)*R168-ERP_i)*Q168*Ramure*Pc/MaxiM</f>
        <v>4.5728775035885574E-5</v>
      </c>
      <c r="Q168" s="304">
        <f t="shared" si="53"/>
        <v>0.7</v>
      </c>
      <c r="R168" s="177">
        <f t="shared" si="54"/>
        <v>0.35011478595088974</v>
      </c>
      <c r="S168" s="799">
        <f t="shared" si="55"/>
        <v>-1</v>
      </c>
      <c r="T168" s="176">
        <f t="shared" si="56"/>
        <v>5</v>
      </c>
      <c r="U168" s="250">
        <f t="shared" si="57"/>
        <v>-0.64988521404911026</v>
      </c>
      <c r="V168" s="382">
        <f t="shared" si="58"/>
        <v>57.836752652793237</v>
      </c>
      <c r="W168" s="400">
        <f t="shared" si="59"/>
        <v>56.220761438820176</v>
      </c>
      <c r="X168" s="157">
        <f t="shared" si="60"/>
        <v>46541</v>
      </c>
      <c r="Y168" s="383">
        <f t="shared" si="61"/>
        <v>53.24707542665648</v>
      </c>
      <c r="Z168" s="383">
        <f t="shared" si="62"/>
        <v>56.46961100350039</v>
      </c>
      <c r="AA168" s="384">
        <f t="shared" si="63"/>
        <v>60.209824633138993</v>
      </c>
      <c r="AB168" s="197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6.2119656591393256E-2</v>
      </c>
      <c r="AD168" s="230">
        <f>(INDEX(Models!$BJ168:$BT168,,AH168)*(1-AF168)+INDEX(Models!$BJ168:$BT168,,AH168+1)*AF168-ERP_i)*AE168*Ramure*Pc/MaxiM</f>
        <v>1.2234058681830356E-3</v>
      </c>
      <c r="AE168" s="304">
        <f t="shared" si="65"/>
        <v>0.7</v>
      </c>
      <c r="AF168" s="177">
        <f t="shared" si="66"/>
        <v>0.10577261679024064</v>
      </c>
      <c r="AG168" s="799">
        <f t="shared" si="74"/>
        <v>2</v>
      </c>
      <c r="AH168" s="176">
        <f t="shared" si="67"/>
        <v>8</v>
      </c>
      <c r="AI168" s="224">
        <f t="shared" si="68"/>
        <v>2.1057726167902406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46542</v>
      </c>
      <c r="B169" s="409">
        <f>'2026'!Wh/'2026'!Env_an*'2027'!Env_an</f>
        <v>25.488936544270235</v>
      </c>
      <c r="C169" s="829"/>
      <c r="D169" s="391">
        <f t="shared" si="50"/>
        <v>27.032055852154247</v>
      </c>
      <c r="E169" s="383">
        <f t="shared" si="72"/>
        <v>27.331977616852239</v>
      </c>
      <c r="F169" s="383">
        <f t="shared" si="51"/>
        <v>27.332231464153086</v>
      </c>
      <c r="G169" s="110">
        <f t="shared" si="73"/>
        <v>0.44083711026302014</v>
      </c>
      <c r="H169" s="412" t="b">
        <f>Wh_hp&gt;='2026'!Maxi_hp</f>
        <v>0</v>
      </c>
      <c r="I169" s="388">
        <f>IF(H169,Wh_hp,'2026'!Maxi_hp)</f>
        <v>60.619800166760626</v>
      </c>
      <c r="J169" s="85">
        <f>IF(H169,An,'2026'!An_max)</f>
        <v>2018</v>
      </c>
      <c r="K169" s="197">
        <f t="shared" si="52"/>
        <v>46542</v>
      </c>
      <c r="L169" s="147">
        <f>IF(t&lt;Tvie,1-EXP((T0-t)*PertePVj)+'2026'!Pspv,1-EXP((T0-t)*PertePVj)+Pspv)</f>
        <v>5.708479282240897E-2</v>
      </c>
      <c r="M169" s="832"/>
      <c r="N169" s="832"/>
      <c r="O169" s="48">
        <f>IF(t&lt;Tnet,'2026'!Resal+('2026'!Salim-'2026'!Resal)*(1-EXP(('2026'!Tnet-t)/('2026'!Tau_j))),Resal+(Salim-Resal)*(1-EXP((Tnet-t)/(Tau_j))))*Salcycl</f>
        <v>1.097329175745651E-2</v>
      </c>
      <c r="P169" s="169">
        <f>(INDEX(Models!$BJ169:$BT169,,T169)*(1-R169)+INDEX(Models!$BJ169:$BT169,,T169+1)*R169-ERP_i)*Q169*Ramure*Pc/MaxiM</f>
        <v>4.6156011854784335E-5</v>
      </c>
      <c r="Q169" s="304">
        <f t="shared" si="53"/>
        <v>0.7</v>
      </c>
      <c r="R169" s="177">
        <f t="shared" si="54"/>
        <v>0.35415875197461766</v>
      </c>
      <c r="S169" s="799">
        <f t="shared" si="55"/>
        <v>-1</v>
      </c>
      <c r="T169" s="176">
        <f t="shared" si="56"/>
        <v>5</v>
      </c>
      <c r="U169" s="250">
        <f t="shared" si="57"/>
        <v>-0.64584124802538234</v>
      </c>
      <c r="V169" s="382">
        <f t="shared" si="58"/>
        <v>57.817266746057498</v>
      </c>
      <c r="W169" s="400">
        <f t="shared" si="59"/>
        <v>25.488936544270235</v>
      </c>
      <c r="X169" s="157">
        <f t="shared" si="60"/>
        <v>46542</v>
      </c>
      <c r="Y169" s="383">
        <f t="shared" si="61"/>
        <v>24.163207952777437</v>
      </c>
      <c r="Z169" s="383">
        <f t="shared" si="62"/>
        <v>25.626066658851201</v>
      </c>
      <c r="AA169" s="384">
        <f t="shared" si="63"/>
        <v>27.32586378022113</v>
      </c>
      <c r="AB169" s="197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6.220469863427576E-2</v>
      </c>
      <c r="AD169" s="230">
        <f>(INDEX(Models!$BJ169:$BT169,,AH169)*(1-AF169)+INDEX(Models!$BJ169:$BT169,,AH169+1)*AF169-ERP_i)*AE169*Ramure*Pc/MaxiM</f>
        <v>1.1578098095585919E-3</v>
      </c>
      <c r="AE169" s="304">
        <f t="shared" si="65"/>
        <v>0.7</v>
      </c>
      <c r="AF169" s="177">
        <f t="shared" si="66"/>
        <v>0.10981658281396856</v>
      </c>
      <c r="AG169" s="799">
        <f t="shared" si="74"/>
        <v>2</v>
      </c>
      <c r="AH169" s="176">
        <f t="shared" si="67"/>
        <v>8</v>
      </c>
      <c r="AI169" s="224">
        <f t="shared" si="68"/>
        <v>2.1098165828139686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46543</v>
      </c>
      <c r="B170" s="409">
        <f>'2026'!Wh/'2026'!Env_an*'2027'!Env_an</f>
        <v>29.444530079595776</v>
      </c>
      <c r="C170" s="829"/>
      <c r="D170" s="391">
        <f t="shared" si="50"/>
        <v>31.227722454757753</v>
      </c>
      <c r="E170" s="383">
        <f t="shared" ref="E170:E232" si="75">Wh_pvt/(1-Psa)</f>
        <v>31.577758265789868</v>
      </c>
      <c r="F170" s="383">
        <f t="shared" si="51"/>
        <v>31.578201386662059</v>
      </c>
      <c r="G170" s="110">
        <f t="shared" ref="G170:G232" si="76">+Wh_hp/MaxiM</f>
        <v>0.50944884779943822</v>
      </c>
      <c r="H170" s="412" t="b">
        <f>Wh_hp&gt;='2026'!Maxi_hp</f>
        <v>0</v>
      </c>
      <c r="I170" s="388">
        <f>IF(H170,Wh_hp,'2026'!Maxi_hp)</f>
        <v>39.216543124389602</v>
      </c>
      <c r="J170" s="85">
        <f>IF(H170,An,'2026'!An_max)</f>
        <v>2021</v>
      </c>
      <c r="K170" s="197">
        <f t="shared" si="52"/>
        <v>46543</v>
      </c>
      <c r="L170" s="147">
        <f>IF(t&lt;Tvie,1-EXP((T0-t)*PertePVj)+'2026'!Pspv,1-EXP((T0-t)*PertePVj)+Pspv)</f>
        <v>5.7102863577241036E-2</v>
      </c>
      <c r="M170" s="832"/>
      <c r="N170" s="832"/>
      <c r="O170" s="48">
        <f>IF(t&lt;Tnet,'2026'!Resal+('2026'!Salim-'2026'!Resal)*(1-EXP(('2026'!Tnet-t)/('2026'!Tau_j))),Resal+(Salim-Resal)*(1-EXP((Tnet-t)/(Tau_j))))*Salcycl</f>
        <v>1.1084884749761671E-2</v>
      </c>
      <c r="P170" s="169">
        <f>(INDEX(Models!$BJ170:$BT170,,T170)*(1-R170)+INDEX(Models!$BJ170:$BT170,,T170+1)*R170-ERP_i)*Q170*Ramure*Pc/MaxiM</f>
        <v>4.6894311887289556E-5</v>
      </c>
      <c r="Q170" s="304">
        <f t="shared" si="53"/>
        <v>0.7</v>
      </c>
      <c r="R170" s="177">
        <f t="shared" si="54"/>
        <v>0.35822315267083515</v>
      </c>
      <c r="S170" s="799">
        <f t="shared" si="55"/>
        <v>-1</v>
      </c>
      <c r="T170" s="176">
        <f t="shared" si="56"/>
        <v>5</v>
      </c>
      <c r="U170" s="250">
        <f t="shared" si="57"/>
        <v>-0.64177684732916485</v>
      </c>
      <c r="V170" s="382">
        <f t="shared" si="58"/>
        <v>57.794933863071499</v>
      </c>
      <c r="W170" s="400">
        <f t="shared" si="59"/>
        <v>29.444530079595776</v>
      </c>
      <c r="X170" s="157">
        <f t="shared" si="60"/>
        <v>46543</v>
      </c>
      <c r="Y170" s="383">
        <f t="shared" si="61"/>
        <v>27.911094636693313</v>
      </c>
      <c r="Z170" s="383">
        <f t="shared" si="62"/>
        <v>29.601420513996604</v>
      </c>
      <c r="AA170" s="384">
        <f t="shared" si="63"/>
        <v>31.567750786173619</v>
      </c>
      <c r="AB170" s="197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6.2289210450756825E-2</v>
      </c>
      <c r="AD170" s="230">
        <f>(INDEX(Models!$BJ170:$BT170,,AH170)*(1-AF170)+INDEX(Models!$BJ170:$BT170,,AH170+1)*AF170-ERP_i)*AE170*Ramure*Pc/MaxiM</f>
        <v>1.1059594559243136E-3</v>
      </c>
      <c r="AE170" s="304">
        <f t="shared" si="65"/>
        <v>0.7</v>
      </c>
      <c r="AF170" s="177">
        <f t="shared" si="66"/>
        <v>0.11388098351018616</v>
      </c>
      <c r="AG170" s="799">
        <f t="shared" si="74"/>
        <v>2</v>
      </c>
      <c r="AH170" s="176">
        <f t="shared" si="67"/>
        <v>8</v>
      </c>
      <c r="AI170" s="224">
        <f t="shared" si="68"/>
        <v>2.1138809835101862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46544</v>
      </c>
      <c r="B171" s="409">
        <f>'2026'!Wh/'2026'!Env_an*'2027'!Env_an</f>
        <v>49.601290227982446</v>
      </c>
      <c r="C171" s="829"/>
      <c r="D171" s="391">
        <f t="shared" si="50"/>
        <v>52.60620583894994</v>
      </c>
      <c r="E171" s="383">
        <f t="shared" si="75"/>
        <v>53.20187450568605</v>
      </c>
      <c r="F171" s="383">
        <f t="shared" si="51"/>
        <v>53.203895764420459</v>
      </c>
      <c r="G171" s="110">
        <f t="shared" si="76"/>
        <v>0.85859453329426427</v>
      </c>
      <c r="H171" s="412" t="b">
        <f>Wh_hp&gt;='2026'!Maxi_hp</f>
        <v>0</v>
      </c>
      <c r="I171" s="388">
        <f>IF(H171,Wh_hp,'2026'!Maxi_hp)</f>
        <v>54.078564517697089</v>
      </c>
      <c r="J171" s="85">
        <f>IF(H171,An,'2026'!An_max)</f>
        <v>2018</v>
      </c>
      <c r="K171" s="197">
        <f t="shared" si="52"/>
        <v>46544</v>
      </c>
      <c r="L171" s="147">
        <f>IF(t&lt;Tvie,1-EXP((T0-t)*PertePVj)+'2026'!Pspv,1-EXP((T0-t)*PertePVj)+Pspv)</f>
        <v>5.7120933985751132E-2</v>
      </c>
      <c r="M171" s="832"/>
      <c r="N171" s="832"/>
      <c r="O171" s="48">
        <f>IF(t&lt;Tnet,'2026'!Resal+('2026'!Salim-'2026'!Resal)*(1-EXP(('2026'!Tnet-t)/('2026'!Tau_j))),Resal+(Salim-Resal)*(1-EXP((Tnet-t)/(Tau_j))))*Salcycl</f>
        <v>1.1196384944527626E-2</v>
      </c>
      <c r="P171" s="169">
        <f>(INDEX(Models!$BJ171:$BT171,,T171)*(1-R171)+INDEX(Models!$BJ171:$BT171,,T171+1)*R171-ERP_i)*Q171*Ramure*Pc/MaxiM</f>
        <v>4.7607285019107925E-5</v>
      </c>
      <c r="Q171" s="304">
        <f t="shared" si="53"/>
        <v>0.7</v>
      </c>
      <c r="R171" s="177">
        <f t="shared" si="54"/>
        <v>0.36230468750854716</v>
      </c>
      <c r="S171" s="799">
        <f t="shared" si="55"/>
        <v>-1</v>
      </c>
      <c r="T171" s="176">
        <f t="shared" si="56"/>
        <v>5</v>
      </c>
      <c r="U171" s="250">
        <f t="shared" si="57"/>
        <v>-0.63769531249145284</v>
      </c>
      <c r="V171" s="382">
        <f t="shared" si="58"/>
        <v>57.769775250777364</v>
      </c>
      <c r="W171" s="400">
        <f t="shared" si="59"/>
        <v>49.601290227982446</v>
      </c>
      <c r="X171" s="157">
        <f t="shared" si="60"/>
        <v>46544</v>
      </c>
      <c r="Y171" s="383">
        <f t="shared" si="61"/>
        <v>46.996127784237906</v>
      </c>
      <c r="Z171" s="383">
        <f t="shared" si="62"/>
        <v>49.843219006760407</v>
      </c>
      <c r="AA171" s="384">
        <f t="shared" si="63"/>
        <v>53.158907111844186</v>
      </c>
      <c r="AB171" s="197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6.2373142813258092E-2</v>
      </c>
      <c r="AD171" s="230">
        <f>(INDEX(Models!$BJ171:$BT171,,AH171)*(1-AF171)+INDEX(Models!$BJ171:$BT171,,AH171+1)*AF171-ERP_i)*AE171*Ramure*Pc/MaxiM</f>
        <v>1.0596306001625785E-3</v>
      </c>
      <c r="AE171" s="304">
        <f t="shared" si="65"/>
        <v>0.7</v>
      </c>
      <c r="AF171" s="177">
        <f t="shared" si="66"/>
        <v>0.11796251834789784</v>
      </c>
      <c r="AG171" s="799">
        <f t="shared" si="74"/>
        <v>2</v>
      </c>
      <c r="AH171" s="176">
        <f t="shared" si="67"/>
        <v>8</v>
      </c>
      <c r="AI171" s="224">
        <f t="shared" si="68"/>
        <v>2.1179625183478978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46545</v>
      </c>
      <c r="B172" s="409">
        <f>'2026'!Wh/'2026'!Env_an*'2027'!Env_an</f>
        <v>27.542929545646839</v>
      </c>
      <c r="C172" s="829"/>
      <c r="D172" s="391">
        <f t="shared" si="50"/>
        <v>29.212078624416279</v>
      </c>
      <c r="E172" s="383">
        <f t="shared" si="75"/>
        <v>29.54618035783707</v>
      </c>
      <c r="F172" s="383">
        <f t="shared" si="51"/>
        <v>29.546541165310511</v>
      </c>
      <c r="G172" s="110">
        <f t="shared" si="76"/>
        <v>0.47698442327327101</v>
      </c>
      <c r="H172" s="412" t="b">
        <f>Wh_hp&gt;='2026'!Maxi_hp</f>
        <v>0</v>
      </c>
      <c r="I172" s="388">
        <f>IF(H172,Wh_hp,'2026'!Maxi_hp)</f>
        <v>56.44411958910743</v>
      </c>
      <c r="J172" s="85">
        <f>IF(H172,An,'2026'!An_max)</f>
        <v>2021</v>
      </c>
      <c r="K172" s="197">
        <f t="shared" si="52"/>
        <v>46545</v>
      </c>
      <c r="L172" s="147">
        <f>IF(t&lt;Tvie,1-EXP((T0-t)*PertePVj)+'2026'!Pspv,1-EXP((T0-t)*PertePVj)+Pspv)</f>
        <v>5.7139004047946029E-2</v>
      </c>
      <c r="M172" s="832"/>
      <c r="N172" s="832"/>
      <c r="O172" s="48">
        <f>IF(t&lt;Tnet,'2026'!Resal+('2026'!Salim-'2026'!Resal)*(1-EXP(('2026'!Tnet-t)/('2026'!Tau_j))),Resal+(Salim-Resal)*(1-EXP((Tnet-t)/(Tau_j))))*Salcycl</f>
        <v>1.1307780883161428E-2</v>
      </c>
      <c r="P172" s="169">
        <f>(INDEX(Models!$BJ172:$BT172,,T172)*(1-R172)+INDEX(Models!$BJ172:$BT172,,T172+1)*R172-ERP_i)*Q172*Ramure*Pc/MaxiM</f>
        <v>4.8293606515129339E-5</v>
      </c>
      <c r="Q172" s="304">
        <f t="shared" si="53"/>
        <v>0.7</v>
      </c>
      <c r="R172" s="177">
        <f t="shared" si="54"/>
        <v>0.36639999904280796</v>
      </c>
      <c r="S172" s="799">
        <f t="shared" si="55"/>
        <v>-1</v>
      </c>
      <c r="T172" s="176">
        <f t="shared" si="56"/>
        <v>5</v>
      </c>
      <c r="U172" s="250">
        <f t="shared" si="57"/>
        <v>-0.63360000095719204</v>
      </c>
      <c r="V172" s="382">
        <f t="shared" si="58"/>
        <v>57.741792776968296</v>
      </c>
      <c r="W172" s="400">
        <f t="shared" si="59"/>
        <v>27.542929545646839</v>
      </c>
      <c r="X172" s="157">
        <f t="shared" si="60"/>
        <v>46545</v>
      </c>
      <c r="Y172" s="383">
        <f t="shared" si="61"/>
        <v>26.111622930623522</v>
      </c>
      <c r="Z172" s="383">
        <f t="shared" si="62"/>
        <v>27.694032357608883</v>
      </c>
      <c r="AA172" s="384">
        <f t="shared" si="63"/>
        <v>29.538928932500621</v>
      </c>
      <c r="AB172" s="197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6.2456447866052006E-2</v>
      </c>
      <c r="AD172" s="230">
        <f>(INDEX(Models!$BJ172:$BT172,,AH172)*(1-AF172)+INDEX(Models!$BJ172:$BT172,,AH172+1)*AF172-ERP_i)*AE172*Ramure*Pc/MaxiM</f>
        <v>1.0188873653785781E-3</v>
      </c>
      <c r="AE172" s="304">
        <f t="shared" si="65"/>
        <v>0.7</v>
      </c>
      <c r="AF172" s="177">
        <f t="shared" si="66"/>
        <v>0.12205782988215885</v>
      </c>
      <c r="AG172" s="799">
        <f t="shared" si="74"/>
        <v>2</v>
      </c>
      <c r="AH172" s="176">
        <f t="shared" si="67"/>
        <v>8</v>
      </c>
      <c r="AI172" s="224">
        <f t="shared" si="68"/>
        <v>2.1220578298821589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46546</v>
      </c>
      <c r="B173" s="409">
        <f>'2026'!Wh/'2026'!Env_an*'2027'!Env_an</f>
        <v>21.279987908991846</v>
      </c>
      <c r="C173" s="829"/>
      <c r="D173" s="391">
        <f t="shared" si="50"/>
        <v>22.570024462018964</v>
      </c>
      <c r="E173" s="383">
        <f t="shared" si="75"/>
        <v>22.830729962690484</v>
      </c>
      <c r="F173" s="383">
        <f t="shared" si="51"/>
        <v>22.830839702344317</v>
      </c>
      <c r="G173" s="110">
        <f t="shared" si="76"/>
        <v>0.36871745083406732</v>
      </c>
      <c r="H173" s="412" t="b">
        <f>Wh_hp&gt;='2026'!Maxi_hp</f>
        <v>0</v>
      </c>
      <c r="I173" s="388">
        <f>IF(H173,Wh_hp,'2026'!Maxi_hp)</f>
        <v>64.215122991320413</v>
      </c>
      <c r="J173" s="85">
        <f>IF(H173,An,'2026'!An_max)</f>
        <v>2018</v>
      </c>
      <c r="K173" s="197">
        <f t="shared" si="52"/>
        <v>46546</v>
      </c>
      <c r="L173" s="147">
        <f>IF(t&lt;Tvie,1-EXP((T0-t)*PertePVj)+'2026'!Pspv,1-EXP((T0-t)*PertePVj)+Pspv)</f>
        <v>5.7157073763832278E-2</v>
      </c>
      <c r="M173" s="832"/>
      <c r="N173" s="832"/>
      <c r="O173" s="48">
        <f>IF(t&lt;Tnet,'2026'!Resal+('2026'!Salim-'2026'!Resal)*(1-EXP(('2026'!Tnet-t)/('2026'!Tau_j))),Resal+(Salim-Resal)*(1-EXP((Tnet-t)/(Tau_j))))*Salcycl</f>
        <v>1.1419061111824282E-2</v>
      </c>
      <c r="P173" s="169">
        <f>(INDEX(Models!$BJ173:$BT173,,T173)*(1-R173)+INDEX(Models!$BJ173:$BT173,,T173+1)*R173-ERP_i)*Q173*Ramure*Pc/MaxiM</f>
        <v>4.8951931930192561E-5</v>
      </c>
      <c r="Q173" s="304">
        <f t="shared" si="53"/>
        <v>0.7</v>
      </c>
      <c r="R173" s="177">
        <f t="shared" si="54"/>
        <v>0.37050568380542115</v>
      </c>
      <c r="S173" s="799">
        <f t="shared" si="55"/>
        <v>-1</v>
      </c>
      <c r="T173" s="176">
        <f t="shared" si="56"/>
        <v>5</v>
      </c>
      <c r="U173" s="250">
        <f t="shared" si="57"/>
        <v>-0.62949431619457885</v>
      </c>
      <c r="V173" s="382">
        <f t="shared" si="58"/>
        <v>57.710988305781939</v>
      </c>
      <c r="W173" s="400">
        <f t="shared" si="59"/>
        <v>21.279987908991846</v>
      </c>
      <c r="X173" s="157">
        <f t="shared" si="60"/>
        <v>46546</v>
      </c>
      <c r="Y173" s="383">
        <f t="shared" si="61"/>
        <v>20.177736657296748</v>
      </c>
      <c r="Z173" s="383">
        <f t="shared" si="62"/>
        <v>21.400952476619135</v>
      </c>
      <c r="AA173" s="384">
        <f t="shared" si="63"/>
        <v>22.82863424427385</v>
      </c>
      <c r="AB173" s="197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6.253907931495381E-2</v>
      </c>
      <c r="AD173" s="230">
        <f>(INDEX(Models!$BJ173:$BT173,,AH173)*(1-AF173)+INDEX(Models!$BJ173:$BT173,,AH173+1)*AF173-ERP_i)*AE173*Ramure*Pc/MaxiM</f>
        <v>9.8379600782453778E-4</v>
      </c>
      <c r="AE173" s="304">
        <f t="shared" si="65"/>
        <v>0.7</v>
      </c>
      <c r="AF173" s="177">
        <f t="shared" si="66"/>
        <v>0.12616351464477216</v>
      </c>
      <c r="AG173" s="799">
        <f t="shared" si="74"/>
        <v>2</v>
      </c>
      <c r="AH173" s="176">
        <f t="shared" si="67"/>
        <v>8</v>
      </c>
      <c r="AI173" s="224">
        <f t="shared" si="68"/>
        <v>2.1261635146447722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46547</v>
      </c>
      <c r="B174" s="409">
        <f>'2026'!Wh/'2026'!Env_an*'2027'!Env_an</f>
        <v>50.347661938338405</v>
      </c>
      <c r="C174" s="829"/>
      <c r="D174" s="391">
        <f t="shared" si="50"/>
        <v>53.400863979833495</v>
      </c>
      <c r="E174" s="383">
        <f t="shared" si="75"/>
        <v>54.023769616980488</v>
      </c>
      <c r="F174" s="383">
        <f t="shared" si="51"/>
        <v>54.025961977892891</v>
      </c>
      <c r="G174" s="110">
        <f t="shared" si="76"/>
        <v>0.87291106089314552</v>
      </c>
      <c r="H174" s="412" t="b">
        <f>Wh_hp&gt;='2026'!Maxi_hp</f>
        <v>0</v>
      </c>
      <c r="I174" s="388">
        <f>IF(H174,Wh_hp,'2026'!Maxi_hp)</f>
        <v>59.018802460565581</v>
      </c>
      <c r="J174" s="85">
        <f>IF(H174,An,'2026'!An_max)</f>
        <v>2021</v>
      </c>
      <c r="K174" s="197">
        <f t="shared" si="52"/>
        <v>46547</v>
      </c>
      <c r="L174" s="147">
        <f>IF(t&lt;Tvie,1-EXP((T0-t)*PertePVj)+'2026'!Pspv,1-EXP((T0-t)*PertePVj)+Pspv)</f>
        <v>5.717514313341665E-2</v>
      </c>
      <c r="M174" s="832"/>
      <c r="N174" s="832"/>
      <c r="O174" s="48">
        <f>IF(t&lt;Tnet,'2026'!Resal+('2026'!Salim-'2026'!Resal)*(1-EXP(('2026'!Tnet-t)/('2026'!Tau_j))),Resal+(Salim-Resal)*(1-EXP((Tnet-t)/(Tau_j))))*Salcycl</f>
        <v>1.153021422909379E-2</v>
      </c>
      <c r="P174" s="169">
        <f>(INDEX(Models!$BJ174:$BT174,,T174)*(1-R174)+INDEX(Models!$BJ174:$BT174,,T174+1)*R174-ERP_i)*Q174*Ramure*Pc/MaxiM</f>
        <v>4.9580901432500248E-5</v>
      </c>
      <c r="Q174" s="304">
        <f t="shared" si="53"/>
        <v>0.7</v>
      </c>
      <c r="R174" s="177">
        <f t="shared" si="54"/>
        <v>0.37461830352086589</v>
      </c>
      <c r="S174" s="799">
        <f t="shared" si="55"/>
        <v>-1</v>
      </c>
      <c r="T174" s="176">
        <f t="shared" si="56"/>
        <v>5</v>
      </c>
      <c r="U174" s="250">
        <f t="shared" si="57"/>
        <v>-0.62538169647913411</v>
      </c>
      <c r="V174" s="382">
        <f t="shared" si="58"/>
        <v>57.677363696509474</v>
      </c>
      <c r="W174" s="400">
        <f t="shared" si="59"/>
        <v>50.347661938338405</v>
      </c>
      <c r="X174" s="157">
        <f t="shared" si="60"/>
        <v>46547</v>
      </c>
      <c r="Y174" s="383">
        <f t="shared" si="61"/>
        <v>47.709995120533627</v>
      </c>
      <c r="Z174" s="383">
        <f t="shared" si="62"/>
        <v>50.603242768858124</v>
      </c>
      <c r="AA174" s="384">
        <f t="shared" si="63"/>
        <v>53.983759365188099</v>
      </c>
      <c r="AB174" s="197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6.2620992611157972E-2</v>
      </c>
      <c r="AD174" s="230">
        <f>(INDEX(Models!$BJ174:$BT174,,AH174)*(1-AF174)+INDEX(Models!$BJ174:$BT174,,AH174+1)*AF174-ERP_i)*AE174*Ramure*Pc/MaxiM</f>
        <v>9.5442477963989924E-4</v>
      </c>
      <c r="AE174" s="304">
        <f t="shared" si="65"/>
        <v>0.7</v>
      </c>
      <c r="AF174" s="177">
        <f t="shared" si="66"/>
        <v>0.13027613436021657</v>
      </c>
      <c r="AG174" s="799">
        <f t="shared" si="74"/>
        <v>2</v>
      </c>
      <c r="AH174" s="176">
        <f t="shared" si="67"/>
        <v>8</v>
      </c>
      <c r="AI174" s="224">
        <f t="shared" si="68"/>
        <v>2.1302761343602166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46548</v>
      </c>
      <c r="B175" s="409">
        <f>'2026'!Wh/'2026'!Env_an*'2027'!Env_an</f>
        <v>57.898503330343921</v>
      </c>
      <c r="C175" s="829"/>
      <c r="D175" s="391">
        <f t="shared" si="50"/>
        <v>61.41078328762238</v>
      </c>
      <c r="E175" s="383">
        <f t="shared" si="75"/>
        <v>62.134100577040556</v>
      </c>
      <c r="F175" s="383">
        <f t="shared" si="51"/>
        <v>62.137218569492148</v>
      </c>
      <c r="G175" s="110">
        <f t="shared" si="76"/>
        <v>1.0044687442388611</v>
      </c>
      <c r="H175" s="412" t="b">
        <f>Wh_hp&gt;='2026'!Maxi_hp</f>
        <v>0</v>
      </c>
      <c r="I175" s="388">
        <f>IF(H175,Wh_hp,'2026'!Maxi_hp)</f>
        <v>62.137218569492155</v>
      </c>
      <c r="J175" s="85">
        <f>IF(H175,An,'2026'!An_max)</f>
        <v>2025</v>
      </c>
      <c r="K175" s="197">
        <f t="shared" si="52"/>
        <v>46548</v>
      </c>
      <c r="L175" s="147">
        <f>IF(t&lt;Tvie,1-EXP((T0-t)*PertePVj)+'2026'!Pspv,1-EXP((T0-t)*PertePVj)+Pspv)</f>
        <v>5.7193212156705586E-2</v>
      </c>
      <c r="M175" s="832"/>
      <c r="N175" s="832"/>
      <c r="O175" s="48">
        <f>IF(t&lt;Tnet,'2026'!Resal+('2026'!Salim-'2026'!Resal)*(1-EXP(('2026'!Tnet-t)/('2026'!Tau_j))),Resal+(Salim-Resal)*(1-EXP((Tnet-t)/(Tau_j))))*Salcycl</f>
        <v>1.1641228933881994E-2</v>
      </c>
      <c r="P175" s="169">
        <f>(INDEX(Models!$BJ175:$BT175,,T175)*(1-R175)+INDEX(Models!$BJ175:$BT175,,T175+1)*R175-ERP_i)*Q175*Ramure*Pc/MaxiM</f>
        <v>5.0179144212963709E-5</v>
      </c>
      <c r="Q175" s="304">
        <f t="shared" si="53"/>
        <v>0.7</v>
      </c>
      <c r="R175" s="177">
        <f t="shared" si="54"/>
        <v>0.378734396569675</v>
      </c>
      <c r="S175" s="799">
        <f t="shared" si="55"/>
        <v>-1</v>
      </c>
      <c r="T175" s="176">
        <f t="shared" si="56"/>
        <v>5</v>
      </c>
      <c r="U175" s="250">
        <f t="shared" si="57"/>
        <v>-0.621265603430325</v>
      </c>
      <c r="V175" s="382">
        <f t="shared" si="58"/>
        <v>57.640920797606967</v>
      </c>
      <c r="W175" s="400">
        <f t="shared" si="59"/>
        <v>57.898503330343921</v>
      </c>
      <c r="X175" s="157">
        <f t="shared" si="60"/>
        <v>46548</v>
      </c>
      <c r="Y175" s="383">
        <f t="shared" si="61"/>
        <v>54.858974418782594</v>
      </c>
      <c r="Z175" s="383">
        <f t="shared" si="62"/>
        <v>58.186868323545418</v>
      </c>
      <c r="AA175" s="384">
        <f t="shared" si="63"/>
        <v>62.079378525289243</v>
      </c>
      <c r="AB175" s="197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6.2702145127920925E-2</v>
      </c>
      <c r="AD175" s="230">
        <f>(INDEX(Models!$BJ175:$BT175,,AH175)*(1-AF175)+INDEX(Models!$BJ175:$BT175,,AH175+1)*AF175-ERP_i)*AE175*Ramure*Pc/MaxiM</f>
        <v>9.3084379272981006E-4</v>
      </c>
      <c r="AE175" s="304">
        <f t="shared" si="65"/>
        <v>0.7</v>
      </c>
      <c r="AF175" s="177">
        <f t="shared" si="66"/>
        <v>0.1343922274090259</v>
      </c>
      <c r="AG175" s="799">
        <f t="shared" si="74"/>
        <v>2</v>
      </c>
      <c r="AH175" s="176">
        <f t="shared" si="67"/>
        <v>8</v>
      </c>
      <c r="AI175" s="224">
        <f t="shared" si="68"/>
        <v>2.1343922274090259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46549</v>
      </c>
      <c r="B176" s="409">
        <f>'2026'!Wh/'2026'!Env_an*'2027'!Env_an</f>
        <v>56.33560281509569</v>
      </c>
      <c r="C176" s="829"/>
      <c r="D176" s="391">
        <f t="shared" si="50"/>
        <v>59.754218171928407</v>
      </c>
      <c r="E176" s="383">
        <f t="shared" si="75"/>
        <v>60.464806263256946</v>
      </c>
      <c r="F176" s="383">
        <f t="shared" si="51"/>
        <v>60.467778370276648</v>
      </c>
      <c r="G176" s="110">
        <f t="shared" si="76"/>
        <v>0.97801889099853279</v>
      </c>
      <c r="H176" s="412" t="b">
        <f>Wh_hp&gt;='2026'!Maxi_hp</f>
        <v>0</v>
      </c>
      <c r="I176" s="388">
        <f>IF(H176,Wh_hp,'2026'!Maxi_hp)</f>
        <v>60.467860920510077</v>
      </c>
      <c r="J176" s="85">
        <f>IF(H176,An,'2026'!An_max)</f>
        <v>2026</v>
      </c>
      <c r="K176" s="197">
        <f t="shared" si="52"/>
        <v>46549</v>
      </c>
      <c r="L176" s="147">
        <f>IF(t&lt;Tvie,1-EXP((T0-t)*PertePVj)+'2026'!Pspv,1-EXP((T0-t)*PertePVj)+Pspv)</f>
        <v>5.7211280833705747E-2</v>
      </c>
      <c r="M176" s="832"/>
      <c r="N176" s="832"/>
      <c r="O176" s="48">
        <f>IF(t&lt;Tnet,'2026'!Resal+('2026'!Salim-'2026'!Resal)*(1-EXP(('2026'!Tnet-t)/('2026'!Tau_j))),Resal+(Salim-Resal)*(1-EXP((Tnet-t)/(Tau_j))))*Salcycl</f>
        <v>1.1752094073281543E-2</v>
      </c>
      <c r="P176" s="169">
        <f>(INDEX(Models!$BJ176:$BT176,,T176)*(1-R176)+INDEX(Models!$BJ176:$BT176,,T176+1)*R176-ERP_i)*Q176*Ramure*Pc/MaxiM</f>
        <v>5.0745282931462814E-5</v>
      </c>
      <c r="Q176" s="304">
        <f t="shared" si="53"/>
        <v>0.7</v>
      </c>
      <c r="R176" s="177">
        <f t="shared" si="54"/>
        <v>0.38285048961848434</v>
      </c>
      <c r="S176" s="799">
        <f t="shared" si="55"/>
        <v>-1</v>
      </c>
      <c r="T176" s="176">
        <f t="shared" si="56"/>
        <v>5</v>
      </c>
      <c r="U176" s="250">
        <f t="shared" si="57"/>
        <v>-0.61714951038151566</v>
      </c>
      <c r="V176" s="382">
        <f t="shared" si="58"/>
        <v>57.601661446177211</v>
      </c>
      <c r="W176" s="400">
        <f t="shared" si="59"/>
        <v>56.33560281509569</v>
      </c>
      <c r="X176" s="157">
        <f t="shared" si="60"/>
        <v>46549</v>
      </c>
      <c r="Y176" s="383">
        <f t="shared" si="61"/>
        <v>53.381957819592287</v>
      </c>
      <c r="Z176" s="383">
        <f t="shared" si="62"/>
        <v>56.62133703381371</v>
      </c>
      <c r="AA176" s="384">
        <f t="shared" si="63"/>
        <v>60.414297441119345</v>
      </c>
      <c r="AB176" s="197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6.2782496328825252E-2</v>
      </c>
      <c r="AD176" s="230">
        <f>(INDEX(Models!$BJ176:$BT176,,AH176)*(1-AF176)+INDEX(Models!$BJ176:$BT176,,AH176+1)*AF176-ERP_i)*AE176*Ramure*Pc/MaxiM</f>
        <v>9.1312488531918794E-4</v>
      </c>
      <c r="AE176" s="304">
        <f t="shared" si="65"/>
        <v>0.7</v>
      </c>
      <c r="AF176" s="177">
        <f t="shared" si="66"/>
        <v>0.13850832045783523</v>
      </c>
      <c r="AG176" s="799">
        <f t="shared" si="74"/>
        <v>2</v>
      </c>
      <c r="AH176" s="176">
        <f t="shared" si="67"/>
        <v>8</v>
      </c>
      <c r="AI176" s="224">
        <f t="shared" si="68"/>
        <v>2.1385083204578352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46550</v>
      </c>
      <c r="B177" s="409">
        <f>'2026'!Wh/'2026'!Env_an*'2027'!Env_an</f>
        <v>46.576642922483138</v>
      </c>
      <c r="C177" s="829"/>
      <c r="D177" s="391">
        <f t="shared" si="50"/>
        <v>49.404001791106175</v>
      </c>
      <c r="E177" s="383">
        <f t="shared" si="75"/>
        <v>49.997107411410376</v>
      </c>
      <c r="F177" s="383">
        <f t="shared" si="51"/>
        <v>49.998972388340313</v>
      </c>
      <c r="G177" s="110">
        <f t="shared" si="76"/>
        <v>0.80917869498662665</v>
      </c>
      <c r="H177" s="412" t="b">
        <f>Wh_hp&gt;='2026'!Maxi_hp</f>
        <v>0</v>
      </c>
      <c r="I177" s="388">
        <f>IF(H177,Wh_hp,'2026'!Maxi_hp)</f>
        <v>60.295662422048899</v>
      </c>
      <c r="J177" s="85">
        <f>IF(H177,An,'2026'!An_max)</f>
        <v>2018</v>
      </c>
      <c r="K177" s="197">
        <f t="shared" si="52"/>
        <v>46550</v>
      </c>
      <c r="L177" s="147">
        <f>IF(t&lt;Tvie,1-EXP((T0-t)*PertePVj)+'2026'!Pspv,1-EXP((T0-t)*PertePVj)+Pspv)</f>
        <v>5.7229349164423904E-2</v>
      </c>
      <c r="M177" s="832"/>
      <c r="N177" s="832"/>
      <c r="O177" s="48">
        <f>IF(t&lt;Tnet,'2026'!Resal+('2026'!Salim-'2026'!Resal)*(1-EXP(('2026'!Tnet-t)/('2026'!Tau_j))),Resal+(Salim-Resal)*(1-EXP((Tnet-t)/(Tau_j))))*Salcycl</f>
        <v>1.1862798690006565E-2</v>
      </c>
      <c r="P177" s="169">
        <f>(INDEX(Models!$BJ177:$BT177,,T177)*(1-R177)+INDEX(Models!$BJ177:$BT177,,T177+1)*R177-ERP_i)*Q177*Ramure*Pc/MaxiM</f>
        <v>5.1277938168977194E-5</v>
      </c>
      <c r="Q177" s="304">
        <f t="shared" si="53"/>
        <v>0.7</v>
      </c>
      <c r="R177" s="177">
        <f t="shared" si="54"/>
        <v>0.38696310933392897</v>
      </c>
      <c r="S177" s="799">
        <f t="shared" si="55"/>
        <v>-1</v>
      </c>
      <c r="T177" s="176">
        <f t="shared" si="56"/>
        <v>5</v>
      </c>
      <c r="U177" s="250">
        <f t="shared" si="57"/>
        <v>-0.61303689066607103</v>
      </c>
      <c r="V177" s="382">
        <f t="shared" si="58"/>
        <v>57.559587462629366</v>
      </c>
      <c r="W177" s="400">
        <f t="shared" si="59"/>
        <v>46.576642922483138</v>
      </c>
      <c r="X177" s="157">
        <f t="shared" si="60"/>
        <v>46550</v>
      </c>
      <c r="Y177" s="383">
        <f t="shared" si="61"/>
        <v>44.14543894570901</v>
      </c>
      <c r="Z177" s="383">
        <f t="shared" si="62"/>
        <v>46.825215556490839</v>
      </c>
      <c r="AA177" s="384">
        <f t="shared" si="63"/>
        <v>49.966190627787128</v>
      </c>
      <c r="AB177" s="197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6.286200792640638E-2</v>
      </c>
      <c r="AD177" s="230">
        <f>(INDEX(Models!$BJ177:$BT177,,AH177)*(1-AF177)+INDEX(Models!$BJ177:$BT177,,AH177+1)*AF177-ERP_i)*AE177*Ramure*Pc/MaxiM</f>
        <v>9.0134149314682682E-4</v>
      </c>
      <c r="AE177" s="304">
        <f t="shared" si="65"/>
        <v>0.7</v>
      </c>
      <c r="AF177" s="177">
        <f t="shared" si="66"/>
        <v>0.14262094017327964</v>
      </c>
      <c r="AG177" s="799">
        <f t="shared" si="74"/>
        <v>2</v>
      </c>
      <c r="AH177" s="176">
        <f t="shared" si="67"/>
        <v>8</v>
      </c>
      <c r="AI177" s="224">
        <f t="shared" si="68"/>
        <v>2.1426209401732796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46551</v>
      </c>
      <c r="B178" s="409">
        <f>'2026'!Wh/'2026'!Env_an*'2027'!Env_an</f>
        <v>51.205181516824624</v>
      </c>
      <c r="C178" s="829"/>
      <c r="D178" s="391">
        <f t="shared" si="50"/>
        <v>54.314549170437274</v>
      </c>
      <c r="E178" s="383">
        <f t="shared" si="75"/>
        <v>54.972756235599334</v>
      </c>
      <c r="F178" s="383">
        <f t="shared" si="51"/>
        <v>54.975157219629821</v>
      </c>
      <c r="G178" s="110">
        <f t="shared" si="76"/>
        <v>0.89029006620897166</v>
      </c>
      <c r="H178" s="412" t="b">
        <f>Wh_hp&gt;='2026'!Maxi_hp</f>
        <v>0</v>
      </c>
      <c r="I178" s="388">
        <f>IF(H178,Wh_hp,'2026'!Maxi_hp)</f>
        <v>64.172787836056131</v>
      </c>
      <c r="J178" s="85">
        <f>IF(H178,An,'2026'!An_max)</f>
        <v>2018</v>
      </c>
      <c r="K178" s="197">
        <f t="shared" si="52"/>
        <v>46551</v>
      </c>
      <c r="L178" s="147">
        <f>IF(t&lt;Tvie,1-EXP((T0-t)*PertePVj)+'2026'!Pspv,1-EXP((T0-t)*PertePVj)+Pspv)</f>
        <v>5.7247417148866608E-2</v>
      </c>
      <c r="M178" s="832"/>
      <c r="N178" s="832"/>
      <c r="O178" s="48">
        <f>IF(t&lt;Tnet,'2026'!Resal+('2026'!Salim-'2026'!Resal)*(1-EXP(('2026'!Tnet-t)/('2026'!Tau_j))),Resal+(Salim-Resal)*(1-EXP((Tnet-t)/(Tau_j))))*Salcycl</f>
        <v>1.1973332069091673E-2</v>
      </c>
      <c r="P178" s="169">
        <f>(INDEX(Models!$BJ178:$BT178,,T178)*(1-R178)+INDEX(Models!$BJ178:$BT178,,T178+1)*R178-ERP_i)*Q178*Ramure*Pc/MaxiM</f>
        <v>5.1790492397426554E-5</v>
      </c>
      <c r="Q178" s="304">
        <f t="shared" si="53"/>
        <v>0.7</v>
      </c>
      <c r="R178" s="177">
        <f t="shared" si="54"/>
        <v>0.39106879409654227</v>
      </c>
      <c r="S178" s="799">
        <f t="shared" si="55"/>
        <v>-1</v>
      </c>
      <c r="T178" s="176">
        <f t="shared" si="56"/>
        <v>5</v>
      </c>
      <c r="U178" s="250">
        <f t="shared" si="57"/>
        <v>-0.60893120590345773</v>
      </c>
      <c r="V178" s="382">
        <f t="shared" si="58"/>
        <v>57.514699798154155</v>
      </c>
      <c r="W178" s="400">
        <f t="shared" si="59"/>
        <v>51.205181516824624</v>
      </c>
      <c r="X178" s="157">
        <f t="shared" si="60"/>
        <v>46551</v>
      </c>
      <c r="Y178" s="383">
        <f t="shared" si="61"/>
        <v>48.529183759905635</v>
      </c>
      <c r="Z178" s="383">
        <f t="shared" si="62"/>
        <v>51.476054950855222</v>
      </c>
      <c r="AA178" s="384">
        <f t="shared" si="63"/>
        <v>54.933611860231103</v>
      </c>
      <c r="AB178" s="197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6.29406440299798E-2</v>
      </c>
      <c r="AD178" s="230">
        <f>(INDEX(Models!$BJ178:$BT178,,AH178)*(1-AF178)+INDEX(Models!$BJ178:$BT178,,AH178+1)*AF178-ERP_i)*AE178*Ramure*Pc/MaxiM</f>
        <v>8.9615532330200197E-4</v>
      </c>
      <c r="AE178" s="304">
        <f t="shared" si="65"/>
        <v>0.7</v>
      </c>
      <c r="AF178" s="177">
        <f t="shared" si="66"/>
        <v>0.14672662493589295</v>
      </c>
      <c r="AG178" s="799">
        <f t="shared" si="74"/>
        <v>2</v>
      </c>
      <c r="AH178" s="176">
        <f t="shared" si="67"/>
        <v>8</v>
      </c>
      <c r="AI178" s="224">
        <f t="shared" si="68"/>
        <v>2.1467266249358929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46552</v>
      </c>
      <c r="B179" s="409">
        <f>'2026'!Wh/'2026'!Env_an*'2027'!Env_an</f>
        <v>50.36740289488862</v>
      </c>
      <c r="C179" s="829"/>
      <c r="D179" s="391">
        <f t="shared" si="50"/>
        <v>53.426921452547909</v>
      </c>
      <c r="E179" s="383">
        <f t="shared" si="75"/>
        <v>54.08041205065004</v>
      </c>
      <c r="F179" s="383">
        <f t="shared" si="51"/>
        <v>54.082741138625785</v>
      </c>
      <c r="G179" s="110">
        <f t="shared" si="76"/>
        <v>0.87644976190492585</v>
      </c>
      <c r="H179" s="412" t="b">
        <f>Wh_hp&gt;='2026'!Maxi_hp</f>
        <v>0</v>
      </c>
      <c r="I179" s="388">
        <f>IF(H179,Wh_hp,'2026'!Maxi_hp)</f>
        <v>57.550987024107755</v>
      </c>
      <c r="J179" s="85">
        <f>IF(H179,An,'2026'!An_max)</f>
        <v>2021</v>
      </c>
      <c r="K179" s="197">
        <f t="shared" si="52"/>
        <v>46552</v>
      </c>
      <c r="L179" s="147">
        <f>IF(t&lt;Tvie,1-EXP((T0-t)*PertePVj)+'2026'!Pspv,1-EXP((T0-t)*PertePVj)+Pspv)</f>
        <v>5.7265484787040521E-2</v>
      </c>
      <c r="M179" s="832"/>
      <c r="N179" s="832"/>
      <c r="O179" s="48">
        <f>IF(t&lt;Tnet,'2026'!Resal+('2026'!Salim-'2026'!Resal)*(1-EXP(('2026'!Tnet-t)/('2026'!Tau_j))),Resal+(Salim-Resal)*(1-EXP((Tnet-t)/(Tau_j))))*Salcycl</f>
        <v>1.2083683783512897E-2</v>
      </c>
      <c r="P179" s="169">
        <f>(INDEX(Models!$BJ179:$BT179,,T179)*(1-R179)+INDEX(Models!$BJ179:$BT179,,T179+1)*R179-ERP_i)*Q179*Ramure*Pc/MaxiM</f>
        <v>5.2294700398447476E-5</v>
      </c>
      <c r="Q179" s="304">
        <f t="shared" si="53"/>
        <v>0.7</v>
      </c>
      <c r="R179" s="177">
        <f t="shared" si="54"/>
        <v>0.39516410563080295</v>
      </c>
      <c r="S179" s="799">
        <f t="shared" si="55"/>
        <v>-1</v>
      </c>
      <c r="T179" s="176">
        <f t="shared" si="56"/>
        <v>5</v>
      </c>
      <c r="U179" s="250">
        <f t="shared" si="57"/>
        <v>-0.60483589436919705</v>
      </c>
      <c r="V179" s="382">
        <f t="shared" si="58"/>
        <v>57.46699948103835</v>
      </c>
      <c r="W179" s="400">
        <f t="shared" si="59"/>
        <v>50.36740289488862</v>
      </c>
      <c r="X179" s="157">
        <f t="shared" si="60"/>
        <v>46552</v>
      </c>
      <c r="Y179" s="383">
        <f t="shared" si="61"/>
        <v>47.737560704399193</v>
      </c>
      <c r="Z179" s="383">
        <f t="shared" si="62"/>
        <v>50.637332073935461</v>
      </c>
      <c r="AA179" s="384">
        <f t="shared" si="63"/>
        <v>54.04303619399203</v>
      </c>
      <c r="AB179" s="197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6.3018371281574684E-2</v>
      </c>
      <c r="AD179" s="230">
        <f>(INDEX(Models!$BJ179:$BT179,,AH179)*(1-AF179)+INDEX(Models!$BJ179:$BT179,,AH179+1)*AF179-ERP_i)*AE179*Ramure*Pc/MaxiM</f>
        <v>8.9148980441376778E-4</v>
      </c>
      <c r="AE179" s="304">
        <f t="shared" si="65"/>
        <v>0.7</v>
      </c>
      <c r="AF179" s="177">
        <f t="shared" si="66"/>
        <v>0.15082193647015352</v>
      </c>
      <c r="AG179" s="799">
        <f t="shared" si="74"/>
        <v>2</v>
      </c>
      <c r="AH179" s="176">
        <f t="shared" si="67"/>
        <v>8</v>
      </c>
      <c r="AI179" s="224">
        <f t="shared" si="68"/>
        <v>2.1508219364701535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46553</v>
      </c>
      <c r="B180" s="409">
        <f>'2026'!Wh/'2026'!Env_an*'2027'!Env_an</f>
        <v>53.709126533558589</v>
      </c>
      <c r="C180" s="829"/>
      <c r="D180" s="391">
        <f t="shared" si="50"/>
        <v>56.972726689984214</v>
      </c>
      <c r="E180" s="383">
        <f t="shared" si="75"/>
        <v>57.676019053778823</v>
      </c>
      <c r="F180" s="383">
        <f t="shared" si="51"/>
        <v>57.678783046489862</v>
      </c>
      <c r="G180" s="110">
        <f t="shared" si="76"/>
        <v>0.93542580965297528</v>
      </c>
      <c r="H180" s="412" t="b">
        <f>Wh_hp&gt;='2026'!Maxi_hp</f>
        <v>0</v>
      </c>
      <c r="I180" s="388">
        <f>IF(H180,Wh_hp,'2026'!Maxi_hp)</f>
        <v>57.67902193219367</v>
      </c>
      <c r="J180" s="85">
        <f>IF(H180,An,'2026'!An_max)</f>
        <v>2026</v>
      </c>
      <c r="K180" s="197">
        <f t="shared" si="52"/>
        <v>46553</v>
      </c>
      <c r="L180" s="147">
        <f>IF(t&lt;Tvie,1-EXP((T0-t)*PertePVj)+'2026'!Pspv,1-EXP((T0-t)*PertePVj)+Pspv)</f>
        <v>5.7283552078952304E-2</v>
      </c>
      <c r="M180" s="832"/>
      <c r="N180" s="832"/>
      <c r="O180" s="48">
        <f>IF(t&lt;Tnet,'2026'!Resal+('2026'!Salim-'2026'!Resal)*(1-EXP(('2026'!Tnet-t)/('2026'!Tau_j))),Resal+(Salim-Resal)*(1-EXP((Tnet-t)/(Tau_j))))*Salcycl</f>
        <v>1.2193843738397426E-2</v>
      </c>
      <c r="P180" s="169">
        <f>(INDEX(Models!$BJ180:$BT180,,T180)*(1-R180)+INDEX(Models!$BJ180:$BT180,,T180+1)*R180-ERP_i)*Q180*Ramure*Pc/MaxiM</f>
        <v>5.2789904990540473E-5</v>
      </c>
      <c r="Q180" s="304">
        <f t="shared" si="53"/>
        <v>0.7</v>
      </c>
      <c r="R180" s="177">
        <f t="shared" si="54"/>
        <v>0.39924564046851496</v>
      </c>
      <c r="S180" s="799">
        <f t="shared" si="55"/>
        <v>-1</v>
      </c>
      <c r="T180" s="176">
        <f t="shared" si="56"/>
        <v>5</v>
      </c>
      <c r="U180" s="250">
        <f t="shared" si="57"/>
        <v>-0.60075435953148504</v>
      </c>
      <c r="V180" s="382">
        <f t="shared" si="58"/>
        <v>57.416488226131122</v>
      </c>
      <c r="W180" s="400">
        <f t="shared" si="59"/>
        <v>53.709126533558589</v>
      </c>
      <c r="X180" s="157">
        <f t="shared" si="60"/>
        <v>46553</v>
      </c>
      <c r="Y180" s="383">
        <f t="shared" si="61"/>
        <v>50.902914904887055</v>
      </c>
      <c r="Z180" s="383">
        <f t="shared" si="62"/>
        <v>53.995997436071214</v>
      </c>
      <c r="AA180" s="384">
        <f t="shared" si="63"/>
        <v>57.632317682579398</v>
      </c>
      <c r="AB180" s="197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6.309515897895844E-2</v>
      </c>
      <c r="AD180" s="230">
        <f>(INDEX(Models!$BJ180:$BT180,,AH180)*(1-AF180)+INDEX(Models!$BJ180:$BT180,,AH180+1)*AF180-ERP_i)*AE180*Ramure*Pc/MaxiM</f>
        <v>8.8744884760105943E-4</v>
      </c>
      <c r="AE180" s="304">
        <f t="shared" si="65"/>
        <v>0.7</v>
      </c>
      <c r="AF180" s="177">
        <f t="shared" si="66"/>
        <v>0.15490347130786564</v>
      </c>
      <c r="AG180" s="799">
        <f t="shared" si="74"/>
        <v>2</v>
      </c>
      <c r="AH180" s="176">
        <f t="shared" si="67"/>
        <v>8</v>
      </c>
      <c r="AI180" s="224">
        <f t="shared" si="68"/>
        <v>2.1549034713078656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46554</v>
      </c>
      <c r="B181" s="409">
        <f>'2026'!Wh/'2026'!Env_an*'2027'!Env_an</f>
        <v>51.804829666086725</v>
      </c>
      <c r="C181" s="829"/>
      <c r="D181" s="391">
        <f t="shared" si="50"/>
        <v>54.953769637840352</v>
      </c>
      <c r="E181" s="383">
        <f t="shared" si="75"/>
        <v>55.638332678606581</v>
      </c>
      <c r="F181" s="383">
        <f t="shared" si="51"/>
        <v>55.640886640913678</v>
      </c>
      <c r="G181" s="110">
        <f t="shared" si="76"/>
        <v>0.90309600502260134</v>
      </c>
      <c r="H181" s="412" t="b">
        <f>Wh_hp&gt;='2026'!Maxi_hp</f>
        <v>0</v>
      </c>
      <c r="I181" s="388">
        <f>IF(H181,Wh_hp,'2026'!Maxi_hp)</f>
        <v>62.895191551516874</v>
      </c>
      <c r="J181" s="85">
        <f>IF(H181,An,'2026'!An_max)</f>
        <v>2018</v>
      </c>
      <c r="K181" s="197">
        <f t="shared" si="52"/>
        <v>46554</v>
      </c>
      <c r="L181" s="147">
        <f>IF(t&lt;Tvie,1-EXP((T0-t)*PertePVj)+'2026'!Pspv,1-EXP((T0-t)*PertePVj)+Pspv)</f>
        <v>5.7301619024608508E-2</v>
      </c>
      <c r="M181" s="832"/>
      <c r="N181" s="832"/>
      <c r="O181" s="48">
        <f>IF(t&lt;Tnet,'2026'!Resal+('2026'!Salim-'2026'!Resal)*(1-EXP(('2026'!Tnet-t)/('2026'!Tau_j))),Resal+(Salim-Resal)*(1-EXP((Tnet-t)/(Tau_j))))*Salcycl</f>
        <v>1.2303802213495337E-2</v>
      </c>
      <c r="P181" s="169">
        <f>(INDEX(Models!$BJ181:$BT181,,T181)*(1-R181)+INDEX(Models!$BJ181:$BT181,,T181+1)*R181-ERP_i)*Q181*Ramure*Pc/MaxiM</f>
        <v>5.3275463121149029E-5</v>
      </c>
      <c r="Q181" s="304">
        <f t="shared" si="53"/>
        <v>0.7</v>
      </c>
      <c r="R181" s="177">
        <f t="shared" si="54"/>
        <v>0.40331004116473257</v>
      </c>
      <c r="S181" s="799">
        <f t="shared" si="55"/>
        <v>-1</v>
      </c>
      <c r="T181" s="176">
        <f t="shared" si="56"/>
        <v>5</v>
      </c>
      <c r="U181" s="250">
        <f t="shared" si="57"/>
        <v>-0.59668995883526743</v>
      </c>
      <c r="V181" s="382">
        <f t="shared" si="58"/>
        <v>57.363167723356774</v>
      </c>
      <c r="W181" s="400">
        <f t="shared" si="59"/>
        <v>51.804829666086725</v>
      </c>
      <c r="X181" s="157">
        <f t="shared" si="60"/>
        <v>46554</v>
      </c>
      <c r="Y181" s="383">
        <f t="shared" si="61"/>
        <v>49.101661545294391</v>
      </c>
      <c r="Z181" s="383">
        <f t="shared" si="62"/>
        <v>52.086290308985006</v>
      </c>
      <c r="AA181" s="384">
        <f t="shared" si="63"/>
        <v>55.598502129729631</v>
      </c>
      <c r="AB181" s="197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6.317097918482549E-2</v>
      </c>
      <c r="AD181" s="230">
        <f>(INDEX(Models!$BJ181:$BT181,,AH181)*(1-AF181)+INDEX(Models!$BJ181:$BT181,,AH181+1)*AF181-ERP_i)*AE181*Ramure*Pc/MaxiM</f>
        <v>8.8413774009857401E-4</v>
      </c>
      <c r="AE181" s="304">
        <f t="shared" si="65"/>
        <v>0.7</v>
      </c>
      <c r="AF181" s="177">
        <f t="shared" si="66"/>
        <v>0.15896787200408324</v>
      </c>
      <c r="AG181" s="799">
        <f t="shared" si="74"/>
        <v>2</v>
      </c>
      <c r="AH181" s="176">
        <f t="shared" si="67"/>
        <v>8</v>
      </c>
      <c r="AI181" s="224">
        <f t="shared" si="68"/>
        <v>2.1589678720040832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46555</v>
      </c>
      <c r="B182" s="409">
        <f>'2026'!Wh/'2026'!Env_an*'2027'!Env_an</f>
        <v>52.795590557137587</v>
      </c>
      <c r="C182" s="829"/>
      <c r="D182" s="391">
        <f t="shared" si="50"/>
        <v>56.005826951086924</v>
      </c>
      <c r="E182" s="383">
        <f t="shared" si="75"/>
        <v>56.709796844235655</v>
      </c>
      <c r="F182" s="383">
        <f t="shared" si="51"/>
        <v>56.712502357979822</v>
      </c>
      <c r="G182" s="110">
        <f t="shared" si="76"/>
        <v>0.92127026163488313</v>
      </c>
      <c r="H182" s="412" t="b">
        <f>Wh_hp&gt;='2026'!Maxi_hp</f>
        <v>0</v>
      </c>
      <c r="I182" s="388">
        <f>IF(H182,Wh_hp,'2026'!Maxi_hp)</f>
        <v>61.943350764633465</v>
      </c>
      <c r="J182" s="85">
        <f>IF(H182,An,'2026'!An_max)</f>
        <v>2018</v>
      </c>
      <c r="K182" s="197">
        <f t="shared" si="52"/>
        <v>46555</v>
      </c>
      <c r="L182" s="147">
        <f>IF(t&lt;Tvie,1-EXP((T0-t)*PertePVj)+'2026'!Pspv,1-EXP((T0-t)*PertePVj)+Pspv)</f>
        <v>5.7319685624015904E-2</v>
      </c>
      <c r="M182" s="832"/>
      <c r="N182" s="832"/>
      <c r="O182" s="48">
        <f>IF(t&lt;Tnet,'2026'!Resal+('2026'!Salim-'2026'!Resal)*(1-EXP(('2026'!Tnet-t)/('2026'!Tau_j))),Resal+(Salim-Resal)*(1-EXP((Tnet-t)/(Tau_j))))*Salcycl</f>
        <v>1.2413549903596333E-2</v>
      </c>
      <c r="P182" s="169">
        <f>(INDEX(Models!$BJ182:$BT182,,T182)*(1-R182)+INDEX(Models!$BJ182:$BT182,,T182+1)*R182-ERP_i)*Q182*Ramure*Pc/MaxiM</f>
        <v>5.3750748367361521E-5</v>
      </c>
      <c r="Q182" s="304">
        <f t="shared" si="53"/>
        <v>0.7</v>
      </c>
      <c r="R182" s="177">
        <f t="shared" si="54"/>
        <v>0.40735400718846038</v>
      </c>
      <c r="S182" s="799">
        <f t="shared" si="55"/>
        <v>-1</v>
      </c>
      <c r="T182" s="176">
        <f t="shared" si="56"/>
        <v>5</v>
      </c>
      <c r="U182" s="250">
        <f t="shared" si="57"/>
        <v>-0.59264599281153962</v>
      </c>
      <c r="V182" s="382">
        <f t="shared" si="58"/>
        <v>57.307039630432321</v>
      </c>
      <c r="W182" s="400">
        <f t="shared" si="59"/>
        <v>52.795590557137587</v>
      </c>
      <c r="X182" s="157">
        <f t="shared" si="60"/>
        <v>46555</v>
      </c>
      <c r="Y182" s="383">
        <f t="shared" si="61"/>
        <v>50.041339005427233</v>
      </c>
      <c r="Z182" s="383">
        <f t="shared" si="62"/>
        <v>53.08410310716264</v>
      </c>
      <c r="AA182" s="384">
        <f t="shared" si="63"/>
        <v>56.668124352913566</v>
      </c>
      <c r="AB182" s="197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6.3245806821320347E-2</v>
      </c>
      <c r="AD182" s="230">
        <f>(INDEX(Models!$BJ182:$BT182,,AH182)*(1-AF182)+INDEX(Models!$BJ182:$BT182,,AH182+1)*AF182-ERP_i)*AE182*Ramure*Pc/MaxiM</f>
        <v>8.816628592267251E-4</v>
      </c>
      <c r="AE182" s="304">
        <f t="shared" si="65"/>
        <v>0.7</v>
      </c>
      <c r="AF182" s="177">
        <f t="shared" si="66"/>
        <v>0.16301183802781116</v>
      </c>
      <c r="AG182" s="799">
        <f t="shared" si="74"/>
        <v>2</v>
      </c>
      <c r="AH182" s="176">
        <f t="shared" si="67"/>
        <v>8</v>
      </c>
      <c r="AI182" s="224">
        <f t="shared" si="68"/>
        <v>2.1630118380278112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46556</v>
      </c>
      <c r="B183" s="409">
        <f>'2026'!Wh/'2026'!Env_an*'2027'!Env_an</f>
        <v>55.778378815126523</v>
      </c>
      <c r="C183" s="829"/>
      <c r="D183" s="391">
        <f t="shared" si="50"/>
        <v>59.171117678894447</v>
      </c>
      <c r="E183" s="383">
        <f t="shared" si="75"/>
        <v>59.921519539363018</v>
      </c>
      <c r="F183" s="383">
        <f t="shared" si="51"/>
        <v>59.924649210777318</v>
      </c>
      <c r="G183" s="110">
        <f t="shared" si="76"/>
        <v>0.9743251299443304</v>
      </c>
      <c r="H183" s="412" t="b">
        <f>Wh_hp&gt;='2026'!Maxi_hp</f>
        <v>0</v>
      </c>
      <c r="I183" s="388">
        <f>IF(H183,Wh_hp,'2026'!Maxi_hp)</f>
        <v>59.924748233248508</v>
      </c>
      <c r="J183" s="85">
        <f>IF(H183,An,'2026'!An_max)</f>
        <v>2026</v>
      </c>
      <c r="K183" s="197">
        <f t="shared" si="52"/>
        <v>46556</v>
      </c>
      <c r="L183" s="147">
        <f>IF(t&lt;Tvie,1-EXP((T0-t)*PertePVj)+'2026'!Pspv,1-EXP((T0-t)*PertePVj)+Pspv)</f>
        <v>5.7337751877180931E-2</v>
      </c>
      <c r="M183" s="832"/>
      <c r="N183" s="832"/>
      <c r="O183" s="48">
        <f>IF(t&lt;Tnet,'2026'!Resal+('2026'!Salim-'2026'!Resal)*(1-EXP(('2026'!Tnet-t)/('2026'!Tau_j))),Resal+(Salim-Resal)*(1-EXP((Tnet-t)/(Tau_j))))*Salcycl</f>
        <v>1.2523077956586574E-2</v>
      </c>
      <c r="P183" s="169">
        <f>(INDEX(Models!$BJ183:$BT183,,T183)*(1-R183)+INDEX(Models!$BJ183:$BT183,,T183+1)*R183-ERP_i)*Q183*Ramure*Pc/MaxiM</f>
        <v>5.421515331008895E-5</v>
      </c>
      <c r="Q183" s="304">
        <f t="shared" si="53"/>
        <v>0.7</v>
      </c>
      <c r="R183" s="177">
        <f t="shared" si="54"/>
        <v>0.41137430541427789</v>
      </c>
      <c r="S183" s="799">
        <f t="shared" si="55"/>
        <v>-1</v>
      </c>
      <c r="T183" s="176">
        <f t="shared" si="56"/>
        <v>5</v>
      </c>
      <c r="U183" s="250">
        <f t="shared" si="57"/>
        <v>-0.58862569458572211</v>
      </c>
      <c r="V183" s="382">
        <f t="shared" si="58"/>
        <v>57.248105572549903</v>
      </c>
      <c r="W183" s="400">
        <f t="shared" si="59"/>
        <v>55.778378815126523</v>
      </c>
      <c r="X183" s="157">
        <f t="shared" si="60"/>
        <v>46556</v>
      </c>
      <c r="Y183" s="383">
        <f t="shared" si="61"/>
        <v>52.866999822535398</v>
      </c>
      <c r="Z183" s="383">
        <f t="shared" si="62"/>
        <v>56.082653068808774</v>
      </c>
      <c r="AA183" s="384">
        <f t="shared" si="63"/>
        <v>59.873841975627528</v>
      </c>
      <c r="AB183" s="197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6.3319619749172079E-2</v>
      </c>
      <c r="AD183" s="230">
        <f>(INDEX(Models!$BJ183:$BT183,,AH183)*(1-AF183)+INDEX(Models!$BJ183:$BT183,,AH183+1)*AF183-ERP_i)*AE183*Ramure*Pc/MaxiM</f>
        <v>8.8013138705932234E-4</v>
      </c>
      <c r="AE183" s="304">
        <f t="shared" si="65"/>
        <v>0.7</v>
      </c>
      <c r="AF183" s="177">
        <f t="shared" si="66"/>
        <v>0.16703213625362867</v>
      </c>
      <c r="AG183" s="799">
        <f t="shared" si="74"/>
        <v>2</v>
      </c>
      <c r="AH183" s="176">
        <f t="shared" si="67"/>
        <v>8</v>
      </c>
      <c r="AI183" s="224">
        <f t="shared" si="68"/>
        <v>2.1670321362536287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46557</v>
      </c>
      <c r="B184" s="409">
        <f>'2026'!Wh/'2026'!Env_an*'2027'!Env_an</f>
        <v>56.763082685642743</v>
      </c>
      <c r="C184" s="829"/>
      <c r="D184" s="391">
        <f t="shared" si="50"/>
        <v>60.216870539856096</v>
      </c>
      <c r="E184" s="383">
        <f t="shared" si="75"/>
        <v>60.987284977424792</v>
      </c>
      <c r="F184" s="383">
        <f t="shared" si="51"/>
        <v>60.990584902740757</v>
      </c>
      <c r="G184" s="110">
        <f t="shared" si="76"/>
        <v>0.99259759953374826</v>
      </c>
      <c r="H184" s="412" t="b">
        <f>Wh_hp&gt;='2026'!Maxi_hp</f>
        <v>0</v>
      </c>
      <c r="I184" s="388">
        <f>IF(H184,Wh_hp,'2026'!Maxi_hp)</f>
        <v>60.990613979636336</v>
      </c>
      <c r="J184" s="85">
        <f>IF(H184,An,'2026'!An_max)</f>
        <v>2026</v>
      </c>
      <c r="K184" s="197">
        <f t="shared" si="52"/>
        <v>46557</v>
      </c>
      <c r="L184" s="147">
        <f>IF(t&lt;Tvie,1-EXP((T0-t)*PertePVj)+'2026'!Pspv,1-EXP((T0-t)*PertePVj)+Pspv)</f>
        <v>5.7355817784110363E-2</v>
      </c>
      <c r="M184" s="832"/>
      <c r="N184" s="832"/>
      <c r="O184" s="48">
        <f>IF(t&lt;Tnet,'2026'!Resal+('2026'!Salim-'2026'!Resal)*(1-EXP(('2026'!Tnet-t)/('2026'!Tau_j))),Resal+(Salim-Resal)*(1-EXP((Tnet-t)/(Tau_j))))*Salcycl</f>
        <v>1.2632378008856648E-2</v>
      </c>
      <c r="P184" s="169">
        <f>(INDEX(Models!$BJ184:$BT184,,T184)*(1-R184)+INDEX(Models!$BJ184:$BT184,,T184+1)*R184-ERP_i)*Q184*Ramure*Pc/MaxiM</f>
        <v>5.4683714956306307E-5</v>
      </c>
      <c r="Q184" s="304">
        <f t="shared" si="53"/>
        <v>0.7</v>
      </c>
      <c r="R184" s="177">
        <f t="shared" si="54"/>
        <v>0.41536778014580789</v>
      </c>
      <c r="S184" s="799">
        <f t="shared" si="55"/>
        <v>-1</v>
      </c>
      <c r="T184" s="176">
        <f t="shared" si="56"/>
        <v>5</v>
      </c>
      <c r="U184" s="250">
        <f t="shared" si="57"/>
        <v>-0.58463221985419211</v>
      </c>
      <c r="V184" s="382">
        <f t="shared" si="58"/>
        <v>57.186366246044656</v>
      </c>
      <c r="W184" s="400">
        <f t="shared" si="59"/>
        <v>56.763082685642743</v>
      </c>
      <c r="X184" s="157">
        <f t="shared" si="60"/>
        <v>46557</v>
      </c>
      <c r="Y184" s="383">
        <f t="shared" si="61"/>
        <v>53.800934659583326</v>
      </c>
      <c r="Z184" s="383">
        <f t="shared" si="62"/>
        <v>57.074488629540532</v>
      </c>
      <c r="AA184" s="384">
        <f t="shared" si="63"/>
        <v>60.937460424508892</v>
      </c>
      <c r="AB184" s="197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6.3392398830829644E-2</v>
      </c>
      <c r="AD184" s="230">
        <f>(INDEX(Models!$BJ184:$BT184,,AH184)*(1-AF184)+INDEX(Models!$BJ184:$BT184,,AH184+1)*AF184-ERP_i)*AE184*Ramure*Pc/MaxiM</f>
        <v>8.8033623390651548E-4</v>
      </c>
      <c r="AE184" s="304">
        <f t="shared" si="65"/>
        <v>0.7</v>
      </c>
      <c r="AF184" s="177">
        <f t="shared" si="66"/>
        <v>0.17102561098515867</v>
      </c>
      <c r="AG184" s="799">
        <f t="shared" si="74"/>
        <v>2</v>
      </c>
      <c r="AH184" s="176">
        <f t="shared" si="67"/>
        <v>8</v>
      </c>
      <c r="AI184" s="224">
        <f t="shared" si="68"/>
        <v>2.1710256109851587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46558</v>
      </c>
      <c r="B185" s="409">
        <f>'2026'!Wh/'2026'!Env_an*'2027'!Env_an</f>
        <v>29.817319267052738</v>
      </c>
      <c r="C185" s="829"/>
      <c r="D185" s="391">
        <f t="shared" si="50"/>
        <v>31.632180288889511</v>
      </c>
      <c r="E185" s="383">
        <f t="shared" si="75"/>
        <v>32.040421467653253</v>
      </c>
      <c r="F185" s="383">
        <f t="shared" si="51"/>
        <v>32.040982174634365</v>
      </c>
      <c r="G185" s="110">
        <f t="shared" si="76"/>
        <v>0.5219755737488847</v>
      </c>
      <c r="H185" s="412" t="b">
        <f>Wh_hp&gt;='2026'!Maxi_hp</f>
        <v>0</v>
      </c>
      <c r="I185" s="388">
        <f>IF(H185,Wh_hp,'2026'!Maxi_hp)</f>
        <v>55.931265464438617</v>
      </c>
      <c r="J185" s="85">
        <f>IF(H185,An,'2026'!An_max)</f>
        <v>2020</v>
      </c>
      <c r="K185" s="197">
        <f t="shared" si="52"/>
        <v>46558</v>
      </c>
      <c r="L185" s="147">
        <f>IF(t&lt;Tvie,1-EXP((T0-t)*PertePVj)+'2026'!Pspv,1-EXP((T0-t)*PertePVj)+Pspv)</f>
        <v>5.7373883344810861E-2</v>
      </c>
      <c r="M185" s="832"/>
      <c r="N185" s="832"/>
      <c r="O185" s="48">
        <f>IF(t&lt;Tnet,'2026'!Resal+('2026'!Salim-'2026'!Resal)*(1-EXP(('2026'!Tnet-t)/('2026'!Tau_j))),Resal+(Salim-Resal)*(1-EXP((Tnet-t)/(Tau_j))))*Salcycl</f>
        <v>1.2741442217790059E-2</v>
      </c>
      <c r="P185" s="169">
        <f>(INDEX(Models!$BJ185:$BT185,,T185)*(1-R185)+INDEX(Models!$BJ185:$BT185,,T185+1)*R185-ERP_i)*Q185*Ramure*Pc/MaxiM</f>
        <v>5.518035805910563E-5</v>
      </c>
      <c r="Q185" s="304">
        <f t="shared" si="53"/>
        <v>0.7</v>
      </c>
      <c r="R185" s="177">
        <f t="shared" si="54"/>
        <v>0.41933136260747372</v>
      </c>
      <c r="S185" s="799">
        <f t="shared" si="55"/>
        <v>-1</v>
      </c>
      <c r="T185" s="176">
        <f t="shared" si="56"/>
        <v>5</v>
      </c>
      <c r="U185" s="250">
        <f t="shared" si="57"/>
        <v>-0.58066863739252628</v>
      </c>
      <c r="V185" s="382">
        <f t="shared" si="58"/>
        <v>57.121821805727059</v>
      </c>
      <c r="W185" s="400">
        <f t="shared" si="59"/>
        <v>29.817319267052738</v>
      </c>
      <c r="X185" s="157">
        <f t="shared" si="60"/>
        <v>46558</v>
      </c>
      <c r="Y185" s="383">
        <f t="shared" si="61"/>
        <v>28.27797139553039</v>
      </c>
      <c r="Z185" s="383">
        <f t="shared" si="62"/>
        <v>29.999138466343194</v>
      </c>
      <c r="AA185" s="384">
        <f t="shared" si="63"/>
        <v>32.032022864800538</v>
      </c>
      <c r="AB185" s="197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6.3464127977107709E-2</v>
      </c>
      <c r="AD185" s="230">
        <f>(INDEX(Models!$BJ185:$BT185,,AH185)*(1-AF185)+INDEX(Models!$BJ185:$BT185,,AH185+1)*AF185-ERP_i)*AE185*Ramure*Pc/MaxiM</f>
        <v>8.8170460016787251E-4</v>
      </c>
      <c r="AE185" s="304">
        <f t="shared" si="65"/>
        <v>0.7</v>
      </c>
      <c r="AF185" s="177">
        <f t="shared" si="66"/>
        <v>0.1749891934468244</v>
      </c>
      <c r="AG185" s="799">
        <f t="shared" si="74"/>
        <v>2</v>
      </c>
      <c r="AH185" s="176">
        <f t="shared" si="67"/>
        <v>8</v>
      </c>
      <c r="AI185" s="224">
        <f t="shared" si="68"/>
        <v>2.1749891934468244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46559</v>
      </c>
      <c r="B186" s="409">
        <f>'2026'!Wh/'2026'!Env_an*'2027'!Env_an</f>
        <v>19.725736744765797</v>
      </c>
      <c r="C186" s="829"/>
      <c r="D186" s="391">
        <f t="shared" si="50"/>
        <v>20.9267645386822</v>
      </c>
      <c r="E186" s="383">
        <f t="shared" si="75"/>
        <v>21.199179577812025</v>
      </c>
      <c r="F186" s="383">
        <f t="shared" si="51"/>
        <v>21.199256734200279</v>
      </c>
      <c r="G186" s="110">
        <f t="shared" si="76"/>
        <v>0.34571714392601588</v>
      </c>
      <c r="H186" s="412" t="b">
        <f>Wh_hp&gt;='2026'!Maxi_hp</f>
        <v>0</v>
      </c>
      <c r="I186" s="388">
        <f>IF(H186,Wh_hp,'2026'!Maxi_hp)</f>
        <v>56.260411269728877</v>
      </c>
      <c r="J186" s="85">
        <f>IF(H186,An,'2026'!An_max)</f>
        <v>2020</v>
      </c>
      <c r="K186" s="197">
        <f t="shared" si="52"/>
        <v>46559</v>
      </c>
      <c r="L186" s="147">
        <f>IF(t&lt;Tvie,1-EXP((T0-t)*PertePVj)+'2026'!Pspv,1-EXP((T0-t)*PertePVj)+Pspv)</f>
        <v>5.7391948559288974E-2</v>
      </c>
      <c r="M186" s="832"/>
      <c r="N186" s="832"/>
      <c r="O186" s="48">
        <f>IF(t&lt;Tnet,'2026'!Resal+('2026'!Salim-'2026'!Resal)*(1-EXP(('2026'!Tnet-t)/('2026'!Tau_j))),Resal+(Salim-Resal)*(1-EXP((Tnet-t)/(Tau_j))))*Salcycl</f>
        <v>1.285026329108266E-2</v>
      </c>
      <c r="P186" s="169">
        <f>(INDEX(Models!$BJ186:$BT186,,T186)*(1-R186)+INDEX(Models!$BJ186:$BT186,,T186+1)*R186-ERP_i)*Q186*Ramure*Pc/MaxiM</f>
        <v>5.5705648506344555E-5</v>
      </c>
      <c r="Q186" s="304">
        <f t="shared" si="53"/>
        <v>0.7</v>
      </c>
      <c r="R186" s="177">
        <f t="shared" si="54"/>
        <v>0.42326207984717512</v>
      </c>
      <c r="S186" s="799">
        <f t="shared" si="55"/>
        <v>-1</v>
      </c>
      <c r="T186" s="176">
        <f t="shared" si="56"/>
        <v>5</v>
      </c>
      <c r="U186" s="250">
        <f t="shared" si="57"/>
        <v>-0.57673792015282488</v>
      </c>
      <c r="V186" s="382">
        <f t="shared" si="58"/>
        <v>57.054473710698673</v>
      </c>
      <c r="W186" s="400">
        <f t="shared" si="59"/>
        <v>19.725736744765797</v>
      </c>
      <c r="X186" s="157">
        <f t="shared" si="60"/>
        <v>46559</v>
      </c>
      <c r="Y186" s="383">
        <f t="shared" si="61"/>
        <v>18.711919120086364</v>
      </c>
      <c r="Z186" s="383">
        <f t="shared" si="62"/>
        <v>19.851219275590203</v>
      </c>
      <c r="AA186" s="384">
        <f t="shared" si="63"/>
        <v>21.198031867231787</v>
      </c>
      <c r="AB186" s="197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6.3534794176977563E-2</v>
      </c>
      <c r="AD186" s="230">
        <f>(INDEX(Models!$BJ186:$BT186,,AH186)*(1-AF186)+INDEX(Models!$BJ186:$BT186,,AH186+1)*AF186-ERP_i)*AE186*Ramure*Pc/MaxiM</f>
        <v>8.8433388804900527E-4</v>
      </c>
      <c r="AE186" s="304">
        <f t="shared" si="65"/>
        <v>0.7</v>
      </c>
      <c r="AF186" s="177">
        <f t="shared" si="66"/>
        <v>0.1789199106865258</v>
      </c>
      <c r="AG186" s="799">
        <f t="shared" si="74"/>
        <v>2</v>
      </c>
      <c r="AH186" s="176">
        <f t="shared" si="67"/>
        <v>8</v>
      </c>
      <c r="AI186" s="224">
        <f t="shared" si="68"/>
        <v>2.1789199106865258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46560</v>
      </c>
      <c r="B187" s="409">
        <f>'2026'!Wh/'2026'!Env_an*'2027'!Env_an</f>
        <v>41.63976398572526</v>
      </c>
      <c r="C187" s="829"/>
      <c r="D187" s="391">
        <f t="shared" si="50"/>
        <v>44.175903180491488</v>
      </c>
      <c r="E187" s="383">
        <f t="shared" si="75"/>
        <v>44.755887317709274</v>
      </c>
      <c r="F187" s="383">
        <f t="shared" si="51"/>
        <v>44.757436727963366</v>
      </c>
      <c r="G187" s="110">
        <f t="shared" si="76"/>
        <v>0.73070732983765097</v>
      </c>
      <c r="H187" s="412" t="b">
        <f>Wh_hp&gt;='2026'!Maxi_hp</f>
        <v>0</v>
      </c>
      <c r="I187" s="388">
        <f>IF(H187,Wh_hp,'2026'!Maxi_hp)</f>
        <v>60.180759205917369</v>
      </c>
      <c r="J187" s="85">
        <f>IF(H187,An,'2026'!An_max)</f>
        <v>2020</v>
      </c>
      <c r="K187" s="197">
        <f t="shared" si="52"/>
        <v>46560</v>
      </c>
      <c r="L187" s="147">
        <f>IF(t&lt;Tvie,1-EXP((T0-t)*PertePVj)+'2026'!Pspv,1-EXP((T0-t)*PertePVj)+Pspv)</f>
        <v>5.7410013427551365E-2</v>
      </c>
      <c r="M187" s="832"/>
      <c r="N187" s="832"/>
      <c r="O187" s="48">
        <f>IF(t&lt;Tnet,'2026'!Resal+('2026'!Salim-'2026'!Resal)*(1-EXP(('2026'!Tnet-t)/('2026'!Tau_j))),Resal+(Salim-Resal)*(1-EXP((Tnet-t)/(Tau_j))))*Salcycl</f>
        <v>1.2958834512667484E-2</v>
      </c>
      <c r="P187" s="169">
        <f>(INDEX(Models!$BJ187:$BT187,,T187)*(1-R187)+INDEX(Models!$BJ187:$BT187,,T187+1)*R187-ERP_i)*Q187*Ramure*Pc/MaxiM</f>
        <v>5.6260171316407973E-5</v>
      </c>
      <c r="Q187" s="304">
        <f t="shared" si="53"/>
        <v>0.7</v>
      </c>
      <c r="R187" s="177">
        <f t="shared" si="54"/>
        <v>0.42715706299924516</v>
      </c>
      <c r="S187" s="799">
        <f t="shared" si="55"/>
        <v>-1</v>
      </c>
      <c r="T187" s="176">
        <f t="shared" si="56"/>
        <v>5</v>
      </c>
      <c r="U187" s="250">
        <f t="shared" si="57"/>
        <v>-0.57284293700075484</v>
      </c>
      <c r="V187" s="382">
        <f t="shared" si="58"/>
        <v>56.984323376596933</v>
      </c>
      <c r="W187" s="400">
        <f t="shared" si="59"/>
        <v>41.63976398572526</v>
      </c>
      <c r="X187" s="157">
        <f t="shared" si="60"/>
        <v>46560</v>
      </c>
      <c r="Y187" s="383">
        <f t="shared" si="61"/>
        <v>39.482982170389747</v>
      </c>
      <c r="Z187" s="383">
        <f t="shared" si="62"/>
        <v>41.887758975630746</v>
      </c>
      <c r="AA187" s="384">
        <f t="shared" si="63"/>
        <v>44.732972278946903</v>
      </c>
      <c r="AB187" s="197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6.3604387510266744E-2</v>
      </c>
      <c r="AD187" s="230">
        <f>(INDEX(Models!$BJ187:$BT187,,AH187)*(1-AF187)+INDEX(Models!$BJ187:$BT187,,AH187+1)*AF187-ERP_i)*AE187*Ramure*Pc/MaxiM</f>
        <v>8.8832127526967562E-4</v>
      </c>
      <c r="AE187" s="304">
        <f t="shared" si="65"/>
        <v>0.7</v>
      </c>
      <c r="AF187" s="177">
        <f t="shared" si="66"/>
        <v>0.18281489383859606</v>
      </c>
      <c r="AG187" s="799">
        <f t="shared" si="74"/>
        <v>2</v>
      </c>
      <c r="AH187" s="176">
        <f t="shared" si="67"/>
        <v>8</v>
      </c>
      <c r="AI187" s="224">
        <f t="shared" si="68"/>
        <v>2.1828148938385961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46561</v>
      </c>
      <c r="B188" s="409">
        <f>'2026'!Wh/'2026'!Env_an*'2027'!Env_an</f>
        <v>43.315493561162114</v>
      </c>
      <c r="C188" s="829"/>
      <c r="D188" s="391">
        <f t="shared" si="50"/>
        <v>45.954576566355875</v>
      </c>
      <c r="E188" s="383">
        <f t="shared" si="75"/>
        <v>46.563022555603126</v>
      </c>
      <c r="F188" s="383">
        <f t="shared" si="51"/>
        <v>46.564766139540922</v>
      </c>
      <c r="G188" s="110">
        <f t="shared" si="76"/>
        <v>0.76108959487368555</v>
      </c>
      <c r="H188" s="412" t="b">
        <f>Wh_hp&gt;='2026'!Maxi_hp</f>
        <v>0</v>
      </c>
      <c r="I188" s="388">
        <f>IF(H188,Wh_hp,'2026'!Maxi_hp)</f>
        <v>53.862501168142678</v>
      </c>
      <c r="J188" s="85">
        <f>IF(H188,An,'2026'!An_max)</f>
        <v>2018</v>
      </c>
      <c r="K188" s="197">
        <f t="shared" si="52"/>
        <v>46561</v>
      </c>
      <c r="L188" s="147">
        <f>IF(t&lt;Tvie,1-EXP((T0-t)*PertePVj)+'2026'!Pspv,1-EXP((T0-t)*PertePVj)+Pspv)</f>
        <v>5.7428077949604694E-2</v>
      </c>
      <c r="M188" s="832"/>
      <c r="N188" s="832"/>
      <c r="O188" s="48">
        <f>IF(t&lt;Tnet,'2026'!Resal+('2026'!Salim-'2026'!Resal)*(1-EXP(('2026'!Tnet-t)/('2026'!Tau_j))),Resal+(Salim-Resal)*(1-EXP((Tnet-t)/(Tau_j))))*Salcycl</f>
        <v>1.3067149765045354E-2</v>
      </c>
      <c r="P188" s="169">
        <f>(INDEX(Models!$BJ188:$BT188,,T188)*(1-R188)+INDEX(Models!$BJ188:$BT188,,T188+1)*R188-ERP_i)*Q188*Ramure*Pc/MaxiM</f>
        <v>5.6843949391377666E-5</v>
      </c>
      <c r="Q188" s="304">
        <f t="shared" si="53"/>
        <v>0.7</v>
      </c>
      <c r="R188" s="177">
        <f t="shared" si="54"/>
        <v>0.43101355486422266</v>
      </c>
      <c r="S188" s="799">
        <f t="shared" si="55"/>
        <v>-1</v>
      </c>
      <c r="T188" s="176">
        <f t="shared" si="56"/>
        <v>5</v>
      </c>
      <c r="U188" s="250">
        <f t="shared" si="57"/>
        <v>-0.56898644513577734</v>
      </c>
      <c r="V188" s="382">
        <f t="shared" si="58"/>
        <v>56.911372215568036</v>
      </c>
      <c r="W188" s="400">
        <f t="shared" si="59"/>
        <v>43.315493561162114</v>
      </c>
      <c r="X188" s="157">
        <f t="shared" si="60"/>
        <v>46561</v>
      </c>
      <c r="Y188" s="383">
        <f t="shared" si="61"/>
        <v>41.071802042584871</v>
      </c>
      <c r="Z188" s="383">
        <f t="shared" si="62"/>
        <v>43.574183658304364</v>
      </c>
      <c r="AA188" s="384">
        <f t="shared" si="63"/>
        <v>46.537351862937804</v>
      </c>
      <c r="AB188" s="197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6.3672901143163305E-2</v>
      </c>
      <c r="AD188" s="230">
        <f>(INDEX(Models!$BJ188:$BT188,,AH188)*(1-AF188)+INDEX(Models!$BJ188:$BT188,,AH188+1)*AF188-ERP_i)*AE188*Ramure*Pc/MaxiM</f>
        <v>8.9375436309736443E-4</v>
      </c>
      <c r="AE188" s="304">
        <f t="shared" si="65"/>
        <v>0.7</v>
      </c>
      <c r="AF188" s="177">
        <f t="shared" si="66"/>
        <v>0.18667138570357356</v>
      </c>
      <c r="AG188" s="799">
        <f t="shared" si="74"/>
        <v>2</v>
      </c>
      <c r="AH188" s="176">
        <f t="shared" si="67"/>
        <v>8</v>
      </c>
      <c r="AI188" s="224">
        <f t="shared" si="68"/>
        <v>2.1866713857035736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46562</v>
      </c>
      <c r="B189" s="409">
        <f>'2026'!Wh/'2026'!Env_an*'2027'!Env_an</f>
        <v>40.533180437692629</v>
      </c>
      <c r="C189" s="829"/>
      <c r="D189" s="391">
        <f t="shared" si="50"/>
        <v>43.003569609374694</v>
      </c>
      <c r="E189" s="383">
        <f t="shared" si="75"/>
        <v>43.577714872976323</v>
      </c>
      <c r="F189" s="383">
        <f t="shared" si="51"/>
        <v>43.57919278116789</v>
      </c>
      <c r="G189" s="110">
        <f t="shared" si="76"/>
        <v>0.713148285546363</v>
      </c>
      <c r="H189" s="412" t="b">
        <f>Wh_hp&gt;='2026'!Maxi_hp</f>
        <v>0</v>
      </c>
      <c r="I189" s="388">
        <f>IF(H189,Wh_hp,'2026'!Maxi_hp)</f>
        <v>60.623696514192886</v>
      </c>
      <c r="J189" s="85">
        <f>IF(H189,An,'2026'!An_max)</f>
        <v>2020</v>
      </c>
      <c r="K189" s="197">
        <f t="shared" si="52"/>
        <v>46562</v>
      </c>
      <c r="L189" s="147">
        <f>IF(t&lt;Tvie,1-EXP((T0-t)*PertePVj)+'2026'!Pspv,1-EXP((T0-t)*PertePVj)+Pspv)</f>
        <v>5.7446142125455624E-2</v>
      </c>
      <c r="M189" s="832"/>
      <c r="N189" s="832"/>
      <c r="O189" s="48">
        <f>IF(t&lt;Tnet,'2026'!Resal+('2026'!Salim-'2026'!Resal)*(1-EXP(('2026'!Tnet-t)/('2026'!Tau_j))),Resal+(Salim-Resal)*(1-EXP((Tnet-t)/(Tau_j))))*Salcycl</f>
        <v>1.3175203547849899E-2</v>
      </c>
      <c r="P189" s="169">
        <f>(INDEX(Models!$BJ189:$BT189,,T189)*(1-R189)+INDEX(Models!$BJ189:$BT189,,T189+1)*R189-ERP_i)*Q189*Ramure*Pc/MaxiM</f>
        <v>5.7456968668883949E-5</v>
      </c>
      <c r="Q189" s="304">
        <f t="shared" si="53"/>
        <v>0.7</v>
      </c>
      <c r="R189" s="177">
        <f t="shared" si="54"/>
        <v>0.43482891676945656</v>
      </c>
      <c r="S189" s="799">
        <f t="shared" si="55"/>
        <v>-1</v>
      </c>
      <c r="T189" s="176">
        <f t="shared" si="56"/>
        <v>5</v>
      </c>
      <c r="U189" s="250">
        <f t="shared" si="57"/>
        <v>-0.56517108323054344</v>
      </c>
      <c r="V189" s="382">
        <f t="shared" si="58"/>
        <v>56.835621597099546</v>
      </c>
      <c r="W189" s="400">
        <f t="shared" si="59"/>
        <v>40.533180437692629</v>
      </c>
      <c r="X189" s="157">
        <f t="shared" si="60"/>
        <v>46562</v>
      </c>
      <c r="Y189" s="383">
        <f t="shared" si="61"/>
        <v>38.437109787306774</v>
      </c>
      <c r="Z189" s="383">
        <f t="shared" si="62"/>
        <v>40.779749046895127</v>
      </c>
      <c r="AA189" s="384">
        <f t="shared" si="63"/>
        <v>43.556024477486503</v>
      </c>
      <c r="AB189" s="197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6.3740331306554363E-2</v>
      </c>
      <c r="AD189" s="230">
        <f>(INDEX(Models!$BJ189:$BT189,,AH189)*(1-AF189)+INDEX(Models!$BJ189:$BT189,,AH189+1)*AF189-ERP_i)*AE189*Ramure*Pc/MaxiM</f>
        <v>9.0071934530648926E-4</v>
      </c>
      <c r="AE189" s="304">
        <f t="shared" si="65"/>
        <v>0.7</v>
      </c>
      <c r="AF189" s="177">
        <f t="shared" si="66"/>
        <v>0.19048674760880724</v>
      </c>
      <c r="AG189" s="799">
        <f t="shared" si="74"/>
        <v>2</v>
      </c>
      <c r="AH189" s="176">
        <f t="shared" si="67"/>
        <v>8</v>
      </c>
      <c r="AI189" s="224">
        <f t="shared" si="68"/>
        <v>2.1904867476088072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46563</v>
      </c>
      <c r="B190" s="409">
        <f>'2026'!Wh/'2026'!Env_an*'2027'!Env_an</f>
        <v>40.542839254818944</v>
      </c>
      <c r="C190" s="829"/>
      <c r="D190" s="391">
        <f t="shared" si="50"/>
        <v>43.01464147141774</v>
      </c>
      <c r="E190" s="383">
        <f t="shared" si="75"/>
        <v>43.593696144636986</v>
      </c>
      <c r="F190" s="383">
        <f t="shared" si="51"/>
        <v>43.595195323131662</v>
      </c>
      <c r="G190" s="110">
        <f t="shared" si="76"/>
        <v>0.71430529960147215</v>
      </c>
      <c r="H190" s="412" t="b">
        <f>Wh_hp&gt;='2026'!Maxi_hp</f>
        <v>0</v>
      </c>
      <c r="I190" s="388">
        <f>IF(H190,Wh_hp,'2026'!Maxi_hp)</f>
        <v>61.35509471330375</v>
      </c>
      <c r="J190" s="85">
        <f>IF(H190,An,'2026'!An_max)</f>
        <v>2020</v>
      </c>
      <c r="K190" s="197">
        <f t="shared" si="52"/>
        <v>46563</v>
      </c>
      <c r="L190" s="147">
        <f>IF(t&lt;Tvie,1-EXP((T0-t)*PertePVj)+'2026'!Pspv,1-EXP((T0-t)*PertePVj)+Pspv)</f>
        <v>5.7464205955110703E-2</v>
      </c>
      <c r="M190" s="832"/>
      <c r="N190" s="832"/>
      <c r="O190" s="48">
        <f>IF(t&lt;Tnet,'2026'!Resal+('2026'!Salim-'2026'!Resal)*(1-EXP(('2026'!Tnet-t)/('2026'!Tau_j))),Resal+(Salim-Resal)*(1-EXP((Tnet-t)/(Tau_j))))*Salcycl</f>
        <v>1.3282990992505871E-2</v>
      </c>
      <c r="P190" s="169">
        <f>(INDEX(Models!$BJ190:$BT190,,T190)*(1-R190)+INDEX(Models!$BJ190:$BT190,,T190+1)*R190-ERP_i)*Q190*Ramure*Pc/MaxiM</f>
        <v>5.8099783288204711E-5</v>
      </c>
      <c r="Q190" s="304">
        <f t="shared" si="53"/>
        <v>0.7</v>
      </c>
      <c r="R190" s="177">
        <f t="shared" si="54"/>
        <v>0.43860063468223731</v>
      </c>
      <c r="S190" s="799">
        <f t="shared" si="55"/>
        <v>-1</v>
      </c>
      <c r="T190" s="176">
        <f t="shared" si="56"/>
        <v>5</v>
      </c>
      <c r="U190" s="250">
        <f t="shared" si="57"/>
        <v>-0.56139936531776269</v>
      </c>
      <c r="V190" s="382">
        <f t="shared" si="58"/>
        <v>56.757072818014379</v>
      </c>
      <c r="W190" s="400">
        <f t="shared" si="59"/>
        <v>40.542839254818944</v>
      </c>
      <c r="X190" s="157">
        <f t="shared" si="60"/>
        <v>46563</v>
      </c>
      <c r="Y190" s="383">
        <f t="shared" si="61"/>
        <v>38.447509626681011</v>
      </c>
      <c r="Z190" s="383">
        <f t="shared" si="62"/>
        <v>40.791564489751259</v>
      </c>
      <c r="AA190" s="384">
        <f t="shared" si="63"/>
        <v>43.571731926318165</v>
      </c>
      <c r="AB190" s="197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6.3806677257362623E-2</v>
      </c>
      <c r="AD190" s="230">
        <f>(INDEX(Models!$BJ190:$BT190,,AH190)*(1-AF190)+INDEX(Models!$BJ190:$BT190,,AH190+1)*AF190-ERP_i)*AE190*Ramure*Pc/MaxiM</f>
        <v>9.0931018214803448E-4</v>
      </c>
      <c r="AE190" s="304">
        <f t="shared" si="65"/>
        <v>0.7</v>
      </c>
      <c r="AF190" s="177">
        <f t="shared" si="66"/>
        <v>0.19425846552158799</v>
      </c>
      <c r="AG190" s="799">
        <f t="shared" si="74"/>
        <v>2</v>
      </c>
      <c r="AH190" s="176">
        <f t="shared" si="67"/>
        <v>8</v>
      </c>
      <c r="AI190" s="224">
        <f t="shared" si="68"/>
        <v>2.194258465521588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46564</v>
      </c>
      <c r="B191" s="409">
        <f>'2026'!Wh/'2026'!Env_an*'2027'!Env_an</f>
        <v>10.652097041710565</v>
      </c>
      <c r="C191" s="829"/>
      <c r="D191" s="391">
        <f t="shared" si="50"/>
        <v>11.301747114471258</v>
      </c>
      <c r="E191" s="383">
        <f t="shared" si="75"/>
        <v>11.455137219595066</v>
      </c>
      <c r="F191" s="383">
        <f t="shared" si="51"/>
        <v>11.455137219595066</v>
      </c>
      <c r="G191" s="110">
        <f t="shared" si="76"/>
        <v>0.18793926373145933</v>
      </c>
      <c r="H191" s="412" t="b">
        <f>Wh_hp&gt;='2026'!Maxi_hp</f>
        <v>0</v>
      </c>
      <c r="I191" s="388">
        <f>IF(H191,Wh_hp,'2026'!Maxi_hp)</f>
        <v>61.449694288761741</v>
      </c>
      <c r="J191" s="85">
        <f>IF(H191,An,'2026'!An_max)</f>
        <v>2018</v>
      </c>
      <c r="K191" s="197">
        <f t="shared" si="52"/>
        <v>46564</v>
      </c>
      <c r="L191" s="147">
        <f>IF(t&lt;Tvie,1-EXP((T0-t)*PertePVj)+'2026'!Pspv,1-EXP((T0-t)*PertePVj)+Pspv)</f>
        <v>5.7482269438576594E-2</v>
      </c>
      <c r="M191" s="832"/>
      <c r="N191" s="832"/>
      <c r="O191" s="48">
        <f>IF(t&lt;Tnet,'2026'!Resal+('2026'!Salim-'2026'!Resal)*(1-EXP(('2026'!Tnet-t)/('2026'!Tau_j))),Resal+(Salim-Resal)*(1-EXP((Tnet-t)/(Tau_j))))*Salcycl</f>
        <v>1.3390507872871254E-2</v>
      </c>
      <c r="P191" s="169">
        <f>(INDEX(Models!$BJ191:$BT191,,T191)*(1-R191)+INDEX(Models!$BJ191:$BT191,,T191+1)*R191-ERP_i)*Q191*Ramure*Pc/MaxiM</f>
        <v>5.8773641991732813E-5</v>
      </c>
      <c r="Q191" s="304">
        <f t="shared" si="53"/>
        <v>0.7</v>
      </c>
      <c r="R191" s="177">
        <f t="shared" si="54"/>
        <v>0.44232632455490317</v>
      </c>
      <c r="S191" s="799">
        <f t="shared" si="55"/>
        <v>-1</v>
      </c>
      <c r="T191" s="176">
        <f t="shared" si="56"/>
        <v>5</v>
      </c>
      <c r="U191" s="250">
        <f t="shared" si="57"/>
        <v>-0.55767367544509683</v>
      </c>
      <c r="V191" s="382">
        <f t="shared" si="58"/>
        <v>56.675070273724906</v>
      </c>
      <c r="W191" s="400">
        <f t="shared" si="59"/>
        <v>10.652097041710565</v>
      </c>
      <c r="X191" s="157">
        <f t="shared" si="60"/>
        <v>46564</v>
      </c>
      <c r="Y191" s="383">
        <f t="shared" si="61"/>
        <v>10.107065667957237</v>
      </c>
      <c r="Z191" s="383">
        <f t="shared" si="62"/>
        <v>10.723475368401639</v>
      </c>
      <c r="AA191" s="384">
        <f t="shared" si="63"/>
        <v>11.455137219595066</v>
      </c>
      <c r="AB191" s="197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6.3871941223179046E-2</v>
      </c>
      <c r="AD191" s="230">
        <f>(INDEX(Models!$BJ191:$BT191,,AH191)*(1-AF191)+INDEX(Models!$BJ191:$BT191,,AH191+1)*AF191-ERP_i)*AE191*Ramure*Pc/MaxiM</f>
        <v>9.1963025922192122E-4</v>
      </c>
      <c r="AE191" s="304">
        <f t="shared" si="65"/>
        <v>0.7</v>
      </c>
      <c r="AF191" s="177">
        <f t="shared" si="66"/>
        <v>0.19798415539425385</v>
      </c>
      <c r="AG191" s="799">
        <f t="shared" si="74"/>
        <v>2</v>
      </c>
      <c r="AH191" s="176">
        <f t="shared" si="67"/>
        <v>8</v>
      </c>
      <c r="AI191" s="224">
        <f t="shared" si="68"/>
        <v>2.1979841553942538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46565</v>
      </c>
      <c r="B192" s="409">
        <f>'2026'!Wh/'2026'!Env_an*'2027'!Env_an</f>
        <v>15.91384869969958</v>
      </c>
      <c r="C192" s="829"/>
      <c r="D192" s="391">
        <f t="shared" si="50"/>
        <v>16.884726063821613</v>
      </c>
      <c r="E192" s="383">
        <f t="shared" si="75"/>
        <v>17.1157501914393</v>
      </c>
      <c r="F192" s="383">
        <f t="shared" si="51"/>
        <v>17.1157501914393</v>
      </c>
      <c r="G192" s="110">
        <f t="shared" si="76"/>
        <v>0.28120053279890428</v>
      </c>
      <c r="H192" s="412" t="b">
        <f>Wh_hp&gt;='2026'!Maxi_hp</f>
        <v>0</v>
      </c>
      <c r="I192" s="388">
        <f>IF(H192,Wh_hp,'2026'!Maxi_hp)</f>
        <v>60.093655665818403</v>
      </c>
      <c r="J192" s="85">
        <f>IF(H192,An,'2026'!An_max)</f>
        <v>2018</v>
      </c>
      <c r="K192" s="197">
        <f t="shared" si="52"/>
        <v>46565</v>
      </c>
      <c r="L192" s="147">
        <f>IF(t&lt;Tvie,1-EXP((T0-t)*PertePVj)+'2026'!Pspv,1-EXP((T0-t)*PertePVj)+Pspv)</f>
        <v>5.7500332575859958E-2</v>
      </c>
      <c r="M192" s="832"/>
      <c r="N192" s="832"/>
      <c r="O192" s="48">
        <f>IF(t&lt;Tnet,'2026'!Resal+('2026'!Salim-'2026'!Resal)*(1-EXP(('2026'!Tnet-t)/('2026'!Tau_j))),Resal+(Salim-Resal)*(1-EXP((Tnet-t)/(Tau_j))))*Salcycl</f>
        <v>1.3497750611786551E-2</v>
      </c>
      <c r="P192" s="169">
        <f>(INDEX(Models!$BJ192:$BT192,,T192)*(1-R192)+INDEX(Models!$BJ192:$BT192,,T192+1)*R192-ERP_i)*Q192*Ramure*Pc/MaxiM</f>
        <v>5.945401889273978E-5</v>
      </c>
      <c r="Q192" s="304">
        <f t="shared" si="53"/>
        <v>0.7</v>
      </c>
      <c r="R192" s="177">
        <f t="shared" si="54"/>
        <v>0.4460037368890768</v>
      </c>
      <c r="S192" s="799">
        <f t="shared" si="55"/>
        <v>-1</v>
      </c>
      <c r="T192" s="176">
        <f t="shared" si="56"/>
        <v>5</v>
      </c>
      <c r="U192" s="250">
        <f t="shared" si="57"/>
        <v>-0.5539962631109232</v>
      </c>
      <c r="V192" s="382">
        <f t="shared" si="58"/>
        <v>56.589162186325481</v>
      </c>
      <c r="W192" s="400">
        <f t="shared" si="59"/>
        <v>15.91384869969958</v>
      </c>
      <c r="X192" s="157">
        <f t="shared" si="60"/>
        <v>46565</v>
      </c>
      <c r="Y192" s="383">
        <f t="shared" si="61"/>
        <v>15.100197527415292</v>
      </c>
      <c r="Z192" s="383">
        <f t="shared" si="62"/>
        <v>16.021435390724609</v>
      </c>
      <c r="AA192" s="384">
        <f t="shared" si="63"/>
        <v>17.1157501914393</v>
      </c>
      <c r="AB192" s="197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6.3936128330619776E-2</v>
      </c>
      <c r="AD192" s="230">
        <f>(INDEX(Models!$BJ192:$BT192,,AH192)*(1-AF192)+INDEX(Models!$BJ192:$BT192,,AH192+1)*AF192-ERP_i)*AE192*Ramure*Pc/MaxiM</f>
        <v>9.3264426705886921E-4</v>
      </c>
      <c r="AE192" s="304">
        <f t="shared" si="65"/>
        <v>0.7</v>
      </c>
      <c r="AF192" s="177">
        <f t="shared" si="66"/>
        <v>0.20166156772842747</v>
      </c>
      <c r="AG192" s="799">
        <f t="shared" si="74"/>
        <v>2</v>
      </c>
      <c r="AH192" s="176">
        <f t="shared" si="67"/>
        <v>8</v>
      </c>
      <c r="AI192" s="224">
        <f t="shared" si="68"/>
        <v>2.2016615677284275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46566</v>
      </c>
      <c r="B193" s="409">
        <f>'2026'!Wh/'2026'!Env_an*'2027'!Env_an</f>
        <v>56.139269379633042</v>
      </c>
      <c r="C193" s="829"/>
      <c r="D193" s="391">
        <f t="shared" si="50"/>
        <v>59.565374118353844</v>
      </c>
      <c r="E193" s="383">
        <f t="shared" si="75"/>
        <v>60.386921046423879</v>
      </c>
      <c r="F193" s="383">
        <f t="shared" si="51"/>
        <v>60.390518862305292</v>
      </c>
      <c r="G193" s="110">
        <f t="shared" si="76"/>
        <v>0.99362092384904444</v>
      </c>
      <c r="H193" s="412" t="b">
        <f>Wh_hp&gt;='2026'!Maxi_hp</f>
        <v>0</v>
      </c>
      <c r="I193" s="388">
        <f>IF(H193,Wh_hp,'2026'!Maxi_hp)</f>
        <v>60.390544316619234</v>
      </c>
      <c r="J193" s="85">
        <f>IF(H193,An,'2026'!An_max)</f>
        <v>2026</v>
      </c>
      <c r="K193" s="197">
        <f t="shared" si="52"/>
        <v>46566</v>
      </c>
      <c r="L193" s="147">
        <f>IF(t&lt;Tvie,1-EXP((T0-t)*PertePVj)+'2026'!Pspv,1-EXP((T0-t)*PertePVj)+Pspv)</f>
        <v>5.7518395366967345E-2</v>
      </c>
      <c r="M193" s="832"/>
      <c r="N193" s="832"/>
      <c r="O193" s="48">
        <f>IF(t&lt;Tnet,'2026'!Resal+('2026'!Salim-'2026'!Resal)*(1-EXP(('2026'!Tnet-t)/('2026'!Tau_j))),Resal+(Salim-Resal)*(1-EXP((Tnet-t)/(Tau_j))))*Salcycl</f>
        <v>1.3604716283488855E-2</v>
      </c>
      <c r="P193" s="169">
        <f>(INDEX(Models!$BJ193:$BT193,,T193)*(1-R193)+INDEX(Models!$BJ193:$BT193,,T193+1)*R193-ERP_i)*Q193*Ramure*Pc/MaxiM</f>
        <v>6.0123698325790294E-5</v>
      </c>
      <c r="Q193" s="304">
        <f t="shared" si="53"/>
        <v>0.7</v>
      </c>
      <c r="R193" s="177">
        <f t="shared" si="54"/>
        <v>0.4496307605137404</v>
      </c>
      <c r="S193" s="799">
        <f t="shared" si="55"/>
        <v>-1</v>
      </c>
      <c r="T193" s="176">
        <f t="shared" si="56"/>
        <v>5</v>
      </c>
      <c r="U193" s="250">
        <f t="shared" si="57"/>
        <v>-0.5503692394862596</v>
      </c>
      <c r="V193" s="382">
        <f t="shared" si="58"/>
        <v>56.499654218187658</v>
      </c>
      <c r="W193" s="400">
        <f t="shared" si="59"/>
        <v>56.139269379633042</v>
      </c>
      <c r="X193" s="157">
        <f t="shared" si="60"/>
        <v>46566</v>
      </c>
      <c r="Y193" s="383">
        <f t="shared" si="61"/>
        <v>53.224284828080108</v>
      </c>
      <c r="Z193" s="383">
        <f t="shared" si="62"/>
        <v>56.472491947260515</v>
      </c>
      <c r="AA193" s="384">
        <f t="shared" si="63"/>
        <v>60.333810349164864</v>
      </c>
      <c r="AB193" s="197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6.3999246517964931E-2</v>
      </c>
      <c r="AD193" s="230">
        <f>(INDEX(Models!$BJ193:$BT193,,AH193)*(1-AF193)+INDEX(Models!$BJ193:$BT193,,AH193+1)*AF193-ERP_i)*AE193*Ramure*Pc/MaxiM</f>
        <v>9.4766537503291953E-4</v>
      </c>
      <c r="AE193" s="304">
        <f t="shared" si="65"/>
        <v>0.7</v>
      </c>
      <c r="AF193" s="177">
        <f t="shared" si="66"/>
        <v>0.2052885913530913</v>
      </c>
      <c r="AG193" s="799">
        <f t="shared" si="74"/>
        <v>2</v>
      </c>
      <c r="AH193" s="176">
        <f t="shared" si="67"/>
        <v>8</v>
      </c>
      <c r="AI193" s="224">
        <f t="shared" si="68"/>
        <v>2.2052885913530913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46567</v>
      </c>
      <c r="B194" s="409">
        <f>'2026'!Wh/'2026'!Env_an*'2027'!Env_an</f>
        <v>57.194784302632776</v>
      </c>
      <c r="C194" s="829"/>
      <c r="D194" s="391">
        <f t="shared" si="50"/>
        <v>60.686468751719616</v>
      </c>
      <c r="E194" s="383">
        <f t="shared" si="75"/>
        <v>61.530133180520487</v>
      </c>
      <c r="F194" s="383">
        <f t="shared" si="51"/>
        <v>61.533873329482432</v>
      </c>
      <c r="G194" s="110">
        <f t="shared" si="76"/>
        <v>1.013968753642656</v>
      </c>
      <c r="H194" s="412" t="b">
        <f>Wh_hp&gt;='2026'!Maxi_hp</f>
        <v>1</v>
      </c>
      <c r="I194" s="388">
        <f>IF(H194,Wh_hp,'2026'!Maxi_hp)</f>
        <v>61.533873329482432</v>
      </c>
      <c r="J194" s="85">
        <f>IF(H194,An,'2026'!An_max)</f>
        <v>2027</v>
      </c>
      <c r="K194" s="197">
        <f t="shared" si="52"/>
        <v>46567</v>
      </c>
      <c r="L194" s="147">
        <f>IF(t&lt;Tvie,1-EXP((T0-t)*PertePVj)+'2026'!Pspv,1-EXP((T0-t)*PertePVj)+Pspv)</f>
        <v>5.7536457811905528E-2</v>
      </c>
      <c r="M194" s="832"/>
      <c r="N194" s="832"/>
      <c r="O194" s="48">
        <f>IF(t&lt;Tnet,'2026'!Resal+('2026'!Salim-'2026'!Resal)*(1-EXP(('2026'!Tnet-t)/('2026'!Tau_j))),Resal+(Salim-Resal)*(1-EXP((Tnet-t)/(Tau_j))))*Salcycl</f>
        <v>1.3711402611882546E-2</v>
      </c>
      <c r="P194" s="169">
        <f>(INDEX(Models!$BJ194:$BT194,,T194)*(1-R194)+INDEX(Models!$BJ194:$BT194,,T194+1)*R194-ERP_i)*Q194*Ramure*Pc/MaxiM</f>
        <v>6.0781952436501113E-5</v>
      </c>
      <c r="Q194" s="304">
        <f t="shared" si="53"/>
        <v>0.7</v>
      </c>
      <c r="R194" s="177">
        <f t="shared" si="54"/>
        <v>0.45320542557915833</v>
      </c>
      <c r="S194" s="799">
        <f t="shared" si="55"/>
        <v>-1</v>
      </c>
      <c r="T194" s="176">
        <f t="shared" si="56"/>
        <v>5</v>
      </c>
      <c r="U194" s="250">
        <f t="shared" si="57"/>
        <v>-0.54679457442084167</v>
      </c>
      <c r="V194" s="382">
        <f t="shared" si="58"/>
        <v>56.406850898671209</v>
      </c>
      <c r="W194" s="400">
        <f t="shared" si="59"/>
        <v>57.194784302632776</v>
      </c>
      <c r="X194" s="157">
        <f t="shared" si="60"/>
        <v>46567</v>
      </c>
      <c r="Y194" s="383">
        <f t="shared" si="61"/>
        <v>54.225930211028277</v>
      </c>
      <c r="Z194" s="383">
        <f t="shared" si="62"/>
        <v>57.536369083448328</v>
      </c>
      <c r="AA194" s="384">
        <f t="shared" si="63"/>
        <v>61.474506267236343</v>
      </c>
      <c r="AB194" s="197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6.406130643275941E-2</v>
      </c>
      <c r="AD194" s="230">
        <f>(INDEX(Models!$BJ194:$BT194,,AH194)*(1-AF194)+INDEX(Models!$BJ194:$BT194,,AH194+1)*AF194-ERP_i)*AE194*Ramure*Pc/MaxiM</f>
        <v>9.6478669444728931E-4</v>
      </c>
      <c r="AE194" s="304">
        <f t="shared" si="65"/>
        <v>0.7</v>
      </c>
      <c r="AF194" s="177">
        <f t="shared" si="66"/>
        <v>0.20886325641850911</v>
      </c>
      <c r="AG194" s="799">
        <f t="shared" si="74"/>
        <v>2</v>
      </c>
      <c r="AH194" s="176">
        <f t="shared" si="67"/>
        <v>8</v>
      </c>
      <c r="AI194" s="224">
        <f t="shared" si="68"/>
        <v>2.2088632564185091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46568</v>
      </c>
      <c r="B195" s="409">
        <f>'2026'!Wh/'2026'!Env_an*'2027'!Env_an</f>
        <v>12.618967989084549</v>
      </c>
      <c r="C195" s="829"/>
      <c r="D195" s="391">
        <f t="shared" si="50"/>
        <v>13.389599988201551</v>
      </c>
      <c r="E195" s="383">
        <f t="shared" si="75"/>
        <v>13.577207230408181</v>
      </c>
      <c r="F195" s="383">
        <f t="shared" si="51"/>
        <v>13.577207230408181</v>
      </c>
      <c r="G195" s="110">
        <f t="shared" si="76"/>
        <v>0.22408020027206244</v>
      </c>
      <c r="H195" s="412" t="b">
        <f>Wh_hp&gt;='2026'!Maxi_hp</f>
        <v>0</v>
      </c>
      <c r="I195" s="388">
        <f>IF(H195,Wh_hp,'2026'!Maxi_hp)</f>
        <v>46.176742952915681</v>
      </c>
      <c r="J195" s="85">
        <f>IF(H195,An,'2026'!An_max)</f>
        <v>2018</v>
      </c>
      <c r="K195" s="197">
        <f t="shared" si="52"/>
        <v>46568</v>
      </c>
      <c r="L195" s="147">
        <f>IF(t&lt;Tvie,1-EXP((T0-t)*PertePVj)+'2026'!Pspv,1-EXP((T0-t)*PertePVj)+Pspv)</f>
        <v>5.7554519910681168E-2</v>
      </c>
      <c r="M195" s="832"/>
      <c r="N195" s="832"/>
      <c r="O195" s="48">
        <f>IF(t&lt;Tnet,'2026'!Resal+('2026'!Salim-'2026'!Resal)*(1-EXP(('2026'!Tnet-t)/('2026'!Tau_j))),Resal+(Salim-Resal)*(1-EXP((Tnet-t)/(Tau_j))))*Salcycl</f>
        <v>1.3817807964693587E-2</v>
      </c>
      <c r="P195" s="169">
        <f>(INDEX(Models!$BJ195:$BT195,,T195)*(1-R195)+INDEX(Models!$BJ195:$BT195,,T195+1)*R195-ERP_i)*Q195*Ramure*Pc/MaxiM</f>
        <v>6.1428069059047877E-5</v>
      </c>
      <c r="Q195" s="304">
        <f t="shared" si="53"/>
        <v>0.7</v>
      </c>
      <c r="R195" s="177">
        <f t="shared" si="54"/>
        <v>0.45672590577560279</v>
      </c>
      <c r="S195" s="799">
        <f t="shared" si="55"/>
        <v>-1</v>
      </c>
      <c r="T195" s="176">
        <f t="shared" si="56"/>
        <v>5</v>
      </c>
      <c r="U195" s="250">
        <f t="shared" si="57"/>
        <v>-0.54327409422439721</v>
      </c>
      <c r="V195" s="382">
        <f t="shared" si="58"/>
        <v>56.311056554427118</v>
      </c>
      <c r="W195" s="400">
        <f t="shared" si="59"/>
        <v>12.618967989084549</v>
      </c>
      <c r="X195" s="157">
        <f t="shared" si="60"/>
        <v>46568</v>
      </c>
      <c r="Y195" s="383">
        <f t="shared" si="61"/>
        <v>11.975282624652962</v>
      </c>
      <c r="Z195" s="383">
        <f t="shared" si="62"/>
        <v>12.706605185817246</v>
      </c>
      <c r="AA195" s="384">
        <f t="shared" si="63"/>
        <v>13.577207230408181</v>
      </c>
      <c r="AB195" s="197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6.4122321315173966E-2</v>
      </c>
      <c r="AD195" s="230">
        <f>(INDEX(Models!$BJ195:$BT195,,AH195)*(1-AF195)+INDEX(Models!$BJ195:$BT195,,AH195+1)*AF195-ERP_i)*AE195*Ramure*Pc/MaxiM</f>
        <v>9.8409904053128449E-4</v>
      </c>
      <c r="AE195" s="304">
        <f t="shared" si="65"/>
        <v>0.7</v>
      </c>
      <c r="AF195" s="177">
        <f t="shared" si="66"/>
        <v>0.21238373661495347</v>
      </c>
      <c r="AG195" s="799">
        <f t="shared" si="74"/>
        <v>2</v>
      </c>
      <c r="AH195" s="176">
        <f t="shared" si="67"/>
        <v>8</v>
      </c>
      <c r="AI195" s="224">
        <f t="shared" si="68"/>
        <v>2.2123837366149535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46569</v>
      </c>
      <c r="B196" s="409">
        <f>'2026'!Wh/'2026'!Env_an*'2027'!Env_an</f>
        <v>40.222475767886593</v>
      </c>
      <c r="C196" s="829"/>
      <c r="D196" s="391">
        <f t="shared" si="50"/>
        <v>42.679653610753057</v>
      </c>
      <c r="E196" s="383">
        <f t="shared" si="75"/>
        <v>43.282313573339053</v>
      </c>
      <c r="F196" s="383">
        <f t="shared" si="51"/>
        <v>43.283908221622148</v>
      </c>
      <c r="G196" s="110">
        <f t="shared" si="76"/>
        <v>0.71552425956435339</v>
      </c>
      <c r="H196" s="412" t="b">
        <f>Wh_hp&gt;='2026'!Maxi_hp</f>
        <v>0</v>
      </c>
      <c r="I196" s="388">
        <f>IF(H196,Wh_hp,'2026'!Maxi_hp)</f>
        <v>60.353143786946767</v>
      </c>
      <c r="J196" s="85">
        <f>IF(H196,An,'2026'!An_max)</f>
        <v>2020</v>
      </c>
      <c r="K196" s="197">
        <f t="shared" si="52"/>
        <v>46569</v>
      </c>
      <c r="L196" s="147">
        <f>IF(t&lt;Tvie,1-EXP((T0-t)*PertePVj)+'2026'!Pspv,1-EXP((T0-t)*PertePVj)+Pspv)</f>
        <v>5.7572581663300704E-2</v>
      </c>
      <c r="M196" s="832"/>
      <c r="N196" s="832"/>
      <c r="O196" s="48">
        <f>IF(t&lt;Tnet,'2026'!Resal+('2026'!Salim-'2026'!Resal)*(1-EXP(('2026'!Tnet-t)/('2026'!Tau_j))),Resal+(Salim-Resal)*(1-EXP((Tnet-t)/(Tau_j))))*Salcycl</f>
        <v>1.392393134356892E-2</v>
      </c>
      <c r="P196" s="169">
        <f>(INDEX(Models!$BJ196:$BT196,,T196)*(1-R196)+INDEX(Models!$BJ196:$BT196,,T196+1)*R196-ERP_i)*Q196*Ramure*Pc/MaxiM</f>
        <v>6.2061352596655541E-5</v>
      </c>
      <c r="Q196" s="304">
        <f t="shared" si="53"/>
        <v>0.7</v>
      </c>
      <c r="R196" s="177">
        <f t="shared" si="54"/>
        <v>0.46019051979235703</v>
      </c>
      <c r="S196" s="799">
        <f t="shared" si="55"/>
        <v>-1</v>
      </c>
      <c r="T196" s="176">
        <f t="shared" si="56"/>
        <v>5</v>
      </c>
      <c r="U196" s="250">
        <f t="shared" si="57"/>
        <v>-0.53980948020764297</v>
      </c>
      <c r="V196" s="382">
        <f t="shared" si="58"/>
        <v>56.212575313623539</v>
      </c>
      <c r="W196" s="400">
        <f t="shared" si="59"/>
        <v>40.222475767886593</v>
      </c>
      <c r="X196" s="157">
        <f t="shared" si="60"/>
        <v>46569</v>
      </c>
      <c r="Y196" s="383">
        <f t="shared" si="61"/>
        <v>38.151030794392497</v>
      </c>
      <c r="Z196" s="383">
        <f t="shared" si="62"/>
        <v>40.481664743716472</v>
      </c>
      <c r="AA196" s="384">
        <f t="shared" si="63"/>
        <v>43.258067293249979</v>
      </c>
      <c r="AB196" s="197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6.4182306868035721E-2</v>
      </c>
      <c r="AD196" s="230">
        <f>(INDEX(Models!$BJ196:$BT196,,AH196)*(1-AF196)+INDEX(Models!$BJ196:$BT196,,AH196+1)*AF196-ERP_i)*AE196*Ramure*Pc/MaxiM</f>
        <v>1.0056907119468169E-3</v>
      </c>
      <c r="AE196" s="304">
        <f t="shared" si="65"/>
        <v>0.7</v>
      </c>
      <c r="AF196" s="177">
        <f t="shared" si="66"/>
        <v>0.21584835063170793</v>
      </c>
      <c r="AG196" s="799">
        <f t="shared" si="74"/>
        <v>2</v>
      </c>
      <c r="AH196" s="176">
        <f t="shared" si="67"/>
        <v>8</v>
      </c>
      <c r="AI196" s="224">
        <f t="shared" si="68"/>
        <v>2.2158483506317079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46570</v>
      </c>
      <c r="B197" s="409">
        <f>'2026'!Wh/'2026'!Env_an*'2027'!Env_an</f>
        <v>56.428224700439024</v>
      </c>
      <c r="C197" s="829"/>
      <c r="D197" s="391">
        <f t="shared" si="50"/>
        <v>59.876553947051548</v>
      </c>
      <c r="E197" s="383">
        <f t="shared" si="75"/>
        <v>60.72856184612332</v>
      </c>
      <c r="F197" s="383">
        <f t="shared" si="51"/>
        <v>60.732368619296253</v>
      </c>
      <c r="G197" s="110">
        <f t="shared" si="76"/>
        <v>1.0056407759433341</v>
      </c>
      <c r="H197" s="412" t="b">
        <f>Wh_hp&gt;='2026'!Maxi_hp</f>
        <v>1</v>
      </c>
      <c r="I197" s="388">
        <f>IF(H197,Wh_hp,'2026'!Maxi_hp)</f>
        <v>60.732368619296253</v>
      </c>
      <c r="J197" s="85">
        <f>IF(H197,An,'2026'!An_max)</f>
        <v>2027</v>
      </c>
      <c r="K197" s="197">
        <f t="shared" si="52"/>
        <v>46570</v>
      </c>
      <c r="L197" s="147">
        <f>IF(t&lt;Tvie,1-EXP((T0-t)*PertePVj)+'2026'!Pspv,1-EXP((T0-t)*PertePVj)+Pspv)</f>
        <v>5.7590643069770797E-2</v>
      </c>
      <c r="M197" s="832"/>
      <c r="N197" s="832"/>
      <c r="O197" s="48">
        <f>IF(t&lt;Tnet,'2026'!Resal+('2026'!Salim-'2026'!Resal)*(1-EXP(('2026'!Tnet-t)/('2026'!Tau_j))),Resal+(Salim-Resal)*(1-EXP((Tnet-t)/(Tau_j))))*Salcycl</f>
        <v>1.4029772370217252E-2</v>
      </c>
      <c r="P197" s="169">
        <f>(INDEX(Models!$BJ197:$BT197,,T197)*(1-R197)+INDEX(Models!$BJ197:$BT197,,T197+1)*R197-ERP_i)*Q197*Ramure*Pc/MaxiM</f>
        <v>6.2681124735975961E-5</v>
      </c>
      <c r="Q197" s="304">
        <f t="shared" si="53"/>
        <v>0.7</v>
      </c>
      <c r="R197" s="177">
        <f t="shared" si="54"/>
        <v>0.46359773203848564</v>
      </c>
      <c r="S197" s="799">
        <f t="shared" si="55"/>
        <v>-1</v>
      </c>
      <c r="T197" s="176">
        <f t="shared" si="56"/>
        <v>5</v>
      </c>
      <c r="U197" s="250">
        <f t="shared" si="57"/>
        <v>-0.53640226796151436</v>
      </c>
      <c r="V197" s="382">
        <f t="shared" si="58"/>
        <v>56.111711110268907</v>
      </c>
      <c r="W197" s="400">
        <f t="shared" si="59"/>
        <v>56.428224700439024</v>
      </c>
      <c r="X197" s="157">
        <f t="shared" si="60"/>
        <v>46570</v>
      </c>
      <c r="Y197" s="383">
        <f t="shared" si="61"/>
        <v>53.502772867923895</v>
      </c>
      <c r="Z197" s="383">
        <f t="shared" si="62"/>
        <v>56.77232773049063</v>
      </c>
      <c r="AA197" s="384">
        <f t="shared" si="63"/>
        <v>60.669835700926804</v>
      </c>
      <c r="AB197" s="197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6.4241281114539681E-2</v>
      </c>
      <c r="AD197" s="230">
        <f>(INDEX(Models!$BJ197:$BT197,,AH197)*(1-AF197)+INDEX(Models!$BJ197:$BT197,,AH197+1)*AF197-ERP_i)*AE197*Ramure*Pc/MaxiM</f>
        <v>1.0296472835012113E-3</v>
      </c>
      <c r="AE197" s="304">
        <f t="shared" si="65"/>
        <v>0.7</v>
      </c>
      <c r="AF197" s="177">
        <f t="shared" si="66"/>
        <v>0.21925556287783632</v>
      </c>
      <c r="AG197" s="799">
        <f t="shared" si="74"/>
        <v>2</v>
      </c>
      <c r="AH197" s="176">
        <f t="shared" si="67"/>
        <v>8</v>
      </c>
      <c r="AI197" s="224">
        <f t="shared" si="68"/>
        <v>2.2192555628778363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46571</v>
      </c>
      <c r="B198" s="409">
        <f>'2026'!Wh/'2026'!Env_an*'2027'!Env_an</f>
        <v>51.251490167680373</v>
      </c>
      <c r="C198" s="829"/>
      <c r="D198" s="391">
        <f t="shared" si="50"/>
        <v>54.384511393827331</v>
      </c>
      <c r="E198" s="383">
        <f t="shared" si="75"/>
        <v>55.164276719456204</v>
      </c>
      <c r="F198" s="383">
        <f t="shared" si="51"/>
        <v>55.167343742225647</v>
      </c>
      <c r="G198" s="110">
        <f t="shared" si="76"/>
        <v>0.91505487532487484</v>
      </c>
      <c r="H198" s="412" t="b">
        <f>Wh_hp&gt;='2026'!Maxi_hp</f>
        <v>0</v>
      </c>
      <c r="I198" s="388">
        <f>IF(H198,Wh_hp,'2026'!Maxi_hp)</f>
        <v>55.167658648289866</v>
      </c>
      <c r="J198" s="85">
        <f>IF(H198,An,'2026'!An_max)</f>
        <v>2026</v>
      </c>
      <c r="K198" s="197">
        <f t="shared" si="52"/>
        <v>46571</v>
      </c>
      <c r="L198" s="147">
        <f>IF(t&lt;Tvie,1-EXP((T0-t)*PertePVj)+'2026'!Pspv,1-EXP((T0-t)*PertePVj)+Pspv)</f>
        <v>5.7608704130098332E-2</v>
      </c>
      <c r="M198" s="832"/>
      <c r="N198" s="832"/>
      <c r="O198" s="48">
        <f>IF(t&lt;Tnet,'2026'!Resal+('2026'!Salim-'2026'!Resal)*(1-EXP(('2026'!Tnet-t)/('2026'!Tau_j))),Resal+(Salim-Resal)*(1-EXP((Tnet-t)/(Tau_j))))*Salcycl</f>
        <v>1.4135331268720323E-2</v>
      </c>
      <c r="P198" s="169">
        <f>(INDEX(Models!$BJ198:$BT198,,T198)*(1-R198)+INDEX(Models!$BJ198:$BT198,,T198+1)*R198-ERP_i)*Q198*Ramure*Pc/MaxiM</f>
        <v>6.3272375562617558E-5</v>
      </c>
      <c r="Q198" s="304">
        <f t="shared" si="53"/>
        <v>0.7</v>
      </c>
      <c r="R198" s="177">
        <f t="shared" si="54"/>
        <v>0.46694615265232287</v>
      </c>
      <c r="S198" s="799">
        <f t="shared" si="55"/>
        <v>-1</v>
      </c>
      <c r="T198" s="176">
        <f t="shared" si="56"/>
        <v>5</v>
      </c>
      <c r="U198" s="250">
        <f t="shared" si="57"/>
        <v>-0.53305384734767713</v>
      </c>
      <c r="V198" s="382">
        <f t="shared" si="58"/>
        <v>56.008768485462312</v>
      </c>
      <c r="W198" s="400">
        <f t="shared" si="59"/>
        <v>51.251490167680373</v>
      </c>
      <c r="X198" s="157">
        <f t="shared" si="60"/>
        <v>46571</v>
      </c>
      <c r="Y198" s="383">
        <f t="shared" si="61"/>
        <v>48.600944969366225</v>
      </c>
      <c r="Z198" s="383">
        <f t="shared" si="62"/>
        <v>51.571937455665598</v>
      </c>
      <c r="AA198" s="384">
        <f t="shared" si="63"/>
        <v>55.115845788065108</v>
      </c>
      <c r="AB198" s="197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6.4299264244746773E-2</v>
      </c>
      <c r="AD198" s="230">
        <f>(INDEX(Models!$BJ198:$BT198,,AH198)*(1-AF198)+INDEX(Models!$BJ198:$BT198,,AH198+1)*AF198-ERP_i)*AE198*Ramure*Pc/MaxiM</f>
        <v>1.0623976870394361E-3</v>
      </c>
      <c r="AE198" s="304">
        <f t="shared" si="65"/>
        <v>0.7</v>
      </c>
      <c r="AF198" s="177">
        <f t="shared" si="66"/>
        <v>0.22260398349167376</v>
      </c>
      <c r="AG198" s="799">
        <f t="shared" si="74"/>
        <v>2</v>
      </c>
      <c r="AH198" s="176">
        <f t="shared" si="67"/>
        <v>8</v>
      </c>
      <c r="AI198" s="224">
        <f t="shared" si="68"/>
        <v>2.2226039834916738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46572</v>
      </c>
      <c r="B199" s="409">
        <f>'2026'!Wh/'2026'!Env_an*'2027'!Env_an</f>
        <v>43.319365892462443</v>
      </c>
      <c r="C199" s="829"/>
      <c r="D199" s="391">
        <f t="shared" si="50"/>
        <v>45.968374606166201</v>
      </c>
      <c r="E199" s="383">
        <f t="shared" si="75"/>
        <v>46.632449072858797</v>
      </c>
      <c r="F199" s="383">
        <f t="shared" si="51"/>
        <v>46.634468058297202</v>
      </c>
      <c r="G199" s="110">
        <f t="shared" si="76"/>
        <v>0.77487186145707287</v>
      </c>
      <c r="H199" s="412" t="b">
        <f>Wh_hp&gt;='2026'!Maxi_hp</f>
        <v>0</v>
      </c>
      <c r="I199" s="388">
        <f>IF(H199,Wh_hp,'2026'!Maxi_hp)</f>
        <v>58.802223324731905</v>
      </c>
      <c r="J199" s="85">
        <f>IF(H199,An,'2026'!An_max)</f>
        <v>2018</v>
      </c>
      <c r="K199" s="197">
        <f t="shared" si="52"/>
        <v>46572</v>
      </c>
      <c r="L199" s="147">
        <f>IF(t&lt;Tvie,1-EXP((T0-t)*PertePVj)+'2026'!Pspv,1-EXP((T0-t)*PertePVj)+Pspv)</f>
        <v>5.7626764844289635E-2</v>
      </c>
      <c r="M199" s="832"/>
      <c r="N199" s="832"/>
      <c r="O199" s="48">
        <f>IF(t&lt;Tnet,'2026'!Resal+('2026'!Salim-'2026'!Resal)*(1-EXP(('2026'!Tnet-t)/('2026'!Tau_j))),Resal+(Salim-Resal)*(1-EXP((Tnet-t)/(Tau_j))))*Salcycl</f>
        <v>1.4240608844177259E-2</v>
      </c>
      <c r="P199" s="169">
        <f>(INDEX(Models!$BJ199:$BT199,,T199)*(1-R199)+INDEX(Models!$BJ199:$BT199,,T199+1)*R199-ERP_i)*Q199*Ramure*Pc/MaxiM</f>
        <v>6.3816534848391691E-5</v>
      </c>
      <c r="Q199" s="304">
        <f t="shared" si="53"/>
        <v>0.7</v>
      </c>
      <c r="R199" s="177">
        <f t="shared" si="54"/>
        <v>0.47023453683148841</v>
      </c>
      <c r="S199" s="799">
        <f t="shared" si="55"/>
        <v>-1</v>
      </c>
      <c r="T199" s="176">
        <f t="shared" si="56"/>
        <v>5</v>
      </c>
      <c r="U199" s="250">
        <f t="shared" si="57"/>
        <v>-0.52976546316851159</v>
      </c>
      <c r="V199" s="382">
        <f t="shared" si="58"/>
        <v>55.904051984299052</v>
      </c>
      <c r="W199" s="400">
        <f t="shared" si="59"/>
        <v>43.319365892462443</v>
      </c>
      <c r="X199" s="157">
        <f t="shared" si="60"/>
        <v>46572</v>
      </c>
      <c r="Y199" s="383">
        <f t="shared" si="61"/>
        <v>41.08803217955181</v>
      </c>
      <c r="Z199" s="383">
        <f t="shared" si="62"/>
        <v>43.600593317745009</v>
      </c>
      <c r="AA199" s="384">
        <f t="shared" si="63"/>
        <v>46.599568098005925</v>
      </c>
      <c r="AB199" s="197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6.4356278452058199E-2</v>
      </c>
      <c r="AD199" s="230">
        <f>(INDEX(Models!$BJ199:$BT199,,AH199)*(1-AF199)+INDEX(Models!$BJ199:$BT199,,AH199+1)*AF199-ERP_i)*AE199*Ramure*Pc/MaxiM</f>
        <v>1.1031256044603975E-3</v>
      </c>
      <c r="AE199" s="304">
        <f t="shared" si="65"/>
        <v>0.7</v>
      </c>
      <c r="AF199" s="177">
        <f t="shared" si="66"/>
        <v>0.22589236767083909</v>
      </c>
      <c r="AG199" s="799">
        <f t="shared" si="74"/>
        <v>2</v>
      </c>
      <c r="AH199" s="176">
        <f t="shared" si="67"/>
        <v>8</v>
      </c>
      <c r="AI199" s="224">
        <f t="shared" si="68"/>
        <v>2.2258923676708391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46573</v>
      </c>
      <c r="B200" s="409">
        <f>'2026'!Wh/'2026'!Env_an*'2027'!Env_an</f>
        <v>55.594696190823662</v>
      </c>
      <c r="C200" s="829"/>
      <c r="D200" s="391">
        <f t="shared" si="50"/>
        <v>58.995480343546092</v>
      </c>
      <c r="E200" s="383">
        <f t="shared" si="75"/>
        <v>59.854124052078006</v>
      </c>
      <c r="F200" s="383">
        <f t="shared" si="51"/>
        <v>59.857953633917241</v>
      </c>
      <c r="G200" s="110">
        <f t="shared" si="76"/>
        <v>0.99635850948382787</v>
      </c>
      <c r="H200" s="412" t="b">
        <f>Wh_hp&gt;='2026'!Maxi_hp</f>
        <v>0</v>
      </c>
      <c r="I200" s="388">
        <f>IF(H200,Wh_hp,'2026'!Maxi_hp)</f>
        <v>59.857968344640803</v>
      </c>
      <c r="J200" s="85">
        <f>IF(H200,An,'2026'!An_max)</f>
        <v>2026</v>
      </c>
      <c r="K200" s="197">
        <f t="shared" si="52"/>
        <v>46573</v>
      </c>
      <c r="L200" s="147">
        <f>IF(t&lt;Tvie,1-EXP((T0-t)*PertePVj)+'2026'!Pspv,1-EXP((T0-t)*PertePVj)+Pspv)</f>
        <v>5.764482521235148E-2</v>
      </c>
      <c r="M200" s="832"/>
      <c r="N200" s="832"/>
      <c r="O200" s="48">
        <f>IF(t&lt;Tnet,'2026'!Resal+('2026'!Salim-'2026'!Resal)*(1-EXP(('2026'!Tnet-t)/('2026'!Tau_j))),Resal+(Salim-Resal)*(1-EXP((Tnet-t)/(Tau_j))))*Salcycl</f>
        <v>1.4345606457874506E-2</v>
      </c>
      <c r="P200" s="169">
        <f>(INDEX(Models!$BJ200:$BT200,,T200)*(1-R200)+INDEX(Models!$BJ200:$BT200,,T200+1)*R200-ERP_i)*Q200*Ramure*Pc/MaxiM</f>
        <v>6.4312358197805486E-5</v>
      </c>
      <c r="Q200" s="304">
        <f t="shared" si="53"/>
        <v>0.7</v>
      </c>
      <c r="R200" s="177">
        <f t="shared" si="54"/>
        <v>0.47346178351946755</v>
      </c>
      <c r="S200" s="799">
        <f t="shared" si="55"/>
        <v>-1</v>
      </c>
      <c r="T200" s="176">
        <f t="shared" si="56"/>
        <v>5</v>
      </c>
      <c r="U200" s="250">
        <f t="shared" si="57"/>
        <v>-0.52653821648053245</v>
      </c>
      <c r="V200" s="382">
        <f t="shared" si="58"/>
        <v>55.797864987683141</v>
      </c>
      <c r="W200" s="400">
        <f t="shared" si="59"/>
        <v>55.594696190823662</v>
      </c>
      <c r="X200" s="157">
        <f t="shared" si="60"/>
        <v>46573</v>
      </c>
      <c r="Y200" s="383">
        <f t="shared" si="61"/>
        <v>52.713642303485713</v>
      </c>
      <c r="Z200" s="383">
        <f t="shared" si="62"/>
        <v>55.938189457456176</v>
      </c>
      <c r="AA200" s="384">
        <f t="shared" si="63"/>
        <v>59.789362678722291</v>
      </c>
      <c r="AB200" s="197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6.4412347760928038E-2</v>
      </c>
      <c r="AD200" s="230">
        <f>(INDEX(Models!$BJ200:$BT200,,AH200)*(1-AF200)+INDEX(Models!$BJ200:$BT200,,AH200+1)*AF200-ERP_i)*AE200*Ramure*Pc/MaxiM</f>
        <v>1.1518871419417644E-3</v>
      </c>
      <c r="AE200" s="304">
        <f t="shared" si="65"/>
        <v>0.7</v>
      </c>
      <c r="AF200" s="177">
        <f t="shared" si="66"/>
        <v>0.22911961435881834</v>
      </c>
      <c r="AG200" s="799">
        <f t="shared" si="74"/>
        <v>2</v>
      </c>
      <c r="AH200" s="176">
        <f t="shared" si="67"/>
        <v>8</v>
      </c>
      <c r="AI200" s="224">
        <f t="shared" si="68"/>
        <v>2.2291196143588183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46574</v>
      </c>
      <c r="B201" s="409">
        <f>'2026'!Wh/'2026'!Env_an*'2027'!Env_an</f>
        <v>39.56753414904319</v>
      </c>
      <c r="C201" s="829"/>
      <c r="D201" s="391">
        <f t="shared" si="50"/>
        <v>41.988725190857785</v>
      </c>
      <c r="E201" s="383">
        <f t="shared" si="75"/>
        <v>42.604372258991653</v>
      </c>
      <c r="F201" s="383">
        <f t="shared" si="51"/>
        <v>42.605990236892417</v>
      </c>
      <c r="G201" s="110">
        <f t="shared" si="76"/>
        <v>0.71047066853399876</v>
      </c>
      <c r="H201" s="412" t="b">
        <f>Wh_hp&gt;='2026'!Maxi_hp</f>
        <v>0</v>
      </c>
      <c r="I201" s="388">
        <f>IF(H201,Wh_hp,'2026'!Maxi_hp)</f>
        <v>58.562115804958381</v>
      </c>
      <c r="J201" s="85">
        <f>IF(H201,An,'2026'!An_max)</f>
        <v>2020</v>
      </c>
      <c r="K201" s="197">
        <f t="shared" si="52"/>
        <v>46574</v>
      </c>
      <c r="L201" s="147">
        <f>IF(t&lt;Tvie,1-EXP((T0-t)*PertePVj)+'2026'!Pspv,1-EXP((T0-t)*PertePVj)+Pspv)</f>
        <v>5.7662885234290528E-2</v>
      </c>
      <c r="M201" s="832"/>
      <c r="N201" s="832"/>
      <c r="O201" s="48">
        <f>IF(t&lt;Tnet,'2026'!Resal+('2026'!Salim-'2026'!Resal)*(1-EXP(('2026'!Tnet-t)/('2026'!Tau_j))),Resal+(Salim-Resal)*(1-EXP((Tnet-t)/(Tau_j))))*Salcycl</f>
        <v>1.4450325999203879E-2</v>
      </c>
      <c r="P201" s="169">
        <f>(INDEX(Models!$BJ201:$BT201,,T201)*(1-R201)+INDEX(Models!$BJ201:$BT201,,T201+1)*R201-ERP_i)*Q201*Ramure*Pc/MaxiM</f>
        <v>6.4758636981349888E-5</v>
      </c>
      <c r="Q201" s="304">
        <f t="shared" si="53"/>
        <v>0.7</v>
      </c>
      <c r="R201" s="177">
        <f t="shared" si="54"/>
        <v>0.47662693348836838</v>
      </c>
      <c r="S201" s="799">
        <f t="shared" si="55"/>
        <v>-1</v>
      </c>
      <c r="T201" s="176">
        <f t="shared" si="56"/>
        <v>5</v>
      </c>
      <c r="U201" s="250">
        <f t="shared" si="57"/>
        <v>-0.52337306651163162</v>
      </c>
      <c r="V201" s="382">
        <f t="shared" si="58"/>
        <v>55.690510689611628</v>
      </c>
      <c r="W201" s="400">
        <f t="shared" si="59"/>
        <v>39.56753414904319</v>
      </c>
      <c r="X201" s="157">
        <f t="shared" si="60"/>
        <v>46574</v>
      </c>
      <c r="Y201" s="383">
        <f t="shared" si="61"/>
        <v>37.534263178890185</v>
      </c>
      <c r="Z201" s="383">
        <f t="shared" si="62"/>
        <v>39.831035614279315</v>
      </c>
      <c r="AA201" s="384">
        <f t="shared" si="63"/>
        <v>42.575790282667398</v>
      </c>
      <c r="AB201" s="197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6.4467497847138538E-2</v>
      </c>
      <c r="AD201" s="230">
        <f>(INDEX(Models!$BJ201:$BT201,,AH201)*(1-AF201)+INDEX(Models!$BJ201:$BT201,,AH201+1)*AF201-ERP_i)*AE201*Ramure*Pc/MaxiM</f>
        <v>1.2087358372373711E-3</v>
      </c>
      <c r="AE201" s="304">
        <f t="shared" si="65"/>
        <v>0.7</v>
      </c>
      <c r="AF201" s="177">
        <f t="shared" si="66"/>
        <v>0.23228476432771927</v>
      </c>
      <c r="AG201" s="799">
        <f t="shared" si="74"/>
        <v>2</v>
      </c>
      <c r="AH201" s="176">
        <f t="shared" si="67"/>
        <v>8</v>
      </c>
      <c r="AI201" s="224">
        <f t="shared" si="68"/>
        <v>2.2322847643277193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46575</v>
      </c>
      <c r="B202" s="409">
        <f>'2026'!Wh/'2026'!Env_an*'2027'!Env_an</f>
        <v>55.268369424953114</v>
      </c>
      <c r="C202" s="829"/>
      <c r="D202" s="391">
        <f t="shared" si="50"/>
        <v>58.651439898645719</v>
      </c>
      <c r="E202" s="383">
        <f t="shared" si="75"/>
        <v>59.517706417829558</v>
      </c>
      <c r="F202" s="383">
        <f t="shared" si="51"/>
        <v>59.521553207051895</v>
      </c>
      <c r="G202" s="110">
        <f t="shared" si="76"/>
        <v>0.99435158720989714</v>
      </c>
      <c r="H202" s="412" t="b">
        <f>Wh_hp&gt;='2026'!Maxi_hp</f>
        <v>0</v>
      </c>
      <c r="I202" s="388">
        <f>IF(H202,Wh_hp,'2026'!Maxi_hp)</f>
        <v>59.521575946562791</v>
      </c>
      <c r="J202" s="85">
        <f>IF(H202,An,'2026'!An_max)</f>
        <v>2026</v>
      </c>
      <c r="K202" s="197">
        <f t="shared" si="52"/>
        <v>46575</v>
      </c>
      <c r="L202" s="147">
        <f>IF(t&lt;Tvie,1-EXP((T0-t)*PertePVj)+'2026'!Pspv,1-EXP((T0-t)*PertePVj)+Pspv)</f>
        <v>5.768094491011333E-2</v>
      </c>
      <c r="M202" s="832"/>
      <c r="N202" s="832"/>
      <c r="O202" s="48">
        <f>IF(t&lt;Tnet,'2026'!Resal+('2026'!Salim-'2026'!Resal)*(1-EXP(('2026'!Tnet-t)/('2026'!Tau_j))),Resal+(Salim-Resal)*(1-EXP((Tnet-t)/(Tau_j))))*Salcycl</f>
        <v>1.4554769854577841E-2</v>
      </c>
      <c r="P202" s="169">
        <f>(INDEX(Models!$BJ202:$BT202,,T202)*(1-R202)+INDEX(Models!$BJ202:$BT202,,T202+1)*R202-ERP_i)*Q202*Ramure*Pc/MaxiM</f>
        <v>6.515419983120362E-5</v>
      </c>
      <c r="Q202" s="304">
        <f t="shared" si="53"/>
        <v>0.7</v>
      </c>
      <c r="R202" s="177">
        <f t="shared" si="54"/>
        <v>0.47972916686040012</v>
      </c>
      <c r="S202" s="799">
        <f t="shared" si="55"/>
        <v>-1</v>
      </c>
      <c r="T202" s="176">
        <f t="shared" si="56"/>
        <v>5</v>
      </c>
      <c r="U202" s="250">
        <f t="shared" si="57"/>
        <v>-0.52027083313959988</v>
      </c>
      <c r="V202" s="382">
        <f t="shared" si="58"/>
        <v>55.582292098579309</v>
      </c>
      <c r="W202" s="400">
        <f t="shared" si="59"/>
        <v>55.268369424953114</v>
      </c>
      <c r="X202" s="157">
        <f t="shared" si="60"/>
        <v>46575</v>
      </c>
      <c r="Y202" s="383">
        <f t="shared" si="61"/>
        <v>52.403086376950043</v>
      </c>
      <c r="Z202" s="383">
        <f t="shared" si="62"/>
        <v>55.61076802373627</v>
      </c>
      <c r="AA202" s="384">
        <f t="shared" si="63"/>
        <v>59.446350967130464</v>
      </c>
      <c r="AB202" s="197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6.4521755852011656E-2</v>
      </c>
      <c r="AD202" s="230">
        <f>(INDEX(Models!$BJ202:$BT202,,AH202)*(1-AF202)+INDEX(Models!$BJ202:$BT202,,AH202+1)*AF202-ERP_i)*AE202*Ramure*Pc/MaxiM</f>
        <v>1.2737224434205075E-3</v>
      </c>
      <c r="AE202" s="304">
        <f t="shared" si="65"/>
        <v>0.7</v>
      </c>
      <c r="AF202" s="177">
        <f t="shared" si="66"/>
        <v>0.23538699769975091</v>
      </c>
      <c r="AG202" s="799">
        <f t="shared" si="74"/>
        <v>2</v>
      </c>
      <c r="AH202" s="176">
        <f t="shared" si="67"/>
        <v>8</v>
      </c>
      <c r="AI202" s="224">
        <f t="shared" si="68"/>
        <v>2.2353869976997509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46576</v>
      </c>
      <c r="B203" s="409">
        <f>'2026'!Wh/'2026'!Env_an*'2027'!Env_an</f>
        <v>56.43342121866764</v>
      </c>
      <c r="C203" s="829"/>
      <c r="D203" s="391">
        <f t="shared" si="50"/>
        <v>59.888954243481038</v>
      </c>
      <c r="E203" s="383">
        <f t="shared" si="75"/>
        <v>60.779923549090057</v>
      </c>
      <c r="F203" s="383">
        <f t="shared" si="51"/>
        <v>60.783904768053475</v>
      </c>
      <c r="G203" s="110">
        <f t="shared" si="76"/>
        <v>1.0173039193298983</v>
      </c>
      <c r="H203" s="412" t="b">
        <f>Wh_hp&gt;='2026'!Maxi_hp</f>
        <v>0</v>
      </c>
      <c r="I203" s="388">
        <f>IF(H203,Wh_hp,'2026'!Maxi_hp)</f>
        <v>61.731530922923696</v>
      </c>
      <c r="J203" s="85">
        <f>IF(H203,An,'2026'!An_max)</f>
        <v>2020</v>
      </c>
      <c r="K203" s="197">
        <f t="shared" si="52"/>
        <v>46576</v>
      </c>
      <c r="L203" s="147">
        <f>IF(t&lt;Tvie,1-EXP((T0-t)*PertePVj)+'2026'!Pspv,1-EXP((T0-t)*PertePVj)+Pspv)</f>
        <v>5.7699004239826657E-2</v>
      </c>
      <c r="M203" s="832"/>
      <c r="N203" s="832"/>
      <c r="O203" s="48">
        <f>IF(t&lt;Tnet,'2026'!Resal+('2026'!Salim-'2026'!Resal)*(1-EXP(('2026'!Tnet-t)/('2026'!Tau_j))),Resal+(Salim-Resal)*(1-EXP((Tnet-t)/(Tau_j))))*Salcycl</f>
        <v>1.4658940873616052E-2</v>
      </c>
      <c r="P203" s="169">
        <f>(INDEX(Models!$BJ203:$BT203,,T203)*(1-R203)+INDEX(Models!$BJ203:$BT203,,T203+1)*R203-ERP_i)*Q203*Ramure*Pc/MaxiM</f>
        <v>6.5497913939737638E-5</v>
      </c>
      <c r="Q203" s="304">
        <f t="shared" si="53"/>
        <v>0.7</v>
      </c>
      <c r="R203" s="177">
        <f t="shared" si="54"/>
        <v>0.48276780011288212</v>
      </c>
      <c r="S203" s="799">
        <f t="shared" si="55"/>
        <v>-1</v>
      </c>
      <c r="T203" s="176">
        <f t="shared" si="56"/>
        <v>5</v>
      </c>
      <c r="U203" s="250">
        <f t="shared" si="57"/>
        <v>-0.51723219988711788</v>
      </c>
      <c r="V203" s="382">
        <f t="shared" si="58"/>
        <v>55.473512041357843</v>
      </c>
      <c r="W203" s="400">
        <f t="shared" si="59"/>
        <v>56.43342121866764</v>
      </c>
      <c r="X203" s="157">
        <f t="shared" si="60"/>
        <v>46576</v>
      </c>
      <c r="Y203" s="383">
        <f t="shared" si="61"/>
        <v>53.505916256089904</v>
      </c>
      <c r="Z203" s="383">
        <f t="shared" si="62"/>
        <v>56.782192204865069</v>
      </c>
      <c r="AA203" s="384">
        <f t="shared" si="63"/>
        <v>60.702035247960197</v>
      </c>
      <c r="AB203" s="197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6.4575150191967315E-2</v>
      </c>
      <c r="AD203" s="230">
        <f>(INDEX(Models!$BJ203:$BT203,,AH203)*(1-AF203)+INDEX(Models!$BJ203:$BT203,,AH203+1)*AF203-ERP_i)*AE203*Ramure*Pc/MaxiM</f>
        <v>1.3468947150678606E-3</v>
      </c>
      <c r="AE203" s="304">
        <f t="shared" si="65"/>
        <v>0.7</v>
      </c>
      <c r="AF203" s="177">
        <f t="shared" si="66"/>
        <v>0.23842563095223301</v>
      </c>
      <c r="AG203" s="799">
        <f t="shared" si="74"/>
        <v>2</v>
      </c>
      <c r="AH203" s="176">
        <f t="shared" si="67"/>
        <v>8</v>
      </c>
      <c r="AI203" s="224">
        <f t="shared" si="68"/>
        <v>2.238425630952233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46577</v>
      </c>
      <c r="B204" s="409">
        <f>'2026'!Wh/'2026'!Env_an*'2027'!Env_an</f>
        <v>56.074966049058361</v>
      </c>
      <c r="C204" s="829"/>
      <c r="D204" s="391">
        <f t="shared" si="50"/>
        <v>59.509690625285117</v>
      </c>
      <c r="E204" s="383">
        <f t="shared" si="75"/>
        <v>60.401386774931893</v>
      </c>
      <c r="F204" s="383">
        <f t="shared" si="51"/>
        <v>60.405360764254944</v>
      </c>
      <c r="G204" s="110">
        <f t="shared" si="76"/>
        <v>1.012833010801764</v>
      </c>
      <c r="H204" s="412" t="b">
        <f>Wh_hp&gt;='2026'!Maxi_hp</f>
        <v>1</v>
      </c>
      <c r="I204" s="388">
        <f>IF(H204,Wh_hp,'2026'!Maxi_hp)</f>
        <v>60.405360764254944</v>
      </c>
      <c r="J204" s="85">
        <f>IF(H204,An,'2026'!An_max)</f>
        <v>2027</v>
      </c>
      <c r="K204" s="197">
        <f t="shared" si="52"/>
        <v>46577</v>
      </c>
      <c r="L204" s="147">
        <f>IF(t&lt;Tvie,1-EXP((T0-t)*PertePVj)+'2026'!Pspv,1-EXP((T0-t)*PertePVj)+Pspv)</f>
        <v>5.7717063223436949E-2</v>
      </c>
      <c r="M204" s="832"/>
      <c r="N204" s="832"/>
      <c r="O204" s="48">
        <f>IF(t&lt;Tnet,'2026'!Resal+('2026'!Salim-'2026'!Resal)*(1-EXP(('2026'!Tnet-t)/('2026'!Tau_j))),Resal+(Salim-Resal)*(1-EXP((Tnet-t)/(Tau_j))))*Salcycl</f>
        <v>1.4762842332899108E-2</v>
      </c>
      <c r="P204" s="169">
        <f>(INDEX(Models!$BJ204:$BT204,,T204)*(1-R204)+INDEX(Models!$BJ204:$BT204,,T204+1)*R204-ERP_i)*Q204*Ramure*Pc/MaxiM</f>
        <v>6.5788686182302725E-5</v>
      </c>
      <c r="Q204" s="304">
        <f t="shared" si="53"/>
        <v>0.7</v>
      </c>
      <c r="R204" s="177">
        <f t="shared" si="54"/>
        <v>0.4857422826132437</v>
      </c>
      <c r="S204" s="799">
        <f t="shared" si="55"/>
        <v>-1</v>
      </c>
      <c r="T204" s="176">
        <f t="shared" si="56"/>
        <v>5</v>
      </c>
      <c r="U204" s="250">
        <f t="shared" si="57"/>
        <v>-0.5142577173867563</v>
      </c>
      <c r="V204" s="382">
        <f t="shared" si="58"/>
        <v>55.364473166873893</v>
      </c>
      <c r="W204" s="400">
        <f t="shared" si="59"/>
        <v>56.074966049058361</v>
      </c>
      <c r="X204" s="157">
        <f t="shared" si="60"/>
        <v>46577</v>
      </c>
      <c r="Y204" s="383">
        <f t="shared" si="61"/>
        <v>53.164356807849231</v>
      </c>
      <c r="Z204" s="383">
        <f t="shared" si="62"/>
        <v>56.420799669490059</v>
      </c>
      <c r="AA204" s="384">
        <f t="shared" si="63"/>
        <v>60.319083956932552</v>
      </c>
      <c r="AB204" s="197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6.4627710364863006E-2</v>
      </c>
      <c r="AD204" s="230">
        <f>(INDEX(Models!$BJ204:$BT204,,AH204)*(1-AF204)+INDEX(Models!$BJ204:$BT204,,AH204+1)*AF204-ERP_i)*AE204*Ramure*Pc/MaxiM</f>
        <v>1.4282971946663339E-3</v>
      </c>
      <c r="AE204" s="304">
        <f t="shared" si="65"/>
        <v>0.7</v>
      </c>
      <c r="AF204" s="177">
        <f t="shared" si="66"/>
        <v>0.24140011345259449</v>
      </c>
      <c r="AG204" s="799">
        <f t="shared" si="74"/>
        <v>2</v>
      </c>
      <c r="AH204" s="176">
        <f t="shared" si="67"/>
        <v>8</v>
      </c>
      <c r="AI204" s="224">
        <f t="shared" si="68"/>
        <v>2.2414001134525945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46578</v>
      </c>
      <c r="B205" s="409">
        <f>'2026'!Wh/'2026'!Env_an*'2027'!Env_an</f>
        <v>55.671350501855116</v>
      </c>
      <c r="C205" s="829"/>
      <c r="D205" s="391">
        <f t="shared" si="50"/>
        <v>59.08248497153447</v>
      </c>
      <c r="E205" s="383">
        <f t="shared" si="75"/>
        <v>59.974088431632318</v>
      </c>
      <c r="F205" s="383">
        <f t="shared" si="51"/>
        <v>59.97804858000903</v>
      </c>
      <c r="G205" s="110">
        <f t="shared" si="76"/>
        <v>1.0075441398630591</v>
      </c>
      <c r="H205" s="412" t="b">
        <f>Wh_hp&gt;='2026'!Maxi_hp</f>
        <v>1</v>
      </c>
      <c r="I205" s="388">
        <f>IF(H205,Wh_hp,'2026'!Maxi_hp)</f>
        <v>59.97804858000903</v>
      </c>
      <c r="J205" s="85">
        <f>IF(H205,An,'2026'!An_max)</f>
        <v>2027</v>
      </c>
      <c r="K205" s="197">
        <f t="shared" si="52"/>
        <v>46578</v>
      </c>
      <c r="L205" s="147">
        <f>IF(t&lt;Tvie,1-EXP((T0-t)*PertePVj)+'2026'!Pspv,1-EXP((T0-t)*PertePVj)+Pspv)</f>
        <v>5.7735121860951089E-2</v>
      </c>
      <c r="M205" s="832"/>
      <c r="N205" s="832"/>
      <c r="O205" s="48">
        <f>IF(t&lt;Tnet,'2026'!Resal+('2026'!Salim-'2026'!Resal)*(1-EXP(('2026'!Tnet-t)/('2026'!Tau_j))),Resal+(Salim-Resal)*(1-EXP((Tnet-t)/(Tau_j))))*Salcycl</f>
        <v>1.4866477897604626E-2</v>
      </c>
      <c r="P205" s="169">
        <f>(INDEX(Models!$BJ205:$BT205,,T205)*(1-R205)+INDEX(Models!$BJ205:$BT205,,T205+1)*R205-ERP_i)*Q205*Ramure*Pc/MaxiM</f>
        <v>6.6026629249650657E-5</v>
      </c>
      <c r="Q205" s="304">
        <f t="shared" si="53"/>
        <v>0.7</v>
      </c>
      <c r="R205" s="177">
        <f t="shared" si="54"/>
        <v>0.48865219273150673</v>
      </c>
      <c r="S205" s="799">
        <f t="shared" si="55"/>
        <v>-1</v>
      </c>
      <c r="T205" s="176">
        <f t="shared" si="56"/>
        <v>5</v>
      </c>
      <c r="U205" s="250">
        <f t="shared" si="57"/>
        <v>-0.51134780726849327</v>
      </c>
      <c r="V205" s="382">
        <f t="shared" si="58"/>
        <v>55.254502804633169</v>
      </c>
      <c r="W205" s="400">
        <f t="shared" si="59"/>
        <v>55.671350501855116</v>
      </c>
      <c r="X205" s="157">
        <f t="shared" si="60"/>
        <v>46578</v>
      </c>
      <c r="Y205" s="383">
        <f t="shared" si="61"/>
        <v>52.779593965583146</v>
      </c>
      <c r="Z205" s="383">
        <f t="shared" si="62"/>
        <v>56.013542677958675</v>
      </c>
      <c r="AA205" s="384">
        <f t="shared" si="63"/>
        <v>59.887002035119465</v>
      </c>
      <c r="AB205" s="197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6.4679466754560253E-2</v>
      </c>
      <c r="AD205" s="230">
        <f>(INDEX(Models!$BJ205:$BT205,,AH205)*(1-AF205)+INDEX(Models!$BJ205:$BT205,,AH205+1)*AF205-ERP_i)*AE205*Ramure*Pc/MaxiM</f>
        <v>1.5179977849414496E-3</v>
      </c>
      <c r="AE205" s="304">
        <f t="shared" si="65"/>
        <v>0.7</v>
      </c>
      <c r="AF205" s="177">
        <f t="shared" si="66"/>
        <v>0.24431002357085774</v>
      </c>
      <c r="AG205" s="799">
        <f t="shared" si="74"/>
        <v>2</v>
      </c>
      <c r="AH205" s="176">
        <f t="shared" si="67"/>
        <v>8</v>
      </c>
      <c r="AI205" s="224">
        <f t="shared" si="68"/>
        <v>2.2443100235708577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46579</v>
      </c>
      <c r="B206" s="409">
        <f>'2026'!Wh/'2026'!Env_an*'2027'!Env_an</f>
        <v>54.803092807117814</v>
      </c>
      <c r="C206" s="829"/>
      <c r="D206" s="391">
        <f t="shared" si="50"/>
        <v>58.162141439734754</v>
      </c>
      <c r="E206" s="383">
        <f t="shared" si="75"/>
        <v>59.046052075774156</v>
      </c>
      <c r="F206" s="383">
        <f t="shared" si="51"/>
        <v>59.04995735215099</v>
      </c>
      <c r="G206" s="110">
        <f t="shared" si="76"/>
        <v>0.99383953011890969</v>
      </c>
      <c r="H206" s="412" t="b">
        <f>Wh_hp&gt;='2026'!Maxi_hp</f>
        <v>0</v>
      </c>
      <c r="I206" s="388">
        <f>IF(H206,Wh_hp,'2026'!Maxi_hp)</f>
        <v>59.049982117292068</v>
      </c>
      <c r="J206" s="85">
        <f>IF(H206,An,'2026'!An_max)</f>
        <v>2026</v>
      </c>
      <c r="K206" s="197">
        <f t="shared" si="52"/>
        <v>46579</v>
      </c>
      <c r="L206" s="147">
        <f>IF(t&lt;Tvie,1-EXP((T0-t)*PertePVj)+'2026'!Pspv,1-EXP((T0-t)*PertePVj)+Pspv)</f>
        <v>5.7753180152375405E-2</v>
      </c>
      <c r="M206" s="832"/>
      <c r="N206" s="832"/>
      <c r="O206" s="48">
        <f>IF(t&lt;Tnet,'2026'!Resal+('2026'!Salim-'2026'!Resal)*(1-EXP(('2026'!Tnet-t)/('2026'!Tau_j))),Resal+(Salim-Resal)*(1-EXP((Tnet-t)/(Tau_j))))*Salcycl</f>
        <v>1.4969851581356762E-2</v>
      </c>
      <c r="P206" s="169">
        <f>(INDEX(Models!$BJ206:$BT206,,T206)*(1-R206)+INDEX(Models!$BJ206:$BT206,,T206+1)*R206-ERP_i)*Q206*Ramure*Pc/MaxiM</f>
        <v>6.6722271270443299E-5</v>
      </c>
      <c r="Q206" s="304">
        <f t="shared" si="53"/>
        <v>0.7</v>
      </c>
      <c r="R206" s="177">
        <f t="shared" si="54"/>
        <v>0.49149723357819819</v>
      </c>
      <c r="S206" s="799">
        <f t="shared" si="55"/>
        <v>-1</v>
      </c>
      <c r="T206" s="176">
        <f t="shared" si="56"/>
        <v>5</v>
      </c>
      <c r="U206" s="250">
        <f t="shared" si="57"/>
        <v>-0.50850276642180181</v>
      </c>
      <c r="V206" s="382">
        <f t="shared" si="58"/>
        <v>55.142765976578133</v>
      </c>
      <c r="W206" s="400">
        <f t="shared" si="59"/>
        <v>54.803092807117814</v>
      </c>
      <c r="X206" s="157">
        <f t="shared" si="60"/>
        <v>46579</v>
      </c>
      <c r="Y206" s="383">
        <f t="shared" si="61"/>
        <v>51.954264820529509</v>
      </c>
      <c r="Z206" s="383">
        <f t="shared" si="62"/>
        <v>55.138700100819968</v>
      </c>
      <c r="AA206" s="384">
        <f t="shared" si="63"/>
        <v>58.95487576439843</v>
      </c>
      <c r="AB206" s="197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6.473045043516093E-2</v>
      </c>
      <c r="AD206" s="230">
        <f>(INDEX(Models!$BJ206:$BT206,,AH206)*(1-AF206)+INDEX(Models!$BJ206:$BT206,,AH206+1)*AF206-ERP_i)*AE206*Ramure*Pc/MaxiM</f>
        <v>1.6244841283138735E-3</v>
      </c>
      <c r="AE206" s="304">
        <f t="shared" si="65"/>
        <v>0.7</v>
      </c>
      <c r="AF206" s="177">
        <f t="shared" si="66"/>
        <v>0.24715506441754886</v>
      </c>
      <c r="AG206" s="799">
        <f t="shared" si="74"/>
        <v>2</v>
      </c>
      <c r="AH206" s="176">
        <f t="shared" si="67"/>
        <v>8</v>
      </c>
      <c r="AI206" s="224">
        <f t="shared" si="68"/>
        <v>2.2471550644175489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46580</v>
      </c>
      <c r="B207" s="409">
        <f>'2026'!Wh/'2026'!Env_an*'2027'!Env_an</f>
        <v>53.630945048585524</v>
      </c>
      <c r="C207" s="829"/>
      <c r="D207" s="391">
        <f t="shared" ref="D207:D270" si="77">Wh/(1-Ppv)</f>
        <v>56.919240015884263</v>
      </c>
      <c r="E207" s="383">
        <f t="shared" si="75"/>
        <v>57.790311514990393</v>
      </c>
      <c r="F207" s="383">
        <f t="shared" ref="F207:F270" si="78">Wh_sa/(1-Pvg*MEDIAN((-Sdif+Wh/Env_an)/Csdif,0,1))</f>
        <v>57.794094115226713</v>
      </c>
      <c r="G207" s="110">
        <f t="shared" si="76"/>
        <v>0.97458540336009025</v>
      </c>
      <c r="H207" s="412" t="b">
        <f>Wh_hp&gt;='2026'!Maxi_hp</f>
        <v>0</v>
      </c>
      <c r="I207" s="388">
        <f>IF(H207,Wh_hp,'2026'!Maxi_hp)</f>
        <v>57.794195686783667</v>
      </c>
      <c r="J207" s="85">
        <f>IF(H207,An,'2026'!An_max)</f>
        <v>2026</v>
      </c>
      <c r="K207" s="197">
        <f t="shared" ref="K207:K270" si="79">t</f>
        <v>46580</v>
      </c>
      <c r="L207" s="147">
        <f>IF(t&lt;Tvie,1-EXP((T0-t)*PertePVj)+'2026'!Pspv,1-EXP((T0-t)*PertePVj)+Pspv)</f>
        <v>5.7771238097716782E-2</v>
      </c>
      <c r="M207" s="832"/>
      <c r="N207" s="832"/>
      <c r="O207" s="48">
        <f>IF(t&lt;Tnet,'2026'!Resal+('2026'!Salim-'2026'!Resal)*(1-EXP(('2026'!Tnet-t)/('2026'!Tau_j))),Resal+(Salim-Resal)*(1-EXP((Tnet-t)/(Tau_j))))*Salcycl</f>
        <v>1.5072967704632938E-2</v>
      </c>
      <c r="P207" s="169">
        <f>(INDEX(Models!$BJ207:$BT207,,T207)*(1-R207)+INDEX(Models!$BJ207:$BT207,,T207+1)*R207-ERP_i)*Q207*Ramure*Pc/MaxiM</f>
        <v>6.7915130222035089E-5</v>
      </c>
      <c r="Q207" s="304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0.49427722841557276</v>
      </c>
      <c r="S207" s="799">
        <f t="shared" ref="S207:S270" si="82">INDEX(Echel_vg,T207)</f>
        <v>-1</v>
      </c>
      <c r="T207" s="176">
        <f t="shared" ref="T207:T270" si="83">MIN(MATCH(Hp_vg,Echel_vg),10)</f>
        <v>5</v>
      </c>
      <c r="U207" s="250">
        <f t="shared" ref="U207:U270" si="84">IF(OR(t&lt;Ttai,Notai),Hdd+PousH*Croivg,Hdtf+PousH*(Croivg-Croi_tai))</f>
        <v>-0.50572277158442724</v>
      </c>
      <c r="V207" s="382">
        <f t="shared" ref="V207:V270" si="85">MaxiM*(1-Ppv)*(1-Pvg)*(1-Psa)</f>
        <v>55.029361845778638</v>
      </c>
      <c r="W207" s="400">
        <f t="shared" ref="W207:W270" si="86">Wh*(A207&gt;Tmaj)</f>
        <v>53.630945048585524</v>
      </c>
      <c r="X207" s="157">
        <f t="shared" ref="X207:X270" si="87">t</f>
        <v>46580</v>
      </c>
      <c r="Y207" s="383">
        <f t="shared" ref="Y207:Y270" si="88">Wh_pvt_s*(1-Ppv)</f>
        <v>50.84188264591895</v>
      </c>
      <c r="Z207" s="383">
        <f t="shared" ref="Z207:Z270" si="89">Wh_sa_s*(1-Psa_s)</f>
        <v>53.959170746680797</v>
      </c>
      <c r="AA207" s="384">
        <f t="shared" ref="AA207:AA270" si="90">Wh_hp*(1-Pvg_s*MEDIAN((-Sdif+Wh/Env_an)/Csdif,0,1))</f>
        <v>57.696810086616111</v>
      </c>
      <c r="AB207" s="197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6.4780692976340676E-2</v>
      </c>
      <c r="AD207" s="230">
        <f>(INDEX(Models!$BJ207:$BT207,,AH207)*(1-AF207)+INDEX(Models!$BJ207:$BT207,,AH207+1)*AF207-ERP_i)*AE207*Ramure*Pc/MaxiM</f>
        <v>1.7466972608361829E-3</v>
      </c>
      <c r="AE207" s="304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0.24993505925492343</v>
      </c>
      <c r="AG207" s="799">
        <f t="shared" si="74"/>
        <v>2</v>
      </c>
      <c r="AH207" s="176">
        <f t="shared" ref="AH207:AH270" si="94">MIN(MATCH(Hp_vg_s,Echel_vg),10)</f>
        <v>8</v>
      </c>
      <c r="AI207" s="224">
        <f t="shared" ref="AI207:AI270" si="95">IF(OR(t&lt;Ttai,Notai),Hdd_s+PousH*Croivg,Hdtai_s+PousH*(Croivg-Croi_tai))</f>
        <v>2.2499350592549234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46581</v>
      </c>
      <c r="B208" s="409">
        <f>'2026'!Wh/'2026'!Env_an*'2027'!Env_an</f>
        <v>53.68969692329739</v>
      </c>
      <c r="C208" s="829"/>
      <c r="D208" s="391">
        <f t="shared" si="77"/>
        <v>56.982686227294856</v>
      </c>
      <c r="E208" s="383">
        <f t="shared" si="75"/>
        <v>57.860771508681502</v>
      </c>
      <c r="F208" s="383">
        <f t="shared" si="78"/>
        <v>57.864671494375912</v>
      </c>
      <c r="G208" s="110">
        <f t="shared" si="76"/>
        <v>0.97769595122935038</v>
      </c>
      <c r="H208" s="412" t="b">
        <f>Wh_hp&gt;='2026'!Maxi_hp</f>
        <v>0</v>
      </c>
      <c r="I208" s="388">
        <f>IF(H208,Wh_hp,'2026'!Maxi_hp)</f>
        <v>57.86476288067972</v>
      </c>
      <c r="J208" s="85">
        <f>IF(H208,An,'2026'!An_max)</f>
        <v>2026</v>
      </c>
      <c r="K208" s="197">
        <f t="shared" si="79"/>
        <v>46581</v>
      </c>
      <c r="L208" s="147">
        <f>IF(t&lt;Tvie,1-EXP((T0-t)*PertePVj)+'2026'!Pspv,1-EXP((T0-t)*PertePVj)+Pspv)</f>
        <v>5.7789295696981657E-2</v>
      </c>
      <c r="M208" s="832"/>
      <c r="N208" s="832"/>
      <c r="O208" s="48">
        <f>IF(t&lt;Tnet,'2026'!Resal+('2026'!Salim-'2026'!Resal)*(1-EXP(('2026'!Tnet-t)/('2026'!Tau_j))),Resal+(Salim-Resal)*(1-EXP((Tnet-t)/(Tau_j))))*Salcycl</f>
        <v>1.5175830852080893E-2</v>
      </c>
      <c r="P208" s="169">
        <f>(INDEX(Models!$BJ208:$BT208,,T208)*(1-R208)+INDEX(Models!$BJ208:$BT208,,T208+1)*R208-ERP_i)*Q208*Ramure*Pc/MaxiM</f>
        <v>6.9616355114220113E-5</v>
      </c>
      <c r="Q208" s="304">
        <f t="shared" si="80"/>
        <v>0.7</v>
      </c>
      <c r="R208" s="177">
        <f t="shared" si="81"/>
        <v>0.49699211578944902</v>
      </c>
      <c r="S208" s="799">
        <f t="shared" si="82"/>
        <v>-1</v>
      </c>
      <c r="T208" s="176">
        <f t="shared" si="83"/>
        <v>5</v>
      </c>
      <c r="U208" s="250">
        <f t="shared" si="84"/>
        <v>-0.50300788421055098</v>
      </c>
      <c r="V208" s="382">
        <f t="shared" si="85"/>
        <v>54.914391090486866</v>
      </c>
      <c r="W208" s="400">
        <f t="shared" si="86"/>
        <v>53.68969692329739</v>
      </c>
      <c r="X208" s="157">
        <f t="shared" si="87"/>
        <v>46581</v>
      </c>
      <c r="Y208" s="383">
        <f t="shared" si="88"/>
        <v>50.893092751367348</v>
      </c>
      <c r="Z208" s="383">
        <f t="shared" si="89"/>
        <v>54.014555893858692</v>
      </c>
      <c r="AA208" s="384">
        <f t="shared" si="90"/>
        <v>57.759090819766527</v>
      </c>
      <c r="AB208" s="197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6.4830226251178624E-2</v>
      </c>
      <c r="AD208" s="230">
        <f>(INDEX(Models!$BJ208:$BT208,,AH208)*(1-AF208)+INDEX(Models!$BJ208:$BT208,,AH208+1)*AF208-ERP_i)*AE208*Ramure*Pc/MaxiM</f>
        <v>1.88465864050216E-3</v>
      </c>
      <c r="AE208" s="304">
        <f t="shared" si="92"/>
        <v>0.7</v>
      </c>
      <c r="AF208" s="177">
        <f t="shared" si="93"/>
        <v>0.25264994662879969</v>
      </c>
      <c r="AG208" s="799">
        <f t="shared" ref="AG208:AG271" si="99">INDEX(Echel_vg,AH208)</f>
        <v>2</v>
      </c>
      <c r="AH208" s="176">
        <f t="shared" si="94"/>
        <v>8</v>
      </c>
      <c r="AI208" s="224">
        <f t="shared" si="95"/>
        <v>2.2526499466287997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46582</v>
      </c>
      <c r="B209" s="409">
        <f>'2026'!Wh/'2026'!Env_an*'2027'!Env_an</f>
        <v>53.436813898969852</v>
      </c>
      <c r="C209" s="829"/>
      <c r="D209" s="391">
        <f t="shared" si="77"/>
        <v>56.715379881482043</v>
      </c>
      <c r="E209" s="383">
        <f t="shared" si="75"/>
        <v>57.595347274829003</v>
      </c>
      <c r="F209" s="383">
        <f t="shared" si="78"/>
        <v>57.599338199905503</v>
      </c>
      <c r="G209" s="110">
        <f t="shared" si="76"/>
        <v>0.97515825737918094</v>
      </c>
      <c r="H209" s="412" t="b">
        <f>Wh_hp&gt;='2026'!Maxi_hp</f>
        <v>0</v>
      </c>
      <c r="I209" s="388">
        <f>IF(H209,Wh_hp,'2026'!Maxi_hp)</f>
        <v>58.629820417743659</v>
      </c>
      <c r="J209" s="85">
        <f>IF(H209,An,'2026'!An_max)</f>
        <v>2018</v>
      </c>
      <c r="K209" s="197">
        <f t="shared" si="79"/>
        <v>46582</v>
      </c>
      <c r="L209" s="147">
        <f>IF(t&lt;Tvie,1-EXP((T0-t)*PertePVj)+'2026'!Pspv,1-EXP((T0-t)*PertePVj)+Pspv)</f>
        <v>5.7807352950176805E-2</v>
      </c>
      <c r="M209" s="832"/>
      <c r="N209" s="832"/>
      <c r="O209" s="48">
        <f>IF(t&lt;Tnet,'2026'!Resal+('2026'!Salim-'2026'!Resal)*(1-EXP(('2026'!Tnet-t)/('2026'!Tau_j))),Resal+(Salim-Resal)*(1-EXP((Tnet-t)/(Tau_j))))*Salcycl</f>
        <v>1.5278445829104849E-2</v>
      </c>
      <c r="P209" s="169">
        <f>(INDEX(Models!$BJ209:$BT209,,T209)*(1-R209)+INDEX(Models!$BJ209:$BT209,,T209+1)*R209-ERP_i)*Q209*Ramure*Pc/MaxiM</f>
        <v>7.1836793418353527E-5</v>
      </c>
      <c r="Q209" s="304">
        <f t="shared" si="80"/>
        <v>0.7</v>
      </c>
      <c r="R209" s="177">
        <f t="shared" si="81"/>
        <v>0.4996419444279554</v>
      </c>
      <c r="S209" s="799">
        <f t="shared" si="82"/>
        <v>-1</v>
      </c>
      <c r="T209" s="176">
        <f t="shared" si="83"/>
        <v>5</v>
      </c>
      <c r="U209" s="250">
        <f t="shared" si="84"/>
        <v>-0.5003580555720446</v>
      </c>
      <c r="V209" s="382">
        <f t="shared" si="85"/>
        <v>54.79795435170665</v>
      </c>
      <c r="W209" s="400">
        <f t="shared" si="86"/>
        <v>53.436813898969852</v>
      </c>
      <c r="X209" s="157">
        <f t="shared" si="87"/>
        <v>46582</v>
      </c>
      <c r="Y209" s="383">
        <f t="shared" si="88"/>
        <v>50.648931295659104</v>
      </c>
      <c r="Z209" s="383">
        <f t="shared" si="89"/>
        <v>53.756449335759662</v>
      </c>
      <c r="AA209" s="384">
        <f t="shared" si="90"/>
        <v>57.486094381226351</v>
      </c>
      <c r="AB209" s="197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6.4879082247840197E-2</v>
      </c>
      <c r="AD209" s="230">
        <f>(INDEX(Models!$BJ209:$BT209,,AH209)*(1-AF209)+INDEX(Models!$BJ209:$BT209,,AH209+1)*AF209-ERP_i)*AE209*Ramure*Pc/MaxiM</f>
        <v>2.0383927666920328E-3</v>
      </c>
      <c r="AE209" s="304">
        <f t="shared" si="92"/>
        <v>0.7</v>
      </c>
      <c r="AF209" s="177">
        <f t="shared" si="93"/>
        <v>0.25529977526730629</v>
      </c>
      <c r="AG209" s="799">
        <f t="shared" si="99"/>
        <v>2</v>
      </c>
      <c r="AH209" s="176">
        <f t="shared" si="94"/>
        <v>8</v>
      </c>
      <c r="AI209" s="224">
        <f t="shared" si="95"/>
        <v>2.2552997752673063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46583</v>
      </c>
      <c r="B210" s="409">
        <f>'2026'!Wh/'2026'!Env_an*'2027'!Env_an</f>
        <v>50.906609119631064</v>
      </c>
      <c r="C210" s="829"/>
      <c r="D210" s="391">
        <f t="shared" si="77"/>
        <v>54.030972234054119</v>
      </c>
      <c r="E210" s="383">
        <f t="shared" si="75"/>
        <v>54.87499451650573</v>
      </c>
      <c r="F210" s="383">
        <f t="shared" si="78"/>
        <v>54.87868421094791</v>
      </c>
      <c r="G210" s="110">
        <f t="shared" si="76"/>
        <v>0.93098195010459617</v>
      </c>
      <c r="H210" s="412" t="b">
        <f>Wh_hp&gt;='2026'!Maxi_hp</f>
        <v>0</v>
      </c>
      <c r="I210" s="388">
        <f>IF(H210,Wh_hp,'2026'!Maxi_hp)</f>
        <v>60.732811241786656</v>
      </c>
      <c r="J210" s="85">
        <f>IF(H210,An,'2026'!An_max)</f>
        <v>2018</v>
      </c>
      <c r="K210" s="197">
        <f t="shared" si="79"/>
        <v>46583</v>
      </c>
      <c r="L210" s="147">
        <f>IF(t&lt;Tvie,1-EXP((T0-t)*PertePVj)+'2026'!Pspv,1-EXP((T0-t)*PertePVj)+Pspv)</f>
        <v>5.7825409857308885E-2</v>
      </c>
      <c r="M210" s="832"/>
      <c r="N210" s="832"/>
      <c r="O210" s="48">
        <f>IF(t&lt;Tnet,'2026'!Resal+('2026'!Salim-'2026'!Resal)*(1-EXP(('2026'!Tnet-t)/('2026'!Tau_j))),Resal+(Salim-Resal)*(1-EXP((Tnet-t)/(Tau_j))))*Salcycl</f>
        <v>1.5380817618081702E-2</v>
      </c>
      <c r="P210" s="169">
        <f>(INDEX(Models!$BJ210:$BT210,,T210)*(1-R210)+INDEX(Models!$BJ210:$BT210,,T210+1)*R210-ERP_i)*Q210*Ramure*Pc/MaxiM</f>
        <v>7.4586993871845155E-5</v>
      </c>
      <c r="Q210" s="304">
        <f t="shared" si="80"/>
        <v>0.7</v>
      </c>
      <c r="R210" s="177">
        <f t="shared" si="81"/>
        <v>0.50222686795207727</v>
      </c>
      <c r="S210" s="799">
        <f t="shared" si="82"/>
        <v>-1</v>
      </c>
      <c r="T210" s="176">
        <f t="shared" si="83"/>
        <v>5</v>
      </c>
      <c r="U210" s="250">
        <f t="shared" si="84"/>
        <v>-0.49777313204792273</v>
      </c>
      <c r="V210" s="382">
        <f t="shared" si="85"/>
        <v>54.68015223616456</v>
      </c>
      <c r="W210" s="400">
        <f t="shared" si="86"/>
        <v>50.906609119631064</v>
      </c>
      <c r="X210" s="157">
        <f t="shared" si="87"/>
        <v>46583</v>
      </c>
      <c r="Y210" s="383">
        <f t="shared" si="88"/>
        <v>48.251991323157839</v>
      </c>
      <c r="Z210" s="383">
        <f t="shared" si="89"/>
        <v>51.213428835785244</v>
      </c>
      <c r="AA210" s="384">
        <f t="shared" si="90"/>
        <v>54.769461717979922</v>
      </c>
      <c r="AB210" s="197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6.4927292886416896E-2</v>
      </c>
      <c r="AD210" s="230">
        <f>(INDEX(Models!$BJ210:$BT210,,AH210)*(1-AF210)+INDEX(Models!$BJ210:$BT210,,AH210+1)*AF210-ERP_i)*AE210*Ramure*Pc/MaxiM</f>
        <v>2.2079273883869881E-3</v>
      </c>
      <c r="AE210" s="304">
        <f t="shared" si="92"/>
        <v>0.7</v>
      </c>
      <c r="AF210" s="177">
        <f t="shared" si="93"/>
        <v>0.25788469879142806</v>
      </c>
      <c r="AG210" s="799">
        <f t="shared" si="99"/>
        <v>2</v>
      </c>
      <c r="AH210" s="176">
        <f t="shared" si="94"/>
        <v>8</v>
      </c>
      <c r="AI210" s="224">
        <f t="shared" si="95"/>
        <v>2.2578846987914281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46584</v>
      </c>
      <c r="B211" s="409">
        <f>'2026'!Wh/'2026'!Env_an*'2027'!Env_an</f>
        <v>52.101136669596976</v>
      </c>
      <c r="C211" s="829"/>
      <c r="D211" s="391">
        <f t="shared" si="77"/>
        <v>55.299873017421092</v>
      </c>
      <c r="E211" s="383">
        <f t="shared" si="75"/>
        <v>56.169543323178694</v>
      </c>
      <c r="F211" s="383">
        <f t="shared" si="78"/>
        <v>56.1736362037079</v>
      </c>
      <c r="G211" s="110">
        <f t="shared" si="76"/>
        <v>0.95490907134679248</v>
      </c>
      <c r="H211" s="412" t="b">
        <f>Wh_hp&gt;='2026'!Maxi_hp</f>
        <v>0</v>
      </c>
      <c r="I211" s="388">
        <f>IF(H211,Wh_hp,'2026'!Maxi_hp)</f>
        <v>60.019024315602991</v>
      </c>
      <c r="J211" s="85">
        <f>IF(H211,An,'2026'!An_max)</f>
        <v>2018</v>
      </c>
      <c r="K211" s="197">
        <f t="shared" si="79"/>
        <v>46584</v>
      </c>
      <c r="L211" s="147">
        <f>IF(t&lt;Tvie,1-EXP((T0-t)*PertePVj)+'2026'!Pspv,1-EXP((T0-t)*PertePVj)+Pspv)</f>
        <v>5.7843466418384337E-2</v>
      </c>
      <c r="M211" s="832"/>
      <c r="N211" s="832"/>
      <c r="O211" s="48">
        <f>IF(t&lt;Tnet,'2026'!Resal+('2026'!Salim-'2026'!Resal)*(1-EXP(('2026'!Tnet-t)/('2026'!Tau_j))),Resal+(Salim-Resal)*(1-EXP((Tnet-t)/(Tau_j))))*Salcycl</f>
        <v>1.5482951334566586E-2</v>
      </c>
      <c r="P211" s="169">
        <f>(INDEX(Models!$BJ211:$BT211,,T211)*(1-R211)+INDEX(Models!$BJ211:$BT211,,T211+1)*R211-ERP_i)*Q211*Ramure*Pc/MaxiM</f>
        <v>7.7877210665350317E-5</v>
      </c>
      <c r="Q211" s="304">
        <f t="shared" si="80"/>
        <v>0.7</v>
      </c>
      <c r="R211" s="177">
        <f t="shared" si="81"/>
        <v>0.50474713944115046</v>
      </c>
      <c r="S211" s="799">
        <f t="shared" si="82"/>
        <v>-1</v>
      </c>
      <c r="T211" s="176">
        <f t="shared" si="83"/>
        <v>5</v>
      </c>
      <c r="U211" s="250">
        <f t="shared" si="84"/>
        <v>-0.49525286055884959</v>
      </c>
      <c r="V211" s="382">
        <f t="shared" si="85"/>
        <v>54.561085317848622</v>
      </c>
      <c r="W211" s="400">
        <f t="shared" si="86"/>
        <v>52.101136669596976</v>
      </c>
      <c r="X211" s="157">
        <f t="shared" si="87"/>
        <v>46584</v>
      </c>
      <c r="Y211" s="383">
        <f t="shared" si="88"/>
        <v>49.374798587487632</v>
      </c>
      <c r="Z211" s="383">
        <f t="shared" si="89"/>
        <v>52.406152085778075</v>
      </c>
      <c r="AA211" s="384">
        <f t="shared" si="90"/>
        <v>56.047855310464904</v>
      </c>
      <c r="AB211" s="197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6.4974889842160904E-2</v>
      </c>
      <c r="AD211" s="230">
        <f>(INDEX(Models!$BJ211:$BT211,,AH211)*(1-AF211)+INDEX(Models!$BJ211:$BT211,,AH211+1)*AF211-ERP_i)*AE211*Ramure*Pc/MaxiM</f>
        <v>2.3932936842050536E-3</v>
      </c>
      <c r="AE211" s="304">
        <f t="shared" si="92"/>
        <v>0.7</v>
      </c>
      <c r="AF211" s="177">
        <f t="shared" si="93"/>
        <v>0.26040497028050114</v>
      </c>
      <c r="AG211" s="799">
        <f t="shared" si="99"/>
        <v>2</v>
      </c>
      <c r="AH211" s="176">
        <f t="shared" si="94"/>
        <v>8</v>
      </c>
      <c r="AI211" s="224">
        <f t="shared" si="95"/>
        <v>2.2604049702805011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46585</v>
      </c>
      <c r="B212" s="409">
        <f>'2026'!Wh/'2026'!Env_an*'2027'!Env_an</f>
        <v>52.677153927545696</v>
      </c>
      <c r="C212" s="829"/>
      <c r="D212" s="391">
        <f t="shared" si="77"/>
        <v>55.912326258859288</v>
      </c>
      <c r="E212" s="383">
        <f t="shared" si="75"/>
        <v>56.797507010021199</v>
      </c>
      <c r="F212" s="383">
        <f t="shared" si="78"/>
        <v>56.802009674138013</v>
      </c>
      <c r="G212" s="110">
        <f t="shared" si="76"/>
        <v>0.96760100109269775</v>
      </c>
      <c r="H212" s="412" t="b">
        <f>Wh_hp&gt;='2026'!Maxi_hp</f>
        <v>0</v>
      </c>
      <c r="I212" s="388">
        <f>IF(H212,Wh_hp,'2026'!Maxi_hp)</f>
        <v>58.588907311846619</v>
      </c>
      <c r="J212" s="85">
        <f>IF(H212,An,'2026'!An_max)</f>
        <v>2021</v>
      </c>
      <c r="K212" s="197">
        <f t="shared" si="79"/>
        <v>46585</v>
      </c>
      <c r="L212" s="147">
        <f>IF(t&lt;Tvie,1-EXP((T0-t)*PertePVj)+'2026'!Pspv,1-EXP((T0-t)*PertePVj)+Pspv)</f>
        <v>5.7861522633410045E-2</v>
      </c>
      <c r="M212" s="832"/>
      <c r="N212" s="832"/>
      <c r="O212" s="48">
        <f>IF(t&lt;Tnet,'2026'!Resal+('2026'!Salim-'2026'!Resal)*(1-EXP(('2026'!Tnet-t)/('2026'!Tau_j))),Resal+(Salim-Resal)*(1-EXP((Tnet-t)/(Tau_j))))*Salcycl</f>
        <v>1.5584852183842014E-2</v>
      </c>
      <c r="P212" s="169">
        <f>(INDEX(Models!$BJ212:$BT212,,T212)*(1-R212)+INDEX(Models!$BJ212:$BT212,,T212+1)*R212-ERP_i)*Q212*Ramure*Pc/MaxiM</f>
        <v>8.3115972210055713E-5</v>
      </c>
      <c r="Q212" s="304">
        <f t="shared" si="80"/>
        <v>0.7</v>
      </c>
      <c r="R212" s="177">
        <f t="shared" si="81"/>
        <v>0.50720310589441153</v>
      </c>
      <c r="S212" s="799">
        <f t="shared" si="82"/>
        <v>-1</v>
      </c>
      <c r="T212" s="176">
        <f t="shared" si="83"/>
        <v>5</v>
      </c>
      <c r="U212" s="250">
        <f t="shared" si="84"/>
        <v>-0.49279689410558852</v>
      </c>
      <c r="V212" s="382">
        <f t="shared" si="85"/>
        <v>54.440777994441959</v>
      </c>
      <c r="W212" s="400">
        <f t="shared" si="86"/>
        <v>52.677153927545696</v>
      </c>
      <c r="X212" s="157">
        <f t="shared" si="87"/>
        <v>46585</v>
      </c>
      <c r="Y212" s="383">
        <f t="shared" si="88"/>
        <v>49.911910545438317</v>
      </c>
      <c r="Z212" s="383">
        <f t="shared" si="89"/>
        <v>52.977255196018696</v>
      </c>
      <c r="AA212" s="384">
        <f t="shared" si="90"/>
        <v>56.661493401808073</v>
      </c>
      <c r="AB212" s="197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6.5021904376276252E-2</v>
      </c>
      <c r="AD212" s="230">
        <f>(INDEX(Models!$BJ212:$BT212,,AH212)*(1-AF212)+INDEX(Models!$BJ212:$BT212,,AH212+1)*AF212-ERP_i)*AE212*Ramure*Pc/MaxiM</f>
        <v>2.5938302931430212E-3</v>
      </c>
      <c r="AE212" s="304">
        <f t="shared" si="92"/>
        <v>0.7</v>
      </c>
      <c r="AF212" s="177">
        <f t="shared" si="93"/>
        <v>0.26286093673376243</v>
      </c>
      <c r="AG212" s="799">
        <f t="shared" si="99"/>
        <v>2</v>
      </c>
      <c r="AH212" s="176">
        <f t="shared" si="94"/>
        <v>8</v>
      </c>
      <c r="AI212" s="224">
        <f t="shared" si="95"/>
        <v>2.2628609367337624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46586</v>
      </c>
      <c r="B213" s="409">
        <f>'2026'!Wh/'2026'!Env_an*'2027'!Env_an</f>
        <v>54.797487208522689</v>
      </c>
      <c r="C213" s="829"/>
      <c r="D213" s="391">
        <f t="shared" si="77"/>
        <v>58.163994706128811</v>
      </c>
      <c r="E213" s="383">
        <f t="shared" si="75"/>
        <v>59.090926019109958</v>
      </c>
      <c r="F213" s="383">
        <f t="shared" si="78"/>
        <v>59.096265528391378</v>
      </c>
      <c r="G213" s="110">
        <f t="shared" si="76"/>
        <v>1.0088027243466919</v>
      </c>
      <c r="H213" s="412" t="b">
        <f>Wh_hp&gt;='2026'!Maxi_hp</f>
        <v>1</v>
      </c>
      <c r="I213" s="388">
        <f>IF(H213,Wh_hp,'2026'!Maxi_hp)</f>
        <v>59.096265528391378</v>
      </c>
      <c r="J213" s="85">
        <f>IF(H213,An,'2026'!An_max)</f>
        <v>2027</v>
      </c>
      <c r="K213" s="197">
        <f t="shared" si="79"/>
        <v>46586</v>
      </c>
      <c r="L213" s="147">
        <f>IF(t&lt;Tvie,1-EXP((T0-t)*PertePVj)+'2026'!Pspv,1-EXP((T0-t)*PertePVj)+Pspv)</f>
        <v>5.7879578502392448E-2</v>
      </c>
      <c r="M213" s="832"/>
      <c r="N213" s="832"/>
      <c r="O213" s="48">
        <f>IF(t&lt;Tnet,'2026'!Resal+('2026'!Salim-'2026'!Resal)*(1-EXP(('2026'!Tnet-t)/('2026'!Tau_j))),Resal+(Salim-Resal)*(1-EXP((Tnet-t)/(Tau_j))))*Salcycl</f>
        <v>1.5686525418156107E-2</v>
      </c>
      <c r="P213" s="169">
        <f>(INDEX(Models!$BJ213:$BT213,,T213)*(1-R213)+INDEX(Models!$BJ213:$BT213,,T213+1)*R213-ERP_i)*Q213*Ramure*Pc/MaxiM</f>
        <v>9.0352736060065862E-5</v>
      </c>
      <c r="Q213" s="304">
        <f t="shared" si="80"/>
        <v>0.7</v>
      </c>
      <c r="R213" s="177">
        <f t="shared" si="81"/>
        <v>0.50959520262744384</v>
      </c>
      <c r="S213" s="799">
        <f t="shared" si="82"/>
        <v>-1</v>
      </c>
      <c r="T213" s="176">
        <f t="shared" si="83"/>
        <v>5</v>
      </c>
      <c r="U213" s="250">
        <f t="shared" si="84"/>
        <v>-0.49040479737255616</v>
      </c>
      <c r="V213" s="382">
        <f t="shared" si="85"/>
        <v>54.319329127515942</v>
      </c>
      <c r="W213" s="400">
        <f t="shared" si="86"/>
        <v>54.797487208522689</v>
      </c>
      <c r="X213" s="157">
        <f t="shared" si="87"/>
        <v>46586</v>
      </c>
      <c r="Y213" s="383">
        <f t="shared" si="88"/>
        <v>51.90715493855236</v>
      </c>
      <c r="Z213" s="383">
        <f t="shared" si="89"/>
        <v>55.09609361406266</v>
      </c>
      <c r="AA213" s="384">
        <f t="shared" si="90"/>
        <v>58.930612335368046</v>
      </c>
      <c r="AB213" s="197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6.5068367175340633E-2</v>
      </c>
      <c r="AD213" s="230">
        <f>(INDEX(Models!$BJ213:$BT213,,AH213)*(1-AF213)+INDEX(Models!$BJ213:$BT213,,AH213+1)*AF213-ERP_i)*AE213*Ramure*Pc/MaxiM</f>
        <v>2.8031076336583441E-3</v>
      </c>
      <c r="AE213" s="304">
        <f t="shared" si="92"/>
        <v>0.7</v>
      </c>
      <c r="AF213" s="177">
        <f t="shared" si="93"/>
        <v>0.26525303346679463</v>
      </c>
      <c r="AG213" s="799">
        <f t="shared" si="99"/>
        <v>2</v>
      </c>
      <c r="AH213" s="176">
        <f t="shared" si="94"/>
        <v>8</v>
      </c>
      <c r="AI213" s="224">
        <f t="shared" si="95"/>
        <v>2.2652530334667946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46587</v>
      </c>
      <c r="B214" s="409">
        <f>'2026'!Wh/'2026'!Env_an*'2027'!Env_an</f>
        <v>33.038001086765092</v>
      </c>
      <c r="C214" s="829"/>
      <c r="D214" s="391">
        <f t="shared" si="77"/>
        <v>35.068377153033985</v>
      </c>
      <c r="E214" s="383">
        <f t="shared" si="75"/>
        <v>35.630917229623783</v>
      </c>
      <c r="F214" s="383">
        <f t="shared" si="78"/>
        <v>35.63248719077481</v>
      </c>
      <c r="G214" s="110">
        <f t="shared" si="76"/>
        <v>0.60955890295197968</v>
      </c>
      <c r="H214" s="412" t="b">
        <f>Wh_hp&gt;='2026'!Maxi_hp</f>
        <v>0</v>
      </c>
      <c r="I214" s="388">
        <f>IF(H214,Wh_hp,'2026'!Maxi_hp)</f>
        <v>58.821936669758294</v>
      </c>
      <c r="J214" s="85">
        <f>IF(H214,An,'2026'!An_max)</f>
        <v>2020</v>
      </c>
      <c r="K214" s="197">
        <f t="shared" si="79"/>
        <v>46587</v>
      </c>
      <c r="L214" s="147">
        <f>IF(t&lt;Tvie,1-EXP((T0-t)*PertePVj)+'2026'!Pspv,1-EXP((T0-t)*PertePVj)+Pspv)</f>
        <v>5.7897634025338207E-2</v>
      </c>
      <c r="M214" s="832"/>
      <c r="N214" s="832"/>
      <c r="O214" s="48">
        <f>IF(t&lt;Tnet,'2026'!Resal+('2026'!Salim-'2026'!Resal)*(1-EXP(('2026'!Tnet-t)/('2026'!Tau_j))),Resal+(Salim-Resal)*(1-EXP((Tnet-t)/(Tau_j))))*Salcycl</f>
        <v>1.5787976294982957E-2</v>
      </c>
      <c r="P214" s="169">
        <f>(INDEX(Models!$BJ214:$BT214,,T214)*(1-R214)+INDEX(Models!$BJ214:$BT214,,T214+1)*R214-ERP_i)*Q214*Ramure*Pc/MaxiM</f>
        <v>9.9620792571831663E-5</v>
      </c>
      <c r="Q214" s="304">
        <f t="shared" si="80"/>
        <v>0.7</v>
      </c>
      <c r="R214" s="177">
        <f t="shared" si="81"/>
        <v>0.51192394763989479</v>
      </c>
      <c r="S214" s="799">
        <f t="shared" si="82"/>
        <v>-1</v>
      </c>
      <c r="T214" s="176">
        <f t="shared" si="83"/>
        <v>5</v>
      </c>
      <c r="U214" s="250">
        <f t="shared" si="84"/>
        <v>-0.48807605236010521</v>
      </c>
      <c r="V214" s="382">
        <f t="shared" si="85"/>
        <v>54.196838439386752</v>
      </c>
      <c r="W214" s="400">
        <f t="shared" si="86"/>
        <v>33.038001086765092</v>
      </c>
      <c r="X214" s="157">
        <f t="shared" si="87"/>
        <v>46587</v>
      </c>
      <c r="Y214" s="383">
        <f t="shared" si="88"/>
        <v>31.341664984294393</v>
      </c>
      <c r="Z214" s="383">
        <f t="shared" si="89"/>
        <v>33.267791395332658</v>
      </c>
      <c r="AA214" s="384">
        <f t="shared" si="90"/>
        <v>35.584875976967687</v>
      </c>
      <c r="AB214" s="197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6.511430820033666E-2</v>
      </c>
      <c r="AD214" s="230">
        <f>(INDEX(Models!$BJ214:$BT214,,AH214)*(1-AF214)+INDEX(Models!$BJ214:$BT214,,AH214+1)*AF214-ERP_i)*AE214*Ramure*Pc/MaxiM</f>
        <v>3.0211364476655724E-3</v>
      </c>
      <c r="AE214" s="304">
        <f t="shared" si="92"/>
        <v>0.7</v>
      </c>
      <c r="AF214" s="177">
        <f t="shared" si="93"/>
        <v>0.26758177847924536</v>
      </c>
      <c r="AG214" s="799">
        <f t="shared" si="99"/>
        <v>2</v>
      </c>
      <c r="AH214" s="176">
        <f t="shared" si="94"/>
        <v>8</v>
      </c>
      <c r="AI214" s="224">
        <f t="shared" si="95"/>
        <v>2.2675817784792454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46588</v>
      </c>
      <c r="B215" s="409">
        <f>'2026'!Wh/'2026'!Env_an*'2027'!Env_an</f>
        <v>40.138569742270334</v>
      </c>
      <c r="C215" s="829"/>
      <c r="D215" s="391">
        <f t="shared" si="77"/>
        <v>42.606133317602399</v>
      </c>
      <c r="E215" s="383">
        <f t="shared" si="75"/>
        <v>43.294041435302169</v>
      </c>
      <c r="F215" s="383">
        <f t="shared" si="78"/>
        <v>43.297076811922814</v>
      </c>
      <c r="G215" s="110">
        <f t="shared" si="76"/>
        <v>0.74226747130004378</v>
      </c>
      <c r="H215" s="412" t="b">
        <f>Wh_hp&gt;='2026'!Maxi_hp</f>
        <v>0</v>
      </c>
      <c r="I215" s="388">
        <f>IF(H215,Wh_hp,'2026'!Maxi_hp)</f>
        <v>57.966887791855576</v>
      </c>
      <c r="J215" s="85">
        <f>IF(H215,An,'2026'!An_max)</f>
        <v>2020</v>
      </c>
      <c r="K215" s="197">
        <f t="shared" si="79"/>
        <v>46588</v>
      </c>
      <c r="L215" s="147">
        <f>IF(t&lt;Tvie,1-EXP((T0-t)*PertePVj)+'2026'!Pspv,1-EXP((T0-t)*PertePVj)+Pspv)</f>
        <v>5.7915689202254095E-2</v>
      </c>
      <c r="M215" s="832"/>
      <c r="N215" s="832"/>
      <c r="O215" s="48">
        <f>IF(t&lt;Tnet,'2026'!Resal+('2026'!Salim-'2026'!Resal)*(1-EXP(('2026'!Tnet-t)/('2026'!Tau_j))),Resal+(Salim-Resal)*(1-EXP((Tnet-t)/(Tau_j))))*Salcycl</f>
        <v>1.5889210036622768E-2</v>
      </c>
      <c r="P215" s="169">
        <f>(INDEX(Models!$BJ215:$BT215,,T215)*(1-R215)+INDEX(Models!$BJ215:$BT215,,T215+1)*R215-ERP_i)*Q215*Ramure*Pc/MaxiM</f>
        <v>1.1095254681066023E-4</v>
      </c>
      <c r="Q215" s="304">
        <f t="shared" si="80"/>
        <v>0.7</v>
      </c>
      <c r="R215" s="177">
        <f t="shared" si="81"/>
        <v>0.51418993598824292</v>
      </c>
      <c r="S215" s="799">
        <f t="shared" si="82"/>
        <v>-1</v>
      </c>
      <c r="T215" s="176">
        <f t="shared" si="83"/>
        <v>5</v>
      </c>
      <c r="U215" s="250">
        <f t="shared" si="84"/>
        <v>-0.48581006401175708</v>
      </c>
      <c r="V215" s="382">
        <f t="shared" si="85"/>
        <v>54.073405678698649</v>
      </c>
      <c r="W215" s="400">
        <f t="shared" si="86"/>
        <v>40.138569742270334</v>
      </c>
      <c r="X215" s="157">
        <f t="shared" si="87"/>
        <v>46588</v>
      </c>
      <c r="Y215" s="383">
        <f t="shared" si="88"/>
        <v>38.0534086142303</v>
      </c>
      <c r="Z215" s="383">
        <f t="shared" si="89"/>
        <v>40.392784571486089</v>
      </c>
      <c r="AA215" s="384">
        <f t="shared" si="90"/>
        <v>43.208221783705056</v>
      </c>
      <c r="AB215" s="197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6.5159756546166001E-2</v>
      </c>
      <c r="AD215" s="230">
        <f>(INDEX(Models!$BJ215:$BT215,,AH215)*(1-AF215)+INDEX(Models!$BJ215:$BT215,,AH215+1)*AF215-ERP_i)*AE215*Ramure*Pc/MaxiM</f>
        <v>3.2479302932755146E-3</v>
      </c>
      <c r="AE215" s="304">
        <f t="shared" si="92"/>
        <v>0.7</v>
      </c>
      <c r="AF215" s="177">
        <f t="shared" si="93"/>
        <v>0.26984776682759382</v>
      </c>
      <c r="AG215" s="799">
        <f t="shared" si="99"/>
        <v>2</v>
      </c>
      <c r="AH215" s="176">
        <f t="shared" si="94"/>
        <v>8</v>
      </c>
      <c r="AI215" s="224">
        <f t="shared" si="95"/>
        <v>2.2698477668275938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46589</v>
      </c>
      <c r="B216" s="409">
        <f>'2026'!Wh/'2026'!Env_an*'2027'!Env_an</f>
        <v>52.381298542371731</v>
      </c>
      <c r="C216" s="829"/>
      <c r="D216" s="391">
        <f t="shared" si="77"/>
        <v>55.602563206780189</v>
      </c>
      <c r="E216" s="383">
        <f t="shared" si="75"/>
        <v>56.506108987116583</v>
      </c>
      <c r="F216" s="383">
        <f t="shared" si="78"/>
        <v>56.512846210524351</v>
      </c>
      <c r="G216" s="110">
        <f t="shared" si="76"/>
        <v>0.97093368188456475</v>
      </c>
      <c r="H216" s="412" t="b">
        <f>Wh_hp&gt;='2026'!Maxi_hp</f>
        <v>0</v>
      </c>
      <c r="I216" s="388">
        <f>IF(H216,Wh_hp,'2026'!Maxi_hp)</f>
        <v>56.513050958729934</v>
      </c>
      <c r="J216" s="85">
        <f>IF(H216,An,'2026'!An_max)</f>
        <v>2026</v>
      </c>
      <c r="K216" s="197">
        <f t="shared" si="79"/>
        <v>46589</v>
      </c>
      <c r="L216" s="147">
        <f>IF(t&lt;Tvie,1-EXP((T0-t)*PertePVj)+'2026'!Pspv,1-EXP((T0-t)*PertePVj)+Pspv)</f>
        <v>5.793374403314655E-2</v>
      </c>
      <c r="M216" s="832"/>
      <c r="N216" s="832"/>
      <c r="O216" s="48">
        <f>IF(t&lt;Tnet,'2026'!Resal+('2026'!Salim-'2026'!Resal)*(1-EXP(('2026'!Tnet-t)/('2026'!Tau_j))),Resal+(Salim-Resal)*(1-EXP((Tnet-t)/(Tau_j))))*Salcycl</f>
        <v>1.5990231791440494E-2</v>
      </c>
      <c r="P216" s="169">
        <f>(INDEX(Models!$BJ216:$BT216,,T216)*(1-R216)+INDEX(Models!$BJ216:$BT216,,T216+1)*R216-ERP_i)*Q216*Ramure*Pc/MaxiM</f>
        <v>1.2437954617684887E-4</v>
      </c>
      <c r="Q216" s="304">
        <f t="shared" si="80"/>
        <v>0.7</v>
      </c>
      <c r="R216" s="177">
        <f t="shared" si="81"/>
        <v>0.51639383419469087</v>
      </c>
      <c r="S216" s="799">
        <f t="shared" si="82"/>
        <v>-1</v>
      </c>
      <c r="T216" s="176">
        <f t="shared" si="83"/>
        <v>5</v>
      </c>
      <c r="U216" s="250">
        <f t="shared" si="84"/>
        <v>-0.48360616580530913</v>
      </c>
      <c r="V216" s="382">
        <f t="shared" si="85"/>
        <v>53.949130618286389</v>
      </c>
      <c r="W216" s="400">
        <f t="shared" si="86"/>
        <v>52.381298542371731</v>
      </c>
      <c r="X216" s="157">
        <f t="shared" si="87"/>
        <v>46589</v>
      </c>
      <c r="Y216" s="383">
        <f t="shared" si="88"/>
        <v>49.601252719658504</v>
      </c>
      <c r="Z216" s="383">
        <f t="shared" si="89"/>
        <v>52.651554394921156</v>
      </c>
      <c r="AA216" s="384">
        <f t="shared" si="90"/>
        <v>56.324156385342896</v>
      </c>
      <c r="AB216" s="197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6.5204740312408013E-2</v>
      </c>
      <c r="AD216" s="230">
        <f>(INDEX(Models!$BJ216:$BT216,,AH216)*(1-AF216)+INDEX(Models!$BJ216:$BT216,,AH216+1)*AF216-ERP_i)*AE216*Ramure*Pc/MaxiM</f>
        <v>3.4835055042399996E-3</v>
      </c>
      <c r="AE216" s="304">
        <f t="shared" si="92"/>
        <v>0.7</v>
      </c>
      <c r="AF216" s="177">
        <f t="shared" si="93"/>
        <v>0.27205166503404143</v>
      </c>
      <c r="AG216" s="799">
        <f t="shared" si="99"/>
        <v>2</v>
      </c>
      <c r="AH216" s="176">
        <f t="shared" si="94"/>
        <v>8</v>
      </c>
      <c r="AI216" s="224">
        <f t="shared" si="95"/>
        <v>2.2720516650340414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46590</v>
      </c>
      <c r="B217" s="409">
        <f>'2026'!Wh/'2026'!Env_an*'2027'!Env_an</f>
        <v>44.005250649346671</v>
      </c>
      <c r="C217" s="829"/>
      <c r="D217" s="391">
        <f t="shared" si="77"/>
        <v>46.712313212975793</v>
      </c>
      <c r="E217" s="383">
        <f t="shared" si="75"/>
        <v>47.476255858242816</v>
      </c>
      <c r="F217" s="383">
        <f t="shared" si="78"/>
        <v>47.48116850221129</v>
      </c>
      <c r="G217" s="110">
        <f t="shared" si="76"/>
        <v>0.81754520844436585</v>
      </c>
      <c r="H217" s="412" t="b">
        <f>Wh_hp&gt;='2026'!Maxi_hp</f>
        <v>0</v>
      </c>
      <c r="I217" s="388">
        <f>IF(H217,Wh_hp,'2026'!Maxi_hp)</f>
        <v>54.98806790169472</v>
      </c>
      <c r="J217" s="85">
        <f>IF(H217,An,'2026'!An_max)</f>
        <v>2021</v>
      </c>
      <c r="K217" s="197">
        <f t="shared" si="79"/>
        <v>46590</v>
      </c>
      <c r="L217" s="147">
        <f>IF(t&lt;Tvie,1-EXP((T0-t)*PertePVj)+'2026'!Pspv,1-EXP((T0-t)*PertePVj)+Pspv)</f>
        <v>5.7951798518022235E-2</v>
      </c>
      <c r="M217" s="832"/>
      <c r="N217" s="832"/>
      <c r="O217" s="48">
        <f>IF(t&lt;Tnet,'2026'!Resal+('2026'!Salim-'2026'!Resal)*(1-EXP(('2026'!Tnet-t)/('2026'!Tau_j))),Resal+(Salim-Resal)*(1-EXP((Tnet-t)/(Tau_j))))*Salcycl</f>
        <v>1.6091046597019924E-2</v>
      </c>
      <c r="P217" s="169">
        <f>(INDEX(Models!$BJ217:$BT217,,T217)*(1-R217)+INDEX(Models!$BJ217:$BT217,,T217+1)*R217-ERP_i)*Q217*Ramure*Pc/MaxiM</f>
        <v>1.3993250852138128E-4</v>
      </c>
      <c r="Q217" s="304">
        <f t="shared" si="80"/>
        <v>0.7</v>
      </c>
      <c r="R217" s="177">
        <f t="shared" si="81"/>
        <v>0.51853637472051417</v>
      </c>
      <c r="S217" s="799">
        <f t="shared" si="82"/>
        <v>-1</v>
      </c>
      <c r="T217" s="176">
        <f t="shared" si="83"/>
        <v>5</v>
      </c>
      <c r="U217" s="250">
        <f t="shared" si="84"/>
        <v>-0.48146362527948583</v>
      </c>
      <c r="V217" s="382">
        <f t="shared" si="85"/>
        <v>53.824113053862334</v>
      </c>
      <c r="W217" s="400">
        <f t="shared" si="86"/>
        <v>44.005250649346671</v>
      </c>
      <c r="X217" s="157">
        <f t="shared" si="87"/>
        <v>46590</v>
      </c>
      <c r="Y217" s="383">
        <f t="shared" si="88"/>
        <v>41.695731732644006</v>
      </c>
      <c r="Z217" s="383">
        <f t="shared" si="89"/>
        <v>44.260720064058937</v>
      </c>
      <c r="AA217" s="384">
        <f t="shared" si="90"/>
        <v>47.350292890035291</v>
      </c>
      <c r="AB217" s="197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6.5249286485966923E-2</v>
      </c>
      <c r="AD217" s="230">
        <f>(INDEX(Models!$BJ217:$BT217,,AH217)*(1-AF217)+INDEX(Models!$BJ217:$BT217,,AH217+1)*AF217-ERP_i)*AE217*Ramure*Pc/MaxiM</f>
        <v>3.7278811233987532E-3</v>
      </c>
      <c r="AE217" s="304">
        <f t="shared" si="92"/>
        <v>0.7</v>
      </c>
      <c r="AF217" s="177">
        <f t="shared" si="93"/>
        <v>0.27419420555986473</v>
      </c>
      <c r="AG217" s="799">
        <f t="shared" si="99"/>
        <v>2</v>
      </c>
      <c r="AH217" s="176">
        <f t="shared" si="94"/>
        <v>8</v>
      </c>
      <c r="AI217" s="224">
        <f t="shared" si="95"/>
        <v>2.2741942055598647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46591</v>
      </c>
      <c r="B218" s="409">
        <f>'2026'!Wh/'2026'!Env_an*'2027'!Env_an</f>
        <v>38.812870539682628</v>
      </c>
      <c r="C218" s="829"/>
      <c r="D218" s="391">
        <f t="shared" si="77"/>
        <v>41.201304065639377</v>
      </c>
      <c r="E218" s="383">
        <f t="shared" si="75"/>
        <v>41.879401061215539</v>
      </c>
      <c r="F218" s="383">
        <f t="shared" si="78"/>
        <v>41.883388938625579</v>
      </c>
      <c r="G218" s="110">
        <f t="shared" si="76"/>
        <v>0.72274796184890666</v>
      </c>
      <c r="H218" s="412" t="b">
        <f>Wh_hp&gt;='2026'!Maxi_hp</f>
        <v>0</v>
      </c>
      <c r="I218" s="388">
        <f>IF(H218,Wh_hp,'2026'!Maxi_hp)</f>
        <v>56.499257606465072</v>
      </c>
      <c r="J218" s="85">
        <f>IF(H218,An,'2026'!An_max)</f>
        <v>2018</v>
      </c>
      <c r="K218" s="197">
        <f t="shared" si="79"/>
        <v>46591</v>
      </c>
      <c r="L218" s="147">
        <f>IF(t&lt;Tvie,1-EXP((T0-t)*PertePVj)+'2026'!Pspv,1-EXP((T0-t)*PertePVj)+Pspv)</f>
        <v>5.7969852656887921E-2</v>
      </c>
      <c r="M218" s="832"/>
      <c r="N218" s="832"/>
      <c r="O218" s="48">
        <f>IF(t&lt;Tnet,'2026'!Resal+('2026'!Salim-'2026'!Resal)*(1-EXP(('2026'!Tnet-t)/('2026'!Tau_j))),Resal+(Salim-Resal)*(1-EXP((Tnet-t)/(Tau_j))))*Salcycl</f>
        <v>1.6191659345485335E-2</v>
      </c>
      <c r="P218" s="169">
        <f>(INDEX(Models!$BJ218:$BT218,,T218)*(1-R218)+INDEX(Models!$BJ218:$BT218,,T218+1)*R218-ERP_i)*Q218*Ramure*Pc/MaxiM</f>
        <v>1.5764135006261836E-4</v>
      </c>
      <c r="Q218" s="304">
        <f t="shared" si="80"/>
        <v>0.7</v>
      </c>
      <c r="R218" s="177">
        <f t="shared" si="81"/>
        <v>0.52061835052941985</v>
      </c>
      <c r="S218" s="799">
        <f t="shared" si="82"/>
        <v>-1</v>
      </c>
      <c r="T218" s="176">
        <f t="shared" si="83"/>
        <v>5</v>
      </c>
      <c r="U218" s="250">
        <f t="shared" si="84"/>
        <v>-0.47938164947058015</v>
      </c>
      <c r="V218" s="382">
        <f t="shared" si="85"/>
        <v>53.698452802261087</v>
      </c>
      <c r="W218" s="400">
        <f t="shared" si="86"/>
        <v>38.812870539682628</v>
      </c>
      <c r="X218" s="157">
        <f t="shared" si="87"/>
        <v>46591</v>
      </c>
      <c r="Y218" s="383">
        <f t="shared" si="88"/>
        <v>36.790558719760902</v>
      </c>
      <c r="Z218" s="383">
        <f t="shared" si="89"/>
        <v>39.054544935238489</v>
      </c>
      <c r="AA218" s="384">
        <f t="shared" si="90"/>
        <v>41.782678977368647</v>
      </c>
      <c r="AB218" s="197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6.529342083612763E-2</v>
      </c>
      <c r="AD218" s="230">
        <f>(INDEX(Models!$BJ218:$BT218,,AH218)*(1-AF218)+INDEX(Models!$BJ218:$BT218,,AH218+1)*AF218-ERP_i)*AE218*Ramure*Pc/MaxiM</f>
        <v>3.9810788108279706E-3</v>
      </c>
      <c r="AE218" s="304">
        <f t="shared" si="92"/>
        <v>0.7</v>
      </c>
      <c r="AF218" s="177">
        <f t="shared" si="93"/>
        <v>0.27627618136877086</v>
      </c>
      <c r="AG218" s="799">
        <f t="shared" si="99"/>
        <v>2</v>
      </c>
      <c r="AH218" s="176">
        <f t="shared" si="94"/>
        <v>8</v>
      </c>
      <c r="AI218" s="224">
        <f t="shared" si="95"/>
        <v>2.2762761813687709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46592</v>
      </c>
      <c r="B219" s="409">
        <f>'2026'!Wh/'2026'!Env_an*'2027'!Env_an</f>
        <v>52.745178920216787</v>
      </c>
      <c r="C219" s="829"/>
      <c r="D219" s="391">
        <f t="shared" si="77"/>
        <v>55.992040103679621</v>
      </c>
      <c r="E219" s="383">
        <f t="shared" si="75"/>
        <v>56.919374812924275</v>
      </c>
      <c r="F219" s="383">
        <f t="shared" si="78"/>
        <v>56.929259048900491</v>
      </c>
      <c r="G219" s="110">
        <f t="shared" si="76"/>
        <v>0.98456636511165208</v>
      </c>
      <c r="H219" s="412" t="b">
        <f>Wh_hp&gt;='2026'!Maxi_hp</f>
        <v>0</v>
      </c>
      <c r="I219" s="388">
        <f>IF(H219,Wh_hp,'2026'!Maxi_hp)</f>
        <v>56.929412706918249</v>
      </c>
      <c r="J219" s="85">
        <f>IF(H219,An,'2026'!An_max)</f>
        <v>2026</v>
      </c>
      <c r="K219" s="197">
        <f t="shared" si="79"/>
        <v>46592</v>
      </c>
      <c r="L219" s="147">
        <f>IF(t&lt;Tvie,1-EXP((T0-t)*PertePVj)+'2026'!Pspv,1-EXP((T0-t)*PertePVj)+Pspv)</f>
        <v>5.798790644975016E-2</v>
      </c>
      <c r="M219" s="832"/>
      <c r="N219" s="832"/>
      <c r="O219" s="48">
        <f>IF(t&lt;Tnet,'2026'!Resal+('2026'!Salim-'2026'!Resal)*(1-EXP(('2026'!Tnet-t)/('2026'!Tau_j))),Resal+(Salim-Resal)*(1-EXP((Tnet-t)/(Tau_j))))*Salcycl</f>
        <v>1.6292074751216159E-2</v>
      </c>
      <c r="P219" s="169">
        <f>(INDEX(Models!$BJ219:$BT219,,T219)*(1-R219)+INDEX(Models!$BJ219:$BT219,,T219+1)*R219-ERP_i)*Q219*Ramure*Pc/MaxiM</f>
        <v>1.7753648289013112E-4</v>
      </c>
      <c r="Q219" s="304">
        <f t="shared" si="80"/>
        <v>0.7</v>
      </c>
      <c r="R219" s="177">
        <f t="shared" si="81"/>
        <v>0.52264060976372173</v>
      </c>
      <c r="S219" s="799">
        <f t="shared" si="82"/>
        <v>-1</v>
      </c>
      <c r="T219" s="176">
        <f t="shared" si="83"/>
        <v>5</v>
      </c>
      <c r="U219" s="250">
        <f t="shared" si="84"/>
        <v>-0.47735939023627832</v>
      </c>
      <c r="V219" s="382">
        <f t="shared" si="85"/>
        <v>53.571779762898032</v>
      </c>
      <c r="W219" s="400">
        <f t="shared" si="86"/>
        <v>52.745178920216787</v>
      </c>
      <c r="X219" s="157">
        <f t="shared" si="87"/>
        <v>46592</v>
      </c>
      <c r="Y219" s="383">
        <f t="shared" si="88"/>
        <v>49.916149248057863</v>
      </c>
      <c r="Z219" s="383">
        <f t="shared" si="89"/>
        <v>52.988862446483211</v>
      </c>
      <c r="AA219" s="384">
        <f t="shared" si="90"/>
        <v>56.69302407481991</v>
      </c>
      <c r="AB219" s="197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6.5337167822414652E-2</v>
      </c>
      <c r="AD219" s="230">
        <f>(INDEX(Models!$BJ219:$BT219,,AH219)*(1-AF219)+INDEX(Models!$BJ219:$BT219,,AH219+1)*AF219-ERP_i)*AE219*Ramure*Pc/MaxiM</f>
        <v>4.2431530909229293E-3</v>
      </c>
      <c r="AE219" s="304">
        <f t="shared" si="92"/>
        <v>0.7</v>
      </c>
      <c r="AF219" s="177">
        <f t="shared" si="93"/>
        <v>0.27829844060307263</v>
      </c>
      <c r="AG219" s="799">
        <f t="shared" si="99"/>
        <v>2</v>
      </c>
      <c r="AH219" s="176">
        <f t="shared" si="94"/>
        <v>8</v>
      </c>
      <c r="AI219" s="224">
        <f t="shared" si="95"/>
        <v>2.2782984406030726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46593</v>
      </c>
      <c r="B220" s="409">
        <f>'2026'!Wh/'2026'!Env_an*'2027'!Env_an</f>
        <v>28.206314922427069</v>
      </c>
      <c r="C220" s="829"/>
      <c r="D220" s="391">
        <f t="shared" si="77"/>
        <v>29.943198918043478</v>
      </c>
      <c r="E220" s="383">
        <f t="shared" si="75"/>
        <v>30.442216786726423</v>
      </c>
      <c r="F220" s="383">
        <f t="shared" si="78"/>
        <v>30.444208357410005</v>
      </c>
      <c r="G220" s="110">
        <f t="shared" si="76"/>
        <v>0.5277051513567903</v>
      </c>
      <c r="H220" s="412" t="b">
        <f>Wh_hp&gt;='2026'!Maxi_hp</f>
        <v>0</v>
      </c>
      <c r="I220" s="388">
        <f>IF(H220,Wh_hp,'2026'!Maxi_hp)</f>
        <v>57.091704599474085</v>
      </c>
      <c r="J220" s="85">
        <f>IF(H220,An,'2026'!An_max)</f>
        <v>2018</v>
      </c>
      <c r="K220" s="197">
        <f t="shared" si="79"/>
        <v>46593</v>
      </c>
      <c r="L220" s="147">
        <f>IF(t&lt;Tvie,1-EXP((T0-t)*PertePVj)+'2026'!Pspv,1-EXP((T0-t)*PertePVj)+Pspv)</f>
        <v>5.80059598966155E-2</v>
      </c>
      <c r="M220" s="832"/>
      <c r="N220" s="832"/>
      <c r="O220" s="48">
        <f>IF(t&lt;Tnet,'2026'!Resal+('2026'!Salim-'2026'!Resal)*(1-EXP(('2026'!Tnet-t)/('2026'!Tau_j))),Resal+(Salim-Resal)*(1-EXP((Tnet-t)/(Tau_j))))*Salcycl</f>
        <v>1.6392297321150624E-2</v>
      </c>
      <c r="P220" s="169">
        <f>(INDEX(Models!$BJ220:$BT220,,T220)*(1-R220)+INDEX(Models!$BJ220:$BT220,,T220+1)*R220-ERP_i)*Q220*Ramure*Pc/MaxiM</f>
        <v>2.0103872335264445E-4</v>
      </c>
      <c r="Q220" s="304">
        <f t="shared" si="80"/>
        <v>0.7</v>
      </c>
      <c r="R220" s="177">
        <f t="shared" si="81"/>
        <v>0.52460405055342973</v>
      </c>
      <c r="S220" s="799">
        <f t="shared" si="82"/>
        <v>-1</v>
      </c>
      <c r="T220" s="176">
        <f t="shared" si="83"/>
        <v>5</v>
      </c>
      <c r="U220" s="250">
        <f t="shared" si="84"/>
        <v>-0.47539594944657032</v>
      </c>
      <c r="V220" s="382">
        <f t="shared" si="85"/>
        <v>53.443649758543124</v>
      </c>
      <c r="W220" s="400">
        <f t="shared" si="86"/>
        <v>28.206314922427069</v>
      </c>
      <c r="X220" s="157">
        <f t="shared" si="87"/>
        <v>46593</v>
      </c>
      <c r="Y220" s="383">
        <f t="shared" si="88"/>
        <v>26.763933822139805</v>
      </c>
      <c r="Z220" s="383">
        <f t="shared" si="89"/>
        <v>28.411999102672077</v>
      </c>
      <c r="AA220" s="384">
        <f t="shared" si="90"/>
        <v>30.399537606823419</v>
      </c>
      <c r="AB220" s="197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6.5380550515519137E-2</v>
      </c>
      <c r="AD220" s="230">
        <f>(INDEX(Models!$BJ220:$BT220,,AH220)*(1-AF220)+INDEX(Models!$BJ220:$BT220,,AH220+1)*AF220-ERP_i)*AE220*Ramure*Pc/MaxiM</f>
        <v>4.5092804102640554E-3</v>
      </c>
      <c r="AE220" s="304">
        <f t="shared" si="92"/>
        <v>0.7</v>
      </c>
      <c r="AF220" s="177">
        <f t="shared" si="93"/>
        <v>0.28026188139278041</v>
      </c>
      <c r="AG220" s="799">
        <f t="shared" si="99"/>
        <v>2</v>
      </c>
      <c r="AH220" s="176">
        <f t="shared" si="94"/>
        <v>8</v>
      </c>
      <c r="AI220" s="224">
        <f t="shared" si="95"/>
        <v>2.2802618813927804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46594</v>
      </c>
      <c r="B221" s="409">
        <f>'2026'!Wh/'2026'!Env_an*'2027'!Env_an</f>
        <v>44.429544198728543</v>
      </c>
      <c r="C221" s="829"/>
      <c r="D221" s="391">
        <f t="shared" si="77"/>
        <v>47.166323570634916</v>
      </c>
      <c r="E221" s="383">
        <f t="shared" si="75"/>
        <v>47.957250434370906</v>
      </c>
      <c r="F221" s="383">
        <f t="shared" si="78"/>
        <v>47.965569679828405</v>
      </c>
      <c r="G221" s="110">
        <f t="shared" si="76"/>
        <v>0.83330786754561703</v>
      </c>
      <c r="H221" s="412" t="b">
        <f>Wh_hp&gt;='2026'!Maxi_hp</f>
        <v>0</v>
      </c>
      <c r="I221" s="388">
        <f>IF(H221,Wh_hp,'2026'!Maxi_hp)</f>
        <v>56.969060465949205</v>
      </c>
      <c r="J221" s="85">
        <f>IF(H221,An,'2026'!An_max)</f>
        <v>2020</v>
      </c>
      <c r="K221" s="197">
        <f t="shared" si="79"/>
        <v>46594</v>
      </c>
      <c r="L221" s="147">
        <f>IF(t&lt;Tvie,1-EXP((T0-t)*PertePVj)+'2026'!Pspv,1-EXP((T0-t)*PertePVj)+Pspv)</f>
        <v>5.8024012997490715E-2</v>
      </c>
      <c r="M221" s="832"/>
      <c r="N221" s="832"/>
      <c r="O221" s="48">
        <f>IF(t&lt;Tnet,'2026'!Resal+('2026'!Salim-'2026'!Resal)*(1-EXP(('2026'!Tnet-t)/('2026'!Tau_j))),Resal+(Salim-Resal)*(1-EXP((Tnet-t)/(Tau_j))))*Salcycl</f>
        <v>1.6492331327843047E-2</v>
      </c>
      <c r="P221" s="169">
        <f>(INDEX(Models!$BJ221:$BT221,,T221)*(1-R221)+INDEX(Models!$BJ221:$BT221,,T221+1)*R221-ERP_i)*Q221*Ramure*Pc/MaxiM</f>
        <v>2.2763424602855519E-4</v>
      </c>
      <c r="Q221" s="304">
        <f t="shared" si="80"/>
        <v>0.7</v>
      </c>
      <c r="R221" s="177">
        <f t="shared" si="81"/>
        <v>0.52650961597571677</v>
      </c>
      <c r="S221" s="799">
        <f t="shared" si="82"/>
        <v>-1</v>
      </c>
      <c r="T221" s="176">
        <f t="shared" si="83"/>
        <v>5</v>
      </c>
      <c r="U221" s="250">
        <f t="shared" si="84"/>
        <v>-0.47349038402428317</v>
      </c>
      <c r="V221" s="382">
        <f t="shared" si="85"/>
        <v>53.314192479851755</v>
      </c>
      <c r="W221" s="400">
        <f t="shared" si="86"/>
        <v>44.429544198728543</v>
      </c>
      <c r="X221" s="157">
        <f t="shared" si="87"/>
        <v>46594</v>
      </c>
      <c r="Y221" s="383">
        <f t="shared" si="88"/>
        <v>42.072919829110305</v>
      </c>
      <c r="Z221" s="383">
        <f t="shared" si="89"/>
        <v>44.664535412406671</v>
      </c>
      <c r="AA221" s="384">
        <f t="shared" si="90"/>
        <v>47.791207824092524</v>
      </c>
      <c r="AB221" s="197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6.5423590531428988E-2</v>
      </c>
      <c r="AD221" s="230">
        <f>(INDEX(Models!$BJ221:$BT221,,AH221)*(1-AF221)+INDEX(Models!$BJ221:$BT221,,AH221+1)*AF221-ERP_i)*AE221*Ramure*Pc/MaxiM</f>
        <v>4.770953059304279E-3</v>
      </c>
      <c r="AE221" s="304">
        <f t="shared" si="92"/>
        <v>0.7</v>
      </c>
      <c r="AF221" s="177">
        <f t="shared" si="93"/>
        <v>0.28216744681506745</v>
      </c>
      <c r="AG221" s="799">
        <f t="shared" si="99"/>
        <v>2</v>
      </c>
      <c r="AH221" s="176">
        <f t="shared" si="94"/>
        <v>8</v>
      </c>
      <c r="AI221" s="224">
        <f t="shared" si="95"/>
        <v>2.2821674468150674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46595</v>
      </c>
      <c r="B222" s="409">
        <f>'2026'!Wh/'2026'!Env_an*'2027'!Env_an</f>
        <v>54.71906282899954</v>
      </c>
      <c r="C222" s="829"/>
      <c r="D222" s="391">
        <f t="shared" si="77"/>
        <v>58.090771190017115</v>
      </c>
      <c r="E222" s="383">
        <f t="shared" si="75"/>
        <v>59.07088600984666</v>
      </c>
      <c r="F222" s="383">
        <f t="shared" si="78"/>
        <v>59.086092502375408</v>
      </c>
      <c r="G222" s="110">
        <f t="shared" si="76"/>
        <v>1.0288727641708302</v>
      </c>
      <c r="H222" s="412" t="b">
        <f>Wh_hp&gt;='2026'!Maxi_hp</f>
        <v>1</v>
      </c>
      <c r="I222" s="388">
        <f>IF(H222,Wh_hp,'2026'!Maxi_hp)</f>
        <v>59.086092502375408</v>
      </c>
      <c r="J222" s="85">
        <f>IF(H222,An,'2026'!An_max)</f>
        <v>2027</v>
      </c>
      <c r="K222" s="197">
        <f t="shared" si="79"/>
        <v>46595</v>
      </c>
      <c r="L222" s="147">
        <f>IF(t&lt;Tvie,1-EXP((T0-t)*PertePVj)+'2026'!Pspv,1-EXP((T0-t)*PertePVj)+Pspv)</f>
        <v>5.8042065752382355E-2</v>
      </c>
      <c r="M222" s="832"/>
      <c r="N222" s="832"/>
      <c r="O222" s="48">
        <f>IF(t&lt;Tnet,'2026'!Resal+('2026'!Salim-'2026'!Resal)*(1-EXP(('2026'!Tnet-t)/('2026'!Tau_j))),Resal+(Salim-Resal)*(1-EXP((Tnet-t)/(Tau_j))))*Salcycl</f>
        <v>1.659218078540704E-2</v>
      </c>
      <c r="P222" s="169">
        <f>(INDEX(Models!$BJ222:$BT222,,T222)*(1-R222)+INDEX(Models!$BJ222:$BT222,,T222+1)*R222-ERP_i)*Q222*Ramure*Pc/MaxiM</f>
        <v>2.5736162072554898E-4</v>
      </c>
      <c r="Q222" s="304">
        <f t="shared" si="80"/>
        <v>0.7</v>
      </c>
      <c r="R222" s="177">
        <f t="shared" si="81"/>
        <v>0.52835828917968952</v>
      </c>
      <c r="S222" s="799">
        <f t="shared" si="82"/>
        <v>-1</v>
      </c>
      <c r="T222" s="176">
        <f t="shared" si="83"/>
        <v>5</v>
      </c>
      <c r="U222" s="250">
        <f t="shared" si="84"/>
        <v>-0.47164171082031048</v>
      </c>
      <c r="V222" s="382">
        <f t="shared" si="85"/>
        <v>53.18350794628887</v>
      </c>
      <c r="W222" s="400">
        <f t="shared" si="86"/>
        <v>54.71906282899954</v>
      </c>
      <c r="X222" s="157">
        <f t="shared" si="87"/>
        <v>46595</v>
      </c>
      <c r="Y222" s="383">
        <f t="shared" si="88"/>
        <v>51.751451713269631</v>
      </c>
      <c r="Z222" s="383">
        <f t="shared" si="89"/>
        <v>54.940300231778124</v>
      </c>
      <c r="AA222" s="384">
        <f t="shared" si="90"/>
        <v>58.788998942298058</v>
      </c>
      <c r="AB222" s="197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6.5466307978767693E-2</v>
      </c>
      <c r="AD222" s="230">
        <f>(INDEX(Models!$BJ222:$BT222,,AH222)*(1-AF222)+INDEX(Models!$BJ222:$BT222,,AH222+1)*AF222-ERP_i)*AE222*Ramure*Pc/MaxiM</f>
        <v>5.0281470223370187E-3</v>
      </c>
      <c r="AE222" s="304">
        <f t="shared" si="92"/>
        <v>0.7</v>
      </c>
      <c r="AF222" s="177">
        <f t="shared" si="93"/>
        <v>0.28401612001904031</v>
      </c>
      <c r="AG222" s="799">
        <f t="shared" si="99"/>
        <v>2</v>
      </c>
      <c r="AH222" s="176">
        <f t="shared" si="94"/>
        <v>8</v>
      </c>
      <c r="AI222" s="224">
        <f t="shared" si="95"/>
        <v>2.2840161200190403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46596</v>
      </c>
      <c r="B223" s="409">
        <f>'2026'!Wh/'2026'!Env_an*'2027'!Env_an</f>
        <v>43.623045618461433</v>
      </c>
      <c r="C223" s="829"/>
      <c r="D223" s="391">
        <f t="shared" si="77"/>
        <v>46.31192123780508</v>
      </c>
      <c r="E223" s="383">
        <f t="shared" si="75"/>
        <v>47.098075217708562</v>
      </c>
      <c r="F223" s="383">
        <f t="shared" si="78"/>
        <v>47.108277163858396</v>
      </c>
      <c r="G223" s="110">
        <f t="shared" si="76"/>
        <v>0.82221367532244893</v>
      </c>
      <c r="H223" s="412" t="b">
        <f>Wh_hp&gt;='2026'!Maxi_hp</f>
        <v>0</v>
      </c>
      <c r="I223" s="388">
        <f>IF(H223,Wh_hp,'2026'!Maxi_hp)</f>
        <v>55.235892081296527</v>
      </c>
      <c r="J223" s="85">
        <f>IF(H223,An,'2026'!An_max)</f>
        <v>2020</v>
      </c>
      <c r="K223" s="197">
        <f t="shared" si="79"/>
        <v>46596</v>
      </c>
      <c r="L223" s="147">
        <f>IF(t&lt;Tvie,1-EXP((T0-t)*PertePVj)+'2026'!Pspv,1-EXP((T0-t)*PertePVj)+Pspv)</f>
        <v>5.8060118161297081E-2</v>
      </c>
      <c r="M223" s="832"/>
      <c r="N223" s="832"/>
      <c r="O223" s="48">
        <f>IF(t&lt;Tnet,'2026'!Resal+('2026'!Salim-'2026'!Resal)*(1-EXP(('2026'!Tnet-t)/('2026'!Tau_j))),Resal+(Salim-Resal)*(1-EXP((Tnet-t)/(Tau_j))))*Salcycl</f>
        <v>1.6691849428443123E-2</v>
      </c>
      <c r="P223" s="169">
        <f>(INDEX(Models!$BJ223:$BT223,,T223)*(1-R223)+INDEX(Models!$BJ223:$BT223,,T223+1)*R223-ERP_i)*Q223*Ramure*Pc/MaxiM</f>
        <v>2.9025867026198908E-4</v>
      </c>
      <c r="Q223" s="304">
        <f t="shared" si="80"/>
        <v>0.7</v>
      </c>
      <c r="R223" s="177">
        <f t="shared" si="81"/>
        <v>0.53015108868895466</v>
      </c>
      <c r="S223" s="799">
        <f t="shared" si="82"/>
        <v>-1</v>
      </c>
      <c r="T223" s="176">
        <f t="shared" si="83"/>
        <v>5</v>
      </c>
      <c r="U223" s="250">
        <f t="shared" si="84"/>
        <v>-0.46984891131104528</v>
      </c>
      <c r="V223" s="382">
        <f t="shared" si="85"/>
        <v>53.051696213937639</v>
      </c>
      <c r="W223" s="400">
        <f t="shared" si="86"/>
        <v>43.623045618461433</v>
      </c>
      <c r="X223" s="157">
        <f t="shared" si="87"/>
        <v>46596</v>
      </c>
      <c r="Y223" s="383">
        <f t="shared" si="88"/>
        <v>41.302955681384915</v>
      </c>
      <c r="Z223" s="383">
        <f t="shared" si="89"/>
        <v>43.84882355842069</v>
      </c>
      <c r="AA223" s="384">
        <f t="shared" si="90"/>
        <v>46.922667512760817</v>
      </c>
      <c r="AB223" s="197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6.5508721419219901E-2</v>
      </c>
      <c r="AD223" s="230">
        <f>(INDEX(Models!$BJ223:$BT223,,AH223)*(1-AF223)+INDEX(Models!$BJ223:$BT223,,AH223+1)*AF223-ERP_i)*AE223*Ramure*Pc/MaxiM</f>
        <v>5.2808365898180699E-3</v>
      </c>
      <c r="AE223" s="304">
        <f t="shared" si="92"/>
        <v>0.7</v>
      </c>
      <c r="AF223" s="177">
        <f t="shared" si="93"/>
        <v>0.28580891952830534</v>
      </c>
      <c r="AG223" s="799">
        <f t="shared" si="99"/>
        <v>2</v>
      </c>
      <c r="AH223" s="176">
        <f t="shared" si="94"/>
        <v>8</v>
      </c>
      <c r="AI223" s="224">
        <f t="shared" si="95"/>
        <v>2.2858089195283053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46597</v>
      </c>
      <c r="B224" s="409">
        <f>'2026'!Wh/'2026'!Env_an*'2027'!Env_an</f>
        <v>25.6990345344099</v>
      </c>
      <c r="C224" s="829"/>
      <c r="D224" s="391">
        <f t="shared" si="77"/>
        <v>27.283617092225182</v>
      </c>
      <c r="E224" s="383">
        <f t="shared" si="75"/>
        <v>27.74956956897001</v>
      </c>
      <c r="F224" s="383">
        <f t="shared" si="78"/>
        <v>27.751971421734424</v>
      </c>
      <c r="G224" s="110">
        <f t="shared" si="76"/>
        <v>0.48551446977230939</v>
      </c>
      <c r="H224" s="412" t="b">
        <f>Wh_hp&gt;='2026'!Maxi_hp</f>
        <v>0</v>
      </c>
      <c r="I224" s="388">
        <f>IF(H224,Wh_hp,'2026'!Maxi_hp)</f>
        <v>58.807397280234632</v>
      </c>
      <c r="J224" s="85">
        <f>IF(H224,An,'2026'!An_max)</f>
        <v>2018</v>
      </c>
      <c r="K224" s="197">
        <f t="shared" si="79"/>
        <v>46597</v>
      </c>
      <c r="L224" s="147">
        <f>IF(t&lt;Tvie,1-EXP((T0-t)*PertePVj)+'2026'!Pspv,1-EXP((T0-t)*PertePVj)+Pspv)</f>
        <v>5.8078170224241554E-2</v>
      </c>
      <c r="M224" s="832"/>
      <c r="N224" s="832"/>
      <c r="O224" s="48">
        <f>IF(t&lt;Tnet,'2026'!Resal+('2026'!Salim-'2026'!Resal)*(1-EXP(('2026'!Tnet-t)/('2026'!Tau_j))),Resal+(Salim-Resal)*(1-EXP((Tnet-t)/(Tau_j))))*Salcycl</f>
        <v>1.6791340694014383E-2</v>
      </c>
      <c r="P224" s="169">
        <f>(INDEX(Models!$BJ224:$BT224,,T224)*(1-R224)+INDEX(Models!$BJ224:$BT224,,T224+1)*R224-ERP_i)*Q224*Ramure*Pc/MaxiM</f>
        <v>3.2636247203066571E-4</v>
      </c>
      <c r="Q224" s="304">
        <f t="shared" si="80"/>
        <v>0.7</v>
      </c>
      <c r="R224" s="177">
        <f t="shared" si="81"/>
        <v>0.53188906389218138</v>
      </c>
      <c r="S224" s="799">
        <f t="shared" si="82"/>
        <v>-1</v>
      </c>
      <c r="T224" s="176">
        <f t="shared" si="83"/>
        <v>5</v>
      </c>
      <c r="U224" s="250">
        <f t="shared" si="84"/>
        <v>-0.46811093610781856</v>
      </c>
      <c r="V224" s="382">
        <f t="shared" si="85"/>
        <v>52.918857371239909</v>
      </c>
      <c r="W224" s="400">
        <f t="shared" si="86"/>
        <v>25.6990345344099</v>
      </c>
      <c r="X224" s="157">
        <f t="shared" si="87"/>
        <v>46597</v>
      </c>
      <c r="Y224" s="383">
        <f t="shared" si="88"/>
        <v>24.390861409417198</v>
      </c>
      <c r="Z224" s="383">
        <f t="shared" si="89"/>
        <v>25.894783025916158</v>
      </c>
      <c r="AA224" s="384">
        <f t="shared" si="90"/>
        <v>27.711280989534696</v>
      </c>
      <c r="AB224" s="197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6.5550847840796192E-2</v>
      </c>
      <c r="AD224" s="230">
        <f>(INDEX(Models!$BJ224:$BT224,,AH224)*(1-AF224)+INDEX(Models!$BJ224:$BT224,,AH224+1)*AF224-ERP_i)*AE224*Ramure*Pc/MaxiM</f>
        <v>5.5289942154043859E-3</v>
      </c>
      <c r="AE224" s="304">
        <f t="shared" si="92"/>
        <v>0.7</v>
      </c>
      <c r="AF224" s="177">
        <f t="shared" si="93"/>
        <v>0.28754689473153228</v>
      </c>
      <c r="AG224" s="799">
        <f t="shared" si="99"/>
        <v>2</v>
      </c>
      <c r="AH224" s="176">
        <f t="shared" si="94"/>
        <v>8</v>
      </c>
      <c r="AI224" s="224">
        <f t="shared" si="95"/>
        <v>2.2875468947315323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46598</v>
      </c>
      <c r="B225" s="409">
        <f>'2026'!Wh/'2026'!Env_an*'2027'!Env_an</f>
        <v>42.655248625246209</v>
      </c>
      <c r="C225" s="829"/>
      <c r="D225" s="391">
        <f t="shared" si="77"/>
        <v>45.286206106059794</v>
      </c>
      <c r="E225" s="383">
        <f t="shared" si="75"/>
        <v>46.064261784371396</v>
      </c>
      <c r="F225" s="383">
        <f t="shared" si="78"/>
        <v>46.076492740890558</v>
      </c>
      <c r="G225" s="110">
        <f t="shared" si="76"/>
        <v>0.80801168691452119</v>
      </c>
      <c r="H225" s="412" t="b">
        <f>Wh_hp&gt;='2026'!Maxi_hp</f>
        <v>0</v>
      </c>
      <c r="I225" s="388">
        <f>IF(H225,Wh_hp,'2026'!Maxi_hp)</f>
        <v>48.678240079056877</v>
      </c>
      <c r="J225" s="85">
        <f>IF(H225,An,'2026'!An_max)</f>
        <v>2020</v>
      </c>
      <c r="K225" s="197">
        <f t="shared" si="79"/>
        <v>46598</v>
      </c>
      <c r="L225" s="147">
        <f>IF(t&lt;Tvie,1-EXP((T0-t)*PertePVj)+'2026'!Pspv,1-EXP((T0-t)*PertePVj)+Pspv)</f>
        <v>5.8096221941222326E-2</v>
      </c>
      <c r="M225" s="832"/>
      <c r="N225" s="832"/>
      <c r="O225" s="48">
        <f>IF(t&lt;Tnet,'2026'!Resal+('2026'!Salim-'2026'!Resal)*(1-EXP(('2026'!Tnet-t)/('2026'!Tau_j))),Resal+(Salim-Resal)*(1-EXP((Tnet-t)/(Tau_j))))*Salcycl</f>
        <v>1.6890657706699164E-2</v>
      </c>
      <c r="P225" s="169">
        <f>(INDEX(Models!$BJ225:$BT225,,T225)*(1-R225)+INDEX(Models!$BJ225:$BT225,,T225+1)*R225-ERP_i)*Q225*Ramure*Pc/MaxiM</f>
        <v>3.6570935424581202E-4</v>
      </c>
      <c r="Q225" s="304">
        <f t="shared" si="80"/>
        <v>0.7</v>
      </c>
      <c r="R225" s="177">
        <f t="shared" si="81"/>
        <v>0.5335732907296874</v>
      </c>
      <c r="S225" s="799">
        <f t="shared" si="82"/>
        <v>-1</v>
      </c>
      <c r="T225" s="176">
        <f t="shared" si="83"/>
        <v>5</v>
      </c>
      <c r="U225" s="250">
        <f t="shared" si="84"/>
        <v>-0.4664267092703126</v>
      </c>
      <c r="V225" s="382">
        <f t="shared" si="85"/>
        <v>52.785091537503384</v>
      </c>
      <c r="W225" s="400">
        <f t="shared" si="86"/>
        <v>42.655248625246209</v>
      </c>
      <c r="X225" s="157">
        <f t="shared" si="87"/>
        <v>46598</v>
      </c>
      <c r="Y225" s="383">
        <f t="shared" si="88"/>
        <v>40.383006652403807</v>
      </c>
      <c r="Z225" s="383">
        <f t="shared" si="89"/>
        <v>42.873813220742583</v>
      </c>
      <c r="AA225" s="384">
        <f t="shared" si="90"/>
        <v>45.883431499345782</v>
      </c>
      <c r="AB225" s="197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6.559270264356995E-2</v>
      </c>
      <c r="AD225" s="230">
        <f>(INDEX(Models!$BJ225:$BT225,,AH225)*(1-AF225)+INDEX(Models!$BJ225:$BT225,,AH225+1)*AF225-ERP_i)*AE225*Ramure*Pc/MaxiM</f>
        <v>5.7725903828226149E-3</v>
      </c>
      <c r="AE225" s="304">
        <f t="shared" si="92"/>
        <v>0.7</v>
      </c>
      <c r="AF225" s="177">
        <f t="shared" si="93"/>
        <v>0.28923112156903841</v>
      </c>
      <c r="AG225" s="799">
        <f t="shared" si="99"/>
        <v>2</v>
      </c>
      <c r="AH225" s="176">
        <f t="shared" si="94"/>
        <v>8</v>
      </c>
      <c r="AI225" s="224">
        <f t="shared" si="95"/>
        <v>2.2892311215690384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46599</v>
      </c>
      <c r="B226" s="409">
        <f>'2026'!Wh/'2026'!Env_an*'2027'!Env_an</f>
        <v>53.402463362697723</v>
      </c>
      <c r="C226" s="829"/>
      <c r="D226" s="391">
        <f t="shared" si="77"/>
        <v>56.69739104179169</v>
      </c>
      <c r="E226" s="383">
        <f t="shared" si="75"/>
        <v>57.677317315941416</v>
      </c>
      <c r="F226" s="383">
        <f t="shared" si="78"/>
        <v>57.700833981931638</v>
      </c>
      <c r="G226" s="110">
        <f t="shared" si="76"/>
        <v>1.0142814071359794</v>
      </c>
      <c r="H226" s="412" t="b">
        <f>Wh_hp&gt;='2026'!Maxi_hp</f>
        <v>1</v>
      </c>
      <c r="I226" s="388">
        <f>IF(H226,Wh_hp,'2026'!Maxi_hp)</f>
        <v>57.700833981931638</v>
      </c>
      <c r="J226" s="85">
        <f>IF(H226,An,'2026'!An_max)</f>
        <v>2027</v>
      </c>
      <c r="K226" s="197">
        <f t="shared" si="79"/>
        <v>46599</v>
      </c>
      <c r="L226" s="147">
        <f>IF(t&lt;Tvie,1-EXP((T0-t)*PertePVj)+'2026'!Pspv,1-EXP((T0-t)*PertePVj)+Pspv)</f>
        <v>5.8114273312245945E-2</v>
      </c>
      <c r="M226" s="832"/>
      <c r="N226" s="832"/>
      <c r="O226" s="48">
        <f>IF(t&lt;Tnet,'2026'!Resal+('2026'!Salim-'2026'!Resal)*(1-EXP(('2026'!Tnet-t)/('2026'!Tau_j))),Resal+(Salim-Resal)*(1-EXP((Tnet-t)/(Tau_j))))*Salcycl</f>
        <v>1.6989803266714683E-2</v>
      </c>
      <c r="P226" s="169">
        <f>(INDEX(Models!$BJ226:$BT226,,T226)*(1-R226)+INDEX(Models!$BJ226:$BT226,,T226+1)*R226-ERP_i)*Q226*Ramure*Pc/MaxiM</f>
        <v>4.0756197731186763E-4</v>
      </c>
      <c r="Q226" s="304">
        <f t="shared" si="80"/>
        <v>0.7</v>
      </c>
      <c r="R226" s="177">
        <f t="shared" si="81"/>
        <v>0.53520486758206587</v>
      </c>
      <c r="S226" s="799">
        <f t="shared" si="82"/>
        <v>-1</v>
      </c>
      <c r="T226" s="176">
        <f t="shared" si="83"/>
        <v>5</v>
      </c>
      <c r="U226" s="250">
        <f t="shared" si="84"/>
        <v>-0.46479513241793413</v>
      </c>
      <c r="V226" s="382">
        <f t="shared" si="85"/>
        <v>52.650539571153097</v>
      </c>
      <c r="W226" s="400">
        <f t="shared" si="86"/>
        <v>53.402463362697723</v>
      </c>
      <c r="X226" s="157">
        <f t="shared" si="87"/>
        <v>46599</v>
      </c>
      <c r="Y226" s="383">
        <f t="shared" si="88"/>
        <v>50.47549787588661</v>
      </c>
      <c r="Z226" s="383">
        <f t="shared" si="89"/>
        <v>53.589832020694608</v>
      </c>
      <c r="AA226" s="384">
        <f t="shared" si="90"/>
        <v>57.354237211295498</v>
      </c>
      <c r="AB226" s="197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6.5634299637403581E-2</v>
      </c>
      <c r="AD226" s="230">
        <f>(INDEX(Models!$BJ226:$BT226,,AH226)*(1-AF226)+INDEX(Models!$BJ226:$BT226,,AH226+1)*AF226-ERP_i)*AE226*Ramure*Pc/MaxiM</f>
        <v>6.0067896201408868E-3</v>
      </c>
      <c r="AE226" s="304">
        <f t="shared" si="92"/>
        <v>0.7</v>
      </c>
      <c r="AF226" s="177">
        <f t="shared" si="93"/>
        <v>0.29086269842141643</v>
      </c>
      <c r="AG226" s="799">
        <f t="shared" si="99"/>
        <v>2</v>
      </c>
      <c r="AH226" s="176">
        <f t="shared" si="94"/>
        <v>8</v>
      </c>
      <c r="AI226" s="224">
        <f t="shared" si="95"/>
        <v>2.2908626984214164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46600</v>
      </c>
      <c r="B227" s="409">
        <f>'2026'!Wh/'2026'!Env_an*'2027'!Env_an</f>
        <v>53.072061262866896</v>
      </c>
      <c r="C227" s="829"/>
      <c r="D227" s="391">
        <f t="shared" si="77"/>
        <v>56.347683049560409</v>
      </c>
      <c r="E227" s="383">
        <f t="shared" si="75"/>
        <v>57.327337295477655</v>
      </c>
      <c r="F227" s="383">
        <f t="shared" si="78"/>
        <v>57.353171023524027</v>
      </c>
      <c r="G227" s="110">
        <f t="shared" si="76"/>
        <v>1.0106003214513373</v>
      </c>
      <c r="H227" s="412" t="b">
        <f>Wh_hp&gt;='2026'!Maxi_hp</f>
        <v>1</v>
      </c>
      <c r="I227" s="388">
        <f>IF(H227,Wh_hp,'2026'!Maxi_hp)</f>
        <v>57.353171023524027</v>
      </c>
      <c r="J227" s="85">
        <f>IF(H227,An,'2026'!An_max)</f>
        <v>2027</v>
      </c>
      <c r="K227" s="197">
        <f t="shared" si="79"/>
        <v>46600</v>
      </c>
      <c r="L227" s="147">
        <f>IF(t&lt;Tvie,1-EXP((T0-t)*PertePVj)+'2026'!Pspv,1-EXP((T0-t)*PertePVj)+Pspv)</f>
        <v>5.8132324337319297E-2</v>
      </c>
      <c r="M227" s="832"/>
      <c r="N227" s="832"/>
      <c r="O227" s="48">
        <f>IF(t&lt;Tnet,'2026'!Resal+('2026'!Salim-'2026'!Resal)*(1-EXP(('2026'!Tnet-t)/('2026'!Tau_j))),Resal+(Salim-Resal)*(1-EXP((Tnet-t)/(Tau_j))))*Salcycl</f>
        <v>1.7088779841071169E-2</v>
      </c>
      <c r="P227" s="169">
        <f>(INDEX(Models!$BJ227:$BT227,,T227)*(1-R227)+INDEX(Models!$BJ227:$BT227,,T227+1)*R227-ERP_i)*Q227*Ramure*Pc/MaxiM</f>
        <v>4.504324274549792E-4</v>
      </c>
      <c r="Q227" s="304">
        <f t="shared" si="80"/>
        <v>0.7</v>
      </c>
      <c r="R227" s="177">
        <f t="shared" si="81"/>
        <v>0.53678491136500117</v>
      </c>
      <c r="S227" s="799">
        <f t="shared" si="82"/>
        <v>-1</v>
      </c>
      <c r="T227" s="176">
        <f t="shared" si="83"/>
        <v>5</v>
      </c>
      <c r="U227" s="250">
        <f t="shared" si="84"/>
        <v>-0.46321508863499877</v>
      </c>
      <c r="V227" s="382">
        <f t="shared" si="85"/>
        <v>52.515381339528339</v>
      </c>
      <c r="W227" s="400">
        <f t="shared" si="86"/>
        <v>53.072061262866896</v>
      </c>
      <c r="X227" s="157">
        <f t="shared" si="87"/>
        <v>46600</v>
      </c>
      <c r="Y227" s="383">
        <f t="shared" si="88"/>
        <v>50.156807400400453</v>
      </c>
      <c r="Z227" s="383">
        <f t="shared" si="89"/>
        <v>53.252498940587436</v>
      </c>
      <c r="AA227" s="384">
        <f t="shared" si="90"/>
        <v>56.995730658731247</v>
      </c>
      <c r="AB227" s="197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6.5675651051073702E-2</v>
      </c>
      <c r="AD227" s="230">
        <f>(INDEX(Models!$BJ227:$BT227,,AH227)*(1-AF227)+INDEX(Models!$BJ227:$BT227,,AH227+1)*AF227-ERP_i)*AE227*Ramure*Pc/MaxiM</f>
        <v>6.232268563601687E-3</v>
      </c>
      <c r="AE227" s="304">
        <f t="shared" si="92"/>
        <v>0.7</v>
      </c>
      <c r="AF227" s="177">
        <f t="shared" si="93"/>
        <v>0.29244274220435207</v>
      </c>
      <c r="AG227" s="799">
        <f t="shared" si="99"/>
        <v>2</v>
      </c>
      <c r="AH227" s="176">
        <f t="shared" si="94"/>
        <v>8</v>
      </c>
      <c r="AI227" s="224">
        <f t="shared" si="95"/>
        <v>2.2924427422043521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46601</v>
      </c>
      <c r="B228" s="409">
        <f>'2026'!Wh/'2026'!Env_an*'2027'!Env_an</f>
        <v>53.298620361278232</v>
      </c>
      <c r="C228" s="829"/>
      <c r="D228" s="391">
        <f t="shared" si="77"/>
        <v>56.58930995721218</v>
      </c>
      <c r="E228" s="383">
        <f t="shared" si="75"/>
        <v>57.578953374982298</v>
      </c>
      <c r="F228" s="383">
        <f t="shared" si="78"/>
        <v>57.607430014049783</v>
      </c>
      <c r="G228" s="110">
        <f t="shared" si="76"/>
        <v>1.0175430984044598</v>
      </c>
      <c r="H228" s="412" t="b">
        <f>Wh_hp&gt;='2026'!Maxi_hp</f>
        <v>1</v>
      </c>
      <c r="I228" s="388">
        <f>IF(H228,Wh_hp,'2026'!Maxi_hp)</f>
        <v>57.607430014049783</v>
      </c>
      <c r="J228" s="85">
        <f>IF(H228,An,'2026'!An_max)</f>
        <v>2027</v>
      </c>
      <c r="K228" s="197">
        <f t="shared" si="79"/>
        <v>46601</v>
      </c>
      <c r="L228" s="147">
        <f>IF(t&lt;Tvie,1-EXP((T0-t)*PertePVj)+'2026'!Pspv,1-EXP((T0-t)*PertePVj)+Pspv)</f>
        <v>5.8150375016448819E-2</v>
      </c>
      <c r="M228" s="832"/>
      <c r="N228" s="832"/>
      <c r="O228" s="48">
        <f>IF(t&lt;Tnet,'2026'!Resal+('2026'!Salim-'2026'!Resal)*(1-EXP(('2026'!Tnet-t)/('2026'!Tau_j))),Resal+(Salim-Resal)*(1-EXP((Tnet-t)/(Tau_j))))*Salcycl</f>
        <v>1.7187589557682136E-2</v>
      </c>
      <c r="P228" s="169">
        <f>(INDEX(Models!$BJ228:$BT228,,T228)*(1-R228)+INDEX(Models!$BJ228:$BT228,,T228+1)*R228-ERP_i)*Q228*Ramure*Pc/MaxiM</f>
        <v>4.9432233065319769E-4</v>
      </c>
      <c r="Q228" s="304">
        <f t="shared" si="80"/>
        <v>0.7</v>
      </c>
      <c r="R228" s="177">
        <f t="shared" si="81"/>
        <v>0.53831455383271065</v>
      </c>
      <c r="S228" s="799">
        <f t="shared" si="82"/>
        <v>-1</v>
      </c>
      <c r="T228" s="176">
        <f t="shared" si="83"/>
        <v>5</v>
      </c>
      <c r="U228" s="250">
        <f t="shared" si="84"/>
        <v>-0.46168544616728935</v>
      </c>
      <c r="V228" s="382">
        <f t="shared" si="85"/>
        <v>52.379717817213027</v>
      </c>
      <c r="W228" s="400">
        <f t="shared" si="86"/>
        <v>53.298620361278232</v>
      </c>
      <c r="X228" s="157">
        <f t="shared" si="87"/>
        <v>46601</v>
      </c>
      <c r="Y228" s="383">
        <f t="shared" si="88"/>
        <v>50.364995307660415</v>
      </c>
      <c r="Z228" s="383">
        <f t="shared" si="89"/>
        <v>53.474561088815008</v>
      </c>
      <c r="AA228" s="384">
        <f t="shared" si="90"/>
        <v>57.235920791072587</v>
      </c>
      <c r="AB228" s="197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6.5716767552104399E-2</v>
      </c>
      <c r="AD228" s="230">
        <f>(INDEX(Models!$BJ228:$BT228,,AH228)*(1-AF228)+INDEX(Models!$BJ228:$BT228,,AH228+1)*AF228-ERP_i)*AE228*Ramure*Pc/MaxiM</f>
        <v>6.448981023569134E-3</v>
      </c>
      <c r="AE228" s="304">
        <f t="shared" si="92"/>
        <v>0.7</v>
      </c>
      <c r="AF228" s="177">
        <f t="shared" si="93"/>
        <v>0.29397238467206144</v>
      </c>
      <c r="AG228" s="799">
        <f t="shared" si="99"/>
        <v>2</v>
      </c>
      <c r="AH228" s="176">
        <f t="shared" si="94"/>
        <v>8</v>
      </c>
      <c r="AI228" s="224">
        <f t="shared" si="95"/>
        <v>2.2939723846720614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46602</v>
      </c>
      <c r="B229" s="409">
        <f>'2026'!Wh/'2026'!Env_an*'2027'!Env_an</f>
        <v>53.405775248294155</v>
      </c>
      <c r="C229" s="829"/>
      <c r="D229" s="391">
        <f t="shared" si="77"/>
        <v>56.704167375276484</v>
      </c>
      <c r="E229" s="383">
        <f t="shared" si="75"/>
        <v>57.70161093576349</v>
      </c>
      <c r="F229" s="383">
        <f t="shared" si="78"/>
        <v>57.732742346129783</v>
      </c>
      <c r="G229" s="110">
        <f t="shared" si="76"/>
        <v>1.0222443360490967</v>
      </c>
      <c r="H229" s="412" t="b">
        <f>Wh_hp&gt;='2026'!Maxi_hp</f>
        <v>1</v>
      </c>
      <c r="I229" s="388">
        <f>IF(H229,Wh_hp,'2026'!Maxi_hp)</f>
        <v>57.732742346129783</v>
      </c>
      <c r="J229" s="85">
        <f>IF(H229,An,'2026'!An_max)</f>
        <v>2027</v>
      </c>
      <c r="K229" s="197">
        <f t="shared" si="79"/>
        <v>46602</v>
      </c>
      <c r="L229" s="147">
        <f>IF(t&lt;Tvie,1-EXP((T0-t)*PertePVj)+'2026'!Pspv,1-EXP((T0-t)*PertePVj)+Pspv)</f>
        <v>5.8168425349641173E-2</v>
      </c>
      <c r="M229" s="832"/>
      <c r="N229" s="832"/>
      <c r="O229" s="48">
        <f>IF(t&lt;Tnet,'2026'!Resal+('2026'!Salim-'2026'!Resal)*(1-EXP(('2026'!Tnet-t)/('2026'!Tau_j))),Resal+(Salim-Resal)*(1-EXP((Tnet-t)/(Tau_j))))*Salcycl</f>
        <v>1.7286234202324363E-2</v>
      </c>
      <c r="P229" s="169">
        <f>(INDEX(Models!$BJ229:$BT229,,T229)*(1-R229)+INDEX(Models!$BJ229:$BT229,,T229+1)*R229-ERP_i)*Q229*Ramure*Pc/MaxiM</f>
        <v>5.3923318209353737E-4</v>
      </c>
      <c r="Q229" s="304">
        <f t="shared" si="80"/>
        <v>0.7</v>
      </c>
      <c r="R229" s="177">
        <f t="shared" si="81"/>
        <v>0.53979493809088908</v>
      </c>
      <c r="S229" s="799">
        <f t="shared" si="82"/>
        <v>-1</v>
      </c>
      <c r="T229" s="176">
        <f t="shared" si="83"/>
        <v>5</v>
      </c>
      <c r="U229" s="250">
        <f t="shared" si="84"/>
        <v>-0.46020506190911098</v>
      </c>
      <c r="V229" s="382">
        <f t="shared" si="85"/>
        <v>52.243649942540905</v>
      </c>
      <c r="W229" s="400">
        <f t="shared" si="86"/>
        <v>53.405775248294155</v>
      </c>
      <c r="X229" s="157">
        <f t="shared" si="87"/>
        <v>46602</v>
      </c>
      <c r="Y229" s="383">
        <f t="shared" si="88"/>
        <v>50.460815999618603</v>
      </c>
      <c r="Z229" s="383">
        <f t="shared" si="89"/>
        <v>53.577324606420675</v>
      </c>
      <c r="AA229" s="384">
        <f t="shared" si="90"/>
        <v>57.348422581213981</v>
      </c>
      <c r="AB229" s="197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6.575765827652659E-2</v>
      </c>
      <c r="AD229" s="230">
        <f>(INDEX(Models!$BJ229:$BT229,,AH229)*(1-AF229)+INDEX(Models!$BJ229:$BT229,,AH229+1)*AF229-ERP_i)*AE229*Ramure*Pc/MaxiM</f>
        <v>6.6568770042423888E-3</v>
      </c>
      <c r="AE229" s="304">
        <f t="shared" si="92"/>
        <v>0.7</v>
      </c>
      <c r="AF229" s="177">
        <f t="shared" si="93"/>
        <v>0.29545276893023997</v>
      </c>
      <c r="AG229" s="799">
        <f t="shared" si="99"/>
        <v>2</v>
      </c>
      <c r="AH229" s="176">
        <f t="shared" si="94"/>
        <v>8</v>
      </c>
      <c r="AI229" s="224">
        <f t="shared" si="95"/>
        <v>2.29545276893024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46603</v>
      </c>
      <c r="B230" s="409">
        <f>'2026'!Wh/'2026'!Env_an*'2027'!Env_an</f>
        <v>50.773634381115748</v>
      </c>
      <c r="C230" s="829"/>
      <c r="D230" s="391">
        <f t="shared" si="77"/>
        <v>53.910496134867415</v>
      </c>
      <c r="E230" s="383">
        <f t="shared" si="75"/>
        <v>54.864296301725901</v>
      </c>
      <c r="F230" s="383">
        <f t="shared" si="78"/>
        <v>54.89524463735539</v>
      </c>
      <c r="G230" s="110">
        <f t="shared" si="76"/>
        <v>0.9743849378966295</v>
      </c>
      <c r="H230" s="412" t="b">
        <f>Wh_hp&gt;='2026'!Maxi_hp</f>
        <v>0</v>
      </c>
      <c r="I230" s="388">
        <f>IF(H230,Wh_hp,'2026'!Maxi_hp)</f>
        <v>54.940621976631377</v>
      </c>
      <c r="J230" s="85">
        <f>IF(H230,An,'2026'!An_max)</f>
        <v>2018</v>
      </c>
      <c r="K230" s="197">
        <f t="shared" si="79"/>
        <v>46603</v>
      </c>
      <c r="L230" s="147">
        <f>IF(t&lt;Tvie,1-EXP((T0-t)*PertePVj)+'2026'!Pspv,1-EXP((T0-t)*PertePVj)+Pspv)</f>
        <v>5.8186475336903021E-2</v>
      </c>
      <c r="M230" s="832"/>
      <c r="N230" s="832"/>
      <c r="O230" s="48">
        <f>IF(t&lt;Tnet,'2026'!Resal+('2026'!Salim-'2026'!Resal)*(1-EXP(('2026'!Tnet-t)/('2026'!Tau_j))),Resal+(Salim-Resal)*(1-EXP((Tnet-t)/(Tau_j))))*Salcycl</f>
        <v>1.7384715218309987E-2</v>
      </c>
      <c r="P230" s="169">
        <f>(INDEX(Models!$BJ230:$BT230,,T230)*(1-R230)+INDEX(Models!$BJ230:$BT230,,T230+1)*R230-ERP_i)*Q230*Ramure*Pc/MaxiM</f>
        <v>5.8516631511692163E-4</v>
      </c>
      <c r="Q230" s="304">
        <f t="shared" si="80"/>
        <v>0.7</v>
      </c>
      <c r="R230" s="177">
        <f t="shared" si="81"/>
        <v>0.54122721531863049</v>
      </c>
      <c r="S230" s="799">
        <f t="shared" si="82"/>
        <v>-1</v>
      </c>
      <c r="T230" s="176">
        <f t="shared" si="83"/>
        <v>5</v>
      </c>
      <c r="U230" s="250">
        <f t="shared" si="84"/>
        <v>-0.45877278468136951</v>
      </c>
      <c r="V230" s="382">
        <f t="shared" si="85"/>
        <v>52.10727861777076</v>
      </c>
      <c r="W230" s="400">
        <f t="shared" si="86"/>
        <v>50.773634381115748</v>
      </c>
      <c r="X230" s="157">
        <f t="shared" si="87"/>
        <v>46603</v>
      </c>
      <c r="Y230" s="383">
        <f t="shared" si="88"/>
        <v>47.980211267868746</v>
      </c>
      <c r="Z230" s="383">
        <f t="shared" si="89"/>
        <v>50.944491676345486</v>
      </c>
      <c r="AA230" s="384">
        <f t="shared" si="90"/>
        <v>54.532648955405364</v>
      </c>
      <c r="AB230" s="197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6.5798330867699706E-2</v>
      </c>
      <c r="AD230" s="230">
        <f>(INDEX(Models!$BJ230:$BT230,,AH230)*(1-AF230)+INDEX(Models!$BJ230:$BT230,,AH230+1)*AF230-ERP_i)*AE230*Ramure*Pc/MaxiM</f>
        <v>6.8559027414005162E-3</v>
      </c>
      <c r="AE230" s="304">
        <f t="shared" si="92"/>
        <v>0.7</v>
      </c>
      <c r="AF230" s="177">
        <f t="shared" si="93"/>
        <v>0.29688504615798106</v>
      </c>
      <c r="AG230" s="799">
        <f t="shared" si="99"/>
        <v>2</v>
      </c>
      <c r="AH230" s="176">
        <f t="shared" si="94"/>
        <v>8</v>
      </c>
      <c r="AI230" s="224">
        <f t="shared" si="95"/>
        <v>2.2968850461579811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46604</v>
      </c>
      <c r="B231" s="409">
        <f>'2026'!Wh/'2026'!Env_an*'2027'!Env_an</f>
        <v>40.995595641846663</v>
      </c>
      <c r="C231" s="829"/>
      <c r="D231" s="391">
        <f t="shared" si="77"/>
        <v>43.529191559239031</v>
      </c>
      <c r="E231" s="383">
        <f t="shared" si="75"/>
        <v>44.303755612026286</v>
      </c>
      <c r="F231" s="383">
        <f t="shared" si="78"/>
        <v>44.323320880922296</v>
      </c>
      <c r="G231" s="110">
        <f t="shared" si="76"/>
        <v>0.78867074256134473</v>
      </c>
      <c r="H231" s="412" t="b">
        <f>Wh_hp&gt;='2026'!Maxi_hp</f>
        <v>0</v>
      </c>
      <c r="I231" s="388">
        <f>IF(H231,Wh_hp,'2026'!Maxi_hp)</f>
        <v>53.590627988169963</v>
      </c>
      <c r="J231" s="85">
        <f>IF(H231,An,'2026'!An_max)</f>
        <v>2018</v>
      </c>
      <c r="K231" s="197">
        <f t="shared" si="79"/>
        <v>46604</v>
      </c>
      <c r="L231" s="147">
        <f>IF(t&lt;Tvie,1-EXP((T0-t)*PertePVj)+'2026'!Pspv,1-EXP((T0-t)*PertePVj)+Pspv)</f>
        <v>5.8204524978241023E-2</v>
      </c>
      <c r="M231" s="832"/>
      <c r="N231" s="832"/>
      <c r="O231" s="48">
        <f>IF(t&lt;Tnet,'2026'!Resal+('2026'!Salim-'2026'!Resal)*(1-EXP(('2026'!Tnet-t)/('2026'!Tau_j))),Resal+(Salim-Resal)*(1-EXP((Tnet-t)/(Tau_j))))*Salcycl</f>
        <v>1.7483033708704465E-2</v>
      </c>
      <c r="P231" s="169">
        <f>(INDEX(Models!$BJ231:$BT231,,T231)*(1-R231)+INDEX(Models!$BJ231:$BT231,,T231+1)*R231-ERP_i)*Q231*Ramure*Pc/MaxiM</f>
        <v>6.3212286846856349E-4</v>
      </c>
      <c r="Q231" s="304">
        <f t="shared" si="80"/>
        <v>0.7</v>
      </c>
      <c r="R231" s="177">
        <f t="shared" si="81"/>
        <v>0.54261254169754436</v>
      </c>
      <c r="S231" s="799">
        <f t="shared" si="82"/>
        <v>-1</v>
      </c>
      <c r="T231" s="176">
        <f t="shared" si="83"/>
        <v>5</v>
      </c>
      <c r="U231" s="250">
        <f t="shared" si="84"/>
        <v>-0.45738745830245564</v>
      </c>
      <c r="V231" s="382">
        <f t="shared" si="85"/>
        <v>51.970704710018012</v>
      </c>
      <c r="W231" s="400">
        <f t="shared" si="86"/>
        <v>40.995595641846663</v>
      </c>
      <c r="X231" s="157">
        <f t="shared" si="87"/>
        <v>46604</v>
      </c>
      <c r="Y231" s="383">
        <f t="shared" si="88"/>
        <v>38.803291974806044</v>
      </c>
      <c r="Z231" s="383">
        <f t="shared" si="89"/>
        <v>41.201399883461477</v>
      </c>
      <c r="AA231" s="384">
        <f t="shared" si="90"/>
        <v>44.1052352737332</v>
      </c>
      <c r="AB231" s="197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6.5838791523261664E-2</v>
      </c>
      <c r="AD231" s="230">
        <f>(INDEX(Models!$BJ231:$BT231,,AH231)*(1-AF231)+INDEX(Models!$BJ231:$BT231,,AH231+1)*AF231-ERP_i)*AE231*Ramure*Pc/MaxiM</f>
        <v>7.0460007639460958E-3</v>
      </c>
      <c r="AE231" s="304">
        <f t="shared" si="92"/>
        <v>0.7</v>
      </c>
      <c r="AF231" s="177">
        <f t="shared" si="93"/>
        <v>0.29827037253689515</v>
      </c>
      <c r="AG231" s="799">
        <f t="shared" si="99"/>
        <v>2</v>
      </c>
      <c r="AH231" s="176">
        <f t="shared" si="94"/>
        <v>8</v>
      </c>
      <c r="AI231" s="224">
        <f t="shared" si="95"/>
        <v>2.2982703725368951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46605</v>
      </c>
      <c r="B232" s="409">
        <f>'2026'!Wh/'2026'!Env_an*'2027'!Env_an</f>
        <v>48.634972576609478</v>
      </c>
      <c r="C232" s="829"/>
      <c r="D232" s="391">
        <f t="shared" si="77"/>
        <v>51.641684381105385</v>
      </c>
      <c r="E232" s="383">
        <f t="shared" si="75"/>
        <v>52.565854682975313</v>
      </c>
      <c r="F232" s="383">
        <f t="shared" si="78"/>
        <v>52.598473134455489</v>
      </c>
      <c r="G232" s="110">
        <f t="shared" si="76"/>
        <v>0.93822639978758648</v>
      </c>
      <c r="H232" s="412" t="b">
        <f>Wh_hp&gt;='2026'!Maxi_hp</f>
        <v>0</v>
      </c>
      <c r="I232" s="388">
        <f>IF(H232,Wh_hp,'2026'!Maxi_hp)</f>
        <v>56.645072121276598</v>
      </c>
      <c r="J232" s="85">
        <f>IF(H232,An,'2026'!An_max)</f>
        <v>2020</v>
      </c>
      <c r="K232" s="197">
        <f t="shared" si="79"/>
        <v>46605</v>
      </c>
      <c r="L232" s="147">
        <f>IF(t&lt;Tvie,1-EXP((T0-t)*PertePVj)+'2026'!Pspv,1-EXP((T0-t)*PertePVj)+Pspv)</f>
        <v>5.8222574273661731E-2</v>
      </c>
      <c r="M232" s="832"/>
      <c r="N232" s="832"/>
      <c r="O232" s="48">
        <f>IF(t&lt;Tnet,'2026'!Resal+('2026'!Salim-'2026'!Resal)*(1-EXP(('2026'!Tnet-t)/('2026'!Tau_j))),Resal+(Salim-Resal)*(1-EXP((Tnet-t)/(Tau_j))))*Salcycl</f>
        <v>1.7581190440897444E-2</v>
      </c>
      <c r="P232" s="169">
        <f>(INDEX(Models!$BJ232:$BT232,,T232)*(1-R232)+INDEX(Models!$BJ232:$BT232,,T232+1)*R232-ERP_i)*Q232*Ramure*Pc/MaxiM</f>
        <v>6.8010375209076493E-4</v>
      </c>
      <c r="Q232" s="304">
        <f t="shared" si="80"/>
        <v>0.7</v>
      </c>
      <c r="R232" s="177">
        <f t="shared" si="81"/>
        <v>0.54395207554516956</v>
      </c>
      <c r="S232" s="799">
        <f t="shared" si="82"/>
        <v>-1</v>
      </c>
      <c r="T232" s="176">
        <f t="shared" si="83"/>
        <v>5</v>
      </c>
      <c r="U232" s="250">
        <f t="shared" si="84"/>
        <v>-0.45604792445483044</v>
      </c>
      <c r="V232" s="382">
        <f t="shared" si="85"/>
        <v>51.834029051306409</v>
      </c>
      <c r="W232" s="400">
        <f t="shared" si="86"/>
        <v>48.634972576609478</v>
      </c>
      <c r="X232" s="157">
        <f t="shared" si="87"/>
        <v>46605</v>
      </c>
      <c r="Y232" s="383">
        <f t="shared" si="88"/>
        <v>45.967733794064863</v>
      </c>
      <c r="Z232" s="383">
        <f t="shared" si="89"/>
        <v>48.809551533487458</v>
      </c>
      <c r="AA232" s="384">
        <f t="shared" si="90"/>
        <v>52.251853761335383</v>
      </c>
      <c r="AB232" s="197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6.5879045049213339E-2</v>
      </c>
      <c r="AD232" s="230">
        <f>(INDEX(Models!$BJ232:$BT232,,AH232)*(1-AF232)+INDEX(Models!$BJ232:$BT232,,AH232+1)*AF232-ERP_i)*AE232*Ramure*Pc/MaxiM</f>
        <v>7.227109979442127E-3</v>
      </c>
      <c r="AE232" s="304">
        <f t="shared" si="92"/>
        <v>0.7</v>
      </c>
      <c r="AF232" s="177">
        <f t="shared" si="93"/>
        <v>0.29960990638452056</v>
      </c>
      <c r="AG232" s="799">
        <f t="shared" si="99"/>
        <v>2</v>
      </c>
      <c r="AH232" s="176">
        <f t="shared" si="94"/>
        <v>8</v>
      </c>
      <c r="AI232" s="224">
        <f t="shared" si="95"/>
        <v>2.2996099063845206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46606</v>
      </c>
      <c r="B233" s="409">
        <f>'2026'!Wh/'2026'!Env_an*'2027'!Env_an</f>
        <v>51.479924480052873</v>
      </c>
      <c r="C233" s="829"/>
      <c r="D233" s="391">
        <f t="shared" si="77"/>
        <v>54.663564546862204</v>
      </c>
      <c r="E233" s="383">
        <f t="shared" ref="E233:E296" si="100">Wh_pvt/(1-Psa)</f>
        <v>55.647364648734076</v>
      </c>
      <c r="F233" s="383">
        <f t="shared" si="78"/>
        <v>55.687722389101538</v>
      </c>
      <c r="G233" s="110">
        <f t="shared" ref="G233:G296" si="101">+Wh_hp/MaxiM</f>
        <v>0.99578209547847507</v>
      </c>
      <c r="H233" s="412" t="b">
        <f>Wh_hp&gt;='2026'!Maxi_hp</f>
        <v>0</v>
      </c>
      <c r="I233" s="388">
        <f>IF(H233,Wh_hp,'2026'!Maxi_hp)</f>
        <v>55.687875457776215</v>
      </c>
      <c r="J233" s="85">
        <f>IF(H233,An,'2026'!An_max)</f>
        <v>2026</v>
      </c>
      <c r="K233" s="197">
        <f t="shared" si="79"/>
        <v>46606</v>
      </c>
      <c r="L233" s="147">
        <f>IF(t&lt;Tvie,1-EXP((T0-t)*PertePVj)+'2026'!Pspv,1-EXP((T0-t)*PertePVj)+Pspv)</f>
        <v>5.8240623223171806E-2</v>
      </c>
      <c r="M233" s="832"/>
      <c r="N233" s="832"/>
      <c r="O233" s="48">
        <f>IF(t&lt;Tnet,'2026'!Resal+('2026'!Salim-'2026'!Resal)*(1-EXP(('2026'!Tnet-t)/('2026'!Tau_j))),Resal+(Salim-Resal)*(1-EXP((Tnet-t)/(Tau_j))))*Salcycl</f>
        <v>1.7679185853309732E-2</v>
      </c>
      <c r="P233" s="169">
        <f>(INDEX(Models!$BJ233:$BT233,,T233)*(1-R233)+INDEX(Models!$BJ233:$BT233,,T233+1)*R233-ERP_i)*Q233*Ramure*Pc/MaxiM</f>
        <v>7.2910394428949365E-4</v>
      </c>
      <c r="Q233" s="304">
        <f t="shared" si="80"/>
        <v>0.7</v>
      </c>
      <c r="R233" s="177">
        <f t="shared" si="81"/>
        <v>0.54524697464882044</v>
      </c>
      <c r="S233" s="799">
        <f t="shared" si="82"/>
        <v>-1</v>
      </c>
      <c r="T233" s="176">
        <f t="shared" si="83"/>
        <v>5</v>
      </c>
      <c r="U233" s="250">
        <f t="shared" si="84"/>
        <v>-0.45475302535117956</v>
      </c>
      <c r="V233" s="382">
        <f t="shared" si="85"/>
        <v>51.697754578147332</v>
      </c>
      <c r="W233" s="400">
        <f t="shared" si="86"/>
        <v>51.479924480052873</v>
      </c>
      <c r="X233" s="157">
        <f t="shared" si="87"/>
        <v>46606</v>
      </c>
      <c r="Y233" s="383">
        <f t="shared" si="88"/>
        <v>48.627064172750565</v>
      </c>
      <c r="Z233" s="383">
        <f t="shared" si="89"/>
        <v>51.634276622948754</v>
      </c>
      <c r="AA233" s="384">
        <f t="shared" si="90"/>
        <v>55.278163103582365</v>
      </c>
      <c r="AB233" s="197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6.5919094920096233E-2</v>
      </c>
      <c r="AD233" s="230">
        <f>(INDEX(Models!$BJ233:$BT233,,AH233)*(1-AF233)+INDEX(Models!$BJ233:$BT233,,AH233+1)*AF233-ERP_i)*AE233*Ramure*Pc/MaxiM</f>
        <v>7.3991082695295364E-3</v>
      </c>
      <c r="AE233" s="304">
        <f t="shared" si="92"/>
        <v>0.7</v>
      </c>
      <c r="AF233" s="177">
        <f t="shared" si="93"/>
        <v>0.30090480548817133</v>
      </c>
      <c r="AG233" s="799">
        <f t="shared" si="99"/>
        <v>2</v>
      </c>
      <c r="AH233" s="176">
        <f t="shared" si="94"/>
        <v>8</v>
      </c>
      <c r="AI233" s="224">
        <f t="shared" si="95"/>
        <v>2.3009048054881713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46607</v>
      </c>
      <c r="B234" s="409">
        <f>'2026'!Wh/'2026'!Env_an*'2027'!Env_an</f>
        <v>52.420583641853455</v>
      </c>
      <c r="C234" s="829"/>
      <c r="D234" s="391">
        <f t="shared" si="77"/>
        <v>55.663463069565225</v>
      </c>
      <c r="E234" s="383">
        <f t="shared" si="100"/>
        <v>56.67090284651259</v>
      </c>
      <c r="F234" s="383">
        <f t="shared" si="78"/>
        <v>56.714919727372148</v>
      </c>
      <c r="G234" s="110">
        <f t="shared" si="101"/>
        <v>1.0166461290976148</v>
      </c>
      <c r="H234" s="412" t="b">
        <f>Wh_hp&gt;='2026'!Maxi_hp</f>
        <v>0</v>
      </c>
      <c r="I234" s="388">
        <f>IF(H234,Wh_hp,'2026'!Maxi_hp)</f>
        <v>56.714919727372155</v>
      </c>
      <c r="J234" s="85">
        <f>IF(H234,An,'2026'!An_max)</f>
        <v>2026</v>
      </c>
      <c r="K234" s="197">
        <f t="shared" si="79"/>
        <v>46607</v>
      </c>
      <c r="L234" s="147">
        <f>IF(t&lt;Tvie,1-EXP((T0-t)*PertePVj)+'2026'!Pspv,1-EXP((T0-t)*PertePVj)+Pspv)</f>
        <v>5.8258671826777908E-2</v>
      </c>
      <c r="M234" s="832"/>
      <c r="N234" s="832"/>
      <c r="O234" s="48">
        <f>IF(t&lt;Tnet,'2026'!Resal+('2026'!Salim-'2026'!Resal)*(1-EXP(('2026'!Tnet-t)/('2026'!Tau_j))),Resal+(Salim-Resal)*(1-EXP((Tnet-t)/(Tau_j))))*Salcycl</f>
        <v>1.7777020063998464E-2</v>
      </c>
      <c r="P234" s="169">
        <f>(INDEX(Models!$BJ234:$BT234,,T234)*(1-R234)+INDEX(Models!$BJ234:$BT234,,T234+1)*R234-ERP_i)*Q234*Ramure*Pc/MaxiM</f>
        <v>7.7610761103325291E-4</v>
      </c>
      <c r="Q234" s="304">
        <f t="shared" si="80"/>
        <v>0.7</v>
      </c>
      <c r="R234" s="177">
        <f t="shared" si="81"/>
        <v>0.54649839379515763</v>
      </c>
      <c r="S234" s="799">
        <f t="shared" si="82"/>
        <v>-1</v>
      </c>
      <c r="T234" s="176">
        <f t="shared" si="83"/>
        <v>5</v>
      </c>
      <c r="U234" s="250">
        <f t="shared" si="84"/>
        <v>-0.45350160620484237</v>
      </c>
      <c r="V234" s="382">
        <f t="shared" si="85"/>
        <v>51.56227141530799</v>
      </c>
      <c r="W234" s="400">
        <f t="shared" si="86"/>
        <v>52.420583641853455</v>
      </c>
      <c r="X234" s="157">
        <f t="shared" si="87"/>
        <v>46607</v>
      </c>
      <c r="Y234" s="383">
        <f t="shared" si="88"/>
        <v>49.510455138559202</v>
      </c>
      <c r="Z234" s="383">
        <f t="shared" si="89"/>
        <v>52.57330612706459</v>
      </c>
      <c r="AA234" s="384">
        <f t="shared" si="90"/>
        <v>56.285862117555205</v>
      </c>
      <c r="AB234" s="197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6.5958943344188142E-2</v>
      </c>
      <c r="AD234" s="230">
        <f>(INDEX(Models!$BJ234:$BT234,,AH234)*(1-AF234)+INDEX(Models!$BJ234:$BT234,,AH234+1)*AF234-ERP_i)*AE234*Ramure*Pc/MaxiM</f>
        <v>7.5651629567567357E-3</v>
      </c>
      <c r="AE234" s="304">
        <f t="shared" si="92"/>
        <v>0.7</v>
      </c>
      <c r="AF234" s="177">
        <f t="shared" si="93"/>
        <v>0.30215622463450842</v>
      </c>
      <c r="AG234" s="799">
        <f t="shared" si="99"/>
        <v>2</v>
      </c>
      <c r="AH234" s="176">
        <f t="shared" si="94"/>
        <v>8</v>
      </c>
      <c r="AI234" s="224">
        <f t="shared" si="95"/>
        <v>2.3021562246345084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46608</v>
      </c>
      <c r="B235" s="409">
        <f>'2026'!Wh/'2026'!Env_an*'2027'!Env_an</f>
        <v>50.711316048873847</v>
      </c>
      <c r="C235" s="829"/>
      <c r="D235" s="391">
        <f t="shared" si="77"/>
        <v>53.849487562231033</v>
      </c>
      <c r="E235" s="383">
        <f t="shared" si="100"/>
        <v>54.829548909792123</v>
      </c>
      <c r="F235" s="383">
        <f t="shared" si="78"/>
        <v>54.873628462794045</v>
      </c>
      <c r="G235" s="110">
        <f t="shared" si="101"/>
        <v>0.98606059603011453</v>
      </c>
      <c r="H235" s="412" t="b">
        <f>Wh_hp&gt;='2026'!Maxi_hp</f>
        <v>0</v>
      </c>
      <c r="I235" s="388">
        <f>IF(H235,Wh_hp,'2026'!Maxi_hp)</f>
        <v>54.928479355291955</v>
      </c>
      <c r="J235" s="85">
        <f>IF(H235,An,'2026'!An_max)</f>
        <v>2018</v>
      </c>
      <c r="K235" s="197">
        <f t="shared" si="79"/>
        <v>46608</v>
      </c>
      <c r="L235" s="147">
        <f>IF(t&lt;Tvie,1-EXP((T0-t)*PertePVj)+'2026'!Pspv,1-EXP((T0-t)*PertePVj)+Pspv)</f>
        <v>5.8276720084486699E-2</v>
      </c>
      <c r="M235" s="832"/>
      <c r="N235" s="832"/>
      <c r="O235" s="48">
        <f>IF(t&lt;Tnet,'2026'!Resal+('2026'!Salim-'2026'!Resal)*(1-EXP(('2026'!Tnet-t)/('2026'!Tau_j))),Resal+(Salim-Resal)*(1-EXP((Tnet-t)/(Tau_j))))*Salcycl</f>
        <v>1.7874692880904878E-2</v>
      </c>
      <c r="P235" s="169">
        <f>(INDEX(Models!$BJ235:$BT235,,T235)*(1-R235)+INDEX(Models!$BJ235:$BT235,,T235+1)*R235-ERP_i)*Q235*Ramure*Pc/MaxiM</f>
        <v>8.1959421263155937E-4</v>
      </c>
      <c r="Q235" s="304">
        <f t="shared" si="80"/>
        <v>0.7</v>
      </c>
      <c r="R235" s="177">
        <f t="shared" si="81"/>
        <v>0.54770748249006029</v>
      </c>
      <c r="S235" s="799">
        <f t="shared" si="82"/>
        <v>-1</v>
      </c>
      <c r="T235" s="176">
        <f t="shared" si="83"/>
        <v>5</v>
      </c>
      <c r="U235" s="250">
        <f t="shared" si="84"/>
        <v>-0.45229251750993971</v>
      </c>
      <c r="V235" s="382">
        <f t="shared" si="85"/>
        <v>51.427355364907861</v>
      </c>
      <c r="W235" s="400">
        <f t="shared" si="86"/>
        <v>50.711316048873847</v>
      </c>
      <c r="X235" s="157">
        <f t="shared" si="87"/>
        <v>46608</v>
      </c>
      <c r="Y235" s="383">
        <f t="shared" si="88"/>
        <v>47.899557753122309</v>
      </c>
      <c r="Z235" s="383">
        <f t="shared" si="89"/>
        <v>50.863729053634117</v>
      </c>
      <c r="AA235" s="384">
        <f t="shared" si="90"/>
        <v>54.457871885017447</v>
      </c>
      <c r="AB235" s="197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6.5998591332617845E-2</v>
      </c>
      <c r="AD235" s="230">
        <f>(INDEX(Models!$BJ235:$BT235,,AH235)*(1-AF235)+INDEX(Models!$BJ235:$BT235,,AH235+1)*AF235-ERP_i)*AE235*Ramure*Pc/MaxiM</f>
        <v>7.7303797748202036E-3</v>
      </c>
      <c r="AE235" s="304">
        <f t="shared" si="92"/>
        <v>0.7</v>
      </c>
      <c r="AF235" s="177">
        <f t="shared" si="93"/>
        <v>0.30336531332941119</v>
      </c>
      <c r="AG235" s="799">
        <f t="shared" si="99"/>
        <v>2</v>
      </c>
      <c r="AH235" s="176">
        <f t="shared" si="94"/>
        <v>8</v>
      </c>
      <c r="AI235" s="224">
        <f t="shared" si="95"/>
        <v>2.3033653133294112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46609</v>
      </c>
      <c r="B236" s="409">
        <f>'2026'!Wh/'2026'!Env_an*'2027'!Env_an</f>
        <v>49.314544087895705</v>
      </c>
      <c r="C236" s="829"/>
      <c r="D236" s="391">
        <f t="shared" si="77"/>
        <v>52.367282682467021</v>
      </c>
      <c r="E236" s="383">
        <f t="shared" si="100"/>
        <v>53.325662354795931</v>
      </c>
      <c r="F236" s="383">
        <f t="shared" si="78"/>
        <v>53.369006507421872</v>
      </c>
      <c r="G236" s="110">
        <f t="shared" si="101"/>
        <v>0.96138828786181085</v>
      </c>
      <c r="H236" s="412" t="b">
        <f>Wh_hp&gt;='2026'!Maxi_hp</f>
        <v>0</v>
      </c>
      <c r="I236" s="388">
        <f>IF(H236,Wh_hp,'2026'!Maxi_hp)</f>
        <v>53.370561745499188</v>
      </c>
      <c r="J236" s="85">
        <f>IF(H236,An,'2026'!An_max)</f>
        <v>2026</v>
      </c>
      <c r="K236" s="197">
        <f t="shared" si="79"/>
        <v>46609</v>
      </c>
      <c r="L236" s="147">
        <f>IF(t&lt;Tvie,1-EXP((T0-t)*PertePVj)+'2026'!Pspv,1-EXP((T0-t)*PertePVj)+Pspv)</f>
        <v>5.8294767996304619E-2</v>
      </c>
      <c r="M236" s="832"/>
      <c r="N236" s="832"/>
      <c r="O236" s="48">
        <f>IF(t&lt;Tnet,'2026'!Resal+('2026'!Salim-'2026'!Resal)*(1-EXP(('2026'!Tnet-t)/('2026'!Tau_j))),Resal+(Salim-Resal)*(1-EXP((Tnet-t)/(Tau_j))))*Salcycl</f>
        <v>1.7972203813474422E-2</v>
      </c>
      <c r="P236" s="169">
        <f>(INDEX(Models!$BJ236:$BT236,,T236)*(1-R236)+INDEX(Models!$BJ236:$BT236,,T236+1)*R236-ERP_i)*Q236*Ramure*Pc/MaxiM</f>
        <v>8.5951412823874278E-4</v>
      </c>
      <c r="Q236" s="304">
        <f t="shared" si="80"/>
        <v>0.7</v>
      </c>
      <c r="R236" s="177">
        <f t="shared" si="81"/>
        <v>0.54887538286277804</v>
      </c>
      <c r="S236" s="799">
        <f t="shared" si="82"/>
        <v>-1</v>
      </c>
      <c r="T236" s="176">
        <f t="shared" si="83"/>
        <v>5</v>
      </c>
      <c r="U236" s="250">
        <f t="shared" si="84"/>
        <v>-0.45112461713722196</v>
      </c>
      <c r="V236" s="382">
        <f t="shared" si="85"/>
        <v>51.292706128105571</v>
      </c>
      <c r="W236" s="400">
        <f t="shared" si="86"/>
        <v>49.314544087895705</v>
      </c>
      <c r="X236" s="157">
        <f t="shared" si="87"/>
        <v>46609</v>
      </c>
      <c r="Y236" s="383">
        <f t="shared" si="88"/>
        <v>46.588782503829194</v>
      </c>
      <c r="Z236" s="383">
        <f t="shared" si="89"/>
        <v>49.472787153046603</v>
      </c>
      <c r="AA236" s="384">
        <f t="shared" si="90"/>
        <v>52.970880192980133</v>
      </c>
      <c r="AB236" s="197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6.6038038771292731E-2</v>
      </c>
      <c r="AD236" s="230">
        <f>(INDEX(Models!$BJ236:$BT236,,AH236)*(1-AF236)+INDEX(Models!$BJ236:$BT236,,AH236+1)*AF236-ERP_i)*AE236*Ramure*Pc/MaxiM</f>
        <v>7.8948409728848423E-3</v>
      </c>
      <c r="AE236" s="304">
        <f t="shared" si="92"/>
        <v>0.7</v>
      </c>
      <c r="AF236" s="177">
        <f t="shared" si="93"/>
        <v>0.30453321370212905</v>
      </c>
      <c r="AG236" s="799">
        <f t="shared" si="99"/>
        <v>2</v>
      </c>
      <c r="AH236" s="176">
        <f t="shared" si="94"/>
        <v>8</v>
      </c>
      <c r="AI236" s="224">
        <f t="shared" si="95"/>
        <v>2.304533213702129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46610</v>
      </c>
      <c r="B237" s="409">
        <f>'2026'!Wh/'2026'!Env_an*'2027'!Env_an</f>
        <v>47.194106794840351</v>
      </c>
      <c r="C237" s="829"/>
      <c r="D237" s="391">
        <f t="shared" si="77"/>
        <v>50.116543555828251</v>
      </c>
      <c r="E237" s="383">
        <f t="shared" si="100"/>
        <v>51.038791660104785</v>
      </c>
      <c r="F237" s="383">
        <f t="shared" si="78"/>
        <v>51.079484678714472</v>
      </c>
      <c r="G237" s="110">
        <f t="shared" si="101"/>
        <v>0.92242467799845118</v>
      </c>
      <c r="H237" s="412" t="b">
        <f>Wh_hp&gt;='2026'!Maxi_hp</f>
        <v>0</v>
      </c>
      <c r="I237" s="388">
        <f>IF(H237,Wh_hp,'2026'!Maxi_hp)</f>
        <v>51.137114320029383</v>
      </c>
      <c r="J237" s="85">
        <f>IF(H237,An,'2026'!An_max)</f>
        <v>2021</v>
      </c>
      <c r="K237" s="197">
        <f t="shared" si="79"/>
        <v>46610</v>
      </c>
      <c r="L237" s="147">
        <f>IF(t&lt;Tvie,1-EXP((T0-t)*PertePVj)+'2026'!Pspv,1-EXP((T0-t)*PertePVj)+Pspv)</f>
        <v>5.831281556223844E-2</v>
      </c>
      <c r="M237" s="832"/>
      <c r="N237" s="832"/>
      <c r="O237" s="48">
        <f>IF(t&lt;Tnet,'2026'!Resal+('2026'!Salim-'2026'!Resal)*(1-EXP(('2026'!Tnet-t)/('2026'!Tau_j))),Resal+(Salim-Resal)*(1-EXP((Tnet-t)/(Tau_j))))*Salcycl</f>
        <v>1.8069552085368389E-2</v>
      </c>
      <c r="P237" s="169">
        <f>(INDEX(Models!$BJ237:$BT237,,T237)*(1-R237)+INDEX(Models!$BJ237:$BT237,,T237+1)*R237-ERP_i)*Q237*Ramure*Pc/MaxiM</f>
        <v>8.9582001865221223E-4</v>
      </c>
      <c r="Q237" s="304">
        <f t="shared" si="80"/>
        <v>0.7</v>
      </c>
      <c r="R237" s="177">
        <f t="shared" si="81"/>
        <v>0.55000322774785204</v>
      </c>
      <c r="S237" s="799">
        <f t="shared" si="82"/>
        <v>-1</v>
      </c>
      <c r="T237" s="176">
        <f t="shared" si="83"/>
        <v>5</v>
      </c>
      <c r="U237" s="250">
        <f t="shared" si="84"/>
        <v>-0.44999677225214796</v>
      </c>
      <c r="V237" s="382">
        <f t="shared" si="85"/>
        <v>51.158023472629857</v>
      </c>
      <c r="W237" s="400">
        <f t="shared" si="86"/>
        <v>47.194106794840351</v>
      </c>
      <c r="X237" s="157">
        <f t="shared" si="87"/>
        <v>46610</v>
      </c>
      <c r="Y237" s="383">
        <f t="shared" si="88"/>
        <v>44.600577295329053</v>
      </c>
      <c r="Z237" s="383">
        <f t="shared" si="89"/>
        <v>47.362412946033693</v>
      </c>
      <c r="AA237" s="384">
        <f t="shared" si="90"/>
        <v>50.713417887474606</v>
      </c>
      <c r="AB237" s="197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6.6077284494535163E-2</v>
      </c>
      <c r="AD237" s="230">
        <f>(INDEX(Models!$BJ237:$BT237,,AH237)*(1-AF237)+INDEX(Models!$BJ237:$BT237,,AH237+1)*AF237-ERP_i)*AE237*Ramure*Pc/MaxiM</f>
        <v>8.0586294888041494E-3</v>
      </c>
      <c r="AE237" s="304">
        <f t="shared" si="92"/>
        <v>0.7</v>
      </c>
      <c r="AF237" s="177">
        <f t="shared" si="93"/>
        <v>0.30566105858720283</v>
      </c>
      <c r="AG237" s="799">
        <f t="shared" si="99"/>
        <v>2</v>
      </c>
      <c r="AH237" s="176">
        <f t="shared" si="94"/>
        <v>8</v>
      </c>
      <c r="AI237" s="224">
        <f t="shared" si="95"/>
        <v>2.3056610585872028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46611</v>
      </c>
      <c r="B238" s="409">
        <f>'2026'!Wh/'2026'!Env_an*'2027'!Env_an</f>
        <v>47.614349893686111</v>
      </c>
      <c r="C238" s="829"/>
      <c r="D238" s="391">
        <f t="shared" si="77"/>
        <v>50.563778732697401</v>
      </c>
      <c r="E238" s="383">
        <f t="shared" si="100"/>
        <v>51.499353933141833</v>
      </c>
      <c r="F238" s="383">
        <f t="shared" si="78"/>
        <v>51.542642330447272</v>
      </c>
      <c r="G238" s="110">
        <f t="shared" si="101"/>
        <v>0.93311095900910201</v>
      </c>
      <c r="H238" s="412" t="b">
        <f>Wh_hp&gt;='2026'!Maxi_hp</f>
        <v>0</v>
      </c>
      <c r="I238" s="388">
        <f>IF(H238,Wh_hp,'2026'!Maxi_hp)</f>
        <v>51.545419043772277</v>
      </c>
      <c r="J238" s="85">
        <f>IF(H238,An,'2026'!An_max)</f>
        <v>2026</v>
      </c>
      <c r="K238" s="197">
        <f t="shared" si="79"/>
        <v>46611</v>
      </c>
      <c r="L238" s="147">
        <f>IF(t&lt;Tvie,1-EXP((T0-t)*PertePVj)+'2026'!Pspv,1-EXP((T0-t)*PertePVj)+Pspv)</f>
        <v>5.8330862782294823E-2</v>
      </c>
      <c r="M238" s="832"/>
      <c r="N238" s="832"/>
      <c r="O238" s="48">
        <f>IF(t&lt;Tnet,'2026'!Resal+('2026'!Salim-'2026'!Resal)*(1-EXP(('2026'!Tnet-t)/('2026'!Tau_j))),Resal+(Salim-Resal)*(1-EXP((Tnet-t)/(Tau_j))))*Salcycl</f>
        <v>1.8166736647978722E-2</v>
      </c>
      <c r="P238" s="169">
        <f>(INDEX(Models!$BJ238:$BT238,,T238)*(1-R238)+INDEX(Models!$BJ238:$BT238,,T238+1)*R238-ERP_i)*Q238*Ramure*Pc/MaxiM</f>
        <v>9.2846656643203796E-4</v>
      </c>
      <c r="Q238" s="304">
        <f t="shared" si="80"/>
        <v>0.7</v>
      </c>
      <c r="R238" s="177">
        <f t="shared" si="81"/>
        <v>0.55109213893790487</v>
      </c>
      <c r="S238" s="799">
        <f t="shared" si="82"/>
        <v>-1</v>
      </c>
      <c r="T238" s="176">
        <f t="shared" si="83"/>
        <v>5</v>
      </c>
      <c r="U238" s="250">
        <f t="shared" si="84"/>
        <v>-0.44890786106209513</v>
      </c>
      <c r="V238" s="382">
        <f t="shared" si="85"/>
        <v>51.023007235048638</v>
      </c>
      <c r="W238" s="400">
        <f t="shared" si="86"/>
        <v>47.614349893686111</v>
      </c>
      <c r="X238" s="157">
        <f t="shared" si="87"/>
        <v>46611</v>
      </c>
      <c r="Y238" s="383">
        <f t="shared" si="88"/>
        <v>44.989981183565384</v>
      </c>
      <c r="Z238" s="383">
        <f t="shared" si="89"/>
        <v>47.776845821340871</v>
      </c>
      <c r="AA238" s="384">
        <f t="shared" si="90"/>
        <v>51.159311560814977</v>
      </c>
      <c r="AB238" s="197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6.6116326359342212E-2</v>
      </c>
      <c r="AD238" s="230">
        <f>(INDEX(Models!$BJ238:$BT238,,AH238)*(1-AF238)+INDEX(Models!$BJ238:$BT238,,AH238+1)*AF238-ERP_i)*AE238*Ramure*Pc/MaxiM</f>
        <v>8.221829072973379E-3</v>
      </c>
      <c r="AE238" s="304">
        <f t="shared" si="92"/>
        <v>0.7</v>
      </c>
      <c r="AF238" s="177">
        <f t="shared" si="93"/>
        <v>0.30674996977725577</v>
      </c>
      <c r="AG238" s="799">
        <f t="shared" si="99"/>
        <v>2</v>
      </c>
      <c r="AH238" s="176">
        <f t="shared" si="94"/>
        <v>8</v>
      </c>
      <c r="AI238" s="224">
        <f t="shared" si="95"/>
        <v>2.3067499697772558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46612</v>
      </c>
      <c r="B239" s="409">
        <f>'2026'!Wh/'2026'!Env_an*'2027'!Env_an</f>
        <v>35.783811922604698</v>
      </c>
      <c r="C239" s="829"/>
      <c r="D239" s="391">
        <f t="shared" si="77"/>
        <v>38.001136821867391</v>
      </c>
      <c r="E239" s="383">
        <f t="shared" si="100"/>
        <v>38.708091976478329</v>
      </c>
      <c r="F239" s="383">
        <f t="shared" si="78"/>
        <v>38.729449854643264</v>
      </c>
      <c r="G239" s="110">
        <f t="shared" si="101"/>
        <v>0.70291088925406509</v>
      </c>
      <c r="H239" s="412" t="b">
        <f>Wh_hp&gt;='2026'!Maxi_hp</f>
        <v>0</v>
      </c>
      <c r="I239" s="388">
        <f>IF(H239,Wh_hp,'2026'!Maxi_hp)</f>
        <v>44.585045141201746</v>
      </c>
      <c r="J239" s="85">
        <f>IF(H239,An,'2026'!An_max)</f>
        <v>2018</v>
      </c>
      <c r="K239" s="197">
        <f t="shared" si="79"/>
        <v>46612</v>
      </c>
      <c r="L239" s="147">
        <f>IF(t&lt;Tvie,1-EXP((T0-t)*PertePVj)+'2026'!Pspv,1-EXP((T0-t)*PertePVj)+Pspv)</f>
        <v>5.834890965648043E-2</v>
      </c>
      <c r="M239" s="832"/>
      <c r="N239" s="832"/>
      <c r="O239" s="48">
        <f>IF(t&lt;Tnet,'2026'!Resal+('2026'!Salim-'2026'!Resal)*(1-EXP(('2026'!Tnet-t)/('2026'!Tau_j))),Resal+(Salim-Resal)*(1-EXP((Tnet-t)/(Tau_j))))*Salcycl</f>
        <v>1.8263756194454948E-2</v>
      </c>
      <c r="P239" s="169">
        <f>(INDEX(Models!$BJ239:$BT239,,T239)*(1-R239)+INDEX(Models!$BJ239:$BT239,,T239+1)*R239-ERP_i)*Q239*Ramure*Pc/MaxiM</f>
        <v>9.574102125321914E-4</v>
      </c>
      <c r="Q239" s="304">
        <f t="shared" si="80"/>
        <v>0.7</v>
      </c>
      <c r="R239" s="177">
        <f t="shared" si="81"/>
        <v>0.55214322560009976</v>
      </c>
      <c r="S239" s="799">
        <f t="shared" si="82"/>
        <v>-1</v>
      </c>
      <c r="T239" s="176">
        <f t="shared" si="83"/>
        <v>5</v>
      </c>
      <c r="U239" s="250">
        <f t="shared" si="84"/>
        <v>-0.44785677439990024</v>
      </c>
      <c r="V239" s="382">
        <f t="shared" si="85"/>
        <v>50.887357321745199</v>
      </c>
      <c r="W239" s="400">
        <f t="shared" si="86"/>
        <v>35.783811922604698</v>
      </c>
      <c r="X239" s="157">
        <f t="shared" si="87"/>
        <v>46612</v>
      </c>
      <c r="Y239" s="383">
        <f t="shared" si="88"/>
        <v>33.89249825607687</v>
      </c>
      <c r="Z239" s="383">
        <f t="shared" si="89"/>
        <v>35.99262890856177</v>
      </c>
      <c r="AA239" s="384">
        <f t="shared" si="90"/>
        <v>38.542408136460168</v>
      </c>
      <c r="AB239" s="197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6.6155161319211217E-2</v>
      </c>
      <c r="AD239" s="230">
        <f>(INDEX(Models!$BJ239:$BT239,,AH239)*(1-AF239)+INDEX(Models!$BJ239:$BT239,,AH239+1)*AF239-ERP_i)*AE239*Ramure*Pc/MaxiM</f>
        <v>8.3845244258419112E-3</v>
      </c>
      <c r="AE239" s="304">
        <f t="shared" si="92"/>
        <v>0.7</v>
      </c>
      <c r="AF239" s="177">
        <f t="shared" si="93"/>
        <v>0.30780105643945044</v>
      </c>
      <c r="AG239" s="799">
        <f t="shared" si="99"/>
        <v>2</v>
      </c>
      <c r="AH239" s="176">
        <f t="shared" si="94"/>
        <v>8</v>
      </c>
      <c r="AI239" s="224">
        <f t="shared" si="95"/>
        <v>2.3078010564394504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46613</v>
      </c>
      <c r="B240" s="409">
        <f>'2026'!Wh/'2026'!Env_an*'2027'!Env_an</f>
        <v>35.65574184563836</v>
      </c>
      <c r="C240" s="829"/>
      <c r="D240" s="391">
        <f t="shared" si="77"/>
        <v>37.865856641110014</v>
      </c>
      <c r="E240" s="383">
        <f t="shared" si="100"/>
        <v>38.574100626958298</v>
      </c>
      <c r="F240" s="383">
        <f t="shared" si="78"/>
        <v>38.595930246069607</v>
      </c>
      <c r="G240" s="110">
        <f t="shared" si="101"/>
        <v>0.70227233678201051</v>
      </c>
      <c r="H240" s="412" t="b">
        <f>Wh_hp&gt;='2026'!Maxi_hp</f>
        <v>0</v>
      </c>
      <c r="I240" s="388">
        <f>IF(H240,Wh_hp,'2026'!Maxi_hp)</f>
        <v>56.167943192678834</v>
      </c>
      <c r="J240" s="85">
        <f>IF(H240,An,'2026'!An_max)</f>
        <v>2018</v>
      </c>
      <c r="K240" s="197">
        <f t="shared" si="79"/>
        <v>46613</v>
      </c>
      <c r="L240" s="147">
        <f>IF(t&lt;Tvie,1-EXP((T0-t)*PertePVj)+'2026'!Pspv,1-EXP((T0-t)*PertePVj)+Pspv)</f>
        <v>5.8366956184801699E-2</v>
      </c>
      <c r="M240" s="832"/>
      <c r="N240" s="832"/>
      <c r="O240" s="48">
        <f>IF(t&lt;Tnet,'2026'!Resal+('2026'!Salim-'2026'!Resal)*(1-EXP(('2026'!Tnet-t)/('2026'!Tau_j))),Resal+(Salim-Resal)*(1-EXP((Tnet-t)/(Tau_j))))*Salcycl</f>
        <v>1.8360609173952186E-2</v>
      </c>
      <c r="P240" s="169">
        <f>(INDEX(Models!$BJ240:$BT240,,T240)*(1-R240)+INDEX(Models!$BJ240:$BT240,,T240+1)*R240-ERP_i)*Q240*Ramure*Pc/MaxiM</f>
        <v>9.8347990327156149E-4</v>
      </c>
      <c r="Q240" s="304">
        <f t="shared" si="80"/>
        <v>0.7</v>
      </c>
      <c r="R240" s="177">
        <f t="shared" si="81"/>
        <v>0.55315758284885885</v>
      </c>
      <c r="S240" s="799">
        <f t="shared" si="82"/>
        <v>-1</v>
      </c>
      <c r="T240" s="176">
        <f t="shared" si="83"/>
        <v>5</v>
      </c>
      <c r="U240" s="250">
        <f t="shared" si="84"/>
        <v>-0.44684241715114109</v>
      </c>
      <c r="V240" s="382">
        <f t="shared" si="85"/>
        <v>50.750729464917981</v>
      </c>
      <c r="W240" s="400">
        <f t="shared" si="86"/>
        <v>35.65574184563836</v>
      </c>
      <c r="X240" s="157">
        <f t="shared" si="87"/>
        <v>46613</v>
      </c>
      <c r="Y240" s="383">
        <f t="shared" si="88"/>
        <v>33.770514709972559</v>
      </c>
      <c r="Z240" s="383">
        <f t="shared" si="89"/>
        <v>35.863774037862086</v>
      </c>
      <c r="AA240" s="384">
        <f t="shared" si="90"/>
        <v>38.406013454227569</v>
      </c>
      <c r="AB240" s="197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6.6193785496517041E-2</v>
      </c>
      <c r="AD240" s="230">
        <f>(INDEX(Models!$BJ240:$BT240,,AH240)*(1-AF240)+INDEX(Models!$BJ240:$BT240,,AH240+1)*AF240-ERP_i)*AE240*Ramure*Pc/MaxiM</f>
        <v>8.5562348622787027E-3</v>
      </c>
      <c r="AE240" s="304">
        <f t="shared" si="92"/>
        <v>0.7</v>
      </c>
      <c r="AF240" s="177">
        <f t="shared" si="93"/>
        <v>0.30881541368820953</v>
      </c>
      <c r="AG240" s="799">
        <f t="shared" si="99"/>
        <v>2</v>
      </c>
      <c r="AH240" s="176">
        <f t="shared" si="94"/>
        <v>8</v>
      </c>
      <c r="AI240" s="224">
        <f t="shared" si="95"/>
        <v>2.3088154136882095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46614</v>
      </c>
      <c r="B241" s="409">
        <f>'2026'!Wh/'2026'!Env_an*'2027'!Env_an</f>
        <v>33.300742511163442</v>
      </c>
      <c r="C241" s="829"/>
      <c r="D241" s="391">
        <f t="shared" si="77"/>
        <v>35.365560866047282</v>
      </c>
      <c r="E241" s="383">
        <f t="shared" si="100"/>
        <v>36.030588015037061</v>
      </c>
      <c r="F241" s="383">
        <f t="shared" si="78"/>
        <v>36.049159855070506</v>
      </c>
      <c r="G241" s="110">
        <f t="shared" si="101"/>
        <v>0.65762717067356213</v>
      </c>
      <c r="H241" s="412" t="b">
        <f>Wh_hp&gt;='2026'!Maxi_hp</f>
        <v>0</v>
      </c>
      <c r="I241" s="388">
        <f>IF(H241,Wh_hp,'2026'!Maxi_hp)</f>
        <v>48.01365532613444</v>
      </c>
      <c r="J241" s="85">
        <f>IF(H241,An,'2026'!An_max)</f>
        <v>2020</v>
      </c>
      <c r="K241" s="197">
        <f t="shared" si="79"/>
        <v>46614</v>
      </c>
      <c r="L241" s="147">
        <f>IF(t&lt;Tvie,1-EXP((T0-t)*PertePVj)+'2026'!Pspv,1-EXP((T0-t)*PertePVj)+Pspv)</f>
        <v>5.8385002367265404E-2</v>
      </c>
      <c r="M241" s="832"/>
      <c r="N241" s="832"/>
      <c r="O241" s="48">
        <f>IF(t&lt;Tnet,'2026'!Resal+('2026'!Salim-'2026'!Resal)*(1-EXP(('2026'!Tnet-t)/('2026'!Tau_j))),Resal+(Salim-Resal)*(1-EXP((Tnet-t)/(Tau_j))))*Salcycl</f>
        <v>1.8457293805814099E-2</v>
      </c>
      <c r="P241" s="169">
        <f>(INDEX(Models!$BJ241:$BT241,,T241)*(1-R241)+INDEX(Models!$BJ241:$BT241,,T241+1)*R241-ERP_i)*Q241*Ramure*Pc/MaxiM</f>
        <v>1.0074742438030103E-3</v>
      </c>
      <c r="Q241" s="304">
        <f t="shared" si="80"/>
        <v>0.7</v>
      </c>
      <c r="R241" s="177">
        <f t="shared" si="81"/>
        <v>0.55413629046729107</v>
      </c>
      <c r="S241" s="799">
        <f t="shared" si="82"/>
        <v>-1</v>
      </c>
      <c r="T241" s="176">
        <f t="shared" si="83"/>
        <v>5</v>
      </c>
      <c r="U241" s="250">
        <f t="shared" si="84"/>
        <v>-0.44586370953270893</v>
      </c>
      <c r="V241" s="382">
        <f t="shared" si="85"/>
        <v>50.612781546732556</v>
      </c>
      <c r="W241" s="400">
        <f t="shared" si="86"/>
        <v>33.300742511163442</v>
      </c>
      <c r="X241" s="157">
        <f t="shared" si="87"/>
        <v>46614</v>
      </c>
      <c r="Y241" s="383">
        <f t="shared" si="88"/>
        <v>31.55452388446869</v>
      </c>
      <c r="Z241" s="383">
        <f t="shared" si="89"/>
        <v>33.511067648453221</v>
      </c>
      <c r="AA241" s="384">
        <f t="shared" si="90"/>
        <v>35.888009248322916</v>
      </c>
      <c r="AB241" s="197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6.6232194252479323E-2</v>
      </c>
      <c r="AD241" s="230">
        <f>(INDEX(Models!$BJ241:$BT241,,AH241)*(1-AF241)+INDEX(Models!$BJ241:$BT241,,AH241+1)*AF241-ERP_i)*AE241*Ramure*Pc/MaxiM</f>
        <v>8.7420032360309031E-3</v>
      </c>
      <c r="AE241" s="304">
        <f t="shared" si="92"/>
        <v>0.7</v>
      </c>
      <c r="AF241" s="177">
        <f t="shared" si="93"/>
        <v>0.30979412130664175</v>
      </c>
      <c r="AG241" s="799">
        <f t="shared" si="99"/>
        <v>2</v>
      </c>
      <c r="AH241" s="176">
        <f t="shared" si="94"/>
        <v>8</v>
      </c>
      <c r="AI241" s="224">
        <f t="shared" si="95"/>
        <v>2.3097941213066417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46615</v>
      </c>
      <c r="B242" s="409">
        <f>'2026'!Wh/'2026'!Env_an*'2027'!Env_an</f>
        <v>38.286553154203979</v>
      </c>
      <c r="C242" s="829"/>
      <c r="D242" s="391">
        <f t="shared" si="77"/>
        <v>40.661296833184657</v>
      </c>
      <c r="E242" s="383">
        <f t="shared" si="100"/>
        <v>41.429980745245736</v>
      </c>
      <c r="F242" s="383">
        <f t="shared" si="78"/>
        <v>41.457936530982323</v>
      </c>
      <c r="G242" s="110">
        <f t="shared" si="101"/>
        <v>0.75828241384704009</v>
      </c>
      <c r="H242" s="412" t="b">
        <f>Wh_hp&gt;='2026'!Maxi_hp</f>
        <v>0</v>
      </c>
      <c r="I242" s="388">
        <f>IF(H242,Wh_hp,'2026'!Maxi_hp)</f>
        <v>56.53449474291795</v>
      </c>
      <c r="J242" s="85">
        <f>IF(H242,An,'2026'!An_max)</f>
        <v>2018</v>
      </c>
      <c r="K242" s="197">
        <f t="shared" si="79"/>
        <v>46615</v>
      </c>
      <c r="L242" s="147">
        <f>IF(t&lt;Tvie,1-EXP((T0-t)*PertePVj)+'2026'!Pspv,1-EXP((T0-t)*PertePVj)+Pspv)</f>
        <v>5.8403048203878094E-2</v>
      </c>
      <c r="M242" s="832"/>
      <c r="N242" s="832"/>
      <c r="O242" s="48">
        <f>IF(t&lt;Tnet,'2026'!Resal+('2026'!Salim-'2026'!Resal)*(1-EXP(('2026'!Tnet-t)/('2026'!Tau_j))),Resal+(Salim-Resal)*(1-EXP((Tnet-t)/(Tau_j))))*Salcycl</f>
        <v>1.8553808093412932E-2</v>
      </c>
      <c r="P242" s="169">
        <f>(INDEX(Models!$BJ242:$BT242,,T242)*(1-R242)+INDEX(Models!$BJ242:$BT242,,T242+1)*R242-ERP_i)*Q242*Ramure*Pc/MaxiM</f>
        <v>1.0293748174550147E-3</v>
      </c>
      <c r="Q242" s="304">
        <f t="shared" si="80"/>
        <v>0.7</v>
      </c>
      <c r="R242" s="177">
        <f t="shared" si="81"/>
        <v>0.55508041176970613</v>
      </c>
      <c r="S242" s="799">
        <f t="shared" si="82"/>
        <v>-1</v>
      </c>
      <c r="T242" s="176">
        <f t="shared" si="83"/>
        <v>5</v>
      </c>
      <c r="U242" s="250">
        <f t="shared" si="84"/>
        <v>-0.44491958823029393</v>
      </c>
      <c r="V242" s="382">
        <f t="shared" si="85"/>
        <v>50.473213326944936</v>
      </c>
      <c r="W242" s="400">
        <f t="shared" si="86"/>
        <v>38.286553154203979</v>
      </c>
      <c r="X242" s="157">
        <f t="shared" si="87"/>
        <v>46615</v>
      </c>
      <c r="Y242" s="383">
        <f t="shared" si="88"/>
        <v>36.236181384108207</v>
      </c>
      <c r="Z242" s="383">
        <f t="shared" si="89"/>
        <v>38.483749671222597</v>
      </c>
      <c r="AA242" s="384">
        <f t="shared" si="90"/>
        <v>41.21508940041354</v>
      </c>
      <c r="AB242" s="197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6.6270382253824173E-2</v>
      </c>
      <c r="AD242" s="230">
        <f>(INDEX(Models!$BJ242:$BT242,,AH242)*(1-AF242)+INDEX(Models!$BJ242:$BT242,,AH242+1)*AF242-ERP_i)*AE242*Ramure*Pc/MaxiM</f>
        <v>8.9420030277138664E-3</v>
      </c>
      <c r="AE242" s="304">
        <f t="shared" si="92"/>
        <v>0.7</v>
      </c>
      <c r="AF242" s="177">
        <f t="shared" si="93"/>
        <v>0.31073824260905702</v>
      </c>
      <c r="AG242" s="799">
        <f t="shared" si="99"/>
        <v>2</v>
      </c>
      <c r="AH242" s="176">
        <f t="shared" si="94"/>
        <v>8</v>
      </c>
      <c r="AI242" s="224">
        <f t="shared" si="95"/>
        <v>2.310738242609057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46616</v>
      </c>
      <c r="B243" s="409">
        <f>'2026'!Wh/'2026'!Env_an*'2027'!Env_an</f>
        <v>23.917269640057405</v>
      </c>
      <c r="C243" s="829"/>
      <c r="D243" s="391">
        <f t="shared" si="77"/>
        <v>25.401237729407086</v>
      </c>
      <c r="E243" s="383">
        <f t="shared" si="100"/>
        <v>25.883977793646025</v>
      </c>
      <c r="F243" s="383">
        <f t="shared" si="78"/>
        <v>25.890776189241098</v>
      </c>
      <c r="G243" s="110">
        <f t="shared" si="101"/>
        <v>0.47481885251357903</v>
      </c>
      <c r="H243" s="412" t="b">
        <f>Wh_hp&gt;='2026'!Maxi_hp</f>
        <v>0</v>
      </c>
      <c r="I243" s="388">
        <f>IF(H243,Wh_hp,'2026'!Maxi_hp)</f>
        <v>53.858600637454124</v>
      </c>
      <c r="J243" s="85">
        <f>IF(H243,An,'2026'!An_max)</f>
        <v>2018</v>
      </c>
      <c r="K243" s="197">
        <f t="shared" si="79"/>
        <v>46616</v>
      </c>
      <c r="L243" s="147">
        <f>IF(t&lt;Tvie,1-EXP((T0-t)*PertePVj)+'2026'!Pspv,1-EXP((T0-t)*PertePVj)+Pspv)</f>
        <v>5.8421093694646542E-2</v>
      </c>
      <c r="M243" s="832"/>
      <c r="N243" s="832"/>
      <c r="O243" s="48">
        <f>IF(t&lt;Tnet,'2026'!Resal+('2026'!Salim-'2026'!Resal)*(1-EXP(('2026'!Tnet-t)/('2026'!Tau_j))),Resal+(Salim-Resal)*(1-EXP((Tnet-t)/(Tau_j))))*Salcycl</f>
        <v>1.8650149837381017E-2</v>
      </c>
      <c r="P243" s="169">
        <f>(INDEX(Models!$BJ243:$BT243,,T243)*(1-R243)+INDEX(Models!$BJ243:$BT243,,T243+1)*R243-ERP_i)*Q243*Ramure*Pc/MaxiM</f>
        <v>1.0491638602988346E-3</v>
      </c>
      <c r="Q243" s="304">
        <f t="shared" si="80"/>
        <v>0.7</v>
      </c>
      <c r="R243" s="177">
        <f t="shared" si="81"/>
        <v>0.55599099259758822</v>
      </c>
      <c r="S243" s="799">
        <f t="shared" si="82"/>
        <v>-1</v>
      </c>
      <c r="T243" s="176">
        <f t="shared" si="83"/>
        <v>5</v>
      </c>
      <c r="U243" s="250">
        <f t="shared" si="84"/>
        <v>-0.44400900740241178</v>
      </c>
      <c r="V243" s="382">
        <f t="shared" si="85"/>
        <v>50.331724677709531</v>
      </c>
      <c r="W243" s="400">
        <f t="shared" si="86"/>
        <v>23.917269640057405</v>
      </c>
      <c r="X243" s="157">
        <f t="shared" si="87"/>
        <v>46616</v>
      </c>
      <c r="Y243" s="383">
        <f t="shared" si="88"/>
        <v>22.709568743076481</v>
      </c>
      <c r="Z243" s="383">
        <f t="shared" si="89"/>
        <v>24.118603965106011</v>
      </c>
      <c r="AA243" s="384">
        <f t="shared" si="90"/>
        <v>25.8314442440542</v>
      </c>
      <c r="AB243" s="197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6.6308343535319128E-2</v>
      </c>
      <c r="AD243" s="230">
        <f>(INDEX(Models!$BJ243:$BT243,,AH243)*(1-AF243)+INDEX(Models!$BJ243:$BT243,,AH243+1)*AF243-ERP_i)*AE243*Ramure*Pc/MaxiM</f>
        <v>9.1564151836705226E-3</v>
      </c>
      <c r="AE243" s="304">
        <f t="shared" si="92"/>
        <v>0.7</v>
      </c>
      <c r="AF243" s="177">
        <f t="shared" si="93"/>
        <v>0.311648823436939</v>
      </c>
      <c r="AG243" s="799">
        <f t="shared" si="99"/>
        <v>2</v>
      </c>
      <c r="AH243" s="176">
        <f t="shared" si="94"/>
        <v>8</v>
      </c>
      <c r="AI243" s="224">
        <f t="shared" si="95"/>
        <v>2.311648823436939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46617</v>
      </c>
      <c r="B244" s="409">
        <f>'2026'!Wh/'2026'!Env_an*'2027'!Env_an</f>
        <v>32.054321449262652</v>
      </c>
      <c r="C244" s="829"/>
      <c r="D244" s="391">
        <f t="shared" si="77"/>
        <v>34.043812536724857</v>
      </c>
      <c r="E244" s="383">
        <f t="shared" si="100"/>
        <v>34.694201014797045</v>
      </c>
      <c r="F244" s="383">
        <f t="shared" si="78"/>
        <v>34.712118273912253</v>
      </c>
      <c r="G244" s="110">
        <f t="shared" si="101"/>
        <v>0.63833289740620869</v>
      </c>
      <c r="H244" s="412" t="b">
        <f>Wh_hp&gt;='2026'!Maxi_hp</f>
        <v>0</v>
      </c>
      <c r="I244" s="388">
        <f>IF(H244,Wh_hp,'2026'!Maxi_hp)</f>
        <v>45.332057361760235</v>
      </c>
      <c r="J244" s="85">
        <f>IF(H244,An,'2026'!An_max)</f>
        <v>2021</v>
      </c>
      <c r="K244" s="197">
        <f t="shared" si="79"/>
        <v>46617</v>
      </c>
      <c r="L244" s="147">
        <f>IF(t&lt;Tvie,1-EXP((T0-t)*PertePVj)+'2026'!Pspv,1-EXP((T0-t)*PertePVj)+Pspv)</f>
        <v>5.8439138839577187E-2</v>
      </c>
      <c r="M244" s="832"/>
      <c r="N244" s="832"/>
      <c r="O244" s="48">
        <f>IF(t&lt;Tnet,'2026'!Resal+('2026'!Salim-'2026'!Resal)*(1-EXP(('2026'!Tnet-t)/('2026'!Tau_j))),Resal+(Salim-Resal)*(1-EXP((Tnet-t)/(Tau_j))))*Salcycl</f>
        <v>1.8746316647983791E-2</v>
      </c>
      <c r="P244" s="169">
        <f>(INDEX(Models!$BJ244:$BT244,,T244)*(1-R244)+INDEX(Models!$BJ244:$BT244,,T244+1)*R244-ERP_i)*Q244*Ramure*Pc/MaxiM</f>
        <v>1.0668241126883769E-3</v>
      </c>
      <c r="Q244" s="304">
        <f t="shared" si="80"/>
        <v>0.7</v>
      </c>
      <c r="R244" s="177">
        <f t="shared" si="81"/>
        <v>0.55686906044143902</v>
      </c>
      <c r="S244" s="799">
        <f t="shared" si="82"/>
        <v>-1</v>
      </c>
      <c r="T244" s="176">
        <f t="shared" si="83"/>
        <v>5</v>
      </c>
      <c r="U244" s="250">
        <f t="shared" si="84"/>
        <v>-0.44313093955856092</v>
      </c>
      <c r="V244" s="382">
        <f t="shared" si="85"/>
        <v>50.188015582878201</v>
      </c>
      <c r="W244" s="400">
        <f t="shared" si="86"/>
        <v>32.054321449262652</v>
      </c>
      <c r="X244" s="157">
        <f t="shared" si="87"/>
        <v>46617</v>
      </c>
      <c r="Y244" s="383">
        <f t="shared" si="88"/>
        <v>30.376576009616205</v>
      </c>
      <c r="Z244" s="383">
        <f t="shared" si="89"/>
        <v>32.26193575227704</v>
      </c>
      <c r="AA244" s="384">
        <f t="shared" si="90"/>
        <v>34.554490448183287</v>
      </c>
      <c r="AB244" s="197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6.6346071557445832E-2</v>
      </c>
      <c r="AD244" s="230">
        <f>(INDEX(Models!$BJ244:$BT244,,AH244)*(1-AF244)+INDEX(Models!$BJ244:$BT244,,AH244+1)*AF244-ERP_i)*AE244*Ramure*Pc/MaxiM</f>
        <v>9.385429112623498E-3</v>
      </c>
      <c r="AE244" s="304">
        <f t="shared" si="92"/>
        <v>0.7</v>
      </c>
      <c r="AF244" s="177">
        <f t="shared" si="93"/>
        <v>0.3125268912807897</v>
      </c>
      <c r="AG244" s="799">
        <f t="shared" si="99"/>
        <v>2</v>
      </c>
      <c r="AH244" s="176">
        <f t="shared" si="94"/>
        <v>8</v>
      </c>
      <c r="AI244" s="224">
        <f t="shared" si="95"/>
        <v>2.3125268912807897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46618</v>
      </c>
      <c r="B245" s="409">
        <f>'2026'!Wh/'2026'!Env_an*'2027'!Env_an</f>
        <v>33.477116680383901</v>
      </c>
      <c r="C245" s="829"/>
      <c r="D245" s="391">
        <f t="shared" si="77"/>
        <v>35.555596727676416</v>
      </c>
      <c r="E245" s="383">
        <f t="shared" si="100"/>
        <v>36.238411973454461</v>
      </c>
      <c r="F245" s="383">
        <f t="shared" si="78"/>
        <v>36.259098557807235</v>
      </c>
      <c r="G245" s="110">
        <f t="shared" si="101"/>
        <v>0.66864065630130276</v>
      </c>
      <c r="H245" s="412" t="b">
        <f>Wh_hp&gt;='2026'!Maxi_hp</f>
        <v>0</v>
      </c>
      <c r="I245" s="388">
        <f>IF(H245,Wh_hp,'2026'!Maxi_hp)</f>
        <v>41.817185675969036</v>
      </c>
      <c r="J245" s="85">
        <f>IF(H245,An,'2026'!An_max)</f>
        <v>2021</v>
      </c>
      <c r="K245" s="197">
        <f t="shared" si="79"/>
        <v>46618</v>
      </c>
      <c r="L245" s="147">
        <f>IF(t&lt;Tvie,1-EXP((T0-t)*PertePVj)+'2026'!Pspv,1-EXP((T0-t)*PertePVj)+Pspv)</f>
        <v>5.8457183638676802E-2</v>
      </c>
      <c r="M245" s="832"/>
      <c r="N245" s="832"/>
      <c r="O245" s="48">
        <f>IF(t&lt;Tnet,'2026'!Resal+('2026'!Salim-'2026'!Resal)*(1-EXP(('2026'!Tnet-t)/('2026'!Tau_j))),Resal+(Salim-Resal)*(1-EXP((Tnet-t)/(Tau_j))))*Salcycl</f>
        <v>1.884230595640398E-2</v>
      </c>
      <c r="P245" s="169">
        <f>(INDEX(Models!$BJ245:$BT245,,T245)*(1-R245)+INDEX(Models!$BJ245:$BT245,,T245+1)*R245-ERP_i)*Q245*Ramure*Pc/MaxiM</f>
        <v>1.0823386690421003E-3</v>
      </c>
      <c r="Q245" s="304">
        <f t="shared" si="80"/>
        <v>0.7</v>
      </c>
      <c r="R245" s="177">
        <f t="shared" si="81"/>
        <v>0.55771562368099059</v>
      </c>
      <c r="S245" s="799">
        <f t="shared" si="82"/>
        <v>-1</v>
      </c>
      <c r="T245" s="176">
        <f t="shared" si="83"/>
        <v>5</v>
      </c>
      <c r="U245" s="250">
        <f t="shared" si="84"/>
        <v>-0.44228437631900946</v>
      </c>
      <c r="V245" s="382">
        <f t="shared" si="85"/>
        <v>50.041786138598994</v>
      </c>
      <c r="W245" s="400">
        <f t="shared" si="86"/>
        <v>33.477116680383901</v>
      </c>
      <c r="X245" s="157">
        <f t="shared" si="87"/>
        <v>46618</v>
      </c>
      <c r="Y245" s="383">
        <f t="shared" si="88"/>
        <v>31.711412098157915</v>
      </c>
      <c r="Z245" s="383">
        <f t="shared" si="89"/>
        <v>33.680265567432734</v>
      </c>
      <c r="AA245" s="384">
        <f t="shared" si="90"/>
        <v>36.075056198330792</v>
      </c>
      <c r="AB245" s="197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6.6383559258567718E-2</v>
      </c>
      <c r="AD245" s="230">
        <f>(INDEX(Models!$BJ245:$BT245,,AH245)*(1-AF245)+INDEX(Models!$BJ245:$BT245,,AH245+1)*AF245-ERP_i)*AE245*Ramure*Pc/MaxiM</f>
        <v>9.6292437169032963E-3</v>
      </c>
      <c r="AE245" s="304">
        <f t="shared" si="92"/>
        <v>0.7</v>
      </c>
      <c r="AF245" s="177">
        <f t="shared" si="93"/>
        <v>0.31337345452034127</v>
      </c>
      <c r="AG245" s="799">
        <f t="shared" si="99"/>
        <v>2</v>
      </c>
      <c r="AH245" s="176">
        <f t="shared" si="94"/>
        <v>8</v>
      </c>
      <c r="AI245" s="224">
        <f t="shared" si="95"/>
        <v>2.3133734545203413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46619</v>
      </c>
      <c r="B246" s="409">
        <f>'2026'!Wh/'2026'!Env_an*'2027'!Env_an</f>
        <v>48.870810704500755</v>
      </c>
      <c r="C246" s="829"/>
      <c r="D246" s="391">
        <f t="shared" si="77"/>
        <v>51.906027502029033</v>
      </c>
      <c r="E246" s="383">
        <f t="shared" si="100"/>
        <v>52.90800539390785</v>
      </c>
      <c r="F246" s="383">
        <f t="shared" si="78"/>
        <v>52.964339865118582</v>
      </c>
      <c r="G246" s="110">
        <f t="shared" si="101"/>
        <v>0.97948610532641556</v>
      </c>
      <c r="H246" s="412" t="b">
        <f>Wh_hp&gt;='2026'!Maxi_hp</f>
        <v>0</v>
      </c>
      <c r="I246" s="388">
        <f>IF(H246,Wh_hp,'2026'!Maxi_hp)</f>
        <v>52.965324239561944</v>
      </c>
      <c r="J246" s="85">
        <f>IF(H246,An,'2026'!An_max)</f>
        <v>2026</v>
      </c>
      <c r="K246" s="197">
        <f t="shared" si="79"/>
        <v>46619</v>
      </c>
      <c r="L246" s="147">
        <f>IF(t&lt;Tvie,1-EXP((T0-t)*PertePVj)+'2026'!Pspv,1-EXP((T0-t)*PertePVj)+Pspv)</f>
        <v>5.8475228091951936E-2</v>
      </c>
      <c r="M246" s="832"/>
      <c r="N246" s="832"/>
      <c r="O246" s="48">
        <f>IF(t&lt;Tnet,'2026'!Resal+('2026'!Salim-'2026'!Resal)*(1-EXP(('2026'!Tnet-t)/('2026'!Tau_j))),Resal+(Salim-Resal)*(1-EXP((Tnet-t)/(Tau_j))))*Salcycl</f>
        <v>1.89381150247292E-2</v>
      </c>
      <c r="P246" s="169">
        <f>(INDEX(Models!$BJ246:$BT246,,T246)*(1-R246)+INDEX(Models!$BJ246:$BT246,,T246+1)*R246-ERP_i)*Q246*Ramure*Pc/MaxiM</f>
        <v>1.095690825697154E-3</v>
      </c>
      <c r="Q246" s="304">
        <f t="shared" si="80"/>
        <v>0.7</v>
      </c>
      <c r="R246" s="177">
        <f t="shared" si="81"/>
        <v>0.55853167093641876</v>
      </c>
      <c r="S246" s="799">
        <f t="shared" si="82"/>
        <v>-1</v>
      </c>
      <c r="T246" s="176">
        <f t="shared" si="83"/>
        <v>5</v>
      </c>
      <c r="U246" s="250">
        <f t="shared" si="84"/>
        <v>-0.44146832906358124</v>
      </c>
      <c r="V246" s="382">
        <f t="shared" si="85"/>
        <v>49.892736549811978</v>
      </c>
      <c r="W246" s="400">
        <f t="shared" si="86"/>
        <v>48.870810704500755</v>
      </c>
      <c r="X246" s="157">
        <f t="shared" si="87"/>
        <v>46619</v>
      </c>
      <c r="Y246" s="383">
        <f t="shared" si="88"/>
        <v>46.108146850878775</v>
      </c>
      <c r="Z246" s="383">
        <f t="shared" si="89"/>
        <v>48.971783033852908</v>
      </c>
      <c r="AA246" s="384">
        <f t="shared" si="90"/>
        <v>52.455949090015835</v>
      </c>
      <c r="AB246" s="197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6.6420799101051503E-2</v>
      </c>
      <c r="AD246" s="230">
        <f>(INDEX(Models!$BJ246:$BT246,,AH246)*(1-AF246)+INDEX(Models!$BJ246:$BT246,,AH246+1)*AF246-ERP_i)*AE246*Ramure*Pc/MaxiM</f>
        <v>9.8880684628313998E-3</v>
      </c>
      <c r="AE246" s="304">
        <f t="shared" si="92"/>
        <v>0.7</v>
      </c>
      <c r="AF246" s="177">
        <f t="shared" si="93"/>
        <v>0.31418950177576965</v>
      </c>
      <c r="AG246" s="799">
        <f t="shared" si="99"/>
        <v>2</v>
      </c>
      <c r="AH246" s="176">
        <f t="shared" si="94"/>
        <v>8</v>
      </c>
      <c r="AI246" s="224">
        <f t="shared" si="95"/>
        <v>2.3141895017757697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46620</v>
      </c>
      <c r="B247" s="409">
        <f>'2026'!Wh/'2026'!Env_an*'2027'!Env_an</f>
        <v>38.711838705288791</v>
      </c>
      <c r="C247" s="829"/>
      <c r="D247" s="391">
        <f t="shared" si="77"/>
        <v>41.116900774274526</v>
      </c>
      <c r="E247" s="383">
        <f t="shared" si="100"/>
        <v>41.914694205976517</v>
      </c>
      <c r="F247" s="383">
        <f t="shared" si="78"/>
        <v>41.946414446846113</v>
      </c>
      <c r="G247" s="110">
        <f t="shared" si="101"/>
        <v>0.77797990988891252</v>
      </c>
      <c r="H247" s="412" t="b">
        <f>Wh_hp&gt;='2026'!Maxi_hp</f>
        <v>0</v>
      </c>
      <c r="I247" s="388">
        <f>IF(H247,Wh_hp,'2026'!Maxi_hp)</f>
        <v>53.982802943625828</v>
      </c>
      <c r="J247" s="85">
        <f>IF(H247,An,'2026'!An_max)</f>
        <v>2020</v>
      </c>
      <c r="K247" s="197">
        <f t="shared" si="79"/>
        <v>46620</v>
      </c>
      <c r="L247" s="147">
        <f>IF(t&lt;Tvie,1-EXP((T0-t)*PertePVj)+'2026'!Pspv,1-EXP((T0-t)*PertePVj)+Pspv)</f>
        <v>5.8493272199409141E-2</v>
      </c>
      <c r="M247" s="832"/>
      <c r="N247" s="832"/>
      <c r="O247" s="48">
        <f>IF(t&lt;Tnet,'2026'!Resal+('2026'!Salim-'2026'!Resal)*(1-EXP(('2026'!Tnet-t)/('2026'!Tau_j))),Resal+(Salim-Resal)*(1-EXP((Tnet-t)/(Tau_j))))*Salcycl</f>
        <v>1.9033740954460629E-2</v>
      </c>
      <c r="P247" s="169">
        <f>(INDEX(Models!$BJ247:$BT247,,T247)*(1-R247)+INDEX(Models!$BJ247:$BT247,,T247+1)*R247-ERP_i)*Q247*Ramure*Pc/MaxiM</f>
        <v>1.1068326928390993E-3</v>
      </c>
      <c r="Q247" s="304">
        <f t="shared" si="80"/>
        <v>0.7</v>
      </c>
      <c r="R247" s="177">
        <f t="shared" si="81"/>
        <v>0.55931817052335009</v>
      </c>
      <c r="S247" s="799">
        <f t="shared" si="82"/>
        <v>-1</v>
      </c>
      <c r="T247" s="176">
        <f t="shared" si="83"/>
        <v>5</v>
      </c>
      <c r="U247" s="250">
        <f t="shared" si="84"/>
        <v>-0.44068182947664986</v>
      </c>
      <c r="V247" s="382">
        <f t="shared" si="85"/>
        <v>49.741972304758463</v>
      </c>
      <c r="W247" s="400">
        <f t="shared" si="86"/>
        <v>38.711838705288791</v>
      </c>
      <c r="X247" s="157">
        <f t="shared" si="87"/>
        <v>46620</v>
      </c>
      <c r="Y247" s="383">
        <f t="shared" si="88"/>
        <v>36.612258286968597</v>
      </c>
      <c r="Z247" s="383">
        <f t="shared" si="89"/>
        <v>38.886879090600608</v>
      </c>
      <c r="AA247" s="384">
        <f t="shared" si="90"/>
        <v>41.65519072097895</v>
      </c>
      <c r="AB247" s="197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6.6457783110908386E-2</v>
      </c>
      <c r="AD247" s="230">
        <f>(INDEX(Models!$BJ247:$BT247,,AH247)*(1-AF247)+INDEX(Models!$BJ247:$BT247,,AH247+1)*AF247-ERP_i)*AE247*Ramure*Pc/MaxiM</f>
        <v>1.0161837737782078E-2</v>
      </c>
      <c r="AE247" s="304">
        <f t="shared" si="92"/>
        <v>0.7</v>
      </c>
      <c r="AF247" s="177">
        <f t="shared" si="93"/>
        <v>0.31497600136270076</v>
      </c>
      <c r="AG247" s="799">
        <f t="shared" si="99"/>
        <v>2</v>
      </c>
      <c r="AH247" s="176">
        <f t="shared" si="94"/>
        <v>8</v>
      </c>
      <c r="AI247" s="224">
        <f t="shared" si="95"/>
        <v>2.3149760013627008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46621</v>
      </c>
      <c r="B248" s="409">
        <f>'2026'!Wh/'2026'!Env_an*'2027'!Env_an</f>
        <v>27.18761419267814</v>
      </c>
      <c r="C248" s="829"/>
      <c r="D248" s="391">
        <f t="shared" si="77"/>
        <v>28.87726071867851</v>
      </c>
      <c r="E248" s="383">
        <f t="shared" si="100"/>
        <v>29.440432063309</v>
      </c>
      <c r="F248" s="383">
        <f t="shared" si="78"/>
        <v>29.452114547452577</v>
      </c>
      <c r="G248" s="110">
        <f t="shared" si="101"/>
        <v>0.54784692987355821</v>
      </c>
      <c r="H248" s="412" t="b">
        <f>Wh_hp&gt;='2026'!Maxi_hp</f>
        <v>0</v>
      </c>
      <c r="I248" s="388">
        <f>IF(H248,Wh_hp,'2026'!Maxi_hp)</f>
        <v>55.500972969341134</v>
      </c>
      <c r="J248" s="85">
        <f>IF(H248,An,'2026'!An_max)</f>
        <v>2018</v>
      </c>
      <c r="K248" s="197">
        <f t="shared" si="79"/>
        <v>46621</v>
      </c>
      <c r="L248" s="147">
        <f>IF(t&lt;Tvie,1-EXP((T0-t)*PertePVj)+'2026'!Pspv,1-EXP((T0-t)*PertePVj)+Pspv)</f>
        <v>5.8511315961055299E-2</v>
      </c>
      <c r="M248" s="832"/>
      <c r="N248" s="832"/>
      <c r="O248" s="48">
        <f>IF(t&lt;Tnet,'2026'!Resal+('2026'!Salim-'2026'!Resal)*(1-EXP(('2026'!Tnet-t)/('2026'!Tau_j))),Resal+(Salim-Resal)*(1-EXP((Tnet-t)/(Tau_j))))*Salcycl</f>
        <v>1.9129180693389331E-2</v>
      </c>
      <c r="P248" s="169">
        <f>(INDEX(Models!$BJ248:$BT248,,T248)*(1-R248)+INDEX(Models!$BJ248:$BT248,,T248+1)*R248-ERP_i)*Q248*Ramure*Pc/MaxiM</f>
        <v>1.1185104219955516E-3</v>
      </c>
      <c r="Q248" s="304">
        <f t="shared" si="80"/>
        <v>0.7</v>
      </c>
      <c r="R248" s="177">
        <f t="shared" si="81"/>
        <v>0.56007607000464488</v>
      </c>
      <c r="S248" s="799">
        <f t="shared" si="82"/>
        <v>-1</v>
      </c>
      <c r="T248" s="176">
        <f t="shared" si="83"/>
        <v>5</v>
      </c>
      <c r="U248" s="250">
        <f t="shared" si="84"/>
        <v>-0.43992392999535512</v>
      </c>
      <c r="V248" s="382">
        <f t="shared" si="85"/>
        <v>49.590459561786048</v>
      </c>
      <c r="W248" s="400">
        <f t="shared" si="86"/>
        <v>27.18761419267814</v>
      </c>
      <c r="X248" s="157">
        <f t="shared" si="87"/>
        <v>46621</v>
      </c>
      <c r="Y248" s="383">
        <f t="shared" si="88"/>
        <v>25.789114533350794</v>
      </c>
      <c r="Z248" s="383">
        <f t="shared" si="89"/>
        <v>27.391847581976915</v>
      </c>
      <c r="AA248" s="384">
        <f t="shared" si="90"/>
        <v>29.342995480351849</v>
      </c>
      <c r="AB248" s="197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6.6494502910632539E-2</v>
      </c>
      <c r="AD248" s="230">
        <f>(INDEX(Models!$BJ248:$BT248,,AH248)*(1-AF248)+INDEX(Models!$BJ248:$BT248,,AH248+1)*AF248-ERP_i)*AE248*Ramure*Pc/MaxiM</f>
        <v>1.0447333999395174E-2</v>
      </c>
      <c r="AE248" s="304">
        <f t="shared" si="92"/>
        <v>0.7</v>
      </c>
      <c r="AF248" s="177">
        <f t="shared" si="93"/>
        <v>0.31573390084399566</v>
      </c>
      <c r="AG248" s="799">
        <f t="shared" si="99"/>
        <v>2</v>
      </c>
      <c r="AH248" s="176">
        <f t="shared" si="94"/>
        <v>8</v>
      </c>
      <c r="AI248" s="224">
        <f t="shared" si="95"/>
        <v>2.3157339008439957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46622</v>
      </c>
      <c r="B249" s="409">
        <f>'2026'!Wh/'2026'!Env_an*'2027'!Env_an</f>
        <v>42.304840019966669</v>
      </c>
      <c r="C249" s="829"/>
      <c r="D249" s="391">
        <f t="shared" si="77"/>
        <v>44.934847880086437</v>
      </c>
      <c r="E249" s="383">
        <f t="shared" si="100"/>
        <v>45.815627246677387</v>
      </c>
      <c r="F249" s="383">
        <f t="shared" si="78"/>
        <v>45.856908458800014</v>
      </c>
      <c r="G249" s="110">
        <f t="shared" si="101"/>
        <v>0.85551937322214189</v>
      </c>
      <c r="H249" s="412" t="b">
        <f>Wh_hp&gt;='2026'!Maxi_hp</f>
        <v>0</v>
      </c>
      <c r="I249" s="388">
        <f>IF(H249,Wh_hp,'2026'!Maxi_hp)</f>
        <v>53.062243382697936</v>
      </c>
      <c r="J249" s="85">
        <f>IF(H249,An,'2026'!An_max)</f>
        <v>2018</v>
      </c>
      <c r="K249" s="197">
        <f t="shared" si="79"/>
        <v>46622</v>
      </c>
      <c r="L249" s="147">
        <f>IF(t&lt;Tvie,1-EXP((T0-t)*PertePVj)+'2026'!Pspv,1-EXP((T0-t)*PertePVj)+Pspv)</f>
        <v>5.852935937689685E-2</v>
      </c>
      <c r="M249" s="832"/>
      <c r="N249" s="832"/>
      <c r="O249" s="48">
        <f>IF(t&lt;Tnet,'2026'!Resal+('2026'!Salim-'2026'!Resal)*(1-EXP(('2026'!Tnet-t)/('2026'!Tau_j))),Resal+(Salim-Resal)*(1-EXP((Tnet-t)/(Tau_j))))*Salcycl</f>
        <v>1.9224431040717107E-2</v>
      </c>
      <c r="P249" s="169">
        <f>(INDEX(Models!$BJ249:$BT249,,T249)*(1-R249)+INDEX(Models!$BJ249:$BT249,,T249+1)*R249-ERP_i)*Q249*Ramure*Pc/MaxiM</f>
        <v>1.1339398813216849E-3</v>
      </c>
      <c r="Q249" s="304">
        <f t="shared" si="80"/>
        <v>0.7</v>
      </c>
      <c r="R249" s="177">
        <f t="shared" si="81"/>
        <v>0.56080629583215391</v>
      </c>
      <c r="S249" s="799">
        <f t="shared" si="82"/>
        <v>-1</v>
      </c>
      <c r="T249" s="176">
        <f t="shared" si="83"/>
        <v>5</v>
      </c>
      <c r="U249" s="250">
        <f t="shared" si="84"/>
        <v>-0.43919370416784609</v>
      </c>
      <c r="V249" s="382">
        <f t="shared" si="85"/>
        <v>49.437739069271181</v>
      </c>
      <c r="W249" s="400">
        <f t="shared" si="86"/>
        <v>42.304840019966669</v>
      </c>
      <c r="X249" s="157">
        <f t="shared" si="87"/>
        <v>46622</v>
      </c>
      <c r="Y249" s="383">
        <f t="shared" si="88"/>
        <v>39.95694407960935</v>
      </c>
      <c r="Z249" s="383">
        <f t="shared" si="89"/>
        <v>42.440987913509694</v>
      </c>
      <c r="AA249" s="384">
        <f t="shared" si="90"/>
        <v>45.465875812291088</v>
      </c>
      <c r="AB249" s="197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6.6530949745031695E-2</v>
      </c>
      <c r="AD249" s="230">
        <f>(INDEX(Models!$BJ249:$BT249,,AH249)*(1-AF249)+INDEX(Models!$BJ249:$BT249,,AH249+1)*AF249-ERP_i)*AE249*Ramure*Pc/MaxiM</f>
        <v>1.0741145668350946E-2</v>
      </c>
      <c r="AE249" s="304">
        <f t="shared" si="92"/>
        <v>0.7</v>
      </c>
      <c r="AF249" s="177">
        <f t="shared" si="93"/>
        <v>0.3164641266715047</v>
      </c>
      <c r="AG249" s="799">
        <f t="shared" si="99"/>
        <v>2</v>
      </c>
      <c r="AH249" s="176">
        <f t="shared" si="94"/>
        <v>8</v>
      </c>
      <c r="AI249" s="224">
        <f t="shared" si="95"/>
        <v>2.3164641266715047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46623</v>
      </c>
      <c r="B250" s="409">
        <f>'2026'!Wh/'2026'!Env_an*'2027'!Env_an</f>
        <v>49.4784960383179</v>
      </c>
      <c r="C250" s="829"/>
      <c r="D250" s="391">
        <f t="shared" si="77"/>
        <v>52.555483055565446</v>
      </c>
      <c r="E250" s="383">
        <f t="shared" si="100"/>
        <v>53.590830497116357</v>
      </c>
      <c r="F250" s="383">
        <f t="shared" si="78"/>
        <v>53.65270140155355</v>
      </c>
      <c r="G250" s="110">
        <f t="shared" si="101"/>
        <v>1.0039564200847322</v>
      </c>
      <c r="H250" s="412" t="b">
        <f>Wh_hp&gt;='2026'!Maxi_hp</f>
        <v>1</v>
      </c>
      <c r="I250" s="388">
        <f>IF(H250,Wh_hp,'2026'!Maxi_hp)</f>
        <v>53.65270140155355</v>
      </c>
      <c r="J250" s="85">
        <f>IF(H250,An,'2026'!An_max)</f>
        <v>2027</v>
      </c>
      <c r="K250" s="197">
        <f t="shared" si="79"/>
        <v>46623</v>
      </c>
      <c r="L250" s="147">
        <f>IF(t&lt;Tvie,1-EXP((T0-t)*PertePVj)+'2026'!Pspv,1-EXP((T0-t)*PertePVj)+Pspv)</f>
        <v>5.8547402446940344E-2</v>
      </c>
      <c r="M250" s="832"/>
      <c r="N250" s="832"/>
      <c r="O250" s="48">
        <f>IF(t&lt;Tnet,'2026'!Resal+('2026'!Salim-'2026'!Resal)*(1-EXP(('2026'!Tnet-t)/('2026'!Tau_j))),Resal+(Salim-Resal)*(1-EXP((Tnet-t)/(Tau_j))))*Salcycl</f>
        <v>1.9319488650332065E-2</v>
      </c>
      <c r="P250" s="169">
        <f>(INDEX(Models!$BJ250:$BT250,,T250)*(1-R250)+INDEX(Models!$BJ250:$BT250,,T250+1)*R250-ERP_i)*Q250*Ramure*Pc/MaxiM</f>
        <v>1.1531740773709088E-3</v>
      </c>
      <c r="Q250" s="304">
        <f t="shared" si="80"/>
        <v>0.7</v>
      </c>
      <c r="R250" s="177">
        <f t="shared" si="81"/>
        <v>0.56150975307188533</v>
      </c>
      <c r="S250" s="799">
        <f t="shared" si="82"/>
        <v>-1</v>
      </c>
      <c r="T250" s="176">
        <f t="shared" si="83"/>
        <v>5</v>
      </c>
      <c r="U250" s="250">
        <f t="shared" si="84"/>
        <v>-0.43849024692811472</v>
      </c>
      <c r="V250" s="382">
        <f t="shared" si="85"/>
        <v>49.283509770416138</v>
      </c>
      <c r="W250" s="400">
        <f t="shared" si="86"/>
        <v>49.4784960383179</v>
      </c>
      <c r="X250" s="157">
        <f t="shared" si="87"/>
        <v>46623</v>
      </c>
      <c r="Y250" s="383">
        <f t="shared" si="88"/>
        <v>46.62838725212859</v>
      </c>
      <c r="Z250" s="383">
        <f t="shared" si="89"/>
        <v>49.528130649722534</v>
      </c>
      <c r="AA250" s="384">
        <f t="shared" si="90"/>
        <v>53.06019470611475</v>
      </c>
      <c r="AB250" s="197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6.6567114499961902E-2</v>
      </c>
      <c r="AD250" s="230">
        <f>(INDEX(Models!$BJ250:$BT250,,AH250)*(1-AF250)+INDEX(Models!$BJ250:$BT250,,AH250+1)*AF250-ERP_i)*AE250*Ramure*Pc/MaxiM</f>
        <v>1.1043371162325845E-2</v>
      </c>
      <c r="AE250" s="304">
        <f t="shared" si="92"/>
        <v>0.7</v>
      </c>
      <c r="AF250" s="177">
        <f t="shared" si="93"/>
        <v>0.31716758391123623</v>
      </c>
      <c r="AG250" s="799">
        <f t="shared" si="99"/>
        <v>2</v>
      </c>
      <c r="AH250" s="176">
        <f t="shared" si="94"/>
        <v>8</v>
      </c>
      <c r="AI250" s="224">
        <f t="shared" si="95"/>
        <v>2.3171675839112362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46624</v>
      </c>
      <c r="B251" s="409">
        <f>'2026'!Wh/'2026'!Env_an*'2027'!Env_an</f>
        <v>27.862097389062249</v>
      </c>
      <c r="C251" s="829"/>
      <c r="D251" s="391">
        <f t="shared" si="77"/>
        <v>29.595362998045847</v>
      </c>
      <c r="E251" s="383">
        <f t="shared" si="100"/>
        <v>30.18131358440457</v>
      </c>
      <c r="F251" s="383">
        <f t="shared" si="78"/>
        <v>30.194867912819234</v>
      </c>
      <c r="G251" s="110">
        <f t="shared" si="101"/>
        <v>0.5667261459897831</v>
      </c>
      <c r="H251" s="412" t="b">
        <f>Wh_hp&gt;='2026'!Maxi_hp</f>
        <v>0</v>
      </c>
      <c r="I251" s="388">
        <f>IF(H251,Wh_hp,'2026'!Maxi_hp)</f>
        <v>51.419146627981888</v>
      </c>
      <c r="J251" s="85">
        <f>IF(H251,An,'2026'!An_max)</f>
        <v>2021</v>
      </c>
      <c r="K251" s="197">
        <f t="shared" si="79"/>
        <v>46624</v>
      </c>
      <c r="L251" s="147">
        <f>IF(t&lt;Tvie,1-EXP((T0-t)*PertePVj)+'2026'!Pspv,1-EXP((T0-t)*PertePVj)+Pspv)</f>
        <v>5.8565445171192665E-2</v>
      </c>
      <c r="M251" s="832"/>
      <c r="N251" s="832"/>
      <c r="O251" s="48">
        <f>IF(t&lt;Tnet,'2026'!Resal+('2026'!Salim-'2026'!Resal)*(1-EXP(('2026'!Tnet-t)/('2026'!Tau_j))),Resal+(Salim-Resal)*(1-EXP((Tnet-t)/(Tau_j))))*Salcycl</f>
        <v>1.9414350032183499E-2</v>
      </c>
      <c r="P251" s="169">
        <f>(INDEX(Models!$BJ251:$BT251,,T251)*(1-R251)+INDEX(Models!$BJ251:$BT251,,T251+1)*R251-ERP_i)*Q251*Ramure*Pc/MaxiM</f>
        <v>1.1762668417924654E-3</v>
      </c>
      <c r="Q251" s="304">
        <f t="shared" si="80"/>
        <v>0.7</v>
      </c>
      <c r="R251" s="177">
        <f t="shared" si="81"/>
        <v>0.56218732520625703</v>
      </c>
      <c r="S251" s="799">
        <f t="shared" si="82"/>
        <v>-1</v>
      </c>
      <c r="T251" s="176">
        <f t="shared" si="83"/>
        <v>5</v>
      </c>
      <c r="U251" s="250">
        <f t="shared" si="84"/>
        <v>-0.43781267479374303</v>
      </c>
      <c r="V251" s="382">
        <f t="shared" si="85"/>
        <v>49.127470794275773</v>
      </c>
      <c r="W251" s="400">
        <f t="shared" si="86"/>
        <v>27.862097389062249</v>
      </c>
      <c r="X251" s="157">
        <f t="shared" si="87"/>
        <v>46624</v>
      </c>
      <c r="Y251" s="383">
        <f t="shared" si="88"/>
        <v>26.418233303476608</v>
      </c>
      <c r="Z251" s="383">
        <f t="shared" si="89"/>
        <v>28.061677965793979</v>
      </c>
      <c r="AA251" s="384">
        <f t="shared" si="90"/>
        <v>30.064032342537253</v>
      </c>
      <c r="AB251" s="197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6.6602987713998904E-2</v>
      </c>
      <c r="AD251" s="230">
        <f>(INDEX(Models!$BJ251:$BT251,,AH251)*(1-AF251)+INDEX(Models!$BJ251:$BT251,,AH251+1)*AF251-ERP_i)*AE251*Ramure*Pc/MaxiM</f>
        <v>1.1354125290576665E-2</v>
      </c>
      <c r="AE251" s="304">
        <f t="shared" si="92"/>
        <v>0.7</v>
      </c>
      <c r="AF251" s="177">
        <f t="shared" si="93"/>
        <v>0.3178451560456077</v>
      </c>
      <c r="AG251" s="799">
        <f t="shared" si="99"/>
        <v>2</v>
      </c>
      <c r="AH251" s="176">
        <f t="shared" si="94"/>
        <v>8</v>
      </c>
      <c r="AI251" s="224">
        <f t="shared" si="95"/>
        <v>2.3178451560456077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46625</v>
      </c>
      <c r="B252" s="409">
        <f>'2026'!Wh/'2026'!Env_an*'2027'!Env_an</f>
        <v>35.609382784180511</v>
      </c>
      <c r="C252" s="829"/>
      <c r="D252" s="391">
        <f t="shared" si="77"/>
        <v>37.825322068651225</v>
      </c>
      <c r="E252" s="383">
        <f t="shared" si="100"/>
        <v>38.577939536715185</v>
      </c>
      <c r="F252" s="383">
        <f t="shared" si="78"/>
        <v>38.606288166354496</v>
      </c>
      <c r="G252" s="110">
        <f t="shared" si="101"/>
        <v>0.72683610150798639</v>
      </c>
      <c r="H252" s="412" t="b">
        <f>Wh_hp&gt;='2026'!Maxi_hp</f>
        <v>0</v>
      </c>
      <c r="I252" s="388">
        <f>IF(H252,Wh_hp,'2026'!Maxi_hp)</f>
        <v>52.553587232779272</v>
      </c>
      <c r="J252" s="85">
        <f>IF(H252,An,'2026'!An_max)</f>
        <v>2020</v>
      </c>
      <c r="K252" s="197">
        <f t="shared" si="79"/>
        <v>46625</v>
      </c>
      <c r="L252" s="147">
        <f>IF(t&lt;Tvie,1-EXP((T0-t)*PertePVj)+'2026'!Pspv,1-EXP((T0-t)*PertePVj)+Pspv)</f>
        <v>5.858348754966014E-2</v>
      </c>
      <c r="M252" s="832"/>
      <c r="N252" s="832"/>
      <c r="O252" s="48">
        <f>IF(t&lt;Tnet,'2026'!Resal+('2026'!Salim-'2026'!Resal)*(1-EXP(('2026'!Tnet-t)/('2026'!Tau_j))),Resal+(Salim-Resal)*(1-EXP((Tnet-t)/(Tau_j))))*Salcycl</f>
        <v>1.9509011551736264E-2</v>
      </c>
      <c r="P252" s="169">
        <f>(INDEX(Models!$BJ252:$BT252,,T252)*(1-R252)+INDEX(Models!$BJ252:$BT252,,T252+1)*R252-ERP_i)*Q252*Ramure*Pc/MaxiM</f>
        <v>1.2032720172227569E-3</v>
      </c>
      <c r="Q252" s="304">
        <f t="shared" si="80"/>
        <v>0.7</v>
      </c>
      <c r="R252" s="177">
        <f t="shared" si="81"/>
        <v>0.56283987400737989</v>
      </c>
      <c r="S252" s="799">
        <f t="shared" si="82"/>
        <v>-1</v>
      </c>
      <c r="T252" s="176">
        <f t="shared" si="83"/>
        <v>5</v>
      </c>
      <c r="U252" s="250">
        <f t="shared" si="84"/>
        <v>-0.43716012599262011</v>
      </c>
      <c r="V252" s="382">
        <f t="shared" si="85"/>
        <v>48.969321507731784</v>
      </c>
      <c r="W252" s="400">
        <f t="shared" si="86"/>
        <v>35.609382784180511</v>
      </c>
      <c r="X252" s="157">
        <f t="shared" si="87"/>
        <v>46625</v>
      </c>
      <c r="Y252" s="383">
        <f t="shared" si="88"/>
        <v>33.680987054773709</v>
      </c>
      <c r="Z252" s="383">
        <f t="shared" si="89"/>
        <v>35.776924038763759</v>
      </c>
      <c r="AA252" s="384">
        <f t="shared" si="90"/>
        <v>38.331264277199168</v>
      </c>
      <c r="AB252" s="197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6.6638559583196991E-2</v>
      </c>
      <c r="AD252" s="230">
        <f>(INDEX(Models!$BJ252:$BT252,,AH252)*(1-AF252)+INDEX(Models!$BJ252:$BT252,,AH252+1)*AF252-ERP_i)*AE252*Ramure*Pc/MaxiM</f>
        <v>1.1673528988838017E-2</v>
      </c>
      <c r="AE252" s="304">
        <f t="shared" si="92"/>
        <v>0.7</v>
      </c>
      <c r="AF252" s="177">
        <f t="shared" si="93"/>
        <v>0.31849770484673057</v>
      </c>
      <c r="AG252" s="799">
        <f t="shared" si="99"/>
        <v>2</v>
      </c>
      <c r="AH252" s="176">
        <f t="shared" si="94"/>
        <v>8</v>
      </c>
      <c r="AI252" s="224">
        <f t="shared" si="95"/>
        <v>2.3184977048467306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46626</v>
      </c>
      <c r="B253" s="409">
        <f>'2026'!Wh/'2026'!Env_an*'2027'!Env_an</f>
        <v>45.070850956026725</v>
      </c>
      <c r="C253" s="829"/>
      <c r="D253" s="391">
        <f t="shared" si="77"/>
        <v>47.876486283253776</v>
      </c>
      <c r="E253" s="383">
        <f t="shared" si="100"/>
        <v>48.833798152363414</v>
      </c>
      <c r="F253" s="383">
        <f t="shared" si="78"/>
        <v>48.887535979158599</v>
      </c>
      <c r="G253" s="110">
        <f t="shared" si="101"/>
        <v>0.92329239507247152</v>
      </c>
      <c r="H253" s="412" t="b">
        <f>Wh_hp&gt;='2026'!Maxi_hp</f>
        <v>0</v>
      </c>
      <c r="I253" s="388">
        <f>IF(H253,Wh_hp,'2026'!Maxi_hp)</f>
        <v>48.891261817650822</v>
      </c>
      <c r="J253" s="85">
        <f>IF(H253,An,'2026'!An_max)</f>
        <v>2026</v>
      </c>
      <c r="K253" s="197">
        <f t="shared" si="79"/>
        <v>46626</v>
      </c>
      <c r="L253" s="147">
        <f>IF(t&lt;Tvie,1-EXP((T0-t)*PertePVj)+'2026'!Pspv,1-EXP((T0-t)*PertePVj)+Pspv)</f>
        <v>5.8601529582349654E-2</v>
      </c>
      <c r="M253" s="832"/>
      <c r="N253" s="832"/>
      <c r="O253" s="48">
        <f>IF(t&lt;Tnet,'2026'!Resal+('2026'!Salim-'2026'!Resal)*(1-EXP(('2026'!Tnet-t)/('2026'!Tau_j))),Resal+(Salim-Resal)*(1-EXP((Tnet-t)/(Tau_j))))*Salcycl</f>
        <v>1.9603469427522016E-2</v>
      </c>
      <c r="P253" s="169">
        <f>(INDEX(Models!$BJ253:$BT253,,T253)*(1-R253)+INDEX(Models!$BJ253:$BT253,,T253+1)*R253-ERP_i)*Q253*Ramure*Pc/MaxiM</f>
        <v>1.2342444833625911E-3</v>
      </c>
      <c r="Q253" s="304">
        <f t="shared" si="80"/>
        <v>0.7</v>
      </c>
      <c r="R253" s="177">
        <f t="shared" si="81"/>
        <v>0.56346823947557767</v>
      </c>
      <c r="S253" s="799">
        <f t="shared" si="82"/>
        <v>-1</v>
      </c>
      <c r="T253" s="176">
        <f t="shared" si="83"/>
        <v>5</v>
      </c>
      <c r="U253" s="250">
        <f t="shared" si="84"/>
        <v>-0.43653176052442233</v>
      </c>
      <c r="V253" s="382">
        <f t="shared" si="85"/>
        <v>48.80876147829585</v>
      </c>
      <c r="W253" s="400">
        <f t="shared" si="86"/>
        <v>45.070850956026725</v>
      </c>
      <c r="X253" s="157">
        <f t="shared" si="87"/>
        <v>46626</v>
      </c>
      <c r="Y253" s="383">
        <f t="shared" si="88"/>
        <v>42.495022439466439</v>
      </c>
      <c r="Z253" s="383">
        <f t="shared" si="89"/>
        <v>45.140313878578503</v>
      </c>
      <c r="AA253" s="384">
        <f t="shared" si="90"/>
        <v>48.364992693771235</v>
      </c>
      <c r="AB253" s="197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6.6673819959204239E-2</v>
      </c>
      <c r="AD253" s="230">
        <f>(INDEX(Models!$BJ253:$BT253,,AH253)*(1-AF253)+INDEX(Models!$BJ253:$BT253,,AH253+1)*AF253-ERP_i)*AE253*Ramure*Pc/MaxiM</f>
        <v>1.2001716589055078E-2</v>
      </c>
      <c r="AE253" s="304">
        <f t="shared" si="92"/>
        <v>0.7</v>
      </c>
      <c r="AF253" s="177">
        <f t="shared" si="93"/>
        <v>0.31912607031492835</v>
      </c>
      <c r="AG253" s="799">
        <f t="shared" si="99"/>
        <v>2</v>
      </c>
      <c r="AH253" s="176">
        <f t="shared" si="94"/>
        <v>8</v>
      </c>
      <c r="AI253" s="224">
        <f t="shared" si="95"/>
        <v>2.3191260703149283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46627</v>
      </c>
      <c r="B254" s="409">
        <f>'2026'!Wh/'2026'!Env_an*'2027'!Env_an</f>
        <v>48.191462285847507</v>
      </c>
      <c r="C254" s="829"/>
      <c r="D254" s="391">
        <f t="shared" si="77"/>
        <v>51.192335016805359</v>
      </c>
      <c r="E254" s="383">
        <f t="shared" si="100"/>
        <v>52.220969028594666</v>
      </c>
      <c r="F254" s="383">
        <f t="shared" si="78"/>
        <v>52.28641643022128</v>
      </c>
      <c r="G254" s="110">
        <f t="shared" si="101"/>
        <v>0.99064920332855777</v>
      </c>
      <c r="H254" s="412" t="b">
        <f>Wh_hp&gt;='2026'!Maxi_hp</f>
        <v>0</v>
      </c>
      <c r="I254" s="388">
        <f>IF(H254,Wh_hp,'2026'!Maxi_hp)</f>
        <v>53.319342181775433</v>
      </c>
      <c r="J254" s="85">
        <f>IF(H254,An,'2026'!An_max)</f>
        <v>2021</v>
      </c>
      <c r="K254" s="197">
        <f t="shared" si="79"/>
        <v>46627</v>
      </c>
      <c r="L254" s="147">
        <f>IF(t&lt;Tvie,1-EXP((T0-t)*PertePVj)+'2026'!Pspv,1-EXP((T0-t)*PertePVj)+Pspv)</f>
        <v>5.8619571269267756E-2</v>
      </c>
      <c r="M254" s="832"/>
      <c r="N254" s="832"/>
      <c r="O254" s="48">
        <f>IF(t&lt;Tnet,'2026'!Resal+('2026'!Salim-'2026'!Resal)*(1-EXP(('2026'!Tnet-t)/('2026'!Tau_j))),Resal+(Salim-Resal)*(1-EXP((Tnet-t)/(Tau_j))))*Salcycl</f>
        <v>1.9697719726841072E-2</v>
      </c>
      <c r="P254" s="169">
        <f>(INDEX(Models!$BJ254:$BT254,,T254)*(1-R254)+INDEX(Models!$BJ254:$BT254,,T254+1)*R254-ERP_i)*Q254*Ramure*Pc/MaxiM</f>
        <v>1.268625700356028E-3</v>
      </c>
      <c r="Q254" s="304">
        <f t="shared" si="80"/>
        <v>0.7</v>
      </c>
      <c r="R254" s="177">
        <f t="shared" si="81"/>
        <v>0.56407323983762558</v>
      </c>
      <c r="S254" s="799">
        <f t="shared" si="82"/>
        <v>-1</v>
      </c>
      <c r="T254" s="176">
        <f t="shared" si="83"/>
        <v>5</v>
      </c>
      <c r="U254" s="250">
        <f t="shared" si="84"/>
        <v>-0.43592676016237447</v>
      </c>
      <c r="V254" s="382">
        <f t="shared" si="85"/>
        <v>48.645520415763293</v>
      </c>
      <c r="W254" s="400">
        <f t="shared" si="86"/>
        <v>48.191462285847507</v>
      </c>
      <c r="X254" s="157">
        <f t="shared" si="87"/>
        <v>46627</v>
      </c>
      <c r="Y254" s="383">
        <f t="shared" si="88"/>
        <v>45.379337340660804</v>
      </c>
      <c r="Z254" s="383">
        <f t="shared" si="89"/>
        <v>48.205099612965171</v>
      </c>
      <c r="AA254" s="384">
        <f t="shared" si="90"/>
        <v>51.650650366420187</v>
      </c>
      <c r="AB254" s="197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6.6708758341116295E-2</v>
      </c>
      <c r="AD254" s="230">
        <f>(INDEX(Models!$BJ254:$BT254,,AH254)*(1-AF254)+INDEX(Models!$BJ254:$BT254,,AH254+1)*AF254-ERP_i)*AE254*Ramure*Pc/MaxiM</f>
        <v>1.2323623977521885E-2</v>
      </c>
      <c r="AE254" s="304">
        <f t="shared" si="92"/>
        <v>0.7</v>
      </c>
      <c r="AF254" s="177">
        <f t="shared" si="93"/>
        <v>0.31973107067697626</v>
      </c>
      <c r="AG254" s="799">
        <f t="shared" si="99"/>
        <v>2</v>
      </c>
      <c r="AH254" s="176">
        <f t="shared" si="94"/>
        <v>8</v>
      </c>
      <c r="AI254" s="224">
        <f t="shared" si="95"/>
        <v>2.3197310706769763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46628</v>
      </c>
      <c r="B255" s="409">
        <f>'2026'!Wh/'2026'!Env_an*'2027'!Env_an</f>
        <v>32.335457176378632</v>
      </c>
      <c r="C255" s="829"/>
      <c r="D255" s="391">
        <f t="shared" si="77"/>
        <v>34.349637939163522</v>
      </c>
      <c r="E255" s="383">
        <f t="shared" si="100"/>
        <v>35.043204576287138</v>
      </c>
      <c r="F255" s="383">
        <f t="shared" si="78"/>
        <v>35.067206881698169</v>
      </c>
      <c r="G255" s="110">
        <f t="shared" si="101"/>
        <v>0.66658000104351445</v>
      </c>
      <c r="H255" s="412" t="b">
        <f>Wh_hp&gt;='2026'!Maxi_hp</f>
        <v>0</v>
      </c>
      <c r="I255" s="388">
        <f>IF(H255,Wh_hp,'2026'!Maxi_hp)</f>
        <v>52.692719517671406</v>
      </c>
      <c r="J255" s="85">
        <f>IF(H255,An,'2026'!An_max)</f>
        <v>2021</v>
      </c>
      <c r="K255" s="197">
        <f t="shared" si="79"/>
        <v>46628</v>
      </c>
      <c r="L255" s="147">
        <f>IF(t&lt;Tvie,1-EXP((T0-t)*PertePVj)+'2026'!Pspv,1-EXP((T0-t)*PertePVj)+Pspv)</f>
        <v>5.8637612610420997E-2</v>
      </c>
      <c r="M255" s="832"/>
      <c r="N255" s="832"/>
      <c r="O255" s="48">
        <f>IF(t&lt;Tnet,'2026'!Resal+('2026'!Salim-'2026'!Resal)*(1-EXP(('2026'!Tnet-t)/('2026'!Tau_j))),Resal+(Salim-Resal)*(1-EXP((Tnet-t)/(Tau_j))))*Salcycl</f>
        <v>1.9791758359705935E-2</v>
      </c>
      <c r="P255" s="169">
        <f>(INDEX(Models!$BJ255:$BT255,,T255)*(1-R255)+INDEX(Models!$BJ255:$BT255,,T255+1)*R255-ERP_i)*Q255*Ramure*Pc/MaxiM</f>
        <v>1.3055401168243547E-3</v>
      </c>
      <c r="Q255" s="304">
        <f t="shared" si="80"/>
        <v>0.7</v>
      </c>
      <c r="R255" s="177">
        <f t="shared" si="81"/>
        <v>0.56465567159946128</v>
      </c>
      <c r="S255" s="799">
        <f t="shared" si="82"/>
        <v>-1</v>
      </c>
      <c r="T255" s="176">
        <f t="shared" si="83"/>
        <v>5</v>
      </c>
      <c r="U255" s="250">
        <f t="shared" si="84"/>
        <v>-0.43534432840053877</v>
      </c>
      <c r="V255" s="382">
        <f t="shared" si="85"/>
        <v>48.479343289534334</v>
      </c>
      <c r="W255" s="400">
        <f t="shared" si="86"/>
        <v>32.335457176378632</v>
      </c>
      <c r="X255" s="157">
        <f t="shared" si="87"/>
        <v>46628</v>
      </c>
      <c r="Y255" s="383">
        <f t="shared" si="88"/>
        <v>30.603699108733682</v>
      </c>
      <c r="Z255" s="383">
        <f t="shared" si="89"/>
        <v>32.510008386460491</v>
      </c>
      <c r="AA255" s="384">
        <f t="shared" si="90"/>
        <v>34.835014429662174</v>
      </c>
      <c r="AB255" s="197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6.6743363861561406E-2</v>
      </c>
      <c r="AD255" s="230">
        <f>(INDEX(Models!$BJ255:$BT255,,AH255)*(1-AF255)+INDEX(Models!$BJ255:$BT255,,AH255+1)*AF255-ERP_i)*AE255*Ramure*Pc/MaxiM</f>
        <v>1.2629476867564434E-2</v>
      </c>
      <c r="AE255" s="304">
        <f t="shared" si="92"/>
        <v>0.7</v>
      </c>
      <c r="AF255" s="177">
        <f t="shared" si="93"/>
        <v>0.32031350243881196</v>
      </c>
      <c r="AG255" s="799">
        <f t="shared" si="99"/>
        <v>2</v>
      </c>
      <c r="AH255" s="176">
        <f t="shared" si="94"/>
        <v>8</v>
      </c>
      <c r="AI255" s="224">
        <f t="shared" si="95"/>
        <v>2.320313502438812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46629</v>
      </c>
      <c r="B256" s="409">
        <f>'2026'!Wh/'2026'!Env_an*'2027'!Env_an</f>
        <v>47.564572743324064</v>
      </c>
      <c r="C256" s="829"/>
      <c r="D256" s="391">
        <f t="shared" si="77"/>
        <v>50.528345897566588</v>
      </c>
      <c r="E256" s="383">
        <f t="shared" si="100"/>
        <v>51.553517550316556</v>
      </c>
      <c r="F256" s="383">
        <f t="shared" si="78"/>
        <v>51.621419536990444</v>
      </c>
      <c r="G256" s="110">
        <f t="shared" si="101"/>
        <v>0.98454211099434441</v>
      </c>
      <c r="H256" s="412" t="b">
        <f>Wh_hp&gt;='2026'!Maxi_hp</f>
        <v>0</v>
      </c>
      <c r="I256" s="388">
        <f>IF(H256,Wh_hp,'2026'!Maxi_hp)</f>
        <v>51.62228320677383</v>
      </c>
      <c r="J256" s="85">
        <f>IF(H256,An,'2026'!An_max)</f>
        <v>2026</v>
      </c>
      <c r="K256" s="197">
        <f t="shared" si="79"/>
        <v>46629</v>
      </c>
      <c r="L256" s="147">
        <f>IF(t&lt;Tvie,1-EXP((T0-t)*PertePVj)+'2026'!Pspv,1-EXP((T0-t)*PertePVj)+Pspv)</f>
        <v>5.8655653605816038E-2</v>
      </c>
      <c r="M256" s="832"/>
      <c r="N256" s="832"/>
      <c r="O256" s="48">
        <f>IF(t&lt;Tnet,'2026'!Resal+('2026'!Salim-'2026'!Resal)*(1-EXP(('2026'!Tnet-t)/('2026'!Tau_j))),Resal+(Salim-Resal)*(1-EXP((Tnet-t)/(Tau_j))))*Salcycl</f>
        <v>1.9885581071153773E-2</v>
      </c>
      <c r="P256" s="169">
        <f>(INDEX(Models!$BJ256:$BT256,,T256)*(1-R256)+INDEX(Models!$BJ256:$BT256,,T256+1)*R256-ERP_i)*Q256*Ramure*Pc/MaxiM</f>
        <v>1.345029675309756E-3</v>
      </c>
      <c r="Q256" s="304">
        <f t="shared" si="80"/>
        <v>0.7</v>
      </c>
      <c r="R256" s="177">
        <f t="shared" si="81"/>
        <v>0.56521630964840097</v>
      </c>
      <c r="S256" s="799">
        <f t="shared" si="82"/>
        <v>-1</v>
      </c>
      <c r="T256" s="176">
        <f t="shared" si="83"/>
        <v>5</v>
      </c>
      <c r="U256" s="250">
        <f t="shared" si="84"/>
        <v>-0.43478369035159903</v>
      </c>
      <c r="V256" s="382">
        <f t="shared" si="85"/>
        <v>48.309930340841355</v>
      </c>
      <c r="W256" s="400">
        <f t="shared" si="86"/>
        <v>47.564572743324064</v>
      </c>
      <c r="X256" s="157">
        <f t="shared" si="87"/>
        <v>46629</v>
      </c>
      <c r="Y256" s="383">
        <f t="shared" si="88"/>
        <v>44.775616394970676</v>
      </c>
      <c r="Z256" s="383">
        <f t="shared" si="89"/>
        <v>47.565608235162308</v>
      </c>
      <c r="AA256" s="384">
        <f t="shared" si="90"/>
        <v>50.969211115198888</v>
      </c>
      <c r="AB256" s="197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6.6777625267612384E-2</v>
      </c>
      <c r="AD256" s="230">
        <f>(INDEX(Models!$BJ256:$BT256,,AH256)*(1-AF256)+INDEX(Models!$BJ256:$BT256,,AH256+1)*AF256-ERP_i)*AE256*Ramure*Pc/MaxiM</f>
        <v>1.2919204941817804E-2</v>
      </c>
      <c r="AE256" s="304">
        <f t="shared" si="92"/>
        <v>0.7</v>
      </c>
      <c r="AF256" s="177">
        <f t="shared" si="93"/>
        <v>0.32087414048775198</v>
      </c>
      <c r="AG256" s="799">
        <f t="shared" si="99"/>
        <v>2</v>
      </c>
      <c r="AH256" s="176">
        <f t="shared" si="94"/>
        <v>8</v>
      </c>
      <c r="AI256" s="224">
        <f t="shared" si="95"/>
        <v>2.320874140487752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46630</v>
      </c>
      <c r="B257" s="409">
        <f>'2026'!Wh/'2026'!Env_an*'2027'!Env_an</f>
        <v>20.039103025441516</v>
      </c>
      <c r="C257" s="829"/>
      <c r="D257" s="391">
        <f t="shared" si="77"/>
        <v>21.288157892912196</v>
      </c>
      <c r="E257" s="383">
        <f t="shared" si="100"/>
        <v>21.722148686049934</v>
      </c>
      <c r="F257" s="383">
        <f t="shared" si="78"/>
        <v>21.727155705041028</v>
      </c>
      <c r="G257" s="110">
        <f t="shared" si="101"/>
        <v>0.41581166622778032</v>
      </c>
      <c r="H257" s="412" t="b">
        <f>Wh_hp&gt;='2026'!Maxi_hp</f>
        <v>0</v>
      </c>
      <c r="I257" s="388">
        <f>IF(H257,Wh_hp,'2026'!Maxi_hp)</f>
        <v>51.112198719060622</v>
      </c>
      <c r="J257" s="85">
        <f>IF(H257,An,'2026'!An_max)</f>
        <v>2021</v>
      </c>
      <c r="K257" s="197">
        <f t="shared" si="79"/>
        <v>46630</v>
      </c>
      <c r="L257" s="147">
        <f>IF(t&lt;Tvie,1-EXP((T0-t)*PertePVj)+'2026'!Pspv,1-EXP((T0-t)*PertePVj)+Pspv)</f>
        <v>5.8673694255459541E-2</v>
      </c>
      <c r="M257" s="832"/>
      <c r="N257" s="832"/>
      <c r="O257" s="48">
        <f>IF(t&lt;Tnet,'2026'!Resal+('2026'!Salim-'2026'!Resal)*(1-EXP(('2026'!Tnet-t)/('2026'!Tau_j))),Resal+(Salim-Resal)*(1-EXP((Tnet-t)/(Tau_j))))*Salcycl</f>
        <v>1.9979183432090569E-2</v>
      </c>
      <c r="P257" s="169">
        <f>(INDEX(Models!$BJ257:$BT257,,T257)*(1-R257)+INDEX(Models!$BJ257:$BT257,,T257+1)*R257-ERP_i)*Q257*Ramure*Pc/MaxiM</f>
        <v>1.3871381364556246E-3</v>
      </c>
      <c r="Q257" s="304">
        <f t="shared" si="80"/>
        <v>0.7</v>
      </c>
      <c r="R257" s="177">
        <f t="shared" si="81"/>
        <v>0.56575590740016113</v>
      </c>
      <c r="S257" s="799">
        <f t="shared" si="82"/>
        <v>-1</v>
      </c>
      <c r="T257" s="176">
        <f t="shared" si="83"/>
        <v>5</v>
      </c>
      <c r="U257" s="250">
        <f t="shared" si="84"/>
        <v>-0.43424409259983887</v>
      </c>
      <c r="V257" s="382">
        <f t="shared" si="85"/>
        <v>48.136981984503244</v>
      </c>
      <c r="W257" s="400">
        <f t="shared" si="86"/>
        <v>20.039103025441516</v>
      </c>
      <c r="X257" s="157">
        <f t="shared" si="87"/>
        <v>46630</v>
      </c>
      <c r="Y257" s="383">
        <f t="shared" si="88"/>
        <v>19.044059284084092</v>
      </c>
      <c r="Z257" s="383">
        <f t="shared" si="89"/>
        <v>20.231092202423074</v>
      </c>
      <c r="AA257" s="384">
        <f t="shared" si="90"/>
        <v>21.679535133856032</v>
      </c>
      <c r="AB257" s="197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6.6811530897218502E-2</v>
      </c>
      <c r="AD257" s="230">
        <f>(INDEX(Models!$BJ257:$BT257,,AH257)*(1-AF257)+INDEX(Models!$BJ257:$BT257,,AH257+1)*AF257-ERP_i)*AE257*Ramure*Pc/MaxiM</f>
        <v>1.3192742126203782E-2</v>
      </c>
      <c r="AE257" s="304">
        <f t="shared" si="92"/>
        <v>0.7</v>
      </c>
      <c r="AF257" s="177">
        <f t="shared" si="93"/>
        <v>0.32141373823951191</v>
      </c>
      <c r="AG257" s="799">
        <f t="shared" si="99"/>
        <v>2</v>
      </c>
      <c r="AH257" s="176">
        <f t="shared" si="94"/>
        <v>8</v>
      </c>
      <c r="AI257" s="224">
        <f t="shared" si="95"/>
        <v>2.3214137382395119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46631</v>
      </c>
      <c r="B258" s="409">
        <f>'2026'!Wh/'2026'!Env_an*'2027'!Env_an</f>
        <v>42.533448539373481</v>
      </c>
      <c r="C258" s="829"/>
      <c r="D258" s="391">
        <f t="shared" si="77"/>
        <v>45.18546166113061</v>
      </c>
      <c r="E258" s="383">
        <f t="shared" si="100"/>
        <v>46.111028077089415</v>
      </c>
      <c r="F258" s="383">
        <f t="shared" si="78"/>
        <v>46.16644862641764</v>
      </c>
      <c r="G258" s="110">
        <f t="shared" si="101"/>
        <v>0.88664336156078483</v>
      </c>
      <c r="H258" s="412" t="b">
        <f>Wh_hp&gt;='2026'!Maxi_hp</f>
        <v>0</v>
      </c>
      <c r="I258" s="388">
        <f>IF(H258,Wh_hp,'2026'!Maxi_hp)</f>
        <v>46.17249419161962</v>
      </c>
      <c r="J258" s="85">
        <f>IF(H258,An,'2026'!An_max)</f>
        <v>2026</v>
      </c>
      <c r="K258" s="197">
        <f t="shared" si="79"/>
        <v>46631</v>
      </c>
      <c r="L258" s="147">
        <f>IF(t&lt;Tvie,1-EXP((T0-t)*PertePVj)+'2026'!Pspv,1-EXP((T0-t)*PertePVj)+Pspv)</f>
        <v>5.8691734559358055E-2</v>
      </c>
      <c r="M258" s="832"/>
      <c r="N258" s="832"/>
      <c r="O258" s="48">
        <f>IF(t&lt;Tnet,'2026'!Resal+('2026'!Salim-'2026'!Resal)*(1-EXP(('2026'!Tnet-t)/('2026'!Tau_j))),Resal+(Salim-Resal)*(1-EXP((Tnet-t)/(Tau_j))))*Salcycl</f>
        <v>2.0072560828863335E-2</v>
      </c>
      <c r="P258" s="169">
        <f>(INDEX(Models!$BJ258:$BT258,,T258)*(1-R258)+INDEX(Models!$BJ258:$BT258,,T258+1)*R258-ERP_i)*Q258*Ramure*Pc/MaxiM</f>
        <v>1.431911310324045E-3</v>
      </c>
      <c r="Q258" s="304">
        <f t="shared" si="80"/>
        <v>0.7</v>
      </c>
      <c r="R258" s="177">
        <f t="shared" si="81"/>
        <v>0.56627519698625828</v>
      </c>
      <c r="S258" s="799">
        <f t="shared" si="82"/>
        <v>-1</v>
      </c>
      <c r="T258" s="176">
        <f t="shared" si="83"/>
        <v>5</v>
      </c>
      <c r="U258" s="250">
        <f t="shared" si="84"/>
        <v>-0.43372480301374167</v>
      </c>
      <c r="V258" s="382">
        <f t="shared" si="85"/>
        <v>47.960198808236399</v>
      </c>
      <c r="W258" s="400">
        <f t="shared" si="86"/>
        <v>42.533448539373481</v>
      </c>
      <c r="X258" s="157">
        <f t="shared" si="87"/>
        <v>46631</v>
      </c>
      <c r="Y258" s="383">
        <f t="shared" si="88"/>
        <v>40.094722669598283</v>
      </c>
      <c r="Z258" s="383">
        <f t="shared" si="89"/>
        <v>42.594678217161182</v>
      </c>
      <c r="AA258" s="384">
        <f t="shared" si="90"/>
        <v>45.645880213725832</v>
      </c>
      <c r="AB258" s="197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6.6845068651938122E-2</v>
      </c>
      <c r="AD258" s="230">
        <f>(INDEX(Models!$BJ258:$BT258,,AH258)*(1-AF258)+INDEX(Models!$BJ258:$BT258,,AH258+1)*AF258-ERP_i)*AE258*Ramure*Pc/MaxiM</f>
        <v>1.3450025432194651E-2</v>
      </c>
      <c r="AE258" s="304">
        <f t="shared" si="92"/>
        <v>0.7</v>
      </c>
      <c r="AF258" s="177">
        <f t="shared" si="93"/>
        <v>0.32193302782560895</v>
      </c>
      <c r="AG258" s="799">
        <f t="shared" si="99"/>
        <v>2</v>
      </c>
      <c r="AH258" s="176">
        <f t="shared" si="94"/>
        <v>8</v>
      </c>
      <c r="AI258" s="224">
        <f t="shared" si="95"/>
        <v>2.321933027825609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46632</v>
      </c>
      <c r="B259" s="409">
        <f>'2026'!Wh/'2026'!Env_an*'2027'!Env_an</f>
        <v>37.640077660993924</v>
      </c>
      <c r="C259" s="829"/>
      <c r="D259" s="391">
        <f t="shared" si="77"/>
        <v>39.987749412462634</v>
      </c>
      <c r="E259" s="383">
        <f t="shared" si="100"/>
        <v>40.810726627335136</v>
      </c>
      <c r="F259" s="383">
        <f t="shared" si="78"/>
        <v>40.852842193922797</v>
      </c>
      <c r="G259" s="110">
        <f t="shared" si="101"/>
        <v>0.78743710394299105</v>
      </c>
      <c r="H259" s="412" t="b">
        <f>Wh_hp&gt;='2026'!Maxi_hp</f>
        <v>0</v>
      </c>
      <c r="I259" s="388">
        <f>IF(H259,Wh_hp,'2026'!Maxi_hp)</f>
        <v>43.932172595785929</v>
      </c>
      <c r="J259" s="85">
        <f>IF(H259,An,'2026'!An_max)</f>
        <v>2018</v>
      </c>
      <c r="K259" s="197">
        <f t="shared" si="79"/>
        <v>46632</v>
      </c>
      <c r="L259" s="147">
        <f>IF(t&lt;Tvie,1-EXP((T0-t)*PertePVj)+'2026'!Pspv,1-EXP((T0-t)*PertePVj)+Pspv)</f>
        <v>5.8709774517518354E-2</v>
      </c>
      <c r="M259" s="832"/>
      <c r="N259" s="832"/>
      <c r="O259" s="48">
        <f>IF(t&lt;Tnet,'2026'!Resal+('2026'!Salim-'2026'!Resal)*(1-EXP(('2026'!Tnet-t)/('2026'!Tau_j))),Resal+(Salim-Resal)*(1-EXP((Tnet-t)/(Tau_j))))*Salcycl</f>
        <v>2.0165708451788968E-2</v>
      </c>
      <c r="P259" s="169">
        <f>(INDEX(Models!$BJ259:$BT259,,T259)*(1-R259)+INDEX(Models!$BJ259:$BT259,,T259+1)*R259-ERP_i)*Q259*Ramure*Pc/MaxiM</f>
        <v>1.4793972974634919E-3</v>
      </c>
      <c r="Q259" s="304">
        <f t="shared" si="80"/>
        <v>0.7</v>
      </c>
      <c r="R259" s="177">
        <f t="shared" si="81"/>
        <v>0.56677488947762367</v>
      </c>
      <c r="S259" s="799">
        <f t="shared" si="82"/>
        <v>-1</v>
      </c>
      <c r="T259" s="176">
        <f t="shared" si="83"/>
        <v>5</v>
      </c>
      <c r="U259" s="250">
        <f t="shared" si="84"/>
        <v>-0.43322511052237639</v>
      </c>
      <c r="V259" s="382">
        <f t="shared" si="85"/>
        <v>47.779281571787259</v>
      </c>
      <c r="W259" s="400">
        <f t="shared" si="86"/>
        <v>37.640077660993924</v>
      </c>
      <c r="X259" s="157">
        <f t="shared" si="87"/>
        <v>46632</v>
      </c>
      <c r="Y259" s="383">
        <f t="shared" si="88"/>
        <v>35.540282599848013</v>
      </c>
      <c r="Z259" s="383">
        <f t="shared" si="89"/>
        <v>37.75698678017288</v>
      </c>
      <c r="AA259" s="384">
        <f t="shared" si="90"/>
        <v>40.463086202541888</v>
      </c>
      <c r="AB259" s="197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6.6878225966832225E-2</v>
      </c>
      <c r="AD259" s="230">
        <f>(INDEX(Models!$BJ259:$BT259,,AH259)*(1-AF259)+INDEX(Models!$BJ259:$BT259,,AH259+1)*AF259-ERP_i)*AE259*Ramure*Pc/MaxiM</f>
        <v>1.3690993782996833E-2</v>
      </c>
      <c r="AE259" s="304">
        <f t="shared" si="92"/>
        <v>0.7</v>
      </c>
      <c r="AF259" s="177">
        <f t="shared" si="93"/>
        <v>0.32243272031697456</v>
      </c>
      <c r="AG259" s="799">
        <f t="shared" si="99"/>
        <v>2</v>
      </c>
      <c r="AH259" s="176">
        <f t="shared" si="94"/>
        <v>8</v>
      </c>
      <c r="AI259" s="224">
        <f t="shared" si="95"/>
        <v>2.3224327203169746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46633</v>
      </c>
      <c r="B260" s="409">
        <f>'2026'!Wh/'2026'!Env_an*'2027'!Env_an</f>
        <v>31.620213066709045</v>
      </c>
      <c r="C260" s="829"/>
      <c r="D260" s="391">
        <f t="shared" si="77"/>
        <v>33.593060053592573</v>
      </c>
      <c r="E260" s="383">
        <f t="shared" si="100"/>
        <v>34.287681201727089</v>
      </c>
      <c r="F260" s="383">
        <f t="shared" si="78"/>
        <v>34.315004027149719</v>
      </c>
      <c r="G260" s="110">
        <f t="shared" si="101"/>
        <v>0.66388724708286195</v>
      </c>
      <c r="H260" s="412" t="b">
        <f>Wh_hp&gt;='2026'!Maxi_hp</f>
        <v>0</v>
      </c>
      <c r="I260" s="388">
        <f>IF(H260,Wh_hp,'2026'!Maxi_hp)</f>
        <v>53.184089947763461</v>
      </c>
      <c r="J260" s="85">
        <f>IF(H260,An,'2026'!An_max)</f>
        <v>2018</v>
      </c>
      <c r="K260" s="197">
        <f t="shared" si="79"/>
        <v>46633</v>
      </c>
      <c r="L260" s="147">
        <f>IF(t&lt;Tvie,1-EXP((T0-t)*PertePVj)+'2026'!Pspv,1-EXP((T0-t)*PertePVj)+Pspv)</f>
        <v>5.8727814129946876E-2</v>
      </c>
      <c r="M260" s="832"/>
      <c r="N260" s="832"/>
      <c r="O260" s="48">
        <f>IF(t&lt;Tnet,'2026'!Resal+('2026'!Salim-'2026'!Resal)*(1-EXP(('2026'!Tnet-t)/('2026'!Tau_j))),Resal+(Salim-Resal)*(1-EXP((Tnet-t)/(Tau_j))))*Salcycl</f>
        <v>2.0258621282897696E-2</v>
      </c>
      <c r="P260" s="169">
        <f>(INDEX(Models!$BJ260:$BT260,,T260)*(1-R260)+INDEX(Models!$BJ260:$BT260,,T260+1)*R260-ERP_i)*Q260*Ramure*Pc/MaxiM</f>
        <v>1.529646740701756E-3</v>
      </c>
      <c r="Q260" s="304">
        <f t="shared" si="80"/>
        <v>0.7</v>
      </c>
      <c r="R260" s="177">
        <f t="shared" si="81"/>
        <v>0.567255675140524</v>
      </c>
      <c r="S260" s="799">
        <f t="shared" si="82"/>
        <v>-1</v>
      </c>
      <c r="T260" s="176">
        <f t="shared" si="83"/>
        <v>5</v>
      </c>
      <c r="U260" s="250">
        <f t="shared" si="84"/>
        <v>-0.432744324859476</v>
      </c>
      <c r="V260" s="382">
        <f t="shared" si="85"/>
        <v>47.593931208791908</v>
      </c>
      <c r="W260" s="400">
        <f t="shared" si="86"/>
        <v>31.620213066709045</v>
      </c>
      <c r="X260" s="157">
        <f t="shared" si="87"/>
        <v>46633</v>
      </c>
      <c r="Y260" s="383">
        <f t="shared" si="88"/>
        <v>29.920239684171861</v>
      </c>
      <c r="Z260" s="383">
        <f t="shared" si="89"/>
        <v>31.787022004177743</v>
      </c>
      <c r="AA260" s="384">
        <f t="shared" si="90"/>
        <v>34.066441310492159</v>
      </c>
      <c r="AB260" s="197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6.6910989778447325E-2</v>
      </c>
      <c r="AD260" s="230">
        <f>(INDEX(Models!$BJ260:$BT260,,AH260)*(1-AF260)+INDEX(Models!$BJ260:$BT260,,AH260+1)*AF260-ERP_i)*AE260*Ramure*Pc/MaxiM</f>
        <v>1.3915586822154696E-2</v>
      </c>
      <c r="AE260" s="304">
        <f t="shared" si="92"/>
        <v>0.7</v>
      </c>
      <c r="AF260" s="177">
        <f t="shared" si="93"/>
        <v>0.32291350597987467</v>
      </c>
      <c r="AG260" s="799">
        <f t="shared" si="99"/>
        <v>2</v>
      </c>
      <c r="AH260" s="176">
        <f t="shared" si="94"/>
        <v>8</v>
      </c>
      <c r="AI260" s="224">
        <f t="shared" si="95"/>
        <v>2.3229135059798747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46634</v>
      </c>
      <c r="B261" s="409">
        <f>'2026'!Wh/'2026'!Env_an*'2027'!Env_an</f>
        <v>48.026063024891094</v>
      </c>
      <c r="C261" s="829"/>
      <c r="D261" s="391">
        <f t="shared" si="77"/>
        <v>51.023480956976414</v>
      </c>
      <c r="E261" s="383">
        <f t="shared" si="100"/>
        <v>52.08344649342957</v>
      </c>
      <c r="F261" s="383">
        <f t="shared" si="78"/>
        <v>52.166009389945359</v>
      </c>
      <c r="G261" s="110">
        <f t="shared" si="101"/>
        <v>1.0131143940679881</v>
      </c>
      <c r="H261" s="412" t="b">
        <f>Wh_hp&gt;='2026'!Maxi_hp</f>
        <v>0</v>
      </c>
      <c r="I261" s="388">
        <f>IF(H261,Wh_hp,'2026'!Maxi_hp)</f>
        <v>52.707977140675048</v>
      </c>
      <c r="J261" s="85">
        <f>IF(H261,An,'2026'!An_max)</f>
        <v>2018</v>
      </c>
      <c r="K261" s="197">
        <f t="shared" si="79"/>
        <v>46634</v>
      </c>
      <c r="L261" s="147">
        <f>IF(t&lt;Tvie,1-EXP((T0-t)*PertePVj)+'2026'!Pspv,1-EXP((T0-t)*PertePVj)+Pspv)</f>
        <v>5.8745853396650394E-2</v>
      </c>
      <c r="M261" s="832"/>
      <c r="N261" s="832"/>
      <c r="O261" s="48">
        <f>IF(t&lt;Tnet,'2026'!Resal+('2026'!Salim-'2026'!Resal)*(1-EXP(('2026'!Tnet-t)/('2026'!Tau_j))),Resal+(Salim-Resal)*(1-EXP((Tnet-t)/(Tau_j))))*Salcycl</f>
        <v>2.0351294083176184E-2</v>
      </c>
      <c r="P261" s="169">
        <f>(INDEX(Models!$BJ261:$BT261,,T261)*(1-R261)+INDEX(Models!$BJ261:$BT261,,T261+1)*R261-ERP_i)*Q261*Ramure*Pc/MaxiM</f>
        <v>1.5826952738252937E-3</v>
      </c>
      <c r="Q261" s="304">
        <f t="shared" si="80"/>
        <v>0.7</v>
      </c>
      <c r="R261" s="177">
        <f t="shared" si="81"/>
        <v>0.56771822372113534</v>
      </c>
      <c r="S261" s="799">
        <f t="shared" si="82"/>
        <v>-1</v>
      </c>
      <c r="T261" s="176">
        <f t="shared" si="83"/>
        <v>5</v>
      </c>
      <c r="U261" s="250">
        <f t="shared" si="84"/>
        <v>-0.4322817762788646</v>
      </c>
      <c r="V261" s="382">
        <f t="shared" si="85"/>
        <v>47.404383262240131</v>
      </c>
      <c r="W261" s="400">
        <f t="shared" si="86"/>
        <v>48.026063024891094</v>
      </c>
      <c r="X261" s="157">
        <f t="shared" si="87"/>
        <v>46634</v>
      </c>
      <c r="Y261" s="383">
        <f t="shared" si="88"/>
        <v>45.167391405635755</v>
      </c>
      <c r="Z261" s="383">
        <f t="shared" si="89"/>
        <v>47.986393014712078</v>
      </c>
      <c r="AA261" s="384">
        <f t="shared" si="90"/>
        <v>51.429238336484524</v>
      </c>
      <c r="AB261" s="197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6.6943346491873848E-2</v>
      </c>
      <c r="AD261" s="230">
        <f>(INDEX(Models!$BJ261:$BT261,,AH261)*(1-AF261)+INDEX(Models!$BJ261:$BT261,,AH261+1)*AF261-ERP_i)*AE261*Ramure*Pc/MaxiM</f>
        <v>1.4123584726472125E-2</v>
      </c>
      <c r="AE261" s="304">
        <f t="shared" si="92"/>
        <v>0.7</v>
      </c>
      <c r="AF261" s="177">
        <f t="shared" si="93"/>
        <v>0.32337605456048601</v>
      </c>
      <c r="AG261" s="799">
        <f t="shared" si="99"/>
        <v>2</v>
      </c>
      <c r="AH261" s="176">
        <f t="shared" si="94"/>
        <v>8</v>
      </c>
      <c r="AI261" s="224">
        <f t="shared" si="95"/>
        <v>2.323376054560486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46635</v>
      </c>
      <c r="B262" s="409">
        <f>'2026'!Wh/'2026'!Env_an*'2027'!Env_an</f>
        <v>41.140422809026639</v>
      </c>
      <c r="C262" s="829"/>
      <c r="D262" s="391">
        <f t="shared" si="77"/>
        <v>43.708929643942369</v>
      </c>
      <c r="E262" s="383">
        <f t="shared" si="100"/>
        <v>44.621152043966823</v>
      </c>
      <c r="F262" s="383">
        <f t="shared" si="78"/>
        <v>44.680864579366457</v>
      </c>
      <c r="G262" s="110">
        <f t="shared" si="101"/>
        <v>0.87114980476601533</v>
      </c>
      <c r="H262" s="412" t="b">
        <f>Wh_hp&gt;='2026'!Maxi_hp</f>
        <v>0</v>
      </c>
      <c r="I262" s="388">
        <f>IF(H262,Wh_hp,'2026'!Maxi_hp)</f>
        <v>52.360214050968047</v>
      </c>
      <c r="J262" s="85">
        <f>IF(H262,An,'2026'!An_max)</f>
        <v>2020</v>
      </c>
      <c r="K262" s="197">
        <f t="shared" si="79"/>
        <v>46635</v>
      </c>
      <c r="L262" s="147">
        <f>IF(t&lt;Tvie,1-EXP((T0-t)*PertePVj)+'2026'!Pspv,1-EXP((T0-t)*PertePVj)+Pspv)</f>
        <v>5.8763892317635458E-2</v>
      </c>
      <c r="M262" s="832"/>
      <c r="N262" s="832"/>
      <c r="O262" s="48">
        <f>IF(t&lt;Tnet,'2026'!Resal+('2026'!Salim-'2026'!Resal)*(1-EXP(('2026'!Tnet-t)/('2026'!Tau_j))),Resal+(Salim-Resal)*(1-EXP((Tnet-t)/(Tau_j))))*Salcycl</f>
        <v>2.0443721379618578E-2</v>
      </c>
      <c r="P262" s="169">
        <f>(INDEX(Models!$BJ262:$BT262,,T262)*(1-R262)+INDEX(Models!$BJ262:$BT262,,T262+1)*R262-ERP_i)*Q262*Ramure*Pc/MaxiM</f>
        <v>1.6371650147100104E-3</v>
      </c>
      <c r="Q262" s="304">
        <f t="shared" si="80"/>
        <v>0.7</v>
      </c>
      <c r="R262" s="177">
        <f t="shared" si="81"/>
        <v>0.56816318475535288</v>
      </c>
      <c r="S262" s="799">
        <f t="shared" si="82"/>
        <v>-1</v>
      </c>
      <c r="T262" s="176">
        <f t="shared" si="83"/>
        <v>5</v>
      </c>
      <c r="U262" s="250">
        <f t="shared" si="84"/>
        <v>-0.43183681524464712</v>
      </c>
      <c r="V262" s="382">
        <f t="shared" si="85"/>
        <v>47.211206813616315</v>
      </c>
      <c r="W262" s="400">
        <f t="shared" si="86"/>
        <v>41.140422809026639</v>
      </c>
      <c r="X262" s="157">
        <f t="shared" si="87"/>
        <v>46635</v>
      </c>
      <c r="Y262" s="383">
        <f t="shared" si="88"/>
        <v>38.780720059983061</v>
      </c>
      <c r="Z262" s="383">
        <f t="shared" si="89"/>
        <v>41.201904329269787</v>
      </c>
      <c r="AA262" s="384">
        <f t="shared" si="90"/>
        <v>44.159499241658402</v>
      </c>
      <c r="AB262" s="197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6.6975281947910567E-2</v>
      </c>
      <c r="AD262" s="230">
        <f>(INDEX(Models!$BJ262:$BT262,,AH262)*(1-AF262)+INDEX(Models!$BJ262:$BT262,,AH262+1)*AF262-ERP_i)*AE262*Ramure*Pc/MaxiM</f>
        <v>1.429450424547535E-2</v>
      </c>
      <c r="AE262" s="304">
        <f t="shared" si="92"/>
        <v>0.7</v>
      </c>
      <c r="AF262" s="177">
        <f t="shared" si="93"/>
        <v>0.32382101559470389</v>
      </c>
      <c r="AG262" s="799">
        <f t="shared" si="99"/>
        <v>2</v>
      </c>
      <c r="AH262" s="176">
        <f t="shared" si="94"/>
        <v>8</v>
      </c>
      <c r="AI262" s="224">
        <f t="shared" si="95"/>
        <v>2.3238210155947039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46636</v>
      </c>
      <c r="B263" s="409">
        <f>'2026'!Wh/'2026'!Env_an*'2027'!Env_an</f>
        <v>44.726080806632794</v>
      </c>
      <c r="C263" s="829"/>
      <c r="D263" s="391">
        <f t="shared" si="77"/>
        <v>47.519360576091835</v>
      </c>
      <c r="E263" s="383">
        <f t="shared" si="100"/>
        <v>48.515673471333976</v>
      </c>
      <c r="F263" s="383">
        <f t="shared" si="78"/>
        <v>48.592088367548897</v>
      </c>
      <c r="G263" s="110">
        <f t="shared" si="101"/>
        <v>0.95121035923030106</v>
      </c>
      <c r="H263" s="412" t="b">
        <f>Wh_hp&gt;='2026'!Maxi_hp</f>
        <v>0</v>
      </c>
      <c r="I263" s="388">
        <f>IF(H263,Wh_hp,'2026'!Maxi_hp)</f>
        <v>51.253626858987126</v>
      </c>
      <c r="J263" s="85">
        <f>IF(H263,An,'2026'!An_max)</f>
        <v>2018</v>
      </c>
      <c r="K263" s="197">
        <f t="shared" si="79"/>
        <v>46636</v>
      </c>
      <c r="L263" s="147">
        <f>IF(t&lt;Tvie,1-EXP((T0-t)*PertePVj)+'2026'!Pspv,1-EXP((T0-t)*PertePVj)+Pspv)</f>
        <v>5.8781930892908729E-2</v>
      </c>
      <c r="M263" s="832"/>
      <c r="N263" s="832"/>
      <c r="O263" s="48">
        <f>IF(t&lt;Tnet,'2026'!Resal+('2026'!Salim-'2026'!Resal)*(1-EXP(('2026'!Tnet-t)/('2026'!Tau_j))),Resal+(Salim-Resal)*(1-EXP((Tnet-t)/(Tau_j))))*Salcycl</f>
        <v>2.053589745241444E-2</v>
      </c>
      <c r="P263" s="169">
        <f>(INDEX(Models!$BJ263:$BT263,,T263)*(1-R263)+INDEX(Models!$BJ263:$BT263,,T263+1)*R263-ERP_i)*Q263*Ramure*Pc/MaxiM</f>
        <v>1.6901082681671589E-3</v>
      </c>
      <c r="Q263" s="304">
        <f t="shared" si="80"/>
        <v>0.7</v>
      </c>
      <c r="R263" s="177">
        <f t="shared" si="81"/>
        <v>0.56859118790065821</v>
      </c>
      <c r="S263" s="799">
        <f t="shared" si="82"/>
        <v>-1</v>
      </c>
      <c r="T263" s="176">
        <f t="shared" si="83"/>
        <v>5</v>
      </c>
      <c r="U263" s="250">
        <f t="shared" si="84"/>
        <v>-0.43140881209934179</v>
      </c>
      <c r="V263" s="382">
        <f t="shared" si="85"/>
        <v>47.01464346792806</v>
      </c>
      <c r="W263" s="400">
        <f t="shared" si="86"/>
        <v>44.726080806632794</v>
      </c>
      <c r="X263" s="157">
        <f t="shared" si="87"/>
        <v>46636</v>
      </c>
      <c r="Y263" s="383">
        <f t="shared" si="88"/>
        <v>42.098167610426252</v>
      </c>
      <c r="Z263" s="383">
        <f t="shared" si="89"/>
        <v>44.727326208647561</v>
      </c>
      <c r="AA263" s="384">
        <f t="shared" si="90"/>
        <v>47.939604829444185</v>
      </c>
      <c r="AB263" s="197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6.7006781391399095E-2</v>
      </c>
      <c r="AD263" s="230">
        <f>(INDEX(Models!$BJ263:$BT263,,AH263)*(1-AF263)+INDEX(Models!$BJ263:$BT263,,AH263+1)*AF263-ERP_i)*AE263*Ramure*Pc/MaxiM</f>
        <v>1.4431320033362895E-2</v>
      </c>
      <c r="AE263" s="304">
        <f t="shared" si="92"/>
        <v>0.7</v>
      </c>
      <c r="AF263" s="177">
        <f t="shared" si="93"/>
        <v>0.32424901874000911</v>
      </c>
      <c r="AG263" s="799">
        <f t="shared" si="99"/>
        <v>2</v>
      </c>
      <c r="AH263" s="176">
        <f t="shared" si="94"/>
        <v>8</v>
      </c>
      <c r="AI263" s="224">
        <f t="shared" si="95"/>
        <v>2.3242490187400091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46637</v>
      </c>
      <c r="B264" s="409">
        <f>'2026'!Wh/'2026'!Env_an*'2027'!Env_an</f>
        <v>34.847367582159777</v>
      </c>
      <c r="C264" s="829"/>
      <c r="D264" s="391">
        <f t="shared" si="77"/>
        <v>37.024401231340804</v>
      </c>
      <c r="E264" s="383">
        <f t="shared" si="100"/>
        <v>37.804219732196465</v>
      </c>
      <c r="F264" s="383">
        <f t="shared" si="78"/>
        <v>37.846059519448666</v>
      </c>
      <c r="G264" s="110">
        <f t="shared" si="101"/>
        <v>0.7438926246036619</v>
      </c>
      <c r="H264" s="412" t="b">
        <f>Wh_hp&gt;='2026'!Maxi_hp</f>
        <v>0</v>
      </c>
      <c r="I264" s="388">
        <f>IF(H264,Wh_hp,'2026'!Maxi_hp)</f>
        <v>52.759985924745806</v>
      </c>
      <c r="J264" s="85">
        <f>IF(H264,An,'2026'!An_max)</f>
        <v>2018</v>
      </c>
      <c r="K264" s="197">
        <f t="shared" si="79"/>
        <v>46637</v>
      </c>
      <c r="L264" s="147">
        <f>IF(t&lt;Tvie,1-EXP((T0-t)*PertePVj)+'2026'!Pspv,1-EXP((T0-t)*PertePVj)+Pspv)</f>
        <v>5.8799969122476758E-2</v>
      </c>
      <c r="M264" s="832"/>
      <c r="N264" s="832"/>
      <c r="O264" s="48">
        <f>IF(t&lt;Tnet,'2026'!Resal+('2026'!Salim-'2026'!Resal)*(1-EXP(('2026'!Tnet-t)/('2026'!Tau_j))),Resal+(Salim-Resal)*(1-EXP((Tnet-t)/(Tau_j))))*Salcycl</f>
        <v>2.0627816322618599E-2</v>
      </c>
      <c r="P264" s="169">
        <f>(INDEX(Models!$BJ264:$BT264,,T264)*(1-R264)+INDEX(Models!$BJ264:$BT264,,T264+1)*R264-ERP_i)*Q264*Ramure*Pc/MaxiM</f>
        <v>1.7415080140242762E-3</v>
      </c>
      <c r="Q264" s="304">
        <f t="shared" si="80"/>
        <v>0.7</v>
      </c>
      <c r="R264" s="177">
        <f t="shared" si="81"/>
        <v>0.56900284328708828</v>
      </c>
      <c r="S264" s="799">
        <f t="shared" si="82"/>
        <v>-1</v>
      </c>
      <c r="T264" s="176">
        <f t="shared" si="83"/>
        <v>5</v>
      </c>
      <c r="U264" s="250">
        <f t="shared" si="84"/>
        <v>-0.43099715671291172</v>
      </c>
      <c r="V264" s="382">
        <f t="shared" si="85"/>
        <v>46.814795024029806</v>
      </c>
      <c r="W264" s="400">
        <f t="shared" si="86"/>
        <v>34.847367582159777</v>
      </c>
      <c r="X264" s="157">
        <f t="shared" si="87"/>
        <v>46637</v>
      </c>
      <c r="Y264" s="383">
        <f t="shared" si="88"/>
        <v>32.92616856007109</v>
      </c>
      <c r="Z264" s="383">
        <f t="shared" si="89"/>
        <v>34.983178367910313</v>
      </c>
      <c r="AA264" s="384">
        <f t="shared" si="90"/>
        <v>37.496888375420355</v>
      </c>
      <c r="AB264" s="197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6.7037829441810623E-2</v>
      </c>
      <c r="AD264" s="230">
        <f>(INDEX(Models!$BJ264:$BT264,,AH264)*(1-AF264)+INDEX(Models!$BJ264:$BT264,,AH264+1)*AF264-ERP_i)*AE264*Ramure*Pc/MaxiM</f>
        <v>1.4533638565749251E-2</v>
      </c>
      <c r="AE264" s="304">
        <f t="shared" si="92"/>
        <v>0.7</v>
      </c>
      <c r="AF264" s="177">
        <f t="shared" si="93"/>
        <v>0.32466067412643884</v>
      </c>
      <c r="AG264" s="799">
        <f t="shared" si="99"/>
        <v>2</v>
      </c>
      <c r="AH264" s="176">
        <f t="shared" si="94"/>
        <v>8</v>
      </c>
      <c r="AI264" s="224">
        <f t="shared" si="95"/>
        <v>2.3246606741264388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46638</v>
      </c>
      <c r="B265" s="409">
        <f>'2026'!Wh/'2026'!Env_an*'2027'!Env_an</f>
        <v>39.721816744922677</v>
      </c>
      <c r="C265" s="829"/>
      <c r="D265" s="391">
        <f t="shared" si="77"/>
        <v>42.204182656085429</v>
      </c>
      <c r="E265" s="383">
        <f t="shared" si="100"/>
        <v>43.097132474494195</v>
      </c>
      <c r="F265" s="383">
        <f t="shared" si="78"/>
        <v>43.158118188032226</v>
      </c>
      <c r="G265" s="110">
        <f t="shared" si="101"/>
        <v>0.85186157249347383</v>
      </c>
      <c r="H265" s="412" t="b">
        <f>Wh_hp&gt;='2026'!Maxi_hp</f>
        <v>0</v>
      </c>
      <c r="I265" s="388">
        <f>IF(H265,Wh_hp,'2026'!Maxi_hp)</f>
        <v>48.227232610216525</v>
      </c>
      <c r="J265" s="85">
        <f>IF(H265,An,'2026'!An_max)</f>
        <v>2020</v>
      </c>
      <c r="K265" s="197">
        <f t="shared" si="79"/>
        <v>46638</v>
      </c>
      <c r="L265" s="147">
        <f>IF(t&lt;Tvie,1-EXP((T0-t)*PertePVj)+'2026'!Pspv,1-EXP((T0-t)*PertePVj)+Pspv)</f>
        <v>5.8818007006346318E-2</v>
      </c>
      <c r="M265" s="832"/>
      <c r="N265" s="832"/>
      <c r="O265" s="48">
        <f>IF(t&lt;Tnet,'2026'!Resal+('2026'!Salim-'2026'!Resal)*(1-EXP(('2026'!Tnet-t)/('2026'!Tau_j))),Resal+(Salim-Resal)*(1-EXP((Tnet-t)/(Tau_j))))*Salcycl</f>
        <v>2.0719471740660078E-2</v>
      </c>
      <c r="P265" s="169">
        <f>(INDEX(Models!$BJ265:$BT265,,T265)*(1-R265)+INDEX(Models!$BJ265:$BT265,,T265+1)*R265-ERP_i)*Q265*Ramure*Pc/MaxiM</f>
        <v>1.7913462080616934E-3</v>
      </c>
      <c r="Q265" s="304">
        <f t="shared" si="80"/>
        <v>0.7</v>
      </c>
      <c r="R265" s="177">
        <f t="shared" si="81"/>
        <v>0.56939874188456496</v>
      </c>
      <c r="S265" s="799">
        <f t="shared" si="82"/>
        <v>-1</v>
      </c>
      <c r="T265" s="176">
        <f t="shared" si="83"/>
        <v>5</v>
      </c>
      <c r="U265" s="250">
        <f t="shared" si="84"/>
        <v>-0.43060125811543504</v>
      </c>
      <c r="V265" s="382">
        <f t="shared" si="85"/>
        <v>46.611763221126992</v>
      </c>
      <c r="W265" s="400">
        <f t="shared" si="86"/>
        <v>39.721816744922677</v>
      </c>
      <c r="X265" s="157">
        <f t="shared" si="87"/>
        <v>46638</v>
      </c>
      <c r="Y265" s="383">
        <f t="shared" si="88"/>
        <v>37.458877158719616</v>
      </c>
      <c r="Z265" s="383">
        <f t="shared" si="89"/>
        <v>39.799823453456362</v>
      </c>
      <c r="AA265" s="384">
        <f t="shared" si="90"/>
        <v>42.661030972616174</v>
      </c>
      <c r="AB265" s="197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6.7068410067173539E-2</v>
      </c>
      <c r="AD265" s="230">
        <f>(INDEX(Models!$BJ265:$BT265,,AH265)*(1-AF265)+INDEX(Models!$BJ265:$BT265,,AH265+1)*AF265-ERP_i)*AE265*Ramure*Pc/MaxiM</f>
        <v>1.460104747083475E-2</v>
      </c>
      <c r="AE265" s="304">
        <f t="shared" si="92"/>
        <v>0.7</v>
      </c>
      <c r="AF265" s="177">
        <f t="shared" si="93"/>
        <v>0.32505657272391586</v>
      </c>
      <c r="AG265" s="799">
        <f t="shared" si="99"/>
        <v>2</v>
      </c>
      <c r="AH265" s="176">
        <f t="shared" si="94"/>
        <v>8</v>
      </c>
      <c r="AI265" s="224">
        <f t="shared" si="95"/>
        <v>2.3250565727239159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46639</v>
      </c>
      <c r="B266" s="409">
        <f>'2026'!Wh/'2026'!Env_an*'2027'!Env_an</f>
        <v>16.763016293306865</v>
      </c>
      <c r="C266" s="829"/>
      <c r="D266" s="391">
        <f t="shared" si="77"/>
        <v>17.810941649581562</v>
      </c>
      <c r="E266" s="383">
        <f t="shared" si="100"/>
        <v>18.189480326768614</v>
      </c>
      <c r="F266" s="383">
        <f t="shared" si="78"/>
        <v>18.192407617974307</v>
      </c>
      <c r="G266" s="110">
        <f t="shared" si="101"/>
        <v>0.36062142956156334</v>
      </c>
      <c r="H266" s="412" t="b">
        <f>Wh_hp&gt;='2026'!Maxi_hp</f>
        <v>0</v>
      </c>
      <c r="I266" s="388">
        <f>IF(H266,Wh_hp,'2026'!Maxi_hp)</f>
        <v>49.53769434119436</v>
      </c>
      <c r="J266" s="85">
        <f>IF(H266,An,'2026'!An_max)</f>
        <v>2020</v>
      </c>
      <c r="K266" s="197">
        <f t="shared" si="79"/>
        <v>46639</v>
      </c>
      <c r="L266" s="147">
        <f>IF(t&lt;Tvie,1-EXP((T0-t)*PertePVj)+'2026'!Pspv,1-EXP((T0-t)*PertePVj)+Pspv)</f>
        <v>5.8836044544523958E-2</v>
      </c>
      <c r="M266" s="832"/>
      <c r="N266" s="832"/>
      <c r="O266" s="48">
        <f>IF(t&lt;Tnet,'2026'!Resal+('2026'!Salim-'2026'!Resal)*(1-EXP(('2026'!Tnet-t)/('2026'!Tau_j))),Resal+(Salim-Resal)*(1-EXP((Tnet-t)/(Tau_j))))*Salcycl</f>
        <v>2.0810857176055481E-2</v>
      </c>
      <c r="P266" s="169">
        <f>(INDEX(Models!$BJ266:$BT266,,T266)*(1-R266)+INDEX(Models!$BJ266:$BT266,,T266+1)*R266-ERP_i)*Q266*Ramure*Pc/MaxiM</f>
        <v>1.8396037640926388E-3</v>
      </c>
      <c r="Q266" s="304">
        <f t="shared" si="80"/>
        <v>0.7</v>
      </c>
      <c r="R266" s="177">
        <f t="shared" si="81"/>
        <v>0.5697794558840491</v>
      </c>
      <c r="S266" s="799">
        <f t="shared" si="82"/>
        <v>-1</v>
      </c>
      <c r="T266" s="176">
        <f t="shared" si="83"/>
        <v>5</v>
      </c>
      <c r="U266" s="250">
        <f t="shared" si="84"/>
        <v>-0.4302205441159509</v>
      </c>
      <c r="V266" s="382">
        <f t="shared" si="85"/>
        <v>46.405649738633493</v>
      </c>
      <c r="W266" s="400">
        <f t="shared" si="86"/>
        <v>16.763016293306865</v>
      </c>
      <c r="X266" s="157">
        <f t="shared" si="87"/>
        <v>46639</v>
      </c>
      <c r="Y266" s="383">
        <f t="shared" si="88"/>
        <v>15.95273047033589</v>
      </c>
      <c r="Z266" s="383">
        <f t="shared" si="89"/>
        <v>16.950001514471058</v>
      </c>
      <c r="AA266" s="384">
        <f t="shared" si="90"/>
        <v>18.169122499754263</v>
      </c>
      <c r="AB266" s="197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6.7098506562421723E-2</v>
      </c>
      <c r="AD266" s="230">
        <f>(INDEX(Models!$BJ266:$BT266,,AH266)*(1-AF266)+INDEX(Models!$BJ266:$BT266,,AH266+1)*AF266-ERP_i)*AE266*Ramure*Pc/MaxiM</f>
        <v>1.4633115776661524E-2</v>
      </c>
      <c r="AE266" s="304">
        <f t="shared" si="92"/>
        <v>0.7</v>
      </c>
      <c r="AF266" s="177">
        <f t="shared" si="93"/>
        <v>0.32543728672339967</v>
      </c>
      <c r="AG266" s="799">
        <f t="shared" si="99"/>
        <v>2</v>
      </c>
      <c r="AH266" s="176">
        <f t="shared" si="94"/>
        <v>8</v>
      </c>
      <c r="AI266" s="224">
        <f t="shared" si="95"/>
        <v>2.3254372867233997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46640</v>
      </c>
      <c r="B267" s="409">
        <f>'2026'!Wh/'2026'!Env_an*'2027'!Env_an</f>
        <v>43.996955307161201</v>
      </c>
      <c r="C267" s="829"/>
      <c r="D267" s="391">
        <f t="shared" si="77"/>
        <v>46.748282549388016</v>
      </c>
      <c r="E267" s="383">
        <f t="shared" si="100"/>
        <v>47.746273526123659</v>
      </c>
      <c r="F267" s="383">
        <f t="shared" si="78"/>
        <v>47.830357247458245</v>
      </c>
      <c r="G267" s="110">
        <f t="shared" si="101"/>
        <v>0.95226363245802803</v>
      </c>
      <c r="H267" s="412" t="b">
        <f>Wh_hp&gt;='2026'!Maxi_hp</f>
        <v>0</v>
      </c>
      <c r="I267" s="388">
        <f>IF(H267,Wh_hp,'2026'!Maxi_hp)</f>
        <v>47.833908333949203</v>
      </c>
      <c r="J267" s="85">
        <f>IF(H267,An,'2026'!An_max)</f>
        <v>2026</v>
      </c>
      <c r="K267" s="197">
        <f t="shared" si="79"/>
        <v>46640</v>
      </c>
      <c r="L267" s="147">
        <f>IF(t&lt;Tvie,1-EXP((T0-t)*PertePVj)+'2026'!Pspv,1-EXP((T0-t)*PertePVj)+Pspv)</f>
        <v>5.8854081737016228E-2</v>
      </c>
      <c r="M267" s="832"/>
      <c r="N267" s="832"/>
      <c r="O267" s="48">
        <f>IF(t&lt;Tnet,'2026'!Resal+('2026'!Salim-'2026'!Resal)*(1-EXP(('2026'!Tnet-t)/('2026'!Tau_j))),Resal+(Salim-Resal)*(1-EXP((Tnet-t)/(Tau_j))))*Salcycl</f>
        <v>2.090196580869522E-2</v>
      </c>
      <c r="P267" s="169">
        <f>(INDEX(Models!$BJ267:$BT267,,T267)*(1-R267)+INDEX(Models!$BJ267:$BT267,,T267+1)*R267-ERP_i)*Q267*Ramure*Pc/MaxiM</f>
        <v>1.8862605377946101E-3</v>
      </c>
      <c r="Q267" s="304">
        <f t="shared" si="80"/>
        <v>0.7</v>
      </c>
      <c r="R267" s="177">
        <f t="shared" si="81"/>
        <v>0.57014553909018106</v>
      </c>
      <c r="S267" s="799">
        <f t="shared" si="82"/>
        <v>-1</v>
      </c>
      <c r="T267" s="176">
        <f t="shared" si="83"/>
        <v>5</v>
      </c>
      <c r="U267" s="250">
        <f t="shared" si="84"/>
        <v>-0.42985446090981899</v>
      </c>
      <c r="V267" s="382">
        <f t="shared" si="85"/>
        <v>46.196556196020495</v>
      </c>
      <c r="W267" s="400">
        <f t="shared" si="86"/>
        <v>43.996955307161201</v>
      </c>
      <c r="X267" s="157">
        <f t="shared" si="87"/>
        <v>46640</v>
      </c>
      <c r="Y267" s="383">
        <f t="shared" si="88"/>
        <v>41.42099798545739</v>
      </c>
      <c r="Z267" s="383">
        <f t="shared" si="89"/>
        <v>44.011239045594145</v>
      </c>
      <c r="AA267" s="384">
        <f t="shared" si="90"/>
        <v>47.178223631699929</v>
      </c>
      <c r="AB267" s="197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6.7128101533221463E-2</v>
      </c>
      <c r="AD267" s="230">
        <f>(INDEX(Models!$BJ267:$BT267,,AH267)*(1-AF267)+INDEX(Models!$BJ267:$BT267,,AH267+1)*AF267-ERP_i)*AE267*Ramure*Pc/MaxiM</f>
        <v>1.4629394194857285E-2</v>
      </c>
      <c r="AE267" s="304">
        <f t="shared" si="92"/>
        <v>0.7</v>
      </c>
      <c r="AF267" s="177">
        <f t="shared" si="93"/>
        <v>0.32580336992953196</v>
      </c>
      <c r="AG267" s="799">
        <f t="shared" si="99"/>
        <v>2</v>
      </c>
      <c r="AH267" s="176">
        <f t="shared" si="94"/>
        <v>8</v>
      </c>
      <c r="AI267" s="224">
        <f t="shared" si="95"/>
        <v>2.325803369929532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46641</v>
      </c>
      <c r="B268" s="409">
        <f>'2026'!Wh/'2026'!Env_an*'2027'!Env_an</f>
        <v>46.217759310293985</v>
      </c>
      <c r="C268" s="829"/>
      <c r="D268" s="391">
        <f t="shared" si="77"/>
        <v>49.108904563264474</v>
      </c>
      <c r="E268" s="383">
        <f t="shared" si="100"/>
        <v>50.161943740386263</v>
      </c>
      <c r="F268" s="383">
        <f t="shared" si="78"/>
        <v>50.258801282332193</v>
      </c>
      <c r="G268" s="110">
        <f t="shared" si="101"/>
        <v>1.0050665759483837</v>
      </c>
      <c r="H268" s="412" t="b">
        <f>Wh_hp&gt;='2026'!Maxi_hp</f>
        <v>1</v>
      </c>
      <c r="I268" s="388">
        <f>IF(H268,Wh_hp,'2026'!Maxi_hp)</f>
        <v>50.258801282332193</v>
      </c>
      <c r="J268" s="85">
        <f>IF(H268,An,'2026'!An_max)</f>
        <v>2027</v>
      </c>
      <c r="K268" s="197">
        <f t="shared" si="79"/>
        <v>46641</v>
      </c>
      <c r="L268" s="147">
        <f>IF(t&lt;Tvie,1-EXP((T0-t)*PertePVj)+'2026'!Pspv,1-EXP((T0-t)*PertePVj)+Pspv)</f>
        <v>5.8872118583829902E-2</v>
      </c>
      <c r="M268" s="832"/>
      <c r="N268" s="832"/>
      <c r="O268" s="48">
        <f>IF(t&lt;Tnet,'2026'!Resal+('2026'!Salim-'2026'!Resal)*(1-EXP(('2026'!Tnet-t)/('2026'!Tau_j))),Resal+(Salim-Resal)*(1-EXP((Tnet-t)/(Tau_j))))*Salcycl</f>
        <v>2.0992790522069985E-2</v>
      </c>
      <c r="P268" s="169">
        <f>(INDEX(Models!$BJ268:$BT268,,T268)*(1-R268)+INDEX(Models!$BJ268:$BT268,,T268+1)*R268-ERP_i)*Q268*Ramure*Pc/MaxiM</f>
        <v>1.9271757279253402E-3</v>
      </c>
      <c r="Q268" s="304">
        <f t="shared" si="80"/>
        <v>0.7</v>
      </c>
      <c r="R268" s="177">
        <f t="shared" si="81"/>
        <v>0.57049752732325043</v>
      </c>
      <c r="S268" s="799">
        <f t="shared" si="82"/>
        <v>-1</v>
      </c>
      <c r="T268" s="176">
        <f t="shared" si="83"/>
        <v>5</v>
      </c>
      <c r="U268" s="250">
        <f t="shared" si="84"/>
        <v>-0.42950247267674962</v>
      </c>
      <c r="V268" s="382">
        <f t="shared" si="85"/>
        <v>45.984773960553582</v>
      </c>
      <c r="W268" s="400">
        <f t="shared" si="86"/>
        <v>46.217759310293985</v>
      </c>
      <c r="X268" s="157">
        <f t="shared" si="87"/>
        <v>46641</v>
      </c>
      <c r="Y268" s="383">
        <f t="shared" si="88"/>
        <v>43.479738517096891</v>
      </c>
      <c r="Z268" s="383">
        <f t="shared" si="89"/>
        <v>46.199607275124386</v>
      </c>
      <c r="AA268" s="384">
        <f t="shared" si="90"/>
        <v>49.525607241010277</v>
      </c>
      <c r="AB268" s="197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6.7157176886298825E-2</v>
      </c>
      <c r="AD268" s="230">
        <f>(INDEX(Models!$BJ268:$BT268,,AH268)*(1-AF268)+INDEX(Models!$BJ268:$BT268,,AH268+1)*AF268-ERP_i)*AE268*Ramure*Pc/MaxiM</f>
        <v>1.4588371043773011E-2</v>
      </c>
      <c r="AE268" s="304">
        <f t="shared" si="92"/>
        <v>0.7</v>
      </c>
      <c r="AF268" s="177">
        <f t="shared" si="93"/>
        <v>0.32615535816260133</v>
      </c>
      <c r="AG268" s="799">
        <f t="shared" si="99"/>
        <v>2</v>
      </c>
      <c r="AH268" s="176">
        <f t="shared" si="94"/>
        <v>8</v>
      </c>
      <c r="AI268" s="224">
        <f t="shared" si="95"/>
        <v>2.3261553581626013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46642</v>
      </c>
      <c r="B269" s="409">
        <f>'2026'!Wh/'2026'!Env_an*'2027'!Env_an</f>
        <v>35.605975610028047</v>
      </c>
      <c r="C269" s="829"/>
      <c r="D269" s="391">
        <f t="shared" si="77"/>
        <v>37.834027348043371</v>
      </c>
      <c r="E269" s="383">
        <f t="shared" si="100"/>
        <v>38.648874078565647</v>
      </c>
      <c r="F269" s="383">
        <f t="shared" si="78"/>
        <v>38.700740338966703</v>
      </c>
      <c r="G269" s="110">
        <f t="shared" si="101"/>
        <v>0.77744115257194979</v>
      </c>
      <c r="H269" s="412" t="b">
        <f>Wh_hp&gt;='2026'!Maxi_hp</f>
        <v>0</v>
      </c>
      <c r="I269" s="388">
        <f>IF(H269,Wh_hp,'2026'!Maxi_hp)</f>
        <v>50.45491962020855</v>
      </c>
      <c r="J269" s="85">
        <f>IF(H269,An,'2026'!An_max)</f>
        <v>2018</v>
      </c>
      <c r="K269" s="197">
        <f t="shared" si="79"/>
        <v>46642</v>
      </c>
      <c r="L269" s="147">
        <f>IF(t&lt;Tvie,1-EXP((T0-t)*PertePVj)+'2026'!Pspv,1-EXP((T0-t)*PertePVj)+Pspv)</f>
        <v>5.8890155084971418E-2</v>
      </c>
      <c r="M269" s="832"/>
      <c r="N269" s="832"/>
      <c r="O269" s="48">
        <f>IF(t&lt;Tnet,'2026'!Resal+('2026'!Salim-'2026'!Resal)*(1-EXP(('2026'!Tnet-t)/('2026'!Tau_j))),Resal+(Salim-Resal)*(1-EXP((Tnet-t)/(Tau_j))))*Salcycl</f>
        <v>2.1083323898798505E-2</v>
      </c>
      <c r="P269" s="169">
        <f>(INDEX(Models!$BJ269:$BT269,,T269)*(1-R269)+INDEX(Models!$BJ269:$BT269,,T269+1)*R269-ERP_i)*Q269*Ramure*Pc/MaxiM</f>
        <v>1.9629210148275887E-3</v>
      </c>
      <c r="Q269" s="304">
        <f t="shared" si="80"/>
        <v>0.7</v>
      </c>
      <c r="R269" s="177">
        <f t="shared" si="81"/>
        <v>0.57083593882852002</v>
      </c>
      <c r="S269" s="799">
        <f t="shared" si="82"/>
        <v>-1</v>
      </c>
      <c r="T269" s="176">
        <f t="shared" si="83"/>
        <v>5</v>
      </c>
      <c r="U269" s="250">
        <f t="shared" si="84"/>
        <v>-0.42916406117148004</v>
      </c>
      <c r="V269" s="382">
        <f t="shared" si="85"/>
        <v>45.770374661897137</v>
      </c>
      <c r="W269" s="400">
        <f t="shared" si="86"/>
        <v>35.605975610028047</v>
      </c>
      <c r="X269" s="157">
        <f t="shared" si="87"/>
        <v>46642</v>
      </c>
      <c r="Y269" s="383">
        <f t="shared" si="88"/>
        <v>33.637691367535794</v>
      </c>
      <c r="Z269" s="383">
        <f t="shared" si="89"/>
        <v>35.742577287110294</v>
      </c>
      <c r="AA269" s="384">
        <f t="shared" si="90"/>
        <v>38.316927406588462</v>
      </c>
      <c r="AB269" s="197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6.7185713827239743E-2</v>
      </c>
      <c r="AD269" s="230">
        <f>(INDEX(Models!$BJ269:$BT269,,AH269)*(1-AF269)+INDEX(Models!$BJ269:$BT269,,AH269+1)*AF269-ERP_i)*AE269*Ramure*Pc/MaxiM</f>
        <v>1.4525714113610725E-2</v>
      </c>
      <c r="AE269" s="304">
        <f t="shared" si="92"/>
        <v>0.7</v>
      </c>
      <c r="AF269" s="177">
        <f t="shared" si="93"/>
        <v>0.32649376966787091</v>
      </c>
      <c r="AG269" s="799">
        <f t="shared" si="99"/>
        <v>2</v>
      </c>
      <c r="AH269" s="176">
        <f t="shared" si="94"/>
        <v>8</v>
      </c>
      <c r="AI269" s="224">
        <f t="shared" si="95"/>
        <v>2.3264937696678709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46643</v>
      </c>
      <c r="B270" s="409">
        <f>'2026'!Wh/'2026'!Env_an*'2027'!Env_an</f>
        <v>11.238018559014954</v>
      </c>
      <c r="C270" s="829"/>
      <c r="D270" s="391">
        <f t="shared" si="77"/>
        <v>11.941468892209061</v>
      </c>
      <c r="E270" s="383">
        <f t="shared" si="100"/>
        <v>12.199781679864403</v>
      </c>
      <c r="F270" s="383">
        <f t="shared" si="78"/>
        <v>12.199781679864403</v>
      </c>
      <c r="G270" s="110">
        <f t="shared" si="101"/>
        <v>0.24620778542589869</v>
      </c>
      <c r="H270" s="412" t="b">
        <f>Wh_hp&gt;='2026'!Maxi_hp</f>
        <v>0</v>
      </c>
      <c r="I270" s="388">
        <f>IF(H270,Wh_hp,'2026'!Maxi_hp)</f>
        <v>48.157798418886934</v>
      </c>
      <c r="J270" s="85">
        <f>IF(H270,An,'2026'!An_max)</f>
        <v>2020</v>
      </c>
      <c r="K270" s="197">
        <f t="shared" si="79"/>
        <v>46643</v>
      </c>
      <c r="L270" s="147">
        <f>IF(t&lt;Tvie,1-EXP((T0-t)*PertePVj)+'2026'!Pspv,1-EXP((T0-t)*PertePVj)+Pspv)</f>
        <v>5.8908191240447549E-2</v>
      </c>
      <c r="M270" s="832"/>
      <c r="N270" s="832"/>
      <c r="O270" s="48">
        <f>IF(t&lt;Tnet,'2026'!Resal+('2026'!Salim-'2026'!Resal)*(1-EXP(('2026'!Tnet-t)/('2026'!Tau_j))),Resal+(Salim-Resal)*(1-EXP((Tnet-t)/(Tau_j))))*Salcycl</f>
        <v>2.1173558218806874E-2</v>
      </c>
      <c r="P270" s="169">
        <f>(INDEX(Models!$BJ270:$BT270,,T270)*(1-R270)+INDEX(Models!$BJ270:$BT270,,T270+1)*R270-ERP_i)*Q270*Ramure*Pc/MaxiM</f>
        <v>1.9934227799621065E-3</v>
      </c>
      <c r="Q270" s="304">
        <f t="shared" si="80"/>
        <v>0.7</v>
      </c>
      <c r="R270" s="177">
        <f t="shared" si="81"/>
        <v>0.57116127469108802</v>
      </c>
      <c r="S270" s="799">
        <f t="shared" si="82"/>
        <v>-1</v>
      </c>
      <c r="T270" s="176">
        <f t="shared" si="83"/>
        <v>5</v>
      </c>
      <c r="U270" s="250">
        <f t="shared" si="84"/>
        <v>-0.42883872530891198</v>
      </c>
      <c r="V270" s="382">
        <f t="shared" si="85"/>
        <v>45.553459722715985</v>
      </c>
      <c r="W270" s="400">
        <f t="shared" si="86"/>
        <v>11.238018559014954</v>
      </c>
      <c r="X270" s="157">
        <f t="shared" si="87"/>
        <v>46643</v>
      </c>
      <c r="Y270" s="383">
        <f t="shared" si="88"/>
        <v>10.709426496574613</v>
      </c>
      <c r="Z270" s="383">
        <f t="shared" si="89"/>
        <v>11.37978930099354</v>
      </c>
      <c r="AA270" s="384">
        <f t="shared" si="90"/>
        <v>12.199781679864403</v>
      </c>
      <c r="AB270" s="197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6.7213692866672337E-2</v>
      </c>
      <c r="AD270" s="230">
        <f>(INDEX(Models!$BJ270:$BT270,,AH270)*(1-AF270)+INDEX(Models!$BJ270:$BT270,,AH270+1)*AF270-ERP_i)*AE270*Ramure*Pc/MaxiM</f>
        <v>1.4441150215916311E-2</v>
      </c>
      <c r="AE270" s="304">
        <f t="shared" si="92"/>
        <v>0.7</v>
      </c>
      <c r="AF270" s="177">
        <f t="shared" si="93"/>
        <v>0.32681910553043902</v>
      </c>
      <c r="AG270" s="799">
        <f t="shared" si="99"/>
        <v>2</v>
      </c>
      <c r="AH270" s="176">
        <f t="shared" si="94"/>
        <v>8</v>
      </c>
      <c r="AI270" s="224">
        <f t="shared" si="95"/>
        <v>2.326819105530439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46644</v>
      </c>
      <c r="B271" s="409">
        <f>'2026'!Wh/'2026'!Env_an*'2027'!Env_an</f>
        <v>37.69523762018482</v>
      </c>
      <c r="C271" s="829"/>
      <c r="D271" s="391">
        <f t="shared" ref="D271:D334" si="102">Wh/(1-Ppv)</f>
        <v>40.055560683655571</v>
      </c>
      <c r="E271" s="383">
        <f t="shared" si="100"/>
        <v>40.925785529215339</v>
      </c>
      <c r="F271" s="383">
        <f t="shared" ref="F271:F334" si="103">Wh_sa/(1-Pvg*MEDIAN((-Sdif+Wh/Env_an)/Csdif,0,1))</f>
        <v>40.988608450162388</v>
      </c>
      <c r="G271" s="110">
        <f t="shared" si="101"/>
        <v>0.83109331794513586</v>
      </c>
      <c r="H271" s="412" t="b">
        <f>Wh_hp&gt;='2026'!Maxi_hp</f>
        <v>0</v>
      </c>
      <c r="I271" s="388">
        <f>IF(H271,Wh_hp,'2026'!Maxi_hp)</f>
        <v>47.866073313841895</v>
      </c>
      <c r="J271" s="85">
        <f>IF(H271,An,'2026'!An_max)</f>
        <v>2020</v>
      </c>
      <c r="K271" s="197">
        <f t="shared" ref="K271:K334" si="104">t</f>
        <v>46644</v>
      </c>
      <c r="L271" s="147">
        <f>IF(t&lt;Tvie,1-EXP((T0-t)*PertePVj)+'2026'!Pspv,1-EXP((T0-t)*PertePVj)+Pspv)</f>
        <v>5.8926227050264846E-2</v>
      </c>
      <c r="M271" s="832"/>
      <c r="N271" s="832"/>
      <c r="O271" s="48">
        <f>IF(t&lt;Tnet,'2026'!Resal+('2026'!Salim-'2026'!Resal)*(1-EXP(('2026'!Tnet-t)/('2026'!Tau_j))),Resal+(Salim-Resal)*(1-EXP((Tnet-t)/(Tau_j))))*Salcycl</f>
        <v>2.1263485460494013E-2</v>
      </c>
      <c r="P271" s="169">
        <f>(INDEX(Models!$BJ271:$BT271,,T271)*(1-R271)+INDEX(Models!$BJ271:$BT271,,T271+1)*R271-ERP_i)*Q271*Ramure*Pc/MaxiM</f>
        <v>2.0186051522897313E-3</v>
      </c>
      <c r="Q271" s="304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0.57147401925463648</v>
      </c>
      <c r="S271" s="799">
        <f t="shared" ref="S271:S334" si="107">INDEX(Echel_vg,T271)</f>
        <v>-1</v>
      </c>
      <c r="T271" s="176">
        <f t="shared" ref="T271:T334" si="108">MIN(MATCH(Hp_vg,Echel_vg),10)</f>
        <v>5</v>
      </c>
      <c r="U271" s="250">
        <f t="shared" ref="U271:U334" si="109">IF(OR(t&lt;Ttai,Notai),Hdd+PousH*Croivg,Hdtf+PousH*(Croivg-Croi_tai))</f>
        <v>-0.42852598074536352</v>
      </c>
      <c r="V271" s="382">
        <f t="shared" ref="V271:V334" si="110">MaxiM*(1-Ppv)*(1-Pvg)*(1-Psa)</f>
        <v>45.334130459354689</v>
      </c>
      <c r="W271" s="400">
        <f t="shared" ref="W271:W334" si="111">Wh*(A271&gt;Tmaj)</f>
        <v>37.69523762018482</v>
      </c>
      <c r="X271" s="157">
        <f t="shared" ref="X271:X334" si="112">t</f>
        <v>46644</v>
      </c>
      <c r="Y271" s="383">
        <f t="shared" ref="Y271:Y334" si="113">Wh_pvt_s*(1-Ppv)</f>
        <v>35.587996409863763</v>
      </c>
      <c r="Z271" s="383">
        <f t="shared" ref="Z271:Z334" si="114">Wh_sa_s*(1-Psa_s)</f>
        <v>37.816372565899357</v>
      </c>
      <c r="AA271" s="384">
        <f t="shared" ref="AA271:AA334" si="115">Wh_hp*(1-Pvg_s*MEDIAN((-Sdif+Wh/Env_an)/Csdif,0,1))</f>
        <v>40.542494224372291</v>
      </c>
      <c r="AB271" s="197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6.7241093835665247E-2</v>
      </c>
      <c r="AD271" s="230">
        <f>(INDEX(Models!$BJ271:$BT271,,AH271)*(1-AF271)+INDEX(Models!$BJ271:$BT271,,AH271+1)*AF271-ERP_i)*AE271*Ramure*Pc/MaxiM</f>
        <v>1.4334393579830806E-2</v>
      </c>
      <c r="AE271" s="304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0.32713185009398726</v>
      </c>
      <c r="AG271" s="799">
        <f t="shared" si="99"/>
        <v>2</v>
      </c>
      <c r="AH271" s="176">
        <f t="shared" ref="AH271:AH334" si="119">MIN(MATCH(Hp_vg_s,Echel_vg),10)</f>
        <v>8</v>
      </c>
      <c r="AI271" s="224">
        <f t="shared" ref="AI271:AI334" si="120">IF(OR(t&lt;Ttai,Notai),Hdd_s+PousH*Croivg,Hdtai_s+PousH*(Croivg-Croi_tai))</f>
        <v>2.3271318500939873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46645</v>
      </c>
      <c r="B272" s="409">
        <f>'2026'!Wh/'2026'!Env_an*'2027'!Env_an</f>
        <v>42.127927511821149</v>
      </c>
      <c r="C272" s="829"/>
      <c r="D272" s="391">
        <f t="shared" si="102"/>
        <v>44.766665600896076</v>
      </c>
      <c r="E272" s="383">
        <f t="shared" si="100"/>
        <v>45.743429502128471</v>
      </c>
      <c r="F272" s="383">
        <f t="shared" si="103"/>
        <v>45.82801602780637</v>
      </c>
      <c r="G272" s="110">
        <f t="shared" si="101"/>
        <v>0.93366157076253864</v>
      </c>
      <c r="H272" s="412" t="b">
        <f>Wh_hp&gt;='2026'!Maxi_hp</f>
        <v>0</v>
      </c>
      <c r="I272" s="388">
        <f>IF(H272,Wh_hp,'2026'!Maxi_hp)</f>
        <v>49.308768016515323</v>
      </c>
      <c r="J272" s="85">
        <f>IF(H272,An,'2026'!An_max)</f>
        <v>2020</v>
      </c>
      <c r="K272" s="197">
        <f t="shared" si="104"/>
        <v>46645</v>
      </c>
      <c r="L272" s="147">
        <f>IF(t&lt;Tvie,1-EXP((T0-t)*PertePVj)+'2026'!Pspv,1-EXP((T0-t)*PertePVj)+Pspv)</f>
        <v>5.8944262514430079E-2</v>
      </c>
      <c r="M272" s="832"/>
      <c r="N272" s="832"/>
      <c r="O272" s="48">
        <f>IF(t&lt;Tnet,'2026'!Resal+('2026'!Salim-'2026'!Resal)*(1-EXP(('2026'!Tnet-t)/('2026'!Tau_j))),Resal+(Salim-Resal)*(1-EXP((Tnet-t)/(Tau_j))))*Salcycl</f>
        <v>2.1353097305197598E-2</v>
      </c>
      <c r="P272" s="169">
        <f>(INDEX(Models!$BJ272:$BT272,,T272)*(1-R272)+INDEX(Models!$BJ272:$BT272,,T272+1)*R272-ERP_i)*Q272*Ramure*Pc/MaxiM</f>
        <v>2.0383900366046249E-3</v>
      </c>
      <c r="Q272" s="304">
        <f t="shared" si="105"/>
        <v>0.7</v>
      </c>
      <c r="R272" s="177">
        <f t="shared" si="106"/>
        <v>0.571774640542555</v>
      </c>
      <c r="S272" s="799">
        <f t="shared" si="107"/>
        <v>-1</v>
      </c>
      <c r="T272" s="176">
        <f t="shared" si="108"/>
        <v>5</v>
      </c>
      <c r="U272" s="250">
        <f t="shared" si="109"/>
        <v>-0.42822535945744505</v>
      </c>
      <c r="V272" s="382">
        <f t="shared" si="110"/>
        <v>45.11248808544282</v>
      </c>
      <c r="W272" s="400">
        <f t="shared" si="111"/>
        <v>42.127927511821149</v>
      </c>
      <c r="X272" s="157">
        <f t="shared" si="112"/>
        <v>46645</v>
      </c>
      <c r="Y272" s="383">
        <f t="shared" si="113"/>
        <v>39.708267379178679</v>
      </c>
      <c r="Z272" s="383">
        <f t="shared" si="114"/>
        <v>42.195446876798371</v>
      </c>
      <c r="AA272" s="384">
        <f t="shared" si="115"/>
        <v>45.23854887359613</v>
      </c>
      <c r="AB272" s="197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6.7267895911088671E-2</v>
      </c>
      <c r="AD272" s="230">
        <f>(INDEX(Models!$BJ272:$BT272,,AH272)*(1-AF272)+INDEX(Models!$BJ272:$BT272,,AH272+1)*AF272-ERP_i)*AE272*Ramure*Pc/MaxiM</f>
        <v>1.4205146321097886E-2</v>
      </c>
      <c r="AE272" s="304">
        <f t="shared" si="117"/>
        <v>0.7</v>
      </c>
      <c r="AF272" s="177">
        <f t="shared" si="118"/>
        <v>0.3274324713819059</v>
      </c>
      <c r="AG272" s="799">
        <f t="shared" ref="AG272:AG335" si="124">INDEX(Echel_vg,AH272)</f>
        <v>2</v>
      </c>
      <c r="AH272" s="176">
        <f t="shared" si="119"/>
        <v>8</v>
      </c>
      <c r="AI272" s="224">
        <f t="shared" si="120"/>
        <v>2.3274324713819059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46646</v>
      </c>
      <c r="B273" s="409">
        <f>'2026'!Wh/'2026'!Env_an*'2027'!Env_an</f>
        <v>25.064585228794488</v>
      </c>
      <c r="C273" s="829"/>
      <c r="D273" s="391">
        <f t="shared" si="102"/>
        <v>26.635048910099975</v>
      </c>
      <c r="E273" s="383">
        <f t="shared" si="100"/>
        <v>27.218682380856514</v>
      </c>
      <c r="F273" s="383">
        <f t="shared" si="103"/>
        <v>27.239320477594664</v>
      </c>
      <c r="G273" s="110">
        <f t="shared" si="101"/>
        <v>0.55764898455094047</v>
      </c>
      <c r="H273" s="412" t="b">
        <f>Wh_hp&gt;='2026'!Maxi_hp</f>
        <v>0</v>
      </c>
      <c r="I273" s="388">
        <f>IF(H273,Wh_hp,'2026'!Maxi_hp)</f>
        <v>44.025352482191991</v>
      </c>
      <c r="J273" s="85">
        <f>IF(H273,An,'2026'!An_max)</f>
        <v>2018</v>
      </c>
      <c r="K273" s="197">
        <f t="shared" si="104"/>
        <v>46646</v>
      </c>
      <c r="L273" s="147">
        <f>IF(t&lt;Tvie,1-EXP((T0-t)*PertePVj)+'2026'!Pspv,1-EXP((T0-t)*PertePVj)+Pspv)</f>
        <v>5.896229763294969E-2</v>
      </c>
      <c r="M273" s="832"/>
      <c r="N273" s="832"/>
      <c r="O273" s="48">
        <f>IF(t&lt;Tnet,'2026'!Resal+('2026'!Salim-'2026'!Resal)*(1-EXP(('2026'!Tnet-t)/('2026'!Tau_j))),Resal+(Salim-Resal)*(1-EXP((Tnet-t)/(Tau_j))))*Salcycl</f>
        <v>2.1442385145249408E-2</v>
      </c>
      <c r="P273" s="169">
        <f>(INDEX(Models!$BJ273:$BT273,,T273)*(1-R273)+INDEX(Models!$BJ273:$BT273,,T273+1)*R273-ERP_i)*Q273*Ramure*Pc/MaxiM</f>
        <v>2.0526971521592848E-3</v>
      </c>
      <c r="Q273" s="304">
        <f t="shared" si="105"/>
        <v>0.7</v>
      </c>
      <c r="R273" s="177">
        <f t="shared" si="106"/>
        <v>0.57206359068007151</v>
      </c>
      <c r="S273" s="799">
        <f t="shared" si="107"/>
        <v>-1</v>
      </c>
      <c r="T273" s="176">
        <f t="shared" si="108"/>
        <v>5</v>
      </c>
      <c r="U273" s="250">
        <f t="shared" si="109"/>
        <v>-0.42793640931992855</v>
      </c>
      <c r="V273" s="382">
        <f t="shared" si="110"/>
        <v>44.888633707203304</v>
      </c>
      <c r="W273" s="400">
        <f t="shared" si="111"/>
        <v>25.064585228794488</v>
      </c>
      <c r="X273" s="157">
        <f t="shared" si="112"/>
        <v>46646</v>
      </c>
      <c r="Y273" s="383">
        <f t="shared" si="113"/>
        <v>23.784249747333824</v>
      </c>
      <c r="Z273" s="383">
        <f t="shared" si="114"/>
        <v>25.274491858836083</v>
      </c>
      <c r="AA273" s="384">
        <f t="shared" si="115"/>
        <v>27.098028706839006</v>
      </c>
      <c r="AB273" s="197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6.729407765158564E-2</v>
      </c>
      <c r="AD273" s="230">
        <f>(INDEX(Models!$BJ273:$BT273,,AH273)*(1-AF273)+INDEX(Models!$BJ273:$BT273,,AH273+1)*AF273-ERP_i)*AE273*Ramure*Pc/MaxiM</f>
        <v>1.4053098942866974E-2</v>
      </c>
      <c r="AE273" s="304">
        <f t="shared" si="117"/>
        <v>0.7</v>
      </c>
      <c r="AF273" s="177">
        <f t="shared" si="118"/>
        <v>0.32772142151942241</v>
      </c>
      <c r="AG273" s="799">
        <f t="shared" si="124"/>
        <v>2</v>
      </c>
      <c r="AH273" s="176">
        <f t="shared" si="119"/>
        <v>8</v>
      </c>
      <c r="AI273" s="224">
        <f t="shared" si="120"/>
        <v>2.3277214215194224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46647</v>
      </c>
      <c r="B274" s="409">
        <f>'2026'!Wh/'2026'!Env_an*'2027'!Env_an</f>
        <v>46.13618329804293</v>
      </c>
      <c r="C274" s="829"/>
      <c r="D274" s="391">
        <f t="shared" si="102"/>
        <v>49.027862952105615</v>
      </c>
      <c r="E274" s="383">
        <f t="shared" si="100"/>
        <v>50.106727952747974</v>
      </c>
      <c r="F274" s="383">
        <f t="shared" si="103"/>
        <v>50.210233541506355</v>
      </c>
      <c r="G274" s="110">
        <f t="shared" si="101"/>
        <v>1.0329920945130595</v>
      </c>
      <c r="H274" s="412" t="b">
        <f>Wh_hp&gt;='2026'!Maxi_hp</f>
        <v>1</v>
      </c>
      <c r="I274" s="388">
        <f>IF(H274,Wh_hp,'2026'!Maxi_hp)</f>
        <v>50.210233541506355</v>
      </c>
      <c r="J274" s="85">
        <f>IF(H274,An,'2026'!An_max)</f>
        <v>2027</v>
      </c>
      <c r="K274" s="197">
        <f t="shared" si="104"/>
        <v>46647</v>
      </c>
      <c r="L274" s="147">
        <f>IF(t&lt;Tvie,1-EXP((T0-t)*PertePVj)+'2026'!Pspv,1-EXP((T0-t)*PertePVj)+Pspv)</f>
        <v>5.8980332405830338E-2</v>
      </c>
      <c r="M274" s="832"/>
      <c r="N274" s="832"/>
      <c r="O274" s="48">
        <f>IF(t&lt;Tnet,'2026'!Resal+('2026'!Salim-'2026'!Resal)*(1-EXP(('2026'!Tnet-t)/('2026'!Tau_j))),Resal+(Salim-Resal)*(1-EXP((Tnet-t)/(Tau_j))))*Salcycl</f>
        <v>2.153134009588014E-2</v>
      </c>
      <c r="P274" s="169">
        <f>(INDEX(Models!$BJ274:$BT274,,T274)*(1-R274)+INDEX(Models!$BJ274:$BT274,,T274+1)*R274-ERP_i)*Q274*Ramure*Pc/MaxiM</f>
        <v>2.0614440813707139E-3</v>
      </c>
      <c r="Q274" s="304">
        <f t="shared" si="105"/>
        <v>0.7</v>
      </c>
      <c r="R274" s="177">
        <f t="shared" si="106"/>
        <v>0.5723413063161501</v>
      </c>
      <c r="S274" s="799">
        <f t="shared" si="107"/>
        <v>-1</v>
      </c>
      <c r="T274" s="176">
        <f t="shared" si="108"/>
        <v>5</v>
      </c>
      <c r="U274" s="250">
        <f t="shared" si="109"/>
        <v>-0.4276586936838499</v>
      </c>
      <c r="V274" s="382">
        <f t="shared" si="110"/>
        <v>44.662668323508321</v>
      </c>
      <c r="W274" s="400">
        <f t="shared" si="111"/>
        <v>46.13618329804293</v>
      </c>
      <c r="X274" s="157">
        <f t="shared" si="112"/>
        <v>46647</v>
      </c>
      <c r="Y274" s="383">
        <f t="shared" si="113"/>
        <v>43.456471710361434</v>
      </c>
      <c r="Z274" s="383">
        <f t="shared" si="114"/>
        <v>46.180194959647494</v>
      </c>
      <c r="AA274" s="384">
        <f t="shared" si="115"/>
        <v>49.513419391667824</v>
      </c>
      <c r="AB274" s="197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6.7319617044692595E-2</v>
      </c>
      <c r="AD274" s="230">
        <f>(INDEX(Models!$BJ274:$BT274,,AH274)*(1-AF274)+INDEX(Models!$BJ274:$BT274,,AH274+1)*AF274-ERP_i)*AE274*Ramure*Pc/MaxiM</f>
        <v>1.3877930865677271E-2</v>
      </c>
      <c r="AE274" s="304">
        <f t="shared" si="117"/>
        <v>0.7</v>
      </c>
      <c r="AF274" s="177">
        <f t="shared" si="118"/>
        <v>0.32799913715550089</v>
      </c>
      <c r="AG274" s="799">
        <f t="shared" si="124"/>
        <v>2</v>
      </c>
      <c r="AH274" s="176">
        <f t="shared" si="119"/>
        <v>8</v>
      </c>
      <c r="AI274" s="224">
        <f t="shared" si="120"/>
        <v>2.3279991371555009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46648</v>
      </c>
      <c r="B275" s="409">
        <f>'2026'!Wh/'2026'!Env_an*'2027'!Env_an</f>
        <v>45.405347959941913</v>
      </c>
      <c r="C275" s="829"/>
      <c r="D275" s="391">
        <f t="shared" si="102"/>
        <v>48.252145755721131</v>
      </c>
      <c r="E275" s="383">
        <f t="shared" si="100"/>
        <v>49.318407406435469</v>
      </c>
      <c r="F275" s="383">
        <f t="shared" si="103"/>
        <v>49.420439760582568</v>
      </c>
      <c r="G275" s="110">
        <f t="shared" si="101"/>
        <v>1.0218602561464745</v>
      </c>
      <c r="H275" s="412" t="b">
        <f>Wh_hp&gt;='2026'!Maxi_hp</f>
        <v>1</v>
      </c>
      <c r="I275" s="388">
        <f>IF(H275,Wh_hp,'2026'!Maxi_hp)</f>
        <v>49.420439760582568</v>
      </c>
      <c r="J275" s="85">
        <f>IF(H275,An,'2026'!An_max)</f>
        <v>2027</v>
      </c>
      <c r="K275" s="197">
        <f t="shared" si="104"/>
        <v>46648</v>
      </c>
      <c r="L275" s="147">
        <f>IF(t&lt;Tvie,1-EXP((T0-t)*PertePVj)+'2026'!Pspv,1-EXP((T0-t)*PertePVj)+Pspv)</f>
        <v>5.8998366833078686E-2</v>
      </c>
      <c r="M275" s="832"/>
      <c r="N275" s="832"/>
      <c r="O275" s="48">
        <f>IF(t&lt;Tnet,'2026'!Resal+('2026'!Salim-'2026'!Resal)*(1-EXP(('2026'!Tnet-t)/('2026'!Tau_j))),Resal+(Salim-Resal)*(1-EXP((Tnet-t)/(Tau_j))))*Salcycl</f>
        <v>2.1619953011199691E-2</v>
      </c>
      <c r="P275" s="169">
        <f>(INDEX(Models!$BJ275:$BT275,,T275)*(1-R275)+INDEX(Models!$BJ275:$BT275,,T275+1)*R275-ERP_i)*Q275*Ramure*Pc/MaxiM</f>
        <v>2.0645780296855436E-3</v>
      </c>
      <c r="Q275" s="304">
        <f t="shared" si="105"/>
        <v>0.7</v>
      </c>
      <c r="R275" s="177">
        <f t="shared" si="106"/>
        <v>0.57260820904403642</v>
      </c>
      <c r="S275" s="799">
        <f t="shared" si="107"/>
        <v>-1</v>
      </c>
      <c r="T275" s="176">
        <f t="shared" si="108"/>
        <v>5</v>
      </c>
      <c r="U275" s="250">
        <f t="shared" si="109"/>
        <v>-0.42739179095596358</v>
      </c>
      <c r="V275" s="382">
        <f t="shared" si="110"/>
        <v>44.434009138558245</v>
      </c>
      <c r="W275" s="400">
        <f t="shared" si="111"/>
        <v>45.405347959941913</v>
      </c>
      <c r="X275" s="157">
        <f t="shared" si="112"/>
        <v>46648</v>
      </c>
      <c r="Y275" s="383">
        <f t="shared" si="113"/>
        <v>42.779557972195548</v>
      </c>
      <c r="Z275" s="383">
        <f t="shared" si="114"/>
        <v>45.461725531997047</v>
      </c>
      <c r="AA275" s="384">
        <f t="shared" si="115"/>
        <v>48.74439181548162</v>
      </c>
      <c r="AB275" s="197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6.7344491565529643E-2</v>
      </c>
      <c r="AD275" s="230">
        <f>(INDEX(Models!$BJ275:$BT275,,AH275)*(1-AF275)+INDEX(Models!$BJ275:$BT275,,AH275+1)*AF275-ERP_i)*AE275*Ramure*Pc/MaxiM</f>
        <v>1.3679521031703952E-2</v>
      </c>
      <c r="AE275" s="304">
        <f t="shared" si="117"/>
        <v>0.7</v>
      </c>
      <c r="AF275" s="177">
        <f t="shared" si="118"/>
        <v>0.32826603988338743</v>
      </c>
      <c r="AG275" s="799">
        <f t="shared" si="124"/>
        <v>2</v>
      </c>
      <c r="AH275" s="176">
        <f t="shared" si="119"/>
        <v>8</v>
      </c>
      <c r="AI275" s="224">
        <f t="shared" si="120"/>
        <v>2.3282660398833874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46649</v>
      </c>
      <c r="B276" s="409">
        <f>'2026'!Wh/'2026'!Env_an*'2027'!Env_an</f>
        <v>43.777034481122818</v>
      </c>
      <c r="C276" s="829"/>
      <c r="D276" s="391">
        <f t="shared" si="102"/>
        <v>46.522632831940044</v>
      </c>
      <c r="E276" s="383">
        <f t="shared" si="100"/>
        <v>47.554966239825667</v>
      </c>
      <c r="F276" s="383">
        <f t="shared" si="103"/>
        <v>47.651716223104948</v>
      </c>
      <c r="G276" s="110">
        <f t="shared" si="101"/>
        <v>0.99035124442043809</v>
      </c>
      <c r="H276" s="412" t="b">
        <f>Wh_hp&gt;='2026'!Maxi_hp</f>
        <v>0</v>
      </c>
      <c r="I276" s="388">
        <f>IF(H276,Wh_hp,'2026'!Maxi_hp)</f>
        <v>47.652494258532265</v>
      </c>
      <c r="J276" s="85">
        <f>IF(H276,An,'2026'!An_max)</f>
        <v>2026</v>
      </c>
      <c r="K276" s="197">
        <f t="shared" si="104"/>
        <v>46649</v>
      </c>
      <c r="L276" s="147">
        <f>IF(t&lt;Tvie,1-EXP((T0-t)*PertePVj)+'2026'!Pspv,1-EXP((T0-t)*PertePVj)+Pspv)</f>
        <v>5.9016400914701395E-2</v>
      </c>
      <c r="M276" s="832"/>
      <c r="N276" s="832"/>
      <c r="O276" s="48">
        <f>IF(t&lt;Tnet,'2026'!Resal+('2026'!Salim-'2026'!Resal)*(1-EXP(('2026'!Tnet-t)/('2026'!Tau_j))),Resal+(Salim-Resal)*(1-EXP((Tnet-t)/(Tau_j))))*Salcycl</f>
        <v>2.170821450444186E-2</v>
      </c>
      <c r="P276" s="169">
        <f>(INDEX(Models!$BJ276:$BT276,,T276)*(1-R276)+INDEX(Models!$BJ276:$BT276,,T276+1)*R276-ERP_i)*Q276*Ramure*Pc/MaxiM</f>
        <v>2.0586504720186555E-3</v>
      </c>
      <c r="Q276" s="304">
        <f t="shared" si="105"/>
        <v>0.7</v>
      </c>
      <c r="R276" s="177">
        <f t="shared" si="106"/>
        <v>0.57286470581944571</v>
      </c>
      <c r="S276" s="799">
        <f t="shared" si="107"/>
        <v>-1</v>
      </c>
      <c r="T276" s="176">
        <f t="shared" si="108"/>
        <v>5</v>
      </c>
      <c r="U276" s="250">
        <f t="shared" si="109"/>
        <v>-0.42713529418055429</v>
      </c>
      <c r="V276" s="382">
        <f t="shared" si="110"/>
        <v>44.202290442092426</v>
      </c>
      <c r="W276" s="400">
        <f t="shared" si="111"/>
        <v>43.777034481122818</v>
      </c>
      <c r="X276" s="157">
        <f t="shared" si="112"/>
        <v>46649</v>
      </c>
      <c r="Y276" s="383">
        <f t="shared" si="113"/>
        <v>41.262001929028152</v>
      </c>
      <c r="Z276" s="383">
        <f t="shared" si="114"/>
        <v>43.849863025389269</v>
      </c>
      <c r="AA276" s="384">
        <f t="shared" si="115"/>
        <v>47.017360453844226</v>
      </c>
      <c r="AB276" s="197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6.736867824735529E-2</v>
      </c>
      <c r="AD276" s="230">
        <f>(INDEX(Models!$BJ276:$BT276,,AH276)*(1-AF276)+INDEX(Models!$BJ276:$BT276,,AH276+1)*AF276-ERP_i)*AE276*Ramure*Pc/MaxiM</f>
        <v>1.3497850434212999E-2</v>
      </c>
      <c r="AE276" s="304">
        <f t="shared" si="117"/>
        <v>0.7</v>
      </c>
      <c r="AF276" s="177">
        <f t="shared" si="118"/>
        <v>0.32852253665879649</v>
      </c>
      <c r="AG276" s="799">
        <f t="shared" si="124"/>
        <v>2</v>
      </c>
      <c r="AH276" s="176">
        <f t="shared" si="119"/>
        <v>8</v>
      </c>
      <c r="AI276" s="224">
        <f t="shared" si="120"/>
        <v>2.3285225366587965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46650</v>
      </c>
      <c r="B277" s="409">
        <f>'2026'!Wh/'2026'!Env_an*'2027'!Env_an</f>
        <v>43.773709261137292</v>
      </c>
      <c r="C277" s="829"/>
      <c r="D277" s="391">
        <f t="shared" si="102"/>
        <v>46.51999060655114</v>
      </c>
      <c r="E277" s="383">
        <f t="shared" si="100"/>
        <v>47.556538384888022</v>
      </c>
      <c r="F277" s="383">
        <f t="shared" si="103"/>
        <v>47.653376589293373</v>
      </c>
      <c r="G277" s="110">
        <f t="shared" si="101"/>
        <v>0.99557622910290366</v>
      </c>
      <c r="H277" s="412" t="b">
        <f>Wh_hp&gt;='2026'!Maxi_hp</f>
        <v>0</v>
      </c>
      <c r="I277" s="388">
        <f>IF(H277,Wh_hp,'2026'!Maxi_hp)</f>
        <v>48.889969383535792</v>
      </c>
      <c r="J277" s="85">
        <f>IF(H277,An,'2026'!An_max)</f>
        <v>2018</v>
      </c>
      <c r="K277" s="197">
        <f t="shared" si="104"/>
        <v>46650</v>
      </c>
      <c r="L277" s="147">
        <f>IF(t&lt;Tvie,1-EXP((T0-t)*PertePVj)+'2026'!Pspv,1-EXP((T0-t)*PertePVj)+Pspv)</f>
        <v>5.9034434650704903E-2</v>
      </c>
      <c r="M277" s="832"/>
      <c r="N277" s="832"/>
      <c r="O277" s="48">
        <f>IF(t&lt;Tnet,'2026'!Resal+('2026'!Salim-'2026'!Resal)*(1-EXP(('2026'!Tnet-t)/('2026'!Tau_j))),Resal+(Salim-Resal)*(1-EXP((Tnet-t)/(Tau_j))))*Salcycl</f>
        <v>2.1796114972620944E-2</v>
      </c>
      <c r="P277" s="169">
        <f>(INDEX(Models!$BJ277:$BT277,,T277)*(1-R277)+INDEX(Models!$BJ277:$BT277,,T277+1)*R277-ERP_i)*Q277*Ramure*Pc/MaxiM</f>
        <v>2.0450236305666709E-3</v>
      </c>
      <c r="Q277" s="304">
        <f t="shared" si="105"/>
        <v>0.7</v>
      </c>
      <c r="R277" s="177">
        <f t="shared" si="106"/>
        <v>0.57311118937549266</v>
      </c>
      <c r="S277" s="799">
        <f t="shared" si="107"/>
        <v>-1</v>
      </c>
      <c r="T277" s="176">
        <f t="shared" si="108"/>
        <v>5</v>
      </c>
      <c r="U277" s="250">
        <f t="shared" si="109"/>
        <v>-0.42688881062450734</v>
      </c>
      <c r="V277" s="382">
        <f t="shared" si="110"/>
        <v>43.967646826806714</v>
      </c>
      <c r="W277" s="400">
        <f t="shared" si="111"/>
        <v>43.773709261137292</v>
      </c>
      <c r="X277" s="157">
        <f t="shared" si="112"/>
        <v>46650</v>
      </c>
      <c r="Y277" s="383">
        <f t="shared" si="113"/>
        <v>41.263364243484936</v>
      </c>
      <c r="Z277" s="383">
        <f t="shared" si="114"/>
        <v>43.852151197655779</v>
      </c>
      <c r="AA277" s="384">
        <f t="shared" si="115"/>
        <v>47.020997490692089</v>
      </c>
      <c r="AB277" s="197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6.739215376414745E-2</v>
      </c>
      <c r="AD277" s="230">
        <f>(INDEX(Models!$BJ277:$BT277,,AH277)*(1-AF277)+INDEX(Models!$BJ277:$BT277,,AH277+1)*AF277-ERP_i)*AE277*Ramure*Pc/MaxiM</f>
        <v>1.3354545430260002E-2</v>
      </c>
      <c r="AE277" s="304">
        <f t="shared" si="117"/>
        <v>0.7</v>
      </c>
      <c r="AF277" s="177">
        <f t="shared" si="118"/>
        <v>0.32876902021484344</v>
      </c>
      <c r="AG277" s="799">
        <f t="shared" si="124"/>
        <v>2</v>
      </c>
      <c r="AH277" s="176">
        <f t="shared" si="119"/>
        <v>8</v>
      </c>
      <c r="AI277" s="224">
        <f t="shared" si="120"/>
        <v>2.3287690202148434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46651</v>
      </c>
      <c r="B278" s="409">
        <f>'2026'!Wh/'2026'!Env_an*'2027'!Env_an</f>
        <v>45.232508910394976</v>
      </c>
      <c r="C278" s="829"/>
      <c r="D278" s="391">
        <f t="shared" si="102"/>
        <v>48.071233914847568</v>
      </c>
      <c r="E278" s="383">
        <f t="shared" si="100"/>
        <v>49.146743790468697</v>
      </c>
      <c r="F278" s="383">
        <f t="shared" si="103"/>
        <v>49.246397473223006</v>
      </c>
      <c r="G278" s="110">
        <f t="shared" si="101"/>
        <v>1.0343521668497797</v>
      </c>
      <c r="H278" s="412" t="b">
        <f>Wh_hp&gt;='2026'!Maxi_hp</f>
        <v>1</v>
      </c>
      <c r="I278" s="388">
        <f>IF(H278,Wh_hp,'2026'!Maxi_hp)</f>
        <v>49.246397473223006</v>
      </c>
      <c r="J278" s="85">
        <f>IF(H278,An,'2026'!An_max)</f>
        <v>2027</v>
      </c>
      <c r="K278" s="197">
        <f t="shared" si="104"/>
        <v>46651</v>
      </c>
      <c r="L278" s="147">
        <f>IF(t&lt;Tvie,1-EXP((T0-t)*PertePVj)+'2026'!Pspv,1-EXP((T0-t)*PertePVj)+Pspv)</f>
        <v>5.9052468041096096E-2</v>
      </c>
      <c r="M278" s="832"/>
      <c r="N278" s="832"/>
      <c r="O278" s="48">
        <f>IF(t&lt;Tnet,'2026'!Resal+('2026'!Salim-'2026'!Resal)*(1-EXP(('2026'!Tnet-t)/('2026'!Tau_j))),Resal+(Salim-Resal)*(1-EXP((Tnet-t)/(Tau_j))))*Salcycl</f>
        <v>2.1883644625703767E-2</v>
      </c>
      <c r="P278" s="169">
        <f>(INDEX(Models!$BJ278:$BT278,,T278)*(1-R278)+INDEX(Models!$BJ278:$BT278,,T278+1)*R278-ERP_i)*Q278*Ramure*Pc/MaxiM</f>
        <v>2.0235730503636111E-3</v>
      </c>
      <c r="Q278" s="304">
        <f t="shared" si="105"/>
        <v>0.7</v>
      </c>
      <c r="R278" s="177">
        <f t="shared" si="106"/>
        <v>0.57334803863356276</v>
      </c>
      <c r="S278" s="799">
        <f t="shared" si="107"/>
        <v>-1</v>
      </c>
      <c r="T278" s="176">
        <f t="shared" si="108"/>
        <v>5</v>
      </c>
      <c r="U278" s="250">
        <f t="shared" si="109"/>
        <v>-0.42665196136643718</v>
      </c>
      <c r="V278" s="382">
        <f t="shared" si="110"/>
        <v>43.730279067481419</v>
      </c>
      <c r="W278" s="400">
        <f t="shared" si="111"/>
        <v>45.232508910394976</v>
      </c>
      <c r="X278" s="157">
        <f t="shared" si="112"/>
        <v>46651</v>
      </c>
      <c r="Y278" s="383">
        <f t="shared" si="113"/>
        <v>42.641791818805075</v>
      </c>
      <c r="Z278" s="383">
        <f t="shared" si="114"/>
        <v>45.317927270643466</v>
      </c>
      <c r="AA278" s="384">
        <f t="shared" si="115"/>
        <v>48.593878461711782</v>
      </c>
      <c r="AB278" s="197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6.7414894525233554E-2</v>
      </c>
      <c r="AD278" s="230">
        <f>(INDEX(Models!$BJ278:$BT278,,AH278)*(1-AF278)+INDEX(Models!$BJ278:$BT278,,AH278+1)*AF278-ERP_i)*AE278*Ramure*Pc/MaxiM</f>
        <v>1.3250086199016308E-2</v>
      </c>
      <c r="AE278" s="304">
        <f t="shared" si="117"/>
        <v>0.7</v>
      </c>
      <c r="AF278" s="177">
        <f t="shared" si="118"/>
        <v>0.32900586947291366</v>
      </c>
      <c r="AG278" s="799">
        <f t="shared" si="124"/>
        <v>2</v>
      </c>
      <c r="AH278" s="176">
        <f t="shared" si="119"/>
        <v>8</v>
      </c>
      <c r="AI278" s="224">
        <f t="shared" si="120"/>
        <v>2.3290058694729137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46652</v>
      </c>
      <c r="B279" s="409">
        <f>'2026'!Wh/'2026'!Env_an*'2027'!Env_an</f>
        <v>44.045990861713932</v>
      </c>
      <c r="C279" s="829"/>
      <c r="D279" s="391">
        <f t="shared" si="102"/>
        <v>46.811148882615853</v>
      </c>
      <c r="E279" s="383">
        <f t="shared" si="100"/>
        <v>47.862731064146438</v>
      </c>
      <c r="F279" s="383">
        <f t="shared" si="103"/>
        <v>47.958368246020818</v>
      </c>
      <c r="G279" s="110">
        <f t="shared" si="101"/>
        <v>1.0127753085273887</v>
      </c>
      <c r="H279" s="412" t="b">
        <f>Wh_hp&gt;='2026'!Maxi_hp</f>
        <v>1</v>
      </c>
      <c r="I279" s="388">
        <f>IF(H279,Wh_hp,'2026'!Maxi_hp)</f>
        <v>47.958368246020818</v>
      </c>
      <c r="J279" s="85">
        <f>IF(H279,An,'2026'!An_max)</f>
        <v>2027</v>
      </c>
      <c r="K279" s="197">
        <f t="shared" si="104"/>
        <v>46652</v>
      </c>
      <c r="L279" s="147">
        <f>IF(t&lt;Tvie,1-EXP((T0-t)*PertePVj)+'2026'!Pspv,1-EXP((T0-t)*PertePVj)+Pspv)</f>
        <v>5.9070501085881522E-2</v>
      </c>
      <c r="M279" s="832"/>
      <c r="N279" s="832"/>
      <c r="O279" s="48">
        <f>IF(t&lt;Tnet,'2026'!Resal+('2026'!Salim-'2026'!Resal)*(1-EXP(('2026'!Tnet-t)/('2026'!Tau_j))),Resal+(Salim-Resal)*(1-EXP((Tnet-t)/(Tau_j))))*Salcycl</f>
        <v>2.197079352035379E-2</v>
      </c>
      <c r="P279" s="169">
        <f>(INDEX(Models!$BJ279:$BT279,,T279)*(1-R279)+INDEX(Models!$BJ279:$BT279,,T279+1)*R279-ERP_i)*Q279*Ramure*Pc/MaxiM</f>
        <v>1.9941708897136634E-3</v>
      </c>
      <c r="Q279" s="304">
        <f t="shared" si="105"/>
        <v>0.7</v>
      </c>
      <c r="R279" s="177">
        <f t="shared" si="106"/>
        <v>0.57357561910941091</v>
      </c>
      <c r="S279" s="799">
        <f t="shared" si="107"/>
        <v>-1</v>
      </c>
      <c r="T279" s="176">
        <f t="shared" si="108"/>
        <v>5</v>
      </c>
      <c r="U279" s="250">
        <f t="shared" si="109"/>
        <v>-0.42642438089058909</v>
      </c>
      <c r="V279" s="382">
        <f t="shared" si="110"/>
        <v>43.490387740355139</v>
      </c>
      <c r="W279" s="400">
        <f t="shared" si="111"/>
        <v>44.045990861713932</v>
      </c>
      <c r="X279" s="157">
        <f t="shared" si="112"/>
        <v>46652</v>
      </c>
      <c r="Y279" s="383">
        <f t="shared" si="113"/>
        <v>41.527470167694013</v>
      </c>
      <c r="Z279" s="383">
        <f t="shared" si="114"/>
        <v>44.134518277531811</v>
      </c>
      <c r="AA279" s="384">
        <f t="shared" si="115"/>
        <v>47.32603850474981</v>
      </c>
      <c r="AB279" s="197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6.7436876781852048E-2</v>
      </c>
      <c r="AD279" s="230">
        <f>(INDEX(Models!$BJ279:$BT279,,AH279)*(1-AF279)+INDEX(Models!$BJ279:$BT279,,AH279+1)*AF279-ERP_i)*AE279*Ramure*Pc/MaxiM</f>
        <v>1.3184971974593234E-2</v>
      </c>
      <c r="AE279" s="304">
        <f t="shared" si="117"/>
        <v>0.7</v>
      </c>
      <c r="AF279" s="177">
        <f t="shared" si="118"/>
        <v>0.32923344994876169</v>
      </c>
      <c r="AG279" s="799">
        <f t="shared" si="124"/>
        <v>2</v>
      </c>
      <c r="AH279" s="176">
        <f t="shared" si="119"/>
        <v>8</v>
      </c>
      <c r="AI279" s="224">
        <f t="shared" si="120"/>
        <v>2.3292334499487617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46653</v>
      </c>
      <c r="B280" s="409">
        <f>'2026'!Wh/'2026'!Env_an*'2027'!Env_an</f>
        <v>33.138774508397219</v>
      </c>
      <c r="C280" s="829"/>
      <c r="D280" s="391">
        <f t="shared" si="102"/>
        <v>35.21986467197258</v>
      </c>
      <c r="E280" s="383">
        <f t="shared" si="100"/>
        <v>36.014250868783229</v>
      </c>
      <c r="F280" s="383">
        <f t="shared" si="103"/>
        <v>36.061249161742232</v>
      </c>
      <c r="G280" s="110">
        <f t="shared" si="101"/>
        <v>0.7657454884398992</v>
      </c>
      <c r="H280" s="412" t="b">
        <f>Wh_hp&gt;='2026'!Maxi_hp</f>
        <v>0</v>
      </c>
      <c r="I280" s="388">
        <f>IF(H280,Wh_hp,'2026'!Maxi_hp)</f>
        <v>41.960409852229127</v>
      </c>
      <c r="J280" s="85">
        <f>IF(H280,An,'2026'!An_max)</f>
        <v>2021</v>
      </c>
      <c r="K280" s="197">
        <f t="shared" si="104"/>
        <v>46653</v>
      </c>
      <c r="L280" s="147">
        <f>IF(t&lt;Tvie,1-EXP((T0-t)*PertePVj)+'2026'!Pspv,1-EXP((T0-t)*PertePVj)+Pspv)</f>
        <v>5.9088533785067621E-2</v>
      </c>
      <c r="M280" s="832"/>
      <c r="N280" s="832"/>
      <c r="O280" s="48">
        <f>IF(t&lt;Tnet,'2026'!Resal+('2026'!Salim-'2026'!Resal)*(1-EXP(('2026'!Tnet-t)/('2026'!Tau_j))),Resal+(Salim-Resal)*(1-EXP((Tnet-t)/(Tau_j))))*Salcycl</f>
        <v>2.2057551598253979E-2</v>
      </c>
      <c r="P280" s="169">
        <f>(INDEX(Models!$BJ280:$BT280,,T280)*(1-R280)+INDEX(Models!$BJ280:$BT280,,T280+1)*R280-ERP_i)*Q280*Ramure*Pc/MaxiM</f>
        <v>1.9566965633758932E-3</v>
      </c>
      <c r="Q280" s="304">
        <f t="shared" si="105"/>
        <v>0.7</v>
      </c>
      <c r="R280" s="177">
        <f t="shared" si="106"/>
        <v>0.57379428331386317</v>
      </c>
      <c r="S280" s="799">
        <f t="shared" si="107"/>
        <v>-1</v>
      </c>
      <c r="T280" s="176">
        <f t="shared" si="108"/>
        <v>5</v>
      </c>
      <c r="U280" s="250">
        <f t="shared" si="109"/>
        <v>-0.42620571668613688</v>
      </c>
      <c r="V280" s="382">
        <f t="shared" si="110"/>
        <v>43.248172772574712</v>
      </c>
      <c r="W280" s="400">
        <f t="shared" si="111"/>
        <v>33.138774508397219</v>
      </c>
      <c r="X280" s="157">
        <f t="shared" si="112"/>
        <v>46653</v>
      </c>
      <c r="Y280" s="383">
        <f t="shared" si="113"/>
        <v>31.364212635411128</v>
      </c>
      <c r="Z280" s="383">
        <f t="shared" si="114"/>
        <v>33.333861645434133</v>
      </c>
      <c r="AA280" s="384">
        <f t="shared" si="115"/>
        <v>35.745161492683614</v>
      </c>
      <c r="AB280" s="197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6.7458076745380818E-2</v>
      </c>
      <c r="AD280" s="230">
        <f>(INDEX(Models!$BJ280:$BT280,,AH280)*(1-AF280)+INDEX(Models!$BJ280:$BT280,,AH280+1)*AF280-ERP_i)*AE280*Ramure*Pc/MaxiM</f>
        <v>1.3159789788791476E-2</v>
      </c>
      <c r="AE280" s="304">
        <f t="shared" si="117"/>
        <v>0.7</v>
      </c>
      <c r="AF280" s="177">
        <f t="shared" si="118"/>
        <v>0.32945211415321385</v>
      </c>
      <c r="AG280" s="799">
        <f t="shared" si="124"/>
        <v>2</v>
      </c>
      <c r="AH280" s="176">
        <f t="shared" si="119"/>
        <v>8</v>
      </c>
      <c r="AI280" s="224">
        <f t="shared" si="120"/>
        <v>2.3294521141532138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46654</v>
      </c>
      <c r="B281" s="409">
        <f>'2026'!Wh/'2026'!Env_an*'2027'!Env_an</f>
        <v>22.232526053991499</v>
      </c>
      <c r="C281" s="829"/>
      <c r="D281" s="391">
        <f t="shared" si="102"/>
        <v>23.629164848936494</v>
      </c>
      <c r="E281" s="383">
        <f t="shared" si="100"/>
        <v>24.164255926680255</v>
      </c>
      <c r="F281" s="383">
        <f t="shared" si="103"/>
        <v>24.178579012300286</v>
      </c>
      <c r="G281" s="110">
        <f t="shared" si="101"/>
        <v>0.51630726812335781</v>
      </c>
      <c r="H281" s="412" t="b">
        <f>Wh_hp&gt;='2026'!Maxi_hp</f>
        <v>0</v>
      </c>
      <c r="I281" s="388">
        <f>IF(H281,Wh_hp,'2026'!Maxi_hp)</f>
        <v>41.038887067631343</v>
      </c>
      <c r="J281" s="85">
        <f>IF(H281,An,'2026'!An_max)</f>
        <v>2021</v>
      </c>
      <c r="K281" s="197">
        <f t="shared" si="104"/>
        <v>46654</v>
      </c>
      <c r="L281" s="147">
        <f>IF(t&lt;Tvie,1-EXP((T0-t)*PertePVj)+'2026'!Pspv,1-EXP((T0-t)*PertePVj)+Pspv)</f>
        <v>5.9106566138661276E-2</v>
      </c>
      <c r="M281" s="832"/>
      <c r="N281" s="832"/>
      <c r="O281" s="48">
        <f>IF(t&lt;Tnet,'2026'!Resal+('2026'!Salim-'2026'!Resal)*(1-EXP(('2026'!Tnet-t)/('2026'!Tau_j))),Resal+(Salim-Resal)*(1-EXP((Tnet-t)/(Tau_j))))*Salcycl</f>
        <v>2.2143908728965073E-2</v>
      </c>
      <c r="P281" s="169">
        <f>(INDEX(Models!$BJ281:$BT281,,T281)*(1-R281)+INDEX(Models!$BJ281:$BT281,,T281+1)*R281-ERP_i)*Q281*Ramure*Pc/MaxiM</f>
        <v>1.9110205290838729E-3</v>
      </c>
      <c r="Q281" s="304">
        <f t="shared" si="105"/>
        <v>0.7</v>
      </c>
      <c r="R281" s="177">
        <f t="shared" si="106"/>
        <v>0.57400437114757197</v>
      </c>
      <c r="S281" s="799">
        <f t="shared" si="107"/>
        <v>-1</v>
      </c>
      <c r="T281" s="176">
        <f t="shared" si="108"/>
        <v>5</v>
      </c>
      <c r="U281" s="250">
        <f t="shared" si="109"/>
        <v>-0.42599562885242803</v>
      </c>
      <c r="V281" s="382">
        <f t="shared" si="110"/>
        <v>43.003834155401989</v>
      </c>
      <c r="W281" s="400">
        <f t="shared" si="111"/>
        <v>22.232526053991499</v>
      </c>
      <c r="X281" s="157">
        <f t="shared" si="112"/>
        <v>46654</v>
      </c>
      <c r="Y281" s="383">
        <f t="shared" si="113"/>
        <v>21.127725785918045</v>
      </c>
      <c r="Z281" s="383">
        <f t="shared" si="114"/>
        <v>22.454961450003783</v>
      </c>
      <c r="AA281" s="384">
        <f t="shared" si="115"/>
        <v>24.079831665939981</v>
      </c>
      <c r="AB281" s="197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6.7478470716824696E-2</v>
      </c>
      <c r="AD281" s="230">
        <f>(INDEX(Models!$BJ281:$BT281,,AH281)*(1-AF281)+INDEX(Models!$BJ281:$BT281,,AH281+1)*AF281-ERP_i)*AE281*Ramure*Pc/MaxiM</f>
        <v>1.3175108429370532E-2</v>
      </c>
      <c r="AE281" s="304">
        <f t="shared" si="117"/>
        <v>0.7</v>
      </c>
      <c r="AF281" s="177">
        <f t="shared" si="118"/>
        <v>0.32966220198692264</v>
      </c>
      <c r="AG281" s="799">
        <f t="shared" si="124"/>
        <v>2</v>
      </c>
      <c r="AH281" s="176">
        <f t="shared" si="119"/>
        <v>8</v>
      </c>
      <c r="AI281" s="224">
        <f t="shared" si="120"/>
        <v>2.3296622019869226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46655</v>
      </c>
      <c r="B282" s="409">
        <f>'2026'!Wh/'2026'!Env_an*'2027'!Env_an</f>
        <v>33.648401349342301</v>
      </c>
      <c r="C282" s="829"/>
      <c r="D282" s="391">
        <f t="shared" si="102"/>
        <v>35.762866457197063</v>
      </c>
      <c r="E282" s="383">
        <f t="shared" si="100"/>
        <v>36.575944388563059</v>
      </c>
      <c r="F282" s="383">
        <f t="shared" si="103"/>
        <v>36.623413421536256</v>
      </c>
      <c r="G282" s="110">
        <f t="shared" si="101"/>
        <v>0.78651577020553476</v>
      </c>
      <c r="H282" s="412" t="b">
        <f>Wh_hp&gt;='2026'!Maxi_hp</f>
        <v>0</v>
      </c>
      <c r="I282" s="388">
        <f>IF(H282,Wh_hp,'2026'!Maxi_hp)</f>
        <v>36.635114347240354</v>
      </c>
      <c r="J282" s="85">
        <f>IF(H282,An,'2026'!An_max)</f>
        <v>2026</v>
      </c>
      <c r="K282" s="197">
        <f t="shared" si="104"/>
        <v>46655</v>
      </c>
      <c r="L282" s="147">
        <f>IF(t&lt;Tvie,1-EXP((T0-t)*PertePVj)+'2026'!Pspv,1-EXP((T0-t)*PertePVj)+Pspv)</f>
        <v>5.9124598146668927E-2</v>
      </c>
      <c r="M282" s="832"/>
      <c r="N282" s="832"/>
      <c r="O282" s="48">
        <f>IF(t&lt;Tnet,'2026'!Resal+('2026'!Salim-'2026'!Resal)*(1-EXP(('2026'!Tnet-t)/('2026'!Tau_j))),Resal+(Salim-Resal)*(1-EXP((Tnet-t)/(Tau_j))))*Salcycl</f>
        <v>2.2229854757222313E-2</v>
      </c>
      <c r="P282" s="169">
        <f>(INDEX(Models!$BJ282:$BT282,,T282)*(1-R282)+INDEX(Models!$BJ282:$BT282,,T282+1)*R282-ERP_i)*Q282*Ramure*Pc/MaxiM</f>
        <v>1.863176548996719E-3</v>
      </c>
      <c r="Q282" s="304">
        <f t="shared" si="105"/>
        <v>0.7</v>
      </c>
      <c r="R282" s="177">
        <f t="shared" si="106"/>
        <v>0.5742062102893466</v>
      </c>
      <c r="S282" s="799">
        <f t="shared" si="107"/>
        <v>-1</v>
      </c>
      <c r="T282" s="176">
        <f t="shared" si="108"/>
        <v>5</v>
      </c>
      <c r="U282" s="250">
        <f t="shared" si="109"/>
        <v>-0.4257937897106534</v>
      </c>
      <c r="V282" s="382">
        <f t="shared" si="110"/>
        <v>42.757307548787843</v>
      </c>
      <c r="W282" s="400">
        <f t="shared" si="111"/>
        <v>33.648401349342301</v>
      </c>
      <c r="X282" s="157">
        <f t="shared" si="112"/>
        <v>46655</v>
      </c>
      <c r="Y282" s="383">
        <f t="shared" si="113"/>
        <v>31.834839807393546</v>
      </c>
      <c r="Z282" s="383">
        <f t="shared" si="114"/>
        <v>33.835340731286479</v>
      </c>
      <c r="AA282" s="384">
        <f t="shared" si="115"/>
        <v>36.28447124990597</v>
      </c>
      <c r="AB282" s="197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6.7498035227007355E-2</v>
      </c>
      <c r="AD282" s="230">
        <f>(INDEX(Models!$BJ282:$BT282,,AH282)*(1-AF282)+INDEX(Models!$BJ282:$BT282,,AH282+1)*AF282-ERP_i)*AE282*Ramure*Pc/MaxiM</f>
        <v>1.3303601655507853E-2</v>
      </c>
      <c r="AE282" s="304">
        <f t="shared" si="117"/>
        <v>0.7</v>
      </c>
      <c r="AF282" s="177">
        <f t="shared" si="118"/>
        <v>0.32986404112869749</v>
      </c>
      <c r="AG282" s="799">
        <f t="shared" si="124"/>
        <v>2</v>
      </c>
      <c r="AH282" s="176">
        <f t="shared" si="119"/>
        <v>8</v>
      </c>
      <c r="AI282" s="224">
        <f t="shared" si="120"/>
        <v>2.3298640411286975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46656</v>
      </c>
      <c r="B283" s="409">
        <f>'2026'!Wh/'2026'!Env_an*'2027'!Env_an</f>
        <v>35.020938802659373</v>
      </c>
      <c r="C283" s="829"/>
      <c r="D283" s="391">
        <f t="shared" si="102"/>
        <v>37.222367504602232</v>
      </c>
      <c r="E283" s="383">
        <f t="shared" si="100"/>
        <v>38.071957690857396</v>
      </c>
      <c r="F283" s="383">
        <f t="shared" si="103"/>
        <v>38.123813402541018</v>
      </c>
      <c r="G283" s="110">
        <f t="shared" si="101"/>
        <v>0.82347797902090547</v>
      </c>
      <c r="H283" s="412" t="b">
        <f>Wh_hp&gt;='2026'!Maxi_hp</f>
        <v>0</v>
      </c>
      <c r="I283" s="388">
        <f>IF(H283,Wh_hp,'2026'!Maxi_hp)</f>
        <v>39.791402666859739</v>
      </c>
      <c r="J283" s="85">
        <f>IF(H283,An,'2026'!An_max)</f>
        <v>2018</v>
      </c>
      <c r="K283" s="197">
        <f t="shared" si="104"/>
        <v>46656</v>
      </c>
      <c r="L283" s="147">
        <f>IF(t&lt;Tvie,1-EXP((T0-t)*PertePVj)+'2026'!Pspv,1-EXP((T0-t)*PertePVj)+Pspv)</f>
        <v>5.9142629809097236E-2</v>
      </c>
      <c r="M283" s="832"/>
      <c r="N283" s="832"/>
      <c r="O283" s="48">
        <f>IF(t&lt;Tnet,'2026'!Resal+('2026'!Salim-'2026'!Resal)*(1-EXP(('2026'!Tnet-t)/('2026'!Tau_j))),Resal+(Salim-Resal)*(1-EXP((Tnet-t)/(Tau_j))))*Salcycl</f>
        <v>2.2315379554521418E-2</v>
      </c>
      <c r="P283" s="169">
        <f>(INDEX(Models!$BJ283:$BT283,,T283)*(1-R283)+INDEX(Models!$BJ283:$BT283,,T283+1)*R283-ERP_i)*Q283*Ramure*Pc/MaxiM</f>
        <v>1.8175525201794029E-3</v>
      </c>
      <c r="Q283" s="304">
        <f t="shared" si="105"/>
        <v>0.7</v>
      </c>
      <c r="R283" s="177">
        <f t="shared" si="106"/>
        <v>0.57440011657764889</v>
      </c>
      <c r="S283" s="799">
        <f t="shared" si="107"/>
        <v>-1</v>
      </c>
      <c r="T283" s="176">
        <f t="shared" si="108"/>
        <v>5</v>
      </c>
      <c r="U283" s="250">
        <f t="shared" si="109"/>
        <v>-0.42559988342235106</v>
      </c>
      <c r="V283" s="382">
        <f t="shared" si="110"/>
        <v>42.508604587803433</v>
      </c>
      <c r="W283" s="400">
        <f t="shared" si="111"/>
        <v>35.020938802659373</v>
      </c>
      <c r="X283" s="157">
        <f t="shared" si="112"/>
        <v>46656</v>
      </c>
      <c r="Y283" s="383">
        <f t="shared" si="113"/>
        <v>33.10819424005701</v>
      </c>
      <c r="Z283" s="383">
        <f t="shared" si="114"/>
        <v>35.189387136691352</v>
      </c>
      <c r="AA283" s="384">
        <f t="shared" si="115"/>
        <v>37.737285930366859</v>
      </c>
      <c r="AB283" s="197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6.7516747186771933E-2</v>
      </c>
      <c r="AD283" s="230">
        <f>(INDEX(Models!$BJ283:$BT283,,AH283)*(1-AF283)+INDEX(Models!$BJ283:$BT283,,AH283+1)*AF283-ERP_i)*AE283*Ramure*Pc/MaxiM</f>
        <v>1.3547861139288698E-2</v>
      </c>
      <c r="AE283" s="304">
        <f t="shared" si="117"/>
        <v>0.7</v>
      </c>
      <c r="AF283" s="177">
        <f t="shared" si="118"/>
        <v>0.33005794741699956</v>
      </c>
      <c r="AG283" s="799">
        <f t="shared" si="124"/>
        <v>2</v>
      </c>
      <c r="AH283" s="176">
        <f t="shared" si="119"/>
        <v>8</v>
      </c>
      <c r="AI283" s="224">
        <f t="shared" si="120"/>
        <v>2.3300579474169996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46657</v>
      </c>
      <c r="B284" s="409">
        <f>'2026'!Wh/'2026'!Env_an*'2027'!Env_an</f>
        <v>14.998783592720473</v>
      </c>
      <c r="C284" s="829"/>
      <c r="D284" s="391">
        <f t="shared" si="102"/>
        <v>15.941918001292679</v>
      </c>
      <c r="E284" s="383">
        <f t="shared" si="100"/>
        <v>16.307207156118345</v>
      </c>
      <c r="F284" s="383">
        <f t="shared" si="103"/>
        <v>16.309477965659053</v>
      </c>
      <c r="G284" s="110">
        <f t="shared" si="101"/>
        <v>0.35435383340678511</v>
      </c>
      <c r="H284" s="412" t="b">
        <f>Wh_hp&gt;='2026'!Maxi_hp</f>
        <v>0</v>
      </c>
      <c r="I284" s="388">
        <f>IF(H284,Wh_hp,'2026'!Maxi_hp)</f>
        <v>40.257199501289676</v>
      </c>
      <c r="J284" s="85">
        <f>IF(H284,An,'2026'!An_max)</f>
        <v>2018</v>
      </c>
      <c r="K284" s="197">
        <f t="shared" si="104"/>
        <v>46657</v>
      </c>
      <c r="L284" s="147">
        <f>IF(t&lt;Tvie,1-EXP((T0-t)*PertePVj)+'2026'!Pspv,1-EXP((T0-t)*PertePVj)+Pspv)</f>
        <v>5.9160661125952974E-2</v>
      </c>
      <c r="M284" s="832"/>
      <c r="N284" s="832"/>
      <c r="O284" s="48">
        <f>IF(t&lt;Tnet,'2026'!Resal+('2026'!Salim-'2026'!Resal)*(1-EXP(('2026'!Tnet-t)/('2026'!Tau_j))),Resal+(Salim-Resal)*(1-EXP((Tnet-t)/(Tau_j))))*Salcycl</f>
        <v>2.2400473074790827E-2</v>
      </c>
      <c r="P284" s="169">
        <f>(INDEX(Models!$BJ284:$BT284,,T284)*(1-R284)+INDEX(Models!$BJ284:$BT284,,T284+1)*R284-ERP_i)*Q284*Ramure*Pc/MaxiM</f>
        <v>1.774172340220352E-3</v>
      </c>
      <c r="Q284" s="304">
        <f t="shared" si="105"/>
        <v>0.7</v>
      </c>
      <c r="R284" s="177">
        <f t="shared" si="106"/>
        <v>0.57458639438490433</v>
      </c>
      <c r="S284" s="799">
        <f t="shared" si="107"/>
        <v>-1</v>
      </c>
      <c r="T284" s="176">
        <f t="shared" si="108"/>
        <v>5</v>
      </c>
      <c r="U284" s="250">
        <f t="shared" si="109"/>
        <v>-0.42541360561509567</v>
      </c>
      <c r="V284" s="382">
        <f t="shared" si="110"/>
        <v>42.257925998129771</v>
      </c>
      <c r="W284" s="400">
        <f t="shared" si="111"/>
        <v>14.998783592720473</v>
      </c>
      <c r="X284" s="157">
        <f t="shared" si="112"/>
        <v>46657</v>
      </c>
      <c r="Y284" s="383">
        <f t="shared" si="113"/>
        <v>14.292688666476112</v>
      </c>
      <c r="Z284" s="383">
        <f t="shared" si="114"/>
        <v>15.191423313124789</v>
      </c>
      <c r="AA284" s="384">
        <f t="shared" si="115"/>
        <v>16.291674793738395</v>
      </c>
      <c r="AB284" s="197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6.7534584046354804E-2</v>
      </c>
      <c r="AD284" s="230">
        <f>(INDEX(Models!$BJ284:$BT284,,AH284)*(1-AF284)+INDEX(Models!$BJ284:$BT284,,AH284+1)*AF284-ERP_i)*AE284*Ramure*Pc/MaxiM</f>
        <v>1.3909530774631872E-2</v>
      </c>
      <c r="AE284" s="304">
        <f t="shared" si="117"/>
        <v>0.7</v>
      </c>
      <c r="AF284" s="177">
        <f t="shared" si="118"/>
        <v>0.33024422522425523</v>
      </c>
      <c r="AG284" s="799">
        <f t="shared" si="124"/>
        <v>2</v>
      </c>
      <c r="AH284" s="176">
        <f t="shared" si="119"/>
        <v>8</v>
      </c>
      <c r="AI284" s="224">
        <f t="shared" si="120"/>
        <v>2.3302442252242552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46658</v>
      </c>
      <c r="B285" s="409">
        <f>'2026'!Wh/'2026'!Env_an*'2027'!Env_an</f>
        <v>15.068153065629271</v>
      </c>
      <c r="C285" s="829"/>
      <c r="D285" s="391">
        <f t="shared" si="102"/>
        <v>16.015956419204212</v>
      </c>
      <c r="E285" s="383">
        <f t="shared" si="100"/>
        <v>16.384360827230996</v>
      </c>
      <c r="F285" s="383">
        <f t="shared" si="103"/>
        <v>16.386743068977527</v>
      </c>
      <c r="G285" s="110">
        <f t="shared" si="101"/>
        <v>0.35814919428955211</v>
      </c>
      <c r="H285" s="412" t="b">
        <f>Wh_hp&gt;='2026'!Maxi_hp</f>
        <v>0</v>
      </c>
      <c r="I285" s="388">
        <f>IF(H285,Wh_hp,'2026'!Maxi_hp)</f>
        <v>31.058972746779887</v>
      </c>
      <c r="J285" s="85">
        <f>IF(H285,An,'2026'!An_max)</f>
        <v>2021</v>
      </c>
      <c r="K285" s="197">
        <f t="shared" si="104"/>
        <v>46658</v>
      </c>
      <c r="L285" s="147">
        <f>IF(t&lt;Tvie,1-EXP((T0-t)*PertePVj)+'2026'!Pspv,1-EXP((T0-t)*PertePVj)+Pspv)</f>
        <v>5.9178692097242469E-2</v>
      </c>
      <c r="M285" s="832"/>
      <c r="N285" s="832"/>
      <c r="O285" s="48">
        <f>IF(t&lt;Tnet,'2026'!Resal+('2026'!Salim-'2026'!Resal)*(1-EXP(('2026'!Tnet-t)/('2026'!Tau_j))),Resal+(Salim-Resal)*(1-EXP((Tnet-t)/(Tau_j))))*Salcycl</f>
        <v>2.2485125413894153E-2</v>
      </c>
      <c r="P285" s="169">
        <f>(INDEX(Models!$BJ285:$BT285,,T285)*(1-R285)+INDEX(Models!$BJ285:$BT285,,T285+1)*R285-ERP_i)*Q285*Ramure*Pc/MaxiM</f>
        <v>1.7330615348214421E-3</v>
      </c>
      <c r="Q285" s="304">
        <f t="shared" si="105"/>
        <v>0.7</v>
      </c>
      <c r="R285" s="177">
        <f t="shared" si="106"/>
        <v>0.57476533698433363</v>
      </c>
      <c r="S285" s="799">
        <f t="shared" si="107"/>
        <v>-1</v>
      </c>
      <c r="T285" s="176">
        <f t="shared" si="108"/>
        <v>5</v>
      </c>
      <c r="U285" s="250">
        <f t="shared" si="109"/>
        <v>-0.42523466301566637</v>
      </c>
      <c r="V285" s="382">
        <f t="shared" si="110"/>
        <v>42.005472414313367</v>
      </c>
      <c r="W285" s="400">
        <f t="shared" si="111"/>
        <v>15.068153065629271</v>
      </c>
      <c r="X285" s="157">
        <f t="shared" si="112"/>
        <v>46658</v>
      </c>
      <c r="Y285" s="383">
        <f t="shared" si="113"/>
        <v>14.35820244627087</v>
      </c>
      <c r="Z285" s="383">
        <f t="shared" si="114"/>
        <v>15.261349127261605</v>
      </c>
      <c r="AA285" s="384">
        <f t="shared" si="115"/>
        <v>16.36696237857911</v>
      </c>
      <c r="AB285" s="197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6.7551523962963225E-2</v>
      </c>
      <c r="AD285" s="230">
        <f>(INDEX(Models!$BJ285:$BT285,,AH285)*(1-AF285)+INDEX(Models!$BJ285:$BT285,,AH285+1)*AF285-ERP_i)*AE285*Ramure*Pc/MaxiM</f>
        <v>1.4390291712257378E-2</v>
      </c>
      <c r="AE285" s="304">
        <f t="shared" si="117"/>
        <v>0.7</v>
      </c>
      <c r="AF285" s="177">
        <f t="shared" si="118"/>
        <v>0.33042316782368442</v>
      </c>
      <c r="AG285" s="799">
        <f t="shared" si="124"/>
        <v>2</v>
      </c>
      <c r="AH285" s="176">
        <f t="shared" si="119"/>
        <v>8</v>
      </c>
      <c r="AI285" s="224">
        <f t="shared" si="120"/>
        <v>2.3304231678236844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46659</v>
      </c>
      <c r="B286" s="409">
        <f>'2026'!Wh/'2026'!Env_an*'2027'!Env_an</f>
        <v>21.362328059829686</v>
      </c>
      <c r="C286" s="829"/>
      <c r="D286" s="391">
        <f t="shared" si="102"/>
        <v>22.706477088025036</v>
      </c>
      <c r="E286" s="383">
        <f t="shared" si="100"/>
        <v>23.230780158938924</v>
      </c>
      <c r="F286" s="383">
        <f t="shared" si="103"/>
        <v>23.242686909064709</v>
      </c>
      <c r="G286" s="110">
        <f t="shared" si="101"/>
        <v>0.51104975771842964</v>
      </c>
      <c r="H286" s="412" t="b">
        <f>Wh_hp&gt;='2026'!Maxi_hp</f>
        <v>0</v>
      </c>
      <c r="I286" s="388">
        <f>IF(H286,Wh_hp,'2026'!Maxi_hp)</f>
        <v>45.479306908151436</v>
      </c>
      <c r="J286" s="85">
        <f>IF(H286,An,'2026'!An_max)</f>
        <v>2018</v>
      </c>
      <c r="K286" s="197">
        <f t="shared" si="104"/>
        <v>46659</v>
      </c>
      <c r="L286" s="147">
        <f>IF(t&lt;Tvie,1-EXP((T0-t)*PertePVj)+'2026'!Pspv,1-EXP((T0-t)*PertePVj)+Pspv)</f>
        <v>5.9196722722972606E-2</v>
      </c>
      <c r="M286" s="832"/>
      <c r="N286" s="832"/>
      <c r="O286" s="48">
        <f>IF(t&lt;Tnet,'2026'!Resal+('2026'!Salim-'2026'!Resal)*(1-EXP(('2026'!Tnet-t)/('2026'!Tau_j))),Resal+(Salim-Resal)*(1-EXP((Tnet-t)/(Tau_j))))*Salcycl</f>
        <v>2.2569326872655369E-2</v>
      </c>
      <c r="P286" s="169">
        <f>(INDEX(Models!$BJ286:$BT286,,T286)*(1-R286)+INDEX(Models!$BJ286:$BT286,,T286+1)*R286-ERP_i)*Q286*Ramure*Pc/MaxiM</f>
        <v>1.6942471733710207E-3</v>
      </c>
      <c r="Q286" s="304">
        <f t="shared" si="105"/>
        <v>0.7</v>
      </c>
      <c r="R286" s="177">
        <f t="shared" si="106"/>
        <v>0.57493722690906179</v>
      </c>
      <c r="S286" s="799">
        <f t="shared" si="107"/>
        <v>-1</v>
      </c>
      <c r="T286" s="176">
        <f t="shared" si="108"/>
        <v>5</v>
      </c>
      <c r="U286" s="250">
        <f t="shared" si="109"/>
        <v>-0.42506277309093815</v>
      </c>
      <c r="V286" s="382">
        <f t="shared" si="110"/>
        <v>41.751444381216125</v>
      </c>
      <c r="W286" s="400">
        <f t="shared" si="111"/>
        <v>21.362328059829686</v>
      </c>
      <c r="X286" s="157">
        <f t="shared" si="112"/>
        <v>46659</v>
      </c>
      <c r="Y286" s="383">
        <f t="shared" si="113"/>
        <v>20.296885566509872</v>
      </c>
      <c r="Z286" s="383">
        <f t="shared" si="114"/>
        <v>21.573995389615639</v>
      </c>
      <c r="AA286" s="384">
        <f t="shared" si="115"/>
        <v>23.137327853077821</v>
      </c>
      <c r="AB286" s="197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6.7567545975462343E-2</v>
      </c>
      <c r="AD286" s="230">
        <f>(INDEX(Models!$BJ286:$BT286,,AH286)*(1-AF286)+INDEX(Models!$BJ286:$BT286,,AH286+1)*AF286-ERP_i)*AE286*Ramure*Pc/MaxiM</f>
        <v>1.4991855956414953E-2</v>
      </c>
      <c r="AE286" s="304">
        <f t="shared" si="117"/>
        <v>0.7</v>
      </c>
      <c r="AF286" s="177">
        <f t="shared" si="118"/>
        <v>0.33059505774841247</v>
      </c>
      <c r="AG286" s="799">
        <f t="shared" si="124"/>
        <v>2</v>
      </c>
      <c r="AH286" s="176">
        <f t="shared" si="119"/>
        <v>8</v>
      </c>
      <c r="AI286" s="224">
        <f t="shared" si="120"/>
        <v>2.3305950577484125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46660</v>
      </c>
      <c r="B287" s="409">
        <f>'2026'!Wh/'2026'!Env_an*'2027'!Env_an</f>
        <v>29.512821415330908</v>
      </c>
      <c r="C287" s="829"/>
      <c r="D287" s="391">
        <f t="shared" si="102"/>
        <v>31.370412652133908</v>
      </c>
      <c r="E287" s="383">
        <f t="shared" si="100"/>
        <v>32.097519955046721</v>
      </c>
      <c r="F287" s="383">
        <f t="shared" si="103"/>
        <v>32.128808981221354</v>
      </c>
      <c r="G287" s="110">
        <f t="shared" si="101"/>
        <v>0.71073327414107856</v>
      </c>
      <c r="H287" s="412" t="b">
        <f>Wh_hp&gt;='2026'!Maxi_hp</f>
        <v>0</v>
      </c>
      <c r="I287" s="388">
        <f>IF(H287,Wh_hp,'2026'!Maxi_hp)</f>
        <v>37.731180167005817</v>
      </c>
      <c r="J287" s="85">
        <f>IF(H287,An,'2026'!An_max)</f>
        <v>2020</v>
      </c>
      <c r="K287" s="197">
        <f t="shared" si="104"/>
        <v>46660</v>
      </c>
      <c r="L287" s="147">
        <f>IF(t&lt;Tvie,1-EXP((T0-t)*PertePVj)+'2026'!Pspv,1-EXP((T0-t)*PertePVj)+Pspv)</f>
        <v>5.9214753003149934E-2</v>
      </c>
      <c r="M287" s="832"/>
      <c r="N287" s="832"/>
      <c r="O287" s="48">
        <f>IF(t&lt;Tnet,'2026'!Resal+('2026'!Salim-'2026'!Resal)*(1-EXP(('2026'!Tnet-t)/('2026'!Tau_j))),Resal+(Salim-Resal)*(1-EXP((Tnet-t)/(Tau_j))))*Salcycl</f>
        <v>2.2653068023047968E-2</v>
      </c>
      <c r="P287" s="169">
        <f>(INDEX(Models!$BJ287:$BT287,,T287)*(1-R287)+INDEX(Models!$BJ287:$BT287,,T287+1)*R287-ERP_i)*Q287*Ramure*Pc/MaxiM</f>
        <v>1.6577577780017986E-3</v>
      </c>
      <c r="Q287" s="304">
        <f t="shared" si="105"/>
        <v>0.7</v>
      </c>
      <c r="R287" s="177">
        <f t="shared" si="106"/>
        <v>0.57510233630330898</v>
      </c>
      <c r="S287" s="799">
        <f t="shared" si="107"/>
        <v>-1</v>
      </c>
      <c r="T287" s="176">
        <f t="shared" si="108"/>
        <v>5</v>
      </c>
      <c r="U287" s="250">
        <f t="shared" si="109"/>
        <v>-0.42489766369669096</v>
      </c>
      <c r="V287" s="382">
        <f t="shared" si="110"/>
        <v>41.496042353889571</v>
      </c>
      <c r="W287" s="400">
        <f t="shared" si="111"/>
        <v>29.512821415330908</v>
      </c>
      <c r="X287" s="157">
        <f t="shared" si="112"/>
        <v>46660</v>
      </c>
      <c r="Y287" s="383">
        <f t="shared" si="113"/>
        <v>27.923332737095492</v>
      </c>
      <c r="Z287" s="383">
        <f t="shared" si="114"/>
        <v>29.680878634344683</v>
      </c>
      <c r="AA287" s="384">
        <f t="shared" si="115"/>
        <v>31.832181161781932</v>
      </c>
      <c r="AB287" s="197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6.7582630184956541E-2</v>
      </c>
      <c r="AD287" s="230">
        <f>(INDEX(Models!$BJ287:$BT287,,AH287)*(1-AF287)+INDEX(Models!$BJ287:$BT287,,AH287+1)*AF287-ERP_i)*AE287*Ramure*Pc/MaxiM</f>
        <v>1.5715959713891434E-2</v>
      </c>
      <c r="AE287" s="304">
        <f t="shared" si="117"/>
        <v>0.7</v>
      </c>
      <c r="AF287" s="177">
        <f t="shared" si="118"/>
        <v>0.33076016714265988</v>
      </c>
      <c r="AG287" s="799">
        <f t="shared" si="124"/>
        <v>2</v>
      </c>
      <c r="AH287" s="176">
        <f t="shared" si="119"/>
        <v>8</v>
      </c>
      <c r="AI287" s="224">
        <f t="shared" si="120"/>
        <v>2.3307601671426599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46661</v>
      </c>
      <c r="B288" s="409">
        <f>'2026'!Wh/'2026'!Env_an*'2027'!Env_an</f>
        <v>34.578209304596584</v>
      </c>
      <c r="C288" s="829"/>
      <c r="D288" s="391">
        <f t="shared" si="102"/>
        <v>36.755329774963556</v>
      </c>
      <c r="E288" s="383">
        <f t="shared" si="100"/>
        <v>37.610453832471123</v>
      </c>
      <c r="F288" s="383">
        <f t="shared" si="103"/>
        <v>37.65748687417387</v>
      </c>
      <c r="G288" s="110">
        <f t="shared" si="101"/>
        <v>0.83815919575586895</v>
      </c>
      <c r="H288" s="412" t="b">
        <f>Wh_hp&gt;='2026'!Maxi_hp</f>
        <v>0</v>
      </c>
      <c r="I288" s="388">
        <f>IF(H288,Wh_hp,'2026'!Maxi_hp)</f>
        <v>44.215885035477228</v>
      </c>
      <c r="J288" s="85">
        <f>IF(H288,An,'2026'!An_max)</f>
        <v>2020</v>
      </c>
      <c r="K288" s="197">
        <f t="shared" si="104"/>
        <v>46661</v>
      </c>
      <c r="L288" s="147">
        <f>IF(t&lt;Tvie,1-EXP((T0-t)*PertePVj)+'2026'!Pspv,1-EXP((T0-t)*PertePVj)+Pspv)</f>
        <v>5.9232782937781003E-2</v>
      </c>
      <c r="M288" s="832"/>
      <c r="N288" s="832"/>
      <c r="O288" s="48">
        <f>IF(t&lt;Tnet,'2026'!Resal+('2026'!Salim-'2026'!Resal)*(1-EXP(('2026'!Tnet-t)/('2026'!Tau_j))),Resal+(Salim-Resal)*(1-EXP((Tnet-t)/(Tau_j))))*Salcycl</f>
        <v>2.2736339777141776E-2</v>
      </c>
      <c r="P288" s="169">
        <f>(INDEX(Models!$BJ288:$BT288,,T288)*(1-R288)+INDEX(Models!$BJ288:$BT288,,T288+1)*R288-ERP_i)*Q288*Ramure*Pc/MaxiM</f>
        <v>1.6236232259326617E-3</v>
      </c>
      <c r="Q288" s="304">
        <f t="shared" si="105"/>
        <v>0.7</v>
      </c>
      <c r="R288" s="177">
        <f t="shared" si="106"/>
        <v>0.57526092726550759</v>
      </c>
      <c r="S288" s="799">
        <f t="shared" si="107"/>
        <v>-1</v>
      </c>
      <c r="T288" s="176">
        <f t="shared" si="108"/>
        <v>5</v>
      </c>
      <c r="U288" s="250">
        <f t="shared" si="109"/>
        <v>-0.42473907273449235</v>
      </c>
      <c r="V288" s="382">
        <f t="shared" si="110"/>
        <v>41.239466695881141</v>
      </c>
      <c r="W288" s="400">
        <f t="shared" si="111"/>
        <v>34.578209304596584</v>
      </c>
      <c r="X288" s="157">
        <f t="shared" si="112"/>
        <v>46661</v>
      </c>
      <c r="Y288" s="383">
        <f t="shared" si="113"/>
        <v>32.611284152781302</v>
      </c>
      <c r="Z288" s="383">
        <f t="shared" si="114"/>
        <v>34.664562668986484</v>
      </c>
      <c r="AA288" s="384">
        <f t="shared" si="115"/>
        <v>37.177651369377926</v>
      </c>
      <c r="AB288" s="197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6.7596757939943269E-2</v>
      </c>
      <c r="AD288" s="230">
        <f>(INDEX(Models!$BJ288:$BT288,,AH288)*(1-AF288)+INDEX(Models!$BJ288:$BT288,,AH288+1)*AF288-ERP_i)*AE288*Ramure*Pc/MaxiM</f>
        <v>1.6564356503618424E-2</v>
      </c>
      <c r="AE288" s="304">
        <f t="shared" si="117"/>
        <v>0.7</v>
      </c>
      <c r="AF288" s="177">
        <f t="shared" si="118"/>
        <v>0.33091875810485849</v>
      </c>
      <c r="AG288" s="799">
        <f t="shared" si="124"/>
        <v>2</v>
      </c>
      <c r="AH288" s="176">
        <f t="shared" si="119"/>
        <v>8</v>
      </c>
      <c r="AI288" s="224">
        <f t="shared" si="120"/>
        <v>2.3309187581048585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46662</v>
      </c>
      <c r="B289" s="409">
        <f>'2026'!Wh/'2026'!Env_an*'2027'!Env_an</f>
        <v>39.136788149296457</v>
      </c>
      <c r="C289" s="829"/>
      <c r="D289" s="391">
        <f t="shared" si="102"/>
        <v>41.601724105038784</v>
      </c>
      <c r="E289" s="383">
        <f t="shared" si="100"/>
        <v>42.573207815941032</v>
      </c>
      <c r="F289" s="383">
        <f t="shared" si="103"/>
        <v>42.636719874957521</v>
      </c>
      <c r="G289" s="110">
        <f t="shared" si="101"/>
        <v>0.95491093990947362</v>
      </c>
      <c r="H289" s="412" t="b">
        <f>Wh_hp&gt;='2026'!Maxi_hp</f>
        <v>0</v>
      </c>
      <c r="I289" s="388">
        <f>IF(H289,Wh_hp,'2026'!Maxi_hp)</f>
        <v>42.639173429368263</v>
      </c>
      <c r="J289" s="85">
        <f>IF(H289,An,'2026'!An_max)</f>
        <v>2026</v>
      </c>
      <c r="K289" s="197">
        <f t="shared" si="104"/>
        <v>46662</v>
      </c>
      <c r="L289" s="147">
        <f>IF(t&lt;Tvie,1-EXP((T0-t)*PertePVj)+'2026'!Pspv,1-EXP((T0-t)*PertePVj)+Pspv)</f>
        <v>5.9250812526872476E-2</v>
      </c>
      <c r="M289" s="832"/>
      <c r="N289" s="832"/>
      <c r="O289" s="48">
        <f>IF(t&lt;Tnet,'2026'!Resal+('2026'!Salim-'2026'!Resal)*(1-EXP(('2026'!Tnet-t)/('2026'!Tau_j))),Resal+(Salim-Resal)*(1-EXP((Tnet-t)/(Tau_j))))*Salcycl</f>
        <v>2.2819133458355186E-2</v>
      </c>
      <c r="P289" s="169">
        <f>(INDEX(Models!$BJ289:$BT289,,T289)*(1-R289)+INDEX(Models!$BJ289:$BT289,,T289+1)*R289-ERP_i)*Q289*Ramure*Pc/MaxiM</f>
        <v>1.5919275959255248E-3</v>
      </c>
      <c r="Q289" s="304">
        <f t="shared" si="105"/>
        <v>0.7</v>
      </c>
      <c r="R289" s="177">
        <f t="shared" si="106"/>
        <v>0.57541325218323269</v>
      </c>
      <c r="S289" s="799">
        <f t="shared" si="107"/>
        <v>-1</v>
      </c>
      <c r="T289" s="176">
        <f t="shared" si="108"/>
        <v>5</v>
      </c>
      <c r="U289" s="250">
        <f t="shared" si="109"/>
        <v>-0.42458674781676725</v>
      </c>
      <c r="V289" s="382">
        <f t="shared" si="110"/>
        <v>40.98055235793035</v>
      </c>
      <c r="W289" s="400">
        <f t="shared" si="111"/>
        <v>39.136788149296457</v>
      </c>
      <c r="X289" s="157">
        <f t="shared" si="112"/>
        <v>46662</v>
      </c>
      <c r="Y289" s="383">
        <f t="shared" si="113"/>
        <v>36.784806147146057</v>
      </c>
      <c r="Z289" s="383">
        <f t="shared" si="114"/>
        <v>39.101608204361924</v>
      </c>
      <c r="AA289" s="384">
        <f t="shared" si="115"/>
        <v>41.936962553160846</v>
      </c>
      <c r="AB289" s="197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6.760991202461851E-2</v>
      </c>
      <c r="AD289" s="230">
        <f>(INDEX(Models!$BJ289:$BT289,,AH289)*(1-AF289)+INDEX(Models!$BJ289:$BT289,,AH289+1)*AF289-ERP_i)*AE289*Ramure*Pc/MaxiM</f>
        <v>1.7539393435974365E-2</v>
      </c>
      <c r="AE289" s="304">
        <f t="shared" si="117"/>
        <v>0.7</v>
      </c>
      <c r="AF289" s="177">
        <f t="shared" si="118"/>
        <v>0.33107108302258359</v>
      </c>
      <c r="AG289" s="799">
        <f t="shared" si="124"/>
        <v>2</v>
      </c>
      <c r="AH289" s="176">
        <f t="shared" si="119"/>
        <v>8</v>
      </c>
      <c r="AI289" s="224">
        <f t="shared" si="120"/>
        <v>2.3310710830225836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46663</v>
      </c>
      <c r="B290" s="409">
        <f>'2026'!Wh/'2026'!Env_an*'2027'!Env_an</f>
        <v>34.819219221096198</v>
      </c>
      <c r="C290" s="829"/>
      <c r="D290" s="391">
        <f t="shared" si="102"/>
        <v>37.012932883636005</v>
      </c>
      <c r="E290" s="383">
        <f t="shared" si="100"/>
        <v>37.880449764211235</v>
      </c>
      <c r="F290" s="383">
        <f t="shared" si="103"/>
        <v>37.927915791209706</v>
      </c>
      <c r="G290" s="110">
        <f t="shared" si="101"/>
        <v>0.85485874682129326</v>
      </c>
      <c r="H290" s="412" t="b">
        <f>Wh_hp&gt;='2026'!Maxi_hp</f>
        <v>0</v>
      </c>
      <c r="I290" s="388">
        <f>IF(H290,Wh_hp,'2026'!Maxi_hp)</f>
        <v>37.934926703288703</v>
      </c>
      <c r="J290" s="85">
        <f>IF(H290,An,'2026'!An_max)</f>
        <v>2026</v>
      </c>
      <c r="K290" s="197">
        <f t="shared" si="104"/>
        <v>46663</v>
      </c>
      <c r="L290" s="147">
        <f>IF(t&lt;Tvie,1-EXP((T0-t)*PertePVj)+'2026'!Pspv,1-EXP((T0-t)*PertePVj)+Pspv)</f>
        <v>5.9268841770431013E-2</v>
      </c>
      <c r="M290" s="832"/>
      <c r="N290" s="832"/>
      <c r="O290" s="48">
        <f>IF(t&lt;Tnet,'2026'!Resal+('2026'!Salim-'2026'!Resal)*(1-EXP(('2026'!Tnet-t)/('2026'!Tau_j))),Resal+(Salim-Resal)*(1-EXP((Tnet-t)/(Tau_j))))*Salcycl</f>
        <v>2.2901440874517912E-2</v>
      </c>
      <c r="P290" s="169">
        <f>(INDEX(Models!$BJ290:$BT290,,T290)*(1-R290)+INDEX(Models!$BJ290:$BT290,,T290+1)*R290-ERP_i)*Q290*Ramure*Pc/MaxiM</f>
        <v>1.5780498070139216E-3</v>
      </c>
      <c r="Q290" s="304">
        <f t="shared" si="105"/>
        <v>0.7</v>
      </c>
      <c r="R290" s="177">
        <f t="shared" si="106"/>
        <v>0.57555955405986325</v>
      </c>
      <c r="S290" s="799">
        <f t="shared" si="107"/>
        <v>-1</v>
      </c>
      <c r="T290" s="176">
        <f t="shared" si="108"/>
        <v>5</v>
      </c>
      <c r="U290" s="250">
        <f t="shared" si="109"/>
        <v>-0.4244404459401368</v>
      </c>
      <c r="V290" s="382">
        <f t="shared" si="110"/>
        <v>40.71764393306082</v>
      </c>
      <c r="W290" s="400">
        <f t="shared" si="111"/>
        <v>34.819219221096198</v>
      </c>
      <c r="X290" s="157">
        <f t="shared" si="112"/>
        <v>46663</v>
      </c>
      <c r="Y290" s="383">
        <f t="shared" si="113"/>
        <v>32.773875947883944</v>
      </c>
      <c r="Z290" s="383">
        <f t="shared" si="114"/>
        <v>34.838726942523628</v>
      </c>
      <c r="AA290" s="384">
        <f t="shared" si="115"/>
        <v>37.365456728939535</v>
      </c>
      <c r="AB290" s="197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6.7622076848828025E-2</v>
      </c>
      <c r="AD290" s="230">
        <f>(INDEX(Models!$BJ290:$BT290,,AH290)*(1-AF290)+INDEX(Models!$BJ290:$BT290,,AH290+1)*AF290-ERP_i)*AE290*Ramure*Pc/MaxiM</f>
        <v>1.86994461259056E-2</v>
      </c>
      <c r="AE290" s="304">
        <f t="shared" si="117"/>
        <v>0.7</v>
      </c>
      <c r="AF290" s="177">
        <f t="shared" si="118"/>
        <v>0.33121738489921393</v>
      </c>
      <c r="AG290" s="799">
        <f t="shared" si="124"/>
        <v>2</v>
      </c>
      <c r="AH290" s="176">
        <f t="shared" si="119"/>
        <v>8</v>
      </c>
      <c r="AI290" s="224">
        <f t="shared" si="120"/>
        <v>2.3312173848992139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46664</v>
      </c>
      <c r="B291" s="409">
        <f>'2026'!Wh/'2026'!Env_an*'2027'!Env_an</f>
        <v>41.539212882655995</v>
      </c>
      <c r="C291" s="829"/>
      <c r="D291" s="391">
        <f t="shared" si="102"/>
        <v>44.157152257642487</v>
      </c>
      <c r="E291" s="383">
        <f t="shared" si="100"/>
        <v>45.195901151287771</v>
      </c>
      <c r="F291" s="383">
        <f t="shared" si="103"/>
        <v>45.267692249825423</v>
      </c>
      <c r="G291" s="110">
        <f t="shared" si="101"/>
        <v>1.0269021069326252</v>
      </c>
      <c r="H291" s="412" t="b">
        <f>Wh_hp&gt;='2026'!Maxi_hp</f>
        <v>1</v>
      </c>
      <c r="I291" s="388">
        <f>IF(H291,Wh_hp,'2026'!Maxi_hp)</f>
        <v>45.267692249825423</v>
      </c>
      <c r="J291" s="85">
        <f>IF(H291,An,'2026'!An_max)</f>
        <v>2027</v>
      </c>
      <c r="K291" s="197">
        <f t="shared" si="104"/>
        <v>46664</v>
      </c>
      <c r="L291" s="147">
        <f>IF(t&lt;Tvie,1-EXP((T0-t)*PertePVj)+'2026'!Pspv,1-EXP((T0-t)*PertePVj)+Pspv)</f>
        <v>5.9286870668463276E-2</v>
      </c>
      <c r="M291" s="832"/>
      <c r="N291" s="832"/>
      <c r="O291" s="48">
        <f>IF(t&lt;Tnet,'2026'!Resal+('2026'!Salim-'2026'!Resal)*(1-EXP(('2026'!Tnet-t)/('2026'!Tau_j))),Resal+(Salim-Resal)*(1-EXP((Tnet-t)/(Tau_j))))*Salcycl</f>
        <v>2.2983254392211327E-2</v>
      </c>
      <c r="P291" s="169">
        <f>(INDEX(Models!$BJ291:$BT291,,T291)*(1-R291)+INDEX(Models!$BJ291:$BT291,,T291+1)*R291-ERP_i)*Q291*Ramure*Pc/MaxiM</f>
        <v>1.5859235355196134E-3</v>
      </c>
      <c r="Q291" s="304">
        <f t="shared" si="105"/>
        <v>0.7</v>
      </c>
      <c r="R291" s="177">
        <f t="shared" si="106"/>
        <v>0.57570006683292752</v>
      </c>
      <c r="S291" s="799">
        <f t="shared" si="107"/>
        <v>-1</v>
      </c>
      <c r="T291" s="176">
        <f t="shared" si="108"/>
        <v>5</v>
      </c>
      <c r="U291" s="250">
        <f t="shared" si="109"/>
        <v>-0.42429993316707243</v>
      </c>
      <c r="V291" s="382">
        <f t="shared" si="110"/>
        <v>40.450995866328839</v>
      </c>
      <c r="W291" s="400">
        <f t="shared" si="111"/>
        <v>41.539212882655995</v>
      </c>
      <c r="X291" s="157">
        <f t="shared" si="112"/>
        <v>46664</v>
      </c>
      <c r="Y291" s="383">
        <f t="shared" si="113"/>
        <v>38.90958861337289</v>
      </c>
      <c r="Z291" s="383">
        <f t="shared" si="114"/>
        <v>41.361800319531774</v>
      </c>
      <c r="AA291" s="384">
        <f t="shared" si="115"/>
        <v>44.362156646504992</v>
      </c>
      <c r="AB291" s="197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6.7633238638085874E-2</v>
      </c>
      <c r="AD291" s="230">
        <f>(INDEX(Models!$BJ291:$BT291,,AH291)*(1-AF291)+INDEX(Models!$BJ291:$BT291,,AH291+1)*AF291-ERP_i)*AE291*Ramure*Pc/MaxiM</f>
        <v>2.0004015188645405E-2</v>
      </c>
      <c r="AE291" s="304">
        <f t="shared" si="117"/>
        <v>0.7</v>
      </c>
      <c r="AF291" s="177">
        <f t="shared" si="118"/>
        <v>0.33135789767227841</v>
      </c>
      <c r="AG291" s="799">
        <f t="shared" si="124"/>
        <v>2</v>
      </c>
      <c r="AH291" s="176">
        <f t="shared" si="119"/>
        <v>8</v>
      </c>
      <c r="AI291" s="224">
        <f t="shared" si="120"/>
        <v>2.3313578976722784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46665</v>
      </c>
      <c r="B292" s="409">
        <f>'2026'!Wh/'2026'!Env_an*'2027'!Env_an</f>
        <v>41.215346693322779</v>
      </c>
      <c r="C292" s="829"/>
      <c r="D292" s="391">
        <f t="shared" si="102"/>
        <v>43.813714623570199</v>
      </c>
      <c r="E292" s="383">
        <f t="shared" si="100"/>
        <v>44.848117024024695</v>
      </c>
      <c r="F292" s="383">
        <f t="shared" si="103"/>
        <v>44.920703887087058</v>
      </c>
      <c r="G292" s="110">
        <f t="shared" si="101"/>
        <v>1.0257418885232878</v>
      </c>
      <c r="H292" s="412" t="b">
        <f>Wh_hp&gt;='2026'!Maxi_hp</f>
        <v>1</v>
      </c>
      <c r="I292" s="388">
        <f>IF(H292,Wh_hp,'2026'!Maxi_hp)</f>
        <v>44.920703887087058</v>
      </c>
      <c r="J292" s="85">
        <f>IF(H292,An,'2026'!An_max)</f>
        <v>2027</v>
      </c>
      <c r="K292" s="197">
        <f t="shared" si="104"/>
        <v>46665</v>
      </c>
      <c r="L292" s="147">
        <f>IF(t&lt;Tvie,1-EXP((T0-t)*PertePVj)+'2026'!Pspv,1-EXP((T0-t)*PertePVj)+Pspv)</f>
        <v>5.9304899220975704E-2</v>
      </c>
      <c r="M292" s="832"/>
      <c r="N292" s="832"/>
      <c r="O292" s="48">
        <f>IF(t&lt;Tnet,'2026'!Resal+('2026'!Salim-'2026'!Resal)*(1-EXP(('2026'!Tnet-t)/('2026'!Tau_j))),Resal+(Salim-Resal)*(1-EXP((Tnet-t)/(Tau_j))))*Salcycl</f>
        <v>2.3064567011818461E-2</v>
      </c>
      <c r="P292" s="169">
        <f>(INDEX(Models!$BJ292:$BT292,,T292)*(1-R292)+INDEX(Models!$BJ292:$BT292,,T292+1)*R292-ERP_i)*Q292*Ramure*Pc/MaxiM</f>
        <v>1.6158888169878411E-3</v>
      </c>
      <c r="Q292" s="304">
        <f t="shared" si="105"/>
        <v>0.7</v>
      </c>
      <c r="R292" s="177">
        <f t="shared" si="106"/>
        <v>0.57583501568411288</v>
      </c>
      <c r="S292" s="799">
        <f t="shared" si="107"/>
        <v>-1</v>
      </c>
      <c r="T292" s="176">
        <f t="shared" si="108"/>
        <v>5</v>
      </c>
      <c r="U292" s="250">
        <f t="shared" si="109"/>
        <v>-0.42416498431588712</v>
      </c>
      <c r="V292" s="382">
        <f t="shared" si="110"/>
        <v>40.181011572666257</v>
      </c>
      <c r="W292" s="400">
        <f t="shared" si="111"/>
        <v>41.215346693322779</v>
      </c>
      <c r="X292" s="157">
        <f t="shared" si="112"/>
        <v>46665</v>
      </c>
      <c r="Y292" s="383">
        <f t="shared" si="113"/>
        <v>38.553000511880768</v>
      </c>
      <c r="Z292" s="383">
        <f t="shared" si="114"/>
        <v>40.98352428959565</v>
      </c>
      <c r="AA292" s="384">
        <f t="shared" si="115"/>
        <v>43.956919120413936</v>
      </c>
      <c r="AB292" s="197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6.7643385622024071E-2</v>
      </c>
      <c r="AD292" s="230">
        <f>(INDEX(Models!$BJ292:$BT292,,AH292)*(1-AF292)+INDEX(Models!$BJ292:$BT292,,AH292+1)*AF292-ERP_i)*AE292*Ramure*Pc/MaxiM</f>
        <v>2.1455246317949411E-2</v>
      </c>
      <c r="AE292" s="304">
        <f t="shared" si="117"/>
        <v>0.7</v>
      </c>
      <c r="AF292" s="177">
        <f t="shared" si="118"/>
        <v>0.33149284652346367</v>
      </c>
      <c r="AG292" s="799">
        <f t="shared" si="124"/>
        <v>2</v>
      </c>
      <c r="AH292" s="176">
        <f t="shared" si="119"/>
        <v>8</v>
      </c>
      <c r="AI292" s="224">
        <f t="shared" si="120"/>
        <v>2.3314928465234637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46666</v>
      </c>
      <c r="B293" s="409">
        <f>'2026'!Wh/'2026'!Env_an*'2027'!Env_an</f>
        <v>14.659823036296888</v>
      </c>
      <c r="C293" s="829"/>
      <c r="D293" s="391">
        <f t="shared" si="102"/>
        <v>15.584331184147608</v>
      </c>
      <c r="E293" s="383">
        <f t="shared" si="100"/>
        <v>15.953582799845263</v>
      </c>
      <c r="F293" s="383">
        <f t="shared" si="103"/>
        <v>15.956143583810746</v>
      </c>
      <c r="G293" s="110">
        <f t="shared" si="101"/>
        <v>0.36678562290027211</v>
      </c>
      <c r="H293" s="412" t="b">
        <f>Wh_hp&gt;='2026'!Maxi_hp</f>
        <v>0</v>
      </c>
      <c r="I293" s="388">
        <f>IF(H293,Wh_hp,'2026'!Maxi_hp)</f>
        <v>37.456299477721394</v>
      </c>
      <c r="J293" s="85">
        <f>IF(H293,An,'2026'!An_max)</f>
        <v>2021</v>
      </c>
      <c r="K293" s="197">
        <f t="shared" si="104"/>
        <v>46666</v>
      </c>
      <c r="L293" s="147">
        <f>IF(t&lt;Tvie,1-EXP((T0-t)*PertePVj)+'2026'!Pspv,1-EXP((T0-t)*PertePVj)+Pspv)</f>
        <v>5.9322927427975181E-2</v>
      </c>
      <c r="M293" s="832"/>
      <c r="N293" s="832"/>
      <c r="O293" s="48">
        <f>IF(t&lt;Tnet,'2026'!Resal+('2026'!Salim-'2026'!Resal)*(1-EXP(('2026'!Tnet-t)/('2026'!Tau_j))),Resal+(Salim-Resal)*(1-EXP((Tnet-t)/(Tau_j))))*Salcycl</f>
        <v>2.3145372442686496E-2</v>
      </c>
      <c r="P293" s="169">
        <f>(INDEX(Models!$BJ293:$BT293,,T293)*(1-R293)+INDEX(Models!$BJ293:$BT293,,T293+1)*R293-ERP_i)*Q293*Ramure*Pc/MaxiM</f>
        <v>1.6682940048476928E-3</v>
      </c>
      <c r="Q293" s="304">
        <f t="shared" si="105"/>
        <v>0.7</v>
      </c>
      <c r="R293" s="177">
        <f t="shared" si="106"/>
        <v>0.57596461734094428</v>
      </c>
      <c r="S293" s="799">
        <f t="shared" si="107"/>
        <v>-1</v>
      </c>
      <c r="T293" s="176">
        <f t="shared" si="108"/>
        <v>5</v>
      </c>
      <c r="U293" s="250">
        <f t="shared" si="109"/>
        <v>-0.42403538265905577</v>
      </c>
      <c r="V293" s="382">
        <f t="shared" si="110"/>
        <v>39.908094588146263</v>
      </c>
      <c r="W293" s="400">
        <f t="shared" si="111"/>
        <v>14.659823036296888</v>
      </c>
      <c r="X293" s="157">
        <f t="shared" si="112"/>
        <v>46666</v>
      </c>
      <c r="Y293" s="383">
        <f t="shared" si="113"/>
        <v>13.963105117862561</v>
      </c>
      <c r="Z293" s="383">
        <f t="shared" si="114"/>
        <v>14.843675396152964</v>
      </c>
      <c r="AA293" s="384">
        <f t="shared" si="115"/>
        <v>15.92075436145331</v>
      </c>
      <c r="AB293" s="197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6.7652508219593302E-2</v>
      </c>
      <c r="AD293" s="230">
        <f>(INDEX(Models!$BJ293:$BT293,,AH293)*(1-AF293)+INDEX(Models!$BJ293:$BT293,,AH293+1)*AF293-ERP_i)*AE293*Ramure*Pc/MaxiM</f>
        <v>2.3055294117312844E-2</v>
      </c>
      <c r="AE293" s="304">
        <f t="shared" si="117"/>
        <v>0.7</v>
      </c>
      <c r="AF293" s="177">
        <f t="shared" si="118"/>
        <v>0.33162244818029496</v>
      </c>
      <c r="AG293" s="799">
        <f t="shared" si="124"/>
        <v>2</v>
      </c>
      <c r="AH293" s="176">
        <f t="shared" si="119"/>
        <v>8</v>
      </c>
      <c r="AI293" s="224">
        <f t="shared" si="120"/>
        <v>2.331622448180295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46667</v>
      </c>
      <c r="B294" s="409">
        <f>'2026'!Wh/'2026'!Env_an*'2027'!Env_an</f>
        <v>31.051020317050746</v>
      </c>
      <c r="C294" s="829"/>
      <c r="D294" s="391">
        <f t="shared" si="102"/>
        <v>33.009856750599837</v>
      </c>
      <c r="E294" s="383">
        <f t="shared" si="100"/>
        <v>33.794762591308121</v>
      </c>
      <c r="F294" s="383">
        <f t="shared" si="103"/>
        <v>33.83550673812136</v>
      </c>
      <c r="G294" s="110">
        <f t="shared" si="101"/>
        <v>0.78304769168139721</v>
      </c>
      <c r="H294" s="412" t="b">
        <f>Wh_hp&gt;='2026'!Maxi_hp</f>
        <v>0</v>
      </c>
      <c r="I294" s="388">
        <f>IF(H294,Wh_hp,'2026'!Maxi_hp)</f>
        <v>42.329866448649689</v>
      </c>
      <c r="J294" s="85">
        <f>IF(H294,An,'2026'!An_max)</f>
        <v>2021</v>
      </c>
      <c r="K294" s="197">
        <f t="shared" si="104"/>
        <v>46667</v>
      </c>
      <c r="L294" s="147">
        <f>IF(t&lt;Tvie,1-EXP((T0-t)*PertePVj)+'2026'!Pspv,1-EXP((T0-t)*PertePVj)+Pspv)</f>
        <v>5.9340955289468034E-2</v>
      </c>
      <c r="M294" s="832"/>
      <c r="N294" s="832"/>
      <c r="O294" s="48">
        <f>IF(t&lt;Tnet,'2026'!Resal+('2026'!Salim-'2026'!Resal)*(1-EXP(('2026'!Tnet-t)/('2026'!Tau_j))),Resal+(Salim-Resal)*(1-EXP((Tnet-t)/(Tau_j))))*Salcycl</f>
        <v>2.3225665177779759E-2</v>
      </c>
      <c r="P294" s="169">
        <f>(INDEX(Models!$BJ294:$BT294,,T294)*(1-R294)+INDEX(Models!$BJ294:$BT294,,T294+1)*R294-ERP_i)*Q294*Ramure*Pc/MaxiM</f>
        <v>1.7434937381704313E-3</v>
      </c>
      <c r="Q294" s="304">
        <f t="shared" si="105"/>
        <v>0.7</v>
      </c>
      <c r="R294" s="177">
        <f t="shared" si="106"/>
        <v>0.57608908037016249</v>
      </c>
      <c r="S294" s="799">
        <f t="shared" si="107"/>
        <v>-1</v>
      </c>
      <c r="T294" s="176">
        <f t="shared" si="108"/>
        <v>5</v>
      </c>
      <c r="U294" s="250">
        <f t="shared" si="109"/>
        <v>-0.42391091962983751</v>
      </c>
      <c r="V294" s="382">
        <f t="shared" si="110"/>
        <v>39.632648576480925</v>
      </c>
      <c r="W294" s="400">
        <f t="shared" si="111"/>
        <v>31.051020317050746</v>
      </c>
      <c r="X294" s="157">
        <f t="shared" si="112"/>
        <v>46667</v>
      </c>
      <c r="Y294" s="383">
        <f t="shared" si="113"/>
        <v>29.165786846190858</v>
      </c>
      <c r="Z294" s="383">
        <f t="shared" si="114"/>
        <v>31.005694369489653</v>
      </c>
      <c r="AA294" s="384">
        <f t="shared" si="115"/>
        <v>33.255801850192242</v>
      </c>
      <c r="AB294" s="197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6.7660599219308337E-2</v>
      </c>
      <c r="AD294" s="230">
        <f>(INDEX(Models!$BJ294:$BT294,,AH294)*(1-AF294)+INDEX(Models!$BJ294:$BT294,,AH294+1)*AF294-ERP_i)*AE294*Ramure*Pc/MaxiM</f>
        <v>2.480630768203677E-2</v>
      </c>
      <c r="AE294" s="304">
        <f t="shared" si="117"/>
        <v>0.7</v>
      </c>
      <c r="AF294" s="177">
        <f t="shared" si="118"/>
        <v>0.33174691120951305</v>
      </c>
      <c r="AG294" s="799">
        <f t="shared" si="124"/>
        <v>2</v>
      </c>
      <c r="AH294" s="176">
        <f t="shared" si="119"/>
        <v>8</v>
      </c>
      <c r="AI294" s="224">
        <f t="shared" si="120"/>
        <v>2.3317469112095131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46668</v>
      </c>
      <c r="B295" s="409">
        <f>'2026'!Wh/'2026'!Env_an*'2027'!Env_an</f>
        <v>14.966047413325494</v>
      </c>
      <c r="C295" s="829"/>
      <c r="D295" s="391">
        <f t="shared" si="102"/>
        <v>15.910477153081969</v>
      </c>
      <c r="E295" s="383">
        <f t="shared" si="100"/>
        <v>16.290125709639906</v>
      </c>
      <c r="F295" s="383">
        <f t="shared" si="103"/>
        <v>16.293567564636998</v>
      </c>
      <c r="G295" s="110">
        <f t="shared" si="101"/>
        <v>0.37966228324528595</v>
      </c>
      <c r="H295" s="412" t="b">
        <f>Wh_hp&gt;='2026'!Maxi_hp</f>
        <v>0</v>
      </c>
      <c r="I295" s="388">
        <f>IF(H295,Wh_hp,'2026'!Maxi_hp)</f>
        <v>42.692090541725008</v>
      </c>
      <c r="J295" s="85">
        <f>IF(H295,An,'2026'!An_max)</f>
        <v>2021</v>
      </c>
      <c r="K295" s="197">
        <f t="shared" si="104"/>
        <v>46668</v>
      </c>
      <c r="L295" s="147">
        <f>IF(t&lt;Tvie,1-EXP((T0-t)*PertePVj)+'2026'!Pspv,1-EXP((T0-t)*PertePVj)+Pspv)</f>
        <v>5.9358982805461147E-2</v>
      </c>
      <c r="M295" s="832"/>
      <c r="N295" s="832"/>
      <c r="O295" s="48">
        <f>IF(t&lt;Tnet,'2026'!Resal+('2026'!Salim-'2026'!Resal)*(1-EXP(('2026'!Tnet-t)/('2026'!Tau_j))),Resal+(Salim-Resal)*(1-EXP((Tnet-t)/(Tau_j))))*Salcycl</f>
        <v>2.3305440567182041E-2</v>
      </c>
      <c r="P295" s="169">
        <f>(INDEX(Models!$BJ295:$BT295,,T295)*(1-R295)+INDEX(Models!$BJ295:$BT295,,T295+1)*R295-ERP_i)*Q295*Ramure*Pc/MaxiM</f>
        <v>1.8418468111161504E-3</v>
      </c>
      <c r="Q295" s="304">
        <f t="shared" si="105"/>
        <v>0.7</v>
      </c>
      <c r="R295" s="177">
        <f t="shared" si="106"/>
        <v>0.57620860546285146</v>
      </c>
      <c r="S295" s="799">
        <f t="shared" si="107"/>
        <v>-1</v>
      </c>
      <c r="T295" s="176">
        <f t="shared" si="108"/>
        <v>5</v>
      </c>
      <c r="U295" s="250">
        <f t="shared" si="109"/>
        <v>-0.42379139453714854</v>
      </c>
      <c r="V295" s="382">
        <f t="shared" si="110"/>
        <v>39.355077339422245</v>
      </c>
      <c r="W295" s="400">
        <f t="shared" si="111"/>
        <v>14.966047413325494</v>
      </c>
      <c r="X295" s="157">
        <f t="shared" si="112"/>
        <v>46668</v>
      </c>
      <c r="Y295" s="383">
        <f t="shared" si="113"/>
        <v>14.245522761276492</v>
      </c>
      <c r="Z295" s="383">
        <f t="shared" si="114"/>
        <v>15.144483922000077</v>
      </c>
      <c r="AA295" s="384">
        <f t="shared" si="115"/>
        <v>16.24365387107753</v>
      </c>
      <c r="AB295" s="197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6.7667653952819637E-2</v>
      </c>
      <c r="AD295" s="230">
        <f>(INDEX(Models!$BJ295:$BT295,,AH295)*(1-AF295)+INDEX(Models!$BJ295:$BT295,,AH295+1)*AF295-ERP_i)*AE295*Ramure*Pc/MaxiM</f>
        <v>2.6710415572770832E-2</v>
      </c>
      <c r="AE295" s="304">
        <f t="shared" si="117"/>
        <v>0.7</v>
      </c>
      <c r="AF295" s="177">
        <f t="shared" si="118"/>
        <v>0.33186643630220214</v>
      </c>
      <c r="AG295" s="799">
        <f t="shared" si="124"/>
        <v>2</v>
      </c>
      <c r="AH295" s="176">
        <f t="shared" si="119"/>
        <v>8</v>
      </c>
      <c r="AI295" s="224">
        <f t="shared" si="120"/>
        <v>2.3318664363022021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46669</v>
      </c>
      <c r="B296" s="409">
        <f>'2026'!Wh/'2026'!Env_an*'2027'!Env_an</f>
        <v>39.172699157527788</v>
      </c>
      <c r="C296" s="829"/>
      <c r="D296" s="391">
        <f t="shared" si="102"/>
        <v>41.645483443400281</v>
      </c>
      <c r="E296" s="383">
        <f t="shared" si="100"/>
        <v>42.642669253172123</v>
      </c>
      <c r="F296" s="383">
        <f t="shared" si="103"/>
        <v>42.727093613485295</v>
      </c>
      <c r="G296" s="110">
        <f t="shared" si="101"/>
        <v>1.0024924014672847</v>
      </c>
      <c r="H296" s="412" t="b">
        <f>Wh_hp&gt;='2026'!Maxi_hp</f>
        <v>1</v>
      </c>
      <c r="I296" s="388">
        <f>IF(H296,Wh_hp,'2026'!Maxi_hp)</f>
        <v>42.727093613485295</v>
      </c>
      <c r="J296" s="85">
        <f>IF(H296,An,'2026'!An_max)</f>
        <v>2027</v>
      </c>
      <c r="K296" s="197">
        <f t="shared" si="104"/>
        <v>46669</v>
      </c>
      <c r="L296" s="147">
        <f>IF(t&lt;Tvie,1-EXP((T0-t)*PertePVj)+'2026'!Pspv,1-EXP((T0-t)*PertePVj)+Pspv)</f>
        <v>5.9377009975960959E-2</v>
      </c>
      <c r="M296" s="832"/>
      <c r="N296" s="832"/>
      <c r="O296" s="48">
        <f>IF(t&lt;Tnet,'2026'!Resal+('2026'!Salim-'2026'!Resal)*(1-EXP(('2026'!Tnet-t)/('2026'!Tau_j))),Resal+(Salim-Resal)*(1-EXP((Tnet-t)/(Tau_j))))*Salcycl</f>
        <v>2.3384694889794236E-2</v>
      </c>
      <c r="P296" s="169">
        <f>(INDEX(Models!$BJ296:$BT296,,T296)*(1-R296)+INDEX(Models!$BJ296:$BT296,,T296+1)*R296-ERP_i)*Q296*Ramure*Pc/MaxiM</f>
        <v>1.9758975669369053E-3</v>
      </c>
      <c r="Q296" s="304">
        <f t="shared" si="105"/>
        <v>0.7</v>
      </c>
      <c r="R296" s="177">
        <f t="shared" si="106"/>
        <v>0.57632338571138153</v>
      </c>
      <c r="S296" s="799">
        <f t="shared" si="107"/>
        <v>-1</v>
      </c>
      <c r="T296" s="176">
        <f t="shared" si="108"/>
        <v>5</v>
      </c>
      <c r="U296" s="250">
        <f t="shared" si="109"/>
        <v>-0.42367661428861847</v>
      </c>
      <c r="V296" s="382">
        <f t="shared" si="110"/>
        <v>39.075307803024927</v>
      </c>
      <c r="W296" s="400">
        <f t="shared" si="111"/>
        <v>39.172699157527788</v>
      </c>
      <c r="X296" s="157">
        <f t="shared" si="112"/>
        <v>46669</v>
      </c>
      <c r="Y296" s="383">
        <f t="shared" si="113"/>
        <v>36.393396243682176</v>
      </c>
      <c r="Z296" s="383">
        <f t="shared" si="114"/>
        <v>38.690736490240461</v>
      </c>
      <c r="AA296" s="384">
        <f t="shared" si="115"/>
        <v>41.499135296687562</v>
      </c>
      <c r="AB296" s="197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6.7673670460099145E-2</v>
      </c>
      <c r="AD296" s="230">
        <f>(INDEX(Models!$BJ296:$BT296,,AH296)*(1-AF296)+INDEX(Models!$BJ296:$BT296,,AH296+1)*AF296-ERP_i)*AE296*Ramure*Pc/MaxiM</f>
        <v>2.8739570444598798E-2</v>
      </c>
      <c r="AE296" s="304">
        <f t="shared" si="117"/>
        <v>0.7</v>
      </c>
      <c r="AF296" s="177">
        <f t="shared" si="118"/>
        <v>0.33198121655073232</v>
      </c>
      <c r="AG296" s="799">
        <f t="shared" si="124"/>
        <v>2</v>
      </c>
      <c r="AH296" s="176">
        <f t="shared" si="119"/>
        <v>8</v>
      </c>
      <c r="AI296" s="224">
        <f t="shared" si="120"/>
        <v>2.3319812165507323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46670</v>
      </c>
      <c r="B297" s="409">
        <f>'2026'!Wh/'2026'!Env_an*'2027'!Env_an</f>
        <v>34.185979603108848</v>
      </c>
      <c r="C297" s="829"/>
      <c r="D297" s="391">
        <f t="shared" si="102"/>
        <v>36.344672780421334</v>
      </c>
      <c r="E297" s="383">
        <f t="shared" ref="E297:E360" si="125">Wh_pvt/(1-Psa)</f>
        <v>37.217932975166178</v>
      </c>
      <c r="F297" s="383">
        <f t="shared" si="103"/>
        <v>37.284166835335149</v>
      </c>
      <c r="G297" s="110">
        <f t="shared" ref="G297:G360" si="126">+Wh_hp/MaxiM</f>
        <v>0.88089757252441758</v>
      </c>
      <c r="H297" s="412" t="b">
        <f>Wh_hp&gt;='2026'!Maxi_hp</f>
        <v>0</v>
      </c>
      <c r="I297" s="388">
        <f>IF(H297,Wh_hp,'2026'!Maxi_hp)</f>
        <v>37.292453382084915</v>
      </c>
      <c r="J297" s="85">
        <f>IF(H297,An,'2026'!An_max)</f>
        <v>2026</v>
      </c>
      <c r="K297" s="197">
        <f t="shared" si="104"/>
        <v>46670</v>
      </c>
      <c r="L297" s="147">
        <f>IF(t&lt;Tvie,1-EXP((T0-t)*PertePVj)+'2026'!Pspv,1-EXP((T0-t)*PertePVj)+Pspv)</f>
        <v>5.9395036800974133E-2</v>
      </c>
      <c r="M297" s="832"/>
      <c r="N297" s="832"/>
      <c r="O297" s="48">
        <f>IF(t&lt;Tnet,'2026'!Resal+('2026'!Salim-'2026'!Resal)*(1-EXP(('2026'!Tnet-t)/('2026'!Tau_j))),Resal+(Salim-Resal)*(1-EXP((Tnet-t)/(Tau_j))))*Salcycl</f>
        <v>2.3463425422565139E-2</v>
      </c>
      <c r="P297" s="169">
        <f>(INDEX(Models!$BJ297:$BT297,,T297)*(1-R297)+INDEX(Models!$BJ297:$BT297,,T297+1)*R297-ERP_i)*Q297*Ramure*Pc/MaxiM</f>
        <v>2.1395111660759002E-3</v>
      </c>
      <c r="Q297" s="304">
        <f t="shared" si="105"/>
        <v>0.7</v>
      </c>
      <c r="R297" s="177">
        <f t="shared" si="106"/>
        <v>0.5764336068782544</v>
      </c>
      <c r="S297" s="799">
        <f t="shared" si="107"/>
        <v>-1</v>
      </c>
      <c r="T297" s="176">
        <f t="shared" si="108"/>
        <v>5</v>
      </c>
      <c r="U297" s="250">
        <f t="shared" si="109"/>
        <v>-0.4235663931217456</v>
      </c>
      <c r="V297" s="382">
        <f t="shared" si="110"/>
        <v>38.794006645792471</v>
      </c>
      <c r="W297" s="400">
        <f t="shared" si="111"/>
        <v>34.185979603108848</v>
      </c>
      <c r="X297" s="157">
        <f t="shared" si="112"/>
        <v>46670</v>
      </c>
      <c r="Y297" s="383">
        <f t="shared" si="113"/>
        <v>31.859572694406118</v>
      </c>
      <c r="Z297" s="383">
        <f t="shared" si="114"/>
        <v>33.871363580786081</v>
      </c>
      <c r="AA297" s="384">
        <f t="shared" si="115"/>
        <v>36.330138281047098</v>
      </c>
      <c r="AB297" s="197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6.7678649644549421E-2</v>
      </c>
      <c r="AD297" s="230">
        <f>(INDEX(Models!$BJ297:$BT297,,AH297)*(1-AF297)+INDEX(Models!$BJ297:$BT297,,AH297+1)*AF297-ERP_i)*AE297*Ramure*Pc/MaxiM</f>
        <v>3.0817390673701699E-2</v>
      </c>
      <c r="AE297" s="304">
        <f t="shared" si="117"/>
        <v>0.7</v>
      </c>
      <c r="AF297" s="177">
        <f t="shared" si="118"/>
        <v>0.33209143771760541</v>
      </c>
      <c r="AG297" s="799">
        <f t="shared" si="124"/>
        <v>2</v>
      </c>
      <c r="AH297" s="176">
        <f t="shared" si="119"/>
        <v>8</v>
      </c>
      <c r="AI297" s="224">
        <f t="shared" si="120"/>
        <v>2.3320914377176054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46671</v>
      </c>
      <c r="B298" s="409">
        <f>'2026'!Wh/'2026'!Env_an*'2027'!Env_an</f>
        <v>24.601058055583579</v>
      </c>
      <c r="C298" s="829"/>
      <c r="D298" s="391">
        <f t="shared" si="102"/>
        <v>26.15500715051952</v>
      </c>
      <c r="E298" s="383">
        <f t="shared" si="125"/>
        <v>26.785583459219993</v>
      </c>
      <c r="F298" s="383">
        <f t="shared" si="103"/>
        <v>26.815864612291371</v>
      </c>
      <c r="G298" s="110">
        <f t="shared" si="126"/>
        <v>0.63802647243837118</v>
      </c>
      <c r="H298" s="412" t="b">
        <f>Wh_hp&gt;='2026'!Maxi_hp</f>
        <v>0</v>
      </c>
      <c r="I298" s="388">
        <f>IF(H298,Wh_hp,'2026'!Maxi_hp)</f>
        <v>42.840909894173365</v>
      </c>
      <c r="J298" s="85">
        <f>IF(H298,An,'2026'!An_max)</f>
        <v>2018</v>
      </c>
      <c r="K298" s="197">
        <f t="shared" si="104"/>
        <v>46671</v>
      </c>
      <c r="L298" s="147">
        <f>IF(t&lt;Tvie,1-EXP((T0-t)*PertePVj)+'2026'!Pspv,1-EXP((T0-t)*PertePVj)+Pspv)</f>
        <v>5.9413063280507439E-2</v>
      </c>
      <c r="M298" s="832"/>
      <c r="N298" s="832"/>
      <c r="O298" s="48">
        <f>IF(t&lt;Tnet,'2026'!Resal+('2026'!Salim-'2026'!Resal)*(1-EXP(('2026'!Tnet-t)/('2026'!Tau_j))),Resal+(Salim-Resal)*(1-EXP((Tnet-t)/(Tau_j))))*Salcycl</f>
        <v>2.3541630506593275E-2</v>
      </c>
      <c r="P298" s="169">
        <f>(INDEX(Models!$BJ298:$BT298,,T298)*(1-R298)+INDEX(Models!$BJ298:$BT298,,T298+1)*R298-ERP_i)*Q298*Ramure*Pc/MaxiM</f>
        <v>2.3331349735057571E-3</v>
      </c>
      <c r="Q298" s="304">
        <f t="shared" si="105"/>
        <v>0.7</v>
      </c>
      <c r="R298" s="177">
        <f t="shared" si="106"/>
        <v>0.57653944765694742</v>
      </c>
      <c r="S298" s="799">
        <f t="shared" si="107"/>
        <v>-1</v>
      </c>
      <c r="T298" s="176">
        <f t="shared" si="108"/>
        <v>5</v>
      </c>
      <c r="U298" s="250">
        <f t="shared" si="109"/>
        <v>-0.42346055234305258</v>
      </c>
      <c r="V298" s="382">
        <f t="shared" si="110"/>
        <v>38.511579351253893</v>
      </c>
      <c r="W298" s="400">
        <f t="shared" si="111"/>
        <v>24.601058055583579</v>
      </c>
      <c r="X298" s="157">
        <f t="shared" si="112"/>
        <v>46671</v>
      </c>
      <c r="Y298" s="383">
        <f t="shared" si="113"/>
        <v>23.140567769421168</v>
      </c>
      <c r="Z298" s="383">
        <f t="shared" si="114"/>
        <v>24.602263614386434</v>
      </c>
      <c r="AA298" s="384">
        <f t="shared" si="115"/>
        <v>26.38829168417611</v>
      </c>
      <c r="AB298" s="197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6.7682595416386049E-2</v>
      </c>
      <c r="AD298" s="230">
        <f>(INDEX(Models!$BJ298:$BT298,,AH298)*(1-AF298)+INDEX(Models!$BJ298:$BT298,,AH298+1)*AF298-ERP_i)*AE298*Ramure*Pc/MaxiM</f>
        <v>3.2944100574985508E-2</v>
      </c>
      <c r="AE298" s="304">
        <f t="shared" si="117"/>
        <v>0.7</v>
      </c>
      <c r="AF298" s="177">
        <f t="shared" si="118"/>
        <v>0.33219727849629832</v>
      </c>
      <c r="AG298" s="799">
        <f t="shared" si="124"/>
        <v>2</v>
      </c>
      <c r="AH298" s="176">
        <f t="shared" si="119"/>
        <v>8</v>
      </c>
      <c r="AI298" s="224">
        <f t="shared" si="120"/>
        <v>2.3321972784962983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46672</v>
      </c>
      <c r="B299" s="409">
        <f>'2026'!Wh/'2026'!Env_an*'2027'!Env_an</f>
        <v>23.416049433260934</v>
      </c>
      <c r="C299" s="829"/>
      <c r="D299" s="391">
        <f t="shared" si="102"/>
        <v>24.895623456963108</v>
      </c>
      <c r="E299" s="383">
        <f t="shared" si="125"/>
        <v>25.49786543505353</v>
      </c>
      <c r="F299" s="383">
        <f t="shared" si="103"/>
        <v>25.527010141252092</v>
      </c>
      <c r="G299" s="110">
        <f t="shared" si="126"/>
        <v>0.61166167056487664</v>
      </c>
      <c r="H299" s="412" t="b">
        <f>Wh_hp&gt;='2026'!Maxi_hp</f>
        <v>0</v>
      </c>
      <c r="I299" s="388">
        <f>IF(H299,Wh_hp,'2026'!Maxi_hp)</f>
        <v>40.800834584500151</v>
      </c>
      <c r="J299" s="85">
        <f>IF(H299,An,'2026'!An_max)</f>
        <v>2021</v>
      </c>
      <c r="K299" s="197">
        <f t="shared" si="104"/>
        <v>46672</v>
      </c>
      <c r="L299" s="147">
        <f>IF(t&lt;Tvie,1-EXP((T0-t)*PertePVj)+'2026'!Pspv,1-EXP((T0-t)*PertePVj)+Pspv)</f>
        <v>5.9431089414567317E-2</v>
      </c>
      <c r="M299" s="832"/>
      <c r="N299" s="832"/>
      <c r="O299" s="48">
        <f>IF(t&lt;Tnet,'2026'!Resal+('2026'!Salim-'2026'!Resal)*(1-EXP(('2026'!Tnet-t)/('2026'!Tau_j))),Resal+(Salim-Resal)*(1-EXP((Tnet-t)/(Tau_j))))*Salcycl</f>
        <v>2.3619309609442158E-2</v>
      </c>
      <c r="P299" s="169">
        <f>(INDEX(Models!$BJ299:$BT299,,T299)*(1-R299)+INDEX(Models!$BJ299:$BT299,,T299+1)*R299-ERP_i)*Q299*Ramure*Pc/MaxiM</f>
        <v>2.5572105509214745E-3</v>
      </c>
      <c r="Q299" s="304">
        <f t="shared" si="105"/>
        <v>0.7</v>
      </c>
      <c r="R299" s="177">
        <f t="shared" si="106"/>
        <v>0.57664107992486857</v>
      </c>
      <c r="S299" s="799">
        <f t="shared" si="107"/>
        <v>-1</v>
      </c>
      <c r="T299" s="176">
        <f t="shared" si="108"/>
        <v>5</v>
      </c>
      <c r="U299" s="250">
        <f t="shared" si="109"/>
        <v>-0.42335892007513143</v>
      </c>
      <c r="V299" s="382">
        <f t="shared" si="110"/>
        <v>38.228431637160639</v>
      </c>
      <c r="W299" s="400">
        <f t="shared" si="111"/>
        <v>23.416049433260934</v>
      </c>
      <c r="X299" s="157">
        <f t="shared" si="112"/>
        <v>46672</v>
      </c>
      <c r="Y299" s="383">
        <f t="shared" si="113"/>
        <v>22.033795633406537</v>
      </c>
      <c r="Z299" s="383">
        <f t="shared" si="114"/>
        <v>23.426030124355453</v>
      </c>
      <c r="AA299" s="384">
        <f t="shared" si="115"/>
        <v>25.126746925851336</v>
      </c>
      <c r="AB299" s="197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6.7685514822697523E-2</v>
      </c>
      <c r="AD299" s="230">
        <f>(INDEX(Models!$BJ299:$BT299,,AH299)*(1-AF299)+INDEX(Models!$BJ299:$BT299,,AH299+1)*AF299-ERP_i)*AE299*Ramure*Pc/MaxiM</f>
        <v>3.5119836535496413E-2</v>
      </c>
      <c r="AE299" s="304">
        <f t="shared" si="117"/>
        <v>0.7</v>
      </c>
      <c r="AF299" s="177">
        <f t="shared" si="118"/>
        <v>0.33229891076421936</v>
      </c>
      <c r="AG299" s="799">
        <f t="shared" si="124"/>
        <v>2</v>
      </c>
      <c r="AH299" s="176">
        <f t="shared" si="119"/>
        <v>8</v>
      </c>
      <c r="AI299" s="224">
        <f t="shared" si="120"/>
        <v>2.3322989107642194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46673</v>
      </c>
      <c r="B300" s="409">
        <f>'2026'!Wh/'2026'!Env_an*'2027'!Env_an</f>
        <v>24.084149645005592</v>
      </c>
      <c r="C300" s="829"/>
      <c r="D300" s="391">
        <f t="shared" si="102"/>
        <v>25.606429204739737</v>
      </c>
      <c r="E300" s="383">
        <f t="shared" si="125"/>
        <v>26.227938591177768</v>
      </c>
      <c r="F300" s="383">
        <f t="shared" si="103"/>
        <v>26.263253993864186</v>
      </c>
      <c r="G300" s="110">
        <f t="shared" si="126"/>
        <v>0.63377988956258702</v>
      </c>
      <c r="H300" s="412" t="b">
        <f>Wh_hp&gt;='2026'!Maxi_hp</f>
        <v>0</v>
      </c>
      <c r="I300" s="388">
        <f>IF(H300,Wh_hp,'2026'!Maxi_hp)</f>
        <v>40.05086474432693</v>
      </c>
      <c r="J300" s="85">
        <f>IF(H300,An,'2026'!An_max)</f>
        <v>2021</v>
      </c>
      <c r="K300" s="197">
        <f t="shared" si="104"/>
        <v>46673</v>
      </c>
      <c r="L300" s="147">
        <f>IF(t&lt;Tvie,1-EXP((T0-t)*PertePVj)+'2026'!Pspv,1-EXP((T0-t)*PertePVj)+Pspv)</f>
        <v>5.944911520316043E-2</v>
      </c>
      <c r="M300" s="832"/>
      <c r="N300" s="832"/>
      <c r="O300" s="48">
        <f>IF(t&lt;Tnet,'2026'!Resal+('2026'!Salim-'2026'!Resal)*(1-EXP(('2026'!Tnet-t)/('2026'!Tau_j))),Resal+(Salim-Resal)*(1-EXP((Tnet-t)/(Tau_j))))*Salcycl</f>
        <v>2.3696463383023458E-2</v>
      </c>
      <c r="P300" s="169">
        <f>(INDEX(Models!$BJ300:$BT300,,T300)*(1-R300)+INDEX(Models!$BJ300:$BT300,,T300+1)*R300-ERP_i)*Q300*Ramure*Pc/MaxiM</f>
        <v>2.8121703646418069E-3</v>
      </c>
      <c r="Q300" s="304">
        <f t="shared" si="105"/>
        <v>0.7</v>
      </c>
      <c r="R300" s="177">
        <f t="shared" si="106"/>
        <v>0.57673866898854387</v>
      </c>
      <c r="S300" s="799">
        <f t="shared" si="107"/>
        <v>-1</v>
      </c>
      <c r="T300" s="176">
        <f t="shared" si="108"/>
        <v>5</v>
      </c>
      <c r="U300" s="250">
        <f t="shared" si="109"/>
        <v>-0.42326133101145608</v>
      </c>
      <c r="V300" s="382">
        <f t="shared" si="110"/>
        <v>37.944969455260498</v>
      </c>
      <c r="W300" s="400">
        <f t="shared" si="111"/>
        <v>24.084149645005592</v>
      </c>
      <c r="X300" s="157">
        <f t="shared" si="112"/>
        <v>46673</v>
      </c>
      <c r="Y300" s="383">
        <f t="shared" si="113"/>
        <v>22.618677784074531</v>
      </c>
      <c r="Z300" s="383">
        <f t="shared" si="114"/>
        <v>24.048329707286598</v>
      </c>
      <c r="AA300" s="384">
        <f t="shared" si="115"/>
        <v>25.794277773119557</v>
      </c>
      <c r="AB300" s="197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6.768741816266037E-2</v>
      </c>
      <c r="AD300" s="230">
        <f>(INDEX(Models!$BJ300:$BT300,,AH300)*(1-AF300)+INDEX(Models!$BJ300:$BT300,,AH300+1)*AF300-ERP_i)*AE300*Ramure*Pc/MaxiM</f>
        <v>3.7344640847235773E-2</v>
      </c>
      <c r="AE300" s="304">
        <f t="shared" si="117"/>
        <v>0.7</v>
      </c>
      <c r="AF300" s="177">
        <f t="shared" si="118"/>
        <v>0.33239649982789476</v>
      </c>
      <c r="AG300" s="799">
        <f t="shared" si="124"/>
        <v>2</v>
      </c>
      <c r="AH300" s="176">
        <f t="shared" si="119"/>
        <v>8</v>
      </c>
      <c r="AI300" s="224">
        <f t="shared" si="120"/>
        <v>2.3323964998278948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46674</v>
      </c>
      <c r="B301" s="409">
        <f>'2026'!Wh/'2026'!Env_an*'2027'!Env_an</f>
        <v>14.998408834176246</v>
      </c>
      <c r="C301" s="829"/>
      <c r="D301" s="391">
        <f t="shared" si="102"/>
        <v>15.946714338595786</v>
      </c>
      <c r="E301" s="383">
        <f t="shared" si="125"/>
        <v>16.33504898907541</v>
      </c>
      <c r="F301" s="383">
        <f t="shared" si="103"/>
        <v>16.342155366129177</v>
      </c>
      <c r="G301" s="110">
        <f t="shared" si="126"/>
        <v>0.3971802133265861</v>
      </c>
      <c r="H301" s="412" t="b">
        <f>Wh_hp&gt;='2026'!Maxi_hp</f>
        <v>0</v>
      </c>
      <c r="I301" s="388">
        <f>IF(H301,Wh_hp,'2026'!Maxi_hp)</f>
        <v>42.197658918664054</v>
      </c>
      <c r="J301" s="85">
        <f>IF(H301,An,'2026'!An_max)</f>
        <v>2021</v>
      </c>
      <c r="K301" s="197">
        <f t="shared" si="104"/>
        <v>46674</v>
      </c>
      <c r="L301" s="147">
        <f>IF(t&lt;Tvie,1-EXP((T0-t)*PertePVj)+'2026'!Pspv,1-EXP((T0-t)*PertePVj)+Pspv)</f>
        <v>5.9467140646293437E-2</v>
      </c>
      <c r="M301" s="832"/>
      <c r="N301" s="832"/>
      <c r="O301" s="48">
        <f>IF(t&lt;Tnet,'2026'!Resal+('2026'!Salim-'2026'!Resal)*(1-EXP(('2026'!Tnet-t)/('2026'!Tau_j))),Resal+(Salim-Resal)*(1-EXP((Tnet-t)/(Tau_j))))*Salcycl</f>
        <v>2.3773093716421289E-2</v>
      </c>
      <c r="P301" s="169">
        <f>(INDEX(Models!$BJ301:$BT301,,T301)*(1-R301)+INDEX(Models!$BJ301:$BT301,,T301+1)*R301-ERP_i)*Q301*Ramure*Pc/MaxiM</f>
        <v>3.09843435912907E-3</v>
      </c>
      <c r="Q301" s="304">
        <f t="shared" si="105"/>
        <v>0.7</v>
      </c>
      <c r="R301" s="177">
        <f t="shared" si="106"/>
        <v>0.57683237382116859</v>
      </c>
      <c r="S301" s="799">
        <f t="shared" si="107"/>
        <v>-1</v>
      </c>
      <c r="T301" s="176">
        <f t="shared" si="108"/>
        <v>5</v>
      </c>
      <c r="U301" s="250">
        <f t="shared" si="109"/>
        <v>-0.42316762617883141</v>
      </c>
      <c r="V301" s="382">
        <f t="shared" si="110"/>
        <v>37.66159898467366</v>
      </c>
      <c r="W301" s="400">
        <f t="shared" si="111"/>
        <v>14.998408834176246</v>
      </c>
      <c r="X301" s="157">
        <f t="shared" si="112"/>
        <v>46674</v>
      </c>
      <c r="Y301" s="383">
        <f t="shared" si="113"/>
        <v>14.250264004942908</v>
      </c>
      <c r="Z301" s="383">
        <f t="shared" si="114"/>
        <v>15.151266500922755</v>
      </c>
      <c r="AA301" s="384">
        <f t="shared" si="115"/>
        <v>16.251288931698031</v>
      </c>
      <c r="AB301" s="197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6.7688319086475046E-2</v>
      </c>
      <c r="AD301" s="230">
        <f>(INDEX(Models!$BJ301:$BT301,,AH301)*(1-AF301)+INDEX(Models!$BJ301:$BT301,,AH301+1)*AF301-ERP_i)*AE301*Ramure*Pc/MaxiM</f>
        <v>3.9618455424306628E-2</v>
      </c>
      <c r="AE301" s="304">
        <f t="shared" si="117"/>
        <v>0.7</v>
      </c>
      <c r="AF301" s="177">
        <f t="shared" si="118"/>
        <v>0.33249020466051959</v>
      </c>
      <c r="AG301" s="799">
        <f t="shared" si="124"/>
        <v>2</v>
      </c>
      <c r="AH301" s="176">
        <f t="shared" si="119"/>
        <v>8</v>
      </c>
      <c r="AI301" s="224">
        <f t="shared" si="120"/>
        <v>2.3324902046605196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46675</v>
      </c>
      <c r="B302" s="409">
        <f>'2026'!Wh/'2026'!Env_an*'2027'!Env_an</f>
        <v>38.245875451501163</v>
      </c>
      <c r="C302" s="829"/>
      <c r="D302" s="391">
        <f t="shared" si="102"/>
        <v>40.664829578955761</v>
      </c>
      <c r="E302" s="383">
        <f t="shared" si="125"/>
        <v>41.65834800990951</v>
      </c>
      <c r="F302" s="383">
        <f t="shared" si="103"/>
        <v>41.801157752638467</v>
      </c>
      <c r="G302" s="110">
        <f t="shared" si="126"/>
        <v>1.0231989932940344</v>
      </c>
      <c r="H302" s="412" t="b">
        <f>Wh_hp&gt;='2026'!Maxi_hp</f>
        <v>1</v>
      </c>
      <c r="I302" s="388">
        <f>IF(H302,Wh_hp,'2026'!Maxi_hp)</f>
        <v>41.801157752638467</v>
      </c>
      <c r="J302" s="85">
        <f>IF(H302,An,'2026'!An_max)</f>
        <v>2027</v>
      </c>
      <c r="K302" s="197">
        <f t="shared" si="104"/>
        <v>46675</v>
      </c>
      <c r="L302" s="147">
        <f>IF(t&lt;Tvie,1-EXP((T0-t)*PertePVj)+'2026'!Pspv,1-EXP((T0-t)*PertePVj)+Pspv)</f>
        <v>5.948516574397289E-2</v>
      </c>
      <c r="M302" s="832"/>
      <c r="N302" s="832"/>
      <c r="O302" s="48">
        <f>IF(t&lt;Tnet,'2026'!Resal+('2026'!Salim-'2026'!Resal)*(1-EXP(('2026'!Tnet-t)/('2026'!Tau_j))),Resal+(Salim-Resal)*(1-EXP((Tnet-t)/(Tau_j))))*Salcycl</f>
        <v>2.3849203783054818E-2</v>
      </c>
      <c r="P302" s="169">
        <f>(INDEX(Models!$BJ302:$BT302,,T302)*(1-R302)+INDEX(Models!$BJ302:$BT302,,T302+1)*R302-ERP_i)*Q302*Ramure*Pc/MaxiM</f>
        <v>3.416406396541487E-3</v>
      </c>
      <c r="Q302" s="304">
        <f t="shared" si="105"/>
        <v>0.7</v>
      </c>
      <c r="R302" s="177">
        <f t="shared" si="106"/>
        <v>0.57692234729266134</v>
      </c>
      <c r="S302" s="799">
        <f t="shared" si="107"/>
        <v>-1</v>
      </c>
      <c r="T302" s="176">
        <f t="shared" si="108"/>
        <v>5</v>
      </c>
      <c r="U302" s="250">
        <f t="shared" si="109"/>
        <v>-0.42307765270733866</v>
      </c>
      <c r="V302" s="382">
        <f t="shared" si="110"/>
        <v>37.378726623229326</v>
      </c>
      <c r="W302" s="400">
        <f t="shared" si="111"/>
        <v>38.245875451501163</v>
      </c>
      <c r="X302" s="157">
        <f t="shared" si="112"/>
        <v>46675</v>
      </c>
      <c r="Y302" s="383">
        <f t="shared" si="113"/>
        <v>35.116184958609885</v>
      </c>
      <c r="Z302" s="383">
        <f t="shared" si="114"/>
        <v>37.337194140470679</v>
      </c>
      <c r="AA302" s="384">
        <f t="shared" si="115"/>
        <v>40.047970570791684</v>
      </c>
      <c r="AB302" s="197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6.7688234676692091E-2</v>
      </c>
      <c r="AD302" s="230">
        <f>(INDEX(Models!$BJ302:$BT302,,AH302)*(1-AF302)+INDEX(Models!$BJ302:$BT302,,AH302+1)*AF302-ERP_i)*AE302*Ramure*Pc/MaxiM</f>
        <v>4.1941115416501223E-2</v>
      </c>
      <c r="AE302" s="304">
        <f t="shared" si="117"/>
        <v>0.7</v>
      </c>
      <c r="AF302" s="177">
        <f t="shared" si="118"/>
        <v>0.33258017813201235</v>
      </c>
      <c r="AG302" s="799">
        <f t="shared" si="124"/>
        <v>2</v>
      </c>
      <c r="AH302" s="176">
        <f t="shared" si="119"/>
        <v>8</v>
      </c>
      <c r="AI302" s="224">
        <f t="shared" si="120"/>
        <v>2.3325801781320123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46676</v>
      </c>
      <c r="B303" s="409">
        <f>'2026'!Wh/'2026'!Env_an*'2027'!Env_an</f>
        <v>34.164189062880638</v>
      </c>
      <c r="C303" s="829"/>
      <c r="D303" s="391">
        <f t="shared" si="102"/>
        <v>36.325683104555814</v>
      </c>
      <c r="E303" s="383">
        <f t="shared" si="125"/>
        <v>37.216070066282597</v>
      </c>
      <c r="F303" s="383">
        <f t="shared" si="103"/>
        <v>37.34084396275221</v>
      </c>
      <c r="G303" s="110">
        <f t="shared" si="126"/>
        <v>0.92059607692737155</v>
      </c>
      <c r="H303" s="412" t="b">
        <f>Wh_hp&gt;='2026'!Maxi_hp</f>
        <v>0</v>
      </c>
      <c r="I303" s="388">
        <f>IF(H303,Wh_hp,'2026'!Maxi_hp)</f>
        <v>39.40385171327874</v>
      </c>
      <c r="J303" s="85">
        <f>IF(H303,An,'2026'!An_max)</f>
        <v>2018</v>
      </c>
      <c r="K303" s="197">
        <f t="shared" si="104"/>
        <v>46676</v>
      </c>
      <c r="L303" s="147">
        <f>IF(t&lt;Tvie,1-EXP((T0-t)*PertePVj)+'2026'!Pspv,1-EXP((T0-t)*PertePVj)+Pspv)</f>
        <v>5.9503190496205449E-2</v>
      </c>
      <c r="M303" s="832"/>
      <c r="N303" s="832"/>
      <c r="O303" s="48">
        <f>IF(t&lt;Tnet,'2026'!Resal+('2026'!Salim-'2026'!Resal)*(1-EXP(('2026'!Tnet-t)/('2026'!Tau_j))),Resal+(Salim-Resal)*(1-EXP((Tnet-t)/(Tau_j))))*Salcycl</f>
        <v>2.3924798081608009E-2</v>
      </c>
      <c r="P303" s="169">
        <f>(INDEX(Models!$BJ303:$BT303,,T303)*(1-R303)+INDEX(Models!$BJ303:$BT303,,T303+1)*R303-ERP_i)*Q303*Ramure*Pc/MaxiM</f>
        <v>3.7666370692066918E-3</v>
      </c>
      <c r="Q303" s="304">
        <f t="shared" si="105"/>
        <v>0.7</v>
      </c>
      <c r="R303" s="177">
        <f t="shared" si="106"/>
        <v>0.57700873639236772</v>
      </c>
      <c r="S303" s="799">
        <f t="shared" si="107"/>
        <v>-1</v>
      </c>
      <c r="T303" s="176">
        <f t="shared" si="108"/>
        <v>5</v>
      </c>
      <c r="U303" s="250">
        <f t="shared" si="109"/>
        <v>-0.42299126360763223</v>
      </c>
      <c r="V303" s="382">
        <f t="shared" si="110"/>
        <v>37.095112905298386</v>
      </c>
      <c r="W303" s="400">
        <f t="shared" si="111"/>
        <v>34.164189062880638</v>
      </c>
      <c r="X303" s="157">
        <f t="shared" si="112"/>
        <v>46676</v>
      </c>
      <c r="Y303" s="383">
        <f t="shared" si="113"/>
        <v>31.454681155096498</v>
      </c>
      <c r="Z303" s="383">
        <f t="shared" si="114"/>
        <v>33.444750516157484</v>
      </c>
      <c r="AA303" s="384">
        <f t="shared" si="115"/>
        <v>35.872885147972923</v>
      </c>
      <c r="AB303" s="197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6.7687185510715703E-2</v>
      </c>
      <c r="AD303" s="230">
        <f>(INDEX(Models!$BJ303:$BT303,,AH303)*(1-AF303)+INDEX(Models!$BJ303:$BT303,,AH303+1)*AF303-ERP_i)*AE303*Ramure*Pc/MaxiM</f>
        <v>4.4314301662953505E-2</v>
      </c>
      <c r="AE303" s="304">
        <f t="shared" si="117"/>
        <v>0.7</v>
      </c>
      <c r="AF303" s="177">
        <f t="shared" si="118"/>
        <v>0.33266656723171861</v>
      </c>
      <c r="AG303" s="799">
        <f t="shared" si="124"/>
        <v>2</v>
      </c>
      <c r="AH303" s="176">
        <f t="shared" si="119"/>
        <v>8</v>
      </c>
      <c r="AI303" s="224">
        <f t="shared" si="120"/>
        <v>2.3326665672317186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46677</v>
      </c>
      <c r="B304" s="409">
        <f>'2026'!Wh/'2026'!Env_an*'2027'!Env_an</f>
        <v>18.752072760306053</v>
      </c>
      <c r="C304" s="829"/>
      <c r="D304" s="391">
        <f t="shared" si="102"/>
        <v>19.938857800361696</v>
      </c>
      <c r="E304" s="383">
        <f t="shared" si="125"/>
        <v>20.429155122261296</v>
      </c>
      <c r="F304" s="383">
        <f t="shared" si="103"/>
        <v>20.454540565322461</v>
      </c>
      <c r="G304" s="110">
        <f t="shared" si="126"/>
        <v>0.50795271531388053</v>
      </c>
      <c r="H304" s="412" t="b">
        <f>Wh_hp&gt;='2026'!Maxi_hp</f>
        <v>0</v>
      </c>
      <c r="I304" s="388">
        <f>IF(H304,Wh_hp,'2026'!Maxi_hp)</f>
        <v>38.717430776256577</v>
      </c>
      <c r="J304" s="85">
        <f>IF(H304,An,'2026'!An_max)</f>
        <v>2021</v>
      </c>
      <c r="K304" s="197">
        <f t="shared" si="104"/>
        <v>46677</v>
      </c>
      <c r="L304" s="147">
        <f>IF(t&lt;Tvie,1-EXP((T0-t)*PertePVj)+'2026'!Pspv,1-EXP((T0-t)*PertePVj)+Pspv)</f>
        <v>5.9521214902997777E-2</v>
      </c>
      <c r="M304" s="832"/>
      <c r="N304" s="832"/>
      <c r="O304" s="48">
        <f>IF(t&lt;Tnet,'2026'!Resal+('2026'!Salim-'2026'!Resal)*(1-EXP(('2026'!Tnet-t)/('2026'!Tau_j))),Resal+(Salim-Resal)*(1-EXP((Tnet-t)/(Tau_j))))*Salcycl</f>
        <v>2.399988247019242E-2</v>
      </c>
      <c r="P304" s="169">
        <f>(INDEX(Models!$BJ304:$BT304,,T304)*(1-R304)+INDEX(Models!$BJ304:$BT304,,T304+1)*R304-ERP_i)*Q304*Ramure*Pc/MaxiM</f>
        <v>4.1480389141293232E-3</v>
      </c>
      <c r="Q304" s="304">
        <f t="shared" si="105"/>
        <v>0.7</v>
      </c>
      <c r="R304" s="177">
        <f t="shared" si="106"/>
        <v>0.57709168244456366</v>
      </c>
      <c r="S304" s="799">
        <f t="shared" si="107"/>
        <v>-1</v>
      </c>
      <c r="T304" s="176">
        <f t="shared" si="108"/>
        <v>5</v>
      </c>
      <c r="U304" s="250">
        <f t="shared" si="109"/>
        <v>-0.42290831755543634</v>
      </c>
      <c r="V304" s="382">
        <f t="shared" si="110"/>
        <v>36.809515334336339</v>
      </c>
      <c r="W304" s="400">
        <f t="shared" si="111"/>
        <v>18.752072760306053</v>
      </c>
      <c r="X304" s="157">
        <f t="shared" si="112"/>
        <v>46677</v>
      </c>
      <c r="Y304" s="383">
        <f t="shared" si="113"/>
        <v>17.684664304013598</v>
      </c>
      <c r="Z304" s="383">
        <f t="shared" si="114"/>
        <v>18.803894978013329</v>
      </c>
      <c r="AA304" s="384">
        <f t="shared" si="115"/>
        <v>20.169040426425834</v>
      </c>
      <c r="AB304" s="197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6.7685195703404311E-2</v>
      </c>
      <c r="AD304" s="230">
        <f>(INDEX(Models!$BJ304:$BT304,,AH304)*(1-AF304)+INDEX(Models!$BJ304:$BT304,,AH304+1)*AF304-ERP_i)*AE304*Ramure*Pc/MaxiM</f>
        <v>4.6651369577402298E-2</v>
      </c>
      <c r="AE304" s="304">
        <f t="shared" si="117"/>
        <v>0.7</v>
      </c>
      <c r="AF304" s="177">
        <f t="shared" si="118"/>
        <v>0.33274951328391467</v>
      </c>
      <c r="AG304" s="799">
        <f t="shared" si="124"/>
        <v>2</v>
      </c>
      <c r="AH304" s="176">
        <f t="shared" si="119"/>
        <v>8</v>
      </c>
      <c r="AI304" s="224">
        <f t="shared" si="120"/>
        <v>2.3327495132839147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46678</v>
      </c>
      <c r="B305" s="409">
        <f>'2026'!Wh/'2026'!Env_an*'2027'!Env_an</f>
        <v>35.65261806933124</v>
      </c>
      <c r="C305" s="829"/>
      <c r="D305" s="391">
        <f t="shared" si="102"/>
        <v>37.909734830478492</v>
      </c>
      <c r="E305" s="383">
        <f t="shared" si="125"/>
        <v>38.844905107581212</v>
      </c>
      <c r="F305" s="383">
        <f t="shared" si="103"/>
        <v>39.016177259530018</v>
      </c>
      <c r="G305" s="110">
        <f t="shared" si="126"/>
        <v>0.97602126074064788</v>
      </c>
      <c r="H305" s="412" t="b">
        <f>Wh_hp&gt;='2026'!Maxi_hp</f>
        <v>0</v>
      </c>
      <c r="I305" s="388">
        <f>IF(H305,Wh_hp,'2026'!Maxi_hp)</f>
        <v>39.019911362418313</v>
      </c>
      <c r="J305" s="85">
        <f>IF(H305,An,'2026'!An_max)</f>
        <v>2026</v>
      </c>
      <c r="K305" s="197">
        <f t="shared" si="104"/>
        <v>46678</v>
      </c>
      <c r="L305" s="147">
        <f>IF(t&lt;Tvie,1-EXP((T0-t)*PertePVj)+'2026'!Pspv,1-EXP((T0-t)*PertePVj)+Pspv)</f>
        <v>5.9539238964356533E-2</v>
      </c>
      <c r="M305" s="832"/>
      <c r="N305" s="832"/>
      <c r="O305" s="48">
        <f>IF(t&lt;Tnet,'2026'!Resal+('2026'!Salim-'2026'!Resal)*(1-EXP(('2026'!Tnet-t)/('2026'!Tau_j))),Resal+(Salim-Resal)*(1-EXP((Tnet-t)/(Tau_j))))*Salcycl</f>
        <v>2.4074464193251557E-2</v>
      </c>
      <c r="P305" s="169">
        <f>(INDEX(Models!$BJ305:$BT305,,T305)*(1-R305)+INDEX(Models!$BJ305:$BT305,,T305+1)*R305-ERP_i)*Q305*Ramure*Pc/MaxiM</f>
        <v>4.5444601530842755E-3</v>
      </c>
      <c r="Q305" s="304">
        <f t="shared" si="105"/>
        <v>0.7</v>
      </c>
      <c r="R305" s="177">
        <f t="shared" si="106"/>
        <v>0.57717132131691606</v>
      </c>
      <c r="S305" s="799">
        <f t="shared" si="107"/>
        <v>-1</v>
      </c>
      <c r="T305" s="176">
        <f t="shared" si="108"/>
        <v>5</v>
      </c>
      <c r="U305" s="250">
        <f t="shared" si="109"/>
        <v>-0.42282867868308399</v>
      </c>
      <c r="V305" s="382">
        <f t="shared" si="110"/>
        <v>36.522850655096583</v>
      </c>
      <c r="W305" s="400">
        <f t="shared" si="111"/>
        <v>35.65261806933124</v>
      </c>
      <c r="X305" s="157">
        <f t="shared" si="112"/>
        <v>46678</v>
      </c>
      <c r="Y305" s="383">
        <f t="shared" si="113"/>
        <v>32.594093821405465</v>
      </c>
      <c r="Z305" s="383">
        <f t="shared" si="114"/>
        <v>34.657579743691343</v>
      </c>
      <c r="AA305" s="384">
        <f t="shared" si="115"/>
        <v>37.173572357181193</v>
      </c>
      <c r="AB305" s="197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6.768229292883142E-2</v>
      </c>
      <c r="AD305" s="230">
        <f>(INDEX(Models!$BJ305:$BT305,,AH305)*(1-AF305)+INDEX(Models!$BJ305:$BT305,,AH305+1)*AF305-ERP_i)*AE305*Ramure*Pc/MaxiM</f>
        <v>4.8890870239691728E-2</v>
      </c>
      <c r="AE305" s="304">
        <f t="shared" si="117"/>
        <v>0.7</v>
      </c>
      <c r="AF305" s="177">
        <f t="shared" si="118"/>
        <v>0.33282915215626696</v>
      </c>
      <c r="AG305" s="799">
        <f t="shared" si="124"/>
        <v>2</v>
      </c>
      <c r="AH305" s="176">
        <f t="shared" si="119"/>
        <v>8</v>
      </c>
      <c r="AI305" s="224">
        <f t="shared" si="120"/>
        <v>2.332829152156267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46679</v>
      </c>
      <c r="B306" s="409">
        <f>'2026'!Wh/'2026'!Env_an*'2027'!Env_an</f>
        <v>15.942191465004035</v>
      </c>
      <c r="C306" s="829"/>
      <c r="D306" s="391">
        <f t="shared" si="102"/>
        <v>16.951793907664943</v>
      </c>
      <c r="E306" s="383">
        <f t="shared" si="125"/>
        <v>17.371285292124806</v>
      </c>
      <c r="F306" s="383">
        <f t="shared" si="103"/>
        <v>17.388516321073496</v>
      </c>
      <c r="G306" s="110">
        <f t="shared" si="126"/>
        <v>0.43821527655132925</v>
      </c>
      <c r="H306" s="412" t="b">
        <f>Wh_hp&gt;='2026'!Maxi_hp</f>
        <v>0</v>
      </c>
      <c r="I306" s="388">
        <f>IF(H306,Wh_hp,'2026'!Maxi_hp)</f>
        <v>39.339930108632885</v>
      </c>
      <c r="J306" s="85">
        <f>IF(H306,An,'2026'!An_max)</f>
        <v>2020</v>
      </c>
      <c r="K306" s="197">
        <f t="shared" si="104"/>
        <v>46679</v>
      </c>
      <c r="L306" s="147">
        <f>IF(t&lt;Tvie,1-EXP((T0-t)*PertePVj)+'2026'!Pspv,1-EXP((T0-t)*PertePVj)+Pspv)</f>
        <v>5.9557262680288159E-2</v>
      </c>
      <c r="M306" s="832"/>
      <c r="N306" s="832"/>
      <c r="O306" s="48">
        <f>IF(t&lt;Tnet,'2026'!Resal+('2026'!Salim-'2026'!Resal)*(1-EXP(('2026'!Tnet-t)/('2026'!Tau_j))),Resal+(Salim-Resal)*(1-EXP((Tnet-t)/(Tau_j))))*Salcycl</f>
        <v>2.4148551900764589E-2</v>
      </c>
      <c r="P306" s="169">
        <f>(INDEX(Models!$BJ306:$BT306,,T306)*(1-R306)+INDEX(Models!$BJ306:$BT306,,T306+1)*R306-ERP_i)*Q306*Ramure*Pc/MaxiM</f>
        <v>4.9560775618575524E-3</v>
      </c>
      <c r="Q306" s="304">
        <f t="shared" si="105"/>
        <v>0.7</v>
      </c>
      <c r="R306" s="177">
        <f t="shared" si="106"/>
        <v>0.57724778362206008</v>
      </c>
      <c r="S306" s="799">
        <f t="shared" si="107"/>
        <v>-1</v>
      </c>
      <c r="T306" s="176">
        <f t="shared" si="108"/>
        <v>5</v>
      </c>
      <c r="U306" s="250">
        <f t="shared" si="109"/>
        <v>-0.42275221637793992</v>
      </c>
      <c r="V306" s="382">
        <f t="shared" si="110"/>
        <v>36.235422811894693</v>
      </c>
      <c r="W306" s="400">
        <f t="shared" si="111"/>
        <v>15.942191465004035</v>
      </c>
      <c r="X306" s="157">
        <f t="shared" si="112"/>
        <v>46679</v>
      </c>
      <c r="Y306" s="383">
        <f t="shared" si="113"/>
        <v>15.090601678467996</v>
      </c>
      <c r="Z306" s="383">
        <f t="shared" si="114"/>
        <v>16.046273823621238</v>
      </c>
      <c r="AA306" s="384">
        <f t="shared" si="115"/>
        <v>17.211095065968113</v>
      </c>
      <c r="AB306" s="197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6.7678508420425998E-2</v>
      </c>
      <c r="AD306" s="230">
        <f>(INDEX(Models!$BJ306:$BT306,,AH306)*(1-AF306)+INDEX(Models!$BJ306:$BT306,,AH306+1)*AF306-ERP_i)*AE306*Ramure*Pc/MaxiM</f>
        <v>5.1030817953050603E-2</v>
      </c>
      <c r="AE306" s="304">
        <f t="shared" si="117"/>
        <v>0.7</v>
      </c>
      <c r="AF306" s="177">
        <f t="shared" si="118"/>
        <v>0.33290561446141087</v>
      </c>
      <c r="AG306" s="799">
        <f t="shared" si="124"/>
        <v>2</v>
      </c>
      <c r="AH306" s="176">
        <f t="shared" si="119"/>
        <v>8</v>
      </c>
      <c r="AI306" s="224">
        <f t="shared" si="120"/>
        <v>2.3329056144614109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46680</v>
      </c>
      <c r="B307" s="409">
        <f>'2026'!Wh/'2026'!Env_an*'2027'!Env_an</f>
        <v>12.390380835211763</v>
      </c>
      <c r="C307" s="829"/>
      <c r="D307" s="391">
        <f t="shared" si="102"/>
        <v>13.17530329799591</v>
      </c>
      <c r="E307" s="383">
        <f t="shared" si="125"/>
        <v>13.502359552853784</v>
      </c>
      <c r="F307" s="383">
        <f t="shared" si="103"/>
        <v>13.507000418475414</v>
      </c>
      <c r="G307" s="110">
        <f t="shared" si="126"/>
        <v>0.34294196255205861</v>
      </c>
      <c r="H307" s="412" t="b">
        <f>Wh_hp&gt;='2026'!Maxi_hp</f>
        <v>0</v>
      </c>
      <c r="I307" s="388">
        <f>IF(H307,Wh_hp,'2026'!Maxi_hp)</f>
        <v>36.661931071686425</v>
      </c>
      <c r="J307" s="85">
        <f>IF(H307,An,'2026'!An_max)</f>
        <v>2020</v>
      </c>
      <c r="K307" s="197">
        <f t="shared" si="104"/>
        <v>46680</v>
      </c>
      <c r="L307" s="147">
        <f>IF(t&lt;Tvie,1-EXP((T0-t)*PertePVj)+'2026'!Pspv,1-EXP((T0-t)*PertePVj)+Pspv)</f>
        <v>5.9575286050799425E-2</v>
      </c>
      <c r="M307" s="832"/>
      <c r="N307" s="832"/>
      <c r="O307" s="48">
        <f>IF(t&lt;Tnet,'2026'!Resal+('2026'!Salim-'2026'!Resal)*(1-EXP(('2026'!Tnet-t)/('2026'!Tau_j))),Resal+(Salim-Resal)*(1-EXP((Tnet-t)/(Tau_j))))*Salcycl</f>
        <v>2.4222155659360249E-2</v>
      </c>
      <c r="P307" s="169">
        <f>(INDEX(Models!$BJ307:$BT307,,T307)*(1-R307)+INDEX(Models!$BJ307:$BT307,,T307+1)*R307-ERP_i)*Q307*Ramure*Pc/MaxiM</f>
        <v>5.383059911039061E-3</v>
      </c>
      <c r="Q307" s="304">
        <f t="shared" si="105"/>
        <v>0.7</v>
      </c>
      <c r="R307" s="177">
        <f t="shared" si="106"/>
        <v>0.57732119491245482</v>
      </c>
      <c r="S307" s="799">
        <f t="shared" si="107"/>
        <v>-1</v>
      </c>
      <c r="T307" s="176">
        <f t="shared" si="108"/>
        <v>5</v>
      </c>
      <c r="U307" s="250">
        <f t="shared" si="109"/>
        <v>-0.42267880508754518</v>
      </c>
      <c r="V307" s="382">
        <f t="shared" si="110"/>
        <v>35.947535630688748</v>
      </c>
      <c r="W307" s="400">
        <f t="shared" si="111"/>
        <v>12.390380835211763</v>
      </c>
      <c r="X307" s="157">
        <f t="shared" si="112"/>
        <v>46680</v>
      </c>
      <c r="Y307" s="383">
        <f t="shared" si="113"/>
        <v>11.802587240432624</v>
      </c>
      <c r="Z307" s="383">
        <f t="shared" si="114"/>
        <v>12.550273366242235</v>
      </c>
      <c r="AA307" s="384">
        <f t="shared" si="115"/>
        <v>13.461248221995866</v>
      </c>
      <c r="AB307" s="197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6.7673876948876457E-2</v>
      </c>
      <c r="AD307" s="230">
        <f>(INDEX(Models!$BJ307:$BT307,,AH307)*(1-AF307)+INDEX(Models!$BJ307:$BT307,,AH307+1)*AF307-ERP_i)*AE307*Ramure*Pc/MaxiM</f>
        <v>5.3069154504960116E-2</v>
      </c>
      <c r="AE307" s="304">
        <f t="shared" si="117"/>
        <v>0.7</v>
      </c>
      <c r="AF307" s="177">
        <f t="shared" si="118"/>
        <v>0.33297902575180549</v>
      </c>
      <c r="AG307" s="799">
        <f t="shared" si="124"/>
        <v>2</v>
      </c>
      <c r="AH307" s="176">
        <f t="shared" si="119"/>
        <v>8</v>
      </c>
      <c r="AI307" s="224">
        <f t="shared" si="120"/>
        <v>2.3329790257518055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46681</v>
      </c>
      <c r="B308" s="409">
        <f>'2026'!Wh/'2026'!Env_an*'2027'!Env_an</f>
        <v>16.840452897509394</v>
      </c>
      <c r="C308" s="829"/>
      <c r="D308" s="391">
        <f t="shared" si="102"/>
        <v>17.907627689208486</v>
      </c>
      <c r="E308" s="383">
        <f t="shared" si="125"/>
        <v>18.353532016179546</v>
      </c>
      <c r="F308" s="383">
        <f t="shared" si="103"/>
        <v>18.379880782381697</v>
      </c>
      <c r="G308" s="110">
        <f t="shared" si="126"/>
        <v>0.47018008686503715</v>
      </c>
      <c r="H308" s="412" t="b">
        <f>Wh_hp&gt;='2026'!Maxi_hp</f>
        <v>0</v>
      </c>
      <c r="I308" s="388">
        <f>IF(H308,Wh_hp,'2026'!Maxi_hp)</f>
        <v>22.202361362008595</v>
      </c>
      <c r="J308" s="85">
        <f>IF(H308,An,'2026'!An_max)</f>
        <v>2018</v>
      </c>
      <c r="K308" s="197">
        <f t="shared" si="104"/>
        <v>46681</v>
      </c>
      <c r="L308" s="147">
        <f>IF(t&lt;Tvie,1-EXP((T0-t)*PertePVj)+'2026'!Pspv,1-EXP((T0-t)*PertePVj)+Pspv)</f>
        <v>5.9593309075896883E-2</v>
      </c>
      <c r="M308" s="832"/>
      <c r="N308" s="832"/>
      <c r="O308" s="48">
        <f>IF(t&lt;Tnet,'2026'!Resal+('2026'!Salim-'2026'!Resal)*(1-EXP(('2026'!Tnet-t)/('2026'!Tau_j))),Resal+(Salim-Resal)*(1-EXP((Tnet-t)/(Tau_j))))*Salcycl</f>
        <v>2.4295286955010865E-2</v>
      </c>
      <c r="P308" s="169">
        <f>(INDEX(Models!$BJ308:$BT308,,T308)*(1-R308)+INDEX(Models!$BJ308:$BT308,,T308+1)*R308-ERP_i)*Q308*Ramure*Pc/MaxiM</f>
        <v>5.8255670150289722E-3</v>
      </c>
      <c r="Q308" s="304">
        <f t="shared" si="105"/>
        <v>0.7</v>
      </c>
      <c r="R308" s="177">
        <f t="shared" si="106"/>
        <v>0.57739167586868301</v>
      </c>
      <c r="S308" s="799">
        <f t="shared" si="107"/>
        <v>-1</v>
      </c>
      <c r="T308" s="176">
        <f t="shared" si="108"/>
        <v>5</v>
      </c>
      <c r="U308" s="250">
        <f t="shared" si="109"/>
        <v>-0.42260832413131694</v>
      </c>
      <c r="V308" s="382">
        <f t="shared" si="110"/>
        <v>35.659492800200567</v>
      </c>
      <c r="W308" s="400">
        <f t="shared" si="111"/>
        <v>16.840452897509394</v>
      </c>
      <c r="X308" s="157">
        <f t="shared" si="112"/>
        <v>46681</v>
      </c>
      <c r="Y308" s="383">
        <f t="shared" si="113"/>
        <v>15.89682099003006</v>
      </c>
      <c r="Z308" s="383">
        <f t="shared" si="114"/>
        <v>16.904198091581886</v>
      </c>
      <c r="AA308" s="384">
        <f t="shared" si="115"/>
        <v>18.131101378947012</v>
      </c>
      <c r="AB308" s="197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6.7668436777357024E-2</v>
      </c>
      <c r="AD308" s="230">
        <f>(INDEX(Models!$BJ308:$BT308,,AH308)*(1-AF308)+INDEX(Models!$BJ308:$BT308,,AH308+1)*AF308-ERP_i)*AE308*Ramure*Pc/MaxiM</f>
        <v>5.5003755225141268E-2</v>
      </c>
      <c r="AE308" s="304">
        <f t="shared" si="117"/>
        <v>0.7</v>
      </c>
      <c r="AF308" s="177">
        <f t="shared" si="118"/>
        <v>0.33304950670803368</v>
      </c>
      <c r="AG308" s="799">
        <f t="shared" si="124"/>
        <v>2</v>
      </c>
      <c r="AH308" s="176">
        <f t="shared" si="119"/>
        <v>8</v>
      </c>
      <c r="AI308" s="224">
        <f t="shared" si="120"/>
        <v>2.3330495067080337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46682</v>
      </c>
      <c r="B309" s="409">
        <f>'2026'!Wh/'2026'!Env_an*'2027'!Env_an</f>
        <v>35.086074840448603</v>
      </c>
      <c r="C309" s="829"/>
      <c r="D309" s="391">
        <f t="shared" si="102"/>
        <v>37.310184634561672</v>
      </c>
      <c r="E309" s="383">
        <f t="shared" si="125"/>
        <v>38.242065711937187</v>
      </c>
      <c r="F309" s="383">
        <f t="shared" si="103"/>
        <v>38.481082770825196</v>
      </c>
      <c r="G309" s="110">
        <f t="shared" si="126"/>
        <v>0.99185557593975349</v>
      </c>
      <c r="H309" s="412" t="b">
        <f>Wh_hp&gt;='2026'!Maxi_hp</f>
        <v>0</v>
      </c>
      <c r="I309" s="388">
        <f>IF(H309,Wh_hp,'2026'!Maxi_hp)</f>
        <v>38.48277723921764</v>
      </c>
      <c r="J309" s="85">
        <f>IF(H309,An,'2026'!An_max)</f>
        <v>2026</v>
      </c>
      <c r="K309" s="197">
        <f t="shared" si="104"/>
        <v>46682</v>
      </c>
      <c r="L309" s="147">
        <f>IF(t&lt;Tvie,1-EXP((T0-t)*PertePVj)+'2026'!Pspv,1-EXP((T0-t)*PertePVj)+Pspv)</f>
        <v>5.9611331755587194E-2</v>
      </c>
      <c r="M309" s="832"/>
      <c r="N309" s="832"/>
      <c r="O309" s="48">
        <f>IF(t&lt;Tnet,'2026'!Resal+('2026'!Salim-'2026'!Resal)*(1-EXP(('2026'!Tnet-t)/('2026'!Tau_j))),Resal+(Salim-Resal)*(1-EXP((Tnet-t)/(Tau_j))))*Salcycl</f>
        <v>2.4367958687038931E-2</v>
      </c>
      <c r="P309" s="169">
        <f>(INDEX(Models!$BJ309:$BT309,,T309)*(1-R309)+INDEX(Models!$BJ309:$BT309,,T309+1)*R309-ERP_i)*Q309*Ramure*Pc/MaxiM</f>
        <v>6.2837487345280369E-3</v>
      </c>
      <c r="Q309" s="304">
        <f t="shared" si="105"/>
        <v>0.7</v>
      </c>
      <c r="R309" s="177">
        <f t="shared" si="106"/>
        <v>0.57745934248135977</v>
      </c>
      <c r="S309" s="799">
        <f t="shared" si="107"/>
        <v>-1</v>
      </c>
      <c r="T309" s="176">
        <f t="shared" si="108"/>
        <v>5</v>
      </c>
      <c r="U309" s="250">
        <f t="shared" si="109"/>
        <v>-0.42254065751864023</v>
      </c>
      <c r="V309" s="382">
        <f t="shared" si="110"/>
        <v>35.371597853880978</v>
      </c>
      <c r="W309" s="400">
        <f t="shared" si="111"/>
        <v>35.086074840448603</v>
      </c>
      <c r="X309" s="157">
        <f t="shared" si="112"/>
        <v>46682</v>
      </c>
      <c r="Y309" s="383">
        <f t="shared" si="113"/>
        <v>31.84332977447248</v>
      </c>
      <c r="Z309" s="383">
        <f t="shared" si="114"/>
        <v>33.861881634452239</v>
      </c>
      <c r="AA309" s="384">
        <f t="shared" si="115"/>
        <v>36.319328369266742</v>
      </c>
      <c r="AB309" s="197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6.7662229593815487E-2</v>
      </c>
      <c r="AD309" s="230">
        <f>(INDEX(Models!$BJ309:$BT309,,AH309)*(1-AF309)+INDEX(Models!$BJ309:$BT309,,AH309+1)*AF309-ERP_i)*AE309*Ramure*Pc/MaxiM</f>
        <v>5.6832435092081919E-2</v>
      </c>
      <c r="AE309" s="304">
        <f t="shared" si="117"/>
        <v>0.7</v>
      </c>
      <c r="AF309" s="177">
        <f t="shared" si="118"/>
        <v>0.33311717332071034</v>
      </c>
      <c r="AG309" s="799">
        <f t="shared" si="124"/>
        <v>2</v>
      </c>
      <c r="AH309" s="176">
        <f t="shared" si="119"/>
        <v>8</v>
      </c>
      <c r="AI309" s="224">
        <f t="shared" si="120"/>
        <v>2.3331171733207103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46683</v>
      </c>
      <c r="B310" s="409">
        <f>'2026'!Wh/'2026'!Env_an*'2027'!Env_an</f>
        <v>20.612093261268324</v>
      </c>
      <c r="C310" s="829"/>
      <c r="D310" s="391">
        <f t="shared" si="102"/>
        <v>21.919115989971417</v>
      </c>
      <c r="E310" s="383">
        <f t="shared" si="125"/>
        <v>22.468244034236221</v>
      </c>
      <c r="F310" s="383">
        <f t="shared" si="103"/>
        <v>22.530612621411095</v>
      </c>
      <c r="G310" s="110">
        <f t="shared" si="126"/>
        <v>0.58515395455995611</v>
      </c>
      <c r="H310" s="412" t="b">
        <f>Wh_hp&gt;='2026'!Maxi_hp</f>
        <v>0</v>
      </c>
      <c r="I310" s="388">
        <f>IF(H310,Wh_hp,'2026'!Maxi_hp)</f>
        <v>34.945512770955865</v>
      </c>
      <c r="J310" s="85">
        <f>IF(H310,An,'2026'!An_max)</f>
        <v>2021</v>
      </c>
      <c r="K310" s="197">
        <f t="shared" si="104"/>
        <v>46683</v>
      </c>
      <c r="L310" s="147">
        <f>IF(t&lt;Tvie,1-EXP((T0-t)*PertePVj)+'2026'!Pspv,1-EXP((T0-t)*PertePVj)+Pspv)</f>
        <v>5.9629354089877018E-2</v>
      </c>
      <c r="M310" s="832"/>
      <c r="N310" s="832"/>
      <c r="O310" s="48">
        <f>IF(t&lt;Tnet,'2026'!Resal+('2026'!Salim-'2026'!Resal)*(1-EXP(('2026'!Tnet-t)/('2026'!Tau_j))),Resal+(Salim-Resal)*(1-EXP((Tnet-t)/(Tau_j))))*Salcycl</f>
        <v>2.4440185153235108E-2</v>
      </c>
      <c r="P310" s="169">
        <f>(INDEX(Models!$BJ310:$BT310,,T310)*(1-R310)+INDEX(Models!$BJ310:$BT310,,T310+1)*R310-ERP_i)*Q310*Ramure*Pc/MaxiM</f>
        <v>6.7400379568389882E-3</v>
      </c>
      <c r="Q310" s="304">
        <f t="shared" si="105"/>
        <v>0.7</v>
      </c>
      <c r="R310" s="177">
        <f t="shared" si="106"/>
        <v>0.57752430622681716</v>
      </c>
      <c r="S310" s="799">
        <f t="shared" si="107"/>
        <v>-1</v>
      </c>
      <c r="T310" s="176">
        <f t="shared" si="108"/>
        <v>5</v>
      </c>
      <c r="U310" s="250">
        <f t="shared" si="109"/>
        <v>-0.42247569377318278</v>
      </c>
      <c r="V310" s="382">
        <f t="shared" si="110"/>
        <v>35.084779574497908</v>
      </c>
      <c r="W310" s="400">
        <f t="shared" si="111"/>
        <v>20.612093261268324</v>
      </c>
      <c r="X310" s="157">
        <f t="shared" si="112"/>
        <v>46683</v>
      </c>
      <c r="Y310" s="383">
        <f t="shared" si="113"/>
        <v>19.279200881593859</v>
      </c>
      <c r="Z310" s="383">
        <f t="shared" si="114"/>
        <v>20.501704264635766</v>
      </c>
      <c r="AA310" s="384">
        <f t="shared" si="115"/>
        <v>21.989403998195904</v>
      </c>
      <c r="AB310" s="197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6.7655300420247713E-2</v>
      </c>
      <c r="AD310" s="230">
        <f>(INDEX(Models!$BJ310:$BT310,,AH310)*(1-AF310)+INDEX(Models!$BJ310:$BT310,,AH310+1)*AF310-ERP_i)*AE310*Ramure*Pc/MaxiM</f>
        <v>5.848724218830019E-2</v>
      </c>
      <c r="AE310" s="304">
        <f t="shared" si="117"/>
        <v>0.7</v>
      </c>
      <c r="AF310" s="177">
        <f t="shared" si="118"/>
        <v>0.33318213706616806</v>
      </c>
      <c r="AG310" s="799">
        <f t="shared" si="124"/>
        <v>2</v>
      </c>
      <c r="AH310" s="176">
        <f t="shared" si="119"/>
        <v>8</v>
      </c>
      <c r="AI310" s="224">
        <f t="shared" si="120"/>
        <v>2.3331821370661681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46684</v>
      </c>
      <c r="B311" s="409">
        <f>'2026'!Wh/'2026'!Env_an*'2027'!Env_an</f>
        <v>29.545656717401819</v>
      </c>
      <c r="C311" s="829"/>
      <c r="D311" s="391">
        <f t="shared" si="102"/>
        <v>31.41976314608215</v>
      </c>
      <c r="E311" s="383">
        <f t="shared" si="125"/>
        <v>32.209276349018353</v>
      </c>
      <c r="F311" s="383">
        <f t="shared" si="103"/>
        <v>32.391715782267433</v>
      </c>
      <c r="G311" s="110">
        <f t="shared" si="126"/>
        <v>0.84769562013239041</v>
      </c>
      <c r="H311" s="412" t="b">
        <f>Wh_hp&gt;='2026'!Maxi_hp</f>
        <v>0</v>
      </c>
      <c r="I311" s="388">
        <f>IF(H311,Wh_hp,'2026'!Maxi_hp)</f>
        <v>39.130239680184168</v>
      </c>
      <c r="J311" s="85">
        <f>IF(H311,An,'2026'!An_max)</f>
        <v>2021</v>
      </c>
      <c r="K311" s="197">
        <f t="shared" si="104"/>
        <v>46684</v>
      </c>
      <c r="L311" s="147">
        <f>IF(t&lt;Tvie,1-EXP((T0-t)*PertePVj)+'2026'!Pspv,1-EXP((T0-t)*PertePVj)+Pspv)</f>
        <v>5.9647376078772907E-2</v>
      </c>
      <c r="M311" s="832"/>
      <c r="N311" s="832"/>
      <c r="O311" s="48">
        <f>IF(t&lt;Tnet,'2026'!Resal+('2026'!Salim-'2026'!Resal)*(1-EXP(('2026'!Tnet-t)/('2026'!Tau_j))),Resal+(Salim-Resal)*(1-EXP((Tnet-t)/(Tau_j))))*Salcycl</f>
        <v>2.4511982025956502E-2</v>
      </c>
      <c r="P311" s="169">
        <f>(INDEX(Models!$BJ311:$BT311,,T311)*(1-R311)+INDEX(Models!$BJ311:$BT311,,T311+1)*R311-ERP_i)*Q311*Ramure*Pc/MaxiM</f>
        <v>7.1811852414717199E-3</v>
      </c>
      <c r="Q311" s="304">
        <f t="shared" si="105"/>
        <v>0.7</v>
      </c>
      <c r="R311" s="177">
        <f t="shared" si="106"/>
        <v>0.57758667423673138</v>
      </c>
      <c r="S311" s="799">
        <f t="shared" si="107"/>
        <v>-1</v>
      </c>
      <c r="T311" s="176">
        <f t="shared" si="108"/>
        <v>5</v>
      </c>
      <c r="U311" s="250">
        <f t="shared" si="109"/>
        <v>-0.42241332576326862</v>
      </c>
      <c r="V311" s="382">
        <f t="shared" si="110"/>
        <v>34.79979556769154</v>
      </c>
      <c r="W311" s="400">
        <f t="shared" si="111"/>
        <v>29.545656717401819</v>
      </c>
      <c r="X311" s="157">
        <f t="shared" si="112"/>
        <v>46684</v>
      </c>
      <c r="Y311" s="383">
        <f t="shared" si="113"/>
        <v>27.062724788210499</v>
      </c>
      <c r="Z311" s="383">
        <f t="shared" si="114"/>
        <v>28.779336708138469</v>
      </c>
      <c r="AA311" s="384">
        <f t="shared" si="115"/>
        <v>30.867448528781733</v>
      </c>
      <c r="AB311" s="197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6.7647697499073942E-2</v>
      </c>
      <c r="AD311" s="230">
        <f>(INDEX(Models!$BJ311:$BT311,,AH311)*(1-AF311)+INDEX(Models!$BJ311:$BT311,,AH311+1)*AF311-ERP_i)*AE311*Ramure*Pc/MaxiM</f>
        <v>5.9998243306564281E-2</v>
      </c>
      <c r="AE311" s="304">
        <f t="shared" si="117"/>
        <v>0.7</v>
      </c>
      <c r="AF311" s="177">
        <f t="shared" si="118"/>
        <v>0.33324450507608194</v>
      </c>
      <c r="AG311" s="799">
        <f t="shared" si="124"/>
        <v>2</v>
      </c>
      <c r="AH311" s="176">
        <f t="shared" si="119"/>
        <v>8</v>
      </c>
      <c r="AI311" s="224">
        <f t="shared" si="120"/>
        <v>2.3332445050760819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46685</v>
      </c>
      <c r="B312" s="409">
        <f>'2026'!Wh/'2026'!Env_an*'2027'!Env_an</f>
        <v>22.987583155196205</v>
      </c>
      <c r="C312" s="829"/>
      <c r="D312" s="391">
        <f t="shared" si="102"/>
        <v>24.446173840157218</v>
      </c>
      <c r="E312" s="383">
        <f t="shared" si="125"/>
        <v>25.062289278281618</v>
      </c>
      <c r="F312" s="383">
        <f t="shared" si="103"/>
        <v>25.162362677874679</v>
      </c>
      <c r="G312" s="110">
        <f t="shared" si="126"/>
        <v>0.66355277458146633</v>
      </c>
      <c r="H312" s="412" t="b">
        <f>Wh_hp&gt;='2026'!Maxi_hp</f>
        <v>0</v>
      </c>
      <c r="I312" s="388">
        <f>IF(H312,Wh_hp,'2026'!Maxi_hp)</f>
        <v>36.653360755544639</v>
      </c>
      <c r="J312" s="85">
        <f>IF(H312,An,'2026'!An_max)</f>
        <v>2021</v>
      </c>
      <c r="K312" s="197">
        <f t="shared" si="104"/>
        <v>46685</v>
      </c>
      <c r="L312" s="147">
        <f>IF(t&lt;Tvie,1-EXP((T0-t)*PertePVj)+'2026'!Pspv,1-EXP((T0-t)*PertePVj)+Pspv)</f>
        <v>5.966539772228141E-2</v>
      </c>
      <c r="M312" s="832"/>
      <c r="N312" s="832"/>
      <c r="O312" s="48">
        <f>IF(t&lt;Tnet,'2026'!Resal+('2026'!Salim-'2026'!Resal)*(1-EXP(('2026'!Tnet-t)/('2026'!Tau_j))),Resal+(Salim-Resal)*(1-EXP((Tnet-t)/(Tau_j))))*Salcycl</f>
        <v>2.4583366319145962E-2</v>
      </c>
      <c r="P312" s="169">
        <f>(INDEX(Models!$BJ312:$BT312,,T312)*(1-R312)+INDEX(Models!$BJ312:$BT312,,T312+1)*R312-ERP_i)*Q312*Ramure*Pc/MaxiM</f>
        <v>7.6069079069115628E-3</v>
      </c>
      <c r="Q312" s="304">
        <f t="shared" si="105"/>
        <v>0.7</v>
      </c>
      <c r="R312" s="177">
        <f t="shared" si="106"/>
        <v>0.57764654946185789</v>
      </c>
      <c r="S312" s="799">
        <f t="shared" si="107"/>
        <v>-1</v>
      </c>
      <c r="T312" s="176">
        <f t="shared" si="108"/>
        <v>5</v>
      </c>
      <c r="U312" s="250">
        <f t="shared" si="109"/>
        <v>-0.42235345053814205</v>
      </c>
      <c r="V312" s="382">
        <f t="shared" si="110"/>
        <v>34.516937458091583</v>
      </c>
      <c r="W312" s="400">
        <f t="shared" si="111"/>
        <v>22.987583155196205</v>
      </c>
      <c r="X312" s="157">
        <f t="shared" si="112"/>
        <v>46685</v>
      </c>
      <c r="Y312" s="383">
        <f t="shared" si="113"/>
        <v>21.352862211335456</v>
      </c>
      <c r="Z312" s="383">
        <f t="shared" si="114"/>
        <v>22.707727823280823</v>
      </c>
      <c r="AA312" s="384">
        <f t="shared" si="115"/>
        <v>24.355093491369583</v>
      </c>
      <c r="AB312" s="197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6.7639472156923466E-2</v>
      </c>
      <c r="AD312" s="230">
        <f>(INDEX(Models!$BJ312:$BT312,,AH312)*(1-AF312)+INDEX(Models!$BJ312:$BT312,,AH312+1)*AF312-ERP_i)*AE312*Ramure*Pc/MaxiM</f>
        <v>6.1363183251522048E-2</v>
      </c>
      <c r="AE312" s="304">
        <f t="shared" si="117"/>
        <v>0.7</v>
      </c>
      <c r="AF312" s="177">
        <f t="shared" si="118"/>
        <v>0.33330438030120879</v>
      </c>
      <c r="AG312" s="799">
        <f t="shared" si="124"/>
        <v>2</v>
      </c>
      <c r="AH312" s="176">
        <f t="shared" si="119"/>
        <v>8</v>
      </c>
      <c r="AI312" s="224">
        <f t="shared" si="120"/>
        <v>2.3333043803012088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46686</v>
      </c>
      <c r="B313" s="409">
        <f>'2026'!Wh/'2026'!Env_an*'2027'!Env_an</f>
        <v>15.823308279265861</v>
      </c>
      <c r="C313" s="829"/>
      <c r="D313" s="391">
        <f t="shared" si="102"/>
        <v>16.827639328428795</v>
      </c>
      <c r="E313" s="383">
        <f t="shared" si="125"/>
        <v>17.253000962193553</v>
      </c>
      <c r="F313" s="383">
        <f t="shared" si="103"/>
        <v>17.285105501801091</v>
      </c>
      <c r="G313" s="110">
        <f t="shared" si="126"/>
        <v>0.45932452070749713</v>
      </c>
      <c r="H313" s="412" t="b">
        <f>Wh_hp&gt;='2026'!Maxi_hp</f>
        <v>0</v>
      </c>
      <c r="I313" s="388">
        <f>IF(H313,Wh_hp,'2026'!Maxi_hp)</f>
        <v>37.378397618671073</v>
      </c>
      <c r="J313" s="85">
        <f>IF(H313,An,'2026'!An_max)</f>
        <v>2018</v>
      </c>
      <c r="K313" s="197">
        <f t="shared" si="104"/>
        <v>46686</v>
      </c>
      <c r="L313" s="147">
        <f>IF(t&lt;Tvie,1-EXP((T0-t)*PertePVj)+'2026'!Pspv,1-EXP((T0-t)*PertePVj)+Pspv)</f>
        <v>5.9683419020409301E-2</v>
      </c>
      <c r="M313" s="832"/>
      <c r="N313" s="832"/>
      <c r="O313" s="48">
        <f>IF(t&lt;Tnet,'2026'!Resal+('2026'!Salim-'2026'!Resal)*(1-EXP(('2026'!Tnet-t)/('2026'!Tau_j))),Resal+(Salim-Resal)*(1-EXP((Tnet-t)/(Tau_j))))*Salcycl</f>
        <v>2.46543563462873E-2</v>
      </c>
      <c r="P313" s="169">
        <f>(INDEX(Models!$BJ313:$BT313,,T313)*(1-R313)+INDEX(Models!$BJ313:$BT313,,T313+1)*R313-ERP_i)*Q313*Ramure*Pc/MaxiM</f>
        <v>8.0168593869852246E-3</v>
      </c>
      <c r="Q313" s="304">
        <f t="shared" si="105"/>
        <v>0.7</v>
      </c>
      <c r="R313" s="177">
        <f t="shared" si="106"/>
        <v>0.57770403083004152</v>
      </c>
      <c r="S313" s="799">
        <f t="shared" si="107"/>
        <v>-1</v>
      </c>
      <c r="T313" s="176">
        <f t="shared" si="108"/>
        <v>5</v>
      </c>
      <c r="U313" s="250">
        <f t="shared" si="109"/>
        <v>-0.42229596916995848</v>
      </c>
      <c r="V313" s="382">
        <f t="shared" si="110"/>
        <v>34.23649824413701</v>
      </c>
      <c r="W313" s="400">
        <f t="shared" si="111"/>
        <v>15.823308279265861</v>
      </c>
      <c r="X313" s="157">
        <f t="shared" si="112"/>
        <v>46686</v>
      </c>
      <c r="Y313" s="383">
        <f t="shared" si="113"/>
        <v>14.9345254590268</v>
      </c>
      <c r="Z313" s="383">
        <f t="shared" si="114"/>
        <v>15.882444020574969</v>
      </c>
      <c r="AA313" s="384">
        <f t="shared" si="115"/>
        <v>17.034498730090995</v>
      </c>
      <c r="AB313" s="197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6.7630678646325715E-2</v>
      </c>
      <c r="AD313" s="230">
        <f>(INDEX(Models!$BJ313:$BT313,,AH313)*(1-AF313)+INDEX(Models!$BJ313:$BT313,,AH313+1)*AF313-ERP_i)*AE313*Ramure*Pc/MaxiM</f>
        <v>6.2579288623545365E-2</v>
      </c>
      <c r="AE313" s="304">
        <f t="shared" si="117"/>
        <v>0.7</v>
      </c>
      <c r="AF313" s="177">
        <f t="shared" si="118"/>
        <v>0.3333618616693923</v>
      </c>
      <c r="AG313" s="799">
        <f t="shared" si="124"/>
        <v>2</v>
      </c>
      <c r="AH313" s="176">
        <f t="shared" si="119"/>
        <v>8</v>
      </c>
      <c r="AI313" s="224">
        <f t="shared" si="120"/>
        <v>2.3333618616693923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46687</v>
      </c>
      <c r="B314" s="409">
        <f>'2026'!Wh/'2026'!Env_an*'2027'!Env_an</f>
        <v>16.013049211203334</v>
      </c>
      <c r="C314" s="829"/>
      <c r="D314" s="391">
        <f t="shared" si="102"/>
        <v>17.02974979643307</v>
      </c>
      <c r="E314" s="383">
        <f t="shared" si="125"/>
        <v>17.461484506153145</v>
      </c>
      <c r="F314" s="383">
        <f t="shared" si="103"/>
        <v>17.497549473621277</v>
      </c>
      <c r="G314" s="110">
        <f t="shared" si="126"/>
        <v>0.46854357584949574</v>
      </c>
      <c r="H314" s="412" t="b">
        <f>Wh_hp&gt;='2026'!Maxi_hp</f>
        <v>0</v>
      </c>
      <c r="I314" s="388">
        <f>IF(H314,Wh_hp,'2026'!Maxi_hp)</f>
        <v>34.064654173647206</v>
      </c>
      <c r="J314" s="85">
        <f>IF(H314,An,'2026'!An_max)</f>
        <v>2021</v>
      </c>
      <c r="K314" s="197">
        <f t="shared" si="104"/>
        <v>46687</v>
      </c>
      <c r="L314" s="147">
        <f>IF(t&lt;Tvie,1-EXP((T0-t)*PertePVj)+'2026'!Pspv,1-EXP((T0-t)*PertePVj)+Pspv)</f>
        <v>5.9701439973163017E-2</v>
      </c>
      <c r="M314" s="832"/>
      <c r="N314" s="832"/>
      <c r="O314" s="48">
        <f>IF(t&lt;Tnet,'2026'!Resal+('2026'!Salim-'2026'!Resal)*(1-EXP(('2026'!Tnet-t)/('2026'!Tau_j))),Resal+(Salim-Resal)*(1-EXP((Tnet-t)/(Tau_j))))*Salcycl</f>
        <v>2.4724971669386923E-2</v>
      </c>
      <c r="P314" s="169">
        <f>(INDEX(Models!$BJ314:$BT314,,T314)*(1-R314)+INDEX(Models!$BJ314:$BT314,,T314+1)*R314-ERP_i)*Q314*Ramure*Pc/MaxiM</f>
        <v>8.4106820063683443E-3</v>
      </c>
      <c r="Q314" s="304">
        <f t="shared" si="105"/>
        <v>0.7</v>
      </c>
      <c r="R314" s="177">
        <f t="shared" si="106"/>
        <v>0.57775921339866332</v>
      </c>
      <c r="S314" s="799">
        <f t="shared" si="107"/>
        <v>-1</v>
      </c>
      <c r="T314" s="176">
        <f t="shared" si="108"/>
        <v>5</v>
      </c>
      <c r="U314" s="250">
        <f t="shared" si="109"/>
        <v>-0.42224078660133663</v>
      </c>
      <c r="V314" s="382">
        <f t="shared" si="110"/>
        <v>33.958770463724171</v>
      </c>
      <c r="W314" s="400">
        <f t="shared" si="111"/>
        <v>16.013049211203334</v>
      </c>
      <c r="X314" s="157">
        <f t="shared" si="112"/>
        <v>46687</v>
      </c>
      <c r="Y314" s="383">
        <f t="shared" si="113"/>
        <v>15.10109255337475</v>
      </c>
      <c r="Z314" s="383">
        <f t="shared" si="114"/>
        <v>16.059891182800229</v>
      </c>
      <c r="AA314" s="384">
        <f t="shared" si="115"/>
        <v>17.224645368709389</v>
      </c>
      <c r="AB314" s="197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6.7621373965996059E-2</v>
      </c>
      <c r="AD314" s="230">
        <f>(INDEX(Models!$BJ314:$BT314,,AH314)*(1-AF314)+INDEX(Models!$BJ314:$BT314,,AH314+1)*AF314-ERP_i)*AE314*Ramure*Pc/MaxiM</f>
        <v>6.3643746432727868E-2</v>
      </c>
      <c r="AE314" s="304">
        <f t="shared" si="117"/>
        <v>0.7</v>
      </c>
      <c r="AF314" s="177">
        <f t="shared" si="118"/>
        <v>0.33341704423801399</v>
      </c>
      <c r="AG314" s="799">
        <f t="shared" si="124"/>
        <v>2</v>
      </c>
      <c r="AH314" s="176">
        <f t="shared" si="119"/>
        <v>8</v>
      </c>
      <c r="AI314" s="224">
        <f t="shared" si="120"/>
        <v>2.333417044238014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46688</v>
      </c>
      <c r="B315" s="409">
        <f>'2026'!Wh/'2026'!Env_an*'2027'!Env_an</f>
        <v>17.509060069482064</v>
      </c>
      <c r="C315" s="829"/>
      <c r="D315" s="391">
        <f t="shared" si="102"/>
        <v>18.621102251347807</v>
      </c>
      <c r="E315" s="383">
        <f t="shared" si="125"/>
        <v>19.094556222667965</v>
      </c>
      <c r="F315" s="383">
        <f t="shared" si="103"/>
        <v>19.147392860567848</v>
      </c>
      <c r="G315" s="110">
        <f t="shared" si="126"/>
        <v>0.51666043432287734</v>
      </c>
      <c r="H315" s="412" t="b">
        <f>Wh_hp&gt;='2026'!Maxi_hp</f>
        <v>0</v>
      </c>
      <c r="I315" s="388">
        <f>IF(H315,Wh_hp,'2026'!Maxi_hp)</f>
        <v>36.268866308329294</v>
      </c>
      <c r="J315" s="85">
        <f>IF(H315,An,'2026'!An_max)</f>
        <v>2021</v>
      </c>
      <c r="K315" s="197">
        <f t="shared" si="104"/>
        <v>46688</v>
      </c>
      <c r="L315" s="147">
        <f>IF(t&lt;Tvie,1-EXP((T0-t)*PertePVj)+'2026'!Pspv,1-EXP((T0-t)*PertePVj)+Pspv)</f>
        <v>5.9719460580549333E-2</v>
      </c>
      <c r="M315" s="832"/>
      <c r="N315" s="832"/>
      <c r="O315" s="48">
        <f>IF(t&lt;Tnet,'2026'!Resal+('2026'!Salim-'2026'!Resal)*(1-EXP(('2026'!Tnet-t)/('2026'!Tau_j))),Resal+(Salim-Resal)*(1-EXP((Tnet-t)/(Tau_j))))*Salcycl</f>
        <v>2.4795233039147643E-2</v>
      </c>
      <c r="P315" s="169">
        <f>(INDEX(Models!$BJ315:$BT315,,T315)*(1-R315)+INDEX(Models!$BJ315:$BT315,,T315+1)*R315-ERP_i)*Q315*Ramure*Pc/MaxiM</f>
        <v>8.7880077688265151E-3</v>
      </c>
      <c r="Q315" s="304">
        <f t="shared" si="105"/>
        <v>0.7</v>
      </c>
      <c r="R315" s="177">
        <f t="shared" si="106"/>
        <v>0.57781218850168903</v>
      </c>
      <c r="S315" s="799">
        <f t="shared" si="107"/>
        <v>-1</v>
      </c>
      <c r="T315" s="176">
        <f t="shared" si="108"/>
        <v>5</v>
      </c>
      <c r="U315" s="250">
        <f t="shared" si="109"/>
        <v>-0.42218781149831097</v>
      </c>
      <c r="V315" s="382">
        <f t="shared" si="110"/>
        <v>33.684046208306988</v>
      </c>
      <c r="W315" s="400">
        <f t="shared" si="111"/>
        <v>17.509060069482064</v>
      </c>
      <c r="X315" s="157">
        <f t="shared" si="112"/>
        <v>46688</v>
      </c>
      <c r="Y315" s="383">
        <f t="shared" si="113"/>
        <v>16.44637932969562</v>
      </c>
      <c r="Z315" s="383">
        <f t="shared" si="114"/>
        <v>17.490928122206981</v>
      </c>
      <c r="AA315" s="384">
        <f t="shared" si="115"/>
        <v>18.759272909773237</v>
      </c>
      <c r="AB315" s="197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6.7611617660590317E-2</v>
      </c>
      <c r="AD315" s="230">
        <f>(INDEX(Models!$BJ315:$BT315,,AH315)*(1-AF315)+INDEX(Models!$BJ315:$BT315,,AH315+1)*AF315-ERP_i)*AE315*Ramure*Pc/MaxiM</f>
        <v>6.4553712696150678E-2</v>
      </c>
      <c r="AE315" s="304">
        <f t="shared" si="117"/>
        <v>0.7</v>
      </c>
      <c r="AF315" s="177">
        <f t="shared" si="118"/>
        <v>0.33347001934104004</v>
      </c>
      <c r="AG315" s="799">
        <f t="shared" si="124"/>
        <v>2</v>
      </c>
      <c r="AH315" s="176">
        <f t="shared" si="119"/>
        <v>8</v>
      </c>
      <c r="AI315" s="224">
        <f t="shared" si="120"/>
        <v>2.33347001934104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46689</v>
      </c>
      <c r="B316" s="409">
        <f>'2026'!Wh/'2026'!Env_an*'2027'!Env_an</f>
        <v>28.142022571601796</v>
      </c>
      <c r="C316" s="829"/>
      <c r="D316" s="391">
        <f t="shared" si="102"/>
        <v>29.929963173284875</v>
      </c>
      <c r="E316" s="383">
        <f t="shared" si="125"/>
        <v>30.693153415270086</v>
      </c>
      <c r="F316" s="383">
        <f t="shared" si="103"/>
        <v>30.912224787505689</v>
      </c>
      <c r="G316" s="110">
        <f t="shared" si="126"/>
        <v>0.84050858631261882</v>
      </c>
      <c r="H316" s="412" t="b">
        <f>Wh_hp&gt;='2026'!Maxi_hp</f>
        <v>0</v>
      </c>
      <c r="I316" s="388">
        <f>IF(H316,Wh_hp,'2026'!Maxi_hp)</f>
        <v>30.949558003040423</v>
      </c>
      <c r="J316" s="85">
        <f>IF(H316,An,'2026'!An_max)</f>
        <v>2026</v>
      </c>
      <c r="K316" s="197">
        <f t="shared" si="104"/>
        <v>46689</v>
      </c>
      <c r="L316" s="147">
        <f>IF(t&lt;Tvie,1-EXP((T0-t)*PertePVj)+'2026'!Pspv,1-EXP((T0-t)*PertePVj)+Pspv)</f>
        <v>5.9737480842574908E-2</v>
      </c>
      <c r="M316" s="832"/>
      <c r="N316" s="832"/>
      <c r="O316" s="48">
        <f>IF(t&lt;Tnet,'2026'!Resal+('2026'!Salim-'2026'!Resal)*(1-EXP(('2026'!Tnet-t)/('2026'!Tau_j))),Resal+(Salim-Resal)*(1-EXP((Tnet-t)/(Tau_j))))*Salcycl</f>
        <v>2.4865162326576665E-2</v>
      </c>
      <c r="P316" s="169">
        <f>(INDEX(Models!$BJ316:$BT316,,T316)*(1-R316)+INDEX(Models!$BJ316:$BT316,,T316+1)*R316-ERP_i)*Q316*Ramure*Pc/MaxiM</f>
        <v>9.1484591607558594E-3</v>
      </c>
      <c r="Q316" s="304">
        <f t="shared" si="105"/>
        <v>0.7</v>
      </c>
      <c r="R316" s="177">
        <f t="shared" si="106"/>
        <v>0.57786304389147802</v>
      </c>
      <c r="S316" s="799">
        <f t="shared" si="107"/>
        <v>-1</v>
      </c>
      <c r="T316" s="176">
        <f t="shared" si="108"/>
        <v>5</v>
      </c>
      <c r="U316" s="250">
        <f t="shared" si="109"/>
        <v>-0.42213695610852203</v>
      </c>
      <c r="V316" s="382">
        <f t="shared" si="110"/>
        <v>33.412617146082837</v>
      </c>
      <c r="W316" s="400">
        <f t="shared" si="111"/>
        <v>28.142022571601796</v>
      </c>
      <c r="X316" s="157">
        <f t="shared" si="112"/>
        <v>46689</v>
      </c>
      <c r="Y316" s="383">
        <f t="shared" si="113"/>
        <v>25.729709189650059</v>
      </c>
      <c r="Z316" s="383">
        <f t="shared" si="114"/>
        <v>27.364388843986472</v>
      </c>
      <c r="AA316" s="384">
        <f t="shared" si="115"/>
        <v>29.348382703877441</v>
      </c>
      <c r="AB316" s="197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6.7601471600983634E-2</v>
      </c>
      <c r="AD316" s="230">
        <f>(INDEX(Models!$BJ316:$BT316,,AH316)*(1-AF316)+INDEX(Models!$BJ316:$BT316,,AH316+1)*AF316-ERP_i)*AE316*Ramure*Pc/MaxiM</f>
        <v>6.5306321359770644E-2</v>
      </c>
      <c r="AE316" s="304">
        <f t="shared" si="117"/>
        <v>0.7</v>
      </c>
      <c r="AF316" s="177">
        <f t="shared" si="118"/>
        <v>0.3335208747308287</v>
      </c>
      <c r="AG316" s="799">
        <f t="shared" si="124"/>
        <v>2</v>
      </c>
      <c r="AH316" s="176">
        <f t="shared" si="119"/>
        <v>8</v>
      </c>
      <c r="AI316" s="224">
        <f t="shared" si="120"/>
        <v>2.3335208747308287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46690</v>
      </c>
      <c r="B317" s="409">
        <f>'2026'!Wh/'2026'!Env_an*'2027'!Env_an</f>
        <v>25.103553943025371</v>
      </c>
      <c r="C317" s="829"/>
      <c r="D317" s="391">
        <f t="shared" si="102"/>
        <v>26.698963900662495</v>
      </c>
      <c r="E317" s="383">
        <f t="shared" si="125"/>
        <v>27.381721160813836</v>
      </c>
      <c r="F317" s="383">
        <f t="shared" si="103"/>
        <v>27.552609509201247</v>
      </c>
      <c r="G317" s="110">
        <f t="shared" si="126"/>
        <v>0.75489608211501213</v>
      </c>
      <c r="H317" s="412" t="b">
        <f>Wh_hp&gt;='2026'!Maxi_hp</f>
        <v>0</v>
      </c>
      <c r="I317" s="388">
        <f>IF(H317,Wh_hp,'2026'!Maxi_hp)</f>
        <v>31.493556755699309</v>
      </c>
      <c r="J317" s="85">
        <f>IF(H317,An,'2026'!An_max)</f>
        <v>2020</v>
      </c>
      <c r="K317" s="197">
        <f t="shared" si="104"/>
        <v>46690</v>
      </c>
      <c r="L317" s="147">
        <f>IF(t&lt;Tvie,1-EXP((T0-t)*PertePVj)+'2026'!Pspv,1-EXP((T0-t)*PertePVj)+Pspv)</f>
        <v>5.9755500759246183E-2</v>
      </c>
      <c r="M317" s="832"/>
      <c r="N317" s="832"/>
      <c r="O317" s="48">
        <f>IF(t&lt;Tnet,'2026'!Resal+('2026'!Salim-'2026'!Resal)*(1-EXP(('2026'!Tnet-t)/('2026'!Tau_j))),Resal+(Salim-Resal)*(1-EXP((Tnet-t)/(Tau_j))))*Salcycl</f>
        <v>2.4934782446343822E-2</v>
      </c>
      <c r="P317" s="169">
        <f>(INDEX(Models!$BJ317:$BT317,,T317)*(1-R317)+INDEX(Models!$BJ317:$BT317,,T317+1)*R317-ERP_i)*Q317*Ramure*Pc/MaxiM</f>
        <v>9.4918007052524223E-3</v>
      </c>
      <c r="Q317" s="304">
        <f t="shared" si="105"/>
        <v>0.7</v>
      </c>
      <c r="R317" s="177">
        <f t="shared" si="106"/>
        <v>0.57791186387551208</v>
      </c>
      <c r="S317" s="799">
        <f t="shared" si="107"/>
        <v>-1</v>
      </c>
      <c r="T317" s="176">
        <f t="shared" si="108"/>
        <v>5</v>
      </c>
      <c r="U317" s="250">
        <f t="shared" si="109"/>
        <v>-0.42208813612448787</v>
      </c>
      <c r="V317" s="382">
        <f t="shared" si="110"/>
        <v>33.144243172614587</v>
      </c>
      <c r="W317" s="400">
        <f t="shared" si="111"/>
        <v>25.103553943025371</v>
      </c>
      <c r="X317" s="157">
        <f t="shared" si="112"/>
        <v>46690</v>
      </c>
      <c r="Y317" s="383">
        <f t="shared" si="113"/>
        <v>23.115017087563242</v>
      </c>
      <c r="Z317" s="383">
        <f t="shared" si="114"/>
        <v>24.584049261897928</v>
      </c>
      <c r="AA317" s="384">
        <f t="shared" si="115"/>
        <v>26.366164692971552</v>
      </c>
      <c r="AB317" s="197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6.7590999746303004E-2</v>
      </c>
      <c r="AD317" s="230">
        <f>(INDEX(Models!$BJ317:$BT317,,AH317)*(1-AF317)+INDEX(Models!$BJ317:$BT317,,AH317+1)*AF317-ERP_i)*AE317*Ramure*Pc/MaxiM</f>
        <v>6.5899740091710221E-2</v>
      </c>
      <c r="AE317" s="304">
        <f t="shared" si="117"/>
        <v>0.7</v>
      </c>
      <c r="AF317" s="177">
        <f t="shared" si="118"/>
        <v>0.33356969471486275</v>
      </c>
      <c r="AG317" s="799">
        <f t="shared" si="124"/>
        <v>2</v>
      </c>
      <c r="AH317" s="176">
        <f t="shared" si="119"/>
        <v>8</v>
      </c>
      <c r="AI317" s="224">
        <f t="shared" si="120"/>
        <v>2.3335696947148628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46691</v>
      </c>
      <c r="B318" s="409">
        <f>'2026'!Wh/'2026'!Env_an*'2027'!Env_an</f>
        <v>24.424646667694095</v>
      </c>
      <c r="C318" s="829"/>
      <c r="D318" s="391">
        <f t="shared" si="102"/>
        <v>25.977407779752646</v>
      </c>
      <c r="E318" s="383">
        <f t="shared" si="125"/>
        <v>26.643607670502504</v>
      </c>
      <c r="F318" s="383">
        <f t="shared" si="103"/>
        <v>26.809813444235768</v>
      </c>
      <c r="G318" s="110">
        <f t="shared" si="126"/>
        <v>0.74017294887232332</v>
      </c>
      <c r="H318" s="412" t="b">
        <f>Wh_hp&gt;='2026'!Maxi_hp</f>
        <v>0</v>
      </c>
      <c r="I318" s="388">
        <f>IF(H318,Wh_hp,'2026'!Maxi_hp)</f>
        <v>35.545081569193108</v>
      </c>
      <c r="J318" s="85">
        <f>IF(H318,An,'2026'!An_max)</f>
        <v>2020</v>
      </c>
      <c r="K318" s="197">
        <f t="shared" si="104"/>
        <v>46691</v>
      </c>
      <c r="L318" s="147">
        <f>IF(t&lt;Tvie,1-EXP((T0-t)*PertePVj)+'2026'!Pspv,1-EXP((T0-t)*PertePVj)+Pspv)</f>
        <v>5.9773520330569929E-2</v>
      </c>
      <c r="M318" s="832"/>
      <c r="N318" s="832"/>
      <c r="O318" s="48">
        <f>IF(t&lt;Tnet,'2026'!Resal+('2026'!Salim-'2026'!Resal)*(1-EXP(('2026'!Tnet-t)/('2026'!Tau_j))),Resal+(Salim-Resal)*(1-EXP((Tnet-t)/(Tau_j))))*Salcycl</f>
        <v>2.5004117272279837E-2</v>
      </c>
      <c r="P318" s="169">
        <f>(INDEX(Models!$BJ318:$BT318,,T318)*(1-R318)+INDEX(Models!$BJ318:$BT318,,T318+1)*R318-ERP_i)*Q318*Ramure*Pc/MaxiM</f>
        <v>9.798968879331061E-3</v>
      </c>
      <c r="Q318" s="304">
        <f t="shared" si="105"/>
        <v>0.7</v>
      </c>
      <c r="R318" s="177">
        <f t="shared" si="106"/>
        <v>0.57795872944820081</v>
      </c>
      <c r="S318" s="799">
        <f t="shared" si="107"/>
        <v>-1</v>
      </c>
      <c r="T318" s="176">
        <f t="shared" si="108"/>
        <v>5</v>
      </c>
      <c r="U318" s="250">
        <f t="shared" si="109"/>
        <v>-0.42204127055179919</v>
      </c>
      <c r="V318" s="382">
        <f t="shared" si="110"/>
        <v>32.879046707821324</v>
      </c>
      <c r="W318" s="400">
        <f t="shared" si="111"/>
        <v>24.424646667694095</v>
      </c>
      <c r="X318" s="157">
        <f t="shared" si="112"/>
        <v>46691</v>
      </c>
      <c r="Y318" s="383">
        <f t="shared" si="113"/>
        <v>22.517300676302977</v>
      </c>
      <c r="Z318" s="383">
        <f t="shared" si="114"/>
        <v>23.94880506260548</v>
      </c>
      <c r="AA318" s="384">
        <f t="shared" si="115"/>
        <v>25.684575559537031</v>
      </c>
      <c r="AB318" s="197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6.7580267889108064E-2</v>
      </c>
      <c r="AD318" s="230">
        <f>(INDEX(Models!$BJ318:$BT318,,AH318)*(1-AF318)+INDEX(Models!$BJ318:$BT318,,AH318+1)*AF318-ERP_i)*AE318*Ramure*Pc/MaxiM</f>
        <v>6.6340481238050419E-2</v>
      </c>
      <c r="AE318" s="304">
        <f t="shared" si="117"/>
        <v>0.7</v>
      </c>
      <c r="AF318" s="177">
        <f t="shared" si="118"/>
        <v>0.3336165602875516</v>
      </c>
      <c r="AG318" s="799">
        <f t="shared" si="124"/>
        <v>2</v>
      </c>
      <c r="AH318" s="176">
        <f t="shared" si="119"/>
        <v>8</v>
      </c>
      <c r="AI318" s="224">
        <f t="shared" si="120"/>
        <v>2.3336165602875516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46692</v>
      </c>
      <c r="B319" s="409">
        <f>'2026'!Wh/'2026'!Env_an*'2027'!Env_an</f>
        <v>26.249298910778815</v>
      </c>
      <c r="C319" s="829"/>
      <c r="D319" s="391">
        <f t="shared" si="102"/>
        <v>27.918594668248769</v>
      </c>
      <c r="E319" s="383">
        <f t="shared" si="125"/>
        <v>28.63660576993048</v>
      </c>
      <c r="F319" s="383">
        <f t="shared" si="103"/>
        <v>28.846100768932068</v>
      </c>
      <c r="G319" s="110">
        <f t="shared" si="126"/>
        <v>0.80250016448301409</v>
      </c>
      <c r="H319" s="412" t="b">
        <f>Wh_hp&gt;='2026'!Maxi_hp</f>
        <v>0</v>
      </c>
      <c r="I319" s="388">
        <f>IF(H319,Wh_hp,'2026'!Maxi_hp)</f>
        <v>28.89281537592537</v>
      </c>
      <c r="J319" s="85">
        <f>IF(H319,An,'2026'!An_max)</f>
        <v>2026</v>
      </c>
      <c r="K319" s="197">
        <f t="shared" si="104"/>
        <v>46692</v>
      </c>
      <c r="L319" s="147">
        <f>IF(t&lt;Tvie,1-EXP((T0-t)*PertePVj)+'2026'!Pspv,1-EXP((T0-t)*PertePVj)+Pspv)</f>
        <v>5.9791539556552586E-2</v>
      </c>
      <c r="M319" s="832"/>
      <c r="N319" s="832"/>
      <c r="O319" s="48">
        <f>IF(t&lt;Tnet,'2026'!Resal+('2026'!Salim-'2026'!Resal)*(1-EXP(('2026'!Tnet-t)/('2026'!Tau_j))),Resal+(Salim-Resal)*(1-EXP((Tnet-t)/(Tau_j))))*Salcycl</f>
        <v>2.5073191545474618E-2</v>
      </c>
      <c r="P319" s="169">
        <f>(INDEX(Models!$BJ319:$BT319,,T319)*(1-R319)+INDEX(Models!$BJ319:$BT319,,T319+1)*R319-ERP_i)*Q319*Ramure*Pc/MaxiM</f>
        <v>1.0071285405974056E-2</v>
      </c>
      <c r="Q319" s="304">
        <f t="shared" si="105"/>
        <v>0.7</v>
      </c>
      <c r="R319" s="177">
        <f t="shared" si="106"/>
        <v>0.5780037184179142</v>
      </c>
      <c r="S319" s="799">
        <f t="shared" si="107"/>
        <v>-1</v>
      </c>
      <c r="T319" s="176">
        <f t="shared" si="108"/>
        <v>5</v>
      </c>
      <c r="U319" s="250">
        <f t="shared" si="109"/>
        <v>-0.4219962815820858</v>
      </c>
      <c r="V319" s="382">
        <f t="shared" si="110"/>
        <v>32.616854457722127</v>
      </c>
      <c r="W319" s="400">
        <f t="shared" si="111"/>
        <v>26.249298910778815</v>
      </c>
      <c r="X319" s="157">
        <f t="shared" si="112"/>
        <v>46692</v>
      </c>
      <c r="Y319" s="383">
        <f t="shared" si="113"/>
        <v>24.072026311930482</v>
      </c>
      <c r="Z319" s="383">
        <f t="shared" si="114"/>
        <v>25.602860774701984</v>
      </c>
      <c r="AA319" s="384">
        <f t="shared" si="115"/>
        <v>27.458192835116961</v>
      </c>
      <c r="AB319" s="197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6.7569343385269959E-2</v>
      </c>
      <c r="AD319" s="230">
        <f>(INDEX(Models!$BJ319:$BT319,,AH319)*(1-AF319)+INDEX(Models!$BJ319:$BT319,,AH319+1)*AF319-ERP_i)*AE319*Ramure*Pc/MaxiM</f>
        <v>6.6722437219428762E-2</v>
      </c>
      <c r="AE319" s="304">
        <f t="shared" si="117"/>
        <v>0.7</v>
      </c>
      <c r="AF319" s="177">
        <f t="shared" si="118"/>
        <v>0.33366154925726477</v>
      </c>
      <c r="AG319" s="799">
        <f t="shared" si="124"/>
        <v>2</v>
      </c>
      <c r="AH319" s="176">
        <f t="shared" si="119"/>
        <v>8</v>
      </c>
      <c r="AI319" s="224">
        <f t="shared" si="120"/>
        <v>2.3336615492572648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46693</v>
      </c>
      <c r="B320" s="409">
        <f>'2026'!Wh/'2026'!Env_an*'2027'!Env_an</f>
        <v>29.149038636363343</v>
      </c>
      <c r="C320" s="829"/>
      <c r="D320" s="391">
        <f t="shared" si="102"/>
        <v>31.003334375439263</v>
      </c>
      <c r="E320" s="383">
        <f t="shared" si="125"/>
        <v>31.802924481504256</v>
      </c>
      <c r="F320" s="383">
        <f t="shared" si="103"/>
        <v>32.086830605381181</v>
      </c>
      <c r="G320" s="110">
        <f t="shared" si="126"/>
        <v>0.89951468383814992</v>
      </c>
      <c r="H320" s="412" t="b">
        <f>Wh_hp&gt;='2026'!Maxi_hp</f>
        <v>0</v>
      </c>
      <c r="I320" s="388">
        <f>IF(H320,Wh_hp,'2026'!Maxi_hp)</f>
        <v>32.113729938183305</v>
      </c>
      <c r="J320" s="85">
        <f>IF(H320,An,'2026'!An_max)</f>
        <v>2026</v>
      </c>
      <c r="K320" s="197">
        <f t="shared" si="104"/>
        <v>46693</v>
      </c>
      <c r="L320" s="147">
        <f>IF(t&lt;Tvie,1-EXP((T0-t)*PertePVj)+'2026'!Pspv,1-EXP((T0-t)*PertePVj)+Pspv)</f>
        <v>5.9809558437201038E-2</v>
      </c>
      <c r="M320" s="832"/>
      <c r="N320" s="832"/>
      <c r="O320" s="48">
        <f>IF(t&lt;Tnet,'2026'!Resal+('2026'!Salim-'2026'!Resal)*(1-EXP(('2026'!Tnet-t)/('2026'!Tau_j))),Resal+(Salim-Resal)*(1-EXP((Tnet-t)/(Tau_j))))*Salcycl</f>
        <v>2.5142030775503515E-2</v>
      </c>
      <c r="P320" s="169">
        <f>(INDEX(Models!$BJ320:$BT320,,T320)*(1-R320)+INDEX(Models!$BJ320:$BT320,,T320+1)*R320-ERP_i)*Q320*Ramure*Pc/MaxiM</f>
        <v>1.030827049042066E-2</v>
      </c>
      <c r="Q320" s="304">
        <f t="shared" si="105"/>
        <v>0.7</v>
      </c>
      <c r="R320" s="177">
        <f t="shared" si="106"/>
        <v>0.57804690552939753</v>
      </c>
      <c r="S320" s="799">
        <f t="shared" si="107"/>
        <v>-1</v>
      </c>
      <c r="T320" s="176">
        <f t="shared" si="108"/>
        <v>5</v>
      </c>
      <c r="U320" s="250">
        <f t="shared" si="109"/>
        <v>-0.42195309447060253</v>
      </c>
      <c r="V320" s="382">
        <f t="shared" si="110"/>
        <v>32.357553897685591</v>
      </c>
      <c r="W320" s="400">
        <f t="shared" si="111"/>
        <v>29.149038636363343</v>
      </c>
      <c r="X320" s="157">
        <f t="shared" si="112"/>
        <v>46693</v>
      </c>
      <c r="Y320" s="383">
        <f t="shared" si="113"/>
        <v>26.510848380781226</v>
      </c>
      <c r="Z320" s="383">
        <f t="shared" si="114"/>
        <v>28.197317488906279</v>
      </c>
      <c r="AA320" s="384">
        <f t="shared" si="115"/>
        <v>30.240300636255135</v>
      </c>
      <c r="AB320" s="197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6.7558294870240787E-2</v>
      </c>
      <c r="AD320" s="230">
        <f>(INDEX(Models!$BJ320:$BT320,,AH320)*(1-AF320)+INDEX(Models!$BJ320:$BT320,,AH320+1)*AF320-ERP_i)*AE320*Ramure*Pc/MaxiM</f>
        <v>6.7045156090648747E-2</v>
      </c>
      <c r="AE320" s="304">
        <f t="shared" si="117"/>
        <v>0.7</v>
      </c>
      <c r="AF320" s="177">
        <f t="shared" si="118"/>
        <v>0.3337047363687482</v>
      </c>
      <c r="AG320" s="799">
        <f t="shared" si="124"/>
        <v>2</v>
      </c>
      <c r="AH320" s="176">
        <f t="shared" si="119"/>
        <v>8</v>
      </c>
      <c r="AI320" s="224">
        <f t="shared" si="120"/>
        <v>2.3337047363687482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46694</v>
      </c>
      <c r="B321" s="409">
        <f>'2026'!Wh/'2026'!Env_an*'2027'!Env_an</f>
        <v>9.1408815784575541</v>
      </c>
      <c r="C321" s="829"/>
      <c r="D321" s="391">
        <f t="shared" si="102"/>
        <v>9.7225587079258489</v>
      </c>
      <c r="E321" s="383">
        <f t="shared" si="125"/>
        <v>9.9740100966328544</v>
      </c>
      <c r="F321" s="383">
        <f t="shared" si="103"/>
        <v>9.9740100966328544</v>
      </c>
      <c r="G321" s="110">
        <f t="shared" si="126"/>
        <v>0.28176090571713575</v>
      </c>
      <c r="H321" s="412" t="b">
        <f>Wh_hp&gt;='2026'!Maxi_hp</f>
        <v>0</v>
      </c>
      <c r="I321" s="388">
        <f>IF(H321,Wh_hp,'2026'!Maxi_hp)</f>
        <v>28.049300463393088</v>
      </c>
      <c r="J321" s="85">
        <f>IF(H321,An,'2026'!An_max)</f>
        <v>2020</v>
      </c>
      <c r="K321" s="197">
        <f t="shared" si="104"/>
        <v>46694</v>
      </c>
      <c r="L321" s="147">
        <f>IF(t&lt;Tvie,1-EXP((T0-t)*PertePVj)+'2026'!Pspv,1-EXP((T0-t)*PertePVj)+Pspv)</f>
        <v>5.9827576972521612E-2</v>
      </c>
      <c r="M321" s="832"/>
      <c r="N321" s="832"/>
      <c r="O321" s="48">
        <f>IF(t&lt;Tnet,'2026'!Resal+('2026'!Salim-'2026'!Resal)*(1-EXP(('2026'!Tnet-t)/('2026'!Tau_j))),Resal+(Salim-Resal)*(1-EXP((Tnet-t)/(Tau_j))))*Salcycl</f>
        <v>2.5210661135373499E-2</v>
      </c>
      <c r="P321" s="169">
        <f>(INDEX(Models!$BJ321:$BT321,,T321)*(1-R321)+INDEX(Models!$BJ321:$BT321,,T321+1)*R321-ERP_i)*Q321*Ramure*Pc/MaxiM</f>
        <v>1.0509448662053106E-2</v>
      </c>
      <c r="Q321" s="304">
        <f t="shared" si="105"/>
        <v>0.7</v>
      </c>
      <c r="R321" s="177">
        <f t="shared" si="106"/>
        <v>0.57808836258171203</v>
      </c>
      <c r="S321" s="799">
        <f t="shared" si="107"/>
        <v>-1</v>
      </c>
      <c r="T321" s="176">
        <f t="shared" si="108"/>
        <v>5</v>
      </c>
      <c r="U321" s="250">
        <f t="shared" si="109"/>
        <v>-0.42191163741828797</v>
      </c>
      <c r="V321" s="382">
        <f t="shared" si="110"/>
        <v>32.101032362037778</v>
      </c>
      <c r="W321" s="400">
        <f t="shared" si="111"/>
        <v>9.1408815784575541</v>
      </c>
      <c r="X321" s="157">
        <f t="shared" si="112"/>
        <v>46694</v>
      </c>
      <c r="Y321" s="383">
        <f t="shared" si="113"/>
        <v>8.7438796834699666</v>
      </c>
      <c r="Z321" s="383">
        <f t="shared" si="114"/>
        <v>9.3002937219893429</v>
      </c>
      <c r="AA321" s="384">
        <f t="shared" si="115"/>
        <v>9.9740100966328544</v>
      </c>
      <c r="AB321" s="197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6.7547191963536687E-2</v>
      </c>
      <c r="AD321" s="230">
        <f>(INDEX(Models!$BJ321:$BT321,,AH321)*(1-AF321)+INDEX(Models!$BJ321:$BT321,,AH321+1)*AF321-ERP_i)*AE321*Ramure*Pc/MaxiM</f>
        <v>6.7308200450613781E-2</v>
      </c>
      <c r="AE321" s="304">
        <f t="shared" si="117"/>
        <v>0.7</v>
      </c>
      <c r="AF321" s="177">
        <f t="shared" si="118"/>
        <v>0.33374619342106282</v>
      </c>
      <c r="AG321" s="799">
        <f t="shared" si="124"/>
        <v>2</v>
      </c>
      <c r="AH321" s="176">
        <f t="shared" si="119"/>
        <v>8</v>
      </c>
      <c r="AI321" s="224">
        <f t="shared" si="120"/>
        <v>2.3337461934210628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46695</v>
      </c>
      <c r="B322" s="409">
        <f>'2026'!Wh/'2026'!Env_an*'2027'!Env_an</f>
        <v>12.755968781652184</v>
      </c>
      <c r="C322" s="829"/>
      <c r="D322" s="391">
        <f t="shared" si="102"/>
        <v>13.567950877023508</v>
      </c>
      <c r="E322" s="383">
        <f t="shared" si="125"/>
        <v>13.919831827947508</v>
      </c>
      <c r="F322" s="383">
        <f t="shared" si="103"/>
        <v>13.941204998246761</v>
      </c>
      <c r="G322" s="110">
        <f t="shared" si="126"/>
        <v>0.39686984386537938</v>
      </c>
      <c r="H322" s="412" t="b">
        <f>Wh_hp&gt;='2026'!Maxi_hp</f>
        <v>0</v>
      </c>
      <c r="I322" s="388">
        <f>IF(H322,Wh_hp,'2026'!Maxi_hp)</f>
        <v>18.973893501694523</v>
      </c>
      <c r="J322" s="85">
        <f>IF(H322,An,'2026'!An_max)</f>
        <v>2018</v>
      </c>
      <c r="K322" s="197">
        <f t="shared" si="104"/>
        <v>46695</v>
      </c>
      <c r="L322" s="147">
        <f>IF(t&lt;Tvie,1-EXP((T0-t)*PertePVj)+'2026'!Pspv,1-EXP((T0-t)*PertePVj)+Pspv)</f>
        <v>5.9845595162521192E-2</v>
      </c>
      <c r="M322" s="832"/>
      <c r="N322" s="832"/>
      <c r="O322" s="48">
        <f>IF(t&lt;Tnet,'2026'!Resal+('2026'!Salim-'2026'!Resal)*(1-EXP(('2026'!Tnet-t)/('2026'!Tau_j))),Resal+(Salim-Resal)*(1-EXP((Tnet-t)/(Tau_j))))*Salcycl</f>
        <v>2.5279109350840882E-2</v>
      </c>
      <c r="P322" s="169">
        <f>(INDEX(Models!$BJ322:$BT322,,T322)*(1-R322)+INDEX(Models!$BJ322:$BT322,,T322+1)*R322-ERP_i)*Q322*Ramure*Pc/MaxiM</f>
        <v>1.0674346406333324E-2</v>
      </c>
      <c r="Q322" s="304">
        <f t="shared" si="105"/>
        <v>0.7</v>
      </c>
      <c r="R322" s="177">
        <f t="shared" si="106"/>
        <v>0.57812815854184996</v>
      </c>
      <c r="S322" s="799">
        <f t="shared" si="107"/>
        <v>-1</v>
      </c>
      <c r="T322" s="176">
        <f t="shared" si="108"/>
        <v>5</v>
      </c>
      <c r="U322" s="250">
        <f t="shared" si="109"/>
        <v>-0.42187184145815004</v>
      </c>
      <c r="V322" s="382">
        <f t="shared" si="110"/>
        <v>31.847177099049649</v>
      </c>
      <c r="W322" s="400">
        <f t="shared" si="111"/>
        <v>12.755968781652184</v>
      </c>
      <c r="X322" s="157">
        <f t="shared" si="112"/>
        <v>46695</v>
      </c>
      <c r="Y322" s="383">
        <f t="shared" si="113"/>
        <v>12.10319294917783</v>
      </c>
      <c r="Z322" s="383">
        <f t="shared" si="114"/>
        <v>12.873622552744479</v>
      </c>
      <c r="AA322" s="384">
        <f t="shared" si="115"/>
        <v>13.806027902280116</v>
      </c>
      <c r="AB322" s="197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6.7536104963372395E-2</v>
      </c>
      <c r="AD322" s="230">
        <f>(INDEX(Models!$BJ322:$BT322,,AH322)*(1-AF322)+INDEX(Models!$BJ322:$BT322,,AH322+1)*AF322-ERP_i)*AE322*Ramure*Pc/MaxiM</f>
        <v>6.7511142631030349E-2</v>
      </c>
      <c r="AE322" s="304">
        <f t="shared" si="117"/>
        <v>0.7</v>
      </c>
      <c r="AF322" s="177">
        <f t="shared" si="118"/>
        <v>0.33378598938120074</v>
      </c>
      <c r="AG322" s="799">
        <f t="shared" si="124"/>
        <v>2</v>
      </c>
      <c r="AH322" s="176">
        <f t="shared" si="119"/>
        <v>8</v>
      </c>
      <c r="AI322" s="224">
        <f t="shared" si="120"/>
        <v>2.3337859893812007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46696</v>
      </c>
      <c r="B323" s="409">
        <f>'2026'!Wh/'2026'!Env_an*'2027'!Env_an</f>
        <v>30.916004195825415</v>
      </c>
      <c r="C323" s="829"/>
      <c r="D323" s="391">
        <f t="shared" si="102"/>
        <v>32.884594856195463</v>
      </c>
      <c r="E323" s="383">
        <f t="shared" si="125"/>
        <v>33.739811439898027</v>
      </c>
      <c r="F323" s="383">
        <f t="shared" si="103"/>
        <v>34.096819646956533</v>
      </c>
      <c r="G323" s="110">
        <f t="shared" si="126"/>
        <v>0.97815392506389065</v>
      </c>
      <c r="H323" s="412" t="b">
        <f>Wh_hp&gt;='2026'!Maxi_hp</f>
        <v>0</v>
      </c>
      <c r="I323" s="388">
        <f>IF(H323,Wh_hp,'2026'!Maxi_hp)</f>
        <v>34.103232915386066</v>
      </c>
      <c r="J323" s="85">
        <f>IF(H323,An,'2026'!An_max)</f>
        <v>2026</v>
      </c>
      <c r="K323" s="197">
        <f t="shared" si="104"/>
        <v>46696</v>
      </c>
      <c r="L323" s="147">
        <f>IF(t&lt;Tvie,1-EXP((T0-t)*PertePVj)+'2026'!Pspv,1-EXP((T0-t)*PertePVj)+Pspv)</f>
        <v>5.9863613007206218E-2</v>
      </c>
      <c r="M323" s="832"/>
      <c r="N323" s="832"/>
      <c r="O323" s="48">
        <f>IF(t&lt;Tnet,'2026'!Resal+('2026'!Salim-'2026'!Resal)*(1-EXP(('2026'!Tnet-t)/('2026'!Tau_j))),Resal+(Salim-Resal)*(1-EXP((Tnet-t)/(Tau_j))))*Salcycl</f>
        <v>2.5347402584806673E-2</v>
      </c>
      <c r="P323" s="169">
        <f>(INDEX(Models!$BJ323:$BT323,,T323)*(1-R323)+INDEX(Models!$BJ323:$BT323,,T323+1)*R323-ERP_i)*Q323*Ramure*Pc/MaxiM</f>
        <v>1.0802489594692807E-2</v>
      </c>
      <c r="Q323" s="304">
        <f t="shared" si="105"/>
        <v>0.7</v>
      </c>
      <c r="R323" s="177">
        <f t="shared" si="106"/>
        <v>0.57816635965416152</v>
      </c>
      <c r="S323" s="799">
        <f t="shared" si="107"/>
        <v>-1</v>
      </c>
      <c r="T323" s="176">
        <f t="shared" si="108"/>
        <v>5</v>
      </c>
      <c r="U323" s="250">
        <f t="shared" si="109"/>
        <v>-0.42183364034583853</v>
      </c>
      <c r="V323" s="382">
        <f t="shared" si="110"/>
        <v>31.595875330661872</v>
      </c>
      <c r="W323" s="400">
        <f t="shared" si="111"/>
        <v>30.916004195825415</v>
      </c>
      <c r="X323" s="157">
        <f t="shared" si="112"/>
        <v>46696</v>
      </c>
      <c r="Y323" s="383">
        <f t="shared" si="113"/>
        <v>27.931022557699514</v>
      </c>
      <c r="Z323" s="383">
        <f t="shared" si="114"/>
        <v>29.709543151544466</v>
      </c>
      <c r="AA323" s="384">
        <f t="shared" si="115"/>
        <v>31.860957647209204</v>
      </c>
      <c r="AB323" s="197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6.7525104533484953E-2</v>
      </c>
      <c r="AD323" s="230">
        <f>(INDEX(Models!$BJ323:$BT323,,AH323)*(1-AF323)+INDEX(Models!$BJ323:$BT323,,AH323+1)*AF323-ERP_i)*AE323*Ramure*Pc/MaxiM</f>
        <v>6.7653559525822485E-2</v>
      </c>
      <c r="AE323" s="304">
        <f t="shared" si="117"/>
        <v>0.7</v>
      </c>
      <c r="AF323" s="177">
        <f t="shared" si="118"/>
        <v>0.33382419049351242</v>
      </c>
      <c r="AG323" s="799">
        <f t="shared" si="124"/>
        <v>2</v>
      </c>
      <c r="AH323" s="176">
        <f t="shared" si="119"/>
        <v>8</v>
      </c>
      <c r="AI323" s="224">
        <f t="shared" si="120"/>
        <v>2.3338241904935124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46697</v>
      </c>
      <c r="B324" s="409">
        <f>'2026'!Wh/'2026'!Env_an*'2027'!Env_an</f>
        <v>31.98377316039619</v>
      </c>
      <c r="C324" s="829"/>
      <c r="D324" s="391">
        <f t="shared" si="102"/>
        <v>34.02100650116077</v>
      </c>
      <c r="E324" s="383">
        <f t="shared" si="125"/>
        <v>34.908218718853611</v>
      </c>
      <c r="F324" s="383">
        <f t="shared" si="103"/>
        <v>35.292571273233243</v>
      </c>
      <c r="G324" s="110">
        <f t="shared" si="126"/>
        <v>1.0203101945035624</v>
      </c>
      <c r="H324" s="412" t="b">
        <f>Wh_hp&gt;='2026'!Maxi_hp</f>
        <v>1</v>
      </c>
      <c r="I324" s="388">
        <f>IF(H324,Wh_hp,'2026'!Maxi_hp)</f>
        <v>35.292571273233243</v>
      </c>
      <c r="J324" s="85">
        <f>IF(H324,An,'2026'!An_max)</f>
        <v>2027</v>
      </c>
      <c r="K324" s="197">
        <f t="shared" si="104"/>
        <v>46697</v>
      </c>
      <c r="L324" s="147">
        <f>IF(t&lt;Tvie,1-EXP((T0-t)*PertePVj)+'2026'!Pspv,1-EXP((T0-t)*PertePVj)+Pspv)</f>
        <v>5.988163050658335E-2</v>
      </c>
      <c r="M324" s="832"/>
      <c r="N324" s="832"/>
      <c r="O324" s="48">
        <f>IF(t&lt;Tnet,'2026'!Resal+('2026'!Salim-'2026'!Resal)*(1-EXP(('2026'!Tnet-t)/('2026'!Tau_j))),Resal+(Salim-Resal)*(1-EXP((Tnet-t)/(Tau_j))))*Salcycl</f>
        <v>2.5415568317545378E-2</v>
      </c>
      <c r="P324" s="169">
        <f>(INDEX(Models!$BJ324:$BT324,,T324)*(1-R324)+INDEX(Models!$BJ324:$BT324,,T324+1)*R324-ERP_i)*Q324*Ramure*Pc/MaxiM</f>
        <v>1.0890466194825919E-2</v>
      </c>
      <c r="Q324" s="304">
        <f t="shared" si="105"/>
        <v>0.7</v>
      </c>
      <c r="R324" s="177">
        <f t="shared" si="106"/>
        <v>0.57820302954573677</v>
      </c>
      <c r="S324" s="799">
        <f t="shared" si="107"/>
        <v>-1</v>
      </c>
      <c r="T324" s="176">
        <f t="shared" si="108"/>
        <v>5</v>
      </c>
      <c r="U324" s="250">
        <f t="shared" si="109"/>
        <v>-0.42179697045426318</v>
      </c>
      <c r="V324" s="382">
        <f t="shared" si="110"/>
        <v>31.347107313730284</v>
      </c>
      <c r="W324" s="400">
        <f t="shared" si="111"/>
        <v>31.98377316039619</v>
      </c>
      <c r="X324" s="157">
        <f t="shared" si="112"/>
        <v>46697</v>
      </c>
      <c r="Y324" s="383">
        <f t="shared" si="113"/>
        <v>28.842140400595206</v>
      </c>
      <c r="Z324" s="383">
        <f t="shared" si="114"/>
        <v>30.679264799534565</v>
      </c>
      <c r="AA324" s="384">
        <f t="shared" si="115"/>
        <v>32.90051904180077</v>
      </c>
      <c r="AB324" s="197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6.7514261384267402E-2</v>
      </c>
      <c r="AD324" s="230">
        <f>(INDEX(Models!$BJ324:$BT324,,AH324)*(1-AF324)+INDEX(Models!$BJ324:$BT324,,AH324+1)*AF324-ERP_i)*AE324*Ramure*Pc/MaxiM</f>
        <v>6.7777782834617911E-2</v>
      </c>
      <c r="AE324" s="304">
        <f t="shared" si="117"/>
        <v>0.7</v>
      </c>
      <c r="AF324" s="177">
        <f t="shared" si="118"/>
        <v>0.33386086038508767</v>
      </c>
      <c r="AG324" s="799">
        <f t="shared" si="124"/>
        <v>2</v>
      </c>
      <c r="AH324" s="176">
        <f t="shared" si="119"/>
        <v>8</v>
      </c>
      <c r="AI324" s="224">
        <f t="shared" si="120"/>
        <v>2.3338608603850877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46698</v>
      </c>
      <c r="B325" s="409">
        <f>'2026'!Wh/'2026'!Env_an*'2027'!Env_an</f>
        <v>32.08516648965503</v>
      </c>
      <c r="C325" s="829"/>
      <c r="D325" s="391">
        <f t="shared" si="102"/>
        <v>34.129512248149332</v>
      </c>
      <c r="E325" s="383">
        <f t="shared" si="125"/>
        <v>35.022000088174039</v>
      </c>
      <c r="F325" s="383">
        <f t="shared" si="103"/>
        <v>35.409981593380145</v>
      </c>
      <c r="G325" s="110">
        <f t="shared" si="126"/>
        <v>1.0316720956581411</v>
      </c>
      <c r="H325" s="412" t="b">
        <f>Wh_hp&gt;='2026'!Maxi_hp</f>
        <v>0</v>
      </c>
      <c r="I325" s="388">
        <f>IF(H325,Wh_hp,'2026'!Maxi_hp)</f>
        <v>35.409981593380152</v>
      </c>
      <c r="J325" s="85">
        <f>IF(H325,An,'2026'!An_max)</f>
        <v>2026</v>
      </c>
      <c r="K325" s="197">
        <f t="shared" si="104"/>
        <v>46698</v>
      </c>
      <c r="L325" s="147">
        <f>IF(t&lt;Tvie,1-EXP((T0-t)*PertePVj)+'2026'!Pspv,1-EXP((T0-t)*PertePVj)+Pspv)</f>
        <v>5.989964766065925E-2</v>
      </c>
      <c r="M325" s="832"/>
      <c r="N325" s="832"/>
      <c r="O325" s="48">
        <f>IF(t&lt;Tnet,'2026'!Resal+('2026'!Salim-'2026'!Resal)*(1-EXP(('2026'!Tnet-t)/('2026'!Tau_j))),Resal+(Salim-Resal)*(1-EXP((Tnet-t)/(Tau_j))))*Salcycl</f>
        <v>2.548363422356555E-2</v>
      </c>
      <c r="P325" s="169">
        <f>(INDEX(Models!$BJ325:$BT325,,T325)*(1-R325)+INDEX(Models!$BJ325:$BT325,,T325+1)*R325-ERP_i)*Q325*Ramure*Pc/MaxiM</f>
        <v>1.095684007016358E-2</v>
      </c>
      <c r="Q325" s="304">
        <f t="shared" si="105"/>
        <v>0.7</v>
      </c>
      <c r="R325" s="177">
        <f t="shared" si="106"/>
        <v>0.57823822932787372</v>
      </c>
      <c r="S325" s="799">
        <f t="shared" si="107"/>
        <v>-1</v>
      </c>
      <c r="T325" s="176">
        <f t="shared" si="108"/>
        <v>5</v>
      </c>
      <c r="U325" s="250">
        <f t="shared" si="109"/>
        <v>-0.42176177067212628</v>
      </c>
      <c r="V325" s="382">
        <f t="shared" si="110"/>
        <v>31.100159270263809</v>
      </c>
      <c r="W325" s="400">
        <f t="shared" si="111"/>
        <v>32.08516648965503</v>
      </c>
      <c r="X325" s="157">
        <f t="shared" si="112"/>
        <v>46698</v>
      </c>
      <c r="Y325" s="383">
        <f t="shared" si="113"/>
        <v>28.932371958769266</v>
      </c>
      <c r="Z325" s="383">
        <f t="shared" si="114"/>
        <v>30.775833544550967</v>
      </c>
      <c r="AA325" s="384">
        <f t="shared" si="115"/>
        <v>33.003703886775661</v>
      </c>
      <c r="AB325" s="197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6.7503645950398483E-2</v>
      </c>
      <c r="AD325" s="230">
        <f>(INDEX(Models!$BJ325:$BT325,,AH325)*(1-AF325)+INDEX(Models!$BJ325:$BT325,,AH325+1)*AF325-ERP_i)*AE325*Ramure*Pc/MaxiM</f>
        <v>6.7954785580976895E-2</v>
      </c>
      <c r="AE325" s="304">
        <f t="shared" si="117"/>
        <v>0.7</v>
      </c>
      <c r="AF325" s="177">
        <f t="shared" si="118"/>
        <v>0.33389606016722428</v>
      </c>
      <c r="AG325" s="799">
        <f t="shared" si="124"/>
        <v>2</v>
      </c>
      <c r="AH325" s="176">
        <f t="shared" si="119"/>
        <v>8</v>
      </c>
      <c r="AI325" s="224">
        <f t="shared" si="120"/>
        <v>2.3338960601672243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46699</v>
      </c>
      <c r="B326" s="409">
        <f>'2026'!Wh/'2026'!Env_an*'2027'!Env_an</f>
        <v>20.771313420845232</v>
      </c>
      <c r="C326" s="829"/>
      <c r="D326" s="391">
        <f t="shared" si="102"/>
        <v>22.095206596050343</v>
      </c>
      <c r="E326" s="383">
        <f t="shared" si="125"/>
        <v>22.674579004881299</v>
      </c>
      <c r="F326" s="383">
        <f t="shared" si="103"/>
        <v>22.808354241045979</v>
      </c>
      <c r="G326" s="110">
        <f t="shared" si="126"/>
        <v>0.66971480899386104</v>
      </c>
      <c r="H326" s="412" t="b">
        <f>Wh_hp&gt;='2026'!Maxi_hp</f>
        <v>0</v>
      </c>
      <c r="I326" s="388">
        <f>IF(H326,Wh_hp,'2026'!Maxi_hp)</f>
        <v>29.721733914268235</v>
      </c>
      <c r="J326" s="85">
        <f>IF(H326,An,'2026'!An_max)</f>
        <v>2021</v>
      </c>
      <c r="K326" s="197">
        <f t="shared" si="104"/>
        <v>46699</v>
      </c>
      <c r="L326" s="147">
        <f>IF(t&lt;Tvie,1-EXP((T0-t)*PertePVj)+'2026'!Pspv,1-EXP((T0-t)*PertePVj)+Pspv)</f>
        <v>5.9917664469440468E-2</v>
      </c>
      <c r="M326" s="832"/>
      <c r="N326" s="832"/>
      <c r="O326" s="48">
        <f>IF(t&lt;Tnet,'2026'!Resal+('2026'!Salim-'2026'!Resal)*(1-EXP(('2026'!Tnet-t)/('2026'!Tau_j))),Resal+(Salim-Resal)*(1-EXP((Tnet-t)/(Tau_j))))*Salcycl</f>
        <v>2.5551628045937809E-2</v>
      </c>
      <c r="P326" s="169">
        <f>(INDEX(Models!$BJ326:$BT326,,T326)*(1-R326)+INDEX(Models!$BJ326:$BT326,,T326+1)*R326-ERP_i)*Q326*Ramure*Pc/MaxiM</f>
        <v>1.1001363300912293E-2</v>
      </c>
      <c r="Q326" s="304">
        <f t="shared" si="105"/>
        <v>0.7</v>
      </c>
      <c r="R326" s="177">
        <f t="shared" si="106"/>
        <v>0.57827201769376657</v>
      </c>
      <c r="S326" s="799">
        <f t="shared" si="107"/>
        <v>-1</v>
      </c>
      <c r="T326" s="176">
        <f t="shared" si="108"/>
        <v>5</v>
      </c>
      <c r="U326" s="250">
        <f t="shared" si="109"/>
        <v>-0.42172798230623348</v>
      </c>
      <c r="V326" s="382">
        <f t="shared" si="110"/>
        <v>30.854922978346906</v>
      </c>
      <c r="W326" s="400">
        <f t="shared" si="111"/>
        <v>20.771313420845232</v>
      </c>
      <c r="X326" s="157">
        <f t="shared" si="112"/>
        <v>46699</v>
      </c>
      <c r="Y326" s="383">
        <f t="shared" si="113"/>
        <v>19.267713044737111</v>
      </c>
      <c r="Z326" s="383">
        <f t="shared" si="114"/>
        <v>20.495771823925278</v>
      </c>
      <c r="AA326" s="384">
        <f t="shared" si="115"/>
        <v>21.979222713167143</v>
      </c>
      <c r="AB326" s="197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6.7493328067201042E-2</v>
      </c>
      <c r="AD326" s="230">
        <f>(INDEX(Models!$BJ326:$BT326,,AH326)*(1-AF326)+INDEX(Models!$BJ326:$BT326,,AH326+1)*AF326-ERP_i)*AE326*Ramure*Pc/MaxiM</f>
        <v>6.8185842342350325E-2</v>
      </c>
      <c r="AE326" s="304">
        <f t="shared" si="117"/>
        <v>0.7</v>
      </c>
      <c r="AF326" s="177">
        <f t="shared" si="118"/>
        <v>0.33392984853311747</v>
      </c>
      <c r="AG326" s="799">
        <f t="shared" si="124"/>
        <v>2</v>
      </c>
      <c r="AH326" s="176">
        <f t="shared" si="119"/>
        <v>8</v>
      </c>
      <c r="AI326" s="224">
        <f t="shared" si="120"/>
        <v>2.3339298485331175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46700</v>
      </c>
      <c r="B327" s="409">
        <f>'2026'!Wh/'2026'!Env_an*'2027'!Env_an</f>
        <v>12.311388537440401</v>
      </c>
      <c r="C327" s="829"/>
      <c r="D327" s="391">
        <f t="shared" si="102"/>
        <v>13.096325738283955</v>
      </c>
      <c r="E327" s="383">
        <f t="shared" si="125"/>
        <v>13.44067002523</v>
      </c>
      <c r="F327" s="383">
        <f t="shared" si="103"/>
        <v>13.462334005265783</v>
      </c>
      <c r="G327" s="110">
        <f t="shared" si="126"/>
        <v>0.3983920752591868</v>
      </c>
      <c r="H327" s="412" t="b">
        <f>Wh_hp&gt;='2026'!Maxi_hp</f>
        <v>0</v>
      </c>
      <c r="I327" s="388">
        <f>IF(H327,Wh_hp,'2026'!Maxi_hp)</f>
        <v>28.934926580180637</v>
      </c>
      <c r="J327" s="85">
        <f>IF(H327,An,'2026'!An_max)</f>
        <v>2020</v>
      </c>
      <c r="K327" s="197">
        <f t="shared" si="104"/>
        <v>46700</v>
      </c>
      <c r="L327" s="147">
        <f>IF(t&lt;Tvie,1-EXP((T0-t)*PertePVj)+'2026'!Pspv,1-EXP((T0-t)*PertePVj)+Pspv)</f>
        <v>5.9935680932933666E-2</v>
      </c>
      <c r="M327" s="832"/>
      <c r="N327" s="832"/>
      <c r="O327" s="48">
        <f>IF(t&lt;Tnet,'2026'!Resal+('2026'!Salim-'2026'!Resal)*(1-EXP(('2026'!Tnet-t)/('2026'!Tau_j))),Resal+(Salim-Resal)*(1-EXP((Tnet-t)/(Tau_j))))*Salcycl</f>
        <v>2.5619577468955268E-2</v>
      </c>
      <c r="P327" s="169">
        <f>(INDEX(Models!$BJ327:$BT327,,T327)*(1-R327)+INDEX(Models!$BJ327:$BT327,,T327+1)*R327-ERP_i)*Q327*Ramure*Pc/MaxiM</f>
        <v>1.1023782096559003E-2</v>
      </c>
      <c r="Q327" s="304">
        <f t="shared" si="105"/>
        <v>0.7</v>
      </c>
      <c r="R327" s="177">
        <f t="shared" si="106"/>
        <v>0.57830445101254213</v>
      </c>
      <c r="S327" s="799">
        <f t="shared" si="107"/>
        <v>-1</v>
      </c>
      <c r="T327" s="176">
        <f t="shared" si="108"/>
        <v>5</v>
      </c>
      <c r="U327" s="250">
        <f t="shared" si="109"/>
        <v>-0.42169554898745787</v>
      </c>
      <c r="V327" s="382">
        <f t="shared" si="110"/>
        <v>30.611290371989355</v>
      </c>
      <c r="W327" s="400">
        <f t="shared" si="111"/>
        <v>12.311388537440401</v>
      </c>
      <c r="X327" s="157">
        <f t="shared" si="112"/>
        <v>46700</v>
      </c>
      <c r="Y327" s="383">
        <f t="shared" si="113"/>
        <v>11.683466230384138</v>
      </c>
      <c r="Z327" s="383">
        <f t="shared" si="114"/>
        <v>12.42836898860174</v>
      </c>
      <c r="AA327" s="384">
        <f t="shared" si="115"/>
        <v>13.327772049710953</v>
      </c>
      <c r="AB327" s="197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6.7483376647991061E-2</v>
      </c>
      <c r="AD327" s="230">
        <f>(INDEX(Models!$BJ327:$BT327,,AH327)*(1-AF327)+INDEX(Models!$BJ327:$BT327,,AH327+1)*AF327-ERP_i)*AE327*Ramure*Pc/MaxiM</f>
        <v>6.8472260132861285E-2</v>
      </c>
      <c r="AE327" s="304">
        <f t="shared" si="117"/>
        <v>0.7</v>
      </c>
      <c r="AF327" s="177">
        <f t="shared" si="118"/>
        <v>0.33396228185189303</v>
      </c>
      <c r="AG327" s="799">
        <f t="shared" si="124"/>
        <v>2</v>
      </c>
      <c r="AH327" s="176">
        <f t="shared" si="119"/>
        <v>8</v>
      </c>
      <c r="AI327" s="224">
        <f t="shared" si="120"/>
        <v>2.333962281851893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46701</v>
      </c>
      <c r="B328" s="409">
        <f>'2026'!Wh/'2026'!Env_an*'2027'!Env_an</f>
        <v>21.490283478161963</v>
      </c>
      <c r="C328" s="829"/>
      <c r="D328" s="391">
        <f t="shared" si="102"/>
        <v>22.860877608633277</v>
      </c>
      <c r="E328" s="383">
        <f t="shared" si="125"/>
        <v>23.463599043463944</v>
      </c>
      <c r="F328" s="383">
        <f t="shared" si="103"/>
        <v>23.615198619272817</v>
      </c>
      <c r="G328" s="110">
        <f t="shared" si="126"/>
        <v>0.70435606007622287</v>
      </c>
      <c r="H328" s="412" t="b">
        <f>Wh_hp&gt;='2026'!Maxi_hp</f>
        <v>0</v>
      </c>
      <c r="I328" s="388">
        <f>IF(H328,Wh_hp,'2026'!Maxi_hp)</f>
        <v>23.675364749287397</v>
      </c>
      <c r="J328" s="85">
        <f>IF(H328,An,'2026'!An_max)</f>
        <v>2026</v>
      </c>
      <c r="K328" s="197">
        <f t="shared" si="104"/>
        <v>46701</v>
      </c>
      <c r="L328" s="147">
        <f>IF(t&lt;Tvie,1-EXP((T0-t)*PertePVj)+'2026'!Pspv,1-EXP((T0-t)*PertePVj)+Pspv)</f>
        <v>5.9953697051145394E-2</v>
      </c>
      <c r="M328" s="832"/>
      <c r="N328" s="832"/>
      <c r="O328" s="48">
        <f>IF(t&lt;Tnet,'2026'!Resal+('2026'!Salim-'2026'!Resal)*(1-EXP(('2026'!Tnet-t)/('2026'!Tau_j))),Resal+(Salim-Resal)*(1-EXP((Tnet-t)/(Tau_j))))*Salcycl</f>
        <v>2.5687509990014127E-2</v>
      </c>
      <c r="P328" s="169">
        <f>(INDEX(Models!$BJ328:$BT328,,T328)*(1-R328)+INDEX(Models!$BJ328:$BT328,,T328+1)*R328-ERP_i)*Q328*Ramure*Pc/MaxiM</f>
        <v>1.1023834763749582E-2</v>
      </c>
      <c r="Q328" s="304">
        <f t="shared" si="105"/>
        <v>0.7</v>
      </c>
      <c r="R328" s="177">
        <f t="shared" si="106"/>
        <v>0.57833558341977032</v>
      </c>
      <c r="S328" s="799">
        <f t="shared" si="107"/>
        <v>-1</v>
      </c>
      <c r="T328" s="176">
        <f t="shared" si="108"/>
        <v>5</v>
      </c>
      <c r="U328" s="250">
        <f t="shared" si="109"/>
        <v>-0.42166441658022974</v>
      </c>
      <c r="V328" s="382">
        <f t="shared" si="110"/>
        <v>30.36915358039413</v>
      </c>
      <c r="W328" s="400">
        <f t="shared" si="111"/>
        <v>21.490283478161963</v>
      </c>
      <c r="X328" s="157">
        <f t="shared" si="112"/>
        <v>46701</v>
      </c>
      <c r="Y328" s="383">
        <f t="shared" si="113"/>
        <v>19.871916950956983</v>
      </c>
      <c r="Z328" s="383">
        <f t="shared" si="114"/>
        <v>21.1392958927877</v>
      </c>
      <c r="AA328" s="384">
        <f t="shared" si="115"/>
        <v>22.668850739546972</v>
      </c>
      <c r="AB328" s="197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6.7473859364686931E-2</v>
      </c>
      <c r="AD328" s="230">
        <f>(INDEX(Models!$BJ328:$BT328,,AH328)*(1-AF328)+INDEX(Models!$BJ328:$BT328,,AH328+1)*AF328-ERP_i)*AE328*Ramure*Pc/MaxiM</f>
        <v>6.8815381569899553E-2</v>
      </c>
      <c r="AE328" s="304">
        <f t="shared" si="117"/>
        <v>0.7</v>
      </c>
      <c r="AF328" s="177">
        <f t="shared" si="118"/>
        <v>0.33399341425912121</v>
      </c>
      <c r="AG328" s="799">
        <f t="shared" si="124"/>
        <v>2</v>
      </c>
      <c r="AH328" s="176">
        <f t="shared" si="119"/>
        <v>8</v>
      </c>
      <c r="AI328" s="224">
        <f t="shared" si="120"/>
        <v>2.3339934142591212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46702</v>
      </c>
      <c r="B329" s="409">
        <f>'2026'!Wh/'2026'!Env_an*'2027'!Env_an</f>
        <v>29.162207717160747</v>
      </c>
      <c r="C329" s="829"/>
      <c r="D329" s="391">
        <f t="shared" si="102"/>
        <v>31.022691673216968</v>
      </c>
      <c r="E329" s="383">
        <f t="shared" si="125"/>
        <v>31.842817865504028</v>
      </c>
      <c r="F329" s="383">
        <f t="shared" si="103"/>
        <v>32.180625811145553</v>
      </c>
      <c r="G329" s="110">
        <f t="shared" si="126"/>
        <v>0.96743767114259793</v>
      </c>
      <c r="H329" s="412" t="b">
        <f>Wh_hp&gt;='2026'!Maxi_hp</f>
        <v>0</v>
      </c>
      <c r="I329" s="388">
        <f>IF(H329,Wh_hp,'2026'!Maxi_hp)</f>
        <v>32.189581326122102</v>
      </c>
      <c r="J329" s="85">
        <f>IF(H329,An,'2026'!An_max)</f>
        <v>2026</v>
      </c>
      <c r="K329" s="197">
        <f t="shared" si="104"/>
        <v>46702</v>
      </c>
      <c r="L329" s="147">
        <f>IF(t&lt;Tvie,1-EXP((T0-t)*PertePVj)+'2026'!Pspv,1-EXP((T0-t)*PertePVj)+Pspv)</f>
        <v>5.9971712824082424E-2</v>
      </c>
      <c r="M329" s="832"/>
      <c r="N329" s="832"/>
      <c r="O329" s="48">
        <f>IF(t&lt;Tnet,'2026'!Resal+('2026'!Salim-'2026'!Resal)*(1-EXP(('2026'!Tnet-t)/('2026'!Tau_j))),Resal+(Salim-Resal)*(1-EXP((Tnet-t)/(Tau_j))))*Salcycl</f>
        <v>2.575545279161744E-2</v>
      </c>
      <c r="P329" s="169">
        <f>(INDEX(Models!$BJ329:$BT329,,T329)*(1-R329)+INDEX(Models!$BJ329:$BT329,,T329+1)*R329-ERP_i)*Q329*Ramure*Pc/MaxiM</f>
        <v>1.1001249597482367E-2</v>
      </c>
      <c r="Q329" s="304">
        <f t="shared" si="105"/>
        <v>0.7</v>
      </c>
      <c r="R329" s="177">
        <f t="shared" si="106"/>
        <v>0.57836546690456792</v>
      </c>
      <c r="S329" s="799">
        <f t="shared" si="107"/>
        <v>-1</v>
      </c>
      <c r="T329" s="176">
        <f t="shared" si="108"/>
        <v>5</v>
      </c>
      <c r="U329" s="250">
        <f t="shared" si="109"/>
        <v>-0.42163453309543203</v>
      </c>
      <c r="V329" s="382">
        <f t="shared" si="110"/>
        <v>30.128404966286858</v>
      </c>
      <c r="W329" s="400">
        <f t="shared" si="111"/>
        <v>29.162207717160747</v>
      </c>
      <c r="X329" s="157">
        <f t="shared" si="112"/>
        <v>46702</v>
      </c>
      <c r="Y329" s="383">
        <f t="shared" si="113"/>
        <v>26.346705624694234</v>
      </c>
      <c r="Z329" s="383">
        <f t="shared" si="114"/>
        <v>28.027566812746024</v>
      </c>
      <c r="AA329" s="384">
        <f t="shared" si="115"/>
        <v>30.055238756781172</v>
      </c>
      <c r="AB329" s="197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6.7464842333939498E-2</v>
      </c>
      <c r="AD329" s="230">
        <f>(INDEX(Models!$BJ329:$BT329,,AH329)*(1-AF329)+INDEX(Models!$BJ329:$BT329,,AH329+1)*AF329-ERP_i)*AE329*Ramure*Pc/MaxiM</f>
        <v>6.9216588236005169E-2</v>
      </c>
      <c r="AE329" s="304">
        <f t="shared" si="117"/>
        <v>0.7</v>
      </c>
      <c r="AF329" s="177">
        <f t="shared" si="118"/>
        <v>0.33402329774391859</v>
      </c>
      <c r="AG329" s="799">
        <f t="shared" si="124"/>
        <v>2</v>
      </c>
      <c r="AH329" s="176">
        <f t="shared" si="119"/>
        <v>8</v>
      </c>
      <c r="AI329" s="224">
        <f t="shared" si="120"/>
        <v>2.3340232977439186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46703</v>
      </c>
      <c r="B330" s="409">
        <f>'2026'!Wh/'2026'!Env_an*'2027'!Env_an</f>
        <v>28.921483579892758</v>
      </c>
      <c r="C330" s="829"/>
      <c r="D330" s="391">
        <f t="shared" si="102"/>
        <v>30.76719951804786</v>
      </c>
      <c r="E330" s="383">
        <f t="shared" si="125"/>
        <v>31.582775184808892</v>
      </c>
      <c r="F330" s="383">
        <f t="shared" si="103"/>
        <v>31.916272940030844</v>
      </c>
      <c r="G330" s="110">
        <f t="shared" si="126"/>
        <v>0.96713634032823514</v>
      </c>
      <c r="H330" s="412" t="b">
        <f>Wh_hp&gt;='2026'!Maxi_hp</f>
        <v>0</v>
      </c>
      <c r="I330" s="388">
        <f>IF(H330,Wh_hp,'2026'!Maxi_hp)</f>
        <v>33.228636444643307</v>
      </c>
      <c r="J330" s="85">
        <f>IF(H330,An,'2026'!An_max)</f>
        <v>2020</v>
      </c>
      <c r="K330" s="197">
        <f t="shared" si="104"/>
        <v>46703</v>
      </c>
      <c r="L330" s="147">
        <f>IF(t&lt;Tvie,1-EXP((T0-t)*PertePVj)+'2026'!Pspv,1-EXP((T0-t)*PertePVj)+Pspv)</f>
        <v>5.9989728251751195E-2</v>
      </c>
      <c r="M330" s="832"/>
      <c r="N330" s="832"/>
      <c r="O330" s="48">
        <f>IF(t&lt;Tnet,'2026'!Resal+('2026'!Salim-'2026'!Resal)*(1-EXP(('2026'!Tnet-t)/('2026'!Tau_j))),Resal+(Salim-Resal)*(1-EXP((Tnet-t)/(Tau_j))))*Salcycl</f>
        <v>2.5823432614411904E-2</v>
      </c>
      <c r="P330" s="169">
        <f>(INDEX(Models!$BJ330:$BT330,,T330)*(1-R330)+INDEX(Models!$BJ330:$BT330,,T330+1)*R330-ERP_i)*Q330*Ramure*Pc/MaxiM</f>
        <v>1.095574270509605E-2</v>
      </c>
      <c r="Q330" s="304">
        <f t="shared" si="105"/>
        <v>0.7</v>
      </c>
      <c r="R330" s="177">
        <f t="shared" si="106"/>
        <v>0.57839415139341854</v>
      </c>
      <c r="S330" s="799">
        <f t="shared" si="107"/>
        <v>-1</v>
      </c>
      <c r="T330" s="176">
        <f t="shared" si="108"/>
        <v>5</v>
      </c>
      <c r="U330" s="250">
        <f t="shared" si="109"/>
        <v>-0.42160584860658146</v>
      </c>
      <c r="V330" s="382">
        <f t="shared" si="110"/>
        <v>29.888937160762044</v>
      </c>
      <c r="W330" s="400">
        <f t="shared" si="111"/>
        <v>28.921483579892758</v>
      </c>
      <c r="X330" s="157">
        <f t="shared" si="112"/>
        <v>46703</v>
      </c>
      <c r="Y330" s="383">
        <f t="shared" si="113"/>
        <v>26.118545771573775</v>
      </c>
      <c r="Z330" s="383">
        <f t="shared" si="114"/>
        <v>27.785383369266818</v>
      </c>
      <c r="AA330" s="384">
        <f t="shared" si="115"/>
        <v>29.795264334754162</v>
      </c>
      <c r="AB330" s="197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6.7456389811012749E-2</v>
      </c>
      <c r="AD330" s="230">
        <f>(INDEX(Models!$BJ330:$BT330,,AH330)*(1-AF330)+INDEX(Models!$BJ330:$BT330,,AH330+1)*AF330-ERP_i)*AE330*Ramure*Pc/MaxiM</f>
        <v>6.9677304242246232E-2</v>
      </c>
      <c r="AE330" s="304">
        <f t="shared" si="117"/>
        <v>0.7</v>
      </c>
      <c r="AF330" s="177">
        <f t="shared" si="118"/>
        <v>0.33405198223276944</v>
      </c>
      <c r="AG330" s="799">
        <f t="shared" si="124"/>
        <v>2</v>
      </c>
      <c r="AH330" s="176">
        <f t="shared" si="119"/>
        <v>8</v>
      </c>
      <c r="AI330" s="224">
        <f t="shared" si="120"/>
        <v>2.3340519822327694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46704</v>
      </c>
      <c r="B331" s="409">
        <f>'2026'!Wh/'2026'!Env_an*'2027'!Env_an</f>
        <v>29.068197030978737</v>
      </c>
      <c r="C331" s="829"/>
      <c r="D331" s="391">
        <f t="shared" si="102"/>
        <v>30.923868600879562</v>
      </c>
      <c r="E331" s="383">
        <f t="shared" si="125"/>
        <v>31.74581458564716</v>
      </c>
      <c r="F331" s="383">
        <f t="shared" si="103"/>
        <v>32.085342742221293</v>
      </c>
      <c r="G331" s="110">
        <f t="shared" si="126"/>
        <v>0.98007424909983976</v>
      </c>
      <c r="H331" s="412" t="b">
        <f>Wh_hp&gt;='2026'!Maxi_hp</f>
        <v>0</v>
      </c>
      <c r="I331" s="388">
        <f>IF(H331,Wh_hp,'2026'!Maxi_hp)</f>
        <v>32.090707243924719</v>
      </c>
      <c r="J331" s="85">
        <f>IF(H331,An,'2026'!An_max)</f>
        <v>2026</v>
      </c>
      <c r="K331" s="197">
        <f t="shared" si="104"/>
        <v>46704</v>
      </c>
      <c r="L331" s="147">
        <f>IF(t&lt;Tvie,1-EXP((T0-t)*PertePVj)+'2026'!Pspv,1-EXP((T0-t)*PertePVj)+Pspv)</f>
        <v>6.0007743334158481E-2</v>
      </c>
      <c r="M331" s="832"/>
      <c r="N331" s="832"/>
      <c r="O331" s="48">
        <f>IF(t&lt;Tnet,'2026'!Resal+('2026'!Salim-'2026'!Resal)*(1-EXP(('2026'!Tnet-t)/('2026'!Tau_j))),Resal+(Salim-Resal)*(1-EXP((Tnet-t)/(Tau_j))))*Salcycl</f>
        <v>2.5891475632167715E-2</v>
      </c>
      <c r="P331" s="169">
        <f>(INDEX(Models!$BJ331:$BT331,,T331)*(1-R331)+INDEX(Models!$BJ331:$BT331,,T331+1)*R331-ERP_i)*Q331*Ramure*Pc/MaxiM</f>
        <v>1.0887238630899451E-2</v>
      </c>
      <c r="Q331" s="304">
        <f t="shared" si="105"/>
        <v>0.7</v>
      </c>
      <c r="R331" s="177">
        <f t="shared" si="106"/>
        <v>0.57842168483081913</v>
      </c>
      <c r="S331" s="799">
        <f t="shared" si="107"/>
        <v>-1</v>
      </c>
      <c r="T331" s="176">
        <f t="shared" si="108"/>
        <v>5</v>
      </c>
      <c r="U331" s="250">
        <f t="shared" si="109"/>
        <v>-0.42157831516918087</v>
      </c>
      <c r="V331" s="382">
        <f t="shared" si="110"/>
        <v>29.650029470234887</v>
      </c>
      <c r="W331" s="400">
        <f t="shared" si="111"/>
        <v>29.068197030978737</v>
      </c>
      <c r="X331" s="157">
        <f t="shared" si="112"/>
        <v>46704</v>
      </c>
      <c r="Y331" s="383">
        <f t="shared" si="113"/>
        <v>26.206638592106849</v>
      </c>
      <c r="Z331" s="383">
        <f t="shared" si="114"/>
        <v>27.879632418528598</v>
      </c>
      <c r="AA331" s="384">
        <f t="shared" si="115"/>
        <v>29.896080086404542</v>
      </c>
      <c r="AB331" s="197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6.7448563893596727E-2</v>
      </c>
      <c r="AD331" s="230">
        <f>(INDEX(Models!$BJ331:$BT331,,AH331)*(1-AF331)+INDEX(Models!$BJ331:$BT331,,AH331+1)*AF331-ERP_i)*AE331*Ramure*Pc/MaxiM</f>
        <v>7.0200436983167372E-2</v>
      </c>
      <c r="AE331" s="304">
        <f t="shared" si="117"/>
        <v>0.7</v>
      </c>
      <c r="AF331" s="177">
        <f t="shared" si="118"/>
        <v>0.33407951567016969</v>
      </c>
      <c r="AG331" s="799">
        <f t="shared" si="124"/>
        <v>2</v>
      </c>
      <c r="AH331" s="176">
        <f t="shared" si="119"/>
        <v>8</v>
      </c>
      <c r="AI331" s="224">
        <f t="shared" si="120"/>
        <v>2.3340795156701697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46705</v>
      </c>
      <c r="B332" s="409">
        <f>'2026'!Wh/'2026'!Env_an*'2027'!Env_an</f>
        <v>12.345188563579224</v>
      </c>
      <c r="C332" s="829"/>
      <c r="D332" s="391">
        <f t="shared" si="102"/>
        <v>13.133539210871044</v>
      </c>
      <c r="E332" s="383">
        <f t="shared" si="125"/>
        <v>13.48356732400446</v>
      </c>
      <c r="F332" s="383">
        <f t="shared" si="103"/>
        <v>13.508520611509548</v>
      </c>
      <c r="G332" s="110">
        <f t="shared" si="126"/>
        <v>0.41598019911531797</v>
      </c>
      <c r="H332" s="412" t="b">
        <f>Wh_hp&gt;='2026'!Maxi_hp</f>
        <v>0</v>
      </c>
      <c r="I332" s="388">
        <f>IF(H332,Wh_hp,'2026'!Maxi_hp)</f>
        <v>18.993319038472997</v>
      </c>
      <c r="J332" s="85">
        <f>IF(H332,An,'2026'!An_max)</f>
        <v>2020</v>
      </c>
      <c r="K332" s="197">
        <f t="shared" si="104"/>
        <v>46705</v>
      </c>
      <c r="L332" s="147">
        <f>IF(t&lt;Tvie,1-EXP((T0-t)*PertePVj)+'2026'!Pspv,1-EXP((T0-t)*PertePVj)+Pspv)</f>
        <v>6.0025758071310831E-2</v>
      </c>
      <c r="M332" s="832"/>
      <c r="N332" s="832"/>
      <c r="O332" s="48">
        <f>IF(t&lt;Tnet,'2026'!Resal+('2026'!Salim-'2026'!Resal)*(1-EXP(('2026'!Tnet-t)/('2026'!Tau_j))),Resal+(Salim-Resal)*(1-EXP((Tnet-t)/(Tau_j))))*Salcycl</f>
        <v>2.5959607329602535E-2</v>
      </c>
      <c r="P332" s="169">
        <f>(INDEX(Models!$BJ332:$BT332,,T332)*(1-R332)+INDEX(Models!$BJ332:$BT332,,T332+1)*R332-ERP_i)*Q332*Ramure*Pc/MaxiM</f>
        <v>1.0798485081579913E-2</v>
      </c>
      <c r="Q332" s="304">
        <f t="shared" si="105"/>
        <v>0.7</v>
      </c>
      <c r="R332" s="177">
        <f t="shared" si="106"/>
        <v>0.5784481132568684</v>
      </c>
      <c r="S332" s="799">
        <f t="shared" si="107"/>
        <v>-1</v>
      </c>
      <c r="T332" s="176">
        <f t="shared" si="108"/>
        <v>5</v>
      </c>
      <c r="U332" s="250">
        <f t="shared" si="109"/>
        <v>-0.42155188674313154</v>
      </c>
      <c r="V332" s="382">
        <f t="shared" si="110"/>
        <v>29.411205389583312</v>
      </c>
      <c r="W332" s="400">
        <f t="shared" si="111"/>
        <v>12.345188563579224</v>
      </c>
      <c r="X332" s="157">
        <f t="shared" si="112"/>
        <v>46705</v>
      </c>
      <c r="Y332" s="383">
        <f t="shared" si="113"/>
        <v>11.697866951690122</v>
      </c>
      <c r="Z332" s="383">
        <f t="shared" si="114"/>
        <v>12.444880327452182</v>
      </c>
      <c r="AA332" s="384">
        <f t="shared" si="115"/>
        <v>13.344877899255746</v>
      </c>
      <c r="AB332" s="197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6.7441424237666289E-2</v>
      </c>
      <c r="AD332" s="230">
        <f>(INDEX(Models!$BJ332:$BT332,,AH332)*(1-AF332)+INDEX(Models!$BJ332:$BT332,,AH332+1)*AF332-ERP_i)*AE332*Ramure*Pc/MaxiM</f>
        <v>7.0816055264126709E-2</v>
      </c>
      <c r="AE332" s="304">
        <f t="shared" si="117"/>
        <v>0.7</v>
      </c>
      <c r="AF332" s="177">
        <f t="shared" si="118"/>
        <v>0.33410594409621908</v>
      </c>
      <c r="AG332" s="799">
        <f t="shared" si="124"/>
        <v>2</v>
      </c>
      <c r="AH332" s="176">
        <f t="shared" si="119"/>
        <v>8</v>
      </c>
      <c r="AI332" s="224">
        <f t="shared" si="120"/>
        <v>2.3341059440962191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46706</v>
      </c>
      <c r="B333" s="409">
        <f>'2026'!Wh/'2026'!Env_an*'2027'!Env_an</f>
        <v>13.509848476755478</v>
      </c>
      <c r="C333" s="829"/>
      <c r="D333" s="391">
        <f t="shared" si="102"/>
        <v>14.372848523126327</v>
      </c>
      <c r="E333" s="383">
        <f t="shared" si="125"/>
        <v>14.75693997852599</v>
      </c>
      <c r="F333" s="383">
        <f t="shared" si="103"/>
        <v>14.793856506097095</v>
      </c>
      <c r="G333" s="110">
        <f t="shared" si="126"/>
        <v>0.45929259007181267</v>
      </c>
      <c r="H333" s="412" t="b">
        <f>Wh_hp&gt;='2026'!Maxi_hp</f>
        <v>0</v>
      </c>
      <c r="I333" s="388">
        <f>IF(H333,Wh_hp,'2026'!Maxi_hp)</f>
        <v>31.702886154707713</v>
      </c>
      <c r="J333" s="85">
        <f>IF(H333,An,'2026'!An_max)</f>
        <v>2020</v>
      </c>
      <c r="K333" s="197">
        <f t="shared" si="104"/>
        <v>46706</v>
      </c>
      <c r="L333" s="147">
        <f>IF(t&lt;Tvie,1-EXP((T0-t)*PertePVj)+'2026'!Pspv,1-EXP((T0-t)*PertePVj)+Pspv)</f>
        <v>6.0043772463214795E-2</v>
      </c>
      <c r="M333" s="832"/>
      <c r="N333" s="832"/>
      <c r="O333" s="48">
        <f>IF(t&lt;Tnet,'2026'!Resal+('2026'!Salim-'2026'!Resal)*(1-EXP(('2026'!Tnet-t)/('2026'!Tau_j))),Resal+(Salim-Resal)*(1-EXP((Tnet-t)/(Tau_j))))*Salcycl</f>
        <v>2.6027852383934947E-2</v>
      </c>
      <c r="P333" s="169">
        <f>(INDEX(Models!$BJ333:$BT333,,T333)*(1-R333)+INDEX(Models!$BJ333:$BT333,,T333+1)*R333-ERP_i)*Q333*Ramure*Pc/MaxiM</f>
        <v>1.070945362514903E-2</v>
      </c>
      <c r="Q333" s="304">
        <f t="shared" si="105"/>
        <v>0.7</v>
      </c>
      <c r="R333" s="177">
        <f t="shared" si="106"/>
        <v>0.57847348088190453</v>
      </c>
      <c r="S333" s="799">
        <f t="shared" si="107"/>
        <v>-1</v>
      </c>
      <c r="T333" s="176">
        <f t="shared" si="108"/>
        <v>5</v>
      </c>
      <c r="U333" s="250">
        <f t="shared" si="109"/>
        <v>-0.42152651911809547</v>
      </c>
      <c r="V333" s="382">
        <f t="shared" si="110"/>
        <v>29.172254204500646</v>
      </c>
      <c r="W333" s="400">
        <f t="shared" si="111"/>
        <v>13.509848476755478</v>
      </c>
      <c r="X333" s="157">
        <f t="shared" si="112"/>
        <v>46706</v>
      </c>
      <c r="Y333" s="383">
        <f t="shared" si="113"/>
        <v>12.751757971161599</v>
      </c>
      <c r="Z333" s="383">
        <f t="shared" si="114"/>
        <v>13.566331705230985</v>
      </c>
      <c r="AA333" s="384">
        <f t="shared" si="115"/>
        <v>14.54733140259788</v>
      </c>
      <c r="AB333" s="197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6.7435027787413102E-2</v>
      </c>
      <c r="AD333" s="230">
        <f>(INDEX(Models!$BJ333:$BT333,,AH333)*(1-AF333)+INDEX(Models!$BJ333:$BT333,,AH333+1)*AF333-ERP_i)*AE333*Ramure*Pc/MaxiM</f>
        <v>7.1516725354915142E-2</v>
      </c>
      <c r="AE333" s="304">
        <f t="shared" si="117"/>
        <v>0.7</v>
      </c>
      <c r="AF333" s="177">
        <f t="shared" si="118"/>
        <v>0.33413131172125521</v>
      </c>
      <c r="AG333" s="799">
        <f t="shared" si="124"/>
        <v>2</v>
      </c>
      <c r="AH333" s="176">
        <f t="shared" si="119"/>
        <v>8</v>
      </c>
      <c r="AI333" s="224">
        <f t="shared" si="120"/>
        <v>2.3341313117212552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46707</v>
      </c>
      <c r="B334" s="409">
        <f>'2026'!Wh/'2026'!Env_an*'2027'!Env_an</f>
        <v>28.450912783387636</v>
      </c>
      <c r="C334" s="829"/>
      <c r="D334" s="391">
        <f t="shared" si="102"/>
        <v>30.268918078929243</v>
      </c>
      <c r="E334" s="383">
        <f t="shared" si="125"/>
        <v>31.079988755331698</v>
      </c>
      <c r="F334" s="383">
        <f t="shared" si="103"/>
        <v>31.405567813640168</v>
      </c>
      <c r="G334" s="110">
        <f t="shared" si="126"/>
        <v>0.98306686944207378</v>
      </c>
      <c r="H334" s="412" t="b">
        <f>Wh_hp&gt;='2026'!Maxi_hp</f>
        <v>0</v>
      </c>
      <c r="I334" s="388">
        <f>IF(H334,Wh_hp,'2026'!Maxi_hp)</f>
        <v>31.409877016011794</v>
      </c>
      <c r="J334" s="85">
        <f>IF(H334,An,'2026'!An_max)</f>
        <v>2026</v>
      </c>
      <c r="K334" s="197">
        <f t="shared" si="104"/>
        <v>46707</v>
      </c>
      <c r="L334" s="147">
        <f>IF(t&lt;Tvie,1-EXP((T0-t)*PertePVj)+'2026'!Pspv,1-EXP((T0-t)*PertePVj)+Pspv)</f>
        <v>6.0061786509877035E-2</v>
      </c>
      <c r="M334" s="832"/>
      <c r="N334" s="832"/>
      <c r="O334" s="48">
        <f>IF(t&lt;Tnet,'2026'!Resal+('2026'!Salim-'2026'!Resal)*(1-EXP(('2026'!Tnet-t)/('2026'!Tau_j))),Resal+(Salim-Resal)*(1-EXP((Tnet-t)/(Tau_j))))*Salcycl</f>
        <v>2.6096234551028209E-2</v>
      </c>
      <c r="P334" s="169">
        <f>(INDEX(Models!$BJ334:$BT334,,T334)*(1-R334)+INDEX(Models!$BJ334:$BT334,,T334+1)*R334-ERP_i)*Q334*Ramure*Pc/MaxiM</f>
        <v>1.0620006342293424E-2</v>
      </c>
      <c r="Q334" s="304">
        <f t="shared" si="105"/>
        <v>0.7</v>
      </c>
      <c r="R334" s="177">
        <f t="shared" si="106"/>
        <v>0.57849783015829614</v>
      </c>
      <c r="S334" s="799">
        <f t="shared" si="107"/>
        <v>-1</v>
      </c>
      <c r="T334" s="176">
        <f t="shared" si="108"/>
        <v>5</v>
      </c>
      <c r="U334" s="250">
        <f t="shared" si="109"/>
        <v>-0.4215021698417038</v>
      </c>
      <c r="V334" s="382">
        <f t="shared" si="110"/>
        <v>28.933572827825273</v>
      </c>
      <c r="W334" s="400">
        <f t="shared" si="111"/>
        <v>28.450912783387636</v>
      </c>
      <c r="X334" s="157">
        <f t="shared" si="112"/>
        <v>46707</v>
      </c>
      <c r="Y334" s="383">
        <f t="shared" si="113"/>
        <v>25.585834128935442</v>
      </c>
      <c r="Z334" s="383">
        <f t="shared" si="114"/>
        <v>27.220761707231411</v>
      </c>
      <c r="AA334" s="384">
        <f t="shared" si="115"/>
        <v>29.188956353261357</v>
      </c>
      <c r="AB334" s="197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6.7429428521175352E-2</v>
      </c>
      <c r="AD334" s="230">
        <f>(INDEX(Models!$BJ334:$BT334,,AH334)*(1-AF334)+INDEX(Models!$BJ334:$BT334,,AH334+1)*AF334-ERP_i)*AE334*Ramure*Pc/MaxiM</f>
        <v>7.2303261425739188E-2</v>
      </c>
      <c r="AE334" s="304">
        <f t="shared" si="117"/>
        <v>0.7</v>
      </c>
      <c r="AF334" s="177">
        <f t="shared" si="118"/>
        <v>0.33415566099764682</v>
      </c>
      <c r="AG334" s="799">
        <f t="shared" si="124"/>
        <v>2</v>
      </c>
      <c r="AH334" s="176">
        <f t="shared" si="119"/>
        <v>8</v>
      </c>
      <c r="AI334" s="224">
        <f t="shared" si="120"/>
        <v>2.3341556609976468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46708</v>
      </c>
      <c r="B335" s="409">
        <f>'2026'!Wh/'2026'!Env_an*'2027'!Env_an</f>
        <v>12.501449383141065</v>
      </c>
      <c r="C335" s="829"/>
      <c r="D335" s="391">
        <f t="shared" ref="D335:D379" si="127">Wh/(1-Ppv)</f>
        <v>13.300543371609127</v>
      </c>
      <c r="E335" s="383">
        <f t="shared" si="125"/>
        <v>13.657899253822789</v>
      </c>
      <c r="F335" s="383">
        <f t="shared" ref="F335:F379" si="128">Wh_sa/(1-Pvg*MEDIAN((-Sdif+Wh/Env_an)/Csdif,0,1))</f>
        <v>13.685827705014706</v>
      </c>
      <c r="G335" s="110">
        <f t="shared" si="126"/>
        <v>0.43195199429700176</v>
      </c>
      <c r="H335" s="412" t="b">
        <f>Wh_hp&gt;='2026'!Maxi_hp</f>
        <v>0</v>
      </c>
      <c r="I335" s="388">
        <f>IF(H335,Wh_hp,'2026'!Maxi_hp)</f>
        <v>19.304439918384041</v>
      </c>
      <c r="J335" s="85">
        <f>IF(H335,An,'2026'!An_max)</f>
        <v>2020</v>
      </c>
      <c r="K335" s="197">
        <f t="shared" ref="K335:K379" si="129">t</f>
        <v>46708</v>
      </c>
      <c r="L335" s="147">
        <f>IF(t&lt;Tvie,1-EXP((T0-t)*PertePVj)+'2026'!Pspv,1-EXP((T0-t)*PertePVj)+Pspv)</f>
        <v>6.0079800211304213E-2</v>
      </c>
      <c r="M335" s="832"/>
      <c r="N335" s="832"/>
      <c r="O335" s="48">
        <f>IF(t&lt;Tnet,'2026'!Resal+('2026'!Salim-'2026'!Resal)*(1-EXP(('2026'!Tnet-t)/('2026'!Tau_j))),Resal+(Salim-Resal)*(1-EXP((Tnet-t)/(Tau_j))))*Salcycl</f>
        <v>2.6164776556954008E-2</v>
      </c>
      <c r="P335" s="169">
        <f>(INDEX(Models!$BJ335:$BT335,,T335)*(1-R335)+INDEX(Models!$BJ335:$BT335,,T335+1)*R335-ERP_i)*Q335*Ramure*Pc/MaxiM</f>
        <v>1.0530001343236377E-2</v>
      </c>
      <c r="Q335" s="304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0.57852120184949163</v>
      </c>
      <c r="S335" s="799">
        <f t="shared" ref="S335:S379" si="132">INDEX(Echel_vg,T335)</f>
        <v>-1</v>
      </c>
      <c r="T335" s="176">
        <f t="shared" ref="T335:T379" si="133">MIN(MATCH(Hp_vg,Echel_vg),10)</f>
        <v>5</v>
      </c>
      <c r="U335" s="250">
        <f t="shared" ref="U335:U379" si="134">IF(OR(t&lt;Ttai,Notai),Hdd+PousH*Croivg,Hdtf+PousH*(Croivg-Croi_tai))</f>
        <v>-0.42147879815050843</v>
      </c>
      <c r="V335" s="382">
        <f t="shared" ref="V335:V379" si="135">MaxiM*(1-Ppv)*(1-Pvg)*(1-Psa)</f>
        <v>28.695558207856376</v>
      </c>
      <c r="W335" s="400">
        <f t="shared" ref="W335:W379" si="136">Wh*(A335&gt;Tmaj)</f>
        <v>12.501449383141065</v>
      </c>
      <c r="X335" s="157">
        <f t="shared" ref="X335:X379" si="137">t</f>
        <v>46708</v>
      </c>
      <c r="Y335" s="383">
        <f t="shared" ref="Y335:Y379" si="138">Wh_pvt_s*(1-Ppv)</f>
        <v>11.826139101767106</v>
      </c>
      <c r="Z335" s="383">
        <f t="shared" ref="Z335:Z379" si="139">Wh_sa_s*(1-Psa_s)</f>
        <v>12.582067184454329</v>
      </c>
      <c r="AA335" s="384">
        <f t="shared" ref="AA335:AA379" si="140">Wh_hp*(1-Pvg_s*MEDIAN((-Sdif+Wh/Env_an)/Csdif,0,1))</f>
        <v>13.491743644772948</v>
      </c>
      <c r="AB335" s="197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6.7424677215168566E-2</v>
      </c>
      <c r="AD335" s="230">
        <f>(INDEX(Models!$BJ335:$BT335,,AH335)*(1-AF335)+INDEX(Models!$BJ335:$BT335,,AH335+1)*AF335-ERP_i)*AE335*Ramure*Pc/MaxiM</f>
        <v>7.3176468004000114E-2</v>
      </c>
      <c r="AE335" s="304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0.33417903268884253</v>
      </c>
      <c r="AG335" s="799">
        <f t="shared" si="124"/>
        <v>2</v>
      </c>
      <c r="AH335" s="176">
        <f t="shared" ref="AH335:AH379" si="144">MIN(MATCH(Hp_vg_s,Echel_vg),10)</f>
        <v>8</v>
      </c>
      <c r="AI335" s="224">
        <f t="shared" ref="AI335:AI379" si="145">IF(OR(t&lt;Ttai,Notai),Hdd_s+PousH*Croivg,Hdtai_s+PousH*(Croivg-Croi_tai))</f>
        <v>2.3341790326888425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46709</v>
      </c>
      <c r="B336" s="409">
        <f>'2026'!Wh/'2026'!Env_an*'2027'!Env_an</f>
        <v>14.372243151425696</v>
      </c>
      <c r="C336" s="829"/>
      <c r="D336" s="391">
        <f t="shared" si="127"/>
        <v>15.291211531252138</v>
      </c>
      <c r="E336" s="383">
        <f t="shared" si="125"/>
        <v>15.70316038925724</v>
      </c>
      <c r="F336" s="383">
        <f t="shared" si="128"/>
        <v>15.75132100135602</v>
      </c>
      <c r="G336" s="110">
        <f t="shared" si="126"/>
        <v>0.50128333948909221</v>
      </c>
      <c r="H336" s="412" t="b">
        <f>Wh_hp&gt;='2026'!Maxi_hp</f>
        <v>0</v>
      </c>
      <c r="I336" s="388">
        <f>IF(H336,Wh_hp,'2026'!Maxi_hp)</f>
        <v>28.981060402104621</v>
      </c>
      <c r="J336" s="85">
        <f>IF(H336,An,'2026'!An_max)</f>
        <v>2020</v>
      </c>
      <c r="K336" s="197">
        <f t="shared" si="129"/>
        <v>46709</v>
      </c>
      <c r="L336" s="147">
        <f>IF(t&lt;Tvie,1-EXP((T0-t)*PertePVj)+'2026'!Pspv,1-EXP((T0-t)*PertePVj)+Pspv)</f>
        <v>6.0097813567502878E-2</v>
      </c>
      <c r="M336" s="832"/>
      <c r="N336" s="832"/>
      <c r="O336" s="48">
        <f>IF(t&lt;Tnet,'2026'!Resal+('2026'!Salim-'2026'!Resal)*(1-EXP(('2026'!Tnet-t)/('2026'!Tau_j))),Resal+(Salim-Resal)*(1-EXP((Tnet-t)/(Tau_j))))*Salcycl</f>
        <v>2.6233499995766591E-2</v>
      </c>
      <c r="P336" s="169">
        <f>(INDEX(Models!$BJ336:$BT336,,T336)*(1-R336)+INDEX(Models!$BJ336:$BT336,,T336+1)*R336-ERP_i)*Q336*Ramure*Pc/MaxiM</f>
        <v>1.0439292695968608E-2</v>
      </c>
      <c r="Q336" s="304">
        <f t="shared" si="130"/>
        <v>0.7</v>
      </c>
      <c r="R336" s="177">
        <f t="shared" si="131"/>
        <v>0.57854363509642226</v>
      </c>
      <c r="S336" s="799">
        <f t="shared" si="132"/>
        <v>-1</v>
      </c>
      <c r="T336" s="176">
        <f t="shared" si="133"/>
        <v>5</v>
      </c>
      <c r="U336" s="250">
        <f t="shared" si="134"/>
        <v>-0.42145636490357774</v>
      </c>
      <c r="V336" s="382">
        <f t="shared" si="135"/>
        <v>28.458607329471448</v>
      </c>
      <c r="W336" s="400">
        <f t="shared" si="136"/>
        <v>14.372243151425696</v>
      </c>
      <c r="X336" s="157">
        <f t="shared" si="137"/>
        <v>46709</v>
      </c>
      <c r="Y336" s="383">
        <f t="shared" si="138"/>
        <v>13.50676048303176</v>
      </c>
      <c r="Z336" s="383">
        <f t="shared" si="139"/>
        <v>14.370389470310911</v>
      </c>
      <c r="AA336" s="384">
        <f t="shared" si="140"/>
        <v>15.409296923413281</v>
      </c>
      <c r="AB336" s="197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6.7420821226686037E-2</v>
      </c>
      <c r="AD336" s="230">
        <f>(INDEX(Models!$BJ336:$BT336,,AH336)*(1-AF336)+INDEX(Models!$BJ336:$BT336,,AH336+1)*AF336-ERP_i)*AE336*Ramure*Pc/MaxiM</f>
        <v>7.4137127895919835E-2</v>
      </c>
      <c r="AE336" s="304">
        <f t="shared" si="142"/>
        <v>0.7</v>
      </c>
      <c r="AF336" s="177">
        <f t="shared" si="143"/>
        <v>0.33420146593577282</v>
      </c>
      <c r="AG336" s="799">
        <f t="shared" ref="AG336:AG379" si="149">INDEX(Echel_vg,AH336)</f>
        <v>2</v>
      </c>
      <c r="AH336" s="176">
        <f t="shared" si="144"/>
        <v>8</v>
      </c>
      <c r="AI336" s="224">
        <f t="shared" si="145"/>
        <v>2.3342014659357728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46710</v>
      </c>
      <c r="B337" s="409">
        <f>'2026'!Wh/'2026'!Env_an*'2027'!Env_an</f>
        <v>6.0162965936081605</v>
      </c>
      <c r="C337" s="829"/>
      <c r="D337" s="391">
        <f t="shared" si="127"/>
        <v>6.4011042676744436</v>
      </c>
      <c r="E337" s="383">
        <f t="shared" si="125"/>
        <v>6.5740168544779287</v>
      </c>
      <c r="F337" s="383">
        <f t="shared" si="128"/>
        <v>6.5740168544779287</v>
      </c>
      <c r="G337" s="110">
        <f t="shared" si="126"/>
        <v>0.21096328704026671</v>
      </c>
      <c r="H337" s="412" t="b">
        <f>Wh_hp&gt;='2026'!Maxi_hp</f>
        <v>0</v>
      </c>
      <c r="I337" s="388">
        <f>IF(H337,Wh_hp,'2026'!Maxi_hp)</f>
        <v>31.083466174894443</v>
      </c>
      <c r="J337" s="85">
        <f>IF(H337,An,'2026'!An_max)</f>
        <v>2020</v>
      </c>
      <c r="K337" s="197">
        <f t="shared" si="129"/>
        <v>46710</v>
      </c>
      <c r="L337" s="147">
        <f>IF(t&lt;Tvie,1-EXP((T0-t)*PertePVj)+'2026'!Pspv,1-EXP((T0-t)*PertePVj)+Pspv)</f>
        <v>6.0115826578479692E-2</v>
      </c>
      <c r="M337" s="832"/>
      <c r="N337" s="832"/>
      <c r="O337" s="48">
        <f>IF(t&lt;Tnet,'2026'!Resal+('2026'!Salim-'2026'!Resal)*(1-EXP(('2026'!Tnet-t)/('2026'!Tau_j))),Resal+(Salim-Resal)*(1-EXP((Tnet-t)/(Tau_j))))*Salcycl</f>
        <v>2.6302425234231729E-2</v>
      </c>
      <c r="P337" s="169">
        <f>(INDEX(Models!$BJ337:$BT337,,T337)*(1-R337)+INDEX(Models!$BJ337:$BT337,,T337+1)*R337-ERP_i)*Q337*Ramure*Pc/MaxiM</f>
        <v>1.0347730422381537E-2</v>
      </c>
      <c r="Q337" s="304">
        <f t="shared" si="130"/>
        <v>0.7</v>
      </c>
      <c r="R337" s="177">
        <f t="shared" si="131"/>
        <v>0.57856516748135867</v>
      </c>
      <c r="S337" s="799">
        <f t="shared" si="132"/>
        <v>-1</v>
      </c>
      <c r="T337" s="176">
        <f t="shared" si="133"/>
        <v>5</v>
      </c>
      <c r="U337" s="250">
        <f t="shared" si="134"/>
        <v>-0.42143483251864133</v>
      </c>
      <c r="V337" s="382">
        <f t="shared" si="135"/>
        <v>28.223117215555892</v>
      </c>
      <c r="W337" s="400">
        <f t="shared" si="136"/>
        <v>6.0162965936081605</v>
      </c>
      <c r="X337" s="157">
        <f t="shared" si="137"/>
        <v>46710</v>
      </c>
      <c r="Y337" s="383">
        <f t="shared" si="138"/>
        <v>5.7622516796140566</v>
      </c>
      <c r="Z337" s="383">
        <f t="shared" si="139"/>
        <v>6.1308104153274163</v>
      </c>
      <c r="AA337" s="384">
        <f t="shared" si="140"/>
        <v>6.5740168544779287</v>
      </c>
      <c r="AB337" s="197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6.7417904298286035E-2</v>
      </c>
      <c r="AD337" s="230">
        <f>(INDEX(Models!$BJ337:$BT337,,AH337)*(1-AF337)+INDEX(Models!$BJ337:$BT337,,AH337+1)*AF337-ERP_i)*AE337*Ramure*Pc/MaxiM</f>
        <v>7.5185989083510471E-2</v>
      </c>
      <c r="AE337" s="304">
        <f t="shared" si="142"/>
        <v>0.7</v>
      </c>
      <c r="AF337" s="177">
        <f t="shared" si="143"/>
        <v>0.33422299832070923</v>
      </c>
      <c r="AG337" s="799">
        <f t="shared" si="149"/>
        <v>2</v>
      </c>
      <c r="AH337" s="176">
        <f t="shared" si="144"/>
        <v>8</v>
      </c>
      <c r="AI337" s="224">
        <f t="shared" si="145"/>
        <v>2.3342229983207092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46711</v>
      </c>
      <c r="B338" s="409">
        <f>'2026'!Wh/'2026'!Env_an*'2027'!Env_an</f>
        <v>19.957419297351279</v>
      </c>
      <c r="C338" s="829"/>
      <c r="D338" s="391">
        <f t="shared" si="127"/>
        <v>21.234320513575312</v>
      </c>
      <c r="E338" s="383">
        <f t="shared" si="125"/>
        <v>21.809470520961948</v>
      </c>
      <c r="F338" s="383">
        <f t="shared" si="128"/>
        <v>21.942278678625311</v>
      </c>
      <c r="G338" s="110">
        <f t="shared" si="126"/>
        <v>0.71001794588700484</v>
      </c>
      <c r="H338" s="412" t="b">
        <f>Wh_hp&gt;='2026'!Maxi_hp</f>
        <v>0</v>
      </c>
      <c r="I338" s="388">
        <f>IF(H338,Wh_hp,'2026'!Maxi_hp)</f>
        <v>30.262737933685557</v>
      </c>
      <c r="J338" s="85">
        <f>IF(H338,An,'2026'!An_max)</f>
        <v>2018</v>
      </c>
      <c r="K338" s="197">
        <f t="shared" si="129"/>
        <v>46711</v>
      </c>
      <c r="L338" s="147">
        <f>IF(t&lt;Tvie,1-EXP((T0-t)*PertePVj)+'2026'!Pspv,1-EXP((T0-t)*PertePVj)+Pspv)</f>
        <v>6.0133839244241316E-2</v>
      </c>
      <c r="M338" s="832"/>
      <c r="N338" s="832"/>
      <c r="O338" s="48">
        <f>IF(t&lt;Tnet,'2026'!Resal+('2026'!Salim-'2026'!Resal)*(1-EXP(('2026'!Tnet-t)/('2026'!Tau_j))),Resal+(Salim-Resal)*(1-EXP((Tnet-t)/(Tau_j))))*Salcycl</f>
        <v>2.6371571324202335E-2</v>
      </c>
      <c r="P338" s="169">
        <f>(INDEX(Models!$BJ338:$BT338,,T338)*(1-R338)+INDEX(Models!$BJ338:$BT338,,T338+1)*R338-ERP_i)*Q338*Ramure*Pc/MaxiM</f>
        <v>1.0257808218039339E-2</v>
      </c>
      <c r="Q338" s="304">
        <f t="shared" si="130"/>
        <v>0.7</v>
      </c>
      <c r="R338" s="177">
        <f t="shared" si="131"/>
        <v>0.57858583508930994</v>
      </c>
      <c r="S338" s="799">
        <f t="shared" si="132"/>
        <v>-1</v>
      </c>
      <c r="T338" s="176">
        <f t="shared" si="133"/>
        <v>5</v>
      </c>
      <c r="U338" s="250">
        <f t="shared" si="134"/>
        <v>-0.42141416491069006</v>
      </c>
      <c r="V338" s="382">
        <f t="shared" si="135"/>
        <v>27.989410047568146</v>
      </c>
      <c r="W338" s="400">
        <f t="shared" si="136"/>
        <v>19.957419297351279</v>
      </c>
      <c r="X338" s="157">
        <f t="shared" si="137"/>
        <v>46711</v>
      </c>
      <c r="Y338" s="383">
        <f t="shared" si="138"/>
        <v>18.366227019516572</v>
      </c>
      <c r="Z338" s="383">
        <f t="shared" si="139"/>
        <v>19.541321718347692</v>
      </c>
      <c r="AA338" s="384">
        <f t="shared" si="140"/>
        <v>20.953952688408044</v>
      </c>
      <c r="AB338" s="197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6.741596638432025E-2</v>
      </c>
      <c r="AD338" s="230">
        <f>(INDEX(Models!$BJ338:$BT338,,AH338)*(1-AF338)+INDEX(Models!$BJ338:$BT338,,AH338+1)*AF338-ERP_i)*AE338*Ramure*Pc/MaxiM</f>
        <v>7.6336112501840026E-2</v>
      </c>
      <c r="AE338" s="304">
        <f t="shared" si="142"/>
        <v>0.7</v>
      </c>
      <c r="AF338" s="177">
        <f t="shared" si="143"/>
        <v>0.3342436659286605</v>
      </c>
      <c r="AG338" s="799">
        <f t="shared" si="149"/>
        <v>2</v>
      </c>
      <c r="AH338" s="176">
        <f t="shared" si="144"/>
        <v>8</v>
      </c>
      <c r="AI338" s="224">
        <f t="shared" si="145"/>
        <v>2.3342436659286605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46712</v>
      </c>
      <c r="B339" s="409">
        <f>'2026'!Wh/'2026'!Env_an*'2027'!Env_an</f>
        <v>3.2155912502762227</v>
      </c>
      <c r="C339" s="829"/>
      <c r="D339" s="391">
        <f t="shared" si="127"/>
        <v>3.4213944621053956</v>
      </c>
      <c r="E339" s="383">
        <f t="shared" si="125"/>
        <v>3.5143163457025564</v>
      </c>
      <c r="F339" s="383">
        <f t="shared" si="128"/>
        <v>3.5143163457025564</v>
      </c>
      <c r="G339" s="110">
        <f t="shared" si="126"/>
        <v>0.11466618377025288</v>
      </c>
      <c r="H339" s="412" t="b">
        <f>Wh_hp&gt;='2026'!Maxi_hp</f>
        <v>0</v>
      </c>
      <c r="I339" s="388">
        <f>IF(H339,Wh_hp,'2026'!Maxi_hp)</f>
        <v>27.490335001003508</v>
      </c>
      <c r="J339" s="85">
        <f>IF(H339,An,'2026'!An_max)</f>
        <v>2018</v>
      </c>
      <c r="K339" s="197">
        <f t="shared" si="129"/>
        <v>46712</v>
      </c>
      <c r="L339" s="147">
        <f>IF(t&lt;Tvie,1-EXP((T0-t)*PertePVj)+'2026'!Pspv,1-EXP((T0-t)*PertePVj)+Pspv)</f>
        <v>6.0151851564794301E-2</v>
      </c>
      <c r="M339" s="832"/>
      <c r="N339" s="832"/>
      <c r="O339" s="48">
        <f>IF(t&lt;Tnet,'2026'!Resal+('2026'!Salim-'2026'!Resal)*(1-EXP(('2026'!Tnet-t)/('2026'!Tau_j))),Resal+(Salim-Resal)*(1-EXP((Tnet-t)/(Tau_j))))*Salcycl</f>
        <v>2.6440955923273484E-2</v>
      </c>
      <c r="P339" s="169">
        <f>(INDEX(Models!$BJ339:$BT339,,T339)*(1-R339)+INDEX(Models!$BJ339:$BT339,,T339+1)*R339-ERP_i)*Q339*Ramure*Pc/MaxiM</f>
        <v>1.0172602657789912E-2</v>
      </c>
      <c r="Q339" s="304">
        <f t="shared" si="130"/>
        <v>0.7</v>
      </c>
      <c r="R339" s="177">
        <f t="shared" si="131"/>
        <v>0.57860567256705797</v>
      </c>
      <c r="S339" s="799">
        <f t="shared" si="132"/>
        <v>-1</v>
      </c>
      <c r="T339" s="176">
        <f t="shared" si="133"/>
        <v>5</v>
      </c>
      <c r="U339" s="250">
        <f t="shared" si="134"/>
        <v>-0.42139432743294203</v>
      </c>
      <c r="V339" s="382">
        <f t="shared" si="135"/>
        <v>27.757794089969625</v>
      </c>
      <c r="W339" s="400">
        <f t="shared" si="136"/>
        <v>3.2155912502762227</v>
      </c>
      <c r="X339" s="157">
        <f t="shared" si="137"/>
        <v>46712</v>
      </c>
      <c r="Y339" s="383">
        <f t="shared" si="138"/>
        <v>3.0802569648987159</v>
      </c>
      <c r="Z339" s="383">
        <f t="shared" si="139"/>
        <v>3.2773985563808052</v>
      </c>
      <c r="AA339" s="384">
        <f t="shared" si="140"/>
        <v>3.5143163457025564</v>
      </c>
      <c r="AB339" s="197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6.7415043500982402E-2</v>
      </c>
      <c r="AD339" s="230">
        <f>(INDEX(Models!$BJ339:$BT339,,AH339)*(1-AF339)+INDEX(Models!$BJ339:$BT339,,AH339+1)*AF339-ERP_i)*AE339*Ramure*Pc/MaxiM</f>
        <v>7.7541950215417071E-2</v>
      </c>
      <c r="AE339" s="304">
        <f t="shared" si="142"/>
        <v>0.7</v>
      </c>
      <c r="AF339" s="177">
        <f t="shared" si="143"/>
        <v>0.33426350340640898</v>
      </c>
      <c r="AG339" s="799">
        <f t="shared" si="149"/>
        <v>2</v>
      </c>
      <c r="AH339" s="176">
        <f t="shared" si="144"/>
        <v>8</v>
      </c>
      <c r="AI339" s="224">
        <f t="shared" si="145"/>
        <v>2.334263503406409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46713</v>
      </c>
      <c r="B340" s="409">
        <f>'2026'!Wh/'2026'!Env_an*'2027'!Env_an</f>
        <v>9.8354926392892423</v>
      </c>
      <c r="C340" s="829"/>
      <c r="D340" s="391">
        <f t="shared" si="127"/>
        <v>10.465181161712374</v>
      </c>
      <c r="E340" s="383">
        <f t="shared" si="125"/>
        <v>10.750174691550423</v>
      </c>
      <c r="F340" s="383">
        <f t="shared" si="128"/>
        <v>10.759060008349925</v>
      </c>
      <c r="G340" s="110">
        <f t="shared" si="126"/>
        <v>0.35396844031784536</v>
      </c>
      <c r="H340" s="412" t="b">
        <f>Wh_hp&gt;='2026'!Maxi_hp</f>
        <v>0</v>
      </c>
      <c r="I340" s="388">
        <f>IF(H340,Wh_hp,'2026'!Maxi_hp)</f>
        <v>31.520653340989391</v>
      </c>
      <c r="J340" s="85">
        <f>IF(H340,An,'2026'!An_max)</f>
        <v>2020</v>
      </c>
      <c r="K340" s="197">
        <f t="shared" si="129"/>
        <v>46713</v>
      </c>
      <c r="L340" s="147">
        <f>IF(t&lt;Tvie,1-EXP((T0-t)*PertePVj)+'2026'!Pspv,1-EXP((T0-t)*PertePVj)+Pspv)</f>
        <v>6.0169863540145196E-2</v>
      </c>
      <c r="M340" s="832"/>
      <c r="N340" s="832"/>
      <c r="O340" s="48">
        <f>IF(t&lt;Tnet,'2026'!Resal+('2026'!Salim-'2026'!Resal)*(1-EXP(('2026'!Tnet-t)/('2026'!Tau_j))),Resal+(Salim-Resal)*(1-EXP((Tnet-t)/(Tau_j))))*Salcycl</f>
        <v>2.6510595224285251E-2</v>
      </c>
      <c r="P340" s="169">
        <f>(INDEX(Models!$BJ340:$BT340,,T340)*(1-R340)+INDEX(Models!$BJ340:$BT340,,T340+1)*R340-ERP_i)*Q340*Ramure*Pc/MaxiM</f>
        <v>1.0092058755291792E-2</v>
      </c>
      <c r="Q340" s="304">
        <f t="shared" si="130"/>
        <v>0.7</v>
      </c>
      <c r="R340" s="177">
        <f t="shared" si="131"/>
        <v>0.57862471317991293</v>
      </c>
      <c r="S340" s="799">
        <f t="shared" si="132"/>
        <v>-1</v>
      </c>
      <c r="T340" s="176">
        <f t="shared" si="133"/>
        <v>5</v>
      </c>
      <c r="U340" s="250">
        <f t="shared" si="134"/>
        <v>-0.42137528682008712</v>
      </c>
      <c r="V340" s="382">
        <f t="shared" si="135"/>
        <v>27.528667601756503</v>
      </c>
      <c r="W340" s="400">
        <f t="shared" si="136"/>
        <v>9.8354926392892423</v>
      </c>
      <c r="X340" s="157">
        <f t="shared" si="137"/>
        <v>46713</v>
      </c>
      <c r="Y340" s="383">
        <f t="shared" si="138"/>
        <v>9.3691974943455847</v>
      </c>
      <c r="Z340" s="383">
        <f t="shared" si="139"/>
        <v>9.969032839952769</v>
      </c>
      <c r="AA340" s="384">
        <f t="shared" si="140"/>
        <v>10.689679366012047</v>
      </c>
      <c r="AB340" s="197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6.7415167600871351E-2</v>
      </c>
      <c r="AD340" s="230">
        <f>(INDEX(Models!$BJ340:$BT340,,AH340)*(1-AF340)+INDEX(Models!$BJ340:$BT340,,AH340+1)*AF340-ERP_i)*AE340*Ramure*Pc/MaxiM</f>
        <v>7.8803438836637624E-2</v>
      </c>
      <c r="AE340" s="304">
        <f t="shared" si="142"/>
        <v>0.7</v>
      </c>
      <c r="AF340" s="177">
        <f t="shared" si="143"/>
        <v>0.33428254401926383</v>
      </c>
      <c r="AG340" s="799">
        <f t="shared" si="149"/>
        <v>2</v>
      </c>
      <c r="AH340" s="176">
        <f t="shared" si="144"/>
        <v>8</v>
      </c>
      <c r="AI340" s="224">
        <f t="shared" si="145"/>
        <v>2.3342825440192638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46714</v>
      </c>
      <c r="B341" s="409">
        <f>'2026'!Wh/'2026'!Env_an*'2027'!Env_an</f>
        <v>13.442391580842731</v>
      </c>
      <c r="C341" s="829"/>
      <c r="D341" s="391">
        <f t="shared" si="127"/>
        <v>14.30327533099085</v>
      </c>
      <c r="E341" s="383">
        <f t="shared" si="125"/>
        <v>14.69384513892644</v>
      </c>
      <c r="F341" s="383">
        <f t="shared" si="128"/>
        <v>14.734398483428199</v>
      </c>
      <c r="G341" s="110">
        <f t="shared" si="126"/>
        <v>0.48876526527840719</v>
      </c>
      <c r="H341" s="412" t="b">
        <f>Wh_hp&gt;='2026'!Maxi_hp</f>
        <v>0</v>
      </c>
      <c r="I341" s="388">
        <f>IF(H341,Wh_hp,'2026'!Maxi_hp)</f>
        <v>31.418721073336016</v>
      </c>
      <c r="J341" s="85">
        <f>IF(H341,An,'2026'!An_max)</f>
        <v>2020</v>
      </c>
      <c r="K341" s="197">
        <f t="shared" si="129"/>
        <v>46714</v>
      </c>
      <c r="L341" s="147">
        <f>IF(t&lt;Tvie,1-EXP((T0-t)*PertePVj)+'2026'!Pspv,1-EXP((T0-t)*PertePVj)+Pspv)</f>
        <v>6.0187875170300775E-2</v>
      </c>
      <c r="M341" s="832"/>
      <c r="N341" s="832"/>
      <c r="O341" s="48">
        <f>IF(t&lt;Tnet,'2026'!Resal+('2026'!Salim-'2026'!Resal)*(1-EXP(('2026'!Tnet-t)/('2026'!Tau_j))),Resal+(Salim-Resal)*(1-EXP((Tnet-t)/(Tau_j))))*Salcycl</f>
        <v>2.6580503894171624E-2</v>
      </c>
      <c r="P341" s="169">
        <f>(INDEX(Models!$BJ341:$BT341,,T341)*(1-R341)+INDEX(Models!$BJ341:$BT341,,T341+1)*R341-ERP_i)*Q341*Ramure*Pc/MaxiM</f>
        <v>1.0016057630236459E-2</v>
      </c>
      <c r="Q341" s="304">
        <f t="shared" si="130"/>
        <v>0.7</v>
      </c>
      <c r="R341" s="177">
        <f t="shared" si="131"/>
        <v>0.57864298886627263</v>
      </c>
      <c r="S341" s="799">
        <f t="shared" si="132"/>
        <v>-1</v>
      </c>
      <c r="T341" s="176">
        <f t="shared" si="133"/>
        <v>5</v>
      </c>
      <c r="U341" s="250">
        <f t="shared" si="134"/>
        <v>-0.42135701113372737</v>
      </c>
      <c r="V341" s="382">
        <f t="shared" si="135"/>
        <v>27.302430521023261</v>
      </c>
      <c r="W341" s="400">
        <f t="shared" si="136"/>
        <v>13.442391580842731</v>
      </c>
      <c r="X341" s="157">
        <f t="shared" si="137"/>
        <v>46714</v>
      </c>
      <c r="Y341" s="383">
        <f t="shared" si="138"/>
        <v>12.629699159115054</v>
      </c>
      <c r="Z341" s="383">
        <f t="shared" si="139"/>
        <v>13.438536091885011</v>
      </c>
      <c r="AA341" s="384">
        <f t="shared" si="140"/>
        <v>14.410006361637526</v>
      </c>
      <c r="AB341" s="197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6.7416366472868097E-2</v>
      </c>
      <c r="AD341" s="230">
        <f>(INDEX(Models!$BJ341:$BT341,,AH341)*(1-AF341)+INDEX(Models!$BJ341:$BT341,,AH341+1)*AF341-ERP_i)*AE341*Ramure*Pc/MaxiM</f>
        <v>8.0119906916902864E-2</v>
      </c>
      <c r="AE341" s="304">
        <f t="shared" si="142"/>
        <v>0.7</v>
      </c>
      <c r="AF341" s="177">
        <f t="shared" si="143"/>
        <v>0.3343008197056232</v>
      </c>
      <c r="AG341" s="799">
        <f t="shared" si="149"/>
        <v>2</v>
      </c>
      <c r="AH341" s="176">
        <f t="shared" si="144"/>
        <v>8</v>
      </c>
      <c r="AI341" s="224">
        <f t="shared" si="145"/>
        <v>2.3343008197056232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46715</v>
      </c>
      <c r="B342" s="409">
        <f>'2026'!Wh/'2026'!Env_an*'2027'!Env_an</f>
        <v>14.074176967039174</v>
      </c>
      <c r="C342" s="829"/>
      <c r="D342" s="391">
        <f t="shared" si="127"/>
        <v>14.975808811947052</v>
      </c>
      <c r="E342" s="383">
        <f t="shared" si="125"/>
        <v>15.385852473891132</v>
      </c>
      <c r="F342" s="383">
        <f t="shared" si="128"/>
        <v>15.43403240167849</v>
      </c>
      <c r="G342" s="110">
        <f t="shared" si="126"/>
        <v>0.51617865070106661</v>
      </c>
      <c r="H342" s="412" t="b">
        <f>Wh_hp&gt;='2026'!Maxi_hp</f>
        <v>0</v>
      </c>
      <c r="I342" s="388">
        <f>IF(H342,Wh_hp,'2026'!Maxi_hp)</f>
        <v>29.328916242000091</v>
      </c>
      <c r="J342" s="85">
        <f>IF(H342,An,'2026'!An_max)</f>
        <v>2020</v>
      </c>
      <c r="K342" s="197">
        <f t="shared" si="129"/>
        <v>46715</v>
      </c>
      <c r="L342" s="147">
        <f>IF(t&lt;Tvie,1-EXP((T0-t)*PertePVj)+'2026'!Pspv,1-EXP((T0-t)*PertePVj)+Pspv)</f>
        <v>6.0205886455267477E-2</v>
      </c>
      <c r="M342" s="832"/>
      <c r="N342" s="832"/>
      <c r="O342" s="48">
        <f>IF(t&lt;Tnet,'2026'!Resal+('2026'!Salim-'2026'!Resal)*(1-EXP(('2026'!Tnet-t)/('2026'!Tau_j))),Resal+(Salim-Resal)*(1-EXP((Tnet-t)/(Tau_j))))*Salcycl</f>
        <v>2.6650695022580041E-2</v>
      </c>
      <c r="P342" s="169">
        <f>(INDEX(Models!$BJ342:$BT342,,T342)*(1-R342)+INDEX(Models!$BJ342:$BT342,,T342+1)*R342-ERP_i)*Q342*Ramure*Pc/MaxiM</f>
        <v>9.9445213844117104E-3</v>
      </c>
      <c r="Q342" s="304">
        <f t="shared" si="130"/>
        <v>0.7</v>
      </c>
      <c r="R342" s="177">
        <f t="shared" si="131"/>
        <v>0.57866053029007103</v>
      </c>
      <c r="S342" s="799">
        <f t="shared" si="132"/>
        <v>-1</v>
      </c>
      <c r="T342" s="176">
        <f t="shared" si="133"/>
        <v>5</v>
      </c>
      <c r="U342" s="250">
        <f t="shared" si="134"/>
        <v>-0.42133946970992897</v>
      </c>
      <c r="V342" s="382">
        <f t="shared" si="135"/>
        <v>27.079481502111605</v>
      </c>
      <c r="W342" s="400">
        <f t="shared" si="136"/>
        <v>14.074176967039174</v>
      </c>
      <c r="X342" s="157">
        <f t="shared" si="137"/>
        <v>46715</v>
      </c>
      <c r="Y342" s="383">
        <f t="shared" si="138"/>
        <v>13.180890201045079</v>
      </c>
      <c r="Z342" s="383">
        <f t="shared" si="139"/>
        <v>14.025295552585616</v>
      </c>
      <c r="AA342" s="384">
        <f t="shared" si="140"/>
        <v>15.039219643563085</v>
      </c>
      <c r="AB342" s="197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6.7418663667927439E-2</v>
      </c>
      <c r="AD342" s="230">
        <f>(INDEX(Models!$BJ342:$BT342,,AH342)*(1-AF342)+INDEX(Models!$BJ342:$BT342,,AH342+1)*AF342-ERP_i)*AE342*Ramure*Pc/MaxiM</f>
        <v>8.149086344100881E-2</v>
      </c>
      <c r="AE342" s="304">
        <f t="shared" si="142"/>
        <v>0.7</v>
      </c>
      <c r="AF342" s="177">
        <f t="shared" si="143"/>
        <v>0.33431836112942204</v>
      </c>
      <c r="AG342" s="799">
        <f t="shared" si="149"/>
        <v>2</v>
      </c>
      <c r="AH342" s="176">
        <f t="shared" si="144"/>
        <v>8</v>
      </c>
      <c r="AI342" s="224">
        <f t="shared" si="145"/>
        <v>2.334318361129422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46716</v>
      </c>
      <c r="B343" s="409">
        <f>'2026'!Wh/'2026'!Env_an*'2027'!Env_an</f>
        <v>4.1290435816959628</v>
      </c>
      <c r="C343" s="829"/>
      <c r="D343" s="391">
        <f t="shared" si="127"/>
        <v>4.3936460719215393</v>
      </c>
      <c r="E343" s="383">
        <f t="shared" si="125"/>
        <v>4.5142727674741998</v>
      </c>
      <c r="F343" s="383">
        <f t="shared" si="128"/>
        <v>4.5142727674741998</v>
      </c>
      <c r="G343" s="110">
        <f t="shared" si="126"/>
        <v>0.15220499402007118</v>
      </c>
      <c r="H343" s="412" t="b">
        <f>Wh_hp&gt;='2026'!Maxi_hp</f>
        <v>0</v>
      </c>
      <c r="I343" s="388">
        <f>IF(H343,Wh_hp,'2026'!Maxi_hp)</f>
        <v>27.79857439619018</v>
      </c>
      <c r="J343" s="85">
        <f>IF(H343,An,'2026'!An_max)</f>
        <v>2020</v>
      </c>
      <c r="K343" s="197">
        <f t="shared" si="129"/>
        <v>46716</v>
      </c>
      <c r="L343" s="147">
        <f>IF(t&lt;Tvie,1-EXP((T0-t)*PertePVj)+'2026'!Pspv,1-EXP((T0-t)*PertePVj)+Pspv)</f>
        <v>6.0223897395052073E-2</v>
      </c>
      <c r="M343" s="832"/>
      <c r="N343" s="832"/>
      <c r="O343" s="48">
        <f>IF(t&lt;Tnet,'2026'!Resal+('2026'!Salim-'2026'!Resal)*(1-EXP(('2026'!Tnet-t)/('2026'!Tau_j))),Resal+(Salim-Resal)*(1-EXP((Tnet-t)/(Tau_j))))*Salcycl</f>
        <v>2.6721180080607417E-2</v>
      </c>
      <c r="P343" s="169">
        <f>(INDEX(Models!$BJ343:$BT343,,T343)*(1-R343)+INDEX(Models!$BJ343:$BT343,,T343+1)*R343-ERP_i)*Q343*Ramure*Pc/MaxiM</f>
        <v>9.8774206350206051E-3</v>
      </c>
      <c r="Q343" s="304">
        <f t="shared" si="130"/>
        <v>0.7</v>
      </c>
      <c r="R343" s="177">
        <f t="shared" si="131"/>
        <v>0.57867736689118887</v>
      </c>
      <c r="S343" s="799">
        <f t="shared" si="132"/>
        <v>-1</v>
      </c>
      <c r="T343" s="176">
        <f t="shared" si="133"/>
        <v>5</v>
      </c>
      <c r="U343" s="250">
        <f t="shared" si="134"/>
        <v>-0.42132263310881107</v>
      </c>
      <c r="V343" s="382">
        <f t="shared" si="135"/>
        <v>26.860217746075428</v>
      </c>
      <c r="W343" s="400">
        <f t="shared" si="136"/>
        <v>4.1290435816959628</v>
      </c>
      <c r="X343" s="157">
        <f t="shared" si="137"/>
        <v>46716</v>
      </c>
      <c r="Y343" s="383">
        <f t="shared" si="138"/>
        <v>3.9563738597758027</v>
      </c>
      <c r="Z343" s="383">
        <f t="shared" si="139"/>
        <v>4.2099111147955384</v>
      </c>
      <c r="AA343" s="384">
        <f t="shared" si="140"/>
        <v>4.5142727674741998</v>
      </c>
      <c r="AB343" s="197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6.7422078451177841E-2</v>
      </c>
      <c r="AD343" s="230">
        <f>(INDEX(Models!$BJ343:$BT343,,AH343)*(1-AF343)+INDEX(Models!$BJ343:$BT343,,AH343+1)*AF343-ERP_i)*AE343*Ramure*Pc/MaxiM</f>
        <v>8.2916090854261368E-2</v>
      </c>
      <c r="AE343" s="304">
        <f t="shared" si="142"/>
        <v>0.7</v>
      </c>
      <c r="AF343" s="177">
        <f t="shared" si="143"/>
        <v>0.33433519773053977</v>
      </c>
      <c r="AG343" s="799">
        <f t="shared" si="149"/>
        <v>2</v>
      </c>
      <c r="AH343" s="176">
        <f t="shared" si="144"/>
        <v>8</v>
      </c>
      <c r="AI343" s="224">
        <f t="shared" si="145"/>
        <v>2.3343351977305398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46717</v>
      </c>
      <c r="B344" s="409">
        <f>'2026'!Wh/'2026'!Env_an*'2027'!Env_an</f>
        <v>14.599982839651881</v>
      </c>
      <c r="C344" s="829"/>
      <c r="D344" s="391">
        <f t="shared" si="127"/>
        <v>15.535894783751708</v>
      </c>
      <c r="E344" s="383">
        <f t="shared" si="125"/>
        <v>15.963590812162543</v>
      </c>
      <c r="F344" s="383">
        <f t="shared" si="128"/>
        <v>16.019280687802887</v>
      </c>
      <c r="G344" s="110">
        <f t="shared" si="126"/>
        <v>0.54445866711846891</v>
      </c>
      <c r="H344" s="412" t="b">
        <f>Wh_hp&gt;='2026'!Maxi_hp</f>
        <v>0</v>
      </c>
      <c r="I344" s="388">
        <f>IF(H344,Wh_hp,'2026'!Maxi_hp)</f>
        <v>28.034337428546774</v>
      </c>
      <c r="J344" s="85">
        <f>IF(H344,An,'2026'!An_max)</f>
        <v>2020</v>
      </c>
      <c r="K344" s="197">
        <f t="shared" si="129"/>
        <v>46717</v>
      </c>
      <c r="L344" s="147">
        <f>IF(t&lt;Tvie,1-EXP((T0-t)*PertePVj)+'2026'!Pspv,1-EXP((T0-t)*PertePVj)+Pspv)</f>
        <v>6.0241907989661114E-2</v>
      </c>
      <c r="M344" s="832"/>
      <c r="N344" s="832"/>
      <c r="O344" s="48">
        <f>IF(t&lt;Tnet,'2026'!Resal+('2026'!Salim-'2026'!Resal)*(1-EXP(('2026'!Tnet-t)/('2026'!Tau_j))),Resal+(Salim-Resal)*(1-EXP((Tnet-t)/(Tau_j))))*Salcycl</f>
        <v>2.679196888991774E-2</v>
      </c>
      <c r="P344" s="169">
        <f>(INDEX(Models!$BJ344:$BT344,,T344)*(1-R344)+INDEX(Models!$BJ344:$BT344,,T344+1)*R344-ERP_i)*Q344*Ramure*Pc/MaxiM</f>
        <v>9.8147220065319622E-3</v>
      </c>
      <c r="Q344" s="304">
        <f t="shared" si="130"/>
        <v>0.7</v>
      </c>
      <c r="R344" s="177">
        <f t="shared" si="131"/>
        <v>0.57869352693390763</v>
      </c>
      <c r="S344" s="799">
        <f t="shared" si="132"/>
        <v>-1</v>
      </c>
      <c r="T344" s="176">
        <f t="shared" si="133"/>
        <v>5</v>
      </c>
      <c r="U344" s="250">
        <f t="shared" si="134"/>
        <v>-0.42130647306609237</v>
      </c>
      <c r="V344" s="382">
        <f t="shared" si="135"/>
        <v>26.645036445181777</v>
      </c>
      <c r="W344" s="400">
        <f t="shared" si="136"/>
        <v>14.599982839651881</v>
      </c>
      <c r="X344" s="157">
        <f t="shared" si="137"/>
        <v>46717</v>
      </c>
      <c r="Y344" s="383">
        <f t="shared" si="138"/>
        <v>13.619514381701851</v>
      </c>
      <c r="Z344" s="383">
        <f t="shared" si="139"/>
        <v>14.492574735447997</v>
      </c>
      <c r="AA344" s="384">
        <f t="shared" si="140"/>
        <v>15.54041230008046</v>
      </c>
      <c r="AB344" s="197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6.7426625780516655E-2</v>
      </c>
      <c r="AD344" s="230">
        <f>(INDEX(Models!$BJ344:$BT344,,AH344)*(1-AF344)+INDEX(Models!$BJ344:$BT344,,AH344+1)*AF344-ERP_i)*AE344*Ramure*Pc/MaxiM</f>
        <v>8.4395234307307637E-2</v>
      </c>
      <c r="AE344" s="304">
        <f t="shared" si="142"/>
        <v>0.7</v>
      </c>
      <c r="AF344" s="177">
        <f t="shared" si="143"/>
        <v>0.33435135777325842</v>
      </c>
      <c r="AG344" s="799">
        <f t="shared" si="149"/>
        <v>2</v>
      </c>
      <c r="AH344" s="176">
        <f t="shared" si="144"/>
        <v>8</v>
      </c>
      <c r="AI344" s="224">
        <f t="shared" si="145"/>
        <v>2.3343513577732584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46718</v>
      </c>
      <c r="B345" s="409">
        <f>'2026'!Wh/'2026'!Env_an*'2027'!Env_an</f>
        <v>16.494945682462593</v>
      </c>
      <c r="C345" s="829"/>
      <c r="D345" s="391">
        <f t="shared" si="127"/>
        <v>17.552668022368614</v>
      </c>
      <c r="E345" s="383">
        <f t="shared" si="125"/>
        <v>18.037202652660017</v>
      </c>
      <c r="F345" s="383">
        <f t="shared" si="128"/>
        <v>18.119062342240671</v>
      </c>
      <c r="G345" s="110">
        <f t="shared" si="126"/>
        <v>0.62081157931458775</v>
      </c>
      <c r="H345" s="412" t="b">
        <f>Wh_hp&gt;='2026'!Maxi_hp</f>
        <v>0</v>
      </c>
      <c r="I345" s="388">
        <f>IF(H345,Wh_hp,'2026'!Maxi_hp)</f>
        <v>23.110543581605093</v>
      </c>
      <c r="J345" s="85">
        <f>IF(H345,An,'2026'!An_max)</f>
        <v>2020</v>
      </c>
      <c r="K345" s="197">
        <f t="shared" si="129"/>
        <v>46718</v>
      </c>
      <c r="L345" s="147">
        <f>IF(t&lt;Tvie,1-EXP((T0-t)*PertePVj)+'2026'!Pspv,1-EXP((T0-t)*PertePVj)+Pspv)</f>
        <v>6.0259918239101262E-2</v>
      </c>
      <c r="M345" s="832"/>
      <c r="N345" s="832"/>
      <c r="O345" s="48">
        <f>IF(t&lt;Tnet,'2026'!Resal+('2026'!Salim-'2026'!Resal)*(1-EXP(('2026'!Tnet-t)/('2026'!Tau_j))),Resal+(Salim-Resal)*(1-EXP((Tnet-t)/(Tau_j))))*Salcycl</f>
        <v>2.6863069602422376E-2</v>
      </c>
      <c r="P345" s="169">
        <f>(INDEX(Models!$BJ345:$BT345,,T345)*(1-R345)+INDEX(Models!$BJ345:$BT345,,T345+1)*R345-ERP_i)*Q345*Ramure*Pc/MaxiM</f>
        <v>9.7579317278700638E-3</v>
      </c>
      <c r="Q345" s="304">
        <f t="shared" si="130"/>
        <v>0.7</v>
      </c>
      <c r="R345" s="177">
        <f t="shared" si="131"/>
        <v>0.57870903755347602</v>
      </c>
      <c r="S345" s="799">
        <f t="shared" si="132"/>
        <v>-1</v>
      </c>
      <c r="T345" s="176">
        <f t="shared" si="133"/>
        <v>5</v>
      </c>
      <c r="U345" s="250">
        <f t="shared" si="134"/>
        <v>-0.42129096244652392</v>
      </c>
      <c r="V345" s="382">
        <f t="shared" si="135"/>
        <v>26.430111057553528</v>
      </c>
      <c r="W345" s="400">
        <f t="shared" si="136"/>
        <v>16.494945682462593</v>
      </c>
      <c r="X345" s="157">
        <f t="shared" si="137"/>
        <v>46718</v>
      </c>
      <c r="Y345" s="383">
        <f t="shared" si="138"/>
        <v>15.247191275950879</v>
      </c>
      <c r="Z345" s="383">
        <f t="shared" si="139"/>
        <v>16.224902578785901</v>
      </c>
      <c r="AA345" s="384">
        <f t="shared" si="140"/>
        <v>17.398096527016772</v>
      </c>
      <c r="AB345" s="197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6.743231631167626E-2</v>
      </c>
      <c r="AD345" s="230">
        <f>(INDEX(Models!$BJ345:$BT345,,AH345)*(1-AF345)+INDEX(Models!$BJ345:$BT345,,AH345+1)*AF345-ERP_i)*AE345*Ramure*Pc/MaxiM</f>
        <v>8.5941386280868629E-2</v>
      </c>
      <c r="AE345" s="304">
        <f t="shared" si="142"/>
        <v>0.7</v>
      </c>
      <c r="AF345" s="177">
        <f t="shared" si="143"/>
        <v>0.3343668683928267</v>
      </c>
      <c r="AG345" s="799">
        <f t="shared" si="149"/>
        <v>2</v>
      </c>
      <c r="AH345" s="176">
        <f t="shared" si="144"/>
        <v>8</v>
      </c>
      <c r="AI345" s="224">
        <f t="shared" si="145"/>
        <v>2.3343668683928267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46719</v>
      </c>
      <c r="B346" s="409">
        <f>'2026'!Wh/'2026'!Env_an*'2027'!Env_an</f>
        <v>9.3067632662629904</v>
      </c>
      <c r="C346" s="829"/>
      <c r="D346" s="391">
        <f t="shared" si="127"/>
        <v>9.9037402067991227</v>
      </c>
      <c r="E346" s="383">
        <f t="shared" si="125"/>
        <v>10.177876095384788</v>
      </c>
      <c r="F346" s="383">
        <f t="shared" si="128"/>
        <v>10.185656080295328</v>
      </c>
      <c r="G346" s="110">
        <f t="shared" si="126"/>
        <v>0.35187448289542789</v>
      </c>
      <c r="H346" s="412" t="b">
        <f>Wh_hp&gt;='2026'!Maxi_hp</f>
        <v>0</v>
      </c>
      <c r="I346" s="388">
        <f>IF(H346,Wh_hp,'2026'!Maxi_hp)</f>
        <v>17.324015395081876</v>
      </c>
      <c r="J346" s="85">
        <f>IF(H346,An,'2026'!An_max)</f>
        <v>2020</v>
      </c>
      <c r="K346" s="197">
        <f t="shared" si="129"/>
        <v>46719</v>
      </c>
      <c r="L346" s="147">
        <f>IF(t&lt;Tvie,1-EXP((T0-t)*PertePVj)+'2026'!Pspv,1-EXP((T0-t)*PertePVj)+Pspv)</f>
        <v>6.0277928143379067E-2</v>
      </c>
      <c r="M346" s="832"/>
      <c r="N346" s="832"/>
      <c r="O346" s="48">
        <f>IF(t&lt;Tnet,'2026'!Resal+('2026'!Salim-'2026'!Resal)*(1-EXP(('2026'!Tnet-t)/('2026'!Tau_j))),Resal+(Salim-Resal)*(1-EXP((Tnet-t)/(Tau_j))))*Salcycl</f>
        <v>2.6934488690619127E-2</v>
      </c>
      <c r="P346" s="169">
        <f>(INDEX(Models!$BJ346:$BT346,,T346)*(1-R346)+INDEX(Models!$BJ346:$BT346,,T346+1)*R346-ERP_i)*Q346*Ramure*Pc/MaxiM</f>
        <v>9.711794712272858E-3</v>
      </c>
      <c r="Q346" s="304">
        <f t="shared" si="130"/>
        <v>0.7</v>
      </c>
      <c r="R346" s="177">
        <f t="shared" si="131"/>
        <v>0.57872392480086388</v>
      </c>
      <c r="S346" s="799">
        <f t="shared" si="132"/>
        <v>-1</v>
      </c>
      <c r="T346" s="176">
        <f t="shared" si="133"/>
        <v>5</v>
      </c>
      <c r="U346" s="250">
        <f t="shared" si="134"/>
        <v>-0.42127607519913612</v>
      </c>
      <c r="V346" s="382">
        <f t="shared" si="135"/>
        <v>26.212252818738104</v>
      </c>
      <c r="W346" s="400">
        <f t="shared" si="136"/>
        <v>9.3067632662629904</v>
      </c>
      <c r="X346" s="157">
        <f t="shared" si="137"/>
        <v>46719</v>
      </c>
      <c r="Y346" s="383">
        <f t="shared" si="138"/>
        <v>8.8647356060624656</v>
      </c>
      <c r="Z346" s="383">
        <f t="shared" si="139"/>
        <v>9.4333589382957594</v>
      </c>
      <c r="AA346" s="384">
        <f t="shared" si="140"/>
        <v>10.115542597926924</v>
      </c>
      <c r="AB346" s="197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6.743915642952962E-2</v>
      </c>
      <c r="AD346" s="230">
        <f>(INDEX(Models!$BJ346:$BT346,,AH346)*(1-AF346)+INDEX(Models!$BJ346:$BT346,,AH346+1)*AF346-ERP_i)*AE346*Ramure*Pc/MaxiM</f>
        <v>8.7523016452397767E-2</v>
      </c>
      <c r="AE346" s="304">
        <f t="shared" si="142"/>
        <v>0.7</v>
      </c>
      <c r="AF346" s="177">
        <f t="shared" si="143"/>
        <v>0.33438175564021488</v>
      </c>
      <c r="AG346" s="799">
        <f t="shared" si="149"/>
        <v>2</v>
      </c>
      <c r="AH346" s="176">
        <f t="shared" si="144"/>
        <v>8</v>
      </c>
      <c r="AI346" s="224">
        <f t="shared" si="145"/>
        <v>2.3343817556402149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46720</v>
      </c>
      <c r="B347" s="409">
        <f>'2026'!Wh/'2026'!Env_an*'2027'!Env_an</f>
        <v>10.353367490384734</v>
      </c>
      <c r="C347" s="829"/>
      <c r="D347" s="391">
        <f t="shared" si="127"/>
        <v>11.017689404333961</v>
      </c>
      <c r="E347" s="383">
        <f t="shared" si="125"/>
        <v>11.323494306726571</v>
      </c>
      <c r="F347" s="383">
        <f t="shared" si="128"/>
        <v>11.338898277152664</v>
      </c>
      <c r="G347" s="110">
        <f t="shared" si="126"/>
        <v>0.39499690968018303</v>
      </c>
      <c r="H347" s="412" t="b">
        <f>Wh_hp&gt;='2026'!Maxi_hp</f>
        <v>0</v>
      </c>
      <c r="I347" s="388">
        <f>IF(H347,Wh_hp,'2026'!Maxi_hp)</f>
        <v>14.807733331286865</v>
      </c>
      <c r="J347" s="85">
        <f>IF(H347,An,'2026'!An_max)</f>
        <v>2018</v>
      </c>
      <c r="K347" s="197">
        <f t="shared" si="129"/>
        <v>46720</v>
      </c>
      <c r="L347" s="147">
        <f>IF(t&lt;Tvie,1-EXP((T0-t)*PertePVj)+'2026'!Pspv,1-EXP((T0-t)*PertePVj)+Pspv)</f>
        <v>6.0295937702501079E-2</v>
      </c>
      <c r="M347" s="832"/>
      <c r="N347" s="832"/>
      <c r="O347" s="48">
        <f>IF(t&lt;Tnet,'2026'!Resal+('2026'!Salim-'2026'!Resal)*(1-EXP(('2026'!Tnet-t)/('2026'!Tau_j))),Resal+(Salim-Resal)*(1-EXP((Tnet-t)/(Tau_j))))*Salcycl</f>
        <v>2.7006230948599663E-2</v>
      </c>
      <c r="P347" s="169">
        <f>(INDEX(Models!$BJ347:$BT347,,T347)*(1-R347)+INDEX(Models!$BJ347:$BT347,,T347+1)*R347-ERP_i)*Q347*Ramure*Pc/MaxiM</f>
        <v>9.6727192019442562E-3</v>
      </c>
      <c r="Q347" s="304">
        <f t="shared" si="130"/>
        <v>0.7</v>
      </c>
      <c r="R347" s="177">
        <f t="shared" si="131"/>
        <v>0.57873821368576717</v>
      </c>
      <c r="S347" s="799">
        <f t="shared" si="132"/>
        <v>-1</v>
      </c>
      <c r="T347" s="176">
        <f t="shared" si="133"/>
        <v>5</v>
      </c>
      <c r="U347" s="250">
        <f t="shared" si="134"/>
        <v>-0.42126178631423283</v>
      </c>
      <c r="V347" s="382">
        <f t="shared" si="135"/>
        <v>25.993039547680322</v>
      </c>
      <c r="W347" s="400">
        <f t="shared" si="136"/>
        <v>10.353367490384734</v>
      </c>
      <c r="X347" s="157">
        <f t="shared" si="137"/>
        <v>46720</v>
      </c>
      <c r="Y347" s="383">
        <f t="shared" si="138"/>
        <v>9.8121919005295695</v>
      </c>
      <c r="Z347" s="383">
        <f t="shared" si="139"/>
        <v>10.441789382648373</v>
      </c>
      <c r="AA347" s="384">
        <f t="shared" si="140"/>
        <v>11.196994747988454</v>
      </c>
      <c r="AB347" s="197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6.7447148305196158E-2</v>
      </c>
      <c r="AD347" s="230">
        <f>(INDEX(Models!$BJ347:$BT347,,AH347)*(1-AF347)+INDEX(Models!$BJ347:$BT347,,AH347+1)*AF347-ERP_i)*AE347*Ramure*Pc/MaxiM</f>
        <v>8.9106441612307422E-2</v>
      </c>
      <c r="AE347" s="304">
        <f t="shared" si="142"/>
        <v>0.7</v>
      </c>
      <c r="AF347" s="177">
        <f t="shared" si="143"/>
        <v>0.33439604452511773</v>
      </c>
      <c r="AG347" s="799">
        <f t="shared" si="149"/>
        <v>2</v>
      </c>
      <c r="AH347" s="176">
        <f t="shared" si="144"/>
        <v>8</v>
      </c>
      <c r="AI347" s="224">
        <f t="shared" si="145"/>
        <v>2.3343960445251177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46721</v>
      </c>
      <c r="B348" s="409">
        <f>'2026'!Wh/'2026'!Env_an*'2027'!Env_an</f>
        <v>4.6169366584135085</v>
      </c>
      <c r="C348" s="829"/>
      <c r="D348" s="391">
        <f t="shared" si="127"/>
        <v>4.9132757086936598</v>
      </c>
      <c r="E348" s="383">
        <f t="shared" si="125"/>
        <v>5.0500217090307231</v>
      </c>
      <c r="F348" s="383">
        <f t="shared" si="128"/>
        <v>5.0500217090307231</v>
      </c>
      <c r="G348" s="110">
        <f t="shared" si="126"/>
        <v>0.17740492780862407</v>
      </c>
      <c r="H348" s="412" t="b">
        <f>Wh_hp&gt;='2026'!Maxi_hp</f>
        <v>0</v>
      </c>
      <c r="I348" s="388">
        <f>IF(H348,Wh_hp,'2026'!Maxi_hp)</f>
        <v>27.039927040267969</v>
      </c>
      <c r="J348" s="85">
        <f>IF(H348,An,'2026'!An_max)</f>
        <v>2020</v>
      </c>
      <c r="K348" s="197">
        <f t="shared" si="129"/>
        <v>46721</v>
      </c>
      <c r="L348" s="147">
        <f>IF(t&lt;Tvie,1-EXP((T0-t)*PertePVj)+'2026'!Pspv,1-EXP((T0-t)*PertePVj)+Pspv)</f>
        <v>6.031394691647407E-2</v>
      </c>
      <c r="M348" s="832"/>
      <c r="N348" s="832"/>
      <c r="O348" s="48">
        <f>IF(t&lt;Tnet,'2026'!Resal+('2026'!Salim-'2026'!Resal)*(1-EXP(('2026'!Tnet-t)/('2026'!Tau_j))),Resal+(Salim-Resal)*(1-EXP((Tnet-t)/(Tau_j))))*Salcycl</f>
        <v>2.7078299503649015E-2</v>
      </c>
      <c r="P348" s="169">
        <f>(INDEX(Models!$BJ348:$BT348,,T348)*(1-R348)+INDEX(Models!$BJ348:$BT348,,T348+1)*R348-ERP_i)*Q348*Ramure*Pc/MaxiM</f>
        <v>9.6402893891083981E-3</v>
      </c>
      <c r="Q348" s="304">
        <f t="shared" si="130"/>
        <v>0.7</v>
      </c>
      <c r="R348" s="177">
        <f t="shared" si="131"/>
        <v>0.57875192821793442</v>
      </c>
      <c r="S348" s="799">
        <f t="shared" si="132"/>
        <v>-1</v>
      </c>
      <c r="T348" s="176">
        <f t="shared" si="133"/>
        <v>5</v>
      </c>
      <c r="U348" s="250">
        <f t="shared" si="134"/>
        <v>-0.42124807178206558</v>
      </c>
      <c r="V348" s="382">
        <f t="shared" si="135"/>
        <v>25.773963042716236</v>
      </c>
      <c r="W348" s="400">
        <f t="shared" si="136"/>
        <v>4.6169366584135085</v>
      </c>
      <c r="X348" s="157">
        <f t="shared" si="137"/>
        <v>46721</v>
      </c>
      <c r="Y348" s="383">
        <f t="shared" si="138"/>
        <v>4.4253255304877808</v>
      </c>
      <c r="Z348" s="383">
        <f t="shared" si="139"/>
        <v>4.709365980229598</v>
      </c>
      <c r="AA348" s="384">
        <f t="shared" si="140"/>
        <v>5.0500217090307231</v>
      </c>
      <c r="AB348" s="197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6.7456289978307576E-2</v>
      </c>
      <c r="AD348" s="230">
        <f>(INDEX(Models!$BJ348:$BT348,,AH348)*(1-AF348)+INDEX(Models!$BJ348:$BT348,,AH348+1)*AF348-ERP_i)*AE348*Ramure*Pc/MaxiM</f>
        <v>9.0687291692559555E-2</v>
      </c>
      <c r="AE348" s="304">
        <f t="shared" si="142"/>
        <v>0.7</v>
      </c>
      <c r="AF348" s="177">
        <f t="shared" si="143"/>
        <v>0.33440975905728543</v>
      </c>
      <c r="AG348" s="799">
        <f t="shared" si="149"/>
        <v>2</v>
      </c>
      <c r="AH348" s="176">
        <f t="shared" si="144"/>
        <v>8</v>
      </c>
      <c r="AI348" s="224">
        <f t="shared" si="145"/>
        <v>2.3344097590572854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46722</v>
      </c>
      <c r="B349" s="409">
        <f>'2026'!Wh/'2026'!Env_an*'2027'!Env_an</f>
        <v>3.4266780882070971</v>
      </c>
      <c r="C349" s="829"/>
      <c r="D349" s="391">
        <f t="shared" si="127"/>
        <v>3.6466900298507645</v>
      </c>
      <c r="E349" s="383">
        <f t="shared" si="125"/>
        <v>3.7484634200288678</v>
      </c>
      <c r="F349" s="383">
        <f t="shared" si="128"/>
        <v>3.7484634200288678</v>
      </c>
      <c r="G349" s="110">
        <f t="shared" si="126"/>
        <v>0.13279329261418835</v>
      </c>
      <c r="H349" s="412" t="b">
        <f>Wh_hp&gt;='2026'!Maxi_hp</f>
        <v>0</v>
      </c>
      <c r="I349" s="388">
        <f>IF(H349,Wh_hp,'2026'!Maxi_hp)</f>
        <v>27.868335200452961</v>
      </c>
      <c r="J349" s="85">
        <f>IF(H349,An,'2026'!An_max)</f>
        <v>2020</v>
      </c>
      <c r="K349" s="197">
        <f t="shared" si="129"/>
        <v>46722</v>
      </c>
      <c r="L349" s="147">
        <f>IF(t&lt;Tvie,1-EXP((T0-t)*PertePVj)+'2026'!Pspv,1-EXP((T0-t)*PertePVj)+Pspv)</f>
        <v>6.0331955785304592E-2</v>
      </c>
      <c r="M349" s="832"/>
      <c r="N349" s="832"/>
      <c r="O349" s="48">
        <f>IF(t&lt;Tnet,'2026'!Resal+('2026'!Salim-'2026'!Resal)*(1-EXP(('2026'!Tnet-t)/('2026'!Tau_j))),Resal+(Salim-Resal)*(1-EXP((Tnet-t)/(Tau_j))))*Salcycl</f>
        <v>2.7150695838274945E-2</v>
      </c>
      <c r="P349" s="169">
        <f>(INDEX(Models!$BJ349:$BT349,,T349)*(1-R349)+INDEX(Models!$BJ349:$BT349,,T349+1)*R349-ERP_i)*Q349*Ramure*Pc/MaxiM</f>
        <v>9.6140820107422018E-3</v>
      </c>
      <c r="Q349" s="304">
        <f t="shared" si="130"/>
        <v>0.7</v>
      </c>
      <c r="R349" s="177">
        <f t="shared" si="131"/>
        <v>0.57876509144687482</v>
      </c>
      <c r="S349" s="799">
        <f t="shared" si="132"/>
        <v>-1</v>
      </c>
      <c r="T349" s="176">
        <f t="shared" si="133"/>
        <v>5</v>
      </c>
      <c r="U349" s="250">
        <f t="shared" si="134"/>
        <v>-0.42123490855312518</v>
      </c>
      <c r="V349" s="382">
        <f t="shared" si="135"/>
        <v>25.556514619323899</v>
      </c>
      <c r="W349" s="400">
        <f t="shared" si="136"/>
        <v>3.4266780882070971</v>
      </c>
      <c r="X349" s="157">
        <f t="shared" si="137"/>
        <v>46722</v>
      </c>
      <c r="Y349" s="383">
        <f t="shared" si="138"/>
        <v>3.2846730102079644</v>
      </c>
      <c r="Z349" s="383">
        <f t="shared" si="139"/>
        <v>3.4955674298289559</v>
      </c>
      <c r="AA349" s="384">
        <f t="shared" si="140"/>
        <v>3.7484634200288678</v>
      </c>
      <c r="AB349" s="197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6.746657546359737E-2</v>
      </c>
      <c r="AD349" s="230">
        <f>(INDEX(Models!$BJ349:$BT349,,AH349)*(1-AF349)+INDEX(Models!$BJ349:$BT349,,AH349+1)*AF349-ERP_i)*AE349*Ramure*Pc/MaxiM</f>
        <v>9.2260648348045898E-2</v>
      </c>
      <c r="AE349" s="304">
        <f t="shared" si="142"/>
        <v>0.7</v>
      </c>
      <c r="AF349" s="177">
        <f t="shared" si="143"/>
        <v>0.33442292228622561</v>
      </c>
      <c r="AG349" s="799">
        <f t="shared" si="149"/>
        <v>2</v>
      </c>
      <c r="AH349" s="176">
        <f t="shared" si="144"/>
        <v>8</v>
      </c>
      <c r="AI349" s="224">
        <f t="shared" si="145"/>
        <v>2.3344229222862256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46723</v>
      </c>
      <c r="B350" s="409">
        <f>'2026'!Wh/'2026'!Env_an*'2027'!Env_an</f>
        <v>5.9793019713565272</v>
      </c>
      <c r="C350" s="829"/>
      <c r="D350" s="391">
        <f t="shared" si="127"/>
        <v>6.3633286268748579</v>
      </c>
      <c r="E350" s="383">
        <f t="shared" si="125"/>
        <v>6.5414081265332715</v>
      </c>
      <c r="F350" s="383">
        <f t="shared" si="128"/>
        <v>6.5414081265332715</v>
      </c>
      <c r="G350" s="110">
        <f t="shared" si="126"/>
        <v>0.2336790825795497</v>
      </c>
      <c r="H350" s="412" t="b">
        <f>Wh_hp&gt;='2026'!Maxi_hp</f>
        <v>0</v>
      </c>
      <c r="I350" s="388">
        <f>IF(H350,Wh_hp,'2026'!Maxi_hp)</f>
        <v>10.826785026069079</v>
      </c>
      <c r="J350" s="85">
        <f>IF(H350,An,'2026'!An_max)</f>
        <v>2021</v>
      </c>
      <c r="K350" s="197">
        <f t="shared" si="129"/>
        <v>46723</v>
      </c>
      <c r="L350" s="147">
        <f>IF(t&lt;Tvie,1-EXP((T0-t)*PertePVj)+'2026'!Pspv,1-EXP((T0-t)*PertePVj)+Pspv)</f>
        <v>6.0349964308999193E-2</v>
      </c>
      <c r="M350" s="832"/>
      <c r="N350" s="832"/>
      <c r="O350" s="48">
        <f>IF(t&lt;Tnet,'2026'!Resal+('2026'!Salim-'2026'!Resal)*(1-EXP(('2026'!Tnet-t)/('2026'!Tau_j))),Resal+(Salim-Resal)*(1-EXP((Tnet-t)/(Tau_j))))*Salcycl</f>
        <v>2.7223419822421255E-2</v>
      </c>
      <c r="P350" s="169">
        <f>(INDEX(Models!$BJ350:$BT350,,T350)*(1-R350)+INDEX(Models!$BJ350:$BT350,,T350+1)*R350-ERP_i)*Q350*Ramure*Pc/MaxiM</f>
        <v>9.5936628331989224E-3</v>
      </c>
      <c r="Q350" s="304">
        <f t="shared" si="130"/>
        <v>0.7</v>
      </c>
      <c r="R350" s="177">
        <f t="shared" si="131"/>
        <v>0.57877772550001239</v>
      </c>
      <c r="S350" s="799">
        <f t="shared" si="132"/>
        <v>-1</v>
      </c>
      <c r="T350" s="176">
        <f t="shared" si="133"/>
        <v>5</v>
      </c>
      <c r="U350" s="250">
        <f t="shared" si="134"/>
        <v>-0.42122227449998761</v>
      </c>
      <c r="V350" s="382">
        <f t="shared" si="135"/>
        <v>25.342185098015729</v>
      </c>
      <c r="W350" s="400">
        <f t="shared" si="136"/>
        <v>5.9793019713565272</v>
      </c>
      <c r="X350" s="157">
        <f t="shared" si="137"/>
        <v>46723</v>
      </c>
      <c r="Y350" s="383">
        <f t="shared" si="138"/>
        <v>5.7318718163679234</v>
      </c>
      <c r="Z350" s="383">
        <f t="shared" si="139"/>
        <v>6.1000070224579019</v>
      </c>
      <c r="AA350" s="384">
        <f t="shared" si="140"/>
        <v>6.5414081265332715</v>
      </c>
      <c r="AB350" s="197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6.7477994880789871E-2</v>
      </c>
      <c r="AD350" s="230">
        <f>(INDEX(Models!$BJ350:$BT350,,AH350)*(1-AF350)+INDEX(Models!$BJ350:$BT350,,AH350+1)*AF350-ERP_i)*AE350*Ramure*Pc/MaxiM</f>
        <v>9.3821025535435365E-2</v>
      </c>
      <c r="AE350" s="304">
        <f t="shared" si="142"/>
        <v>0.7</v>
      </c>
      <c r="AF350" s="177">
        <f t="shared" si="143"/>
        <v>0.33443555633936306</v>
      </c>
      <c r="AG350" s="799">
        <f t="shared" si="149"/>
        <v>2</v>
      </c>
      <c r="AH350" s="176">
        <f t="shared" si="144"/>
        <v>8</v>
      </c>
      <c r="AI350" s="224">
        <f t="shared" si="145"/>
        <v>2.3344355563393631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46724</v>
      </c>
      <c r="B351" s="409">
        <f>'2026'!Wh/'2026'!Env_an*'2027'!Env_an</f>
        <v>11.052428146493908</v>
      </c>
      <c r="C351" s="829"/>
      <c r="D351" s="391">
        <f t="shared" si="127"/>
        <v>11.762506835525715</v>
      </c>
      <c r="E351" s="383">
        <f t="shared" si="125"/>
        <v>12.092591904718928</v>
      </c>
      <c r="F351" s="383">
        <f t="shared" si="128"/>
        <v>12.115763643405725</v>
      </c>
      <c r="G351" s="110">
        <f t="shared" si="126"/>
        <v>0.43638924232493514</v>
      </c>
      <c r="H351" s="412" t="b">
        <f>Wh_hp&gt;='2026'!Maxi_hp</f>
        <v>0</v>
      </c>
      <c r="I351" s="388">
        <f>IF(H351,Wh_hp,'2026'!Maxi_hp)</f>
        <v>17.956998625515752</v>
      </c>
      <c r="J351" s="85">
        <f>IF(H351,An,'2026'!An_max)</f>
        <v>2021</v>
      </c>
      <c r="K351" s="197">
        <f t="shared" si="129"/>
        <v>46724</v>
      </c>
      <c r="L351" s="147">
        <f>IF(t&lt;Tvie,1-EXP((T0-t)*PertePVj)+'2026'!Pspv,1-EXP((T0-t)*PertePVj)+Pspv)</f>
        <v>6.0367972487564647E-2</v>
      </c>
      <c r="M351" s="832"/>
      <c r="N351" s="832"/>
      <c r="O351" s="48">
        <f>IF(t&lt;Tnet,'2026'!Resal+('2026'!Salim-'2026'!Resal)*(1-EXP(('2026'!Tnet-t)/('2026'!Tau_j))),Resal+(Salim-Resal)*(1-EXP((Tnet-t)/(Tau_j))))*Salcycl</f>
        <v>2.7296469755537144E-2</v>
      </c>
      <c r="P351" s="169">
        <f>(INDEX(Models!$BJ351:$BT351,,T351)*(1-R351)+INDEX(Models!$BJ351:$BT351,,T351+1)*R351-ERP_i)*Q351*Ramure*Pc/MaxiM</f>
        <v>9.5785834538405796E-3</v>
      </c>
      <c r="Q351" s="304">
        <f t="shared" si="130"/>
        <v>0.7</v>
      </c>
      <c r="R351" s="177">
        <f t="shared" si="131"/>
        <v>0.57878985161934249</v>
      </c>
      <c r="S351" s="799">
        <f t="shared" si="132"/>
        <v>-1</v>
      </c>
      <c r="T351" s="176">
        <f t="shared" si="133"/>
        <v>5</v>
      </c>
      <c r="U351" s="250">
        <f t="shared" si="134"/>
        <v>-0.42121014838065751</v>
      </c>
      <c r="V351" s="382">
        <f t="shared" si="135"/>
        <v>25.132464783367965</v>
      </c>
      <c r="W351" s="400">
        <f t="shared" si="136"/>
        <v>11.052428146493908</v>
      </c>
      <c r="X351" s="157">
        <f t="shared" si="137"/>
        <v>46724</v>
      </c>
      <c r="Y351" s="383">
        <f t="shared" si="138"/>
        <v>10.413886252901948</v>
      </c>
      <c r="Z351" s="383">
        <f t="shared" si="139"/>
        <v>11.08294092579143</v>
      </c>
      <c r="AA351" s="384">
        <f t="shared" si="140"/>
        <v>11.885070701256303</v>
      </c>
      <c r="AB351" s="197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6.7490534606587174E-2</v>
      </c>
      <c r="AD351" s="230">
        <f>(INDEX(Models!$BJ351:$BT351,,AH351)*(1-AF351)+INDEX(Models!$BJ351:$BT351,,AH351+1)*AF351-ERP_i)*AE351*Ramure*Pc/MaxiM</f>
        <v>9.5362356207187859E-2</v>
      </c>
      <c r="AE351" s="304">
        <f t="shared" si="142"/>
        <v>0.7</v>
      </c>
      <c r="AF351" s="177">
        <f t="shared" si="143"/>
        <v>0.33444768245869305</v>
      </c>
      <c r="AG351" s="799">
        <f t="shared" si="149"/>
        <v>2</v>
      </c>
      <c r="AH351" s="176">
        <f t="shared" si="144"/>
        <v>8</v>
      </c>
      <c r="AI351" s="224">
        <f t="shared" si="145"/>
        <v>2.3344476824586931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46725</v>
      </c>
      <c r="B352" s="409">
        <f>'2026'!Wh/'2026'!Env_an*'2027'!Env_an</f>
        <v>21.634809904385545</v>
      </c>
      <c r="C352" s="829"/>
      <c r="D352" s="391">
        <f t="shared" si="127"/>
        <v>23.025209768343821</v>
      </c>
      <c r="E352" s="383">
        <f t="shared" si="125"/>
        <v>23.67313987629969</v>
      </c>
      <c r="F352" s="383">
        <f t="shared" si="128"/>
        <v>23.858361605904889</v>
      </c>
      <c r="G352" s="110">
        <f t="shared" si="126"/>
        <v>0.8662838208525675</v>
      </c>
      <c r="H352" s="412" t="b">
        <f>Wh_hp&gt;='2026'!Maxi_hp</f>
        <v>0</v>
      </c>
      <c r="I352" s="388">
        <f>IF(H352,Wh_hp,'2026'!Maxi_hp)</f>
        <v>23.881775382002694</v>
      </c>
      <c r="J352" s="85">
        <f>IF(H352,An,'2026'!An_max)</f>
        <v>2026</v>
      </c>
      <c r="K352" s="197">
        <f t="shared" si="129"/>
        <v>46725</v>
      </c>
      <c r="L352" s="147">
        <f>IF(t&lt;Tvie,1-EXP((T0-t)*PertePVj)+'2026'!Pspv,1-EXP((T0-t)*PertePVj)+Pspv)</f>
        <v>6.0385980321007393E-2</v>
      </c>
      <c r="M352" s="832"/>
      <c r="N352" s="832"/>
      <c r="O352" s="48">
        <f>IF(t&lt;Tnet,'2026'!Resal+('2026'!Salim-'2026'!Resal)*(1-EXP(('2026'!Tnet-t)/('2026'!Tau_j))),Resal+(Salim-Resal)*(1-EXP((Tnet-t)/(Tau_j))))*Salcycl</f>
        <v>2.7369842418096067E-2</v>
      </c>
      <c r="P352" s="169">
        <f>(INDEX(Models!$BJ352:$BT352,,T352)*(1-R352)+INDEX(Models!$BJ352:$BT352,,T352+1)*R352-ERP_i)*Q352*Ramure*Pc/MaxiM</f>
        <v>9.5698501233736372E-3</v>
      </c>
      <c r="Q352" s="304">
        <f t="shared" si="130"/>
        <v>0.7</v>
      </c>
      <c r="R352" s="177">
        <f t="shared" si="131"/>
        <v>0.5788014901966505</v>
      </c>
      <c r="S352" s="799">
        <f t="shared" si="132"/>
        <v>-1</v>
      </c>
      <c r="T352" s="176">
        <f t="shared" si="133"/>
        <v>5</v>
      </c>
      <c r="U352" s="250">
        <f t="shared" si="134"/>
        <v>-0.42119850980334955</v>
      </c>
      <c r="V352" s="382">
        <f t="shared" si="135"/>
        <v>24.928806407386642</v>
      </c>
      <c r="W352" s="400">
        <f t="shared" si="136"/>
        <v>21.634809904385545</v>
      </c>
      <c r="X352" s="157">
        <f t="shared" si="137"/>
        <v>46725</v>
      </c>
      <c r="Y352" s="383">
        <f t="shared" si="138"/>
        <v>19.262150712973337</v>
      </c>
      <c r="Z352" s="383">
        <f t="shared" si="139"/>
        <v>20.500067378256031</v>
      </c>
      <c r="AA352" s="384">
        <f t="shared" si="140"/>
        <v>21.984084949720316</v>
      </c>
      <c r="AB352" s="197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6.7504177447384156E-2</v>
      </c>
      <c r="AD352" s="230">
        <f>(INDEX(Models!$BJ352:$BT352,,AH352)*(1-AF352)+INDEX(Models!$BJ352:$BT352,,AH352+1)*AF352-ERP_i)*AE352*Ramure*Pc/MaxiM</f>
        <v>9.6838242076974779E-2</v>
      </c>
      <c r="AE352" s="304">
        <f t="shared" si="142"/>
        <v>0.7</v>
      </c>
      <c r="AF352" s="177">
        <f t="shared" si="143"/>
        <v>0.33445932103600118</v>
      </c>
      <c r="AG352" s="799">
        <f t="shared" si="149"/>
        <v>2</v>
      </c>
      <c r="AH352" s="176">
        <f t="shared" si="144"/>
        <v>8</v>
      </c>
      <c r="AI352" s="224">
        <f t="shared" si="145"/>
        <v>2.3344593210360012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46726</v>
      </c>
      <c r="B353" s="409">
        <f>'2026'!Wh/'2026'!Env_an*'2027'!Env_an</f>
        <v>25.642826767876027</v>
      </c>
      <c r="C353" s="829"/>
      <c r="D353" s="391">
        <f t="shared" si="127"/>
        <v>27.291332056731314</v>
      </c>
      <c r="E353" s="383">
        <f t="shared" si="125"/>
        <v>28.061437033699487</v>
      </c>
      <c r="F353" s="383">
        <f t="shared" si="128"/>
        <v>28.332410903227839</v>
      </c>
      <c r="G353" s="110">
        <f t="shared" si="126"/>
        <v>1.0367954994143609</v>
      </c>
      <c r="H353" s="412" t="b">
        <f>Wh_hp&gt;='2026'!Maxi_hp</f>
        <v>1</v>
      </c>
      <c r="I353" s="388">
        <f>IF(H353,Wh_hp,'2026'!Maxi_hp)</f>
        <v>28.332410903227839</v>
      </c>
      <c r="J353" s="85">
        <f>IF(H353,An,'2026'!An_max)</f>
        <v>2027</v>
      </c>
      <c r="K353" s="197">
        <f t="shared" si="129"/>
        <v>46726</v>
      </c>
      <c r="L353" s="147">
        <f>IF(t&lt;Tvie,1-EXP((T0-t)*PertePVj)+'2026'!Pspv,1-EXP((T0-t)*PertePVj)+Pspv)</f>
        <v>6.0403987809334092E-2</v>
      </c>
      <c r="M353" s="832"/>
      <c r="N353" s="832"/>
      <c r="O353" s="48">
        <f>IF(t&lt;Tnet,'2026'!Resal+('2026'!Salim-'2026'!Resal)*(1-EXP(('2026'!Tnet-t)/('2026'!Tau_j))),Resal+(Salim-Resal)*(1-EXP((Tnet-t)/(Tau_j))))*Salcycl</f>
        <v>2.7443533132082421E-2</v>
      </c>
      <c r="P353" s="169">
        <f>(INDEX(Models!$BJ353:$BT353,,T353)*(1-R353)+INDEX(Models!$BJ353:$BT353,,T353+1)*R353-ERP_i)*Q353*Ramure*Pc/MaxiM</f>
        <v>9.5640950025004095E-3</v>
      </c>
      <c r="Q353" s="304">
        <f t="shared" si="130"/>
        <v>0.7</v>
      </c>
      <c r="R353" s="177">
        <f t="shared" si="131"/>
        <v>0.57881266080734561</v>
      </c>
      <c r="S353" s="799">
        <f t="shared" si="132"/>
        <v>-1</v>
      </c>
      <c r="T353" s="176">
        <f t="shared" si="133"/>
        <v>5</v>
      </c>
      <c r="U353" s="250">
        <f t="shared" si="134"/>
        <v>-0.42118733919265439</v>
      </c>
      <c r="V353" s="382">
        <f t="shared" si="135"/>
        <v>24.732772067741909</v>
      </c>
      <c r="W353" s="400">
        <f t="shared" si="136"/>
        <v>25.642826767876027</v>
      </c>
      <c r="X353" s="157">
        <f t="shared" si="137"/>
        <v>46726</v>
      </c>
      <c r="Y353" s="383">
        <f t="shared" si="138"/>
        <v>22.38524820856227</v>
      </c>
      <c r="Z353" s="383">
        <f t="shared" si="139"/>
        <v>23.824332924073524</v>
      </c>
      <c r="AA353" s="384">
        <f t="shared" si="140"/>
        <v>25.549400407588649</v>
      </c>
      <c r="AB353" s="197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6.7518902831189248E-2</v>
      </c>
      <c r="AD353" s="230">
        <f>(INDEX(Models!$BJ353:$BT353,,AH353)*(1-AF353)+INDEX(Models!$BJ353:$BT353,,AH353+1)*AF353-ERP_i)*AE353*Ramure*Pc/MaxiM</f>
        <v>9.8227097762517909E-2</v>
      </c>
      <c r="AE353" s="304">
        <f t="shared" si="142"/>
        <v>0.7</v>
      </c>
      <c r="AF353" s="177">
        <f t="shared" si="143"/>
        <v>0.33447049164669629</v>
      </c>
      <c r="AG353" s="799">
        <f t="shared" si="149"/>
        <v>2</v>
      </c>
      <c r="AH353" s="176">
        <f t="shared" si="144"/>
        <v>8</v>
      </c>
      <c r="AI353" s="224">
        <f t="shared" si="145"/>
        <v>2.3344704916466963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46727</v>
      </c>
      <c r="B354" s="409">
        <f>'2026'!Wh/'2026'!Env_an*'2027'!Env_an</f>
        <v>16.254209975769413</v>
      </c>
      <c r="C354" s="829"/>
      <c r="D354" s="391">
        <f t="shared" si="127"/>
        <v>17.299479009141535</v>
      </c>
      <c r="E354" s="383">
        <f t="shared" si="125"/>
        <v>17.788988127312415</v>
      </c>
      <c r="F354" s="383">
        <f t="shared" si="128"/>
        <v>17.877427656314648</v>
      </c>
      <c r="G354" s="110">
        <f t="shared" si="126"/>
        <v>0.65912744700057813</v>
      </c>
      <c r="H354" s="412" t="b">
        <f>Wh_hp&gt;='2026'!Maxi_hp</f>
        <v>0</v>
      </c>
      <c r="I354" s="388">
        <f>IF(H354,Wh_hp,'2026'!Maxi_hp)</f>
        <v>24.344380996305986</v>
      </c>
      <c r="J354" s="85">
        <f>IF(H354,An,'2026'!An_max)</f>
        <v>2020</v>
      </c>
      <c r="K354" s="197">
        <f t="shared" si="129"/>
        <v>46727</v>
      </c>
      <c r="L354" s="147">
        <f>IF(t&lt;Tvie,1-EXP((T0-t)*PertePVj)+'2026'!Pspv,1-EXP((T0-t)*PertePVj)+Pspv)</f>
        <v>6.0421994952551517E-2</v>
      </c>
      <c r="M354" s="832"/>
      <c r="N354" s="832"/>
      <c r="O354" s="48">
        <f>IF(t&lt;Tnet,'2026'!Resal+('2026'!Salim-'2026'!Resal)*(1-EXP(('2026'!Tnet-t)/('2026'!Tau_j))),Resal+(Salim-Resal)*(1-EXP((Tnet-t)/(Tau_j))))*Salcycl</f>
        <v>2.751753582989408E-2</v>
      </c>
      <c r="P354" s="169">
        <f>(INDEX(Models!$BJ354:$BT354,,T354)*(1-R354)+INDEX(Models!$BJ354:$BT354,,T354+1)*R354-ERP_i)*Q354*Ramure*Pc/MaxiM</f>
        <v>9.5607845019696994E-3</v>
      </c>
      <c r="Q354" s="304">
        <f t="shared" si="130"/>
        <v>0.7</v>
      </c>
      <c r="R354" s="177">
        <f t="shared" si="131"/>
        <v>0.57882338224296404</v>
      </c>
      <c r="S354" s="799">
        <f t="shared" si="132"/>
        <v>-1</v>
      </c>
      <c r="T354" s="176">
        <f t="shared" si="133"/>
        <v>5</v>
      </c>
      <c r="U354" s="250">
        <f t="shared" si="134"/>
        <v>-0.42117661775703602</v>
      </c>
      <c r="V354" s="382">
        <f t="shared" si="135"/>
        <v>24.545850266708861</v>
      </c>
      <c r="W354" s="400">
        <f t="shared" si="136"/>
        <v>16.254209975769413</v>
      </c>
      <c r="X354" s="157">
        <f t="shared" si="137"/>
        <v>46727</v>
      </c>
      <c r="Y354" s="383">
        <f t="shared" si="138"/>
        <v>14.856295047877477</v>
      </c>
      <c r="Z354" s="383">
        <f t="shared" si="139"/>
        <v>15.811667544438993</v>
      </c>
      <c r="AA354" s="384">
        <f t="shared" si="140"/>
        <v>16.956842602389354</v>
      </c>
      <c r="AB354" s="197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6.7534687017086342E-2</v>
      </c>
      <c r="AD354" s="230">
        <f>(INDEX(Models!$BJ354:$BT354,,AH354)*(1-AF354)+INDEX(Models!$BJ354:$BT354,,AH354+1)*AF354-ERP_i)*AE354*Ramure*Pc/MaxiM</f>
        <v>9.9520151403016732E-2</v>
      </c>
      <c r="AE354" s="304">
        <f t="shared" si="142"/>
        <v>0.7</v>
      </c>
      <c r="AF354" s="177">
        <f t="shared" si="143"/>
        <v>0.33448121308231471</v>
      </c>
      <c r="AG354" s="799">
        <f t="shared" si="149"/>
        <v>2</v>
      </c>
      <c r="AH354" s="176">
        <f t="shared" si="144"/>
        <v>8</v>
      </c>
      <c r="AI354" s="224">
        <f t="shared" si="145"/>
        <v>2.3344812130823147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46728</v>
      </c>
      <c r="B355" s="409">
        <f>'2026'!Wh/'2026'!Env_an*'2027'!Env_an</f>
        <v>19.022441936169319</v>
      </c>
      <c r="C355" s="829"/>
      <c r="D355" s="391">
        <f t="shared" si="127"/>
        <v>20.246117301304341</v>
      </c>
      <c r="E355" s="383">
        <f t="shared" si="125"/>
        <v>20.820595917762066</v>
      </c>
      <c r="F355" s="383">
        <f t="shared" si="128"/>
        <v>20.958143275576486</v>
      </c>
      <c r="G355" s="110">
        <f t="shared" si="126"/>
        <v>0.77822868079078866</v>
      </c>
      <c r="H355" s="412" t="b">
        <f>Wh_hp&gt;='2026'!Maxi_hp</f>
        <v>0</v>
      </c>
      <c r="I355" s="388">
        <f>IF(H355,Wh_hp,'2026'!Maxi_hp)</f>
        <v>20.992430963698428</v>
      </c>
      <c r="J355" s="85">
        <f>IF(H355,An,'2026'!An_max)</f>
        <v>2026</v>
      </c>
      <c r="K355" s="197">
        <f t="shared" si="129"/>
        <v>46728</v>
      </c>
      <c r="L355" s="147">
        <f>IF(t&lt;Tvie,1-EXP((T0-t)*PertePVj)+'2026'!Pspv,1-EXP((T0-t)*PertePVj)+Pspv)</f>
        <v>6.0440001750665995E-2</v>
      </c>
      <c r="M355" s="832"/>
      <c r="N355" s="832"/>
      <c r="O355" s="48">
        <f>IF(t&lt;Tnet,'2026'!Resal+('2026'!Salim-'2026'!Resal)*(1-EXP(('2026'!Tnet-t)/('2026'!Tau_j))),Resal+(Salim-Resal)*(1-EXP((Tnet-t)/(Tau_j))))*Salcycl</f>
        <v>2.7591843131042949E-2</v>
      </c>
      <c r="P355" s="169">
        <f>(INDEX(Models!$BJ355:$BT355,,T355)*(1-R355)+INDEX(Models!$BJ355:$BT355,,T355+1)*R355-ERP_i)*Q355*Ramure*Pc/MaxiM</f>
        <v>9.5593642891389514E-3</v>
      </c>
      <c r="Q355" s="304">
        <f t="shared" si="130"/>
        <v>0.7</v>
      </c>
      <c r="R355" s="177">
        <f t="shared" si="131"/>
        <v>0.57883367254239204</v>
      </c>
      <c r="S355" s="799">
        <f t="shared" si="132"/>
        <v>-1</v>
      </c>
      <c r="T355" s="176">
        <f t="shared" si="133"/>
        <v>5</v>
      </c>
      <c r="U355" s="250">
        <f t="shared" si="134"/>
        <v>-0.42116632745760796</v>
      </c>
      <c r="V355" s="382">
        <f t="shared" si="135"/>
        <v>24.369528951162977</v>
      </c>
      <c r="W355" s="400">
        <f t="shared" si="136"/>
        <v>19.022441936169319</v>
      </c>
      <c r="X355" s="157">
        <f t="shared" si="137"/>
        <v>46728</v>
      </c>
      <c r="Y355" s="383">
        <f t="shared" si="138"/>
        <v>17.091733440342779</v>
      </c>
      <c r="Z355" s="383">
        <f t="shared" si="139"/>
        <v>18.191210217750342</v>
      </c>
      <c r="AA355" s="384">
        <f t="shared" si="140"/>
        <v>19.509077748024968</v>
      </c>
      <c r="AB355" s="197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6.755150332045004E-2</v>
      </c>
      <c r="AD355" s="230">
        <f>(INDEX(Models!$BJ355:$BT355,,AH355)*(1-AF355)+INDEX(Models!$BJ355:$BT355,,AH355+1)*AF355-ERP_i)*AE355*Ramure*Pc/MaxiM</f>
        <v>0.10070818863265842</v>
      </c>
      <c r="AE355" s="304">
        <f t="shared" si="142"/>
        <v>0.7</v>
      </c>
      <c r="AF355" s="177">
        <f t="shared" si="143"/>
        <v>0.33449150338174283</v>
      </c>
      <c r="AG355" s="799">
        <f t="shared" si="149"/>
        <v>2</v>
      </c>
      <c r="AH355" s="176">
        <f t="shared" si="144"/>
        <v>8</v>
      </c>
      <c r="AI355" s="224">
        <f t="shared" si="145"/>
        <v>2.3344915033817428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46729</v>
      </c>
      <c r="B356" s="409">
        <f>'2026'!Wh/'2026'!Env_an*'2027'!Env_an</f>
        <v>4.6357349280402627</v>
      </c>
      <c r="C356" s="829"/>
      <c r="D356" s="391">
        <f t="shared" si="127"/>
        <v>4.9340369760133607</v>
      </c>
      <c r="E356" s="383">
        <f t="shared" si="125"/>
        <v>5.0744283768437617</v>
      </c>
      <c r="F356" s="383">
        <f t="shared" si="128"/>
        <v>5.0744283768437617</v>
      </c>
      <c r="G356" s="110">
        <f t="shared" si="126"/>
        <v>0.18968662189006591</v>
      </c>
      <c r="H356" s="412" t="b">
        <f>Wh_hp&gt;='2026'!Maxi_hp</f>
        <v>0</v>
      </c>
      <c r="I356" s="388">
        <f>IF(H356,Wh_hp,'2026'!Maxi_hp)</f>
        <v>18.164839905008368</v>
      </c>
      <c r="J356" s="85">
        <f>IF(H356,An,'2026'!An_max)</f>
        <v>2018</v>
      </c>
      <c r="K356" s="197">
        <f t="shared" si="129"/>
        <v>46729</v>
      </c>
      <c r="L356" s="147">
        <f>IF(t&lt;Tvie,1-EXP((T0-t)*PertePVj)+'2026'!Pspv,1-EXP((T0-t)*PertePVj)+Pspv)</f>
        <v>6.045800820368441E-2</v>
      </c>
      <c r="M356" s="832"/>
      <c r="N356" s="832"/>
      <c r="O356" s="48">
        <f>IF(t&lt;Tnet,'2026'!Resal+('2026'!Salim-'2026'!Resal)*(1-EXP(('2026'!Tnet-t)/('2026'!Tau_j))),Resal+(Salim-Resal)*(1-EXP((Tnet-t)/(Tau_j))))*Salcycl</f>
        <v>2.7666446425976189E-2</v>
      </c>
      <c r="P356" s="169">
        <f>(INDEX(Models!$BJ356:$BT356,,T356)*(1-R356)+INDEX(Models!$BJ356:$BT356,,T356+1)*R356-ERP_i)*Q356*Ramure*Pc/MaxiM</f>
        <v>9.5592597105251514E-3</v>
      </c>
      <c r="Q356" s="304">
        <f t="shared" si="130"/>
        <v>0.7</v>
      </c>
      <c r="R356" s="177">
        <f t="shared" si="131"/>
        <v>0.5788435490218593</v>
      </c>
      <c r="S356" s="799">
        <f t="shared" si="132"/>
        <v>-1</v>
      </c>
      <c r="T356" s="176">
        <f t="shared" si="133"/>
        <v>5</v>
      </c>
      <c r="U356" s="250">
        <f t="shared" si="134"/>
        <v>-0.42115645097814075</v>
      </c>
      <c r="V356" s="382">
        <f t="shared" si="135"/>
        <v>24.205295492978731</v>
      </c>
      <c r="W356" s="400">
        <f t="shared" si="136"/>
        <v>4.6357349280402627</v>
      </c>
      <c r="X356" s="157">
        <f t="shared" si="137"/>
        <v>46729</v>
      </c>
      <c r="Y356" s="383">
        <f t="shared" si="138"/>
        <v>4.4454924387425612</v>
      </c>
      <c r="Z356" s="383">
        <f t="shared" si="139"/>
        <v>4.7315526900965859</v>
      </c>
      <c r="AA356" s="384">
        <f t="shared" si="140"/>
        <v>5.0744283768437617</v>
      </c>
      <c r="AB356" s="197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6.7569322352016348E-2</v>
      </c>
      <c r="AD356" s="230">
        <f>(INDEX(Models!$BJ356:$BT356,,AH356)*(1-AF356)+INDEX(Models!$BJ356:$BT356,,AH356+1)*AF356-ERP_i)*AE356*Ramure*Pc/MaxiM</f>
        <v>0.10178163586769653</v>
      </c>
      <c r="AE356" s="304">
        <f t="shared" si="142"/>
        <v>0.7</v>
      </c>
      <c r="AF356" s="177">
        <f t="shared" si="143"/>
        <v>0.33450137986120998</v>
      </c>
      <c r="AG356" s="799">
        <f t="shared" si="149"/>
        <v>2</v>
      </c>
      <c r="AH356" s="176">
        <f t="shared" si="144"/>
        <v>8</v>
      </c>
      <c r="AI356" s="224">
        <f t="shared" si="145"/>
        <v>2.33450137986121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46730</v>
      </c>
      <c r="B357" s="409">
        <f>'2026'!Wh/'2026'!Env_an*'2027'!Env_an</f>
        <v>9.3706605364540394</v>
      </c>
      <c r="C357" s="829"/>
      <c r="D357" s="391">
        <f t="shared" si="127"/>
        <v>9.973838538659745</v>
      </c>
      <c r="E357" s="383">
        <f t="shared" si="125"/>
        <v>10.258420837599143</v>
      </c>
      <c r="F357" s="383">
        <f t="shared" si="128"/>
        <v>10.27098309010659</v>
      </c>
      <c r="G357" s="110">
        <f t="shared" si="126"/>
        <v>0.38630571387967999</v>
      </c>
      <c r="H357" s="412" t="b">
        <f>Wh_hp&gt;='2026'!Maxi_hp</f>
        <v>0</v>
      </c>
      <c r="I357" s="388">
        <f>IF(H357,Wh_hp,'2026'!Maxi_hp)</f>
        <v>10.317764311390514</v>
      </c>
      <c r="J357" s="85">
        <f>IF(H357,An,'2026'!An_max)</f>
        <v>2026</v>
      </c>
      <c r="K357" s="197">
        <f t="shared" si="129"/>
        <v>46730</v>
      </c>
      <c r="L357" s="147">
        <f>IF(t&lt;Tvie,1-EXP((T0-t)*PertePVj)+'2026'!Pspv,1-EXP((T0-t)*PertePVj)+Pspv)</f>
        <v>6.0476014311613202E-2</v>
      </c>
      <c r="M357" s="832"/>
      <c r="N357" s="832"/>
      <c r="O357" s="48">
        <f>IF(t&lt;Tnet,'2026'!Resal+('2026'!Salim-'2026'!Resal)*(1-EXP(('2026'!Tnet-t)/('2026'!Tau_j))),Resal+(Salim-Resal)*(1-EXP((Tnet-t)/(Tau_j))))*Salcycl</f>
        <v>2.7741335966287025E-2</v>
      </c>
      <c r="P357" s="169">
        <f>(INDEX(Models!$BJ357:$BT357,,T357)*(1-R357)+INDEX(Models!$BJ357:$BT357,,T357+1)*R357-ERP_i)*Q357*Ramure*Pc/MaxiM</f>
        <v>9.559877041637339E-3</v>
      </c>
      <c r="Q357" s="304">
        <f t="shared" si="130"/>
        <v>0.7</v>
      </c>
      <c r="R357" s="177">
        <f t="shared" si="131"/>
        <v>0.5788530283037473</v>
      </c>
      <c r="S357" s="799">
        <f t="shared" si="132"/>
        <v>-1</v>
      </c>
      <c r="T357" s="176">
        <f t="shared" si="133"/>
        <v>5</v>
      </c>
      <c r="U357" s="250">
        <f t="shared" si="134"/>
        <v>-0.4211469716962527</v>
      </c>
      <c r="V357" s="382">
        <f t="shared" si="135"/>
        <v>24.054636674300482</v>
      </c>
      <c r="W357" s="400">
        <f t="shared" si="136"/>
        <v>9.3706605364540394</v>
      </c>
      <c r="X357" s="157">
        <f t="shared" si="137"/>
        <v>46730</v>
      </c>
      <c r="Y357" s="383">
        <f t="shared" si="138"/>
        <v>8.8793627203090608</v>
      </c>
      <c r="Z357" s="383">
        <f t="shared" si="139"/>
        <v>9.4509164806507577</v>
      </c>
      <c r="AA357" s="384">
        <f t="shared" si="140"/>
        <v>10.135988831767778</v>
      </c>
      <c r="AB357" s="197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6.7588112268819389E-2</v>
      </c>
      <c r="AD357" s="230">
        <f>(INDEX(Models!$BJ357:$BT357,,AH357)*(1-AF357)+INDEX(Models!$BJ357:$BT357,,AH357+1)*AF357-ERP_i)*AE357*Ramure*Pc/MaxiM</f>
        <v>0.10273066158167581</v>
      </c>
      <c r="AE357" s="304">
        <f t="shared" si="142"/>
        <v>0.7</v>
      </c>
      <c r="AF357" s="177">
        <f t="shared" si="143"/>
        <v>0.33451085914309786</v>
      </c>
      <c r="AG357" s="799">
        <f t="shared" si="149"/>
        <v>2</v>
      </c>
      <c r="AH357" s="176">
        <f t="shared" si="144"/>
        <v>8</v>
      </c>
      <c r="AI357" s="224">
        <f t="shared" si="145"/>
        <v>2.3345108591430979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46731</v>
      </c>
      <c r="B358" s="409">
        <f>'2026'!Wh/'2026'!Env_an*'2027'!Env_an</f>
        <v>15.675809549707553</v>
      </c>
      <c r="C358" s="829"/>
      <c r="D358" s="391">
        <f t="shared" si="127"/>
        <v>16.685162079489814</v>
      </c>
      <c r="E358" s="383">
        <f t="shared" si="125"/>
        <v>17.162564573431965</v>
      </c>
      <c r="F358" s="383">
        <f t="shared" si="128"/>
        <v>17.246271770261853</v>
      </c>
      <c r="G358" s="110">
        <f t="shared" si="126"/>
        <v>0.65226969971605442</v>
      </c>
      <c r="H358" s="412" t="b">
        <f>Wh_hp&gt;='2026'!Maxi_hp</f>
        <v>0</v>
      </c>
      <c r="I358" s="388">
        <f>IF(H358,Wh_hp,'2026'!Maxi_hp)</f>
        <v>19.483808473016875</v>
      </c>
      <c r="J358" s="85">
        <f>IF(H358,An,'2026'!An_max)</f>
        <v>2018</v>
      </c>
      <c r="K358" s="197">
        <f t="shared" si="129"/>
        <v>46731</v>
      </c>
      <c r="L358" s="147">
        <f>IF(t&lt;Tvie,1-EXP((T0-t)*PertePVj)+'2026'!Pspv,1-EXP((T0-t)*PertePVj)+Pspv)</f>
        <v>6.0494020074459032E-2</v>
      </c>
      <c r="M358" s="832"/>
      <c r="N358" s="832"/>
      <c r="O358" s="48">
        <f>IF(t&lt;Tnet,'2026'!Resal+('2026'!Salim-'2026'!Resal)*(1-EXP(('2026'!Tnet-t)/('2026'!Tau_j))),Resal+(Salim-Resal)*(1-EXP((Tnet-t)/(Tau_j))))*Salcycl</f>
        <v>2.7816500960537151E-2</v>
      </c>
      <c r="P358" s="169">
        <f>(INDEX(Models!$BJ358:$BT358,,T358)*(1-R358)+INDEX(Models!$BJ358:$BT358,,T358+1)*R358-ERP_i)*Q358*Ramure*Pc/MaxiM</f>
        <v>9.5606056332486165E-3</v>
      </c>
      <c r="Q358" s="304">
        <f t="shared" si="130"/>
        <v>0.7</v>
      </c>
      <c r="R358" s="177">
        <f t="shared" si="131"/>
        <v>0.57886212634426293</v>
      </c>
      <c r="S358" s="799">
        <f t="shared" si="132"/>
        <v>-1</v>
      </c>
      <c r="T358" s="176">
        <f t="shared" si="133"/>
        <v>5</v>
      </c>
      <c r="U358" s="250">
        <f t="shared" si="134"/>
        <v>-0.42113787365573707</v>
      </c>
      <c r="V358" s="382">
        <f t="shared" si="135"/>
        <v>23.919038684209244</v>
      </c>
      <c r="W358" s="400">
        <f t="shared" si="136"/>
        <v>15.675809549707553</v>
      </c>
      <c r="X358" s="157">
        <f t="shared" si="137"/>
        <v>46731</v>
      </c>
      <c r="Y358" s="383">
        <f t="shared" si="138"/>
        <v>14.313371102983648</v>
      </c>
      <c r="Z358" s="383">
        <f t="shared" si="139"/>
        <v>15.234997337768975</v>
      </c>
      <c r="AA358" s="384">
        <f t="shared" si="140"/>
        <v>16.33968835816902</v>
      </c>
      <c r="AB358" s="197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6.7607839034932032E-2</v>
      </c>
      <c r="AD358" s="230">
        <f>(INDEX(Models!$BJ358:$BT358,,AH358)*(1-AF358)+INDEX(Models!$BJ358:$BT358,,AH358+1)*AF358-ERP_i)*AE358*Ramure*Pc/MaxiM</f>
        <v>0.1035452960428106</v>
      </c>
      <c r="AE358" s="304">
        <f t="shared" si="142"/>
        <v>0.7</v>
      </c>
      <c r="AF358" s="177">
        <f t="shared" si="143"/>
        <v>0.33451995718361349</v>
      </c>
      <c r="AG358" s="799">
        <f t="shared" si="149"/>
        <v>2</v>
      </c>
      <c r="AH358" s="176">
        <f t="shared" si="144"/>
        <v>8</v>
      </c>
      <c r="AI358" s="224">
        <f t="shared" si="145"/>
        <v>2.3345199571836135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46732</v>
      </c>
      <c r="B359" s="409">
        <f>'2026'!Wh/'2026'!Env_an*'2027'!Env_an</f>
        <v>14.944595583962677</v>
      </c>
      <c r="C359" s="829"/>
      <c r="D359" s="391">
        <f t="shared" si="127"/>
        <v>15.907170703055183</v>
      </c>
      <c r="E359" s="383">
        <f t="shared" si="125"/>
        <v>16.363582598110661</v>
      </c>
      <c r="F359" s="383">
        <f t="shared" si="128"/>
        <v>16.437256590137498</v>
      </c>
      <c r="G359" s="110">
        <f t="shared" si="126"/>
        <v>0.62487506009640681</v>
      </c>
      <c r="H359" s="412" t="b">
        <f>Wh_hp&gt;='2026'!Maxi_hp</f>
        <v>0</v>
      </c>
      <c r="I359" s="388">
        <f>IF(H359,Wh_hp,'2026'!Maxi_hp)</f>
        <v>16.483070849051703</v>
      </c>
      <c r="J359" s="85">
        <f>IF(H359,An,'2026'!An_max)</f>
        <v>2026</v>
      </c>
      <c r="K359" s="197">
        <f t="shared" si="129"/>
        <v>46732</v>
      </c>
      <c r="L359" s="147">
        <f>IF(t&lt;Tvie,1-EXP((T0-t)*PertePVj)+'2026'!Pspv,1-EXP((T0-t)*PertePVj)+Pspv)</f>
        <v>6.0512025492228561E-2</v>
      </c>
      <c r="M359" s="832"/>
      <c r="N359" s="832"/>
      <c r="O359" s="48">
        <f>IF(t&lt;Tnet,'2026'!Resal+('2026'!Salim-'2026'!Resal)*(1-EXP(('2026'!Tnet-t)/('2026'!Tau_j))),Resal+(Salim-Resal)*(1-EXP((Tnet-t)/(Tau_j))))*Salcycl</f>
        <v>2.7891929674873039E-2</v>
      </c>
      <c r="P359" s="169">
        <f>(INDEX(Models!$BJ359:$BT359,,T359)*(1-R359)+INDEX(Models!$BJ359:$BT359,,T359+1)*R359-ERP_i)*Q359*Ramure*Pc/MaxiM</f>
        <v>9.5631767199604381E-3</v>
      </c>
      <c r="Q359" s="304">
        <f t="shared" si="130"/>
        <v>0.7</v>
      </c>
      <c r="R359" s="177">
        <f t="shared" si="131"/>
        <v>0.57887085846001596</v>
      </c>
      <c r="S359" s="799">
        <f t="shared" si="132"/>
        <v>-1</v>
      </c>
      <c r="T359" s="176">
        <f t="shared" si="133"/>
        <v>5</v>
      </c>
      <c r="U359" s="250">
        <f t="shared" si="134"/>
        <v>-0.42112914153998399</v>
      </c>
      <c r="V359" s="382">
        <f t="shared" si="135"/>
        <v>23.794067855244617</v>
      </c>
      <c r="W359" s="400">
        <f t="shared" si="136"/>
        <v>14.944595583962677</v>
      </c>
      <c r="X359" s="157">
        <f t="shared" si="137"/>
        <v>46732</v>
      </c>
      <c r="Y359" s="383">
        <f t="shared" si="138"/>
        <v>13.694797448492505</v>
      </c>
      <c r="Z359" s="383">
        <f t="shared" si="139"/>
        <v>14.576873595074655</v>
      </c>
      <c r="AA359" s="384">
        <f t="shared" si="140"/>
        <v>15.634189884931159</v>
      </c>
      <c r="AB359" s="197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6.7628466689891323E-2</v>
      </c>
      <c r="AD359" s="230">
        <f>(INDEX(Models!$BJ359:$BT359,,AH359)*(1-AF359)+INDEX(Models!$BJ359:$BT359,,AH359+1)*AF359-ERP_i)*AE359*Ramure*Pc/MaxiM</f>
        <v>0.10424124726412347</v>
      </c>
      <c r="AE359" s="304">
        <f t="shared" si="142"/>
        <v>0.7</v>
      </c>
      <c r="AF359" s="177">
        <f t="shared" si="143"/>
        <v>0.33452868929936663</v>
      </c>
      <c r="AG359" s="799">
        <f t="shared" si="149"/>
        <v>2</v>
      </c>
      <c r="AH359" s="176">
        <f t="shared" si="144"/>
        <v>8</v>
      </c>
      <c r="AI359" s="224">
        <f t="shared" si="145"/>
        <v>2.3345286892993666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46733</v>
      </c>
      <c r="B360" s="409">
        <f>'2026'!Wh/'2026'!Env_an*'2027'!Env_an</f>
        <v>6.8944578628452957</v>
      </c>
      <c r="C360" s="829"/>
      <c r="D360" s="391">
        <f t="shared" si="127"/>
        <v>7.3386676393617103</v>
      </c>
      <c r="E360" s="383">
        <f t="shared" si="125"/>
        <v>7.5498180013019613</v>
      </c>
      <c r="F360" s="383">
        <f t="shared" si="128"/>
        <v>7.5498180013019613</v>
      </c>
      <c r="G360" s="110">
        <f t="shared" si="126"/>
        <v>0.28842612144048935</v>
      </c>
      <c r="H360" s="412" t="b">
        <f>Wh_hp&gt;='2026'!Maxi_hp</f>
        <v>0</v>
      </c>
      <c r="I360" s="388">
        <f>IF(H360,Wh_hp,'2026'!Maxi_hp)</f>
        <v>25.134038937177625</v>
      </c>
      <c r="J360" s="85">
        <f>IF(H360,An,'2026'!An_max)</f>
        <v>2021</v>
      </c>
      <c r="K360" s="197">
        <f t="shared" si="129"/>
        <v>46733</v>
      </c>
      <c r="L360" s="147">
        <f>IF(t&lt;Tvie,1-EXP((T0-t)*PertePVj)+'2026'!Pspv,1-EXP((T0-t)*PertePVj)+Pspv)</f>
        <v>6.0530030564928339E-2</v>
      </c>
      <c r="M360" s="832"/>
      <c r="N360" s="832"/>
      <c r="O360" s="48">
        <f>IF(t&lt;Tnet,'2026'!Resal+('2026'!Salim-'2026'!Resal)*(1-EXP(('2026'!Tnet-t)/('2026'!Tau_j))),Resal+(Salim-Resal)*(1-EXP((Tnet-t)/(Tau_j))))*Salcycl</f>
        <v>2.7967609537586074E-2</v>
      </c>
      <c r="P360" s="169">
        <f>(INDEX(Models!$BJ360:$BT360,,T360)*(1-R360)+INDEX(Models!$BJ360:$BT360,,T360+1)*R360-ERP_i)*Q360*Ramure*Pc/MaxiM</f>
        <v>9.5694838379804664E-3</v>
      </c>
      <c r="Q360" s="304">
        <f t="shared" si="130"/>
        <v>0.7</v>
      </c>
      <c r="R360" s="177">
        <f t="shared" si="131"/>
        <v>0.57887923935354779</v>
      </c>
      <c r="S360" s="799">
        <f t="shared" si="132"/>
        <v>-1</v>
      </c>
      <c r="T360" s="176">
        <f t="shared" si="133"/>
        <v>5</v>
      </c>
      <c r="U360" s="250">
        <f t="shared" si="134"/>
        <v>-0.42112076064645221</v>
      </c>
      <c r="V360" s="382">
        <f t="shared" si="135"/>
        <v>23.674975850493741</v>
      </c>
      <c r="W360" s="400">
        <f t="shared" si="136"/>
        <v>6.8944578628452957</v>
      </c>
      <c r="X360" s="157">
        <f t="shared" si="137"/>
        <v>46733</v>
      </c>
      <c r="Y360" s="383">
        <f t="shared" si="138"/>
        <v>6.6129978215383254</v>
      </c>
      <c r="Z360" s="383">
        <f t="shared" si="139"/>
        <v>7.0390731334551306</v>
      </c>
      <c r="AA360" s="384">
        <f t="shared" si="140"/>
        <v>7.5498180013019613</v>
      </c>
      <c r="AB360" s="197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6.7649957622654411E-2</v>
      </c>
      <c r="AD360" s="230">
        <f>(INDEX(Models!$BJ360:$BT360,,AH360)*(1-AF360)+INDEX(Models!$BJ360:$BT360,,AH360+1)*AF360-ERP_i)*AE360*Ramure*Pc/MaxiM</f>
        <v>0.10483678212225268</v>
      </c>
      <c r="AE360" s="304">
        <f t="shared" si="142"/>
        <v>0.7</v>
      </c>
      <c r="AF360" s="177">
        <f t="shared" si="143"/>
        <v>0.33453707019289869</v>
      </c>
      <c r="AG360" s="799">
        <f t="shared" si="149"/>
        <v>2</v>
      </c>
      <c r="AH360" s="176">
        <f t="shared" si="144"/>
        <v>8</v>
      </c>
      <c r="AI360" s="224">
        <f t="shared" si="145"/>
        <v>2.3345370701928987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46734</v>
      </c>
      <c r="B361" s="409">
        <f>'2026'!Wh/'2026'!Env_an*'2027'!Env_an</f>
        <v>6.4581741401180963</v>
      </c>
      <c r="C361" s="829"/>
      <c r="D361" s="391">
        <f t="shared" si="127"/>
        <v>6.8744059118864129</v>
      </c>
      <c r="E361" s="383">
        <f t="shared" ref="E361:E379" si="150">Wh_pvt/(1-Psa)</f>
        <v>7.0727507914148706</v>
      </c>
      <c r="F361" s="383">
        <f t="shared" si="128"/>
        <v>7.0727507914148706</v>
      </c>
      <c r="G361" s="110">
        <f t="shared" ref="G361:G379" si="151">+Wh_hp/MaxiM</f>
        <v>0.27145826838002823</v>
      </c>
      <c r="H361" s="412" t="b">
        <f>Wh_hp&gt;='2026'!Maxi_hp</f>
        <v>0</v>
      </c>
      <c r="I361" s="388">
        <f>IF(H361,Wh_hp,'2026'!Maxi_hp)</f>
        <v>25.832835378767957</v>
      </c>
      <c r="J361" s="85">
        <f>IF(H361,An,'2026'!An_max)</f>
        <v>2021</v>
      </c>
      <c r="K361" s="197">
        <f t="shared" si="129"/>
        <v>46734</v>
      </c>
      <c r="L361" s="147">
        <f>IF(t&lt;Tvie,1-EXP((T0-t)*PertePVj)+'2026'!Pspv,1-EXP((T0-t)*PertePVj)+Pspv)</f>
        <v>6.0548035292565028E-2</v>
      </c>
      <c r="M361" s="832"/>
      <c r="N361" s="832"/>
      <c r="O361" s="48">
        <f>IF(t&lt;Tnet,'2026'!Resal+('2026'!Salim-'2026'!Resal)*(1-EXP(('2026'!Tnet-t)/('2026'!Tau_j))),Resal+(Salim-Resal)*(1-EXP((Tnet-t)/(Tau_j))))*Salcycl</f>
        <v>2.804352724674191E-2</v>
      </c>
      <c r="P361" s="169">
        <f>(INDEX(Models!$BJ361:$BT361,,T361)*(1-R361)+INDEX(Models!$BJ361:$BT361,,T361+1)*R361-ERP_i)*Q361*Ramure*Pc/MaxiM</f>
        <v>9.5768787191216724E-3</v>
      </c>
      <c r="Q361" s="304">
        <f t="shared" si="130"/>
        <v>0.7</v>
      </c>
      <c r="R361" s="177">
        <f t="shared" si="131"/>
        <v>0.57888728313784854</v>
      </c>
      <c r="S361" s="799">
        <f t="shared" si="132"/>
        <v>-1</v>
      </c>
      <c r="T361" s="176">
        <f t="shared" si="133"/>
        <v>5</v>
      </c>
      <c r="U361" s="250">
        <f t="shared" si="134"/>
        <v>-0.42111271686215146</v>
      </c>
      <c r="V361" s="382">
        <f t="shared" si="135"/>
        <v>23.562829851536065</v>
      </c>
      <c r="W361" s="400">
        <f t="shared" si="136"/>
        <v>6.4581741401180963</v>
      </c>
      <c r="X361" s="157">
        <f t="shared" si="137"/>
        <v>46734</v>
      </c>
      <c r="Y361" s="383">
        <f t="shared" si="138"/>
        <v>6.1948605584632617</v>
      </c>
      <c r="Z361" s="383">
        <f t="shared" si="139"/>
        <v>6.5941216700658787</v>
      </c>
      <c r="AA361" s="384">
        <f t="shared" si="140"/>
        <v>7.0727507914148706</v>
      </c>
      <c r="AB361" s="197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6.7672272848912918E-2</v>
      </c>
      <c r="AD361" s="230">
        <f>(INDEX(Models!$BJ361:$BT361,,AH361)*(1-AF361)+INDEX(Models!$BJ361:$BT361,,AH361+1)*AF361-ERP_i)*AE361*Ramure*Pc/MaxiM</f>
        <v>0.10537790864532</v>
      </c>
      <c r="AE361" s="304">
        <f t="shared" si="142"/>
        <v>0.7</v>
      </c>
      <c r="AF361" s="177">
        <f t="shared" si="143"/>
        <v>0.33454511397719955</v>
      </c>
      <c r="AG361" s="799">
        <f t="shared" si="149"/>
        <v>2</v>
      </c>
      <c r="AH361" s="176">
        <f t="shared" si="144"/>
        <v>8</v>
      </c>
      <c r="AI361" s="224">
        <f t="shared" si="145"/>
        <v>2.3345451139771995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46735</v>
      </c>
      <c r="B362" s="409">
        <f>'2026'!Wh/'2026'!Env_an*'2027'!Env_an</f>
        <v>15.15777335822261</v>
      </c>
      <c r="C362" s="829"/>
      <c r="D362" s="391">
        <f t="shared" si="127"/>
        <v>16.1350068215344</v>
      </c>
      <c r="E362" s="383">
        <f t="shared" si="150"/>
        <v>16.601845211683759</v>
      </c>
      <c r="F362" s="383">
        <f t="shared" si="128"/>
        <v>16.680908285883572</v>
      </c>
      <c r="G362" s="110">
        <f t="shared" si="151"/>
        <v>0.64300314967355665</v>
      </c>
      <c r="H362" s="412" t="b">
        <f>Wh_hp&gt;='2026'!Maxi_hp</f>
        <v>0</v>
      </c>
      <c r="I362" s="388">
        <f>IF(H362,Wh_hp,'2026'!Maxi_hp)</f>
        <v>25.956270173874294</v>
      </c>
      <c r="J362" s="85">
        <f>IF(H362,An,'2026'!An_max)</f>
        <v>2021</v>
      </c>
      <c r="K362" s="197">
        <f t="shared" si="129"/>
        <v>46735</v>
      </c>
      <c r="L362" s="147">
        <f>IF(t&lt;Tvie,1-EXP((T0-t)*PertePVj)+'2026'!Pspv,1-EXP((T0-t)*PertePVj)+Pspv)</f>
        <v>6.0566039675145178E-2</v>
      </c>
      <c r="M362" s="832"/>
      <c r="N362" s="832"/>
      <c r="O362" s="48">
        <f>IF(t&lt;Tnet,'2026'!Resal+('2026'!Salim-'2026'!Resal)*(1-EXP(('2026'!Tnet-t)/('2026'!Tau_j))),Resal+(Salim-Resal)*(1-EXP((Tnet-t)/(Tau_j))))*Salcycl</f>
        <v>2.8119668879987795E-2</v>
      </c>
      <c r="P362" s="169">
        <f>(INDEX(Models!$BJ362:$BT362,,T362)*(1-R362)+INDEX(Models!$BJ362:$BT362,,T362+1)*R362-ERP_i)*Q362*Ramure*Pc/MaxiM</f>
        <v>9.5849364214102475E-3</v>
      </c>
      <c r="Q362" s="304">
        <f t="shared" si="130"/>
        <v>0.7</v>
      </c>
      <c r="R362" s="177">
        <f t="shared" si="131"/>
        <v>0.57889500335990396</v>
      </c>
      <c r="S362" s="799">
        <f t="shared" si="132"/>
        <v>-1</v>
      </c>
      <c r="T362" s="176">
        <f t="shared" si="133"/>
        <v>5</v>
      </c>
      <c r="U362" s="250">
        <f t="shared" si="134"/>
        <v>-0.42110499664009604</v>
      </c>
      <c r="V362" s="382">
        <f t="shared" si="135"/>
        <v>23.458642676364654</v>
      </c>
      <c r="W362" s="400">
        <f t="shared" si="136"/>
        <v>15.15777335822261</v>
      </c>
      <c r="X362" s="157">
        <f t="shared" si="137"/>
        <v>46735</v>
      </c>
      <c r="Y362" s="383">
        <f t="shared" si="138"/>
        <v>13.845005080254284</v>
      </c>
      <c r="Z362" s="383">
        <f t="shared" si="139"/>
        <v>14.73760334943257</v>
      </c>
      <c r="AA362" s="384">
        <f t="shared" si="140"/>
        <v>15.807712319980467</v>
      </c>
      <c r="AB362" s="197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6.7695372289595129E-2</v>
      </c>
      <c r="AD362" s="230">
        <f>(INDEX(Models!$BJ362:$BT362,,AH362)*(1-AF362)+INDEX(Models!$BJ362:$BT362,,AH362+1)*AF362-ERP_i)*AE362*Ramure*Pc/MaxiM</f>
        <v>0.10585887155691984</v>
      </c>
      <c r="AE362" s="304">
        <f t="shared" si="142"/>
        <v>0.7</v>
      </c>
      <c r="AF362" s="177">
        <f t="shared" si="143"/>
        <v>0.33455283419925497</v>
      </c>
      <c r="AG362" s="799">
        <f t="shared" si="149"/>
        <v>2</v>
      </c>
      <c r="AH362" s="176">
        <f t="shared" si="144"/>
        <v>8</v>
      </c>
      <c r="AI362" s="224">
        <f t="shared" si="145"/>
        <v>2.334552834199255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46736</v>
      </c>
      <c r="B363" s="409">
        <f>'2026'!Wh/'2026'!Env_an*'2027'!Env_an</f>
        <v>7.213295974305475</v>
      </c>
      <c r="C363" s="829"/>
      <c r="D363" s="391">
        <f t="shared" si="127"/>
        <v>7.6784899447665502</v>
      </c>
      <c r="E363" s="383">
        <f t="shared" si="150"/>
        <v>7.9012744368582428</v>
      </c>
      <c r="F363" s="383">
        <f t="shared" si="128"/>
        <v>7.9022212828998697</v>
      </c>
      <c r="G363" s="110">
        <f t="shared" si="151"/>
        <v>0.30581786707689246</v>
      </c>
      <c r="H363" s="412" t="b">
        <f>Wh_hp&gt;='2026'!Maxi_hp</f>
        <v>0</v>
      </c>
      <c r="I363" s="388">
        <f>IF(H363,Wh_hp,'2026'!Maxi_hp)</f>
        <v>25.992364486751338</v>
      </c>
      <c r="J363" s="85">
        <f>IF(H363,An,'2026'!An_max)</f>
        <v>2018</v>
      </c>
      <c r="K363" s="197">
        <f t="shared" si="129"/>
        <v>46736</v>
      </c>
      <c r="L363" s="147">
        <f>IF(t&lt;Tvie,1-EXP((T0-t)*PertePVj)+'2026'!Pspv,1-EXP((T0-t)*PertePVj)+Pspv)</f>
        <v>6.0584043712675451E-2</v>
      </c>
      <c r="M363" s="832"/>
      <c r="N363" s="832"/>
      <c r="O363" s="48">
        <f>IF(t&lt;Tnet,'2026'!Resal+('2026'!Salim-'2026'!Resal)*(1-EXP(('2026'!Tnet-t)/('2026'!Tau_j))),Resal+(Salim-Resal)*(1-EXP((Tnet-t)/(Tau_j))))*Salcycl</f>
        <v>2.819602000563811E-2</v>
      </c>
      <c r="P363" s="169">
        <f>(INDEX(Models!$BJ363:$BT363,,T363)*(1-R363)+INDEX(Models!$BJ363:$BT363,,T363+1)*R363-ERP_i)*Q363*Ramure*Pc/MaxiM</f>
        <v>9.5932225869229983E-3</v>
      </c>
      <c r="Q363" s="304">
        <f t="shared" si="130"/>
        <v>0.7</v>
      </c>
      <c r="R363" s="177">
        <f t="shared" si="131"/>
        <v>0.57890241302330914</v>
      </c>
      <c r="S363" s="799">
        <f t="shared" si="132"/>
        <v>-1</v>
      </c>
      <c r="T363" s="176">
        <f t="shared" si="133"/>
        <v>5</v>
      </c>
      <c r="U363" s="250">
        <f t="shared" si="134"/>
        <v>-0.42109758697669081</v>
      </c>
      <c r="V363" s="382">
        <f t="shared" si="135"/>
        <v>23.363426730907193</v>
      </c>
      <c r="W363" s="400">
        <f t="shared" si="136"/>
        <v>7.213295974305475</v>
      </c>
      <c r="X363" s="157">
        <f t="shared" si="137"/>
        <v>46736</v>
      </c>
      <c r="Y363" s="383">
        <f t="shared" si="138"/>
        <v>6.9115746048932447</v>
      </c>
      <c r="Z363" s="383">
        <f t="shared" si="139"/>
        <v>7.3573102081516151</v>
      </c>
      <c r="AA363" s="384">
        <f t="shared" si="140"/>
        <v>7.8917321121593487</v>
      </c>
      <c r="AB363" s="197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6.7719215048406375E-2</v>
      </c>
      <c r="AD363" s="230">
        <f>(INDEX(Models!$BJ363:$BT363,,AH363)*(1-AF363)+INDEX(Models!$BJ363:$BT363,,AH363+1)*AF363-ERP_i)*AE363*Ramure*Pc/MaxiM</f>
        <v>0.10627382408771721</v>
      </c>
      <c r="AE363" s="304">
        <f t="shared" si="142"/>
        <v>0.7</v>
      </c>
      <c r="AF363" s="177">
        <f t="shared" si="143"/>
        <v>0.33456024386266003</v>
      </c>
      <c r="AG363" s="799">
        <f t="shared" si="149"/>
        <v>2</v>
      </c>
      <c r="AH363" s="176">
        <f t="shared" si="144"/>
        <v>8</v>
      </c>
      <c r="AI363" s="224">
        <f t="shared" si="145"/>
        <v>2.33456024386266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46737</v>
      </c>
      <c r="B364" s="409">
        <f>'2026'!Wh/'2026'!Env_an*'2027'!Env_an</f>
        <v>5.1728176304578977</v>
      </c>
      <c r="C364" s="829"/>
      <c r="D364" s="391">
        <f t="shared" si="127"/>
        <v>5.5065242756484212</v>
      </c>
      <c r="E364" s="383">
        <f t="shared" si="150"/>
        <v>5.6667374840030025</v>
      </c>
      <c r="F364" s="383">
        <f t="shared" si="128"/>
        <v>5.6667374840030025</v>
      </c>
      <c r="G364" s="110">
        <f t="shared" si="151"/>
        <v>0.22008373535509057</v>
      </c>
      <c r="H364" s="412" t="b">
        <f>Wh_hp&gt;='2026'!Maxi_hp</f>
        <v>0</v>
      </c>
      <c r="I364" s="388">
        <f>IF(H364,Wh_hp,'2026'!Maxi_hp)</f>
        <v>25.444176400080966</v>
      </c>
      <c r="J364" s="85">
        <f>IF(H364,An,'2026'!An_max)</f>
        <v>2021</v>
      </c>
      <c r="K364" s="197">
        <f t="shared" si="129"/>
        <v>46737</v>
      </c>
      <c r="L364" s="147">
        <f>IF(t&lt;Tvie,1-EXP((T0-t)*PertePVj)+'2026'!Pspv,1-EXP((T0-t)*PertePVj)+Pspv)</f>
        <v>6.0602047405162507E-2</v>
      </c>
      <c r="M364" s="832"/>
      <c r="N364" s="832"/>
      <c r="O364" s="48">
        <f>IF(t&lt;Tnet,'2026'!Resal+('2026'!Salim-'2026'!Resal)*(1-EXP(('2026'!Tnet-t)/('2026'!Tau_j))),Resal+(Salim-Resal)*(1-EXP((Tnet-t)/(Tau_j))))*Salcycl</f>
        <v>2.8272565794137765E-2</v>
      </c>
      <c r="P364" s="169">
        <f>(INDEX(Models!$BJ364:$BT364,,T364)*(1-R364)+INDEX(Models!$BJ364:$BT364,,T364+1)*R364-ERP_i)*Q364*Ramure*Pc/MaxiM</f>
        <v>9.6012948107921919E-3</v>
      </c>
      <c r="Q364" s="304">
        <f t="shared" si="130"/>
        <v>0.7</v>
      </c>
      <c r="R364" s="177">
        <f t="shared" si="131"/>
        <v>0.57890952460998535</v>
      </c>
      <c r="S364" s="799">
        <f t="shared" si="132"/>
        <v>-1</v>
      </c>
      <c r="T364" s="176">
        <f t="shared" si="133"/>
        <v>5</v>
      </c>
      <c r="U364" s="250">
        <f t="shared" si="134"/>
        <v>-0.42109047539001465</v>
      </c>
      <c r="V364" s="382">
        <f t="shared" si="135"/>
        <v>23.278193979757479</v>
      </c>
      <c r="W364" s="400">
        <f t="shared" si="136"/>
        <v>5.1728176304578977</v>
      </c>
      <c r="X364" s="157">
        <f t="shared" si="137"/>
        <v>46737</v>
      </c>
      <c r="Y364" s="383">
        <f t="shared" si="138"/>
        <v>4.9626997718142905</v>
      </c>
      <c r="Z364" s="383">
        <f t="shared" si="139"/>
        <v>5.2828513816813736</v>
      </c>
      <c r="AA364" s="384">
        <f t="shared" si="140"/>
        <v>5.6667374840030025</v>
      </c>
      <c r="AB364" s="197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6.774375968629659E-2</v>
      </c>
      <c r="AD364" s="230">
        <f>(INDEX(Models!$BJ364:$BT364,,AH364)*(1-AF364)+INDEX(Models!$BJ364:$BT364,,AH364+1)*AF364-ERP_i)*AE364*Ramure*Pc/MaxiM</f>
        <v>0.10661687714097934</v>
      </c>
      <c r="AE364" s="304">
        <f t="shared" si="142"/>
        <v>0.7</v>
      </c>
      <c r="AF364" s="177">
        <f t="shared" si="143"/>
        <v>0.33456735544933602</v>
      </c>
      <c r="AG364" s="799">
        <f t="shared" si="149"/>
        <v>2</v>
      </c>
      <c r="AH364" s="176">
        <f t="shared" si="144"/>
        <v>8</v>
      </c>
      <c r="AI364" s="224">
        <f t="shared" si="145"/>
        <v>2.334567355449336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46738</v>
      </c>
      <c r="B365" s="409">
        <f>'2026'!Wh/'2026'!Env_an*'2027'!Env_an</f>
        <v>2.8835755343111029</v>
      </c>
      <c r="C365" s="829"/>
      <c r="D365" s="391">
        <f t="shared" si="127"/>
        <v>3.0696583811708642</v>
      </c>
      <c r="E365" s="383">
        <f t="shared" si="150"/>
        <v>3.1592200295285728</v>
      </c>
      <c r="F365" s="383">
        <f t="shared" si="128"/>
        <v>3.1592200295285728</v>
      </c>
      <c r="G365" s="110">
        <f t="shared" si="151"/>
        <v>0.12307677680582196</v>
      </c>
      <c r="H365" s="412" t="b">
        <f>Wh_hp&gt;='2026'!Maxi_hp</f>
        <v>0</v>
      </c>
      <c r="I365" s="388">
        <f>IF(H365,Wh_hp,'2026'!Maxi_hp)</f>
        <v>25.822433356414916</v>
      </c>
      <c r="J365" s="85">
        <f>IF(H365,An,'2026'!An_max)</f>
        <v>2021</v>
      </c>
      <c r="K365" s="197">
        <f t="shared" si="129"/>
        <v>46738</v>
      </c>
      <c r="L365" s="147">
        <f>IF(t&lt;Tvie,1-EXP((T0-t)*PertePVj)+'2026'!Pspv,1-EXP((T0-t)*PertePVj)+Pspv)</f>
        <v>6.0620050752612897E-2</v>
      </c>
      <c r="M365" s="832"/>
      <c r="N365" s="832"/>
      <c r="O365" s="48">
        <f>IF(t&lt;Tnet,'2026'!Resal+('2026'!Salim-'2026'!Resal)*(1-EXP(('2026'!Tnet-t)/('2026'!Tau_j))),Resal+(Salim-Resal)*(1-EXP((Tnet-t)/(Tau_j))))*Salcycl</f>
        <v>2.8349291129011113E-2</v>
      </c>
      <c r="P365" s="169">
        <f>(INDEX(Models!$BJ365:$BT365,,T365)*(1-R365)+INDEX(Models!$BJ365:$BT365,,T365+1)*R365-ERP_i)*Q365*Ramure*Pc/MaxiM</f>
        <v>9.6087044407265204E-3</v>
      </c>
      <c r="Q365" s="304">
        <f t="shared" si="130"/>
        <v>0.7</v>
      </c>
      <c r="R365" s="177">
        <f t="shared" si="131"/>
        <v>0.57891635010103526</v>
      </c>
      <c r="S365" s="799">
        <f t="shared" si="132"/>
        <v>-1</v>
      </c>
      <c r="T365" s="176">
        <f t="shared" si="133"/>
        <v>5</v>
      </c>
      <c r="U365" s="250">
        <f t="shared" si="134"/>
        <v>-0.42108364989896468</v>
      </c>
      <c r="V365" s="382">
        <f t="shared" si="135"/>
        <v>23.203955964617894</v>
      </c>
      <c r="W365" s="400">
        <f t="shared" si="136"/>
        <v>2.8835755343111029</v>
      </c>
      <c r="X365" s="157">
        <f t="shared" si="137"/>
        <v>46738</v>
      </c>
      <c r="Y365" s="383">
        <f t="shared" si="138"/>
        <v>2.7665894562494961</v>
      </c>
      <c r="Z365" s="383">
        <f t="shared" si="139"/>
        <v>2.9451229595288186</v>
      </c>
      <c r="AA365" s="384">
        <f t="shared" si="140"/>
        <v>3.1592200295285728</v>
      </c>
      <c r="AB365" s="197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6.7768964490802608E-2</v>
      </c>
      <c r="AD365" s="230">
        <f>(INDEX(Models!$BJ365:$BT365,,AH365)*(1-AF365)+INDEX(Models!$BJ365:$BT365,,AH365+1)*AF365-ERP_i)*AE365*Ramure*Pc/MaxiM</f>
        <v>0.10688215475902905</v>
      </c>
      <c r="AE365" s="304">
        <f t="shared" si="142"/>
        <v>0.7</v>
      </c>
      <c r="AF365" s="177">
        <f t="shared" si="143"/>
        <v>0.33457418094038616</v>
      </c>
      <c r="AG365" s="799">
        <f t="shared" si="149"/>
        <v>2</v>
      </c>
      <c r="AH365" s="176">
        <f t="shared" si="144"/>
        <v>8</v>
      </c>
      <c r="AI365" s="224">
        <f t="shared" si="145"/>
        <v>2.3345741809403862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46739</v>
      </c>
      <c r="B366" s="409">
        <f>'2026'!Wh/'2026'!Env_an*'2027'!Env_an</f>
        <v>19.496875483100254</v>
      </c>
      <c r="C366" s="829"/>
      <c r="D366" s="391">
        <f t="shared" si="127"/>
        <v>20.755445290324609</v>
      </c>
      <c r="E366" s="383">
        <f t="shared" si="150"/>
        <v>21.362705415044282</v>
      </c>
      <c r="F366" s="383">
        <f t="shared" si="128"/>
        <v>21.523113751090033</v>
      </c>
      <c r="G366" s="110">
        <f t="shared" si="151"/>
        <v>0.84066354809064281</v>
      </c>
      <c r="H366" s="412" t="b">
        <f>Wh_hp&gt;='2026'!Maxi_hp</f>
        <v>0</v>
      </c>
      <c r="I366" s="388">
        <f>IF(H366,Wh_hp,'2026'!Maxi_hp)</f>
        <v>24.301759677464336</v>
      </c>
      <c r="J366" s="85">
        <f>IF(H366,An,'2026'!An_max)</f>
        <v>2021</v>
      </c>
      <c r="K366" s="197">
        <f t="shared" si="129"/>
        <v>46739</v>
      </c>
      <c r="L366" s="147">
        <f>IF(t&lt;Tvie,1-EXP((T0-t)*PertePVj)+'2026'!Pspv,1-EXP((T0-t)*PertePVj)+Pspv)</f>
        <v>6.0638053755033172E-2</v>
      </c>
      <c r="M366" s="832"/>
      <c r="N366" s="832"/>
      <c r="O366" s="48">
        <f>IF(t&lt;Tnet,'2026'!Resal+('2026'!Salim-'2026'!Resal)*(1-EXP(('2026'!Tnet-t)/('2026'!Tau_j))),Resal+(Salim-Resal)*(1-EXP((Tnet-t)/(Tau_j))))*Salcycl</f>
        <v>2.8426180716419166E-2</v>
      </c>
      <c r="P366" s="169">
        <f>(INDEX(Models!$BJ366:$BT366,,T366)*(1-R366)+INDEX(Models!$BJ366:$BT366,,T366+1)*R366-ERP_i)*Q366*Ramure*Pc/MaxiM</f>
        <v>9.6165654216587189E-3</v>
      </c>
      <c r="Q366" s="304">
        <f t="shared" si="130"/>
        <v>0.7</v>
      </c>
      <c r="R366" s="177">
        <f t="shared" si="131"/>
        <v>0.57892290099677068</v>
      </c>
      <c r="S366" s="799">
        <f t="shared" si="132"/>
        <v>-1</v>
      </c>
      <c r="T366" s="176">
        <f t="shared" si="133"/>
        <v>5</v>
      </c>
      <c r="U366" s="250">
        <f t="shared" si="134"/>
        <v>-0.42107709900322926</v>
      </c>
      <c r="V366" s="382">
        <f t="shared" si="135"/>
        <v>23.141687169029243</v>
      </c>
      <c r="W366" s="400">
        <f t="shared" si="136"/>
        <v>19.496875483100254</v>
      </c>
      <c r="X366" s="157">
        <f t="shared" si="137"/>
        <v>46739</v>
      </c>
      <c r="Y366" s="383">
        <f t="shared" si="138"/>
        <v>17.283399933388498</v>
      </c>
      <c r="Z366" s="383">
        <f t="shared" si="139"/>
        <v>18.399084615336687</v>
      </c>
      <c r="AA366" s="384">
        <f t="shared" si="140"/>
        <v>19.737161274497566</v>
      </c>
      <c r="AB366" s="197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6.7794787738285928E-2</v>
      </c>
      <c r="AD366" s="230">
        <f>(INDEX(Models!$BJ366:$BT366,,AH366)*(1-AF366)+INDEX(Models!$BJ366:$BT366,,AH366+1)*AF366-ERP_i)*AE366*Ramure*Pc/MaxiM</f>
        <v>0.10706880486701396</v>
      </c>
      <c r="AE366" s="304">
        <f t="shared" si="142"/>
        <v>0.7</v>
      </c>
      <c r="AF366" s="177">
        <f t="shared" si="143"/>
        <v>0.33458073183612136</v>
      </c>
      <c r="AG366" s="799">
        <f t="shared" si="149"/>
        <v>2</v>
      </c>
      <c r="AH366" s="176">
        <f t="shared" si="144"/>
        <v>8</v>
      </c>
      <c r="AI366" s="224">
        <f t="shared" si="145"/>
        <v>2.3345807318361214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46740</v>
      </c>
      <c r="B367" s="409">
        <f>'2026'!Wh/'2026'!Env_an*'2027'!Env_an</f>
        <v>17.432726613011805</v>
      </c>
      <c r="C367" s="829"/>
      <c r="D367" s="391">
        <f t="shared" si="127"/>
        <v>18.5584063558575</v>
      </c>
      <c r="E367" s="383">
        <f t="shared" si="150"/>
        <v>19.102900516491029</v>
      </c>
      <c r="F367" s="383">
        <f t="shared" si="128"/>
        <v>19.223114878398981</v>
      </c>
      <c r="G367" s="110">
        <f t="shared" si="151"/>
        <v>0.7523512478146227</v>
      </c>
      <c r="H367" s="412" t="b">
        <f>Wh_hp&gt;='2026'!Maxi_hp</f>
        <v>0</v>
      </c>
      <c r="I367" s="388">
        <f>IF(H367,Wh_hp,'2026'!Maxi_hp)</f>
        <v>25.50206749437104</v>
      </c>
      <c r="J367" s="85">
        <f>IF(H367,An,'2026'!An_max)</f>
        <v>2021</v>
      </c>
      <c r="K367" s="197">
        <f t="shared" si="129"/>
        <v>46740</v>
      </c>
      <c r="L367" s="147">
        <f>IF(t&lt;Tvie,1-EXP((T0-t)*PertePVj)+'2026'!Pspv,1-EXP((T0-t)*PertePVj)+Pspv)</f>
        <v>6.0656056412430104E-2</v>
      </c>
      <c r="M367" s="832"/>
      <c r="N367" s="832"/>
      <c r="O367" s="48">
        <f>IF(t&lt;Tnet,'2026'!Resal+('2026'!Salim-'2026'!Resal)*(1-EXP(('2026'!Tnet-t)/('2026'!Tau_j))),Resal+(Salim-Resal)*(1-EXP((Tnet-t)/(Tau_j))))*Salcycl</f>
        <v>2.8503219192471875E-2</v>
      </c>
      <c r="P367" s="169">
        <f>(INDEX(Models!$BJ367:$BT367,,T367)*(1-R367)+INDEX(Models!$BJ367:$BT367,,T367+1)*R367-ERP_i)*Q367*Ramure*Pc/MaxiM</f>
        <v>9.6228665071411926E-3</v>
      </c>
      <c r="Q367" s="304">
        <f t="shared" si="130"/>
        <v>0.7</v>
      </c>
      <c r="R367" s="177">
        <f t="shared" si="131"/>
        <v>0.57892918833594376</v>
      </c>
      <c r="S367" s="799">
        <f t="shared" si="132"/>
        <v>-1</v>
      </c>
      <c r="T367" s="176">
        <f t="shared" si="133"/>
        <v>5</v>
      </c>
      <c r="U367" s="250">
        <f t="shared" si="134"/>
        <v>-0.4210708116640563</v>
      </c>
      <c r="V367" s="382">
        <f t="shared" si="135"/>
        <v>23.092434776923504</v>
      </c>
      <c r="W367" s="400">
        <f t="shared" si="136"/>
        <v>17.432726613011805</v>
      </c>
      <c r="X367" s="157">
        <f t="shared" si="137"/>
        <v>46740</v>
      </c>
      <c r="Y367" s="383">
        <f t="shared" si="138"/>
        <v>15.659658463084453</v>
      </c>
      <c r="Z367" s="383">
        <f t="shared" si="139"/>
        <v>16.670846253904216</v>
      </c>
      <c r="AA367" s="384">
        <f t="shared" si="140"/>
        <v>17.883742945403466</v>
      </c>
      <c r="AB367" s="197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6.7821187947179312E-2</v>
      </c>
      <c r="AD367" s="230">
        <f>(INDEX(Models!$BJ367:$BT367,,AH367)*(1-AF367)+INDEX(Models!$BJ367:$BT367,,AH367+1)*AF367-ERP_i)*AE367*Ramure*Pc/MaxiM</f>
        <v>0.10721345694532027</v>
      </c>
      <c r="AE367" s="304">
        <f t="shared" si="142"/>
        <v>0.7</v>
      </c>
      <c r="AF367" s="177">
        <f t="shared" si="143"/>
        <v>0.33458701917529465</v>
      </c>
      <c r="AG367" s="799">
        <f t="shared" si="149"/>
        <v>2</v>
      </c>
      <c r="AH367" s="176">
        <f t="shared" si="144"/>
        <v>8</v>
      </c>
      <c r="AI367" s="224">
        <f t="shared" si="145"/>
        <v>2.3345870191752947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46741</v>
      </c>
      <c r="B368" s="409">
        <f>'2026'!Wh/'2026'!Env_an*'2027'!Env_an</f>
        <v>3.9039953466920783</v>
      </c>
      <c r="C368" s="829"/>
      <c r="D368" s="391">
        <f t="shared" si="127"/>
        <v>4.1561668587499847</v>
      </c>
      <c r="E368" s="383">
        <f t="shared" si="150"/>
        <v>4.2784465345533427</v>
      </c>
      <c r="F368" s="383">
        <f t="shared" si="128"/>
        <v>4.2784465345533427</v>
      </c>
      <c r="G368" s="110">
        <f t="shared" si="151"/>
        <v>0.16768772797580159</v>
      </c>
      <c r="H368" s="412" t="b">
        <f>Wh_hp&gt;='2026'!Maxi_hp</f>
        <v>0</v>
      </c>
      <c r="I368" s="388">
        <f>IF(H368,Wh_hp,'2026'!Maxi_hp)</f>
        <v>25.974540677970943</v>
      </c>
      <c r="J368" s="85">
        <f>IF(H368,An,'2026'!An_max)</f>
        <v>2021</v>
      </c>
      <c r="K368" s="197">
        <f t="shared" si="129"/>
        <v>46741</v>
      </c>
      <c r="L368" s="147">
        <f>IF(t&lt;Tvie,1-EXP((T0-t)*PertePVj)+'2026'!Pspv,1-EXP((T0-t)*PertePVj)+Pspv)</f>
        <v>6.0674058724810132E-2</v>
      </c>
      <c r="M368" s="832"/>
      <c r="N368" s="832"/>
      <c r="O368" s="48">
        <f>IF(t&lt;Tnet,'2026'!Resal+('2026'!Salim-'2026'!Resal)*(1-EXP(('2026'!Tnet-t)/('2026'!Tau_j))),Resal+(Salim-Resal)*(1-EXP((Tnet-t)/(Tau_j))))*Salcycl</f>
        <v>2.8580391227472472E-2</v>
      </c>
      <c r="P368" s="169">
        <f>(INDEX(Models!$BJ368:$BT368,,T368)*(1-R368)+INDEX(Models!$BJ368:$BT368,,T368+1)*R368-ERP_i)*Q368*Ramure*Pc/MaxiM</f>
        <v>9.6271532416462805E-3</v>
      </c>
      <c r="Q368" s="304">
        <f t="shared" si="130"/>
        <v>0.7</v>
      </c>
      <c r="R368" s="177">
        <f t="shared" si="131"/>
        <v>0.57893522271421438</v>
      </c>
      <c r="S368" s="799">
        <f t="shared" si="132"/>
        <v>-1</v>
      </c>
      <c r="T368" s="176">
        <f t="shared" si="133"/>
        <v>5</v>
      </c>
      <c r="U368" s="250">
        <f t="shared" si="134"/>
        <v>-0.42106477728578562</v>
      </c>
      <c r="V368" s="382">
        <f t="shared" si="135"/>
        <v>23.057208967568261</v>
      </c>
      <c r="W368" s="400">
        <f t="shared" si="136"/>
        <v>3.9039953466920783</v>
      </c>
      <c r="X368" s="157">
        <f t="shared" si="137"/>
        <v>46741</v>
      </c>
      <c r="Y368" s="383">
        <f t="shared" si="138"/>
        <v>3.7461839898850151</v>
      </c>
      <c r="Z368" s="383">
        <f t="shared" si="139"/>
        <v>3.9881619630342064</v>
      </c>
      <c r="AA368" s="384">
        <f t="shared" si="140"/>
        <v>4.2784465345533427</v>
      </c>
      <c r="AB368" s="197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6.7848124120462178E-2</v>
      </c>
      <c r="AD368" s="230">
        <f>(INDEX(Models!$BJ368:$BT368,,AH368)*(1-AF368)+INDEX(Models!$BJ368:$BT368,,AH368+1)*AF368-ERP_i)*AE368*Ramure*Pc/MaxiM</f>
        <v>0.1073108140678237</v>
      </c>
      <c r="AE368" s="304">
        <f t="shared" si="142"/>
        <v>0.7</v>
      </c>
      <c r="AF368" s="177">
        <f t="shared" si="143"/>
        <v>0.33459305355356506</v>
      </c>
      <c r="AG368" s="799">
        <f t="shared" si="149"/>
        <v>2</v>
      </c>
      <c r="AH368" s="176">
        <f t="shared" si="144"/>
        <v>8</v>
      </c>
      <c r="AI368" s="224">
        <f t="shared" si="145"/>
        <v>2.3345930535535651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46742</v>
      </c>
      <c r="B369" s="409">
        <f>'2026'!Wh/'2026'!Env_an*'2027'!Env_an</f>
        <v>19.898172614440711</v>
      </c>
      <c r="C369" s="829"/>
      <c r="D369" s="391">
        <f t="shared" si="127"/>
        <v>21.18386503695876</v>
      </c>
      <c r="E369" s="383">
        <f t="shared" si="150"/>
        <v>21.808856297362521</v>
      </c>
      <c r="F369" s="383">
        <f t="shared" si="128"/>
        <v>21.979299905158314</v>
      </c>
      <c r="G369" s="110">
        <f t="shared" si="151"/>
        <v>0.86211617650429306</v>
      </c>
      <c r="H369" s="412" t="b">
        <f>Wh_hp&gt;='2026'!Maxi_hp</f>
        <v>0</v>
      </c>
      <c r="I369" s="388">
        <f>IF(H369,Wh_hp,'2026'!Maxi_hp)</f>
        <v>22.295003218801163</v>
      </c>
      <c r="J369" s="85">
        <f>IF(H369,An,'2026'!An_max)</f>
        <v>2018</v>
      </c>
      <c r="K369" s="197">
        <f t="shared" si="129"/>
        <v>46742</v>
      </c>
      <c r="L369" s="147">
        <f>IF(t&lt;Tvie,1-EXP((T0-t)*PertePVj)+'2026'!Pspv,1-EXP((T0-t)*PertePVj)+Pspv)</f>
        <v>6.0692060692180028E-2</v>
      </c>
      <c r="M369" s="832"/>
      <c r="N369" s="832"/>
      <c r="O369" s="48">
        <f>IF(t&lt;Tnet,'2026'!Resal+('2026'!Salim-'2026'!Resal)*(1-EXP(('2026'!Tnet-t)/('2026'!Tau_j))),Resal+(Salim-Resal)*(1-EXP((Tnet-t)/(Tau_j))))*Salcycl</f>
        <v>2.8657681626309994E-2</v>
      </c>
      <c r="P369" s="169">
        <f>(INDEX(Models!$BJ369:$BT369,,T369)*(1-R369)+INDEX(Models!$BJ369:$BT369,,T369+1)*R369-ERP_i)*Q369*Ramure*Pc/MaxiM</f>
        <v>9.6289763292111922E-3</v>
      </c>
      <c r="Q369" s="304">
        <f t="shared" si="130"/>
        <v>0.7</v>
      </c>
      <c r="R369" s="177">
        <f t="shared" si="131"/>
        <v>0.57894101430188394</v>
      </c>
      <c r="S369" s="799">
        <f t="shared" si="132"/>
        <v>-1</v>
      </c>
      <c r="T369" s="176">
        <f t="shared" si="133"/>
        <v>5</v>
      </c>
      <c r="U369" s="250">
        <f t="shared" si="134"/>
        <v>-0.42105898569811606</v>
      </c>
      <c r="V369" s="382">
        <f t="shared" si="135"/>
        <v>23.037019462174033</v>
      </c>
      <c r="W369" s="400">
        <f t="shared" si="136"/>
        <v>19.898172614440711</v>
      </c>
      <c r="X369" s="157">
        <f t="shared" si="137"/>
        <v>46742</v>
      </c>
      <c r="Y369" s="383">
        <f t="shared" si="138"/>
        <v>17.580192702544366</v>
      </c>
      <c r="Z369" s="383">
        <f t="shared" si="139"/>
        <v>18.716112114946334</v>
      </c>
      <c r="AA369" s="384">
        <f t="shared" si="140"/>
        <v>20.078984340484197</v>
      </c>
      <c r="AB369" s="197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6.7875555975706228E-2</v>
      </c>
      <c r="AD369" s="230">
        <f>(INDEX(Models!$BJ369:$BT369,,AH369)*(1-AF369)+INDEX(Models!$BJ369:$BT369,,AH369+1)*AF369-ERP_i)*AE369*Ramure*Pc/MaxiM</f>
        <v>0.10735570448732448</v>
      </c>
      <c r="AE369" s="304">
        <f t="shared" si="142"/>
        <v>0.7</v>
      </c>
      <c r="AF369" s="177">
        <f t="shared" si="143"/>
        <v>0.33459884514123495</v>
      </c>
      <c r="AG369" s="799">
        <f t="shared" si="149"/>
        <v>2</v>
      </c>
      <c r="AH369" s="176">
        <f t="shared" si="144"/>
        <v>8</v>
      </c>
      <c r="AI369" s="224">
        <f t="shared" si="145"/>
        <v>2.3345988451412349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46743</v>
      </c>
      <c r="B370" s="409">
        <f>'2026'!Wh/'2026'!Env_an*'2027'!Env_an</f>
        <v>19.456698082262214</v>
      </c>
      <c r="C370" s="829"/>
      <c r="D370" s="391">
        <f t="shared" si="127"/>
        <v>20.714262233242199</v>
      </c>
      <c r="E370" s="383">
        <f t="shared" si="150"/>
        <v>21.327098002937184</v>
      </c>
      <c r="F370" s="383">
        <f t="shared" si="128"/>
        <v>21.488094818060588</v>
      </c>
      <c r="G370" s="110">
        <f t="shared" si="151"/>
        <v>0.84291838363188076</v>
      </c>
      <c r="H370" s="412" t="b">
        <f>Wh_hp&gt;='2026'!Maxi_hp</f>
        <v>0</v>
      </c>
      <c r="I370" s="388">
        <f>IF(H370,Wh_hp,'2026'!Maxi_hp)</f>
        <v>25.041210642089073</v>
      </c>
      <c r="J370" s="85">
        <f>IF(H370,An,'2026'!An_max)</f>
        <v>2021</v>
      </c>
      <c r="K370" s="197">
        <f t="shared" si="129"/>
        <v>46743</v>
      </c>
      <c r="L370" s="147">
        <f>IF(t&lt;Tvie,1-EXP((T0-t)*PertePVj)+'2026'!Pspv,1-EXP((T0-t)*PertePVj)+Pspv)</f>
        <v>6.0710062314546231E-2</v>
      </c>
      <c r="M370" s="832"/>
      <c r="N370" s="832"/>
      <c r="O370" s="48">
        <f>IF(t&lt;Tnet,'2026'!Resal+('2026'!Salim-'2026'!Resal)*(1-EXP(('2026'!Tnet-t)/('2026'!Tau_j))),Resal+(Salim-Resal)*(1-EXP((Tnet-t)/(Tau_j))))*Salcycl</f>
        <v>2.8735075424259977E-2</v>
      </c>
      <c r="P370" s="169">
        <f>(INDEX(Models!$BJ370:$BT370,,T370)*(1-R370)+INDEX(Models!$BJ370:$BT370,,T370+1)*R370-ERP_i)*Q370*Ramure*Pc/MaxiM</f>
        <v>9.6278955903447844E-3</v>
      </c>
      <c r="Q370" s="304">
        <f t="shared" si="130"/>
        <v>0.7</v>
      </c>
      <c r="R370" s="177">
        <f t="shared" si="131"/>
        <v>0.57894657286092177</v>
      </c>
      <c r="S370" s="799">
        <f t="shared" si="132"/>
        <v>-1</v>
      </c>
      <c r="T370" s="176">
        <f t="shared" si="133"/>
        <v>5</v>
      </c>
      <c r="U370" s="250">
        <f t="shared" si="134"/>
        <v>-0.42105342713907828</v>
      </c>
      <c r="V370" s="382">
        <f t="shared" si="135"/>
        <v>23.032875513741608</v>
      </c>
      <c r="W370" s="400">
        <f t="shared" si="136"/>
        <v>19.456698082262214</v>
      </c>
      <c r="X370" s="157">
        <f t="shared" si="137"/>
        <v>46743</v>
      </c>
      <c r="Y370" s="383">
        <f t="shared" si="138"/>
        <v>17.241495478734887</v>
      </c>
      <c r="Z370" s="383">
        <f t="shared" si="139"/>
        <v>18.355882232934832</v>
      </c>
      <c r="AA370" s="384">
        <f t="shared" si="140"/>
        <v>19.693112390502947</v>
      </c>
      <c r="AB370" s="197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6.79034441611676E-2</v>
      </c>
      <c r="AD370" s="230">
        <f>(INDEX(Models!$BJ370:$BT370,,AH370)*(1-AF370)+INDEX(Models!$BJ370:$BT370,,AH370+1)*AF370-ERP_i)*AE370*Ramure*Pc/MaxiM</f>
        <v>0.10734313834582467</v>
      </c>
      <c r="AE370" s="304">
        <f t="shared" si="142"/>
        <v>0.7</v>
      </c>
      <c r="AF370" s="177">
        <f t="shared" si="143"/>
        <v>0.33460440370027245</v>
      </c>
      <c r="AG370" s="799">
        <f t="shared" si="149"/>
        <v>2</v>
      </c>
      <c r="AH370" s="176">
        <f t="shared" si="144"/>
        <v>8</v>
      </c>
      <c r="AI370" s="224">
        <f t="shared" si="145"/>
        <v>2.3346044037002724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46744</v>
      </c>
      <c r="B371" s="409">
        <f>'2026'!Wh/'2026'!Env_an*'2027'!Env_an</f>
        <v>19.589708486429789</v>
      </c>
      <c r="C371" s="829"/>
      <c r="D371" s="391">
        <f t="shared" si="127"/>
        <v>20.856269337018357</v>
      </c>
      <c r="E371" s="383">
        <f t="shared" si="150"/>
        <v>21.475019583845985</v>
      </c>
      <c r="F371" s="383">
        <f t="shared" si="128"/>
        <v>21.638645178176287</v>
      </c>
      <c r="G371" s="110">
        <f t="shared" si="151"/>
        <v>0.84826838460160414</v>
      </c>
      <c r="H371" s="412" t="b">
        <f>Wh_hp&gt;='2026'!Maxi_hp</f>
        <v>0</v>
      </c>
      <c r="I371" s="388">
        <f>IF(H371,Wh_hp,'2026'!Maxi_hp)</f>
        <v>22.181600514114333</v>
      </c>
      <c r="J371" s="85">
        <f>IF(H371,An,'2026'!An_max)</f>
        <v>2020</v>
      </c>
      <c r="K371" s="197">
        <f t="shared" si="129"/>
        <v>46744</v>
      </c>
      <c r="L371" s="147">
        <f>IF(t&lt;Tvie,1-EXP((T0-t)*PertePVj)+'2026'!Pspv,1-EXP((T0-t)*PertePVj)+Pspv)</f>
        <v>6.0728063591915515E-2</v>
      </c>
      <c r="M371" s="832"/>
      <c r="N371" s="832"/>
      <c r="O371" s="48">
        <f>IF(t&lt;Tnet,'2026'!Resal+('2026'!Salim-'2026'!Resal)*(1-EXP(('2026'!Tnet-t)/('2026'!Tau_j))),Resal+(Salim-Resal)*(1-EXP((Tnet-t)/(Tau_j))))*Salcycl</f>
        <v>2.8812557977505395E-2</v>
      </c>
      <c r="P371" s="169">
        <f>(INDEX(Models!$BJ371:$BT371,,T371)*(1-R371)+INDEX(Models!$BJ371:$BT371,,T371+1)*R371-ERP_i)*Q371*Ramure*Pc/MaxiM</f>
        <v>9.6234209176626288E-3</v>
      </c>
      <c r="Q371" s="304">
        <f t="shared" si="130"/>
        <v>0.7</v>
      </c>
      <c r="R371" s="177">
        <f t="shared" si="131"/>
        <v>0.57894657286092177</v>
      </c>
      <c r="S371" s="799">
        <f t="shared" si="132"/>
        <v>-1</v>
      </c>
      <c r="T371" s="176">
        <f t="shared" si="133"/>
        <v>5</v>
      </c>
      <c r="U371" s="250">
        <f t="shared" si="134"/>
        <v>-0.42105342713907828</v>
      </c>
      <c r="V371" s="382">
        <f t="shared" si="135"/>
        <v>23.045787382202764</v>
      </c>
      <c r="W371" s="400">
        <f t="shared" si="136"/>
        <v>19.589708486429789</v>
      </c>
      <c r="X371" s="157">
        <f t="shared" si="137"/>
        <v>46744</v>
      </c>
      <c r="Y371" s="383">
        <f t="shared" si="138"/>
        <v>17.347157842814386</v>
      </c>
      <c r="Z371" s="383">
        <f t="shared" si="139"/>
        <v>18.468727926815845</v>
      </c>
      <c r="AA371" s="384">
        <f t="shared" si="140"/>
        <v>19.814780662105218</v>
      </c>
      <c r="AB371" s="197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6.7931750456548479E-2</v>
      </c>
      <c r="AD371" s="230">
        <f>(INDEX(Models!$BJ371:$BT371,,AH371)*(1-AF371)+INDEX(Models!$BJ371:$BT371,,AH371+1)*AF371-ERP_i)*AE371*Ramure*Pc/MaxiM</f>
        <v>0.10726815695782904</v>
      </c>
      <c r="AE371" s="304">
        <f t="shared" si="142"/>
        <v>0.7</v>
      </c>
      <c r="AF371" s="177">
        <f t="shared" si="143"/>
        <v>0.33460440370027245</v>
      </c>
      <c r="AG371" s="799">
        <f t="shared" si="149"/>
        <v>2</v>
      </c>
      <c r="AH371" s="176">
        <f t="shared" si="144"/>
        <v>8</v>
      </c>
      <c r="AI371" s="224">
        <f t="shared" si="145"/>
        <v>2.3346044037002724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46745</v>
      </c>
      <c r="B372" s="409">
        <f>'2026'!Wh/'2026'!Env_an*'2027'!Env_an</f>
        <v>20.799942773821346</v>
      </c>
      <c r="C372" s="829"/>
      <c r="D372" s="391">
        <f t="shared" si="127"/>
        <v>22.145175003484827</v>
      </c>
      <c r="E372" s="383">
        <f t="shared" si="150"/>
        <v>22.803984746354054</v>
      </c>
      <c r="F372" s="383">
        <f t="shared" si="128"/>
        <v>22.993913611090655</v>
      </c>
      <c r="G372" s="110">
        <f t="shared" si="151"/>
        <v>0.90010544261950765</v>
      </c>
      <c r="H372" s="412" t="b">
        <f>Wh_hp&gt;='2026'!Maxi_hp</f>
        <v>0</v>
      </c>
      <c r="I372" s="388">
        <f>IF(H372,Wh_hp,'2026'!Maxi_hp)</f>
        <v>23.011126380029076</v>
      </c>
      <c r="J372" s="85">
        <f>IF(H372,An,'2026'!An_max)</f>
        <v>2026</v>
      </c>
      <c r="K372" s="197">
        <f t="shared" si="129"/>
        <v>46745</v>
      </c>
      <c r="L372" s="147">
        <f>IF(t&lt;Tvie,1-EXP((T0-t)*PertePVj)+'2026'!Pspv,1-EXP((T0-t)*PertePVj)+Pspv)</f>
        <v>6.074606452429443E-2</v>
      </c>
      <c r="M372" s="832"/>
      <c r="N372" s="832"/>
      <c r="O372" s="48">
        <f>IF(t&lt;Tnet,'2026'!Resal+('2026'!Salim-'2026'!Resal)*(1-EXP(('2026'!Tnet-t)/('2026'!Tau_j))),Resal+(Salim-Resal)*(1-EXP((Tnet-t)/(Tau_j))))*Salcycl</f>
        <v>2.8890115047746627E-2</v>
      </c>
      <c r="P372" s="169">
        <f>(INDEX(Models!$BJ372:$BT372,,T372)*(1-R372)+INDEX(Models!$BJ372:$BT372,,T372+1)*R372-ERP_i)*Q372*Ramure*Pc/MaxiM</f>
        <v>9.6151948813585058E-3</v>
      </c>
      <c r="Q372" s="304">
        <f t="shared" si="130"/>
        <v>0.7</v>
      </c>
      <c r="R372" s="177">
        <f t="shared" si="131"/>
        <v>0.57894657286092177</v>
      </c>
      <c r="S372" s="799">
        <f t="shared" si="132"/>
        <v>-1</v>
      </c>
      <c r="T372" s="176">
        <f t="shared" si="133"/>
        <v>5</v>
      </c>
      <c r="U372" s="250">
        <f t="shared" si="134"/>
        <v>-0.42105342713907828</v>
      </c>
      <c r="V372" s="382">
        <f t="shared" si="135"/>
        <v>23.07676218533236</v>
      </c>
      <c r="W372" s="400">
        <f t="shared" si="136"/>
        <v>20.799942773821346</v>
      </c>
      <c r="X372" s="157">
        <f t="shared" si="137"/>
        <v>46745</v>
      </c>
      <c r="Y372" s="383">
        <f t="shared" si="138"/>
        <v>18.276923199032673</v>
      </c>
      <c r="Z372" s="383">
        <f t="shared" si="139"/>
        <v>19.458979631292074</v>
      </c>
      <c r="AA372" s="384">
        <f t="shared" si="140"/>
        <v>20.877847275756174</v>
      </c>
      <c r="AB372" s="197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6.7960437957208394E-2</v>
      </c>
      <c r="AD372" s="230">
        <f>(INDEX(Models!$BJ372:$BT372,,AH372)*(1-AF372)+INDEX(Models!$BJ372:$BT372,,AH372+1)*AF372-ERP_i)*AE372*Ramure*Pc/MaxiM</f>
        <v>0.10712637188844405</v>
      </c>
      <c r="AE372" s="304">
        <f t="shared" si="142"/>
        <v>0.7</v>
      </c>
      <c r="AF372" s="177">
        <f t="shared" si="143"/>
        <v>0.33460440370027245</v>
      </c>
      <c r="AG372" s="799">
        <f t="shared" si="149"/>
        <v>2</v>
      </c>
      <c r="AH372" s="176">
        <f t="shared" si="144"/>
        <v>8</v>
      </c>
      <c r="AI372" s="224">
        <f t="shared" si="145"/>
        <v>2.3346044037002724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46746</v>
      </c>
      <c r="B373" s="409">
        <f>'2026'!Wh/'2026'!Env_an*'2027'!Env_an</f>
        <v>11.672176663172561</v>
      </c>
      <c r="C373" s="829"/>
      <c r="D373" s="391">
        <f t="shared" si="127"/>
        <v>12.427310571928405</v>
      </c>
      <c r="E373" s="383">
        <f t="shared" si="150"/>
        <v>12.798040799190954</v>
      </c>
      <c r="F373" s="383">
        <f t="shared" si="128"/>
        <v>12.834080555041034</v>
      </c>
      <c r="G373" s="110">
        <f t="shared" si="151"/>
        <v>0.50126203913070611</v>
      </c>
      <c r="H373" s="412" t="b">
        <f>Wh_hp&gt;='2026'!Maxi_hp</f>
        <v>0</v>
      </c>
      <c r="I373" s="388">
        <f>IF(H373,Wh_hp,'2026'!Maxi_hp)</f>
        <v>15.402591944038759</v>
      </c>
      <c r="J373" s="85">
        <f>IF(H373,An,'2026'!An_max)</f>
        <v>2018</v>
      </c>
      <c r="K373" s="197">
        <f t="shared" si="129"/>
        <v>46746</v>
      </c>
      <c r="L373" s="147">
        <f>IF(t&lt;Tvie,1-EXP((T0-t)*PertePVj)+'2026'!Pspv,1-EXP((T0-t)*PertePVj)+Pspv)</f>
        <v>6.0764065111689525E-2</v>
      </c>
      <c r="M373" s="832"/>
      <c r="N373" s="832"/>
      <c r="O373" s="48">
        <f>IF(t&lt;Tnet,'2026'!Resal+('2026'!Salim-'2026'!Resal)*(1-EXP(('2026'!Tnet-t)/('2026'!Tau_j))),Resal+(Salim-Resal)*(1-EXP((Tnet-t)/(Tau_j))))*Salcycl</f>
        <v>2.8967732880331509E-2</v>
      </c>
      <c r="P373" s="169">
        <f>(INDEX(Models!$BJ373:$BT373,,T373)*(1-R373)+INDEX(Models!$BJ373:$BT373,,T373+1)*R373-ERP_i)*Q373*Ramure*Pc/MaxiM</f>
        <v>9.6027423064016099E-3</v>
      </c>
      <c r="Q373" s="304">
        <f t="shared" si="130"/>
        <v>0.7</v>
      </c>
      <c r="R373" s="177">
        <f t="shared" si="131"/>
        <v>0.57894657286092177</v>
      </c>
      <c r="S373" s="799">
        <f t="shared" si="132"/>
        <v>-1</v>
      </c>
      <c r="T373" s="176">
        <f t="shared" si="133"/>
        <v>5</v>
      </c>
      <c r="U373" s="250">
        <f t="shared" si="134"/>
        <v>-0.42105342713907828</v>
      </c>
      <c r="V373" s="382">
        <f t="shared" si="135"/>
        <v>23.126916660650753</v>
      </c>
      <c r="W373" s="400">
        <f t="shared" si="136"/>
        <v>11.672176663172561</v>
      </c>
      <c r="X373" s="157">
        <f t="shared" si="137"/>
        <v>46746</v>
      </c>
      <c r="Y373" s="383">
        <f t="shared" si="138"/>
        <v>10.883422908967264</v>
      </c>
      <c r="Z373" s="383">
        <f t="shared" si="139"/>
        <v>11.587528228742089</v>
      </c>
      <c r="AA373" s="384">
        <f t="shared" si="140"/>
        <v>12.432829749432535</v>
      </c>
      <c r="AB373" s="197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6.798947124077101E-2</v>
      </c>
      <c r="AD373" s="230">
        <f>(INDEX(Models!$BJ373:$BT373,,AH373)*(1-AF373)+INDEX(Models!$BJ373:$BT373,,AH373+1)*AF373-ERP_i)*AE373*Ramure*Pc/MaxiM</f>
        <v>0.10691271335252024</v>
      </c>
      <c r="AE373" s="304">
        <f t="shared" si="142"/>
        <v>0.7</v>
      </c>
      <c r="AF373" s="177">
        <f t="shared" si="143"/>
        <v>0.33460440370027245</v>
      </c>
      <c r="AG373" s="799">
        <f t="shared" si="149"/>
        <v>2</v>
      </c>
      <c r="AH373" s="176">
        <f t="shared" si="144"/>
        <v>8</v>
      </c>
      <c r="AI373" s="224">
        <f t="shared" si="145"/>
        <v>2.3346044037002724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46747</v>
      </c>
      <c r="B374" s="409">
        <f>'2026'!Wh/'2026'!Env_an*'2027'!Env_an</f>
        <v>19.925784075038163</v>
      </c>
      <c r="C374" s="829"/>
      <c r="D374" s="391">
        <f t="shared" si="127"/>
        <v>21.215293426600354</v>
      </c>
      <c r="E374" s="383">
        <f t="shared" si="150"/>
        <v>21.849933445825414</v>
      </c>
      <c r="F374" s="383">
        <f t="shared" si="128"/>
        <v>22.018497068284947</v>
      </c>
      <c r="G374" s="110">
        <f t="shared" si="151"/>
        <v>0.85734914856869937</v>
      </c>
      <c r="H374" s="412" t="b">
        <f>Wh_hp&gt;='2026'!Maxi_hp</f>
        <v>0</v>
      </c>
      <c r="I374" s="388">
        <f>IF(H374,Wh_hp,'2026'!Maxi_hp)</f>
        <v>22.041957603987257</v>
      </c>
      <c r="J374" s="85">
        <f>IF(H374,An,'2026'!An_max)</f>
        <v>2026</v>
      </c>
      <c r="K374" s="197">
        <f t="shared" si="129"/>
        <v>46747</v>
      </c>
      <c r="L374" s="147">
        <f>IF(t&lt;Tvie,1-EXP((T0-t)*PertePVj)+'2026'!Pspv,1-EXP((T0-t)*PertePVj)+Pspv)</f>
        <v>6.0782065354107573E-2</v>
      </c>
      <c r="M374" s="832"/>
      <c r="N374" s="832"/>
      <c r="O374" s="48">
        <f>IF(t&lt;Tnet,'2026'!Resal+('2026'!Salim-'2026'!Resal)*(1-EXP(('2026'!Tnet-t)/('2026'!Tau_j))),Resal+(Salim-Resal)*(1-EXP((Tnet-t)/(Tau_j))))*Salcycl</f>
        <v>2.9045398275403551E-2</v>
      </c>
      <c r="P374" s="169">
        <f>(INDEX(Models!$BJ374:$BT374,,T374)*(1-R374)+INDEX(Models!$BJ374:$BT374,,T374+1)*R374-ERP_i)*Q374*Ramure*Pc/MaxiM</f>
        <v>9.5862015436877779E-3</v>
      </c>
      <c r="Q374" s="304">
        <f t="shared" si="130"/>
        <v>0.7</v>
      </c>
      <c r="R374" s="177">
        <f t="shared" si="131"/>
        <v>0.57894657286092177</v>
      </c>
      <c r="S374" s="799">
        <f t="shared" si="132"/>
        <v>-1</v>
      </c>
      <c r="T374" s="176">
        <f t="shared" si="133"/>
        <v>5</v>
      </c>
      <c r="U374" s="250">
        <f t="shared" si="134"/>
        <v>-0.42105342713907828</v>
      </c>
      <c r="V374" s="382">
        <f t="shared" si="135"/>
        <v>23.195937743741663</v>
      </c>
      <c r="W374" s="400">
        <f t="shared" si="136"/>
        <v>19.925784075038163</v>
      </c>
      <c r="X374" s="157">
        <f t="shared" si="137"/>
        <v>46747</v>
      </c>
      <c r="Y374" s="383">
        <f t="shared" si="138"/>
        <v>17.632308311756031</v>
      </c>
      <c r="Z374" s="383">
        <f t="shared" si="139"/>
        <v>18.77339397102104</v>
      </c>
      <c r="AA374" s="384">
        <f t="shared" si="140"/>
        <v>20.143533264079185</v>
      </c>
      <c r="AB374" s="197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6.8018816515245453E-2</v>
      </c>
      <c r="AD374" s="230">
        <f>(INDEX(Models!$BJ374:$BT374,,AH374)*(1-AF374)+INDEX(Models!$BJ374:$BT374,,AH374+1)*AF374-ERP_i)*AE374*Ramure*Pc/MaxiM</f>
        <v>0.10662906178674972</v>
      </c>
      <c r="AE374" s="304">
        <f t="shared" si="142"/>
        <v>0.7</v>
      </c>
      <c r="AF374" s="177">
        <f t="shared" si="143"/>
        <v>0.33460440370027245</v>
      </c>
      <c r="AG374" s="799">
        <f t="shared" si="149"/>
        <v>2</v>
      </c>
      <c r="AH374" s="176">
        <f t="shared" si="144"/>
        <v>8</v>
      </c>
      <c r="AI374" s="224">
        <f t="shared" si="145"/>
        <v>2.3346044037002724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46748</v>
      </c>
      <c r="B375" s="409">
        <f>'2026'!Wh/'2026'!Env_an*'2027'!Env_an</f>
        <v>6.7466338897017639</v>
      </c>
      <c r="C375" s="829"/>
      <c r="D375" s="391">
        <f t="shared" si="127"/>
        <v>7.1833841124667241</v>
      </c>
      <c r="E375" s="383">
        <f t="shared" si="150"/>
        <v>7.3988618974149798</v>
      </c>
      <c r="F375" s="383">
        <f t="shared" si="128"/>
        <v>7.3988618974149798</v>
      </c>
      <c r="G375" s="110">
        <f t="shared" si="151"/>
        <v>0.28699841525778813</v>
      </c>
      <c r="H375" s="412" t="b">
        <f>Wh_hp&gt;='2026'!Maxi_hp</f>
        <v>0</v>
      </c>
      <c r="I375" s="388">
        <f>IF(H375,Wh_hp,'2026'!Maxi_hp)</f>
        <v>24.49923801757005</v>
      </c>
      <c r="J375" s="85">
        <f>IF(H375,An,'2026'!An_max)</f>
        <v>2018</v>
      </c>
      <c r="K375" s="197">
        <f t="shared" si="129"/>
        <v>46748</v>
      </c>
      <c r="L375" s="147">
        <f>IF(t&lt;Tvie,1-EXP((T0-t)*PertePVj)+'2026'!Pspv,1-EXP((T0-t)*PertePVj)+Pspv)</f>
        <v>6.0800065251555013E-2</v>
      </c>
      <c r="M375" s="832"/>
      <c r="N375" s="832"/>
      <c r="O375" s="48">
        <f>IF(t&lt;Tnet,'2026'!Resal+('2026'!Salim-'2026'!Resal)*(1-EXP(('2026'!Tnet-t)/('2026'!Tau_j))),Resal+(Salim-Resal)*(1-EXP((Tnet-t)/(Tau_j))))*Salcycl</f>
        <v>2.9123098651637213E-2</v>
      </c>
      <c r="P375" s="169">
        <f>(INDEX(Models!$BJ375:$BT375,,T375)*(1-R375)+INDEX(Models!$BJ375:$BT375,,T375+1)*R375-ERP_i)*Q375*Ramure*Pc/MaxiM</f>
        <v>9.5676149425463746E-3</v>
      </c>
      <c r="Q375" s="304">
        <f t="shared" si="130"/>
        <v>0.7</v>
      </c>
      <c r="R375" s="177">
        <f t="shared" si="131"/>
        <v>0.57894657286092177</v>
      </c>
      <c r="S375" s="799">
        <f t="shared" si="132"/>
        <v>-1</v>
      </c>
      <c r="T375" s="176">
        <f t="shared" si="133"/>
        <v>5</v>
      </c>
      <c r="U375" s="250">
        <f t="shared" si="134"/>
        <v>-0.42105342713907828</v>
      </c>
      <c r="V375" s="382">
        <f t="shared" si="135"/>
        <v>23.282653628887712</v>
      </c>
      <c r="W375" s="400">
        <f t="shared" si="136"/>
        <v>6.7466338897017639</v>
      </c>
      <c r="X375" s="157">
        <f t="shared" si="137"/>
        <v>46748</v>
      </c>
      <c r="Y375" s="383">
        <f t="shared" si="138"/>
        <v>6.4761412674782868</v>
      </c>
      <c r="Z375" s="383">
        <f t="shared" si="139"/>
        <v>6.8953808745875333</v>
      </c>
      <c r="AA375" s="384">
        <f t="shared" si="140"/>
        <v>7.3988618974149798</v>
      </c>
      <c r="AB375" s="197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6.804844174796032E-2</v>
      </c>
      <c r="AD375" s="230">
        <f>(INDEX(Models!$BJ375:$BT375,,AH375)*(1-AF375)+INDEX(Models!$BJ375:$BT375,,AH375+1)*AF375-ERP_i)*AE375*Ramure*Pc/MaxiM</f>
        <v>0.10623948894019358</v>
      </c>
      <c r="AE375" s="304">
        <f t="shared" si="142"/>
        <v>0.7</v>
      </c>
      <c r="AF375" s="177">
        <f t="shared" si="143"/>
        <v>0.33460440370027245</v>
      </c>
      <c r="AG375" s="799">
        <f t="shared" si="149"/>
        <v>2</v>
      </c>
      <c r="AH375" s="176">
        <f t="shared" si="144"/>
        <v>8</v>
      </c>
      <c r="AI375" s="224">
        <f t="shared" si="145"/>
        <v>2.3346044037002724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46749</v>
      </c>
      <c r="B376" s="409">
        <f>'2026'!Wh/'2026'!Env_an*'2027'!Env_an</f>
        <v>21.689844429669982</v>
      </c>
      <c r="C376" s="829"/>
      <c r="D376" s="391">
        <f t="shared" si="127"/>
        <v>23.094401219657584</v>
      </c>
      <c r="E376" s="383">
        <f t="shared" si="150"/>
        <v>23.789061368662285</v>
      </c>
      <c r="F376" s="383">
        <f t="shared" si="128"/>
        <v>23.99437788213439</v>
      </c>
      <c r="G376" s="110">
        <f t="shared" si="151"/>
        <v>0.92654744001735223</v>
      </c>
      <c r="H376" s="412" t="b">
        <f>Wh_hp&gt;='2026'!Maxi_hp</f>
        <v>0</v>
      </c>
      <c r="I376" s="388">
        <f>IF(H376,Wh_hp,'2026'!Maxi_hp)</f>
        <v>24.00746563980147</v>
      </c>
      <c r="J376" s="85">
        <f>IF(H376,An,'2026'!An_max)</f>
        <v>2026</v>
      </c>
      <c r="K376" s="197">
        <f t="shared" si="129"/>
        <v>46749</v>
      </c>
      <c r="L376" s="147">
        <f>IF(t&lt;Tvie,1-EXP((T0-t)*PertePVj)+'2026'!Pspv,1-EXP((T0-t)*PertePVj)+Pspv)</f>
        <v>6.0818064804038507E-2</v>
      </c>
      <c r="M376" s="832"/>
      <c r="N376" s="832"/>
      <c r="O376" s="48">
        <f>IF(t&lt;Tnet,'2026'!Resal+('2026'!Salim-'2026'!Resal)*(1-EXP(('2026'!Tnet-t)/('2026'!Tau_j))),Resal+(Salim-Resal)*(1-EXP((Tnet-t)/(Tau_j))))*Salcycl</f>
        <v>2.9200822102203105E-2</v>
      </c>
      <c r="P376" s="169">
        <f>(INDEX(Models!$BJ376:$BT376,,T376)*(1-R376)+INDEX(Models!$BJ376:$BT376,,T376+1)*R376-ERP_i)*Q376*Ramure*Pc/MaxiM</f>
        <v>9.5459159236567417E-3</v>
      </c>
      <c r="Q376" s="304">
        <f t="shared" si="130"/>
        <v>0.7</v>
      </c>
      <c r="R376" s="177">
        <f t="shared" si="131"/>
        <v>0.57894657286092177</v>
      </c>
      <c r="S376" s="799">
        <f t="shared" si="132"/>
        <v>-1</v>
      </c>
      <c r="T376" s="176">
        <f t="shared" si="133"/>
        <v>5</v>
      </c>
      <c r="U376" s="250">
        <f t="shared" si="134"/>
        <v>-0.42105342713907828</v>
      </c>
      <c r="V376" s="382">
        <f t="shared" si="135"/>
        <v>23.385965852863368</v>
      </c>
      <c r="W376" s="400">
        <f t="shared" si="136"/>
        <v>21.689844429669982</v>
      </c>
      <c r="X376" s="157">
        <f t="shared" si="137"/>
        <v>46749</v>
      </c>
      <c r="Y376" s="383">
        <f t="shared" si="138"/>
        <v>19.010269868317341</v>
      </c>
      <c r="Z376" s="383">
        <f t="shared" si="139"/>
        <v>20.241306988459936</v>
      </c>
      <c r="AA376" s="384">
        <f t="shared" si="140"/>
        <v>21.719965693263514</v>
      </c>
      <c r="AB376" s="197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6.8078316774790579E-2</v>
      </c>
      <c r="AD376" s="230">
        <f>(INDEX(Models!$BJ376:$BT376,,AH376)*(1-AF376)+INDEX(Models!$BJ376:$BT376,,AH376+1)*AF376-ERP_i)*AE376*Ramure*Pc/MaxiM</f>
        <v>0.1057457442830162</v>
      </c>
      <c r="AE376" s="304">
        <f t="shared" si="142"/>
        <v>0.7</v>
      </c>
      <c r="AF376" s="177">
        <f t="shared" si="143"/>
        <v>0.33460440370027245</v>
      </c>
      <c r="AG376" s="799">
        <f t="shared" si="149"/>
        <v>2</v>
      </c>
      <c r="AH376" s="176">
        <f t="shared" si="144"/>
        <v>8</v>
      </c>
      <c r="AI376" s="224">
        <f t="shared" si="145"/>
        <v>2.3346044037002724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46750</v>
      </c>
      <c r="B377" s="409">
        <f>'2026'!Wh/'2026'!Env_an*'2027'!Env_an</f>
        <v>11.035907882349411</v>
      </c>
      <c r="C377" s="829"/>
      <c r="D377" s="391">
        <f t="shared" si="127"/>
        <v>11.750779027449054</v>
      </c>
      <c r="E377" s="383">
        <f t="shared" si="150"/>
        <v>12.105201875928699</v>
      </c>
      <c r="F377" s="383">
        <f t="shared" si="128"/>
        <v>12.13317903341335</v>
      </c>
      <c r="G377" s="110">
        <f t="shared" si="151"/>
        <v>0.4661226372379893</v>
      </c>
      <c r="H377" s="412" t="b">
        <f>Wh_hp&gt;='2026'!Maxi_hp</f>
        <v>0</v>
      </c>
      <c r="I377" s="388">
        <f>IF(H377,Wh_hp,'2026'!Maxi_hp)</f>
        <v>25.350843824112598</v>
      </c>
      <c r="J377" s="85">
        <f>IF(H377,An,'2026'!An_max)</f>
        <v>2018</v>
      </c>
      <c r="K377" s="197">
        <f t="shared" si="129"/>
        <v>46750</v>
      </c>
      <c r="L377" s="147">
        <f>IF(t&lt;Tvie,1-EXP((T0-t)*PertePVj)+'2026'!Pspv,1-EXP((T0-t)*PertePVj)+Pspv)</f>
        <v>6.0836064011564717E-2</v>
      </c>
      <c r="M377" s="832"/>
      <c r="N377" s="832"/>
      <c r="O377" s="48">
        <f>IF(t&lt;Tnet,'2026'!Resal+('2026'!Salim-'2026'!Resal)*(1-EXP(('2026'!Tnet-t)/('2026'!Tau_j))),Resal+(Salim-Resal)*(1-EXP((Tnet-t)/(Tau_j))))*Salcycl</f>
        <v>2.9278557442682412E-2</v>
      </c>
      <c r="P377" s="169">
        <f>(INDEX(Models!$BJ377:$BT377,,T377)*(1-R377)+INDEX(Models!$BJ377:$BT377,,T377+1)*R377-ERP_i)*Q377*Ramure*Pc/MaxiM</f>
        <v>9.5216052179829935E-3</v>
      </c>
      <c r="Q377" s="304">
        <f t="shared" si="130"/>
        <v>0.7</v>
      </c>
      <c r="R377" s="177">
        <f t="shared" si="131"/>
        <v>0.57894657286092177</v>
      </c>
      <c r="S377" s="799">
        <f t="shared" si="132"/>
        <v>-1</v>
      </c>
      <c r="T377" s="176">
        <f t="shared" si="133"/>
        <v>5</v>
      </c>
      <c r="U377" s="250">
        <f t="shared" si="134"/>
        <v>-0.42105342713907828</v>
      </c>
      <c r="V377" s="382">
        <f t="shared" si="135"/>
        <v>23.504739808139892</v>
      </c>
      <c r="W377" s="400">
        <f t="shared" si="136"/>
        <v>11.035907882349411</v>
      </c>
      <c r="X377" s="157">
        <f t="shared" si="137"/>
        <v>46750</v>
      </c>
      <c r="Y377" s="383">
        <f t="shared" si="138"/>
        <v>10.34853178079881</v>
      </c>
      <c r="Z377" s="383">
        <f t="shared" si="139"/>
        <v>11.018876880006431</v>
      </c>
      <c r="AA377" s="384">
        <f t="shared" si="140"/>
        <v>11.824204701839513</v>
      </c>
      <c r="AB377" s="197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6.8108413389341607E-2</v>
      </c>
      <c r="AD377" s="230">
        <f>(INDEX(Models!$BJ377:$BT377,,AH377)*(1-AF377)+INDEX(Models!$BJ377:$BT377,,AH377+1)*AF377-ERP_i)*AE377*Ramure*Pc/MaxiM</f>
        <v>0.10515477168651956</v>
      </c>
      <c r="AE377" s="304">
        <f t="shared" si="142"/>
        <v>0.7</v>
      </c>
      <c r="AF377" s="177">
        <f t="shared" si="143"/>
        <v>0.33460440370027245</v>
      </c>
      <c r="AG377" s="799">
        <f t="shared" si="149"/>
        <v>2</v>
      </c>
      <c r="AH377" s="176">
        <f t="shared" si="144"/>
        <v>8</v>
      </c>
      <c r="AI377" s="224">
        <f t="shared" si="145"/>
        <v>2.3346044037002724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46751</v>
      </c>
      <c r="B378" s="409">
        <f>'2026'!Wh/'2026'!Env_an*'2027'!Env_an</f>
        <v>15.06168449949234</v>
      </c>
      <c r="C378" s="829"/>
      <c r="D378" s="391">
        <f t="shared" si="127"/>
        <v>16.037640055800875</v>
      </c>
      <c r="E378" s="383">
        <f t="shared" si="150"/>
        <v>16.522684854192605</v>
      </c>
      <c r="F378" s="383">
        <f t="shared" si="128"/>
        <v>16.598602963031663</v>
      </c>
      <c r="G378" s="110">
        <f t="shared" si="151"/>
        <v>0.63403501647050442</v>
      </c>
      <c r="H378" s="412" t="b">
        <f>Wh_hp&gt;='2026'!Maxi_hp</f>
        <v>0</v>
      </c>
      <c r="I378" s="388">
        <f>IF(H378,Wh_hp,'2026'!Maxi_hp)</f>
        <v>26.258304943114872</v>
      </c>
      <c r="J378" s="85">
        <f>IF(H378,An,'2026'!An_max)</f>
        <v>2018</v>
      </c>
      <c r="K378" s="197">
        <f t="shared" si="129"/>
        <v>46751</v>
      </c>
      <c r="L378" s="147">
        <f>IF(t&lt;Tvie,1-EXP((T0-t)*PertePVj)+'2026'!Pspv,1-EXP((T0-t)*PertePVj)+Pspv)</f>
        <v>6.0854062874140191E-2</v>
      </c>
      <c r="M378" s="832"/>
      <c r="N378" s="832"/>
      <c r="O378" s="48">
        <f>IF(t&lt;Tnet,'2026'!Resal+('2026'!Salim-'2026'!Resal)*(1-EXP(('2026'!Tnet-t)/('2026'!Tau_j))),Resal+(Salim-Resal)*(1-EXP((Tnet-t)/(Tau_j))))*Salcycl</f>
        <v>2.9356294250728401E-2</v>
      </c>
      <c r="P378" s="169">
        <f>(INDEX(Models!$BJ378:$BT378,,T378)*(1-R378)+INDEX(Models!$BJ378:$BT378,,T378+1)*R378-ERP_i)*Q378*Ramure*Pc/MaxiM</f>
        <v>9.4951816638983322E-3</v>
      </c>
      <c r="Q378" s="304">
        <f t="shared" si="130"/>
        <v>0.7</v>
      </c>
      <c r="R378" s="177">
        <f t="shared" si="131"/>
        <v>0.57894657286092177</v>
      </c>
      <c r="S378" s="799">
        <f t="shared" si="132"/>
        <v>-1</v>
      </c>
      <c r="T378" s="176">
        <f t="shared" si="133"/>
        <v>5</v>
      </c>
      <c r="U378" s="250">
        <f t="shared" si="134"/>
        <v>-0.42105342713907828</v>
      </c>
      <c r="V378" s="382">
        <f t="shared" si="135"/>
        <v>23.637841282240061</v>
      </c>
      <c r="W378" s="400">
        <f t="shared" si="136"/>
        <v>15.06168449949234</v>
      </c>
      <c r="X378" s="157">
        <f t="shared" si="137"/>
        <v>46751</v>
      </c>
      <c r="Y378" s="383">
        <f t="shared" si="138"/>
        <v>13.795302790256072</v>
      </c>
      <c r="Z378" s="383">
        <f t="shared" si="139"/>
        <v>14.689200309458712</v>
      </c>
      <c r="AA378" s="384">
        <f t="shared" si="140"/>
        <v>15.7632905184159</v>
      </c>
      <c r="AB378" s="197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6.8138705411941225E-2</v>
      </c>
      <c r="AD378" s="230">
        <f>(INDEX(Models!$BJ378:$BT378,,AH378)*(1-AF378)+INDEX(Models!$BJ378:$BT378,,AH378+1)*AF378-ERP_i)*AE378*Ramure*Pc/MaxiM</f>
        <v>0.10447366944500401</v>
      </c>
      <c r="AE378" s="304">
        <f t="shared" si="142"/>
        <v>0.7</v>
      </c>
      <c r="AF378" s="177">
        <f t="shared" si="143"/>
        <v>0.33460440370027245</v>
      </c>
      <c r="AG378" s="799">
        <f t="shared" si="149"/>
        <v>2</v>
      </c>
      <c r="AH378" s="176">
        <f t="shared" si="144"/>
        <v>8</v>
      </c>
      <c r="AI378" s="224">
        <f t="shared" si="145"/>
        <v>2.3346044037002724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46752</v>
      </c>
      <c r="B379" s="409">
        <f>'2026'!Wh/'2026'!Env_an*'2027'!Env_an</f>
        <v>12.966060015961851</v>
      </c>
      <c r="C379" s="829"/>
      <c r="D379" s="391">
        <f t="shared" si="127"/>
        <v>13.80648949191878</v>
      </c>
      <c r="E379" s="383">
        <f t="shared" si="150"/>
        <v>14.225194183227163</v>
      </c>
      <c r="F379" s="383">
        <f t="shared" si="128"/>
        <v>14.272516215581003</v>
      </c>
      <c r="G379" s="110">
        <f t="shared" si="151"/>
        <v>0.54179110364348615</v>
      </c>
      <c r="H379" s="412" t="b">
        <f>Wh_hp&gt;='2026'!Maxi_hp</f>
        <v>0</v>
      </c>
      <c r="I379" s="388">
        <f>IF(H379,Wh_hp,'2026'!Maxi_hp)</f>
        <v>25.860373589041732</v>
      </c>
      <c r="J379" s="85">
        <f>IF(H379,An,'2026'!An_max)</f>
        <v>2021</v>
      </c>
      <c r="K379" s="197">
        <f t="shared" si="129"/>
        <v>46752</v>
      </c>
      <c r="L379" s="147">
        <f>IF(t&lt;Tvie,1-EXP((T0-t)*PertePVj)+'2026'!Pspv,1-EXP((T0-t)*PertePVj)+Pspv)</f>
        <v>6.0872061391771592E-2</v>
      </c>
      <c r="M379" s="832"/>
      <c r="N379" s="832"/>
      <c r="O379" s="48">
        <f>IF(t&lt;Tnet,'2026'!Resal+('2026'!Salim-'2026'!Resal)*(1-EXP(('2026'!Tnet-t)/('2026'!Tau_j))),Resal+(Salim-Resal)*(1-EXP((Tnet-t)/(Tau_j))))*Salcycl</f>
        <v>2.9434022897351749E-2</v>
      </c>
      <c r="P379" s="169">
        <f>(INDEX(Models!$BJ379:$BT379,,T379)*(1-R379)+INDEX(Models!$BJ379:$BT379,,T379+1)*R379-ERP_i)*Q379*Ramure*Pc/MaxiM</f>
        <v>9.4671379349383251E-3</v>
      </c>
      <c r="Q379" s="305">
        <f t="shared" si="130"/>
        <v>0.7</v>
      </c>
      <c r="R379" s="177">
        <f t="shared" si="131"/>
        <v>0.57894657286092177</v>
      </c>
      <c r="S379" s="799">
        <f t="shared" si="132"/>
        <v>-1</v>
      </c>
      <c r="T379" s="176">
        <f t="shared" si="133"/>
        <v>5</v>
      </c>
      <c r="U379" s="306">
        <f t="shared" si="134"/>
        <v>-0.42105342713907828</v>
      </c>
      <c r="V379" s="382">
        <f t="shared" si="135"/>
        <v>23.784136456872087</v>
      </c>
      <c r="W379" s="400">
        <f t="shared" si="136"/>
        <v>12.966060015961851</v>
      </c>
      <c r="X379" s="157">
        <f t="shared" si="137"/>
        <v>46752</v>
      </c>
      <c r="Y379" s="383">
        <f t="shared" si="138"/>
        <v>12.036343601718769</v>
      </c>
      <c r="Z379" s="383">
        <f t="shared" si="139"/>
        <v>12.816511049129712</v>
      </c>
      <c r="AA379" s="384">
        <f t="shared" si="140"/>
        <v>13.754117828209761</v>
      </c>
      <c r="AB379" s="197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6.8169168738471453E-2</v>
      </c>
      <c r="AD379" s="230">
        <f>(INDEX(Models!$BJ379:$BT379,,AH379)*(1-AF379)+INDEX(Models!$BJ379:$BT379,,AH379+1)*AF379-ERP_i)*AE379*Ramure*Pc/MaxiM</f>
        <v>0.10370959982860475</v>
      </c>
      <c r="AE379" s="305">
        <f t="shared" si="142"/>
        <v>0.7</v>
      </c>
      <c r="AF379" s="177">
        <f t="shared" si="143"/>
        <v>0.33460440370027245</v>
      </c>
      <c r="AG379" s="799">
        <f t="shared" si="149"/>
        <v>2</v>
      </c>
      <c r="AH379" s="176">
        <f t="shared" si="144"/>
        <v>8</v>
      </c>
      <c r="AI379" s="221">
        <f t="shared" si="145"/>
        <v>2.3346044037002724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Wh_hp&gt;='2026'!Maxi_hp</f>
        <v>0</v>
      </c>
      <c r="I380" s="388">
        <f>IF(H380,Wh_hp,'2026'!Maxi_hp)</f>
        <v>16.92839300504739</v>
      </c>
      <c r="J380" s="85">
        <f>IF(H380,An,'2026'!An_max)</f>
        <v>2024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82">
        <f t="shared" ref="V380" si="152">MaxiM*(1-Ppv)*(1-Pvg)*(1-Psa)</f>
        <v>26.520453176895778</v>
      </c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1.359367658462433</v>
      </c>
      <c r="C381" s="374"/>
      <c r="D381" s="372">
        <f>MIN(D15:D380)</f>
        <v>1.43766408693633</v>
      </c>
      <c r="E381" s="372">
        <f>MIN(E15:E380)</f>
        <v>1.5187390950885058</v>
      </c>
      <c r="F381" s="373">
        <f>MIN(F15:F380)</f>
        <v>1.5187390950885058</v>
      </c>
      <c r="G381" s="125">
        <f>+MIN(G15:G380)</f>
        <v>5.3221370987248502E-2</v>
      </c>
      <c r="H381" s="94"/>
      <c r="I381" s="373">
        <f>MIN(I15:I380)</f>
        <v>10.317764311390514</v>
      </c>
      <c r="J381" s="57">
        <f>MIN(J15:J380)</f>
        <v>2018</v>
      </c>
      <c r="K381" s="200" t="s">
        <v>7</v>
      </c>
      <c r="L381" s="146">
        <f t="shared" ref="L381:T381" si="153">MIN(L15:L380)</f>
        <v>5.429775910420731E-2</v>
      </c>
      <c r="M381" s="833"/>
      <c r="N381" s="833"/>
      <c r="O381" s="47">
        <f t="shared" si="153"/>
        <v>7.0774464523533078E-3</v>
      </c>
      <c r="P381" s="168">
        <f t="shared" si="153"/>
        <v>4.5620114856497333E-5</v>
      </c>
      <c r="Q381" s="309">
        <f t="shared" si="153"/>
        <v>0.7</v>
      </c>
      <c r="R381" s="310">
        <f t="shared" si="153"/>
        <v>0.1789475912898586</v>
      </c>
      <c r="S381" s="799">
        <f t="shared" si="153"/>
        <v>-1</v>
      </c>
      <c r="T381" s="176">
        <f t="shared" si="153"/>
        <v>5</v>
      </c>
      <c r="U381" s="251">
        <f>MIN(U15:U380)</f>
        <v>-0.8210524087101414</v>
      </c>
      <c r="V381" s="57">
        <f>MIN(V15:V380)</f>
        <v>23.032875513741608</v>
      </c>
      <c r="W381" s="58"/>
      <c r="X381" s="112" t="s">
        <v>7</v>
      </c>
      <c r="Y381" s="372">
        <f>MIN(Y15:Y380)</f>
        <v>1.323535633170478</v>
      </c>
      <c r="Z381" s="372">
        <f>MIN(Z15:Z380)</f>
        <v>1.3997682199839667</v>
      </c>
      <c r="AA381" s="372">
        <f>MIN(AA15:AA380)</f>
        <v>1.5187390950885058</v>
      </c>
      <c r="AB381" s="200" t="s">
        <v>7</v>
      </c>
      <c r="AC381" s="47">
        <f t="shared" ref="AC381:AH381" si="154">MIN(AC15:AC380)</f>
        <v>5.9263066793975749E-2</v>
      </c>
      <c r="AD381" s="168">
        <f t="shared" si="154"/>
        <v>8.8013138705932234E-4</v>
      </c>
      <c r="AE381" s="309">
        <f t="shared" si="154"/>
        <v>0.7</v>
      </c>
      <c r="AF381" s="310">
        <f t="shared" si="154"/>
        <v>1.2026763388059969E-3</v>
      </c>
      <c r="AG381" s="799">
        <f t="shared" si="154"/>
        <v>1</v>
      </c>
      <c r="AH381" s="176">
        <f t="shared" si="154"/>
        <v>7</v>
      </c>
      <c r="AI381" s="225">
        <f>MIN(AI15:AI380)</f>
        <v>1.9346054221292093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30.520302974064375</v>
      </c>
      <c r="C382" s="374"/>
      <c r="D382" s="374">
        <f>AVERAGE(D15:D380)</f>
        <v>32.383286092943116</v>
      </c>
      <c r="E382" s="374">
        <f>AVERAGE(E15:E380)</f>
        <v>33.301577785940999</v>
      </c>
      <c r="F382" s="375">
        <f>AVERAGE(F15:F380)</f>
        <v>33.344149594503982</v>
      </c>
      <c r="G382" s="126">
        <f>AVERAGE(G15:G380)</f>
        <v>0.68863374929083054</v>
      </c>
      <c r="H382" s="94"/>
      <c r="I382" s="375">
        <f>AVERAGE(I15:I380)</f>
        <v>43.501450100222861</v>
      </c>
      <c r="J382" s="59">
        <f>AVERAGE(J15:J380)</f>
        <v>2021.7513661202186</v>
      </c>
      <c r="K382" s="200" t="s">
        <v>8</v>
      </c>
      <c r="L382" s="147">
        <f t="shared" ref="L382:V382" si="155">AVERAGE(L15:L380)</f>
        <v>5.7588721630276264E-2</v>
      </c>
      <c r="M382" s="832"/>
      <c r="N382" s="832"/>
      <c r="O382" s="48">
        <f t="shared" si="155"/>
        <v>3.122310837419209E-2</v>
      </c>
      <c r="P382" s="169">
        <f t="shared" si="155"/>
        <v>3.0192077754134573E-3</v>
      </c>
      <c r="Q382" s="311">
        <f t="shared" si="155"/>
        <v>0.69999999999999529</v>
      </c>
      <c r="R382" s="177">
        <f t="shared" si="155"/>
        <v>0.40285446888917387</v>
      </c>
      <c r="S382" s="799">
        <f t="shared" si="155"/>
        <v>-1</v>
      </c>
      <c r="T382" s="176">
        <f t="shared" si="155"/>
        <v>5</v>
      </c>
      <c r="U382" s="250">
        <f>AVERAGE(U15:U380)</f>
        <v>-0.59714553111082602</v>
      </c>
      <c r="V382" s="59">
        <f t="shared" si="155"/>
        <v>42.928808917089995</v>
      </c>
      <c r="X382" s="112" t="s">
        <v>8</v>
      </c>
      <c r="Y382" s="374">
        <f>AVERAGE(Y15:Y380)</f>
        <v>28.871804696097332</v>
      </c>
      <c r="Z382" s="374">
        <f>AVERAGE(Z15:Z380)</f>
        <v>30.633673176359217</v>
      </c>
      <c r="AA382" s="374">
        <f>AVERAGE(AA15:AA380)</f>
        <v>32.898768349813061</v>
      </c>
      <c r="AB382" s="200" t="s">
        <v>8</v>
      </c>
      <c r="AC382" s="48">
        <f t="shared" ref="AC382:AH382" si="156">AVERAGE(AC15:AC380)</f>
        <v>7.0122625886979276E-2</v>
      </c>
      <c r="AD382" s="169">
        <f t="shared" si="156"/>
        <v>3.1413743210610461E-2</v>
      </c>
      <c r="AE382" s="311">
        <f t="shared" si="156"/>
        <v>0.69999999999999529</v>
      </c>
      <c r="AF382" s="177">
        <f t="shared" si="156"/>
        <v>0.49001914904359273</v>
      </c>
      <c r="AG382" s="799">
        <f t="shared" si="156"/>
        <v>1.6684931506849314</v>
      </c>
      <c r="AH382" s="176">
        <f t="shared" si="156"/>
        <v>7.6684931506849319</v>
      </c>
      <c r="AI382" s="224">
        <f>AVERAGE(AI15:AI380)</f>
        <v>2.1585122997285269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59.267266269054268</v>
      </c>
      <c r="C383" s="376"/>
      <c r="D383" s="376">
        <f>MAX(D15:D380)</f>
        <v>62.84812365167992</v>
      </c>
      <c r="E383" s="376">
        <f>MAX(E15:E380)</f>
        <v>63.502351271719604</v>
      </c>
      <c r="F383" s="377">
        <f>MAX(F15:F380)</f>
        <v>63.505407005756894</v>
      </c>
      <c r="G383" s="127">
        <f>+MAX(G15:G380)</f>
        <v>1.0482441826576601</v>
      </c>
      <c r="H383" s="94"/>
      <c r="I383" s="377">
        <f>MAX(I15:I380)</f>
        <v>64.215122991320413</v>
      </c>
      <c r="J383" s="60">
        <f>MAX(J15:J380)</f>
        <v>2027</v>
      </c>
      <c r="K383" s="200" t="s">
        <v>9</v>
      </c>
      <c r="L383" s="148">
        <f t="shared" ref="L383:T383" si="157">MAX(L15:L380)</f>
        <v>6.0872061391771592E-2</v>
      </c>
      <c r="M383" s="834"/>
      <c r="N383" s="834"/>
      <c r="O383" s="49">
        <f t="shared" si="157"/>
        <v>5.9188248417237049E-2</v>
      </c>
      <c r="P383" s="170">
        <f t="shared" si="157"/>
        <v>1.1023834763749582E-2</v>
      </c>
      <c r="Q383" s="312">
        <f t="shared" si="157"/>
        <v>0.7</v>
      </c>
      <c r="R383" s="313">
        <f t="shared" si="157"/>
        <v>0.57894657286092177</v>
      </c>
      <c r="S383" s="800">
        <f t="shared" si="157"/>
        <v>-1</v>
      </c>
      <c r="T383" s="232">
        <f t="shared" si="157"/>
        <v>5</v>
      </c>
      <c r="U383" s="252">
        <f>MAX(U15:U380)</f>
        <v>-0.42105342713907828</v>
      </c>
      <c r="V383" s="60">
        <f>MAX(V15:V380)</f>
        <v>57.893746210494641</v>
      </c>
      <c r="X383" s="112" t="s">
        <v>9</v>
      </c>
      <c r="Y383" s="376">
        <f>MAX(Y15:Y380)</f>
        <v>56.094400578970543</v>
      </c>
      <c r="Z383" s="376">
        <f>MAX(Z15:Z380)</f>
        <v>59.483557209298318</v>
      </c>
      <c r="AA383" s="376">
        <f>MAX(AA15:AA380)</f>
        <v>63.394239252298711</v>
      </c>
      <c r="AB383" s="200" t="s">
        <v>9</v>
      </c>
      <c r="AC383" s="49">
        <f t="shared" ref="AC383:AH383" si="158">MAX(AC15:AC380)</f>
        <v>8.1368509988473434E-2</v>
      </c>
      <c r="AD383" s="170">
        <f t="shared" si="158"/>
        <v>0.10735570448732448</v>
      </c>
      <c r="AE383" s="312">
        <f t="shared" si="158"/>
        <v>0.7</v>
      </c>
      <c r="AF383" s="313">
        <f t="shared" si="158"/>
        <v>0.99893668799045798</v>
      </c>
      <c r="AG383" s="800">
        <f t="shared" si="158"/>
        <v>2</v>
      </c>
      <c r="AH383" s="232">
        <f t="shared" si="158"/>
        <v>8</v>
      </c>
      <c r="AI383" s="226">
        <f>MAX(AI15:AI380)</f>
        <v>2.3346044037002724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3" priority="3" stopIfTrue="1" operator="lessThan">
      <formula>0.01</formula>
    </cfRule>
    <cfRule type="cellIs" dxfId="2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A380" sqref="A380:G380"/>
      <selection pane="topRight" activeCell="A380" sqref="A380:G380"/>
      <selection pane="bottomLeft" activeCell="A380" sqref="A380:G380"/>
      <selection pane="bottomRight" activeCell="G380" sqref="A380:G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3">
        <f>'2027'!An+1</f>
        <v>2028</v>
      </c>
      <c r="K1" s="1274"/>
      <c r="L1" s="113" t="str">
        <f>"Calcul pertes et enveloppes en "&amp;TEXT(An,0)</f>
        <v>Calcul pertes et enveloppes en 2028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2028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3">
        <f>Tmaj</f>
        <v>44926</v>
      </c>
      <c r="F3" s="1283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165</v>
      </c>
      <c r="V3" s="622">
        <f>Salim_i</f>
        <v>0.08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4" t="str">
        <f>Station</f>
        <v>Noueilles salle des fêtes</v>
      </c>
      <c r="F4" s="1215"/>
      <c r="G4" s="1215"/>
      <c r="H4" s="1215"/>
      <c r="I4" s="1216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0.8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356.00670789473099</v>
      </c>
      <c r="AK4" s="822">
        <f>AM12-AK12</f>
        <v>149.43432047069047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4">
        <f>T0</f>
        <v>43475</v>
      </c>
      <c r="F5" s="1284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356.00670789473099</v>
      </c>
      <c r="AA5" s="236">
        <f>Wh_Pvg_s-Wh_Pvg</f>
        <v>149.43432047069047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5">
        <f>Tservice</f>
        <v>43522</v>
      </c>
      <c r="F6" s="1285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10885.804006832943</v>
      </c>
      <c r="AK6" s="514">
        <f>SUMIF(AK15:AK380,"FAUX",Wh)</f>
        <v>10885.804006832943</v>
      </c>
      <c r="AL6" s="514">
        <f>SUMIF(AJ15:AJ380,"FAUX",Wh_s)</f>
        <v>10367.292961181081</v>
      </c>
      <c r="AM6" s="514">
        <f>SUMIF(AK15:AK380,"FAUX",Wh_s)</f>
        <v>10367.292961181081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AND(YEAR(Tnet)=An,Resal_2028="I")</f>
        <v>0</v>
      </c>
      <c r="F7" s="319" t="b">
        <f>YEAR(Tnet)=An</f>
        <v>0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AND(YEAR(Tnet)=An,Resal_2028&lt;&gt;"I")</f>
        <v>0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1" t="s">
        <v>102</v>
      </c>
      <c r="Y8" s="1272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11631.09359184751</v>
      </c>
      <c r="AK8" s="514">
        <f>SUMIF(AK15:AK380,"FAUX",Wh_sa)</f>
        <v>12154.847948937937</v>
      </c>
      <c r="AL8" s="514">
        <f>SUMIF(AJ15:AJ380,"FAUX",Wh_pvt_s)</f>
        <v>11077.06953183577</v>
      </c>
      <c r="AM8" s="514">
        <f>SUMIF(AK15:AK380,"FAUX",Wh_sa_s)</f>
        <v>11981.203266647419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11631.09359184751</v>
      </c>
      <c r="E9" s="184">
        <f>SUM(E$15:E$380)</f>
        <v>12154.847948937937</v>
      </c>
      <c r="F9" s="184">
        <f>SUM(F$15:F$380)</f>
        <v>12181.90699209215</v>
      </c>
      <c r="H9" s="1275">
        <f>+SUM(Wh)</f>
        <v>10885.804006832943</v>
      </c>
      <c r="I9" s="1276"/>
      <c r="J9" s="1277"/>
      <c r="K9" s="191"/>
      <c r="L9" s="231"/>
      <c r="M9" s="231"/>
      <c r="N9" s="231"/>
      <c r="O9" s="222">
        <f>Tnet_2028</f>
        <v>46507</v>
      </c>
      <c r="P9" s="243" t="s">
        <v>91</v>
      </c>
      <c r="Q9" s="244"/>
      <c r="R9" s="244"/>
      <c r="S9" s="244"/>
      <c r="T9" s="244"/>
      <c r="U9" s="245"/>
      <c r="V9" s="460"/>
      <c r="W9" s="519"/>
      <c r="X9" s="1269">
        <f>+SUM(Wh_s)</f>
        <v>10367.292961181081</v>
      </c>
      <c r="Y9" s="1270"/>
      <c r="Z9" s="514">
        <f>SUM(Z$15:Z$380)</f>
        <v>11077.06953183577</v>
      </c>
      <c r="AA9" s="514">
        <f>SUM(AA$15:AA$380)</f>
        <v>11981.203266647419</v>
      </c>
      <c r="AB9" s="514">
        <f>F9</f>
        <v>12181.90699209215</v>
      </c>
      <c r="AC9" s="324">
        <f>IF(An_Tnet,Tnet,'2027'!Tnet_s)</f>
        <v>46507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IF(Inflex,'2027'!Resal+('2027'!Salim-'2027'!Resal)*(1-EXP(-(Tnet-'2027'!Tnet)/('2027'!Tau_j))),IF(An_Tnet,Resal_2028,'2027'!Resal))</f>
        <v>7.0000000000000001E-3</v>
      </c>
      <c r="P10" s="419" t="b">
        <f>NOT(Acti_tai)</f>
        <v>1</v>
      </c>
      <c r="Q10" s="256">
        <f>IF(Acti_tai,'2027'!PousD,Dens-Dd)</f>
        <v>0</v>
      </c>
      <c r="R10" s="273"/>
      <c r="S10" s="274"/>
      <c r="T10" s="275"/>
      <c r="U10" s="265">
        <f>IF(Acti_tai,'2027'!PousH,Hdtf-Hdd)</f>
        <v>0.4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IF(OR(Inflex,GainD),'2027'!Resal_s+('2027'!Salim-'2027'!Resal_s)*(1-EXP(('2027'!Tnet_s-Tnet)/('2027'!Tau_j))),IF(Acti_net,'2027'!Resal+('2027'!Salim-'2027'!Resal)*(1-EXP(('2027'!Tnet-Tnet)/'2027'!Tau_j)),'2027'!Resal_s))</f>
        <v>5.8614568170966823E-2</v>
      </c>
      <c r="AD10" s="426"/>
      <c r="AE10" s="426"/>
      <c r="AF10" s="259"/>
      <c r="AG10" s="260"/>
      <c r="AH10" s="261"/>
      <c r="AI10" s="471"/>
      <c r="AJ10" s="514">
        <f>SUMIF(AJ15:AJ380,"FAUX",Wh_sa)</f>
        <v>12154.847948937937</v>
      </c>
      <c r="AK10" s="514">
        <f>SUMIF(AK15:AK380,"FAUX",Wh_hp)</f>
        <v>12181.90699209215</v>
      </c>
      <c r="AL10" s="514">
        <f>SUMIF(AJ15:AJ380,"FAUX",Wh_sa_s)</f>
        <v>11981.203266647419</v>
      </c>
      <c r="AM10" s="514">
        <f>SUMIF(AK15:AK380,"FAUX",Wh_hp)</f>
        <v>12181.90699209215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745.28958501456691</v>
      </c>
      <c r="E11" s="51">
        <f>(E$9-D$9)*Prod_an/D$9</f>
        <v>490.19356898714</v>
      </c>
      <c r="F11" s="186">
        <f>(F$9-E$9)*Prod_an/E$9</f>
        <v>24.233905814917055</v>
      </c>
      <c r="G11" s="185" t="s">
        <v>6</v>
      </c>
      <c r="K11" s="194"/>
      <c r="L11" s="211">
        <f>Tvie_2028</f>
        <v>43475</v>
      </c>
      <c r="M11" s="831"/>
      <c r="N11" s="831"/>
      <c r="O11" s="202">
        <f>IF(An_Tnet,Salim_2028,'2027'!Salim)</f>
        <v>9.6666666666666679E-2</v>
      </c>
      <c r="P11" s="255">
        <f>Ttai_2028</f>
        <v>46112</v>
      </c>
      <c r="Q11" s="271">
        <f>Dens_2028</f>
        <v>0.7</v>
      </c>
      <c r="R11" s="276"/>
      <c r="S11" s="229"/>
      <c r="T11" s="229"/>
      <c r="U11" s="265">
        <f>Htf_2028</f>
        <v>-2.1053427139078262E-2</v>
      </c>
      <c r="V11" s="426"/>
      <c r="W11" s="517"/>
      <c r="X11" s="524" t="s">
        <v>43</v>
      </c>
      <c r="Y11" s="50">
        <f>Z$9-Prod_an_s</f>
        <v>709.77657065468884</v>
      </c>
      <c r="Z11" s="51">
        <f>(AA$9-Z$9)*Prod_an_s/Z$9</f>
        <v>846.20027688187099</v>
      </c>
      <c r="AA11" s="186">
        <f>(AB$9-AA$9)*Prod_an_s/AA$9</f>
        <v>173.66822628560752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4.8244182657660062E-2</v>
      </c>
      <c r="K12" s="191"/>
      <c r="L12" s="212">
        <f>Pspv_2028</f>
        <v>0</v>
      </c>
      <c r="M12" s="212"/>
      <c r="N12" s="212"/>
      <c r="O12" s="205">
        <f>IF(An_Tnet,Tau_2028*365,'2027'!Tau_j)</f>
        <v>851.66666666666674</v>
      </c>
      <c r="P12" s="280">
        <f>INDEX(Croivg,MIN(MAX(Ttai-$A$15,0)+1,366))</f>
        <v>2.3909964587625958E-6</v>
      </c>
      <c r="Q12" s="279">
        <f>'2027'!Df</f>
        <v>0.7</v>
      </c>
      <c r="R12" s="277"/>
      <c r="S12" s="278"/>
      <c r="T12" s="278"/>
      <c r="U12" s="266">
        <f>'2027'!Hdf</f>
        <v>-0.42105342713907828</v>
      </c>
      <c r="V12" s="40"/>
      <c r="W12" s="34"/>
      <c r="X12" s="54"/>
      <c r="Y12" s="34"/>
      <c r="AB12" s="318" t="s">
        <v>106</v>
      </c>
      <c r="AC12" s="317" t="b">
        <f>NOT(An_Tnet)</f>
        <v>1</v>
      </c>
      <c r="AE12" s="295">
        <f>'2027'!Df_s</f>
        <v>0.7</v>
      </c>
      <c r="AF12" s="203"/>
      <c r="AG12" s="203"/>
      <c r="AH12" s="203"/>
      <c r="AI12" s="296">
        <f>'2027'!Hdf_s</f>
        <v>2.3346044037002724</v>
      </c>
      <c r="AJ12" s="821">
        <f>IF($AJ8=0,0,($AJ10-$AJ8)*$AJ6/$AJ8)</f>
        <v>490.19356898714</v>
      </c>
      <c r="AK12" s="822">
        <f>IF($AK8=0,0,($AK10-$AK8)*$AK6/$AK8)</f>
        <v>24.233905814917055</v>
      </c>
      <c r="AL12" s="821">
        <f>IF($AL8=0,0,($AL10-$AL8)*$AL6/$AL8)</f>
        <v>846.20027688187099</v>
      </c>
      <c r="AM12" s="822">
        <f>IF($AM8=0,0,($AM10-$AM8)*$AM6/$AM8)</f>
        <v>173.66822628560752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202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206</v>
      </c>
      <c r="AJ13" s="73">
        <f>+AJ11+AJ12</f>
        <v>490.19356898714</v>
      </c>
      <c r="AK13" s="73">
        <f>+AK11+AK12</f>
        <v>24.233905814917055</v>
      </c>
      <c r="AL13" s="73">
        <f>+AL11+AL12</f>
        <v>846.20027688187099</v>
      </c>
      <c r="AM13" s="73">
        <f>+AM11+AM12</f>
        <v>173.66822628560752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188</v>
      </c>
      <c r="C14" s="414"/>
      <c r="D14" s="53" t="s">
        <v>30</v>
      </c>
      <c r="E14" s="162" t="s">
        <v>29</v>
      </c>
      <c r="F14" s="162" t="str">
        <f>"Hors pertes "&amp; TEXT(An,0)</f>
        <v>Hors pertes 2028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2028</v>
      </c>
      <c r="W14" s="826" t="s">
        <v>116</v>
      </c>
      <c r="X14" s="257" t="s">
        <v>2</v>
      </c>
      <c r="Y14" s="107" t="str">
        <f>"Wh / Jour "&amp; TEXT(An,0)</f>
        <v>Wh / Jour 2028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46753</v>
      </c>
      <c r="B15" s="408">
        <f>'2027'!Wh/'2027'!Env_an*'2028'!Env_an</f>
        <v>23.679821895356731</v>
      </c>
      <c r="C15" s="829"/>
      <c r="D15" s="391">
        <f t="shared" ref="D15:D78" si="0">Wh/(1-Ppv)</f>
        <v>25.215175429167168</v>
      </c>
      <c r="E15" s="398">
        <f t="shared" ref="E15:E79" si="1">Wh_pvt/(1-Psa)</f>
        <v>25.981947775524493</v>
      </c>
      <c r="F15" s="398">
        <f t="shared" ref="F15:F78" si="2">Wh_sa/(1-Pvg*MEDIAN((-Sdif+Wh/Env_an)/Csdif,0,1))</f>
        <v>26.225584798185999</v>
      </c>
      <c r="G15" s="123">
        <f>+Wh_hp/MaxiM</f>
        <v>0.98888147281174554</v>
      </c>
      <c r="H15" s="412" t="b">
        <f>Wh_hp&gt;='2027'!Maxi_hp</f>
        <v>0</v>
      </c>
      <c r="I15" s="394">
        <f>IF(H15,Wh_hp,'2027'!Maxi_hp)</f>
        <v>26.227716979001745</v>
      </c>
      <c r="J15" s="84">
        <f>IF(H15,An,'2027'!An_max)</f>
        <v>2027</v>
      </c>
      <c r="K15" s="197">
        <f t="shared" ref="K15:K78" si="3">t</f>
        <v>46753</v>
      </c>
      <c r="L15" s="146">
        <f>IF(t&lt;Tvie,1-EXP((T0-t)*PertePVj)+'2027'!Pspv,1-EXP((T0-t)*PertePVj)+Pspv)</f>
        <v>6.0890059564465471E-2</v>
      </c>
      <c r="M15" s="832"/>
      <c r="N15" s="832"/>
      <c r="O15" s="48">
        <f>IF(t&lt;Tnet,'2027'!Resal+('2027'!Salim-'2027'!Resal)*(1-EXP(('2027'!Tnet-t)/('2027'!Tau_j))),Resal+(Salim-Resal)*(1-EXP((Tnet-t)/(Tau_j))))*Salcycl</f>
        <v>2.9511734569786206E-2</v>
      </c>
      <c r="P15" s="301">
        <f>(INDEX(Models!$BJ15:$BT15,,T15)*(1-R15)+INDEX(Models!$BJ15:$BT15,,T15+1)*R15-ERP_i)*Q15*Ramure*Pc/MaxiM</f>
        <v>9.4379691465261636E-3</v>
      </c>
      <c r="Q15" s="302">
        <f t="shared" ref="Q15:Q78" si="4">IF(OR(t&lt;Ttai,Notai),Dd+PousD*Croivg,Dens+PousD*(Croivg-Croi_tai))</f>
        <v>0.7</v>
      </c>
      <c r="R15" s="303">
        <f t="shared" ref="R15:R78" si="5">(Hp_vg-S15)/(INDEX(Echel_vg,T15+1)-S15)</f>
        <v>0.57894752925950521</v>
      </c>
      <c r="S15" s="798">
        <f t="shared" ref="S15:S78" si="6">INDEX(Echel_vg,T15)</f>
        <v>-1</v>
      </c>
      <c r="T15" s="248">
        <f t="shared" ref="T15:T78" si="7">MIN(MATCH(Hp_vg,Echel_vg),10)</f>
        <v>5</v>
      </c>
      <c r="U15" s="250">
        <f t="shared" ref="U15:U78" si="8">IF(OR(t&lt;Ttai,Notai),Hdd+PousH*Croivg,Hdtf+PousH*(Croivg-Croi_tai))</f>
        <v>-0.42105247074049479</v>
      </c>
      <c r="V15" s="381">
        <f t="shared" ref="V15:V78" si="9">MaxiM*(1-Ppv)*(1-Pvg)*(1-Psa)</f>
        <v>23.942491621039132</v>
      </c>
      <c r="W15" s="400">
        <f t="shared" ref="W15:W78" si="10">Wh*(A15&gt;Tmaj)</f>
        <v>23.679821895356731</v>
      </c>
      <c r="X15" s="156">
        <f t="shared" ref="X15:X78" si="11">t</f>
        <v>46753</v>
      </c>
      <c r="Y15" s="383">
        <f t="shared" ref="Y15:Y78" si="12">Wh_pvt_s*(1-Ppv)</f>
        <v>20.625272677525356</v>
      </c>
      <c r="Z15" s="383">
        <f>Wh_sa_s*(1-Psa_s)</f>
        <v>21.962575188970842</v>
      </c>
      <c r="AA15" s="384">
        <f t="shared" ref="AA15:AA78" si="13">Wh_hp*(1-Pvg_s*MEDIAN((-Sdif+Wh/Env_an)/Csdif,0,1))</f>
        <v>23.570047258890149</v>
      </c>
      <c r="AB15" s="197">
        <f t="shared" ref="AB15:AB78" si="14">t</f>
        <v>46753</v>
      </c>
      <c r="AC15" s="119">
        <f>IF(OR(t&lt;Tnet,NoTnet),'2027'!Resal_s+('2027'!Salim-'2027'!Resal_s)*(1-EXP(('2027'!Tnet_s-t)/'2027'!Tau_j)),Resal_s+(Salim-Resal_s)*(1-EXP((Tnet_s-t)/Tau_j)))*Salcycl</f>
        <v>6.81997813692546E-2</v>
      </c>
      <c r="AD15" s="230">
        <f>(INDEX(Models!$BJ15:$BT15,,AH15)*(1-AF15)+INDEX(Models!$BJ15:$BT15,,AH15+1)*AF15-ERP_i)*AE15*Ramure*Pc/MaxiM</f>
        <v>0.10286975718849205</v>
      </c>
      <c r="AE15" s="302">
        <f t="shared" ref="AE15:AE78" si="15">IF(OR(t&lt;Ttai,Notai),Dd_s+PousD*Croivg,Dens_s+PousD*(Croivg-Croi_tai))</f>
        <v>0.7</v>
      </c>
      <c r="AF15" s="303">
        <f>(Hp_vg_s-AG15)/(INDEX(Echel_vg,AH15+1)-AG15)</f>
        <v>0.33460536009885589</v>
      </c>
      <c r="AG15" s="798">
        <f>INDEX(Echel_vg,AH15)</f>
        <v>2</v>
      </c>
      <c r="AH15" s="248">
        <f t="shared" ref="AH15:AH78" si="16">MIN(MATCH(Hp_vg_s,Echel_vg),10)</f>
        <v>8</v>
      </c>
      <c r="AI15" s="223">
        <f t="shared" ref="AI15:AI78" si="17">IF(OR(t&lt;Ttai,Notai),Hdd_s+PousH*Croivg,Hdtai_s+PousH*(Croivg-Croi_tai))</f>
        <v>2.3346053600988559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46754</v>
      </c>
      <c r="B16" s="409">
        <f>'2027'!Wh/'2027'!Env_an*'2028'!Env_an</f>
        <v>16.028255976387381</v>
      </c>
      <c r="C16" s="829"/>
      <c r="D16" s="391">
        <f t="shared" si="0"/>
        <v>17.067823978851738</v>
      </c>
      <c r="E16" s="383">
        <f t="shared" si="1"/>
        <v>17.588250121376145</v>
      </c>
      <c r="F16" s="383">
        <f t="shared" si="2"/>
        <v>17.674920873620533</v>
      </c>
      <c r="G16" s="110">
        <f t="shared" ref="G16:G79" si="21">+Wh_hp/MaxiM</f>
        <v>0.66173896462225978</v>
      </c>
      <c r="H16" s="412" t="b">
        <f>Wh_hp&gt;='2027'!Maxi_hp</f>
        <v>0</v>
      </c>
      <c r="I16" s="388">
        <f>IF(H16,Wh_hp,'2027'!Maxi_hp)</f>
        <v>26.138638462365517</v>
      </c>
      <c r="J16" s="85">
        <f>IF(H16,An,'2027'!An_max)</f>
        <v>2020</v>
      </c>
      <c r="K16" s="197">
        <f t="shared" si="3"/>
        <v>46754</v>
      </c>
      <c r="L16" s="147">
        <f>IF(t&lt;Tvie,1-EXP((T0-t)*PertePVj)+'2027'!Pspv,1-EXP((T0-t)*PertePVj)+Pspv)</f>
        <v>6.0908057392228598E-2</v>
      </c>
      <c r="M16" s="832"/>
      <c r="N16" s="832"/>
      <c r="O16" s="48">
        <f>IF(t&lt;Tnet,'2027'!Resal+('2027'!Salim-'2027'!Resal)*(1-EXP(('2027'!Tnet-t)/('2027'!Tau_j))),Resal+(Salim-Resal)*(1-EXP((Tnet-t)/(Tau_j))))*Salcycl</f>
        <v>2.9589421285969652E-2</v>
      </c>
      <c r="P16" s="169">
        <f>(INDEX(Models!$BJ16:$BT16,,T16)*(1-R16)+INDEX(Models!$BJ16:$BT16,,T16+1)*R16-ERP_i)*Q16*Ramure*Pc/MaxiM</f>
        <v>9.4106171413892124E-3</v>
      </c>
      <c r="Q16" s="304">
        <f t="shared" si="4"/>
        <v>0.7</v>
      </c>
      <c r="R16" s="177">
        <f t="shared" si="5"/>
        <v>0.57897090095070058</v>
      </c>
      <c r="S16" s="799">
        <f t="shared" si="6"/>
        <v>-1</v>
      </c>
      <c r="T16" s="176">
        <f t="shared" si="7"/>
        <v>5</v>
      </c>
      <c r="U16" s="250">
        <f t="shared" si="8"/>
        <v>-0.42102909904929942</v>
      </c>
      <c r="V16" s="382">
        <f t="shared" si="9"/>
        <v>24.111713582644274</v>
      </c>
      <c r="W16" s="400">
        <f t="shared" si="10"/>
        <v>16.028255976387381</v>
      </c>
      <c r="X16" s="157">
        <f t="shared" si="11"/>
        <v>46754</v>
      </c>
      <c r="Y16" s="383">
        <f t="shared" si="12"/>
        <v>14.644574281493119</v>
      </c>
      <c r="Z16" s="383">
        <f t="shared" ref="Z16:Z78" si="22">Wh_sa_s*(1-Psa_s)</f>
        <v>15.594398819807241</v>
      </c>
      <c r="AA16" s="384">
        <f t="shared" si="13"/>
        <v>16.736327183648889</v>
      </c>
      <c r="AB16" s="197">
        <f t="shared" si="14"/>
        <v>46754</v>
      </c>
      <c r="AC16" s="119">
        <f>IF(OR(t&lt;Tnet,NoTnet),'2027'!Resal_s+('2027'!Salim-'2027'!Resal_s)*(1-EXP(('2027'!Tnet_s-t)/'2027'!Tau_j)),Resal_s+(Salim-Resal_s)*(1-EXP((Tnet_s-t)/Tau_j)))*Salcycl</f>
        <v>6.8230523418381442E-2</v>
      </c>
      <c r="AD16" s="230">
        <f>(INDEX(Models!$BJ16:$BT16,,AH16)*(1-AF16)+INDEX(Models!$BJ16:$BT16,,AH16+1)*AF16-ERP_i)*AE16*Ramure*Pc/MaxiM</f>
        <v>0.10191149423442089</v>
      </c>
      <c r="AE16" s="304">
        <f t="shared" si="15"/>
        <v>0.7</v>
      </c>
      <c r="AF16" s="177">
        <f t="shared" ref="AF16:AF78" si="23">(Hp_vg_s-AG16)/(INDEX(Echel_vg,AH16+1)-AG16)</f>
        <v>0.33462873179005115</v>
      </c>
      <c r="AG16" s="799">
        <f t="shared" ref="AG16:AG79" si="24">INDEX(Echel_vg,AH16)</f>
        <v>2</v>
      </c>
      <c r="AH16" s="176">
        <f t="shared" si="16"/>
        <v>8</v>
      </c>
      <c r="AI16" s="224">
        <f t="shared" si="17"/>
        <v>2.3346287317900511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46755</v>
      </c>
      <c r="B17" s="409">
        <f>'2027'!Wh/'2027'!Env_an*'2028'!Env_an</f>
        <v>18.170331496766241</v>
      </c>
      <c r="C17" s="829"/>
      <c r="D17" s="391">
        <f t="shared" si="0"/>
        <v>19.34920204217666</v>
      </c>
      <c r="E17" s="383">
        <f t="shared" si="1"/>
        <v>19.940786880068398</v>
      </c>
      <c r="F17" s="383">
        <f t="shared" si="2"/>
        <v>20.061295826887619</v>
      </c>
      <c r="G17" s="110">
        <f t="shared" si="21"/>
        <v>0.74549500899120491</v>
      </c>
      <c r="H17" s="412" t="b">
        <f>Wh_hp&gt;='2027'!Maxi_hp</f>
        <v>0</v>
      </c>
      <c r="I17" s="388">
        <f>IF(H17,Wh_hp,'2027'!Maxi_hp)</f>
        <v>25.752586103343905</v>
      </c>
      <c r="J17" s="85">
        <f>IF(H17,An,'2027'!An_max)</f>
        <v>2021</v>
      </c>
      <c r="K17" s="197">
        <f t="shared" si="3"/>
        <v>46755</v>
      </c>
      <c r="L17" s="147">
        <f>IF(t&lt;Tvie,1-EXP((T0-t)*PertePVj)+'2027'!Pspv,1-EXP((T0-t)*PertePVj)+Pspv)</f>
        <v>6.0926054875067304E-2</v>
      </c>
      <c r="M17" s="832"/>
      <c r="N17" s="832"/>
      <c r="O17" s="48">
        <f>IF(t&lt;Tnet,'2027'!Resal+('2027'!Salim-'2027'!Resal)*(1-EXP(('2027'!Tnet-t)/('2027'!Tau_j))),Resal+(Salim-Resal)*(1-EXP((Tnet-t)/(Tau_j))))*Salcycl</f>
        <v>2.9667075900753435E-2</v>
      </c>
      <c r="P17" s="169">
        <f>(INDEX(Models!$BJ17:$BT17,,T17)*(1-R17)+INDEX(Models!$BJ17:$BT17,,T17+1)*R17-ERP_i)*Q17*Ramure*Pc/MaxiM</f>
        <v>9.3852143045273628E-3</v>
      </c>
      <c r="Q17" s="304">
        <f t="shared" si="4"/>
        <v>0.7</v>
      </c>
      <c r="R17" s="177">
        <f t="shared" si="5"/>
        <v>0.57899525022709231</v>
      </c>
      <c r="S17" s="799">
        <f t="shared" si="6"/>
        <v>-1</v>
      </c>
      <c r="T17" s="176">
        <f t="shared" si="7"/>
        <v>5</v>
      </c>
      <c r="U17" s="250">
        <f t="shared" si="8"/>
        <v>-0.42100474977290775</v>
      </c>
      <c r="V17" s="382">
        <f t="shared" si="9"/>
        <v>24.290676290857839</v>
      </c>
      <c r="W17" s="400">
        <f t="shared" si="10"/>
        <v>18.170331496766241</v>
      </c>
      <c r="X17" s="157">
        <f t="shared" si="11"/>
        <v>46755</v>
      </c>
      <c r="Y17" s="383">
        <f t="shared" si="12"/>
        <v>16.420115812430065</v>
      </c>
      <c r="Z17" s="383">
        <f t="shared" si="22"/>
        <v>17.485434344838055</v>
      </c>
      <c r="AA17" s="384">
        <f t="shared" si="13"/>
        <v>18.76645865606724</v>
      </c>
      <c r="AB17" s="197">
        <f t="shared" si="14"/>
        <v>46755</v>
      </c>
      <c r="AC17" s="119">
        <f>IF(OR(t&lt;Tnet,NoTnet),'2027'!Resal_s+('2027'!Salim-'2027'!Resal_s)*(1-EXP(('2027'!Tnet_s-t)/'2027'!Tau_j)),Resal_s+(Salim-Resal_s)*(1-EXP((Tnet_s-t)/Tau_j)))*Salcycl</f>
        <v>6.8261377104040094E-2</v>
      </c>
      <c r="AD17" s="230">
        <f>(INDEX(Models!$BJ17:$BT17,,AH17)*(1-AF17)+INDEX(Models!$BJ17:$BT17,,AH17+1)*AF17-ERP_i)*AE17*Ramure*Pc/MaxiM</f>
        <v>0.10084167738887567</v>
      </c>
      <c r="AE17" s="304">
        <f t="shared" si="15"/>
        <v>0.7</v>
      </c>
      <c r="AF17" s="177">
        <f>(Hp_vg_s-AG17)/(INDEX(Echel_vg,AH17+1)-AG17)</f>
        <v>0.3346530810664432</v>
      </c>
      <c r="AG17" s="799">
        <f>INDEX(Echel_vg,AH17)</f>
        <v>2</v>
      </c>
      <c r="AH17" s="176">
        <f t="shared" si="16"/>
        <v>8</v>
      </c>
      <c r="AI17" s="224">
        <f t="shared" si="17"/>
        <v>2.3346530810664432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46756</v>
      </c>
      <c r="B18" s="409">
        <f>'2027'!Wh/'2027'!Env_an*'2028'!Env_an</f>
        <v>18.46395038172971</v>
      </c>
      <c r="C18" s="829"/>
      <c r="D18" s="391">
        <f t="shared" si="0"/>
        <v>19.662247410614444</v>
      </c>
      <c r="E18" s="383">
        <f t="shared" si="1"/>
        <v>20.265024319477959</v>
      </c>
      <c r="F18" s="383">
        <f t="shared" si="2"/>
        <v>20.388908126747896</v>
      </c>
      <c r="G18" s="110">
        <f t="shared" si="21"/>
        <v>0.75180647292424319</v>
      </c>
      <c r="H18" s="412" t="b">
        <f>Wh_hp&gt;='2027'!Maxi_hp</f>
        <v>0</v>
      </c>
      <c r="I18" s="388">
        <f>IF(H18,Wh_hp,'2027'!Maxi_hp)</f>
        <v>23.895973120339946</v>
      </c>
      <c r="J18" s="85">
        <f>IF(H18,An,'2027'!An_max)</f>
        <v>2021</v>
      </c>
      <c r="K18" s="197">
        <f t="shared" si="3"/>
        <v>46756</v>
      </c>
      <c r="L18" s="147">
        <f>IF(t&lt;Tvie,1-EXP((T0-t)*PertePVj)+'2027'!Pspv,1-EXP((T0-t)*PertePVj)+Pspv)</f>
        <v>6.094405201298847E-2</v>
      </c>
      <c r="M18" s="832"/>
      <c r="N18" s="832"/>
      <c r="O18" s="48">
        <f>IF(t&lt;Tnet,'2027'!Resal+('2027'!Salim-'2027'!Resal)*(1-EXP(('2027'!Tnet-t)/('2027'!Tau_j))),Resal+(Salim-Resal)*(1-EXP((Tnet-t)/(Tau_j))))*Salcycl</f>
        <v>2.9744692104028091E-2</v>
      </c>
      <c r="P18" s="169">
        <f>(INDEX(Models!$BJ18:$BT18,,T18)*(1-R18)+INDEX(Models!$BJ18:$BT18,,T18+1)*R18-ERP_i)*Q18*Ramure*Pc/MaxiM</f>
        <v>9.3621491058241517E-3</v>
      </c>
      <c r="Q18" s="304">
        <f t="shared" si="4"/>
        <v>0.7</v>
      </c>
      <c r="R18" s="177">
        <f t="shared" si="5"/>
        <v>0.57902061785212844</v>
      </c>
      <c r="S18" s="799">
        <f t="shared" si="6"/>
        <v>-1</v>
      </c>
      <c r="T18" s="176">
        <f t="shared" si="7"/>
        <v>5</v>
      </c>
      <c r="U18" s="250">
        <f t="shared" si="8"/>
        <v>-0.42097938214787162</v>
      </c>
      <c r="V18" s="382">
        <f t="shared" si="9"/>
        <v>24.478247476614015</v>
      </c>
      <c r="W18" s="400">
        <f t="shared" si="10"/>
        <v>18.46395038172971</v>
      </c>
      <c r="X18" s="157">
        <f t="shared" si="11"/>
        <v>46756</v>
      </c>
      <c r="Y18" s="383">
        <f t="shared" si="12"/>
        <v>16.684882563423251</v>
      </c>
      <c r="Z18" s="383">
        <f>Wh_sa_s*(1-Psa_s)</f>
        <v>17.767719377305969</v>
      </c>
      <c r="AA18" s="384">
        <f t="shared" si="13"/>
        <v>19.070058009468717</v>
      </c>
      <c r="AB18" s="197">
        <f>t</f>
        <v>46756</v>
      </c>
      <c r="AC18" s="119">
        <f>IF(OR(t&lt;Tnet,NoTnet),'2027'!Resal_s+('2027'!Salim-'2027'!Resal_s)*(1-EXP(('2027'!Tnet_s-t)/'2027'!Tau_j)),Resal_s+(Salim-Resal_s)*(1-EXP((Tnet_s-t)/Tau_j)))*Salcycl</f>
        <v>6.8292326720564081E-2</v>
      </c>
      <c r="AD18" s="230">
        <f>(INDEX(Models!$BJ18:$BT18,,AH18)*(1-AF18)+INDEX(Models!$BJ18:$BT18,,AH18+1)*AF18-ERP_i)*AE18*Ramure*Pc/MaxiM</f>
        <v>9.9668162597694024E-2</v>
      </c>
      <c r="AE18" s="304">
        <f t="shared" si="15"/>
        <v>0.7</v>
      </c>
      <c r="AF18" s="177">
        <f t="shared" si="23"/>
        <v>0.33467844869147889</v>
      </c>
      <c r="AG18" s="799">
        <f t="shared" si="24"/>
        <v>2</v>
      </c>
      <c r="AH18" s="176">
        <f t="shared" si="16"/>
        <v>8</v>
      </c>
      <c r="AI18" s="224">
        <f t="shared" si="17"/>
        <v>2.3346784486914789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46757</v>
      </c>
      <c r="B19" s="409">
        <f>'2027'!Wh/'2027'!Env_an*'2028'!Env_an</f>
        <v>13.34671130265972</v>
      </c>
      <c r="C19" s="829"/>
      <c r="D19" s="391">
        <f t="shared" si="0"/>
        <v>14.213175607747448</v>
      </c>
      <c r="E19" s="383">
        <f t="shared" si="1"/>
        <v>14.650073987854343</v>
      </c>
      <c r="F19" s="383">
        <f t="shared" si="2"/>
        <v>14.697331953621292</v>
      </c>
      <c r="G19" s="110">
        <f t="shared" si="21"/>
        <v>0.53761284749621796</v>
      </c>
      <c r="H19" s="412" t="b">
        <f>Wh_hp&gt;='2027'!Maxi_hp</f>
        <v>0</v>
      </c>
      <c r="I19" s="388">
        <f>IF(H19,Wh_hp,'2027'!Maxi_hp)</f>
        <v>14.746392806336477</v>
      </c>
      <c r="J19" s="85">
        <f>IF(H19,An,'2027'!An_max)</f>
        <v>2027</v>
      </c>
      <c r="K19" s="197">
        <f t="shared" si="3"/>
        <v>46757</v>
      </c>
      <c r="L19" s="147">
        <f>IF(t&lt;Tvie,1-EXP((T0-t)*PertePVj)+'2027'!Pspv,1-EXP((T0-t)*PertePVj)+Pspv)</f>
        <v>6.0962048805998537E-2</v>
      </c>
      <c r="M19" s="832"/>
      <c r="N19" s="832"/>
      <c r="O19" s="48">
        <f>IF(t&lt;Tnet,'2027'!Resal+('2027'!Salim-'2027'!Resal)*(1-EXP(('2027'!Tnet-t)/('2027'!Tau_j))),Resal+(Salim-Resal)*(1-EXP((Tnet-t)/(Tau_j))))*Salcycl</f>
        <v>2.9822264411026582E-2</v>
      </c>
      <c r="P19" s="169">
        <f>(INDEX(Models!$BJ19:$BT19,,T19)*(1-R19)+INDEX(Models!$BJ19:$BT19,,T19+1)*R19-ERP_i)*Q19*Ramure*Pc/MaxiM</f>
        <v>9.3417902830437854E-3</v>
      </c>
      <c r="Q19" s="304">
        <f t="shared" si="4"/>
        <v>0.7</v>
      </c>
      <c r="R19" s="177">
        <f t="shared" si="5"/>
        <v>0.57904704627817771</v>
      </c>
      <c r="S19" s="799">
        <f t="shared" si="6"/>
        <v>-1</v>
      </c>
      <c r="T19" s="176">
        <f t="shared" si="7"/>
        <v>5</v>
      </c>
      <c r="U19" s="250">
        <f t="shared" si="8"/>
        <v>-0.42095295372182229</v>
      </c>
      <c r="V19" s="382">
        <f t="shared" si="9"/>
        <v>24.673295269641237</v>
      </c>
      <c r="W19" s="400">
        <f t="shared" si="10"/>
        <v>13.34671130265972</v>
      </c>
      <c r="X19" s="157">
        <f t="shared" si="11"/>
        <v>46757</v>
      </c>
      <c r="Y19" s="383">
        <f t="shared" si="12"/>
        <v>12.422903725284989</v>
      </c>
      <c r="Z19" s="383">
        <f t="shared" si="22"/>
        <v>13.229394732650659</v>
      </c>
      <c r="AA19" s="384">
        <f t="shared" si="13"/>
        <v>14.19955609563516</v>
      </c>
      <c r="AB19" s="197">
        <f t="shared" si="14"/>
        <v>46757</v>
      </c>
      <c r="AC19" s="119">
        <f>IF(OR(t&lt;Tnet,NoTnet),'2027'!Resal_s+('2027'!Salim-'2027'!Resal_s)*(1-EXP(('2027'!Tnet_s-t)/'2027'!Tau_j)),Resal_s+(Salim-Resal_s)*(1-EXP((Tnet_s-t)/Tau_j)))*Salcycl</f>
        <v>6.8323358593070524E-2</v>
      </c>
      <c r="AD19" s="230">
        <f>(INDEX(Models!$BJ19:$BT19,,AH19)*(1-AF19)+INDEX(Models!$BJ19:$BT19,,AH19+1)*AF19-ERP_i)*AE19*Ramure*Pc/MaxiM</f>
        <v>9.8398600062486893E-2</v>
      </c>
      <c r="AE19" s="304">
        <f t="shared" si="15"/>
        <v>0.7</v>
      </c>
      <c r="AF19" s="177">
        <f t="shared" si="23"/>
        <v>0.33470487711752828</v>
      </c>
      <c r="AG19" s="799">
        <f t="shared" si="24"/>
        <v>2</v>
      </c>
      <c r="AH19" s="176">
        <f t="shared" si="16"/>
        <v>8</v>
      </c>
      <c r="AI19" s="224">
        <f t="shared" si="17"/>
        <v>2.3347048771175283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46758</v>
      </c>
      <c r="B20" s="409">
        <f>'2027'!Wh/'2027'!Env_an*'2028'!Env_an</f>
        <v>25.095825540344769</v>
      </c>
      <c r="C20" s="829"/>
      <c r="D20" s="391">
        <f t="shared" si="0"/>
        <v>26.725550840009404</v>
      </c>
      <c r="E20" s="383">
        <f t="shared" si="1"/>
        <v>27.549268120361745</v>
      </c>
      <c r="F20" s="383">
        <f t="shared" si="2"/>
        <v>27.808568767464173</v>
      </c>
      <c r="G20" s="110">
        <f t="shared" si="21"/>
        <v>1.0088900542938466</v>
      </c>
      <c r="H20" s="412" t="b">
        <f>Wh_hp&gt;='2027'!Maxi_hp</f>
        <v>1</v>
      </c>
      <c r="I20" s="388">
        <f>IF(H20,Wh_hp,'2027'!Maxi_hp)</f>
        <v>27.808568767464173</v>
      </c>
      <c r="J20" s="85">
        <f>IF(H20,An,'2027'!An_max)</f>
        <v>2028</v>
      </c>
      <c r="K20" s="197">
        <f t="shared" si="3"/>
        <v>46758</v>
      </c>
      <c r="L20" s="147">
        <f>IF(t&lt;Tvie,1-EXP((T0-t)*PertePVj)+'2027'!Pspv,1-EXP((T0-t)*PertePVj)+Pspv)</f>
        <v>6.0980045254104165E-2</v>
      </c>
      <c r="M20" s="832"/>
      <c r="N20" s="832"/>
      <c r="O20" s="48">
        <f>IF(t&lt;Tnet,'2027'!Resal+('2027'!Salim-'2027'!Resal)*(1-EXP(('2027'!Tnet-t)/('2027'!Tau_j))),Resal+(Salim-Resal)*(1-EXP((Tnet-t)/(Tau_j))))*Salcycl</f>
        <v>2.9899788145135074E-2</v>
      </c>
      <c r="P20" s="169">
        <f>(INDEX(Models!$BJ20:$BT20,,T20)*(1-R20)+INDEX(Models!$BJ20:$BT20,,T20+1)*R20-ERP_i)*Q20*Ramure*Pc/MaxiM</f>
        <v>9.3244873287332084E-3</v>
      </c>
      <c r="Q20" s="304">
        <f t="shared" si="4"/>
        <v>0.7</v>
      </c>
      <c r="R20" s="177">
        <f t="shared" si="5"/>
        <v>0.5790745797155783</v>
      </c>
      <c r="S20" s="799">
        <f t="shared" si="6"/>
        <v>-1</v>
      </c>
      <c r="T20" s="176">
        <f t="shared" si="7"/>
        <v>5</v>
      </c>
      <c r="U20" s="250">
        <f t="shared" si="8"/>
        <v>-0.4209254202844217</v>
      </c>
      <c r="V20" s="382">
        <f t="shared" si="9"/>
        <v>24.874688211601129</v>
      </c>
      <c r="W20" s="400">
        <f t="shared" si="10"/>
        <v>25.095825540344769</v>
      </c>
      <c r="X20" s="157">
        <f t="shared" si="11"/>
        <v>46758</v>
      </c>
      <c r="Y20" s="383">
        <f t="shared" si="12"/>
        <v>21.967088498060168</v>
      </c>
      <c r="Z20" s="383">
        <f t="shared" si="22"/>
        <v>23.393633316349053</v>
      </c>
      <c r="AA20" s="384">
        <f t="shared" si="13"/>
        <v>25.110014847334856</v>
      </c>
      <c r="AB20" s="197">
        <f t="shared" si="14"/>
        <v>46758</v>
      </c>
      <c r="AC20" s="119">
        <f>IF(OR(t&lt;Tnet,NoTnet),'2027'!Resal_s+('2027'!Salim-'2027'!Resal_s)*(1-EXP(('2027'!Tnet_s-t)/'2027'!Tau_j)),Resal_s+(Salim-Resal_s)*(1-EXP((Tnet_s-t)/Tau_j)))*Salcycl</f>
        <v>6.8354461015700196E-2</v>
      </c>
      <c r="AD20" s="230">
        <f>(INDEX(Models!$BJ20:$BT20,,AH20)*(1-AF20)+INDEX(Models!$BJ20:$BT20,,AH20+1)*AF20-ERP_i)*AE20*Ramure*Pc/MaxiM</f>
        <v>9.7040374234815138E-2</v>
      </c>
      <c r="AE20" s="304">
        <f t="shared" si="15"/>
        <v>0.7</v>
      </c>
      <c r="AF20" s="177">
        <f t="shared" si="23"/>
        <v>0.33473241055492897</v>
      </c>
      <c r="AG20" s="799">
        <f t="shared" si="24"/>
        <v>2</v>
      </c>
      <c r="AH20" s="176">
        <f t="shared" si="16"/>
        <v>8</v>
      </c>
      <c r="AI20" s="224">
        <f t="shared" si="17"/>
        <v>2.334732410554929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46759</v>
      </c>
      <c r="B21" s="409">
        <f>'2027'!Wh/'2027'!Env_an*'2028'!Env_an</f>
        <v>8.6205351628219908</v>
      </c>
      <c r="C21" s="829"/>
      <c r="D21" s="391">
        <f t="shared" si="0"/>
        <v>9.180529479707193</v>
      </c>
      <c r="E21" s="383">
        <f t="shared" si="1"/>
        <v>9.4642415023769715</v>
      </c>
      <c r="F21" s="383">
        <f t="shared" si="2"/>
        <v>9.4697462233493912</v>
      </c>
      <c r="G21" s="110">
        <f t="shared" si="21"/>
        <v>0.34070171735765026</v>
      </c>
      <c r="H21" s="412" t="b">
        <f>Wh_hp&gt;='2027'!Maxi_hp</f>
        <v>0</v>
      </c>
      <c r="I21" s="388">
        <f>IF(H21,Wh_hp,'2027'!Maxi_hp)</f>
        <v>14.667527811072381</v>
      </c>
      <c r="J21" s="85">
        <f>IF(H21,An,'2027'!An_max)</f>
        <v>2021</v>
      </c>
      <c r="K21" s="197">
        <f t="shared" si="3"/>
        <v>46759</v>
      </c>
      <c r="L21" s="147">
        <f>IF(t&lt;Tvie,1-EXP((T0-t)*PertePVj)+'2027'!Pspv,1-EXP((T0-t)*PertePVj)+Pspv)</f>
        <v>6.0998041357312016E-2</v>
      </c>
      <c r="M21" s="832"/>
      <c r="N21" s="832"/>
      <c r="O21" s="48">
        <f>IF(t&lt;Tnet,'2027'!Resal+('2027'!Salim-'2027'!Resal)*(1-EXP(('2027'!Tnet-t)/('2027'!Tau_j))),Resal+(Salim-Resal)*(1-EXP((Tnet-t)/(Tau_j))))*Salcycl</f>
        <v>2.997725941360669E-2</v>
      </c>
      <c r="P21" s="169">
        <f>(INDEX(Models!$BJ21:$BT21,,T21)*(1-R21)+INDEX(Models!$BJ21:$BT21,,T21+1)*R21-ERP_i)*Q21*Ramure*Pc/MaxiM</f>
        <v>9.3105713699639572E-3</v>
      </c>
      <c r="Q21" s="304">
        <f t="shared" si="4"/>
        <v>0.7</v>
      </c>
      <c r="R21" s="177">
        <f t="shared" si="5"/>
        <v>0.57910326420442881</v>
      </c>
      <c r="S21" s="799">
        <f t="shared" si="6"/>
        <v>-1</v>
      </c>
      <c r="T21" s="176">
        <f t="shared" si="7"/>
        <v>5</v>
      </c>
      <c r="U21" s="250">
        <f t="shared" si="8"/>
        <v>-0.42089673579557119</v>
      </c>
      <c r="V21" s="382">
        <f t="shared" si="9"/>
        <v>25.081295248763414</v>
      </c>
      <c r="W21" s="400">
        <f t="shared" si="10"/>
        <v>8.6205351628219908</v>
      </c>
      <c r="X21" s="157">
        <f t="shared" si="11"/>
        <v>46759</v>
      </c>
      <c r="Y21" s="383">
        <f t="shared" si="12"/>
        <v>8.2345727776258322</v>
      </c>
      <c r="Z21" s="383">
        <f t="shared" si="22"/>
        <v>8.7694947830873247</v>
      </c>
      <c r="AA21" s="384">
        <f t="shared" si="13"/>
        <v>9.4132239804883362</v>
      </c>
      <c r="AB21" s="197">
        <f t="shared" si="14"/>
        <v>46759</v>
      </c>
      <c r="AC21" s="119">
        <f>IF(OR(t&lt;Tnet,NoTnet),'2027'!Resal_s+('2027'!Salim-'2027'!Resal_s)*(1-EXP(('2027'!Tnet_s-t)/'2027'!Tau_j)),Resal_s+(Salim-Resal_s)*(1-EXP((Tnet_s-t)/Tau_j)))*Salcycl</f>
        <v>6.8385624174600423E-2</v>
      </c>
      <c r="AD21" s="230">
        <f>(INDEX(Models!$BJ21:$BT21,,AH21)*(1-AF21)+INDEX(Models!$BJ21:$BT21,,AH21+1)*AF21-ERP_i)*AE21*Ramure*Pc/MaxiM</f>
        <v>9.5600554285132852E-2</v>
      </c>
      <c r="AE21" s="304">
        <f t="shared" si="15"/>
        <v>0.7</v>
      </c>
      <c r="AF21" s="177">
        <f t="shared" si="23"/>
        <v>0.33476109504377938</v>
      </c>
      <c r="AG21" s="799">
        <f t="shared" si="24"/>
        <v>2</v>
      </c>
      <c r="AH21" s="176">
        <f t="shared" si="16"/>
        <v>8</v>
      </c>
      <c r="AI21" s="224">
        <f t="shared" si="17"/>
        <v>2.3347610950437794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46760</v>
      </c>
      <c r="B22" s="409">
        <f>'2027'!Wh/'2027'!Env_an*'2028'!Env_an</f>
        <v>5.998997081184112</v>
      </c>
      <c r="C22" s="829"/>
      <c r="D22" s="391">
        <f t="shared" si="0"/>
        <v>6.3888174008386578</v>
      </c>
      <c r="E22" s="383">
        <f t="shared" si="1"/>
        <v>6.5867809624665492</v>
      </c>
      <c r="F22" s="383">
        <f t="shared" si="2"/>
        <v>6.5867809624665492</v>
      </c>
      <c r="G22" s="110">
        <f t="shared" si="21"/>
        <v>0.23498369516766437</v>
      </c>
      <c r="H22" s="412" t="b">
        <f>Wh_hp&gt;='2027'!Maxi_hp</f>
        <v>0</v>
      </c>
      <c r="I22" s="388">
        <f>IF(H22,Wh_hp,'2027'!Maxi_hp)</f>
        <v>22.512666153472253</v>
      </c>
      <c r="J22" s="85">
        <f>IF(H22,An,'2027'!An_max)</f>
        <v>2021</v>
      </c>
      <c r="K22" s="197">
        <f t="shared" si="3"/>
        <v>46760</v>
      </c>
      <c r="L22" s="147">
        <f>IF(t&lt;Tvie,1-EXP((T0-t)*PertePVj)+'2027'!Pspv,1-EXP((T0-t)*PertePVj)+Pspv)</f>
        <v>6.1016037115628641E-2</v>
      </c>
      <c r="M22" s="832"/>
      <c r="N22" s="832"/>
      <c r="O22" s="48">
        <f>IF(t&lt;Tnet,'2027'!Resal+('2027'!Salim-'2027'!Resal)*(1-EXP(('2027'!Tnet-t)/('2027'!Tau_j))),Resal+(Salim-Resal)*(1-EXP((Tnet-t)/(Tau_j))))*Salcycl</f>
        <v>3.0054675076634028E-2</v>
      </c>
      <c r="P22" s="169">
        <f>(INDEX(Models!$BJ22:$BT22,,T22)*(1-R22)+INDEX(Models!$BJ22:$BT22,,T22+1)*R22-ERP_i)*Q22*Ramure*Pc/MaxiM</f>
        <v>9.3003563669233017E-3</v>
      </c>
      <c r="Q22" s="304">
        <f t="shared" si="4"/>
        <v>0.7</v>
      </c>
      <c r="R22" s="177">
        <f t="shared" si="5"/>
        <v>0.57913314768922652</v>
      </c>
      <c r="S22" s="799">
        <f t="shared" si="6"/>
        <v>-1</v>
      </c>
      <c r="T22" s="176">
        <f t="shared" si="7"/>
        <v>5</v>
      </c>
      <c r="U22" s="250">
        <f t="shared" si="8"/>
        <v>-0.42086685231077348</v>
      </c>
      <c r="V22" s="382">
        <f t="shared" si="9"/>
        <v>25.291985753498356</v>
      </c>
      <c r="W22" s="400">
        <f t="shared" si="10"/>
        <v>5.998997081184112</v>
      </c>
      <c r="X22" s="157">
        <f t="shared" si="11"/>
        <v>46760</v>
      </c>
      <c r="Y22" s="383">
        <f t="shared" si="12"/>
        <v>5.7617316293786205</v>
      </c>
      <c r="Z22" s="383">
        <f t="shared" si="22"/>
        <v>6.1361342228675886</v>
      </c>
      <c r="AA22" s="384">
        <f t="shared" si="13"/>
        <v>6.5867809624665492</v>
      </c>
      <c r="AB22" s="197">
        <f t="shared" si="14"/>
        <v>46760</v>
      </c>
      <c r="AC22" s="119">
        <f>IF(OR(t&lt;Tnet,NoTnet),'2027'!Resal_s+('2027'!Salim-'2027'!Resal_s)*(1-EXP(('2027'!Tnet_s-t)/'2027'!Tau_j)),Resal_s+(Salim-Resal_s)*(1-EXP((Tnet_s-t)/Tau_j)))*Salcycl</f>
        <v>6.841684005690804E-2</v>
      </c>
      <c r="AD22" s="230">
        <f>(INDEX(Models!$BJ22:$BT22,,AH22)*(1-AF22)+INDEX(Models!$BJ22:$BT22,,AH22+1)*AF22-ERP_i)*AE22*Ramure*Pc/MaxiM</f>
        <v>9.4085854148976716E-2</v>
      </c>
      <c r="AE22" s="304">
        <f t="shared" si="15"/>
        <v>0.7</v>
      </c>
      <c r="AF22" s="177">
        <f t="shared" si="23"/>
        <v>0.3347909785285772</v>
      </c>
      <c r="AG22" s="799">
        <f t="shared" si="24"/>
        <v>2</v>
      </c>
      <c r="AH22" s="176">
        <f t="shared" si="16"/>
        <v>8</v>
      </c>
      <c r="AI22" s="224">
        <f t="shared" si="17"/>
        <v>2.3347909785285772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46761</v>
      </c>
      <c r="B23" s="409">
        <f>'2027'!Wh/'2027'!Env_an*'2028'!Env_an</f>
        <v>1.7103645348769725</v>
      </c>
      <c r="C23" s="829"/>
      <c r="D23" s="391">
        <f t="shared" si="0"/>
        <v>1.8215404968124234</v>
      </c>
      <c r="E23" s="383">
        <f t="shared" si="1"/>
        <v>1.8781324450818906</v>
      </c>
      <c r="F23" s="383">
        <f t="shared" si="2"/>
        <v>1.8781324450818906</v>
      </c>
      <c r="G23" s="110">
        <f t="shared" si="21"/>
        <v>6.6420661423535143E-2</v>
      </c>
      <c r="H23" s="412" t="b">
        <f>Wh_hp&gt;='2027'!Maxi_hp</f>
        <v>0</v>
      </c>
      <c r="I23" s="388">
        <f>IF(H23,Wh_hp,'2027'!Maxi_hp)</f>
        <v>26.668518012021664</v>
      </c>
      <c r="J23" s="85">
        <f>IF(H23,An,'2027'!An_max)</f>
        <v>2020</v>
      </c>
      <c r="K23" s="197">
        <f t="shared" si="3"/>
        <v>46761</v>
      </c>
      <c r="L23" s="147">
        <f>IF(t&lt;Tvie,1-EXP((T0-t)*PertePVj)+'2027'!Pspv,1-EXP((T0-t)*PertePVj)+Pspv)</f>
        <v>6.10340325290607E-2</v>
      </c>
      <c r="M23" s="832"/>
      <c r="N23" s="832"/>
      <c r="O23" s="48">
        <f>IF(t&lt;Tnet,'2027'!Resal+('2027'!Salim-'2027'!Resal)*(1-EXP(('2027'!Tnet-t)/('2027'!Tau_j))),Resal+(Salim-Resal)*(1-EXP((Tnet-t)/(Tau_j))))*Salcycl</f>
        <v>3.0132032710291547E-2</v>
      </c>
      <c r="P23" s="169">
        <f>(INDEX(Models!$BJ23:$BT23,,T23)*(1-R23)+INDEX(Models!$BJ23:$BT23,,T23+1)*R23-ERP_i)*Q23*Ramure*Pc/MaxiM</f>
        <v>9.2921255038304184E-3</v>
      </c>
      <c r="Q23" s="304">
        <f t="shared" si="4"/>
        <v>0.7</v>
      </c>
      <c r="R23" s="177">
        <f t="shared" si="5"/>
        <v>0.57916428009645471</v>
      </c>
      <c r="S23" s="799">
        <f t="shared" si="6"/>
        <v>-1</v>
      </c>
      <c r="T23" s="176">
        <f t="shared" si="7"/>
        <v>5</v>
      </c>
      <c r="U23" s="250">
        <f t="shared" si="8"/>
        <v>-0.42083571990354535</v>
      </c>
      <c r="V23" s="382">
        <f t="shared" si="9"/>
        <v>25.511212575206077</v>
      </c>
      <c r="W23" s="400">
        <f t="shared" si="10"/>
        <v>1.7103645348769725</v>
      </c>
      <c r="X23" s="157">
        <f t="shared" si="11"/>
        <v>46761</v>
      </c>
      <c r="Y23" s="383">
        <f t="shared" si="12"/>
        <v>1.6427940522619051</v>
      </c>
      <c r="Z23" s="383">
        <f t="shared" si="22"/>
        <v>1.7495778432595313</v>
      </c>
      <c r="AA23" s="384">
        <f t="shared" si="13"/>
        <v>1.8781324450818906</v>
      </c>
      <c r="AB23" s="197">
        <f t="shared" si="14"/>
        <v>46761</v>
      </c>
      <c r="AC23" s="119">
        <f>IF(OR(t&lt;Tnet,NoTnet),'2027'!Resal_s+('2027'!Salim-'2027'!Resal_s)*(1-EXP(('2027'!Tnet_s-t)/'2027'!Tau_j)),Resal_s+(Salim-Resal_s)*(1-EXP((Tnet_s-t)/Tau_j)))*Salcycl</f>
        <v>6.8448102347091991E-2</v>
      </c>
      <c r="AD23" s="230">
        <f>(INDEX(Models!$BJ23:$BT23,,AH23)*(1-AF23)+INDEX(Models!$BJ23:$BT23,,AH23+1)*AF23-ERP_i)*AE23*Ramure*Pc/MaxiM</f>
        <v>9.2482545717638281E-2</v>
      </c>
      <c r="AE23" s="304">
        <f t="shared" si="15"/>
        <v>0.7</v>
      </c>
      <c r="AF23" s="177">
        <f t="shared" si="23"/>
        <v>0.33482211093580538</v>
      </c>
      <c r="AG23" s="799">
        <f t="shared" si="24"/>
        <v>2</v>
      </c>
      <c r="AH23" s="176">
        <f t="shared" si="16"/>
        <v>8</v>
      </c>
      <c r="AI23" s="224">
        <f t="shared" si="17"/>
        <v>2.3348221109358054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46762</v>
      </c>
      <c r="B24" s="409">
        <f>'2027'!Wh/'2027'!Env_an*'2028'!Env_an</f>
        <v>1.3760553721378714</v>
      </c>
      <c r="C24" s="829"/>
      <c r="D24" s="391">
        <f t="shared" si="0"/>
        <v>1.4655288818794787</v>
      </c>
      <c r="E24" s="383">
        <f t="shared" si="1"/>
        <v>1.5111806372932479</v>
      </c>
      <c r="F24" s="383">
        <f t="shared" si="2"/>
        <v>1.5111806372932479</v>
      </c>
      <c r="G24" s="110">
        <f t="shared" si="21"/>
        <v>5.2956498970906922E-2</v>
      </c>
      <c r="H24" s="412" t="b">
        <f>Wh_hp&gt;='2027'!Maxi_hp</f>
        <v>0</v>
      </c>
      <c r="I24" s="388">
        <f>IF(H24,Wh_hp,'2027'!Maxi_hp)</f>
        <v>10.460260744050126</v>
      </c>
      <c r="J24" s="85">
        <f>IF(H24,An,'2027'!An_max)</f>
        <v>2020</v>
      </c>
      <c r="K24" s="197">
        <f t="shared" si="3"/>
        <v>46762</v>
      </c>
      <c r="L24" s="147">
        <f>IF(t&lt;Tvie,1-EXP((T0-t)*PertePVj)+'2027'!Pspv,1-EXP((T0-t)*PertePVj)+Pspv)</f>
        <v>6.1052027597614633E-2</v>
      </c>
      <c r="M24" s="832"/>
      <c r="N24" s="832"/>
      <c r="O24" s="48">
        <f>IF(t&lt;Tnet,'2027'!Resal+('2027'!Salim-'2027'!Resal)*(1-EXP(('2027'!Tnet-t)/('2027'!Tau_j))),Resal+(Salim-Resal)*(1-EXP((Tnet-t)/(Tau_j))))*Salcycl</f>
        <v>3.0209330563908159E-2</v>
      </c>
      <c r="P24" s="169">
        <f>(INDEX(Models!$BJ24:$BT24,,T24)*(1-R24)+INDEX(Models!$BJ24:$BT24,,T24+1)*R24-ERP_i)*Q24*Ramure*Pc/MaxiM</f>
        <v>9.287000661798021E-3</v>
      </c>
      <c r="Q24" s="304">
        <f t="shared" si="4"/>
        <v>0.7</v>
      </c>
      <c r="R24" s="177">
        <f t="shared" si="5"/>
        <v>0.57919671341523027</v>
      </c>
      <c r="S24" s="799">
        <f t="shared" si="6"/>
        <v>-1</v>
      </c>
      <c r="T24" s="176">
        <f t="shared" si="7"/>
        <v>5</v>
      </c>
      <c r="U24" s="250">
        <f t="shared" si="8"/>
        <v>-0.42080328658476973</v>
      </c>
      <c r="V24" s="382">
        <f t="shared" si="9"/>
        <v>25.743317090034761</v>
      </c>
      <c r="W24" s="400">
        <f t="shared" si="10"/>
        <v>1.3760553721378714</v>
      </c>
      <c r="X24" s="157">
        <f t="shared" si="11"/>
        <v>46762</v>
      </c>
      <c r="Y24" s="383">
        <f t="shared" si="12"/>
        <v>1.3217531964363385</v>
      </c>
      <c r="Z24" s="383">
        <f t="shared" si="22"/>
        <v>1.4076958844210616</v>
      </c>
      <c r="AA24" s="384">
        <f t="shared" si="13"/>
        <v>1.5111806372932479</v>
      </c>
      <c r="AB24" s="197">
        <f t="shared" si="14"/>
        <v>46762</v>
      </c>
      <c r="AC24" s="119">
        <f>IF(OR(t&lt;Tnet,NoTnet),'2027'!Resal_s+('2027'!Salim-'2027'!Resal_s)*(1-EXP(('2027'!Tnet_s-t)/'2027'!Tau_j)),Resal_s+(Salim-Resal_s)*(1-EXP((Tnet_s-t)/Tau_j)))*Salcycl</f>
        <v>6.8479406312102503E-2</v>
      </c>
      <c r="AD24" s="230">
        <f>(INDEX(Models!$BJ24:$BT24,,AH24)*(1-AF24)+INDEX(Models!$BJ24:$BT24,,AH24+1)*AF24-ERP_i)*AE24*Ramure*Pc/MaxiM</f>
        <v>9.0791655258417842E-2</v>
      </c>
      <c r="AE24" s="304">
        <f t="shared" si="15"/>
        <v>0.7</v>
      </c>
      <c r="AF24" s="177">
        <f t="shared" si="23"/>
        <v>0.33485454425458094</v>
      </c>
      <c r="AG24" s="799">
        <f t="shared" si="24"/>
        <v>2</v>
      </c>
      <c r="AH24" s="176">
        <f t="shared" si="16"/>
        <v>8</v>
      </c>
      <c r="AI24" s="224">
        <f t="shared" si="17"/>
        <v>2.3348545442545809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46763</v>
      </c>
      <c r="B25" s="409">
        <f>'2027'!Wh/'2027'!Env_an*'2028'!Env_an</f>
        <v>23.917277228804728</v>
      </c>
      <c r="C25" s="829"/>
      <c r="D25" s="391">
        <f t="shared" si="0"/>
        <v>25.472908307747211</v>
      </c>
      <c r="E25" s="383">
        <f t="shared" si="1"/>
        <v>26.268490725557616</v>
      </c>
      <c r="F25" s="383">
        <f t="shared" si="2"/>
        <v>26.486408748500576</v>
      </c>
      <c r="G25" s="110">
        <f t="shared" si="21"/>
        <v>0.91936997460260417</v>
      </c>
      <c r="H25" s="412" t="b">
        <f>Wh_hp&gt;='2027'!Maxi_hp</f>
        <v>0</v>
      </c>
      <c r="I25" s="388">
        <f>IF(H25,Wh_hp,'2027'!Maxi_hp)</f>
        <v>28.239972558041078</v>
      </c>
      <c r="J25" s="85">
        <f>IF(H25,An,'2027'!An_max)</f>
        <v>2020</v>
      </c>
      <c r="K25" s="197">
        <f t="shared" si="3"/>
        <v>46763</v>
      </c>
      <c r="L25" s="147">
        <f>IF(t&lt;Tvie,1-EXP((T0-t)*PertePVj)+'2027'!Pspv,1-EXP((T0-t)*PertePVj)+Pspv)</f>
        <v>6.1070022321297324E-2</v>
      </c>
      <c r="M25" s="832"/>
      <c r="N25" s="832"/>
      <c r="O25" s="48">
        <f>IF(t&lt;Tnet,'2027'!Resal+('2027'!Salim-'2027'!Resal)*(1-EXP(('2027'!Tnet-t)/('2027'!Tau_j))),Resal+(Salim-Resal)*(1-EXP((Tnet-t)/(Tau_j))))*Salcycl</f>
        <v>3.0286567512474258E-2</v>
      </c>
      <c r="P25" s="169">
        <f>(INDEX(Models!$BJ25:$BT25,,T25)*(1-R25)+INDEX(Models!$BJ25:$BT25,,T25+1)*R25-ERP_i)*Q25*Ramure*Pc/MaxiM</f>
        <v>9.2839145641524685E-3</v>
      </c>
      <c r="Q25" s="304">
        <f t="shared" si="4"/>
        <v>0.7</v>
      </c>
      <c r="R25" s="177">
        <f t="shared" si="5"/>
        <v>0.57923050178112312</v>
      </c>
      <c r="S25" s="799">
        <f t="shared" si="6"/>
        <v>-1</v>
      </c>
      <c r="T25" s="176">
        <f t="shared" si="7"/>
        <v>5</v>
      </c>
      <c r="U25" s="250">
        <f t="shared" si="8"/>
        <v>-0.42076949821887688</v>
      </c>
      <c r="V25" s="382">
        <f t="shared" si="9"/>
        <v>25.987146327983488</v>
      </c>
      <c r="W25" s="400">
        <f t="shared" si="10"/>
        <v>23.917277228804728</v>
      </c>
      <c r="X25" s="157">
        <f t="shared" si="11"/>
        <v>46763</v>
      </c>
      <c r="Y25" s="383">
        <f t="shared" si="12"/>
        <v>21.336774291674278</v>
      </c>
      <c r="Z25" s="383">
        <f t="shared" si="22"/>
        <v>22.724563917348497</v>
      </c>
      <c r="AA25" s="384">
        <f t="shared" si="13"/>
        <v>24.395948622132696</v>
      </c>
      <c r="AB25" s="197">
        <f t="shared" si="14"/>
        <v>46763</v>
      </c>
      <c r="AC25" s="119">
        <f>IF(OR(t&lt;Tnet,NoTnet),'2027'!Resal_s+('2027'!Salim-'2027'!Resal_s)*(1-EXP(('2027'!Tnet_s-t)/'2027'!Tau_j)),Resal_s+(Salim-Resal_s)*(1-EXP((Tnet_s-t)/Tau_j)))*Salcycl</f>
        <v>6.8510748676846797E-2</v>
      </c>
      <c r="AD25" s="230">
        <f>(INDEX(Models!$BJ25:$BT25,,AH25)*(1-AF25)+INDEX(Models!$BJ25:$BT25,,AH25+1)*AF25-ERP_i)*AE25*Ramure*Pc/MaxiM</f>
        <v>8.9059422212392131E-2</v>
      </c>
      <c r="AE25" s="304">
        <f t="shared" si="15"/>
        <v>0.7</v>
      </c>
      <c r="AF25" s="177">
        <f t="shared" si="23"/>
        <v>0.33488833262047368</v>
      </c>
      <c r="AG25" s="799">
        <f t="shared" si="24"/>
        <v>2</v>
      </c>
      <c r="AH25" s="176">
        <f t="shared" si="16"/>
        <v>8</v>
      </c>
      <c r="AI25" s="224">
        <f t="shared" si="17"/>
        <v>2.3348883326204737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46764</v>
      </c>
      <c r="B26" s="409">
        <f>'2027'!Wh/'2027'!Env_an*'2028'!Env_an</f>
        <v>20.436400626411757</v>
      </c>
      <c r="C26" s="829"/>
      <c r="D26" s="391">
        <f t="shared" si="0"/>
        <v>21.766045156422773</v>
      </c>
      <c r="E26" s="383">
        <f t="shared" si="1"/>
        <v>22.447639513678787</v>
      </c>
      <c r="F26" s="383">
        <f t="shared" si="2"/>
        <v>22.591080880298907</v>
      </c>
      <c r="G26" s="110">
        <f t="shared" si="21"/>
        <v>0.77648204710391622</v>
      </c>
      <c r="H26" s="412" t="b">
        <f>Wh_hp&gt;='2027'!Maxi_hp</f>
        <v>0</v>
      </c>
      <c r="I26" s="388">
        <f>IF(H26,Wh_hp,'2027'!Maxi_hp)</f>
        <v>29.063431932857039</v>
      </c>
      <c r="J26" s="85">
        <f>IF(H26,An,'2027'!An_max)</f>
        <v>2020</v>
      </c>
      <c r="K26" s="197">
        <f t="shared" si="3"/>
        <v>46764</v>
      </c>
      <c r="L26" s="147">
        <f>IF(t&lt;Tvie,1-EXP((T0-t)*PertePVj)+'2027'!Pspv,1-EXP((T0-t)*PertePVj)+Pspv)</f>
        <v>6.1088016700115211E-2</v>
      </c>
      <c r="M26" s="832"/>
      <c r="N26" s="832"/>
      <c r="O26" s="48">
        <f>IF(t&lt;Tnet,'2027'!Resal+('2027'!Salim-'2027'!Resal)*(1-EXP(('2027'!Tnet-t)/('2027'!Tau_j))),Resal+(Salim-Resal)*(1-EXP((Tnet-t)/(Tau_j))))*Salcycl</f>
        <v>3.0363743004723352E-2</v>
      </c>
      <c r="P26" s="169">
        <f>(INDEX(Models!$BJ26:$BT26,,T26)*(1-R26)+INDEX(Models!$BJ26:$BT26,,T26+1)*R26-ERP_i)*Q26*Ramure*Pc/MaxiM</f>
        <v>9.2832101679264523E-3</v>
      </c>
      <c r="Q26" s="304">
        <f t="shared" si="4"/>
        <v>0.7</v>
      </c>
      <c r="R26" s="177">
        <f t="shared" si="5"/>
        <v>0.57926570156325996</v>
      </c>
      <c r="S26" s="799">
        <f t="shared" si="6"/>
        <v>-1</v>
      </c>
      <c r="T26" s="176">
        <f t="shared" si="7"/>
        <v>5</v>
      </c>
      <c r="U26" s="250">
        <f t="shared" si="8"/>
        <v>-0.42073429843674004</v>
      </c>
      <c r="V26" s="382">
        <f t="shared" si="9"/>
        <v>26.241511282676917</v>
      </c>
      <c r="W26" s="400">
        <f t="shared" si="10"/>
        <v>20.436400626411757</v>
      </c>
      <c r="X26" s="157">
        <f t="shared" si="11"/>
        <v>46764</v>
      </c>
      <c r="Y26" s="383">
        <f t="shared" si="12"/>
        <v>18.577562276402205</v>
      </c>
      <c r="Z26" s="383">
        <f t="shared" si="22"/>
        <v>19.786266025820446</v>
      </c>
      <c r="AA26" s="384">
        <f t="shared" si="13"/>
        <v>21.24225540392467</v>
      </c>
      <c r="AB26" s="197">
        <f t="shared" si="14"/>
        <v>46764</v>
      </c>
      <c r="AC26" s="119">
        <f>IF(OR(t&lt;Tnet,NoTnet),'2027'!Resal_s+('2027'!Salim-'2027'!Resal_s)*(1-EXP(('2027'!Tnet_s-t)/'2027'!Tau_j)),Resal_s+(Salim-Resal_s)*(1-EXP((Tnet_s-t)/Tau_j)))*Salcycl</f>
        <v>6.854212749156649E-2</v>
      </c>
      <c r="AD26" s="230">
        <f>(INDEX(Models!$BJ26:$BT26,,AH26)*(1-AF26)+INDEX(Models!$BJ26:$BT26,,AH26+1)*AF26-ERP_i)*AE26*Ramure*Pc/MaxiM</f>
        <v>8.7293022034545406E-2</v>
      </c>
      <c r="AE26" s="304">
        <f t="shared" si="15"/>
        <v>0.7</v>
      </c>
      <c r="AF26" s="177">
        <f t="shared" si="23"/>
        <v>0.33492353240261075</v>
      </c>
      <c r="AG26" s="799">
        <f t="shared" si="24"/>
        <v>2</v>
      </c>
      <c r="AH26" s="176">
        <f t="shared" si="16"/>
        <v>8</v>
      </c>
      <c r="AI26" s="224">
        <f t="shared" si="17"/>
        <v>2.3349235324026107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46765</v>
      </c>
      <c r="B27" s="409">
        <f>'2027'!Wh/'2027'!Env_an*'2028'!Env_an</f>
        <v>6.2006522630964298</v>
      </c>
      <c r="C27" s="829"/>
      <c r="D27" s="391">
        <f t="shared" si="0"/>
        <v>6.6042091375453511</v>
      </c>
      <c r="E27" s="383">
        <f t="shared" si="1"/>
        <v>6.8115588257588575</v>
      </c>
      <c r="F27" s="383">
        <f t="shared" si="2"/>
        <v>6.8115588257588575</v>
      </c>
      <c r="G27" s="110">
        <f t="shared" si="21"/>
        <v>0.23176857650127627</v>
      </c>
      <c r="H27" s="412" t="b">
        <f>Wh_hp&gt;='2027'!Maxi_hp</f>
        <v>0</v>
      </c>
      <c r="I27" s="388">
        <f>IF(H27,Wh_hp,'2027'!Maxi_hp)</f>
        <v>18.417034678656321</v>
      </c>
      <c r="J27" s="85">
        <f>IF(H27,An,'2027'!An_max)</f>
        <v>2020</v>
      </c>
      <c r="K27" s="197">
        <f t="shared" si="3"/>
        <v>46765</v>
      </c>
      <c r="L27" s="147">
        <f>IF(t&lt;Tvie,1-EXP((T0-t)*PertePVj)+'2027'!Pspv,1-EXP((T0-t)*PertePVj)+Pspv)</f>
        <v>6.1106010734074845E-2</v>
      </c>
      <c r="M27" s="832"/>
      <c r="N27" s="832"/>
      <c r="O27" s="48">
        <f>IF(t&lt;Tnet,'2027'!Resal+('2027'!Salim-'2027'!Resal)*(1-EXP(('2027'!Tnet-t)/('2027'!Tau_j))),Resal+(Salim-Resal)*(1-EXP((Tnet-t)/(Tau_j))))*Salcycl</f>
        <v>3.044085700755975E-2</v>
      </c>
      <c r="P27" s="169">
        <f>(INDEX(Models!$BJ27:$BT27,,T27)*(1-R27)+INDEX(Models!$BJ27:$BT27,,T27+1)*R27-ERP_i)*Q27*Ramure*Pc/MaxiM</f>
        <v>9.2852109923700927E-3</v>
      </c>
      <c r="Q27" s="304">
        <f t="shared" si="4"/>
        <v>0.7</v>
      </c>
      <c r="R27" s="177">
        <f t="shared" si="5"/>
        <v>0.57930237145483532</v>
      </c>
      <c r="S27" s="799">
        <f t="shared" si="6"/>
        <v>-1</v>
      </c>
      <c r="T27" s="176">
        <f t="shared" si="7"/>
        <v>5</v>
      </c>
      <c r="U27" s="250">
        <f t="shared" si="8"/>
        <v>-0.42069762854516474</v>
      </c>
      <c r="V27" s="382">
        <f t="shared" si="9"/>
        <v>26.505223405509561</v>
      </c>
      <c r="W27" s="400">
        <f t="shared" si="10"/>
        <v>6.2006522630964298</v>
      </c>
      <c r="X27" s="157">
        <f t="shared" si="11"/>
        <v>46765</v>
      </c>
      <c r="Y27" s="383">
        <f t="shared" si="12"/>
        <v>5.9567810963293413</v>
      </c>
      <c r="Z27" s="383">
        <f t="shared" si="22"/>
        <v>6.3444661105847047</v>
      </c>
      <c r="AA27" s="384">
        <f t="shared" si="13"/>
        <v>6.8115588257588575</v>
      </c>
      <c r="AB27" s="197">
        <f t="shared" si="14"/>
        <v>46765</v>
      </c>
      <c r="AC27" s="119">
        <f>IF(OR(t&lt;Tnet,NoTnet),'2027'!Resal_s+('2027'!Salim-'2027'!Resal_s)*(1-EXP(('2027'!Tnet_s-t)/'2027'!Tau_j)),Resal_s+(Salim-Resal_s)*(1-EXP((Tnet_s-t)/Tau_j)))*Salcycl</f>
        <v>6.8573541992734008E-2</v>
      </c>
      <c r="AD27" s="230">
        <f>(INDEX(Models!$BJ27:$BT27,,AH27)*(1-AF27)+INDEX(Models!$BJ27:$BT27,,AH27+1)*AF27-ERP_i)*AE27*Ramure*Pc/MaxiM</f>
        <v>8.5499149556110293E-2</v>
      </c>
      <c r="AE27" s="304">
        <f t="shared" si="15"/>
        <v>0.7</v>
      </c>
      <c r="AF27" s="177">
        <f t="shared" si="23"/>
        <v>0.33496020229418599</v>
      </c>
      <c r="AG27" s="799">
        <f t="shared" si="24"/>
        <v>2</v>
      </c>
      <c r="AH27" s="176">
        <f t="shared" si="16"/>
        <v>8</v>
      </c>
      <c r="AI27" s="224">
        <f t="shared" si="17"/>
        <v>2.334960202294186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46766</v>
      </c>
      <c r="B28" s="409">
        <f>'2027'!Wh/'2027'!Env_an*'2028'!Env_an</f>
        <v>26.604289008059553</v>
      </c>
      <c r="C28" s="829"/>
      <c r="D28" s="391">
        <f t="shared" si="0"/>
        <v>28.336318250116388</v>
      </c>
      <c r="E28" s="383">
        <f t="shared" si="1"/>
        <v>29.228305030970343</v>
      </c>
      <c r="F28" s="383">
        <f t="shared" si="2"/>
        <v>29.499838438448393</v>
      </c>
      <c r="G28" s="110">
        <f t="shared" si="21"/>
        <v>0.99346062641173072</v>
      </c>
      <c r="H28" s="412" t="b">
        <f>Wh_hp&gt;='2027'!Maxi_hp</f>
        <v>0</v>
      </c>
      <c r="I28" s="388">
        <f>IF(H28,Wh_hp,'2027'!Maxi_hp)</f>
        <v>29.501194588891863</v>
      </c>
      <c r="J28" s="85">
        <f>IF(H28,An,'2027'!An_max)</f>
        <v>2027</v>
      </c>
      <c r="K28" s="197">
        <f t="shared" si="3"/>
        <v>46766</v>
      </c>
      <c r="L28" s="147">
        <f>IF(t&lt;Tvie,1-EXP((T0-t)*PertePVj)+'2027'!Pspv,1-EXP((T0-t)*PertePVj)+Pspv)</f>
        <v>6.1124004423182998E-2</v>
      </c>
      <c r="M28" s="832"/>
      <c r="N28" s="832"/>
      <c r="O28" s="48">
        <f>IF(t&lt;Tnet,'2027'!Resal+('2027'!Salim-'2027'!Resal)*(1-EXP(('2027'!Tnet-t)/('2027'!Tau_j))),Resal+(Salim-Resal)*(1-EXP((Tnet-t)/(Tau_j))))*Salcycl</f>
        <v>3.051790994752537E-2</v>
      </c>
      <c r="P28" s="169">
        <f>(INDEX(Models!$BJ28:$BT28,,T28)*(1-R28)+INDEX(Models!$BJ28:$BT28,,T28+1)*R28-ERP_i)*Q28*Ramure*Pc/MaxiM</f>
        <v>9.2902217302145273E-3</v>
      </c>
      <c r="Q28" s="304">
        <f t="shared" si="4"/>
        <v>0.7</v>
      </c>
      <c r="R28" s="177">
        <f t="shared" si="5"/>
        <v>0.57934057256714688</v>
      </c>
      <c r="S28" s="799">
        <f t="shared" si="6"/>
        <v>-1</v>
      </c>
      <c r="T28" s="176">
        <f t="shared" si="7"/>
        <v>5</v>
      </c>
      <c r="U28" s="250">
        <f t="shared" si="8"/>
        <v>-0.42065942743285312</v>
      </c>
      <c r="V28" s="382">
        <f t="shared" si="9"/>
        <v>26.777094633181967</v>
      </c>
      <c r="W28" s="400">
        <f t="shared" si="10"/>
        <v>26.604289008059553</v>
      </c>
      <c r="X28" s="157">
        <f t="shared" si="11"/>
        <v>46766</v>
      </c>
      <c r="Y28" s="383">
        <f t="shared" si="12"/>
        <v>23.657701831201159</v>
      </c>
      <c r="Z28" s="383">
        <f t="shared" si="22"/>
        <v>25.197898276935479</v>
      </c>
      <c r="AA28" s="384">
        <f t="shared" si="13"/>
        <v>27.053933157172494</v>
      </c>
      <c r="AB28" s="197">
        <f t="shared" si="14"/>
        <v>46766</v>
      </c>
      <c r="AC28" s="119">
        <f>IF(OR(t&lt;Tnet,NoTnet),'2027'!Resal_s+('2027'!Salim-'2027'!Resal_s)*(1-EXP(('2027'!Tnet_s-t)/'2027'!Tau_j)),Resal_s+(Salim-Resal_s)*(1-EXP((Tnet_s-t)/Tau_j)))*Salcycl</f>
        <v>6.8604992459107478E-2</v>
      </c>
      <c r="AD28" s="230">
        <f>(INDEX(Models!$BJ28:$BT28,,AH28)*(1-AF28)+INDEX(Models!$BJ28:$BT28,,AH28+1)*AF28-ERP_i)*AE28*Ramure*Pc/MaxiM</f>
        <v>8.3684002661781789E-2</v>
      </c>
      <c r="AE28" s="304">
        <f t="shared" si="15"/>
        <v>0.7</v>
      </c>
      <c r="AF28" s="177">
        <f t="shared" si="23"/>
        <v>0.33499840340649767</v>
      </c>
      <c r="AG28" s="799">
        <f t="shared" si="24"/>
        <v>2</v>
      </c>
      <c r="AH28" s="176">
        <f t="shared" si="16"/>
        <v>8</v>
      </c>
      <c r="AI28" s="224">
        <f t="shared" si="17"/>
        <v>2.3349984034064977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46767</v>
      </c>
      <c r="B29" s="409">
        <f>'2027'!Wh/'2027'!Env_an*'2028'!Env_an</f>
        <v>27.390259652206126</v>
      </c>
      <c r="C29" s="829"/>
      <c r="D29" s="391">
        <f t="shared" si="0"/>
        <v>29.174017356270664</v>
      </c>
      <c r="E29" s="383">
        <f t="shared" si="1"/>
        <v>30.094763722640057</v>
      </c>
      <c r="F29" s="383">
        <f t="shared" si="2"/>
        <v>30.377227257533896</v>
      </c>
      <c r="G29" s="110">
        <f t="shared" si="21"/>
        <v>1.0123567064288315</v>
      </c>
      <c r="H29" s="412" t="b">
        <f>Wh_hp&gt;='2027'!Maxi_hp</f>
        <v>1</v>
      </c>
      <c r="I29" s="388">
        <f>IF(H29,Wh_hp,'2027'!Maxi_hp)</f>
        <v>30.377227257533896</v>
      </c>
      <c r="J29" s="85">
        <f>IF(H29,An,'2027'!An_max)</f>
        <v>2028</v>
      </c>
      <c r="K29" s="197">
        <f t="shared" si="3"/>
        <v>46767</v>
      </c>
      <c r="L29" s="147">
        <f>IF(t&lt;Tvie,1-EXP((T0-t)*PertePVj)+'2027'!Pspv,1-EXP((T0-t)*PertePVj)+Pspv)</f>
        <v>6.1141997767446221E-2</v>
      </c>
      <c r="M29" s="832"/>
      <c r="N29" s="832"/>
      <c r="O29" s="48">
        <f>IF(t&lt;Tnet,'2027'!Resal+('2027'!Salim-'2027'!Resal)*(1-EXP(('2027'!Tnet-t)/('2027'!Tau_j))),Resal+(Salim-Resal)*(1-EXP((Tnet-t)/(Tau_j))))*Salcycl</f>
        <v>3.0594902650015687E-2</v>
      </c>
      <c r="P29" s="169">
        <f>(INDEX(Models!$BJ29:$BT29,,T29)*(1-R29)+INDEX(Models!$BJ29:$BT29,,T29+1)*R29-ERP_i)*Q29*Ramure*Pc/MaxiM</f>
        <v>9.2985292073945267E-3</v>
      </c>
      <c r="Q29" s="304">
        <f t="shared" si="4"/>
        <v>0.7</v>
      </c>
      <c r="R29" s="177">
        <f t="shared" si="5"/>
        <v>0.57938036852728469</v>
      </c>
      <c r="S29" s="799">
        <f t="shared" si="6"/>
        <v>-1</v>
      </c>
      <c r="T29" s="176">
        <f t="shared" si="7"/>
        <v>5</v>
      </c>
      <c r="U29" s="250">
        <f t="shared" si="8"/>
        <v>-0.42061963147271531</v>
      </c>
      <c r="V29" s="382">
        <f t="shared" si="9"/>
        <v>27.055937376883133</v>
      </c>
      <c r="W29" s="400">
        <f t="shared" si="10"/>
        <v>27.390259652206126</v>
      </c>
      <c r="X29" s="157">
        <f t="shared" si="11"/>
        <v>46767</v>
      </c>
      <c r="Y29" s="383">
        <f t="shared" si="12"/>
        <v>24.388177944838063</v>
      </c>
      <c r="Z29" s="383">
        <f t="shared" si="22"/>
        <v>25.976428689795782</v>
      </c>
      <c r="AA29" s="384">
        <f t="shared" si="13"/>
        <v>27.890751713785527</v>
      </c>
      <c r="AB29" s="197">
        <f t="shared" si="14"/>
        <v>46767</v>
      </c>
      <c r="AC29" s="119">
        <f>IF(OR(t&lt;Tnet,NoTnet),'2027'!Resal_s+('2027'!Salim-'2027'!Resal_s)*(1-EXP(('2027'!Tnet_s-t)/'2027'!Tau_j)),Resal_s+(Salim-Resal_s)*(1-EXP((Tnet_s-t)/Tau_j)))*Salcycl</f>
        <v>6.8636480064592664E-2</v>
      </c>
      <c r="AD29" s="230">
        <f>(INDEX(Models!$BJ29:$BT29,,AH29)*(1-AF29)+INDEX(Models!$BJ29:$BT29,,AH29+1)*AF29-ERP_i)*AE29*Ramure*Pc/MaxiM</f>
        <v>8.1853275240310025E-2</v>
      </c>
      <c r="AE29" s="304">
        <f t="shared" si="15"/>
        <v>0.7</v>
      </c>
      <c r="AF29" s="177">
        <f t="shared" si="23"/>
        <v>0.33503819936663559</v>
      </c>
      <c r="AG29" s="799">
        <f t="shared" si="24"/>
        <v>2</v>
      </c>
      <c r="AH29" s="176">
        <f t="shared" si="16"/>
        <v>8</v>
      </c>
      <c r="AI29" s="224">
        <f t="shared" si="17"/>
        <v>2.3350381993666356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46768</v>
      </c>
      <c r="B30" s="409">
        <f>'2027'!Wh/'2027'!Env_an*'2028'!Env_an</f>
        <v>27.09623563081049</v>
      </c>
      <c r="C30" s="829"/>
      <c r="D30" s="391">
        <f t="shared" si="0"/>
        <v>28.8613984963673</v>
      </c>
      <c r="E30" s="383">
        <f t="shared" si="1"/>
        <v>29.774641423308289</v>
      </c>
      <c r="F30" s="383">
        <f t="shared" si="2"/>
        <v>30.050946795686411</v>
      </c>
      <c r="G30" s="110">
        <f t="shared" si="21"/>
        <v>0.99094763253148765</v>
      </c>
      <c r="H30" s="412" t="b">
        <f>Wh_hp&gt;='2027'!Maxi_hp</f>
        <v>0</v>
      </c>
      <c r="I30" s="388">
        <f>IF(H30,Wh_hp,'2027'!Maxi_hp)</f>
        <v>30.05285823559619</v>
      </c>
      <c r="J30" s="85">
        <f>IF(H30,An,'2027'!An_max)</f>
        <v>2027</v>
      </c>
      <c r="K30" s="197">
        <f t="shared" si="3"/>
        <v>46768</v>
      </c>
      <c r="L30" s="147">
        <f>IF(t&lt;Tvie,1-EXP((T0-t)*PertePVj)+'2027'!Pspv,1-EXP((T0-t)*PertePVj)+Pspv)</f>
        <v>6.1159990766871064E-2</v>
      </c>
      <c r="M30" s="832"/>
      <c r="N30" s="832"/>
      <c r="O30" s="48">
        <f>IF(t&lt;Tnet,'2027'!Resal+('2027'!Salim-'2027'!Resal)*(1-EXP(('2027'!Tnet-t)/('2027'!Tau_j))),Resal+(Salim-Resal)*(1-EXP((Tnet-t)/(Tau_j))))*Salcycl</f>
        <v>3.0671836276962922E-2</v>
      </c>
      <c r="P30" s="169">
        <f>(INDEX(Models!$BJ30:$BT30,,T30)*(1-R30)+INDEX(Models!$BJ30:$BT30,,T30+1)*R30-ERP_i)*Q30*Ramure*Pc/MaxiM</f>
        <v>9.3134235645473233E-3</v>
      </c>
      <c r="Q30" s="304">
        <f t="shared" si="4"/>
        <v>0.7</v>
      </c>
      <c r="R30" s="177">
        <f t="shared" si="5"/>
        <v>0.57942182557959931</v>
      </c>
      <c r="S30" s="799">
        <f t="shared" si="6"/>
        <v>-1</v>
      </c>
      <c r="T30" s="176">
        <f t="shared" si="7"/>
        <v>5</v>
      </c>
      <c r="U30" s="250">
        <f t="shared" si="8"/>
        <v>-0.42057817442040069</v>
      </c>
      <c r="V30" s="382">
        <f t="shared" si="9"/>
        <v>27.340481196466861</v>
      </c>
      <c r="W30" s="400">
        <f t="shared" si="10"/>
        <v>27.09623563081049</v>
      </c>
      <c r="X30" s="157">
        <f t="shared" si="11"/>
        <v>46768</v>
      </c>
      <c r="Y30" s="383">
        <f t="shared" si="12"/>
        <v>24.199420640429206</v>
      </c>
      <c r="Z30" s="383">
        <f t="shared" si="22"/>
        <v>25.775872781770321</v>
      </c>
      <c r="AA30" s="384">
        <f t="shared" si="13"/>
        <v>27.676352759295053</v>
      </c>
      <c r="AB30" s="197">
        <f t="shared" si="14"/>
        <v>46768</v>
      </c>
      <c r="AC30" s="119">
        <f>IF(OR(t&lt;Tnet,NoTnet),'2027'!Resal_s+('2027'!Salim-'2027'!Resal_s)*(1-EXP(('2027'!Tnet_s-t)/'2027'!Tau_j)),Resal_s+(Salim-Resal_s)*(1-EXP((Tnet_s-t)/Tau_j)))*Salcycl</f>
        <v>6.8668006729552242E-2</v>
      </c>
      <c r="AD30" s="230">
        <f>(INDEX(Models!$BJ30:$BT30,,AH30)*(1-AF30)+INDEX(Models!$BJ30:$BT30,,AH30+1)*AF30-ERP_i)*AE30*Ramure*Pc/MaxiM</f>
        <v>8.0040427243287873E-2</v>
      </c>
      <c r="AE30" s="304">
        <f t="shared" si="15"/>
        <v>0.7</v>
      </c>
      <c r="AF30" s="177">
        <f t="shared" si="23"/>
        <v>0.33507965641895021</v>
      </c>
      <c r="AG30" s="799">
        <f t="shared" si="24"/>
        <v>2</v>
      </c>
      <c r="AH30" s="176">
        <f t="shared" si="16"/>
        <v>8</v>
      </c>
      <c r="AI30" s="224">
        <f t="shared" si="17"/>
        <v>2.3350796564189502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46769</v>
      </c>
      <c r="B31" s="409">
        <f>'2027'!Wh/'2027'!Env_an*'2028'!Env_an</f>
        <v>17.550628833998601</v>
      </c>
      <c r="C31" s="829"/>
      <c r="D31" s="391">
        <f t="shared" si="0"/>
        <v>18.694308957474718</v>
      </c>
      <c r="E31" s="383">
        <f t="shared" si="1"/>
        <v>19.28737077165577</v>
      </c>
      <c r="F31" s="383">
        <f t="shared" si="2"/>
        <v>19.373948116887835</v>
      </c>
      <c r="G31" s="110">
        <f t="shared" si="21"/>
        <v>0.63210748033497943</v>
      </c>
      <c r="H31" s="412" t="b">
        <f>Wh_hp&gt;='2027'!Maxi_hp</f>
        <v>0</v>
      </c>
      <c r="I31" s="388">
        <f>IF(H31,Wh_hp,'2027'!Maxi_hp)</f>
        <v>19.424212624059329</v>
      </c>
      <c r="J31" s="85">
        <f>IF(H31,An,'2027'!An_max)</f>
        <v>2027</v>
      </c>
      <c r="K31" s="197">
        <f t="shared" si="3"/>
        <v>46769</v>
      </c>
      <c r="L31" s="147">
        <f>IF(t&lt;Tvie,1-EXP((T0-t)*PertePVj)+'2027'!Pspv,1-EXP((T0-t)*PertePVj)+Pspv)</f>
        <v>6.1177983421464188E-2</v>
      </c>
      <c r="M31" s="832"/>
      <c r="N31" s="832"/>
      <c r="O31" s="48">
        <f>IF(t&lt;Tnet,'2027'!Resal+('2027'!Salim-'2027'!Resal)*(1-EXP(('2027'!Tnet-t)/('2027'!Tau_j))),Resal+(Salim-Resal)*(1-EXP((Tnet-t)/(Tau_j))))*Salcycl</f>
        <v>3.074871226370577E-2</v>
      </c>
      <c r="P31" s="169">
        <f>(INDEX(Models!$BJ31:$BT31,,T31)*(1-R31)+INDEX(Models!$BJ31:$BT31,,T31+1)*R31-ERP_i)*Q31*Ramure*Pc/MaxiM</f>
        <v>9.3318265539088976E-3</v>
      </c>
      <c r="Q31" s="304">
        <f t="shared" si="4"/>
        <v>0.7</v>
      </c>
      <c r="R31" s="177">
        <f t="shared" si="5"/>
        <v>0.57946501269108264</v>
      </c>
      <c r="S31" s="799">
        <f t="shared" si="6"/>
        <v>-1</v>
      </c>
      <c r="T31" s="176">
        <f t="shared" si="7"/>
        <v>5</v>
      </c>
      <c r="U31" s="250">
        <f t="shared" si="8"/>
        <v>-0.42053498730891736</v>
      </c>
      <c r="V31" s="382">
        <f t="shared" si="9"/>
        <v>27.629629800061586</v>
      </c>
      <c r="W31" s="400">
        <f t="shared" si="10"/>
        <v>17.550628833998601</v>
      </c>
      <c r="X31" s="157">
        <f t="shared" si="11"/>
        <v>46769</v>
      </c>
      <c r="Y31" s="383">
        <f t="shared" si="12"/>
        <v>16.304073871644679</v>
      </c>
      <c r="Z31" s="383">
        <f t="shared" si="22"/>
        <v>17.366522710091115</v>
      </c>
      <c r="AA31" s="384">
        <f t="shared" si="13"/>
        <v>18.647605266122678</v>
      </c>
      <c r="AB31" s="197">
        <f t="shared" si="14"/>
        <v>46769</v>
      </c>
      <c r="AC31" s="119">
        <f>IF(OR(t&lt;Tnet,NoTnet),'2027'!Resal_s+('2027'!Salim-'2027'!Resal_s)*(1-EXP(('2027'!Tnet_s-t)/'2027'!Tau_j)),Resal_s+(Salim-Resal_s)*(1-EXP((Tnet_s-t)/Tau_j)))*Salcycl</f>
        <v>6.8699574972177407E-2</v>
      </c>
      <c r="AD31" s="230">
        <f>(INDEX(Models!$BJ31:$BT31,,AH31)*(1-AF31)+INDEX(Models!$BJ31:$BT31,,AH31+1)*AF31-ERP_i)*AE31*Ramure*Pc/MaxiM</f>
        <v>7.8289597398071342E-2</v>
      </c>
      <c r="AE31" s="304">
        <f t="shared" si="15"/>
        <v>0.7</v>
      </c>
      <c r="AF31" s="177">
        <f t="shared" si="23"/>
        <v>0.3351228435304332</v>
      </c>
      <c r="AG31" s="799">
        <f t="shared" si="24"/>
        <v>2</v>
      </c>
      <c r="AH31" s="176">
        <f t="shared" si="16"/>
        <v>8</v>
      </c>
      <c r="AI31" s="224">
        <f t="shared" si="17"/>
        <v>2.3351228435304332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46770</v>
      </c>
      <c r="B32" s="409">
        <f>'2027'!Wh/'2027'!Env_an*'2028'!Env_an</f>
        <v>4.6174670989574578</v>
      </c>
      <c r="C32" s="829"/>
      <c r="D32" s="391">
        <f t="shared" si="0"/>
        <v>4.9184568659619794</v>
      </c>
      <c r="E32" s="383">
        <f t="shared" si="1"/>
        <v>5.0748931484025972</v>
      </c>
      <c r="F32" s="383">
        <f t="shared" si="2"/>
        <v>5.0748931484025972</v>
      </c>
      <c r="G32" s="110">
        <f t="shared" si="21"/>
        <v>0.16382218605148949</v>
      </c>
      <c r="H32" s="412" t="b">
        <f>Wh_hp&gt;='2027'!Maxi_hp</f>
        <v>0</v>
      </c>
      <c r="I32" s="388">
        <f>IF(H32,Wh_hp,'2027'!Maxi_hp)</f>
        <v>30.433829557852597</v>
      </c>
      <c r="J32" s="85">
        <f>IF(H32,An,'2027'!An_max)</f>
        <v>2021</v>
      </c>
      <c r="K32" s="197">
        <f t="shared" si="3"/>
        <v>46770</v>
      </c>
      <c r="L32" s="147">
        <f>IF(t&lt;Tvie,1-EXP((T0-t)*PertePVj)+'2027'!Pspv,1-EXP((T0-t)*PertePVj)+Pspv)</f>
        <v>6.1195975731232144E-2</v>
      </c>
      <c r="M32" s="832"/>
      <c r="N32" s="832"/>
      <c r="O32" s="48">
        <f>IF(t&lt;Tnet,'2027'!Resal+('2027'!Salim-'2027'!Resal)*(1-EXP(('2027'!Tnet-t)/('2027'!Tau_j))),Resal+(Salim-Resal)*(1-EXP((Tnet-t)/(Tau_j))))*Salcycl</f>
        <v>3.0825532255759628E-2</v>
      </c>
      <c r="P32" s="169">
        <f>(INDEX(Models!$BJ32:$BT32,,T32)*(1-R32)+INDEX(Models!$BJ32:$BT32,,T32+1)*R32-ERP_i)*Q32*Ramure*Pc/MaxiM</f>
        <v>9.3539886631424912E-3</v>
      </c>
      <c r="Q32" s="304">
        <f t="shared" si="4"/>
        <v>0.7</v>
      </c>
      <c r="R32" s="177">
        <f t="shared" si="5"/>
        <v>0.57951000166079591</v>
      </c>
      <c r="S32" s="799">
        <f t="shared" si="6"/>
        <v>-1</v>
      </c>
      <c r="T32" s="176">
        <f t="shared" si="7"/>
        <v>5</v>
      </c>
      <c r="U32" s="250">
        <f t="shared" si="8"/>
        <v>-0.42048999833920403</v>
      </c>
      <c r="V32" s="382">
        <f t="shared" si="9"/>
        <v>27.922197074233132</v>
      </c>
      <c r="W32" s="400">
        <f t="shared" si="10"/>
        <v>4.6174670989574578</v>
      </c>
      <c r="X32" s="157">
        <f t="shared" si="11"/>
        <v>46770</v>
      </c>
      <c r="Y32" s="383">
        <f t="shared" si="12"/>
        <v>4.4368720430749544</v>
      </c>
      <c r="Z32" s="383">
        <f t="shared" si="22"/>
        <v>4.7260897145501941</v>
      </c>
      <c r="AA32" s="384">
        <f t="shared" si="13"/>
        <v>5.0748931484025972</v>
      </c>
      <c r="AB32" s="197">
        <f t="shared" si="14"/>
        <v>46770</v>
      </c>
      <c r="AC32" s="119">
        <f>IF(OR(t&lt;Tnet,NoTnet),'2027'!Resal_s+('2027'!Salim-'2027'!Resal_s)*(1-EXP(('2027'!Tnet_s-t)/'2027'!Tau_j)),Resal_s+(Salim-Resal_s)*(1-EXP((Tnet_s-t)/Tau_j)))*Salcycl</f>
        <v>6.8731187761498919E-2</v>
      </c>
      <c r="AD32" s="230">
        <f>(INDEX(Models!$BJ32:$BT32,,AH32)*(1-AF32)+INDEX(Models!$BJ32:$BT32,,AH32+1)*AF32-ERP_i)*AE32*Ramure*Pc/MaxiM</f>
        <v>7.6602864486277053E-2</v>
      </c>
      <c r="AE32" s="304">
        <f t="shared" si="15"/>
        <v>0.7</v>
      </c>
      <c r="AF32" s="177">
        <f t="shared" si="23"/>
        <v>0.33516783250014681</v>
      </c>
      <c r="AG32" s="799">
        <f t="shared" si="24"/>
        <v>2</v>
      </c>
      <c r="AH32" s="176">
        <f t="shared" si="16"/>
        <v>8</v>
      </c>
      <c r="AI32" s="224">
        <f t="shared" si="17"/>
        <v>2.3351678325001468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46771</v>
      </c>
      <c r="B33" s="409">
        <f>'2027'!Wh/'2027'!Env_an*'2028'!Env_an</f>
        <v>11.664857646695456</v>
      </c>
      <c r="C33" s="829"/>
      <c r="D33" s="391">
        <f t="shared" si="0"/>
        <v>12.425469963660868</v>
      </c>
      <c r="E33" s="383">
        <f t="shared" si="1"/>
        <v>12.821689638319949</v>
      </c>
      <c r="F33" s="383">
        <f t="shared" si="2"/>
        <v>12.841202626742195</v>
      </c>
      <c r="G33" s="110">
        <f t="shared" si="21"/>
        <v>0.41014376169390937</v>
      </c>
      <c r="H33" s="412" t="b">
        <f>Wh_hp&gt;='2027'!Maxi_hp</f>
        <v>0</v>
      </c>
      <c r="I33" s="388">
        <f>IF(H33,Wh_hp,'2027'!Maxi_hp)</f>
        <v>32.683118262088648</v>
      </c>
      <c r="J33" s="85">
        <f>IF(H33,An,'2027'!An_max)</f>
        <v>2021</v>
      </c>
      <c r="K33" s="197">
        <f t="shared" si="3"/>
        <v>46771</v>
      </c>
      <c r="L33" s="147">
        <f>IF(t&lt;Tvie,1-EXP((T0-t)*PertePVj)+'2027'!Pspv,1-EXP((T0-t)*PertePVj)+Pspv)</f>
        <v>6.1213967696181704E-2</v>
      </c>
      <c r="M33" s="832"/>
      <c r="N33" s="832"/>
      <c r="O33" s="48">
        <f>IF(t&lt;Tnet,'2027'!Resal+('2027'!Salim-'2027'!Resal)*(1-EXP(('2027'!Tnet-t)/('2027'!Tau_j))),Resal+(Salim-Resal)*(1-EXP((Tnet-t)/(Tau_j))))*Salcycl</f>
        <v>3.0902298046187878E-2</v>
      </c>
      <c r="P33" s="169">
        <f>(INDEX(Models!$BJ33:$BT33,,T33)*(1-R33)+INDEX(Models!$BJ33:$BT33,,T33+1)*R33-ERP_i)*Q33*Ramure*Pc/MaxiM</f>
        <v>9.380148957139893E-3</v>
      </c>
      <c r="Q33" s="304">
        <f t="shared" si="4"/>
        <v>0.7</v>
      </c>
      <c r="R33" s="177">
        <f t="shared" si="5"/>
        <v>0.57955686723348476</v>
      </c>
      <c r="S33" s="799">
        <f t="shared" si="6"/>
        <v>-1</v>
      </c>
      <c r="T33" s="176">
        <f t="shared" si="7"/>
        <v>5</v>
      </c>
      <c r="U33" s="250">
        <f t="shared" si="8"/>
        <v>-0.42044313276651529</v>
      </c>
      <c r="V33" s="382">
        <f t="shared" si="9"/>
        <v>28.216997407673137</v>
      </c>
      <c r="W33" s="400">
        <f t="shared" si="10"/>
        <v>11.664857646695456</v>
      </c>
      <c r="X33" s="157">
        <f t="shared" si="11"/>
        <v>46771</v>
      </c>
      <c r="Y33" s="383">
        <f t="shared" si="12"/>
        <v>11.089832535579053</v>
      </c>
      <c r="Z33" s="383">
        <f t="shared" si="22"/>
        <v>11.812950080184045</v>
      </c>
      <c r="AA33" s="384">
        <f t="shared" si="13"/>
        <v>12.685222082852137</v>
      </c>
      <c r="AB33" s="197">
        <f t="shared" si="14"/>
        <v>46771</v>
      </c>
      <c r="AC33" s="119">
        <f>IF(OR(t&lt;Tnet,NoTnet),'2027'!Resal_s+('2027'!Salim-'2027'!Resal_s)*(1-EXP(('2027'!Tnet_s-t)/'2027'!Tau_j)),Resal_s+(Salim-Resal_s)*(1-EXP((Tnet_s-t)/Tau_j)))*Salcycl</f>
        <v>6.8762848373559601E-2</v>
      </c>
      <c r="AD33" s="230">
        <f>(INDEX(Models!$BJ33:$BT33,,AH33)*(1-AF33)+INDEX(Models!$BJ33:$BT33,,AH33+1)*AF33-ERP_i)*AE33*Ramure*Pc/MaxiM</f>
        <v>7.4981889213671882E-2</v>
      </c>
      <c r="AE33" s="304">
        <f t="shared" si="15"/>
        <v>0.7</v>
      </c>
      <c r="AF33" s="177">
        <f t="shared" si="23"/>
        <v>0.33521469807283522</v>
      </c>
      <c r="AG33" s="799">
        <f t="shared" si="24"/>
        <v>2</v>
      </c>
      <c r="AH33" s="176">
        <f t="shared" si="16"/>
        <v>8</v>
      </c>
      <c r="AI33" s="224">
        <f t="shared" si="17"/>
        <v>2.3352146980728352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46772</v>
      </c>
      <c r="B34" s="409">
        <f>'2027'!Wh/'2027'!Env_an*'2028'!Env_an</f>
        <v>4.8368455447326708</v>
      </c>
      <c r="C34" s="829"/>
      <c r="D34" s="391">
        <f t="shared" si="0"/>
        <v>5.1523329886796319</v>
      </c>
      <c r="E34" s="383">
        <f t="shared" si="1"/>
        <v>5.3170499399925326</v>
      </c>
      <c r="F34" s="383">
        <f t="shared" si="2"/>
        <v>5.3170499399925326</v>
      </c>
      <c r="G34" s="110">
        <f t="shared" si="21"/>
        <v>0.16804103952221236</v>
      </c>
      <c r="H34" s="412" t="b">
        <f>Wh_hp&gt;='2027'!Maxi_hp</f>
        <v>0</v>
      </c>
      <c r="I34" s="388">
        <f>IF(H34,Wh_hp,'2027'!Maxi_hp)</f>
        <v>11.30286271509741</v>
      </c>
      <c r="J34" s="85">
        <f>IF(H34,An,'2027'!An_max)</f>
        <v>2020</v>
      </c>
      <c r="K34" s="197">
        <f t="shared" si="3"/>
        <v>46772</v>
      </c>
      <c r="L34" s="147">
        <f>IF(t&lt;Tvie,1-EXP((T0-t)*PertePVj)+'2027'!Pspv,1-EXP((T0-t)*PertePVj)+Pspv)</f>
        <v>6.1231959316319307E-2</v>
      </c>
      <c r="M34" s="832"/>
      <c r="N34" s="832"/>
      <c r="O34" s="48">
        <f>IF(t&lt;Tnet,'2027'!Resal+('2027'!Salim-'2027'!Resal)*(1-EXP(('2027'!Tnet-t)/('2027'!Tau_j))),Resal+(Salim-Resal)*(1-EXP((Tnet-t)/(Tau_j))))*Salcycl</f>
        <v>3.0979011514255538E-2</v>
      </c>
      <c r="P34" s="169">
        <f>(INDEX(Models!$BJ34:$BT34,,T34)*(1-R34)+INDEX(Models!$BJ34:$BT34,,T34+1)*R34-ERP_i)*Q34*Ramure*Pc/MaxiM</f>
        <v>9.410589305372254E-3</v>
      </c>
      <c r="Q34" s="304">
        <f t="shared" si="4"/>
        <v>0.7</v>
      </c>
      <c r="R34" s="177">
        <f t="shared" si="5"/>
        <v>0.57960568721751882</v>
      </c>
      <c r="S34" s="799">
        <f t="shared" si="6"/>
        <v>-1</v>
      </c>
      <c r="T34" s="176">
        <f t="shared" si="7"/>
        <v>5</v>
      </c>
      <c r="U34" s="250">
        <f t="shared" si="8"/>
        <v>-0.42039431278248118</v>
      </c>
      <c r="V34" s="382">
        <f t="shared" si="9"/>
        <v>28.512844192113761</v>
      </c>
      <c r="W34" s="400">
        <f t="shared" si="10"/>
        <v>4.8368455447326708</v>
      </c>
      <c r="X34" s="157">
        <f t="shared" si="11"/>
        <v>46772</v>
      </c>
      <c r="Y34" s="383">
        <f t="shared" si="12"/>
        <v>4.6480901198160378</v>
      </c>
      <c r="Z34" s="383">
        <f t="shared" si="22"/>
        <v>4.9512658275317438</v>
      </c>
      <c r="AA34" s="384">
        <f t="shared" si="13"/>
        <v>5.3170499399925326</v>
      </c>
      <c r="AB34" s="197">
        <f t="shared" si="14"/>
        <v>46772</v>
      </c>
      <c r="AC34" s="119">
        <f>IF(OR(t&lt;Tnet,NoTnet),'2027'!Resal_s+('2027'!Salim-'2027'!Resal_s)*(1-EXP(('2027'!Tnet_s-t)/'2027'!Tau_j)),Resal_s+(Salim-Resal_s)*(1-EXP((Tnet_s-t)/Tau_j)))*Salcycl</f>
        <v>6.8794560252203013E-2</v>
      </c>
      <c r="AD34" s="230">
        <f>(INDEX(Models!$BJ34:$BT34,,AH34)*(1-AF34)+INDEX(Models!$BJ34:$BT34,,AH34+1)*AF34-ERP_i)*AE34*Ramure*Pc/MaxiM</f>
        <v>7.3428368591401547E-2</v>
      </c>
      <c r="AE34" s="304">
        <f t="shared" si="15"/>
        <v>0.7</v>
      </c>
      <c r="AF34" s="177">
        <f t="shared" si="23"/>
        <v>0.33526351805686971</v>
      </c>
      <c r="AG34" s="799">
        <f t="shared" si="24"/>
        <v>2</v>
      </c>
      <c r="AH34" s="176">
        <f t="shared" si="16"/>
        <v>8</v>
      </c>
      <c r="AI34" s="224">
        <f t="shared" si="17"/>
        <v>2.3352635180568697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46773</v>
      </c>
      <c r="B35" s="409">
        <f>'2027'!Wh/'2027'!Env_an*'2028'!Env_an</f>
        <v>18.464276416119851</v>
      </c>
      <c r="C35" s="829"/>
      <c r="D35" s="391">
        <f t="shared" si="0"/>
        <v>19.669001804854283</v>
      </c>
      <c r="E35" s="383">
        <f t="shared" si="1"/>
        <v>20.299413793506396</v>
      </c>
      <c r="F35" s="383">
        <f t="shared" si="2"/>
        <v>20.393231257665512</v>
      </c>
      <c r="G35" s="110">
        <f t="shared" si="21"/>
        <v>0.6378106404942967</v>
      </c>
      <c r="H35" s="412" t="b">
        <f>Wh_hp&gt;='2027'!Maxi_hp</f>
        <v>0</v>
      </c>
      <c r="I35" s="388">
        <f>IF(H35,Wh_hp,'2027'!Maxi_hp)</f>
        <v>20.445991371906487</v>
      </c>
      <c r="J35" s="85">
        <f>IF(H35,An,'2027'!An_max)</f>
        <v>2027</v>
      </c>
      <c r="K35" s="197">
        <f t="shared" si="3"/>
        <v>46773</v>
      </c>
      <c r="L35" s="147">
        <f>IF(t&lt;Tvie,1-EXP((T0-t)*PertePVj)+'2027'!Pspv,1-EXP((T0-t)*PertePVj)+Pspv)</f>
        <v>6.1249950591651614E-2</v>
      </c>
      <c r="M35" s="832"/>
      <c r="N35" s="832"/>
      <c r="O35" s="48">
        <f>IF(t&lt;Tnet,'2027'!Resal+('2027'!Salim-'2027'!Resal)*(1-EXP(('2027'!Tnet-t)/('2027'!Tau_j))),Resal+(Salim-Resal)*(1-EXP((Tnet-t)/(Tau_j))))*Salcycl</f>
        <v>3.1055674566020063E-2</v>
      </c>
      <c r="P35" s="169">
        <f>(INDEX(Models!$BJ35:$BT35,,T35)*(1-R35)+INDEX(Models!$BJ35:$BT35,,T35+1)*R35-ERP_i)*Q35*Ramure*Pc/MaxiM</f>
        <v>9.4456083041921223E-3</v>
      </c>
      <c r="Q35" s="304">
        <f t="shared" si="4"/>
        <v>0.7</v>
      </c>
      <c r="R35" s="177">
        <f t="shared" si="5"/>
        <v>0.5796565426073077</v>
      </c>
      <c r="S35" s="799">
        <f t="shared" si="6"/>
        <v>-1</v>
      </c>
      <c r="T35" s="176">
        <f t="shared" si="7"/>
        <v>5</v>
      </c>
      <c r="U35" s="250">
        <f t="shared" si="8"/>
        <v>-0.42034345739269224</v>
      </c>
      <c r="V35" s="382">
        <f t="shared" si="9"/>
        <v>28.808550557564203</v>
      </c>
      <c r="W35" s="400">
        <f t="shared" si="10"/>
        <v>18.464276416119851</v>
      </c>
      <c r="X35" s="157">
        <f t="shared" si="11"/>
        <v>46773</v>
      </c>
      <c r="Y35" s="383">
        <f t="shared" si="12"/>
        <v>17.201888257703363</v>
      </c>
      <c r="Z35" s="383">
        <f t="shared" si="22"/>
        <v>18.324247512471434</v>
      </c>
      <c r="AA35" s="384">
        <f t="shared" si="13"/>
        <v>19.678657205795332</v>
      </c>
      <c r="AB35" s="197">
        <f t="shared" si="14"/>
        <v>46773</v>
      </c>
      <c r="AC35" s="119">
        <f>IF(OR(t&lt;Tnet,NoTnet),'2027'!Resal_s+('2027'!Salim-'2027'!Resal_s)*(1-EXP(('2027'!Tnet_s-t)/'2027'!Tau_j)),Resal_s+(Salim-Resal_s)*(1-EXP((Tnet_s-t)/Tau_j)))*Salcycl</f>
        <v>6.8826326875851399E-2</v>
      </c>
      <c r="AD35" s="230">
        <f>(INDEX(Models!$BJ35:$BT35,,AH35)*(1-AF35)+INDEX(Models!$BJ35:$BT35,,AH35+1)*AF35-ERP_i)*AE35*Ramure*Pc/MaxiM</f>
        <v>7.1943818337039639E-2</v>
      </c>
      <c r="AE35" s="304">
        <f t="shared" si="15"/>
        <v>0.7</v>
      </c>
      <c r="AF35" s="177">
        <f t="shared" si="23"/>
        <v>0.33531437344665838</v>
      </c>
      <c r="AG35" s="799">
        <f t="shared" si="24"/>
        <v>2</v>
      </c>
      <c r="AH35" s="176">
        <f t="shared" si="16"/>
        <v>8</v>
      </c>
      <c r="AI35" s="224">
        <f t="shared" si="17"/>
        <v>2.3353143734466584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46774</v>
      </c>
      <c r="B36" s="409">
        <f>'2027'!Wh/'2027'!Env_an*'2028'!Env_an</f>
        <v>28.545051791498128</v>
      </c>
      <c r="C36" s="829"/>
      <c r="D36" s="391">
        <f t="shared" si="0"/>
        <v>30.408093058827539</v>
      </c>
      <c r="E36" s="383">
        <f t="shared" si="1"/>
        <v>31.385185733844033</v>
      </c>
      <c r="F36" s="383">
        <f t="shared" si="2"/>
        <v>31.677432350734566</v>
      </c>
      <c r="G36" s="110">
        <f t="shared" si="21"/>
        <v>0.98057366819460767</v>
      </c>
      <c r="H36" s="412" t="b">
        <f>Wh_hp&gt;='2027'!Maxi_hp</f>
        <v>0</v>
      </c>
      <c r="I36" s="388">
        <f>IF(H36,Wh_hp,'2027'!Maxi_hp)</f>
        <v>31.681840726246193</v>
      </c>
      <c r="J36" s="85">
        <f>IF(H36,An,'2027'!An_max)</f>
        <v>2027</v>
      </c>
      <c r="K36" s="197">
        <f t="shared" si="3"/>
        <v>46774</v>
      </c>
      <c r="L36" s="147">
        <f>IF(t&lt;Tvie,1-EXP((T0-t)*PertePVj)+'2027'!Pspv,1-EXP((T0-t)*PertePVj)+Pspv)</f>
        <v>6.1267941522185176E-2</v>
      </c>
      <c r="M36" s="832"/>
      <c r="N36" s="832"/>
      <c r="O36" s="48">
        <f>IF(t&lt;Tnet,'2027'!Resal+('2027'!Salim-'2027'!Resal)*(1-EXP(('2027'!Tnet-t)/('2027'!Tau_j))),Resal+(Salim-Resal)*(1-EXP((Tnet-t)/(Tau_j))))*Salcycl</f>
        <v>3.1132289077481921E-2</v>
      </c>
      <c r="P36" s="169">
        <f>(INDEX(Models!$BJ36:$BT36,,T36)*(1-R36)+INDEX(Models!$BJ36:$BT36,,T36+1)*R36-ERP_i)*Q36*Ramure*Pc/MaxiM</f>
        <v>9.4854590915987875E-3</v>
      </c>
      <c r="Q36" s="304">
        <f t="shared" si="4"/>
        <v>0.7</v>
      </c>
      <c r="R36" s="177">
        <f t="shared" si="5"/>
        <v>0.57970951771033352</v>
      </c>
      <c r="S36" s="799">
        <f t="shared" si="6"/>
        <v>-1</v>
      </c>
      <c r="T36" s="176">
        <f t="shared" si="7"/>
        <v>5</v>
      </c>
      <c r="U36" s="250">
        <f t="shared" si="8"/>
        <v>-0.42029048228966653</v>
      </c>
      <c r="V36" s="382">
        <f t="shared" si="9"/>
        <v>29.102931226782506</v>
      </c>
      <c r="W36" s="400">
        <f t="shared" si="10"/>
        <v>28.545051791498128</v>
      </c>
      <c r="X36" s="157">
        <f t="shared" si="11"/>
        <v>46774</v>
      </c>
      <c r="Y36" s="383">
        <f t="shared" si="12"/>
        <v>25.789609624949804</v>
      </c>
      <c r="Z36" s="383">
        <f t="shared" si="22"/>
        <v>27.472812281247229</v>
      </c>
      <c r="AA36" s="384">
        <f t="shared" si="13"/>
        <v>29.504433002753874</v>
      </c>
      <c r="AB36" s="197">
        <f t="shared" si="14"/>
        <v>46774</v>
      </c>
      <c r="AC36" s="119">
        <f>IF(OR(t&lt;Tnet,NoTnet),'2027'!Resal_s+('2027'!Salim-'2027'!Resal_s)*(1-EXP(('2027'!Tnet_s-t)/'2027'!Tau_j)),Resal_s+(Salim-Resal_s)*(1-EXP((Tnet_s-t)/Tau_j)))*Salcycl</f>
        <v>6.8858151631553774E-2</v>
      </c>
      <c r="AD36" s="230">
        <f>(INDEX(Models!$BJ36:$BT36,,AH36)*(1-AF36)+INDEX(Models!$BJ36:$BT36,,AH36+1)*AF36-ERP_i)*AE36*Ramure*Pc/MaxiM</f>
        <v>7.0529119004523216E-2</v>
      </c>
      <c r="AE36" s="304">
        <f t="shared" si="15"/>
        <v>0.7</v>
      </c>
      <c r="AF36" s="177">
        <f t="shared" si="23"/>
        <v>0.33536734854968397</v>
      </c>
      <c r="AG36" s="799">
        <f t="shared" si="24"/>
        <v>2</v>
      </c>
      <c r="AH36" s="176">
        <f t="shared" si="16"/>
        <v>8</v>
      </c>
      <c r="AI36" s="224">
        <f t="shared" si="17"/>
        <v>2.335367348549684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46775</v>
      </c>
      <c r="B37" s="409">
        <f>'2027'!Wh/'2027'!Env_an*'2028'!Env_an</f>
        <v>28.890821900511369</v>
      </c>
      <c r="C37" s="829"/>
      <c r="D37" s="391">
        <f t="shared" si="0"/>
        <v>30.777020275606471</v>
      </c>
      <c r="E37" s="383">
        <f t="shared" si="1"/>
        <v>31.768478162636804</v>
      </c>
      <c r="F37" s="383">
        <f t="shared" si="2"/>
        <v>32.066489214952242</v>
      </c>
      <c r="G37" s="110">
        <f t="shared" si="21"/>
        <v>0.98247215050749359</v>
      </c>
      <c r="H37" s="412" t="b">
        <f>Wh_hp&gt;='2027'!Maxi_hp</f>
        <v>0</v>
      </c>
      <c r="I37" s="388">
        <f>IF(H37,Wh_hp,'2027'!Maxi_hp)</f>
        <v>32.070539962914758</v>
      </c>
      <c r="J37" s="85">
        <f>IF(H37,An,'2027'!An_max)</f>
        <v>2027</v>
      </c>
      <c r="K37" s="197">
        <f t="shared" si="3"/>
        <v>46775</v>
      </c>
      <c r="L37" s="147">
        <f>IF(t&lt;Tvie,1-EXP((T0-t)*PertePVj)+'2027'!Pspv,1-EXP((T0-t)*PertePVj)+Pspv)</f>
        <v>6.1285932107926655E-2</v>
      </c>
      <c r="M37" s="832"/>
      <c r="N37" s="832"/>
      <c r="O37" s="48">
        <f>IF(t&lt;Tnet,'2027'!Resal+('2027'!Salim-'2027'!Resal)*(1-EXP(('2027'!Tnet-t)/('2027'!Tau_j))),Resal+(Salim-Resal)*(1-EXP((Tnet-t)/(Tau_j))))*Salcycl</f>
        <v>3.120885684087921E-2</v>
      </c>
      <c r="P37" s="169">
        <f>(INDEX(Models!$BJ37:$BT37,,T37)*(1-R37)+INDEX(Models!$BJ37:$BT37,,T37+1)*R37-ERP_i)*Q37*Ramure*Pc/MaxiM</f>
        <v>9.528959587021494E-3</v>
      </c>
      <c r="Q37" s="304">
        <f t="shared" si="4"/>
        <v>0.7</v>
      </c>
      <c r="R37" s="177">
        <f t="shared" si="5"/>
        <v>0.57976470027895521</v>
      </c>
      <c r="S37" s="799">
        <f t="shared" si="6"/>
        <v>-1</v>
      </c>
      <c r="T37" s="176">
        <f t="shared" si="7"/>
        <v>5</v>
      </c>
      <c r="U37" s="250">
        <f t="shared" si="8"/>
        <v>-0.42023529972104473</v>
      </c>
      <c r="V37" s="382">
        <f t="shared" si="9"/>
        <v>29.399262343620165</v>
      </c>
      <c r="W37" s="400">
        <f t="shared" si="10"/>
        <v>28.890821900511369</v>
      </c>
      <c r="X37" s="157">
        <f t="shared" si="11"/>
        <v>46775</v>
      </c>
      <c r="Y37" s="383">
        <f t="shared" si="12"/>
        <v>26.13669336707872</v>
      </c>
      <c r="Z37" s="383">
        <f t="shared" si="22"/>
        <v>27.843082639391884</v>
      </c>
      <c r="AA37" s="384">
        <f t="shared" si="13"/>
        <v>29.90310894165432</v>
      </c>
      <c r="AB37" s="197">
        <f t="shared" si="14"/>
        <v>46775</v>
      </c>
      <c r="AC37" s="119">
        <f>IF(OR(t&lt;Tnet,NoTnet),'2027'!Resal_s+('2027'!Salim-'2027'!Resal_s)*(1-EXP(('2027'!Tnet_s-t)/'2027'!Tau_j)),Resal_s+(Salim-Resal_s)*(1-EXP((Tnet_s-t)/Tau_j)))*Salcycl</f>
        <v>6.8890037697480588E-2</v>
      </c>
      <c r="AD37" s="230">
        <f>(INDEX(Models!$BJ37:$BT37,,AH37)*(1-AF37)+INDEX(Models!$BJ37:$BT37,,AH37+1)*AF37-ERP_i)*AE37*Ramure*Pc/MaxiM</f>
        <v>6.9174492138617816E-2</v>
      </c>
      <c r="AE37" s="304">
        <f t="shared" si="15"/>
        <v>0.7</v>
      </c>
      <c r="AF37" s="177">
        <f t="shared" si="23"/>
        <v>0.33542253111830611</v>
      </c>
      <c r="AG37" s="799">
        <f t="shared" si="24"/>
        <v>2</v>
      </c>
      <c r="AH37" s="176">
        <f t="shared" si="16"/>
        <v>8</v>
      </c>
      <c r="AI37" s="224">
        <f t="shared" si="17"/>
        <v>2.3354225311183061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46776</v>
      </c>
      <c r="B38" s="409">
        <f>'2027'!Wh/'2027'!Env_an*'2028'!Env_an</f>
        <v>29.391844511745056</v>
      </c>
      <c r="C38" s="829"/>
      <c r="D38" s="391">
        <f t="shared" si="0"/>
        <v>31.311353281982125</v>
      </c>
      <c r="E38" s="383">
        <f t="shared" si="1"/>
        <v>32.322577382278922</v>
      </c>
      <c r="F38" s="383">
        <f t="shared" si="2"/>
        <v>32.630265882860904</v>
      </c>
      <c r="G38" s="110">
        <f t="shared" si="21"/>
        <v>0.98944099998768453</v>
      </c>
      <c r="H38" s="412" t="b">
        <f>Wh_hp&gt;='2027'!Maxi_hp</f>
        <v>0</v>
      </c>
      <c r="I38" s="388">
        <f>IF(H38,Wh_hp,'2027'!Maxi_hp)</f>
        <v>32.632764926208949</v>
      </c>
      <c r="J38" s="85">
        <f>IF(H38,An,'2027'!An_max)</f>
        <v>2027</v>
      </c>
      <c r="K38" s="197">
        <f t="shared" si="3"/>
        <v>46776</v>
      </c>
      <c r="L38" s="147">
        <f>IF(t&lt;Tvie,1-EXP((T0-t)*PertePVj)+'2027'!Pspv,1-EXP((T0-t)*PertePVj)+Pspv)</f>
        <v>6.1303922348882822E-2</v>
      </c>
      <c r="M38" s="832"/>
      <c r="N38" s="832"/>
      <c r="O38" s="48">
        <f>IF(t&lt;Tnet,'2027'!Resal+('2027'!Salim-'2027'!Resal)*(1-EXP(('2027'!Tnet-t)/('2027'!Tau_j))),Resal+(Salim-Resal)*(1-EXP((Tnet-t)/(Tau_j))))*Salcycl</f>
        <v>3.1285379514667366E-2</v>
      </c>
      <c r="P38" s="169">
        <f>(INDEX(Models!$BJ38:$BT38,,T38)*(1-R38)+INDEX(Models!$BJ38:$BT38,,T38+1)*R38-ERP_i)*Q38*Ramure*Pc/MaxiM</f>
        <v>9.5719838727406168E-3</v>
      </c>
      <c r="Q38" s="304">
        <f t="shared" si="4"/>
        <v>0.7</v>
      </c>
      <c r="R38" s="177">
        <f t="shared" si="5"/>
        <v>0.57982218164713883</v>
      </c>
      <c r="S38" s="799">
        <f t="shared" si="6"/>
        <v>-1</v>
      </c>
      <c r="T38" s="176">
        <f t="shared" si="7"/>
        <v>5</v>
      </c>
      <c r="U38" s="250">
        <f t="shared" si="8"/>
        <v>-0.42017781835286117</v>
      </c>
      <c r="V38" s="382">
        <f t="shared" si="9"/>
        <v>29.701233386786509</v>
      </c>
      <c r="W38" s="400">
        <f t="shared" si="10"/>
        <v>29.391844511745056</v>
      </c>
      <c r="X38" s="157">
        <f t="shared" si="11"/>
        <v>46776</v>
      </c>
      <c r="Y38" s="383">
        <f t="shared" si="12"/>
        <v>26.610876644235301</v>
      </c>
      <c r="Z38" s="383">
        <f t="shared" si="22"/>
        <v>28.348767271749161</v>
      </c>
      <c r="AA38" s="384">
        <f t="shared" si="13"/>
        <v>30.447252436853709</v>
      </c>
      <c r="AB38" s="197">
        <f t="shared" si="14"/>
        <v>46776</v>
      </c>
      <c r="AC38" s="119">
        <f>IF(OR(t&lt;Tnet,NoTnet),'2027'!Resal_s+('2027'!Salim-'2027'!Resal_s)*(1-EXP(('2027'!Tnet_s-t)/'2027'!Tau_j)),Resal_s+(Salim-Resal_s)*(1-EXP((Tnet_s-t)/Tau_j)))*Salcycl</f>
        <v>6.8921987934928319E-2</v>
      </c>
      <c r="AD38" s="230">
        <f>(INDEX(Models!$BJ38:$BT38,,AH38)*(1-AF38)+INDEX(Models!$BJ38:$BT38,,AH38+1)*AF38-ERP_i)*AE38*Ramure*Pc/MaxiM</f>
        <v>6.7912091155935744E-2</v>
      </c>
      <c r="AE38" s="304">
        <f t="shared" si="15"/>
        <v>0.7</v>
      </c>
      <c r="AF38" s="177">
        <f t="shared" si="23"/>
        <v>0.33548001248648962</v>
      </c>
      <c r="AG38" s="799">
        <f t="shared" si="24"/>
        <v>2</v>
      </c>
      <c r="AH38" s="176">
        <f t="shared" si="16"/>
        <v>8</v>
      </c>
      <c r="AI38" s="224">
        <f t="shared" si="17"/>
        <v>2.3354800124864896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46777</v>
      </c>
      <c r="B39" s="409">
        <f>'2027'!Wh/'2027'!Env_an*'2028'!Env_an</f>
        <v>27.451149762218023</v>
      </c>
      <c r="C39" s="829"/>
      <c r="D39" s="391">
        <f t="shared" si="0"/>
        <v>29.244477015409647</v>
      </c>
      <c r="E39" s="383">
        <f t="shared" si="1"/>
        <v>30.191333341951413</v>
      </c>
      <c r="F39" s="383">
        <f t="shared" si="2"/>
        <v>30.448386031651975</v>
      </c>
      <c r="G39" s="110">
        <f t="shared" si="21"/>
        <v>0.91370805555232981</v>
      </c>
      <c r="H39" s="412" t="b">
        <f>Wh_hp&gt;='2027'!Maxi_hp</f>
        <v>0</v>
      </c>
      <c r="I39" s="388">
        <f>IF(H39,Wh_hp,'2027'!Maxi_hp)</f>
        <v>30.467578215389366</v>
      </c>
      <c r="J39" s="85">
        <f>IF(H39,An,'2027'!An_max)</f>
        <v>2027</v>
      </c>
      <c r="K39" s="197">
        <f t="shared" si="3"/>
        <v>46777</v>
      </c>
      <c r="L39" s="147">
        <f>IF(t&lt;Tvie,1-EXP((T0-t)*PertePVj)+'2027'!Pspv,1-EXP((T0-t)*PertePVj)+Pspv)</f>
        <v>6.1321912245060006E-2</v>
      </c>
      <c r="M39" s="832"/>
      <c r="N39" s="832"/>
      <c r="O39" s="48">
        <f>IF(t&lt;Tnet,'2027'!Resal+('2027'!Salim-'2027'!Resal)*(1-EXP(('2027'!Tnet-t)/('2027'!Tau_j))),Resal+(Salim-Resal)*(1-EXP((Tnet-t)/(Tau_j))))*Salcycl</f>
        <v>3.1361858577676406E-2</v>
      </c>
      <c r="P39" s="169">
        <f>(INDEX(Models!$BJ39:$BT39,,T39)*(1-R39)+INDEX(Models!$BJ39:$BT39,,T39+1)*R39-ERP_i)*Q39*Ramure*Pc/MaxiM</f>
        <v>9.6123775567523405E-3</v>
      </c>
      <c r="Q39" s="304">
        <f t="shared" si="4"/>
        <v>0.7</v>
      </c>
      <c r="R39" s="177">
        <f t="shared" si="5"/>
        <v>0.57988205687226546</v>
      </c>
      <c r="S39" s="799">
        <f t="shared" si="6"/>
        <v>-1</v>
      </c>
      <c r="T39" s="176">
        <f t="shared" si="7"/>
        <v>5</v>
      </c>
      <c r="U39" s="250">
        <f t="shared" si="8"/>
        <v>-0.42011794312773454</v>
      </c>
      <c r="V39" s="382">
        <f t="shared" si="9"/>
        <v>30.008222631256707</v>
      </c>
      <c r="W39" s="400">
        <f t="shared" si="10"/>
        <v>27.451149762218023</v>
      </c>
      <c r="X39" s="157">
        <f t="shared" si="11"/>
        <v>46777</v>
      </c>
      <c r="Y39" s="383">
        <f t="shared" si="12"/>
        <v>25.050879403214864</v>
      </c>
      <c r="Z39" s="383">
        <f t="shared" si="22"/>
        <v>26.687401921919456</v>
      </c>
      <c r="AA39" s="384">
        <f t="shared" si="13"/>
        <v>28.66389207326138</v>
      </c>
      <c r="AB39" s="197">
        <f t="shared" si="14"/>
        <v>46777</v>
      </c>
      <c r="AC39" s="119">
        <f>IF(OR(t&lt;Tnet,NoTnet),'2027'!Resal_s+('2027'!Salim-'2027'!Resal_s)*(1-EXP(('2027'!Tnet_s-t)/'2027'!Tau_j)),Resal_s+(Salim-Resal_s)*(1-EXP((Tnet_s-t)/Tau_j)))*Salcycl</f>
        <v>6.8954004790775125E-2</v>
      </c>
      <c r="AD39" s="230">
        <f>(INDEX(Models!$BJ39:$BT39,,AH39)*(1-AF39)+INDEX(Models!$BJ39:$BT39,,AH39+1)*AF39-ERP_i)*AE39*Ramure*Pc/MaxiM</f>
        <v>6.6730403388408618E-2</v>
      </c>
      <c r="AE39" s="304">
        <f t="shared" si="15"/>
        <v>0.7</v>
      </c>
      <c r="AF39" s="177">
        <f t="shared" si="23"/>
        <v>0.33553988771161603</v>
      </c>
      <c r="AG39" s="799">
        <f t="shared" si="24"/>
        <v>2</v>
      </c>
      <c r="AH39" s="176">
        <f t="shared" si="16"/>
        <v>8</v>
      </c>
      <c r="AI39" s="224">
        <f t="shared" si="17"/>
        <v>2.335539887711616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46778</v>
      </c>
      <c r="B40" s="409">
        <f>'2027'!Wh/'2027'!Env_an*'2028'!Env_an</f>
        <v>29.568613187474106</v>
      </c>
      <c r="C40" s="829"/>
      <c r="D40" s="391">
        <f t="shared" si="0"/>
        <v>31.5008736858681</v>
      </c>
      <c r="E40" s="383">
        <f t="shared" si="1"/>
        <v>32.523352443746596</v>
      </c>
      <c r="F40" s="383">
        <f t="shared" si="2"/>
        <v>32.828956717872302</v>
      </c>
      <c r="G40" s="110">
        <f t="shared" si="21"/>
        <v>0.97489689897911846</v>
      </c>
      <c r="H40" s="412" t="b">
        <f>Wh_hp&gt;='2027'!Maxi_hp</f>
        <v>0</v>
      </c>
      <c r="I40" s="388">
        <f>IF(H40,Wh_hp,'2027'!Maxi_hp)</f>
        <v>32.835013320516431</v>
      </c>
      <c r="J40" s="85">
        <f>IF(H40,An,'2027'!An_max)</f>
        <v>2027</v>
      </c>
      <c r="K40" s="197">
        <f t="shared" si="3"/>
        <v>46778</v>
      </c>
      <c r="L40" s="147">
        <f>IF(t&lt;Tvie,1-EXP((T0-t)*PertePVj)+'2027'!Pspv,1-EXP((T0-t)*PertePVj)+Pspv)</f>
        <v>6.1339901796464869E-2</v>
      </c>
      <c r="M40" s="832"/>
      <c r="N40" s="832"/>
      <c r="O40" s="48">
        <f>IF(t&lt;Tnet,'2027'!Resal+('2027'!Salim-'2027'!Resal)*(1-EXP(('2027'!Tnet-t)/('2027'!Tau_j))),Resal+(Salim-Resal)*(1-EXP((Tnet-t)/(Tau_j))))*Salcycl</f>
        <v>3.1438295287885956E-2</v>
      </c>
      <c r="P40" s="169">
        <f>(INDEX(Models!$BJ40:$BT40,,T40)*(1-R40)+INDEX(Models!$BJ40:$BT40,,T40+1)*R40-ERP_i)*Q40*Ramure*Pc/MaxiM</f>
        <v>9.6504310593383217E-3</v>
      </c>
      <c r="Q40" s="304">
        <f t="shared" si="4"/>
        <v>0.7</v>
      </c>
      <c r="R40" s="177">
        <f t="shared" si="5"/>
        <v>0.57994442488217957</v>
      </c>
      <c r="S40" s="799">
        <f t="shared" si="6"/>
        <v>-1</v>
      </c>
      <c r="T40" s="176">
        <f t="shared" si="7"/>
        <v>5</v>
      </c>
      <c r="U40" s="250">
        <f t="shared" si="8"/>
        <v>-0.42005557511782043</v>
      </c>
      <c r="V40" s="382">
        <f t="shared" si="9"/>
        <v>30.319536632271401</v>
      </c>
      <c r="W40" s="400">
        <f t="shared" si="10"/>
        <v>29.568613187474106</v>
      </c>
      <c r="X40" s="157">
        <f t="shared" si="11"/>
        <v>46778</v>
      </c>
      <c r="Y40" s="383">
        <f t="shared" si="12"/>
        <v>26.873166790694771</v>
      </c>
      <c r="Z40" s="383">
        <f t="shared" si="22"/>
        <v>28.629284276732626</v>
      </c>
      <c r="AA40" s="384">
        <f t="shared" si="13"/>
        <v>30.750651494806529</v>
      </c>
      <c r="AB40" s="197">
        <f t="shared" si="14"/>
        <v>46778</v>
      </c>
      <c r="AC40" s="119">
        <f>IF(OR(t&lt;Tnet,NoTnet),'2027'!Resal_s+('2027'!Salim-'2027'!Resal_s)*(1-EXP(('2027'!Tnet_s-t)/'2027'!Tau_j)),Resal_s+(Salim-Resal_s)*(1-EXP((Tnet_s-t)/Tau_j)))*Salcycl</f>
        <v>6.8986090211200279E-2</v>
      </c>
      <c r="AD40" s="230">
        <f>(INDEX(Models!$BJ40:$BT40,,AH40)*(1-AF40)+INDEX(Models!$BJ40:$BT40,,AH40+1)*AF40-ERP_i)*AE40*Ramure*Pc/MaxiM</f>
        <v>6.5629125550806092E-2</v>
      </c>
      <c r="AE40" s="304">
        <f t="shared" si="15"/>
        <v>0.7</v>
      </c>
      <c r="AF40" s="177">
        <f t="shared" si="23"/>
        <v>0.33560225572153035</v>
      </c>
      <c r="AG40" s="799">
        <f t="shared" si="24"/>
        <v>2</v>
      </c>
      <c r="AH40" s="176">
        <f t="shared" si="16"/>
        <v>8</v>
      </c>
      <c r="AI40" s="224">
        <f t="shared" si="17"/>
        <v>2.3356022557215304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46779</v>
      </c>
      <c r="B41" s="409">
        <f>'2027'!Wh/'2027'!Env_an*'2028'!Env_an</f>
        <v>29.363224945670673</v>
      </c>
      <c r="C41" s="829"/>
      <c r="D41" s="391">
        <f t="shared" si="0"/>
        <v>31.282663183575306</v>
      </c>
      <c r="E41" s="383">
        <f t="shared" si="1"/>
        <v>32.300606815035763</v>
      </c>
      <c r="F41" s="383">
        <f t="shared" si="2"/>
        <v>32.59764290799049</v>
      </c>
      <c r="G41" s="110">
        <f t="shared" si="21"/>
        <v>0.95794694169980821</v>
      </c>
      <c r="H41" s="412" t="b">
        <f>Wh_hp&gt;='2027'!Maxi_hp</f>
        <v>0</v>
      </c>
      <c r="I41" s="388">
        <f>IF(H41,Wh_hp,'2027'!Maxi_hp)</f>
        <v>32.60778593624844</v>
      </c>
      <c r="J41" s="85">
        <f>IF(H41,An,'2027'!An_max)</f>
        <v>2027</v>
      </c>
      <c r="K41" s="197">
        <f t="shared" si="3"/>
        <v>46779</v>
      </c>
      <c r="L41" s="147">
        <f>IF(t&lt;Tvie,1-EXP((T0-t)*PertePVj)+'2027'!Pspv,1-EXP((T0-t)*PertePVj)+Pspv)</f>
        <v>6.1357891003104181E-2</v>
      </c>
      <c r="M41" s="832"/>
      <c r="N41" s="832"/>
      <c r="O41" s="48">
        <f>IF(t&lt;Tnet,'2027'!Resal+('2027'!Salim-'2027'!Resal)*(1-EXP(('2027'!Tnet-t)/('2027'!Tau_j))),Resal+(Salim-Resal)*(1-EXP((Tnet-t)/(Tau_j))))*Salcycl</f>
        <v>3.1514690646202034E-2</v>
      </c>
      <c r="P41" s="169">
        <f>(INDEX(Models!$BJ41:$BT41,,T41)*(1-R41)+INDEX(Models!$BJ41:$BT41,,T41+1)*R41-ERP_i)*Q41*Ramure*Pc/MaxiM</f>
        <v>9.6864289842455483E-3</v>
      </c>
      <c r="Q41" s="304">
        <f t="shared" si="4"/>
        <v>0.7</v>
      </c>
      <c r="R41" s="177">
        <f t="shared" si="5"/>
        <v>0.58000938862763696</v>
      </c>
      <c r="S41" s="799">
        <f t="shared" si="6"/>
        <v>-1</v>
      </c>
      <c r="T41" s="176">
        <f t="shared" si="7"/>
        <v>5</v>
      </c>
      <c r="U41" s="250">
        <f t="shared" si="8"/>
        <v>-0.41999061137236304</v>
      </c>
      <c r="V41" s="382">
        <f t="shared" si="9"/>
        <v>30.634482206245575</v>
      </c>
      <c r="W41" s="400">
        <f t="shared" si="10"/>
        <v>29.363224945670673</v>
      </c>
      <c r="X41" s="157">
        <f t="shared" si="11"/>
        <v>46779</v>
      </c>
      <c r="Y41" s="383">
        <f t="shared" si="12"/>
        <v>26.754436079035177</v>
      </c>
      <c r="Z41" s="383">
        <f t="shared" si="22"/>
        <v>28.503340967333116</v>
      </c>
      <c r="AA41" s="384">
        <f t="shared" si="13"/>
        <v>30.616433492515874</v>
      </c>
      <c r="AB41" s="197">
        <f t="shared" si="14"/>
        <v>46779</v>
      </c>
      <c r="AC41" s="119">
        <f>IF(OR(t&lt;Tnet,NoTnet),'2027'!Resal_s+('2027'!Salim-'2027'!Resal_s)*(1-EXP(('2027'!Tnet_s-t)/'2027'!Tau_j)),Resal_s+(Salim-Resal_s)*(1-EXP((Tnet_s-t)/Tau_j)))*Salcycl</f>
        <v>6.9018245567345371E-2</v>
      </c>
      <c r="AD41" s="230">
        <f>(INDEX(Models!$BJ41:$BT41,,AH41)*(1-AF41)+INDEX(Models!$BJ41:$BT41,,AH41+1)*AF41-ERP_i)*AE41*Ramure*Pc/MaxiM</f>
        <v>6.4607785925996974E-2</v>
      </c>
      <c r="AE41" s="304">
        <f t="shared" si="15"/>
        <v>0.7</v>
      </c>
      <c r="AF41" s="177">
        <f t="shared" si="23"/>
        <v>0.33566721946698763</v>
      </c>
      <c r="AG41" s="799">
        <f t="shared" si="24"/>
        <v>2</v>
      </c>
      <c r="AH41" s="176">
        <f t="shared" si="16"/>
        <v>8</v>
      </c>
      <c r="AI41" s="224">
        <f t="shared" si="17"/>
        <v>2.3356672194669876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46780</v>
      </c>
      <c r="B42" s="409">
        <f>'2027'!Wh/'2027'!Env_an*'2028'!Env_an</f>
        <v>4.0050515948739349</v>
      </c>
      <c r="C42" s="829"/>
      <c r="D42" s="391">
        <f t="shared" si="0"/>
        <v>4.2669387126955902</v>
      </c>
      <c r="E42" s="383">
        <f t="shared" si="1"/>
        <v>4.4061330621486219</v>
      </c>
      <c r="F42" s="383">
        <f t="shared" si="2"/>
        <v>4.4061330621486219</v>
      </c>
      <c r="G42" s="110">
        <f t="shared" si="21"/>
        <v>0.1281362412257363</v>
      </c>
      <c r="H42" s="412" t="b">
        <f>Wh_hp&gt;='2027'!Maxi_hp</f>
        <v>0</v>
      </c>
      <c r="I42" s="388">
        <f>IF(H42,Wh_hp,'2027'!Maxi_hp)</f>
        <v>18.718380052919283</v>
      </c>
      <c r="J42" s="85">
        <f>IF(H42,An,'2027'!An_max)</f>
        <v>2021</v>
      </c>
      <c r="K42" s="197">
        <f t="shared" si="3"/>
        <v>46780</v>
      </c>
      <c r="L42" s="147">
        <f>IF(t&lt;Tvie,1-EXP((T0-t)*PertePVj)+'2027'!Pspv,1-EXP((T0-t)*PertePVj)+Pspv)</f>
        <v>6.1375879864984384E-2</v>
      </c>
      <c r="M42" s="832"/>
      <c r="N42" s="832"/>
      <c r="O42" s="48">
        <f>IF(t&lt;Tnet,'2027'!Resal+('2027'!Salim-'2027'!Resal)*(1-EXP(('2027'!Tnet-t)/('2027'!Tau_j))),Resal+(Salim-Resal)*(1-EXP((Tnet-t)/(Tau_j))))*Salcycl</f>
        <v>3.1591045365560275E-2</v>
      </c>
      <c r="P42" s="169">
        <f>(INDEX(Models!$BJ42:$BT42,,T42)*(1-R42)+INDEX(Models!$BJ42:$BT42,,T42+1)*R42-ERP_i)*Q42*Ramure*Pc/MaxiM</f>
        <v>9.7206495000468386E-3</v>
      </c>
      <c r="Q42" s="304">
        <f t="shared" si="4"/>
        <v>0.7</v>
      </c>
      <c r="R42" s="177">
        <f t="shared" si="5"/>
        <v>0.58007705524031372</v>
      </c>
      <c r="S42" s="799">
        <f t="shared" si="6"/>
        <v>-1</v>
      </c>
      <c r="T42" s="176">
        <f t="shared" si="7"/>
        <v>5</v>
      </c>
      <c r="U42" s="250">
        <f t="shared" si="8"/>
        <v>-0.41992294475968628</v>
      </c>
      <c r="V42" s="382">
        <f t="shared" si="9"/>
        <v>30.952366435530823</v>
      </c>
      <c r="W42" s="400">
        <f t="shared" si="10"/>
        <v>4.0050515948739349</v>
      </c>
      <c r="X42" s="157">
        <f t="shared" si="11"/>
        <v>46780</v>
      </c>
      <c r="Y42" s="383">
        <f t="shared" si="12"/>
        <v>3.8501305421109193</v>
      </c>
      <c r="Z42" s="383">
        <f t="shared" si="22"/>
        <v>4.1018874963037391</v>
      </c>
      <c r="AA42" s="384">
        <f t="shared" si="13"/>
        <v>4.4061330621486219</v>
      </c>
      <c r="AB42" s="197">
        <f t="shared" si="14"/>
        <v>46780</v>
      </c>
      <c r="AC42" s="119">
        <f>IF(OR(t&lt;Tnet,NoTnet),'2027'!Resal_s+('2027'!Salim-'2027'!Resal_s)*(1-EXP(('2027'!Tnet_s-t)/'2027'!Tau_j)),Resal_s+(Salim-Resal_s)*(1-EXP((Tnet_s-t)/Tau_j)))*Salcycl</f>
        <v>6.9050471593456592E-2</v>
      </c>
      <c r="AD42" s="230">
        <f>(INDEX(Models!$BJ42:$BT42,,AH42)*(1-AF42)+INDEX(Models!$BJ42:$BT42,,AH42+1)*AF42-ERP_i)*AE42*Ramure*Pc/MaxiM</f>
        <v>6.3665771909570484E-2</v>
      </c>
      <c r="AE42" s="304">
        <f t="shared" si="15"/>
        <v>0.7</v>
      </c>
      <c r="AF42" s="177">
        <f t="shared" si="23"/>
        <v>0.33573488607966429</v>
      </c>
      <c r="AG42" s="799">
        <f t="shared" si="24"/>
        <v>2</v>
      </c>
      <c r="AH42" s="176">
        <f t="shared" si="16"/>
        <v>8</v>
      </c>
      <c r="AI42" s="224">
        <f t="shared" si="17"/>
        <v>2.3357348860796643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46781</v>
      </c>
      <c r="B43" s="409">
        <f>'2027'!Wh/'2027'!Env_an*'2028'!Env_an</f>
        <v>6.164787830345249</v>
      </c>
      <c r="C43" s="829"/>
      <c r="D43" s="391">
        <f t="shared" si="0"/>
        <v>6.5680242464631284</v>
      </c>
      <c r="E43" s="383">
        <f t="shared" si="1"/>
        <v>6.7828181908811729</v>
      </c>
      <c r="F43" s="383">
        <f t="shared" si="2"/>
        <v>6.7828181908811729</v>
      </c>
      <c r="G43" s="110">
        <f t="shared" si="21"/>
        <v>0.19520860376814422</v>
      </c>
      <c r="H43" s="412" t="b">
        <f>Wh_hp&gt;='2027'!Maxi_hp</f>
        <v>0</v>
      </c>
      <c r="I43" s="388">
        <f>IF(H43,Wh_hp,'2027'!Maxi_hp)</f>
        <v>27.689355662253256</v>
      </c>
      <c r="J43" s="85">
        <f>IF(H43,An,'2027'!An_max)</f>
        <v>2020</v>
      </c>
      <c r="K43" s="197">
        <f t="shared" si="3"/>
        <v>46781</v>
      </c>
      <c r="L43" s="147">
        <f>IF(t&lt;Tvie,1-EXP((T0-t)*PertePVj)+'2027'!Pspv,1-EXP((T0-t)*PertePVj)+Pspv)</f>
        <v>6.1393868382112249E-2</v>
      </c>
      <c r="M43" s="832"/>
      <c r="N43" s="832"/>
      <c r="O43" s="48">
        <f>IF(t&lt;Tnet,'2027'!Resal+('2027'!Salim-'2027'!Resal)*(1-EXP(('2027'!Tnet-t)/('2027'!Tau_j))),Resal+(Salim-Resal)*(1-EXP((Tnet-t)/(Tau_j))))*Salcycl</f>
        <v>3.1667359845618949E-2</v>
      </c>
      <c r="P43" s="169">
        <f>(INDEX(Models!$BJ43:$BT43,,T43)*(1-R43)+INDEX(Models!$BJ43:$BT43,,T43+1)*R43-ERP_i)*Q43*Ramure*Pc/MaxiM</f>
        <v>9.7533639011927933E-3</v>
      </c>
      <c r="Q43" s="304">
        <f t="shared" si="4"/>
        <v>0.7</v>
      </c>
      <c r="R43" s="177">
        <f t="shared" si="5"/>
        <v>0.58014753619654202</v>
      </c>
      <c r="S43" s="799">
        <f t="shared" si="6"/>
        <v>-1</v>
      </c>
      <c r="T43" s="176">
        <f t="shared" si="7"/>
        <v>5</v>
      </c>
      <c r="U43" s="250">
        <f t="shared" si="8"/>
        <v>-0.41985246380345803</v>
      </c>
      <c r="V43" s="382">
        <f t="shared" si="9"/>
        <v>31.272496669834073</v>
      </c>
      <c r="W43" s="400">
        <f t="shared" si="10"/>
        <v>6.164787830345249</v>
      </c>
      <c r="X43" s="157">
        <f t="shared" si="11"/>
        <v>46781</v>
      </c>
      <c r="Y43" s="383">
        <f t="shared" si="12"/>
        <v>5.9265865703899117</v>
      </c>
      <c r="Z43" s="383">
        <f t="shared" si="22"/>
        <v>6.3142423331223894</v>
      </c>
      <c r="AA43" s="384">
        <f t="shared" si="13"/>
        <v>6.7828181908811729</v>
      </c>
      <c r="AB43" s="197">
        <f t="shared" si="14"/>
        <v>46781</v>
      </c>
      <c r="AC43" s="119">
        <f>IF(OR(t&lt;Tnet,NoTnet),'2027'!Resal_s+('2027'!Salim-'2027'!Resal_s)*(1-EXP(('2027'!Tnet_s-t)/'2027'!Tau_j)),Resal_s+(Salim-Resal_s)*(1-EXP((Tnet_s-t)/Tau_j)))*Salcycl</f>
        <v>6.9082768337906691E-2</v>
      </c>
      <c r="AD43" s="230">
        <f>(INDEX(Models!$BJ43:$BT43,,AH43)*(1-AF43)+INDEX(Models!$BJ43:$BT43,,AH43+1)*AF43-ERP_i)*AE43*Ramure*Pc/MaxiM</f>
        <v>6.2802355922066802E-2</v>
      </c>
      <c r="AE43" s="304">
        <f t="shared" si="15"/>
        <v>0.7</v>
      </c>
      <c r="AF43" s="177">
        <f t="shared" si="23"/>
        <v>0.33580536703589248</v>
      </c>
      <c r="AG43" s="799">
        <f t="shared" si="24"/>
        <v>2</v>
      </c>
      <c r="AH43" s="176">
        <f t="shared" si="16"/>
        <v>8</v>
      </c>
      <c r="AI43" s="224">
        <f t="shared" si="17"/>
        <v>2.3358053670358925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46782</v>
      </c>
      <c r="B44" s="409">
        <f>'2027'!Wh/'2027'!Env_an*'2028'!Env_an</f>
        <v>5.5587899299954975</v>
      </c>
      <c r="C44" s="829"/>
      <c r="D44" s="391">
        <f t="shared" si="0"/>
        <v>5.9225017584278055</v>
      </c>
      <c r="E44" s="383">
        <f t="shared" si="1"/>
        <v>6.1166669978445913</v>
      </c>
      <c r="F44" s="383">
        <f t="shared" si="2"/>
        <v>6.1166669978445913</v>
      </c>
      <c r="G44" s="110">
        <f t="shared" si="21"/>
        <v>0.17422189745433947</v>
      </c>
      <c r="H44" s="412" t="b">
        <f>Wh_hp&gt;='2027'!Maxi_hp</f>
        <v>0</v>
      </c>
      <c r="I44" s="388">
        <f>IF(H44,Wh_hp,'2027'!Maxi_hp)</f>
        <v>10.667841852164717</v>
      </c>
      <c r="J44" s="85">
        <f>IF(H44,An,'2027'!An_max)</f>
        <v>2020</v>
      </c>
      <c r="K44" s="197">
        <f t="shared" si="3"/>
        <v>46782</v>
      </c>
      <c r="L44" s="147">
        <f>IF(t&lt;Tvie,1-EXP((T0-t)*PertePVj)+'2027'!Pspv,1-EXP((T0-t)*PertePVj)+Pspv)</f>
        <v>6.1411856554494215E-2</v>
      </c>
      <c r="M44" s="832"/>
      <c r="N44" s="832"/>
      <c r="O44" s="48">
        <f>IF(t&lt;Tnet,'2027'!Resal+('2027'!Salim-'2027'!Resal)*(1-EXP(('2027'!Tnet-t)/('2027'!Tau_j))),Resal+(Salim-Resal)*(1-EXP((Tnet-t)/(Tau_j))))*Salcycl</f>
        <v>3.174363415324169E-2</v>
      </c>
      <c r="P44" s="169">
        <f>(INDEX(Models!$BJ44:$BT44,,T44)*(1-R44)+INDEX(Models!$BJ44:$BT44,,T44+1)*R44-ERP_i)*Q44*Ramure*Pc/MaxiM</f>
        <v>9.7669123169632915E-3</v>
      </c>
      <c r="Q44" s="304">
        <f t="shared" si="4"/>
        <v>0.7</v>
      </c>
      <c r="R44" s="177">
        <f t="shared" si="5"/>
        <v>0.58022094748693676</v>
      </c>
      <c r="S44" s="799">
        <f t="shared" si="6"/>
        <v>-1</v>
      </c>
      <c r="T44" s="176">
        <f t="shared" si="7"/>
        <v>5</v>
      </c>
      <c r="U44" s="250">
        <f t="shared" si="8"/>
        <v>-0.41977905251306324</v>
      </c>
      <c r="V44" s="382">
        <f t="shared" si="9"/>
        <v>31.594752419703418</v>
      </c>
      <c r="W44" s="400">
        <f t="shared" si="10"/>
        <v>5.5587899299954975</v>
      </c>
      <c r="X44" s="157">
        <f t="shared" si="11"/>
        <v>46782</v>
      </c>
      <c r="Y44" s="383">
        <f t="shared" si="12"/>
        <v>5.3442389798429204</v>
      </c>
      <c r="Z44" s="383">
        <f t="shared" si="22"/>
        <v>5.6939127317595455</v>
      </c>
      <c r="AA44" s="384">
        <f t="shared" si="13"/>
        <v>6.1166669978445913</v>
      </c>
      <c r="AB44" s="197">
        <f t="shared" si="14"/>
        <v>46782</v>
      </c>
      <c r="AC44" s="119">
        <f>IF(OR(t&lt;Tnet,NoTnet),'2027'!Resal_s+('2027'!Salim-'2027'!Resal_s)*(1-EXP(('2027'!Tnet_s-t)/'2027'!Tau_j)),Resal_s+(Salim-Resal_s)*(1-EXP((Tnet_s-t)/Tau_j)))*Salcycl</f>
        <v>6.9115135127352359E-2</v>
      </c>
      <c r="AD44" s="230">
        <f>(INDEX(Models!$BJ44:$BT44,,AH44)*(1-AF44)+INDEX(Models!$BJ44:$BT44,,AH44+1)*AF44-ERP_i)*AE44*Ramure*Pc/MaxiM</f>
        <v>6.2024088873307175E-2</v>
      </c>
      <c r="AE44" s="304">
        <f t="shared" si="15"/>
        <v>0.7</v>
      </c>
      <c r="AF44" s="177">
        <f t="shared" si="23"/>
        <v>0.33587877832628754</v>
      </c>
      <c r="AG44" s="799">
        <f t="shared" si="24"/>
        <v>2</v>
      </c>
      <c r="AH44" s="176">
        <f t="shared" si="16"/>
        <v>8</v>
      </c>
      <c r="AI44" s="224">
        <f t="shared" si="17"/>
        <v>2.3358787783262875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46783</v>
      </c>
      <c r="B45" s="409">
        <f>'2027'!Wh/'2027'!Env_an*'2028'!Env_an</f>
        <v>6.9540067495387454</v>
      </c>
      <c r="C45" s="829"/>
      <c r="D45" s="391">
        <f t="shared" si="0"/>
        <v>7.4091496601667517</v>
      </c>
      <c r="E45" s="383">
        <f t="shared" si="1"/>
        <v>7.6526561693944215</v>
      </c>
      <c r="F45" s="383">
        <f t="shared" si="2"/>
        <v>7.6526561693944215</v>
      </c>
      <c r="G45" s="110">
        <f t="shared" si="21"/>
        <v>0.21574114283833384</v>
      </c>
      <c r="H45" s="412" t="b">
        <f>Wh_hp&gt;='2027'!Maxi_hp</f>
        <v>0</v>
      </c>
      <c r="I45" s="388">
        <f>IF(H45,Wh_hp,'2027'!Maxi_hp)</f>
        <v>21.848733659114771</v>
      </c>
      <c r="J45" s="85">
        <f>IF(H45,An,'2027'!An_max)</f>
        <v>2020</v>
      </c>
      <c r="K45" s="197">
        <f t="shared" si="3"/>
        <v>46783</v>
      </c>
      <c r="L45" s="147">
        <f>IF(t&lt;Tvie,1-EXP((T0-t)*PertePVj)+'2027'!Pspv,1-EXP((T0-t)*PertePVj)+Pspv)</f>
        <v>6.1429844382136944E-2</v>
      </c>
      <c r="M45" s="832"/>
      <c r="N45" s="832"/>
      <c r="O45" s="48">
        <f>IF(t&lt;Tnet,'2027'!Resal+('2027'!Salim-'2027'!Resal)*(1-EXP(('2027'!Tnet-t)/('2027'!Tau_j))),Resal+(Salim-Resal)*(1-EXP((Tnet-t)/(Tau_j))))*Salcycl</f>
        <v>3.1819868008905849E-2</v>
      </c>
      <c r="P45" s="169">
        <f>(INDEX(Models!$BJ45:$BT45,,T45)*(1-R45)+INDEX(Models!$BJ45:$BT45,,T45+1)*R45-ERP_i)*Q45*Ramure*Pc/MaxiM</f>
        <v>9.7595070572967721E-3</v>
      </c>
      <c r="Q45" s="304">
        <f t="shared" si="4"/>
        <v>0.7</v>
      </c>
      <c r="R45" s="177">
        <f t="shared" si="5"/>
        <v>0.58029740979208078</v>
      </c>
      <c r="S45" s="799">
        <f t="shared" si="6"/>
        <v>-1</v>
      </c>
      <c r="T45" s="176">
        <f t="shared" si="7"/>
        <v>5</v>
      </c>
      <c r="U45" s="250">
        <f t="shared" si="8"/>
        <v>-0.41970259020791922</v>
      </c>
      <c r="V45" s="382">
        <f t="shared" si="9"/>
        <v>31.918525048095614</v>
      </c>
      <c r="W45" s="400">
        <f t="shared" si="10"/>
        <v>6.9540067495387454</v>
      </c>
      <c r="X45" s="157">
        <f t="shared" si="11"/>
        <v>46783</v>
      </c>
      <c r="Y45" s="383">
        <f t="shared" si="12"/>
        <v>6.6858984845602345</v>
      </c>
      <c r="Z45" s="383">
        <f t="shared" si="22"/>
        <v>7.1234935870711666</v>
      </c>
      <c r="AA45" s="384">
        <f t="shared" si="13"/>
        <v>7.6526561693944215</v>
      </c>
      <c r="AB45" s="197">
        <f t="shared" si="14"/>
        <v>46783</v>
      </c>
      <c r="AC45" s="119">
        <f>IF(OR(t&lt;Tnet,NoTnet),'2027'!Resal_s+('2027'!Salim-'2027'!Resal_s)*(1-EXP(('2027'!Tnet_s-t)/'2027'!Tau_j)),Resal_s+(Salim-Resal_s)*(1-EXP((Tnet_s-t)/Tau_j)))*Salcycl</f>
        <v>6.9147570544140807E-2</v>
      </c>
      <c r="AD45" s="230">
        <f>(INDEX(Models!$BJ45:$BT45,,AH45)*(1-AF45)+INDEX(Models!$BJ45:$BT45,,AH45+1)*AF45-ERP_i)*AE45*Ramure*Pc/MaxiM</f>
        <v>6.1305687631451791E-2</v>
      </c>
      <c r="AE45" s="304">
        <f t="shared" si="15"/>
        <v>0.7</v>
      </c>
      <c r="AF45" s="177">
        <f t="shared" si="23"/>
        <v>0.33595524063143145</v>
      </c>
      <c r="AG45" s="799">
        <f t="shared" si="24"/>
        <v>2</v>
      </c>
      <c r="AH45" s="176">
        <f t="shared" si="16"/>
        <v>8</v>
      </c>
      <c r="AI45" s="224">
        <f t="shared" si="17"/>
        <v>2.3359552406314315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46784</v>
      </c>
      <c r="B46" s="409">
        <f>'2027'!Wh/'2027'!Env_an*'2028'!Env_an</f>
        <v>17.445481488466502</v>
      </c>
      <c r="C46" s="829"/>
      <c r="D46" s="391">
        <f t="shared" si="0"/>
        <v>18.587652429734778</v>
      </c>
      <c r="E46" s="383">
        <f t="shared" si="1"/>
        <v>19.200058667970801</v>
      </c>
      <c r="F46" s="383">
        <f t="shared" si="2"/>
        <v>19.264622703734627</v>
      </c>
      <c r="G46" s="110">
        <f t="shared" si="21"/>
        <v>0.53759665976947435</v>
      </c>
      <c r="H46" s="412" t="b">
        <f>Wh_hp&gt;='2027'!Maxi_hp</f>
        <v>0</v>
      </c>
      <c r="I46" s="388">
        <f>IF(H46,Wh_hp,'2027'!Maxi_hp)</f>
        <v>19.332268609914742</v>
      </c>
      <c r="J46" s="85">
        <f>IF(H46,An,'2027'!An_max)</f>
        <v>2027</v>
      </c>
      <c r="K46" s="197">
        <f t="shared" si="3"/>
        <v>46784</v>
      </c>
      <c r="L46" s="147">
        <f>IF(t&lt;Tvie,1-EXP((T0-t)*PertePVj)+'2027'!Pspv,1-EXP((T0-t)*PertePVj)+Pspv)</f>
        <v>6.1447831865047098E-2</v>
      </c>
      <c r="M46" s="832"/>
      <c r="N46" s="832"/>
      <c r="O46" s="48">
        <f>IF(t&lt;Tnet,'2027'!Resal+('2027'!Salim-'2027'!Resal)*(1-EXP(('2027'!Tnet-t)/('2027'!Tau_j))),Resal+(Salim-Resal)*(1-EXP((Tnet-t)/(Tau_j))))*Salcycl</f>
        <v>3.1896060779107366E-2</v>
      </c>
      <c r="P46" s="169">
        <f>(INDEX(Models!$BJ46:$BT46,,T46)*(1-R46)+INDEX(Models!$BJ46:$BT46,,T46+1)*R46-ERP_i)*Q46*Ramure*Pc/MaxiM</f>
        <v>9.7319993466515094E-3</v>
      </c>
      <c r="Q46" s="304">
        <f t="shared" si="4"/>
        <v>0.7</v>
      </c>
      <c r="R46" s="177">
        <f t="shared" si="5"/>
        <v>0.58037704866443318</v>
      </c>
      <c r="S46" s="799">
        <f t="shared" si="6"/>
        <v>-1</v>
      </c>
      <c r="T46" s="176">
        <f t="shared" si="7"/>
        <v>5</v>
      </c>
      <c r="U46" s="250">
        <f t="shared" si="8"/>
        <v>-0.41962295133556682</v>
      </c>
      <c r="V46" s="382">
        <f t="shared" si="9"/>
        <v>32.243122722245289</v>
      </c>
      <c r="W46" s="400">
        <f t="shared" si="10"/>
        <v>17.445481488466502</v>
      </c>
      <c r="X46" s="157">
        <f t="shared" si="11"/>
        <v>46784</v>
      </c>
      <c r="Y46" s="383">
        <f t="shared" si="12"/>
        <v>16.478522815212781</v>
      </c>
      <c r="Z46" s="383">
        <f t="shared" si="22"/>
        <v>17.557386125864621</v>
      </c>
      <c r="AA46" s="384">
        <f t="shared" si="13"/>
        <v>18.862280023864127</v>
      </c>
      <c r="AB46" s="197">
        <f t="shared" si="14"/>
        <v>46784</v>
      </c>
      <c r="AC46" s="119">
        <f>IF(OR(t&lt;Tnet,NoTnet),'2027'!Resal_s+('2027'!Salim-'2027'!Resal_s)*(1-EXP(('2027'!Tnet_s-t)/'2027'!Tau_j)),Resal_s+(Salim-Resal_s)*(1-EXP((Tnet_s-t)/Tau_j)))*Salcycl</f>
        <v>6.9180072416939117E-2</v>
      </c>
      <c r="AD46" s="230">
        <f>(INDEX(Models!$BJ46:$BT46,,AH46)*(1-AF46)+INDEX(Models!$BJ46:$BT46,,AH46+1)*AF46-ERP_i)*AE46*Ramure*Pc/MaxiM</f>
        <v>6.0646746308625911E-2</v>
      </c>
      <c r="AE46" s="304">
        <f t="shared" si="15"/>
        <v>0.7</v>
      </c>
      <c r="AF46" s="177">
        <f t="shared" si="23"/>
        <v>0.33603487950378375</v>
      </c>
      <c r="AG46" s="799">
        <f t="shared" si="24"/>
        <v>2</v>
      </c>
      <c r="AH46" s="176">
        <f t="shared" si="16"/>
        <v>8</v>
      </c>
      <c r="AI46" s="224">
        <f t="shared" si="17"/>
        <v>2.3360348795037837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46785</v>
      </c>
      <c r="B47" s="409">
        <f>'2027'!Wh/'2027'!Env_an*'2028'!Env_an</f>
        <v>6.4037276643007868</v>
      </c>
      <c r="C47" s="829"/>
      <c r="D47" s="391">
        <f t="shared" si="0"/>
        <v>6.8231160824635264</v>
      </c>
      <c r="E47" s="383">
        <f t="shared" si="1"/>
        <v>7.0484712973564481</v>
      </c>
      <c r="F47" s="383">
        <f t="shared" si="2"/>
        <v>7.0484712973564481</v>
      </c>
      <c r="G47" s="110">
        <f t="shared" si="21"/>
        <v>0.19472287813354763</v>
      </c>
      <c r="H47" s="412" t="b">
        <f>Wh_hp&gt;='2027'!Maxi_hp</f>
        <v>0</v>
      </c>
      <c r="I47" s="388">
        <f>IF(H47,Wh_hp,'2027'!Maxi_hp)</f>
        <v>33.054204591173026</v>
      </c>
      <c r="J47" s="85">
        <f>IF(H47,An,'2027'!An_max)</f>
        <v>2021</v>
      </c>
      <c r="K47" s="197">
        <f t="shared" si="3"/>
        <v>46785</v>
      </c>
      <c r="L47" s="147">
        <f>IF(t&lt;Tvie,1-EXP((T0-t)*PertePVj)+'2027'!Pspv,1-EXP((T0-t)*PertePVj)+Pspv)</f>
        <v>6.1465819003231337E-2</v>
      </c>
      <c r="M47" s="832"/>
      <c r="N47" s="832"/>
      <c r="O47" s="48">
        <f>IF(t&lt;Tnet,'2027'!Resal+('2027'!Salim-'2027'!Resal)*(1-EXP(('2027'!Tnet-t)/('2027'!Tau_j))),Resal+(Salim-Resal)*(1-EXP((Tnet-t)/(Tau_j))))*Salcycl</f>
        <v>3.1972211474769231E-2</v>
      </c>
      <c r="P47" s="169">
        <f>(INDEX(Models!$BJ47:$BT47,,T47)*(1-R47)+INDEX(Models!$BJ47:$BT47,,T47+1)*R47-ERP_i)*Q47*Ramure*Pc/MaxiM</f>
        <v>9.6852057135668277E-3</v>
      </c>
      <c r="Q47" s="304">
        <f t="shared" si="4"/>
        <v>0.7</v>
      </c>
      <c r="R47" s="177">
        <f t="shared" si="5"/>
        <v>0.58045999471662912</v>
      </c>
      <c r="S47" s="799">
        <f t="shared" si="6"/>
        <v>-1</v>
      </c>
      <c r="T47" s="176">
        <f t="shared" si="7"/>
        <v>5</v>
      </c>
      <c r="U47" s="250">
        <f t="shared" si="8"/>
        <v>-0.41954000528337093</v>
      </c>
      <c r="V47" s="382">
        <f t="shared" si="9"/>
        <v>32.567853892283857</v>
      </c>
      <c r="W47" s="400">
        <f t="shared" si="10"/>
        <v>6.4037276643007868</v>
      </c>
      <c r="X47" s="157">
        <f t="shared" si="11"/>
        <v>46785</v>
      </c>
      <c r="Y47" s="383">
        <f t="shared" si="12"/>
        <v>6.157373632657805</v>
      </c>
      <c r="Z47" s="383">
        <f t="shared" si="22"/>
        <v>6.5606280062366791</v>
      </c>
      <c r="AA47" s="384">
        <f t="shared" si="13"/>
        <v>7.0484712973564481</v>
      </c>
      <c r="AB47" s="197">
        <f t="shared" si="14"/>
        <v>46785</v>
      </c>
      <c r="AC47" s="119">
        <f>IF(OR(t&lt;Tnet,NoTnet),'2027'!Resal_s+('2027'!Salim-'2027'!Resal_s)*(1-EXP(('2027'!Tnet_s-t)/'2027'!Tau_j)),Resal_s+(Salim-Resal_s)*(1-EXP((Tnet_s-t)/Tau_j)))*Salcycl</f>
        <v>6.9212637824422496E-2</v>
      </c>
      <c r="AD47" s="230">
        <f>(INDEX(Models!$BJ47:$BT47,,AH47)*(1-AF47)+INDEX(Models!$BJ47:$BT47,,AH47+1)*AF47-ERP_i)*AE47*Ramure*Pc/MaxiM</f>
        <v>6.0046810113420925E-2</v>
      </c>
      <c r="AE47" s="304">
        <f t="shared" si="15"/>
        <v>0.7</v>
      </c>
      <c r="AF47" s="177">
        <f t="shared" si="23"/>
        <v>0.3361178255559798</v>
      </c>
      <c r="AG47" s="799">
        <f t="shared" si="24"/>
        <v>2</v>
      </c>
      <c r="AH47" s="176">
        <f t="shared" si="16"/>
        <v>8</v>
      </c>
      <c r="AI47" s="224">
        <f t="shared" si="17"/>
        <v>2.3361178255559798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46786</v>
      </c>
      <c r="B48" s="409">
        <f>'2027'!Wh/'2027'!Env_an*'2028'!Env_an</f>
        <v>15.127828071137934</v>
      </c>
      <c r="C48" s="829"/>
      <c r="D48" s="391">
        <f t="shared" si="0"/>
        <v>16.118878038092653</v>
      </c>
      <c r="E48" s="383">
        <f t="shared" si="1"/>
        <v>16.652564741010782</v>
      </c>
      <c r="F48" s="383">
        <f t="shared" si="2"/>
        <v>16.689244180199996</v>
      </c>
      <c r="G48" s="110">
        <f t="shared" si="21"/>
        <v>0.45650273008169284</v>
      </c>
      <c r="H48" s="412" t="b">
        <f>Wh_hp&gt;='2027'!Maxi_hp</f>
        <v>0</v>
      </c>
      <c r="I48" s="388">
        <f>IF(H48,Wh_hp,'2027'!Maxi_hp)</f>
        <v>27.412753039742405</v>
      </c>
      <c r="J48" s="85">
        <f>IF(H48,An,'2027'!An_max)</f>
        <v>2020</v>
      </c>
      <c r="K48" s="197">
        <f t="shared" si="3"/>
        <v>46786</v>
      </c>
      <c r="L48" s="147">
        <f>IF(t&lt;Tvie,1-EXP((T0-t)*PertePVj)+'2027'!Pspv,1-EXP((T0-t)*PertePVj)+Pspv)</f>
        <v>6.14838057966961E-2</v>
      </c>
      <c r="M48" s="832"/>
      <c r="N48" s="832"/>
      <c r="O48" s="48">
        <f>IF(t&lt;Tnet,'2027'!Resal+('2027'!Salim-'2027'!Resal)*(1-EXP(('2027'!Tnet-t)/('2027'!Tau_j))),Resal+(Salim-Resal)*(1-EXP((Tnet-t)/(Tau_j))))*Salcycl</f>
        <v>3.2048318755597029E-2</v>
      </c>
      <c r="P48" s="169">
        <f>(INDEX(Models!$BJ48:$BT48,,T48)*(1-R48)+INDEX(Models!$BJ48:$BT48,,T48+1)*R48-ERP_i)*Q48*Ramure*Pc/MaxiM</f>
        <v>9.6199054077500384E-3</v>
      </c>
      <c r="Q48" s="304">
        <f t="shared" si="4"/>
        <v>0.7</v>
      </c>
      <c r="R48" s="177">
        <f t="shared" si="5"/>
        <v>0.58054638381633539</v>
      </c>
      <c r="S48" s="799">
        <f t="shared" si="6"/>
        <v>-1</v>
      </c>
      <c r="T48" s="176">
        <f t="shared" si="7"/>
        <v>5</v>
      </c>
      <c r="U48" s="250">
        <f t="shared" si="8"/>
        <v>-0.41945361618366456</v>
      </c>
      <c r="V48" s="382">
        <f t="shared" si="9"/>
        <v>32.892027298158439</v>
      </c>
      <c r="W48" s="400">
        <f t="shared" si="10"/>
        <v>15.127828071137934</v>
      </c>
      <c r="X48" s="157">
        <f t="shared" si="11"/>
        <v>46786</v>
      </c>
      <c r="Y48" s="383">
        <f t="shared" si="12"/>
        <v>14.380337065818221</v>
      </c>
      <c r="Z48" s="383">
        <f t="shared" si="22"/>
        <v>15.32241761478131</v>
      </c>
      <c r="AA48" s="384">
        <f t="shared" si="13"/>
        <v>16.4623579204202</v>
      </c>
      <c r="AB48" s="197">
        <f t="shared" si="14"/>
        <v>46786</v>
      </c>
      <c r="AC48" s="119">
        <f>IF(OR(t&lt;Tnet,NoTnet),'2027'!Resal_s+('2027'!Salim-'2027'!Resal_s)*(1-EXP(('2027'!Tnet_s-t)/'2027'!Tau_j)),Resal_s+(Salim-Resal_s)*(1-EXP((Tnet_s-t)/Tau_j)))*Salcycl</f>
        <v>6.9245263111725172E-2</v>
      </c>
      <c r="AD48" s="230">
        <f>(INDEX(Models!$BJ48:$BT48,,AH48)*(1-AF48)+INDEX(Models!$BJ48:$BT48,,AH48+1)*AF48-ERP_i)*AE48*Ramure*Pc/MaxiM</f>
        <v>5.9505390639715605E-2</v>
      </c>
      <c r="AE48" s="304">
        <f t="shared" si="15"/>
        <v>0.7</v>
      </c>
      <c r="AF48" s="177">
        <f t="shared" si="23"/>
        <v>0.33620421465568606</v>
      </c>
      <c r="AG48" s="799">
        <f t="shared" si="24"/>
        <v>2</v>
      </c>
      <c r="AH48" s="176">
        <f t="shared" si="16"/>
        <v>8</v>
      </c>
      <c r="AI48" s="224">
        <f t="shared" si="17"/>
        <v>2.3362042146556861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46787</v>
      </c>
      <c r="B49" s="409">
        <f>'2027'!Wh/'2027'!Env_an*'2028'!Env_an</f>
        <v>13.663215632208614</v>
      </c>
      <c r="C49" s="829"/>
      <c r="D49" s="391">
        <f t="shared" si="0"/>
        <v>14.558595338076545</v>
      </c>
      <c r="E49" s="383">
        <f t="shared" si="1"/>
        <v>15.041803979130918</v>
      </c>
      <c r="F49" s="383">
        <f t="shared" si="2"/>
        <v>15.064659161731432</v>
      </c>
      <c r="G49" s="110">
        <f t="shared" si="21"/>
        <v>0.40805340523297928</v>
      </c>
      <c r="H49" s="412" t="b">
        <f>Wh_hp&gt;='2027'!Maxi_hp</f>
        <v>0</v>
      </c>
      <c r="I49" s="388">
        <f>IF(H49,Wh_hp,'2027'!Maxi_hp)</f>
        <v>16.754733277342279</v>
      </c>
      <c r="J49" s="85">
        <f>IF(H49,An,'2027'!An_max)</f>
        <v>2020</v>
      </c>
      <c r="K49" s="197">
        <f t="shared" si="3"/>
        <v>46787</v>
      </c>
      <c r="L49" s="147">
        <f>IF(t&lt;Tvie,1-EXP((T0-t)*PertePVj)+'2027'!Pspv,1-EXP((T0-t)*PertePVj)+Pspv)</f>
        <v>6.150179224544805E-2</v>
      </c>
      <c r="M49" s="832"/>
      <c r="N49" s="832"/>
      <c r="O49" s="48">
        <f>IF(t&lt;Tnet,'2027'!Resal+('2027'!Salim-'2027'!Resal)*(1-EXP(('2027'!Tnet-t)/('2027'!Tau_j))),Resal+(Salim-Resal)*(1-EXP((Tnet-t)/(Tau_j))))*Salcycl</f>
        <v>3.2124380940263521E-2</v>
      </c>
      <c r="P49" s="169">
        <f>(INDEX(Models!$BJ49:$BT49,,T49)*(1-R49)+INDEX(Models!$BJ49:$BT49,,T49+1)*R49-ERP_i)*Q49*Ramure*Pc/MaxiM</f>
        <v>9.5368383126039052E-3</v>
      </c>
      <c r="Q49" s="304">
        <f t="shared" si="4"/>
        <v>0.7</v>
      </c>
      <c r="R49" s="177">
        <f t="shared" si="5"/>
        <v>0.58063635728782814</v>
      </c>
      <c r="S49" s="799">
        <f t="shared" si="6"/>
        <v>-1</v>
      </c>
      <c r="T49" s="176">
        <f t="shared" si="7"/>
        <v>5</v>
      </c>
      <c r="U49" s="250">
        <f t="shared" si="8"/>
        <v>-0.4193636427121718</v>
      </c>
      <c r="V49" s="382">
        <f t="shared" si="9"/>
        <v>33.214951977026438</v>
      </c>
      <c r="W49" s="400">
        <f t="shared" si="10"/>
        <v>13.663215632208614</v>
      </c>
      <c r="X49" s="157">
        <f t="shared" si="11"/>
        <v>46787</v>
      </c>
      <c r="Y49" s="383">
        <f t="shared" si="12"/>
        <v>13.035141918686046</v>
      </c>
      <c r="Z49" s="383">
        <f t="shared" si="22"/>
        <v>13.889362612501827</v>
      </c>
      <c r="AA49" s="384">
        <f t="shared" si="13"/>
        <v>14.923212060740592</v>
      </c>
      <c r="AB49" s="197">
        <f t="shared" si="14"/>
        <v>46787</v>
      </c>
      <c r="AC49" s="119">
        <f>IF(OR(t&lt;Tnet,NoTnet),'2027'!Resal_s+('2027'!Salim-'2027'!Resal_s)*(1-EXP(('2027'!Tnet_s-t)/'2027'!Tau_j)),Resal_s+(Salim-Resal_s)*(1-EXP((Tnet_s-t)/Tau_j)))*Salcycl</f>
        <v>6.9277943919230159E-2</v>
      </c>
      <c r="AD49" s="230">
        <f>(INDEX(Models!$BJ49:$BT49,,AH49)*(1-AF49)+INDEX(Models!$BJ49:$BT49,,AH49+1)*AF49-ERP_i)*AE49*Ramure*Pc/MaxiM</f>
        <v>5.9021980069669695E-2</v>
      </c>
      <c r="AE49" s="304">
        <f t="shared" si="15"/>
        <v>0.7</v>
      </c>
      <c r="AF49" s="177">
        <f t="shared" si="23"/>
        <v>0.33629418812717882</v>
      </c>
      <c r="AG49" s="799">
        <f t="shared" si="24"/>
        <v>2</v>
      </c>
      <c r="AH49" s="176">
        <f t="shared" si="16"/>
        <v>8</v>
      </c>
      <c r="AI49" s="224">
        <f t="shared" si="17"/>
        <v>2.3362941881271788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46788</v>
      </c>
      <c r="B50" s="409">
        <f>'2027'!Wh/'2027'!Env_an*'2028'!Env_an</f>
        <v>10.036187991349163</v>
      </c>
      <c r="C50" s="829"/>
      <c r="D50" s="391">
        <f t="shared" si="0"/>
        <v>10.694085778066274</v>
      </c>
      <c r="E50" s="383">
        <f t="shared" si="1"/>
        <v>11.049896832063675</v>
      </c>
      <c r="F50" s="383">
        <f t="shared" si="2"/>
        <v>11.049896832063675</v>
      </c>
      <c r="G50" s="110">
        <f t="shared" si="21"/>
        <v>0.2964425709473823</v>
      </c>
      <c r="H50" s="412" t="b">
        <f>Wh_hp&gt;='2027'!Maxi_hp</f>
        <v>0</v>
      </c>
      <c r="I50" s="388">
        <f>IF(H50,Wh_hp,'2027'!Maxi_hp)</f>
        <v>35.887391837973411</v>
      </c>
      <c r="J50" s="85">
        <f>IF(H50,An,'2027'!An_max)</f>
        <v>2020</v>
      </c>
      <c r="K50" s="197">
        <f t="shared" si="3"/>
        <v>46788</v>
      </c>
      <c r="L50" s="147">
        <f>IF(t&lt;Tvie,1-EXP((T0-t)*PertePVj)+'2027'!Pspv,1-EXP((T0-t)*PertePVj)+Pspv)</f>
        <v>6.1519778349493737E-2</v>
      </c>
      <c r="M50" s="832"/>
      <c r="N50" s="832"/>
      <c r="O50" s="48">
        <f>IF(t&lt;Tnet,'2027'!Resal+('2027'!Salim-'2027'!Resal)*(1-EXP(('2027'!Tnet-t)/('2027'!Tau_j))),Resal+(Salim-Resal)*(1-EXP((Tnet-t)/(Tau_j))))*Salcycl</f>
        <v>3.2200396022245018E-2</v>
      </c>
      <c r="P50" s="169">
        <f>(INDEX(Models!$BJ50:$BT50,,T50)*(1-R50)+INDEX(Models!$BJ50:$BT50,,T50+1)*R50-ERP_i)*Q50*Ramure*Pc/MaxiM</f>
        <v>9.4367032906180048E-3</v>
      </c>
      <c r="Q50" s="304">
        <f t="shared" si="4"/>
        <v>0.7</v>
      </c>
      <c r="R50" s="177">
        <f t="shared" si="5"/>
        <v>0.58073006212045297</v>
      </c>
      <c r="S50" s="799">
        <f t="shared" si="6"/>
        <v>-1</v>
      </c>
      <c r="T50" s="176">
        <f t="shared" si="7"/>
        <v>5</v>
      </c>
      <c r="U50" s="250">
        <f t="shared" si="8"/>
        <v>-0.41926993787954708</v>
      </c>
      <c r="V50" s="382">
        <f t="shared" si="9"/>
        <v>33.53593726884295</v>
      </c>
      <c r="W50" s="400">
        <f t="shared" si="10"/>
        <v>10.036187991349163</v>
      </c>
      <c r="X50" s="157">
        <f t="shared" si="11"/>
        <v>46788</v>
      </c>
      <c r="Y50" s="383">
        <f t="shared" si="12"/>
        <v>9.6513503277037191</v>
      </c>
      <c r="Z50" s="383">
        <f t="shared" si="22"/>
        <v>10.284021021487142</v>
      </c>
      <c r="AA50" s="384">
        <f t="shared" si="13"/>
        <v>11.049896832063675</v>
      </c>
      <c r="AB50" s="197">
        <f t="shared" si="14"/>
        <v>46788</v>
      </c>
      <c r="AC50" s="119">
        <f>IF(OR(t&lt;Tnet,NoTnet),'2027'!Resal_s+('2027'!Salim-'2027'!Resal_s)*(1-EXP(('2027'!Tnet_s-t)/'2027'!Tau_j)),Resal_s+(Salim-Resal_s)*(1-EXP((Tnet_s-t)/Tau_j)))*Salcycl</f>
        <v>6.9310675223154969E-2</v>
      </c>
      <c r="AD50" s="230">
        <f>(INDEX(Models!$BJ50:$BT50,,AH50)*(1-AF50)+INDEX(Models!$BJ50:$BT50,,AH50+1)*AF50-ERP_i)*AE50*Ramure*Pc/MaxiM</f>
        <v>5.8596064356121323E-2</v>
      </c>
      <c r="AE50" s="304">
        <f t="shared" si="15"/>
        <v>0.7</v>
      </c>
      <c r="AF50" s="177">
        <f t="shared" si="23"/>
        <v>0.33638789295980365</v>
      </c>
      <c r="AG50" s="799">
        <f t="shared" si="24"/>
        <v>2</v>
      </c>
      <c r="AH50" s="176">
        <f t="shared" si="16"/>
        <v>8</v>
      </c>
      <c r="AI50" s="224">
        <f t="shared" si="17"/>
        <v>2.3363878929598036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46789</v>
      </c>
      <c r="B51" s="409">
        <f>'2027'!Wh/'2027'!Env_an*'2028'!Env_an</f>
        <v>26.416424360179924</v>
      </c>
      <c r="C51" s="829"/>
      <c r="D51" s="391">
        <f t="shared" si="0"/>
        <v>28.14862798937774</v>
      </c>
      <c r="E51" s="383">
        <f t="shared" si="1"/>
        <v>29.087465548084406</v>
      </c>
      <c r="F51" s="383">
        <f t="shared" si="2"/>
        <v>29.274646722944112</v>
      </c>
      <c r="G51" s="110">
        <f t="shared" si="21"/>
        <v>0.77795544900837488</v>
      </c>
      <c r="H51" s="412" t="b">
        <f>Wh_hp&gt;='2027'!Maxi_hp</f>
        <v>0</v>
      </c>
      <c r="I51" s="388">
        <f>IF(H51,Wh_hp,'2027'!Maxi_hp)</f>
        <v>39.205696557026307</v>
      </c>
      <c r="J51" s="85">
        <f>IF(H51,An,'2027'!An_max)</f>
        <v>2020</v>
      </c>
      <c r="K51" s="197">
        <f t="shared" si="3"/>
        <v>46789</v>
      </c>
      <c r="L51" s="147">
        <f>IF(t&lt;Tvie,1-EXP((T0-t)*PertePVj)+'2027'!Pspv,1-EXP((T0-t)*PertePVj)+Pspv)</f>
        <v>6.1537764108839932E-2</v>
      </c>
      <c r="M51" s="832"/>
      <c r="N51" s="832"/>
      <c r="O51" s="48">
        <f>IF(t&lt;Tnet,'2027'!Resal+('2027'!Salim-'2027'!Resal)*(1-EXP(('2027'!Tnet-t)/('2027'!Tau_j))),Resal+(Salim-Resal)*(1-EXP((Tnet-t)/(Tau_j))))*Salcycl</f>
        <v>3.2276361691075353E-2</v>
      </c>
      <c r="P51" s="169">
        <f>(INDEX(Models!$BJ51:$BT51,,T51)*(1-R51)+INDEX(Models!$BJ51:$BT51,,T51+1)*R51-ERP_i)*Q51*Ramure*Pc/MaxiM</f>
        <v>9.3196275534068555E-3</v>
      </c>
      <c r="Q51" s="304">
        <f t="shared" si="4"/>
        <v>0.7</v>
      </c>
      <c r="R51" s="177">
        <f t="shared" si="5"/>
        <v>0.58082765118412816</v>
      </c>
      <c r="S51" s="799">
        <f t="shared" si="6"/>
        <v>-1</v>
      </c>
      <c r="T51" s="176">
        <f t="shared" si="7"/>
        <v>5</v>
      </c>
      <c r="U51" s="250">
        <f t="shared" si="8"/>
        <v>-0.41917234881587179</v>
      </c>
      <c r="V51" s="382">
        <f t="shared" si="9"/>
        <v>33.856233807802631</v>
      </c>
      <c r="W51" s="400">
        <f t="shared" si="10"/>
        <v>26.416424360179924</v>
      </c>
      <c r="X51" s="157">
        <f t="shared" si="11"/>
        <v>46789</v>
      </c>
      <c r="Y51" s="383">
        <f t="shared" si="12"/>
        <v>24.546726717730976</v>
      </c>
      <c r="Z51" s="383">
        <f t="shared" si="22"/>
        <v>26.156328703436319</v>
      </c>
      <c r="AA51" s="384">
        <f t="shared" si="13"/>
        <v>28.105243274144577</v>
      </c>
      <c r="AB51" s="197">
        <f t="shared" si="14"/>
        <v>46789</v>
      </c>
      <c r="AC51" s="119">
        <f>IF(OR(t&lt;Tnet,NoTnet),'2027'!Resal_s+('2027'!Salim-'2027'!Resal_s)*(1-EXP(('2027'!Tnet_s-t)/'2027'!Tau_j)),Resal_s+(Salim-Resal_s)*(1-EXP((Tnet_s-t)/Tau_j)))*Salcycl</f>
        <v>6.9343451387277738E-2</v>
      </c>
      <c r="AD51" s="230">
        <f>(INDEX(Models!$BJ51:$BT51,,AH51)*(1-AF51)+INDEX(Models!$BJ51:$BT51,,AH51+1)*AF51-ERP_i)*AE51*Ramure*Pc/MaxiM</f>
        <v>5.8223828387922547E-2</v>
      </c>
      <c r="AE51" s="304">
        <f t="shared" si="15"/>
        <v>0.7</v>
      </c>
      <c r="AF51" s="177">
        <f t="shared" si="23"/>
        <v>0.33648548202347905</v>
      </c>
      <c r="AG51" s="799">
        <f t="shared" si="24"/>
        <v>2</v>
      </c>
      <c r="AH51" s="176">
        <f t="shared" si="16"/>
        <v>8</v>
      </c>
      <c r="AI51" s="224">
        <f t="shared" si="17"/>
        <v>2.3364854820234791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46790</v>
      </c>
      <c r="B52" s="409">
        <f>'2027'!Wh/'2027'!Env_an*'2028'!Env_an</f>
        <v>11.928517665079026</v>
      </c>
      <c r="C52" s="829"/>
      <c r="D52" s="391">
        <f t="shared" si="0"/>
        <v>12.710949701084717</v>
      </c>
      <c r="E52" s="383">
        <f t="shared" si="1"/>
        <v>13.135926822746345</v>
      </c>
      <c r="F52" s="383">
        <f t="shared" si="2"/>
        <v>13.144365629780863</v>
      </c>
      <c r="G52" s="110">
        <f t="shared" si="21"/>
        <v>0.34603303390531615</v>
      </c>
      <c r="H52" s="412" t="b">
        <f>Wh_hp&gt;='2027'!Maxi_hp</f>
        <v>0</v>
      </c>
      <c r="I52" s="388">
        <f>IF(H52,Wh_hp,'2027'!Maxi_hp)</f>
        <v>26.902092201697947</v>
      </c>
      <c r="J52" s="85">
        <f>IF(H52,An,'2027'!An_max)</f>
        <v>2020</v>
      </c>
      <c r="K52" s="197">
        <f t="shared" si="3"/>
        <v>46790</v>
      </c>
      <c r="L52" s="147">
        <f>IF(t&lt;Tvie,1-EXP((T0-t)*PertePVj)+'2027'!Pspv,1-EXP((T0-t)*PertePVj)+Pspv)</f>
        <v>6.1555749523493186E-2</v>
      </c>
      <c r="M52" s="832"/>
      <c r="N52" s="832"/>
      <c r="O52" s="48">
        <f>IF(t&lt;Tnet,'2027'!Resal+('2027'!Salim-'2027'!Resal)*(1-EXP(('2027'!Tnet-t)/('2027'!Tau_j))),Resal+(Salim-Resal)*(1-EXP((Tnet-t)/(Tau_j))))*Salcycl</f>
        <v>3.2352275358730836E-2</v>
      </c>
      <c r="P52" s="169">
        <f>(INDEX(Models!$BJ52:$BT52,,T52)*(1-R52)+INDEX(Models!$BJ52:$BT52,,T52+1)*R52-ERP_i)*Q52*Ramure*Pc/MaxiM</f>
        <v>9.1694811821830102E-3</v>
      </c>
      <c r="Q52" s="304">
        <f t="shared" si="4"/>
        <v>0.7</v>
      </c>
      <c r="R52" s="177">
        <f t="shared" si="5"/>
        <v>0.58092928345204942</v>
      </c>
      <c r="S52" s="799">
        <f t="shared" si="6"/>
        <v>-1</v>
      </c>
      <c r="T52" s="176">
        <f t="shared" si="7"/>
        <v>5</v>
      </c>
      <c r="U52" s="250">
        <f t="shared" si="8"/>
        <v>-0.41907071654795058</v>
      </c>
      <c r="V52" s="382">
        <f t="shared" si="9"/>
        <v>34.17804389155377</v>
      </c>
      <c r="W52" s="400">
        <f t="shared" si="10"/>
        <v>11.928517665079026</v>
      </c>
      <c r="X52" s="157">
        <f t="shared" si="11"/>
        <v>46790</v>
      </c>
      <c r="Y52" s="383">
        <f t="shared" si="12"/>
        <v>11.432990652361308</v>
      </c>
      <c r="Z52" s="383">
        <f t="shared" si="22"/>
        <v>12.182919386586965</v>
      </c>
      <c r="AA52" s="384">
        <f t="shared" si="13"/>
        <v>13.091133338248895</v>
      </c>
      <c r="AB52" s="197">
        <f t="shared" si="14"/>
        <v>46790</v>
      </c>
      <c r="AC52" s="119">
        <f>IF(OR(t&lt;Tnet,NoTnet),'2027'!Resal_s+('2027'!Salim-'2027'!Resal_s)*(1-EXP(('2027'!Tnet_s-t)/'2027'!Tau_j)),Resal_s+(Salim-Resal_s)*(1-EXP((Tnet_s-t)/Tau_j)))*Salcycl</f>
        <v>6.9376266225045918E-2</v>
      </c>
      <c r="AD52" s="230">
        <f>(INDEX(Models!$BJ52:$BT52,,AH52)*(1-AF52)+INDEX(Models!$BJ52:$BT52,,AH52+1)*AF52-ERP_i)*AE52*Ramure*Pc/MaxiM</f>
        <v>5.7841409750261148E-2</v>
      </c>
      <c r="AE52" s="304">
        <f t="shared" si="15"/>
        <v>0.7</v>
      </c>
      <c r="AF52" s="177">
        <f t="shared" si="23"/>
        <v>0.33658711429140009</v>
      </c>
      <c r="AG52" s="799">
        <f t="shared" si="24"/>
        <v>2</v>
      </c>
      <c r="AH52" s="176">
        <f t="shared" si="16"/>
        <v>8</v>
      </c>
      <c r="AI52" s="224">
        <f t="shared" si="17"/>
        <v>2.3365871142914001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46791</v>
      </c>
      <c r="B53" s="409">
        <f>'2027'!Wh/'2027'!Env_an*'2028'!Env_an</f>
        <v>34.333945302852726</v>
      </c>
      <c r="C53" s="829"/>
      <c r="D53" s="391">
        <f t="shared" si="0"/>
        <v>36.586726702474337</v>
      </c>
      <c r="E53" s="383">
        <f t="shared" si="1"/>
        <v>37.812929452921288</v>
      </c>
      <c r="F53" s="383">
        <f t="shared" si="2"/>
        <v>38.153542481175137</v>
      </c>
      <c r="G53" s="110">
        <f t="shared" si="21"/>
        <v>0.99509019751553862</v>
      </c>
      <c r="H53" s="412" t="b">
        <f>Wh_hp&gt;='2027'!Maxi_hp</f>
        <v>0</v>
      </c>
      <c r="I53" s="388">
        <f>IF(H53,Wh_hp,'2027'!Maxi_hp)</f>
        <v>38.154891922053508</v>
      </c>
      <c r="J53" s="85">
        <f>IF(H53,An,'2027'!An_max)</f>
        <v>2027</v>
      </c>
      <c r="K53" s="197">
        <f t="shared" si="3"/>
        <v>46791</v>
      </c>
      <c r="L53" s="147">
        <f>IF(t&lt;Tvie,1-EXP((T0-t)*PertePVj)+'2027'!Pspv,1-EXP((T0-t)*PertePVj)+Pspv)</f>
        <v>6.157373459346005E-2</v>
      </c>
      <c r="M53" s="832"/>
      <c r="N53" s="832"/>
      <c r="O53" s="48">
        <f>IF(t&lt;Tnet,'2027'!Resal+('2027'!Salim-'2027'!Resal)*(1-EXP(('2027'!Tnet-t)/('2027'!Tau_j))),Resal+(Salim-Resal)*(1-EXP((Tnet-t)/(Tau_j))))*Salcycl</f>
        <v>3.2428134190809664E-2</v>
      </c>
      <c r="P53" s="169">
        <f>(INDEX(Models!$BJ53:$BT53,,T53)*(1-R53)+INDEX(Models!$BJ53:$BT53,,T53+1)*R53-ERP_i)*Q53*Ramure*Pc/MaxiM</f>
        <v>8.9896795523128799E-3</v>
      </c>
      <c r="Q53" s="304">
        <f t="shared" si="4"/>
        <v>0.7</v>
      </c>
      <c r="R53" s="177">
        <f t="shared" si="5"/>
        <v>0.58103512423074233</v>
      </c>
      <c r="S53" s="799">
        <f t="shared" si="6"/>
        <v>-1</v>
      </c>
      <c r="T53" s="176">
        <f t="shared" si="7"/>
        <v>5</v>
      </c>
      <c r="U53" s="250">
        <f t="shared" si="8"/>
        <v>-0.41896487576925762</v>
      </c>
      <c r="V53" s="382">
        <f t="shared" si="9"/>
        <v>34.501182723799346</v>
      </c>
      <c r="W53" s="400">
        <f t="shared" si="10"/>
        <v>34.333945302852726</v>
      </c>
      <c r="X53" s="157">
        <f t="shared" si="11"/>
        <v>46791</v>
      </c>
      <c r="Y53" s="383">
        <f t="shared" si="12"/>
        <v>31.419421947834007</v>
      </c>
      <c r="Z53" s="383">
        <f t="shared" si="22"/>
        <v>33.480970328790463</v>
      </c>
      <c r="AA53" s="384">
        <f t="shared" si="13"/>
        <v>35.978184182833836</v>
      </c>
      <c r="AB53" s="197">
        <f t="shared" si="14"/>
        <v>46791</v>
      </c>
      <c r="AC53" s="119">
        <f>IF(OR(t&lt;Tnet,NoTnet),'2027'!Resal_s+('2027'!Salim-'2027'!Resal_s)*(1-EXP(('2027'!Tnet_s-t)/'2027'!Tau_j)),Resal_s+(Salim-Resal_s)*(1-EXP((Tnet_s-t)/Tau_j)))*Salcycl</f>
        <v>6.9409113071216694E-2</v>
      </c>
      <c r="AD53" s="230">
        <f>(INDEX(Models!$BJ53:$BT53,,AH53)*(1-AF53)+INDEX(Models!$BJ53:$BT53,,AH53+1)*AF53-ERP_i)*AE53*Ramure*Pc/MaxiM</f>
        <v>5.7413464522497591E-2</v>
      </c>
      <c r="AE53" s="304">
        <f t="shared" si="15"/>
        <v>0.7</v>
      </c>
      <c r="AF53" s="177">
        <f t="shared" si="23"/>
        <v>0.336692955070093</v>
      </c>
      <c r="AG53" s="799">
        <f t="shared" si="24"/>
        <v>2</v>
      </c>
      <c r="AH53" s="176">
        <f t="shared" si="16"/>
        <v>8</v>
      </c>
      <c r="AI53" s="224">
        <f t="shared" si="17"/>
        <v>2.336692955070093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46792</v>
      </c>
      <c r="B54" s="409">
        <f>'2027'!Wh/'2027'!Env_an*'2028'!Env_an</f>
        <v>34.960014878417361</v>
      </c>
      <c r="C54" s="829"/>
      <c r="D54" s="391">
        <f t="shared" si="0"/>
        <v>37.254589071867059</v>
      </c>
      <c r="E54" s="383">
        <f t="shared" si="1"/>
        <v>38.506191833803221</v>
      </c>
      <c r="F54" s="383">
        <f t="shared" si="2"/>
        <v>38.847312619802175</v>
      </c>
      <c r="G54" s="110">
        <f t="shared" si="21"/>
        <v>1.0038610536611314</v>
      </c>
      <c r="H54" s="412" t="b">
        <f>Wh_hp&gt;='2027'!Maxi_hp</f>
        <v>1</v>
      </c>
      <c r="I54" s="388">
        <f>IF(H54,Wh_hp,'2027'!Maxi_hp)</f>
        <v>38.847312619802175</v>
      </c>
      <c r="J54" s="85">
        <f>IF(H54,An,'2027'!An_max)</f>
        <v>2028</v>
      </c>
      <c r="K54" s="197">
        <f t="shared" si="3"/>
        <v>46792</v>
      </c>
      <c r="L54" s="147">
        <f>IF(t&lt;Tvie,1-EXP((T0-t)*PertePVj)+'2027'!Pspv,1-EXP((T0-t)*PertePVj)+Pspv)</f>
        <v>6.1591719318747074E-2</v>
      </c>
      <c r="M54" s="832"/>
      <c r="N54" s="832"/>
      <c r="O54" s="48">
        <f>IF(t&lt;Tnet,'2027'!Resal+('2027'!Salim-'2027'!Resal)*(1-EXP(('2027'!Tnet-t)/('2027'!Tau_j))),Resal+(Salim-Resal)*(1-EXP((Tnet-t)/(Tau_j))))*Salcycl</f>
        <v>3.2503935142124928E-2</v>
      </c>
      <c r="P54" s="169">
        <f>(INDEX(Models!$BJ54:$BT54,,T54)*(1-R54)+INDEX(Models!$BJ54:$BT54,,T54+1)*R54-ERP_i)*Q54*Ramure*Pc/MaxiM</f>
        <v>8.7810652267633592E-3</v>
      </c>
      <c r="Q54" s="304">
        <f t="shared" si="4"/>
        <v>0.7</v>
      </c>
      <c r="R54" s="177">
        <f t="shared" si="5"/>
        <v>0.58114534539761531</v>
      </c>
      <c r="S54" s="799">
        <f t="shared" si="6"/>
        <v>-1</v>
      </c>
      <c r="T54" s="176">
        <f t="shared" si="7"/>
        <v>5</v>
      </c>
      <c r="U54" s="250">
        <f t="shared" si="8"/>
        <v>-0.41885465460238469</v>
      </c>
      <c r="V54" s="382">
        <f t="shared" si="9"/>
        <v>34.825551555084679</v>
      </c>
      <c r="W54" s="400">
        <f t="shared" si="10"/>
        <v>34.960014878417361</v>
      </c>
      <c r="X54" s="157">
        <f t="shared" si="11"/>
        <v>46792</v>
      </c>
      <c r="Y54" s="383">
        <f t="shared" si="12"/>
        <v>31.991522617044712</v>
      </c>
      <c r="Z54" s="383">
        <f t="shared" si="22"/>
        <v>34.091262061136057</v>
      </c>
      <c r="AA54" s="384">
        <f t="shared" si="13"/>
        <v>36.635289263597308</v>
      </c>
      <c r="AB54" s="197">
        <f t="shared" si="14"/>
        <v>46792</v>
      </c>
      <c r="AC54" s="119">
        <f>IF(OR(t&lt;Tnet,NoTnet),'2027'!Resal_s+('2027'!Salim-'2027'!Resal_s)*(1-EXP(('2027'!Tnet_s-t)/'2027'!Tau_j)),Resal_s+(Salim-Resal_s)*(1-EXP((Tnet_s-t)/Tau_j)))*Salcycl</f>
        <v>6.9441984862096531E-2</v>
      </c>
      <c r="AD54" s="230">
        <f>(INDEX(Models!$BJ54:$BT54,,AH54)*(1-AF54)+INDEX(Models!$BJ54:$BT54,,AH54+1)*AF54-ERP_i)*AE54*Ramure*Pc/MaxiM</f>
        <v>5.6941476952444364E-2</v>
      </c>
      <c r="AE54" s="304">
        <f t="shared" si="15"/>
        <v>0.7</v>
      </c>
      <c r="AF54" s="177">
        <f t="shared" si="23"/>
        <v>0.3368031762369661</v>
      </c>
      <c r="AG54" s="799">
        <f t="shared" si="24"/>
        <v>2</v>
      </c>
      <c r="AH54" s="176">
        <f t="shared" si="16"/>
        <v>8</v>
      </c>
      <c r="AI54" s="224">
        <f t="shared" si="17"/>
        <v>2.3368031762369661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46793</v>
      </c>
      <c r="B55" s="409">
        <f>'2027'!Wh/'2027'!Env_an*'2028'!Env_an</f>
        <v>32.97681725013571</v>
      </c>
      <c r="C55" s="829"/>
      <c r="D55" s="391">
        <f t="shared" si="0"/>
        <v>35.141899250384711</v>
      </c>
      <c r="E55" s="383">
        <f t="shared" si="1"/>
        <v>36.325367931720841</v>
      </c>
      <c r="F55" s="383">
        <f t="shared" si="2"/>
        <v>36.610543358835947</v>
      </c>
      <c r="G55" s="110">
        <f t="shared" si="21"/>
        <v>0.93743208921771337</v>
      </c>
      <c r="H55" s="412" t="b">
        <f>Wh_hp&gt;='2027'!Maxi_hp</f>
        <v>0</v>
      </c>
      <c r="I55" s="388">
        <f>IF(H55,Wh_hp,'2027'!Maxi_hp)</f>
        <v>36.626386442442097</v>
      </c>
      <c r="J55" s="85">
        <f>IF(H55,An,'2027'!An_max)</f>
        <v>2027</v>
      </c>
      <c r="K55" s="197">
        <f t="shared" si="3"/>
        <v>46793</v>
      </c>
      <c r="L55" s="147">
        <f>IF(t&lt;Tvie,1-EXP((T0-t)*PertePVj)+'2027'!Pspv,1-EXP((T0-t)*PertePVj)+Pspv)</f>
        <v>6.1609703699361029E-2</v>
      </c>
      <c r="M55" s="832"/>
      <c r="N55" s="832"/>
      <c r="O55" s="48">
        <f>IF(t&lt;Tnet,'2027'!Resal+('2027'!Salim-'2027'!Resal)*(1-EXP(('2027'!Tnet-t)/('2027'!Tau_j))),Resal+(Salim-Resal)*(1-EXP((Tnet-t)/(Tau_j))))*Salcycl</f>
        <v>3.2579674996290255E-2</v>
      </c>
      <c r="P55" s="169">
        <f>(INDEX(Models!$BJ55:$BT55,,T55)*(1-R55)+INDEX(Models!$BJ55:$BT55,,T55+1)*R55-ERP_i)*Q55*Ramure*Pc/MaxiM</f>
        <v>8.5444466206768977E-3</v>
      </c>
      <c r="Q55" s="304">
        <f t="shared" si="4"/>
        <v>0.7</v>
      </c>
      <c r="R55" s="177">
        <f t="shared" si="5"/>
        <v>0.58126012564614538</v>
      </c>
      <c r="S55" s="799">
        <f t="shared" si="6"/>
        <v>-1</v>
      </c>
      <c r="T55" s="176">
        <f t="shared" si="7"/>
        <v>5</v>
      </c>
      <c r="U55" s="250">
        <f t="shared" si="8"/>
        <v>-0.41873987435385468</v>
      </c>
      <c r="V55" s="382">
        <f t="shared" si="9"/>
        <v>35.151051758490503</v>
      </c>
      <c r="W55" s="400">
        <f t="shared" si="10"/>
        <v>32.97681725013571</v>
      </c>
      <c r="X55" s="157">
        <f t="shared" si="11"/>
        <v>46793</v>
      </c>
      <c r="Y55" s="383">
        <f t="shared" si="12"/>
        <v>30.323701572667741</v>
      </c>
      <c r="Z55" s="383">
        <f t="shared" si="22"/>
        <v>32.314594142981967</v>
      </c>
      <c r="AA55" s="384">
        <f t="shared" si="13"/>
        <v>34.727266623791543</v>
      </c>
      <c r="AB55" s="197">
        <f t="shared" si="14"/>
        <v>46793</v>
      </c>
      <c r="AC55" s="119">
        <f>IF(OR(t&lt;Tnet,NoTnet),'2027'!Resal_s+('2027'!Salim-'2027'!Resal_s)*(1-EXP(('2027'!Tnet_s-t)/'2027'!Tau_j)),Resal_s+(Salim-Resal_s)*(1-EXP((Tnet_s-t)/Tau_j)))*Salcycl</f>
        <v>6.947487422337642E-2</v>
      </c>
      <c r="AD55" s="230">
        <f>(INDEX(Models!$BJ55:$BT55,,AH55)*(1-AF55)+INDEX(Models!$BJ55:$BT55,,AH55+1)*AF55-ERP_i)*AE55*Ramure*Pc/MaxiM</f>
        <v>5.6426872740526698E-2</v>
      </c>
      <c r="AE55" s="304">
        <f t="shared" si="15"/>
        <v>0.7</v>
      </c>
      <c r="AF55" s="177">
        <f t="shared" si="23"/>
        <v>0.33691795648549583</v>
      </c>
      <c r="AG55" s="799">
        <f t="shared" si="24"/>
        <v>2</v>
      </c>
      <c r="AH55" s="176">
        <f t="shared" si="16"/>
        <v>8</v>
      </c>
      <c r="AI55" s="224">
        <f t="shared" si="17"/>
        <v>2.3369179564854958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46794</v>
      </c>
      <c r="B56" s="409">
        <f>'2027'!Wh/'2027'!Env_an*'2028'!Env_an</f>
        <v>13.832177234096989</v>
      </c>
      <c r="C56" s="829"/>
      <c r="D56" s="391">
        <f t="shared" si="0"/>
        <v>14.740606743515333</v>
      </c>
      <c r="E56" s="383">
        <f t="shared" si="1"/>
        <v>15.238216027498943</v>
      </c>
      <c r="F56" s="383">
        <f t="shared" si="2"/>
        <v>15.254435881306025</v>
      </c>
      <c r="G56" s="110">
        <f t="shared" si="21"/>
        <v>0.38706805755445423</v>
      </c>
      <c r="H56" s="412" t="b">
        <f>Wh_hp&gt;='2027'!Maxi_hp</f>
        <v>0</v>
      </c>
      <c r="I56" s="388">
        <f>IF(H56,Wh_hp,'2027'!Maxi_hp)</f>
        <v>36.404215155133031</v>
      </c>
      <c r="J56" s="85">
        <f>IF(H56,An,'2027'!An_max)</f>
        <v>2021</v>
      </c>
      <c r="K56" s="197">
        <f t="shared" si="3"/>
        <v>46794</v>
      </c>
      <c r="L56" s="147">
        <f>IF(t&lt;Tvie,1-EXP((T0-t)*PertePVj)+'2027'!Pspv,1-EXP((T0-t)*PertePVj)+Pspv)</f>
        <v>6.1627687735308356E-2</v>
      </c>
      <c r="M56" s="832"/>
      <c r="N56" s="832"/>
      <c r="O56" s="48">
        <f>IF(t&lt;Tnet,'2027'!Resal+('2027'!Salim-'2027'!Resal)*(1-EXP(('2027'!Tnet-t)/('2027'!Tau_j))),Resal+(Salim-Resal)*(1-EXP((Tnet-t)/(Tau_j))))*Salcycl</f>
        <v>3.2655350408841995E-2</v>
      </c>
      <c r="P56" s="169">
        <f>(INDEX(Models!$BJ56:$BT56,,T56)*(1-R56)+INDEX(Models!$BJ56:$BT56,,T56+1)*R56-ERP_i)*Q56*Ramure*Pc/MaxiM</f>
        <v>8.2805985008273832E-3</v>
      </c>
      <c r="Q56" s="304">
        <f t="shared" si="4"/>
        <v>0.7</v>
      </c>
      <c r="R56" s="177">
        <f t="shared" si="5"/>
        <v>0.58137965073883424</v>
      </c>
      <c r="S56" s="799">
        <f t="shared" si="6"/>
        <v>-1</v>
      </c>
      <c r="T56" s="176">
        <f t="shared" si="7"/>
        <v>5</v>
      </c>
      <c r="U56" s="250">
        <f t="shared" si="8"/>
        <v>-0.4186203492611657</v>
      </c>
      <c r="V56" s="382">
        <f t="shared" si="9"/>
        <v>35.477584836899915</v>
      </c>
      <c r="W56" s="400">
        <f t="shared" si="10"/>
        <v>13.832177234096989</v>
      </c>
      <c r="X56" s="157">
        <f t="shared" si="11"/>
        <v>46794</v>
      </c>
      <c r="Y56" s="383">
        <f t="shared" si="12"/>
        <v>13.223825955370796</v>
      </c>
      <c r="Z56" s="383">
        <f t="shared" si="22"/>
        <v>14.092301938722038</v>
      </c>
      <c r="AA56" s="384">
        <f t="shared" si="13"/>
        <v>15.144996957907315</v>
      </c>
      <c r="AB56" s="197">
        <f t="shared" si="14"/>
        <v>46794</v>
      </c>
      <c r="AC56" s="119">
        <f>IF(OR(t&lt;Tnet,NoTnet),'2027'!Resal_s+('2027'!Salim-'2027'!Resal_s)*(1-EXP(('2027'!Tnet_s-t)/'2027'!Tau_j)),Resal_s+(Salim-Resal_s)*(1-EXP((Tnet_s-t)/Tau_j)))*Salcycl</f>
        <v>6.9507773564500955E-2</v>
      </c>
      <c r="AD56" s="230">
        <f>(INDEX(Models!$BJ56:$BT56,,AH56)*(1-AF56)+INDEX(Models!$BJ56:$BT56,,AH56+1)*AF56-ERP_i)*AE56*Ramure*Pc/MaxiM</f>
        <v>5.5871020528673217E-2</v>
      </c>
      <c r="AE56" s="304">
        <f t="shared" si="15"/>
        <v>0.7</v>
      </c>
      <c r="AF56" s="177">
        <f t="shared" si="23"/>
        <v>0.33703748157818492</v>
      </c>
      <c r="AG56" s="799">
        <f t="shared" si="24"/>
        <v>2</v>
      </c>
      <c r="AH56" s="176">
        <f t="shared" si="16"/>
        <v>8</v>
      </c>
      <c r="AI56" s="224">
        <f t="shared" si="17"/>
        <v>2.3370374815781849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46795</v>
      </c>
      <c r="B57" s="409">
        <f>'2027'!Wh/'2027'!Env_an*'2028'!Env_an</f>
        <v>26.231581921378872</v>
      </c>
      <c r="C57" s="829"/>
      <c r="D57" s="391">
        <f t="shared" si="0"/>
        <v>27.954879220580978</v>
      </c>
      <c r="E57" s="383">
        <f t="shared" si="1"/>
        <v>28.90083110840899</v>
      </c>
      <c r="F57" s="383">
        <f t="shared" si="2"/>
        <v>29.044258553095098</v>
      </c>
      <c r="G57" s="110">
        <f t="shared" si="21"/>
        <v>0.73037527909141398</v>
      </c>
      <c r="H57" s="412" t="b">
        <f>Wh_hp&gt;='2027'!Maxi_hp</f>
        <v>0</v>
      </c>
      <c r="I57" s="388">
        <f>IF(H57,Wh_hp,'2027'!Maxi_hp)</f>
        <v>29.095519400646392</v>
      </c>
      <c r="J57" s="85">
        <f>IF(H57,An,'2027'!An_max)</f>
        <v>2027</v>
      </c>
      <c r="K57" s="197">
        <f t="shared" si="3"/>
        <v>46795</v>
      </c>
      <c r="L57" s="147">
        <f>IF(t&lt;Tvie,1-EXP((T0-t)*PertePVj)+'2027'!Pspv,1-EXP((T0-t)*PertePVj)+Pspv)</f>
        <v>6.1645671426595827E-2</v>
      </c>
      <c r="M57" s="832"/>
      <c r="N57" s="832"/>
      <c r="O57" s="48">
        <f>IF(t&lt;Tnet,'2027'!Resal+('2027'!Salim-'2027'!Resal)*(1-EXP(('2027'!Tnet-t)/('2027'!Tau_j))),Resal+(Salim-Resal)*(1-EXP((Tnet-t)/(Tau_j))))*Salcycl</f>
        <v>3.2730957953412493E-2</v>
      </c>
      <c r="P57" s="169">
        <f>(INDEX(Models!$BJ57:$BT57,,T57)*(1-R57)+INDEX(Models!$BJ57:$BT57,,T57+1)*R57-ERP_i)*Q57*Ramure*Pc/MaxiM</f>
        <v>7.990262501231974E-3</v>
      </c>
      <c r="Q57" s="304">
        <f t="shared" si="4"/>
        <v>0.7</v>
      </c>
      <c r="R57" s="177">
        <f t="shared" si="5"/>
        <v>0.58150411376805256</v>
      </c>
      <c r="S57" s="799">
        <f t="shared" si="6"/>
        <v>-1</v>
      </c>
      <c r="T57" s="176">
        <f t="shared" si="7"/>
        <v>5</v>
      </c>
      <c r="U57" s="250">
        <f t="shared" si="8"/>
        <v>-0.41849588623194744</v>
      </c>
      <c r="V57" s="382">
        <f t="shared" si="9"/>
        <v>35.805052429511164</v>
      </c>
      <c r="W57" s="400">
        <f t="shared" si="10"/>
        <v>26.231581921378872</v>
      </c>
      <c r="X57" s="157">
        <f t="shared" si="11"/>
        <v>46795</v>
      </c>
      <c r="Y57" s="383">
        <f t="shared" si="12"/>
        <v>24.492262191714932</v>
      </c>
      <c r="Z57" s="383">
        <f t="shared" si="22"/>
        <v>26.101293984491903</v>
      </c>
      <c r="AA57" s="384">
        <f t="shared" si="13"/>
        <v>28.052052667104128</v>
      </c>
      <c r="AB57" s="197">
        <f t="shared" si="14"/>
        <v>46795</v>
      </c>
      <c r="AC57" s="119">
        <f>IF(OR(t&lt;Tnet,NoTnet),'2027'!Resal_s+('2027'!Salim-'2027'!Resal_s)*(1-EXP(('2027'!Tnet_s-t)/'2027'!Tau_j)),Resal_s+(Salim-Resal_s)*(1-EXP((Tnet_s-t)/Tau_j)))*Salcycl</f>
        <v>6.9540675178462921E-2</v>
      </c>
      <c r="AD57" s="230">
        <f>(INDEX(Models!$BJ57:$BT57,,AH57)*(1-AF57)+INDEX(Models!$BJ57:$BT57,,AH57+1)*AF57-ERP_i)*AE57*Ramure*Pc/MaxiM</f>
        <v>5.5275233423321697E-2</v>
      </c>
      <c r="AE57" s="304">
        <f t="shared" si="15"/>
        <v>0.7</v>
      </c>
      <c r="AF57" s="177">
        <f t="shared" si="23"/>
        <v>0.33716194460740345</v>
      </c>
      <c r="AG57" s="799">
        <f t="shared" si="24"/>
        <v>2</v>
      </c>
      <c r="AH57" s="176">
        <f t="shared" si="16"/>
        <v>8</v>
      </c>
      <c r="AI57" s="224">
        <f t="shared" si="17"/>
        <v>2.3371619446074035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46796</v>
      </c>
      <c r="B58" s="409">
        <f>'2027'!Wh/'2027'!Env_an*'2028'!Env_an</f>
        <v>33.196221239322206</v>
      </c>
      <c r="C58" s="829"/>
      <c r="D58" s="391">
        <f t="shared" si="0"/>
        <v>35.377742115807727</v>
      </c>
      <c r="E58" s="383">
        <f t="shared" si="1"/>
        <v>36.577729174747198</v>
      </c>
      <c r="F58" s="383">
        <f t="shared" si="2"/>
        <v>36.827479582429127</v>
      </c>
      <c r="G58" s="110">
        <f t="shared" si="21"/>
        <v>0.91788846004024227</v>
      </c>
      <c r="H58" s="412" t="b">
        <f>Wh_hp&gt;='2027'!Maxi_hp</f>
        <v>0</v>
      </c>
      <c r="I58" s="388">
        <f>IF(H58,Wh_hp,'2027'!Maxi_hp)</f>
        <v>36.846567149422981</v>
      </c>
      <c r="J58" s="85">
        <f>IF(H58,An,'2027'!An_max)</f>
        <v>2027</v>
      </c>
      <c r="K58" s="197">
        <f t="shared" si="3"/>
        <v>46796</v>
      </c>
      <c r="L58" s="147">
        <f>IF(t&lt;Tvie,1-EXP((T0-t)*PertePVj)+'2027'!Pspv,1-EXP((T0-t)*PertePVj)+Pspv)</f>
        <v>6.1663654773229881E-2</v>
      </c>
      <c r="M58" s="832"/>
      <c r="N58" s="832"/>
      <c r="O58" s="48">
        <f>IF(t&lt;Tnet,'2027'!Resal+('2027'!Salim-'2027'!Resal)*(1-EXP(('2027'!Tnet-t)/('2027'!Tau_j))),Resal+(Salim-Resal)*(1-EXP((Tnet-t)/(Tau_j))))*Salcycl</f>
        <v>3.2806494170445295E-2</v>
      </c>
      <c r="P58" s="169">
        <f>(INDEX(Models!$BJ58:$BT58,,T58)*(1-R58)+INDEX(Models!$BJ58:$BT58,,T58+1)*R58-ERP_i)*Q58*Ramure*Pc/MaxiM</f>
        <v>7.6726128488059115E-3</v>
      </c>
      <c r="Q58" s="304">
        <f t="shared" si="4"/>
        <v>0.7</v>
      </c>
      <c r="R58" s="177">
        <f t="shared" si="5"/>
        <v>0.58163371542488385</v>
      </c>
      <c r="S58" s="799">
        <f t="shared" si="6"/>
        <v>-1</v>
      </c>
      <c r="T58" s="176">
        <f t="shared" si="7"/>
        <v>5</v>
      </c>
      <c r="U58" s="250">
        <f t="shared" si="8"/>
        <v>-0.4183662845751161</v>
      </c>
      <c r="V58" s="382">
        <f t="shared" si="9"/>
        <v>36.133412205139948</v>
      </c>
      <c r="W58" s="400">
        <f t="shared" si="10"/>
        <v>33.196221239322206</v>
      </c>
      <c r="X58" s="157">
        <f t="shared" si="11"/>
        <v>46796</v>
      </c>
      <c r="Y58" s="383">
        <f t="shared" si="12"/>
        <v>30.601759373536449</v>
      </c>
      <c r="Z58" s="383">
        <f t="shared" si="22"/>
        <v>32.612782750241699</v>
      </c>
      <c r="AA58" s="384">
        <f t="shared" si="13"/>
        <v>35.051436358505839</v>
      </c>
      <c r="AB58" s="197">
        <f t="shared" si="14"/>
        <v>46796</v>
      </c>
      <c r="AC58" s="119">
        <f>IF(OR(t&lt;Tnet,NoTnet),'2027'!Resal_s+('2027'!Salim-'2027'!Resal_s)*(1-EXP(('2027'!Tnet_s-t)/'2027'!Tau_j)),Resal_s+(Salim-Resal_s)*(1-EXP((Tnet_s-t)/Tau_j)))*Salcycl</f>
        <v>6.9573571345881796E-2</v>
      </c>
      <c r="AD58" s="230">
        <f>(INDEX(Models!$BJ58:$BT58,,AH58)*(1-AF58)+INDEX(Models!$BJ58:$BT58,,AH58+1)*AF58-ERP_i)*AE58*Ramure*Pc/MaxiM</f>
        <v>5.4562041305106293E-2</v>
      </c>
      <c r="AE58" s="304">
        <f t="shared" si="15"/>
        <v>0.7</v>
      </c>
      <c r="AF58" s="177">
        <f t="shared" si="23"/>
        <v>0.33729154626423474</v>
      </c>
      <c r="AG58" s="799">
        <f t="shared" si="24"/>
        <v>2</v>
      </c>
      <c r="AH58" s="176">
        <f t="shared" si="16"/>
        <v>8</v>
      </c>
      <c r="AI58" s="224">
        <f t="shared" si="17"/>
        <v>2.3372915462642347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46797</v>
      </c>
      <c r="B59" s="409">
        <f>'2027'!Wh/'2027'!Env_an*'2028'!Env_an</f>
        <v>15.804649885476678</v>
      </c>
      <c r="C59" s="829"/>
      <c r="D59" s="391">
        <f t="shared" si="0"/>
        <v>16.843590109441479</v>
      </c>
      <c r="E59" s="383">
        <f t="shared" si="1"/>
        <v>17.416271164915987</v>
      </c>
      <c r="F59" s="383">
        <f t="shared" si="2"/>
        <v>17.440690337321978</v>
      </c>
      <c r="G59" s="110">
        <f t="shared" si="21"/>
        <v>0.43087545510241726</v>
      </c>
      <c r="H59" s="412" t="b">
        <f>Wh_hp&gt;='2027'!Maxi_hp</f>
        <v>0</v>
      </c>
      <c r="I59" s="388">
        <f>IF(H59,Wh_hp,'2027'!Maxi_hp)</f>
        <v>33.094825571206165</v>
      </c>
      <c r="J59" s="85">
        <f>IF(H59,An,'2027'!An_max)</f>
        <v>2021</v>
      </c>
      <c r="K59" s="197">
        <f t="shared" si="3"/>
        <v>46797</v>
      </c>
      <c r="L59" s="147">
        <f>IF(t&lt;Tvie,1-EXP((T0-t)*PertePVj)+'2027'!Pspv,1-EXP((T0-t)*PertePVj)+Pspv)</f>
        <v>6.1681637775217291E-2</v>
      </c>
      <c r="M59" s="832"/>
      <c r="N59" s="832"/>
      <c r="O59" s="48">
        <f>IF(t&lt;Tnet,'2027'!Resal+('2027'!Salim-'2027'!Resal)*(1-EXP(('2027'!Tnet-t)/('2027'!Tau_j))),Resal+(Salim-Resal)*(1-EXP((Tnet-t)/(Tau_j))))*Salcycl</f>
        <v>3.2881955617924639E-2</v>
      </c>
      <c r="P59" s="169">
        <f>(INDEX(Models!$BJ59:$BT59,,T59)*(1-R59)+INDEX(Models!$BJ59:$BT59,,T59+1)*R59-ERP_i)*Q59*Ramure*Pc/MaxiM</f>
        <v>7.3439381789152883E-3</v>
      </c>
      <c r="Q59" s="304">
        <f t="shared" si="4"/>
        <v>0.7</v>
      </c>
      <c r="R59" s="177">
        <f t="shared" si="5"/>
        <v>0.58176866427606932</v>
      </c>
      <c r="S59" s="799">
        <f t="shared" si="6"/>
        <v>-1</v>
      </c>
      <c r="T59" s="176">
        <f t="shared" si="7"/>
        <v>5</v>
      </c>
      <c r="U59" s="250">
        <f t="shared" si="8"/>
        <v>-0.41823133572393073</v>
      </c>
      <c r="V59" s="382">
        <f t="shared" si="9"/>
        <v>36.461994120283322</v>
      </c>
      <c r="W59" s="400">
        <f t="shared" si="10"/>
        <v>15.804649885476678</v>
      </c>
      <c r="X59" s="157">
        <f t="shared" si="11"/>
        <v>46797</v>
      </c>
      <c r="Y59" s="383">
        <f t="shared" si="12"/>
        <v>15.069852787771413</v>
      </c>
      <c r="Z59" s="383">
        <f t="shared" si="22"/>
        <v>16.060490121967039</v>
      </c>
      <c r="AA59" s="384">
        <f t="shared" si="13"/>
        <v>17.262039487105771</v>
      </c>
      <c r="AB59" s="197">
        <f t="shared" si="14"/>
        <v>46797</v>
      </c>
      <c r="AC59" s="119">
        <f>IF(OR(t&lt;Tnet,NoTnet),'2027'!Resal_s+('2027'!Salim-'2027'!Resal_s)*(1-EXP(('2027'!Tnet_s-t)/'2027'!Tau_j)),Resal_s+(Salim-Resal_s)*(1-EXP((Tnet_s-t)/Tau_j)))*Salcycl</f>
        <v>6.9606454442202578E-2</v>
      </c>
      <c r="AD59" s="230">
        <f>(INDEX(Models!$BJ59:$BT59,,AH59)*(1-AF59)+INDEX(Models!$BJ59:$BT59,,AH59+1)*AF59-ERP_i)*AE59*Ramure*Pc/MaxiM</f>
        <v>5.3728307322838953E-2</v>
      </c>
      <c r="AE59" s="304">
        <f t="shared" si="15"/>
        <v>0.7</v>
      </c>
      <c r="AF59" s="177">
        <f t="shared" si="23"/>
        <v>0.33742649511542</v>
      </c>
      <c r="AG59" s="799">
        <f t="shared" si="24"/>
        <v>2</v>
      </c>
      <c r="AH59" s="176">
        <f t="shared" si="16"/>
        <v>8</v>
      </c>
      <c r="AI59" s="224">
        <f t="shared" si="17"/>
        <v>2.33742649511542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46798</v>
      </c>
      <c r="B60" s="409">
        <f>'2027'!Wh/'2027'!Env_an*'2028'!Env_an</f>
        <v>20.884020384070809</v>
      </c>
      <c r="C60" s="829"/>
      <c r="D60" s="391">
        <f t="shared" si="0"/>
        <v>22.257286513833151</v>
      </c>
      <c r="E60" s="383">
        <f t="shared" si="1"/>
        <v>23.01582692231846</v>
      </c>
      <c r="F60" s="383">
        <f t="shared" si="2"/>
        <v>23.077632728235116</v>
      </c>
      <c r="G60" s="110">
        <f t="shared" si="21"/>
        <v>0.56518158102449656</v>
      </c>
      <c r="H60" s="412" t="b">
        <f>Wh_hp&gt;='2027'!Maxi_hp</f>
        <v>0</v>
      </c>
      <c r="I60" s="388">
        <f>IF(H60,Wh_hp,'2027'!Maxi_hp)</f>
        <v>40.783875694870723</v>
      </c>
      <c r="J60" s="85">
        <f>IF(H60,An,'2027'!An_max)</f>
        <v>2020</v>
      </c>
      <c r="K60" s="197">
        <f t="shared" si="3"/>
        <v>46798</v>
      </c>
      <c r="L60" s="147">
        <f>IF(t&lt;Tvie,1-EXP((T0-t)*PertePVj)+'2027'!Pspv,1-EXP((T0-t)*PertePVj)+Pspv)</f>
        <v>6.1699620432564495E-2</v>
      </c>
      <c r="M60" s="832"/>
      <c r="N60" s="832"/>
      <c r="O60" s="48">
        <f>IF(t&lt;Tnet,'2027'!Resal+('2027'!Salim-'2027'!Resal)*(1-EXP(('2027'!Tnet-t)/('2027'!Tau_j))),Resal+(Salim-Resal)*(1-EXP((Tnet-t)/(Tau_j))))*Salcycl</f>
        <v>3.2957338923580083E-2</v>
      </c>
      <c r="P60" s="169">
        <f>(INDEX(Models!$BJ60:$BT60,,T60)*(1-R60)+INDEX(Models!$BJ60:$BT60,,T60+1)*R60-ERP_i)*Q60*Ramure*Pc/MaxiM</f>
        <v>7.0045225447524879E-3</v>
      </c>
      <c r="Q60" s="304">
        <f t="shared" si="4"/>
        <v>0.7</v>
      </c>
      <c r="R60" s="177">
        <f t="shared" si="5"/>
        <v>0.58190917704913359</v>
      </c>
      <c r="S60" s="799">
        <f t="shared" si="6"/>
        <v>-1</v>
      </c>
      <c r="T60" s="176">
        <f t="shared" si="7"/>
        <v>5</v>
      </c>
      <c r="U60" s="250">
        <f t="shared" si="8"/>
        <v>-0.41809082295086636</v>
      </c>
      <c r="V60" s="382">
        <f t="shared" si="9"/>
        <v>36.790700200803926</v>
      </c>
      <c r="W60" s="400">
        <f t="shared" si="10"/>
        <v>20.884020384070809</v>
      </c>
      <c r="X60" s="157">
        <f t="shared" si="11"/>
        <v>46798</v>
      </c>
      <c r="Y60" s="383">
        <f t="shared" si="12"/>
        <v>19.739270138402528</v>
      </c>
      <c r="Z60" s="383">
        <f t="shared" si="22"/>
        <v>21.037261167369984</v>
      </c>
      <c r="AA60" s="384">
        <f t="shared" si="13"/>
        <v>22.611941317848252</v>
      </c>
      <c r="AB60" s="197">
        <f t="shared" si="14"/>
        <v>46798</v>
      </c>
      <c r="AC60" s="119">
        <f>IF(OR(t&lt;Tnet,NoTnet),'2027'!Resal_s+('2027'!Salim-'2027'!Resal_s)*(1-EXP(('2027'!Tnet_s-t)/'2027'!Tau_j)),Resal_s+(Salim-Resal_s)*(1-EXP((Tnet_s-t)/Tau_j)))*Salcycl</f>
        <v>6.963931704684416E-2</v>
      </c>
      <c r="AD60" s="230">
        <f>(INDEX(Models!$BJ60:$BT60,,AH60)*(1-AF60)+INDEX(Models!$BJ60:$BT60,,AH60+1)*AF60-ERP_i)*AE60*Ramure*Pc/MaxiM</f>
        <v>5.2777339192874279E-2</v>
      </c>
      <c r="AE60" s="304">
        <f t="shared" si="15"/>
        <v>0.7</v>
      </c>
      <c r="AF60" s="177">
        <f t="shared" si="23"/>
        <v>0.33756700788848448</v>
      </c>
      <c r="AG60" s="799">
        <f t="shared" si="24"/>
        <v>2</v>
      </c>
      <c r="AH60" s="176">
        <f t="shared" si="16"/>
        <v>8</v>
      </c>
      <c r="AI60" s="224">
        <f t="shared" si="17"/>
        <v>2.3375670078884845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46799</v>
      </c>
      <c r="B61" s="409">
        <f>'2027'!Wh/'2027'!Env_an*'2028'!Env_an</f>
        <v>8.9152692468595856</v>
      </c>
      <c r="C61" s="829"/>
      <c r="D61" s="391">
        <f t="shared" si="0"/>
        <v>9.5016908267109876</v>
      </c>
      <c r="E61" s="383">
        <f t="shared" si="1"/>
        <v>9.8262787638929261</v>
      </c>
      <c r="F61" s="383">
        <f t="shared" si="2"/>
        <v>9.8262787638929261</v>
      </c>
      <c r="G61" s="110">
        <f t="shared" si="21"/>
        <v>0.23857965428594372</v>
      </c>
      <c r="H61" s="412" t="b">
        <f>Wh_hp&gt;='2027'!Maxi_hp</f>
        <v>0</v>
      </c>
      <c r="I61" s="388">
        <f>IF(H61,Wh_hp,'2027'!Maxi_hp)</f>
        <v>34.426764095706375</v>
      </c>
      <c r="J61" s="85">
        <f>IF(H61,An,'2027'!An_max)</f>
        <v>2021</v>
      </c>
      <c r="K61" s="197">
        <f t="shared" si="3"/>
        <v>46799</v>
      </c>
      <c r="L61" s="147">
        <f>IF(t&lt;Tvie,1-EXP((T0-t)*PertePVj)+'2027'!Pspv,1-EXP((T0-t)*PertePVj)+Pspv)</f>
        <v>6.1717602745278155E-2</v>
      </c>
      <c r="M61" s="832"/>
      <c r="N61" s="832"/>
      <c r="O61" s="48">
        <f>IF(t&lt;Tnet,'2027'!Resal+('2027'!Salim-'2027'!Resal)*(1-EXP(('2027'!Tnet-t)/('2027'!Tau_j))),Resal+(Salim-Resal)*(1-EXP((Tnet-t)/(Tau_j))))*Salcycl</f>
        <v>3.3032640838019996E-2</v>
      </c>
      <c r="P61" s="169">
        <f>(INDEX(Models!$BJ61:$BT61,,T61)*(1-R61)+INDEX(Models!$BJ61:$BT61,,T61+1)*R61-ERP_i)*Q61*Ramure*Pc/MaxiM</f>
        <v>6.654633561948336E-3</v>
      </c>
      <c r="Q61" s="304">
        <f t="shared" si="4"/>
        <v>0.7</v>
      </c>
      <c r="R61" s="177">
        <f t="shared" si="5"/>
        <v>0.58205547892576415</v>
      </c>
      <c r="S61" s="799">
        <f t="shared" si="6"/>
        <v>-1</v>
      </c>
      <c r="T61" s="176">
        <f t="shared" si="7"/>
        <v>5</v>
      </c>
      <c r="U61" s="250">
        <f t="shared" si="8"/>
        <v>-0.41794452107423591</v>
      </c>
      <c r="V61" s="382">
        <f t="shared" si="9"/>
        <v>37.119432599653116</v>
      </c>
      <c r="W61" s="400">
        <f t="shared" si="10"/>
        <v>8.9152692468595856</v>
      </c>
      <c r="X61" s="157">
        <f t="shared" si="11"/>
        <v>46799</v>
      </c>
      <c r="Y61" s="383">
        <f t="shared" si="12"/>
        <v>8.5774593875494194</v>
      </c>
      <c r="Z61" s="383">
        <f t="shared" si="22"/>
        <v>9.1416607757385417</v>
      </c>
      <c r="AA61" s="384">
        <f t="shared" si="13"/>
        <v>9.8262787638929261</v>
      </c>
      <c r="AB61" s="197">
        <f t="shared" si="14"/>
        <v>46799</v>
      </c>
      <c r="AC61" s="119">
        <f>IF(OR(t&lt;Tnet,NoTnet),'2027'!Resal_s+('2027'!Salim-'2027'!Resal_s)*(1-EXP(('2027'!Tnet_s-t)/'2027'!Tau_j)),Resal_s+(Salim-Resal_s)*(1-EXP((Tnet_s-t)/Tau_j)))*Salcycl</f>
        <v>6.9672152053129502E-2</v>
      </c>
      <c r="AD61" s="230">
        <f>(INDEX(Models!$BJ61:$BT61,,AH61)*(1-AF61)+INDEX(Models!$BJ61:$BT61,,AH61+1)*AF61-ERP_i)*AE61*Ramure*Pc/MaxiM</f>
        <v>5.1712308709465894E-2</v>
      </c>
      <c r="AE61" s="304">
        <f t="shared" si="15"/>
        <v>0.7</v>
      </c>
      <c r="AF61" s="177">
        <f t="shared" si="23"/>
        <v>0.33771330976511482</v>
      </c>
      <c r="AG61" s="799">
        <f t="shared" si="24"/>
        <v>2</v>
      </c>
      <c r="AH61" s="176">
        <f t="shared" si="16"/>
        <v>8</v>
      </c>
      <c r="AI61" s="224">
        <f t="shared" si="17"/>
        <v>2.3377133097651148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46800</v>
      </c>
      <c r="B62" s="409">
        <f>'2027'!Wh/'2027'!Env_an*'2028'!Env_an</f>
        <v>9.8360930246421781</v>
      </c>
      <c r="C62" s="829"/>
      <c r="D62" s="391">
        <f t="shared" si="0"/>
        <v>10.483284737636886</v>
      </c>
      <c r="E62" s="383">
        <f t="shared" si="1"/>
        <v>10.842248359861161</v>
      </c>
      <c r="F62" s="383">
        <f t="shared" si="2"/>
        <v>10.842248359861161</v>
      </c>
      <c r="G62" s="110">
        <f t="shared" si="21"/>
        <v>0.26100606397075243</v>
      </c>
      <c r="H62" s="412" t="b">
        <f>Wh_hp&gt;='2027'!Maxi_hp</f>
        <v>0</v>
      </c>
      <c r="I62" s="388">
        <f>IF(H62,Wh_hp,'2027'!Maxi_hp)</f>
        <v>38.684101035723138</v>
      </c>
      <c r="J62" s="85">
        <f>IF(H62,An,'2027'!An_max)</f>
        <v>2021</v>
      </c>
      <c r="K62" s="197">
        <f t="shared" si="3"/>
        <v>46800</v>
      </c>
      <c r="L62" s="147">
        <f>IF(t&lt;Tvie,1-EXP((T0-t)*PertePVj)+'2027'!Pspv,1-EXP((T0-t)*PertePVj)+Pspv)</f>
        <v>6.1735584713364933E-2</v>
      </c>
      <c r="M62" s="832"/>
      <c r="N62" s="832"/>
      <c r="O62" s="48">
        <f>IF(t&lt;Tnet,'2027'!Resal+('2027'!Salim-'2027'!Resal)*(1-EXP(('2027'!Tnet-t)/('2027'!Tau_j))),Resal+(Salim-Resal)*(1-EXP((Tnet-t)/(Tau_j))))*Salcycl</f>
        <v>3.3107858288248214E-2</v>
      </c>
      <c r="P62" s="169">
        <f>(INDEX(Models!$BJ62:$BT62,,T62)*(1-R62)+INDEX(Models!$BJ62:$BT62,,T62+1)*R62-ERP_i)*Q62*Ramure*Pc/MaxiM</f>
        <v>6.2945226869314877E-3</v>
      </c>
      <c r="Q62" s="304">
        <f t="shared" si="4"/>
        <v>0.7</v>
      </c>
      <c r="R62" s="177">
        <f t="shared" si="5"/>
        <v>0.58220780384348914</v>
      </c>
      <c r="S62" s="799">
        <f t="shared" si="6"/>
        <v>-1</v>
      </c>
      <c r="T62" s="176">
        <f t="shared" si="7"/>
        <v>5</v>
      </c>
      <c r="U62" s="250">
        <f t="shared" si="8"/>
        <v>-0.41779219615651086</v>
      </c>
      <c r="V62" s="382">
        <f t="shared" si="9"/>
        <v>37.448093600779572</v>
      </c>
      <c r="W62" s="400">
        <f t="shared" si="10"/>
        <v>9.8360930246421781</v>
      </c>
      <c r="X62" s="157">
        <f t="shared" si="11"/>
        <v>46800</v>
      </c>
      <c r="Y62" s="383">
        <f t="shared" si="12"/>
        <v>9.4637945951668616</v>
      </c>
      <c r="Z62" s="383">
        <f t="shared" si="22"/>
        <v>10.086489949931353</v>
      </c>
      <c r="AA62" s="384">
        <f t="shared" si="13"/>
        <v>10.842248359861161</v>
      </c>
      <c r="AB62" s="197">
        <f t="shared" si="14"/>
        <v>46800</v>
      </c>
      <c r="AC62" s="119">
        <f>IF(OR(t&lt;Tnet,NoTnet),'2027'!Resal_s+('2027'!Salim-'2027'!Resal_s)*(1-EXP(('2027'!Tnet_s-t)/'2027'!Tau_j)),Resal_s+(Salim-Resal_s)*(1-EXP((Tnet_s-t)/Tau_j)))*Salcycl</f>
        <v>6.9704952777846607E-2</v>
      </c>
      <c r="AD62" s="230">
        <f>(INDEX(Models!$BJ62:$BT62,,AH62)*(1-AF62)+INDEX(Models!$BJ62:$BT62,,AH62+1)*AF62-ERP_i)*AE62*Ramure*Pc/MaxiM</f>
        <v>5.0536254337454123E-2</v>
      </c>
      <c r="AE62" s="304">
        <f t="shared" si="15"/>
        <v>0.7</v>
      </c>
      <c r="AF62" s="177">
        <f t="shared" si="23"/>
        <v>0.33786563468283992</v>
      </c>
      <c r="AG62" s="799">
        <f t="shared" si="24"/>
        <v>2</v>
      </c>
      <c r="AH62" s="176">
        <f t="shared" si="16"/>
        <v>8</v>
      </c>
      <c r="AI62" s="224">
        <f t="shared" si="17"/>
        <v>2.3378656346828399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46801</v>
      </c>
      <c r="B63" s="409">
        <f>'2027'!Wh/'2027'!Env_an*'2028'!Env_an</f>
        <v>32.766433545115341</v>
      </c>
      <c r="C63" s="829"/>
      <c r="D63" s="391">
        <f t="shared" si="0"/>
        <v>34.923056853183333</v>
      </c>
      <c r="E63" s="383">
        <f t="shared" si="1"/>
        <v>36.121682216275076</v>
      </c>
      <c r="F63" s="383">
        <f t="shared" si="2"/>
        <v>36.295973709488898</v>
      </c>
      <c r="G63" s="110">
        <f t="shared" si="21"/>
        <v>0.866395839064527</v>
      </c>
      <c r="H63" s="412" t="b">
        <f>Wh_hp&gt;='2027'!Maxi_hp</f>
        <v>0</v>
      </c>
      <c r="I63" s="388">
        <f>IF(H63,Wh_hp,'2027'!Maxi_hp)</f>
        <v>38.693234723420318</v>
      </c>
      <c r="J63" s="85">
        <f>IF(H63,An,'2027'!An_max)</f>
        <v>2020</v>
      </c>
      <c r="K63" s="197">
        <f t="shared" si="3"/>
        <v>46801</v>
      </c>
      <c r="L63" s="147">
        <f>IF(t&lt;Tvie,1-EXP((T0-t)*PertePVj)+'2027'!Pspv,1-EXP((T0-t)*PertePVj)+Pspv)</f>
        <v>6.1753566336831378E-2</v>
      </c>
      <c r="M63" s="832"/>
      <c r="N63" s="832"/>
      <c r="O63" s="48">
        <f>IF(t&lt;Tnet,'2027'!Resal+('2027'!Salim-'2027'!Resal)*(1-EXP(('2027'!Tnet-t)/('2027'!Tau_j))),Resal+(Salim-Resal)*(1-EXP((Tnet-t)/(Tau_j))))*Salcycl</f>
        <v>3.318298843102295E-2</v>
      </c>
      <c r="P63" s="169">
        <f>(INDEX(Models!$BJ63:$BT63,,T63)*(1-R63)+INDEX(Models!$BJ63:$BT63,,T63+1)*R63-ERP_i)*Q63*Ramure*Pc/MaxiM</f>
        <v>5.9244254648258979E-3</v>
      </c>
      <c r="Q63" s="304">
        <f t="shared" si="4"/>
        <v>0.7</v>
      </c>
      <c r="R63" s="177">
        <f t="shared" si="5"/>
        <v>0.58236639480568775</v>
      </c>
      <c r="S63" s="799">
        <f t="shared" si="6"/>
        <v>-1</v>
      </c>
      <c r="T63" s="176">
        <f t="shared" si="7"/>
        <v>5</v>
      </c>
      <c r="U63" s="250">
        <f t="shared" si="8"/>
        <v>-0.41763360519431225</v>
      </c>
      <c r="V63" s="382">
        <f t="shared" si="9"/>
        <v>37.776585625613116</v>
      </c>
      <c r="W63" s="400">
        <f t="shared" si="10"/>
        <v>32.766433545115341</v>
      </c>
      <c r="X63" s="157">
        <f t="shared" si="11"/>
        <v>46801</v>
      </c>
      <c r="Y63" s="383">
        <f t="shared" si="12"/>
        <v>30.415011135992255</v>
      </c>
      <c r="Z63" s="383">
        <f t="shared" si="22"/>
        <v>32.41686836713442</v>
      </c>
      <c r="AA63" s="384">
        <f t="shared" si="13"/>
        <v>34.847019837911496</v>
      </c>
      <c r="AB63" s="197">
        <f t="shared" si="14"/>
        <v>46801</v>
      </c>
      <c r="AC63" s="119">
        <f>IF(OR(t&lt;Tnet,NoTnet),'2027'!Resal_s+('2027'!Salim-'2027'!Resal_s)*(1-EXP(('2027'!Tnet_s-t)/'2027'!Tau_j)),Resal_s+(Salim-Resal_s)*(1-EXP((Tnet_s-t)/Tau_j)))*Salcycl</f>
        <v>6.9737713069317184E-2</v>
      </c>
      <c r="AD63" s="230">
        <f>(INDEX(Models!$BJ63:$BT63,,AH63)*(1-AF63)+INDEX(Models!$BJ63:$BT63,,AH63+1)*AF63-ERP_i)*AE63*Ramure*Pc/MaxiM</f>
        <v>4.9252083712426696E-2</v>
      </c>
      <c r="AE63" s="304">
        <f t="shared" si="15"/>
        <v>0.7</v>
      </c>
      <c r="AF63" s="177">
        <f t="shared" si="23"/>
        <v>0.33802422564503853</v>
      </c>
      <c r="AG63" s="799">
        <f t="shared" si="24"/>
        <v>2</v>
      </c>
      <c r="AH63" s="176">
        <f t="shared" si="16"/>
        <v>8</v>
      </c>
      <c r="AI63" s="224">
        <f t="shared" si="17"/>
        <v>2.3380242256450385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46802</v>
      </c>
      <c r="B64" s="409">
        <f>'2027'!Wh/'2027'!Env_an*'2028'!Env_an</f>
        <v>15.019007181462214</v>
      </c>
      <c r="C64" s="829"/>
      <c r="D64" s="391">
        <f t="shared" si="0"/>
        <v>16.007835984183252</v>
      </c>
      <c r="E64" s="383">
        <f t="shared" si="1"/>
        <v>16.5585403959949</v>
      </c>
      <c r="F64" s="383">
        <f t="shared" si="2"/>
        <v>16.570898022034108</v>
      </c>
      <c r="G64" s="110">
        <f t="shared" si="21"/>
        <v>0.39225702502134691</v>
      </c>
      <c r="H64" s="412" t="b">
        <f>Wh_hp&gt;='2027'!Maxi_hp</f>
        <v>0</v>
      </c>
      <c r="I64" s="388">
        <f>IF(H64,Wh_hp,'2027'!Maxi_hp)</f>
        <v>39.852198656392886</v>
      </c>
      <c r="J64" s="85">
        <f>IF(H64,An,'2027'!An_max)</f>
        <v>2021</v>
      </c>
      <c r="K64" s="197">
        <f t="shared" si="3"/>
        <v>46802</v>
      </c>
      <c r="L64" s="147">
        <f>IF(t&lt;Tvie,1-EXP((T0-t)*PertePVj)+'2027'!Pspv,1-EXP((T0-t)*PertePVj)+Pspv)</f>
        <v>6.1771547615684153E-2</v>
      </c>
      <c r="M64" s="832"/>
      <c r="N64" s="832"/>
      <c r="O64" s="48">
        <f>IF(t&lt;Tnet,'2027'!Resal+('2027'!Salim-'2027'!Resal)*(1-EXP(('2027'!Tnet-t)/('2027'!Tau_j))),Resal+(Salim-Resal)*(1-EXP((Tnet-t)/(Tau_j))))*Salcycl</f>
        <v>3.3258028705528291E-2</v>
      </c>
      <c r="P64" s="169">
        <f>(INDEX(Models!$BJ64:$BT64,,T64)*(1-R64)+INDEX(Models!$BJ64:$BT64,,T64+1)*R64-ERP_i)*Q64*Ramure*Pc/MaxiM</f>
        <v>5.5445617452258393E-3</v>
      </c>
      <c r="Q64" s="304">
        <f t="shared" si="4"/>
        <v>0.7</v>
      </c>
      <c r="R64" s="177">
        <f t="shared" si="5"/>
        <v>0.58253150419993494</v>
      </c>
      <c r="S64" s="799">
        <f t="shared" si="6"/>
        <v>-1</v>
      </c>
      <c r="T64" s="176">
        <f t="shared" si="7"/>
        <v>5</v>
      </c>
      <c r="U64" s="250">
        <f t="shared" si="8"/>
        <v>-0.41746849580006506</v>
      </c>
      <c r="V64" s="382">
        <f t="shared" si="9"/>
        <v>38.104811237923812</v>
      </c>
      <c r="W64" s="400">
        <f t="shared" si="10"/>
        <v>15.019007181462214</v>
      </c>
      <c r="X64" s="157">
        <f t="shared" si="11"/>
        <v>46802</v>
      </c>
      <c r="Y64" s="383">
        <f t="shared" si="12"/>
        <v>14.369444299634901</v>
      </c>
      <c r="Z64" s="383">
        <f t="shared" si="22"/>
        <v>15.315506860954702</v>
      </c>
      <c r="AA64" s="384">
        <f t="shared" si="13"/>
        <v>16.464222716936348</v>
      </c>
      <c r="AB64" s="197">
        <f t="shared" si="14"/>
        <v>46802</v>
      </c>
      <c r="AC64" s="119">
        <f>IF(OR(t&lt;Tnet,NoTnet),'2027'!Resal_s+('2027'!Salim-'2027'!Resal_s)*(1-EXP(('2027'!Tnet_s-t)/'2027'!Tau_j)),Resal_s+(Salim-Resal_s)*(1-EXP((Tnet_s-t)/Tau_j)))*Salcycl</f>
        <v>6.9770427412888927E-2</v>
      </c>
      <c r="AD64" s="230">
        <f>(INDEX(Models!$BJ64:$BT64,,AH64)*(1-AF64)+INDEX(Models!$BJ64:$BT64,,AH64+1)*AF64-ERP_i)*AE64*Ramure*Pc/MaxiM</f>
        <v>4.7862576026239924E-2</v>
      </c>
      <c r="AE64" s="304">
        <f t="shared" si="15"/>
        <v>0.7</v>
      </c>
      <c r="AF64" s="177">
        <f t="shared" si="23"/>
        <v>0.3381893350392855</v>
      </c>
      <c r="AG64" s="799">
        <f t="shared" si="24"/>
        <v>2</v>
      </c>
      <c r="AH64" s="176">
        <f t="shared" si="16"/>
        <v>8</v>
      </c>
      <c r="AI64" s="224">
        <f t="shared" si="17"/>
        <v>2.3381893350392855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46803</v>
      </c>
      <c r="B65" s="409">
        <f>'2027'!Wh/'2027'!Env_an*'2028'!Env_an</f>
        <v>26.058920142342473</v>
      </c>
      <c r="C65" s="829"/>
      <c r="D65" s="391">
        <f t="shared" si="0"/>
        <v>27.775132483936765</v>
      </c>
      <c r="E65" s="383">
        <f t="shared" si="1"/>
        <v>28.732885078079295</v>
      </c>
      <c r="F65" s="383">
        <f t="shared" si="2"/>
        <v>28.813101444220273</v>
      </c>
      <c r="G65" s="110">
        <f t="shared" si="21"/>
        <v>0.67642427869189059</v>
      </c>
      <c r="H65" s="412" t="b">
        <f>Wh_hp&gt;='2027'!Maxi_hp</f>
        <v>0</v>
      </c>
      <c r="I65" s="388">
        <f>IF(H65,Wh_hp,'2027'!Maxi_hp)</f>
        <v>42.526823693851945</v>
      </c>
      <c r="J65" s="85">
        <f>IF(H65,An,'2027'!An_max)</f>
        <v>2020</v>
      </c>
      <c r="K65" s="197">
        <f t="shared" si="3"/>
        <v>46803</v>
      </c>
      <c r="L65" s="147">
        <f>IF(t&lt;Tvie,1-EXP((T0-t)*PertePVj)+'2027'!Pspv,1-EXP((T0-t)*PertePVj)+Pspv)</f>
        <v>6.1789528549929806E-2</v>
      </c>
      <c r="M65" s="832"/>
      <c r="N65" s="832"/>
      <c r="O65" s="48">
        <f>IF(t&lt;Tnet,'2027'!Resal+('2027'!Salim-'2027'!Resal)*(1-EXP(('2027'!Tnet-t)/('2027'!Tau_j))),Resal+(Salim-Resal)*(1-EXP((Tnet-t)/(Tau_j))))*Salcycl</f>
        <v>3.3332976884845204E-2</v>
      </c>
      <c r="P65" s="169">
        <f>(INDEX(Models!$BJ65:$BT65,,T65)*(1-R65)+INDEX(Models!$BJ65:$BT65,,T65+1)*R65-ERP_i)*Q65*Ramure*Pc/MaxiM</f>
        <v>5.1551029827364278E-3</v>
      </c>
      <c r="Q65" s="304">
        <f t="shared" si="4"/>
        <v>0.7</v>
      </c>
      <c r="R65" s="177">
        <f t="shared" si="5"/>
        <v>0.5827033941246631</v>
      </c>
      <c r="S65" s="799">
        <f t="shared" si="6"/>
        <v>-1</v>
      </c>
      <c r="T65" s="176">
        <f t="shared" si="7"/>
        <v>5</v>
      </c>
      <c r="U65" s="250">
        <f t="shared" si="8"/>
        <v>-0.41729660587533685</v>
      </c>
      <c r="V65" s="382">
        <f t="shared" si="9"/>
        <v>38.4329195517629</v>
      </c>
      <c r="W65" s="400">
        <f t="shared" si="10"/>
        <v>26.058920142342473</v>
      </c>
      <c r="X65" s="157">
        <f t="shared" si="11"/>
        <v>46803</v>
      </c>
      <c r="Y65" s="383">
        <f t="shared" si="12"/>
        <v>24.516076432202553</v>
      </c>
      <c r="Z65" s="383">
        <f t="shared" si="22"/>
        <v>26.13067875304273</v>
      </c>
      <c r="AA65" s="384">
        <f t="shared" si="13"/>
        <v>28.091556208304514</v>
      </c>
      <c r="AB65" s="197">
        <f t="shared" si="14"/>
        <v>46803</v>
      </c>
      <c r="AC65" s="119">
        <f>IF(OR(t&lt;Tnet,NoTnet),'2027'!Resal_s+('2027'!Salim-'2027'!Resal_s)*(1-EXP(('2027'!Tnet_s-t)/'2027'!Tau_j)),Resal_s+(Salim-Resal_s)*(1-EXP((Tnet_s-t)/Tau_j)))*Salcycl</f>
        <v>6.9803091032817344E-2</v>
      </c>
      <c r="AD65" s="230">
        <f>(INDEX(Models!$BJ65:$BT65,,AH65)*(1-AF65)+INDEX(Models!$BJ65:$BT65,,AH65+1)*AF65-ERP_i)*AE65*Ramure*Pc/MaxiM</f>
        <v>4.6370088509263899E-2</v>
      </c>
      <c r="AE65" s="304">
        <f t="shared" si="15"/>
        <v>0.7</v>
      </c>
      <c r="AF65" s="177">
        <f t="shared" si="23"/>
        <v>0.338361224964014</v>
      </c>
      <c r="AG65" s="799">
        <f t="shared" si="24"/>
        <v>2</v>
      </c>
      <c r="AH65" s="176">
        <f t="shared" si="16"/>
        <v>8</v>
      </c>
      <c r="AI65" s="224">
        <f t="shared" si="17"/>
        <v>2.338361224964014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46804</v>
      </c>
      <c r="B66" s="409">
        <f>'2027'!Wh/'2027'!Env_an*'2028'!Env_an</f>
        <v>19.528743685761679</v>
      </c>
      <c r="C66" s="829"/>
      <c r="D66" s="391">
        <f t="shared" si="0"/>
        <v>20.815284577530232</v>
      </c>
      <c r="E66" s="383">
        <f t="shared" si="1"/>
        <v>21.534712620083102</v>
      </c>
      <c r="F66" s="383">
        <f t="shared" si="2"/>
        <v>21.564644694902672</v>
      </c>
      <c r="G66" s="110">
        <f t="shared" si="21"/>
        <v>0.50212359607094703</v>
      </c>
      <c r="H66" s="412" t="b">
        <f>Wh_hp&gt;='2027'!Maxi_hp</f>
        <v>0</v>
      </c>
      <c r="I66" s="388">
        <f>IF(H66,Wh_hp,'2027'!Maxi_hp)</f>
        <v>21.608662280278139</v>
      </c>
      <c r="J66" s="85">
        <f>IF(H66,An,'2027'!An_max)</f>
        <v>2027</v>
      </c>
      <c r="K66" s="197">
        <f t="shared" si="3"/>
        <v>46804</v>
      </c>
      <c r="L66" s="147">
        <f>IF(t&lt;Tvie,1-EXP((T0-t)*PertePVj)+'2027'!Pspv,1-EXP((T0-t)*PertePVj)+Pspv)</f>
        <v>6.180750913957489E-2</v>
      </c>
      <c r="M66" s="832"/>
      <c r="N66" s="832"/>
      <c r="O66" s="48">
        <f>IF(t&lt;Tnet,'2027'!Resal+('2027'!Salim-'2027'!Resal)*(1-EXP(('2027'!Tnet-t)/('2027'!Tau_j))),Resal+(Salim-Resal)*(1-EXP((Tnet-t)/(Tau_j))))*Salcycl</f>
        <v>3.3407831125730314E-2</v>
      </c>
      <c r="P66" s="169">
        <f>(INDEX(Models!$BJ66:$BT66,,T66)*(1-R66)+INDEX(Models!$BJ66:$BT66,,T66+1)*R66-ERP_i)*Q66*Ramure*Pc/MaxiM</f>
        <v>4.7668126415392007E-3</v>
      </c>
      <c r="Q66" s="304">
        <f t="shared" si="4"/>
        <v>0.7</v>
      </c>
      <c r="R66" s="177">
        <f t="shared" si="5"/>
        <v>0.58288233672409251</v>
      </c>
      <c r="S66" s="799">
        <f t="shared" si="6"/>
        <v>-1</v>
      </c>
      <c r="T66" s="176">
        <f t="shared" si="7"/>
        <v>5</v>
      </c>
      <c r="U66" s="250">
        <f t="shared" si="8"/>
        <v>-0.41711766327590755</v>
      </c>
      <c r="V66" s="382">
        <f t="shared" si="9"/>
        <v>38.760712449033875</v>
      </c>
      <c r="W66" s="400">
        <f t="shared" si="10"/>
        <v>19.528743685761679</v>
      </c>
      <c r="X66" s="157">
        <f t="shared" si="11"/>
        <v>46804</v>
      </c>
      <c r="Y66" s="383">
        <f t="shared" si="12"/>
        <v>18.573664773834118</v>
      </c>
      <c r="Z66" s="383">
        <f t="shared" si="22"/>
        <v>19.797285690061361</v>
      </c>
      <c r="AA66" s="384">
        <f t="shared" si="13"/>
        <v>21.283643857154267</v>
      </c>
      <c r="AB66" s="197">
        <f t="shared" si="14"/>
        <v>46804</v>
      </c>
      <c r="AC66" s="119">
        <f>IF(OR(t&lt;Tnet,NoTnet),'2027'!Resal_s+('2027'!Salim-'2027'!Resal_s)*(1-EXP(('2027'!Tnet_s-t)/'2027'!Tau_j)),Resal_s+(Salim-Resal_s)*(1-EXP((Tnet_s-t)/Tau_j)))*Salcycl</f>
        <v>6.9835699989561711E-2</v>
      </c>
      <c r="AD66" s="230">
        <f>(INDEX(Models!$BJ66:$BT66,,AH66)*(1-AF66)+INDEX(Models!$BJ66:$BT66,,AH66+1)*AF66-ERP_i)*AE66*Ramure*Pc/MaxiM</f>
        <v>4.4750601277614342E-2</v>
      </c>
      <c r="AE66" s="304">
        <f t="shared" si="15"/>
        <v>0.7</v>
      </c>
      <c r="AF66" s="177">
        <f t="shared" si="23"/>
        <v>0.33854016756344318</v>
      </c>
      <c r="AG66" s="799">
        <f t="shared" si="24"/>
        <v>2</v>
      </c>
      <c r="AH66" s="176">
        <f t="shared" si="16"/>
        <v>8</v>
      </c>
      <c r="AI66" s="224">
        <f t="shared" si="17"/>
        <v>2.3385401675634432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46805</v>
      </c>
      <c r="B67" s="409">
        <f>'2027'!Wh/'2027'!Env_an*'2028'!Env_an</f>
        <v>32.330585509899613</v>
      </c>
      <c r="C67" s="829"/>
      <c r="D67" s="391">
        <f t="shared" si="0"/>
        <v>34.461163828351204</v>
      </c>
      <c r="E67" s="383">
        <f t="shared" si="1"/>
        <v>35.654985075675093</v>
      </c>
      <c r="F67" s="383">
        <f t="shared" si="2"/>
        <v>35.773349837706007</v>
      </c>
      <c r="G67" s="110">
        <f t="shared" si="21"/>
        <v>0.82623031092304688</v>
      </c>
      <c r="H67" s="412" t="b">
        <f>Wh_hp&gt;='2027'!Maxi_hp</f>
        <v>0</v>
      </c>
      <c r="I67" s="388">
        <f>IF(H67,Wh_hp,'2027'!Maxi_hp)</f>
        <v>41.235374874521426</v>
      </c>
      <c r="J67" s="85">
        <f>IF(H67,An,'2027'!An_max)</f>
        <v>2020</v>
      </c>
      <c r="K67" s="197">
        <f t="shared" si="3"/>
        <v>46805</v>
      </c>
      <c r="L67" s="147">
        <f>IF(t&lt;Tvie,1-EXP((T0-t)*PertePVj)+'2027'!Pspv,1-EXP((T0-t)*PertePVj)+Pspv)</f>
        <v>6.1825489384626175E-2</v>
      </c>
      <c r="M67" s="832"/>
      <c r="N67" s="832"/>
      <c r="O67" s="48">
        <f>IF(t&lt;Tnet,'2027'!Resal+('2027'!Salim-'2027'!Resal)*(1-EXP(('2027'!Tnet-t)/('2027'!Tau_j))),Resal+(Salim-Resal)*(1-EXP((Tnet-t)/(Tau_j))))*Salcycl</f>
        <v>3.3482590016237275E-2</v>
      </c>
      <c r="P67" s="169">
        <f>(INDEX(Models!$BJ67:$BT67,,T67)*(1-R67)+INDEX(Models!$BJ67:$BT67,,T67+1)*R67-ERP_i)*Q67*Ramure*Pc/MaxiM</f>
        <v>4.3938221304535806E-3</v>
      </c>
      <c r="Q67" s="304">
        <f t="shared" si="4"/>
        <v>0.7</v>
      </c>
      <c r="R67" s="177">
        <f t="shared" si="5"/>
        <v>0.58306861453134795</v>
      </c>
      <c r="S67" s="799">
        <f t="shared" si="6"/>
        <v>-1</v>
      </c>
      <c r="T67" s="176">
        <f t="shared" si="7"/>
        <v>5</v>
      </c>
      <c r="U67" s="250">
        <f t="shared" si="8"/>
        <v>-0.4169313854686521</v>
      </c>
      <c r="V67" s="382">
        <f t="shared" si="9"/>
        <v>39.087633709254774</v>
      </c>
      <c r="W67" s="400">
        <f t="shared" si="10"/>
        <v>32.330585509899613</v>
      </c>
      <c r="X67" s="157">
        <f t="shared" si="11"/>
        <v>46805</v>
      </c>
      <c r="Y67" s="383">
        <f t="shared" si="12"/>
        <v>30.204535330217411</v>
      </c>
      <c r="Z67" s="383">
        <f t="shared" si="22"/>
        <v>32.195007419680849</v>
      </c>
      <c r="AA67" s="384">
        <f t="shared" si="13"/>
        <v>34.613384032632858</v>
      </c>
      <c r="AB67" s="197">
        <f t="shared" si="14"/>
        <v>46805</v>
      </c>
      <c r="AC67" s="119">
        <f>IF(OR(t&lt;Tnet,NoTnet),'2027'!Resal_s+('2027'!Salim-'2027'!Resal_s)*(1-EXP(('2027'!Tnet_s-t)/'2027'!Tau_j)),Resal_s+(Salim-Resal_s)*(1-EXP((Tnet_s-t)/Tau_j)))*Salcycl</f>
        <v>6.9868251271589341E-2</v>
      </c>
      <c r="AD67" s="230">
        <f>(INDEX(Models!$BJ67:$BT67,,AH67)*(1-AF67)+INDEX(Models!$BJ67:$BT67,,AH67+1)*AF67-ERP_i)*AE67*Ramure*Pc/MaxiM</f>
        <v>4.3059127881054107E-2</v>
      </c>
      <c r="AE67" s="304">
        <f t="shared" si="15"/>
        <v>0.7</v>
      </c>
      <c r="AF67" s="177">
        <f t="shared" si="23"/>
        <v>0.3387264453706984</v>
      </c>
      <c r="AG67" s="799">
        <f t="shared" si="24"/>
        <v>2</v>
      </c>
      <c r="AH67" s="176">
        <f t="shared" si="16"/>
        <v>8</v>
      </c>
      <c r="AI67" s="224">
        <f t="shared" si="17"/>
        <v>2.3387264453706984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46806</v>
      </c>
      <c r="B68" s="409">
        <f>'2027'!Wh/'2027'!Env_an*'2028'!Env_an</f>
        <v>37.432063074954627</v>
      </c>
      <c r="C68" s="829"/>
      <c r="D68" s="391">
        <f t="shared" si="0"/>
        <v>39.899592284914348</v>
      </c>
      <c r="E68" s="383">
        <f t="shared" si="1"/>
        <v>41.285003579479344</v>
      </c>
      <c r="F68" s="383">
        <f t="shared" si="2"/>
        <v>41.440232556844521</v>
      </c>
      <c r="G68" s="110">
        <f t="shared" si="21"/>
        <v>0.94944616354147604</v>
      </c>
      <c r="H68" s="412" t="b">
        <f>Wh_hp&gt;='2027'!Maxi_hp</f>
        <v>0</v>
      </c>
      <c r="I68" s="388">
        <f>IF(H68,Wh_hp,'2027'!Maxi_hp)</f>
        <v>41.868249695321026</v>
      </c>
      <c r="J68" s="85">
        <f>IF(H68,An,'2027'!An_max)</f>
        <v>2020</v>
      </c>
      <c r="K68" s="197">
        <f t="shared" si="3"/>
        <v>46806</v>
      </c>
      <c r="L68" s="147">
        <f>IF(t&lt;Tvie,1-EXP((T0-t)*PertePVj)+'2027'!Pspv,1-EXP((T0-t)*PertePVj)+Pspv)</f>
        <v>6.1843469285090102E-2</v>
      </c>
      <c r="M68" s="832"/>
      <c r="N68" s="832"/>
      <c r="O68" s="48">
        <f>IF(t&lt;Tnet,'2027'!Resal+('2027'!Salim-'2027'!Resal)*(1-EXP(('2027'!Tnet-t)/('2027'!Tau_j))),Resal+(Salim-Resal)*(1-EXP((Tnet-t)/(Tau_j))))*Salcycl</f>
        <v>3.3557252620746082E-2</v>
      </c>
      <c r="P68" s="169">
        <f>(INDEX(Models!$BJ68:$BT68,,T68)*(1-R68)+INDEX(Models!$BJ68:$BT68,,T68+1)*R68-ERP_i)*Q68*Ramure*Pc/MaxiM</f>
        <v>4.035717445659631E-3</v>
      </c>
      <c r="Q68" s="304">
        <f t="shared" si="4"/>
        <v>0.7</v>
      </c>
      <c r="R68" s="177">
        <f t="shared" si="5"/>
        <v>0.58326252081965024</v>
      </c>
      <c r="S68" s="799">
        <f t="shared" si="6"/>
        <v>-1</v>
      </c>
      <c r="T68" s="176">
        <f t="shared" si="7"/>
        <v>5</v>
      </c>
      <c r="U68" s="250">
        <f t="shared" si="8"/>
        <v>-0.41673747918034981</v>
      </c>
      <c r="V68" s="382">
        <f t="shared" si="9"/>
        <v>39.413685002272345</v>
      </c>
      <c r="W68" s="400">
        <f t="shared" si="10"/>
        <v>37.432063074954627</v>
      </c>
      <c r="X68" s="157">
        <f t="shared" si="11"/>
        <v>46806</v>
      </c>
      <c r="Y68" s="383">
        <f t="shared" si="12"/>
        <v>34.773824080356889</v>
      </c>
      <c r="Z68" s="383">
        <f t="shared" si="22"/>
        <v>37.066121635222167</v>
      </c>
      <c r="AA68" s="384">
        <f t="shared" si="13"/>
        <v>39.851791463665393</v>
      </c>
      <c r="AB68" s="197">
        <f t="shared" si="14"/>
        <v>46806</v>
      </c>
      <c r="AC68" s="119">
        <f>IF(OR(t&lt;Tnet,NoTnet),'2027'!Resal_s+('2027'!Salim-'2027'!Resal_s)*(1-EXP(('2027'!Tnet_s-t)/'2027'!Tau_j)),Resal_s+(Salim-Resal_s)*(1-EXP((Tnet_s-t)/Tau_j)))*Salcycl</f>
        <v>6.9900742880857472E-2</v>
      </c>
      <c r="AD68" s="230">
        <f>(INDEX(Models!$BJ68:$BT68,,AH68)*(1-AF68)+INDEX(Models!$BJ68:$BT68,,AH68+1)*AF68-ERP_i)*AE68*Ramure*Pc/MaxiM</f>
        <v>4.129705381015835E-2</v>
      </c>
      <c r="AE68" s="304">
        <f t="shared" si="15"/>
        <v>0.7</v>
      </c>
      <c r="AF68" s="177">
        <f t="shared" si="23"/>
        <v>0.33892035165900092</v>
      </c>
      <c r="AG68" s="799">
        <f t="shared" si="24"/>
        <v>2</v>
      </c>
      <c r="AH68" s="176">
        <f t="shared" si="16"/>
        <v>8</v>
      </c>
      <c r="AI68" s="224">
        <f t="shared" si="17"/>
        <v>2.3389203516590009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46807</v>
      </c>
      <c r="B69" s="409">
        <f>'2027'!Wh/'2027'!Env_an*'2028'!Env_an</f>
        <v>24.050117210903196</v>
      </c>
      <c r="C69" s="829"/>
      <c r="D69" s="391">
        <f t="shared" si="0"/>
        <v>25.635997136233652</v>
      </c>
      <c r="E69" s="383">
        <f t="shared" si="1"/>
        <v>26.528188352626639</v>
      </c>
      <c r="F69" s="383">
        <f t="shared" si="2"/>
        <v>26.570961935611422</v>
      </c>
      <c r="G69" s="110">
        <f t="shared" si="21"/>
        <v>0.60394162785066507</v>
      </c>
      <c r="H69" s="412" t="b">
        <f>Wh_hp&gt;='2027'!Maxi_hp</f>
        <v>0</v>
      </c>
      <c r="I69" s="388">
        <f>IF(H69,Wh_hp,'2027'!Maxi_hp)</f>
        <v>42.008924715628446</v>
      </c>
      <c r="J69" s="85">
        <f>IF(H69,An,'2027'!An_max)</f>
        <v>2020</v>
      </c>
      <c r="K69" s="197">
        <f t="shared" si="3"/>
        <v>46807</v>
      </c>
      <c r="L69" s="147">
        <f>IF(t&lt;Tvie,1-EXP((T0-t)*PertePVj)+'2027'!Pspv,1-EXP((T0-t)*PertePVj)+Pspv)</f>
        <v>6.1861448840973332E-2</v>
      </c>
      <c r="M69" s="832"/>
      <c r="N69" s="832"/>
      <c r="O69" s="48">
        <f>IF(t&lt;Tnet,'2027'!Resal+('2027'!Salim-'2027'!Resal)*(1-EXP(('2027'!Tnet-t)/('2027'!Tau_j))),Resal+(Salim-Resal)*(1-EXP((Tnet-t)/(Tau_j))))*Salcycl</f>
        <v>3.3631818522000576E-2</v>
      </c>
      <c r="P69" s="169">
        <f>(INDEX(Models!$BJ69:$BT69,,T69)*(1-R69)+INDEX(Models!$BJ69:$BT69,,T69+1)*R69-ERP_i)*Q69*Ramure*Pc/MaxiM</f>
        <v>3.6921243269200268E-3</v>
      </c>
      <c r="Q69" s="304">
        <f t="shared" si="4"/>
        <v>0.7</v>
      </c>
      <c r="R69" s="177">
        <f t="shared" si="5"/>
        <v>0.58346435996142487</v>
      </c>
      <c r="S69" s="799">
        <f t="shared" si="6"/>
        <v>-1</v>
      </c>
      <c r="T69" s="176">
        <f t="shared" si="7"/>
        <v>5</v>
      </c>
      <c r="U69" s="250">
        <f t="shared" si="8"/>
        <v>-0.41653564003857518</v>
      </c>
      <c r="V69" s="382">
        <f t="shared" si="9"/>
        <v>39.738866958285016</v>
      </c>
      <c r="W69" s="400">
        <f t="shared" si="10"/>
        <v>24.050117210903196</v>
      </c>
      <c r="X69" s="157">
        <f t="shared" si="11"/>
        <v>46807</v>
      </c>
      <c r="Y69" s="383">
        <f t="shared" si="12"/>
        <v>22.785066745434477</v>
      </c>
      <c r="Z69" s="383">
        <f t="shared" si="22"/>
        <v>24.287528443729961</v>
      </c>
      <c r="AA69" s="384">
        <f t="shared" si="13"/>
        <v>26.113745552958502</v>
      </c>
      <c r="AB69" s="197">
        <f t="shared" si="14"/>
        <v>46807</v>
      </c>
      <c r="AC69" s="119">
        <f>IF(OR(t&lt;Tnet,NoTnet),'2027'!Resal_s+('2027'!Salim-'2027'!Resal_s)*(1-EXP(('2027'!Tnet_s-t)/'2027'!Tau_j)),Resal_s+(Salim-Resal_s)*(1-EXP((Tnet_s-t)/Tau_j)))*Salcycl</f>
        <v>6.9933173911225568E-2</v>
      </c>
      <c r="AD69" s="230">
        <f>(INDEX(Models!$BJ69:$BT69,,AH69)*(1-AF69)+INDEX(Models!$BJ69:$BT69,,AH69+1)*AF69-ERP_i)*AE69*Ramure*Pc/MaxiM</f>
        <v>3.9465941622421799E-2</v>
      </c>
      <c r="AE69" s="304">
        <f t="shared" si="15"/>
        <v>0.7</v>
      </c>
      <c r="AF69" s="177">
        <f t="shared" si="23"/>
        <v>0.33912219080077532</v>
      </c>
      <c r="AG69" s="799">
        <f t="shared" si="24"/>
        <v>2</v>
      </c>
      <c r="AH69" s="176">
        <f t="shared" si="16"/>
        <v>8</v>
      </c>
      <c r="AI69" s="224">
        <f t="shared" si="17"/>
        <v>2.3391221908007753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46808</v>
      </c>
      <c r="B70" s="409">
        <f>'2027'!Wh/'2027'!Env_an*'2028'!Env_an</f>
        <v>26.153925054039995</v>
      </c>
      <c r="C70" s="829"/>
      <c r="D70" s="391">
        <f t="shared" si="0"/>
        <v>27.879065693804638</v>
      </c>
      <c r="E70" s="383">
        <f t="shared" si="1"/>
        <v>28.851544145988846</v>
      </c>
      <c r="F70" s="383">
        <f t="shared" si="2"/>
        <v>28.900526879246211</v>
      </c>
      <c r="G70" s="110">
        <f t="shared" si="21"/>
        <v>0.65172637705622494</v>
      </c>
      <c r="H70" s="412" t="b">
        <f>Wh_hp&gt;='2027'!Maxi_hp</f>
        <v>0</v>
      </c>
      <c r="I70" s="388">
        <f>IF(H70,Wh_hp,'2027'!Maxi_hp)</f>
        <v>38.500224990742687</v>
      </c>
      <c r="J70" s="85">
        <f>IF(H70,An,'2027'!An_max)</f>
        <v>2021</v>
      </c>
      <c r="K70" s="197">
        <f t="shared" si="3"/>
        <v>46808</v>
      </c>
      <c r="L70" s="147">
        <f>IF(t&lt;Tvie,1-EXP((T0-t)*PertePVj)+'2027'!Pspv,1-EXP((T0-t)*PertePVj)+Pspv)</f>
        <v>6.1879428052282526E-2</v>
      </c>
      <c r="M70" s="832"/>
      <c r="N70" s="832"/>
      <c r="O70" s="48">
        <f>IF(t&lt;Tnet,'2027'!Resal+('2027'!Salim-'2027'!Resal)*(1-EXP(('2027'!Tnet-t)/('2027'!Tau_j))),Resal+(Salim-Resal)*(1-EXP((Tnet-t)/(Tau_j))))*Salcycl</f>
        <v>3.3706287859792516E-2</v>
      </c>
      <c r="P70" s="169">
        <f>(INDEX(Models!$BJ70:$BT70,,T70)*(1-R70)+INDEX(Models!$BJ70:$BT70,,T70+1)*R70-ERP_i)*Q70*Ramure*Pc/MaxiM</f>
        <v>3.3626819517141148E-3</v>
      </c>
      <c r="Q70" s="304">
        <f t="shared" si="4"/>
        <v>0.7</v>
      </c>
      <c r="R70" s="177">
        <f t="shared" si="5"/>
        <v>0.58367444779513367</v>
      </c>
      <c r="S70" s="799">
        <f t="shared" si="6"/>
        <v>-1</v>
      </c>
      <c r="T70" s="176">
        <f t="shared" si="7"/>
        <v>5</v>
      </c>
      <c r="U70" s="250">
        <f t="shared" si="8"/>
        <v>-0.41632555220486633</v>
      </c>
      <c r="V70" s="382">
        <f t="shared" si="9"/>
        <v>40.063180158148491</v>
      </c>
      <c r="W70" s="400">
        <f t="shared" si="10"/>
        <v>26.153925054039995</v>
      </c>
      <c r="X70" s="157">
        <f t="shared" si="11"/>
        <v>46808</v>
      </c>
      <c r="Y70" s="383">
        <f t="shared" si="12"/>
        <v>24.737813699120988</v>
      </c>
      <c r="Z70" s="383">
        <f t="shared" si="22"/>
        <v>26.369546131752085</v>
      </c>
      <c r="AA70" s="384">
        <f t="shared" si="13"/>
        <v>28.35330022364974</v>
      </c>
      <c r="AB70" s="197">
        <f t="shared" si="14"/>
        <v>46808</v>
      </c>
      <c r="AC70" s="119">
        <f>IF(OR(t&lt;Tnet,NoTnet),'2027'!Resal_s+('2027'!Salim-'2027'!Resal_s)*(1-EXP(('2027'!Tnet_s-t)/'2027'!Tau_j)),Resal_s+(Salim-Resal_s)*(1-EXP((Tnet_s-t)/Tau_j)))*Salcycl</f>
        <v>6.9965544619140632E-2</v>
      </c>
      <c r="AD70" s="230">
        <f>(INDEX(Models!$BJ70:$BT70,,AH70)*(1-AF70)+INDEX(Models!$BJ70:$BT70,,AH70+1)*AF70-ERP_i)*AE70*Ramure*Pc/MaxiM</f>
        <v>3.7567303331209424E-2</v>
      </c>
      <c r="AE70" s="304">
        <f t="shared" si="15"/>
        <v>0.7</v>
      </c>
      <c r="AF70" s="177">
        <f t="shared" si="23"/>
        <v>0.33933227863448456</v>
      </c>
      <c r="AG70" s="799">
        <f t="shared" si="24"/>
        <v>2</v>
      </c>
      <c r="AH70" s="176">
        <f t="shared" si="16"/>
        <v>8</v>
      </c>
      <c r="AI70" s="224">
        <f t="shared" si="17"/>
        <v>2.3393322786344846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46809</v>
      </c>
      <c r="B71" s="409">
        <f>'2027'!Wh/'2027'!Env_an*'2028'!Env_an</f>
        <v>40.489845018113783</v>
      </c>
      <c r="C71" s="829"/>
      <c r="D71" s="391">
        <f t="shared" si="0"/>
        <v>43.161425324637975</v>
      </c>
      <c r="E71" s="383">
        <f t="shared" si="1"/>
        <v>44.670421713620954</v>
      </c>
      <c r="F71" s="383">
        <f t="shared" si="2"/>
        <v>44.806950383067345</v>
      </c>
      <c r="G71" s="110">
        <f t="shared" si="21"/>
        <v>1.0025557936565523</v>
      </c>
      <c r="H71" s="412" t="b">
        <f>Wh_hp&gt;='2027'!Maxi_hp</f>
        <v>0</v>
      </c>
      <c r="I71" s="388">
        <f>IF(H71,Wh_hp,'2027'!Maxi_hp)</f>
        <v>44.80695038306736</v>
      </c>
      <c r="J71" s="85">
        <f>IF(H71,An,'2027'!An_max)</f>
        <v>2026</v>
      </c>
      <c r="K71" s="197">
        <f t="shared" si="3"/>
        <v>46809</v>
      </c>
      <c r="L71" s="147">
        <f>IF(t&lt;Tvie,1-EXP((T0-t)*PertePVj)+'2027'!Pspv,1-EXP((T0-t)*PertePVj)+Pspv)</f>
        <v>6.1897406919024234E-2</v>
      </c>
      <c r="M71" s="832"/>
      <c r="N71" s="832"/>
      <c r="O71" s="48">
        <f>IF(t&lt;Tnet,'2027'!Resal+('2027'!Salim-'2027'!Resal)*(1-EXP(('2027'!Tnet-t)/('2027'!Tau_j))),Resal+(Salim-Resal)*(1-EXP((Tnet-t)/(Tau_j))))*Salcycl</f>
        <v>3.3780661365971673E-2</v>
      </c>
      <c r="P71" s="169">
        <f>(INDEX(Models!$BJ71:$BT71,,T71)*(1-R71)+INDEX(Models!$BJ71:$BT71,,T71+1)*R71-ERP_i)*Q71*Ramure*Pc/MaxiM</f>
        <v>3.0470422173161137E-3</v>
      </c>
      <c r="Q71" s="304">
        <f t="shared" si="4"/>
        <v>0.7</v>
      </c>
      <c r="R71" s="177">
        <f t="shared" si="5"/>
        <v>0.58389311199958582</v>
      </c>
      <c r="S71" s="799">
        <f t="shared" si="6"/>
        <v>-1</v>
      </c>
      <c r="T71" s="176">
        <f t="shared" si="7"/>
        <v>5</v>
      </c>
      <c r="U71" s="250">
        <f t="shared" si="8"/>
        <v>-0.41610688800041412</v>
      </c>
      <c r="V71" s="382">
        <f t="shared" si="9"/>
        <v>40.386625137777088</v>
      </c>
      <c r="W71" s="400">
        <f t="shared" si="10"/>
        <v>40.489845018113783</v>
      </c>
      <c r="X71" s="157">
        <f t="shared" si="11"/>
        <v>46809</v>
      </c>
      <c r="Y71" s="383">
        <f t="shared" si="12"/>
        <v>37.699509703339977</v>
      </c>
      <c r="Z71" s="383">
        <f t="shared" si="22"/>
        <v>40.186979528033142</v>
      </c>
      <c r="AA71" s="384">
        <f t="shared" si="13"/>
        <v>43.211706347459078</v>
      </c>
      <c r="AB71" s="197">
        <f t="shared" si="14"/>
        <v>46809</v>
      </c>
      <c r="AC71" s="119">
        <f>IF(OR(t&lt;Tnet,NoTnet),'2027'!Resal_s+('2027'!Salim-'2027'!Resal_s)*(1-EXP(('2027'!Tnet_s-t)/'2027'!Tau_j)),Resal_s+(Salim-Resal_s)*(1-EXP((Tnet_s-t)/Tau_j)))*Salcycl</f>
        <v>6.9997856486030643E-2</v>
      </c>
      <c r="AD71" s="230">
        <f>(INDEX(Models!$BJ71:$BT71,,AH71)*(1-AF71)+INDEX(Models!$BJ71:$BT71,,AH71+1)*AF71-ERP_i)*AE71*Ramure*Pc/MaxiM</f>
        <v>3.5602602318838265E-2</v>
      </c>
      <c r="AE71" s="304">
        <f t="shared" si="15"/>
        <v>0.7</v>
      </c>
      <c r="AF71" s="177">
        <f t="shared" si="23"/>
        <v>0.33955094283893672</v>
      </c>
      <c r="AG71" s="799">
        <f t="shared" si="24"/>
        <v>2</v>
      </c>
      <c r="AH71" s="176">
        <f t="shared" si="16"/>
        <v>8</v>
      </c>
      <c r="AI71" s="224">
        <f t="shared" si="17"/>
        <v>2.3395509428389367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46810</v>
      </c>
      <c r="B72" s="409">
        <f>'2027'!Wh/'2027'!Env_an*'2028'!Env_an</f>
        <v>21.44088366061515</v>
      </c>
      <c r="C72" s="829"/>
      <c r="D72" s="391">
        <f t="shared" si="0"/>
        <v>22.856023143178124</v>
      </c>
      <c r="E72" s="383">
        <f t="shared" si="1"/>
        <v>23.656926996588449</v>
      </c>
      <c r="F72" s="383">
        <f t="shared" si="2"/>
        <v>23.678075811487791</v>
      </c>
      <c r="G72" s="110">
        <f t="shared" si="21"/>
        <v>0.52570782745634492</v>
      </c>
      <c r="H72" s="412" t="b">
        <f>Wh_hp&gt;='2027'!Maxi_hp</f>
        <v>0</v>
      </c>
      <c r="I72" s="388">
        <f>IF(H72,Wh_hp,'2027'!Maxi_hp)</f>
        <v>43.222165638946798</v>
      </c>
      <c r="J72" s="85">
        <f>IF(H72,An,'2027'!An_max)</f>
        <v>2021</v>
      </c>
      <c r="K72" s="197">
        <f t="shared" si="3"/>
        <v>46810</v>
      </c>
      <c r="L72" s="147">
        <f>IF(t&lt;Tvie,1-EXP((T0-t)*PertePVj)+'2027'!Pspv,1-EXP((T0-t)*PertePVj)+Pspv)</f>
        <v>6.1915385441205006E-2</v>
      </c>
      <c r="M72" s="832"/>
      <c r="N72" s="832"/>
      <c r="O72" s="48">
        <f>IF(t&lt;Tnet,'2027'!Resal+('2027'!Salim-'2027'!Resal)*(1-EXP(('2027'!Tnet-t)/('2027'!Tau_j))),Resal+(Salim-Resal)*(1-EXP((Tnet-t)/(Tau_j))))*Salcycl</f>
        <v>3.3854940395505365E-2</v>
      </c>
      <c r="P72" s="169">
        <f>(INDEX(Models!$BJ72:$BT72,,T72)*(1-R72)+INDEX(Models!$BJ72:$BT72,,T72+1)*R72-ERP_i)*Q72*Ramure*Pc/MaxiM</f>
        <v>2.7580589541466713E-3</v>
      </c>
      <c r="Q72" s="304">
        <f t="shared" si="4"/>
        <v>0.7</v>
      </c>
      <c r="R72" s="177">
        <f t="shared" si="5"/>
        <v>0.58412069247543408</v>
      </c>
      <c r="S72" s="799">
        <f t="shared" si="6"/>
        <v>-1</v>
      </c>
      <c r="T72" s="176">
        <f t="shared" si="7"/>
        <v>5</v>
      </c>
      <c r="U72" s="250">
        <f t="shared" si="8"/>
        <v>-0.41587930752456598</v>
      </c>
      <c r="V72" s="382">
        <f t="shared" si="9"/>
        <v>40.708663963067735</v>
      </c>
      <c r="W72" s="400">
        <f t="shared" si="10"/>
        <v>21.44088366061515</v>
      </c>
      <c r="X72" s="157">
        <f t="shared" si="11"/>
        <v>46810</v>
      </c>
      <c r="Y72" s="383">
        <f t="shared" si="12"/>
        <v>20.431621880596126</v>
      </c>
      <c r="Z72" s="383">
        <f t="shared" si="22"/>
        <v>21.780148148155735</v>
      </c>
      <c r="AA72" s="384">
        <f t="shared" si="13"/>
        <v>23.420272457816008</v>
      </c>
      <c r="AB72" s="197">
        <f t="shared" si="14"/>
        <v>46810</v>
      </c>
      <c r="AC72" s="119">
        <f>IF(OR(t&lt;Tnet,NoTnet),'2027'!Resal_s+('2027'!Salim-'2027'!Resal_s)*(1-EXP(('2027'!Tnet_s-t)/'2027'!Tau_j)),Resal_s+(Salim-Resal_s)*(1-EXP((Tnet_s-t)/Tau_j)))*Salcycl</f>
        <v>7.003011227193974E-2</v>
      </c>
      <c r="AD72" s="230">
        <f>(INDEX(Models!$BJ72:$BT72,,AH72)*(1-AF72)+INDEX(Models!$BJ72:$BT72,,AH72+1)*AF72-ERP_i)*AE72*Ramure*Pc/MaxiM</f>
        <v>3.3620647369023766E-2</v>
      </c>
      <c r="AE72" s="304">
        <f t="shared" si="15"/>
        <v>0.7</v>
      </c>
      <c r="AF72" s="177">
        <f t="shared" si="23"/>
        <v>0.33977852331478475</v>
      </c>
      <c r="AG72" s="799">
        <f t="shared" si="24"/>
        <v>2</v>
      </c>
      <c r="AH72" s="176">
        <f t="shared" si="16"/>
        <v>8</v>
      </c>
      <c r="AI72" s="224">
        <f t="shared" si="17"/>
        <v>2.3397785233147848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46811</v>
      </c>
      <c r="B73" s="409">
        <f>'2027'!Wh/'2027'!Env_an*'2028'!Env_an</f>
        <v>37.104120123827499</v>
      </c>
      <c r="C73" s="829"/>
      <c r="D73" s="391">
        <f t="shared" si="0"/>
        <v>39.553821322295519</v>
      </c>
      <c r="E73" s="383">
        <f t="shared" si="1"/>
        <v>40.94298091977128</v>
      </c>
      <c r="F73" s="383">
        <f t="shared" si="2"/>
        <v>41.031416333405552</v>
      </c>
      <c r="G73" s="110">
        <f t="shared" si="21"/>
        <v>0.9040243822091687</v>
      </c>
      <c r="H73" s="412" t="b">
        <f>Wh_hp&gt;='2027'!Maxi_hp</f>
        <v>0</v>
      </c>
      <c r="I73" s="388">
        <f>IF(H73,Wh_hp,'2027'!Maxi_hp)</f>
        <v>41.04000942696392</v>
      </c>
      <c r="J73" s="85">
        <f>IF(H73,An,'2027'!An_max)</f>
        <v>2027</v>
      </c>
      <c r="K73" s="197">
        <f t="shared" si="3"/>
        <v>46811</v>
      </c>
      <c r="L73" s="147">
        <f>IF(t&lt;Tvie,1-EXP((T0-t)*PertePVj)+'2027'!Pspv,1-EXP((T0-t)*PertePVj)+Pspv)</f>
        <v>6.1933363618831505E-2</v>
      </c>
      <c r="M73" s="832"/>
      <c r="N73" s="832"/>
      <c r="O73" s="48">
        <f>IF(t&lt;Tnet,'2027'!Resal+('2027'!Salim-'2027'!Resal)*(1-EXP(('2027'!Tnet-t)/('2027'!Tau_j))),Resal+(Salim-Resal)*(1-EXP((Tnet-t)/(Tau_j))))*Salcycl</f>
        <v>3.3929126953356155E-2</v>
      </c>
      <c r="P73" s="169">
        <f>(INDEX(Models!$BJ73:$BT73,,T73)*(1-R73)+INDEX(Models!$BJ73:$BT73,,T73+1)*R73-ERP_i)*Q73*Ramure*Pc/MaxiM</f>
        <v>2.4964967521535816E-3</v>
      </c>
      <c r="Q73" s="304">
        <f t="shared" si="4"/>
        <v>0.7</v>
      </c>
      <c r="R73" s="177">
        <f t="shared" si="5"/>
        <v>0.58435754173350407</v>
      </c>
      <c r="S73" s="799">
        <f t="shared" si="6"/>
        <v>-1</v>
      </c>
      <c r="T73" s="176">
        <f t="shared" si="7"/>
        <v>5</v>
      </c>
      <c r="U73" s="250">
        <f t="shared" si="8"/>
        <v>-0.41564245826649587</v>
      </c>
      <c r="V73" s="382">
        <f t="shared" si="9"/>
        <v>41.029239994045703</v>
      </c>
      <c r="W73" s="400">
        <f t="shared" si="10"/>
        <v>37.104120123827499</v>
      </c>
      <c r="X73" s="157">
        <f t="shared" si="11"/>
        <v>46811</v>
      </c>
      <c r="Y73" s="383">
        <f t="shared" si="12"/>
        <v>34.814171865342551</v>
      </c>
      <c r="Z73" s="383">
        <f t="shared" si="22"/>
        <v>37.112685298826008</v>
      </c>
      <c r="AA73" s="384">
        <f t="shared" si="13"/>
        <v>39.908787373350542</v>
      </c>
      <c r="AB73" s="197">
        <f t="shared" si="14"/>
        <v>46811</v>
      </c>
      <c r="AC73" s="119">
        <f>IF(OR(t&lt;Tnet,NoTnet),'2027'!Resal_s+('2027'!Salim-'2027'!Resal_s)*(1-EXP(('2027'!Tnet_s-t)/'2027'!Tau_j)),Resal_s+(Salim-Resal_s)*(1-EXP((Tnet_s-t)/Tau_j)))*Salcycl</f>
        <v>7.0062316060037877E-2</v>
      </c>
      <c r="AD73" s="230">
        <f>(INDEX(Models!$BJ73:$BT73,,AH73)*(1-AF73)+INDEX(Models!$BJ73:$BT73,,AH73+1)*AF73-ERP_i)*AE73*Ramure*Pc/MaxiM</f>
        <v>3.1691371561184095E-2</v>
      </c>
      <c r="AE73" s="304">
        <f t="shared" si="15"/>
        <v>0.7</v>
      </c>
      <c r="AF73" s="177">
        <f t="shared" si="23"/>
        <v>0.34001537257285497</v>
      </c>
      <c r="AG73" s="799">
        <f t="shared" si="24"/>
        <v>2</v>
      </c>
      <c r="AH73" s="176">
        <f t="shared" si="16"/>
        <v>8</v>
      </c>
      <c r="AI73" s="224">
        <f t="shared" si="17"/>
        <v>2.340015372572855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46812</v>
      </c>
      <c r="B74" s="409">
        <f>'2027'!Wh/'2027'!Env_an*'2028'!Env_an</f>
        <v>41.072949616429788</v>
      </c>
      <c r="C74" s="829"/>
      <c r="D74" s="391">
        <f t="shared" si="0"/>
        <v>43.785521403551115</v>
      </c>
      <c r="E74" s="383">
        <f t="shared" si="1"/>
        <v>45.326777975419809</v>
      </c>
      <c r="F74" s="383">
        <f t="shared" si="2"/>
        <v>45.428547915461273</v>
      </c>
      <c r="G74" s="110">
        <f t="shared" si="21"/>
        <v>0.99331801313972923</v>
      </c>
      <c r="H74" s="412" t="b">
        <f>Wh_hp&gt;='2027'!Maxi_hp</f>
        <v>0</v>
      </c>
      <c r="I74" s="388">
        <f>IF(H74,Wh_hp,'2027'!Maxi_hp)</f>
        <v>45.429146970654777</v>
      </c>
      <c r="J74" s="85">
        <f>IF(H74,An,'2027'!An_max)</f>
        <v>2027</v>
      </c>
      <c r="K74" s="197">
        <f t="shared" si="3"/>
        <v>46812</v>
      </c>
      <c r="L74" s="147">
        <f>IF(t&lt;Tvie,1-EXP((T0-t)*PertePVj)+'2027'!Pspv,1-EXP((T0-t)*PertePVj)+Pspv)</f>
        <v>6.1951341451910391E-2</v>
      </c>
      <c r="M74" s="832"/>
      <c r="N74" s="832"/>
      <c r="O74" s="48">
        <f>IF(t&lt;Tnet,'2027'!Resal+('2027'!Salim-'2027'!Resal)*(1-EXP(('2027'!Tnet-t)/('2027'!Tau_j))),Resal+(Salim-Resal)*(1-EXP((Tnet-t)/(Tau_j))))*Salcycl</f>
        <v>3.4003223716993526E-2</v>
      </c>
      <c r="P74" s="169">
        <f>(INDEX(Models!$BJ74:$BT74,,T74)*(1-R74)+INDEX(Models!$BJ74:$BT74,,T74+1)*R74-ERP_i)*Q74*Ramure*Pc/MaxiM</f>
        <v>2.2617406263509749E-3</v>
      </c>
      <c r="Q74" s="304">
        <f t="shared" si="4"/>
        <v>0.7</v>
      </c>
      <c r="R74" s="177">
        <f t="shared" si="5"/>
        <v>0.58460402528955113</v>
      </c>
      <c r="S74" s="799">
        <f t="shared" si="6"/>
        <v>-1</v>
      </c>
      <c r="T74" s="176">
        <f t="shared" si="7"/>
        <v>5</v>
      </c>
      <c r="U74" s="250">
        <f t="shared" si="8"/>
        <v>-0.41539597471044887</v>
      </c>
      <c r="V74" s="382">
        <f t="shared" si="9"/>
        <v>41.34835286533422</v>
      </c>
      <c r="W74" s="400">
        <f t="shared" si="10"/>
        <v>41.072949616429788</v>
      </c>
      <c r="X74" s="157">
        <f t="shared" si="11"/>
        <v>46812</v>
      </c>
      <c r="Y74" s="383">
        <f t="shared" si="12"/>
        <v>38.456986937525947</v>
      </c>
      <c r="Z74" s="383">
        <f t="shared" si="22"/>
        <v>40.996793276214071</v>
      </c>
      <c r="AA74" s="384">
        <f t="shared" si="13"/>
        <v>44.087051962511843</v>
      </c>
      <c r="AB74" s="197">
        <f t="shared" si="14"/>
        <v>46812</v>
      </c>
      <c r="AC74" s="119">
        <f>IF(OR(t&lt;Tnet,NoTnet),'2027'!Resal_s+('2027'!Salim-'2027'!Resal_s)*(1-EXP(('2027'!Tnet_s-t)/'2027'!Tau_j)),Resal_s+(Salim-Resal_s)*(1-EXP((Tnet_s-t)/Tau_j)))*Salcycl</f>
        <v>7.0094473291738443E-2</v>
      </c>
      <c r="AD74" s="230">
        <f>(INDEX(Models!$BJ74:$BT74,,AH74)*(1-AF74)+INDEX(Models!$BJ74:$BT74,,AH74+1)*AF74-ERP_i)*AE74*Ramure*Pc/MaxiM</f>
        <v>2.9813478278898943E-2</v>
      </c>
      <c r="AE74" s="304">
        <f t="shared" si="15"/>
        <v>0.7</v>
      </c>
      <c r="AF74" s="177">
        <f t="shared" si="23"/>
        <v>0.34026185612890192</v>
      </c>
      <c r="AG74" s="799">
        <f t="shared" si="24"/>
        <v>2</v>
      </c>
      <c r="AH74" s="176">
        <f t="shared" si="16"/>
        <v>8</v>
      </c>
      <c r="AI74" s="224">
        <f t="shared" si="17"/>
        <v>2.3402618561289019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46813</v>
      </c>
      <c r="B75" s="409">
        <f>'2027'!Wh/'2027'!Env_an*'2028'!Env_an</f>
        <v>14.232996109563146</v>
      </c>
      <c r="C75" s="829"/>
      <c r="D75" s="391">
        <f t="shared" si="0"/>
        <v>15.173273536731523</v>
      </c>
      <c r="E75" s="383">
        <f t="shared" si="1"/>
        <v>15.708578440924871</v>
      </c>
      <c r="F75" s="383">
        <f t="shared" si="2"/>
        <v>15.710495291537095</v>
      </c>
      <c r="G75" s="110">
        <f t="shared" si="21"/>
        <v>0.34093758613225633</v>
      </c>
      <c r="H75" s="412" t="b">
        <f>Wh_hp&gt;='2027'!Maxi_hp</f>
        <v>0</v>
      </c>
      <c r="I75" s="388">
        <f>IF(H75,Wh_hp,'2027'!Maxi_hp)</f>
        <v>33.203726330911472</v>
      </c>
      <c r="J75" s="85">
        <f>IF(H75,An,'2027'!An_max)</f>
        <v>2020</v>
      </c>
      <c r="K75" s="197">
        <f t="shared" si="3"/>
        <v>46813</v>
      </c>
      <c r="L75" s="147">
        <f>IF(t&lt;Tvie,1-EXP((T0-t)*PertePVj)+'2027'!Pspv,1-EXP((T0-t)*PertePVj)+Pspv)</f>
        <v>6.1969318940448104E-2</v>
      </c>
      <c r="M75" s="832"/>
      <c r="N75" s="832"/>
      <c r="O75" s="48">
        <f>IF(t&lt;Tnet,'2027'!Resal+('2027'!Salim-'2027'!Resal)*(1-EXP(('2027'!Tnet-t)/('2027'!Tau_j))),Resal+(Salim-Resal)*(1-EXP((Tnet-t)/(Tau_j))))*Salcycl</f>
        <v>3.4077234054403084E-2</v>
      </c>
      <c r="P75" s="169">
        <f>(INDEX(Models!$BJ75:$BT75,,T75)*(1-R75)+INDEX(Models!$BJ75:$BT75,,T75+1)*R75-ERP_i)*Q75*Ramure*Pc/MaxiM</f>
        <v>2.0531974481609889E-3</v>
      </c>
      <c r="Q75" s="304">
        <f t="shared" si="4"/>
        <v>0.7</v>
      </c>
      <c r="R75" s="177">
        <f t="shared" si="5"/>
        <v>0.58486052206496042</v>
      </c>
      <c r="S75" s="799">
        <f t="shared" si="6"/>
        <v>-1</v>
      </c>
      <c r="T75" s="176">
        <f t="shared" si="7"/>
        <v>5</v>
      </c>
      <c r="U75" s="250">
        <f t="shared" si="8"/>
        <v>-0.41513947793503958</v>
      </c>
      <c r="V75" s="382">
        <f t="shared" si="9"/>
        <v>41.666002112183527</v>
      </c>
      <c r="W75" s="400">
        <f t="shared" si="10"/>
        <v>14.232996109563146</v>
      </c>
      <c r="X75" s="157">
        <f t="shared" si="11"/>
        <v>46813</v>
      </c>
      <c r="Y75" s="383">
        <f t="shared" si="12"/>
        <v>13.680686676864552</v>
      </c>
      <c r="Z75" s="383">
        <f t="shared" si="22"/>
        <v>14.58447676936488</v>
      </c>
      <c r="AA75" s="384">
        <f t="shared" si="13"/>
        <v>15.684368027892061</v>
      </c>
      <c r="AB75" s="197">
        <f t="shared" si="14"/>
        <v>46813</v>
      </c>
      <c r="AC75" s="119">
        <f>IF(OR(t&lt;Tnet,NoTnet),'2027'!Resal_s+('2027'!Salim-'2027'!Resal_s)*(1-EXP(('2027'!Tnet_s-t)/'2027'!Tau_j)),Resal_s+(Salim-Resal_s)*(1-EXP((Tnet_s-t)/Tau_j)))*Salcycl</f>
        <v>7.0126590792259302E-2</v>
      </c>
      <c r="AD75" s="230">
        <f>(INDEX(Models!$BJ75:$BT75,,AH75)*(1-AF75)+INDEX(Models!$BJ75:$BT75,,AH75+1)*AF75-ERP_i)*AE75*Ramure*Pc/MaxiM</f>
        <v>2.798571297176064E-2</v>
      </c>
      <c r="AE75" s="304">
        <f t="shared" si="15"/>
        <v>0.7</v>
      </c>
      <c r="AF75" s="177">
        <f t="shared" si="23"/>
        <v>0.34051835290431098</v>
      </c>
      <c r="AG75" s="799">
        <f t="shared" si="24"/>
        <v>2</v>
      </c>
      <c r="AH75" s="176">
        <f t="shared" si="16"/>
        <v>8</v>
      </c>
      <c r="AI75" s="224">
        <f t="shared" si="17"/>
        <v>2.340518352904311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46814</v>
      </c>
      <c r="B76" s="409">
        <f>'2027'!Wh/'2027'!Env_an*'2028'!Env_an</f>
        <v>37.097282474292186</v>
      </c>
      <c r="C76" s="829"/>
      <c r="D76" s="391">
        <f t="shared" si="0"/>
        <v>39.54880602302817</v>
      </c>
      <c r="E76" s="383">
        <f t="shared" si="1"/>
        <v>40.947200502366691</v>
      </c>
      <c r="F76" s="383">
        <f t="shared" si="2"/>
        <v>41.011153610312576</v>
      </c>
      <c r="G76" s="110">
        <f t="shared" si="21"/>
        <v>0.88336825413885001</v>
      </c>
      <c r="H76" s="412" t="b">
        <f>Wh_hp&gt;='2027'!Maxi_hp</f>
        <v>0</v>
      </c>
      <c r="I76" s="388">
        <f>IF(H76,Wh_hp,'2027'!Maxi_hp)</f>
        <v>41.018902344300209</v>
      </c>
      <c r="J76" s="85">
        <f>IF(H76,An,'2027'!An_max)</f>
        <v>2027</v>
      </c>
      <c r="K76" s="197">
        <f t="shared" si="3"/>
        <v>46814</v>
      </c>
      <c r="L76" s="147">
        <f>IF(t&lt;Tvie,1-EXP((T0-t)*PertePVj)+'2027'!Pspv,1-EXP((T0-t)*PertePVj)+Pspv)</f>
        <v>6.1987296084451526E-2</v>
      </c>
      <c r="M76" s="832"/>
      <c r="N76" s="832"/>
      <c r="O76" s="48">
        <f>IF(t&lt;Tnet,'2027'!Resal+('2027'!Salim-'2027'!Resal)*(1-EXP(('2027'!Tnet-t)/('2027'!Tau_j))),Resal+(Salim-Resal)*(1-EXP((Tnet-t)/(Tau_j))))*Salcycl</f>
        <v>3.4151162037504748E-2</v>
      </c>
      <c r="P76" s="169">
        <f>(INDEX(Models!$BJ76:$BT76,,T76)*(1-R76)+INDEX(Models!$BJ76:$BT76,,T76+1)*R76-ERP_i)*Q76*Ramure*Pc/MaxiM</f>
        <v>1.870295085444105E-3</v>
      </c>
      <c r="Q76" s="304">
        <f t="shared" si="4"/>
        <v>0.7</v>
      </c>
      <c r="R76" s="177">
        <f t="shared" si="5"/>
        <v>0.58512742479284663</v>
      </c>
      <c r="S76" s="799">
        <f t="shared" si="6"/>
        <v>-1</v>
      </c>
      <c r="T76" s="176">
        <f t="shared" si="7"/>
        <v>5</v>
      </c>
      <c r="U76" s="250">
        <f t="shared" si="8"/>
        <v>-0.41487257520715332</v>
      </c>
      <c r="V76" s="382">
        <f t="shared" si="9"/>
        <v>41.982187168050928</v>
      </c>
      <c r="W76" s="400">
        <f t="shared" si="10"/>
        <v>37.097282474292186</v>
      </c>
      <c r="X76" s="157">
        <f t="shared" si="11"/>
        <v>46814</v>
      </c>
      <c r="Y76" s="383">
        <f t="shared" si="12"/>
        <v>34.98845098075369</v>
      </c>
      <c r="Z76" s="383">
        <f t="shared" si="22"/>
        <v>37.300615263206268</v>
      </c>
      <c r="AA76" s="384">
        <f t="shared" si="13"/>
        <v>40.1150328900194</v>
      </c>
      <c r="AB76" s="197">
        <f t="shared" si="14"/>
        <v>46814</v>
      </c>
      <c r="AC76" s="119">
        <f>IF(OR(t&lt;Tnet,NoTnet),'2027'!Resal_s+('2027'!Salim-'2027'!Resal_s)*(1-EXP(('2027'!Tnet_s-t)/'2027'!Tau_j)),Resal_s+(Salim-Resal_s)*(1-EXP((Tnet_s-t)/Tau_j)))*Salcycl</f>
        <v>7.0158676786560972E-2</v>
      </c>
      <c r="AD76" s="230">
        <f>(INDEX(Models!$BJ76:$BT76,,AH76)*(1-AF76)+INDEX(Models!$BJ76:$BT76,,AH76+1)*AF76-ERP_i)*AE76*Ramure*Pc/MaxiM</f>
        <v>2.6206860510158938E-2</v>
      </c>
      <c r="AE76" s="304">
        <f t="shared" si="15"/>
        <v>0.7</v>
      </c>
      <c r="AF76" s="177">
        <f t="shared" si="23"/>
        <v>0.34078525563219753</v>
      </c>
      <c r="AG76" s="799">
        <f t="shared" si="24"/>
        <v>2</v>
      </c>
      <c r="AH76" s="176">
        <f t="shared" si="16"/>
        <v>8</v>
      </c>
      <c r="AI76" s="224">
        <f t="shared" si="17"/>
        <v>2.3407852556321975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46815</v>
      </c>
      <c r="B77" s="409">
        <f>'2027'!Wh/'2027'!Env_an*'2028'!Env_an</f>
        <v>4.940223347059935</v>
      </c>
      <c r="C77" s="829"/>
      <c r="D77" s="391">
        <f t="shared" si="0"/>
        <v>5.2667922369339744</v>
      </c>
      <c r="E77" s="383">
        <f t="shared" si="1"/>
        <v>5.4534361573186043</v>
      </c>
      <c r="F77" s="383">
        <f t="shared" si="2"/>
        <v>5.4534361573186043</v>
      </c>
      <c r="G77" s="110">
        <f t="shared" si="21"/>
        <v>0.11659867383087207</v>
      </c>
      <c r="H77" s="412" t="b">
        <f>Wh_hp&gt;='2027'!Maxi_hp</f>
        <v>0</v>
      </c>
      <c r="I77" s="388">
        <f>IF(H77,Wh_hp,'2027'!Maxi_hp)</f>
        <v>31.937048727030085</v>
      </c>
      <c r="J77" s="85">
        <f>IF(H77,An,'2027'!An_max)</f>
        <v>2021</v>
      </c>
      <c r="K77" s="197">
        <f t="shared" si="3"/>
        <v>46815</v>
      </c>
      <c r="L77" s="147">
        <f>IF(t&lt;Tvie,1-EXP((T0-t)*PertePVj)+'2027'!Pspv,1-EXP((T0-t)*PertePVj)+Pspv)</f>
        <v>6.2005272883926987E-2</v>
      </c>
      <c r="M77" s="832"/>
      <c r="N77" s="832"/>
      <c r="O77" s="48">
        <f>IF(t&lt;Tnet,'2027'!Resal+('2027'!Salim-'2027'!Resal)*(1-EXP(('2027'!Tnet-t)/('2027'!Tau_j))),Resal+(Salim-Resal)*(1-EXP((Tnet-t)/(Tau_j))))*Salcycl</f>
        <v>3.4225012450939056E-2</v>
      </c>
      <c r="P77" s="169">
        <f>(INDEX(Models!$BJ77:$BT77,,T77)*(1-R77)+INDEX(Models!$BJ77:$BT77,,T77+1)*R77-ERP_i)*Q77*Ramure*Pc/MaxiM</f>
        <v>1.712481620709241E-3</v>
      </c>
      <c r="Q77" s="304">
        <f t="shared" si="4"/>
        <v>0.7</v>
      </c>
      <c r="R77" s="177">
        <f t="shared" si="5"/>
        <v>0.58540514042892533</v>
      </c>
      <c r="S77" s="799">
        <f t="shared" si="6"/>
        <v>-1</v>
      </c>
      <c r="T77" s="176">
        <f t="shared" si="7"/>
        <v>5</v>
      </c>
      <c r="U77" s="250">
        <f t="shared" si="8"/>
        <v>-0.41459485957107467</v>
      </c>
      <c r="V77" s="382">
        <f t="shared" si="9"/>
        <v>42.296907360451492</v>
      </c>
      <c r="W77" s="400">
        <f t="shared" si="10"/>
        <v>4.940223347059935</v>
      </c>
      <c r="X77" s="157">
        <f t="shared" si="11"/>
        <v>46815</v>
      </c>
      <c r="Y77" s="383">
        <f t="shared" si="12"/>
        <v>4.7562480591337941</v>
      </c>
      <c r="Z77" s="383">
        <f t="shared" si="22"/>
        <v>5.0706554329545055</v>
      </c>
      <c r="AA77" s="384">
        <f t="shared" si="13"/>
        <v>5.4534361573186043</v>
      </c>
      <c r="AB77" s="197">
        <f t="shared" si="14"/>
        <v>46815</v>
      </c>
      <c r="AC77" s="119">
        <f>IF(OR(t&lt;Tnet,NoTnet),'2027'!Resal_s+('2027'!Salim-'2027'!Resal_s)*(1-EXP(('2027'!Tnet_s-t)/'2027'!Tau_j)),Resal_s+(Salim-Resal_s)*(1-EXP((Tnet_s-t)/Tau_j)))*Salcycl</f>
        <v>7.0190740905694965E-2</v>
      </c>
      <c r="AD77" s="230">
        <f>(INDEX(Models!$BJ77:$BT77,,AH77)*(1-AF77)+INDEX(Models!$BJ77:$BT77,,AH77+1)*AF77-ERP_i)*AE77*Ramure*Pc/MaxiM</f>
        <v>2.4475742659559509E-2</v>
      </c>
      <c r="AE77" s="304">
        <f t="shared" si="15"/>
        <v>0.7</v>
      </c>
      <c r="AF77" s="177">
        <f t="shared" si="23"/>
        <v>0.34106297126827601</v>
      </c>
      <c r="AG77" s="799">
        <f t="shared" si="24"/>
        <v>2</v>
      </c>
      <c r="AH77" s="176">
        <f t="shared" si="16"/>
        <v>8</v>
      </c>
      <c r="AI77" s="224">
        <f t="shared" si="17"/>
        <v>2.341062971268276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46816</v>
      </c>
      <c r="B78" s="409">
        <f>'2027'!Wh/'2027'!Env_an*'2028'!Env_an</f>
        <v>15.206973149723758</v>
      </c>
      <c r="C78" s="829"/>
      <c r="D78" s="391">
        <f t="shared" si="0"/>
        <v>16.212526738008538</v>
      </c>
      <c r="E78" s="383">
        <f t="shared" si="1"/>
        <v>16.788346730326534</v>
      </c>
      <c r="F78" s="383">
        <f t="shared" si="2"/>
        <v>16.790501572468738</v>
      </c>
      <c r="G78" s="110">
        <f t="shared" si="21"/>
        <v>0.3563682001825294</v>
      </c>
      <c r="H78" s="412" t="b">
        <f>Wh_hp&gt;='2027'!Maxi_hp</f>
        <v>0</v>
      </c>
      <c r="I78" s="388">
        <f>IF(H78,Wh_hp,'2027'!Maxi_hp)</f>
        <v>34.948583246258117</v>
      </c>
      <c r="J78" s="85">
        <f>IF(H78,An,'2027'!An_max)</f>
        <v>2021</v>
      </c>
      <c r="K78" s="197">
        <f t="shared" si="3"/>
        <v>46816</v>
      </c>
      <c r="L78" s="147">
        <f>IF(t&lt;Tvie,1-EXP((T0-t)*PertePVj)+'2027'!Pspv,1-EXP((T0-t)*PertePVj)+Pspv)</f>
        <v>6.2023249338881148E-2</v>
      </c>
      <c r="M78" s="832"/>
      <c r="N78" s="832"/>
      <c r="O78" s="48">
        <f>IF(t&lt;Tnet,'2027'!Resal+('2027'!Salim-'2027'!Resal)*(1-EXP(('2027'!Tnet-t)/('2027'!Tau_j))),Resal+(Salim-Resal)*(1-EXP((Tnet-t)/(Tau_j))))*Salcycl</f>
        <v>3.4298790796227309E-2</v>
      </c>
      <c r="P78" s="169">
        <f>(INDEX(Models!$BJ78:$BT78,,T78)*(1-R78)+INDEX(Models!$BJ78:$BT78,,T78+1)*R78-ERP_i)*Q78*Ramure*Pc/MaxiM</f>
        <v>1.5792246446227295E-3</v>
      </c>
      <c r="Q78" s="304">
        <f t="shared" si="4"/>
        <v>0.7</v>
      </c>
      <c r="R78" s="177">
        <f t="shared" si="5"/>
        <v>0.58569409056644184</v>
      </c>
      <c r="S78" s="799">
        <f t="shared" si="6"/>
        <v>-1</v>
      </c>
      <c r="T78" s="176">
        <f t="shared" si="7"/>
        <v>5</v>
      </c>
      <c r="U78" s="250">
        <f t="shared" si="8"/>
        <v>-0.41430590943355816</v>
      </c>
      <c r="V78" s="382">
        <f t="shared" si="9"/>
        <v>42.610161905960936</v>
      </c>
      <c r="W78" s="400">
        <f t="shared" si="10"/>
        <v>15.206973149723758</v>
      </c>
      <c r="X78" s="157">
        <f t="shared" si="11"/>
        <v>46816</v>
      </c>
      <c r="Y78" s="383">
        <f t="shared" si="12"/>
        <v>14.616033022463579</v>
      </c>
      <c r="Z78" s="383">
        <f t="shared" si="22"/>
        <v>15.582510986718688</v>
      </c>
      <c r="AA78" s="384">
        <f t="shared" si="13"/>
        <v>16.759403101345967</v>
      </c>
      <c r="AB78" s="197">
        <f t="shared" si="14"/>
        <v>46816</v>
      </c>
      <c r="AC78" s="119">
        <f>IF(OR(t&lt;Tnet,NoTnet),'2027'!Resal_s+('2027'!Salim-'2027'!Resal_s)*(1-EXP(('2027'!Tnet_s-t)/'2027'!Tau_j)),Resal_s+(Salim-Resal_s)*(1-EXP((Tnet_s-t)/Tau_j)))*Salcycl</f>
        <v>7.0222794183687917E-2</v>
      </c>
      <c r="AD78" s="230">
        <f>(INDEX(Models!$BJ78:$BT78,,AH78)*(1-AF78)+INDEX(Models!$BJ78:$BT78,,AH78+1)*AF78-ERP_i)*AE78*Ramure*Pc/MaxiM</f>
        <v>2.2791215674361192E-2</v>
      </c>
      <c r="AE78" s="304">
        <f t="shared" si="15"/>
        <v>0.7</v>
      </c>
      <c r="AF78" s="177">
        <f t="shared" si="23"/>
        <v>0.34135192140579251</v>
      </c>
      <c r="AG78" s="799">
        <f t="shared" si="24"/>
        <v>2</v>
      </c>
      <c r="AH78" s="176">
        <f t="shared" si="16"/>
        <v>8</v>
      </c>
      <c r="AI78" s="224">
        <f t="shared" si="17"/>
        <v>2.3413519214057925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46817</v>
      </c>
      <c r="B79" s="409">
        <f>'2027'!Wh/'2027'!Env_an*'2028'!Env_an</f>
        <v>21.927871923208492</v>
      </c>
      <c r="C79" s="829"/>
      <c r="D79" s="391">
        <f t="shared" ref="D79:D142" si="25">Wh/(1-Ppv)</f>
        <v>23.378289662797645</v>
      </c>
      <c r="E79" s="383">
        <f t="shared" si="1"/>
        <v>24.210463913344348</v>
      </c>
      <c r="F79" s="383">
        <f t="shared" ref="F79:F142" si="26">Wh_sa/(1-Pvg*MEDIAN((-Sdif+Wh/Env_an)/Csdif,0,1))</f>
        <v>24.221189273270419</v>
      </c>
      <c r="G79" s="110">
        <f t="shared" si="21"/>
        <v>0.51034014699981201</v>
      </c>
      <c r="H79" s="412" t="b">
        <f>Wh_hp&gt;='2027'!Maxi_hp</f>
        <v>0</v>
      </c>
      <c r="I79" s="388">
        <f>IF(H79,Wh_hp,'2027'!Maxi_hp)</f>
        <v>24.235888313997396</v>
      </c>
      <c r="J79" s="85">
        <f>IF(H79,An,'2027'!An_max)</f>
        <v>2027</v>
      </c>
      <c r="K79" s="197">
        <f t="shared" ref="K79:K142" si="27">t</f>
        <v>46817</v>
      </c>
      <c r="L79" s="147">
        <f>IF(t&lt;Tvie,1-EXP((T0-t)*PertePVj)+'2027'!Pspv,1-EXP((T0-t)*PertePVj)+Pspv)</f>
        <v>6.2041225449320669E-2</v>
      </c>
      <c r="M79" s="832"/>
      <c r="N79" s="832"/>
      <c r="O79" s="48">
        <f>IF(t&lt;Tnet,'2027'!Resal+('2027'!Salim-'2027'!Resal)*(1-EXP(('2027'!Tnet-t)/('2027'!Tau_j))),Resal+(Salim-Resal)*(1-EXP((Tnet-t)/(Tau_j))))*Salcycl</f>
        <v>3.4372503291356771E-2</v>
      </c>
      <c r="P79" s="169">
        <f>(INDEX(Models!$BJ79:$BT79,,T79)*(1-R79)+INDEX(Models!$BJ79:$BT79,,T79+1)*R79-ERP_i)*Q79*Ramure*Pc/MaxiM</f>
        <v>1.469974157269965E-3</v>
      </c>
      <c r="Q79" s="304">
        <f t="shared" ref="Q79:Q142" si="28">IF(OR(t&lt;Ttai,Notai),Dd+PousD*Croivg,Dens+PousD*(Croivg-Croi_tai))</f>
        <v>0.7</v>
      </c>
      <c r="R79" s="177">
        <f t="shared" ref="R79:R142" si="29">(Hp_vg-S79)/(INDEX(Echel_vg,T79+1)-S79)</f>
        <v>0.58599471185436036</v>
      </c>
      <c r="S79" s="799">
        <f t="shared" ref="S79:S142" si="30">INDEX(Echel_vg,T79)</f>
        <v>-1</v>
      </c>
      <c r="T79" s="176">
        <f t="shared" ref="T79:T142" si="31">MIN(MATCH(Hp_vg,Echel_vg),10)</f>
        <v>5</v>
      </c>
      <c r="U79" s="250">
        <f t="shared" ref="U79:U142" si="32">IF(OR(t&lt;Ttai,Notai),Hdd+PousH*Croivg,Hdtf+PousH*(Croivg-Croi_tai))</f>
        <v>-0.41400528814563964</v>
      </c>
      <c r="V79" s="382">
        <f t="shared" ref="V79:V142" si="33">MaxiM*(1-Ppv)*(1-Pvg)*(1-Psa)</f>
        <v>42.923016202654587</v>
      </c>
      <c r="W79" s="400">
        <f t="shared" ref="W79:W142" si="34">Wh*(A79&gt;Tmaj)</f>
        <v>21.927871923208492</v>
      </c>
      <c r="X79" s="157">
        <f t="shared" ref="X79:X142" si="35">t</f>
        <v>46817</v>
      </c>
      <c r="Y79" s="383">
        <f t="shared" ref="Y79:Y142" si="36">Wh_pvt_s*(1-Ppv)</f>
        <v>20.987809671699765</v>
      </c>
      <c r="Z79" s="383">
        <f t="shared" ref="Z79:Z142" si="37">Wh_sa_s*(1-Psa_s)</f>
        <v>22.376047051485589</v>
      </c>
      <c r="AA79" s="384">
        <f t="shared" ref="AA79:AA142" si="38">Wh_hp*(1-Pvg_s*MEDIAN((-Sdif+Wh/Env_an)/Csdif,0,1))</f>
        <v>24.066860718236637</v>
      </c>
      <c r="AB79" s="197">
        <f t="shared" ref="AB79:AB142" si="39">t</f>
        <v>46817</v>
      </c>
      <c r="AC79" s="119">
        <f>IF(OR(t&lt;Tnet,NoTnet),'2027'!Resal_s+('2027'!Salim-'2027'!Resal_s)*(1-EXP(('2027'!Tnet_s-t)/'2027'!Tau_j)),Resal_s+(Salim-Resal_s)*(1-EXP((Tnet_s-t)/Tau_j)))*Salcycl</f>
        <v>7.0254849045178355E-2</v>
      </c>
      <c r="AD79" s="230">
        <f>(INDEX(Models!$BJ79:$BT79,,AH79)*(1-AF79)+INDEX(Models!$BJ79:$BT79,,AH79+1)*AF79-ERP_i)*AE79*Ramure*Pc/MaxiM</f>
        <v>2.1151643319406895E-2</v>
      </c>
      <c r="AE79" s="304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0.34165254269371115</v>
      </c>
      <c r="AG79" s="799">
        <f t="shared" si="24"/>
        <v>2</v>
      </c>
      <c r="AH79" s="176">
        <f t="shared" ref="AH79:AH142" si="42">MIN(MATCH(Hp_vg_s,Echel_vg),10)</f>
        <v>8</v>
      </c>
      <c r="AI79" s="224">
        <f t="shared" ref="AI79:AI142" si="43">IF(OR(t&lt;Ttai,Notai),Hdd_s+PousH*Croivg,Hdtai_s+PousH*(Croivg-Croi_tai))</f>
        <v>2.3416525426937111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46818</v>
      </c>
      <c r="B80" s="409">
        <f>'2027'!Wh/'2027'!Env_an*'2028'!Env_an</f>
        <v>34.173020208787285</v>
      </c>
      <c r="C80" s="829"/>
      <c r="D80" s="391">
        <f t="shared" si="25"/>
        <v>36.43409077957147</v>
      </c>
      <c r="E80" s="383">
        <f t="shared" ref="E80:E143" si="47">Wh_pvt/(1-Psa)</f>
        <v>37.73387785533447</v>
      </c>
      <c r="F80" s="383">
        <f t="shared" si="26"/>
        <v>37.770643853297557</v>
      </c>
      <c r="G80" s="110">
        <f t="shared" ref="G80:G143" si="48">+Wh_hp/MaxiM</f>
        <v>0.79005467866126666</v>
      </c>
      <c r="H80" s="412" t="b">
        <f>Wh_hp&gt;='2027'!Maxi_hp</f>
        <v>0</v>
      </c>
      <c r="I80" s="388">
        <f>IF(H80,Wh_hp,'2027'!Maxi_hp)</f>
        <v>37.779805772856619</v>
      </c>
      <c r="J80" s="85">
        <f>IF(H80,An,'2027'!An_max)</f>
        <v>2027</v>
      </c>
      <c r="K80" s="197">
        <f t="shared" si="27"/>
        <v>46818</v>
      </c>
      <c r="L80" s="147">
        <f>IF(t&lt;Tvie,1-EXP((T0-t)*PertePVj)+'2027'!Pspv,1-EXP((T0-t)*PertePVj)+Pspv)</f>
        <v>6.2059201215252102E-2</v>
      </c>
      <c r="M80" s="832"/>
      <c r="N80" s="832"/>
      <c r="O80" s="48">
        <f>IF(t&lt;Tnet,'2027'!Resal+('2027'!Salim-'2027'!Resal)*(1-EXP(('2027'!Tnet-t)/('2027'!Tau_j))),Resal+(Salim-Resal)*(1-EXP((Tnet-t)/(Tau_j))))*Salcycl</f>
        <v>3.4446156865885147E-2</v>
      </c>
      <c r="P80" s="169">
        <f>(INDEX(Models!$BJ80:$BT80,,T80)*(1-R80)+INDEX(Models!$BJ80:$BT80,,T80+1)*R80-ERP_i)*Q80*Ramure*Pc/MaxiM</f>
        <v>1.3894849230394425E-3</v>
      </c>
      <c r="Q80" s="304">
        <f t="shared" si="28"/>
        <v>0.7</v>
      </c>
      <c r="R80" s="177">
        <f t="shared" si="29"/>
        <v>0.58630745641790882</v>
      </c>
      <c r="S80" s="799">
        <f t="shared" si="30"/>
        <v>-1</v>
      </c>
      <c r="T80" s="176">
        <f t="shared" si="31"/>
        <v>5</v>
      </c>
      <c r="U80" s="250">
        <f t="shared" si="32"/>
        <v>-0.41369254358209118</v>
      </c>
      <c r="V80" s="382">
        <f t="shared" si="33"/>
        <v>43.235979036584673</v>
      </c>
      <c r="W80" s="400">
        <f t="shared" si="34"/>
        <v>34.173020208787285</v>
      </c>
      <c r="X80" s="157">
        <f t="shared" si="35"/>
        <v>46818</v>
      </c>
      <c r="Y80" s="383">
        <f t="shared" si="36"/>
        <v>32.483985755962728</v>
      </c>
      <c r="Z80" s="383">
        <f t="shared" si="37"/>
        <v>34.633300735026047</v>
      </c>
      <c r="AA80" s="384">
        <f t="shared" si="38"/>
        <v>37.251601008300192</v>
      </c>
      <c r="AB80" s="197">
        <f t="shared" si="39"/>
        <v>46818</v>
      </c>
      <c r="AC80" s="119">
        <f>IF(OR(t&lt;Tnet,NoTnet),'2027'!Resal_s+('2027'!Salim-'2027'!Resal_s)*(1-EXP(('2027'!Tnet_s-t)/'2027'!Tau_j)),Resal_s+(Salim-Resal_s)*(1-EXP((Tnet_s-t)/Tau_j)))*Salcycl</f>
        <v>7.02869192841067E-2</v>
      </c>
      <c r="AD80" s="230">
        <f>(INDEX(Models!$BJ80:$BT80,,AH80)*(1-AF80)+INDEX(Models!$BJ80:$BT80,,AH80+1)*AF80-ERP_i)*AE80*Ramure*Pc/MaxiM</f>
        <v>1.9616010648192177E-2</v>
      </c>
      <c r="AE80" s="304">
        <f t="shared" si="40"/>
        <v>0.7</v>
      </c>
      <c r="AF80" s="177">
        <f t="shared" si="41"/>
        <v>0.34196528725725939</v>
      </c>
      <c r="AG80" s="799">
        <f t="shared" ref="AG80:AG143" si="49">INDEX(Echel_vg,AH80)</f>
        <v>2</v>
      </c>
      <c r="AH80" s="176">
        <f t="shared" si="42"/>
        <v>8</v>
      </c>
      <c r="AI80" s="224">
        <f t="shared" si="43"/>
        <v>2.3419652872572594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46819</v>
      </c>
      <c r="B81" s="409">
        <f>'2027'!Wh/'2027'!Env_an*'2028'!Env_an</f>
        <v>34.552382772869173</v>
      </c>
      <c r="C81" s="829"/>
      <c r="D81" s="391">
        <f t="shared" si="25"/>
        <v>36.839260024579673</v>
      </c>
      <c r="E81" s="383">
        <f t="shared" si="47"/>
        <v>38.156410111730075</v>
      </c>
      <c r="F81" s="383">
        <f t="shared" si="26"/>
        <v>38.192152589120397</v>
      </c>
      <c r="G81" s="110">
        <f t="shared" si="48"/>
        <v>0.79310327388502622</v>
      </c>
      <c r="H81" s="412" t="b">
        <f>Wh_hp&gt;='2027'!Maxi_hp</f>
        <v>0</v>
      </c>
      <c r="I81" s="388">
        <f>IF(H81,Wh_hp,'2027'!Maxi_hp)</f>
        <v>38.20076026566997</v>
      </c>
      <c r="J81" s="85">
        <f>IF(H81,An,'2027'!An_max)</f>
        <v>2027</v>
      </c>
      <c r="K81" s="197">
        <f t="shared" si="27"/>
        <v>46819</v>
      </c>
      <c r="L81" s="147">
        <f>IF(t&lt;Tvie,1-EXP((T0-t)*PertePVj)+'2027'!Pspv,1-EXP((T0-t)*PertePVj)+Pspv)</f>
        <v>6.2077176636682219E-2</v>
      </c>
      <c r="M81" s="832"/>
      <c r="N81" s="832"/>
      <c r="O81" s="48">
        <f>IF(t&lt;Tnet,'2027'!Resal+('2027'!Salim-'2027'!Resal)*(1-EXP(('2027'!Tnet-t)/('2027'!Tau_j))),Resal+(Salim-Resal)*(1-EXP((Tnet-t)/(Tau_j))))*Salcycl</f>
        <v>3.4519759151699712E-2</v>
      </c>
      <c r="P81" s="169">
        <f>(INDEX(Models!$BJ81:$BT81,,T81)*(1-R81)+INDEX(Models!$BJ81:$BT81,,T81+1)*R81-ERP_i)*Q81*Ramure*Pc/MaxiM</f>
        <v>1.327690020600409E-3</v>
      </c>
      <c r="Q81" s="304">
        <f t="shared" si="28"/>
        <v>0.7</v>
      </c>
      <c r="R81" s="177">
        <f t="shared" si="29"/>
        <v>0.58663279228047682</v>
      </c>
      <c r="S81" s="799">
        <f t="shared" si="30"/>
        <v>-1</v>
      </c>
      <c r="T81" s="176">
        <f t="shared" si="31"/>
        <v>5</v>
      </c>
      <c r="U81" s="250">
        <f t="shared" si="32"/>
        <v>-0.41336720771952312</v>
      </c>
      <c r="V81" s="382">
        <f t="shared" si="33"/>
        <v>43.548970908958275</v>
      </c>
      <c r="W81" s="400">
        <f t="shared" si="34"/>
        <v>34.552382772869173</v>
      </c>
      <c r="X81" s="157">
        <f t="shared" si="35"/>
        <v>46819</v>
      </c>
      <c r="Y81" s="383">
        <f t="shared" si="36"/>
        <v>32.875006270691621</v>
      </c>
      <c r="Z81" s="383">
        <f t="shared" si="37"/>
        <v>35.050865009132011</v>
      </c>
      <c r="AA81" s="384">
        <f t="shared" si="38"/>
        <v>37.702035175988826</v>
      </c>
      <c r="AB81" s="197">
        <f t="shared" si="39"/>
        <v>46819</v>
      </c>
      <c r="AC81" s="119">
        <f>IF(OR(t&lt;Tnet,NoTnet),'2027'!Resal_s+('2027'!Salim-'2027'!Resal_s)*(1-EXP(('2027'!Tnet_s-t)/'2027'!Tau_j)),Resal_s+(Salim-Resal_s)*(1-EXP((Tnet_s-t)/Tau_j)))*Salcycl</f>
        <v>7.0319020033837693E-2</v>
      </c>
      <c r="AD81" s="230">
        <f>(INDEX(Models!$BJ81:$BT81,,AH81)*(1-AF81)+INDEX(Models!$BJ81:$BT81,,AH81+1)*AF81-ERP_i)*AE81*Ramure*Pc/MaxiM</f>
        <v>1.8205900817423508E-2</v>
      </c>
      <c r="AE81" s="304">
        <f t="shared" si="40"/>
        <v>0.7</v>
      </c>
      <c r="AF81" s="177">
        <f t="shared" si="41"/>
        <v>0.3422906231198275</v>
      </c>
      <c r="AG81" s="799">
        <f t="shared" si="49"/>
        <v>2</v>
      </c>
      <c r="AH81" s="176">
        <f t="shared" si="42"/>
        <v>8</v>
      </c>
      <c r="AI81" s="224">
        <f t="shared" si="43"/>
        <v>2.3422906231198275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46820</v>
      </c>
      <c r="B82" s="409">
        <f>'2027'!Wh/'2027'!Env_an*'2028'!Env_an</f>
        <v>31.481640788975266</v>
      </c>
      <c r="C82" s="829"/>
      <c r="D82" s="391">
        <f t="shared" si="25"/>
        <v>33.565921795259307</v>
      </c>
      <c r="E82" s="383">
        <f t="shared" si="47"/>
        <v>34.768686023644946</v>
      </c>
      <c r="F82" s="383">
        <f t="shared" si="26"/>
        <v>34.795353710456375</v>
      </c>
      <c r="G82" s="110">
        <f t="shared" si="48"/>
        <v>0.71737919992888666</v>
      </c>
      <c r="H82" s="412" t="b">
        <f>Wh_hp&gt;='2027'!Maxi_hp</f>
        <v>0</v>
      </c>
      <c r="I82" s="388">
        <f>IF(H82,Wh_hp,'2027'!Maxi_hp)</f>
        <v>44.80891493400317</v>
      </c>
      <c r="J82" s="85">
        <f>IF(H82,An,'2027'!An_max)</f>
        <v>2021</v>
      </c>
      <c r="K82" s="197">
        <f t="shared" si="27"/>
        <v>46820</v>
      </c>
      <c r="L82" s="147">
        <f>IF(t&lt;Tvie,1-EXP((T0-t)*PertePVj)+'2027'!Pspv,1-EXP((T0-t)*PertePVj)+Pspv)</f>
        <v>6.2095151713617347E-2</v>
      </c>
      <c r="M82" s="832"/>
      <c r="N82" s="832"/>
      <c r="O82" s="48">
        <f>IF(t&lt;Tnet,'2027'!Resal+('2027'!Salim-'2027'!Resal)*(1-EXP(('2027'!Tnet-t)/('2027'!Tau_j))),Resal+(Salim-Resal)*(1-EXP((Tnet-t)/(Tau_j))))*Salcycl</f>
        <v>3.4593318469604652E-2</v>
      </c>
      <c r="P82" s="169">
        <f>(INDEX(Models!$BJ82:$BT82,,T82)*(1-R82)+INDEX(Models!$BJ82:$BT82,,T82+1)*R82-ERP_i)*Q82*Ramure*Pc/MaxiM</f>
        <v>1.2842349223976114E-3</v>
      </c>
      <c r="Q82" s="304">
        <f t="shared" si="28"/>
        <v>0.7</v>
      </c>
      <c r="R82" s="177">
        <f t="shared" si="29"/>
        <v>0.58697120378574641</v>
      </c>
      <c r="S82" s="799">
        <f t="shared" si="30"/>
        <v>-1</v>
      </c>
      <c r="T82" s="176">
        <f t="shared" si="31"/>
        <v>5</v>
      </c>
      <c r="U82" s="250">
        <f t="shared" si="32"/>
        <v>-0.41302879621425359</v>
      </c>
      <c r="V82" s="382">
        <f t="shared" si="33"/>
        <v>43.861498176986231</v>
      </c>
      <c r="W82" s="400">
        <f t="shared" si="34"/>
        <v>31.481640788975266</v>
      </c>
      <c r="X82" s="157">
        <f t="shared" si="35"/>
        <v>46820</v>
      </c>
      <c r="Y82" s="383">
        <f t="shared" si="36"/>
        <v>30.032509017099059</v>
      </c>
      <c r="Z82" s="383">
        <f t="shared" si="37"/>
        <v>32.020848460236174</v>
      </c>
      <c r="AA82" s="384">
        <f t="shared" si="38"/>
        <v>34.444025903866866</v>
      </c>
      <c r="AB82" s="197">
        <f t="shared" si="39"/>
        <v>46820</v>
      </c>
      <c r="AC82" s="119">
        <f>IF(OR(t&lt;Tnet,NoTnet),'2027'!Resal_s+('2027'!Salim-'2027'!Resal_s)*(1-EXP(('2027'!Tnet_s-t)/'2027'!Tau_j)),Resal_s+(Salim-Resal_s)*(1-EXP((Tnet_s-t)/Tau_j)))*Salcycl</f>
        <v>7.0351167729166469E-2</v>
      </c>
      <c r="AD82" s="230">
        <f>(INDEX(Models!$BJ82:$BT82,,AH82)*(1-AF82)+INDEX(Models!$BJ82:$BT82,,AH82+1)*AF82-ERP_i)*AE82*Ramure*Pc/MaxiM</f>
        <v>1.6918881702114908E-2</v>
      </c>
      <c r="AE82" s="304">
        <f t="shared" si="40"/>
        <v>0.7</v>
      </c>
      <c r="AF82" s="177">
        <f t="shared" si="41"/>
        <v>0.34262903462509708</v>
      </c>
      <c r="AG82" s="799">
        <f t="shared" si="49"/>
        <v>2</v>
      </c>
      <c r="AH82" s="176">
        <f t="shared" si="42"/>
        <v>8</v>
      </c>
      <c r="AI82" s="224">
        <f t="shared" si="43"/>
        <v>2.3426290346250971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46821</v>
      </c>
      <c r="B83" s="409">
        <f>'2027'!Wh/'2027'!Env_an*'2028'!Env_an</f>
        <v>25.317621262719495</v>
      </c>
      <c r="C83" s="829"/>
      <c r="D83" s="391">
        <f t="shared" si="25"/>
        <v>26.994323064554049</v>
      </c>
      <c r="E83" s="383">
        <f t="shared" si="47"/>
        <v>27.963737587912405</v>
      </c>
      <c r="F83" s="383">
        <f t="shared" si="26"/>
        <v>27.9774796992468</v>
      </c>
      <c r="G83" s="110">
        <f t="shared" si="48"/>
        <v>0.5727059439491089</v>
      </c>
      <c r="H83" s="412" t="b">
        <f>Wh_hp&gt;='2027'!Maxi_hp</f>
        <v>0</v>
      </c>
      <c r="I83" s="388">
        <f>IF(H83,Wh_hp,'2027'!Maxi_hp)</f>
        <v>45.219822593394703</v>
      </c>
      <c r="J83" s="85">
        <f>IF(H83,An,'2027'!An_max)</f>
        <v>2021</v>
      </c>
      <c r="K83" s="197">
        <f t="shared" si="27"/>
        <v>46821</v>
      </c>
      <c r="L83" s="147">
        <f>IF(t&lt;Tvie,1-EXP((T0-t)*PertePVj)+'2027'!Pspv,1-EXP((T0-t)*PertePVj)+Pspv)</f>
        <v>6.211312644606426E-2</v>
      </c>
      <c r="M83" s="832"/>
      <c r="N83" s="832"/>
      <c r="O83" s="48">
        <f>IF(t&lt;Tnet,'2027'!Resal+('2027'!Salim-'2027'!Resal)*(1-EXP(('2027'!Tnet-t)/('2027'!Tau_j))),Resal+(Salim-Resal)*(1-EXP((Tnet-t)/(Tau_j))))*Salcycl</f>
        <v>3.4666843811944299E-2</v>
      </c>
      <c r="P83" s="169">
        <f>(INDEX(Models!$BJ83:$BT83,,T83)*(1-R83)+INDEX(Models!$BJ83:$BT83,,T83+1)*R83-ERP_i)*Q83*Ramure*Pc/MaxiM</f>
        <v>1.258774416292182E-3</v>
      </c>
      <c r="Q83" s="304">
        <f t="shared" si="28"/>
        <v>0.7</v>
      </c>
      <c r="R83" s="177">
        <f t="shared" si="29"/>
        <v>0.58732319201881578</v>
      </c>
      <c r="S83" s="799">
        <f t="shared" si="30"/>
        <v>-1</v>
      </c>
      <c r="T83" s="176">
        <f t="shared" si="31"/>
        <v>5</v>
      </c>
      <c r="U83" s="250">
        <f t="shared" si="32"/>
        <v>-0.41267680798118417</v>
      </c>
      <c r="V83" s="382">
        <f t="shared" si="33"/>
        <v>44.173067235226441</v>
      </c>
      <c r="W83" s="400">
        <f t="shared" si="34"/>
        <v>25.317621262719495</v>
      </c>
      <c r="X83" s="157">
        <f t="shared" si="35"/>
        <v>46821</v>
      </c>
      <c r="Y83" s="383">
        <f t="shared" si="36"/>
        <v>24.242934008623688</v>
      </c>
      <c r="Z83" s="383">
        <f t="shared" si="37"/>
        <v>25.848462850066248</v>
      </c>
      <c r="AA83" s="384">
        <f t="shared" si="38"/>
        <v>27.805508524314732</v>
      </c>
      <c r="AB83" s="197">
        <f t="shared" si="39"/>
        <v>46821</v>
      </c>
      <c r="AC83" s="119">
        <f>IF(OR(t&lt;Tnet,NoTnet),'2027'!Resal_s+('2027'!Salim-'2027'!Resal_s)*(1-EXP(('2027'!Tnet_s-t)/'2027'!Tau_j)),Resal_s+(Salim-Resal_s)*(1-EXP((Tnet_s-t)/Tau_j)))*Salcycl</f>
        <v>7.0383380060721923E-2</v>
      </c>
      <c r="AD83" s="230">
        <f>(INDEX(Models!$BJ83:$BT83,,AH83)*(1-AF83)+INDEX(Models!$BJ83:$BT83,,AH83+1)*AF83-ERP_i)*AE83*Ramure*Pc/MaxiM</f>
        <v>1.5752522307284394E-2</v>
      </c>
      <c r="AE83" s="304">
        <f t="shared" si="40"/>
        <v>0.7</v>
      </c>
      <c r="AF83" s="177">
        <f t="shared" si="41"/>
        <v>0.34298102285816645</v>
      </c>
      <c r="AG83" s="799">
        <f t="shared" si="49"/>
        <v>2</v>
      </c>
      <c r="AH83" s="176">
        <f t="shared" si="42"/>
        <v>8</v>
      </c>
      <c r="AI83" s="224">
        <f t="shared" si="43"/>
        <v>2.3429810228581665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46822</v>
      </c>
      <c r="B84" s="409">
        <f>'2027'!Wh/'2027'!Env_an*'2028'!Env_an</f>
        <v>17.712180530240435</v>
      </c>
      <c r="C84" s="829"/>
      <c r="D84" s="391">
        <f t="shared" si="25"/>
        <v>18.88556123994681</v>
      </c>
      <c r="E84" s="383">
        <f t="shared" si="47"/>
        <v>19.565265303100698</v>
      </c>
      <c r="F84" s="383">
        <f t="shared" si="26"/>
        <v>19.568698684885938</v>
      </c>
      <c r="G84" s="110">
        <f t="shared" si="48"/>
        <v>0.39774866723782021</v>
      </c>
      <c r="H84" s="412" t="b">
        <f>Wh_hp&gt;='2027'!Maxi_hp</f>
        <v>0</v>
      </c>
      <c r="I84" s="388">
        <f>IF(H84,Wh_hp,'2027'!Maxi_hp)</f>
        <v>39.829659361090641</v>
      </c>
      <c r="J84" s="85">
        <f>IF(H84,An,'2027'!An_max)</f>
        <v>2021</v>
      </c>
      <c r="K84" s="197">
        <f t="shared" si="27"/>
        <v>46822</v>
      </c>
      <c r="L84" s="147">
        <f>IF(t&lt;Tvie,1-EXP((T0-t)*PertePVj)+'2027'!Pspv,1-EXP((T0-t)*PertePVj)+Pspv)</f>
        <v>6.2131100834029507E-2</v>
      </c>
      <c r="M84" s="832"/>
      <c r="N84" s="832"/>
      <c r="O84" s="48">
        <f>IF(t&lt;Tnet,'2027'!Resal+('2027'!Salim-'2027'!Resal)*(1-EXP(('2027'!Tnet-t)/('2027'!Tau_j))),Resal+(Salim-Resal)*(1-EXP((Tnet-t)/(Tau_j))))*Salcycl</f>
        <v>3.4740344821501956E-2</v>
      </c>
      <c r="P84" s="169">
        <f>(INDEX(Models!$BJ84:$BT84,,T84)*(1-R84)+INDEX(Models!$BJ84:$BT84,,T84+1)*R84-ERP_i)*Q84*Ramure*Pc/MaxiM</f>
        <v>1.2509745597688621E-3</v>
      </c>
      <c r="Q84" s="304">
        <f t="shared" si="28"/>
        <v>0.7</v>
      </c>
      <c r="R84" s="177">
        <f t="shared" si="29"/>
        <v>0.58768927522494763</v>
      </c>
      <c r="S84" s="799">
        <f t="shared" si="30"/>
        <v>-1</v>
      </c>
      <c r="T84" s="176">
        <f t="shared" si="31"/>
        <v>5</v>
      </c>
      <c r="U84" s="250">
        <f t="shared" si="32"/>
        <v>-0.41231072477505232</v>
      </c>
      <c r="V84" s="382">
        <f t="shared" si="33"/>
        <v>44.48318450323633</v>
      </c>
      <c r="W84" s="400">
        <f t="shared" si="34"/>
        <v>17.712180530240435</v>
      </c>
      <c r="X84" s="157">
        <f t="shared" si="35"/>
        <v>46822</v>
      </c>
      <c r="Y84" s="383">
        <f t="shared" si="36"/>
        <v>17.025359319702016</v>
      </c>
      <c r="Z84" s="383">
        <f t="shared" si="37"/>
        <v>18.153240111536221</v>
      </c>
      <c r="AA84" s="384">
        <f t="shared" si="38"/>
        <v>19.528341476226977</v>
      </c>
      <c r="AB84" s="197">
        <f t="shared" si="39"/>
        <v>46822</v>
      </c>
      <c r="AC84" s="119">
        <f>IF(OR(t&lt;Tnet,NoTnet),'2027'!Resal_s+('2027'!Salim-'2027'!Resal_s)*(1-EXP(('2027'!Tnet_s-t)/'2027'!Tau_j)),Resal_s+(Salim-Resal_s)*(1-EXP((Tnet_s-t)/Tau_j)))*Salcycl</f>
        <v>7.0415675922338342E-2</v>
      </c>
      <c r="AD84" s="230">
        <f>(INDEX(Models!$BJ84:$BT84,,AH84)*(1-AF84)+INDEX(Models!$BJ84:$BT84,,AH84+1)*AF84-ERP_i)*AE84*Ramure*Pc/MaxiM</f>
        <v>1.4704406469655054E-2</v>
      </c>
      <c r="AE84" s="304">
        <f t="shared" si="40"/>
        <v>0.7</v>
      </c>
      <c r="AF84" s="177">
        <f t="shared" si="41"/>
        <v>0.3433471060642983</v>
      </c>
      <c r="AG84" s="799">
        <f t="shared" si="49"/>
        <v>2</v>
      </c>
      <c r="AH84" s="176">
        <f t="shared" si="42"/>
        <v>8</v>
      </c>
      <c r="AI84" s="224">
        <f t="shared" si="43"/>
        <v>2.3433471060642983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46823</v>
      </c>
      <c r="B85" s="409">
        <f>'2027'!Wh/'2027'!Env_an*'2028'!Env_an</f>
        <v>12.919255104319529</v>
      </c>
      <c r="C85" s="829"/>
      <c r="D85" s="391">
        <f t="shared" si="25"/>
        <v>13.775382375010524</v>
      </c>
      <c r="E85" s="383">
        <f t="shared" si="47"/>
        <v>14.272254232806457</v>
      </c>
      <c r="F85" s="383">
        <f t="shared" si="26"/>
        <v>14.272254232806457</v>
      </c>
      <c r="G85" s="110">
        <f t="shared" si="48"/>
        <v>0.28806830667301914</v>
      </c>
      <c r="H85" s="412" t="b">
        <f>Wh_hp&gt;='2027'!Maxi_hp</f>
        <v>0</v>
      </c>
      <c r="I85" s="388">
        <f>IF(H85,Wh_hp,'2027'!Maxi_hp)</f>
        <v>46.64301638858592</v>
      </c>
      <c r="J85" s="85">
        <f>IF(H85,An,'2027'!An_max)</f>
        <v>2018</v>
      </c>
      <c r="K85" s="197">
        <f t="shared" si="27"/>
        <v>46823</v>
      </c>
      <c r="L85" s="147">
        <f>IF(t&lt;Tvie,1-EXP((T0-t)*PertePVj)+'2027'!Pspv,1-EXP((T0-t)*PertePVj)+Pspv)</f>
        <v>6.214907487751975E-2</v>
      </c>
      <c r="M85" s="832"/>
      <c r="N85" s="832"/>
      <c r="O85" s="48">
        <f>IF(t&lt;Tnet,'2027'!Resal+('2027'!Salim-'2027'!Resal)*(1-EXP(('2027'!Tnet-t)/('2027'!Tau_j))),Resal+(Salim-Resal)*(1-EXP((Tnet-t)/(Tau_j))))*Salcycl</f>
        <v>3.4813831766940778E-2</v>
      </c>
      <c r="P85" s="169">
        <f>(INDEX(Models!$BJ85:$BT85,,T85)*(1-R85)+INDEX(Models!$BJ85:$BT85,,T85+1)*R85-ERP_i)*Q85*Ramure*Pc/MaxiM</f>
        <v>1.2605145069474327E-3</v>
      </c>
      <c r="Q85" s="304">
        <f t="shared" si="28"/>
        <v>0.7</v>
      </c>
      <c r="R85" s="177">
        <f t="shared" si="29"/>
        <v>0.58806998922443188</v>
      </c>
      <c r="S85" s="799">
        <f t="shared" si="30"/>
        <v>-1</v>
      </c>
      <c r="T85" s="176">
        <f t="shared" si="31"/>
        <v>5</v>
      </c>
      <c r="U85" s="250">
        <f t="shared" si="32"/>
        <v>-0.41193001077556812</v>
      </c>
      <c r="V85" s="382">
        <f t="shared" si="33"/>
        <v>44.791356414253151</v>
      </c>
      <c r="W85" s="400">
        <f t="shared" si="34"/>
        <v>12.919255104319529</v>
      </c>
      <c r="X85" s="157">
        <f t="shared" si="35"/>
        <v>46823</v>
      </c>
      <c r="Y85" s="383">
        <f t="shared" si="36"/>
        <v>12.442281958125589</v>
      </c>
      <c r="Z85" s="383">
        <f t="shared" si="37"/>
        <v>13.266801391170636</v>
      </c>
      <c r="AA85" s="384">
        <f t="shared" si="38"/>
        <v>14.272254232806457</v>
      </c>
      <c r="AB85" s="197">
        <f t="shared" si="39"/>
        <v>46823</v>
      </c>
      <c r="AC85" s="119">
        <f>IF(OR(t&lt;Tnet,NoTnet),'2027'!Resal_s+('2027'!Salim-'2027'!Resal_s)*(1-EXP(('2027'!Tnet_s-t)/'2027'!Tau_j)),Resal_s+(Salim-Resal_s)*(1-EXP((Tnet_s-t)/Tau_j)))*Salcycl</f>
        <v>7.0448075352011919E-2</v>
      </c>
      <c r="AD85" s="230">
        <f>(INDEX(Models!$BJ85:$BT85,,AH85)*(1-AF85)+INDEX(Models!$BJ85:$BT85,,AH85+1)*AF85-ERP_i)*AE85*Ramure*Pc/MaxiM</f>
        <v>1.3772145590846998E-2</v>
      </c>
      <c r="AE85" s="304">
        <f t="shared" si="40"/>
        <v>0.7</v>
      </c>
      <c r="AF85" s="177">
        <f t="shared" si="41"/>
        <v>0.34372782006378255</v>
      </c>
      <c r="AG85" s="799">
        <f t="shared" si="49"/>
        <v>2</v>
      </c>
      <c r="AH85" s="176">
        <f t="shared" si="42"/>
        <v>8</v>
      </c>
      <c r="AI85" s="224">
        <f t="shared" si="43"/>
        <v>2.3437278200637826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46824</v>
      </c>
      <c r="B86" s="409">
        <f>'2027'!Wh/'2027'!Env_an*'2028'!Env_an</f>
        <v>9.5951404096626689</v>
      </c>
      <c r="C86" s="829"/>
      <c r="D86" s="391">
        <f t="shared" si="25"/>
        <v>10.231182850953365</v>
      </c>
      <c r="E86" s="383">
        <f t="shared" si="47"/>
        <v>10.601024124362949</v>
      </c>
      <c r="F86" s="383">
        <f t="shared" si="26"/>
        <v>10.601024124362949</v>
      </c>
      <c r="G86" s="110">
        <f t="shared" si="48"/>
        <v>0.21249244120844946</v>
      </c>
      <c r="H86" s="412" t="b">
        <f>Wh_hp&gt;='2027'!Maxi_hp</f>
        <v>0</v>
      </c>
      <c r="I86" s="388">
        <f>IF(H86,Wh_hp,'2027'!Maxi_hp)</f>
        <v>40.981762819051319</v>
      </c>
      <c r="J86" s="85">
        <f>IF(H86,An,'2027'!An_max)</f>
        <v>2021</v>
      </c>
      <c r="K86" s="197">
        <f t="shared" si="27"/>
        <v>46824</v>
      </c>
      <c r="L86" s="147">
        <f>IF(t&lt;Tvie,1-EXP((T0-t)*PertePVj)+'2027'!Pspv,1-EXP((T0-t)*PertePVj)+Pspv)</f>
        <v>6.2167048576541539E-2</v>
      </c>
      <c r="M86" s="832"/>
      <c r="N86" s="832"/>
      <c r="O86" s="48">
        <f>IF(t&lt;Tnet,'2027'!Resal+('2027'!Salim-'2027'!Resal)*(1-EXP(('2027'!Tnet-t)/('2027'!Tau_j))),Resal+(Salim-Resal)*(1-EXP((Tnet-t)/(Tau_j))))*Salcycl</f>
        <v>3.488731551507606E-2</v>
      </c>
      <c r="P86" s="169">
        <f>(INDEX(Models!$BJ86:$BT86,,T86)*(1-R86)+INDEX(Models!$BJ86:$BT86,,T86+1)*R86-ERP_i)*Q86*Ramure*Pc/MaxiM</f>
        <v>1.2842406216509884E-3</v>
      </c>
      <c r="Q86" s="304">
        <f t="shared" si="28"/>
        <v>0.7</v>
      </c>
      <c r="R86" s="177">
        <f t="shared" si="29"/>
        <v>0.58846588782190845</v>
      </c>
      <c r="S86" s="799">
        <f t="shared" si="30"/>
        <v>-1</v>
      </c>
      <c r="T86" s="176">
        <f t="shared" si="31"/>
        <v>5</v>
      </c>
      <c r="U86" s="250">
        <f t="shared" si="32"/>
        <v>-0.41153411217809149</v>
      </c>
      <c r="V86" s="382">
        <f t="shared" si="33"/>
        <v>45.097217981404079</v>
      </c>
      <c r="W86" s="400">
        <f t="shared" si="34"/>
        <v>9.5951404096626689</v>
      </c>
      <c r="X86" s="157">
        <f t="shared" si="35"/>
        <v>46824</v>
      </c>
      <c r="Y86" s="383">
        <f t="shared" si="36"/>
        <v>9.2412723457040009</v>
      </c>
      <c r="Z86" s="383">
        <f t="shared" si="37"/>
        <v>9.8538575891126925</v>
      </c>
      <c r="AA86" s="384">
        <f t="shared" si="38"/>
        <v>10.601024124362949</v>
      </c>
      <c r="AB86" s="197">
        <f t="shared" si="39"/>
        <v>46824</v>
      </c>
      <c r="AC86" s="119">
        <f>IF(OR(t&lt;Tnet,NoTnet),'2027'!Resal_s+('2027'!Salim-'2027'!Resal_s)*(1-EXP(('2027'!Tnet_s-t)/'2027'!Tau_j)),Resal_s+(Salim-Resal_s)*(1-EXP((Tnet_s-t)/Tau_j)))*Salcycl</f>
        <v>7.048059946709688E-2</v>
      </c>
      <c r="AD86" s="230">
        <f>(INDEX(Models!$BJ86:$BT86,,AH86)*(1-AF86)+INDEX(Models!$BJ86:$BT86,,AH86+1)*AF86-ERP_i)*AE86*Ramure*Pc/MaxiM</f>
        <v>1.2986905354257908E-2</v>
      </c>
      <c r="AE86" s="304">
        <f t="shared" si="40"/>
        <v>0.7</v>
      </c>
      <c r="AF86" s="177">
        <f t="shared" si="41"/>
        <v>0.34412371866125913</v>
      </c>
      <c r="AG86" s="799">
        <f t="shared" si="49"/>
        <v>2</v>
      </c>
      <c r="AH86" s="176">
        <f t="shared" si="42"/>
        <v>8</v>
      </c>
      <c r="AI86" s="224">
        <f t="shared" si="43"/>
        <v>2.3441237186612591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46825</v>
      </c>
      <c r="B87" s="409">
        <f>'2027'!Wh/'2027'!Env_an*'2028'!Env_an</f>
        <v>13.002693713116138</v>
      </c>
      <c r="C87" s="829"/>
      <c r="D87" s="391">
        <f t="shared" si="25"/>
        <v>13.864881684754739</v>
      </c>
      <c r="E87" s="383">
        <f t="shared" si="47"/>
        <v>14.367169533126365</v>
      </c>
      <c r="F87" s="383">
        <f t="shared" si="26"/>
        <v>14.367169533126365</v>
      </c>
      <c r="G87" s="110">
        <f t="shared" si="48"/>
        <v>0.28602260685013015</v>
      </c>
      <c r="H87" s="412" t="b">
        <f>Wh_hp&gt;='2027'!Maxi_hp</f>
        <v>0</v>
      </c>
      <c r="I87" s="388">
        <f>IF(H87,Wh_hp,'2027'!Maxi_hp)</f>
        <v>38.557146236700596</v>
      </c>
      <c r="J87" s="85">
        <f>IF(H87,An,'2027'!An_max)</f>
        <v>2020</v>
      </c>
      <c r="K87" s="197">
        <f t="shared" si="27"/>
        <v>46825</v>
      </c>
      <c r="L87" s="147">
        <f>IF(t&lt;Tvie,1-EXP((T0-t)*PertePVj)+'2027'!Pspv,1-EXP((T0-t)*PertePVj)+Pspv)</f>
        <v>6.2185021931101536E-2</v>
      </c>
      <c r="M87" s="832"/>
      <c r="N87" s="832"/>
      <c r="O87" s="48">
        <f>IF(t&lt;Tnet,'2027'!Resal+('2027'!Salim-'2027'!Resal)*(1-EXP(('2027'!Tnet-t)/('2027'!Tau_j))),Resal+(Salim-Resal)*(1-EXP((Tnet-t)/(Tau_j))))*Salcycl</f>
        <v>3.4960807500287558E-2</v>
      </c>
      <c r="P87" s="169">
        <f>(INDEX(Models!$BJ87:$BT87,,T87)*(1-R87)+INDEX(Models!$BJ87:$BT87,,T87+1)*R87-ERP_i)*Q87*Ramure*Pc/MaxiM</f>
        <v>1.3099865801880104E-3</v>
      </c>
      <c r="Q87" s="304">
        <f t="shared" si="28"/>
        <v>0.7</v>
      </c>
      <c r="R87" s="177">
        <f t="shared" si="29"/>
        <v>0.58887754320833863</v>
      </c>
      <c r="S87" s="799">
        <f t="shared" si="30"/>
        <v>-1</v>
      </c>
      <c r="T87" s="176">
        <f t="shared" si="31"/>
        <v>5</v>
      </c>
      <c r="U87" s="250">
        <f t="shared" si="32"/>
        <v>-0.41112245679166137</v>
      </c>
      <c r="V87" s="382">
        <f t="shared" si="33"/>
        <v>45.40081814459468</v>
      </c>
      <c r="W87" s="400">
        <f t="shared" si="34"/>
        <v>13.002693713116138</v>
      </c>
      <c r="X87" s="157">
        <f t="shared" si="35"/>
        <v>46825</v>
      </c>
      <c r="Y87" s="383">
        <f t="shared" si="36"/>
        <v>12.523668830653106</v>
      </c>
      <c r="Z87" s="383">
        <f t="shared" si="37"/>
        <v>13.354093423034485</v>
      </c>
      <c r="AA87" s="384">
        <f t="shared" si="38"/>
        <v>14.367169533126365</v>
      </c>
      <c r="AB87" s="197">
        <f t="shared" si="39"/>
        <v>46825</v>
      </c>
      <c r="AC87" s="119">
        <f>IF(OR(t&lt;Tnet,NoTnet),'2027'!Resal_s+('2027'!Salim-'2027'!Resal_s)*(1-EXP(('2027'!Tnet_s-t)/'2027'!Tau_j)),Resal_s+(Salim-Resal_s)*(1-EXP((Tnet_s-t)/Tau_j)))*Salcycl</f>
        <v>7.0513270394424774E-2</v>
      </c>
      <c r="AD87" s="230">
        <f>(INDEX(Models!$BJ87:$BT87,,AH87)*(1-AF87)+INDEX(Models!$BJ87:$BT87,,AH87+1)*AF87-ERP_i)*AE87*Ramure*Pc/MaxiM</f>
        <v>1.2303290505089255E-2</v>
      </c>
      <c r="AE87" s="304">
        <f t="shared" si="40"/>
        <v>0.7</v>
      </c>
      <c r="AF87" s="177">
        <f t="shared" si="41"/>
        <v>0.3445353740476893</v>
      </c>
      <c r="AG87" s="799">
        <f t="shared" si="49"/>
        <v>2</v>
      </c>
      <c r="AH87" s="176">
        <f t="shared" si="42"/>
        <v>8</v>
      </c>
      <c r="AI87" s="224">
        <f t="shared" si="43"/>
        <v>2.3445353740476893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46826</v>
      </c>
      <c r="B88" s="409">
        <f>'2027'!Wh/'2027'!Env_an*'2028'!Env_an</f>
        <v>15.888625882032713</v>
      </c>
      <c r="C88" s="829"/>
      <c r="D88" s="391">
        <f t="shared" si="25"/>
        <v>16.94250013203721</v>
      </c>
      <c r="E88" s="383">
        <f t="shared" si="47"/>
        <v>17.557619382503656</v>
      </c>
      <c r="F88" s="383">
        <f t="shared" si="26"/>
        <v>17.559218685263833</v>
      </c>
      <c r="G88" s="110">
        <f t="shared" si="48"/>
        <v>0.34722622153902699</v>
      </c>
      <c r="H88" s="412" t="b">
        <f>Wh_hp&gt;='2027'!Maxi_hp</f>
        <v>0</v>
      </c>
      <c r="I88" s="388">
        <f>IF(H88,Wh_hp,'2027'!Maxi_hp)</f>
        <v>34.117673354504483</v>
      </c>
      <c r="J88" s="85">
        <f>IF(H88,An,'2027'!An_max)</f>
        <v>2020</v>
      </c>
      <c r="K88" s="197">
        <f t="shared" si="27"/>
        <v>46826</v>
      </c>
      <c r="L88" s="147">
        <f>IF(t&lt;Tvie,1-EXP((T0-t)*PertePVj)+'2027'!Pspv,1-EXP((T0-t)*PertePVj)+Pspv)</f>
        <v>6.2202994941206291E-2</v>
      </c>
      <c r="M88" s="832"/>
      <c r="N88" s="832"/>
      <c r="O88" s="48">
        <f>IF(t&lt;Tnet,'2027'!Resal+('2027'!Salim-'2027'!Resal)*(1-EXP(('2027'!Tnet-t)/('2027'!Tau_j))),Resal+(Salim-Resal)*(1-EXP((Tnet-t)/(Tau_j))))*Salcycl</f>
        <v>3.5034319691393902E-2</v>
      </c>
      <c r="P88" s="169">
        <f>(INDEX(Models!$BJ88:$BT88,,T88)*(1-R88)+INDEX(Models!$BJ88:$BT88,,T88+1)*R88-ERP_i)*Q88*Ramure*Pc/MaxiM</f>
        <v>1.3377423072059281E-3</v>
      </c>
      <c r="Q88" s="304">
        <f t="shared" si="28"/>
        <v>0.7</v>
      </c>
      <c r="R88" s="177">
        <f t="shared" si="29"/>
        <v>0.58930554635364385</v>
      </c>
      <c r="S88" s="799">
        <f t="shared" si="30"/>
        <v>-1</v>
      </c>
      <c r="T88" s="176">
        <f t="shared" si="31"/>
        <v>5</v>
      </c>
      <c r="U88" s="250">
        <f t="shared" si="32"/>
        <v>-0.41069445364635609</v>
      </c>
      <c r="V88" s="382">
        <f t="shared" si="33"/>
        <v>45.701664651611779</v>
      </c>
      <c r="W88" s="400">
        <f t="shared" si="34"/>
        <v>15.888625882032713</v>
      </c>
      <c r="X88" s="157">
        <f t="shared" si="35"/>
        <v>46826</v>
      </c>
      <c r="Y88" s="383">
        <f t="shared" si="36"/>
        <v>15.293088802775562</v>
      </c>
      <c r="Z88" s="383">
        <f t="shared" si="37"/>
        <v>16.307461764411144</v>
      </c>
      <c r="AA88" s="384">
        <f t="shared" si="38"/>
        <v>17.545207955820249</v>
      </c>
      <c r="AB88" s="197">
        <f t="shared" si="39"/>
        <v>46826</v>
      </c>
      <c r="AC88" s="119">
        <f>IF(OR(t&lt;Tnet,NoTnet),'2027'!Resal_s+('2027'!Salim-'2027'!Resal_s)*(1-EXP(('2027'!Tnet_s-t)/'2027'!Tau_j)),Resal_s+(Salim-Resal_s)*(1-EXP((Tnet_s-t)/Tau_j)))*Salcycl</f>
        <v>7.0546111196049283E-2</v>
      </c>
      <c r="AD88" s="230">
        <f>(INDEX(Models!$BJ88:$BT88,,AH88)*(1-AF88)+INDEX(Models!$BJ88:$BT88,,AH88+1)*AF88-ERP_i)*AE88*Ramure*Pc/MaxiM</f>
        <v>1.1719322943841651E-2</v>
      </c>
      <c r="AE88" s="304">
        <f t="shared" si="40"/>
        <v>0.7</v>
      </c>
      <c r="AF88" s="177">
        <f t="shared" si="41"/>
        <v>0.34496337719299452</v>
      </c>
      <c r="AG88" s="799">
        <f t="shared" si="49"/>
        <v>2</v>
      </c>
      <c r="AH88" s="176">
        <f t="shared" si="42"/>
        <v>8</v>
      </c>
      <c r="AI88" s="224">
        <f t="shared" si="43"/>
        <v>2.3449633771929945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46827</v>
      </c>
      <c r="B89" s="409">
        <f>'2027'!Wh/'2027'!Env_an*'2028'!Env_an</f>
        <v>11.581740906025161</v>
      </c>
      <c r="C89" s="829"/>
      <c r="D89" s="391">
        <f t="shared" si="25"/>
        <v>12.350181125791943</v>
      </c>
      <c r="E89" s="383">
        <f t="shared" si="47"/>
        <v>12.799545847798896</v>
      </c>
      <c r="F89" s="383">
        <f t="shared" si="26"/>
        <v>12.799545847798896</v>
      </c>
      <c r="G89" s="110">
        <f t="shared" si="48"/>
        <v>0.25143668658496832</v>
      </c>
      <c r="H89" s="412" t="b">
        <f>Wh_hp&gt;='2027'!Maxi_hp</f>
        <v>0</v>
      </c>
      <c r="I89" s="388">
        <f>IF(H89,Wh_hp,'2027'!Maxi_hp)</f>
        <v>53.119225306767447</v>
      </c>
      <c r="J89" s="85">
        <f>IF(H89,An,'2027'!An_max)</f>
        <v>2020</v>
      </c>
      <c r="K89" s="197">
        <f t="shared" si="27"/>
        <v>46827</v>
      </c>
      <c r="L89" s="147">
        <f>IF(t&lt;Tvie,1-EXP((T0-t)*PertePVj)+'2027'!Pspv,1-EXP((T0-t)*PertePVj)+Pspv)</f>
        <v>6.2220967606862354E-2</v>
      </c>
      <c r="M89" s="832"/>
      <c r="N89" s="832"/>
      <c r="O89" s="48">
        <f>IF(t&lt;Tnet,'2027'!Resal+('2027'!Salim-'2027'!Resal)*(1-EXP(('2027'!Tnet-t)/('2027'!Tau_j))),Resal+(Salim-Resal)*(1-EXP((Tnet-t)/(Tau_j))))*Salcycl</f>
        <v>3.510786455632163E-2</v>
      </c>
      <c r="P89" s="169">
        <f>(INDEX(Models!$BJ89:$BT89,,T89)*(1-R89)+INDEX(Models!$BJ89:$BT89,,T89+1)*R89-ERP_i)*Q89*Ramure*Pc/MaxiM</f>
        <v>1.3675008687150034E-3</v>
      </c>
      <c r="Q89" s="304">
        <f t="shared" si="28"/>
        <v>0.7</v>
      </c>
      <c r="R89" s="177">
        <f t="shared" si="29"/>
        <v>0.5897505073878615</v>
      </c>
      <c r="S89" s="799">
        <f t="shared" si="30"/>
        <v>-1</v>
      </c>
      <c r="T89" s="176">
        <f t="shared" si="31"/>
        <v>5</v>
      </c>
      <c r="U89" s="250">
        <f t="shared" si="32"/>
        <v>-0.41024949261213856</v>
      </c>
      <c r="V89" s="382">
        <f t="shared" si="33"/>
        <v>45.999265351305283</v>
      </c>
      <c r="W89" s="400">
        <f t="shared" si="34"/>
        <v>11.581740906025161</v>
      </c>
      <c r="X89" s="157">
        <f t="shared" si="35"/>
        <v>46827</v>
      </c>
      <c r="Y89" s="383">
        <f t="shared" si="36"/>
        <v>11.155973948478449</v>
      </c>
      <c r="Z89" s="383">
        <f t="shared" si="37"/>
        <v>11.896164835344301</v>
      </c>
      <c r="AA89" s="384">
        <f t="shared" si="38"/>
        <v>12.799545847798896</v>
      </c>
      <c r="AB89" s="197">
        <f t="shared" si="39"/>
        <v>46827</v>
      </c>
      <c r="AC89" s="119">
        <f>IF(OR(t&lt;Tnet,NoTnet),'2027'!Resal_s+('2027'!Salim-'2027'!Resal_s)*(1-EXP(('2027'!Tnet_s-t)/'2027'!Tau_j)),Resal_s+(Salim-Resal_s)*(1-EXP((Tnet_s-t)/Tau_j)))*Salcycl</f>
        <v>7.0579145791328707E-2</v>
      </c>
      <c r="AD89" s="230">
        <f>(INDEX(Models!$BJ89:$BT89,,AH89)*(1-AF89)+INDEX(Models!$BJ89:$BT89,,AH89+1)*AF89-ERP_i)*AE89*Ramure*Pc/MaxiM</f>
        <v>1.123308978492848E-2</v>
      </c>
      <c r="AE89" s="304">
        <f t="shared" si="40"/>
        <v>0.7</v>
      </c>
      <c r="AF89" s="177">
        <f t="shared" si="41"/>
        <v>0.34540833822721195</v>
      </c>
      <c r="AG89" s="799">
        <f t="shared" si="49"/>
        <v>2</v>
      </c>
      <c r="AH89" s="176">
        <f t="shared" si="42"/>
        <v>8</v>
      </c>
      <c r="AI89" s="224">
        <f t="shared" si="43"/>
        <v>2.345408338227212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46828</v>
      </c>
      <c r="B90" s="409">
        <f>'2027'!Wh/'2027'!Env_an*'2028'!Env_an</f>
        <v>9.9681920623964722</v>
      </c>
      <c r="C90" s="829"/>
      <c r="D90" s="391">
        <f t="shared" si="25"/>
        <v>10.62977818852058</v>
      </c>
      <c r="E90" s="383">
        <f t="shared" si="47"/>
        <v>11.01738585341451</v>
      </c>
      <c r="F90" s="383">
        <f t="shared" si="26"/>
        <v>11.01738585341451</v>
      </c>
      <c r="G90" s="110">
        <f t="shared" si="48"/>
        <v>0.21502638452953077</v>
      </c>
      <c r="H90" s="412" t="b">
        <f>Wh_hp&gt;='2027'!Maxi_hp</f>
        <v>0</v>
      </c>
      <c r="I90" s="388">
        <f>IF(H90,Wh_hp,'2027'!Maxi_hp)</f>
        <v>33.792366122986927</v>
      </c>
      <c r="J90" s="85">
        <f>IF(H90,An,'2027'!An_max)</f>
        <v>2021</v>
      </c>
      <c r="K90" s="197">
        <f t="shared" si="27"/>
        <v>46828</v>
      </c>
      <c r="L90" s="147">
        <f>IF(t&lt;Tvie,1-EXP((T0-t)*PertePVj)+'2027'!Pspv,1-EXP((T0-t)*PertePVj)+Pspv)</f>
        <v>6.2238939928076387E-2</v>
      </c>
      <c r="M90" s="832"/>
      <c r="N90" s="832"/>
      <c r="O90" s="48">
        <f>IF(t&lt;Tnet,'2027'!Resal+('2027'!Salim-'2027'!Resal)*(1-EXP(('2027'!Tnet-t)/('2027'!Tau_j))),Resal+(Salim-Resal)*(1-EXP((Tnet-t)/(Tau_j))))*Salcycl</f>
        <v>3.5181455024905266E-2</v>
      </c>
      <c r="P90" s="169">
        <f>(INDEX(Models!$BJ90:$BT90,,T90)*(1-R90)+INDEX(Models!$BJ90:$BT90,,T90+1)*R90-ERP_i)*Q90*Ramure*Pc/MaxiM</f>
        <v>1.3992586464175406E-3</v>
      </c>
      <c r="Q90" s="304">
        <f t="shared" si="28"/>
        <v>0.7</v>
      </c>
      <c r="R90" s="177">
        <f t="shared" si="29"/>
        <v>0.59021305596847284</v>
      </c>
      <c r="S90" s="799">
        <f t="shared" si="30"/>
        <v>-1</v>
      </c>
      <c r="T90" s="176">
        <f t="shared" si="31"/>
        <v>5</v>
      </c>
      <c r="U90" s="250">
        <f t="shared" si="32"/>
        <v>-0.40978694403152716</v>
      </c>
      <c r="V90" s="382">
        <f t="shared" si="33"/>
        <v>46.293128190959003</v>
      </c>
      <c r="W90" s="400">
        <f t="shared" si="34"/>
        <v>9.9681920623964722</v>
      </c>
      <c r="X90" s="157">
        <f t="shared" si="35"/>
        <v>46828</v>
      </c>
      <c r="Y90" s="383">
        <f t="shared" si="36"/>
        <v>9.6021310500955543</v>
      </c>
      <c r="Z90" s="383">
        <f t="shared" si="37"/>
        <v>10.23942180896176</v>
      </c>
      <c r="AA90" s="384">
        <f t="shared" si="38"/>
        <v>11.01738585341451</v>
      </c>
      <c r="AB90" s="197">
        <f t="shared" si="39"/>
        <v>46828</v>
      </c>
      <c r="AC90" s="119">
        <f>IF(OR(t&lt;Tnet,NoTnet),'2027'!Resal_s+('2027'!Salim-'2027'!Resal_s)*(1-EXP(('2027'!Tnet_s-t)/'2027'!Tau_j)),Resal_s+(Salim-Resal_s)*(1-EXP((Tnet_s-t)/Tau_j)))*Salcycl</f>
        <v>7.061239887605851E-2</v>
      </c>
      <c r="AD90" s="230">
        <f>(INDEX(Models!$BJ90:$BT90,,AH90)*(1-AF90)+INDEX(Models!$BJ90:$BT90,,AH90+1)*AF90-ERP_i)*AE90*Ramure*Pc/MaxiM</f>
        <v>1.0842751613535779E-2</v>
      </c>
      <c r="AE90" s="304">
        <f t="shared" si="40"/>
        <v>0.7</v>
      </c>
      <c r="AF90" s="177">
        <f t="shared" si="41"/>
        <v>0.34587088680782374</v>
      </c>
      <c r="AG90" s="799">
        <f t="shared" si="49"/>
        <v>2</v>
      </c>
      <c r="AH90" s="176">
        <f t="shared" si="42"/>
        <v>8</v>
      </c>
      <c r="AI90" s="224">
        <f t="shared" si="43"/>
        <v>2.3458708868078237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46829</v>
      </c>
      <c r="B91" s="409">
        <f>'2027'!Wh/'2027'!Env_an*'2028'!Env_an</f>
        <v>13.088671710335712</v>
      </c>
      <c r="C91" s="829"/>
      <c r="D91" s="391">
        <f t="shared" si="25"/>
        <v>13.957630694909172</v>
      </c>
      <c r="E91" s="383">
        <f t="shared" si="47"/>
        <v>14.467690639559386</v>
      </c>
      <c r="F91" s="383">
        <f t="shared" si="26"/>
        <v>14.467690639559386</v>
      </c>
      <c r="G91" s="110">
        <f t="shared" si="48"/>
        <v>0.28057408147837387</v>
      </c>
      <c r="H91" s="412" t="b">
        <f>Wh_hp&gt;='2027'!Maxi_hp</f>
        <v>0</v>
      </c>
      <c r="I91" s="388">
        <f>IF(H91,Wh_hp,'2027'!Maxi_hp)</f>
        <v>34.313153622269041</v>
      </c>
      <c r="J91" s="85">
        <f>IF(H91,An,'2027'!An_max)</f>
        <v>2018</v>
      </c>
      <c r="K91" s="197">
        <f t="shared" si="27"/>
        <v>46829</v>
      </c>
      <c r="L91" s="147">
        <f>IF(t&lt;Tvie,1-EXP((T0-t)*PertePVj)+'2027'!Pspv,1-EXP((T0-t)*PertePVj)+Pspv)</f>
        <v>6.2256911904854939E-2</v>
      </c>
      <c r="M91" s="832"/>
      <c r="N91" s="832"/>
      <c r="O91" s="48">
        <f>IF(t&lt;Tnet,'2027'!Resal+('2027'!Salim-'2027'!Resal)*(1-EXP(('2027'!Tnet-t)/('2027'!Tau_j))),Resal+(Salim-Resal)*(1-EXP((Tnet-t)/(Tau_j))))*Salcycl</f>
        <v>3.5255104450156227E-2</v>
      </c>
      <c r="P91" s="169">
        <f>(INDEX(Models!$BJ91:$BT91,,T91)*(1-R91)+INDEX(Models!$BJ91:$BT91,,T91+1)*R91-ERP_i)*Q91*Ramure*Pc/MaxiM</f>
        <v>1.4330155095212897E-3</v>
      </c>
      <c r="Q91" s="304">
        <f t="shared" si="28"/>
        <v>0.7</v>
      </c>
      <c r="R91" s="177">
        <f t="shared" si="29"/>
        <v>0.59069384163137317</v>
      </c>
      <c r="S91" s="799">
        <f t="shared" si="30"/>
        <v>-1</v>
      </c>
      <c r="T91" s="176">
        <f t="shared" si="31"/>
        <v>5</v>
      </c>
      <c r="U91" s="250">
        <f t="shared" si="32"/>
        <v>-0.40930615836862683</v>
      </c>
      <c r="V91" s="382">
        <f t="shared" si="33"/>
        <v>46.582761215537211</v>
      </c>
      <c r="W91" s="400">
        <f t="shared" si="34"/>
        <v>13.088671710335712</v>
      </c>
      <c r="X91" s="157">
        <f t="shared" si="35"/>
        <v>46829</v>
      </c>
      <c r="Y91" s="383">
        <f t="shared" si="36"/>
        <v>12.608525661158403</v>
      </c>
      <c r="Z91" s="383">
        <f t="shared" si="37"/>
        <v>13.445607673601023</v>
      </c>
      <c r="AA91" s="384">
        <f t="shared" si="38"/>
        <v>14.467690639559386</v>
      </c>
      <c r="AB91" s="197">
        <f t="shared" si="39"/>
        <v>46829</v>
      </c>
      <c r="AC91" s="119">
        <f>IF(OR(t&lt;Tnet,NoTnet),'2027'!Resal_s+('2027'!Salim-'2027'!Resal_s)*(1-EXP(('2027'!Tnet_s-t)/'2027'!Tau_j)),Resal_s+(Salim-Resal_s)*(1-EXP((Tnet_s-t)/Tau_j)))*Salcycl</f>
        <v>7.0645895839357722E-2</v>
      </c>
      <c r="AD91" s="230">
        <f>(INDEX(Models!$BJ91:$BT91,,AH91)*(1-AF91)+INDEX(Models!$BJ91:$BT91,,AH91+1)*AF91-ERP_i)*AE91*Ramure*Pc/MaxiM</f>
        <v>1.0546550188394432E-2</v>
      </c>
      <c r="AE91" s="304">
        <f t="shared" si="40"/>
        <v>0.7</v>
      </c>
      <c r="AF91" s="177">
        <f t="shared" si="41"/>
        <v>0.34635167247072385</v>
      </c>
      <c r="AG91" s="799">
        <f t="shared" si="49"/>
        <v>2</v>
      </c>
      <c r="AH91" s="176">
        <f t="shared" si="42"/>
        <v>8</v>
      </c>
      <c r="AI91" s="224">
        <f t="shared" si="43"/>
        <v>2.3463516724707238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46830</v>
      </c>
      <c r="B92" s="409">
        <f>'2027'!Wh/'2027'!Env_an*'2028'!Env_an</f>
        <v>27.273532436526541</v>
      </c>
      <c r="C92" s="829"/>
      <c r="D92" s="391">
        <f t="shared" si="25"/>
        <v>29.084783971027004</v>
      </c>
      <c r="E92" s="383">
        <f t="shared" si="47"/>
        <v>30.149946191055392</v>
      </c>
      <c r="F92" s="383">
        <f t="shared" si="26"/>
        <v>30.167792005874702</v>
      </c>
      <c r="G92" s="110">
        <f t="shared" si="48"/>
        <v>0.58141554317507582</v>
      </c>
      <c r="H92" s="412" t="b">
        <f>Wh_hp&gt;='2027'!Maxi_hp</f>
        <v>0</v>
      </c>
      <c r="I92" s="388">
        <f>IF(H92,Wh_hp,'2027'!Maxi_hp)</f>
        <v>45.384654125633041</v>
      </c>
      <c r="J92" s="85">
        <f>IF(H92,An,'2027'!An_max)</f>
        <v>2020</v>
      </c>
      <c r="K92" s="197">
        <f t="shared" si="27"/>
        <v>46830</v>
      </c>
      <c r="L92" s="147">
        <f>IF(t&lt;Tvie,1-EXP((T0-t)*PertePVj)+'2027'!Pspv,1-EXP((T0-t)*PertePVj)+Pspv)</f>
        <v>6.2274883537204673E-2</v>
      </c>
      <c r="M92" s="832"/>
      <c r="N92" s="832"/>
      <c r="O92" s="48">
        <f>IF(t&lt;Tnet,'2027'!Resal+('2027'!Salim-'2027'!Resal)*(1-EXP(('2027'!Tnet-t)/('2027'!Tau_j))),Resal+(Salim-Resal)*(1-EXP((Tnet-t)/(Tau_j))))*Salcycl</f>
        <v>3.5328826568333707E-2</v>
      </c>
      <c r="P92" s="169">
        <f>(INDEX(Models!$BJ92:$BT92,,T92)*(1-R92)+INDEX(Models!$BJ92:$BT92,,T92+1)*R92-ERP_i)*Q92*Ramure*Pc/MaxiM</f>
        <v>1.4687749855306945E-3</v>
      </c>
      <c r="Q92" s="304">
        <f t="shared" si="28"/>
        <v>0.7</v>
      </c>
      <c r="R92" s="177">
        <f t="shared" si="29"/>
        <v>0.59119353412273845</v>
      </c>
      <c r="S92" s="799">
        <f t="shared" si="30"/>
        <v>-1</v>
      </c>
      <c r="T92" s="176">
        <f t="shared" si="31"/>
        <v>5</v>
      </c>
      <c r="U92" s="250">
        <f t="shared" si="32"/>
        <v>-0.40880646587726155</v>
      </c>
      <c r="V92" s="382">
        <f t="shared" si="33"/>
        <v>46.867672567415276</v>
      </c>
      <c r="W92" s="400">
        <f t="shared" si="34"/>
        <v>27.273532436526541</v>
      </c>
      <c r="X92" s="157">
        <f t="shared" si="35"/>
        <v>46830</v>
      </c>
      <c r="Y92" s="383">
        <f t="shared" si="36"/>
        <v>26.18012069746397</v>
      </c>
      <c r="Z92" s="383">
        <f t="shared" si="37"/>
        <v>27.918758107086148</v>
      </c>
      <c r="AA92" s="384">
        <f t="shared" si="38"/>
        <v>30.042125396253422</v>
      </c>
      <c r="AB92" s="197">
        <f t="shared" si="39"/>
        <v>46830</v>
      </c>
      <c r="AC92" s="119">
        <f>IF(OR(t&lt;Tnet,NoTnet),'2027'!Resal_s+('2027'!Salim-'2027'!Resal_s)*(1-EXP(('2027'!Tnet_s-t)/'2027'!Tau_j)),Resal_s+(Salim-Resal_s)*(1-EXP((Tnet_s-t)/Tau_j)))*Salcycl</f>
        <v>7.0679662678995364E-2</v>
      </c>
      <c r="AD92" s="230">
        <f>(INDEX(Models!$BJ92:$BT92,,AH92)*(1-AF92)+INDEX(Models!$BJ92:$BT92,,AH92+1)*AF92-ERP_i)*AE92*Ramure*Pc/MaxiM</f>
        <v>1.0342815645967391E-2</v>
      </c>
      <c r="AE92" s="304">
        <f t="shared" si="40"/>
        <v>0.7</v>
      </c>
      <c r="AF92" s="177">
        <f t="shared" si="41"/>
        <v>0.34685136496208901</v>
      </c>
      <c r="AG92" s="799">
        <f t="shared" si="49"/>
        <v>2</v>
      </c>
      <c r="AH92" s="176">
        <f t="shared" si="42"/>
        <v>8</v>
      </c>
      <c r="AI92" s="224">
        <f t="shared" si="43"/>
        <v>2.346851364962089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46831</v>
      </c>
      <c r="B93" s="409">
        <f>'2027'!Wh/'2027'!Env_an*'2028'!Env_an</f>
        <v>31.930612265174894</v>
      </c>
      <c r="C93" s="829"/>
      <c r="D93" s="391">
        <f t="shared" si="25"/>
        <v>34.051795839969131</v>
      </c>
      <c r="E93" s="383">
        <f t="shared" si="47"/>
        <v>35.301564250221922</v>
      </c>
      <c r="F93" s="383">
        <f t="shared" si="26"/>
        <v>35.330244683379107</v>
      </c>
      <c r="G93" s="110">
        <f t="shared" si="48"/>
        <v>0.6767382392191259</v>
      </c>
      <c r="H93" s="412" t="b">
        <f>Wh_hp&gt;='2027'!Maxi_hp</f>
        <v>0</v>
      </c>
      <c r="I93" s="388">
        <f>IF(H93,Wh_hp,'2027'!Maxi_hp)</f>
        <v>51.000305055199313</v>
      </c>
      <c r="J93" s="85">
        <f>IF(H93,An,'2027'!An_max)</f>
        <v>2018</v>
      </c>
      <c r="K93" s="197">
        <f t="shared" si="27"/>
        <v>46831</v>
      </c>
      <c r="L93" s="147">
        <f>IF(t&lt;Tvie,1-EXP((T0-t)*PertePVj)+'2027'!Pspv,1-EXP((T0-t)*PertePVj)+Pspv)</f>
        <v>6.2292854825132249E-2</v>
      </c>
      <c r="M93" s="832"/>
      <c r="N93" s="832"/>
      <c r="O93" s="48">
        <f>IF(t&lt;Tnet,'2027'!Resal+('2027'!Salim-'2027'!Resal)*(1-EXP(('2027'!Tnet-t)/('2027'!Tau_j))),Resal+(Salim-Resal)*(1-EXP((Tnet-t)/(Tau_j))))*Salcycl</f>
        <v>3.540263545814213E-2</v>
      </c>
      <c r="P93" s="169">
        <f>(INDEX(Models!$BJ93:$BT93,,T93)*(1-R93)+INDEX(Models!$BJ93:$BT93,,T93+1)*R93-ERP_i)*Q93*Ramure*Pc/MaxiM</f>
        <v>1.5064509235960483E-3</v>
      </c>
      <c r="Q93" s="304">
        <f t="shared" si="28"/>
        <v>0.7</v>
      </c>
      <c r="R93" s="177">
        <f t="shared" si="29"/>
        <v>0.5917128237088356</v>
      </c>
      <c r="S93" s="799">
        <f t="shared" si="30"/>
        <v>-1</v>
      </c>
      <c r="T93" s="176">
        <f t="shared" si="31"/>
        <v>5</v>
      </c>
      <c r="U93" s="250">
        <f t="shared" si="32"/>
        <v>-0.40828717629116434</v>
      </c>
      <c r="V93" s="382">
        <f t="shared" si="33"/>
        <v>47.150302982346034</v>
      </c>
      <c r="W93" s="400">
        <f t="shared" si="34"/>
        <v>31.930612265174894</v>
      </c>
      <c r="X93" s="157">
        <f t="shared" si="35"/>
        <v>46831</v>
      </c>
      <c r="Y93" s="383">
        <f t="shared" si="36"/>
        <v>30.617012806544235</v>
      </c>
      <c r="Z93" s="383">
        <f t="shared" si="37"/>
        <v>32.650932611625393</v>
      </c>
      <c r="AA93" s="384">
        <f t="shared" si="38"/>
        <v>35.135494327410662</v>
      </c>
      <c r="AB93" s="197">
        <f t="shared" si="39"/>
        <v>46831</v>
      </c>
      <c r="AC93" s="119">
        <f>IF(OR(t&lt;Tnet,NoTnet),'2027'!Resal_s+('2027'!Salim-'2027'!Resal_s)*(1-EXP(('2027'!Tnet_s-t)/'2027'!Tau_j)),Resal_s+(Salim-Resal_s)*(1-EXP((Tnet_s-t)/Tau_j)))*Salcycl</f>
        <v>7.0713725915817191E-2</v>
      </c>
      <c r="AD93" s="230">
        <f>(INDEX(Models!$BJ93:$BT93,,AH93)*(1-AF93)+INDEX(Models!$BJ93:$BT93,,AH93+1)*AF93-ERP_i)*AE93*Ramure*Pc/MaxiM</f>
        <v>1.0229338309203289E-2</v>
      </c>
      <c r="AE93" s="304">
        <f t="shared" si="40"/>
        <v>0.7</v>
      </c>
      <c r="AF93" s="177">
        <f t="shared" si="41"/>
        <v>0.3473706545481865</v>
      </c>
      <c r="AG93" s="799">
        <f t="shared" si="49"/>
        <v>2</v>
      </c>
      <c r="AH93" s="176">
        <f t="shared" si="42"/>
        <v>8</v>
      </c>
      <c r="AI93" s="224">
        <f t="shared" si="43"/>
        <v>2.3473706545481865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46832</v>
      </c>
      <c r="B94" s="409">
        <f>'2027'!Wh/'2027'!Env_an*'2028'!Env_an</f>
        <v>44.475787068368291</v>
      </c>
      <c r="C94" s="829"/>
      <c r="D94" s="391">
        <f t="shared" si="25"/>
        <v>47.431268580898418</v>
      </c>
      <c r="E94" s="383">
        <f t="shared" si="47"/>
        <v>49.175858150028361</v>
      </c>
      <c r="F94" s="383">
        <f t="shared" si="26"/>
        <v>49.245053264014977</v>
      </c>
      <c r="G94" s="110">
        <f t="shared" si="48"/>
        <v>0.93752476289725273</v>
      </c>
      <c r="H94" s="412" t="b">
        <f>Wh_hp&gt;='2027'!Maxi_hp</f>
        <v>0</v>
      </c>
      <c r="I94" s="388">
        <f>IF(H94,Wh_hp,'2027'!Maxi_hp)</f>
        <v>51.582949818940655</v>
      </c>
      <c r="J94" s="85">
        <f>IF(H94,An,'2027'!An_max)</f>
        <v>2020</v>
      </c>
      <c r="K94" s="197">
        <f t="shared" si="27"/>
        <v>46832</v>
      </c>
      <c r="L94" s="147">
        <f>IF(t&lt;Tvie,1-EXP((T0-t)*PertePVj)+'2027'!Pspv,1-EXP((T0-t)*PertePVj)+Pspv)</f>
        <v>6.2310825768644107E-2</v>
      </c>
      <c r="M94" s="832"/>
      <c r="N94" s="832"/>
      <c r="O94" s="48">
        <f>IF(t&lt;Tnet,'2027'!Resal+('2027'!Salim-'2027'!Resal)*(1-EXP(('2027'!Tnet-t)/('2027'!Tau_j))),Resal+(Salim-Resal)*(1-EXP((Tnet-t)/(Tau_j))))*Salcycl</f>
        <v>3.5476545499367879E-2</v>
      </c>
      <c r="P94" s="169">
        <f>(INDEX(Models!$BJ94:$BT94,,T94)*(1-R94)+INDEX(Models!$BJ94:$BT94,,T94+1)*R94-ERP_i)*Q94*Ramure*Pc/MaxiM</f>
        <v>1.5425026910820875E-3</v>
      </c>
      <c r="Q94" s="304">
        <f t="shared" si="28"/>
        <v>0.7</v>
      </c>
      <c r="R94" s="177">
        <f t="shared" si="29"/>
        <v>0.59225242146059576</v>
      </c>
      <c r="S94" s="799">
        <f t="shared" si="30"/>
        <v>-1</v>
      </c>
      <c r="T94" s="176">
        <f t="shared" si="31"/>
        <v>5</v>
      </c>
      <c r="U94" s="250">
        <f t="shared" si="32"/>
        <v>-0.40774757853940419</v>
      </c>
      <c r="V94" s="382">
        <f t="shared" si="33"/>
        <v>47.433059841361462</v>
      </c>
      <c r="W94" s="400">
        <f t="shared" si="34"/>
        <v>44.475787068368291</v>
      </c>
      <c r="X94" s="157">
        <f t="shared" si="35"/>
        <v>46832</v>
      </c>
      <c r="Y94" s="383">
        <f t="shared" si="36"/>
        <v>42.51080383938352</v>
      </c>
      <c r="Z94" s="383">
        <f t="shared" si="37"/>
        <v>45.335709324180421</v>
      </c>
      <c r="AA94" s="384">
        <f t="shared" si="38"/>
        <v>48.787320138282553</v>
      </c>
      <c r="AB94" s="197">
        <f t="shared" si="39"/>
        <v>46832</v>
      </c>
      <c r="AC94" s="119">
        <f>IF(OR(t&lt;Tnet,NoTnet),'2027'!Resal_s+('2027'!Salim-'2027'!Resal_s)*(1-EXP(('2027'!Tnet_s-t)/'2027'!Tau_j)),Resal_s+(Salim-Resal_s)*(1-EXP((Tnet_s-t)/Tau_j)))*Salcycl</f>
        <v>7.0748112507899738E-2</v>
      </c>
      <c r="AD94" s="230">
        <f>(INDEX(Models!$BJ94:$BT94,,AH94)*(1-AF94)+INDEX(Models!$BJ94:$BT94,,AH94+1)*AF94-ERP_i)*AE94*Ramure*Pc/MaxiM</f>
        <v>1.0203821304149926E-2</v>
      </c>
      <c r="AE94" s="304">
        <f t="shared" si="40"/>
        <v>0.7</v>
      </c>
      <c r="AF94" s="177">
        <f t="shared" si="41"/>
        <v>0.34791025229994643</v>
      </c>
      <c r="AG94" s="799">
        <f t="shared" si="49"/>
        <v>2</v>
      </c>
      <c r="AH94" s="176">
        <f t="shared" si="42"/>
        <v>8</v>
      </c>
      <c r="AI94" s="224">
        <f t="shared" si="43"/>
        <v>2.3479102522999464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46833</v>
      </c>
      <c r="B95" s="409">
        <f>'2027'!Wh/'2027'!Env_an*'2028'!Env_an</f>
        <v>40.878922779659071</v>
      </c>
      <c r="C95" s="829"/>
      <c r="D95" s="391">
        <f t="shared" si="25"/>
        <v>43.596222877813204</v>
      </c>
      <c r="E95" s="383">
        <f t="shared" si="47"/>
        <v>45.203223291852659</v>
      </c>
      <c r="F95" s="383">
        <f t="shared" si="26"/>
        <v>45.259815141231535</v>
      </c>
      <c r="G95" s="110">
        <f t="shared" si="48"/>
        <v>0.85644809854394144</v>
      </c>
      <c r="H95" s="412" t="b">
        <f>Wh_hp&gt;='2027'!Maxi_hp</f>
        <v>0</v>
      </c>
      <c r="I95" s="388">
        <f>IF(H95,Wh_hp,'2027'!Maxi_hp)</f>
        <v>50.061246590023678</v>
      </c>
      <c r="J95" s="85">
        <f>IF(H95,An,'2027'!An_max)</f>
        <v>2020</v>
      </c>
      <c r="K95" s="197">
        <f t="shared" si="27"/>
        <v>46833</v>
      </c>
      <c r="L95" s="147">
        <f>IF(t&lt;Tvie,1-EXP((T0-t)*PertePVj)+'2027'!Pspv,1-EXP((T0-t)*PertePVj)+Pspv)</f>
        <v>6.2328796367747019E-2</v>
      </c>
      <c r="M95" s="832"/>
      <c r="N95" s="832"/>
      <c r="O95" s="48">
        <f>IF(t&lt;Tnet,'2027'!Resal+('2027'!Salim-'2027'!Resal)*(1-EXP(('2027'!Tnet-t)/('2027'!Tau_j))),Resal+(Salim-Resal)*(1-EXP((Tnet-t)/(Tau_j))))*Salcycl</f>
        <v>3.5550571331250481E-2</v>
      </c>
      <c r="P95" s="169">
        <f>(INDEX(Models!$BJ95:$BT95,,T95)*(1-R95)+INDEX(Models!$BJ95:$BT95,,T95+1)*R95-ERP_i)*Q95*Ramure*Pc/MaxiM</f>
        <v>1.5721685546056109E-3</v>
      </c>
      <c r="Q95" s="304">
        <f t="shared" si="28"/>
        <v>0.7</v>
      </c>
      <c r="R95" s="177">
        <f t="shared" si="29"/>
        <v>0.59281305950953556</v>
      </c>
      <c r="S95" s="799">
        <f t="shared" si="30"/>
        <v>-1</v>
      </c>
      <c r="T95" s="176">
        <f t="shared" si="31"/>
        <v>5</v>
      </c>
      <c r="U95" s="250">
        <f t="shared" si="32"/>
        <v>-0.40718694049046444</v>
      </c>
      <c r="V95" s="382">
        <f t="shared" si="33"/>
        <v>47.715386261210462</v>
      </c>
      <c r="W95" s="400">
        <f t="shared" si="34"/>
        <v>40.878922779659071</v>
      </c>
      <c r="X95" s="157">
        <f t="shared" si="35"/>
        <v>46833</v>
      </c>
      <c r="Y95" s="383">
        <f t="shared" si="36"/>
        <v>39.114653637623171</v>
      </c>
      <c r="Z95" s="383">
        <f t="shared" si="37"/>
        <v>41.714679395191943</v>
      </c>
      <c r="AA95" s="384">
        <f t="shared" si="38"/>
        <v>44.892283127407872</v>
      </c>
      <c r="AB95" s="197">
        <f t="shared" si="39"/>
        <v>46833</v>
      </c>
      <c r="AC95" s="119">
        <f>IF(OR(t&lt;Tnet,NoTnet),'2027'!Resal_s+('2027'!Salim-'2027'!Resal_s)*(1-EXP(('2027'!Tnet_s-t)/'2027'!Tau_j)),Resal_s+(Salim-Resal_s)*(1-EXP((Tnet_s-t)/Tau_j)))*Salcycl</f>
        <v>7.0782849765017294E-2</v>
      </c>
      <c r="AD95" s="230">
        <f>(INDEX(Models!$BJ95:$BT95,,AH95)*(1-AF95)+INDEX(Models!$BJ95:$BT95,,AH95+1)*AF95-ERP_i)*AE95*Ramure*Pc/MaxiM</f>
        <v>1.0210344445116842E-2</v>
      </c>
      <c r="AE95" s="304">
        <f t="shared" si="40"/>
        <v>0.7</v>
      </c>
      <c r="AF95" s="177">
        <f t="shared" si="41"/>
        <v>0.34847089034888645</v>
      </c>
      <c r="AG95" s="799">
        <f t="shared" si="49"/>
        <v>2</v>
      </c>
      <c r="AH95" s="176">
        <f t="shared" si="42"/>
        <v>8</v>
      </c>
      <c r="AI95" s="224">
        <f t="shared" si="43"/>
        <v>2.3484708903488865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46834</v>
      </c>
      <c r="B96" s="409">
        <f>'2027'!Wh/'2027'!Env_an*'2028'!Env_an</f>
        <v>48.2057682348185</v>
      </c>
      <c r="C96" s="829"/>
      <c r="D96" s="391">
        <f t="shared" si="25"/>
        <v>51.411083030316938</v>
      </c>
      <c r="E96" s="383">
        <f t="shared" si="47"/>
        <v>53.310246034838286</v>
      </c>
      <c r="F96" s="383">
        <f t="shared" si="26"/>
        <v>53.395442827230923</v>
      </c>
      <c r="G96" s="110">
        <f t="shared" si="48"/>
        <v>1.0043601605751804</v>
      </c>
      <c r="H96" s="412" t="b">
        <f>Wh_hp&gt;='2027'!Maxi_hp</f>
        <v>1</v>
      </c>
      <c r="I96" s="388">
        <f>IF(H96,Wh_hp,'2027'!Maxi_hp)</f>
        <v>53.395442827230923</v>
      </c>
      <c r="J96" s="85">
        <f>IF(H96,An,'2027'!An_max)</f>
        <v>2028</v>
      </c>
      <c r="K96" s="197">
        <f t="shared" si="27"/>
        <v>46834</v>
      </c>
      <c r="L96" s="147">
        <f>IF(t&lt;Tvie,1-EXP((T0-t)*PertePVj)+'2027'!Pspv,1-EXP((T0-t)*PertePVj)+Pspv)</f>
        <v>6.2346766622447425E-2</v>
      </c>
      <c r="M96" s="832"/>
      <c r="N96" s="832"/>
      <c r="O96" s="48">
        <f>IF(t&lt;Tnet,'2027'!Resal+('2027'!Salim-'2027'!Resal)*(1-EXP(('2027'!Tnet-t)/('2027'!Tau_j))),Resal+(Salim-Resal)*(1-EXP((Tnet-t)/(Tau_j))))*Salcycl</f>
        <v>3.562472781086478E-2</v>
      </c>
      <c r="P96" s="169">
        <f>(INDEX(Models!$BJ96:$BT96,,T96)*(1-R96)+INDEX(Models!$BJ96:$BT96,,T96+1)*R96-ERP_i)*Q96*Ramure*Pc/MaxiM</f>
        <v>1.5955817178687796E-3</v>
      </c>
      <c r="Q96" s="304">
        <f t="shared" si="28"/>
        <v>0.7</v>
      </c>
      <c r="R96" s="177">
        <f t="shared" si="29"/>
        <v>0.59339549127137126</v>
      </c>
      <c r="S96" s="799">
        <f t="shared" si="30"/>
        <v>-1</v>
      </c>
      <c r="T96" s="176">
        <f t="shared" si="31"/>
        <v>5</v>
      </c>
      <c r="U96" s="250">
        <f t="shared" si="32"/>
        <v>-0.40660450872862874</v>
      </c>
      <c r="V96" s="382">
        <f t="shared" si="33"/>
        <v>47.996495806058114</v>
      </c>
      <c r="W96" s="400">
        <f t="shared" si="34"/>
        <v>48.2057682348185</v>
      </c>
      <c r="X96" s="157">
        <f t="shared" si="35"/>
        <v>46834</v>
      </c>
      <c r="Y96" s="383">
        <f t="shared" si="36"/>
        <v>46.044034177995627</v>
      </c>
      <c r="Z96" s="383">
        <f t="shared" si="37"/>
        <v>49.105610196787623</v>
      </c>
      <c r="AA96" s="384">
        <f t="shared" si="38"/>
        <v>52.848213117613163</v>
      </c>
      <c r="AB96" s="197">
        <f t="shared" si="39"/>
        <v>46834</v>
      </c>
      <c r="AC96" s="119">
        <f>IF(OR(t&lt;Tnet,NoTnet),'2027'!Resal_s+('2027'!Salim-'2027'!Resal_s)*(1-EXP(('2027'!Tnet_s-t)/'2027'!Tau_j)),Resal_s+(Salim-Resal_s)*(1-EXP((Tnet_s-t)/Tau_j)))*Salcycl</f>
        <v>7.0817965263961127E-2</v>
      </c>
      <c r="AD96" s="230">
        <f>(INDEX(Models!$BJ96:$BT96,,AH96)*(1-AF96)+INDEX(Models!$BJ96:$BT96,,AH96+1)*AF96-ERP_i)*AE96*Ramure*Pc/MaxiM</f>
        <v>1.0248621991738208E-2</v>
      </c>
      <c r="AE96" s="304">
        <f t="shared" si="40"/>
        <v>0.7</v>
      </c>
      <c r="AF96" s="177">
        <f t="shared" si="41"/>
        <v>0.34905332211072215</v>
      </c>
      <c r="AG96" s="799">
        <f t="shared" si="49"/>
        <v>2</v>
      </c>
      <c r="AH96" s="176">
        <f t="shared" si="42"/>
        <v>8</v>
      </c>
      <c r="AI96" s="224">
        <f t="shared" si="43"/>
        <v>2.3490533221107222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46835</v>
      </c>
      <c r="B97" s="409">
        <f>'2027'!Wh/'2027'!Env_an*'2028'!Env_an</f>
        <v>47.113266563084444</v>
      </c>
      <c r="C97" s="829"/>
      <c r="D97" s="391">
        <f t="shared" si="25"/>
        <v>50.246901325858822</v>
      </c>
      <c r="E97" s="383">
        <f t="shared" si="47"/>
        <v>52.107073297237925</v>
      </c>
      <c r="F97" s="383">
        <f t="shared" si="26"/>
        <v>52.188351173287188</v>
      </c>
      <c r="G97" s="110">
        <f t="shared" si="48"/>
        <v>0.97586868902909829</v>
      </c>
      <c r="H97" s="412" t="b">
        <f>Wh_hp&gt;='2027'!Maxi_hp</f>
        <v>0</v>
      </c>
      <c r="I97" s="388">
        <f>IF(H97,Wh_hp,'2027'!Maxi_hp)</f>
        <v>52.189967831143782</v>
      </c>
      <c r="J97" s="85">
        <f>IF(H97,An,'2027'!An_max)</f>
        <v>2027</v>
      </c>
      <c r="K97" s="197">
        <f t="shared" si="27"/>
        <v>46835</v>
      </c>
      <c r="L97" s="147">
        <f>IF(t&lt;Tvie,1-EXP((T0-t)*PertePVj)+'2027'!Pspv,1-EXP((T0-t)*PertePVj)+Pspv)</f>
        <v>6.2364736532752096E-2</v>
      </c>
      <c r="M97" s="832"/>
      <c r="N97" s="832"/>
      <c r="O97" s="48">
        <f>IF(t&lt;Tnet,'2027'!Resal+('2027'!Salim-'2027'!Resal)*(1-EXP(('2027'!Tnet-t)/('2027'!Tau_j))),Resal+(Salim-Resal)*(1-EXP((Tnet-t)/(Tau_j))))*Salcycl</f>
        <v>3.5699029971766001E-2</v>
      </c>
      <c r="P97" s="169">
        <f>(INDEX(Models!$BJ97:$BT97,,T97)*(1-R97)+INDEX(Models!$BJ97:$BT97,,T97+1)*R97-ERP_i)*Q97*Ramure*Pc/MaxiM</f>
        <v>1.6128710280317153E-3</v>
      </c>
      <c r="Q97" s="304">
        <f t="shared" si="28"/>
        <v>0.7</v>
      </c>
      <c r="R97" s="177">
        <f t="shared" si="29"/>
        <v>0.59400049163341917</v>
      </c>
      <c r="S97" s="799">
        <f t="shared" si="30"/>
        <v>-1</v>
      </c>
      <c r="T97" s="176">
        <f t="shared" si="31"/>
        <v>5</v>
      </c>
      <c r="U97" s="250">
        <f t="shared" si="32"/>
        <v>-0.40599950836658089</v>
      </c>
      <c r="V97" s="382">
        <f t="shared" si="33"/>
        <v>48.275602402199297</v>
      </c>
      <c r="W97" s="400">
        <f t="shared" si="34"/>
        <v>47.113266563084444</v>
      </c>
      <c r="X97" s="157">
        <f t="shared" si="35"/>
        <v>46835</v>
      </c>
      <c r="Y97" s="383">
        <f t="shared" si="36"/>
        <v>45.01351452609844</v>
      </c>
      <c r="Z97" s="383">
        <f t="shared" si="37"/>
        <v>48.007488924472163</v>
      </c>
      <c r="AA97" s="384">
        <f t="shared" si="38"/>
        <v>51.668373330418184</v>
      </c>
      <c r="AB97" s="197">
        <f t="shared" si="39"/>
        <v>46835</v>
      </c>
      <c r="AC97" s="119">
        <f>IF(OR(t&lt;Tnet,NoTnet),'2027'!Resal_s+('2027'!Salim-'2027'!Resal_s)*(1-EXP(('2027'!Tnet_s-t)/'2027'!Tau_j)),Resal_s+(Salim-Resal_s)*(1-EXP((Tnet_s-t)/Tau_j)))*Salcycl</f>
        <v>7.0853486765196524E-2</v>
      </c>
      <c r="AD97" s="230">
        <f>(INDEX(Models!$BJ97:$BT97,,AH97)*(1-AF97)+INDEX(Models!$BJ97:$BT97,,AH97+1)*AF97-ERP_i)*AE97*Ramure*Pc/MaxiM</f>
        <v>1.0318394608066798E-2</v>
      </c>
      <c r="AE97" s="304">
        <f t="shared" si="40"/>
        <v>0.7</v>
      </c>
      <c r="AF97" s="177">
        <f t="shared" si="41"/>
        <v>0.34965832247277007</v>
      </c>
      <c r="AG97" s="799">
        <f t="shared" si="49"/>
        <v>2</v>
      </c>
      <c r="AH97" s="176">
        <f t="shared" si="42"/>
        <v>8</v>
      </c>
      <c r="AI97" s="224">
        <f t="shared" si="43"/>
        <v>2.3496583224727701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46836</v>
      </c>
      <c r="B98" s="409">
        <f>'2027'!Wh/'2027'!Env_an*'2028'!Env_an</f>
        <v>37.167531985573717</v>
      </c>
      <c r="C98" s="829"/>
      <c r="D98" s="391">
        <f t="shared" si="25"/>
        <v>39.640407901312599</v>
      </c>
      <c r="E98" s="383">
        <f t="shared" si="47"/>
        <v>41.111095383544402</v>
      </c>
      <c r="F98" s="383">
        <f t="shared" si="26"/>
        <v>41.155548147165256</v>
      </c>
      <c r="G98" s="110">
        <f t="shared" si="48"/>
        <v>0.76510443005264661</v>
      </c>
      <c r="H98" s="412" t="b">
        <f>Wh_hp&gt;='2027'!Maxi_hp</f>
        <v>0</v>
      </c>
      <c r="I98" s="388">
        <f>IF(H98,Wh_hp,'2027'!Maxi_hp)</f>
        <v>52.042805728748291</v>
      </c>
      <c r="J98" s="85">
        <f>IF(H98,An,'2027'!An_max)</f>
        <v>2020</v>
      </c>
      <c r="K98" s="197">
        <f t="shared" si="27"/>
        <v>46836</v>
      </c>
      <c r="L98" s="147">
        <f>IF(t&lt;Tvie,1-EXP((T0-t)*PertePVj)+'2027'!Pspv,1-EXP((T0-t)*PertePVj)+Pspv)</f>
        <v>6.2382706098667473E-2</v>
      </c>
      <c r="M98" s="832"/>
      <c r="N98" s="832"/>
      <c r="O98" s="48">
        <f>IF(t&lt;Tnet,'2027'!Resal+('2027'!Salim-'2027'!Resal)*(1-EXP(('2027'!Tnet-t)/('2027'!Tau_j))),Resal+(Salim-Resal)*(1-EXP((Tnet-t)/(Tau_j))))*Salcycl</f>
        <v>3.5773492983124829E-2</v>
      </c>
      <c r="P98" s="169">
        <f>(INDEX(Models!$BJ98:$BT98,,T98)*(1-R98)+INDEX(Models!$BJ98:$BT98,,T98+1)*R98-ERP_i)*Q98*Ramure*Pc/MaxiM</f>
        <v>1.6241599795202794E-3</v>
      </c>
      <c r="Q98" s="304">
        <f t="shared" si="28"/>
        <v>0.7</v>
      </c>
      <c r="R98" s="177">
        <f t="shared" si="29"/>
        <v>0.59462885710161695</v>
      </c>
      <c r="S98" s="799">
        <f t="shared" si="30"/>
        <v>-1</v>
      </c>
      <c r="T98" s="176">
        <f t="shared" si="31"/>
        <v>5</v>
      </c>
      <c r="U98" s="250">
        <f t="shared" si="32"/>
        <v>-0.40537114289838305</v>
      </c>
      <c r="V98" s="382">
        <f t="shared" si="33"/>
        <v>48.551920349518305</v>
      </c>
      <c r="W98" s="400">
        <f t="shared" si="34"/>
        <v>37.167531985573717</v>
      </c>
      <c r="X98" s="157">
        <f t="shared" si="35"/>
        <v>46836</v>
      </c>
      <c r="Y98" s="383">
        <f t="shared" si="36"/>
        <v>35.604229237214703</v>
      </c>
      <c r="Z98" s="383">
        <f t="shared" si="37"/>
        <v>37.973093573252086</v>
      </c>
      <c r="AA98" s="384">
        <f t="shared" si="38"/>
        <v>40.870371401610754</v>
      </c>
      <c r="AB98" s="197">
        <f t="shared" si="39"/>
        <v>46836</v>
      </c>
      <c r="AC98" s="119">
        <f>IF(OR(t&lt;Tnet,NoTnet),'2027'!Resal_s+('2027'!Salim-'2027'!Resal_s)*(1-EXP(('2027'!Tnet_s-t)/'2027'!Tau_j)),Resal_s+(Salim-Resal_s)*(1-EXP((Tnet_s-t)/Tau_j)))*Salcycl</f>
        <v>7.0889442131286465E-2</v>
      </c>
      <c r="AD98" s="230">
        <f>(INDEX(Models!$BJ98:$BT98,,AH98)*(1-AF98)+INDEX(Models!$BJ98:$BT98,,AH98+1)*AF98-ERP_i)*AE98*Ramure*Pc/MaxiM</f>
        <v>1.0419434462387465E-2</v>
      </c>
      <c r="AE98" s="304">
        <f t="shared" si="40"/>
        <v>0.7</v>
      </c>
      <c r="AF98" s="177">
        <f t="shared" si="41"/>
        <v>0.35028668794096784</v>
      </c>
      <c r="AG98" s="799">
        <f t="shared" si="49"/>
        <v>2</v>
      </c>
      <c r="AH98" s="176">
        <f t="shared" si="42"/>
        <v>8</v>
      </c>
      <c r="AI98" s="224">
        <f t="shared" si="43"/>
        <v>2.3502866879409678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46837</v>
      </c>
      <c r="B99" s="409">
        <f>'2027'!Wh/'2027'!Env_an*'2028'!Env_an</f>
        <v>42.487576806493067</v>
      </c>
      <c r="C99" s="829"/>
      <c r="D99" s="391">
        <f t="shared" si="25"/>
        <v>45.315280939438637</v>
      </c>
      <c r="E99" s="383">
        <f t="shared" si="47"/>
        <v>47.000148470995356</v>
      </c>
      <c r="F99" s="383">
        <f t="shared" si="26"/>
        <v>47.062620080137911</v>
      </c>
      <c r="G99" s="110">
        <f t="shared" si="48"/>
        <v>0.86994396475229574</v>
      </c>
      <c r="H99" s="412" t="b">
        <f>Wh_hp&gt;='2027'!Maxi_hp</f>
        <v>0</v>
      </c>
      <c r="I99" s="388">
        <f>IF(H99,Wh_hp,'2027'!Maxi_hp)</f>
        <v>54.406274588280766</v>
      </c>
      <c r="J99" s="85">
        <f>IF(H99,An,'2027'!An_max)</f>
        <v>2020</v>
      </c>
      <c r="K99" s="197">
        <f t="shared" si="27"/>
        <v>46837</v>
      </c>
      <c r="L99" s="147">
        <f>IF(t&lt;Tvie,1-EXP((T0-t)*PertePVj)+'2027'!Pspv,1-EXP((T0-t)*PertePVj)+Pspv)</f>
        <v>6.2400675320200216E-2</v>
      </c>
      <c r="M99" s="832"/>
      <c r="N99" s="832"/>
      <c r="O99" s="48">
        <f>IF(t&lt;Tnet,'2027'!Resal+('2027'!Salim-'2027'!Resal)*(1-EXP(('2027'!Tnet-t)/('2027'!Tau_j))),Resal+(Salim-Resal)*(1-EXP((Tnet-t)/(Tau_j))))*Salcycl</f>
        <v>3.5848132109550283E-2</v>
      </c>
      <c r="P99" s="169">
        <f>(INDEX(Models!$BJ99:$BT99,,T99)*(1-R99)+INDEX(Models!$BJ99:$BT99,,T99+1)*R99-ERP_i)*Q99*Ramure*Pc/MaxiM</f>
        <v>1.6295657844060637E-3</v>
      </c>
      <c r="Q99" s="304">
        <f t="shared" si="28"/>
        <v>0.7</v>
      </c>
      <c r="R99" s="177">
        <f t="shared" si="29"/>
        <v>0.59528140590273981</v>
      </c>
      <c r="S99" s="799">
        <f t="shared" si="30"/>
        <v>-1</v>
      </c>
      <c r="T99" s="176">
        <f t="shared" si="31"/>
        <v>5</v>
      </c>
      <c r="U99" s="250">
        <f t="shared" si="32"/>
        <v>-0.40471859409726019</v>
      </c>
      <c r="V99" s="382">
        <f t="shared" si="33"/>
        <v>48.824664337421261</v>
      </c>
      <c r="W99" s="400">
        <f t="shared" si="34"/>
        <v>42.487576806493067</v>
      </c>
      <c r="X99" s="157">
        <f t="shared" si="35"/>
        <v>46837</v>
      </c>
      <c r="Y99" s="383">
        <f t="shared" si="36"/>
        <v>40.64384820700797</v>
      </c>
      <c r="Z99" s="383">
        <f t="shared" si="37"/>
        <v>43.348845436602971</v>
      </c>
      <c r="AA99" s="384">
        <f t="shared" si="38"/>
        <v>46.658112130308936</v>
      </c>
      <c r="AB99" s="197">
        <f t="shared" si="39"/>
        <v>46837</v>
      </c>
      <c r="AC99" s="119">
        <f>IF(OR(t&lt;Tnet,NoTnet),'2027'!Resal_s+('2027'!Salim-'2027'!Resal_s)*(1-EXP(('2027'!Tnet_s-t)/'2027'!Tau_j)),Resal_s+(Salim-Resal_s)*(1-EXP((Tnet_s-t)/Tau_j)))*Salcycl</f>
        <v>7.0925859247448667E-2</v>
      </c>
      <c r="AD99" s="230">
        <f>(INDEX(Models!$BJ99:$BT99,,AH99)*(1-AF99)+INDEX(Models!$BJ99:$BT99,,AH99+1)*AF99-ERP_i)*AE99*Ramure*Pc/MaxiM</f>
        <v>1.0551550113866316E-2</v>
      </c>
      <c r="AE99" s="304">
        <f t="shared" si="40"/>
        <v>0.7</v>
      </c>
      <c r="AF99" s="177">
        <f t="shared" si="41"/>
        <v>0.35093923674209071</v>
      </c>
      <c r="AG99" s="799">
        <f t="shared" si="49"/>
        <v>2</v>
      </c>
      <c r="AH99" s="176">
        <f t="shared" si="42"/>
        <v>8</v>
      </c>
      <c r="AI99" s="224">
        <f t="shared" si="43"/>
        <v>2.3509392367420907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46838</v>
      </c>
      <c r="B100" s="409">
        <f>'2027'!Wh/'2027'!Env_an*'2028'!Env_an</f>
        <v>45.069663488249248</v>
      </c>
      <c r="C100" s="829"/>
      <c r="D100" s="391">
        <f t="shared" si="25"/>
        <v>48.070136217316396</v>
      </c>
      <c r="E100" s="383">
        <f t="shared" si="47"/>
        <v>49.861301904393699</v>
      </c>
      <c r="F100" s="383">
        <f t="shared" si="26"/>
        <v>49.933076503299823</v>
      </c>
      <c r="G100" s="110">
        <f t="shared" si="48"/>
        <v>0.9178693923654867</v>
      </c>
      <c r="H100" s="412" t="b">
        <f>Wh_hp&gt;='2027'!Maxi_hp</f>
        <v>0</v>
      </c>
      <c r="I100" s="388">
        <f>IF(H100,Wh_hp,'2027'!Maxi_hp)</f>
        <v>53.384217171307384</v>
      </c>
      <c r="J100" s="85">
        <f>IF(H100,An,'2027'!An_max)</f>
        <v>2018</v>
      </c>
      <c r="K100" s="197">
        <f t="shared" si="27"/>
        <v>46838</v>
      </c>
      <c r="L100" s="147">
        <f>IF(t&lt;Tvie,1-EXP((T0-t)*PertePVj)+'2027'!Pspv,1-EXP((T0-t)*PertePVj)+Pspv)</f>
        <v>6.2418644197356876E-2</v>
      </c>
      <c r="M100" s="832"/>
      <c r="N100" s="832"/>
      <c r="O100" s="48">
        <f>IF(t&lt;Tnet,'2027'!Resal+('2027'!Salim-'2027'!Resal)*(1-EXP(('2027'!Tnet-t)/('2027'!Tau_j))),Resal+(Salim-Resal)*(1-EXP((Tnet-t)/(Tau_j))))*Salcycl</f>
        <v>3.5922962671768366E-2</v>
      </c>
      <c r="P100" s="169">
        <f>(INDEX(Models!$BJ100:$BT100,,T100)*(1-R100)+INDEX(Models!$BJ100:$BT100,,T100+1)*R100-ERP_i)*Q100*Ramure*Pc/MaxiM</f>
        <v>1.6280234333916684E-3</v>
      </c>
      <c r="Q100" s="304">
        <f t="shared" si="28"/>
        <v>0.7</v>
      </c>
      <c r="R100" s="177">
        <f t="shared" si="29"/>
        <v>0.59595897803711151</v>
      </c>
      <c r="S100" s="799">
        <f t="shared" si="30"/>
        <v>-1</v>
      </c>
      <c r="T100" s="176">
        <f t="shared" si="31"/>
        <v>5</v>
      </c>
      <c r="U100" s="250">
        <f t="shared" si="32"/>
        <v>-0.40404102196288855</v>
      </c>
      <c r="V100" s="382">
        <f t="shared" si="33"/>
        <v>49.093107233256347</v>
      </c>
      <c r="W100" s="400">
        <f t="shared" si="34"/>
        <v>45.069663488249248</v>
      </c>
      <c r="X100" s="157">
        <f t="shared" si="35"/>
        <v>46838</v>
      </c>
      <c r="Y100" s="383">
        <f t="shared" si="36"/>
        <v>43.08326833382246</v>
      </c>
      <c r="Z100" s="383">
        <f t="shared" si="37"/>
        <v>45.951498573624903</v>
      </c>
      <c r="AA100" s="384">
        <f t="shared" si="38"/>
        <v>49.461417572077849</v>
      </c>
      <c r="AB100" s="197">
        <f t="shared" si="39"/>
        <v>46838</v>
      </c>
      <c r="AC100" s="119">
        <f>IF(OR(t&lt;Tnet,NoTnet),'2027'!Resal_s+('2027'!Salim-'2027'!Resal_s)*(1-EXP(('2027'!Tnet_s-t)/'2027'!Tau_j)),Resal_s+(Salim-Resal_s)*(1-EXP((Tnet_s-t)/Tau_j)))*Salcycl</f>
        <v>7.0962765944548645E-2</v>
      </c>
      <c r="AD100" s="230">
        <f>(INDEX(Models!$BJ100:$BT100,,AH100)*(1-AF100)+INDEX(Models!$BJ100:$BT100,,AH100+1)*AF100-ERP_i)*AE100*Ramure*Pc/MaxiM</f>
        <v>1.0698378037642838E-2</v>
      </c>
      <c r="AE100" s="304">
        <f t="shared" si="40"/>
        <v>0.7</v>
      </c>
      <c r="AF100" s="177">
        <f t="shared" si="41"/>
        <v>0.35161680887646218</v>
      </c>
      <c r="AG100" s="799">
        <f t="shared" si="49"/>
        <v>2</v>
      </c>
      <c r="AH100" s="176">
        <f t="shared" si="42"/>
        <v>8</v>
      </c>
      <c r="AI100" s="224">
        <f t="shared" si="43"/>
        <v>2.3516168088764622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46839</v>
      </c>
      <c r="B101" s="409">
        <f>'2027'!Wh/'2027'!Env_an*'2028'!Env_an</f>
        <v>38.460892243733113</v>
      </c>
      <c r="C101" s="829"/>
      <c r="D101" s="391">
        <f t="shared" si="25"/>
        <v>41.022178090517777</v>
      </c>
      <c r="E101" s="383">
        <f t="shared" si="47"/>
        <v>42.554038363894108</v>
      </c>
      <c r="F101" s="383">
        <f t="shared" si="26"/>
        <v>42.601354975513438</v>
      </c>
      <c r="G101" s="110">
        <f t="shared" si="48"/>
        <v>0.77885025552237408</v>
      </c>
      <c r="H101" s="412" t="b">
        <f>Wh_hp&gt;='2027'!Maxi_hp</f>
        <v>0</v>
      </c>
      <c r="I101" s="388">
        <f>IF(H101,Wh_hp,'2027'!Maxi_hp)</f>
        <v>52.671348096668545</v>
      </c>
      <c r="J101" s="85">
        <f>IF(H101,An,'2027'!An_max)</f>
        <v>2021</v>
      </c>
      <c r="K101" s="197">
        <f t="shared" si="27"/>
        <v>46839</v>
      </c>
      <c r="L101" s="147">
        <f>IF(t&lt;Tvie,1-EXP((T0-t)*PertePVj)+'2027'!Pspv,1-EXP((T0-t)*PertePVj)+Pspv)</f>
        <v>6.2436612730144114E-2</v>
      </c>
      <c r="M101" s="832"/>
      <c r="N101" s="832"/>
      <c r="O101" s="48">
        <f>IF(t&lt;Tnet,'2027'!Resal+('2027'!Salim-'2027'!Resal)*(1-EXP(('2027'!Tnet-t)/('2027'!Tau_j))),Resal+(Salim-Resal)*(1-EXP((Tnet-t)/(Tau_j))))*Salcycl</f>
        <v>3.5998000008292272E-2</v>
      </c>
      <c r="P101" s="169">
        <f>(INDEX(Models!$BJ101:$BT101,,T101)*(1-R101)+INDEX(Models!$BJ101:$BT101,,T101+1)*R101-ERP_i)*Q101*Ramure*Pc/MaxiM</f>
        <v>1.6222833849076873E-3</v>
      </c>
      <c r="Q101" s="304">
        <f t="shared" si="28"/>
        <v>0.7</v>
      </c>
      <c r="R101" s="177">
        <f t="shared" si="29"/>
        <v>0.59666243527684282</v>
      </c>
      <c r="S101" s="799">
        <f t="shared" si="30"/>
        <v>-1</v>
      </c>
      <c r="T101" s="176">
        <f t="shared" si="31"/>
        <v>5</v>
      </c>
      <c r="U101" s="250">
        <f t="shared" si="32"/>
        <v>-0.40333756472315713</v>
      </c>
      <c r="V101" s="382">
        <f t="shared" si="33"/>
        <v>49.356334539200553</v>
      </c>
      <c r="W101" s="400">
        <f t="shared" si="34"/>
        <v>38.460892243733113</v>
      </c>
      <c r="X101" s="157">
        <f t="shared" si="35"/>
        <v>46839</v>
      </c>
      <c r="Y101" s="383">
        <f t="shared" si="36"/>
        <v>36.830514650456081</v>
      </c>
      <c r="Z101" s="383">
        <f t="shared" si="37"/>
        <v>39.283226233593602</v>
      </c>
      <c r="AA101" s="384">
        <f t="shared" si="38"/>
        <v>42.285505128803266</v>
      </c>
      <c r="AB101" s="197">
        <f t="shared" si="39"/>
        <v>46839</v>
      </c>
      <c r="AC101" s="119">
        <f>IF(OR(t&lt;Tnet,NoTnet),'2027'!Resal_s+('2027'!Salim-'2027'!Resal_s)*(1-EXP(('2027'!Tnet_s-t)/'2027'!Tau_j)),Resal_s+(Salim-Resal_s)*(1-EXP((Tnet_s-t)/Tau_j)))*Salcycl</f>
        <v>7.1000189924765159E-2</v>
      </c>
      <c r="AD101" s="230">
        <f>(INDEX(Models!$BJ101:$BT101,,AH101)*(1-AF101)+INDEX(Models!$BJ101:$BT101,,AH101+1)*AF101-ERP_i)*AE101*Ramure*Pc/MaxiM</f>
        <v>1.0829134650762219E-2</v>
      </c>
      <c r="AE101" s="304">
        <f t="shared" si="40"/>
        <v>0.7</v>
      </c>
      <c r="AF101" s="177">
        <f t="shared" si="41"/>
        <v>0.35232026611619371</v>
      </c>
      <c r="AG101" s="799">
        <f t="shared" si="49"/>
        <v>2</v>
      </c>
      <c r="AH101" s="176">
        <f t="shared" si="42"/>
        <v>8</v>
      </c>
      <c r="AI101" s="224">
        <f t="shared" si="43"/>
        <v>2.3523202661161937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46840</v>
      </c>
      <c r="B102" s="409">
        <f>'2027'!Wh/'2027'!Env_an*'2028'!Env_an</f>
        <v>26.818427585504192</v>
      </c>
      <c r="C102" s="829"/>
      <c r="D102" s="391">
        <f t="shared" si="25"/>
        <v>28.604936933913866</v>
      </c>
      <c r="E102" s="383">
        <f t="shared" si="47"/>
        <v>29.675426285240139</v>
      </c>
      <c r="F102" s="383">
        <f t="shared" si="26"/>
        <v>29.691878207199181</v>
      </c>
      <c r="G102" s="110">
        <f t="shared" si="48"/>
        <v>0.53997391031062603</v>
      </c>
      <c r="H102" s="412" t="b">
        <f>Wh_hp&gt;='2027'!Maxi_hp</f>
        <v>0</v>
      </c>
      <c r="I102" s="388">
        <f>IF(H102,Wh_hp,'2027'!Maxi_hp)</f>
        <v>55.509547390631532</v>
      </c>
      <c r="J102" s="85">
        <f>IF(H102,An,'2027'!An_max)</f>
        <v>2021</v>
      </c>
      <c r="K102" s="197">
        <f t="shared" si="27"/>
        <v>46840</v>
      </c>
      <c r="L102" s="147">
        <f>IF(t&lt;Tvie,1-EXP((T0-t)*PertePVj)+'2027'!Pspv,1-EXP((T0-t)*PertePVj)+Pspv)</f>
        <v>6.2454580918568592E-2</v>
      </c>
      <c r="M102" s="832"/>
      <c r="N102" s="832"/>
      <c r="O102" s="48">
        <f>IF(t&lt;Tnet,'2027'!Resal+('2027'!Salim-'2027'!Resal)*(1-EXP(('2027'!Tnet-t)/('2027'!Tau_j))),Resal+(Salim-Resal)*(1-EXP((Tnet-t)/(Tau_j))))*Salcycl</f>
        <v>3.6073259438187434E-2</v>
      </c>
      <c r="P102" s="169">
        <f>(INDEX(Models!$BJ102:$BT102,,T102)*(1-R102)+INDEX(Models!$BJ102:$BT102,,T102+1)*R102-ERP_i)*Q102*Ramure*Pc/MaxiM</f>
        <v>1.6124205333935119E-3</v>
      </c>
      <c r="Q102" s="304">
        <f t="shared" si="28"/>
        <v>0.7</v>
      </c>
      <c r="R102" s="177">
        <f t="shared" si="29"/>
        <v>0.59739266110435196</v>
      </c>
      <c r="S102" s="799">
        <f t="shared" si="30"/>
        <v>-1</v>
      </c>
      <c r="T102" s="176">
        <f t="shared" si="31"/>
        <v>5</v>
      </c>
      <c r="U102" s="250">
        <f t="shared" si="32"/>
        <v>-0.40260733889564804</v>
      </c>
      <c r="V102" s="382">
        <f t="shared" si="33"/>
        <v>49.613561936918501</v>
      </c>
      <c r="W102" s="400">
        <f t="shared" si="34"/>
        <v>26.818427585504192</v>
      </c>
      <c r="X102" s="157">
        <f t="shared" si="35"/>
        <v>46840</v>
      </c>
      <c r="Y102" s="383">
        <f t="shared" si="36"/>
        <v>25.76270416886836</v>
      </c>
      <c r="Z102" s="383">
        <f t="shared" si="37"/>
        <v>27.47888650995661</v>
      </c>
      <c r="AA102" s="384">
        <f t="shared" si="38"/>
        <v>29.580210174412976</v>
      </c>
      <c r="AB102" s="197">
        <f t="shared" si="39"/>
        <v>46840</v>
      </c>
      <c r="AC102" s="119">
        <f>IF(OR(t&lt;Tnet,NoTnet),'2027'!Resal_s+('2027'!Salim-'2027'!Resal_s)*(1-EXP(('2027'!Tnet_s-t)/'2027'!Tau_j)),Resal_s+(Salim-Resal_s)*(1-EXP((Tnet_s-t)/Tau_j)))*Salcycl</f>
        <v>7.1038158690096845E-2</v>
      </c>
      <c r="AD102" s="230">
        <f>(INDEX(Models!$BJ102:$BT102,,AH102)*(1-AF102)+INDEX(Models!$BJ102:$BT102,,AH102+1)*AF102-ERP_i)*AE102*Ramure*Pc/MaxiM</f>
        <v>1.0944364399271017E-2</v>
      </c>
      <c r="AE102" s="304">
        <f t="shared" si="40"/>
        <v>0.7</v>
      </c>
      <c r="AF102" s="177">
        <f t="shared" si="41"/>
        <v>0.35305049194370275</v>
      </c>
      <c r="AG102" s="799">
        <f t="shared" si="49"/>
        <v>2</v>
      </c>
      <c r="AH102" s="176">
        <f t="shared" si="42"/>
        <v>8</v>
      </c>
      <c r="AI102" s="224">
        <f t="shared" si="43"/>
        <v>2.3530504919437027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46841</v>
      </c>
      <c r="B103" s="409">
        <f>'2027'!Wh/'2027'!Env_an*'2028'!Env_an</f>
        <v>6.0735884281651282</v>
      </c>
      <c r="C103" s="829"/>
      <c r="D103" s="391">
        <f t="shared" si="25"/>
        <v>6.4783046300661509</v>
      </c>
      <c r="E103" s="383">
        <f t="shared" si="47"/>
        <v>6.7212701876000738</v>
      </c>
      <c r="F103" s="383">
        <f t="shared" si="26"/>
        <v>6.7212701876000738</v>
      </c>
      <c r="G103" s="110">
        <f t="shared" si="48"/>
        <v>0.12160835695097461</v>
      </c>
      <c r="H103" s="412" t="b">
        <f>Wh_hp&gt;='2027'!Maxi_hp</f>
        <v>0</v>
      </c>
      <c r="I103" s="388">
        <f>IF(H103,Wh_hp,'2027'!Maxi_hp)</f>
        <v>54.961612248927921</v>
      </c>
      <c r="J103" s="85">
        <f>IF(H103,An,'2027'!An_max)</f>
        <v>2018</v>
      </c>
      <c r="K103" s="197">
        <f t="shared" si="27"/>
        <v>46841</v>
      </c>
      <c r="L103" s="147">
        <f>IF(t&lt;Tvie,1-EXP((T0-t)*PertePVj)+'2027'!Pspv,1-EXP((T0-t)*PertePVj)+Pspv)</f>
        <v>6.2472548762636748E-2</v>
      </c>
      <c r="M103" s="832"/>
      <c r="N103" s="832"/>
      <c r="O103" s="48">
        <f>IF(t&lt;Tnet,'2027'!Resal+('2027'!Salim-'2027'!Resal)*(1-EXP(('2027'!Tnet-t)/('2027'!Tau_j))),Resal+(Salim-Resal)*(1-EXP((Tnet-t)/(Tau_j))))*Salcycl</f>
        <v>3.6148756225001154E-2</v>
      </c>
      <c r="P103" s="169">
        <f>(INDEX(Models!$BJ103:$BT103,,T103)*(1-R103)+INDEX(Models!$BJ103:$BT103,,T103+1)*R103-ERP_i)*Q103*Ramure*Pc/MaxiM</f>
        <v>1.5985024329783913E-3</v>
      </c>
      <c r="Q103" s="304">
        <f t="shared" si="28"/>
        <v>0.7</v>
      </c>
      <c r="R103" s="177">
        <f t="shared" si="29"/>
        <v>0.59815056058564664</v>
      </c>
      <c r="S103" s="799">
        <f t="shared" si="30"/>
        <v>-1</v>
      </c>
      <c r="T103" s="176">
        <f t="shared" si="31"/>
        <v>5</v>
      </c>
      <c r="U103" s="250">
        <f t="shared" si="32"/>
        <v>-0.40184943941435336</v>
      </c>
      <c r="V103" s="382">
        <f t="shared" si="33"/>
        <v>49.8640055200351</v>
      </c>
      <c r="W103" s="400">
        <f t="shared" si="34"/>
        <v>6.0735884281651282</v>
      </c>
      <c r="X103" s="157">
        <f t="shared" si="35"/>
        <v>46841</v>
      </c>
      <c r="Y103" s="383">
        <f t="shared" si="36"/>
        <v>5.8534943490158069</v>
      </c>
      <c r="Z103" s="383">
        <f t="shared" si="37"/>
        <v>6.2435444863937315</v>
      </c>
      <c r="AA103" s="384">
        <f t="shared" si="38"/>
        <v>6.7212701876000738</v>
      </c>
      <c r="AB103" s="197">
        <f t="shared" si="39"/>
        <v>46841</v>
      </c>
      <c r="AC103" s="119">
        <f>IF(OR(t&lt;Tnet,NoTnet),'2027'!Resal_s+('2027'!Salim-'2027'!Resal_s)*(1-EXP(('2027'!Tnet_s-t)/'2027'!Tau_j)),Resal_s+(Salim-Resal_s)*(1-EXP((Tnet_s-t)/Tau_j)))*Salcycl</f>
        <v>7.1076699473811983E-2</v>
      </c>
      <c r="AD103" s="230">
        <f>(INDEX(Models!$BJ103:$BT103,,AH103)*(1-AF103)+INDEX(Models!$BJ103:$BT103,,AH103+1)*AF103-ERP_i)*AE103*Ramure*Pc/MaxiM</f>
        <v>1.1044597560045872E-2</v>
      </c>
      <c r="AE103" s="304">
        <f t="shared" si="40"/>
        <v>0.7</v>
      </c>
      <c r="AF103" s="177">
        <f t="shared" si="41"/>
        <v>0.3538083914249972</v>
      </c>
      <c r="AG103" s="799">
        <f t="shared" si="49"/>
        <v>2</v>
      </c>
      <c r="AH103" s="176">
        <f t="shared" si="42"/>
        <v>8</v>
      </c>
      <c r="AI103" s="224">
        <f t="shared" si="43"/>
        <v>2.3538083914249972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46842</v>
      </c>
      <c r="B104" s="409">
        <f>'2027'!Wh/'2027'!Env_an*'2028'!Env_an</f>
        <v>16.813863516578603</v>
      </c>
      <c r="C104" s="829"/>
      <c r="D104" s="391">
        <f t="shared" si="25"/>
        <v>17.934606324775956</v>
      </c>
      <c r="E104" s="383">
        <f t="shared" si="47"/>
        <v>18.60869717885895</v>
      </c>
      <c r="F104" s="383">
        <f t="shared" si="26"/>
        <v>18.610191462443225</v>
      </c>
      <c r="G104" s="110">
        <f t="shared" si="48"/>
        <v>0.33505648589845394</v>
      </c>
      <c r="H104" s="412" t="b">
        <f>Wh_hp&gt;='2027'!Maxi_hp</f>
        <v>0</v>
      </c>
      <c r="I104" s="388">
        <f>IF(H104,Wh_hp,'2027'!Maxi_hp)</f>
        <v>51.391422760958996</v>
      </c>
      <c r="J104" s="85">
        <f>IF(H104,An,'2027'!An_max)</f>
        <v>2021</v>
      </c>
      <c r="K104" s="197">
        <f t="shared" si="27"/>
        <v>46842</v>
      </c>
      <c r="L104" s="147">
        <f>IF(t&lt;Tvie,1-EXP((T0-t)*PertePVj)+'2027'!Pspv,1-EXP((T0-t)*PertePVj)+Pspv)</f>
        <v>6.2490516262355356E-2</v>
      </c>
      <c r="M104" s="832"/>
      <c r="N104" s="832"/>
      <c r="O104" s="48">
        <f>IF(t&lt;Tnet,'2027'!Resal+('2027'!Salim-'2027'!Resal)*(1-EXP(('2027'!Tnet-t)/('2027'!Tau_j))),Resal+(Salim-Resal)*(1-EXP((Tnet-t)/(Tau_j))))*Salcycl</f>
        <v>3.6224505541893506E-2</v>
      </c>
      <c r="P104" s="169">
        <f>(INDEX(Models!$BJ104:$BT104,,T104)*(1-R104)+INDEX(Models!$BJ104:$BT104,,T104+1)*R104-ERP_i)*Q104*Ramure*Pc/MaxiM</f>
        <v>1.5805887861511305E-3</v>
      </c>
      <c r="Q104" s="304">
        <f t="shared" si="28"/>
        <v>0.7</v>
      </c>
      <c r="R104" s="177">
        <f t="shared" si="29"/>
        <v>0.59893706017257808</v>
      </c>
      <c r="S104" s="799">
        <f t="shared" si="30"/>
        <v>-1</v>
      </c>
      <c r="T104" s="176">
        <f t="shared" si="31"/>
        <v>5</v>
      </c>
      <c r="U104" s="250">
        <f t="shared" si="32"/>
        <v>-0.40106293982742192</v>
      </c>
      <c r="V104" s="382">
        <f t="shared" si="33"/>
        <v>50.106881803313762</v>
      </c>
      <c r="W104" s="400">
        <f t="shared" si="34"/>
        <v>16.813863516578603</v>
      </c>
      <c r="X104" s="157">
        <f t="shared" si="35"/>
        <v>46842</v>
      </c>
      <c r="Y104" s="383">
        <f t="shared" si="36"/>
        <v>16.197293043488788</v>
      </c>
      <c r="Z104" s="383">
        <f t="shared" si="37"/>
        <v>17.276937806446217</v>
      </c>
      <c r="AA104" s="384">
        <f t="shared" si="38"/>
        <v>18.599668866243984</v>
      </c>
      <c r="AB104" s="197">
        <f t="shared" si="39"/>
        <v>46842</v>
      </c>
      <c r="AC104" s="119">
        <f>IF(OR(t&lt;Tnet,NoTnet),'2027'!Resal_s+('2027'!Salim-'2027'!Resal_s)*(1-EXP(('2027'!Tnet_s-t)/'2027'!Tau_j)),Resal_s+(Salim-Resal_s)*(1-EXP((Tnet_s-t)/Tau_j)))*Salcycl</f>
        <v>7.1115839174876683E-2</v>
      </c>
      <c r="AD104" s="230">
        <f>(INDEX(Models!$BJ104:$BT104,,AH104)*(1-AF104)+INDEX(Models!$BJ104:$BT104,,AH104+1)*AF104-ERP_i)*AE104*Ramure*Pc/MaxiM</f>
        <v>1.1130348836550688E-2</v>
      </c>
      <c r="AE104" s="304">
        <f t="shared" si="40"/>
        <v>0.7</v>
      </c>
      <c r="AF104" s="177">
        <f t="shared" si="41"/>
        <v>0.35459489101192876</v>
      </c>
      <c r="AG104" s="799">
        <f t="shared" si="49"/>
        <v>2</v>
      </c>
      <c r="AH104" s="176">
        <f t="shared" si="42"/>
        <v>8</v>
      </c>
      <c r="AI104" s="224">
        <f t="shared" si="43"/>
        <v>2.3545948910119288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46843</v>
      </c>
      <c r="B105" s="409">
        <f>'2027'!Wh/'2027'!Env_an*'2028'!Env_an</f>
        <v>31.744847765265064</v>
      </c>
      <c r="C105" s="829"/>
      <c r="D105" s="391">
        <f t="shared" si="25"/>
        <v>33.861477361410678</v>
      </c>
      <c r="E105" s="383">
        <f t="shared" si="47"/>
        <v>35.136967643765537</v>
      </c>
      <c r="F105" s="383">
        <f t="shared" si="26"/>
        <v>35.162852662511263</v>
      </c>
      <c r="G105" s="110">
        <f t="shared" si="48"/>
        <v>0.63007208465511744</v>
      </c>
      <c r="H105" s="412" t="b">
        <f>Wh_hp&gt;='2027'!Maxi_hp</f>
        <v>0</v>
      </c>
      <c r="I105" s="388">
        <f>IF(H105,Wh_hp,'2027'!Maxi_hp)</f>
        <v>51.899466717873182</v>
      </c>
      <c r="J105" s="85">
        <f>IF(H105,An,'2027'!An_max)</f>
        <v>2021</v>
      </c>
      <c r="K105" s="197">
        <f t="shared" si="27"/>
        <v>46843</v>
      </c>
      <c r="L105" s="147">
        <f>IF(t&lt;Tvie,1-EXP((T0-t)*PertePVj)+'2027'!Pspv,1-EXP((T0-t)*PertePVj)+Pspv)</f>
        <v>6.2508483417730965E-2</v>
      </c>
      <c r="M105" s="832"/>
      <c r="N105" s="832"/>
      <c r="O105" s="48">
        <f>IF(t&lt;Tnet,'2027'!Resal+('2027'!Salim-'2027'!Resal)*(1-EXP(('2027'!Tnet-t)/('2027'!Tau_j))),Resal+(Salim-Resal)*(1-EXP((Tnet-t)/(Tau_j))))*Salcycl</f>
        <v>3.6300522437973409E-2</v>
      </c>
      <c r="P105" s="169">
        <f>(INDEX(Models!$BJ105:$BT105,,T105)*(1-R105)+INDEX(Models!$BJ105:$BT105,,T105+1)*R105-ERP_i)*Q105*Ramure*Pc/MaxiM</f>
        <v>1.558730949969493E-3</v>
      </c>
      <c r="Q105" s="304">
        <f t="shared" si="28"/>
        <v>0.7</v>
      </c>
      <c r="R105" s="177">
        <f t="shared" si="29"/>
        <v>0.59975310742800625</v>
      </c>
      <c r="S105" s="799">
        <f t="shared" si="30"/>
        <v>-1</v>
      </c>
      <c r="T105" s="176">
        <f t="shared" si="31"/>
        <v>5</v>
      </c>
      <c r="U105" s="250">
        <f t="shared" si="32"/>
        <v>-0.40024689257199375</v>
      </c>
      <c r="V105" s="382">
        <f t="shared" si="33"/>
        <v>50.341407736758072</v>
      </c>
      <c r="W105" s="400">
        <f t="shared" si="34"/>
        <v>31.744847765265064</v>
      </c>
      <c r="X105" s="157">
        <f t="shared" si="35"/>
        <v>46843</v>
      </c>
      <c r="Y105" s="383">
        <f t="shared" si="36"/>
        <v>30.457250578311214</v>
      </c>
      <c r="Z105" s="383">
        <f t="shared" si="37"/>
        <v>32.488027933678325</v>
      </c>
      <c r="AA105" s="384">
        <f t="shared" si="38"/>
        <v>34.976825056936804</v>
      </c>
      <c r="AB105" s="197">
        <f t="shared" si="39"/>
        <v>46843</v>
      </c>
      <c r="AC105" s="119">
        <f>IF(OR(t&lt;Tnet,NoTnet),'2027'!Resal_s+('2027'!Salim-'2027'!Resal_s)*(1-EXP(('2027'!Tnet_s-t)/'2027'!Tau_j)),Resal_s+(Salim-Resal_s)*(1-EXP((Tnet_s-t)/Tau_j)))*Salcycl</f>
        <v>7.1155604295332936E-2</v>
      </c>
      <c r="AD105" s="230">
        <f>(INDEX(Models!$BJ105:$BT105,,AH105)*(1-AF105)+INDEX(Models!$BJ105:$BT105,,AH105+1)*AF105-ERP_i)*AE105*Ramure*Pc/MaxiM</f>
        <v>1.1202116143164924E-2</v>
      </c>
      <c r="AE105" s="304">
        <f t="shared" si="40"/>
        <v>0.7</v>
      </c>
      <c r="AF105" s="177">
        <f t="shared" si="41"/>
        <v>0.35541093826735715</v>
      </c>
      <c r="AG105" s="799">
        <f t="shared" si="49"/>
        <v>2</v>
      </c>
      <c r="AH105" s="176">
        <f t="shared" si="42"/>
        <v>8</v>
      </c>
      <c r="AI105" s="224">
        <f t="shared" si="43"/>
        <v>2.3554109382673571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46844</v>
      </c>
      <c r="B106" s="409">
        <f>'2027'!Wh/'2027'!Env_an*'2028'!Env_an</f>
        <v>16.773991061199624</v>
      </c>
      <c r="C106" s="829"/>
      <c r="D106" s="391">
        <f t="shared" si="25"/>
        <v>17.892761950769653</v>
      </c>
      <c r="E106" s="383">
        <f t="shared" si="47"/>
        <v>18.568214583941788</v>
      </c>
      <c r="F106" s="383">
        <f t="shared" si="26"/>
        <v>18.569504501400111</v>
      </c>
      <c r="G106" s="110">
        <f t="shared" si="48"/>
        <v>0.3312339373299566</v>
      </c>
      <c r="H106" s="412" t="b">
        <f>Wh_hp&gt;='2027'!Maxi_hp</f>
        <v>0</v>
      </c>
      <c r="I106" s="388">
        <f>IF(H106,Wh_hp,'2027'!Maxi_hp)</f>
        <v>43.794374405786975</v>
      </c>
      <c r="J106" s="85">
        <f>IF(H106,An,'2027'!An_max)</f>
        <v>2021</v>
      </c>
      <c r="K106" s="197">
        <f t="shared" si="27"/>
        <v>46844</v>
      </c>
      <c r="L106" s="147">
        <f>IF(t&lt;Tvie,1-EXP((T0-t)*PertePVj)+'2027'!Pspv,1-EXP((T0-t)*PertePVj)+Pspv)</f>
        <v>6.2526450228770014E-2</v>
      </c>
      <c r="M106" s="832"/>
      <c r="N106" s="832"/>
      <c r="O106" s="48">
        <f>IF(t&lt;Tnet,'2027'!Resal+('2027'!Salim-'2027'!Resal)*(1-EXP(('2027'!Tnet-t)/('2027'!Tau_j))),Resal+(Salim-Resal)*(1-EXP((Tnet-t)/(Tau_j))))*Salcycl</f>
        <v>3.6376821805812296E-2</v>
      </c>
      <c r="P106" s="169">
        <f>(INDEX(Models!$BJ106:$BT106,,T106)*(1-R106)+INDEX(Models!$BJ106:$BT106,,T106+1)*R106-ERP_i)*Q106*Ramure*Pc/MaxiM</f>
        <v>1.5329714538571332E-3</v>
      </c>
      <c r="Q106" s="304">
        <f t="shared" si="28"/>
        <v>0.7</v>
      </c>
      <c r="R106" s="177">
        <f t="shared" si="29"/>
        <v>0.60059967066755771</v>
      </c>
      <c r="S106" s="799">
        <f t="shared" si="30"/>
        <v>-1</v>
      </c>
      <c r="T106" s="176">
        <f t="shared" si="31"/>
        <v>5</v>
      </c>
      <c r="U106" s="250">
        <f t="shared" si="32"/>
        <v>-0.39940032933244229</v>
      </c>
      <c r="V106" s="382">
        <f t="shared" si="33"/>
        <v>50.566800717204806</v>
      </c>
      <c r="W106" s="400">
        <f t="shared" si="34"/>
        <v>16.773991061199624</v>
      </c>
      <c r="X106" s="157">
        <f t="shared" si="35"/>
        <v>46844</v>
      </c>
      <c r="Y106" s="383">
        <f t="shared" si="36"/>
        <v>16.16075892783071</v>
      </c>
      <c r="Z106" s="383">
        <f t="shared" si="37"/>
        <v>17.238629219751736</v>
      </c>
      <c r="AA106" s="384">
        <f t="shared" si="38"/>
        <v>18.560029465091787</v>
      </c>
      <c r="AB106" s="197">
        <f t="shared" si="39"/>
        <v>46844</v>
      </c>
      <c r="AC106" s="119">
        <f>IF(OR(t&lt;Tnet,NoTnet),'2027'!Resal_s+('2027'!Salim-'2027'!Resal_s)*(1-EXP(('2027'!Tnet_s-t)/'2027'!Tau_j)),Resal_s+(Salim-Resal_s)*(1-EXP((Tnet_s-t)/Tau_j)))*Salcycl</f>
        <v>7.1196020880536712E-2</v>
      </c>
      <c r="AD106" s="230">
        <f>(INDEX(Models!$BJ106:$BT106,,AH106)*(1-AF106)+INDEX(Models!$BJ106:$BT106,,AH106+1)*AF106-ERP_i)*AE106*Ramure*Pc/MaxiM</f>
        <v>1.1260379562427491E-2</v>
      </c>
      <c r="AE106" s="304">
        <f t="shared" si="40"/>
        <v>0.7</v>
      </c>
      <c r="AF106" s="177">
        <f t="shared" si="41"/>
        <v>0.35625750150690827</v>
      </c>
      <c r="AG106" s="799">
        <f t="shared" si="49"/>
        <v>2</v>
      </c>
      <c r="AH106" s="176">
        <f t="shared" si="42"/>
        <v>8</v>
      </c>
      <c r="AI106" s="224">
        <f t="shared" si="43"/>
        <v>2.3562575015069083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46845</v>
      </c>
      <c r="B107" s="409">
        <f>'2027'!Wh/'2027'!Env_an*'2028'!Env_an</f>
        <v>31.206241320492612</v>
      </c>
      <c r="C107" s="829"/>
      <c r="D107" s="391">
        <f t="shared" si="25"/>
        <v>33.288234532126793</v>
      </c>
      <c r="E107" s="383">
        <f t="shared" si="47"/>
        <v>34.547613126420842</v>
      </c>
      <c r="F107" s="383">
        <f t="shared" si="26"/>
        <v>34.570962684564769</v>
      </c>
      <c r="G107" s="110">
        <f t="shared" si="48"/>
        <v>0.61398791011224618</v>
      </c>
      <c r="H107" s="412" t="b">
        <f>Wh_hp&gt;='2027'!Maxi_hp</f>
        <v>0</v>
      </c>
      <c r="I107" s="388">
        <f>IF(H107,Wh_hp,'2027'!Maxi_hp)</f>
        <v>44.063854252234997</v>
      </c>
      <c r="J107" s="85">
        <f>IF(H107,An,'2027'!An_max)</f>
        <v>2021</v>
      </c>
      <c r="K107" s="197">
        <f t="shared" si="27"/>
        <v>46845</v>
      </c>
      <c r="L107" s="147">
        <f>IF(t&lt;Tvie,1-EXP((T0-t)*PertePVj)+'2027'!Pspv,1-EXP((T0-t)*PertePVj)+Pspv)</f>
        <v>6.2544416695479277E-2</v>
      </c>
      <c r="M107" s="832"/>
      <c r="N107" s="832"/>
      <c r="O107" s="48">
        <f>IF(t&lt;Tnet,'2027'!Resal+('2027'!Salim-'2027'!Resal)*(1-EXP(('2027'!Tnet-t)/('2027'!Tau_j))),Resal+(Salim-Resal)*(1-EXP((Tnet-t)/(Tau_j))))*Salcycl</f>
        <v>3.6453418350077545E-2</v>
      </c>
      <c r="P107" s="169">
        <f>(INDEX(Models!$BJ107:$BT107,,T107)*(1-R107)+INDEX(Models!$BJ107:$BT107,,T107+1)*R107-ERP_i)*Q107*Ramure*Pc/MaxiM</f>
        <v>1.5033106382771298E-3</v>
      </c>
      <c r="Q107" s="304">
        <f t="shared" si="28"/>
        <v>0.7</v>
      </c>
      <c r="R107" s="177">
        <f t="shared" si="29"/>
        <v>0.60147773851140851</v>
      </c>
      <c r="S107" s="799">
        <f t="shared" si="30"/>
        <v>-1</v>
      </c>
      <c r="T107" s="176">
        <f t="shared" si="31"/>
        <v>5</v>
      </c>
      <c r="U107" s="250">
        <f t="shared" si="32"/>
        <v>-0.39852226148859143</v>
      </c>
      <c r="V107" s="382">
        <f t="shared" si="33"/>
        <v>50.783391112696059</v>
      </c>
      <c r="W107" s="400">
        <f t="shared" si="34"/>
        <v>31.206241320492612</v>
      </c>
      <c r="X107" s="157">
        <f t="shared" si="35"/>
        <v>46845</v>
      </c>
      <c r="Y107" s="383">
        <f t="shared" si="36"/>
        <v>29.9471500562518</v>
      </c>
      <c r="Z107" s="383">
        <f t="shared" si="37"/>
        <v>31.945140217404671</v>
      </c>
      <c r="AA107" s="384">
        <f t="shared" si="38"/>
        <v>34.39536690670375</v>
      </c>
      <c r="AB107" s="197">
        <f t="shared" si="39"/>
        <v>46845</v>
      </c>
      <c r="AC107" s="119">
        <f>IF(OR(t&lt;Tnet,NoTnet),'2027'!Resal_s+('2027'!Salim-'2027'!Resal_s)*(1-EXP(('2027'!Tnet_s-t)/'2027'!Tau_j)),Resal_s+(Salim-Resal_s)*(1-EXP((Tnet_s-t)/Tau_j)))*Salcycl</f>
        <v>7.1237114462108633E-2</v>
      </c>
      <c r="AD107" s="230">
        <f>(INDEX(Models!$BJ107:$BT107,,AH107)*(1-AF107)+INDEX(Models!$BJ107:$BT107,,AH107+1)*AF107-ERP_i)*AE107*Ramure*Pc/MaxiM</f>
        <v>1.1305353157770752E-2</v>
      </c>
      <c r="AE107" s="304">
        <f t="shared" si="40"/>
        <v>0.7</v>
      </c>
      <c r="AF107" s="177">
        <f t="shared" si="41"/>
        <v>0.35713556935075941</v>
      </c>
      <c r="AG107" s="799">
        <f t="shared" si="49"/>
        <v>2</v>
      </c>
      <c r="AH107" s="176">
        <f t="shared" si="42"/>
        <v>8</v>
      </c>
      <c r="AI107" s="224">
        <f t="shared" si="43"/>
        <v>2.3571355693507594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46846</v>
      </c>
      <c r="B108" s="409">
        <f>'2027'!Wh/'2027'!Env_an*'2028'!Env_an</f>
        <v>43.211536931001127</v>
      </c>
      <c r="C108" s="829"/>
      <c r="D108" s="391">
        <f t="shared" si="25"/>
        <v>46.095373322964875</v>
      </c>
      <c r="E108" s="383">
        <f t="shared" si="47"/>
        <v>47.843097290494512</v>
      </c>
      <c r="F108" s="383">
        <f t="shared" si="26"/>
        <v>47.898130081863656</v>
      </c>
      <c r="G108" s="110">
        <f t="shared" si="48"/>
        <v>0.84714093803454282</v>
      </c>
      <c r="H108" s="412" t="b">
        <f>Wh_hp&gt;='2027'!Maxi_hp</f>
        <v>0</v>
      </c>
      <c r="I108" s="388">
        <f>IF(H108,Wh_hp,'2027'!Maxi_hp)</f>
        <v>54.48441415561728</v>
      </c>
      <c r="J108" s="85">
        <f>IF(H108,An,'2027'!An_max)</f>
        <v>2020</v>
      </c>
      <c r="K108" s="197">
        <f t="shared" si="27"/>
        <v>46846</v>
      </c>
      <c r="L108" s="147">
        <f>IF(t&lt;Tvie,1-EXP((T0-t)*PertePVj)+'2027'!Pspv,1-EXP((T0-t)*PertePVj)+Pspv)</f>
        <v>6.2562382817865414E-2</v>
      </c>
      <c r="M108" s="832"/>
      <c r="N108" s="832"/>
      <c r="O108" s="48">
        <f>IF(t&lt;Tnet,'2027'!Resal+('2027'!Salim-'2027'!Resal)*(1-EXP(('2027'!Tnet-t)/('2027'!Tau_j))),Resal+(Salim-Resal)*(1-EXP((Tnet-t)/(Tau_j))))*Salcycl</f>
        <v>3.6530326557199698E-2</v>
      </c>
      <c r="P108" s="169">
        <f>(INDEX(Models!$BJ108:$BT108,,T108)*(1-R108)+INDEX(Models!$BJ108:$BT108,,T108+1)*R108-ERP_i)*Q108*Ramure*Pc/MaxiM</f>
        <v>1.469217853906628E-3</v>
      </c>
      <c r="Q108" s="304">
        <f t="shared" si="28"/>
        <v>0.7</v>
      </c>
      <c r="R108" s="177">
        <f t="shared" si="29"/>
        <v>0.60238831933929071</v>
      </c>
      <c r="S108" s="799">
        <f t="shared" si="30"/>
        <v>-1</v>
      </c>
      <c r="T108" s="176">
        <f t="shared" si="31"/>
        <v>5</v>
      </c>
      <c r="U108" s="250">
        <f t="shared" si="32"/>
        <v>-0.39761168066070929</v>
      </c>
      <c r="V108" s="382">
        <f t="shared" si="33"/>
        <v>50.992320189512533</v>
      </c>
      <c r="W108" s="400">
        <f t="shared" si="34"/>
        <v>43.211536931001127</v>
      </c>
      <c r="X108" s="157">
        <f t="shared" si="35"/>
        <v>46846</v>
      </c>
      <c r="Y108" s="383">
        <f t="shared" si="36"/>
        <v>41.331674305849781</v>
      </c>
      <c r="Z108" s="383">
        <f t="shared" si="37"/>
        <v>44.090053085441156</v>
      </c>
      <c r="AA108" s="384">
        <f t="shared" si="38"/>
        <v>47.473944072490504</v>
      </c>
      <c r="AB108" s="197">
        <f t="shared" si="39"/>
        <v>46846</v>
      </c>
      <c r="AC108" s="119">
        <f>IF(OR(t&lt;Tnet,NoTnet),'2027'!Resal_s+('2027'!Salim-'2027'!Resal_s)*(1-EXP(('2027'!Tnet_s-t)/'2027'!Tau_j)),Resal_s+(Salim-Resal_s)*(1-EXP((Tnet_s-t)/Tau_j)))*Salcycl</f>
        <v>7.1278910003396923E-2</v>
      </c>
      <c r="AD108" s="230">
        <f>(INDEX(Models!$BJ108:$BT108,,AH108)*(1-AF108)+INDEX(Models!$BJ108:$BT108,,AH108+1)*AF108-ERP_i)*AE108*Ramure*Pc/MaxiM</f>
        <v>1.1324551105687142E-2</v>
      </c>
      <c r="AE108" s="304">
        <f t="shared" si="40"/>
        <v>0.7</v>
      </c>
      <c r="AF108" s="177">
        <f t="shared" si="41"/>
        <v>0.35804615017864139</v>
      </c>
      <c r="AG108" s="799">
        <f t="shared" si="49"/>
        <v>2</v>
      </c>
      <c r="AH108" s="176">
        <f t="shared" si="42"/>
        <v>8</v>
      </c>
      <c r="AI108" s="224">
        <f t="shared" si="43"/>
        <v>2.3580461501786414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46847</v>
      </c>
      <c r="B109" s="409">
        <f>'2027'!Wh/'2027'!Env_an*'2028'!Env_an</f>
        <v>51.102294936270987</v>
      </c>
      <c r="C109" s="829"/>
      <c r="D109" s="391">
        <f t="shared" si="25"/>
        <v>54.513786711991877</v>
      </c>
      <c r="E109" s="383">
        <f t="shared" si="47"/>
        <v>56.585234102185304</v>
      </c>
      <c r="F109" s="383">
        <f t="shared" si="26"/>
        <v>56.66628460671167</v>
      </c>
      <c r="G109" s="110">
        <f t="shared" si="48"/>
        <v>0.99820862131871069</v>
      </c>
      <c r="H109" s="412" t="b">
        <f>Wh_hp&gt;='2027'!Maxi_hp</f>
        <v>0</v>
      </c>
      <c r="I109" s="388">
        <f>IF(H109,Wh_hp,'2027'!Maxi_hp)</f>
        <v>58.465341345603605</v>
      </c>
      <c r="J109" s="85">
        <f>IF(H109,An,'2027'!An_max)</f>
        <v>2020</v>
      </c>
      <c r="K109" s="197">
        <f t="shared" si="27"/>
        <v>46847</v>
      </c>
      <c r="L109" s="147">
        <f>IF(t&lt;Tvie,1-EXP((T0-t)*PertePVj)+'2027'!Pspv,1-EXP((T0-t)*PertePVj)+Pspv)</f>
        <v>6.2580348595934754E-2</v>
      </c>
      <c r="M109" s="832"/>
      <c r="N109" s="832"/>
      <c r="O109" s="48">
        <f>IF(t&lt;Tnet,'2027'!Resal+('2027'!Salim-'2027'!Resal)*(1-EXP(('2027'!Tnet-t)/('2027'!Tau_j))),Resal+(Salim-Resal)*(1-EXP((Tnet-t)/(Tau_j))))*Salcycl</f>
        <v>3.6607560665962276E-2</v>
      </c>
      <c r="P109" s="169">
        <f>(INDEX(Models!$BJ109:$BT109,,T109)*(1-R109)+INDEX(Models!$BJ109:$BT109,,T109+1)*R109-ERP_i)*Q109*Ramure*Pc/MaxiM</f>
        <v>1.4339748679568379E-3</v>
      </c>
      <c r="Q109" s="304">
        <f t="shared" si="28"/>
        <v>0.7</v>
      </c>
      <c r="R109" s="177">
        <f t="shared" si="29"/>
        <v>0.60333244064170577</v>
      </c>
      <c r="S109" s="799">
        <f t="shared" si="30"/>
        <v>-1</v>
      </c>
      <c r="T109" s="176">
        <f t="shared" si="31"/>
        <v>5</v>
      </c>
      <c r="U109" s="250">
        <f t="shared" si="32"/>
        <v>-0.39666755935829429</v>
      </c>
      <c r="V109" s="382">
        <f t="shared" si="33"/>
        <v>51.193815030069331</v>
      </c>
      <c r="W109" s="400">
        <f t="shared" si="34"/>
        <v>51.102294936270987</v>
      </c>
      <c r="X109" s="157">
        <f t="shared" si="35"/>
        <v>46847</v>
      </c>
      <c r="Y109" s="383">
        <f t="shared" si="36"/>
        <v>48.774568364420603</v>
      </c>
      <c r="Z109" s="383">
        <f t="shared" si="37"/>
        <v>52.030665552366173</v>
      </c>
      <c r="AA109" s="384">
        <f t="shared" si="38"/>
        <v>56.026560035576956</v>
      </c>
      <c r="AB109" s="197">
        <f t="shared" si="39"/>
        <v>46847</v>
      </c>
      <c r="AC109" s="119">
        <f>IF(OR(t&lt;Tnet,NoTnet),'2027'!Resal_s+('2027'!Salim-'2027'!Resal_s)*(1-EXP(('2027'!Tnet_s-t)/'2027'!Tau_j)),Resal_s+(Salim-Resal_s)*(1-EXP((Tnet_s-t)/Tau_j)))*Salcycl</f>
        <v>7.1321431847205727E-2</v>
      </c>
      <c r="AD109" s="230">
        <f>(INDEX(Models!$BJ109:$BT109,,AH109)*(1-AF109)+INDEX(Models!$BJ109:$BT109,,AH109+1)*AF109-ERP_i)*AE109*Ramure*Pc/MaxiM</f>
        <v>1.1318238705389073E-2</v>
      </c>
      <c r="AE109" s="304">
        <f t="shared" si="40"/>
        <v>0.7</v>
      </c>
      <c r="AF109" s="177">
        <f t="shared" si="41"/>
        <v>0.35899027148105622</v>
      </c>
      <c r="AG109" s="799">
        <f t="shared" si="49"/>
        <v>2</v>
      </c>
      <c r="AH109" s="176">
        <f t="shared" si="42"/>
        <v>8</v>
      </c>
      <c r="AI109" s="224">
        <f t="shared" si="43"/>
        <v>2.3589902714810562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46848</v>
      </c>
      <c r="B110" s="409">
        <f>'2027'!Wh/'2027'!Env_an*'2028'!Env_an</f>
        <v>11.760294749822844</v>
      </c>
      <c r="C110" s="829"/>
      <c r="D110" s="391">
        <f t="shared" si="25"/>
        <v>12.545630038684799</v>
      </c>
      <c r="E110" s="383">
        <f t="shared" si="47"/>
        <v>13.023395039151382</v>
      </c>
      <c r="F110" s="383">
        <f t="shared" si="26"/>
        <v>13.023395039151382</v>
      </c>
      <c r="G110" s="110">
        <f t="shared" si="48"/>
        <v>0.22853190143663363</v>
      </c>
      <c r="H110" s="412" t="b">
        <f>Wh_hp&gt;='2027'!Maxi_hp</f>
        <v>0</v>
      </c>
      <c r="I110" s="388">
        <f>IF(H110,Wh_hp,'2027'!Maxi_hp)</f>
        <v>59.416138633229195</v>
      </c>
      <c r="J110" s="85">
        <f>IF(H110,An,'2027'!An_max)</f>
        <v>2020</v>
      </c>
      <c r="K110" s="197">
        <f t="shared" si="27"/>
        <v>46848</v>
      </c>
      <c r="L110" s="147">
        <f>IF(t&lt;Tvie,1-EXP((T0-t)*PertePVj)+'2027'!Pspv,1-EXP((T0-t)*PertePVj)+Pspv)</f>
        <v>6.259831402969418E-2</v>
      </c>
      <c r="M110" s="832"/>
      <c r="N110" s="832"/>
      <c r="O110" s="48">
        <f>IF(t&lt;Tnet,'2027'!Resal+('2027'!Salim-'2027'!Resal)*(1-EXP(('2027'!Tnet-t)/('2027'!Tau_j))),Resal+(Salim-Resal)*(1-EXP((Tnet-t)/(Tau_j))))*Salcycl</f>
        <v>3.6685134638879478E-2</v>
      </c>
      <c r="P110" s="169">
        <f>(INDEX(Models!$BJ110:$BT110,,T110)*(1-R110)+INDEX(Models!$BJ110:$BT110,,T110+1)*R110-ERP_i)*Q110*Ramure*Pc/MaxiM</f>
        <v>1.3975539933299324E-3</v>
      </c>
      <c r="Q110" s="304">
        <f t="shared" si="28"/>
        <v>0.7</v>
      </c>
      <c r="R110" s="177">
        <f t="shared" si="29"/>
        <v>0.60431114826013788</v>
      </c>
      <c r="S110" s="799">
        <f t="shared" si="30"/>
        <v>-1</v>
      </c>
      <c r="T110" s="176">
        <f t="shared" si="31"/>
        <v>5</v>
      </c>
      <c r="U110" s="250">
        <f t="shared" si="32"/>
        <v>-0.39568885173986212</v>
      </c>
      <c r="V110" s="382">
        <f t="shared" si="33"/>
        <v>51.388270211320055</v>
      </c>
      <c r="W110" s="400">
        <f t="shared" si="34"/>
        <v>11.760294749822844</v>
      </c>
      <c r="X110" s="157">
        <f t="shared" si="35"/>
        <v>46848</v>
      </c>
      <c r="Y110" s="383">
        <f t="shared" si="36"/>
        <v>11.336921283664413</v>
      </c>
      <c r="Z110" s="383">
        <f t="shared" si="37"/>
        <v>12.093984311463606</v>
      </c>
      <c r="AA110" s="384">
        <f t="shared" si="38"/>
        <v>13.023395039151382</v>
      </c>
      <c r="AB110" s="197">
        <f t="shared" si="39"/>
        <v>46848</v>
      </c>
      <c r="AC110" s="119">
        <f>IF(OR(t&lt;Tnet,NoTnet),'2027'!Resal_s+('2027'!Salim-'2027'!Resal_s)*(1-EXP(('2027'!Tnet_s-t)/'2027'!Tau_j)),Resal_s+(Salim-Resal_s)*(1-EXP((Tnet_s-t)/Tau_j)))*Salcycl</f>
        <v>7.1364703665499643E-2</v>
      </c>
      <c r="AD110" s="230">
        <f>(INDEX(Models!$BJ110:$BT110,,AH110)*(1-AF110)+INDEX(Models!$BJ110:$BT110,,AH110+1)*AF110-ERP_i)*AE110*Ramure*Pc/MaxiM</f>
        <v>1.1286570733331757E-2</v>
      </c>
      <c r="AE110" s="304">
        <f t="shared" si="40"/>
        <v>0.7</v>
      </c>
      <c r="AF110" s="177">
        <f t="shared" si="41"/>
        <v>0.35996897909948844</v>
      </c>
      <c r="AG110" s="799">
        <f t="shared" si="49"/>
        <v>2</v>
      </c>
      <c r="AH110" s="176">
        <f t="shared" si="42"/>
        <v>8</v>
      </c>
      <c r="AI110" s="224">
        <f t="shared" si="43"/>
        <v>2.3599689790994884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46849</v>
      </c>
      <c r="B111" s="409">
        <f>'2027'!Wh/'2027'!Env_an*'2028'!Env_an</f>
        <v>42.772159412806268</v>
      </c>
      <c r="C111" s="829"/>
      <c r="D111" s="391">
        <f t="shared" si="25"/>
        <v>45.629296156982228</v>
      </c>
      <c r="E111" s="383">
        <f t="shared" si="47"/>
        <v>47.370791508557964</v>
      </c>
      <c r="F111" s="383">
        <f t="shared" si="26"/>
        <v>47.419553189921466</v>
      </c>
      <c r="G111" s="110">
        <f t="shared" si="48"/>
        <v>0.8290269512419457</v>
      </c>
      <c r="H111" s="412" t="b">
        <f>Wh_hp&gt;='2027'!Maxi_hp</f>
        <v>0</v>
      </c>
      <c r="I111" s="388">
        <f>IF(H111,Wh_hp,'2027'!Maxi_hp)</f>
        <v>57.546398916195137</v>
      </c>
      <c r="J111" s="85">
        <f>IF(H111,An,'2027'!An_max)</f>
        <v>2021</v>
      </c>
      <c r="K111" s="197">
        <f t="shared" si="27"/>
        <v>46849</v>
      </c>
      <c r="L111" s="147">
        <f>IF(t&lt;Tvie,1-EXP((T0-t)*PertePVj)+'2027'!Pspv,1-EXP((T0-t)*PertePVj)+Pspv)</f>
        <v>6.261627911915002E-2</v>
      </c>
      <c r="M111" s="832"/>
      <c r="N111" s="832"/>
      <c r="O111" s="48">
        <f>IF(t&lt;Tnet,'2027'!Resal+('2027'!Salim-'2027'!Resal)*(1-EXP(('2027'!Tnet-t)/('2027'!Tau_j))),Resal+(Salim-Resal)*(1-EXP((Tnet-t)/(Tau_j))))*Salcycl</f>
        <v>3.6763062134208054E-2</v>
      </c>
      <c r="P111" s="169">
        <f>(INDEX(Models!$BJ111:$BT111,,T111)*(1-R111)+INDEX(Models!$BJ111:$BT111,,T111+1)*R111-ERP_i)*Q111*Ramure*Pc/MaxiM</f>
        <v>1.3599267428379724E-3</v>
      </c>
      <c r="Q111" s="304">
        <f t="shared" si="28"/>
        <v>0.7</v>
      </c>
      <c r="R111" s="177">
        <f t="shared" si="29"/>
        <v>0.60532550550889708</v>
      </c>
      <c r="S111" s="799">
        <f t="shared" si="30"/>
        <v>-1</v>
      </c>
      <c r="T111" s="176">
        <f t="shared" si="31"/>
        <v>5</v>
      </c>
      <c r="U111" s="250">
        <f t="shared" si="32"/>
        <v>-0.39467449449110292</v>
      </c>
      <c r="V111" s="382">
        <f t="shared" si="33"/>
        <v>51.576080241733614</v>
      </c>
      <c r="W111" s="400">
        <f t="shared" si="34"/>
        <v>42.772159412806268</v>
      </c>
      <c r="X111" s="157">
        <f t="shared" si="35"/>
        <v>46849</v>
      </c>
      <c r="Y111" s="383">
        <f t="shared" si="36"/>
        <v>40.925688543356834</v>
      </c>
      <c r="Z111" s="383">
        <f t="shared" si="37"/>
        <v>43.659482911543826</v>
      </c>
      <c r="AA111" s="384">
        <f t="shared" si="38"/>
        <v>47.016900963500113</v>
      </c>
      <c r="AB111" s="197">
        <f t="shared" si="39"/>
        <v>46849</v>
      </c>
      <c r="AC111" s="119">
        <f>IF(OR(t&lt;Tnet,NoTnet),'2027'!Resal_s+('2027'!Salim-'2027'!Resal_s)*(1-EXP(('2027'!Tnet_s-t)/'2027'!Tau_j)),Resal_s+(Salim-Resal_s)*(1-EXP((Tnet_s-t)/Tau_j)))*Salcycl</f>
        <v>7.1408748410761974E-2</v>
      </c>
      <c r="AD111" s="230">
        <f>(INDEX(Models!$BJ111:$BT111,,AH111)*(1-AF111)+INDEX(Models!$BJ111:$BT111,,AH111+1)*AF111-ERP_i)*AE111*Ramure*Pc/MaxiM</f>
        <v>1.1229668778064699E-2</v>
      </c>
      <c r="AE111" s="304">
        <f t="shared" si="40"/>
        <v>0.7</v>
      </c>
      <c r="AF111" s="177">
        <f t="shared" si="41"/>
        <v>0.36098333634824797</v>
      </c>
      <c r="AG111" s="799">
        <f t="shared" si="49"/>
        <v>2</v>
      </c>
      <c r="AH111" s="176">
        <f t="shared" si="42"/>
        <v>8</v>
      </c>
      <c r="AI111" s="224">
        <f t="shared" si="43"/>
        <v>2.360983336348248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46850</v>
      </c>
      <c r="B112" s="409">
        <f>'2027'!Wh/'2027'!Env_an*'2028'!Env_an</f>
        <v>37.357964718804944</v>
      </c>
      <c r="C112" s="829"/>
      <c r="D112" s="391">
        <f t="shared" si="25"/>
        <v>39.854202561030078</v>
      </c>
      <c r="E112" s="383">
        <f t="shared" si="47"/>
        <v>41.378648085752509</v>
      </c>
      <c r="F112" s="383">
        <f t="shared" si="26"/>
        <v>41.411612135781859</v>
      </c>
      <c r="G112" s="110">
        <f t="shared" si="48"/>
        <v>0.72140720588925922</v>
      </c>
      <c r="H112" s="412" t="b">
        <f>Wh_hp&gt;='2027'!Maxi_hp</f>
        <v>0</v>
      </c>
      <c r="I112" s="388">
        <f>IF(H112,Wh_hp,'2027'!Maxi_hp)</f>
        <v>58.154414706140663</v>
      </c>
      <c r="J112" s="85">
        <f>IF(H112,An,'2027'!An_max)</f>
        <v>2021</v>
      </c>
      <c r="K112" s="197">
        <f t="shared" si="27"/>
        <v>46850</v>
      </c>
      <c r="L112" s="147">
        <f>IF(t&lt;Tvie,1-EXP((T0-t)*PertePVj)+'2027'!Pspv,1-EXP((T0-t)*PertePVj)+Pspv)</f>
        <v>6.2634243864309158E-2</v>
      </c>
      <c r="M112" s="832"/>
      <c r="N112" s="832"/>
      <c r="O112" s="48">
        <f>IF(t&lt;Tnet,'2027'!Resal+('2027'!Salim-'2027'!Resal)*(1-EXP(('2027'!Tnet-t)/('2027'!Tau_j))),Resal+(Salim-Resal)*(1-EXP((Tnet-t)/(Tau_j))))*Salcycl</f>
        <v>3.6841356478423085E-2</v>
      </c>
      <c r="P112" s="169">
        <f>(INDEX(Models!$BJ112:$BT112,,T112)*(1-R112)+INDEX(Models!$BJ112:$BT112,,T112+1)*R112-ERP_i)*Q112*Ramure*Pc/MaxiM</f>
        <v>1.3210638463510324E-3</v>
      </c>
      <c r="Q112" s="304">
        <f t="shared" si="28"/>
        <v>0.7</v>
      </c>
      <c r="R112" s="177">
        <f t="shared" si="29"/>
        <v>0.60637659217109197</v>
      </c>
      <c r="S112" s="799">
        <f t="shared" si="30"/>
        <v>-1</v>
      </c>
      <c r="T112" s="176">
        <f t="shared" si="31"/>
        <v>5</v>
      </c>
      <c r="U112" s="250">
        <f t="shared" si="32"/>
        <v>-0.39362340782890803</v>
      </c>
      <c r="V112" s="382">
        <f t="shared" si="33"/>
        <v>51.757639566342647</v>
      </c>
      <c r="W112" s="400">
        <f t="shared" si="34"/>
        <v>37.357964718804944</v>
      </c>
      <c r="X112" s="157">
        <f t="shared" si="35"/>
        <v>46850</v>
      </c>
      <c r="Y112" s="383">
        <f t="shared" si="36"/>
        <v>35.802044632216621</v>
      </c>
      <c r="Z112" s="383">
        <f t="shared" si="37"/>
        <v>38.194316783889427</v>
      </c>
      <c r="AA112" s="384">
        <f t="shared" si="38"/>
        <v>41.133449336876197</v>
      </c>
      <c r="AB112" s="197">
        <f t="shared" si="39"/>
        <v>46850</v>
      </c>
      <c r="AC112" s="119">
        <f>IF(OR(t&lt;Tnet,NoTnet),'2027'!Resal_s+('2027'!Salim-'2027'!Resal_s)*(1-EXP(('2027'!Tnet_s-t)/'2027'!Tau_j)),Resal_s+(Salim-Resal_s)*(1-EXP((Tnet_s-t)/Tau_j)))*Salcycl</f>
        <v>7.1453588268655915E-2</v>
      </c>
      <c r="AD112" s="230">
        <f>(INDEX(Models!$BJ112:$BT112,,AH112)*(1-AF112)+INDEX(Models!$BJ112:$BT112,,AH112+1)*AF112-ERP_i)*AE112*Ramure*Pc/MaxiM</f>
        <v>1.1147623447570294E-2</v>
      </c>
      <c r="AE112" s="304">
        <f t="shared" si="40"/>
        <v>0.7</v>
      </c>
      <c r="AF112" s="177">
        <f t="shared" si="41"/>
        <v>0.36203442301044264</v>
      </c>
      <c r="AG112" s="799">
        <f t="shared" si="49"/>
        <v>2</v>
      </c>
      <c r="AH112" s="176">
        <f t="shared" si="42"/>
        <v>8</v>
      </c>
      <c r="AI112" s="224">
        <f t="shared" si="43"/>
        <v>2.3620344230104426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46851</v>
      </c>
      <c r="B113" s="409">
        <f>'2027'!Wh/'2027'!Env_an*'2028'!Env_an</f>
        <v>30.115416678561008</v>
      </c>
      <c r="C113" s="829"/>
      <c r="D113" s="391">
        <f t="shared" si="25"/>
        <v>32.128327333896074</v>
      </c>
      <c r="E113" s="383">
        <f t="shared" si="47"/>
        <v>33.359978772284386</v>
      </c>
      <c r="F113" s="383">
        <f t="shared" si="26"/>
        <v>33.377073355824663</v>
      </c>
      <c r="G113" s="110">
        <f t="shared" si="48"/>
        <v>0.579439941714738</v>
      </c>
      <c r="H113" s="412" t="b">
        <f>Wh_hp&gt;='2027'!Maxi_hp</f>
        <v>0</v>
      </c>
      <c r="I113" s="388">
        <f>IF(H113,Wh_hp,'2027'!Maxi_hp)</f>
        <v>44.615117230380669</v>
      </c>
      <c r="J113" s="85">
        <f>IF(H113,An,'2027'!An_max)</f>
        <v>2018</v>
      </c>
      <c r="K113" s="197">
        <f t="shared" si="27"/>
        <v>46851</v>
      </c>
      <c r="L113" s="147">
        <f>IF(t&lt;Tvie,1-EXP((T0-t)*PertePVj)+'2027'!Pspv,1-EXP((T0-t)*PertePVj)+Pspv)</f>
        <v>6.2652208265178033E-2</v>
      </c>
      <c r="M113" s="832"/>
      <c r="N113" s="832"/>
      <c r="O113" s="48">
        <f>IF(t&lt;Tnet,'2027'!Resal+('2027'!Salim-'2027'!Resal)*(1-EXP(('2027'!Tnet-t)/('2027'!Tau_j))),Resal+(Salim-Resal)*(1-EXP((Tnet-t)/(Tau_j))))*Salcycl</f>
        <v>3.6920030638975553E-2</v>
      </c>
      <c r="P113" s="169">
        <f>(INDEX(Models!$BJ113:$BT113,,T113)*(1-R113)+INDEX(Models!$BJ113:$BT113,,T113+1)*R113-ERP_i)*Q113*Ramure*Pc/MaxiM</f>
        <v>1.2809352714251577E-3</v>
      </c>
      <c r="Q113" s="304">
        <f t="shared" si="28"/>
        <v>0.7</v>
      </c>
      <c r="R113" s="177">
        <f t="shared" si="29"/>
        <v>0.6074655033611448</v>
      </c>
      <c r="S113" s="799">
        <f t="shared" si="30"/>
        <v>-1</v>
      </c>
      <c r="T113" s="176">
        <f t="shared" si="31"/>
        <v>5</v>
      </c>
      <c r="U113" s="250">
        <f t="shared" si="32"/>
        <v>-0.3925344966388552</v>
      </c>
      <c r="V113" s="382">
        <f t="shared" si="33"/>
        <v>51.933342568924083</v>
      </c>
      <c r="W113" s="400">
        <f t="shared" si="34"/>
        <v>30.115416678561008</v>
      </c>
      <c r="X113" s="157">
        <f t="shared" si="35"/>
        <v>46851</v>
      </c>
      <c r="Y113" s="383">
        <f t="shared" si="36"/>
        <v>28.920771994395757</v>
      </c>
      <c r="Z113" s="383">
        <f t="shared" si="37"/>
        <v>30.853832749602844</v>
      </c>
      <c r="AA113" s="384">
        <f t="shared" si="38"/>
        <v>33.229733600698118</v>
      </c>
      <c r="AB113" s="197">
        <f t="shared" si="39"/>
        <v>46851</v>
      </c>
      <c r="AC113" s="119">
        <f>IF(OR(t&lt;Tnet,NoTnet),'2027'!Resal_s+('2027'!Salim-'2027'!Resal_s)*(1-EXP(('2027'!Tnet_s-t)/'2027'!Tau_j)),Resal_s+(Salim-Resal_s)*(1-EXP((Tnet_s-t)/Tau_j)))*Salcycl</f>
        <v>7.1499244611619689E-2</v>
      </c>
      <c r="AD113" s="230">
        <f>(INDEX(Models!$BJ113:$BT113,,AH113)*(1-AF113)+INDEX(Models!$BJ113:$BT113,,AH113+1)*AF113-ERP_i)*AE113*Ramure*Pc/MaxiM</f>
        <v>1.1040496469541214E-2</v>
      </c>
      <c r="AE113" s="304">
        <f t="shared" si="40"/>
        <v>0.7</v>
      </c>
      <c r="AF113" s="177">
        <f t="shared" si="41"/>
        <v>0.36312333420049558</v>
      </c>
      <c r="AG113" s="799">
        <f t="shared" si="49"/>
        <v>2</v>
      </c>
      <c r="AH113" s="176">
        <f t="shared" si="42"/>
        <v>8</v>
      </c>
      <c r="AI113" s="224">
        <f t="shared" si="43"/>
        <v>2.3631233342004956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46852</v>
      </c>
      <c r="B114" s="409">
        <f>'2027'!Wh/'2027'!Env_an*'2028'!Env_an</f>
        <v>54.617147151065623</v>
      </c>
      <c r="C114" s="829"/>
      <c r="D114" s="391">
        <f t="shared" si="25"/>
        <v>58.268867092762996</v>
      </c>
      <c r="E114" s="383">
        <f t="shared" si="47"/>
        <v>60.507593422985096</v>
      </c>
      <c r="F114" s="383">
        <f t="shared" si="26"/>
        <v>60.582831847269304</v>
      </c>
      <c r="G114" s="110">
        <f t="shared" si="48"/>
        <v>1.0482441826576601</v>
      </c>
      <c r="H114" s="412" t="b">
        <f>Wh_hp&gt;='2027'!Maxi_hp</f>
        <v>1</v>
      </c>
      <c r="I114" s="388">
        <f>IF(H114,Wh_hp,'2027'!Maxi_hp)</f>
        <v>60.582831847269304</v>
      </c>
      <c r="J114" s="85">
        <f>IF(H114,An,'2027'!An_max)</f>
        <v>2028</v>
      </c>
      <c r="K114" s="197">
        <f t="shared" si="27"/>
        <v>46852</v>
      </c>
      <c r="L114" s="147">
        <f>IF(t&lt;Tvie,1-EXP((T0-t)*PertePVj)+'2027'!Pspv,1-EXP((T0-t)*PertePVj)+Pspv)</f>
        <v>6.2670172321763196E-2</v>
      </c>
      <c r="M114" s="832"/>
      <c r="N114" s="832"/>
      <c r="O114" s="48">
        <f>IF(t&lt;Tnet,'2027'!Resal+('2027'!Salim-'2027'!Resal)*(1-EXP(('2027'!Tnet-t)/('2027'!Tau_j))),Resal+(Salim-Resal)*(1-EXP((Tnet-t)/(Tau_j))))*Salcycl</f>
        <v>3.6999097197140778E-2</v>
      </c>
      <c r="P114" s="169">
        <f>(INDEX(Models!$BJ114:$BT114,,T114)*(1-R114)+INDEX(Models!$BJ114:$BT114,,T114+1)*R114-ERP_i)*Q114*Ramure*Pc/MaxiM</f>
        <v>1.2419099931459722E-3</v>
      </c>
      <c r="Q114" s="304">
        <f t="shared" si="28"/>
        <v>0.7</v>
      </c>
      <c r="R114" s="177">
        <f t="shared" si="29"/>
        <v>0.6085933482462188</v>
      </c>
      <c r="S114" s="799">
        <f t="shared" si="30"/>
        <v>-1</v>
      </c>
      <c r="T114" s="176">
        <f t="shared" si="31"/>
        <v>5</v>
      </c>
      <c r="U114" s="250">
        <f t="shared" si="32"/>
        <v>-0.3914066517537812</v>
      </c>
      <c r="V114" s="382">
        <f t="shared" si="33"/>
        <v>52.10345838752221</v>
      </c>
      <c r="W114" s="400">
        <f t="shared" si="34"/>
        <v>54.617147151065623</v>
      </c>
      <c r="X114" s="157">
        <f t="shared" si="35"/>
        <v>46852</v>
      </c>
      <c r="Y114" s="383">
        <f t="shared" si="36"/>
        <v>52.148329765166721</v>
      </c>
      <c r="Z114" s="383">
        <f t="shared" si="37"/>
        <v>55.634983786164128</v>
      </c>
      <c r="AA114" s="384">
        <f t="shared" si="38"/>
        <v>59.922158861659284</v>
      </c>
      <c r="AB114" s="197">
        <f t="shared" si="39"/>
        <v>46852</v>
      </c>
      <c r="AC114" s="119">
        <f>IF(OR(t&lt;Tnet,NoTnet),'2027'!Resal_s+('2027'!Salim-'2027'!Resal_s)*(1-EXP(('2027'!Tnet_s-t)/'2027'!Tau_j)),Resal_s+(Salim-Resal_s)*(1-EXP((Tnet_s-t)/Tau_j)))*Salcycl</f>
        <v>7.1545737953014069E-2</v>
      </c>
      <c r="AD114" s="230">
        <f>(INDEX(Models!$BJ114:$BT114,,AH114)*(1-AF114)+INDEX(Models!$BJ114:$BT114,,AH114+1)*AF114-ERP_i)*AE114*Ramure*Pc/MaxiM</f>
        <v>1.0905283980048872E-2</v>
      </c>
      <c r="AE114" s="304">
        <f t="shared" si="40"/>
        <v>0.7</v>
      </c>
      <c r="AF114" s="177">
        <f t="shared" si="41"/>
        <v>0.36425117908556937</v>
      </c>
      <c r="AG114" s="799">
        <f t="shared" si="49"/>
        <v>2</v>
      </c>
      <c r="AH114" s="176">
        <f t="shared" si="42"/>
        <v>8</v>
      </c>
      <c r="AI114" s="224">
        <f t="shared" si="43"/>
        <v>2.3642511790855694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46853</v>
      </c>
      <c r="B115" s="409">
        <f>'2027'!Wh/'2027'!Env_an*'2028'!Env_an</f>
        <v>43.570735088257486</v>
      </c>
      <c r="C115" s="829"/>
      <c r="D115" s="391">
        <f t="shared" si="25"/>
        <v>46.484779253622342</v>
      </c>
      <c r="E115" s="383">
        <f t="shared" si="47"/>
        <v>48.274737402570459</v>
      </c>
      <c r="F115" s="383">
        <f t="shared" si="26"/>
        <v>48.319124330071297</v>
      </c>
      <c r="G115" s="110">
        <f t="shared" si="48"/>
        <v>0.83335835625604604</v>
      </c>
      <c r="H115" s="412" t="b">
        <f>Wh_hp&gt;='2027'!Maxi_hp</f>
        <v>0</v>
      </c>
      <c r="I115" s="388">
        <f>IF(H115,Wh_hp,'2027'!Maxi_hp)</f>
        <v>58.211509097292016</v>
      </c>
      <c r="J115" s="85">
        <f>IF(H115,An,'2027'!An_max)</f>
        <v>2020</v>
      </c>
      <c r="K115" s="197">
        <f t="shared" si="27"/>
        <v>46853</v>
      </c>
      <c r="L115" s="147">
        <f>IF(t&lt;Tvie,1-EXP((T0-t)*PertePVj)+'2027'!Pspv,1-EXP((T0-t)*PertePVj)+Pspv)</f>
        <v>6.2688136034071418E-2</v>
      </c>
      <c r="M115" s="832"/>
      <c r="N115" s="832"/>
      <c r="O115" s="48">
        <f>IF(t&lt;Tnet,'2027'!Resal+('2027'!Salim-'2027'!Resal)*(1-EXP(('2027'!Tnet-t)/('2027'!Tau_j))),Resal+(Salim-Resal)*(1-EXP((Tnet-t)/(Tau_j))))*Salcycl</f>
        <v>3.7078568320763235E-2</v>
      </c>
      <c r="P115" s="169">
        <f>(INDEX(Models!$BJ115:$BT115,,T115)*(1-R115)+INDEX(Models!$BJ115:$BT115,,T115+1)*R115-ERP_i)*Q115*Ramure*Pc/MaxiM</f>
        <v>1.2050924945196195E-3</v>
      </c>
      <c r="Q115" s="304">
        <f t="shared" si="28"/>
        <v>0.7</v>
      </c>
      <c r="R115" s="177">
        <f t="shared" si="29"/>
        <v>0.60976124861893655</v>
      </c>
      <c r="S115" s="799">
        <f t="shared" si="30"/>
        <v>-1</v>
      </c>
      <c r="T115" s="176">
        <f t="shared" si="31"/>
        <v>5</v>
      </c>
      <c r="U115" s="250">
        <f t="shared" si="32"/>
        <v>-0.39023875138106351</v>
      </c>
      <c r="V115" s="382">
        <f t="shared" si="33"/>
        <v>52.268320680647285</v>
      </c>
      <c r="W115" s="400">
        <f t="shared" si="34"/>
        <v>43.570735088257486</v>
      </c>
      <c r="X115" s="157">
        <f t="shared" si="35"/>
        <v>46853</v>
      </c>
      <c r="Y115" s="383">
        <f t="shared" si="36"/>
        <v>41.702833827696786</v>
      </c>
      <c r="Z115" s="383">
        <f t="shared" si="37"/>
        <v>44.491951324764933</v>
      </c>
      <c r="AA115" s="384">
        <f t="shared" si="38"/>
        <v>47.922899695130184</v>
      </c>
      <c r="AB115" s="197">
        <f t="shared" si="39"/>
        <v>46853</v>
      </c>
      <c r="AC115" s="119">
        <f>IF(OR(t&lt;Tnet,NoTnet),'2027'!Resal_s+('2027'!Salim-'2027'!Resal_s)*(1-EXP(('2027'!Tnet_s-t)/'2027'!Tau_j)),Resal_s+(Salim-Resal_s)*(1-EXP((Tnet_s-t)/Tau_j)))*Salcycl</f>
        <v>7.1593087901437868E-2</v>
      </c>
      <c r="AD115" s="230">
        <f>(INDEX(Models!$BJ115:$BT115,,AH115)*(1-AF115)+INDEX(Models!$BJ115:$BT115,,AH115+1)*AF115-ERP_i)*AE115*Ramure*Pc/MaxiM</f>
        <v>1.0757386478312423E-2</v>
      </c>
      <c r="AE115" s="304">
        <f t="shared" si="40"/>
        <v>0.7</v>
      </c>
      <c r="AF115" s="177">
        <f t="shared" si="41"/>
        <v>0.36541907945828722</v>
      </c>
      <c r="AG115" s="799">
        <f t="shared" si="49"/>
        <v>2</v>
      </c>
      <c r="AH115" s="176">
        <f t="shared" si="42"/>
        <v>8</v>
      </c>
      <c r="AI115" s="224">
        <f t="shared" si="43"/>
        <v>2.3654190794582872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46854</v>
      </c>
      <c r="B116" s="409">
        <f>'2027'!Wh/'2027'!Env_an*'2028'!Env_an</f>
        <v>38.21711602903676</v>
      </c>
      <c r="C116" s="829"/>
      <c r="D116" s="391">
        <f t="shared" si="25"/>
        <v>40.773887469723661</v>
      </c>
      <c r="E116" s="383">
        <f t="shared" si="47"/>
        <v>42.347453444087897</v>
      </c>
      <c r="F116" s="383">
        <f t="shared" si="26"/>
        <v>42.377847646484774</v>
      </c>
      <c r="G116" s="110">
        <f t="shared" si="48"/>
        <v>0.72860966971944052</v>
      </c>
      <c r="H116" s="412" t="b">
        <f>Wh_hp&gt;='2027'!Maxi_hp</f>
        <v>0</v>
      </c>
      <c r="I116" s="388">
        <f>IF(H116,Wh_hp,'2027'!Maxi_hp)</f>
        <v>57.589141732142863</v>
      </c>
      <c r="J116" s="85">
        <f>IF(H116,An,'2027'!An_max)</f>
        <v>2020</v>
      </c>
      <c r="K116" s="197">
        <f t="shared" si="27"/>
        <v>46854</v>
      </c>
      <c r="L116" s="147">
        <f>IF(t&lt;Tvie,1-EXP((T0-t)*PertePVj)+'2027'!Pspv,1-EXP((T0-t)*PertePVj)+Pspv)</f>
        <v>6.2706099402109028E-2</v>
      </c>
      <c r="M116" s="832"/>
      <c r="N116" s="832"/>
      <c r="O116" s="48">
        <f>IF(t&lt;Tnet,'2027'!Resal+('2027'!Salim-'2027'!Resal)*(1-EXP(('2027'!Tnet-t)/('2027'!Tau_j))),Resal+(Salim-Resal)*(1-EXP((Tnet-t)/(Tau_j))))*Salcycl</f>
        <v>3.7158455736703115E-2</v>
      </c>
      <c r="P116" s="169">
        <f>(INDEX(Models!$BJ116:$BT116,,T116)*(1-R116)+INDEX(Models!$BJ116:$BT116,,T116+1)*R116-ERP_i)*Q116*Ramure*Pc/MaxiM</f>
        <v>1.1704505212140508E-3</v>
      </c>
      <c r="Q116" s="304">
        <f t="shared" si="28"/>
        <v>0.7</v>
      </c>
      <c r="R116" s="177">
        <f t="shared" si="29"/>
        <v>0.6109703373138391</v>
      </c>
      <c r="S116" s="799">
        <f t="shared" si="30"/>
        <v>-1</v>
      </c>
      <c r="T116" s="176">
        <f t="shared" si="31"/>
        <v>5</v>
      </c>
      <c r="U116" s="250">
        <f t="shared" si="32"/>
        <v>-0.38902966268616085</v>
      </c>
      <c r="V116" s="382">
        <f t="shared" si="33"/>
        <v>52.428322032162392</v>
      </c>
      <c r="W116" s="400">
        <f t="shared" si="34"/>
        <v>38.21711602903676</v>
      </c>
      <c r="X116" s="157">
        <f t="shared" si="35"/>
        <v>46854</v>
      </c>
      <c r="Y116" s="383">
        <f t="shared" si="36"/>
        <v>36.635428135682659</v>
      </c>
      <c r="Z116" s="383">
        <f t="shared" si="37"/>
        <v>39.08638273684835</v>
      </c>
      <c r="AA116" s="384">
        <f t="shared" si="38"/>
        <v>42.102673556048821</v>
      </c>
      <c r="AB116" s="197">
        <f t="shared" si="39"/>
        <v>46854</v>
      </c>
      <c r="AC116" s="119">
        <f>IF(OR(t&lt;Tnet,NoTnet),'2027'!Resal_s+('2027'!Salim-'2027'!Resal_s)*(1-EXP(('2027'!Tnet_s-t)/'2027'!Tau_j)),Resal_s+(Salim-Resal_s)*(1-EXP((Tnet_s-t)/Tau_j)))*Salcycl</f>
        <v>7.1641313114832419E-2</v>
      </c>
      <c r="AD116" s="230">
        <f>(INDEX(Models!$BJ116:$BT116,,AH116)*(1-AF116)+INDEX(Models!$BJ116:$BT116,,AH116+1)*AF116-ERP_i)*AE116*Ramure*Pc/MaxiM</f>
        <v>1.0596680688303302E-2</v>
      </c>
      <c r="AE116" s="304">
        <f t="shared" si="40"/>
        <v>0.7</v>
      </c>
      <c r="AF116" s="177">
        <f t="shared" si="41"/>
        <v>0.36662816815318999</v>
      </c>
      <c r="AG116" s="799">
        <f t="shared" si="49"/>
        <v>2</v>
      </c>
      <c r="AH116" s="176">
        <f t="shared" si="42"/>
        <v>8</v>
      </c>
      <c r="AI116" s="224">
        <f t="shared" si="43"/>
        <v>2.36662816815319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46855</v>
      </c>
      <c r="B117" s="409">
        <f>'2027'!Wh/'2027'!Env_an*'2028'!Env_an</f>
        <v>5.921771843627667</v>
      </c>
      <c r="C117" s="829"/>
      <c r="D117" s="391">
        <f t="shared" si="25"/>
        <v>6.3180666506328507</v>
      </c>
      <c r="E117" s="383">
        <f t="shared" si="47"/>
        <v>6.5624439979213767</v>
      </c>
      <c r="F117" s="383">
        <f t="shared" si="26"/>
        <v>6.5624439979213767</v>
      </c>
      <c r="G117" s="110">
        <f t="shared" si="48"/>
        <v>0.11248762853424407</v>
      </c>
      <c r="H117" s="412" t="b">
        <f>Wh_hp&gt;='2027'!Maxi_hp</f>
        <v>0</v>
      </c>
      <c r="I117" s="388">
        <f>IF(H117,Wh_hp,'2027'!Maxi_hp)</f>
        <v>56.994672036100951</v>
      </c>
      <c r="J117" s="85">
        <f>IF(H117,An,'2027'!An_max)</f>
        <v>2018</v>
      </c>
      <c r="K117" s="197">
        <f t="shared" si="27"/>
        <v>46855</v>
      </c>
      <c r="L117" s="147">
        <f>IF(t&lt;Tvie,1-EXP((T0-t)*PertePVj)+'2027'!Pspv,1-EXP((T0-t)*PertePVj)+Pspv)</f>
        <v>6.2724062425882909E-2</v>
      </c>
      <c r="M117" s="832"/>
      <c r="N117" s="832"/>
      <c r="O117" s="48">
        <f>IF(t&lt;Tnet,'2027'!Resal+('2027'!Salim-'2027'!Resal)*(1-EXP(('2027'!Tnet-t)/('2027'!Tau_j))),Resal+(Salim-Resal)*(1-EXP((Tnet-t)/(Tau_j))))*Salcycl</f>
        <v>3.7238770702794799E-2</v>
      </c>
      <c r="P117" s="169">
        <f>(INDEX(Models!$BJ117:$BT117,,T117)*(1-R117)+INDEX(Models!$BJ117:$BT117,,T117+1)*R117-ERP_i)*Q117*Ramure*Pc/MaxiM</f>
        <v>1.1379554910951521E-3</v>
      </c>
      <c r="Q117" s="304">
        <f t="shared" si="28"/>
        <v>0.7</v>
      </c>
      <c r="R117" s="177">
        <f t="shared" si="29"/>
        <v>0.6122217564601764</v>
      </c>
      <c r="S117" s="799">
        <f t="shared" si="30"/>
        <v>-1</v>
      </c>
      <c r="T117" s="176">
        <f t="shared" si="31"/>
        <v>5</v>
      </c>
      <c r="U117" s="250">
        <f t="shared" si="32"/>
        <v>-0.3877782435398236</v>
      </c>
      <c r="V117" s="382">
        <f t="shared" si="33"/>
        <v>52.583854846228824</v>
      </c>
      <c r="W117" s="400">
        <f t="shared" si="34"/>
        <v>5.921771843627667</v>
      </c>
      <c r="X117" s="157">
        <f t="shared" si="35"/>
        <v>46855</v>
      </c>
      <c r="Y117" s="383">
        <f t="shared" si="36"/>
        <v>5.7098658515601182</v>
      </c>
      <c r="Z117" s="383">
        <f t="shared" si="37"/>
        <v>6.0919795576301121</v>
      </c>
      <c r="AA117" s="384">
        <f t="shared" si="38"/>
        <v>6.5624439979213767</v>
      </c>
      <c r="AB117" s="197">
        <f t="shared" si="39"/>
        <v>46855</v>
      </c>
      <c r="AC117" s="119">
        <f>IF(OR(t&lt;Tnet,NoTnet),'2027'!Resal_s+('2027'!Salim-'2027'!Resal_s)*(1-EXP(('2027'!Tnet_s-t)/'2027'!Tau_j)),Resal_s+(Salim-Resal_s)*(1-EXP((Tnet_s-t)/Tau_j)))*Salcycl</f>
        <v>7.1690431254008785E-2</v>
      </c>
      <c r="AD117" s="230">
        <f>(INDEX(Models!$BJ117:$BT117,,AH117)*(1-AF117)+INDEX(Models!$BJ117:$BT117,,AH117+1)*AF117-ERP_i)*AE117*Ramure*Pc/MaxiM</f>
        <v>1.0423031071316509E-2</v>
      </c>
      <c r="AE117" s="304">
        <f t="shared" si="40"/>
        <v>0.7</v>
      </c>
      <c r="AF117" s="177">
        <f t="shared" si="41"/>
        <v>0.36787958729952708</v>
      </c>
      <c r="AG117" s="799">
        <f t="shared" si="49"/>
        <v>2</v>
      </c>
      <c r="AH117" s="176">
        <f t="shared" si="42"/>
        <v>8</v>
      </c>
      <c r="AI117" s="224">
        <f t="shared" si="43"/>
        <v>2.3678795872995271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46856</v>
      </c>
      <c r="B118" s="409">
        <f>'2027'!Wh/'2027'!Env_an*'2028'!Env_an</f>
        <v>42.763582059195912</v>
      </c>
      <c r="C118" s="829"/>
      <c r="D118" s="391">
        <f t="shared" si="25"/>
        <v>45.626266411875449</v>
      </c>
      <c r="E118" s="383">
        <f t="shared" si="47"/>
        <v>47.395026229748332</v>
      </c>
      <c r="F118" s="383">
        <f t="shared" si="26"/>
        <v>47.4333710067814</v>
      </c>
      <c r="G118" s="110">
        <f t="shared" si="48"/>
        <v>0.81066701213454417</v>
      </c>
      <c r="H118" s="412" t="b">
        <f>Wh_hp&gt;='2027'!Maxi_hp</f>
        <v>0</v>
      </c>
      <c r="I118" s="388">
        <f>IF(H118,Wh_hp,'2027'!Maxi_hp)</f>
        <v>57.747438215709053</v>
      </c>
      <c r="J118" s="85">
        <f>IF(H118,An,'2027'!An_max)</f>
        <v>2021</v>
      </c>
      <c r="K118" s="197">
        <f t="shared" si="27"/>
        <v>46856</v>
      </c>
      <c r="L118" s="147">
        <f>IF(t&lt;Tvie,1-EXP((T0-t)*PertePVj)+'2027'!Pspv,1-EXP((T0-t)*PertePVj)+Pspv)</f>
        <v>6.2742025105399502E-2</v>
      </c>
      <c r="M118" s="832"/>
      <c r="N118" s="832"/>
      <c r="O118" s="48">
        <f>IF(t&lt;Tnet,'2027'!Resal+('2027'!Salim-'2027'!Resal)*(1-EXP(('2027'!Tnet-t)/('2027'!Tau_j))),Resal+(Salim-Resal)*(1-EXP((Tnet-t)/(Tau_j))))*Salcycl</f>
        <v>3.7319523979136231E-2</v>
      </c>
      <c r="P118" s="169">
        <f>(INDEX(Models!$BJ118:$BT118,,T118)*(1-R118)+INDEX(Models!$BJ118:$BT118,,T118+1)*R118-ERP_i)*Q118*Ramure*Pc/MaxiM</f>
        <v>1.1075823146989487E-3</v>
      </c>
      <c r="Q118" s="304">
        <f t="shared" si="28"/>
        <v>0.7</v>
      </c>
      <c r="R118" s="177">
        <f t="shared" si="29"/>
        <v>0.61351665556382717</v>
      </c>
      <c r="S118" s="799">
        <f t="shared" si="30"/>
        <v>-1</v>
      </c>
      <c r="T118" s="176">
        <f t="shared" si="31"/>
        <v>5</v>
      </c>
      <c r="U118" s="250">
        <f t="shared" si="32"/>
        <v>-0.38648334443617277</v>
      </c>
      <c r="V118" s="382">
        <f t="shared" si="33"/>
        <v>52.735311337310762</v>
      </c>
      <c r="W118" s="400">
        <f t="shared" si="34"/>
        <v>42.763582059195912</v>
      </c>
      <c r="X118" s="157">
        <f t="shared" si="35"/>
        <v>46856</v>
      </c>
      <c r="Y118" s="383">
        <f t="shared" si="36"/>
        <v>40.959598002692047</v>
      </c>
      <c r="Z118" s="383">
        <f t="shared" si="37"/>
        <v>43.701519858818131</v>
      </c>
      <c r="AA118" s="384">
        <f t="shared" si="38"/>
        <v>47.07898806910287</v>
      </c>
      <c r="AB118" s="197">
        <f t="shared" si="39"/>
        <v>46856</v>
      </c>
      <c r="AC118" s="119">
        <f>IF(OR(t&lt;Tnet,NoTnet),'2027'!Resal_s+('2027'!Salim-'2027'!Resal_s)*(1-EXP(('2027'!Tnet_s-t)/'2027'!Tau_j)),Resal_s+(Salim-Resal_s)*(1-EXP((Tnet_s-t)/Tau_j)))*Salcycl</f>
        <v>7.1740458935253063E-2</v>
      </c>
      <c r="AD118" s="230">
        <f>(INDEX(Models!$BJ118:$BT118,,AH118)*(1-AF118)+INDEX(Models!$BJ118:$BT118,,AH118+1)*AF118-ERP_i)*AE118*Ramure*Pc/MaxiM</f>
        <v>1.0236290435730164E-2</v>
      </c>
      <c r="AE118" s="304">
        <f t="shared" si="40"/>
        <v>0.7</v>
      </c>
      <c r="AF118" s="177">
        <f t="shared" si="41"/>
        <v>0.36917448640317785</v>
      </c>
      <c r="AG118" s="799">
        <f t="shared" si="49"/>
        <v>2</v>
      </c>
      <c r="AH118" s="176">
        <f t="shared" si="42"/>
        <v>8</v>
      </c>
      <c r="AI118" s="224">
        <f t="shared" si="43"/>
        <v>2.3691744864031778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46857</v>
      </c>
      <c r="B119" s="409">
        <f>'2027'!Wh/'2027'!Env_an*'2028'!Env_an</f>
        <v>43.75711176841488</v>
      </c>
      <c r="C119" s="829"/>
      <c r="D119" s="391">
        <f t="shared" si="25"/>
        <v>46.687199844281849</v>
      </c>
      <c r="E119" s="383">
        <f t="shared" si="47"/>
        <v>48.501179146443945</v>
      </c>
      <c r="F119" s="383">
        <f t="shared" si="26"/>
        <v>48.540653885295484</v>
      </c>
      <c r="G119" s="110">
        <f t="shared" si="48"/>
        <v>0.82721083061986345</v>
      </c>
      <c r="H119" s="412" t="b">
        <f>Wh_hp&gt;='2027'!Maxi_hp</f>
        <v>0</v>
      </c>
      <c r="I119" s="388">
        <f>IF(H119,Wh_hp,'2027'!Maxi_hp)</f>
        <v>58.651705388898215</v>
      </c>
      <c r="J119" s="85">
        <f>IF(H119,An,'2027'!An_max)</f>
        <v>2021</v>
      </c>
      <c r="K119" s="197">
        <f t="shared" si="27"/>
        <v>46857</v>
      </c>
      <c r="L119" s="147">
        <f>IF(t&lt;Tvie,1-EXP((T0-t)*PertePVj)+'2027'!Pspv,1-EXP((T0-t)*PertePVj)+Pspv)</f>
        <v>6.2759987440665466E-2</v>
      </c>
      <c r="M119" s="832"/>
      <c r="N119" s="832"/>
      <c r="O119" s="48">
        <f>IF(t&lt;Tnet,'2027'!Resal+('2027'!Salim-'2027'!Resal)*(1-EXP(('2027'!Tnet-t)/('2027'!Tau_j))),Resal+(Salim-Resal)*(1-EXP((Tnet-t)/(Tau_j))))*Salcycl</f>
        <v>3.7400725798541562E-2</v>
      </c>
      <c r="P119" s="169">
        <f>(INDEX(Models!$BJ119:$BT119,,T119)*(1-R119)+INDEX(Models!$BJ119:$BT119,,T119+1)*R119-ERP_i)*Q119*Ramure*Pc/MaxiM</f>
        <v>1.079309226894858E-3</v>
      </c>
      <c r="Q119" s="304">
        <f t="shared" si="28"/>
        <v>0.7</v>
      </c>
      <c r="R119" s="177">
        <f t="shared" si="29"/>
        <v>0.61485618941145237</v>
      </c>
      <c r="S119" s="799">
        <f t="shared" si="30"/>
        <v>-1</v>
      </c>
      <c r="T119" s="176">
        <f t="shared" si="31"/>
        <v>5</v>
      </c>
      <c r="U119" s="250">
        <f t="shared" si="32"/>
        <v>-0.38514381058854757</v>
      </c>
      <c r="V119" s="382">
        <f t="shared" si="33"/>
        <v>52.883083532385371</v>
      </c>
      <c r="W119" s="400">
        <f t="shared" si="34"/>
        <v>43.75711176841488</v>
      </c>
      <c r="X119" s="157">
        <f t="shared" si="35"/>
        <v>46857</v>
      </c>
      <c r="Y119" s="383">
        <f t="shared" si="36"/>
        <v>41.908814391797733</v>
      </c>
      <c r="Z119" s="383">
        <f t="shared" si="37"/>
        <v>44.715135749867038</v>
      </c>
      <c r="AA119" s="384">
        <f t="shared" si="38"/>
        <v>48.173585455485089</v>
      </c>
      <c r="AB119" s="197">
        <f t="shared" si="39"/>
        <v>46857</v>
      </c>
      <c r="AC119" s="119">
        <f>IF(OR(t&lt;Tnet,NoTnet),'2027'!Resal_s+('2027'!Salim-'2027'!Resal_s)*(1-EXP(('2027'!Tnet_s-t)/'2027'!Tau_j)),Resal_s+(Salim-Resal_s)*(1-EXP((Tnet_s-t)/Tau_j)))*Salcycl</f>
        <v>7.1791411681695172E-2</v>
      </c>
      <c r="AD119" s="230">
        <f>(INDEX(Models!$BJ119:$BT119,,AH119)*(1-AF119)+INDEX(Models!$BJ119:$BT119,,AH119+1)*AF119-ERP_i)*AE119*Ramure*Pc/MaxiM</f>
        <v>1.003630054871661E-2</v>
      </c>
      <c r="AE119" s="304">
        <f t="shared" si="40"/>
        <v>0.7</v>
      </c>
      <c r="AF119" s="177">
        <f t="shared" si="41"/>
        <v>0.37051402025080327</v>
      </c>
      <c r="AG119" s="799">
        <f t="shared" si="49"/>
        <v>2</v>
      </c>
      <c r="AH119" s="176">
        <f t="shared" si="42"/>
        <v>8</v>
      </c>
      <c r="AI119" s="224">
        <f t="shared" si="43"/>
        <v>2.3705140202508033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46858</v>
      </c>
      <c r="B120" s="409">
        <f>'2027'!Wh/'2027'!Env_an*'2028'!Env_an</f>
        <v>35.802142883191372</v>
      </c>
      <c r="C120" s="829"/>
      <c r="D120" s="391">
        <f t="shared" si="25"/>
        <v>38.200278004003074</v>
      </c>
      <c r="E120" s="383">
        <f t="shared" si="47"/>
        <v>39.687874218470697</v>
      </c>
      <c r="F120" s="383">
        <f t="shared" si="26"/>
        <v>39.710287196257369</v>
      </c>
      <c r="G120" s="110">
        <f t="shared" si="48"/>
        <v>0.6748308634717326</v>
      </c>
      <c r="H120" s="412" t="b">
        <f>Wh_hp&gt;='2027'!Maxi_hp</f>
        <v>0</v>
      </c>
      <c r="I120" s="388">
        <f>IF(H120,Wh_hp,'2027'!Maxi_hp)</f>
        <v>57.771393300679215</v>
      </c>
      <c r="J120" s="85">
        <f>IF(H120,An,'2027'!An_max)</f>
        <v>2020</v>
      </c>
      <c r="K120" s="197">
        <f t="shared" si="27"/>
        <v>46858</v>
      </c>
      <c r="L120" s="147">
        <f>IF(t&lt;Tvie,1-EXP((T0-t)*PertePVj)+'2027'!Pspv,1-EXP((T0-t)*PertePVj)+Pspv)</f>
        <v>6.2777949431687352E-2</v>
      </c>
      <c r="M120" s="832"/>
      <c r="N120" s="832"/>
      <c r="O120" s="48">
        <f>IF(t&lt;Tnet,'2027'!Resal+('2027'!Salim-'2027'!Resal)*(1-EXP(('2027'!Tnet-t)/('2027'!Tau_j))),Resal+(Salim-Resal)*(1-EXP((Tnet-t)/(Tau_j))))*Salcycl</f>
        <v>3.7482385836006667E-2</v>
      </c>
      <c r="P120" s="169">
        <f>(INDEX(Models!$BJ120:$BT120,,T120)*(1-R120)+INDEX(Models!$BJ120:$BT120,,T120+1)*R120-ERP_i)*Q120*Ramure*Pc/MaxiM</f>
        <v>1.0531176285178228E-3</v>
      </c>
      <c r="Q120" s="304">
        <f t="shared" si="28"/>
        <v>0.7</v>
      </c>
      <c r="R120" s="177">
        <f t="shared" si="29"/>
        <v>0.61624151579036635</v>
      </c>
      <c r="S120" s="799">
        <f t="shared" si="30"/>
        <v>-1</v>
      </c>
      <c r="T120" s="176">
        <f t="shared" si="31"/>
        <v>5</v>
      </c>
      <c r="U120" s="250">
        <f t="shared" si="32"/>
        <v>-0.38375848420963365</v>
      </c>
      <c r="V120" s="382">
        <f t="shared" si="33"/>
        <v>53.027563266893722</v>
      </c>
      <c r="W120" s="400">
        <f t="shared" si="34"/>
        <v>35.802142883191372</v>
      </c>
      <c r="X120" s="157">
        <f t="shared" si="35"/>
        <v>46858</v>
      </c>
      <c r="Y120" s="383">
        <f t="shared" si="36"/>
        <v>34.361683655423199</v>
      </c>
      <c r="Z120" s="383">
        <f t="shared" si="37"/>
        <v>36.66333248837558</v>
      </c>
      <c r="AA120" s="384">
        <f t="shared" si="38"/>
        <v>39.50123146379299</v>
      </c>
      <c r="AB120" s="197">
        <f t="shared" si="39"/>
        <v>46858</v>
      </c>
      <c r="AC120" s="119">
        <f>IF(OR(t&lt;Tnet,NoTnet),'2027'!Resal_s+('2027'!Salim-'2027'!Resal_s)*(1-EXP(('2027'!Tnet_s-t)/'2027'!Tau_j)),Resal_s+(Salim-Resal_s)*(1-EXP((Tnet_s-t)/Tau_j)))*Salcycl</f>
        <v>7.184330387316254E-2</v>
      </c>
      <c r="AD120" s="230">
        <f>(INDEX(Models!$BJ120:$BT120,,AH120)*(1-AF120)+INDEX(Models!$BJ120:$BT120,,AH120+1)*AF120-ERP_i)*AE120*Ramure*Pc/MaxiM</f>
        <v>9.8228927586719271E-3</v>
      </c>
      <c r="AE120" s="304">
        <f t="shared" si="40"/>
        <v>0.7</v>
      </c>
      <c r="AF120" s="177">
        <f t="shared" si="41"/>
        <v>0.37189934662971691</v>
      </c>
      <c r="AG120" s="799">
        <f t="shared" si="49"/>
        <v>2</v>
      </c>
      <c r="AH120" s="176">
        <f t="shared" si="42"/>
        <v>8</v>
      </c>
      <c r="AI120" s="224">
        <f t="shared" si="43"/>
        <v>2.3718993466297169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46859</v>
      </c>
      <c r="B121" s="409">
        <f>'2027'!Wh/'2027'!Env_an*'2028'!Env_an</f>
        <v>52.718978980453379</v>
      </c>
      <c r="C121" s="829"/>
      <c r="D121" s="391">
        <f t="shared" si="25"/>
        <v>56.251332664498783</v>
      </c>
      <c r="E121" s="383">
        <f t="shared" si="47"/>
        <v>58.446860526919984</v>
      </c>
      <c r="F121" s="383">
        <f t="shared" si="26"/>
        <v>58.506338740669499</v>
      </c>
      <c r="G121" s="110">
        <f t="shared" si="48"/>
        <v>0.99154726143644034</v>
      </c>
      <c r="H121" s="412" t="b">
        <f>Wh_hp&gt;='2027'!Maxi_hp</f>
        <v>0</v>
      </c>
      <c r="I121" s="388">
        <f>IF(H121,Wh_hp,'2027'!Maxi_hp)</f>
        <v>58.507052448549487</v>
      </c>
      <c r="J121" s="85">
        <f>IF(H121,An,'2027'!An_max)</f>
        <v>2026</v>
      </c>
      <c r="K121" s="197">
        <f t="shared" si="27"/>
        <v>46859</v>
      </c>
      <c r="L121" s="147">
        <f>IF(t&lt;Tvie,1-EXP((T0-t)*PertePVj)+'2027'!Pspv,1-EXP((T0-t)*PertePVj)+Pspv)</f>
        <v>6.2795911078471822E-2</v>
      </c>
      <c r="M121" s="832"/>
      <c r="N121" s="832"/>
      <c r="O121" s="48">
        <f>IF(t&lt;Tnet,'2027'!Resal+('2027'!Salim-'2027'!Resal)*(1-EXP(('2027'!Tnet-t)/('2027'!Tau_j))),Resal+(Salim-Resal)*(1-EXP((Tnet-t)/(Tau_j))))*Salcycl</f>
        <v>3.7564513177058785E-2</v>
      </c>
      <c r="P121" s="169">
        <f>(INDEX(Models!$BJ121:$BT121,,T121)*(1-R121)+INDEX(Models!$BJ121:$BT121,,T121+1)*R121-ERP_i)*Q121*Ramure*Pc/MaxiM</f>
        <v>1.0290191003782922E-3</v>
      </c>
      <c r="Q121" s="304">
        <f t="shared" si="28"/>
        <v>0.7</v>
      </c>
      <c r="R121" s="177">
        <f t="shared" si="29"/>
        <v>0.61767379301810776</v>
      </c>
      <c r="S121" s="799">
        <f t="shared" si="30"/>
        <v>-1</v>
      </c>
      <c r="T121" s="176">
        <f t="shared" si="31"/>
        <v>5</v>
      </c>
      <c r="U121" s="250">
        <f t="shared" si="32"/>
        <v>-0.38232620698189224</v>
      </c>
      <c r="V121" s="382">
        <f t="shared" si="33"/>
        <v>53.167737178416992</v>
      </c>
      <c r="W121" s="400">
        <f t="shared" si="34"/>
        <v>52.718978980453379</v>
      </c>
      <c r="X121" s="157">
        <f t="shared" si="35"/>
        <v>46859</v>
      </c>
      <c r="Y121" s="383">
        <f t="shared" si="36"/>
        <v>50.407682310882414</v>
      </c>
      <c r="Z121" s="383">
        <f t="shared" si="37"/>
        <v>53.785171134803953</v>
      </c>
      <c r="AA121" s="384">
        <f t="shared" si="38"/>
        <v>57.951673252013336</v>
      </c>
      <c r="AB121" s="197">
        <f t="shared" si="39"/>
        <v>46859</v>
      </c>
      <c r="AC121" s="119">
        <f>IF(OR(t&lt;Tnet,NoTnet),'2027'!Resal_s+('2027'!Salim-'2027'!Resal_s)*(1-EXP(('2027'!Tnet_s-t)/'2027'!Tau_j)),Resal_s+(Salim-Resal_s)*(1-EXP((Tnet_s-t)/Tau_j)))*Salcycl</f>
        <v>7.1896148694285178E-2</v>
      </c>
      <c r="AD121" s="230">
        <f>(INDEX(Models!$BJ121:$BT121,,AH121)*(1-AF121)+INDEX(Models!$BJ121:$BT121,,AH121+1)*AF121-ERP_i)*AE121*Ramure*Pc/MaxiM</f>
        <v>9.5961419512616726E-3</v>
      </c>
      <c r="AE121" s="304">
        <f t="shared" si="40"/>
        <v>0.7</v>
      </c>
      <c r="AF121" s="177">
        <f t="shared" si="41"/>
        <v>0.37333162385745844</v>
      </c>
      <c r="AG121" s="799">
        <f t="shared" si="49"/>
        <v>2</v>
      </c>
      <c r="AH121" s="176">
        <f t="shared" si="42"/>
        <v>8</v>
      </c>
      <c r="AI121" s="224">
        <f t="shared" si="43"/>
        <v>2.3733316238574584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46860</v>
      </c>
      <c r="B122" s="409">
        <f>'2027'!Wh/'2027'!Env_an*'2028'!Env_an</f>
        <v>34.346157285118608</v>
      </c>
      <c r="C122" s="829"/>
      <c r="D122" s="391">
        <f t="shared" si="25"/>
        <v>36.648170809334147</v>
      </c>
      <c r="E122" s="383">
        <f t="shared" si="47"/>
        <v>38.081842356886568</v>
      </c>
      <c r="F122" s="383">
        <f t="shared" si="26"/>
        <v>38.100732447265955</v>
      </c>
      <c r="G122" s="110">
        <f t="shared" si="48"/>
        <v>0.64403385114865397</v>
      </c>
      <c r="H122" s="412" t="b">
        <f>Wh_hp&gt;='2027'!Maxi_hp</f>
        <v>0</v>
      </c>
      <c r="I122" s="388">
        <f>IF(H122,Wh_hp,'2027'!Maxi_hp)</f>
        <v>47.717829043951738</v>
      </c>
      <c r="J122" s="85">
        <f>IF(H122,An,'2027'!An_max)</f>
        <v>2021</v>
      </c>
      <c r="K122" s="197">
        <f t="shared" si="27"/>
        <v>46860</v>
      </c>
      <c r="L122" s="147">
        <f>IF(t&lt;Tvie,1-EXP((T0-t)*PertePVj)+'2027'!Pspv,1-EXP((T0-t)*PertePVj)+Pspv)</f>
        <v>6.2813872381025426E-2</v>
      </c>
      <c r="M122" s="832"/>
      <c r="N122" s="832"/>
      <c r="O122" s="48">
        <f>IF(t&lt;Tnet,'2027'!Resal+('2027'!Salim-'2027'!Resal)*(1-EXP(('2027'!Tnet-t)/('2027'!Tau_j))),Resal+(Salim-Resal)*(1-EXP((Tnet-t)/(Tau_j))))*Salcycl</f>
        <v>3.7647116284886435E-2</v>
      </c>
      <c r="P122" s="169">
        <f>(INDEX(Models!$BJ122:$BT122,,T122)*(1-R122)+INDEX(Models!$BJ122:$BT122,,T122+1)*R122-ERP_i)*Q122*Ramure*Pc/MaxiM</f>
        <v>1.0078156050710178E-3</v>
      </c>
      <c r="Q122" s="304">
        <f t="shared" si="28"/>
        <v>0.7</v>
      </c>
      <c r="R122" s="177">
        <f t="shared" si="29"/>
        <v>0.61915417727628608</v>
      </c>
      <c r="S122" s="799">
        <f t="shared" si="30"/>
        <v>-1</v>
      </c>
      <c r="T122" s="176">
        <f t="shared" si="31"/>
        <v>5</v>
      </c>
      <c r="U122" s="250">
        <f t="shared" si="32"/>
        <v>-0.38084582272371387</v>
      </c>
      <c r="V122" s="382">
        <f t="shared" si="33"/>
        <v>53.302419592050491</v>
      </c>
      <c r="W122" s="400">
        <f t="shared" si="34"/>
        <v>34.346157285118608</v>
      </c>
      <c r="X122" s="157">
        <f t="shared" si="35"/>
        <v>46860</v>
      </c>
      <c r="Y122" s="383">
        <f t="shared" si="36"/>
        <v>32.985679796052203</v>
      </c>
      <c r="Z122" s="383">
        <f t="shared" si="37"/>
        <v>35.196508808614126</v>
      </c>
      <c r="AA122" s="384">
        <f t="shared" si="38"/>
        <v>37.925227324835888</v>
      </c>
      <c r="AB122" s="197">
        <f t="shared" si="39"/>
        <v>46860</v>
      </c>
      <c r="AC122" s="119">
        <f>IF(OR(t&lt;Tnet,NoTnet),'2027'!Resal_s+('2027'!Salim-'2027'!Resal_s)*(1-EXP(('2027'!Tnet_s-t)/'2027'!Tau_j)),Resal_s+(Salim-Resal_s)*(1-EXP((Tnet_s-t)/Tau_j)))*Salcycl</f>
        <v>7.1949958080668439E-2</v>
      </c>
      <c r="AD122" s="230">
        <f>(INDEX(Models!$BJ122:$BT122,,AH122)*(1-AF122)+INDEX(Models!$BJ122:$BT122,,AH122+1)*AF122-ERP_i)*AE122*Ramure*Pc/MaxiM</f>
        <v>9.363470348872761E-3</v>
      </c>
      <c r="AE122" s="304">
        <f t="shared" si="40"/>
        <v>0.7</v>
      </c>
      <c r="AF122" s="177">
        <f t="shared" si="41"/>
        <v>0.37481200811563697</v>
      </c>
      <c r="AG122" s="799">
        <f t="shared" si="49"/>
        <v>2</v>
      </c>
      <c r="AH122" s="176">
        <f t="shared" si="42"/>
        <v>8</v>
      </c>
      <c r="AI122" s="224">
        <f t="shared" si="43"/>
        <v>2.374812008115637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46861</v>
      </c>
      <c r="B123" s="409">
        <f>'2027'!Wh/'2027'!Env_an*'2028'!Env_an</f>
        <v>9.2023282759338585</v>
      </c>
      <c r="C123" s="829"/>
      <c r="D123" s="391">
        <f t="shared" si="25"/>
        <v>9.8192924208298269</v>
      </c>
      <c r="E123" s="383">
        <f t="shared" si="47"/>
        <v>10.204302838037284</v>
      </c>
      <c r="F123" s="383">
        <f t="shared" si="26"/>
        <v>10.204302838037284</v>
      </c>
      <c r="G123" s="110">
        <f t="shared" si="48"/>
        <v>0.17205524614242357</v>
      </c>
      <c r="H123" s="412" t="b">
        <f>Wh_hp&gt;='2027'!Maxi_hp</f>
        <v>0</v>
      </c>
      <c r="I123" s="388">
        <f>IF(H123,Wh_hp,'2027'!Maxi_hp)</f>
        <v>57.424115414132181</v>
      </c>
      <c r="J123" s="85">
        <f>IF(H123,An,'2027'!An_max)</f>
        <v>2021</v>
      </c>
      <c r="K123" s="197">
        <f t="shared" si="27"/>
        <v>46861</v>
      </c>
      <c r="L123" s="147">
        <f>IF(t&lt;Tvie,1-EXP((T0-t)*PertePVj)+'2027'!Pspv,1-EXP((T0-t)*PertePVj)+Pspv)</f>
        <v>6.2831833339354715E-2</v>
      </c>
      <c r="M123" s="832"/>
      <c r="N123" s="832"/>
      <c r="O123" s="48">
        <f>IF(t&lt;Tnet,'2027'!Resal+('2027'!Salim-'2027'!Resal)*(1-EXP(('2027'!Tnet-t)/('2027'!Tau_j))),Resal+(Salim-Resal)*(1-EXP((Tnet-t)/(Tau_j))))*Salcycl</f>
        <v>3.7730202966174513E-2</v>
      </c>
      <c r="P123" s="169">
        <f>(INDEX(Models!$BJ123:$BT123,,T123)*(1-R123)+INDEX(Models!$BJ123:$BT123,,T123+1)*R123-ERP_i)*Q123*Ramure*Pc/MaxiM</f>
        <v>9.8999438619322075E-4</v>
      </c>
      <c r="Q123" s="304">
        <f t="shared" si="28"/>
        <v>0.7</v>
      </c>
      <c r="R123" s="177">
        <f t="shared" si="29"/>
        <v>0.62068381974399567</v>
      </c>
      <c r="S123" s="799">
        <f t="shared" si="30"/>
        <v>-1</v>
      </c>
      <c r="T123" s="176">
        <f t="shared" si="31"/>
        <v>5</v>
      </c>
      <c r="U123" s="250">
        <f t="shared" si="32"/>
        <v>-0.37931618025600439</v>
      </c>
      <c r="V123" s="382">
        <f t="shared" si="33"/>
        <v>53.431779784214385</v>
      </c>
      <c r="W123" s="400">
        <f t="shared" si="34"/>
        <v>9.2023282759338585</v>
      </c>
      <c r="X123" s="157">
        <f t="shared" si="35"/>
        <v>46861</v>
      </c>
      <c r="Y123" s="383">
        <f t="shared" si="36"/>
        <v>8.8745557876265124</v>
      </c>
      <c r="Z123" s="383">
        <f t="shared" si="37"/>
        <v>9.4695446381290154</v>
      </c>
      <c r="AA123" s="384">
        <f t="shared" si="38"/>
        <v>10.204302838037284</v>
      </c>
      <c r="AB123" s="197">
        <f t="shared" si="39"/>
        <v>46861</v>
      </c>
      <c r="AC123" s="119">
        <f>IF(OR(t&lt;Tnet,NoTnet),'2027'!Resal_s+('2027'!Salim-'2027'!Resal_s)*(1-EXP(('2027'!Tnet_s-t)/'2027'!Tau_j)),Resal_s+(Salim-Resal_s)*(1-EXP((Tnet_s-t)/Tau_j)))*Salcycl</f>
        <v>7.2004742663007326E-2</v>
      </c>
      <c r="AD123" s="230">
        <f>(INDEX(Models!$BJ123:$BT123,,AH123)*(1-AF123)+INDEX(Models!$BJ123:$BT123,,AH123+1)*AF123-ERP_i)*AE123*Ramure*Pc/MaxiM</f>
        <v>9.1369577154295899E-3</v>
      </c>
      <c r="AE123" s="304">
        <f t="shared" si="40"/>
        <v>0.7</v>
      </c>
      <c r="AF123" s="177">
        <f t="shared" si="41"/>
        <v>0.37634165058334634</v>
      </c>
      <c r="AG123" s="799">
        <f t="shared" si="49"/>
        <v>2</v>
      </c>
      <c r="AH123" s="176">
        <f t="shared" si="42"/>
        <v>8</v>
      </c>
      <c r="AI123" s="224">
        <f t="shared" si="43"/>
        <v>2.3763416505833463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46862</v>
      </c>
      <c r="B124" s="409">
        <f>'2027'!Wh/'2027'!Env_an*'2028'!Env_an</f>
        <v>9.4772137106529293</v>
      </c>
      <c r="C124" s="829"/>
      <c r="D124" s="391">
        <f t="shared" si="25"/>
        <v>10.112801181182629</v>
      </c>
      <c r="E124" s="383">
        <f t="shared" si="47"/>
        <v>10.510232816169284</v>
      </c>
      <c r="F124" s="383">
        <f t="shared" si="26"/>
        <v>10.510232816169284</v>
      </c>
      <c r="G124" s="110">
        <f t="shared" si="48"/>
        <v>0.17678627729853588</v>
      </c>
      <c r="H124" s="412" t="b">
        <f>Wh_hp&gt;='2027'!Maxi_hp</f>
        <v>0</v>
      </c>
      <c r="I124" s="388">
        <f>IF(H124,Wh_hp,'2027'!Maxi_hp)</f>
        <v>54.37744314192939</v>
      </c>
      <c r="J124" s="85">
        <f>IF(H124,An,'2027'!An_max)</f>
        <v>2018</v>
      </c>
      <c r="K124" s="197">
        <f t="shared" si="27"/>
        <v>46862</v>
      </c>
      <c r="L124" s="147">
        <f>IF(t&lt;Tvie,1-EXP((T0-t)*PertePVj)+'2027'!Pspv,1-EXP((T0-t)*PertePVj)+Pspv)</f>
        <v>6.2849793953466349E-2</v>
      </c>
      <c r="M124" s="832"/>
      <c r="N124" s="832"/>
      <c r="O124" s="48">
        <f>IF(t&lt;Tnet,'2027'!Resal+('2027'!Salim-'2027'!Resal)*(1-EXP(('2027'!Tnet-t)/('2027'!Tau_j))),Resal+(Salim-Resal)*(1-EXP((Tnet-t)/(Tau_j))))*Salcycl</f>
        <v>3.7813780335601344E-2</v>
      </c>
      <c r="P124" s="169">
        <f>(INDEX(Models!$BJ124:$BT124,,T124)*(1-R124)+INDEX(Models!$BJ124:$BT124,,T124+1)*R124-ERP_i)*Q124*Ramure*Pc/MaxiM</f>
        <v>9.7555402157014682E-4</v>
      </c>
      <c r="Q124" s="304">
        <f t="shared" si="28"/>
        <v>0.7</v>
      </c>
      <c r="R124" s="177">
        <f t="shared" si="29"/>
        <v>0.62226386352693097</v>
      </c>
      <c r="S124" s="799">
        <f t="shared" si="30"/>
        <v>-1</v>
      </c>
      <c r="T124" s="176">
        <f t="shared" si="31"/>
        <v>5</v>
      </c>
      <c r="U124" s="250">
        <f t="shared" si="32"/>
        <v>-0.37773613647306903</v>
      </c>
      <c r="V124" s="382">
        <f t="shared" si="33"/>
        <v>53.556013064949781</v>
      </c>
      <c r="W124" s="400">
        <f t="shared" si="34"/>
        <v>9.4772137106529293</v>
      </c>
      <c r="X124" s="157">
        <f t="shared" si="35"/>
        <v>46862</v>
      </c>
      <c r="Y124" s="383">
        <f t="shared" si="36"/>
        <v>9.1398948159477484</v>
      </c>
      <c r="Z124" s="383">
        <f t="shared" si="37"/>
        <v>9.7528600612545908</v>
      </c>
      <c r="AA124" s="384">
        <f t="shared" si="38"/>
        <v>10.510232816169284</v>
      </c>
      <c r="AB124" s="197">
        <f t="shared" si="39"/>
        <v>46862</v>
      </c>
      <c r="AC124" s="119">
        <f>IF(OR(t&lt;Tnet,NoTnet),'2027'!Resal_s+('2027'!Salim-'2027'!Resal_s)*(1-EXP(('2027'!Tnet_s-t)/'2027'!Tau_j)),Resal_s+(Salim-Resal_s)*(1-EXP((Tnet_s-t)/Tau_j)))*Salcycl</f>
        <v>7.2060511709077027E-2</v>
      </c>
      <c r="AD124" s="230">
        <f>(INDEX(Models!$BJ124:$BT124,,AH124)*(1-AF124)+INDEX(Models!$BJ124:$BT124,,AH124+1)*AF124-ERP_i)*AE124*Ramure*Pc/MaxiM</f>
        <v>8.9163688174999142E-3</v>
      </c>
      <c r="AE124" s="304">
        <f t="shared" si="40"/>
        <v>0.7</v>
      </c>
      <c r="AF124" s="177">
        <f t="shared" si="41"/>
        <v>0.37792169436628154</v>
      </c>
      <c r="AG124" s="799">
        <f t="shared" si="49"/>
        <v>2</v>
      </c>
      <c r="AH124" s="176">
        <f t="shared" si="42"/>
        <v>8</v>
      </c>
      <c r="AI124" s="224">
        <f t="shared" si="43"/>
        <v>2.3779216943662815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46863</v>
      </c>
      <c r="B125" s="409">
        <f>'2027'!Wh/'2027'!Env_an*'2028'!Env_an</f>
        <v>8.7210795971881545</v>
      </c>
      <c r="C125" s="829"/>
      <c r="D125" s="391">
        <f t="shared" si="25"/>
        <v>9.3061354323163865</v>
      </c>
      <c r="E125" s="383">
        <f t="shared" si="47"/>
        <v>9.6727104066259066</v>
      </c>
      <c r="F125" s="383">
        <f t="shared" si="26"/>
        <v>9.6727104066259066</v>
      </c>
      <c r="G125" s="110">
        <f t="shared" si="48"/>
        <v>0.16232169676648567</v>
      </c>
      <c r="H125" s="412" t="b">
        <f>Wh_hp&gt;='2027'!Maxi_hp</f>
        <v>0</v>
      </c>
      <c r="I125" s="388">
        <f>IF(H125,Wh_hp,'2027'!Maxi_hp)</f>
        <v>48.591897253026858</v>
      </c>
      <c r="J125" s="85">
        <f>IF(H125,An,'2027'!An_max)</f>
        <v>2021</v>
      </c>
      <c r="K125" s="197">
        <f t="shared" si="27"/>
        <v>46863</v>
      </c>
      <c r="L125" s="147">
        <f>IF(t&lt;Tvie,1-EXP((T0-t)*PertePVj)+'2027'!Pspv,1-EXP((T0-t)*PertePVj)+Pspv)</f>
        <v>6.2867754223366878E-2</v>
      </c>
      <c r="M125" s="832"/>
      <c r="N125" s="832"/>
      <c r="O125" s="48">
        <f>IF(t&lt;Tnet,'2027'!Resal+('2027'!Salim-'2027'!Resal)*(1-EXP(('2027'!Tnet-t)/('2027'!Tau_j))),Resal+(Salim-Resal)*(1-EXP((Tnet-t)/(Tau_j))))*Salcycl</f>
        <v>3.7897854778988542E-2</v>
      </c>
      <c r="P125" s="169">
        <f>(INDEX(Models!$BJ125:$BT125,,T125)*(1-R125)+INDEX(Models!$BJ125:$BT125,,T125+1)*R125-ERP_i)*Q125*Ramure*Pc/MaxiM</f>
        <v>9.6450045218913409E-4</v>
      </c>
      <c r="Q125" s="304">
        <f t="shared" si="28"/>
        <v>0.7</v>
      </c>
      <c r="R125" s="177">
        <f t="shared" si="29"/>
        <v>0.62389544037930944</v>
      </c>
      <c r="S125" s="799">
        <f t="shared" si="30"/>
        <v>-1</v>
      </c>
      <c r="T125" s="176">
        <f t="shared" si="31"/>
        <v>5</v>
      </c>
      <c r="U125" s="250">
        <f t="shared" si="32"/>
        <v>-0.37610455962069056</v>
      </c>
      <c r="V125" s="382">
        <f t="shared" si="33"/>
        <v>53.675314425199993</v>
      </c>
      <c r="W125" s="400">
        <f t="shared" si="34"/>
        <v>8.7210795971881545</v>
      </c>
      <c r="X125" s="157">
        <f t="shared" si="35"/>
        <v>46863</v>
      </c>
      <c r="Y125" s="383">
        <f t="shared" si="36"/>
        <v>8.4108939561811606</v>
      </c>
      <c r="Z125" s="383">
        <f t="shared" si="37"/>
        <v>8.9751409089661287</v>
      </c>
      <c r="AA125" s="384">
        <f t="shared" si="38"/>
        <v>9.6727104066259066</v>
      </c>
      <c r="AB125" s="197">
        <f t="shared" si="39"/>
        <v>46863</v>
      </c>
      <c r="AC125" s="119">
        <f>IF(OR(t&lt;Tnet,NoTnet),'2027'!Resal_s+('2027'!Salim-'2027'!Resal_s)*(1-EXP(('2027'!Tnet_s-t)/'2027'!Tau_j)),Resal_s+(Salim-Resal_s)*(1-EXP((Tnet_s-t)/Tau_j)))*Salcycl</f>
        <v>7.2117273063601134E-2</v>
      </c>
      <c r="AD125" s="230">
        <f>(INDEX(Models!$BJ125:$BT125,,AH125)*(1-AF125)+INDEX(Models!$BJ125:$BT125,,AH125+1)*AF125-ERP_i)*AE125*Ramure*Pc/MaxiM</f>
        <v>8.7014971077801033E-3</v>
      </c>
      <c r="AE125" s="304">
        <f t="shared" si="40"/>
        <v>0.7</v>
      </c>
      <c r="AF125" s="177">
        <f t="shared" si="41"/>
        <v>0.37955327121866</v>
      </c>
      <c r="AG125" s="799">
        <f t="shared" si="49"/>
        <v>2</v>
      </c>
      <c r="AH125" s="176">
        <f t="shared" si="42"/>
        <v>8</v>
      </c>
      <c r="AI125" s="224">
        <f t="shared" si="43"/>
        <v>2.37955327121866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46864</v>
      </c>
      <c r="B126" s="409">
        <f>'2027'!Wh/'2027'!Env_an*'2028'!Env_an</f>
        <v>26.929633750517212</v>
      </c>
      <c r="C126" s="829"/>
      <c r="D126" s="391">
        <f t="shared" si="25"/>
        <v>28.736765789525911</v>
      </c>
      <c r="E126" s="383">
        <f t="shared" si="47"/>
        <v>29.871352398203587</v>
      </c>
      <c r="F126" s="383">
        <f t="shared" si="26"/>
        <v>29.879547333057847</v>
      </c>
      <c r="G126" s="110">
        <f t="shared" si="48"/>
        <v>0.50030317553676007</v>
      </c>
      <c r="H126" s="412" t="b">
        <f>Wh_hp&gt;='2027'!Maxi_hp</f>
        <v>0</v>
      </c>
      <c r="I126" s="388">
        <f>IF(H126,Wh_hp,'2027'!Maxi_hp)</f>
        <v>56.763007267600109</v>
      </c>
      <c r="J126" s="85">
        <f>IF(H126,An,'2027'!An_max)</f>
        <v>2021</v>
      </c>
      <c r="K126" s="197">
        <f t="shared" si="27"/>
        <v>46864</v>
      </c>
      <c r="L126" s="147">
        <f>IF(t&lt;Tvie,1-EXP((T0-t)*PertePVj)+'2027'!Pspv,1-EXP((T0-t)*PertePVj)+Pspv)</f>
        <v>6.2885714149062966E-2</v>
      </c>
      <c r="M126" s="832"/>
      <c r="N126" s="832"/>
      <c r="O126" s="48">
        <f>IF(t&lt;Tnet,'2027'!Resal+('2027'!Salim-'2027'!Resal)*(1-EXP(('2027'!Tnet-t)/('2027'!Tau_j))),Resal+(Salim-Resal)*(1-EXP((Tnet-t)/(Tau_j))))*Salcycl</f>
        <v>3.7982431915131724E-2</v>
      </c>
      <c r="P126" s="169">
        <f>(INDEX(Models!$BJ126:$BT126,,T126)*(1-R126)+INDEX(Models!$BJ126:$BT126,,T126+1)*R126-ERP_i)*Q126*Ramure*Pc/MaxiM</f>
        <v>9.5684412066579625E-4</v>
      </c>
      <c r="Q126" s="304">
        <f t="shared" si="28"/>
        <v>0.7</v>
      </c>
      <c r="R126" s="177">
        <f t="shared" si="29"/>
        <v>0.62557966721681546</v>
      </c>
      <c r="S126" s="799">
        <f t="shared" si="30"/>
        <v>-1</v>
      </c>
      <c r="T126" s="176">
        <f t="shared" si="31"/>
        <v>5</v>
      </c>
      <c r="U126" s="250">
        <f t="shared" si="32"/>
        <v>-0.3744203327831846</v>
      </c>
      <c r="V126" s="382">
        <f t="shared" si="33"/>
        <v>53.789878690753461</v>
      </c>
      <c r="W126" s="400">
        <f t="shared" si="34"/>
        <v>26.929633750517212</v>
      </c>
      <c r="X126" s="157">
        <f t="shared" si="35"/>
        <v>46864</v>
      </c>
      <c r="Y126" s="383">
        <f t="shared" si="36"/>
        <v>25.916371725475322</v>
      </c>
      <c r="Z126" s="383">
        <f t="shared" si="37"/>
        <v>27.655508102666715</v>
      </c>
      <c r="AA126" s="384">
        <f t="shared" si="38"/>
        <v>29.806816036275244</v>
      </c>
      <c r="AB126" s="197">
        <f t="shared" si="39"/>
        <v>46864</v>
      </c>
      <c r="AC126" s="119">
        <f>IF(OR(t&lt;Tnet,NoTnet),'2027'!Resal_s+('2027'!Salim-'2027'!Resal_s)*(1-EXP(('2027'!Tnet_s-t)/'2027'!Tau_j)),Resal_s+(Salim-Resal_s)*(1-EXP((Tnet_s-t)/Tau_j)))*Salcycl</f>
        <v>7.2175033086068707E-2</v>
      </c>
      <c r="AD126" s="230">
        <f>(INDEX(Models!$BJ126:$BT126,,AH126)*(1-AF126)+INDEX(Models!$BJ126:$BT126,,AH126+1)*AF126-ERP_i)*AE126*Ramure*Pc/MaxiM</f>
        <v>8.4921375157315272E-3</v>
      </c>
      <c r="AE126" s="304">
        <f t="shared" si="40"/>
        <v>0.7</v>
      </c>
      <c r="AF126" s="177">
        <f t="shared" si="41"/>
        <v>0.38123749805616614</v>
      </c>
      <c r="AG126" s="799">
        <f t="shared" si="49"/>
        <v>2</v>
      </c>
      <c r="AH126" s="176">
        <f t="shared" si="42"/>
        <v>8</v>
      </c>
      <c r="AI126" s="224">
        <f t="shared" si="43"/>
        <v>2.3812374980561661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46865</v>
      </c>
      <c r="B127" s="409">
        <f>'2027'!Wh/'2027'!Env_an*'2028'!Env_an</f>
        <v>9.2156396330928843</v>
      </c>
      <c r="C127" s="829"/>
      <c r="D127" s="391">
        <f t="shared" si="25"/>
        <v>9.8342500922825682</v>
      </c>
      <c r="E127" s="383">
        <f t="shared" si="47"/>
        <v>10.223430710102376</v>
      </c>
      <c r="F127" s="383">
        <f t="shared" si="26"/>
        <v>10.223430710102376</v>
      </c>
      <c r="G127" s="110">
        <f t="shared" si="48"/>
        <v>0.17081405952944359</v>
      </c>
      <c r="H127" s="412" t="b">
        <f>Wh_hp&gt;='2027'!Maxi_hp</f>
        <v>0</v>
      </c>
      <c r="I127" s="388">
        <f>IF(H127,Wh_hp,'2027'!Maxi_hp)</f>
        <v>60.533577473745396</v>
      </c>
      <c r="J127" s="85">
        <f>IF(H127,An,'2027'!An_max)</f>
        <v>2021</v>
      </c>
      <c r="K127" s="197">
        <f t="shared" si="27"/>
        <v>46865</v>
      </c>
      <c r="L127" s="147">
        <f>IF(t&lt;Tvie,1-EXP((T0-t)*PertePVj)+'2027'!Pspv,1-EXP((T0-t)*PertePVj)+Pspv)</f>
        <v>6.290367373056116E-2</v>
      </c>
      <c r="M127" s="832"/>
      <c r="N127" s="832"/>
      <c r="O127" s="48">
        <f>IF(t&lt;Tnet,'2027'!Resal+('2027'!Salim-'2027'!Resal)*(1-EXP(('2027'!Tnet-t)/('2027'!Tau_j))),Resal+(Salim-Resal)*(1-EXP((Tnet-t)/(Tau_j))))*Salcycl</f>
        <v>3.806751655637821E-2</v>
      </c>
      <c r="P127" s="169">
        <f>(INDEX(Models!$BJ127:$BT127,,T127)*(1-R127)+INDEX(Models!$BJ127:$BT127,,T127+1)*R127-ERP_i)*Q127*Ramure*Pc/MaxiM</f>
        <v>9.5259722787195645E-4</v>
      </c>
      <c r="Q127" s="304">
        <f t="shared" si="28"/>
        <v>0.7</v>
      </c>
      <c r="R127" s="177">
        <f t="shared" si="29"/>
        <v>0.62731764242004207</v>
      </c>
      <c r="S127" s="799">
        <f t="shared" si="30"/>
        <v>-1</v>
      </c>
      <c r="T127" s="176">
        <f t="shared" si="31"/>
        <v>5</v>
      </c>
      <c r="U127" s="250">
        <f t="shared" si="32"/>
        <v>-0.37268235757995793</v>
      </c>
      <c r="V127" s="382">
        <f t="shared" si="33"/>
        <v>53.899900662089976</v>
      </c>
      <c r="W127" s="400">
        <f t="shared" si="34"/>
        <v>9.2156396330928843</v>
      </c>
      <c r="X127" s="157">
        <f t="shared" si="35"/>
        <v>46865</v>
      </c>
      <c r="Y127" s="383">
        <f t="shared" si="36"/>
        <v>8.8883150757236642</v>
      </c>
      <c r="Z127" s="383">
        <f t="shared" si="37"/>
        <v>9.4849534957712009</v>
      </c>
      <c r="AA127" s="384">
        <f t="shared" si="38"/>
        <v>10.223430710102376</v>
      </c>
      <c r="AB127" s="197">
        <f t="shared" si="39"/>
        <v>46865</v>
      </c>
      <c r="AC127" s="119">
        <f>IF(OR(t&lt;Tnet,NoTnet),'2027'!Resal_s+('2027'!Salim-'2027'!Resal_s)*(1-EXP(('2027'!Tnet_s-t)/'2027'!Tau_j)),Resal_s+(Salim-Resal_s)*(1-EXP((Tnet_s-t)/Tau_j)))*Salcycl</f>
        <v>7.2233796586643029E-2</v>
      </c>
      <c r="AD127" s="230">
        <f>(INDEX(Models!$BJ127:$BT127,,AH127)*(1-AF127)+INDEX(Models!$BJ127:$BT127,,AH127+1)*AF127-ERP_i)*AE127*Ramure*Pc/MaxiM</f>
        <v>8.2880620140494323E-3</v>
      </c>
      <c r="AE127" s="304">
        <f t="shared" si="40"/>
        <v>0.7</v>
      </c>
      <c r="AF127" s="177">
        <f t="shared" si="41"/>
        <v>0.38297547325939263</v>
      </c>
      <c r="AG127" s="799">
        <f t="shared" si="49"/>
        <v>2</v>
      </c>
      <c r="AH127" s="176">
        <f t="shared" si="42"/>
        <v>8</v>
      </c>
      <c r="AI127" s="224">
        <f t="shared" si="43"/>
        <v>2.3829754732593926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46866</v>
      </c>
      <c r="B128" s="409">
        <f>'2027'!Wh/'2027'!Env_an*'2028'!Env_an</f>
        <v>26.143314002005024</v>
      </c>
      <c r="C128" s="829"/>
      <c r="D128" s="391">
        <f t="shared" si="25"/>
        <v>27.898748836561911</v>
      </c>
      <c r="E128" s="383">
        <f t="shared" si="47"/>
        <v>29.0053949375976</v>
      </c>
      <c r="F128" s="383">
        <f t="shared" si="26"/>
        <v>29.012635496626721</v>
      </c>
      <c r="G128" s="110">
        <f t="shared" si="48"/>
        <v>0.48374545263683272</v>
      </c>
      <c r="H128" s="412" t="b">
        <f>Wh_hp&gt;='2027'!Maxi_hp</f>
        <v>0</v>
      </c>
      <c r="I128" s="388">
        <f>IF(H128,Wh_hp,'2027'!Maxi_hp)</f>
        <v>61.221202275533329</v>
      </c>
      <c r="J128" s="85">
        <f>IF(H128,An,'2027'!An_max)</f>
        <v>2021</v>
      </c>
      <c r="K128" s="197">
        <f t="shared" si="27"/>
        <v>46866</v>
      </c>
      <c r="L128" s="147">
        <f>IF(t&lt;Tvie,1-EXP((T0-t)*PertePVj)+'2027'!Pspv,1-EXP((T0-t)*PertePVj)+Pspv)</f>
        <v>6.2921632967868124E-2</v>
      </c>
      <c r="M128" s="832"/>
      <c r="N128" s="832"/>
      <c r="O128" s="48">
        <f>IF(t&lt;Tnet,'2027'!Resal+('2027'!Salim-'2027'!Resal)*(1-EXP(('2027'!Tnet-t)/('2027'!Tau_j))),Resal+(Salim-Resal)*(1-EXP((Tnet-t)/(Tau_j))))*Salcycl</f>
        <v>3.8153112668058306E-2</v>
      </c>
      <c r="P128" s="169">
        <f>(INDEX(Models!$BJ128:$BT128,,T128)*(1-R128)+INDEX(Models!$BJ128:$BT128,,T128+1)*R128-ERP_i)*Q128*Ramure*Pc/MaxiM</f>
        <v>9.4900090117411295E-4</v>
      </c>
      <c r="Q128" s="304">
        <f t="shared" si="28"/>
        <v>0.7</v>
      </c>
      <c r="R128" s="177">
        <f t="shared" si="29"/>
        <v>0.62911044192930732</v>
      </c>
      <c r="S128" s="799">
        <f t="shared" si="30"/>
        <v>-1</v>
      </c>
      <c r="T128" s="176">
        <f t="shared" si="31"/>
        <v>5</v>
      </c>
      <c r="U128" s="250">
        <f t="shared" si="32"/>
        <v>-0.37088955807069268</v>
      </c>
      <c r="V128" s="382">
        <f t="shared" si="33"/>
        <v>54.005724996968716</v>
      </c>
      <c r="W128" s="400">
        <f t="shared" si="34"/>
        <v>26.143314002005024</v>
      </c>
      <c r="X128" s="157">
        <f t="shared" si="35"/>
        <v>46866</v>
      </c>
      <c r="Y128" s="383">
        <f t="shared" si="36"/>
        <v>25.167984990316832</v>
      </c>
      <c r="Z128" s="383">
        <f t="shared" si="37"/>
        <v>26.857929790896385</v>
      </c>
      <c r="AA128" s="384">
        <f t="shared" si="38"/>
        <v>28.950893115084337</v>
      </c>
      <c r="AB128" s="197">
        <f t="shared" si="39"/>
        <v>46866</v>
      </c>
      <c r="AC128" s="119">
        <f>IF(OR(t&lt;Tnet,NoTnet),'2027'!Resal_s+('2027'!Salim-'2027'!Resal_s)*(1-EXP(('2027'!Tnet_s-t)/'2027'!Tau_j)),Resal_s+(Salim-Resal_s)*(1-EXP((Tnet_s-t)/Tau_j)))*Salcycl</f>
        <v>7.2293566760379235E-2</v>
      </c>
      <c r="AD128" s="230">
        <f>(INDEX(Models!$BJ128:$BT128,,AH128)*(1-AF128)+INDEX(Models!$BJ128:$BT128,,AH128+1)*AF128-ERP_i)*AE128*Ramure*Pc/MaxiM</f>
        <v>8.0924104739296884E-3</v>
      </c>
      <c r="AE128" s="304">
        <f t="shared" si="40"/>
        <v>0.7</v>
      </c>
      <c r="AF128" s="177">
        <f t="shared" si="41"/>
        <v>0.3847682727686581</v>
      </c>
      <c r="AG128" s="799">
        <f t="shared" si="49"/>
        <v>2</v>
      </c>
      <c r="AH128" s="176">
        <f t="shared" si="42"/>
        <v>8</v>
      </c>
      <c r="AI128" s="224">
        <f t="shared" si="43"/>
        <v>2.3847682727686581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46867</v>
      </c>
      <c r="B129" s="409">
        <f>'2027'!Wh/'2027'!Env_an*'2028'!Env_an</f>
        <v>41.240517602622056</v>
      </c>
      <c r="C129" s="829"/>
      <c r="D129" s="391">
        <f t="shared" si="25"/>
        <v>44.010521887831338</v>
      </c>
      <c r="E129" s="383">
        <f t="shared" si="47"/>
        <v>45.760362613322876</v>
      </c>
      <c r="F129" s="383">
        <f t="shared" si="26"/>
        <v>45.788891211150826</v>
      </c>
      <c r="G129" s="110">
        <f t="shared" si="48"/>
        <v>0.76194892717667717</v>
      </c>
      <c r="H129" s="412" t="b">
        <f>Wh_hp&gt;='2027'!Maxi_hp</f>
        <v>0</v>
      </c>
      <c r="I129" s="388">
        <f>IF(H129,Wh_hp,'2027'!Maxi_hp)</f>
        <v>49.231227193041249</v>
      </c>
      <c r="J129" s="85">
        <f>IF(H129,An,'2027'!An_max)</f>
        <v>2020</v>
      </c>
      <c r="K129" s="197">
        <f t="shared" si="27"/>
        <v>46867</v>
      </c>
      <c r="L129" s="147">
        <f>IF(t&lt;Tvie,1-EXP((T0-t)*PertePVj)+'2027'!Pspv,1-EXP((T0-t)*PertePVj)+Pspv)</f>
        <v>6.2939591860990296E-2</v>
      </c>
      <c r="M129" s="832"/>
      <c r="N129" s="832"/>
      <c r="O129" s="48">
        <f>IF(t&lt;Tnet,'2027'!Resal+('2027'!Salim-'2027'!Resal)*(1-EXP(('2027'!Tnet-t)/('2027'!Tau_j))),Resal+(Salim-Resal)*(1-EXP((Tnet-t)/(Tau_j))))*Salcycl</f>
        <v>3.8239223326916615E-2</v>
      </c>
      <c r="P129" s="169">
        <f>(INDEX(Models!$BJ129:$BT129,,T129)*(1-R129)+INDEX(Models!$BJ129:$BT129,,T129+1)*R129-ERP_i)*Q129*Ramure*Pc/MaxiM</f>
        <v>9.4361445794481635E-4</v>
      </c>
      <c r="Q129" s="304">
        <f t="shared" si="28"/>
        <v>0.7</v>
      </c>
      <c r="R129" s="177">
        <f t="shared" si="29"/>
        <v>0.63095911513327996</v>
      </c>
      <c r="S129" s="799">
        <f t="shared" si="30"/>
        <v>-1</v>
      </c>
      <c r="T129" s="176">
        <f t="shared" si="31"/>
        <v>5</v>
      </c>
      <c r="U129" s="250">
        <f t="shared" si="32"/>
        <v>-0.36904088486672004</v>
      </c>
      <c r="V129" s="382">
        <f t="shared" si="33"/>
        <v>54.107680307772199</v>
      </c>
      <c r="W129" s="400">
        <f t="shared" si="34"/>
        <v>41.240517602622056</v>
      </c>
      <c r="X129" s="157">
        <f t="shared" si="35"/>
        <v>46867</v>
      </c>
      <c r="Y129" s="383">
        <f t="shared" si="36"/>
        <v>39.594618774918722</v>
      </c>
      <c r="Z129" s="383">
        <f t="shared" si="37"/>
        <v>42.254072876212049</v>
      </c>
      <c r="AA129" s="384">
        <f t="shared" si="38"/>
        <v>45.549798733957239</v>
      </c>
      <c r="AB129" s="197">
        <f t="shared" si="39"/>
        <v>46867</v>
      </c>
      <c r="AC129" s="119">
        <f>IF(OR(t&lt;Tnet,NoTnet),'2027'!Resal_s+('2027'!Salim-'2027'!Resal_s)*(1-EXP(('2027'!Tnet_s-t)/'2027'!Tau_j)),Resal_s+(Salim-Resal_s)*(1-EXP((Tnet_s-t)/Tau_j)))*Salcycl</f>
        <v>7.2354345120041921E-2</v>
      </c>
      <c r="AD129" s="230">
        <f>(INDEX(Models!$BJ129:$BT129,,AH129)*(1-AF129)+INDEX(Models!$BJ129:$BT129,,AH129+1)*AF129-ERP_i)*AE129*Ramure*Pc/MaxiM</f>
        <v>7.908244198552428E-3</v>
      </c>
      <c r="AE129" s="304">
        <f t="shared" si="40"/>
        <v>0.7</v>
      </c>
      <c r="AF129" s="177">
        <f t="shared" si="41"/>
        <v>0.38661694597263052</v>
      </c>
      <c r="AG129" s="799">
        <f t="shared" si="49"/>
        <v>2</v>
      </c>
      <c r="AH129" s="176">
        <f t="shared" si="42"/>
        <v>8</v>
      </c>
      <c r="AI129" s="224">
        <f t="shared" si="43"/>
        <v>2.3866169459726305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46868</v>
      </c>
      <c r="B130" s="409">
        <f>'2027'!Wh/'2027'!Env_an*'2028'!Env_an</f>
        <v>52.938852462307025</v>
      </c>
      <c r="C130" s="829"/>
      <c r="D130" s="391">
        <f t="shared" si="25"/>
        <v>56.495682223859284</v>
      </c>
      <c r="E130" s="383">
        <f t="shared" si="47"/>
        <v>58.747219381671933</v>
      </c>
      <c r="F130" s="383">
        <f t="shared" si="26"/>
        <v>58.800442386619793</v>
      </c>
      <c r="G130" s="110">
        <f t="shared" si="48"/>
        <v>0.97659354752909278</v>
      </c>
      <c r="H130" s="412" t="b">
        <f>Wh_hp&gt;='2027'!Maxi_hp</f>
        <v>0</v>
      </c>
      <c r="I130" s="388">
        <f>IF(H130,Wh_hp,'2027'!Maxi_hp)</f>
        <v>58.802231225443137</v>
      </c>
      <c r="J130" s="85">
        <f>IF(H130,An,'2027'!An_max)</f>
        <v>2026</v>
      </c>
      <c r="K130" s="197">
        <f t="shared" si="27"/>
        <v>46868</v>
      </c>
      <c r="L130" s="147">
        <f>IF(t&lt;Tvie,1-EXP((T0-t)*PertePVj)+'2027'!Pspv,1-EXP((T0-t)*PertePVj)+Pspv)</f>
        <v>6.2957550409934449E-2</v>
      </c>
      <c r="M130" s="832"/>
      <c r="N130" s="832"/>
      <c r="O130" s="48">
        <f>IF(t&lt;Tnet,'2027'!Resal+('2027'!Salim-'2027'!Resal)*(1-EXP(('2027'!Tnet-t)/('2027'!Tau_j))),Resal+(Salim-Resal)*(1-EXP((Tnet-t)/(Tau_j))))*Salcycl</f>
        <v>3.8325850678731614E-2</v>
      </c>
      <c r="P130" s="169">
        <f>(INDEX(Models!$BJ130:$BT130,,T130)*(1-R130)+INDEX(Models!$BJ130:$BT130,,T130+1)*R130-ERP_i)*Q130*Ramure*Pc/MaxiM</f>
        <v>9.3641716384991935E-4</v>
      </c>
      <c r="Q130" s="304">
        <f t="shared" si="28"/>
        <v>0.7</v>
      </c>
      <c r="R130" s="177">
        <f t="shared" si="29"/>
        <v>0.63286468055556711</v>
      </c>
      <c r="S130" s="799">
        <f t="shared" si="30"/>
        <v>-1</v>
      </c>
      <c r="T130" s="176">
        <f t="shared" si="31"/>
        <v>5</v>
      </c>
      <c r="U130" s="250">
        <f t="shared" si="32"/>
        <v>-0.36713531944443284</v>
      </c>
      <c r="V130" s="382">
        <f t="shared" si="33"/>
        <v>54.205964860917035</v>
      </c>
      <c r="W130" s="400">
        <f t="shared" si="34"/>
        <v>52.938852462307025</v>
      </c>
      <c r="X130" s="157">
        <f t="shared" si="35"/>
        <v>46868</v>
      </c>
      <c r="Y130" s="383">
        <f t="shared" si="36"/>
        <v>50.726344323981849</v>
      </c>
      <c r="Z130" s="383">
        <f t="shared" si="37"/>
        <v>54.134521169423493</v>
      </c>
      <c r="AA130" s="384">
        <f t="shared" si="38"/>
        <v>58.360783324915033</v>
      </c>
      <c r="AB130" s="197">
        <f t="shared" si="39"/>
        <v>46868</v>
      </c>
      <c r="AC130" s="119">
        <f>IF(OR(t&lt;Tnet,NoTnet),'2027'!Resal_s+('2027'!Salim-'2027'!Resal_s)*(1-EXP(('2027'!Tnet_s-t)/'2027'!Tau_j)),Resal_s+(Salim-Resal_s)*(1-EXP((Tnet_s-t)/Tau_j)))*Salcycl</f>
        <v>7.2416131427887998E-2</v>
      </c>
      <c r="AD130" s="230">
        <f>(INDEX(Models!$BJ130:$BT130,,AH130)*(1-AF130)+INDEX(Models!$BJ130:$BT130,,AH130+1)*AF130-ERP_i)*AE130*Ramure*Pc/MaxiM</f>
        <v>7.7354574779424914E-3</v>
      </c>
      <c r="AE130" s="304">
        <f t="shared" si="40"/>
        <v>0.7</v>
      </c>
      <c r="AF130" s="177">
        <f t="shared" si="41"/>
        <v>0.388522511394918</v>
      </c>
      <c r="AG130" s="799">
        <f t="shared" si="49"/>
        <v>2</v>
      </c>
      <c r="AH130" s="176">
        <f t="shared" si="42"/>
        <v>8</v>
      </c>
      <c r="AI130" s="224">
        <f t="shared" si="43"/>
        <v>2.388522511394918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46869</v>
      </c>
      <c r="B131" s="409">
        <f>'2027'!Wh/'2027'!Env_an*'2028'!Env_an</f>
        <v>40.677946313113495</v>
      </c>
      <c r="C131" s="829"/>
      <c r="D131" s="391">
        <f t="shared" si="25"/>
        <v>43.411828278869635</v>
      </c>
      <c r="E131" s="383">
        <f t="shared" si="47"/>
        <v>45.146022246100536</v>
      </c>
      <c r="F131" s="383">
        <f t="shared" si="26"/>
        <v>45.172900771793415</v>
      </c>
      <c r="G131" s="110">
        <f t="shared" si="48"/>
        <v>0.74887359470074144</v>
      </c>
      <c r="H131" s="412" t="b">
        <f>Wh_hp&gt;='2027'!Maxi_hp</f>
        <v>0</v>
      </c>
      <c r="I131" s="388">
        <f>IF(H131,Wh_hp,'2027'!Maxi_hp)</f>
        <v>45.187493044529162</v>
      </c>
      <c r="J131" s="85">
        <f>IF(H131,An,'2027'!An_max)</f>
        <v>2026</v>
      </c>
      <c r="K131" s="197">
        <f t="shared" si="27"/>
        <v>46869</v>
      </c>
      <c r="L131" s="147">
        <f>IF(t&lt;Tvie,1-EXP((T0-t)*PertePVj)+'2027'!Pspv,1-EXP((T0-t)*PertePVj)+Pspv)</f>
        <v>6.2975508614707132E-2</v>
      </c>
      <c r="M131" s="832"/>
      <c r="N131" s="832"/>
      <c r="O131" s="48">
        <f>IF(t&lt;Tnet,'2027'!Resal+('2027'!Salim-'2027'!Resal)*(1-EXP(('2027'!Tnet-t)/('2027'!Tau_j))),Resal+(Salim-Resal)*(1-EXP((Tnet-t)/(Tau_j))))*Salcycl</f>
        <v>3.8412995895351458E-2</v>
      </c>
      <c r="P131" s="169">
        <f>(INDEX(Models!$BJ131:$BT131,,T131)*(1-R131)+INDEX(Models!$BJ131:$BT131,,T131+1)*R131-ERP_i)*Q131*Ramure*Pc/MaxiM</f>
        <v>9.2738585801373544E-4</v>
      </c>
      <c r="Q131" s="304">
        <f t="shared" si="28"/>
        <v>0.7</v>
      </c>
      <c r="R131" s="177">
        <f t="shared" si="29"/>
        <v>0.63482812134527511</v>
      </c>
      <c r="S131" s="799">
        <f t="shared" si="30"/>
        <v>-1</v>
      </c>
      <c r="T131" s="176">
        <f t="shared" si="31"/>
        <v>5</v>
      </c>
      <c r="U131" s="250">
        <f t="shared" si="32"/>
        <v>-0.36517187865472489</v>
      </c>
      <c r="V131" s="382">
        <f t="shared" si="33"/>
        <v>54.300777010118786</v>
      </c>
      <c r="W131" s="400">
        <f t="shared" si="34"/>
        <v>40.677946313113495</v>
      </c>
      <c r="X131" s="157">
        <f t="shared" si="35"/>
        <v>46869</v>
      </c>
      <c r="Y131" s="383">
        <f t="shared" si="36"/>
        <v>39.069433939326856</v>
      </c>
      <c r="Z131" s="383">
        <f t="shared" si="37"/>
        <v>41.695211062804539</v>
      </c>
      <c r="AA131" s="384">
        <f t="shared" si="38"/>
        <v>44.953383944485466</v>
      </c>
      <c r="AB131" s="197">
        <f t="shared" si="39"/>
        <v>46869</v>
      </c>
      <c r="AC131" s="119">
        <f>IF(OR(t&lt;Tnet,NoTnet),'2027'!Resal_s+('2027'!Salim-'2027'!Resal_s)*(1-EXP(('2027'!Tnet_s-t)/'2027'!Tau_j)),Resal_s+(Salim-Resal_s)*(1-EXP((Tnet_s-t)/Tau_j)))*Salcycl</f>
        <v>7.2478923626852279E-2</v>
      </c>
      <c r="AD131" s="230">
        <f>(INDEX(Models!$BJ131:$BT131,,AH131)*(1-AF131)+INDEX(Models!$BJ131:$BT131,,AH131+1)*AF131-ERP_i)*AE131*Ramure*Pc/MaxiM</f>
        <v>7.5739571272458815E-3</v>
      </c>
      <c r="AE131" s="304">
        <f t="shared" si="40"/>
        <v>0.7</v>
      </c>
      <c r="AF131" s="177">
        <f t="shared" si="41"/>
        <v>0.39048595218462578</v>
      </c>
      <c r="AG131" s="799">
        <f t="shared" si="49"/>
        <v>2</v>
      </c>
      <c r="AH131" s="176">
        <f t="shared" si="42"/>
        <v>8</v>
      </c>
      <c r="AI131" s="224">
        <f t="shared" si="43"/>
        <v>2.3904859521846258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46870</v>
      </c>
      <c r="B132" s="409">
        <f>'2027'!Wh/'2027'!Env_an*'2028'!Env_an</f>
        <v>22.820992516481176</v>
      </c>
      <c r="C132" s="829"/>
      <c r="D132" s="391">
        <f t="shared" si="25"/>
        <v>24.355211730100457</v>
      </c>
      <c r="E132" s="383">
        <f t="shared" si="47"/>
        <v>25.330450781275406</v>
      </c>
      <c r="F132" s="383">
        <f t="shared" si="26"/>
        <v>25.334416656715455</v>
      </c>
      <c r="G132" s="110">
        <f t="shared" si="48"/>
        <v>0.41924391001961819</v>
      </c>
      <c r="H132" s="412" t="b">
        <f>Wh_hp&gt;='2027'!Maxi_hp</f>
        <v>0</v>
      </c>
      <c r="I132" s="388">
        <f>IF(H132,Wh_hp,'2027'!Maxi_hp)</f>
        <v>40.022734639116834</v>
      </c>
      <c r="J132" s="85">
        <f>IF(H132,An,'2027'!An_max)</f>
        <v>2018</v>
      </c>
      <c r="K132" s="197">
        <f t="shared" si="27"/>
        <v>46870</v>
      </c>
      <c r="L132" s="147">
        <f>IF(t&lt;Tvie,1-EXP((T0-t)*PertePVj)+'2027'!Pspv,1-EXP((T0-t)*PertePVj)+Pspv)</f>
        <v>6.2993466475314897E-2</v>
      </c>
      <c r="M132" s="832"/>
      <c r="N132" s="832"/>
      <c r="O132" s="48">
        <f>IF(t&lt;Tnet,'2027'!Resal+('2027'!Salim-'2027'!Resal)*(1-EXP(('2027'!Tnet-t)/('2027'!Tau_j))),Resal+(Salim-Resal)*(1-EXP((Tnet-t)/(Tau_j))))*Salcycl</f>
        <v>3.8500659131414212E-2</v>
      </c>
      <c r="P132" s="169">
        <f>(INDEX(Models!$BJ132:$BT132,,T132)*(1-R132)+INDEX(Models!$BJ132:$BT132,,T132+1)*R132-ERP_i)*Q132*Ramure*Pc/MaxiM</f>
        <v>9.1649498645044304E-4</v>
      </c>
      <c r="Q132" s="304">
        <f t="shared" si="28"/>
        <v>0.7</v>
      </c>
      <c r="R132" s="177">
        <f t="shared" si="29"/>
        <v>0.63685038057957688</v>
      </c>
      <c r="S132" s="799">
        <f t="shared" si="30"/>
        <v>-1</v>
      </c>
      <c r="T132" s="176">
        <f t="shared" si="31"/>
        <v>5</v>
      </c>
      <c r="U132" s="250">
        <f t="shared" si="32"/>
        <v>-0.36314961942042306</v>
      </c>
      <c r="V132" s="382">
        <f t="shared" si="33"/>
        <v>54.392315195099471</v>
      </c>
      <c r="W132" s="400">
        <f t="shared" si="34"/>
        <v>22.820992516481176</v>
      </c>
      <c r="X132" s="157">
        <f t="shared" si="35"/>
        <v>46870</v>
      </c>
      <c r="Y132" s="383">
        <f t="shared" si="36"/>
        <v>21.988540938309729</v>
      </c>
      <c r="Z132" s="383">
        <f t="shared" si="37"/>
        <v>23.466795749648259</v>
      </c>
      <c r="AA132" s="384">
        <f t="shared" si="38"/>
        <v>25.302292837968462</v>
      </c>
      <c r="AB132" s="197">
        <f t="shared" si="39"/>
        <v>46870</v>
      </c>
      <c r="AC132" s="119">
        <f>IF(OR(t&lt;Tnet,NoTnet),'2027'!Resal_s+('2027'!Salim-'2027'!Resal_s)*(1-EXP(('2027'!Tnet_s-t)/'2027'!Tau_j)),Resal_s+(Salim-Resal_s)*(1-EXP((Tnet_s-t)/Tau_j)))*Salcycl</f>
        <v>7.2542717771642645E-2</v>
      </c>
      <c r="AD132" s="230">
        <f>(INDEX(Models!$BJ132:$BT132,,AH132)*(1-AF132)+INDEX(Models!$BJ132:$BT132,,AH132+1)*AF132-ERP_i)*AE132*Ramure*Pc/MaxiM</f>
        <v>7.4236620066199296E-3</v>
      </c>
      <c r="AE132" s="304">
        <f t="shared" si="40"/>
        <v>0.7</v>
      </c>
      <c r="AF132" s="177">
        <f t="shared" si="41"/>
        <v>0.39250821141892756</v>
      </c>
      <c r="AG132" s="799">
        <f t="shared" si="49"/>
        <v>2</v>
      </c>
      <c r="AH132" s="176">
        <f t="shared" si="42"/>
        <v>8</v>
      </c>
      <c r="AI132" s="224">
        <f t="shared" si="43"/>
        <v>2.3925082114189276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46871</v>
      </c>
      <c r="B133" s="409">
        <f>'2027'!Wh/'2027'!Env_an*'2028'!Env_an</f>
        <v>40.900180684546669</v>
      </c>
      <c r="C133" s="829"/>
      <c r="D133" s="391">
        <f t="shared" si="25"/>
        <v>43.650671664311922</v>
      </c>
      <c r="E133" s="383">
        <f t="shared" si="47"/>
        <v>45.402709534545615</v>
      </c>
      <c r="F133" s="383">
        <f t="shared" si="26"/>
        <v>45.429144709628524</v>
      </c>
      <c r="G133" s="110">
        <f t="shared" si="48"/>
        <v>0.7504850730760666</v>
      </c>
      <c r="H133" s="412" t="b">
        <f>Wh_hp&gt;='2027'!Maxi_hp</f>
        <v>0</v>
      </c>
      <c r="I133" s="388">
        <f>IF(H133,Wh_hp,'2027'!Maxi_hp)</f>
        <v>47.336974093030854</v>
      </c>
      <c r="J133" s="85">
        <f>IF(H133,An,'2027'!An_max)</f>
        <v>2018</v>
      </c>
      <c r="K133" s="197">
        <f t="shared" si="27"/>
        <v>46871</v>
      </c>
      <c r="L133" s="147">
        <f>IF(t&lt;Tvie,1-EXP((T0-t)*PertePVj)+'2027'!Pspv,1-EXP((T0-t)*PertePVj)+Pspv)</f>
        <v>6.3011423991764404E-2</v>
      </c>
      <c r="M133" s="832"/>
      <c r="N133" s="832"/>
      <c r="O133" s="48">
        <f>IF(t&lt;Tnet,'2027'!Resal+('2027'!Salim-'2027'!Resal)*(1-EXP(('2027'!Tnet-t)/('2027'!Tau_j))),Resal+(Salim-Resal)*(1-EXP((Tnet-t)/(Tau_j))))*Salcycl</f>
        <v>3.85888394810582E-2</v>
      </c>
      <c r="P133" s="169">
        <f>(INDEX(Models!$BJ133:$BT133,,T133)*(1-R133)+INDEX(Models!$BJ133:$BT133,,T133+1)*R133-ERP_i)*Q133*Ramure*Pc/MaxiM</f>
        <v>9.0371663892061817E-4</v>
      </c>
      <c r="Q133" s="304">
        <f t="shared" si="28"/>
        <v>0.7</v>
      </c>
      <c r="R133" s="177">
        <f t="shared" si="29"/>
        <v>0.63893235638848256</v>
      </c>
      <c r="S133" s="799">
        <f t="shared" si="30"/>
        <v>-1</v>
      </c>
      <c r="T133" s="176">
        <f t="shared" si="31"/>
        <v>5</v>
      </c>
      <c r="U133" s="250">
        <f t="shared" si="32"/>
        <v>-0.36106764361151739</v>
      </c>
      <c r="V133" s="382">
        <f t="shared" si="33"/>
        <v>54.480777951811675</v>
      </c>
      <c r="W133" s="400">
        <f t="shared" si="34"/>
        <v>40.900180684546669</v>
      </c>
      <c r="X133" s="157">
        <f t="shared" si="35"/>
        <v>46871</v>
      </c>
      <c r="Y133" s="383">
        <f t="shared" si="36"/>
        <v>39.290775398561244</v>
      </c>
      <c r="Z133" s="383">
        <f t="shared" si="37"/>
        <v>41.933035689664479</v>
      </c>
      <c r="AA133" s="384">
        <f t="shared" si="38"/>
        <v>45.216061214209425</v>
      </c>
      <c r="AB133" s="197">
        <f t="shared" si="39"/>
        <v>46871</v>
      </c>
      <c r="AC133" s="119">
        <f>IF(OR(t&lt;Tnet,NoTnet),'2027'!Resal_s+('2027'!Salim-'2027'!Resal_s)*(1-EXP(('2027'!Tnet_s-t)/'2027'!Tau_j)),Resal_s+(Salim-Resal_s)*(1-EXP((Tnet_s-t)/Tau_j)))*Salcycl</f>
        <v>7.2607507960318202E-2</v>
      </c>
      <c r="AD133" s="230">
        <f>(INDEX(Models!$BJ133:$BT133,,AH133)*(1-AF133)+INDEX(Models!$BJ133:$BT133,,AH133+1)*AF133-ERP_i)*AE133*Ramure*Pc/MaxiM</f>
        <v>7.2845025495640297E-3</v>
      </c>
      <c r="AE133" s="304">
        <f t="shared" si="40"/>
        <v>0.7</v>
      </c>
      <c r="AF133" s="177">
        <f t="shared" si="41"/>
        <v>0.39459018722783323</v>
      </c>
      <c r="AG133" s="799">
        <f t="shared" si="49"/>
        <v>2</v>
      </c>
      <c r="AH133" s="176">
        <f t="shared" si="42"/>
        <v>8</v>
      </c>
      <c r="AI133" s="224">
        <f t="shared" si="43"/>
        <v>2.3945901872278332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46872</v>
      </c>
      <c r="B134" s="409">
        <f>'2027'!Wh/'2027'!Env_an*'2028'!Env_an</f>
        <v>38.891971472441327</v>
      </c>
      <c r="C134" s="829"/>
      <c r="D134" s="391">
        <f t="shared" si="25"/>
        <v>41.508208145053104</v>
      </c>
      <c r="E134" s="383">
        <f t="shared" si="47"/>
        <v>43.178235871399316</v>
      </c>
      <c r="F134" s="383">
        <f t="shared" si="26"/>
        <v>43.200881768596076</v>
      </c>
      <c r="G134" s="110">
        <f t="shared" si="48"/>
        <v>0.71248609309747202</v>
      </c>
      <c r="H134" s="412" t="b">
        <f>Wh_hp&gt;='2027'!Maxi_hp</f>
        <v>0</v>
      </c>
      <c r="I134" s="388">
        <f>IF(H134,Wh_hp,'2027'!Maxi_hp)</f>
        <v>57.134227383129591</v>
      </c>
      <c r="J134" s="85">
        <f>IF(H134,An,'2027'!An_max)</f>
        <v>2018</v>
      </c>
      <c r="K134" s="197">
        <f t="shared" si="27"/>
        <v>46872</v>
      </c>
      <c r="L134" s="147">
        <f>IF(t&lt;Tvie,1-EXP((T0-t)*PertePVj)+'2027'!Pspv,1-EXP((T0-t)*PertePVj)+Pspv)</f>
        <v>6.3029381164062093E-2</v>
      </c>
      <c r="M134" s="832"/>
      <c r="N134" s="832"/>
      <c r="O134" s="48">
        <f>IF(t&lt;Tnet,'2027'!Resal+('2027'!Salim-'2027'!Resal)*(1-EXP(('2027'!Tnet-t)/('2027'!Tau_j))),Resal+(Salim-Resal)*(1-EXP((Tnet-t)/(Tau_j))))*Salcycl</f>
        <v>3.867753493496514E-2</v>
      </c>
      <c r="P134" s="169">
        <f>(INDEX(Models!$BJ134:$BT134,,T134)*(1-R134)+INDEX(Models!$BJ134:$BT134,,T134+1)*R134-ERP_i)*Q134*Ramure*Pc/MaxiM</f>
        <v>8.8902059059681345E-4</v>
      </c>
      <c r="Q134" s="304">
        <f t="shared" si="28"/>
        <v>0.7</v>
      </c>
      <c r="R134" s="177">
        <f t="shared" si="29"/>
        <v>0.64107489691430586</v>
      </c>
      <c r="S134" s="799">
        <f t="shared" si="30"/>
        <v>-1</v>
      </c>
      <c r="T134" s="176">
        <f t="shared" si="31"/>
        <v>5</v>
      </c>
      <c r="U134" s="250">
        <f t="shared" si="32"/>
        <v>-0.35892510308569409</v>
      </c>
      <c r="V134" s="382">
        <f t="shared" si="33"/>
        <v>54.566363906606192</v>
      </c>
      <c r="W134" s="400">
        <f t="shared" si="34"/>
        <v>38.891971472441327</v>
      </c>
      <c r="X134" s="157">
        <f t="shared" si="35"/>
        <v>46872</v>
      </c>
      <c r="Y134" s="383">
        <f t="shared" si="36"/>
        <v>37.377899119798194</v>
      </c>
      <c r="Z134" s="383">
        <f t="shared" si="37"/>
        <v>39.892285167100852</v>
      </c>
      <c r="AA134" s="384">
        <f t="shared" si="38"/>
        <v>43.018587274933367</v>
      </c>
      <c r="AB134" s="197">
        <f t="shared" si="39"/>
        <v>46872</v>
      </c>
      <c r="AC134" s="119">
        <f>IF(OR(t&lt;Tnet,NoTnet),'2027'!Resal_s+('2027'!Salim-'2027'!Resal_s)*(1-EXP(('2027'!Tnet_s-t)/'2027'!Tau_j)),Resal_s+(Salim-Resal_s)*(1-EXP((Tnet_s-t)/Tau_j)))*Salcycl</f>
        <v>7.2673286266985132E-2</v>
      </c>
      <c r="AD134" s="230">
        <f>(INDEX(Models!$BJ134:$BT134,,AH134)*(1-AF134)+INDEX(Models!$BJ134:$BT134,,AH134+1)*AF134-ERP_i)*AE134*Ramure*Pc/MaxiM</f>
        <v>7.1564203003496481E-3</v>
      </c>
      <c r="AE134" s="304">
        <f t="shared" si="40"/>
        <v>0.7</v>
      </c>
      <c r="AF134" s="177">
        <f t="shared" si="41"/>
        <v>0.39673272775365653</v>
      </c>
      <c r="AG134" s="799">
        <f t="shared" si="49"/>
        <v>2</v>
      </c>
      <c r="AH134" s="176">
        <f t="shared" si="42"/>
        <v>8</v>
      </c>
      <c r="AI134" s="224">
        <f t="shared" si="43"/>
        <v>2.3967327277536565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46873</v>
      </c>
      <c r="B135" s="409">
        <f>'2027'!Wh/'2027'!Env_an*'2028'!Env_an</f>
        <v>44.330297266872293</v>
      </c>
      <c r="C135" s="829"/>
      <c r="D135" s="391">
        <f t="shared" si="25"/>
        <v>47.313273193415554</v>
      </c>
      <c r="E135" s="383">
        <f t="shared" si="47"/>
        <v>49.22142759448495</v>
      </c>
      <c r="F135" s="383">
        <f t="shared" si="26"/>
        <v>49.252805713788327</v>
      </c>
      <c r="G135" s="110">
        <f t="shared" si="48"/>
        <v>0.81100074756731377</v>
      </c>
      <c r="H135" s="412" t="b">
        <f>Wh_hp&gt;='2027'!Maxi_hp</f>
        <v>0</v>
      </c>
      <c r="I135" s="388">
        <f>IF(H135,Wh_hp,'2027'!Maxi_hp)</f>
        <v>55.014185059625483</v>
      </c>
      <c r="J135" s="85">
        <f>IF(H135,An,'2027'!An_max)</f>
        <v>2018</v>
      </c>
      <c r="K135" s="197">
        <f t="shared" si="27"/>
        <v>46873</v>
      </c>
      <c r="L135" s="147">
        <f>IF(t&lt;Tvie,1-EXP((T0-t)*PertePVj)+'2027'!Pspv,1-EXP((T0-t)*PertePVj)+Pspv)</f>
        <v>6.3047337992214736E-2</v>
      </c>
      <c r="M135" s="832"/>
      <c r="N135" s="832"/>
      <c r="O135" s="48">
        <f>IF(t&lt;Tnet,'2027'!Resal+('2027'!Salim-'2027'!Resal)*(1-EXP(('2027'!Tnet-t)/('2027'!Tau_j))),Resal+(Salim-Resal)*(1-EXP((Tnet-t)/(Tau_j))))*Salcycl</f>
        <v>3.8766742338111185E-2</v>
      </c>
      <c r="P135" s="169">
        <f>(INDEX(Models!$BJ135:$BT135,,T135)*(1-R135)+INDEX(Models!$BJ135:$BT135,,T135+1)*R135-ERP_i)*Q135*Ramure*Pc/MaxiM</f>
        <v>8.7238891863340869E-4</v>
      </c>
      <c r="Q135" s="304">
        <f t="shared" si="28"/>
        <v>0.7</v>
      </c>
      <c r="R135" s="177">
        <f t="shared" si="29"/>
        <v>0.64327879512075392</v>
      </c>
      <c r="S135" s="799">
        <f t="shared" si="30"/>
        <v>-1</v>
      </c>
      <c r="T135" s="176">
        <f t="shared" si="31"/>
        <v>5</v>
      </c>
      <c r="U135" s="250">
        <f t="shared" si="32"/>
        <v>-0.35672120487924608</v>
      </c>
      <c r="V135" s="382">
        <f t="shared" si="33"/>
        <v>54.648358294857871</v>
      </c>
      <c r="W135" s="400">
        <f t="shared" si="34"/>
        <v>44.330297266872293</v>
      </c>
      <c r="X135" s="157">
        <f t="shared" si="35"/>
        <v>46873</v>
      </c>
      <c r="Y135" s="383">
        <f t="shared" si="36"/>
        <v>42.570796089443057</v>
      </c>
      <c r="Z135" s="383">
        <f t="shared" si="37"/>
        <v>45.435375569795148</v>
      </c>
      <c r="AA135" s="384">
        <f t="shared" si="38"/>
        <v>48.999609236802193</v>
      </c>
      <c r="AB135" s="197">
        <f t="shared" si="39"/>
        <v>46873</v>
      </c>
      <c r="AC135" s="119">
        <f>IF(OR(t&lt;Tnet,NoTnet),'2027'!Resal_s+('2027'!Salim-'2027'!Resal_s)*(1-EXP(('2027'!Tnet_s-t)/'2027'!Tau_j)),Resal_s+(Salim-Resal_s)*(1-EXP((Tnet_s-t)/Tau_j)))*Salcycl</f>
        <v>7.2740042676300673E-2</v>
      </c>
      <c r="AD135" s="230">
        <f>(INDEX(Models!$BJ135:$BT135,,AH135)*(1-AF135)+INDEX(Models!$BJ135:$BT135,,AH135+1)*AF135-ERP_i)*AE135*Ramure*Pc/MaxiM</f>
        <v>7.0394850189752145E-3</v>
      </c>
      <c r="AE135" s="304">
        <f t="shared" si="40"/>
        <v>0.7</v>
      </c>
      <c r="AF135" s="177">
        <f t="shared" si="41"/>
        <v>0.3989366259601046</v>
      </c>
      <c r="AG135" s="799">
        <f t="shared" si="49"/>
        <v>2</v>
      </c>
      <c r="AH135" s="176">
        <f t="shared" si="42"/>
        <v>8</v>
      </c>
      <c r="AI135" s="224">
        <f t="shared" si="43"/>
        <v>2.3989366259601046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46874</v>
      </c>
      <c r="B136" s="409">
        <f>'2027'!Wh/'2027'!Env_an*'2028'!Env_an</f>
        <v>25.161503252362859</v>
      </c>
      <c r="C136" s="829"/>
      <c r="D136" s="391">
        <f t="shared" si="25"/>
        <v>26.855129929568484</v>
      </c>
      <c r="E136" s="383">
        <f t="shared" si="47"/>
        <v>27.940810854835608</v>
      </c>
      <c r="F136" s="383">
        <f t="shared" si="26"/>
        <v>27.946251992261725</v>
      </c>
      <c r="G136" s="110">
        <f t="shared" si="48"/>
        <v>0.45946889125030171</v>
      </c>
      <c r="H136" s="412" t="b">
        <f>Wh_hp&gt;='2027'!Maxi_hp</f>
        <v>0</v>
      </c>
      <c r="I136" s="388">
        <f>IF(H136,Wh_hp,'2027'!Maxi_hp)</f>
        <v>52.243655726180137</v>
      </c>
      <c r="J136" s="85">
        <f>IF(H136,An,'2027'!An_max)</f>
        <v>2021</v>
      </c>
      <c r="K136" s="197">
        <f t="shared" si="27"/>
        <v>46874</v>
      </c>
      <c r="L136" s="147">
        <f>IF(t&lt;Tvie,1-EXP((T0-t)*PertePVj)+'2027'!Pspv,1-EXP((T0-t)*PertePVj)+Pspv)</f>
        <v>6.3065294476228884E-2</v>
      </c>
      <c r="M136" s="832"/>
      <c r="N136" s="832"/>
      <c r="O136" s="48">
        <f>IF(t&lt;Tnet,'2027'!Resal+('2027'!Salim-'2027'!Resal)*(1-EXP(('2027'!Tnet-t)/('2027'!Tau_j))),Resal+(Salim-Resal)*(1-EXP((Tnet-t)/(Tau_j))))*Salcycl</f>
        <v>3.8856457348632252E-2</v>
      </c>
      <c r="P136" s="169">
        <f>(INDEX(Models!$BJ136:$BT136,,T136)*(1-R136)+INDEX(Models!$BJ136:$BT136,,T136+1)*R136-ERP_i)*Q136*Ramure*Pc/MaxiM</f>
        <v>8.5303037003772936E-4</v>
      </c>
      <c r="Q136" s="304">
        <f t="shared" si="28"/>
        <v>0.7</v>
      </c>
      <c r="R136" s="177">
        <f t="shared" si="29"/>
        <v>0.64554478346910193</v>
      </c>
      <c r="S136" s="799">
        <f t="shared" si="30"/>
        <v>-1</v>
      </c>
      <c r="T136" s="176">
        <f t="shared" si="31"/>
        <v>5</v>
      </c>
      <c r="U136" s="250">
        <f t="shared" si="32"/>
        <v>-0.35445521653089801</v>
      </c>
      <c r="V136" s="382">
        <f t="shared" si="33"/>
        <v>54.726089025062279</v>
      </c>
      <c r="W136" s="400">
        <f t="shared" si="34"/>
        <v>25.161503252362859</v>
      </c>
      <c r="X136" s="157">
        <f t="shared" si="35"/>
        <v>46874</v>
      </c>
      <c r="Y136" s="383">
        <f t="shared" si="36"/>
        <v>24.239027111852177</v>
      </c>
      <c r="Z136" s="383">
        <f t="shared" si="37"/>
        <v>25.870561703979067</v>
      </c>
      <c r="AA136" s="384">
        <f t="shared" si="38"/>
        <v>27.902047415821759</v>
      </c>
      <c r="AB136" s="197">
        <f t="shared" si="39"/>
        <v>46874</v>
      </c>
      <c r="AC136" s="119">
        <f>IF(OR(t&lt;Tnet,NoTnet),'2027'!Resal_s+('2027'!Salim-'2027'!Resal_s)*(1-EXP(('2027'!Tnet_s-t)/'2027'!Tau_j)),Resal_s+(Salim-Resal_s)*(1-EXP((Tnet_s-t)/Tau_j)))*Salcycl</f>
        <v>7.2807765020524759E-2</v>
      </c>
      <c r="AD136" s="230">
        <f>(INDEX(Models!$BJ136:$BT136,,AH136)*(1-AF136)+INDEX(Models!$BJ136:$BT136,,AH136+1)*AF136-ERP_i)*AE136*Ramure*Pc/MaxiM</f>
        <v>6.930140381483975E-3</v>
      </c>
      <c r="AE136" s="304">
        <f t="shared" si="40"/>
        <v>0.7</v>
      </c>
      <c r="AF136" s="177">
        <f t="shared" si="41"/>
        <v>0.40120261430845261</v>
      </c>
      <c r="AG136" s="799">
        <f t="shared" si="49"/>
        <v>2</v>
      </c>
      <c r="AH136" s="176">
        <f t="shared" si="42"/>
        <v>8</v>
      </c>
      <c r="AI136" s="224">
        <f t="shared" si="43"/>
        <v>2.4012026143084526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46875</v>
      </c>
      <c r="B137" s="409">
        <f>'2027'!Wh/'2027'!Env_an*'2028'!Env_an</f>
        <v>30.922977031946751</v>
      </c>
      <c r="C137" s="829"/>
      <c r="D137" s="391">
        <f t="shared" si="25"/>
        <v>33.005042392807603</v>
      </c>
      <c r="E137" s="383">
        <f t="shared" si="47"/>
        <v>34.342571336654473</v>
      </c>
      <c r="F137" s="383">
        <f t="shared" si="26"/>
        <v>34.353337614941957</v>
      </c>
      <c r="G137" s="110">
        <f t="shared" si="48"/>
        <v>0.5639983003533946</v>
      </c>
      <c r="H137" s="412" t="b">
        <f>Wh_hp&gt;='2027'!Maxi_hp</f>
        <v>0</v>
      </c>
      <c r="I137" s="388">
        <f>IF(H137,Wh_hp,'2027'!Maxi_hp)</f>
        <v>59.318580235290369</v>
      </c>
      <c r="J137" s="85">
        <f>IF(H137,An,'2027'!An_max)</f>
        <v>2021</v>
      </c>
      <c r="K137" s="197">
        <f t="shared" si="27"/>
        <v>46875</v>
      </c>
      <c r="L137" s="147">
        <f>IF(t&lt;Tvie,1-EXP((T0-t)*PertePVj)+'2027'!Pspv,1-EXP((T0-t)*PertePVj)+Pspv)</f>
        <v>6.3083250616111086E-2</v>
      </c>
      <c r="M137" s="832"/>
      <c r="N137" s="832"/>
      <c r="O137" s="48">
        <f>IF(t&lt;Tnet,'2027'!Resal+('2027'!Salim-'2027'!Resal)*(1-EXP(('2027'!Tnet-t)/('2027'!Tau_j))),Resal+(Salim-Resal)*(1-EXP((Tnet-t)/(Tau_j))))*Salcycl</f>
        <v>3.8946674398235882E-2</v>
      </c>
      <c r="P137" s="169">
        <f>(INDEX(Models!$BJ137:$BT137,,T137)*(1-R137)+INDEX(Models!$BJ137:$BT137,,T137+1)*R137-ERP_i)*Q137*Ramure*Pc/MaxiM</f>
        <v>8.3006875248912504E-4</v>
      </c>
      <c r="Q137" s="304">
        <f t="shared" si="28"/>
        <v>0.7</v>
      </c>
      <c r="R137" s="177">
        <f t="shared" si="29"/>
        <v>0.647873528481553</v>
      </c>
      <c r="S137" s="799">
        <f t="shared" si="30"/>
        <v>-1</v>
      </c>
      <c r="T137" s="176">
        <f t="shared" si="31"/>
        <v>5</v>
      </c>
      <c r="U137" s="250">
        <f t="shared" si="32"/>
        <v>-0.352126471518447</v>
      </c>
      <c r="V137" s="382">
        <f t="shared" si="33"/>
        <v>54.799801729768092</v>
      </c>
      <c r="W137" s="400">
        <f t="shared" si="34"/>
        <v>30.922977031946751</v>
      </c>
      <c r="X137" s="157">
        <f t="shared" si="35"/>
        <v>46875</v>
      </c>
      <c r="Y137" s="383">
        <f t="shared" si="36"/>
        <v>29.763750553230459</v>
      </c>
      <c r="Z137" s="383">
        <f t="shared" si="37"/>
        <v>31.767764396146116</v>
      </c>
      <c r="AA137" s="384">
        <f t="shared" si="38"/>
        <v>34.264865795381894</v>
      </c>
      <c r="AB137" s="197">
        <f t="shared" si="39"/>
        <v>46875</v>
      </c>
      <c r="AC137" s="119">
        <f>IF(OR(t&lt;Tnet,NoTnet),'2027'!Resal_s+('2027'!Salim-'2027'!Resal_s)*(1-EXP(('2027'!Tnet_s-t)/'2027'!Tau_j)),Resal_s+(Salim-Resal_s)*(1-EXP((Tnet_s-t)/Tau_j)))*Salcycl</f>
        <v>7.2876438919901754E-2</v>
      </c>
      <c r="AD137" s="230">
        <f>(INDEX(Models!$BJ137:$BT137,,AH137)*(1-AF137)+INDEX(Models!$BJ137:$BT137,,AH137+1)*AF137-ERP_i)*AE137*Ramure*Pc/MaxiM</f>
        <v>6.8210844018424255E-3</v>
      </c>
      <c r="AE137" s="304">
        <f t="shared" si="40"/>
        <v>0.7</v>
      </c>
      <c r="AF137" s="177">
        <f t="shared" si="41"/>
        <v>0.40353135932090378</v>
      </c>
      <c r="AG137" s="799">
        <f t="shared" si="49"/>
        <v>2</v>
      </c>
      <c r="AH137" s="176">
        <f t="shared" si="42"/>
        <v>8</v>
      </c>
      <c r="AI137" s="224">
        <f t="shared" si="43"/>
        <v>2.4035313593209038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46876</v>
      </c>
      <c r="B138" s="409">
        <f>'2027'!Wh/'2027'!Env_an*'2028'!Env_an</f>
        <v>15.64514233115664</v>
      </c>
      <c r="C138" s="829"/>
      <c r="D138" s="391">
        <f t="shared" si="25"/>
        <v>16.698860579421737</v>
      </c>
      <c r="E138" s="383">
        <f t="shared" si="47"/>
        <v>17.377221910109743</v>
      </c>
      <c r="F138" s="383">
        <f t="shared" si="26"/>
        <v>17.377221910109743</v>
      </c>
      <c r="G138" s="110">
        <f t="shared" si="48"/>
        <v>0.28490356378511733</v>
      </c>
      <c r="H138" s="412" t="b">
        <f>Wh_hp&gt;='2027'!Maxi_hp</f>
        <v>0</v>
      </c>
      <c r="I138" s="388">
        <f>IF(H138,Wh_hp,'2027'!Maxi_hp)</f>
        <v>56.957672371792654</v>
      </c>
      <c r="J138" s="85">
        <f>IF(H138,An,'2027'!An_max)</f>
        <v>2020</v>
      </c>
      <c r="K138" s="197">
        <f t="shared" si="27"/>
        <v>46876</v>
      </c>
      <c r="L138" s="147">
        <f>IF(t&lt;Tvie,1-EXP((T0-t)*PertePVj)+'2027'!Pspv,1-EXP((T0-t)*PertePVj)+Pspv)</f>
        <v>6.3101206411868005E-2</v>
      </c>
      <c r="M138" s="832"/>
      <c r="N138" s="832"/>
      <c r="O138" s="48">
        <f>IF(t&lt;Tnet,'2027'!Resal+('2027'!Salim-'2027'!Resal)*(1-EXP(('2027'!Tnet-t)/('2027'!Tau_j))),Resal+(Salim-Resal)*(1-EXP((Tnet-t)/(Tau_j))))*Salcycl</f>
        <v>3.9037386654615362E-2</v>
      </c>
      <c r="P138" s="169">
        <f>(INDEX(Models!$BJ138:$BT138,,T138)*(1-R138)+INDEX(Models!$BJ138:$BT138,,T138+1)*R138-ERP_i)*Q138*Ramure*Pc/MaxiM</f>
        <v>8.0343874839104311E-4</v>
      </c>
      <c r="Q138" s="304">
        <f t="shared" si="28"/>
        <v>0.7</v>
      </c>
      <c r="R138" s="177">
        <f t="shared" si="29"/>
        <v>0.65026562521458531</v>
      </c>
      <c r="S138" s="799">
        <f t="shared" si="30"/>
        <v>-1</v>
      </c>
      <c r="T138" s="176">
        <f t="shared" si="31"/>
        <v>5</v>
      </c>
      <c r="U138" s="250">
        <f t="shared" si="32"/>
        <v>-0.34973437478541469</v>
      </c>
      <c r="V138" s="382">
        <f t="shared" si="33"/>
        <v>54.869697696636194</v>
      </c>
      <c r="W138" s="400">
        <f t="shared" si="34"/>
        <v>15.64514233115664</v>
      </c>
      <c r="X138" s="157">
        <f t="shared" si="35"/>
        <v>46876</v>
      </c>
      <c r="Y138" s="383">
        <f t="shared" si="36"/>
        <v>15.093085652393144</v>
      </c>
      <c r="Z138" s="383">
        <f t="shared" si="37"/>
        <v>16.10962225128895</v>
      </c>
      <c r="AA138" s="384">
        <f t="shared" si="38"/>
        <v>17.377221910109743</v>
      </c>
      <c r="AB138" s="197">
        <f t="shared" si="39"/>
        <v>46876</v>
      </c>
      <c r="AC138" s="119">
        <f>IF(OR(t&lt;Tnet,NoTnet),'2027'!Resal_s+('2027'!Salim-'2027'!Resal_s)*(1-EXP(('2027'!Tnet_s-t)/'2027'!Tau_j)),Resal_s+(Salim-Resal_s)*(1-EXP((Tnet_s-t)/Tau_j)))*Salcycl</f>
        <v>7.2946047727187435E-2</v>
      </c>
      <c r="AD138" s="230">
        <f>(INDEX(Models!$BJ138:$BT138,,AH138)*(1-AF138)+INDEX(Models!$BJ138:$BT138,,AH138+1)*AF138-ERP_i)*AE138*Ramure*Pc/MaxiM</f>
        <v>6.7123005000743179E-3</v>
      </c>
      <c r="AE138" s="304">
        <f t="shared" si="40"/>
        <v>0.7</v>
      </c>
      <c r="AF138" s="177">
        <f t="shared" si="41"/>
        <v>0.40592345605393598</v>
      </c>
      <c r="AG138" s="799">
        <f t="shared" si="49"/>
        <v>2</v>
      </c>
      <c r="AH138" s="176">
        <f t="shared" si="42"/>
        <v>8</v>
      </c>
      <c r="AI138" s="224">
        <f t="shared" si="43"/>
        <v>2.405923456053936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46877</v>
      </c>
      <c r="B139" s="409">
        <f>'2027'!Wh/'2027'!Env_an*'2028'!Env_an</f>
        <v>33.923852597821082</v>
      </c>
      <c r="C139" s="829"/>
      <c r="D139" s="391">
        <f t="shared" si="25"/>
        <v>36.20935685406635</v>
      </c>
      <c r="E139" s="383">
        <f t="shared" si="47"/>
        <v>37.683873540181672</v>
      </c>
      <c r="F139" s="383">
        <f t="shared" si="26"/>
        <v>37.697092420594494</v>
      </c>
      <c r="G139" s="110">
        <f t="shared" si="48"/>
        <v>0.61725519002450224</v>
      </c>
      <c r="H139" s="412" t="b">
        <f>Wh_hp&gt;='2027'!Maxi_hp</f>
        <v>0</v>
      </c>
      <c r="I139" s="388">
        <f>IF(H139,Wh_hp,'2027'!Maxi_hp)</f>
        <v>61.376169686641241</v>
      </c>
      <c r="J139" s="85">
        <f>IF(H139,An,'2027'!An_max)</f>
        <v>2020</v>
      </c>
      <c r="K139" s="197">
        <f t="shared" si="27"/>
        <v>46877</v>
      </c>
      <c r="L139" s="147">
        <f>IF(t&lt;Tvie,1-EXP((T0-t)*PertePVj)+'2027'!Pspv,1-EXP((T0-t)*PertePVj)+Pspv)</f>
        <v>6.3119161863506079E-2</v>
      </c>
      <c r="M139" s="832"/>
      <c r="N139" s="832"/>
      <c r="O139" s="48">
        <f>IF(t&lt;Tnet,'2027'!Resal+('2027'!Salim-'2027'!Resal)*(1-EXP(('2027'!Tnet-t)/('2027'!Tau_j))),Resal+(Salim-Resal)*(1-EXP((Tnet-t)/(Tau_j))))*Salcycl</f>
        <v>3.9128585986338907E-2</v>
      </c>
      <c r="P139" s="169">
        <f>(INDEX(Models!$BJ139:$BT139,,T139)*(1-R139)+INDEX(Models!$BJ139:$BT139,,T139+1)*R139-ERP_i)*Q139*Ramure*Pc/MaxiM</f>
        <v>7.7307044737724858E-4</v>
      </c>
      <c r="Q139" s="304">
        <f t="shared" si="28"/>
        <v>0.7</v>
      </c>
      <c r="R139" s="177">
        <f t="shared" si="29"/>
        <v>0.65272159166784638</v>
      </c>
      <c r="S139" s="799">
        <f t="shared" si="30"/>
        <v>-1</v>
      </c>
      <c r="T139" s="176">
        <f t="shared" si="31"/>
        <v>5</v>
      </c>
      <c r="U139" s="250">
        <f t="shared" si="32"/>
        <v>-0.34727840833215357</v>
      </c>
      <c r="V139" s="382">
        <f t="shared" si="33"/>
        <v>54.935978418033251</v>
      </c>
      <c r="W139" s="400">
        <f t="shared" si="34"/>
        <v>33.923852597821082</v>
      </c>
      <c r="X139" s="157">
        <f t="shared" si="35"/>
        <v>46877</v>
      </c>
      <c r="Y139" s="383">
        <f t="shared" si="36"/>
        <v>32.640840001373903</v>
      </c>
      <c r="Z139" s="383">
        <f t="shared" si="37"/>
        <v>34.839905645095996</v>
      </c>
      <c r="AA139" s="384">
        <f t="shared" si="38"/>
        <v>37.584173147731541</v>
      </c>
      <c r="AB139" s="197">
        <f t="shared" si="39"/>
        <v>46877</v>
      </c>
      <c r="AC139" s="119">
        <f>IF(OR(t&lt;Tnet,NoTnet),'2027'!Resal_s+('2027'!Salim-'2027'!Resal_s)*(1-EXP(('2027'!Tnet_s-t)/'2027'!Tau_j)),Resal_s+(Salim-Resal_s)*(1-EXP((Tnet_s-t)/Tau_j)))*Salcycl</f>
        <v>7.3016572477162006E-2</v>
      </c>
      <c r="AD139" s="230">
        <f>(INDEX(Models!$BJ139:$BT139,,AH139)*(1-AF139)+INDEX(Models!$BJ139:$BT139,,AH139+1)*AF139-ERP_i)*AE139*Ramure*Pc/MaxiM</f>
        <v>6.6037780858503557E-3</v>
      </c>
      <c r="AE139" s="304">
        <f t="shared" si="40"/>
        <v>0.7</v>
      </c>
      <c r="AF139" s="177">
        <f t="shared" si="41"/>
        <v>0.40837942250719728</v>
      </c>
      <c r="AG139" s="799">
        <f t="shared" si="49"/>
        <v>2</v>
      </c>
      <c r="AH139" s="176">
        <f t="shared" si="42"/>
        <v>8</v>
      </c>
      <c r="AI139" s="224">
        <f t="shared" si="43"/>
        <v>2.4083794225071973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46878</v>
      </c>
      <c r="B140" s="409">
        <f>'2027'!Wh/'2027'!Env_an*'2028'!Env_an</f>
        <v>38.839147254640764</v>
      </c>
      <c r="C140" s="829"/>
      <c r="D140" s="391">
        <f t="shared" si="25"/>
        <v>41.456597286755631</v>
      </c>
      <c r="E140" s="383">
        <f t="shared" si="47"/>
        <v>43.148908836495835</v>
      </c>
      <c r="F140" s="383">
        <f t="shared" si="26"/>
        <v>43.167416740940901</v>
      </c>
      <c r="G140" s="110">
        <f t="shared" si="48"/>
        <v>0.70596202533447572</v>
      </c>
      <c r="H140" s="412" t="b">
        <f>Wh_hp&gt;='2027'!Maxi_hp</f>
        <v>0</v>
      </c>
      <c r="I140" s="388">
        <f>IF(H140,Wh_hp,'2027'!Maxi_hp)</f>
        <v>58.310376218958538</v>
      </c>
      <c r="J140" s="85">
        <f>IF(H140,An,'2027'!An_max)</f>
        <v>2018</v>
      </c>
      <c r="K140" s="197">
        <f t="shared" si="27"/>
        <v>46878</v>
      </c>
      <c r="L140" s="147">
        <f>IF(t&lt;Tvie,1-EXP((T0-t)*PertePVj)+'2027'!Pspv,1-EXP((T0-t)*PertePVj)+Pspv)</f>
        <v>6.3137116971032192E-2</v>
      </c>
      <c r="M140" s="832"/>
      <c r="N140" s="832"/>
      <c r="O140" s="48">
        <f>IF(t&lt;Tnet,'2027'!Resal+('2027'!Salim-'2027'!Resal)*(1-EXP(('2027'!Tnet-t)/('2027'!Tau_j))),Resal+(Salim-Resal)*(1-EXP((Tnet-t)/(Tau_j))))*Salcycl</f>
        <v>3.922026293070071E-2</v>
      </c>
      <c r="P140" s="169">
        <f>(INDEX(Models!$BJ140:$BT140,,T140)*(1-R140)+INDEX(Models!$BJ140:$BT140,,T140+1)*R140-ERP_i)*Q140*Ramure*Pc/MaxiM</f>
        <v>7.3888947220965512E-4</v>
      </c>
      <c r="Q140" s="304">
        <f t="shared" si="28"/>
        <v>0.7</v>
      </c>
      <c r="R140" s="177">
        <f t="shared" si="29"/>
        <v>0.65524186315691957</v>
      </c>
      <c r="S140" s="799">
        <f t="shared" si="30"/>
        <v>-1</v>
      </c>
      <c r="T140" s="176">
        <f t="shared" si="31"/>
        <v>5</v>
      </c>
      <c r="U140" s="250">
        <f t="shared" si="32"/>
        <v>-0.34475813684308043</v>
      </c>
      <c r="V140" s="382">
        <f t="shared" si="33"/>
        <v>54.998845587982167</v>
      </c>
      <c r="W140" s="400">
        <f t="shared" si="34"/>
        <v>38.839147254640764</v>
      </c>
      <c r="X140" s="157">
        <f t="shared" si="35"/>
        <v>46878</v>
      </c>
      <c r="Y140" s="383">
        <f t="shared" si="36"/>
        <v>37.344841398590845</v>
      </c>
      <c r="Z140" s="383">
        <f t="shared" si="37"/>
        <v>39.861587085029328</v>
      </c>
      <c r="AA140" s="384">
        <f t="shared" si="38"/>
        <v>43.004715371250171</v>
      </c>
      <c r="AB140" s="197">
        <f t="shared" si="39"/>
        <v>46878</v>
      </c>
      <c r="AC140" s="119">
        <f>IF(OR(t&lt;Tnet,NoTnet),'2027'!Resal_s+('2027'!Salim-'2027'!Resal_s)*(1-EXP(('2027'!Tnet_s-t)/'2027'!Tau_j)),Resal_s+(Salim-Resal_s)*(1-EXP((Tnet_s-t)/Tau_j)))*Salcycl</f>
        <v>7.30879918419855E-2</v>
      </c>
      <c r="AD140" s="230">
        <f>(INDEX(Models!$BJ140:$BT140,,AH140)*(1-AF140)+INDEX(Models!$BJ140:$BT140,,AH140+1)*AF140-ERP_i)*AE140*Ramure*Pc/MaxiM</f>
        <v>6.49551274350925E-3</v>
      </c>
      <c r="AE140" s="304">
        <f t="shared" si="40"/>
        <v>0.7</v>
      </c>
      <c r="AF140" s="177">
        <f t="shared" si="41"/>
        <v>0.41089969399627035</v>
      </c>
      <c r="AG140" s="799">
        <f t="shared" si="49"/>
        <v>2</v>
      </c>
      <c r="AH140" s="176">
        <f t="shared" si="42"/>
        <v>8</v>
      </c>
      <c r="AI140" s="224">
        <f t="shared" si="43"/>
        <v>2.4108996939962704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46879</v>
      </c>
      <c r="B141" s="409">
        <f>'2027'!Wh/'2027'!Env_an*'2028'!Env_an</f>
        <v>43.281359847626717</v>
      </c>
      <c r="C141" s="829"/>
      <c r="D141" s="391">
        <f t="shared" si="25"/>
        <v>46.199065119300812</v>
      </c>
      <c r="E141" s="383">
        <f t="shared" si="47"/>
        <v>48.089582336463188</v>
      </c>
      <c r="F141" s="383">
        <f t="shared" si="26"/>
        <v>48.11299725342711</v>
      </c>
      <c r="G141" s="110">
        <f t="shared" si="48"/>
        <v>0.78592925123592416</v>
      </c>
      <c r="H141" s="412" t="b">
        <f>Wh_hp&gt;='2027'!Maxi_hp</f>
        <v>0</v>
      </c>
      <c r="I141" s="388">
        <f>IF(H141,Wh_hp,'2027'!Maxi_hp)</f>
        <v>58.360511547826988</v>
      </c>
      <c r="J141" s="85">
        <f>IF(H141,An,'2027'!An_max)</f>
        <v>2020</v>
      </c>
      <c r="K141" s="197">
        <f t="shared" si="27"/>
        <v>46879</v>
      </c>
      <c r="L141" s="147">
        <f>IF(t&lt;Tvie,1-EXP((T0-t)*PertePVj)+'2027'!Pspv,1-EXP((T0-t)*PertePVj)+Pspv)</f>
        <v>6.3155071734452672E-2</v>
      </c>
      <c r="M141" s="832"/>
      <c r="N141" s="832"/>
      <c r="O141" s="48">
        <f>IF(t&lt;Tnet,'2027'!Resal+('2027'!Salim-'2027'!Resal)*(1-EXP(('2027'!Tnet-t)/('2027'!Tau_j))),Resal+(Salim-Resal)*(1-EXP((Tnet-t)/(Tau_j))))*Salcycl</f>
        <v>3.9312406665027805E-2</v>
      </c>
      <c r="P141" s="169">
        <f>(INDEX(Models!$BJ141:$BT141,,T141)*(1-R141)+INDEX(Models!$BJ141:$BT141,,T141+1)*R141-ERP_i)*Q141*Ramure*Pc/MaxiM</f>
        <v>7.0081712113518441E-4</v>
      </c>
      <c r="Q141" s="304">
        <f t="shared" si="28"/>
        <v>0.7</v>
      </c>
      <c r="R141" s="177">
        <f t="shared" si="29"/>
        <v>0.65782678668104144</v>
      </c>
      <c r="S141" s="799">
        <f t="shared" si="30"/>
        <v>-1</v>
      </c>
      <c r="T141" s="176">
        <f t="shared" si="31"/>
        <v>5</v>
      </c>
      <c r="U141" s="250">
        <f t="shared" si="32"/>
        <v>-0.34217321331895861</v>
      </c>
      <c r="V141" s="382">
        <f t="shared" si="33"/>
        <v>55.058501100711382</v>
      </c>
      <c r="W141" s="400">
        <f t="shared" si="34"/>
        <v>43.281359847626717</v>
      </c>
      <c r="X141" s="157">
        <f t="shared" si="35"/>
        <v>46879</v>
      </c>
      <c r="Y141" s="383">
        <f t="shared" si="36"/>
        <v>41.591453453760842</v>
      </c>
      <c r="Z141" s="383">
        <f t="shared" si="37"/>
        <v>44.395237887194718</v>
      </c>
      <c r="AA141" s="384">
        <f t="shared" si="38"/>
        <v>47.899585040939854</v>
      </c>
      <c r="AB141" s="197">
        <f t="shared" si="39"/>
        <v>46879</v>
      </c>
      <c r="AC141" s="119">
        <f>IF(OR(t&lt;Tnet,NoTnet),'2027'!Resal_s+('2027'!Salim-'2027'!Resal_s)*(1-EXP(('2027'!Tnet_s-t)/'2027'!Tau_j)),Resal_s+(Salim-Resal_s)*(1-EXP((Tnet_s-t)/Tau_j)))*Salcycl</f>
        <v>7.3160282093257575E-2</v>
      </c>
      <c r="AD141" s="230">
        <f>(INDEX(Models!$BJ141:$BT141,,AH141)*(1-AF141)+INDEX(Models!$BJ141:$BT141,,AH141+1)*AF141-ERP_i)*AE141*Ramure*Pc/MaxiM</f>
        <v>6.3875064174212992E-3</v>
      </c>
      <c r="AE141" s="304">
        <f t="shared" si="40"/>
        <v>0.7</v>
      </c>
      <c r="AF141" s="177">
        <f t="shared" si="41"/>
        <v>0.41348461752039212</v>
      </c>
      <c r="AG141" s="799">
        <f t="shared" si="49"/>
        <v>2</v>
      </c>
      <c r="AH141" s="176">
        <f t="shared" si="42"/>
        <v>8</v>
      </c>
      <c r="AI141" s="224">
        <f t="shared" si="43"/>
        <v>2.4134846175203921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46880</v>
      </c>
      <c r="B142" s="409">
        <f>'2027'!Wh/'2027'!Env_an*'2028'!Env_an</f>
        <v>53.710737409677392</v>
      </c>
      <c r="C142" s="829"/>
      <c r="D142" s="391">
        <f t="shared" si="25"/>
        <v>57.332612007490795</v>
      </c>
      <c r="E142" s="383">
        <f t="shared" si="47"/>
        <v>59.684479208027589</v>
      </c>
      <c r="F142" s="383">
        <f t="shared" si="26"/>
        <v>59.722471338970884</v>
      </c>
      <c r="G142" s="110">
        <f t="shared" si="48"/>
        <v>0.97449656322714473</v>
      </c>
      <c r="H142" s="412" t="b">
        <f>Wh_hp&gt;='2027'!Maxi_hp</f>
        <v>0</v>
      </c>
      <c r="I142" s="388">
        <f>IF(H142,Wh_hp,'2027'!Maxi_hp)</f>
        <v>61.177065802959824</v>
      </c>
      <c r="J142" s="85">
        <f>IF(H142,An,'2027'!An_max)</f>
        <v>2021</v>
      </c>
      <c r="K142" s="197">
        <f t="shared" si="27"/>
        <v>46880</v>
      </c>
      <c r="L142" s="147">
        <f>IF(t&lt;Tvie,1-EXP((T0-t)*PertePVj)+'2027'!Pspv,1-EXP((T0-t)*PertePVj)+Pspv)</f>
        <v>6.3173026153774181E-2</v>
      </c>
      <c r="M142" s="832"/>
      <c r="N142" s="832"/>
      <c r="O142" s="48">
        <f>IF(t&lt;Tnet,'2027'!Resal+('2027'!Salim-'2027'!Resal)*(1-EXP(('2027'!Tnet-t)/('2027'!Tau_j))),Resal+(Salim-Resal)*(1-EXP((Tnet-t)/(Tau_j))))*Salcycl</f>
        <v>3.9405004981939523E-2</v>
      </c>
      <c r="P142" s="169">
        <f>(INDEX(Models!$BJ142:$BT142,,T142)*(1-R142)+INDEX(Models!$BJ142:$BT142,,T142+1)*R142-ERP_i)*Q142*Ramure*Pc/MaxiM</f>
        <v>6.6017502995537503E-4</v>
      </c>
      <c r="Q142" s="304">
        <f t="shared" si="28"/>
        <v>0.7</v>
      </c>
      <c r="R142" s="177">
        <f t="shared" si="29"/>
        <v>0.66047661531954782</v>
      </c>
      <c r="S142" s="799">
        <f t="shared" si="30"/>
        <v>-1</v>
      </c>
      <c r="T142" s="176">
        <f t="shared" si="31"/>
        <v>5</v>
      </c>
      <c r="U142" s="250">
        <f t="shared" si="32"/>
        <v>-0.33952338468045223</v>
      </c>
      <c r="V142" s="382">
        <f t="shared" si="33"/>
        <v>55.115069591504955</v>
      </c>
      <c r="W142" s="400">
        <f t="shared" si="34"/>
        <v>53.710737409677392</v>
      </c>
      <c r="X142" s="157">
        <f t="shared" si="35"/>
        <v>46880</v>
      </c>
      <c r="Y142" s="383">
        <f t="shared" si="36"/>
        <v>51.538680352059714</v>
      </c>
      <c r="Z142" s="383">
        <f t="shared" si="37"/>
        <v>55.014086689309458</v>
      </c>
      <c r="AA142" s="384">
        <f t="shared" si="38"/>
        <v>59.361318915360641</v>
      </c>
      <c r="AB142" s="197">
        <f t="shared" si="39"/>
        <v>46880</v>
      </c>
      <c r="AC142" s="119">
        <f>IF(OR(t&lt;Tnet,NoTnet),'2027'!Resal_s+('2027'!Salim-'2027'!Resal_s)*(1-EXP(('2027'!Tnet_s-t)/'2027'!Tau_j)),Resal_s+(Salim-Resal_s)*(1-EXP((Tnet_s-t)/Tau_j)))*Salcycl</f>
        <v>7.3233417071639093E-2</v>
      </c>
      <c r="AD142" s="230">
        <f>(INDEX(Models!$BJ142:$BT142,,AH142)*(1-AF142)+INDEX(Models!$BJ142:$BT142,,AH142+1)*AF142-ERP_i)*AE142*Ramure*Pc/MaxiM</f>
        <v>6.2756104002494734E-3</v>
      </c>
      <c r="AE142" s="304">
        <f t="shared" si="40"/>
        <v>0.7</v>
      </c>
      <c r="AF142" s="177">
        <f t="shared" si="41"/>
        <v>0.41613444615889872</v>
      </c>
      <c r="AG142" s="799">
        <f t="shared" si="49"/>
        <v>2</v>
      </c>
      <c r="AH142" s="176">
        <f t="shared" si="42"/>
        <v>8</v>
      </c>
      <c r="AI142" s="224">
        <f t="shared" si="43"/>
        <v>2.4161344461588987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46881</v>
      </c>
      <c r="B143" s="409">
        <f>'2027'!Wh/'2027'!Env_an*'2028'!Env_an</f>
        <v>51.517333730599709</v>
      </c>
      <c r="C143" s="829"/>
      <c r="D143" s="391">
        <f t="shared" ref="D143:D206" si="50">Wh/(1-Ppv)</f>
        <v>54.992354517672283</v>
      </c>
      <c r="E143" s="383">
        <f t="shared" si="47"/>
        <v>57.253766314117271</v>
      </c>
      <c r="F143" s="383">
        <f t="shared" ref="F143:F206" si="51">Wh_sa/(1-Pvg*MEDIAN((-Sdif+Wh/Env_an)/Csdif,0,1))</f>
        <v>57.285917413524125</v>
      </c>
      <c r="G143" s="110">
        <f t="shared" si="48"/>
        <v>0.93376164795812855</v>
      </c>
      <c r="H143" s="412" t="b">
        <f>Wh_hp&gt;='2027'!Maxi_hp</f>
        <v>0</v>
      </c>
      <c r="I143" s="388">
        <f>IF(H143,Wh_hp,'2027'!Maxi_hp)</f>
        <v>57.289149478253869</v>
      </c>
      <c r="J143" s="85">
        <f>IF(H143,An,'2027'!An_max)</f>
        <v>2026</v>
      </c>
      <c r="K143" s="197">
        <f t="shared" ref="K143:K206" si="52">t</f>
        <v>46881</v>
      </c>
      <c r="L143" s="147">
        <f>IF(t&lt;Tvie,1-EXP((T0-t)*PertePVj)+'2027'!Pspv,1-EXP((T0-t)*PertePVj)+Pspv)</f>
        <v>6.319098022900338E-2</v>
      </c>
      <c r="M143" s="832"/>
      <c r="N143" s="832"/>
      <c r="O143" s="48">
        <f>IF(t&lt;Tnet,'2027'!Resal+('2027'!Salim-'2027'!Resal)*(1-EXP(('2027'!Tnet-t)/('2027'!Tau_j))),Resal+(Salim-Resal)*(1-EXP((Tnet-t)/(Tau_j))))*Salcycl</f>
        <v>3.9498044269052492E-2</v>
      </c>
      <c r="P143" s="169">
        <f>(INDEX(Models!$BJ143:$BT143,,T143)*(1-R143)+INDEX(Models!$BJ143:$BT143,,T143+1)*R143-ERP_i)*Q143*Ramure*Pc/MaxiM</f>
        <v>6.1984416871332709E-4</v>
      </c>
      <c r="Q143" s="304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0.66319150269342408</v>
      </c>
      <c r="S143" s="799">
        <f t="shared" ref="S143:S206" si="55">INDEX(Echel_vg,T143)</f>
        <v>-1</v>
      </c>
      <c r="T143" s="176">
        <f t="shared" ref="T143:T206" si="56">MIN(MATCH(Hp_vg,Echel_vg),10)</f>
        <v>5</v>
      </c>
      <c r="U143" s="250">
        <f t="shared" ref="U143:U206" si="57">IF(OR(t&lt;Ttai,Notai),Hdd+PousH*Croivg,Hdtf+PousH*(Croivg-Croi_tai))</f>
        <v>-0.33680849730657592</v>
      </c>
      <c r="V143" s="382">
        <f t="shared" ref="V143:V206" si="58">MaxiM*(1-Ppv)*(1-Pvg)*(1-Psa)</f>
        <v>55.168589300426788</v>
      </c>
      <c r="W143" s="400">
        <f t="shared" ref="W143:W206" si="59">Wh*(A143&gt;Tmaj)</f>
        <v>51.517333730599709</v>
      </c>
      <c r="X143" s="157">
        <f t="shared" ref="X143:X206" si="60">t</f>
        <v>46881</v>
      </c>
      <c r="Y143" s="383">
        <f t="shared" ref="Y143:Y206" si="61">Wh_pvt_s*(1-Ppv)</f>
        <v>49.454645052181156</v>
      </c>
      <c r="Z143" s="383">
        <f t="shared" ref="Z143:Z206" si="62">Wh_sa_s*(1-Psa_s)</f>
        <v>52.790530415975674</v>
      </c>
      <c r="AA143" s="384">
        <f t="shared" ref="AA143:AA206" si="63">Wh_hp*(1-Pvg_s*MEDIAN((-Sdif+Wh/Env_an)/Csdif,0,1))</f>
        <v>56.966602088369896</v>
      </c>
      <c r="AB143" s="197">
        <f t="shared" ref="AB143:AB206" si="64">t</f>
        <v>46881</v>
      </c>
      <c r="AC143" s="119">
        <f>IF(OR(t&lt;Tnet,NoTnet),'2027'!Resal_s+('2027'!Salim-'2027'!Resal_s)*(1-EXP(('2027'!Tnet_s-t)/'2027'!Tau_j)),Resal_s+(Salim-Resal_s)*(1-EXP((Tnet_s-t)/Tau_j)))*Salcycl</f>
        <v>7.3307368164877651E-2</v>
      </c>
      <c r="AD143" s="230">
        <f>(INDEX(Models!$BJ143:$BT143,,AH143)*(1-AF143)+INDEX(Models!$BJ143:$BT143,,AH143+1)*AF143-ERP_i)*AE143*Ramure*Pc/MaxiM</f>
        <v>6.1561111728411413E-3</v>
      </c>
      <c r="AE143" s="304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0.41884933353277498</v>
      </c>
      <c r="AG143" s="799">
        <f t="shared" si="49"/>
        <v>2</v>
      </c>
      <c r="AH143" s="176">
        <f t="shared" ref="AH143:AH206" si="67">MIN(MATCH(Hp_vg_s,Echel_vg),10)</f>
        <v>8</v>
      </c>
      <c r="AI143" s="224">
        <f t="shared" ref="AI143:AI206" si="68">IF(OR(t&lt;Ttai,Notai),Hdd_s+PousH*Croivg,Hdtai_s+PousH*(Croivg-Croi_tai))</f>
        <v>2.418849333532775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46882</v>
      </c>
      <c r="B144" s="409">
        <f>'2027'!Wh/'2027'!Env_an*'2028'!Env_an</f>
        <v>52.613779576535912</v>
      </c>
      <c r="C144" s="829"/>
      <c r="D144" s="391">
        <f t="shared" si="50"/>
        <v>56.163835762175815</v>
      </c>
      <c r="E144" s="383">
        <f t="shared" ref="E144:E169" si="72">Wh_pvt/(1-Psa)</f>
        <v>58.47911208340409</v>
      </c>
      <c r="F144" s="383">
        <f t="shared" si="51"/>
        <v>58.510750147338427</v>
      </c>
      <c r="G144" s="110">
        <f t="shared" ref="G144:G169" si="73">+Wh_hp/MaxiM</f>
        <v>0.95277850391085905</v>
      </c>
      <c r="H144" s="412" t="b">
        <f>Wh_hp&gt;='2027'!Maxi_hp</f>
        <v>0</v>
      </c>
      <c r="I144" s="388">
        <f>IF(H144,Wh_hp,'2027'!Maxi_hp)</f>
        <v>58.512950333342488</v>
      </c>
      <c r="J144" s="85">
        <f>IF(H144,An,'2027'!An_max)</f>
        <v>2026</v>
      </c>
      <c r="K144" s="197">
        <f t="shared" si="52"/>
        <v>46882</v>
      </c>
      <c r="L144" s="147">
        <f>IF(t&lt;Tvie,1-EXP((T0-t)*PertePVj)+'2027'!Pspv,1-EXP((T0-t)*PertePVj)+Pspv)</f>
        <v>6.3208933960146818E-2</v>
      </c>
      <c r="M144" s="832"/>
      <c r="N144" s="832"/>
      <c r="O144" s="48">
        <f>IF(t&lt;Tnet,'2027'!Resal+('2027'!Salim-'2027'!Resal)*(1-EXP(('2027'!Tnet-t)/('2027'!Tau_j))),Resal+(Salim-Resal)*(1-EXP((Tnet-t)/(Tau_j))))*Salcycl</f>
        <v>3.9591509493615118E-2</v>
      </c>
      <c r="P144" s="169">
        <f>(INDEX(Models!$BJ144:$BT144,,T144)*(1-R144)+INDEX(Models!$BJ144:$BT144,,T144+1)*R144-ERP_i)*Q144*Ramure*Pc/MaxiM</f>
        <v>5.7980457955986685E-4</v>
      </c>
      <c r="Q144" s="304">
        <f t="shared" si="53"/>
        <v>0.7</v>
      </c>
      <c r="R144" s="177">
        <f t="shared" si="54"/>
        <v>0.66597149753079865</v>
      </c>
      <c r="S144" s="799">
        <f t="shared" si="55"/>
        <v>-1</v>
      </c>
      <c r="T144" s="176">
        <f t="shared" si="56"/>
        <v>5</v>
      </c>
      <c r="U144" s="250">
        <f t="shared" si="57"/>
        <v>-0.33402850246920135</v>
      </c>
      <c r="V144" s="382">
        <f t="shared" si="58"/>
        <v>55.219258178638064</v>
      </c>
      <c r="W144" s="400">
        <f t="shared" si="59"/>
        <v>52.613779576535912</v>
      </c>
      <c r="X144" s="157">
        <f t="shared" si="60"/>
        <v>46882</v>
      </c>
      <c r="Y144" s="383">
        <f t="shared" si="61"/>
        <v>50.504533726644965</v>
      </c>
      <c r="Z144" s="383">
        <f t="shared" si="62"/>
        <v>53.912270897442987</v>
      </c>
      <c r="AA144" s="384">
        <f t="shared" si="63"/>
        <v>58.181771739286312</v>
      </c>
      <c r="AB144" s="197">
        <f t="shared" si="64"/>
        <v>46882</v>
      </c>
      <c r="AC144" s="119">
        <f>IF(OR(t&lt;Tnet,NoTnet),'2027'!Resal_s+('2027'!Salim-'2027'!Resal_s)*(1-EXP(('2027'!Tnet_s-t)/'2027'!Tau_j)),Resal_s+(Salim-Resal_s)*(1-EXP((Tnet_s-t)/Tau_j)))*Salcycl</f>
        <v>7.3382104295053846E-2</v>
      </c>
      <c r="AD144" s="230">
        <f>(INDEX(Models!$BJ144:$BT144,,AH144)*(1-AF144)+INDEX(Models!$BJ144:$BT144,,AH144+1)*AF144-ERP_i)*AE144*Ramure*Pc/MaxiM</f>
        <v>6.028914663070894E-3</v>
      </c>
      <c r="AE144" s="304">
        <f t="shared" si="65"/>
        <v>0.7</v>
      </c>
      <c r="AF144" s="177">
        <f t="shared" si="66"/>
        <v>0.42162932837014955</v>
      </c>
      <c r="AG144" s="799">
        <f t="shared" ref="AG144:AG207" si="74">INDEX(Echel_vg,AH144)</f>
        <v>2</v>
      </c>
      <c r="AH144" s="176">
        <f t="shared" si="67"/>
        <v>8</v>
      </c>
      <c r="AI144" s="224">
        <f t="shared" si="68"/>
        <v>2.4216293283701495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46883</v>
      </c>
      <c r="B145" s="409">
        <f>'2027'!Wh/'2027'!Env_an*'2028'!Env_an</f>
        <v>55.665782673968245</v>
      </c>
      <c r="C145" s="829"/>
      <c r="D145" s="391">
        <f t="shared" si="50"/>
        <v>59.422908196342028</v>
      </c>
      <c r="E145" s="383">
        <f t="shared" si="72"/>
        <v>61.87858355813686</v>
      </c>
      <c r="F145" s="383">
        <f t="shared" si="51"/>
        <v>61.91201836877741</v>
      </c>
      <c r="G145" s="110">
        <f t="shared" si="73"/>
        <v>1.0072105694192106</v>
      </c>
      <c r="H145" s="412" t="b">
        <f>Wh_hp&gt;='2027'!Maxi_hp</f>
        <v>1</v>
      </c>
      <c r="I145" s="388">
        <f>IF(H145,Wh_hp,'2027'!Maxi_hp)</f>
        <v>61.91201836877741</v>
      </c>
      <c r="J145" s="85">
        <f>IF(H145,An,'2027'!An_max)</f>
        <v>2028</v>
      </c>
      <c r="K145" s="197">
        <f t="shared" si="52"/>
        <v>46883</v>
      </c>
      <c r="L145" s="147">
        <f>IF(t&lt;Tvie,1-EXP((T0-t)*PertePVj)+'2027'!Pspv,1-EXP((T0-t)*PertePVj)+Pspv)</f>
        <v>6.3226887347211047E-2</v>
      </c>
      <c r="M145" s="832"/>
      <c r="N145" s="832"/>
      <c r="O145" s="48">
        <f>IF(t&lt;Tnet,'2027'!Resal+('2027'!Salim-'2027'!Resal)*(1-EXP(('2027'!Tnet-t)/('2027'!Tau_j))),Resal+(Salim-Resal)*(1-EXP((Tnet-t)/(Tau_j))))*Salcycl</f>
        <v>3.9685384192539717E-2</v>
      </c>
      <c r="P145" s="169">
        <f>(INDEX(Models!$BJ145:$BT145,,T145)*(1-R145)+INDEX(Models!$BJ145:$BT145,,T145+1)*R145-ERP_i)*Q145*Ramure*Pc/MaxiM</f>
        <v>5.4003748418272543E-4</v>
      </c>
      <c r="Q145" s="304">
        <f t="shared" si="53"/>
        <v>0.7</v>
      </c>
      <c r="R145" s="177">
        <f t="shared" si="54"/>
        <v>0.66881653837749</v>
      </c>
      <c r="S145" s="799">
        <f t="shared" si="55"/>
        <v>-1</v>
      </c>
      <c r="T145" s="176">
        <f t="shared" si="56"/>
        <v>5</v>
      </c>
      <c r="U145" s="250">
        <f t="shared" si="57"/>
        <v>-0.33118346162250994</v>
      </c>
      <c r="V145" s="382">
        <f t="shared" si="58"/>
        <v>55.267274157048305</v>
      </c>
      <c r="W145" s="400">
        <f t="shared" si="59"/>
        <v>55.665782673968245</v>
      </c>
      <c r="X145" s="157">
        <f t="shared" si="60"/>
        <v>46883</v>
      </c>
      <c r="Y145" s="383">
        <f t="shared" si="61"/>
        <v>53.420433609582936</v>
      </c>
      <c r="Z145" s="383">
        <f t="shared" si="62"/>
        <v>57.026010768290483</v>
      </c>
      <c r="AA145" s="384">
        <f t="shared" si="63"/>
        <v>61.547113516589214</v>
      </c>
      <c r="AB145" s="197">
        <f t="shared" si="64"/>
        <v>46883</v>
      </c>
      <c r="AC145" s="119">
        <f>IF(OR(t&lt;Tnet,NoTnet),'2027'!Resal_s+('2027'!Salim-'2027'!Resal_s)*(1-EXP(('2027'!Tnet_s-t)/'2027'!Tau_j)),Resal_s+(Salim-Resal_s)*(1-EXP((Tnet_s-t)/Tau_j)))*Salcycl</f>
        <v>7.3457591915827722E-2</v>
      </c>
      <c r="AD145" s="230">
        <f>(INDEX(Models!$BJ145:$BT145,,AH145)*(1-AF145)+INDEX(Models!$BJ145:$BT145,,AH145+1)*AF145-ERP_i)*AE145*Ramure*Pc/MaxiM</f>
        <v>5.8939259581984593E-3</v>
      </c>
      <c r="AE145" s="304">
        <f t="shared" si="65"/>
        <v>0.7</v>
      </c>
      <c r="AF145" s="177">
        <f t="shared" si="66"/>
        <v>0.42447436921684067</v>
      </c>
      <c r="AG145" s="799">
        <f t="shared" si="74"/>
        <v>2</v>
      </c>
      <c r="AH145" s="176">
        <f t="shared" si="67"/>
        <v>8</v>
      </c>
      <c r="AI145" s="224">
        <f t="shared" si="68"/>
        <v>2.4244743692168407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46884</v>
      </c>
      <c r="B146" s="409">
        <f>'2027'!Wh/'2027'!Env_an*'2028'!Env_an</f>
        <v>42.224525564770722</v>
      </c>
      <c r="C146" s="829"/>
      <c r="D146" s="391">
        <f t="shared" si="50"/>
        <v>45.07530610491564</v>
      </c>
      <c r="E146" s="383">
        <f t="shared" si="72"/>
        <v>46.942669072674768</v>
      </c>
      <c r="F146" s="383">
        <f t="shared" si="51"/>
        <v>46.958227791213353</v>
      </c>
      <c r="G146" s="110">
        <f t="shared" si="73"/>
        <v>0.76324742609362783</v>
      </c>
      <c r="H146" s="412" t="b">
        <f>Wh_hp&gt;='2027'!Maxi_hp</f>
        <v>0</v>
      </c>
      <c r="I146" s="388">
        <f>IF(H146,Wh_hp,'2027'!Maxi_hp)</f>
        <v>46.965865236082536</v>
      </c>
      <c r="J146" s="85">
        <f>IF(H146,An,'2027'!An_max)</f>
        <v>2026</v>
      </c>
      <c r="K146" s="197">
        <f t="shared" si="52"/>
        <v>46884</v>
      </c>
      <c r="L146" s="147">
        <f>IF(t&lt;Tvie,1-EXP((T0-t)*PertePVj)+'2027'!Pspv,1-EXP((T0-t)*PertePVj)+Pspv)</f>
        <v>6.3244840390202728E-2</v>
      </c>
      <c r="M146" s="832"/>
      <c r="N146" s="832"/>
      <c r="O146" s="48">
        <f>IF(t&lt;Tnet,'2027'!Resal+('2027'!Salim-'2027'!Resal)*(1-EXP(('2027'!Tnet-t)/('2027'!Tau_j))),Resal+(Salim-Resal)*(1-EXP((Tnet-t)/(Tau_j))))*Salcycl</f>
        <v>3.9779650468279637E-2</v>
      </c>
      <c r="P146" s="169">
        <f>(INDEX(Models!$BJ146:$BT146,,T146)*(1-R146)+INDEX(Models!$BJ146:$BT146,,T146+1)*R146-ERP_i)*Q146*Ramure*Pc/MaxiM</f>
        <v>5.0052530786300964E-4</v>
      </c>
      <c r="Q146" s="304">
        <f t="shared" si="53"/>
        <v>0.7</v>
      </c>
      <c r="R146" s="177">
        <f t="shared" si="54"/>
        <v>0.67172644849575303</v>
      </c>
      <c r="S146" s="799">
        <f t="shared" si="55"/>
        <v>-1</v>
      </c>
      <c r="T146" s="176">
        <f t="shared" si="56"/>
        <v>5</v>
      </c>
      <c r="U146" s="250">
        <f t="shared" si="57"/>
        <v>-0.32827355150424692</v>
      </c>
      <c r="V146" s="382">
        <f t="shared" si="58"/>
        <v>55.31283513836545</v>
      </c>
      <c r="W146" s="400">
        <f t="shared" si="59"/>
        <v>42.224525564770722</v>
      </c>
      <c r="X146" s="157">
        <f t="shared" si="60"/>
        <v>46884</v>
      </c>
      <c r="Y146" s="383">
        <f t="shared" si="61"/>
        <v>40.598581386669515</v>
      </c>
      <c r="Z146" s="383">
        <f t="shared" si="62"/>
        <v>43.339586625368298</v>
      </c>
      <c r="AA146" s="384">
        <f t="shared" si="63"/>
        <v>46.779457677383363</v>
      </c>
      <c r="AB146" s="197">
        <f t="shared" si="64"/>
        <v>46884</v>
      </c>
      <c r="AC146" s="119">
        <f>IF(OR(t&lt;Tnet,NoTnet),'2027'!Resal_s+('2027'!Salim-'2027'!Resal_s)*(1-EXP(('2027'!Tnet_s-t)/'2027'!Tau_j)),Resal_s+(Salim-Resal_s)*(1-EXP((Tnet_s-t)/Tau_j)))*Salcycl</f>
        <v>7.3533795020418791E-2</v>
      </c>
      <c r="AD146" s="230">
        <f>(INDEX(Models!$BJ146:$BT146,,AH146)*(1-AF146)+INDEX(Models!$BJ146:$BT146,,AH146+1)*AF146-ERP_i)*AE146*Ramure*Pc/MaxiM</f>
        <v>5.7510498721045277E-3</v>
      </c>
      <c r="AE146" s="304">
        <f t="shared" si="65"/>
        <v>0.7</v>
      </c>
      <c r="AF146" s="177">
        <f t="shared" si="66"/>
        <v>0.42738427933510392</v>
      </c>
      <c r="AG146" s="799">
        <f t="shared" si="74"/>
        <v>2</v>
      </c>
      <c r="AH146" s="176">
        <f t="shared" si="67"/>
        <v>8</v>
      </c>
      <c r="AI146" s="224">
        <f t="shared" si="68"/>
        <v>2.4273842793351039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46885</v>
      </c>
      <c r="B147" s="409">
        <f>'2027'!Wh/'2027'!Env_an*'2028'!Env_an</f>
        <v>36.4645341325567</v>
      </c>
      <c r="C147" s="829"/>
      <c r="D147" s="391">
        <f t="shared" si="50"/>
        <v>38.927176014293003</v>
      </c>
      <c r="E147" s="383">
        <f t="shared" si="72"/>
        <v>40.543832508540049</v>
      </c>
      <c r="F147" s="383">
        <f t="shared" si="51"/>
        <v>40.553418353542654</v>
      </c>
      <c r="G147" s="110">
        <f t="shared" si="73"/>
        <v>0.65857794379578094</v>
      </c>
      <c r="H147" s="412" t="b">
        <f>Wh_hp&gt;='2027'!Maxi_hp</f>
        <v>0</v>
      </c>
      <c r="I147" s="388">
        <f>IF(H147,Wh_hp,'2027'!Maxi_hp)</f>
        <v>60.109259389460362</v>
      </c>
      <c r="J147" s="85">
        <f>IF(H147,An,'2027'!An_max)</f>
        <v>2018</v>
      </c>
      <c r="K147" s="197">
        <f t="shared" si="52"/>
        <v>46885</v>
      </c>
      <c r="L147" s="147">
        <f>IF(t&lt;Tvie,1-EXP((T0-t)*PertePVj)+'2027'!Pspv,1-EXP((T0-t)*PertePVj)+Pspv)</f>
        <v>6.3262793089128411E-2</v>
      </c>
      <c r="M147" s="832"/>
      <c r="N147" s="832"/>
      <c r="O147" s="48">
        <f>IF(t&lt;Tnet,'2027'!Resal+('2027'!Salim-'2027'!Resal)*(1-EXP(('2027'!Tnet-t)/('2027'!Tau_j))),Resal+(Salim-Resal)*(1-EXP((Tnet-t)/(Tau_j))))*Salcycl</f>
        <v>3.9874288990970876E-2</v>
      </c>
      <c r="P147" s="169">
        <f>(INDEX(Models!$BJ147:$BT147,,T147)*(1-R147)+INDEX(Models!$BJ147:$BT147,,T147+1)*R147-ERP_i)*Q147*Ramure*Pc/MaxiM</f>
        <v>4.6125170642342413E-4</v>
      </c>
      <c r="Q147" s="304">
        <f t="shared" si="53"/>
        <v>0.7</v>
      </c>
      <c r="R147" s="177">
        <f t="shared" si="54"/>
        <v>0.67470093099611472</v>
      </c>
      <c r="S147" s="799">
        <f t="shared" si="55"/>
        <v>-1</v>
      </c>
      <c r="T147" s="176">
        <f t="shared" si="56"/>
        <v>5</v>
      </c>
      <c r="U147" s="250">
        <f t="shared" si="57"/>
        <v>-0.32529906900388528</v>
      </c>
      <c r="V147" s="382">
        <f t="shared" si="58"/>
        <v>55.356138997004898</v>
      </c>
      <c r="W147" s="400">
        <f t="shared" si="59"/>
        <v>36.4645341325567</v>
      </c>
      <c r="X147" s="157">
        <f t="shared" si="60"/>
        <v>46885</v>
      </c>
      <c r="Y147" s="383">
        <f t="shared" si="61"/>
        <v>35.090584612013508</v>
      </c>
      <c r="Z147" s="383">
        <f t="shared" si="62"/>
        <v>37.460436452325418</v>
      </c>
      <c r="AA147" s="384">
        <f t="shared" si="63"/>
        <v>40.437033812793075</v>
      </c>
      <c r="AB147" s="197">
        <f t="shared" si="64"/>
        <v>46885</v>
      </c>
      <c r="AC147" s="119">
        <f>IF(OR(t&lt;Tnet,NoTnet),'2027'!Resal_s+('2027'!Salim-'2027'!Resal_s)*(1-EXP(('2027'!Tnet_s-t)/'2027'!Tau_j)),Resal_s+(Salim-Resal_s)*(1-EXP((Tnet_s-t)/Tau_j)))*Salcycl</f>
        <v>7.3610675160994454E-2</v>
      </c>
      <c r="AD147" s="230">
        <f>(INDEX(Models!$BJ147:$BT147,,AH147)*(1-AF147)+INDEX(Models!$BJ147:$BT147,,AH147+1)*AF147-ERP_i)*AE147*Ramure*Pc/MaxiM</f>
        <v>5.6001915331895802E-3</v>
      </c>
      <c r="AE147" s="304">
        <f t="shared" si="65"/>
        <v>0.7</v>
      </c>
      <c r="AF147" s="177">
        <f t="shared" si="66"/>
        <v>0.4303587618354654</v>
      </c>
      <c r="AG147" s="799">
        <f t="shared" si="74"/>
        <v>2</v>
      </c>
      <c r="AH147" s="176">
        <f t="shared" si="67"/>
        <v>8</v>
      </c>
      <c r="AI147" s="224">
        <f t="shared" si="68"/>
        <v>2.4303587618354654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46886</v>
      </c>
      <c r="B148" s="409">
        <f>'2027'!Wh/'2027'!Env_an*'2028'!Env_an</f>
        <v>50.700655922766309</v>
      </c>
      <c r="C148" s="829"/>
      <c r="D148" s="391">
        <f t="shared" si="50"/>
        <v>54.125775333611422</v>
      </c>
      <c r="E148" s="383">
        <f t="shared" si="72"/>
        <v>56.379211779430904</v>
      </c>
      <c r="F148" s="383">
        <f t="shared" si="51"/>
        <v>56.400139922978688</v>
      </c>
      <c r="G148" s="110">
        <f t="shared" si="73"/>
        <v>0.91517070038864545</v>
      </c>
      <c r="H148" s="412" t="b">
        <f>Wh_hp&gt;='2027'!Maxi_hp</f>
        <v>0</v>
      </c>
      <c r="I148" s="388">
        <f>IF(H148,Wh_hp,'2027'!Maxi_hp)</f>
        <v>59.065123459499134</v>
      </c>
      <c r="J148" s="85">
        <f>IF(H148,An,'2027'!An_max)</f>
        <v>2018</v>
      </c>
      <c r="K148" s="197">
        <f t="shared" si="52"/>
        <v>46886</v>
      </c>
      <c r="L148" s="147">
        <f>IF(t&lt;Tvie,1-EXP((T0-t)*PertePVj)+'2027'!Pspv,1-EXP((T0-t)*PertePVj)+Pspv)</f>
        <v>6.3280745443994757E-2</v>
      </c>
      <c r="M148" s="832"/>
      <c r="N148" s="832"/>
      <c r="O148" s="48">
        <f>IF(t&lt;Tnet,'2027'!Resal+('2027'!Salim-'2027'!Resal)*(1-EXP(('2027'!Tnet-t)/('2027'!Tau_j))),Resal+(Salim-Resal)*(1-EXP((Tnet-t)/(Tau_j))))*Salcycl</f>
        <v>3.9969279007224676E-2</v>
      </c>
      <c r="P148" s="169">
        <f>(INDEX(Models!$BJ148:$BT148,,T148)*(1-R148)+INDEX(Models!$BJ148:$BT148,,T148+1)*R148-ERP_i)*Q148*Ramure*Pc/MaxiM</f>
        <v>4.2220159582090225E-4</v>
      </c>
      <c r="Q148" s="304">
        <f t="shared" si="53"/>
        <v>0.7</v>
      </c>
      <c r="R148" s="177">
        <f t="shared" si="54"/>
        <v>0.6777395642485966</v>
      </c>
      <c r="S148" s="799">
        <f t="shared" si="55"/>
        <v>-1</v>
      </c>
      <c r="T148" s="176">
        <f t="shared" si="56"/>
        <v>5</v>
      </c>
      <c r="U148" s="250">
        <f t="shared" si="57"/>
        <v>-0.32226043575140334</v>
      </c>
      <c r="V148" s="382">
        <f t="shared" si="58"/>
        <v>55.397383573282418</v>
      </c>
      <c r="W148" s="400">
        <f t="shared" si="59"/>
        <v>50.700655922766309</v>
      </c>
      <c r="X148" s="157">
        <f t="shared" si="60"/>
        <v>46886</v>
      </c>
      <c r="Y148" s="383">
        <f t="shared" si="61"/>
        <v>48.70403623579903</v>
      </c>
      <c r="Z148" s="383">
        <f t="shared" si="62"/>
        <v>51.994272562363648</v>
      </c>
      <c r="AA148" s="384">
        <f t="shared" si="63"/>
        <v>56.130421834350635</v>
      </c>
      <c r="AB148" s="197">
        <f t="shared" si="64"/>
        <v>46886</v>
      </c>
      <c r="AC148" s="119">
        <f>IF(OR(t&lt;Tnet,NoTnet),'2027'!Resal_s+('2027'!Salim-'2027'!Resal_s)*(1-EXP(('2027'!Tnet_s-t)/'2027'!Tau_j)),Resal_s+(Salim-Resal_s)*(1-EXP((Tnet_s-t)/Tau_j)))*Salcycl</f>
        <v>7.3688191480074508E-2</v>
      </c>
      <c r="AD148" s="230">
        <f>(INDEX(Models!$BJ148:$BT148,,AH148)*(1-AF148)+INDEX(Models!$BJ148:$BT148,,AH148+1)*AF148-ERP_i)*AE148*Ramure*Pc/MaxiM</f>
        <v>5.4412569935078326E-3</v>
      </c>
      <c r="AE148" s="304">
        <f t="shared" si="65"/>
        <v>0.7</v>
      </c>
      <c r="AF148" s="177">
        <f t="shared" si="66"/>
        <v>0.4333973950879475</v>
      </c>
      <c r="AG148" s="799">
        <f t="shared" si="74"/>
        <v>2</v>
      </c>
      <c r="AH148" s="176">
        <f t="shared" si="67"/>
        <v>8</v>
      </c>
      <c r="AI148" s="224">
        <f t="shared" si="68"/>
        <v>2.4333973950879475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46887</v>
      </c>
      <c r="B149" s="409">
        <f>'2027'!Wh/'2027'!Env_an*'2028'!Env_an</f>
        <v>52.482576914158116</v>
      </c>
      <c r="C149" s="829"/>
      <c r="D149" s="391">
        <f t="shared" si="50"/>
        <v>56.029149069776238</v>
      </c>
      <c r="E149" s="383">
        <f t="shared" si="72"/>
        <v>58.367624502456245</v>
      </c>
      <c r="F149" s="383">
        <f t="shared" si="51"/>
        <v>58.388304734129903</v>
      </c>
      <c r="G149" s="110">
        <f t="shared" si="73"/>
        <v>0.9466913496706264</v>
      </c>
      <c r="H149" s="412" t="b">
        <f>Wh_hp&gt;='2027'!Maxi_hp</f>
        <v>0</v>
      </c>
      <c r="I149" s="388">
        <f>IF(H149,Wh_hp,'2027'!Maxi_hp)</f>
        <v>59.483162733669118</v>
      </c>
      <c r="J149" s="85">
        <f>IF(H149,An,'2027'!An_max)</f>
        <v>2018</v>
      </c>
      <c r="K149" s="197">
        <f t="shared" si="52"/>
        <v>46887</v>
      </c>
      <c r="L149" s="147">
        <f>IF(t&lt;Tvie,1-EXP((T0-t)*PertePVj)+'2027'!Pspv,1-EXP((T0-t)*PertePVj)+Pspv)</f>
        <v>6.3298697454808317E-2</v>
      </c>
      <c r="M149" s="832"/>
      <c r="N149" s="832"/>
      <c r="O149" s="48">
        <f>IF(t&lt;Tnet,'2027'!Resal+('2027'!Salim-'2027'!Resal)*(1-EXP(('2027'!Tnet-t)/('2027'!Tau_j))),Resal+(Salim-Resal)*(1-EXP((Tnet-t)/(Tau_j))))*Salcycl</f>
        <v>4.0064598355919002E-2</v>
      </c>
      <c r="P149" s="169">
        <f>(INDEX(Models!$BJ149:$BT149,,T149)*(1-R149)+INDEX(Models!$BJ149:$BT149,,T149+1)*R149-ERP_i)*Q149*Ramure*Pc/MaxiM</f>
        <v>3.8336456128097745E-4</v>
      </c>
      <c r="Q149" s="304">
        <f t="shared" si="53"/>
        <v>0.7</v>
      </c>
      <c r="R149" s="177">
        <f t="shared" si="54"/>
        <v>0.68084179762062835</v>
      </c>
      <c r="S149" s="799">
        <f t="shared" si="55"/>
        <v>-1</v>
      </c>
      <c r="T149" s="176">
        <f t="shared" si="56"/>
        <v>5</v>
      </c>
      <c r="U149" s="250">
        <f t="shared" si="57"/>
        <v>-0.31915820237937165</v>
      </c>
      <c r="V149" s="382">
        <f t="shared" si="58"/>
        <v>55.436278090257552</v>
      </c>
      <c r="W149" s="400">
        <f t="shared" si="59"/>
        <v>52.482576914158116</v>
      </c>
      <c r="X149" s="157">
        <f t="shared" si="60"/>
        <v>46887</v>
      </c>
      <c r="Y149" s="383">
        <f t="shared" si="61"/>
        <v>50.411101453460894</v>
      </c>
      <c r="Z149" s="383">
        <f t="shared" si="62"/>
        <v>53.817691206881591</v>
      </c>
      <c r="AA149" s="384">
        <f t="shared" si="63"/>
        <v>58.103793082372086</v>
      </c>
      <c r="AB149" s="197">
        <f t="shared" si="64"/>
        <v>46887</v>
      </c>
      <c r="AC149" s="119">
        <f>IF(OR(t&lt;Tnet,NoTnet),'2027'!Resal_s+('2027'!Salim-'2027'!Resal_s)*(1-EXP(('2027'!Tnet_s-t)/'2027'!Tau_j)),Resal_s+(Salim-Resal_s)*(1-EXP((Tnet_s-t)/Tau_j)))*Salcycl</f>
        <v>7.3766300754482789E-2</v>
      </c>
      <c r="AD149" s="230">
        <f>(INDEX(Models!$BJ149:$BT149,,AH149)*(1-AF149)+INDEX(Models!$BJ149:$BT149,,AH149+1)*AF149-ERP_i)*AE149*Ramure*Pc/MaxiM</f>
        <v>5.274200322155264E-3</v>
      </c>
      <c r="AE149" s="304">
        <f t="shared" si="65"/>
        <v>0.7</v>
      </c>
      <c r="AF149" s="177">
        <f t="shared" si="66"/>
        <v>0.43649962845997914</v>
      </c>
      <c r="AG149" s="799">
        <f t="shared" si="74"/>
        <v>2</v>
      </c>
      <c r="AH149" s="176">
        <f t="shared" si="67"/>
        <v>8</v>
      </c>
      <c r="AI149" s="224">
        <f t="shared" si="68"/>
        <v>2.4364996284599791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46888</v>
      </c>
      <c r="B150" s="409">
        <f>'2027'!Wh/'2027'!Env_an*'2028'!Env_an</f>
        <v>48.911014398630492</v>
      </c>
      <c r="C150" s="829"/>
      <c r="D150" s="391">
        <f t="shared" si="50"/>
        <v>52.217234728002381</v>
      </c>
      <c r="E150" s="383">
        <f t="shared" si="72"/>
        <v>54.402032512067564</v>
      </c>
      <c r="F150" s="383">
        <f t="shared" si="51"/>
        <v>54.417692417523952</v>
      </c>
      <c r="G150" s="110">
        <f t="shared" si="73"/>
        <v>0.88166775201702485</v>
      </c>
      <c r="H150" s="412" t="b">
        <f>Wh_hp&gt;='2027'!Maxi_hp</f>
        <v>0</v>
      </c>
      <c r="I150" s="388">
        <f>IF(H150,Wh_hp,'2027'!Maxi_hp)</f>
        <v>55.435904399739371</v>
      </c>
      <c r="J150" s="85">
        <f>IF(H150,An,'2027'!An_max)</f>
        <v>2018</v>
      </c>
      <c r="K150" s="197">
        <f t="shared" si="52"/>
        <v>46888</v>
      </c>
      <c r="L150" s="147">
        <f>IF(t&lt;Tvie,1-EXP((T0-t)*PertePVj)+'2027'!Pspv,1-EXP((T0-t)*PertePVj)+Pspv)</f>
        <v>6.3316649121575752E-2</v>
      </c>
      <c r="M150" s="832"/>
      <c r="N150" s="832"/>
      <c r="O150" s="48">
        <f>IF(t&lt;Tnet,'2027'!Resal+('2027'!Salim-'2027'!Resal)*(1-EXP(('2027'!Tnet-t)/('2027'!Tau_j))),Resal+(Salim-Resal)*(1-EXP((Tnet-t)/(Tau_j))))*Salcycl</f>
        <v>4.0160223491292203E-2</v>
      </c>
      <c r="P150" s="169">
        <f>(INDEX(Models!$BJ150:$BT150,,T150)*(1-R150)+INDEX(Models!$BJ150:$BT150,,T150+1)*R150-ERP_i)*Q150*Ramure*Pc/MaxiM</f>
        <v>3.4628488677348015E-4</v>
      </c>
      <c r="Q150" s="304">
        <f t="shared" si="53"/>
        <v>0.7</v>
      </c>
      <c r="R150" s="177">
        <f t="shared" si="54"/>
        <v>0.68400694758952918</v>
      </c>
      <c r="S150" s="799">
        <f t="shared" si="55"/>
        <v>-1</v>
      </c>
      <c r="T150" s="176">
        <f t="shared" si="56"/>
        <v>5</v>
      </c>
      <c r="U150" s="250">
        <f t="shared" si="57"/>
        <v>-0.31599305241047076</v>
      </c>
      <c r="V150" s="382">
        <f t="shared" si="58"/>
        <v>55.472315454211284</v>
      </c>
      <c r="W150" s="400">
        <f t="shared" si="59"/>
        <v>48.911014398630492</v>
      </c>
      <c r="X150" s="157">
        <f t="shared" si="60"/>
        <v>46888</v>
      </c>
      <c r="Y150" s="383">
        <f t="shared" si="61"/>
        <v>47.008096023113843</v>
      </c>
      <c r="Z150" s="383">
        <f t="shared" si="62"/>
        <v>50.185685460331413</v>
      </c>
      <c r="AA150" s="384">
        <f t="shared" si="63"/>
        <v>54.187131910741762</v>
      </c>
      <c r="AB150" s="197">
        <f t="shared" si="64"/>
        <v>46888</v>
      </c>
      <c r="AC150" s="119">
        <f>IF(OR(t&lt;Tnet,NoTnet),'2027'!Resal_s+('2027'!Salim-'2027'!Resal_s)*(1-EXP(('2027'!Tnet_s-t)/'2027'!Tau_j)),Resal_s+(Salim-Resal_s)*(1-EXP((Tnet_s-t)/Tau_j)))*Salcycl</f>
        <v>7.3844957452289972E-2</v>
      </c>
      <c r="AD150" s="230">
        <f>(INDEX(Models!$BJ150:$BT150,,AH150)*(1-AF150)+INDEX(Models!$BJ150:$BT150,,AH150+1)*AF150-ERP_i)*AE150*Ramure*Pc/MaxiM</f>
        <v>5.0983461686841579E-3</v>
      </c>
      <c r="AE150" s="304">
        <f t="shared" si="65"/>
        <v>0.7</v>
      </c>
      <c r="AF150" s="177">
        <f t="shared" si="66"/>
        <v>0.43966477842888008</v>
      </c>
      <c r="AG150" s="799">
        <f t="shared" si="74"/>
        <v>2</v>
      </c>
      <c r="AH150" s="176">
        <f t="shared" si="67"/>
        <v>8</v>
      </c>
      <c r="AI150" s="224">
        <f t="shared" si="68"/>
        <v>2.4396647784288801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46889</v>
      </c>
      <c r="B151" s="409">
        <f>'2027'!Wh/'2027'!Env_an*'2028'!Env_an</f>
        <v>53.51926633088366</v>
      </c>
      <c r="C151" s="829"/>
      <c r="D151" s="391">
        <f t="shared" si="50"/>
        <v>57.138084054637133</v>
      </c>
      <c r="E151" s="383">
        <f t="shared" si="72"/>
        <v>59.53472151447972</v>
      </c>
      <c r="F151" s="383">
        <f t="shared" si="51"/>
        <v>59.552341701909825</v>
      </c>
      <c r="G151" s="110">
        <f t="shared" si="73"/>
        <v>0.96420104487552705</v>
      </c>
      <c r="H151" s="412" t="b">
        <f>Wh_hp&gt;='2027'!Maxi_hp</f>
        <v>0</v>
      </c>
      <c r="I151" s="388">
        <f>IF(H151,Wh_hp,'2027'!Maxi_hp)</f>
        <v>59.553254003490785</v>
      </c>
      <c r="J151" s="85">
        <f>IF(H151,An,'2027'!An_max)</f>
        <v>2026</v>
      </c>
      <c r="K151" s="197">
        <f t="shared" si="52"/>
        <v>46889</v>
      </c>
      <c r="L151" s="147">
        <f>IF(t&lt;Tvie,1-EXP((T0-t)*PertePVj)+'2027'!Pspv,1-EXP((T0-t)*PertePVj)+Pspv)</f>
        <v>6.3334600444303502E-2</v>
      </c>
      <c r="M151" s="832"/>
      <c r="N151" s="832"/>
      <c r="O151" s="48">
        <f>IF(t&lt;Tnet,'2027'!Resal+('2027'!Salim-'2027'!Resal)*(1-EXP(('2027'!Tnet-t)/('2027'!Tau_j))),Resal+(Salim-Resal)*(1-EXP((Tnet-t)/(Tau_j))))*Salcycl</f>
        <v>4.0256129513593003E-2</v>
      </c>
      <c r="P151" s="169">
        <f>(INDEX(Models!$BJ151:$BT151,,T151)*(1-R151)+INDEX(Models!$BJ151:$BT151,,T151+1)*R151-ERP_i)*Q151*Ramure*Pc/MaxiM</f>
        <v>3.1181723315187317E-4</v>
      </c>
      <c r="Q151" s="304">
        <f t="shared" si="53"/>
        <v>0.7</v>
      </c>
      <c r="R151" s="177">
        <f t="shared" si="54"/>
        <v>0.68723419427750831</v>
      </c>
      <c r="S151" s="799">
        <f t="shared" si="55"/>
        <v>-1</v>
      </c>
      <c r="T151" s="176">
        <f t="shared" si="56"/>
        <v>5</v>
      </c>
      <c r="U151" s="250">
        <f t="shared" si="57"/>
        <v>-0.31276580572249169</v>
      </c>
      <c r="V151" s="382">
        <f t="shared" si="58"/>
        <v>55.505450103510924</v>
      </c>
      <c r="W151" s="400">
        <f t="shared" si="59"/>
        <v>53.51926633088366</v>
      </c>
      <c r="X151" s="157">
        <f t="shared" si="60"/>
        <v>46889</v>
      </c>
      <c r="Y151" s="383">
        <f t="shared" si="61"/>
        <v>51.416062193485011</v>
      </c>
      <c r="Z151" s="383">
        <f t="shared" si="62"/>
        <v>54.892667347244824</v>
      </c>
      <c r="AA151" s="384">
        <f t="shared" si="63"/>
        <v>59.274480812443443</v>
      </c>
      <c r="AB151" s="197">
        <f t="shared" si="64"/>
        <v>46889</v>
      </c>
      <c r="AC151" s="119">
        <f>IF(OR(t&lt;Tnet,NoTnet),'2027'!Resal_s+('2027'!Salim-'2027'!Resal_s)*(1-EXP(('2027'!Tnet_s-t)/'2027'!Tau_j)),Resal_s+(Salim-Resal_s)*(1-EXP((Tnet_s-t)/Tau_j)))*Salcycl</f>
        <v>7.392411380309806E-2</v>
      </c>
      <c r="AD151" s="230">
        <f>(INDEX(Models!$BJ151:$BT151,,AH151)*(1-AF151)+INDEX(Models!$BJ151:$BT151,,AH151+1)*AF151-ERP_i)*AE151*Ramure*Pc/MaxiM</f>
        <v>4.9171902454613016E-3</v>
      </c>
      <c r="AE151" s="304">
        <f t="shared" si="65"/>
        <v>0.7</v>
      </c>
      <c r="AF151" s="177">
        <f t="shared" si="66"/>
        <v>0.44289202511685888</v>
      </c>
      <c r="AG151" s="799">
        <f t="shared" si="74"/>
        <v>2</v>
      </c>
      <c r="AH151" s="176">
        <f t="shared" si="67"/>
        <v>8</v>
      </c>
      <c r="AI151" s="224">
        <f t="shared" si="68"/>
        <v>2.4428920251168589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46890</v>
      </c>
      <c r="B152" s="409">
        <f>'2027'!Wh/'2027'!Env_an*'2028'!Env_an</f>
        <v>51.295325120212482</v>
      </c>
      <c r="C152" s="829"/>
      <c r="D152" s="391">
        <f t="shared" si="50"/>
        <v>54.764815938102139</v>
      </c>
      <c r="E152" s="383">
        <f t="shared" si="72"/>
        <v>57.067625316318356</v>
      </c>
      <c r="F152" s="383">
        <f t="shared" si="51"/>
        <v>57.081864733496666</v>
      </c>
      <c r="G152" s="110">
        <f t="shared" si="73"/>
        <v>0.92361804647699097</v>
      </c>
      <c r="H152" s="412" t="b">
        <f>Wh_hp&gt;='2027'!Maxi_hp</f>
        <v>0</v>
      </c>
      <c r="I152" s="388">
        <f>IF(H152,Wh_hp,'2027'!Maxi_hp)</f>
        <v>60.850795316552379</v>
      </c>
      <c r="J152" s="85">
        <f>IF(H152,An,'2027'!An_max)</f>
        <v>2020</v>
      </c>
      <c r="K152" s="197">
        <f t="shared" si="52"/>
        <v>46890</v>
      </c>
      <c r="L152" s="147">
        <f>IF(t&lt;Tvie,1-EXP((T0-t)*PertePVj)+'2027'!Pspv,1-EXP((T0-t)*PertePVj)+Pspv)</f>
        <v>6.3352551422998338E-2</v>
      </c>
      <c r="M152" s="832"/>
      <c r="N152" s="832"/>
      <c r="O152" s="48">
        <f>IF(t&lt;Tnet,'2027'!Resal+('2027'!Salim-'2027'!Resal)*(1-EXP(('2027'!Tnet-t)/('2027'!Tau_j))),Resal+(Salim-Resal)*(1-EXP((Tnet-t)/(Tau_j))))*Salcycl</f>
        <v>4.0352290207487131E-2</v>
      </c>
      <c r="P152" s="169">
        <f>(INDEX(Models!$BJ152:$BT152,,T152)*(1-R152)+INDEX(Models!$BJ152:$BT152,,T152+1)*R152-ERP_i)*Q152*Ramure*Pc/MaxiM</f>
        <v>2.7999725758502301E-4</v>
      </c>
      <c r="Q152" s="304">
        <f t="shared" si="53"/>
        <v>0.7</v>
      </c>
      <c r="R152" s="177">
        <f t="shared" si="54"/>
        <v>0.69052257845667397</v>
      </c>
      <c r="S152" s="799">
        <f t="shared" si="55"/>
        <v>-1</v>
      </c>
      <c r="T152" s="176">
        <f t="shared" si="56"/>
        <v>5</v>
      </c>
      <c r="U152" s="250">
        <f t="shared" si="57"/>
        <v>-0.30947742154332603</v>
      </c>
      <c r="V152" s="382">
        <f t="shared" si="58"/>
        <v>55.535681989323244</v>
      </c>
      <c r="W152" s="400">
        <f t="shared" si="59"/>
        <v>51.295325120212482</v>
      </c>
      <c r="X152" s="157">
        <f t="shared" si="60"/>
        <v>46890</v>
      </c>
      <c r="Y152" s="383">
        <f t="shared" si="61"/>
        <v>49.30026890776486</v>
      </c>
      <c r="Z152" s="383">
        <f t="shared" si="62"/>
        <v>52.634818984094942</v>
      </c>
      <c r="AA152" s="384">
        <f t="shared" si="63"/>
        <v>56.841285558277669</v>
      </c>
      <c r="AB152" s="197">
        <f t="shared" si="64"/>
        <v>46890</v>
      </c>
      <c r="AC152" s="119">
        <f>IF(OR(t&lt;Tnet,NoTnet),'2027'!Resal_s+('2027'!Salim-'2027'!Resal_s)*(1-EXP(('2027'!Tnet_s-t)/'2027'!Tau_j)),Resal_s+(Salim-Resal_s)*(1-EXP((Tnet_s-t)/Tau_j)))*Salcycl</f>
        <v>7.4003719881915078E-2</v>
      </c>
      <c r="AD152" s="230">
        <f>(INDEX(Models!$BJ152:$BT152,,AH152)*(1-AF152)+INDEX(Models!$BJ152:$BT152,,AH152+1)*AF152-ERP_i)*AE152*Ramure*Pc/MaxiM</f>
        <v>4.7306366861702368E-3</v>
      </c>
      <c r="AE152" s="304">
        <f t="shared" si="65"/>
        <v>0.7</v>
      </c>
      <c r="AF152" s="177">
        <f t="shared" si="66"/>
        <v>0.44618040929602465</v>
      </c>
      <c r="AG152" s="799">
        <f t="shared" si="74"/>
        <v>2</v>
      </c>
      <c r="AH152" s="176">
        <f t="shared" si="67"/>
        <v>8</v>
      </c>
      <c r="AI152" s="224">
        <f t="shared" si="68"/>
        <v>2.4461804092960246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46891</v>
      </c>
      <c r="B153" s="409">
        <f>'2027'!Wh/'2027'!Env_an*'2028'!Env_an</f>
        <v>49.769348167315762</v>
      </c>
      <c r="C153" s="829"/>
      <c r="D153" s="391">
        <f t="shared" si="50"/>
        <v>53.13664397358108</v>
      </c>
      <c r="E153" s="383">
        <f t="shared" si="72"/>
        <v>55.376552311679568</v>
      </c>
      <c r="F153" s="383">
        <f t="shared" si="51"/>
        <v>55.388377460181907</v>
      </c>
      <c r="G153" s="110">
        <f t="shared" si="73"/>
        <v>0.8956945826517676</v>
      </c>
      <c r="H153" s="412" t="b">
        <f>Wh_hp&gt;='2027'!Maxi_hp</f>
        <v>0</v>
      </c>
      <c r="I153" s="388">
        <f>IF(H153,Wh_hp,'2027'!Maxi_hp)</f>
        <v>61.039716032201341</v>
      </c>
      <c r="J153" s="85">
        <f>IF(H153,An,'2027'!An_max)</f>
        <v>2020</v>
      </c>
      <c r="K153" s="197">
        <f t="shared" si="52"/>
        <v>46891</v>
      </c>
      <c r="L153" s="147">
        <f>IF(t&lt;Tvie,1-EXP((T0-t)*PertePVj)+'2027'!Pspv,1-EXP((T0-t)*PertePVj)+Pspv)</f>
        <v>6.3370502057666589E-2</v>
      </c>
      <c r="M153" s="832"/>
      <c r="N153" s="832"/>
      <c r="O153" s="48">
        <f>IF(t&lt;Tnet,'2027'!Resal+('2027'!Salim-'2027'!Resal)*(1-EXP(('2027'!Tnet-t)/('2027'!Tau_j))),Resal+(Salim-Resal)*(1-EXP((Tnet-t)/(Tau_j))))*Salcycl</f>
        <v>4.0448678088362437E-2</v>
      </c>
      <c r="P153" s="169">
        <f>(INDEX(Models!$BJ153:$BT153,,T153)*(1-R153)+INDEX(Models!$BJ153:$BT153,,T153+1)*R153-ERP_i)*Q153*Ramure*Pc/MaxiM</f>
        <v>2.5086376855391402E-4</v>
      </c>
      <c r="Q153" s="304">
        <f t="shared" si="53"/>
        <v>0.7</v>
      </c>
      <c r="R153" s="177">
        <f t="shared" si="54"/>
        <v>0.6938709990705112</v>
      </c>
      <c r="S153" s="799">
        <f t="shared" si="55"/>
        <v>-1</v>
      </c>
      <c r="T153" s="176">
        <f t="shared" si="56"/>
        <v>5</v>
      </c>
      <c r="U153" s="250">
        <f t="shared" si="57"/>
        <v>-0.30612900092948886</v>
      </c>
      <c r="V153" s="382">
        <f t="shared" si="58"/>
        <v>55.563011009554081</v>
      </c>
      <c r="W153" s="400">
        <f t="shared" si="59"/>
        <v>49.769348167315762</v>
      </c>
      <c r="X153" s="157">
        <f t="shared" si="60"/>
        <v>46891</v>
      </c>
      <c r="Y153" s="383">
        <f t="shared" si="61"/>
        <v>47.849507605321591</v>
      </c>
      <c r="Z153" s="383">
        <f t="shared" si="62"/>
        <v>51.086910790703712</v>
      </c>
      <c r="AA153" s="384">
        <f t="shared" si="63"/>
        <v>55.174438660072063</v>
      </c>
      <c r="AB153" s="197">
        <f t="shared" si="64"/>
        <v>46891</v>
      </c>
      <c r="AC153" s="119">
        <f>IF(OR(t&lt;Tnet,NoTnet),'2027'!Resal_s+('2027'!Salim-'2027'!Resal_s)*(1-EXP(('2027'!Tnet_s-t)/'2027'!Tau_j)),Resal_s+(Salim-Resal_s)*(1-EXP((Tnet_s-t)/Tau_j)))*Salcycl</f>
        <v>7.4083723706760002E-2</v>
      </c>
      <c r="AD153" s="230">
        <f>(INDEX(Models!$BJ153:$BT153,,AH153)*(1-AF153)+INDEX(Models!$BJ153:$BT153,,AH153+1)*AF153-ERP_i)*AE153*Ramure*Pc/MaxiM</f>
        <v>4.538589399096145E-3</v>
      </c>
      <c r="AE153" s="304">
        <f t="shared" si="65"/>
        <v>0.7</v>
      </c>
      <c r="AF153" s="177">
        <f t="shared" si="66"/>
        <v>0.44952882990986165</v>
      </c>
      <c r="AG153" s="799">
        <f t="shared" si="74"/>
        <v>2</v>
      </c>
      <c r="AH153" s="176">
        <f t="shared" si="67"/>
        <v>8</v>
      </c>
      <c r="AI153" s="224">
        <f t="shared" si="68"/>
        <v>2.4495288299098616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46892</v>
      </c>
      <c r="B154" s="409">
        <f>'2027'!Wh/'2027'!Env_an*'2028'!Env_an</f>
        <v>48.256540809224873</v>
      </c>
      <c r="C154" s="829"/>
      <c r="D154" s="391">
        <f t="shared" si="50"/>
        <v>51.522470473715458</v>
      </c>
      <c r="E154" s="383">
        <f t="shared" si="72"/>
        <v>53.6997406600278</v>
      </c>
      <c r="F154" s="383">
        <f t="shared" si="51"/>
        <v>53.709524951687435</v>
      </c>
      <c r="G154" s="110">
        <f t="shared" si="73"/>
        <v>0.86808283228907679</v>
      </c>
      <c r="H154" s="412" t="b">
        <f>Wh_hp&gt;='2027'!Maxi_hp</f>
        <v>0</v>
      </c>
      <c r="I154" s="388">
        <f>IF(H154,Wh_hp,'2027'!Maxi_hp)</f>
        <v>60.491890433923544</v>
      </c>
      <c r="J154" s="85">
        <f>IF(H154,An,'2027'!An_max)</f>
        <v>2020</v>
      </c>
      <c r="K154" s="197">
        <f t="shared" si="52"/>
        <v>46892</v>
      </c>
      <c r="L154" s="147">
        <f>IF(t&lt;Tvie,1-EXP((T0-t)*PertePVj)+'2027'!Pspv,1-EXP((T0-t)*PertePVj)+Pspv)</f>
        <v>6.3388452348315139E-2</v>
      </c>
      <c r="M154" s="832"/>
      <c r="N154" s="832"/>
      <c r="O154" s="48">
        <f>IF(t&lt;Tnet,'2027'!Resal+('2027'!Salim-'2027'!Resal)*(1-EXP(('2027'!Tnet-t)/('2027'!Tau_j))),Resal+(Salim-Resal)*(1-EXP((Tnet-t)/(Tau_j))))*Salcycl</f>
        <v>4.0545264456612669E-2</v>
      </c>
      <c r="P154" s="169">
        <f>(INDEX(Models!$BJ154:$BT154,,T154)*(1-R154)+INDEX(Models!$BJ154:$BT154,,T154+1)*R154-ERP_i)*Q154*Ramure*Pc/MaxiM</f>
        <v>2.244586695954427E-4</v>
      </c>
      <c r="Q154" s="304">
        <f t="shared" si="53"/>
        <v>0.7</v>
      </c>
      <c r="R154" s="177">
        <f t="shared" si="54"/>
        <v>0.6972782113166397</v>
      </c>
      <c r="S154" s="799">
        <f t="shared" si="55"/>
        <v>-1</v>
      </c>
      <c r="T154" s="176">
        <f t="shared" si="56"/>
        <v>5</v>
      </c>
      <c r="U154" s="250">
        <f t="shared" si="57"/>
        <v>-0.3027217886833603</v>
      </c>
      <c r="V154" s="382">
        <f t="shared" si="58"/>
        <v>55.587437007547585</v>
      </c>
      <c r="W154" s="400">
        <f t="shared" si="59"/>
        <v>48.256540809224873</v>
      </c>
      <c r="X154" s="157">
        <f t="shared" si="60"/>
        <v>46892</v>
      </c>
      <c r="Y154" s="383">
        <f t="shared" si="61"/>
        <v>46.41005453683465</v>
      </c>
      <c r="Z154" s="383">
        <f t="shared" si="62"/>
        <v>49.551016804347604</v>
      </c>
      <c r="AA154" s="384">
        <f t="shared" si="63"/>
        <v>53.520300164416092</v>
      </c>
      <c r="AB154" s="197">
        <f t="shared" si="64"/>
        <v>46892</v>
      </c>
      <c r="AC154" s="119">
        <f>IF(OR(t&lt;Tnet,NoTnet),'2027'!Resal_s+('2027'!Salim-'2027'!Resal_s)*(1-EXP(('2027'!Tnet_s-t)/'2027'!Tau_j)),Resal_s+(Salim-Resal_s)*(1-EXP((Tnet_s-t)/Tau_j)))*Salcycl</f>
        <v>7.4164071350024563E-2</v>
      </c>
      <c r="AD154" s="230">
        <f>(INDEX(Models!$BJ154:$BT154,,AH154)*(1-AF154)+INDEX(Models!$BJ154:$BT154,,AH154+1)*AF154-ERP_i)*AE154*Ramure*Pc/MaxiM</f>
        <v>4.3409523635352752E-3</v>
      </c>
      <c r="AE154" s="304">
        <f t="shared" si="65"/>
        <v>0.7</v>
      </c>
      <c r="AF154" s="177">
        <f t="shared" si="66"/>
        <v>0.45293604215599048</v>
      </c>
      <c r="AG154" s="799">
        <f t="shared" si="74"/>
        <v>2</v>
      </c>
      <c r="AH154" s="176">
        <f t="shared" si="67"/>
        <v>8</v>
      </c>
      <c r="AI154" s="224">
        <f t="shared" si="68"/>
        <v>2.4529360421559905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46893</v>
      </c>
      <c r="B155" s="409">
        <f>'2027'!Wh/'2027'!Env_an*'2028'!Env_an</f>
        <v>52.851064620284724</v>
      </c>
      <c r="C155" s="829"/>
      <c r="D155" s="391">
        <f t="shared" si="50"/>
        <v>56.429026153698409</v>
      </c>
      <c r="E155" s="383">
        <f t="shared" si="72"/>
        <v>58.819572358100189</v>
      </c>
      <c r="F155" s="383">
        <f t="shared" si="51"/>
        <v>58.830550048487467</v>
      </c>
      <c r="G155" s="110">
        <f t="shared" si="73"/>
        <v>0.95039203585575627</v>
      </c>
      <c r="H155" s="412" t="b">
        <f>Wh_hp&gt;='2027'!Maxi_hp</f>
        <v>0</v>
      </c>
      <c r="I155" s="388">
        <f>IF(H155,Wh_hp,'2027'!Maxi_hp)</f>
        <v>59.791074222210042</v>
      </c>
      <c r="J155" s="85">
        <f>IF(H155,An,'2027'!An_max)</f>
        <v>2020</v>
      </c>
      <c r="K155" s="197">
        <f t="shared" si="52"/>
        <v>46893</v>
      </c>
      <c r="L155" s="147">
        <f>IF(t&lt;Tvie,1-EXP((T0-t)*PertePVj)+'2027'!Pspv,1-EXP((T0-t)*PertePVj)+Pspv)</f>
        <v>6.3406402294950537E-2</v>
      </c>
      <c r="M155" s="832"/>
      <c r="N155" s="832"/>
      <c r="O155" s="48">
        <f>IF(t&lt;Tnet,'2027'!Resal+('2027'!Salim-'2027'!Resal)*(1-EXP(('2027'!Tnet-t)/('2027'!Tau_j))),Resal+(Salim-Resal)*(1-EXP((Tnet-t)/(Tau_j))))*Salcycl</f>
        <v>4.0642019459914865E-2</v>
      </c>
      <c r="P155" s="169">
        <f>(INDEX(Models!$BJ155:$BT155,,T155)*(1-R155)+INDEX(Models!$BJ155:$BT155,,T155+1)*R155-ERP_i)*Q155*Ramure*Pc/MaxiM</f>
        <v>2.0082689007231599E-4</v>
      </c>
      <c r="Q155" s="304">
        <f t="shared" si="53"/>
        <v>0.7</v>
      </c>
      <c r="R155" s="177">
        <f t="shared" si="54"/>
        <v>0.70074282533339405</v>
      </c>
      <c r="S155" s="799">
        <f t="shared" si="55"/>
        <v>-1</v>
      </c>
      <c r="T155" s="176">
        <f t="shared" si="56"/>
        <v>5</v>
      </c>
      <c r="U155" s="250">
        <f t="shared" si="57"/>
        <v>-0.29925717466660601</v>
      </c>
      <c r="V155" s="382">
        <f t="shared" si="58"/>
        <v>55.608959775200461</v>
      </c>
      <c r="W155" s="400">
        <f t="shared" si="59"/>
        <v>52.851064620284724</v>
      </c>
      <c r="X155" s="157">
        <f t="shared" si="60"/>
        <v>46893</v>
      </c>
      <c r="Y155" s="383">
        <f t="shared" si="61"/>
        <v>50.813304899533421</v>
      </c>
      <c r="Z155" s="383">
        <f t="shared" si="62"/>
        <v>54.253312241341483</v>
      </c>
      <c r="AA155" s="384">
        <f t="shared" si="63"/>
        <v>58.60437704790187</v>
      </c>
      <c r="AB155" s="197">
        <f t="shared" si="64"/>
        <v>46893</v>
      </c>
      <c r="AC155" s="119">
        <f>IF(OR(t&lt;Tnet,NoTnet),'2027'!Resal_s+('2027'!Salim-'2027'!Resal_s)*(1-EXP(('2027'!Tnet_s-t)/'2027'!Tau_j)),Resal_s+(Salim-Resal_s)*(1-EXP((Tnet_s-t)/Tau_j)))*Salcycl</f>
        <v>7.4244707063500157E-2</v>
      </c>
      <c r="AD155" s="230">
        <f>(INDEX(Models!$BJ155:$BT155,,AH155)*(1-AF155)+INDEX(Models!$BJ155:$BT155,,AH155+1)*AF155-ERP_i)*AE155*Ramure*Pc/MaxiM</f>
        <v>4.1376299315720776E-3</v>
      </c>
      <c r="AE155" s="304">
        <f t="shared" si="65"/>
        <v>0.7</v>
      </c>
      <c r="AF155" s="177">
        <f t="shared" si="66"/>
        <v>0.4564006561727445</v>
      </c>
      <c r="AG155" s="799">
        <f t="shared" si="74"/>
        <v>2</v>
      </c>
      <c r="AH155" s="176">
        <f t="shared" si="67"/>
        <v>8</v>
      </c>
      <c r="AI155" s="224">
        <f t="shared" si="68"/>
        <v>2.4564006561727445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46894</v>
      </c>
      <c r="B156" s="409">
        <f>'2027'!Wh/'2027'!Env_an*'2028'!Env_an</f>
        <v>40.205337554903068</v>
      </c>
      <c r="C156" s="829"/>
      <c r="D156" s="391">
        <f t="shared" si="50"/>
        <v>42.928019361129437</v>
      </c>
      <c r="E156" s="383">
        <f t="shared" si="72"/>
        <v>44.751131788266498</v>
      </c>
      <c r="F156" s="383">
        <f t="shared" si="51"/>
        <v>44.756015157643532</v>
      </c>
      <c r="G156" s="110">
        <f t="shared" si="73"/>
        <v>0.72270782145733059</v>
      </c>
      <c r="H156" s="412" t="b">
        <f>Wh_hp&gt;='2027'!Maxi_hp</f>
        <v>0</v>
      </c>
      <c r="I156" s="388">
        <f>IF(H156,Wh_hp,'2027'!Maxi_hp)</f>
        <v>60.114527951171105</v>
      </c>
      <c r="J156" s="85">
        <f>IF(H156,An,'2027'!An_max)</f>
        <v>2018</v>
      </c>
      <c r="K156" s="197">
        <f t="shared" si="52"/>
        <v>46894</v>
      </c>
      <c r="L156" s="147">
        <f>IF(t&lt;Tvie,1-EXP((T0-t)*PertePVj)+'2027'!Pspv,1-EXP((T0-t)*PertePVj)+Pspv)</f>
        <v>6.3424351897579223E-2</v>
      </c>
      <c r="M156" s="832"/>
      <c r="N156" s="832"/>
      <c r="O156" s="48">
        <f>IF(t&lt;Tnet,'2027'!Resal+('2027'!Salim-'2027'!Resal)*(1-EXP(('2027'!Tnet-t)/('2027'!Tau_j))),Resal+(Salim-Resal)*(1-EXP((Tnet-t)/(Tau_j))))*Salcycl</f>
        <v>4.0738912163447723E-2</v>
      </c>
      <c r="P156" s="169">
        <f>(INDEX(Models!$BJ156:$BT156,,T156)*(1-R156)+INDEX(Models!$BJ156:$BT156,,T156+1)*R156-ERP_i)*Q156*Ramure*Pc/MaxiM</f>
        <v>1.8066448330631351E-4</v>
      </c>
      <c r="Q156" s="304">
        <f t="shared" si="53"/>
        <v>0.7</v>
      </c>
      <c r="R156" s="177">
        <f t="shared" si="54"/>
        <v>0.7042633055298384</v>
      </c>
      <c r="S156" s="799">
        <f t="shared" si="55"/>
        <v>-1</v>
      </c>
      <c r="T156" s="176">
        <f t="shared" si="56"/>
        <v>5</v>
      </c>
      <c r="U156" s="250">
        <f t="shared" si="57"/>
        <v>-0.2957366944701616</v>
      </c>
      <c r="V156" s="382">
        <f t="shared" si="58"/>
        <v>55.627542987138106</v>
      </c>
      <c r="W156" s="400">
        <f t="shared" si="59"/>
        <v>40.205337554903068</v>
      </c>
      <c r="X156" s="157">
        <f t="shared" si="60"/>
        <v>46894</v>
      </c>
      <c r="Y156" s="383">
        <f t="shared" si="61"/>
        <v>38.709642254823578</v>
      </c>
      <c r="Z156" s="383">
        <f t="shared" si="62"/>
        <v>41.331036455253233</v>
      </c>
      <c r="AA156" s="384">
        <f t="shared" si="63"/>
        <v>44.649647077120498</v>
      </c>
      <c r="AB156" s="197">
        <f t="shared" si="64"/>
        <v>46894</v>
      </c>
      <c r="AC156" s="119">
        <f>IF(OR(t&lt;Tnet,NoTnet),'2027'!Resal_s+('2027'!Salim-'2027'!Resal_s)*(1-EXP(('2027'!Tnet_s-t)/'2027'!Tau_j)),Resal_s+(Salim-Resal_s)*(1-EXP((Tnet_s-t)/Tau_j)))*Salcycl</f>
        <v>7.4325573416856708E-2</v>
      </c>
      <c r="AD156" s="230">
        <f>(INDEX(Models!$BJ156:$BT156,,AH156)*(1-AF156)+INDEX(Models!$BJ156:$BT156,,AH156+1)*AF156-ERP_i)*AE156*Ramure*Pc/MaxiM</f>
        <v>3.9351793453000035E-3</v>
      </c>
      <c r="AE156" s="304">
        <f t="shared" si="65"/>
        <v>0.7</v>
      </c>
      <c r="AF156" s="177">
        <f t="shared" si="66"/>
        <v>0.4599211363691893</v>
      </c>
      <c r="AG156" s="799">
        <f t="shared" si="74"/>
        <v>2</v>
      </c>
      <c r="AH156" s="176">
        <f t="shared" si="67"/>
        <v>8</v>
      </c>
      <c r="AI156" s="224">
        <f t="shared" si="68"/>
        <v>2.4599211363691893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46895</v>
      </c>
      <c r="B157" s="409">
        <f>'2027'!Wh/'2027'!Env_an*'2028'!Env_an</f>
        <v>16.724239786804656</v>
      </c>
      <c r="C157" s="829"/>
      <c r="D157" s="391">
        <f t="shared" si="50"/>
        <v>17.857137694187148</v>
      </c>
      <c r="E157" s="383">
        <f t="shared" si="72"/>
        <v>18.617396013937039</v>
      </c>
      <c r="F157" s="383">
        <f t="shared" si="51"/>
        <v>18.617398441912506</v>
      </c>
      <c r="G157" s="110">
        <f t="shared" si="73"/>
        <v>0.30051296363811048</v>
      </c>
      <c r="H157" s="412" t="b">
        <f>Wh_hp&gt;='2027'!Maxi_hp</f>
        <v>0</v>
      </c>
      <c r="I157" s="388">
        <f>IF(H157,Wh_hp,'2027'!Maxi_hp)</f>
        <v>59.059449252254765</v>
      </c>
      <c r="J157" s="85">
        <f>IF(H157,An,'2027'!An_max)</f>
        <v>2018</v>
      </c>
      <c r="K157" s="197">
        <f t="shared" si="52"/>
        <v>46895</v>
      </c>
      <c r="L157" s="147">
        <f>IF(t&lt;Tvie,1-EXP((T0-t)*PertePVj)+'2027'!Pspv,1-EXP((T0-t)*PertePVj)+Pspv)</f>
        <v>6.3442301156207859E-2</v>
      </c>
      <c r="M157" s="832"/>
      <c r="N157" s="832"/>
      <c r="O157" s="48">
        <f>IF(t&lt;Tnet,'2027'!Resal+('2027'!Salim-'2027'!Resal)*(1-EXP(('2027'!Tnet-t)/('2027'!Tau_j))),Resal+(Salim-Resal)*(1-EXP((Tnet-t)/(Tau_j))))*Salcycl</f>
        <v>4.083591062792883E-2</v>
      </c>
      <c r="P157" s="169">
        <f>(INDEX(Models!$BJ157:$BT157,,T157)*(1-R157)+INDEX(Models!$BJ157:$BT157,,T157+1)*R157-ERP_i)*Q157*Ramure*Pc/MaxiM</f>
        <v>1.6250507083649706E-4</v>
      </c>
      <c r="Q157" s="304">
        <f t="shared" si="53"/>
        <v>0.7</v>
      </c>
      <c r="R157" s="177">
        <f t="shared" si="54"/>
        <v>0.70783797059525633</v>
      </c>
      <c r="S157" s="799">
        <f t="shared" si="55"/>
        <v>-1</v>
      </c>
      <c r="T157" s="176">
        <f t="shared" si="56"/>
        <v>5</v>
      </c>
      <c r="U157" s="250">
        <f t="shared" si="57"/>
        <v>-0.29216202940474367</v>
      </c>
      <c r="V157" s="382">
        <f t="shared" si="58"/>
        <v>55.64327073056468</v>
      </c>
      <c r="W157" s="400">
        <f t="shared" si="59"/>
        <v>16.724239786804656</v>
      </c>
      <c r="X157" s="157">
        <f t="shared" si="60"/>
        <v>46895</v>
      </c>
      <c r="Y157" s="383">
        <f t="shared" si="61"/>
        <v>16.13884582536895</v>
      </c>
      <c r="Z157" s="383">
        <f t="shared" si="62"/>
        <v>17.232089219161647</v>
      </c>
      <c r="AA157" s="384">
        <f t="shared" si="63"/>
        <v>18.617342595913069</v>
      </c>
      <c r="AB157" s="197">
        <f t="shared" si="64"/>
        <v>46895</v>
      </c>
      <c r="AC157" s="119">
        <f>IF(OR(t&lt;Tnet,NoTnet),'2027'!Resal_s+('2027'!Salim-'2027'!Resal_s)*(1-EXP(('2027'!Tnet_s-t)/'2027'!Tau_j)),Resal_s+(Salim-Resal_s)*(1-EXP((Tnet_s-t)/Tau_j)))*Salcycl</f>
        <v>7.4406611449236437E-2</v>
      </c>
      <c r="AD157" s="230">
        <f>(INDEX(Models!$BJ157:$BT157,,AH157)*(1-AF157)+INDEX(Models!$BJ157:$BT157,,AH157+1)*AF157-ERP_i)*AE157*Ramure*Pc/MaxiM</f>
        <v>3.7377882187016411E-3</v>
      </c>
      <c r="AE157" s="304">
        <f t="shared" si="65"/>
        <v>0.7</v>
      </c>
      <c r="AF157" s="177">
        <f t="shared" si="66"/>
        <v>0.46349580143460711</v>
      </c>
      <c r="AG157" s="799">
        <f t="shared" si="74"/>
        <v>2</v>
      </c>
      <c r="AH157" s="176">
        <f t="shared" si="67"/>
        <v>8</v>
      </c>
      <c r="AI157" s="224">
        <f t="shared" si="68"/>
        <v>2.4634958014346071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46896</v>
      </c>
      <c r="B158" s="409">
        <f>'2027'!Wh/'2027'!Env_an*'2028'!Env_an</f>
        <v>14.534371705301627</v>
      </c>
      <c r="C158" s="829"/>
      <c r="D158" s="391">
        <f t="shared" si="50"/>
        <v>15.519225645682477</v>
      </c>
      <c r="E158" s="383">
        <f t="shared" si="72"/>
        <v>16.18158622321226</v>
      </c>
      <c r="F158" s="383">
        <f t="shared" si="51"/>
        <v>16.18158622321226</v>
      </c>
      <c r="G158" s="110">
        <f t="shared" si="73"/>
        <v>0.26110763597575315</v>
      </c>
      <c r="H158" s="412" t="b">
        <f>Wh_hp&gt;='2027'!Maxi_hp</f>
        <v>0</v>
      </c>
      <c r="I158" s="388">
        <f>IF(H158,Wh_hp,'2027'!Maxi_hp)</f>
        <v>26.660992397930677</v>
      </c>
      <c r="J158" s="85">
        <f>IF(H158,An,'2027'!An_max)</f>
        <v>2021</v>
      </c>
      <c r="K158" s="197">
        <f t="shared" si="52"/>
        <v>46896</v>
      </c>
      <c r="L158" s="147">
        <f>IF(t&lt;Tvie,1-EXP((T0-t)*PertePVj)+'2027'!Pspv,1-EXP((T0-t)*PertePVj)+Pspv)</f>
        <v>6.3460250070842994E-2</v>
      </c>
      <c r="M158" s="832"/>
      <c r="N158" s="832"/>
      <c r="O158" s="48">
        <f>IF(t&lt;Tnet,'2027'!Resal+('2027'!Salim-'2027'!Resal)*(1-EXP(('2027'!Tnet-t)/('2027'!Tau_j))),Resal+(Salim-Resal)*(1-EXP((Tnet-t)/(Tau_j))))*Salcycl</f>
        <v>4.0932981995277937E-2</v>
      </c>
      <c r="P158" s="169">
        <f>(INDEX(Models!$BJ158:$BT158,,T158)*(1-R158)+INDEX(Models!$BJ158:$BT158,,T158+1)*R158-ERP_i)*Q158*Ramure*Pc/MaxiM</f>
        <v>1.4638638434442839E-4</v>
      </c>
      <c r="Q158" s="304">
        <f t="shared" si="53"/>
        <v>0.7</v>
      </c>
      <c r="R158" s="177">
        <f t="shared" si="54"/>
        <v>0.71146499421991993</v>
      </c>
      <c r="S158" s="799">
        <f t="shared" si="55"/>
        <v>-1</v>
      </c>
      <c r="T158" s="176">
        <f t="shared" si="56"/>
        <v>5</v>
      </c>
      <c r="U158" s="250">
        <f t="shared" si="57"/>
        <v>-0.28853500578008007</v>
      </c>
      <c r="V158" s="382">
        <f t="shared" si="58"/>
        <v>55.656143555022098</v>
      </c>
      <c r="W158" s="400">
        <f t="shared" si="59"/>
        <v>14.534371705301627</v>
      </c>
      <c r="X158" s="157">
        <f t="shared" si="60"/>
        <v>46896</v>
      </c>
      <c r="Y158" s="383">
        <f t="shared" si="61"/>
        <v>14.025859141561755</v>
      </c>
      <c r="Z158" s="383">
        <f t="shared" si="62"/>
        <v>14.976256098710939</v>
      </c>
      <c r="AA158" s="384">
        <f t="shared" si="63"/>
        <v>16.18158622321226</v>
      </c>
      <c r="AB158" s="197">
        <f t="shared" si="64"/>
        <v>46896</v>
      </c>
      <c r="AC158" s="119">
        <f>IF(OR(t&lt;Tnet,NoTnet),'2027'!Resal_s+('2027'!Salim-'2027'!Resal_s)*(1-EXP(('2027'!Tnet_s-t)/'2027'!Tau_j)),Resal_s+(Salim-Resal_s)*(1-EXP((Tnet_s-t)/Tau_j)))*Salcycl</f>
        <v>7.4487760833501782E-2</v>
      </c>
      <c r="AD158" s="230">
        <f>(INDEX(Models!$BJ158:$BT158,,AH158)*(1-AF158)+INDEX(Models!$BJ158:$BT158,,AH158+1)*AF158-ERP_i)*AE158*Ramure*Pc/MaxiM</f>
        <v>3.5453899766614738E-3</v>
      </c>
      <c r="AE158" s="304">
        <f t="shared" si="65"/>
        <v>0.7</v>
      </c>
      <c r="AF158" s="177">
        <f t="shared" si="66"/>
        <v>0.4671228250592705</v>
      </c>
      <c r="AG158" s="799">
        <f t="shared" si="74"/>
        <v>2</v>
      </c>
      <c r="AH158" s="176">
        <f t="shared" si="67"/>
        <v>8</v>
      </c>
      <c r="AI158" s="224">
        <f t="shared" si="68"/>
        <v>2.4671228250592705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46897</v>
      </c>
      <c r="B159" s="409">
        <f>'2027'!Wh/'2027'!Env_an*'2028'!Env_an</f>
        <v>40.162748276779709</v>
      </c>
      <c r="C159" s="829"/>
      <c r="D159" s="391">
        <f t="shared" si="50"/>
        <v>42.885011559282496</v>
      </c>
      <c r="E159" s="383">
        <f t="shared" si="72"/>
        <v>44.719872049721758</v>
      </c>
      <c r="F159" s="383">
        <f t="shared" si="51"/>
        <v>44.723436141140589</v>
      </c>
      <c r="G159" s="110">
        <f t="shared" si="73"/>
        <v>0.72145504298904006</v>
      </c>
      <c r="H159" s="412" t="b">
        <f>Wh_hp&gt;='2027'!Maxi_hp</f>
        <v>0</v>
      </c>
      <c r="I159" s="388">
        <f>IF(H159,Wh_hp,'2027'!Maxi_hp)</f>
        <v>56.87087566419774</v>
      </c>
      <c r="J159" s="85">
        <f>IF(H159,An,'2027'!An_max)</f>
        <v>2020</v>
      </c>
      <c r="K159" s="197">
        <f t="shared" si="52"/>
        <v>46897</v>
      </c>
      <c r="L159" s="147">
        <f>IF(t&lt;Tvie,1-EXP((T0-t)*PertePVj)+'2027'!Pspv,1-EXP((T0-t)*PertePVj)+Pspv)</f>
        <v>6.347819864149129E-2</v>
      </c>
      <c r="M159" s="832"/>
      <c r="N159" s="832"/>
      <c r="O159" s="48">
        <f>IF(t&lt;Tnet,'2027'!Resal+('2027'!Salim-'2027'!Resal)*(1-EXP(('2027'!Tnet-t)/('2027'!Tau_j))),Resal+(Salim-Resal)*(1-EXP((Tnet-t)/(Tau_j))))*Salcycl</f>
        <v>4.1030092581641912E-2</v>
      </c>
      <c r="P159" s="169">
        <f>(INDEX(Models!$BJ159:$BT159,,T159)*(1-R159)+INDEX(Models!$BJ159:$BT159,,T159+1)*R159-ERP_i)*Q159*Ramure*Pc/MaxiM</f>
        <v>1.3234919565496427E-4</v>
      </c>
      <c r="Q159" s="304">
        <f t="shared" si="53"/>
        <v>0.7</v>
      </c>
      <c r="R159" s="177">
        <f t="shared" si="54"/>
        <v>0.71514240655409356</v>
      </c>
      <c r="S159" s="799">
        <f t="shared" si="55"/>
        <v>-1</v>
      </c>
      <c r="T159" s="176">
        <f t="shared" si="56"/>
        <v>5</v>
      </c>
      <c r="U159" s="250">
        <f t="shared" si="57"/>
        <v>-0.28485759344590644</v>
      </c>
      <c r="V159" s="382">
        <f t="shared" si="58"/>
        <v>55.666161922404427</v>
      </c>
      <c r="W159" s="400">
        <f t="shared" si="59"/>
        <v>40.162748276779709</v>
      </c>
      <c r="X159" s="157">
        <f t="shared" si="60"/>
        <v>46897</v>
      </c>
      <c r="Y159" s="383">
        <f t="shared" si="61"/>
        <v>38.682819027741608</v>
      </c>
      <c r="Z159" s="383">
        <f t="shared" si="62"/>
        <v>41.304771519070584</v>
      </c>
      <c r="AA159" s="384">
        <f t="shared" si="63"/>
        <v>44.633008550713988</v>
      </c>
      <c r="AB159" s="197">
        <f t="shared" si="64"/>
        <v>46897</v>
      </c>
      <c r="AC159" s="119">
        <f>IF(OR(t&lt;Tnet,NoTnet),'2027'!Resal_s+('2027'!Salim-'2027'!Resal_s)*(1-EXP(('2027'!Tnet_s-t)/'2027'!Tau_j)),Resal_s+(Salim-Resal_s)*(1-EXP((Tnet_s-t)/Tau_j)))*Salcycl</f>
        <v>7.4568960052552133E-2</v>
      </c>
      <c r="AD159" s="230">
        <f>(INDEX(Models!$BJ159:$BT159,,AH159)*(1-AF159)+INDEX(Models!$BJ159:$BT159,,AH159+1)*AF159-ERP_i)*AE159*Ramure*Pc/MaxiM</f>
        <v>3.3579438492372087E-3</v>
      </c>
      <c r="AE159" s="304">
        <f t="shared" si="65"/>
        <v>0.7</v>
      </c>
      <c r="AF159" s="177">
        <f t="shared" si="66"/>
        <v>0.47080023739344412</v>
      </c>
      <c r="AG159" s="799">
        <f t="shared" si="74"/>
        <v>2</v>
      </c>
      <c r="AH159" s="176">
        <f t="shared" si="67"/>
        <v>8</v>
      </c>
      <c r="AI159" s="224">
        <f t="shared" si="68"/>
        <v>2.4708002373934441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46898</v>
      </c>
      <c r="B160" s="409">
        <f>'2027'!Wh/'2027'!Env_an*'2028'!Env_an</f>
        <v>29.52249351929958</v>
      </c>
      <c r="C160" s="829"/>
      <c r="D160" s="391">
        <f t="shared" si="50"/>
        <v>31.524155955761366</v>
      </c>
      <c r="E160" s="383">
        <f t="shared" si="72"/>
        <v>32.876264941533449</v>
      </c>
      <c r="F160" s="383">
        <f t="shared" si="51"/>
        <v>32.87756755558938</v>
      </c>
      <c r="G160" s="110">
        <f t="shared" si="73"/>
        <v>0.53023789871425386</v>
      </c>
      <c r="H160" s="412" t="b">
        <f>Wh_hp&gt;='2027'!Maxi_hp</f>
        <v>0</v>
      </c>
      <c r="I160" s="388">
        <f>IF(H160,Wh_hp,'2027'!Maxi_hp)</f>
        <v>60.853144099626277</v>
      </c>
      <c r="J160" s="85">
        <f>IF(H160,An,'2027'!An_max)</f>
        <v>2020</v>
      </c>
      <c r="K160" s="197">
        <f t="shared" si="52"/>
        <v>46898</v>
      </c>
      <c r="L160" s="147">
        <f>IF(t&lt;Tvie,1-EXP((T0-t)*PertePVj)+'2027'!Pspv,1-EXP((T0-t)*PertePVj)+Pspv)</f>
        <v>6.3496146868159409E-2</v>
      </c>
      <c r="M160" s="832"/>
      <c r="N160" s="832"/>
      <c r="O160" s="48">
        <f>IF(t&lt;Tnet,'2027'!Resal+('2027'!Salim-'2027'!Resal)*(1-EXP(('2027'!Tnet-t)/('2027'!Tau_j))),Resal+(Salim-Resal)*(1-EXP((Tnet-t)/(Tau_j))))*Salcycl</f>
        <v>4.1127207977446664E-2</v>
      </c>
      <c r="P160" s="169">
        <f>(INDEX(Models!$BJ160:$BT160,,T160)*(1-R160)+INDEX(Models!$BJ160:$BT160,,T160+1)*R160-ERP_i)*Q160*Ramure*Pc/MaxiM</f>
        <v>1.2043604234107955E-4</v>
      </c>
      <c r="Q160" s="304">
        <f t="shared" si="53"/>
        <v>0.7</v>
      </c>
      <c r="R160" s="177">
        <f t="shared" si="54"/>
        <v>0.71886809642675942</v>
      </c>
      <c r="S160" s="799">
        <f t="shared" si="55"/>
        <v>-1</v>
      </c>
      <c r="T160" s="176">
        <f t="shared" si="56"/>
        <v>5</v>
      </c>
      <c r="U160" s="250">
        <f t="shared" si="57"/>
        <v>-0.28113190357324058</v>
      </c>
      <c r="V160" s="382">
        <f t="shared" si="58"/>
        <v>55.673326274109591</v>
      </c>
      <c r="W160" s="400">
        <f t="shared" si="59"/>
        <v>29.52249351929958</v>
      </c>
      <c r="X160" s="157">
        <f t="shared" si="60"/>
        <v>46898</v>
      </c>
      <c r="Y160" s="383">
        <f t="shared" si="61"/>
        <v>28.461730163671259</v>
      </c>
      <c r="Z160" s="383">
        <f t="shared" si="62"/>
        <v>30.391471501681508</v>
      </c>
      <c r="AA160" s="384">
        <f t="shared" si="63"/>
        <v>32.843222906004328</v>
      </c>
      <c r="AB160" s="197">
        <f t="shared" si="64"/>
        <v>46898</v>
      </c>
      <c r="AC160" s="119">
        <f>IF(OR(t&lt;Tnet,NoTnet),'2027'!Resal_s+('2027'!Salim-'2027'!Resal_s)*(1-EXP(('2027'!Tnet_s-t)/'2027'!Tau_j)),Resal_s+(Salim-Resal_s)*(1-EXP((Tnet_s-t)/Tau_j)))*Salcycl</f>
        <v>7.4650146587002475E-2</v>
      </c>
      <c r="AD160" s="230">
        <f>(INDEX(Models!$BJ160:$BT160,,AH160)*(1-AF160)+INDEX(Models!$BJ160:$BT160,,AH160+1)*AF160-ERP_i)*AE160*Ramure*Pc/MaxiM</f>
        <v>3.1754099787057819E-3</v>
      </c>
      <c r="AE160" s="304">
        <f t="shared" si="65"/>
        <v>0.7</v>
      </c>
      <c r="AF160" s="177">
        <f t="shared" si="66"/>
        <v>0.47452592726610998</v>
      </c>
      <c r="AG160" s="799">
        <f t="shared" si="74"/>
        <v>2</v>
      </c>
      <c r="AH160" s="176">
        <f t="shared" si="67"/>
        <v>8</v>
      </c>
      <c r="AI160" s="224">
        <f t="shared" si="68"/>
        <v>2.47452592726611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46899</v>
      </c>
      <c r="B161" s="409">
        <f>'2027'!Wh/'2027'!Env_an*'2028'!Env_an</f>
        <v>43.977616064830649</v>
      </c>
      <c r="C161" s="829"/>
      <c r="D161" s="391">
        <f t="shared" si="50"/>
        <v>46.960254092805251</v>
      </c>
      <c r="E161" s="383">
        <f t="shared" si="72"/>
        <v>48.979395032118312</v>
      </c>
      <c r="F161" s="383">
        <f t="shared" si="51"/>
        <v>48.983189362524676</v>
      </c>
      <c r="G161" s="110">
        <f t="shared" si="73"/>
        <v>0.78983514661707011</v>
      </c>
      <c r="H161" s="412" t="b">
        <f>Wh_hp&gt;='2027'!Maxi_hp</f>
        <v>0</v>
      </c>
      <c r="I161" s="388">
        <f>IF(H161,Wh_hp,'2027'!Maxi_hp)</f>
        <v>61.029310689463564</v>
      </c>
      <c r="J161" s="85">
        <f>IF(H161,An,'2027'!An_max)</f>
        <v>2021</v>
      </c>
      <c r="K161" s="197">
        <f t="shared" si="52"/>
        <v>46899</v>
      </c>
      <c r="L161" s="147">
        <f>IF(t&lt;Tvie,1-EXP((T0-t)*PertePVj)+'2027'!Pspv,1-EXP((T0-t)*PertePVj)+Pspv)</f>
        <v>6.3514094750853789E-2</v>
      </c>
      <c r="M161" s="832"/>
      <c r="N161" s="832"/>
      <c r="O161" s="48">
        <f>IF(t&lt;Tnet,'2027'!Resal+('2027'!Salim-'2027'!Resal)*(1-EXP(('2027'!Tnet-t)/('2027'!Tau_j))),Resal+(Salim-Resal)*(1-EXP((Tnet-t)/(Tau_j))))*Salcycl</f>
        <v>4.1224293154070245E-2</v>
      </c>
      <c r="P161" s="169">
        <f>(INDEX(Models!$BJ161:$BT161,,T161)*(1-R161)+INDEX(Models!$BJ161:$BT161,,T161+1)*R161-ERP_i)*Q161*Ramure*Pc/MaxiM</f>
        <v>1.1069115315323752E-4</v>
      </c>
      <c r="Q161" s="304">
        <f t="shared" si="53"/>
        <v>0.7</v>
      </c>
      <c r="R161" s="177">
        <f t="shared" si="54"/>
        <v>0.72263981433954017</v>
      </c>
      <c r="S161" s="799">
        <f t="shared" si="55"/>
        <v>-1</v>
      </c>
      <c r="T161" s="176">
        <f t="shared" si="56"/>
        <v>5</v>
      </c>
      <c r="U161" s="250">
        <f t="shared" si="57"/>
        <v>-0.27736018566045983</v>
      </c>
      <c r="V161" s="382">
        <f t="shared" si="58"/>
        <v>55.677637031198287</v>
      </c>
      <c r="W161" s="400">
        <f t="shared" si="59"/>
        <v>43.977616064830649</v>
      </c>
      <c r="X161" s="157">
        <f t="shared" si="60"/>
        <v>46899</v>
      </c>
      <c r="Y161" s="383">
        <f t="shared" si="61"/>
        <v>42.35494892349746</v>
      </c>
      <c r="Z161" s="383">
        <f t="shared" si="62"/>
        <v>45.227534857803533</v>
      </c>
      <c r="AA161" s="384">
        <f t="shared" si="63"/>
        <v>48.880430907787016</v>
      </c>
      <c r="AB161" s="197">
        <f t="shared" si="64"/>
        <v>46899</v>
      </c>
      <c r="AC161" s="119">
        <f>IF(OR(t&lt;Tnet,NoTnet),'2027'!Resal_s+('2027'!Salim-'2027'!Resal_s)*(1-EXP(('2027'!Tnet_s-t)/'2027'!Tau_j)),Resal_s+(Salim-Resal_s)*(1-EXP((Tnet_s-t)/Tau_j)))*Salcycl</f>
        <v>7.4731257113397245E-2</v>
      </c>
      <c r="AD161" s="230">
        <f>(INDEX(Models!$BJ161:$BT161,,AH161)*(1-AF161)+INDEX(Models!$BJ161:$BT161,,AH161+1)*AF161-ERP_i)*AE161*Ramure*Pc/MaxiM</f>
        <v>2.9977494400803576E-3</v>
      </c>
      <c r="AE161" s="304">
        <f t="shared" si="65"/>
        <v>0.7</v>
      </c>
      <c r="AF161" s="177">
        <f t="shared" si="66"/>
        <v>0.47829764517889073</v>
      </c>
      <c r="AG161" s="799">
        <f t="shared" si="74"/>
        <v>2</v>
      </c>
      <c r="AH161" s="176">
        <f t="shared" si="67"/>
        <v>8</v>
      </c>
      <c r="AI161" s="224">
        <f t="shared" si="68"/>
        <v>2.4782976451788907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46900</v>
      </c>
      <c r="B162" s="409">
        <f>'2027'!Wh/'2027'!Env_an*'2028'!Env_an</f>
        <v>51.888547174001275</v>
      </c>
      <c r="C162" s="829"/>
      <c r="D162" s="391">
        <f t="shared" si="50"/>
        <v>55.408780136871073</v>
      </c>
      <c r="E162" s="383">
        <f t="shared" si="72"/>
        <v>57.797029248448823</v>
      </c>
      <c r="F162" s="383">
        <f t="shared" si="51"/>
        <v>57.802412243057887</v>
      </c>
      <c r="G162" s="110">
        <f t="shared" si="73"/>
        <v>0.93191218212017934</v>
      </c>
      <c r="H162" s="412" t="b">
        <f>Wh_hp&gt;='2027'!Maxi_hp</f>
        <v>0</v>
      </c>
      <c r="I162" s="388">
        <f>IF(H162,Wh_hp,'2027'!Maxi_hp)</f>
        <v>60.065997038035896</v>
      </c>
      <c r="J162" s="85">
        <f>IF(H162,An,'2027'!An_max)</f>
        <v>2020</v>
      </c>
      <c r="K162" s="197">
        <f t="shared" si="52"/>
        <v>46900</v>
      </c>
      <c r="L162" s="147">
        <f>IF(t&lt;Tvie,1-EXP((T0-t)*PertePVj)+'2027'!Pspv,1-EXP((T0-t)*PertePVj)+Pspv)</f>
        <v>6.3532042289581203E-2</v>
      </c>
      <c r="M162" s="832"/>
      <c r="N162" s="832"/>
      <c r="O162" s="48">
        <f>IF(t&lt;Tnet,'2027'!Resal+('2027'!Salim-'2027'!Resal)*(1-EXP(('2027'!Tnet-t)/('2027'!Tau_j))),Resal+(Salim-Resal)*(1-EXP((Tnet-t)/(Tau_j))))*Salcycl</f>
        <v>4.1321312576664063E-2</v>
      </c>
      <c r="P162" s="169">
        <f>(INDEX(Models!$BJ162:$BT162,,T162)*(1-R162)+INDEX(Models!$BJ162:$BT162,,T162+1)*R162-ERP_i)*Q162*Ramure*Pc/MaxiM</f>
        <v>1.0316036441153457E-4</v>
      </c>
      <c r="Q162" s="304">
        <f t="shared" si="53"/>
        <v>0.7</v>
      </c>
      <c r="R162" s="177">
        <f t="shared" si="54"/>
        <v>0.72645517624477407</v>
      </c>
      <c r="S162" s="799">
        <f t="shared" si="55"/>
        <v>-1</v>
      </c>
      <c r="T162" s="176">
        <f t="shared" si="56"/>
        <v>5</v>
      </c>
      <c r="U162" s="250">
        <f t="shared" si="57"/>
        <v>-0.27354482375522593</v>
      </c>
      <c r="V162" s="382">
        <f t="shared" si="58"/>
        <v>55.679094587134855</v>
      </c>
      <c r="W162" s="400">
        <f t="shared" si="59"/>
        <v>51.888547174001275</v>
      </c>
      <c r="X162" s="157">
        <f t="shared" si="60"/>
        <v>46900</v>
      </c>
      <c r="Y162" s="383">
        <f t="shared" si="61"/>
        <v>49.952798414624688</v>
      </c>
      <c r="Z162" s="383">
        <f t="shared" si="62"/>
        <v>53.34170593167422</v>
      </c>
      <c r="AA162" s="384">
        <f t="shared" si="63"/>
        <v>57.655005318283301</v>
      </c>
      <c r="AB162" s="197">
        <f t="shared" si="64"/>
        <v>46900</v>
      </c>
      <c r="AC162" s="119">
        <f>IF(OR(t&lt;Tnet,NoTnet),'2027'!Resal_s+('2027'!Salim-'2027'!Resal_s)*(1-EXP(('2027'!Tnet_s-t)/'2027'!Tau_j)),Resal_s+(Salim-Resal_s)*(1-EXP((Tnet_s-t)/Tau_j)))*Salcycl</f>
        <v>7.4812227712019161E-2</v>
      </c>
      <c r="AD162" s="230">
        <f>(INDEX(Models!$BJ162:$BT162,,AH162)*(1-AF162)+INDEX(Models!$BJ162:$BT162,,AH162+1)*AF162-ERP_i)*AE162*Ramure*Pc/MaxiM</f>
        <v>2.8249242625884119E-3</v>
      </c>
      <c r="AE162" s="304">
        <f t="shared" si="65"/>
        <v>0.7</v>
      </c>
      <c r="AF162" s="177">
        <f t="shared" si="66"/>
        <v>0.48211300708412486</v>
      </c>
      <c r="AG162" s="799">
        <f t="shared" si="74"/>
        <v>2</v>
      </c>
      <c r="AH162" s="176">
        <f t="shared" si="67"/>
        <v>8</v>
      </c>
      <c r="AI162" s="224">
        <f t="shared" si="68"/>
        <v>2.4821130070841249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46901</v>
      </c>
      <c r="B163" s="409">
        <f>'2027'!Wh/'2027'!Env_an*'2028'!Env_an</f>
        <v>57.000931424587961</v>
      </c>
      <c r="C163" s="829"/>
      <c r="D163" s="391">
        <f t="shared" si="50"/>
        <v>60.869166303069029</v>
      </c>
      <c r="E163" s="383">
        <f t="shared" si="72"/>
        <v>63.499190396196191</v>
      </c>
      <c r="F163" s="383">
        <f t="shared" si="51"/>
        <v>63.505407005756894</v>
      </c>
      <c r="G163" s="110">
        <f t="shared" si="73"/>
        <v>1.0237659265557491</v>
      </c>
      <c r="H163" s="412" t="b">
        <f>Wh_hp&gt;='2027'!Maxi_hp</f>
        <v>1</v>
      </c>
      <c r="I163" s="388">
        <f>IF(H163,Wh_hp,'2027'!Maxi_hp)</f>
        <v>63.505407005756894</v>
      </c>
      <c r="J163" s="85">
        <f>IF(H163,An,'2027'!An_max)</f>
        <v>2028</v>
      </c>
      <c r="K163" s="197">
        <f t="shared" si="52"/>
        <v>46901</v>
      </c>
      <c r="L163" s="147">
        <f>IF(t&lt;Tvie,1-EXP((T0-t)*PertePVj)+'2027'!Pspv,1-EXP((T0-t)*PertePVj)+Pspv)</f>
        <v>6.354998948434798E-2</v>
      </c>
      <c r="M163" s="832"/>
      <c r="N163" s="832"/>
      <c r="O163" s="48">
        <f>IF(t&lt;Tnet,'2027'!Resal+('2027'!Salim-'2027'!Resal)*(1-EXP(('2027'!Tnet-t)/('2027'!Tau_j))),Resal+(Salim-Resal)*(1-EXP((Tnet-t)/(Tau_j))))*Salcycl</f>
        <v>4.1418230322582246E-2</v>
      </c>
      <c r="P163" s="169">
        <f>(INDEX(Models!$BJ163:$BT163,,T163)*(1-R163)+INDEX(Models!$BJ163:$BT163,,T163+1)*R163-ERP_i)*Q163*Ramure*Pc/MaxiM</f>
        <v>9.7891027769352805E-5</v>
      </c>
      <c r="Q163" s="304">
        <f t="shared" si="53"/>
        <v>0.7</v>
      </c>
      <c r="R163" s="177">
        <f t="shared" si="54"/>
        <v>0.73031166810975168</v>
      </c>
      <c r="S163" s="799">
        <f t="shared" si="55"/>
        <v>-1</v>
      </c>
      <c r="T163" s="176">
        <f t="shared" si="56"/>
        <v>5</v>
      </c>
      <c r="U163" s="250">
        <f t="shared" si="57"/>
        <v>-0.26968833189024838</v>
      </c>
      <c r="V163" s="382">
        <f t="shared" si="58"/>
        <v>55.677699311947144</v>
      </c>
      <c r="W163" s="400">
        <f t="shared" si="59"/>
        <v>57.000931424587961</v>
      </c>
      <c r="X163" s="157">
        <f t="shared" si="60"/>
        <v>46901</v>
      </c>
      <c r="Y163" s="383">
        <f t="shared" si="61"/>
        <v>54.869608447258933</v>
      </c>
      <c r="Z163" s="383">
        <f t="shared" si="62"/>
        <v>58.593206077327316</v>
      </c>
      <c r="AA163" s="384">
        <f t="shared" si="63"/>
        <v>63.336679651737079</v>
      </c>
      <c r="AB163" s="197">
        <f t="shared" si="64"/>
        <v>46901</v>
      </c>
      <c r="AC163" s="119">
        <f>IF(OR(t&lt;Tnet,NoTnet),'2027'!Resal_s+('2027'!Salim-'2027'!Resal_s)*(1-EXP(('2027'!Tnet_s-t)/'2027'!Tau_j)),Resal_s+(Salim-Resal_s)*(1-EXP((Tnet_s-t)/Tau_j)))*Salcycl</f>
        <v>7.489299408324232E-2</v>
      </c>
      <c r="AD163" s="230">
        <f>(INDEX(Models!$BJ163:$BT163,,AH163)*(1-AF163)+INDEX(Models!$BJ163:$BT163,,AH163+1)*AF163-ERP_i)*AE163*Ramure*Pc/MaxiM</f>
        <v>2.6568974513385534E-3</v>
      </c>
      <c r="AE163" s="304">
        <f t="shared" si="65"/>
        <v>0.7</v>
      </c>
      <c r="AF163" s="177">
        <f t="shared" si="66"/>
        <v>0.48596949894910235</v>
      </c>
      <c r="AG163" s="799">
        <f t="shared" si="74"/>
        <v>2</v>
      </c>
      <c r="AH163" s="176">
        <f t="shared" si="67"/>
        <v>8</v>
      </c>
      <c r="AI163" s="224">
        <f t="shared" si="68"/>
        <v>2.4859694989491024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46902</v>
      </c>
      <c r="B164" s="409">
        <f>'2027'!Wh/'2027'!Env_an*'2028'!Env_an</f>
        <v>44.395941816909236</v>
      </c>
      <c r="C164" s="829"/>
      <c r="D164" s="391">
        <f t="shared" si="50"/>
        <v>47.409677156034576</v>
      </c>
      <c r="E164" s="383">
        <f t="shared" si="72"/>
        <v>49.463139914340722</v>
      </c>
      <c r="F164" s="383">
        <f t="shared" si="51"/>
        <v>49.466476355305772</v>
      </c>
      <c r="G164" s="110">
        <f t="shared" si="73"/>
        <v>0.79741277667019439</v>
      </c>
      <c r="H164" s="412" t="b">
        <f>Wh_hp&gt;='2027'!Maxi_hp</f>
        <v>0</v>
      </c>
      <c r="I164" s="388">
        <f>IF(H164,Wh_hp,'2027'!Maxi_hp)</f>
        <v>61.091879244383499</v>
      </c>
      <c r="J164" s="85">
        <f>IF(H164,An,'2027'!An_max)</f>
        <v>2018</v>
      </c>
      <c r="K164" s="197">
        <f t="shared" si="52"/>
        <v>46902</v>
      </c>
      <c r="L164" s="147">
        <f>IF(t&lt;Tvie,1-EXP((T0-t)*PertePVj)+'2027'!Pspv,1-EXP((T0-t)*PertePVj)+Pspv)</f>
        <v>6.3567936335161002E-2</v>
      </c>
      <c r="M164" s="832"/>
      <c r="N164" s="832"/>
      <c r="O164" s="48">
        <f>IF(t&lt;Tnet,'2027'!Resal+('2027'!Salim-'2027'!Resal)*(1-EXP(('2027'!Tnet-t)/('2027'!Tau_j))),Resal+(Salim-Resal)*(1-EXP((Tnet-t)/(Tau_j))))*Salcycl</f>
        <v>4.1515010204817078E-2</v>
      </c>
      <c r="P164" s="169">
        <f>(INDEX(Models!$BJ164:$BT164,,T164)*(1-R164)+INDEX(Models!$BJ164:$BT164,,T164+1)*R164-ERP_i)*Q164*Ramure*Pc/MaxiM</f>
        <v>9.4914911864362996E-5</v>
      </c>
      <c r="Q164" s="304">
        <f t="shared" si="53"/>
        <v>0.7</v>
      </c>
      <c r="R164" s="177">
        <f t="shared" si="54"/>
        <v>0.73420665126182172</v>
      </c>
      <c r="S164" s="799">
        <f t="shared" si="55"/>
        <v>-1</v>
      </c>
      <c r="T164" s="176">
        <f t="shared" si="56"/>
        <v>5</v>
      </c>
      <c r="U164" s="250">
        <f t="shared" si="57"/>
        <v>-0.26579334873817834</v>
      </c>
      <c r="V164" s="382">
        <f t="shared" si="58"/>
        <v>55.673452492213308</v>
      </c>
      <c r="W164" s="400">
        <f t="shared" si="59"/>
        <v>44.395941816909236</v>
      </c>
      <c r="X164" s="157">
        <f t="shared" si="60"/>
        <v>46902</v>
      </c>
      <c r="Y164" s="383">
        <f t="shared" si="61"/>
        <v>42.772978490378094</v>
      </c>
      <c r="Z164" s="383">
        <f t="shared" si="62"/>
        <v>45.676542004532521</v>
      </c>
      <c r="AA164" s="384">
        <f t="shared" si="63"/>
        <v>49.378630340005927</v>
      </c>
      <c r="AB164" s="197">
        <f t="shared" si="64"/>
        <v>46902</v>
      </c>
      <c r="AC164" s="119">
        <f>IF(OR(t&lt;Tnet,NoTnet),'2027'!Resal_s+('2027'!Salim-'2027'!Resal_s)*(1-EXP(('2027'!Tnet_s-t)/'2027'!Tau_j)),Resal_s+(Salim-Resal_s)*(1-EXP((Tnet_s-t)/Tau_j)))*Salcycl</f>
        <v>7.4973491771277864E-2</v>
      </c>
      <c r="AD164" s="230">
        <f>(INDEX(Models!$BJ164:$BT164,,AH164)*(1-AF164)+INDEX(Models!$BJ164:$BT164,,AH164+1)*AF164-ERP_i)*AE164*Ramure*Pc/MaxiM</f>
        <v>2.499039211887653E-3</v>
      </c>
      <c r="AE164" s="304">
        <f t="shared" si="65"/>
        <v>0.7</v>
      </c>
      <c r="AF164" s="177">
        <f t="shared" si="66"/>
        <v>0.48986448210117217</v>
      </c>
      <c r="AG164" s="799">
        <f t="shared" si="74"/>
        <v>2</v>
      </c>
      <c r="AH164" s="176">
        <f t="shared" si="67"/>
        <v>8</v>
      </c>
      <c r="AI164" s="224">
        <f t="shared" si="68"/>
        <v>2.4898644821011722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46903</v>
      </c>
      <c r="B165" s="409">
        <f>'2027'!Wh/'2027'!Env_an*'2028'!Env_an</f>
        <v>53.495744598523849</v>
      </c>
      <c r="C165" s="829"/>
      <c r="D165" s="391">
        <f t="shared" si="50"/>
        <v>57.128297852753427</v>
      </c>
      <c r="E165" s="383">
        <f t="shared" si="72"/>
        <v>59.608712710336228</v>
      </c>
      <c r="F165" s="383">
        <f t="shared" si="51"/>
        <v>59.613923472433839</v>
      </c>
      <c r="G165" s="110">
        <f t="shared" si="73"/>
        <v>0.96100018390469166</v>
      </c>
      <c r="H165" s="412" t="b">
        <f>Wh_hp&gt;='2027'!Maxi_hp</f>
        <v>0</v>
      </c>
      <c r="I165" s="388">
        <f>IF(H165,Wh_hp,'2027'!Maxi_hp)</f>
        <v>61.846036188985813</v>
      </c>
      <c r="J165" s="85">
        <f>IF(H165,An,'2027'!An_max)</f>
        <v>2018</v>
      </c>
      <c r="K165" s="197">
        <f t="shared" si="52"/>
        <v>46903</v>
      </c>
      <c r="L165" s="147">
        <f>IF(t&lt;Tvie,1-EXP((T0-t)*PertePVj)+'2027'!Pspv,1-EXP((T0-t)*PertePVj)+Pspv)</f>
        <v>6.3585882842026598E-2</v>
      </c>
      <c r="M165" s="832"/>
      <c r="N165" s="832"/>
      <c r="O165" s="48">
        <f>IF(t&lt;Tnet,'2027'!Resal+('2027'!Salim-'2027'!Resal)*(1-EXP(('2027'!Tnet-t)/('2027'!Tau_j))),Resal+(Salim-Resal)*(1-EXP((Tnet-t)/(Tau_j))))*Salcycl</f>
        <v>4.1611615899779221E-2</v>
      </c>
      <c r="P165" s="169">
        <f>(INDEX(Models!$BJ165:$BT165,,T165)*(1-R165)+INDEX(Models!$BJ165:$BT165,,T165+1)*R165-ERP_i)*Q165*Ramure*Pc/MaxiM</f>
        <v>9.2564986755273035E-5</v>
      </c>
      <c r="Q165" s="304">
        <f t="shared" si="53"/>
        <v>0.7</v>
      </c>
      <c r="R165" s="177">
        <f t="shared" si="54"/>
        <v>0.73813736850152301</v>
      </c>
      <c r="S165" s="799">
        <f t="shared" si="55"/>
        <v>-1</v>
      </c>
      <c r="T165" s="176">
        <f t="shared" si="56"/>
        <v>5</v>
      </c>
      <c r="U165" s="250">
        <f t="shared" si="57"/>
        <v>-0.26186263149847699</v>
      </c>
      <c r="V165" s="382">
        <f t="shared" si="58"/>
        <v>55.666450037060557</v>
      </c>
      <c r="W165" s="400">
        <f t="shared" si="59"/>
        <v>53.495744598523849</v>
      </c>
      <c r="X165" s="157">
        <f t="shared" si="60"/>
        <v>46903</v>
      </c>
      <c r="Y165" s="383">
        <f t="shared" si="61"/>
        <v>51.518898033128124</v>
      </c>
      <c r="Z165" s="383">
        <f t="shared" si="62"/>
        <v>55.017216303283121</v>
      </c>
      <c r="AA165" s="384">
        <f t="shared" si="63"/>
        <v>59.481522018668301</v>
      </c>
      <c r="AB165" s="197">
        <f t="shared" si="64"/>
        <v>46903</v>
      </c>
      <c r="AC165" s="119">
        <f>IF(OR(t&lt;Tnet,NoTnet),'2027'!Resal_s+('2027'!Salim-'2027'!Resal_s)*(1-EXP(('2027'!Tnet_s-t)/'2027'!Tau_j)),Resal_s+(Salim-Resal_s)*(1-EXP((Tnet_s-t)/Tau_j)))*Salcycl</f>
        <v>7.5053656394065596E-2</v>
      </c>
      <c r="AD165" s="230">
        <f>(INDEX(Models!$BJ165:$BT165,,AH165)*(1-AF165)+INDEX(Models!$BJ165:$BT165,,AH165+1)*AF165-ERP_i)*AE165*Ramure*Pc/MaxiM</f>
        <v>2.3520050588764336E-3</v>
      </c>
      <c r="AE165" s="304">
        <f t="shared" si="65"/>
        <v>0.7</v>
      </c>
      <c r="AF165" s="177">
        <f t="shared" si="66"/>
        <v>0.49379519934087357</v>
      </c>
      <c r="AG165" s="799">
        <f t="shared" si="74"/>
        <v>2</v>
      </c>
      <c r="AH165" s="176">
        <f t="shared" si="67"/>
        <v>8</v>
      </c>
      <c r="AI165" s="224">
        <f t="shared" si="68"/>
        <v>2.4937951993408736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46904</v>
      </c>
      <c r="B166" s="409">
        <f>'2027'!Wh/'2027'!Env_an*'2028'!Env_an</f>
        <v>55.477087745446632</v>
      </c>
      <c r="C166" s="829"/>
      <c r="D166" s="391">
        <f t="shared" si="50"/>
        <v>59.245316740770811</v>
      </c>
      <c r="E166" s="383">
        <f t="shared" si="72"/>
        <v>61.823867282309912</v>
      </c>
      <c r="F166" s="383">
        <f t="shared" si="51"/>
        <v>61.82945894756859</v>
      </c>
      <c r="G166" s="110">
        <f t="shared" si="73"/>
        <v>0.99677254068033128</v>
      </c>
      <c r="H166" s="412" t="b">
        <f>Wh_hp&gt;='2027'!Maxi_hp</f>
        <v>0</v>
      </c>
      <c r="I166" s="388">
        <f>IF(H166,Wh_hp,'2027'!Maxi_hp)</f>
        <v>63.6031019014615</v>
      </c>
      <c r="J166" s="85">
        <f>IF(H166,An,'2027'!An_max)</f>
        <v>2018</v>
      </c>
      <c r="K166" s="197">
        <f t="shared" si="52"/>
        <v>46904</v>
      </c>
      <c r="L166" s="147">
        <f>IF(t&lt;Tvie,1-EXP((T0-t)*PertePVj)+'2027'!Pspv,1-EXP((T0-t)*PertePVj)+Pspv)</f>
        <v>6.360382900495154E-2</v>
      </c>
      <c r="M166" s="832"/>
      <c r="N166" s="832"/>
      <c r="O166" s="48">
        <f>IF(t&lt;Tnet,'2027'!Resal+('2027'!Salim-'2027'!Resal)*(1-EXP(('2027'!Tnet-t)/('2027'!Tau_j))),Resal+(Salim-Resal)*(1-EXP((Tnet-t)/(Tau_j))))*Salcycl</f>
        <v>4.1708011078707141E-2</v>
      </c>
      <c r="P166" s="169">
        <f>(INDEX(Models!$BJ166:$BT166,,T166)*(1-R166)+INDEX(Models!$BJ166:$BT166,,T166+1)*R166-ERP_i)*Q166*Ramure*Pc/MaxiM</f>
        <v>9.0855761201885971E-5</v>
      </c>
      <c r="Q166" s="304">
        <f t="shared" si="53"/>
        <v>0.7</v>
      </c>
      <c r="R166" s="177">
        <f t="shared" si="54"/>
        <v>0.74210095096318884</v>
      </c>
      <c r="S166" s="799">
        <f t="shared" si="55"/>
        <v>-1</v>
      </c>
      <c r="T166" s="176">
        <f t="shared" si="56"/>
        <v>5</v>
      </c>
      <c r="U166" s="250">
        <f t="shared" si="57"/>
        <v>-0.2578990490368111</v>
      </c>
      <c r="V166" s="382">
        <f t="shared" si="58"/>
        <v>55.656694223212689</v>
      </c>
      <c r="W166" s="400">
        <f t="shared" si="59"/>
        <v>55.477087745446632</v>
      </c>
      <c r="X166" s="157">
        <f t="shared" si="60"/>
        <v>46904</v>
      </c>
      <c r="Y166" s="383">
        <f t="shared" si="61"/>
        <v>53.42877707064126</v>
      </c>
      <c r="Z166" s="383">
        <f t="shared" si="62"/>
        <v>57.057876490317028</v>
      </c>
      <c r="AA166" s="384">
        <f t="shared" si="63"/>
        <v>61.693089536829859</v>
      </c>
      <c r="AB166" s="197">
        <f t="shared" si="64"/>
        <v>46904</v>
      </c>
      <c r="AC166" s="119">
        <f>IF(OR(t&lt;Tnet,NoTnet),'2027'!Resal_s+('2027'!Salim-'2027'!Resal_s)*(1-EXP(('2027'!Tnet_s-t)/'2027'!Tau_j)),Resal_s+(Salim-Resal_s)*(1-EXP((Tnet_s-t)/Tau_j)))*Salcycl</f>
        <v>7.5133423877980235E-2</v>
      </c>
      <c r="AD166" s="230">
        <f>(INDEX(Models!$BJ166:$BT166,,AH166)*(1-AF166)+INDEX(Models!$BJ166:$BT166,,AH166+1)*AF166-ERP_i)*AE166*Ramure*Pc/MaxiM</f>
        <v>2.2157883285462629E-3</v>
      </c>
      <c r="AE166" s="304">
        <f t="shared" si="65"/>
        <v>0.7</v>
      </c>
      <c r="AF166" s="177">
        <f t="shared" si="66"/>
        <v>0.49775878180253974</v>
      </c>
      <c r="AG166" s="799">
        <f t="shared" si="74"/>
        <v>2</v>
      </c>
      <c r="AH166" s="176">
        <f t="shared" si="67"/>
        <v>8</v>
      </c>
      <c r="AI166" s="224">
        <f t="shared" si="68"/>
        <v>2.4977587818025397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46905</v>
      </c>
      <c r="B167" s="409">
        <f>'2027'!Wh/'2027'!Env_an*'2028'!Env_an</f>
        <v>38.465647747899794</v>
      </c>
      <c r="C167" s="829"/>
      <c r="D167" s="391">
        <f t="shared" si="50"/>
        <v>41.079177957889286</v>
      </c>
      <c r="E167" s="383">
        <f t="shared" si="72"/>
        <v>42.871379965761136</v>
      </c>
      <c r="F167" s="383">
        <f t="shared" si="51"/>
        <v>42.873532074315172</v>
      </c>
      <c r="G167" s="110">
        <f t="shared" si="73"/>
        <v>0.6912514331232299</v>
      </c>
      <c r="H167" s="412" t="b">
        <f>Wh_hp&gt;='2027'!Maxi_hp</f>
        <v>0</v>
      </c>
      <c r="I167" s="388">
        <f>IF(H167,Wh_hp,'2027'!Maxi_hp)</f>
        <v>62.818886290602684</v>
      </c>
      <c r="J167" s="85">
        <f>IF(H167,An,'2027'!An_max)</f>
        <v>2018</v>
      </c>
      <c r="K167" s="197">
        <f t="shared" si="52"/>
        <v>46905</v>
      </c>
      <c r="L167" s="147">
        <f>IF(t&lt;Tvie,1-EXP((T0-t)*PertePVj)+'2027'!Pspv,1-EXP((T0-t)*PertePVj)+Pspv)</f>
        <v>6.3621774823942379E-2</v>
      </c>
      <c r="M167" s="832"/>
      <c r="N167" s="832"/>
      <c r="O167" s="48">
        <f>IF(t&lt;Tnet,'2027'!Resal+('2027'!Salim-'2027'!Resal)*(1-EXP(('2027'!Tnet-t)/('2027'!Tau_j))),Resal+(Salim-Resal)*(1-EXP((Tnet-t)/(Tau_j))))*Salcycl</f>
        <v>4.1804159541940951E-2</v>
      </c>
      <c r="P167" s="169">
        <f>(INDEX(Models!$BJ167:$BT167,,T167)*(1-R167)+INDEX(Models!$BJ167:$BT167,,T167+1)*R167-ERP_i)*Q167*Ramure*Pc/MaxiM</f>
        <v>8.9802125873158229E-5</v>
      </c>
      <c r="Q167" s="304">
        <f t="shared" si="53"/>
        <v>0.7</v>
      </c>
      <c r="R167" s="177">
        <f t="shared" si="54"/>
        <v>0.74609442569471895</v>
      </c>
      <c r="S167" s="799">
        <f t="shared" si="55"/>
        <v>-1</v>
      </c>
      <c r="T167" s="176">
        <f t="shared" si="56"/>
        <v>5</v>
      </c>
      <c r="U167" s="250">
        <f t="shared" si="57"/>
        <v>-0.25390557430528105</v>
      </c>
      <c r="V167" s="382">
        <f t="shared" si="58"/>
        <v>55.64418730841718</v>
      </c>
      <c r="W167" s="400">
        <f t="shared" si="59"/>
        <v>38.465647747899794</v>
      </c>
      <c r="X167" s="157">
        <f t="shared" si="60"/>
        <v>46905</v>
      </c>
      <c r="Y167" s="383">
        <f t="shared" si="61"/>
        <v>37.082982770107677</v>
      </c>
      <c r="Z167" s="383">
        <f t="shared" si="62"/>
        <v>39.602568463331515</v>
      </c>
      <c r="AA167" s="384">
        <f t="shared" si="63"/>
        <v>42.82343602451872</v>
      </c>
      <c r="AB167" s="197">
        <f t="shared" si="64"/>
        <v>46905</v>
      </c>
      <c r="AC167" s="119">
        <f>IF(OR(t&lt;Tnet,NoTnet),'2027'!Resal_s+('2027'!Salim-'2027'!Resal_s)*(1-EXP(('2027'!Tnet_s-t)/'2027'!Tau_j)),Resal_s+(Salim-Resal_s)*(1-EXP((Tnet_s-t)/Tau_j)))*Salcycl</f>
        <v>7.5212730695946167E-2</v>
      </c>
      <c r="AD167" s="230">
        <f>(INDEX(Models!$BJ167:$BT167,,AH167)*(1-AF167)+INDEX(Models!$BJ167:$BT167,,AH167+1)*AF167-ERP_i)*AE167*Ramure*Pc/MaxiM</f>
        <v>2.0903832946222783E-3</v>
      </c>
      <c r="AE167" s="304">
        <f t="shared" si="65"/>
        <v>0.7</v>
      </c>
      <c r="AF167" s="177">
        <f t="shared" si="66"/>
        <v>0.50175225653406974</v>
      </c>
      <c r="AG167" s="799">
        <f t="shared" si="74"/>
        <v>2</v>
      </c>
      <c r="AH167" s="176">
        <f t="shared" si="67"/>
        <v>8</v>
      </c>
      <c r="AI167" s="224">
        <f t="shared" si="68"/>
        <v>2.5017522565340697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46906</v>
      </c>
      <c r="B168" s="409">
        <f>'2027'!Wh/'2027'!Env_an*'2028'!Env_an</f>
        <v>54.074628062939638</v>
      </c>
      <c r="C168" s="829"/>
      <c r="D168" s="391">
        <f t="shared" si="50"/>
        <v>57.749809806335612</v>
      </c>
      <c r="E168" s="383">
        <f t="shared" si="72"/>
        <v>60.27534843401763</v>
      </c>
      <c r="F168" s="383">
        <f t="shared" si="51"/>
        <v>60.280523525369333</v>
      </c>
      <c r="G168" s="110">
        <f t="shared" si="73"/>
        <v>0.97205597100335583</v>
      </c>
      <c r="H168" s="412" t="b">
        <f>Wh_hp&gt;='2027'!Maxi_hp</f>
        <v>0</v>
      </c>
      <c r="I168" s="388">
        <f>IF(H168,Wh_hp,'2027'!Maxi_hp)</f>
        <v>60.280725151537538</v>
      </c>
      <c r="J168" s="85">
        <f>IF(H168,An,'2027'!An_max)</f>
        <v>2026</v>
      </c>
      <c r="K168" s="197">
        <f t="shared" si="52"/>
        <v>46906</v>
      </c>
      <c r="L168" s="147">
        <f>IF(t&lt;Tvie,1-EXP((T0-t)*PertePVj)+'2027'!Pspv,1-EXP((T0-t)*PertePVj)+Pspv)</f>
        <v>6.3639720299005664E-2</v>
      </c>
      <c r="M168" s="832"/>
      <c r="N168" s="832"/>
      <c r="O168" s="48">
        <f>IF(t&lt;Tnet,'2027'!Resal+('2027'!Salim-'2027'!Resal)*(1-EXP(('2027'!Tnet-t)/('2027'!Tau_j))),Resal+(Salim-Resal)*(1-EXP((Tnet-t)/(Tau_j))))*Salcycl</f>
        <v>4.1900025355252488E-2</v>
      </c>
      <c r="P168" s="169">
        <f>(INDEX(Models!$BJ168:$BT168,,T168)*(1-R168)+INDEX(Models!$BJ168:$BT168,,T168+1)*R168-ERP_i)*Q168*Ramure*Pc/MaxiM</f>
        <v>8.9419319157446909E-5</v>
      </c>
      <c r="Q168" s="304">
        <f t="shared" si="53"/>
        <v>0.7</v>
      </c>
      <c r="R168" s="177">
        <f t="shared" si="54"/>
        <v>0.75011472392053646</v>
      </c>
      <c r="S168" s="799">
        <f t="shared" si="55"/>
        <v>-1</v>
      </c>
      <c r="T168" s="176">
        <f t="shared" si="56"/>
        <v>5</v>
      </c>
      <c r="U168" s="250">
        <f t="shared" si="57"/>
        <v>-0.24988527607946354</v>
      </c>
      <c r="V168" s="382">
        <f t="shared" si="58"/>
        <v>55.628931519744711</v>
      </c>
      <c r="W168" s="400">
        <f t="shared" si="59"/>
        <v>54.074628062939638</v>
      </c>
      <c r="X168" s="157">
        <f t="shared" si="60"/>
        <v>46906</v>
      </c>
      <c r="Y168" s="383">
        <f t="shared" si="61"/>
        <v>52.095503080713442</v>
      </c>
      <c r="Z168" s="383">
        <f t="shared" si="62"/>
        <v>55.636173607608569</v>
      </c>
      <c r="AA168" s="384">
        <f t="shared" si="63"/>
        <v>60.166176104580323</v>
      </c>
      <c r="AB168" s="197">
        <f t="shared" si="64"/>
        <v>46906</v>
      </c>
      <c r="AC168" s="119">
        <f>IF(OR(t&lt;Tnet,NoTnet),'2027'!Resal_s+('2027'!Salim-'2027'!Resal_s)*(1-EXP(('2027'!Tnet_s-t)/'2027'!Tau_j)),Resal_s+(Salim-Resal_s)*(1-EXP((Tnet_s-t)/Tau_j)))*Salcycl</f>
        <v>7.5291514107490271E-2</v>
      </c>
      <c r="AD168" s="230">
        <f>(INDEX(Models!$BJ168:$BT168,,AH168)*(1-AF168)+INDEX(Models!$BJ168:$BT168,,AH168+1)*AF168-ERP_i)*AE168*Ramure*Pc/MaxiM</f>
        <v>1.9757851252250407E-3</v>
      </c>
      <c r="AE168" s="304">
        <f t="shared" si="65"/>
        <v>0.7</v>
      </c>
      <c r="AF168" s="177">
        <f t="shared" si="66"/>
        <v>0.50577255475988725</v>
      </c>
      <c r="AG168" s="799">
        <f t="shared" si="74"/>
        <v>2</v>
      </c>
      <c r="AH168" s="176">
        <f t="shared" si="67"/>
        <v>8</v>
      </c>
      <c r="AI168" s="224">
        <f t="shared" si="68"/>
        <v>2.5057725547598872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46907</v>
      </c>
      <c r="B169" s="409">
        <f>'2027'!Wh/'2027'!Env_an*'2028'!Env_an</f>
        <v>24.516265148988648</v>
      </c>
      <c r="C169" s="829"/>
      <c r="D169" s="391">
        <f t="shared" si="50"/>
        <v>26.183014741345879</v>
      </c>
      <c r="E169" s="383">
        <f t="shared" si="72"/>
        <v>27.330786792910246</v>
      </c>
      <c r="F169" s="383">
        <f t="shared" si="51"/>
        <v>27.331280230714885</v>
      </c>
      <c r="G169" s="110">
        <f t="shared" si="73"/>
        <v>0.44082176797380268</v>
      </c>
      <c r="H169" s="412" t="b">
        <f>Wh_hp&gt;='2027'!Maxi_hp</f>
        <v>0</v>
      </c>
      <c r="I169" s="388">
        <f>IF(H169,Wh_hp,'2027'!Maxi_hp)</f>
        <v>60.619800166760626</v>
      </c>
      <c r="J169" s="85">
        <f>IF(H169,An,'2027'!An_max)</f>
        <v>2018</v>
      </c>
      <c r="K169" s="197">
        <f t="shared" si="52"/>
        <v>46907</v>
      </c>
      <c r="L169" s="147">
        <f>IF(t&lt;Tvie,1-EXP((T0-t)*PertePVj)+'2027'!Pspv,1-EXP((T0-t)*PertePVj)+Pspv)</f>
        <v>6.3657665430148058E-2</v>
      </c>
      <c r="M169" s="832"/>
      <c r="N169" s="832"/>
      <c r="O169" s="48">
        <f>IF(t&lt;Tnet,'2027'!Resal+('2027'!Salim-'2027'!Resal)*(1-EXP(('2027'!Tnet-t)/('2027'!Tau_j))),Resal+(Salim-Resal)*(1-EXP((Tnet-t)/(Tau_j))))*Salcycl</f>
        <v>4.1995572987386695E-2</v>
      </c>
      <c r="P169" s="169">
        <f>(INDEX(Models!$BJ169:$BT169,,T169)*(1-R169)+INDEX(Models!$BJ169:$BT169,,T169+1)*R169-ERP_i)*Q169*Ramure*Pc/MaxiM</f>
        <v>8.9722891463647197E-5</v>
      </c>
      <c r="Q169" s="304">
        <f t="shared" si="53"/>
        <v>0.7</v>
      </c>
      <c r="R169" s="177">
        <f t="shared" si="54"/>
        <v>0.75415868994426427</v>
      </c>
      <c r="S169" s="799">
        <f t="shared" si="55"/>
        <v>-1</v>
      </c>
      <c r="T169" s="176">
        <f t="shared" si="56"/>
        <v>5</v>
      </c>
      <c r="U169" s="250">
        <f t="shared" si="57"/>
        <v>-0.2458413100557357</v>
      </c>
      <c r="V169" s="382">
        <f t="shared" si="58"/>
        <v>55.610929050501618</v>
      </c>
      <c r="W169" s="400">
        <f t="shared" si="59"/>
        <v>24.516265148988648</v>
      </c>
      <c r="X169" s="157">
        <f t="shared" si="60"/>
        <v>46907</v>
      </c>
      <c r="Y169" s="383">
        <f t="shared" si="61"/>
        <v>23.653702425542736</v>
      </c>
      <c r="Z169" s="383">
        <f t="shared" si="62"/>
        <v>25.261810293357136</v>
      </c>
      <c r="AA169" s="384">
        <f t="shared" si="63"/>
        <v>27.320985081405855</v>
      </c>
      <c r="AB169" s="197">
        <f t="shared" si="64"/>
        <v>46907</v>
      </c>
      <c r="AC169" s="119">
        <f>IF(OR(t&lt;Tnet,NoTnet),'2027'!Resal_s+('2027'!Salim-'2027'!Resal_s)*(1-EXP(('2027'!Tnet_s-t)/'2027'!Tau_j)),Resal_s+(Salim-Resal_s)*(1-EXP((Tnet_s-t)/Tau_j)))*Salcycl</f>
        <v>7.5369712399211863E-2</v>
      </c>
      <c r="AD169" s="230">
        <f>(INDEX(Models!$BJ169:$BT169,,AH169)*(1-AF169)+INDEX(Models!$BJ169:$BT169,,AH169+1)*AF169-ERP_i)*AE169*Ramure*Pc/MaxiM</f>
        <v>1.8719898543785496E-3</v>
      </c>
      <c r="AE169" s="304">
        <f t="shared" si="65"/>
        <v>0.7</v>
      </c>
      <c r="AF169" s="177">
        <f t="shared" si="66"/>
        <v>0.50981652078361517</v>
      </c>
      <c r="AG169" s="799">
        <f t="shared" si="74"/>
        <v>2</v>
      </c>
      <c r="AH169" s="176">
        <f t="shared" si="67"/>
        <v>8</v>
      </c>
      <c r="AI169" s="224">
        <f t="shared" si="68"/>
        <v>2.5098165207836152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46908</v>
      </c>
      <c r="B170" s="409">
        <f>'2027'!Wh/'2027'!Env_an*'2028'!Env_an</f>
        <v>28.321285953182183</v>
      </c>
      <c r="C170" s="829"/>
      <c r="D170" s="391">
        <f t="shared" si="50"/>
        <v>30.247301322309056</v>
      </c>
      <c r="E170" s="383">
        <f t="shared" ref="E170:E232" si="75">Wh_pvt/(1-Psa)</f>
        <v>31.576375187160686</v>
      </c>
      <c r="F170" s="383">
        <f t="shared" si="51"/>
        <v>31.577232135815787</v>
      </c>
      <c r="G170" s="110">
        <f t="shared" ref="G170:G232" si="76">+Wh_hp/MaxiM</f>
        <v>0.50943321094536864</v>
      </c>
      <c r="H170" s="412" t="b">
        <f>Wh_hp&gt;='2027'!Maxi_hp</f>
        <v>0</v>
      </c>
      <c r="I170" s="388">
        <f>IF(H170,Wh_hp,'2027'!Maxi_hp)</f>
        <v>39.216543124389602</v>
      </c>
      <c r="J170" s="85">
        <f>IF(H170,An,'2027'!An_max)</f>
        <v>2021</v>
      </c>
      <c r="K170" s="197">
        <f t="shared" si="52"/>
        <v>46908</v>
      </c>
      <c r="L170" s="147">
        <f>IF(t&lt;Tvie,1-EXP((T0-t)*PertePVj)+'2027'!Pspv,1-EXP((T0-t)*PertePVj)+Pspv)</f>
        <v>6.3675610217376E-2</v>
      </c>
      <c r="M170" s="832"/>
      <c r="N170" s="832"/>
      <c r="O170" s="48">
        <f>IF(t&lt;Tnet,'2027'!Resal+('2027'!Salim-'2027'!Resal)*(1-EXP(('2027'!Tnet-t)/('2027'!Tau_j))),Resal+(Salim-Resal)*(1-EXP((Tnet-t)/(Tau_j))))*Salcycl</f>
        <v>4.2090767447938222E-2</v>
      </c>
      <c r="P170" s="169">
        <f>(INDEX(Models!$BJ170:$BT170,,T170)*(1-R170)+INDEX(Models!$BJ170:$BT170,,T170+1)*R170-ERP_i)*Q170*Ramure*Pc/MaxiM</f>
        <v>9.0691397133854844E-5</v>
      </c>
      <c r="Q170" s="304">
        <f t="shared" si="53"/>
        <v>0.7</v>
      </c>
      <c r="R170" s="177">
        <f t="shared" si="54"/>
        <v>0.75822309064048188</v>
      </c>
      <c r="S170" s="799">
        <f t="shared" si="55"/>
        <v>-1</v>
      </c>
      <c r="T170" s="176">
        <f t="shared" si="56"/>
        <v>5</v>
      </c>
      <c r="U170" s="250">
        <f t="shared" si="57"/>
        <v>-0.24177690935951815</v>
      </c>
      <c r="V170" s="382">
        <f t="shared" si="58"/>
        <v>55.590184124404651</v>
      </c>
      <c r="W170" s="400">
        <f t="shared" si="59"/>
        <v>28.321285953182183</v>
      </c>
      <c r="X170" s="157">
        <f t="shared" si="60"/>
        <v>46908</v>
      </c>
      <c r="Y170" s="383">
        <f t="shared" si="61"/>
        <v>27.321248645527088</v>
      </c>
      <c r="Z170" s="383">
        <f t="shared" si="62"/>
        <v>29.179255548250708</v>
      </c>
      <c r="AA170" s="384">
        <f t="shared" si="63"/>
        <v>31.5604015299004</v>
      </c>
      <c r="AB170" s="197">
        <f t="shared" si="64"/>
        <v>46908</v>
      </c>
      <c r="AC170" s="119">
        <f>IF(OR(t&lt;Tnet,NoTnet),'2027'!Resal_s+('2027'!Salim-'2027'!Resal_s)*(1-EXP(('2027'!Tnet_s-t)/'2027'!Tau_j)),Resal_s+(Salim-Resal_s)*(1-EXP((Tnet_s-t)/Tau_j)))*Salcycl</f>
        <v>7.5447265124107724E-2</v>
      </c>
      <c r="AD170" s="230">
        <f>(INDEX(Models!$BJ170:$BT170,,AH170)*(1-AF170)+INDEX(Models!$BJ170:$BT170,,AH170+1)*AF170-ERP_i)*AE170*Ramure*Pc/MaxiM</f>
        <v>1.7811932558463438E-3</v>
      </c>
      <c r="AE170" s="304">
        <f t="shared" si="65"/>
        <v>0.7</v>
      </c>
      <c r="AF170" s="177">
        <f t="shared" si="66"/>
        <v>0.51388092147983278</v>
      </c>
      <c r="AG170" s="799">
        <f t="shared" si="74"/>
        <v>2</v>
      </c>
      <c r="AH170" s="176">
        <f t="shared" si="67"/>
        <v>8</v>
      </c>
      <c r="AI170" s="224">
        <f t="shared" si="68"/>
        <v>2.5138809214798328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46909</v>
      </c>
      <c r="B171" s="409">
        <f>'2027'!Wh/'2027'!Env_an*'2028'!Env_an</f>
        <v>47.709757411616621</v>
      </c>
      <c r="C171" s="829"/>
      <c r="D171" s="391">
        <f t="shared" si="50"/>
        <v>50.955280345557497</v>
      </c>
      <c r="E171" s="383">
        <f t="shared" si="75"/>
        <v>53.199533213283956</v>
      </c>
      <c r="F171" s="383">
        <f t="shared" si="51"/>
        <v>53.203422780141707</v>
      </c>
      <c r="G171" s="110">
        <f t="shared" si="76"/>
        <v>0.85858690036231</v>
      </c>
      <c r="H171" s="412" t="b">
        <f>Wh_hp&gt;='2027'!Maxi_hp</f>
        <v>0</v>
      </c>
      <c r="I171" s="388">
        <f>IF(H171,Wh_hp,'2027'!Maxi_hp)</f>
        <v>54.078564517697089</v>
      </c>
      <c r="J171" s="85">
        <f>IF(H171,An,'2027'!An_max)</f>
        <v>2018</v>
      </c>
      <c r="K171" s="197">
        <f t="shared" si="52"/>
        <v>46909</v>
      </c>
      <c r="L171" s="147">
        <f>IF(t&lt;Tvie,1-EXP((T0-t)*PertePVj)+'2027'!Pspv,1-EXP((T0-t)*PertePVj)+Pspv)</f>
        <v>6.3693554660696372E-2</v>
      </c>
      <c r="M171" s="832"/>
      <c r="N171" s="832"/>
      <c r="O171" s="48">
        <f>IF(t&lt;Tnet,'2027'!Resal+('2027'!Salim-'2027'!Resal)*(1-EXP(('2027'!Tnet-t)/('2027'!Tau_j))),Resal+(Salim-Resal)*(1-EXP((Tnet-t)/(Tau_j))))*Salcycl</f>
        <v>4.218557442466566E-2</v>
      </c>
      <c r="P171" s="169">
        <f>(INDEX(Models!$BJ171:$BT171,,T171)*(1-R171)+INDEX(Models!$BJ171:$BT171,,T171+1)*R171-ERP_i)*Q171*Ramure*Pc/MaxiM</f>
        <v>9.1612894995793544E-5</v>
      </c>
      <c r="Q171" s="304">
        <f t="shared" si="53"/>
        <v>0.7</v>
      </c>
      <c r="R171" s="177">
        <f t="shared" si="54"/>
        <v>0.76230462547819378</v>
      </c>
      <c r="S171" s="799">
        <f t="shared" si="55"/>
        <v>-1</v>
      </c>
      <c r="T171" s="176">
        <f t="shared" si="56"/>
        <v>5</v>
      </c>
      <c r="U171" s="250">
        <f t="shared" si="57"/>
        <v>-0.23769537452180617</v>
      </c>
      <c r="V171" s="382">
        <f t="shared" si="58"/>
        <v>55.56673929790859</v>
      </c>
      <c r="W171" s="400">
        <f t="shared" si="59"/>
        <v>47.709757411616621</v>
      </c>
      <c r="X171" s="157">
        <f t="shared" si="60"/>
        <v>46909</v>
      </c>
      <c r="Y171" s="383">
        <f t="shared" si="61"/>
        <v>45.990138490178524</v>
      </c>
      <c r="Z171" s="383">
        <f t="shared" si="62"/>
        <v>49.118681943401953</v>
      </c>
      <c r="AA171" s="384">
        <f t="shared" si="63"/>
        <v>53.131382496912224</v>
      </c>
      <c r="AB171" s="197">
        <f t="shared" si="64"/>
        <v>46909</v>
      </c>
      <c r="AC171" s="119">
        <f>IF(OR(t&lt;Tnet,NoTnet),'2027'!Resal_s+('2027'!Salim-'2027'!Resal_s)*(1-EXP(('2027'!Tnet_s-t)/'2027'!Tau_j)),Resal_s+(Salim-Resal_s)*(1-EXP((Tnet_s-t)/Tau_j)))*Salcycl</f>
        <v>7.5524113338166471E-2</v>
      </c>
      <c r="AD171" s="230">
        <f>(INDEX(Models!$BJ171:$BT171,,AH171)*(1-AF171)+INDEX(Models!$BJ171:$BT171,,AH171+1)*AF171-ERP_i)*AE171*Ramure*Pc/MaxiM</f>
        <v>1.6968004778794038E-3</v>
      </c>
      <c r="AE171" s="304">
        <f t="shared" si="65"/>
        <v>0.7</v>
      </c>
      <c r="AF171" s="177">
        <f t="shared" si="66"/>
        <v>0.51796245631754445</v>
      </c>
      <c r="AG171" s="799">
        <f t="shared" si="74"/>
        <v>2</v>
      </c>
      <c r="AH171" s="176">
        <f t="shared" si="67"/>
        <v>8</v>
      </c>
      <c r="AI171" s="224">
        <f t="shared" si="68"/>
        <v>2.5179624563175445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46910</v>
      </c>
      <c r="B172" s="409">
        <f>'2027'!Wh/'2027'!Env_an*'2028'!Env_an</f>
        <v>26.492955824136985</v>
      </c>
      <c r="C172" s="829"/>
      <c r="D172" s="391">
        <f t="shared" si="50"/>
        <v>28.295718455426464</v>
      </c>
      <c r="E172" s="383">
        <f t="shared" si="75"/>
        <v>29.544874583406937</v>
      </c>
      <c r="F172" s="383">
        <f t="shared" si="51"/>
        <v>29.545565533591684</v>
      </c>
      <c r="G172" s="110">
        <f t="shared" si="76"/>
        <v>0.47696867316803437</v>
      </c>
      <c r="H172" s="412" t="b">
        <f>Wh_hp&gt;='2027'!Maxi_hp</f>
        <v>0</v>
      </c>
      <c r="I172" s="388">
        <f>IF(H172,Wh_hp,'2027'!Maxi_hp)</f>
        <v>56.44411958910743</v>
      </c>
      <c r="J172" s="85">
        <f>IF(H172,An,'2027'!An_max)</f>
        <v>2021</v>
      </c>
      <c r="K172" s="197">
        <f t="shared" si="52"/>
        <v>46910</v>
      </c>
      <c r="L172" s="147">
        <f>IF(t&lt;Tvie,1-EXP((T0-t)*PertePVj)+'2027'!Pspv,1-EXP((T0-t)*PertePVj)+Pspv)</f>
        <v>6.3711498760115393E-2</v>
      </c>
      <c r="M172" s="832"/>
      <c r="N172" s="832"/>
      <c r="O172" s="48">
        <f>IF(t&lt;Tnet,'2027'!Resal+('2027'!Salim-'2027'!Resal)*(1-EXP(('2027'!Tnet-t)/('2027'!Tau_j))),Resal+(Salim-Resal)*(1-EXP((Tnet-t)/(Tau_j))))*Salcycl</f>
        <v>4.2279960419328612E-2</v>
      </c>
      <c r="P172" s="169">
        <f>(INDEX(Models!$BJ172:$BT172,,T172)*(1-R172)+INDEX(Models!$BJ172:$BT172,,T172+1)*R172-ERP_i)*Q172*Ramure*Pc/MaxiM</f>
        <v>9.2485828784307587E-5</v>
      </c>
      <c r="Q172" s="304">
        <f t="shared" si="53"/>
        <v>0.7</v>
      </c>
      <c r="R172" s="177">
        <f t="shared" si="54"/>
        <v>0.76639993701245457</v>
      </c>
      <c r="S172" s="799">
        <f t="shared" si="55"/>
        <v>-1</v>
      </c>
      <c r="T172" s="176">
        <f t="shared" si="56"/>
        <v>5</v>
      </c>
      <c r="U172" s="250">
        <f t="shared" si="57"/>
        <v>-0.23360006298754538</v>
      </c>
      <c r="V172" s="382">
        <f t="shared" si="58"/>
        <v>55.540597550142238</v>
      </c>
      <c r="W172" s="400">
        <f t="shared" si="59"/>
        <v>26.492955824136985</v>
      </c>
      <c r="X172" s="157">
        <f t="shared" si="60"/>
        <v>46910</v>
      </c>
      <c r="Y172" s="383">
        <f t="shared" si="61"/>
        <v>25.561364020241392</v>
      </c>
      <c r="Z172" s="383">
        <f t="shared" si="62"/>
        <v>27.300734748308486</v>
      </c>
      <c r="AA172" s="384">
        <f t="shared" si="63"/>
        <v>29.533471062375334</v>
      </c>
      <c r="AB172" s="197">
        <f t="shared" si="64"/>
        <v>46910</v>
      </c>
      <c r="AC172" s="119">
        <f>IF(OR(t&lt;Tnet,NoTnet),'2027'!Resal_s+('2027'!Salim-'2027'!Resal_s)*(1-EXP(('2027'!Tnet_s-t)/'2027'!Tau_j)),Resal_s+(Salim-Resal_s)*(1-EXP((Tnet_s-t)/Tau_j)))*Salcycl</f>
        <v>7.5600199832632664E-2</v>
      </c>
      <c r="AD172" s="230">
        <f>(INDEX(Models!$BJ172:$BT172,,AH172)*(1-AF172)+INDEX(Models!$BJ172:$BT172,,AH172+1)*AF172-ERP_i)*AE172*Ramure*Pc/MaxiM</f>
        <v>1.618882545873336E-3</v>
      </c>
      <c r="AE172" s="304">
        <f t="shared" si="65"/>
        <v>0.7</v>
      </c>
      <c r="AF172" s="177">
        <f t="shared" si="66"/>
        <v>0.52205776785180547</v>
      </c>
      <c r="AG172" s="799">
        <f t="shared" si="74"/>
        <v>2</v>
      </c>
      <c r="AH172" s="176">
        <f t="shared" si="67"/>
        <v>8</v>
      </c>
      <c r="AI172" s="224">
        <f t="shared" si="68"/>
        <v>2.5220577678518055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46911</v>
      </c>
      <c r="B173" s="409">
        <f>'2027'!Wh/'2027'!Env_an*'2028'!Env_an</f>
        <v>20.469058916934245</v>
      </c>
      <c r="C173" s="829"/>
      <c r="D173" s="391">
        <f t="shared" si="50"/>
        <v>21.862333225485592</v>
      </c>
      <c r="E173" s="383">
        <f t="shared" si="75"/>
        <v>22.829717217360443</v>
      </c>
      <c r="F173" s="383">
        <f t="shared" si="51"/>
        <v>22.829926386774797</v>
      </c>
      <c r="G173" s="110">
        <f t="shared" si="76"/>
        <v>0.3687027008120361</v>
      </c>
      <c r="H173" s="412" t="b">
        <f>Wh_hp&gt;='2027'!Maxi_hp</f>
        <v>0</v>
      </c>
      <c r="I173" s="388">
        <f>IF(H173,Wh_hp,'2027'!Maxi_hp)</f>
        <v>64.215122991320413</v>
      </c>
      <c r="J173" s="85">
        <f>IF(H173,An,'2027'!An_max)</f>
        <v>2018</v>
      </c>
      <c r="K173" s="197">
        <f t="shared" si="52"/>
        <v>46911</v>
      </c>
      <c r="L173" s="147">
        <f>IF(t&lt;Tvie,1-EXP((T0-t)*PertePVj)+'2027'!Pspv,1-EXP((T0-t)*PertePVj)+Pspv)</f>
        <v>6.3729442515639945E-2</v>
      </c>
      <c r="M173" s="832"/>
      <c r="N173" s="832"/>
      <c r="O173" s="48">
        <f>IF(t&lt;Tnet,'2027'!Resal+('2027'!Salim-'2027'!Resal)*(1-EXP(('2027'!Tnet-t)/('2027'!Tau_j))),Resal+(Salim-Resal)*(1-EXP((Tnet-t)/(Tau_j))))*Salcycl</f>
        <v>4.2373892881126911E-2</v>
      </c>
      <c r="P173" s="169">
        <f>(INDEX(Models!$BJ173:$BT173,,T173)*(1-R173)+INDEX(Models!$BJ173:$BT173,,T173+1)*R173-ERP_i)*Q173*Ramure*Pc/MaxiM</f>
        <v>9.3308628183698224E-5</v>
      </c>
      <c r="Q173" s="304">
        <f t="shared" si="53"/>
        <v>0.7</v>
      </c>
      <c r="R173" s="177">
        <f t="shared" si="54"/>
        <v>0.77050562177506787</v>
      </c>
      <c r="S173" s="799">
        <f t="shared" si="55"/>
        <v>-1</v>
      </c>
      <c r="T173" s="176">
        <f t="shared" si="56"/>
        <v>5</v>
      </c>
      <c r="U173" s="250">
        <f t="shared" si="57"/>
        <v>-0.22949437822493218</v>
      </c>
      <c r="V173" s="382">
        <f t="shared" si="58"/>
        <v>55.511761794112694</v>
      </c>
      <c r="W173" s="400">
        <f t="shared" si="59"/>
        <v>20.469058916934245</v>
      </c>
      <c r="X173" s="157">
        <f t="shared" si="60"/>
        <v>46911</v>
      </c>
      <c r="Y173" s="383">
        <f t="shared" si="61"/>
        <v>19.754423484661995</v>
      </c>
      <c r="Z173" s="383">
        <f t="shared" si="62"/>
        <v>21.099054463209459</v>
      </c>
      <c r="AA173" s="384">
        <f t="shared" si="63"/>
        <v>22.826457335940635</v>
      </c>
      <c r="AB173" s="197">
        <f t="shared" si="64"/>
        <v>46911</v>
      </c>
      <c r="AC173" s="119">
        <f>IF(OR(t&lt;Tnet,NoTnet),'2027'!Resal_s+('2027'!Salim-'2027'!Resal_s)*(1-EXP(('2027'!Tnet_s-t)/'2027'!Tau_j)),Resal_s+(Salim-Resal_s)*(1-EXP((Tnet_s-t)/Tau_j)))*Salcycl</f>
        <v>7.5675469360344028E-2</v>
      </c>
      <c r="AD173" s="230">
        <f>(INDEX(Models!$BJ173:$BT173,,AH173)*(1-AF173)+INDEX(Models!$BJ173:$BT173,,AH173+1)*AF173-ERP_i)*AE173*Ramure*Pc/MaxiM</f>
        <v>1.5475129355399454E-3</v>
      </c>
      <c r="AE173" s="304">
        <f t="shared" si="65"/>
        <v>0.7</v>
      </c>
      <c r="AF173" s="177">
        <f t="shared" si="66"/>
        <v>0.52616345261441833</v>
      </c>
      <c r="AG173" s="799">
        <f t="shared" si="74"/>
        <v>2</v>
      </c>
      <c r="AH173" s="176">
        <f t="shared" si="67"/>
        <v>8</v>
      </c>
      <c r="AI173" s="224">
        <f t="shared" si="68"/>
        <v>2.5261634526144183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46912</v>
      </c>
      <c r="B174" s="409">
        <f>'2027'!Wh/'2027'!Env_an*'2028'!Env_an</f>
        <v>48.429746619474109</v>
      </c>
      <c r="C174" s="829"/>
      <c r="D174" s="391">
        <f t="shared" si="50"/>
        <v>51.727221789858014</v>
      </c>
      <c r="E174" s="383">
        <f t="shared" si="75"/>
        <v>54.02136550418399</v>
      </c>
      <c r="F174" s="383">
        <f t="shared" si="51"/>
        <v>54.02552547334971</v>
      </c>
      <c r="G174" s="110">
        <f t="shared" si="76"/>
        <v>0.87290400817941449</v>
      </c>
      <c r="H174" s="412" t="b">
        <f>Wh_hp&gt;='2027'!Maxi_hp</f>
        <v>0</v>
      </c>
      <c r="I174" s="388">
        <f>IF(H174,Wh_hp,'2027'!Maxi_hp)</f>
        <v>59.018802460565581</v>
      </c>
      <c r="J174" s="85">
        <f>IF(H174,An,'2027'!An_max)</f>
        <v>2021</v>
      </c>
      <c r="K174" s="197">
        <f t="shared" si="52"/>
        <v>46912</v>
      </c>
      <c r="L174" s="147">
        <f>IF(t&lt;Tvie,1-EXP((T0-t)*PertePVj)+'2027'!Pspv,1-EXP((T0-t)*PertePVj)+Pspv)</f>
        <v>6.3747385927276468E-2</v>
      </c>
      <c r="M174" s="832"/>
      <c r="N174" s="832"/>
      <c r="O174" s="48">
        <f>IF(t&lt;Tnet,'2027'!Resal+('2027'!Salim-'2027'!Resal)*(1-EXP(('2027'!Tnet-t)/('2027'!Tau_j))),Resal+(Salim-Resal)*(1-EXP((Tnet-t)/(Tau_j))))*Salcycl</f>
        <v>4.2467340336820855E-2</v>
      </c>
      <c r="P174" s="169">
        <f>(INDEX(Models!$BJ174:$BT174,,T174)*(1-R174)+INDEX(Models!$BJ174:$BT174,,T174+1)*R174-ERP_i)*Q174*Ramure*Pc/MaxiM</f>
        <v>9.4079714000884883E-5</v>
      </c>
      <c r="Q174" s="304">
        <f t="shared" si="53"/>
        <v>0.7</v>
      </c>
      <c r="R174" s="177">
        <f t="shared" si="54"/>
        <v>0.7746182414905125</v>
      </c>
      <c r="S174" s="799">
        <f t="shared" si="55"/>
        <v>-1</v>
      </c>
      <c r="T174" s="176">
        <f t="shared" si="56"/>
        <v>5</v>
      </c>
      <c r="U174" s="250">
        <f t="shared" si="57"/>
        <v>-0.2253817585094875</v>
      </c>
      <c r="V174" s="382">
        <f t="shared" si="58"/>
        <v>55.480234870135739</v>
      </c>
      <c r="W174" s="400">
        <f t="shared" si="59"/>
        <v>48.429746619474109</v>
      </c>
      <c r="X174" s="157">
        <f t="shared" si="60"/>
        <v>46912</v>
      </c>
      <c r="Y174" s="383">
        <f t="shared" si="61"/>
        <v>46.693259646645302</v>
      </c>
      <c r="Z174" s="383">
        <f t="shared" si="62"/>
        <v>49.872501229693121</v>
      </c>
      <c r="AA174" s="384">
        <f t="shared" si="63"/>
        <v>53.959961215136929</v>
      </c>
      <c r="AB174" s="197">
        <f t="shared" si="64"/>
        <v>46912</v>
      </c>
      <c r="AC174" s="119">
        <f>IF(OR(t&lt;Tnet,NoTnet),'2027'!Resal_s+('2027'!Salim-'2027'!Resal_s)*(1-EXP(('2027'!Tnet_s-t)/'2027'!Tau_j)),Resal_s+(Salim-Resal_s)*(1-EXP((Tnet_s-t)/Tau_j)))*Salcycl</f>
        <v>7.5749868854560781E-2</v>
      </c>
      <c r="AD174" s="230">
        <f>(INDEX(Models!$BJ174:$BT174,,AH174)*(1-AF174)+INDEX(Models!$BJ174:$BT174,,AH174+1)*AF174-ERP_i)*AE174*Ramure*Pc/MaxiM</f>
        <v>1.48276739937607E-3</v>
      </c>
      <c r="AE174" s="304">
        <f t="shared" si="65"/>
        <v>0.7</v>
      </c>
      <c r="AF174" s="177">
        <f t="shared" si="66"/>
        <v>0.53027607232986318</v>
      </c>
      <c r="AG174" s="799">
        <f t="shared" si="74"/>
        <v>2</v>
      </c>
      <c r="AH174" s="176">
        <f t="shared" si="67"/>
        <v>8</v>
      </c>
      <c r="AI174" s="224">
        <f t="shared" si="68"/>
        <v>2.5302760723298632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46913</v>
      </c>
      <c r="B175" s="409">
        <f>'2027'!Wh/'2027'!Env_an*'2028'!Env_an</f>
        <v>55.693793615334798</v>
      </c>
      <c r="C175" s="829"/>
      <c r="D175" s="391">
        <f t="shared" si="50"/>
        <v>59.487001859856612</v>
      </c>
      <c r="E175" s="383">
        <f t="shared" si="75"/>
        <v>62.131328116306157</v>
      </c>
      <c r="F175" s="383">
        <f t="shared" si="51"/>
        <v>62.137218569492148</v>
      </c>
      <c r="G175" s="110">
        <f t="shared" si="76"/>
        <v>1.0044687442388611</v>
      </c>
      <c r="H175" s="412" t="b">
        <f>Wh_hp&gt;='2027'!Maxi_hp</f>
        <v>0</v>
      </c>
      <c r="I175" s="388">
        <f>IF(H175,Wh_hp,'2027'!Maxi_hp)</f>
        <v>62.137218569492155</v>
      </c>
      <c r="J175" s="85">
        <f>IF(H175,An,'2027'!An_max)</f>
        <v>2025</v>
      </c>
      <c r="K175" s="197">
        <f t="shared" si="52"/>
        <v>46913</v>
      </c>
      <c r="L175" s="147">
        <f>IF(t&lt;Tvie,1-EXP((T0-t)*PertePVj)+'2027'!Pspv,1-EXP((T0-t)*PertePVj)+Pspv)</f>
        <v>6.3765328995031623E-2</v>
      </c>
      <c r="M175" s="832"/>
      <c r="N175" s="832"/>
      <c r="O175" s="48">
        <f>IF(t&lt;Tnet,'2027'!Resal+('2027'!Salim-'2027'!Resal)*(1-EXP(('2027'!Tnet-t)/('2027'!Tau_j))),Resal+(Salim-Resal)*(1-EXP((Tnet-t)/(Tau_j))))*Salcycl</f>
        <v>4.2560272516620271E-2</v>
      </c>
      <c r="P175" s="169">
        <f>(INDEX(Models!$BJ175:$BT175,,T175)*(1-R175)+INDEX(Models!$BJ175:$BT175,,T175+1)*R175-ERP_i)*Q175*Ramure*Pc/MaxiM</f>
        <v>9.4797503357831823E-5</v>
      </c>
      <c r="Q175" s="304">
        <f t="shared" si="53"/>
        <v>0.7</v>
      </c>
      <c r="R175" s="177">
        <f t="shared" si="54"/>
        <v>0.77873433453932173</v>
      </c>
      <c r="S175" s="799">
        <f t="shared" si="55"/>
        <v>-1</v>
      </c>
      <c r="T175" s="176">
        <f t="shared" si="56"/>
        <v>5</v>
      </c>
      <c r="U175" s="250">
        <f t="shared" si="57"/>
        <v>-0.22126566546067827</v>
      </c>
      <c r="V175" s="382">
        <f t="shared" si="58"/>
        <v>55.446019534970119</v>
      </c>
      <c r="W175" s="400">
        <f t="shared" si="59"/>
        <v>55.693793615334798</v>
      </c>
      <c r="X175" s="157">
        <f t="shared" si="60"/>
        <v>46913</v>
      </c>
      <c r="Y175" s="383">
        <f t="shared" si="61"/>
        <v>53.687394900565302</v>
      </c>
      <c r="Z175" s="383">
        <f t="shared" si="62"/>
        <v>57.343950788466792</v>
      </c>
      <c r="AA175" s="384">
        <f t="shared" si="63"/>
        <v>62.048690195703955</v>
      </c>
      <c r="AB175" s="197">
        <f t="shared" si="64"/>
        <v>46913</v>
      </c>
      <c r="AC175" s="119">
        <f>IF(OR(t&lt;Tnet,NoTnet),'2027'!Resal_s+('2027'!Salim-'2027'!Resal_s)*(1-EXP(('2027'!Tnet_s-t)/'2027'!Tau_j)),Resal_s+(Salim-Resal_s)*(1-EXP((Tnet_s-t)/Tau_j)))*Salcycl</f>
        <v>7.5823347638737215E-2</v>
      </c>
      <c r="AD175" s="230">
        <f>(INDEX(Models!$BJ175:$BT175,,AH175)*(1-AF175)+INDEX(Models!$BJ175:$BT175,,AH175+1)*AF175-ERP_i)*AE175*Ramure*Pc/MaxiM</f>
        <v>1.4247237939880684E-3</v>
      </c>
      <c r="AE175" s="304">
        <f t="shared" si="65"/>
        <v>0.7</v>
      </c>
      <c r="AF175" s="177">
        <f t="shared" si="66"/>
        <v>0.53439216537867251</v>
      </c>
      <c r="AG175" s="799">
        <f t="shared" si="74"/>
        <v>2</v>
      </c>
      <c r="AH175" s="176">
        <f t="shared" si="67"/>
        <v>8</v>
      </c>
      <c r="AI175" s="224">
        <f t="shared" si="68"/>
        <v>2.5343921653786725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46914</v>
      </c>
      <c r="B176" s="409">
        <f>'2027'!Wh/'2027'!Env_an*'2028'!Env_an</f>
        <v>54.191250935022332</v>
      </c>
      <c r="C176" s="829"/>
      <c r="D176" s="391">
        <f t="shared" si="50"/>
        <v>57.883232907532545</v>
      </c>
      <c r="E176" s="383">
        <f t="shared" si="75"/>
        <v>60.462102434262668</v>
      </c>
      <c r="F176" s="383">
        <f t="shared" si="51"/>
        <v>60.467693459757967</v>
      </c>
      <c r="G176" s="110">
        <f t="shared" si="76"/>
        <v>0.97801751763748745</v>
      </c>
      <c r="H176" s="412" t="b">
        <f>Wh_hp&gt;='2027'!Maxi_hp</f>
        <v>0</v>
      </c>
      <c r="I176" s="388">
        <f>IF(H176,Wh_hp,'2027'!Maxi_hp)</f>
        <v>60.467860920510077</v>
      </c>
      <c r="J176" s="85">
        <f>IF(H176,An,'2027'!An_max)</f>
        <v>2026</v>
      </c>
      <c r="K176" s="197">
        <f t="shared" si="52"/>
        <v>46914</v>
      </c>
      <c r="L176" s="147">
        <f>IF(t&lt;Tvie,1-EXP((T0-t)*PertePVj)+'2027'!Pspv,1-EXP((T0-t)*PertePVj)+Pspv)</f>
        <v>6.378327171891196E-2</v>
      </c>
      <c r="M176" s="832"/>
      <c r="N176" s="832"/>
      <c r="O176" s="48">
        <f>IF(t&lt;Tnet,'2027'!Resal+('2027'!Salim-'2027'!Resal)*(1-EXP(('2027'!Tnet-t)/('2027'!Tau_j))),Resal+(Salim-Resal)*(1-EXP((Tnet-t)/(Tau_j))))*Salcycl</f>
        <v>4.2652660474947902E-2</v>
      </c>
      <c r="P176" s="169">
        <f>(INDEX(Models!$BJ176:$BT176,,T176)*(1-R176)+INDEX(Models!$BJ176:$BT176,,T176+1)*R176-ERP_i)*Q176*Ramure*Pc/MaxiM</f>
        <v>9.5460414837161635E-5</v>
      </c>
      <c r="Q176" s="304">
        <f t="shared" si="53"/>
        <v>0.7</v>
      </c>
      <c r="R176" s="177">
        <f t="shared" si="54"/>
        <v>0.78285042758813095</v>
      </c>
      <c r="S176" s="799">
        <f t="shared" si="55"/>
        <v>-1</v>
      </c>
      <c r="T176" s="176">
        <f t="shared" si="56"/>
        <v>5</v>
      </c>
      <c r="U176" s="250">
        <f t="shared" si="57"/>
        <v>-0.21714957241186905</v>
      </c>
      <c r="V176" s="382">
        <f t="shared" si="58"/>
        <v>55.409118456571328</v>
      </c>
      <c r="W176" s="400">
        <f t="shared" si="59"/>
        <v>54.191250935022332</v>
      </c>
      <c r="X176" s="157">
        <f t="shared" si="60"/>
        <v>46914</v>
      </c>
      <c r="Y176" s="383">
        <f t="shared" si="61"/>
        <v>52.244740252187185</v>
      </c>
      <c r="Z176" s="383">
        <f t="shared" si="62"/>
        <v>55.804108892723519</v>
      </c>
      <c r="AA176" s="384">
        <f t="shared" si="63"/>
        <v>60.387251104997624</v>
      </c>
      <c r="AB176" s="197">
        <f t="shared" si="64"/>
        <v>46914</v>
      </c>
      <c r="AC176" s="119">
        <f>IF(OR(t&lt;Tnet,NoTnet),'2027'!Resal_s+('2027'!Salim-'2027'!Resal_s)*(1-EXP(('2027'!Tnet_s-t)/'2027'!Tau_j)),Resal_s+(Salim-Resal_s)*(1-EXP((Tnet_s-t)/Tau_j)))*Salcycl</f>
        <v>7.5895857625729951E-2</v>
      </c>
      <c r="AD176" s="230">
        <f>(INDEX(Models!$BJ176:$BT176,,AH176)*(1-AF176)+INDEX(Models!$BJ176:$BT176,,AH176+1)*AF176-ERP_i)*AE176*Ramure*Pc/MaxiM</f>
        <v>1.3734619100473531E-3</v>
      </c>
      <c r="AE176" s="304">
        <f t="shared" si="65"/>
        <v>0.7</v>
      </c>
      <c r="AF176" s="177">
        <f t="shared" si="66"/>
        <v>0.53850825842748185</v>
      </c>
      <c r="AG176" s="799">
        <f t="shared" si="74"/>
        <v>2</v>
      </c>
      <c r="AH176" s="176">
        <f t="shared" si="67"/>
        <v>8</v>
      </c>
      <c r="AI176" s="224">
        <f t="shared" si="68"/>
        <v>2.5385082584274818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46915</v>
      </c>
      <c r="B177" s="409">
        <f>'2027'!Wh/'2027'!Env_an*'2028'!Env_an</f>
        <v>44.804473713544354</v>
      </c>
      <c r="C177" s="829"/>
      <c r="D177" s="391">
        <f t="shared" si="50"/>
        <v>47.857863509639984</v>
      </c>
      <c r="E177" s="383">
        <f t="shared" si="75"/>
        <v>49.994867979363789</v>
      </c>
      <c r="F177" s="383">
        <f t="shared" si="51"/>
        <v>49.998361885742888</v>
      </c>
      <c r="G177" s="110">
        <f t="shared" si="76"/>
        <v>0.80916881466966262</v>
      </c>
      <c r="H177" s="412" t="b">
        <f>Wh_hp&gt;='2027'!Maxi_hp</f>
        <v>0</v>
      </c>
      <c r="I177" s="388">
        <f>IF(H177,Wh_hp,'2027'!Maxi_hp)</f>
        <v>60.295662422048899</v>
      </c>
      <c r="J177" s="85">
        <f>IF(H177,An,'2027'!An_max)</f>
        <v>2018</v>
      </c>
      <c r="K177" s="197">
        <f t="shared" si="52"/>
        <v>46915</v>
      </c>
      <c r="L177" s="147">
        <f>IF(t&lt;Tvie,1-EXP((T0-t)*PertePVj)+'2027'!Pspv,1-EXP((T0-t)*PertePVj)+Pspv)</f>
        <v>6.3801214098924142E-2</v>
      </c>
      <c r="M177" s="832"/>
      <c r="N177" s="832"/>
      <c r="O177" s="48">
        <f>IF(t&lt;Tnet,'2027'!Resal+('2027'!Salim-'2027'!Resal)*(1-EXP(('2027'!Tnet-t)/('2027'!Tau_j))),Resal+(Salim-Resal)*(1-EXP((Tnet-t)/(Tau_j))))*Salcycl</f>
        <v>4.2744476705206806E-2</v>
      </c>
      <c r="P177" s="169">
        <f>(INDEX(Models!$BJ177:$BT177,,T177)*(1-R177)+INDEX(Models!$BJ177:$BT177,,T177+1)*R177-ERP_i)*Q177*Ramure*Pc/MaxiM</f>
        <v>9.6066873550968267E-5</v>
      </c>
      <c r="Q177" s="304">
        <f t="shared" si="53"/>
        <v>0.7</v>
      </c>
      <c r="R177" s="177">
        <f t="shared" si="54"/>
        <v>0.78696304730357569</v>
      </c>
      <c r="S177" s="799">
        <f t="shared" si="55"/>
        <v>-1</v>
      </c>
      <c r="T177" s="176">
        <f t="shared" si="56"/>
        <v>5</v>
      </c>
      <c r="U177" s="250">
        <f t="shared" si="57"/>
        <v>-0.21303695269642434</v>
      </c>
      <c r="V177" s="382">
        <f t="shared" si="58"/>
        <v>55.369534204599226</v>
      </c>
      <c r="W177" s="400">
        <f t="shared" si="59"/>
        <v>44.804473713544354</v>
      </c>
      <c r="X177" s="157">
        <f t="shared" si="60"/>
        <v>46915</v>
      </c>
      <c r="Y177" s="383">
        <f t="shared" si="61"/>
        <v>43.210679360207592</v>
      </c>
      <c r="Z177" s="383">
        <f t="shared" si="62"/>
        <v>46.155453319262776</v>
      </c>
      <c r="AA177" s="384">
        <f t="shared" si="63"/>
        <v>49.950024487054023</v>
      </c>
      <c r="AB177" s="197">
        <f t="shared" si="64"/>
        <v>46915</v>
      </c>
      <c r="AC177" s="119">
        <f>IF(OR(t&lt;Tnet,NoTnet),'2027'!Resal_s+('2027'!Salim-'2027'!Resal_s)*(1-EXP(('2027'!Tnet_s-t)/'2027'!Tau_j)),Resal_s+(Salim-Resal_s)*(1-EXP((Tnet_s-t)/Tau_j)))*Salcycl</f>
        <v>7.5967353504996213E-2</v>
      </c>
      <c r="AD177" s="230">
        <f>(INDEX(Models!$BJ177:$BT177,,AH177)*(1-AF177)+INDEX(Models!$BJ177:$BT177,,AH177+1)*AF177-ERP_i)*AE177*Ramure*Pc/MaxiM</f>
        <v>1.3290633073070536E-3</v>
      </c>
      <c r="AE177" s="304">
        <f t="shared" si="65"/>
        <v>0.7</v>
      </c>
      <c r="AF177" s="177">
        <f t="shared" si="66"/>
        <v>0.54262087814292626</v>
      </c>
      <c r="AG177" s="799">
        <f t="shared" si="74"/>
        <v>2</v>
      </c>
      <c r="AH177" s="176">
        <f t="shared" si="67"/>
        <v>8</v>
      </c>
      <c r="AI177" s="224">
        <f t="shared" si="68"/>
        <v>2.5426208781429263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46916</v>
      </c>
      <c r="B178" s="409">
        <f>'2027'!Wh/'2027'!Env_an*'2028'!Env_an</f>
        <v>49.257716767021321</v>
      </c>
      <c r="C178" s="829"/>
      <c r="D178" s="391">
        <f t="shared" si="50"/>
        <v>52.615599955737139</v>
      </c>
      <c r="E178" s="383">
        <f t="shared" si="75"/>
        <v>54.97029057028422</v>
      </c>
      <c r="F178" s="383">
        <f t="shared" si="51"/>
        <v>54.974770756742878</v>
      </c>
      <c r="G178" s="110">
        <f t="shared" si="76"/>
        <v>0.8902838076717231</v>
      </c>
      <c r="H178" s="412" t="b">
        <f>Wh_hp&gt;='2027'!Maxi_hp</f>
        <v>0</v>
      </c>
      <c r="I178" s="388">
        <f>IF(H178,Wh_hp,'2027'!Maxi_hp)</f>
        <v>64.172787836056131</v>
      </c>
      <c r="J178" s="85">
        <f>IF(H178,An,'2027'!An_max)</f>
        <v>2018</v>
      </c>
      <c r="K178" s="197">
        <f t="shared" si="52"/>
        <v>46916</v>
      </c>
      <c r="L178" s="147">
        <f>IF(t&lt;Tvie,1-EXP((T0-t)*PertePVj)+'2027'!Pspv,1-EXP((T0-t)*PertePVj)+Pspv)</f>
        <v>6.3819156135074717E-2</v>
      </c>
      <c r="M178" s="832"/>
      <c r="N178" s="832"/>
      <c r="O178" s="48">
        <f>IF(t&lt;Tnet,'2027'!Resal+('2027'!Salim-'2027'!Resal)*(1-EXP(('2027'!Tnet-t)/('2027'!Tau_j))),Resal+(Salim-Resal)*(1-EXP((Tnet-t)/(Tau_j))))*Salcycl</f>
        <v>4.2835695247715765E-2</v>
      </c>
      <c r="P178" s="169">
        <f>(INDEX(Models!$BJ178:$BT178,,T178)*(1-R178)+INDEX(Models!$BJ178:$BT178,,T178+1)*R178-ERP_i)*Q178*Ramure*Pc/MaxiM</f>
        <v>9.6640665209241338E-5</v>
      </c>
      <c r="Q178" s="304">
        <f t="shared" si="53"/>
        <v>0.7</v>
      </c>
      <c r="R178" s="177">
        <f t="shared" si="54"/>
        <v>0.79106873206618888</v>
      </c>
      <c r="S178" s="799">
        <f t="shared" si="55"/>
        <v>-1</v>
      </c>
      <c r="T178" s="176">
        <f t="shared" si="56"/>
        <v>5</v>
      </c>
      <c r="U178" s="250">
        <f t="shared" si="57"/>
        <v>-0.20893126793381112</v>
      </c>
      <c r="V178" s="382">
        <f t="shared" si="58"/>
        <v>55.327267840401561</v>
      </c>
      <c r="W178" s="400">
        <f t="shared" si="59"/>
        <v>49.257716767021321</v>
      </c>
      <c r="X178" s="157">
        <f t="shared" si="60"/>
        <v>46916</v>
      </c>
      <c r="Y178" s="383">
        <f t="shared" si="61"/>
        <v>47.501064934667497</v>
      </c>
      <c r="Z178" s="383">
        <f t="shared" si="62"/>
        <v>50.739197715864691</v>
      </c>
      <c r="AA178" s="384">
        <f t="shared" si="63"/>
        <v>54.914797734009753</v>
      </c>
      <c r="AB178" s="197">
        <f t="shared" si="64"/>
        <v>46916</v>
      </c>
      <c r="AC178" s="119">
        <f>IF(OR(t&lt;Tnet,NoTnet),'2027'!Resal_s+('2027'!Salim-'2027'!Resal_s)*(1-EXP(('2027'!Tnet_s-t)/'2027'!Tau_j)),Resal_s+(Salim-Resal_s)*(1-EXP((Tnet_s-t)/Tau_j)))*Salcycl</f>
        <v>7.603779291640804E-2</v>
      </c>
      <c r="AD178" s="230">
        <f>(INDEX(Models!$BJ178:$BT178,,AH178)*(1-AF178)+INDEX(Models!$BJ178:$BT178,,AH178+1)*AF178-ERP_i)*AE178*Ramure*Pc/MaxiM</f>
        <v>1.2936588387605168E-3</v>
      </c>
      <c r="AE178" s="304">
        <f t="shared" si="65"/>
        <v>0.7</v>
      </c>
      <c r="AF178" s="177">
        <f t="shared" si="66"/>
        <v>0.54672656290553956</v>
      </c>
      <c r="AG178" s="799">
        <f t="shared" si="74"/>
        <v>2</v>
      </c>
      <c r="AH178" s="176">
        <f t="shared" si="67"/>
        <v>8</v>
      </c>
      <c r="AI178" s="224">
        <f t="shared" si="68"/>
        <v>2.5467265629055396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46917</v>
      </c>
      <c r="B179" s="409">
        <f>'2027'!Wh/'2027'!Env_an*'2028'!Env_an</f>
        <v>48.452623998580634</v>
      </c>
      <c r="C179" s="829"/>
      <c r="D179" s="391">
        <f t="shared" si="50"/>
        <v>51.756616168118455</v>
      </c>
      <c r="E179" s="383">
        <f t="shared" si="75"/>
        <v>54.077983465786552</v>
      </c>
      <c r="F179" s="383">
        <f t="shared" si="51"/>
        <v>54.082312467865115</v>
      </c>
      <c r="G179" s="110">
        <f t="shared" si="76"/>
        <v>0.87644281498658894</v>
      </c>
      <c r="H179" s="412" t="b">
        <f>Wh_hp&gt;='2027'!Maxi_hp</f>
        <v>0</v>
      </c>
      <c r="I179" s="388">
        <f>IF(H179,Wh_hp,'2027'!Maxi_hp)</f>
        <v>57.550987024107755</v>
      </c>
      <c r="J179" s="85">
        <f>IF(H179,An,'2027'!An_max)</f>
        <v>2021</v>
      </c>
      <c r="K179" s="197">
        <f t="shared" si="52"/>
        <v>46917</v>
      </c>
      <c r="L179" s="147">
        <f>IF(t&lt;Tvie,1-EXP((T0-t)*PertePVj)+'2027'!Pspv,1-EXP((T0-t)*PertePVj)+Pspv)</f>
        <v>6.3837097827370126E-2</v>
      </c>
      <c r="M179" s="832"/>
      <c r="N179" s="832"/>
      <c r="O179" s="48">
        <f>IF(t&lt;Tnet,'2027'!Resal+('2027'!Salim-'2027'!Resal)*(1-EXP(('2027'!Tnet-t)/('2027'!Tau_j))),Resal+(Salim-Resal)*(1-EXP((Tnet-t)/(Tau_j))))*Salcycl</f>
        <v>4.2926291790017515E-2</v>
      </c>
      <c r="P179" s="169">
        <f>(INDEX(Models!$BJ179:$BT179,,T179)*(1-R179)+INDEX(Models!$BJ179:$BT179,,T179+1)*R179-ERP_i)*Q179*Ramure*Pc/MaxiM</f>
        <v>9.7199274333556986E-5</v>
      </c>
      <c r="Q179" s="304">
        <f t="shared" si="53"/>
        <v>0.7</v>
      </c>
      <c r="R179" s="177">
        <f t="shared" si="54"/>
        <v>0.79516404360044968</v>
      </c>
      <c r="S179" s="799">
        <f t="shared" si="55"/>
        <v>-1</v>
      </c>
      <c r="T179" s="176">
        <f t="shared" si="56"/>
        <v>5</v>
      </c>
      <c r="U179" s="250">
        <f t="shared" si="57"/>
        <v>-0.20483595639955038</v>
      </c>
      <c r="V179" s="382">
        <f t="shared" si="58"/>
        <v>55.282320670616684</v>
      </c>
      <c r="W179" s="400">
        <f t="shared" si="59"/>
        <v>48.452623998580634</v>
      </c>
      <c r="X179" s="157">
        <f t="shared" si="60"/>
        <v>46917</v>
      </c>
      <c r="Y179" s="383">
        <f t="shared" si="61"/>
        <v>46.727952011020449</v>
      </c>
      <c r="Z179" s="383">
        <f t="shared" si="62"/>
        <v>49.914338522254049</v>
      </c>
      <c r="AA179" s="384">
        <f t="shared" si="63"/>
        <v>54.026111143528894</v>
      </c>
      <c r="AB179" s="197">
        <f t="shared" si="64"/>
        <v>46917</v>
      </c>
      <c r="AC179" s="119">
        <f>IF(OR(t&lt;Tnet,NoTnet),'2027'!Resal_s+('2027'!Salim-'2027'!Resal_s)*(1-EXP(('2027'!Tnet_s-t)/'2027'!Tau_j)),Resal_s+(Salim-Resal_s)*(1-EXP((Tnet_s-t)/Tau_j)))*Salcycl</f>
        <v>7.6107136609393736E-2</v>
      </c>
      <c r="AD179" s="230">
        <f>(INDEX(Models!$BJ179:$BT179,,AH179)*(1-AF179)+INDEX(Models!$BJ179:$BT179,,AH179+1)*AF179-ERP_i)*AE179*Ramure*Pc/MaxiM</f>
        <v>1.261890810612935E-3</v>
      </c>
      <c r="AE179" s="304">
        <f t="shared" si="65"/>
        <v>0.7</v>
      </c>
      <c r="AF179" s="177">
        <f t="shared" si="66"/>
        <v>0.55082187443980057</v>
      </c>
      <c r="AG179" s="799">
        <f t="shared" si="74"/>
        <v>2</v>
      </c>
      <c r="AH179" s="176">
        <f t="shared" si="67"/>
        <v>8</v>
      </c>
      <c r="AI179" s="224">
        <f t="shared" si="68"/>
        <v>2.5508218744398006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46918</v>
      </c>
      <c r="B180" s="409">
        <f>'2027'!Wh/'2027'!Env_an*'2028'!Env_an</f>
        <v>51.668210797699921</v>
      </c>
      <c r="C180" s="829"/>
      <c r="D180" s="391">
        <f t="shared" si="50"/>
        <v>55.192532096964115</v>
      </c>
      <c r="E180" s="383">
        <f t="shared" si="75"/>
        <v>57.673426259341916</v>
      </c>
      <c r="F180" s="383">
        <f t="shared" si="51"/>
        <v>57.678543848390099</v>
      </c>
      <c r="G180" s="110">
        <f t="shared" si="76"/>
        <v>0.93542193037424715</v>
      </c>
      <c r="H180" s="412" t="b">
        <f>Wh_hp&gt;='2027'!Maxi_hp</f>
        <v>0</v>
      </c>
      <c r="I180" s="388">
        <f>IF(H180,Wh_hp,'2027'!Maxi_hp)</f>
        <v>57.67902193219367</v>
      </c>
      <c r="J180" s="85">
        <f>IF(H180,An,'2027'!An_max)</f>
        <v>2026</v>
      </c>
      <c r="K180" s="197">
        <f t="shared" si="52"/>
        <v>46918</v>
      </c>
      <c r="L180" s="147">
        <f>IF(t&lt;Tvie,1-EXP((T0-t)*PertePVj)+'2027'!Pspv,1-EXP((T0-t)*PertePVj)+Pspv)</f>
        <v>6.3855039175817252E-2</v>
      </c>
      <c r="M180" s="832"/>
      <c r="N180" s="832"/>
      <c r="O180" s="48">
        <f>IF(t&lt;Tnet,'2027'!Resal+('2027'!Salim-'2027'!Resal)*(1-EXP(('2027'!Tnet-t)/('2027'!Tau_j))),Resal+(Salim-Resal)*(1-EXP((Tnet-t)/(Tau_j))))*Salcycl</f>
        <v>4.3016243758813445E-2</v>
      </c>
      <c r="P180" s="169">
        <f>(INDEX(Models!$BJ180:$BT180,,T180)*(1-R180)+INDEX(Models!$BJ180:$BT180,,T180+1)*R180-ERP_i)*Q180*Ramure*Pc/MaxiM</f>
        <v>9.7741994369754124E-5</v>
      </c>
      <c r="Q180" s="304">
        <f t="shared" si="53"/>
        <v>0.7</v>
      </c>
      <c r="R180" s="177">
        <f t="shared" si="54"/>
        <v>0.79924557843816169</v>
      </c>
      <c r="S180" s="799">
        <f t="shared" si="55"/>
        <v>-1</v>
      </c>
      <c r="T180" s="176">
        <f t="shared" si="56"/>
        <v>5</v>
      </c>
      <c r="U180" s="250">
        <f t="shared" si="57"/>
        <v>-0.20075442156183834</v>
      </c>
      <c r="V180" s="382">
        <f t="shared" si="58"/>
        <v>55.234694890779878</v>
      </c>
      <c r="W180" s="400">
        <f t="shared" si="59"/>
        <v>51.668210797699921</v>
      </c>
      <c r="X180" s="157">
        <f t="shared" si="60"/>
        <v>46918</v>
      </c>
      <c r="Y180" s="383">
        <f t="shared" si="61"/>
        <v>49.826482051000283</v>
      </c>
      <c r="Z180" s="383">
        <f t="shared" si="62"/>
        <v>53.225177868962739</v>
      </c>
      <c r="AA180" s="384">
        <f t="shared" si="63"/>
        <v>57.613939818026132</v>
      </c>
      <c r="AB180" s="197">
        <f t="shared" si="64"/>
        <v>46918</v>
      </c>
      <c r="AC180" s="119">
        <f>IF(OR(t&lt;Tnet,NoTnet),'2027'!Resal_s+('2027'!Salim-'2027'!Resal_s)*(1-EXP(('2027'!Tnet_s-t)/'2027'!Tau_j)),Resal_s+(Salim-Resal_s)*(1-EXP((Tnet_s-t)/Tau_j)))*Salcycl</f>
        <v>7.6175348586215663E-2</v>
      </c>
      <c r="AD180" s="230">
        <f>(INDEX(Models!$BJ180:$BT180,,AH180)*(1-AF180)+INDEX(Models!$BJ180:$BT180,,AH180+1)*AF180-ERP_i)*AE180*Ramure*Pc/MaxiM</f>
        <v>1.2338870340392874E-3</v>
      </c>
      <c r="AE180" s="304">
        <f t="shared" si="65"/>
        <v>0.7</v>
      </c>
      <c r="AF180" s="177">
        <f t="shared" si="66"/>
        <v>0.55490340927751225</v>
      </c>
      <c r="AG180" s="799">
        <f t="shared" si="74"/>
        <v>2</v>
      </c>
      <c r="AH180" s="176">
        <f t="shared" si="67"/>
        <v>8</v>
      </c>
      <c r="AI180" s="224">
        <f t="shared" si="68"/>
        <v>2.5549034092775122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46919</v>
      </c>
      <c r="B181" s="409">
        <f>'2027'!Wh/'2027'!Env_an*'2028'!Env_an</f>
        <v>49.837172024707577</v>
      </c>
      <c r="C181" s="829"/>
      <c r="D181" s="391">
        <f t="shared" si="50"/>
        <v>53.237617299319957</v>
      </c>
      <c r="E181" s="383">
        <f t="shared" si="75"/>
        <v>55.635829227576153</v>
      </c>
      <c r="F181" s="383">
        <f t="shared" si="51"/>
        <v>55.640540056045353</v>
      </c>
      <c r="G181" s="110">
        <f t="shared" si="76"/>
        <v>0.90309037967353023</v>
      </c>
      <c r="H181" s="412" t="b">
        <f>Wh_hp&gt;='2027'!Maxi_hp</f>
        <v>0</v>
      </c>
      <c r="I181" s="388">
        <f>IF(H181,Wh_hp,'2027'!Maxi_hp)</f>
        <v>62.895191551516874</v>
      </c>
      <c r="J181" s="85">
        <f>IF(H181,An,'2027'!An_max)</f>
        <v>2018</v>
      </c>
      <c r="K181" s="197">
        <f t="shared" si="52"/>
        <v>46919</v>
      </c>
      <c r="L181" s="147">
        <f>IF(t&lt;Tvie,1-EXP((T0-t)*PertePVj)+'2027'!Pspv,1-EXP((T0-t)*PertePVj)+Pspv)</f>
        <v>6.3872980180422423E-2</v>
      </c>
      <c r="M181" s="832"/>
      <c r="N181" s="832"/>
      <c r="O181" s="48">
        <f>IF(t&lt;Tnet,'2027'!Resal+('2027'!Salim-'2027'!Resal)*(1-EXP(('2027'!Tnet-t)/('2027'!Tau_j))),Resal+(Salim-Resal)*(1-EXP((Tnet-t)/(Tau_j))))*Salcycl</f>
        <v>4.3105530402834574E-2</v>
      </c>
      <c r="P181" s="169">
        <f>(INDEX(Models!$BJ181:$BT181,,T181)*(1-R181)+INDEX(Models!$BJ181:$BT181,,T181+1)*R181-ERP_i)*Q181*Ramure*Pc/MaxiM</f>
        <v>9.82681424017298E-5</v>
      </c>
      <c r="Q181" s="304">
        <f t="shared" si="53"/>
        <v>0.7</v>
      </c>
      <c r="R181" s="177">
        <f t="shared" si="54"/>
        <v>0.80330997913437918</v>
      </c>
      <c r="S181" s="799">
        <f t="shared" si="55"/>
        <v>-1</v>
      </c>
      <c r="T181" s="176">
        <f t="shared" si="56"/>
        <v>5</v>
      </c>
      <c r="U181" s="250">
        <f t="shared" si="57"/>
        <v>-0.19669002086562082</v>
      </c>
      <c r="V181" s="382">
        <f t="shared" si="58"/>
        <v>55.184392577639699</v>
      </c>
      <c r="W181" s="400">
        <f t="shared" si="59"/>
        <v>49.837172024707577</v>
      </c>
      <c r="X181" s="157">
        <f t="shared" si="60"/>
        <v>46919</v>
      </c>
      <c r="Y181" s="383">
        <f t="shared" si="61"/>
        <v>48.06525342024959</v>
      </c>
      <c r="Z181" s="383">
        <f t="shared" si="62"/>
        <v>51.34479873202821</v>
      </c>
      <c r="AA181" s="384">
        <f t="shared" si="63"/>
        <v>55.58254516378291</v>
      </c>
      <c r="AB181" s="197">
        <f t="shared" si="64"/>
        <v>46919</v>
      </c>
      <c r="AC181" s="119">
        <f>IF(OR(t&lt;Tnet,NoTnet),'2027'!Resal_s+('2027'!Salim-'2027'!Resal_s)*(1-EXP(('2027'!Tnet_s-t)/'2027'!Tau_j)),Resal_s+(Salim-Resal_s)*(1-EXP((Tnet_s-t)/Tau_j)))*Salcycl</f>
        <v>7.6242396228303325E-2</v>
      </c>
      <c r="AD181" s="230">
        <f>(INDEX(Models!$BJ181:$BT181,,AH181)*(1-AF181)+INDEX(Models!$BJ181:$BT181,,AH181+1)*AF181-ERP_i)*AE181*Ramure*Pc/MaxiM</f>
        <v>1.2097766600254411E-3</v>
      </c>
      <c r="AE181" s="304">
        <f t="shared" si="65"/>
        <v>0.7</v>
      </c>
      <c r="AF181" s="177">
        <f t="shared" si="66"/>
        <v>0.55896780997372986</v>
      </c>
      <c r="AG181" s="799">
        <f t="shared" si="74"/>
        <v>2</v>
      </c>
      <c r="AH181" s="176">
        <f t="shared" si="67"/>
        <v>8</v>
      </c>
      <c r="AI181" s="224">
        <f t="shared" si="68"/>
        <v>2.5589678099737299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46920</v>
      </c>
      <c r="B182" s="409">
        <f>'2027'!Wh/'2027'!Env_an*'2028'!Env_an</f>
        <v>50.79124079445171</v>
      </c>
      <c r="C182" s="829"/>
      <c r="D182" s="391">
        <f t="shared" si="50"/>
        <v>54.257823073453125</v>
      </c>
      <c r="E182" s="383">
        <f t="shared" si="75"/>
        <v>56.7072432738914</v>
      </c>
      <c r="F182" s="383">
        <f t="shared" si="51"/>
        <v>56.712215136665336</v>
      </c>
      <c r="G182" s="110">
        <f t="shared" si="76"/>
        <v>0.92126559584789536</v>
      </c>
      <c r="H182" s="412" t="b">
        <f>Wh_hp&gt;='2027'!Maxi_hp</f>
        <v>0</v>
      </c>
      <c r="I182" s="388">
        <f>IF(H182,Wh_hp,'2027'!Maxi_hp)</f>
        <v>61.943350764633465</v>
      </c>
      <c r="J182" s="85">
        <f>IF(H182,An,'2027'!An_max)</f>
        <v>2018</v>
      </c>
      <c r="K182" s="197">
        <f t="shared" si="52"/>
        <v>46920</v>
      </c>
      <c r="L182" s="147">
        <f>IF(t&lt;Tvie,1-EXP((T0-t)*PertePVj)+'2027'!Pspv,1-EXP((T0-t)*PertePVj)+Pspv)</f>
        <v>6.3890920841192411E-2</v>
      </c>
      <c r="M182" s="832"/>
      <c r="N182" s="832"/>
      <c r="O182" s="48">
        <f>IF(t&lt;Tnet,'2027'!Resal+('2027'!Salim-'2027'!Resal)*(1-EXP(('2027'!Tnet-t)/('2027'!Tau_j))),Resal+(Salim-Resal)*(1-EXP((Tnet-t)/(Tau_j))))*Salcycl</f>
        <v>4.3194132866021584E-2</v>
      </c>
      <c r="P182" s="169">
        <f>(INDEX(Models!$BJ182:$BT182,,T182)*(1-R182)+INDEX(Models!$BJ182:$BT182,,T182+1)*R182-ERP_i)*Q182*Ramure*Pc/MaxiM</f>
        <v>9.8777061809282295E-5</v>
      </c>
      <c r="Q182" s="304">
        <f t="shared" si="53"/>
        <v>0.7</v>
      </c>
      <c r="R182" s="177">
        <f t="shared" si="54"/>
        <v>0.80735394515810699</v>
      </c>
      <c r="S182" s="799">
        <f t="shared" si="55"/>
        <v>-1</v>
      </c>
      <c r="T182" s="176">
        <f t="shared" si="56"/>
        <v>5</v>
      </c>
      <c r="U182" s="250">
        <f t="shared" si="57"/>
        <v>-0.19264605484189298</v>
      </c>
      <c r="V182" s="382">
        <f t="shared" si="58"/>
        <v>55.131415680186379</v>
      </c>
      <c r="W182" s="400">
        <f t="shared" si="59"/>
        <v>50.79124079445171</v>
      </c>
      <c r="X182" s="157">
        <f t="shared" si="60"/>
        <v>46920</v>
      </c>
      <c r="Y182" s="383">
        <f t="shared" si="61"/>
        <v>48.98592595591375</v>
      </c>
      <c r="Z182" s="383">
        <f t="shared" si="62"/>
        <v>52.329292650310322</v>
      </c>
      <c r="AA182" s="384">
        <f t="shared" si="63"/>
        <v>56.652333068078605</v>
      </c>
      <c r="AB182" s="197">
        <f t="shared" si="64"/>
        <v>46920</v>
      </c>
      <c r="AC182" s="119">
        <f>IF(OR(t&lt;Tnet,NoTnet),'2027'!Resal_s+('2027'!Salim-'2027'!Resal_s)*(1-EXP(('2027'!Tnet_s-t)/'2027'!Tau_j)),Resal_s+(Salim-Resal_s)*(1-EXP((Tnet_s-t)/Tau_j)))*Salcycl</f>
        <v>7.63082504046802E-2</v>
      </c>
      <c r="AD182" s="230">
        <f>(INDEX(Models!$BJ182:$BT182,,AH182)*(1-AF182)+INDEX(Models!$BJ182:$BT182,,AH182+1)*AF182-ERP_i)*AE182*Ramure*Pc/MaxiM</f>
        <v>1.1896898725892607E-3</v>
      </c>
      <c r="AE182" s="304">
        <f t="shared" si="65"/>
        <v>0.7</v>
      </c>
      <c r="AF182" s="177">
        <f t="shared" si="66"/>
        <v>0.56301177599745778</v>
      </c>
      <c r="AG182" s="799">
        <f t="shared" si="74"/>
        <v>2</v>
      </c>
      <c r="AH182" s="176">
        <f t="shared" si="67"/>
        <v>8</v>
      </c>
      <c r="AI182" s="224">
        <f t="shared" si="68"/>
        <v>2.5630117759974578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46921</v>
      </c>
      <c r="B183" s="409">
        <f>'2027'!Wh/'2027'!Env_an*'2028'!Env_an</f>
        <v>53.661809587522868</v>
      </c>
      <c r="C183" s="829"/>
      <c r="D183" s="391">
        <f t="shared" si="50"/>
        <v>57.325411341798784</v>
      </c>
      <c r="E183" s="383">
        <f t="shared" si="75"/>
        <v>59.918819750486186</v>
      </c>
      <c r="F183" s="383">
        <f t="shared" si="51"/>
        <v>59.92455017971001</v>
      </c>
      <c r="G183" s="110">
        <f t="shared" si="76"/>
        <v>0.97432351978125409</v>
      </c>
      <c r="H183" s="412" t="b">
        <f>Wh_hp&gt;='2027'!Maxi_hp</f>
        <v>0</v>
      </c>
      <c r="I183" s="388">
        <f>IF(H183,Wh_hp,'2027'!Maxi_hp)</f>
        <v>59.924748233248508</v>
      </c>
      <c r="J183" s="85">
        <f>IF(H183,An,'2027'!An_max)</f>
        <v>2026</v>
      </c>
      <c r="K183" s="197">
        <f t="shared" si="52"/>
        <v>46921</v>
      </c>
      <c r="L183" s="147">
        <f>IF(t&lt;Tvie,1-EXP((T0-t)*PertePVj)+'2027'!Pspv,1-EXP((T0-t)*PertePVj)+Pspv)</f>
        <v>6.3908861158133656E-2</v>
      </c>
      <c r="M183" s="832"/>
      <c r="N183" s="832"/>
      <c r="O183" s="48">
        <f>IF(t&lt;Tnet,'2027'!Resal+('2027'!Salim-'2027'!Resal)*(1-EXP(('2027'!Tnet-t)/('2027'!Tau_j))),Resal+(Salim-Resal)*(1-EXP((Tnet-t)/(Tau_j))))*Salcycl</f>
        <v>4.3282034250455306E-2</v>
      </c>
      <c r="P183" s="169">
        <f>(INDEX(Models!$BJ183:$BT183,,T183)*(1-R183)+INDEX(Models!$BJ183:$BT183,,T183+1)*R183-ERP_i)*Q183*Ramure*Pc/MaxiM</f>
        <v>9.9268124731820696E-5</v>
      </c>
      <c r="Q183" s="304">
        <f t="shared" si="53"/>
        <v>0.7</v>
      </c>
      <c r="R183" s="177">
        <f t="shared" si="54"/>
        <v>0.81137424338392461</v>
      </c>
      <c r="S183" s="799">
        <f t="shared" si="55"/>
        <v>-1</v>
      </c>
      <c r="T183" s="176">
        <f t="shared" si="56"/>
        <v>5</v>
      </c>
      <c r="U183" s="250">
        <f t="shared" si="57"/>
        <v>-0.18862575661607545</v>
      </c>
      <c r="V183" s="382">
        <f t="shared" si="58"/>
        <v>55.075766017915797</v>
      </c>
      <c r="W183" s="400">
        <f t="shared" si="59"/>
        <v>53.661809587522868</v>
      </c>
      <c r="X183" s="157">
        <f t="shared" si="60"/>
        <v>46921</v>
      </c>
      <c r="Y183" s="383">
        <f t="shared" si="61"/>
        <v>51.752132735815692</v>
      </c>
      <c r="Z183" s="383">
        <f t="shared" si="62"/>
        <v>55.285356936337976</v>
      </c>
      <c r="AA183" s="384">
        <f t="shared" si="63"/>
        <v>59.85679293310568</v>
      </c>
      <c r="AB183" s="197">
        <f t="shared" si="64"/>
        <v>46921</v>
      </c>
      <c r="AC183" s="119">
        <f>IF(OR(t&lt;Tnet,NoTnet),'2027'!Resal_s+('2027'!Salim-'2027'!Resal_s)*(1-EXP(('2027'!Tnet_s-t)/'2027'!Tau_j)),Resal_s+(Salim-Resal_s)*(1-EXP((Tnet_s-t)/Tau_j)))*Salcycl</f>
        <v>7.63728855616541E-2</v>
      </c>
      <c r="AD183" s="230">
        <f>(INDEX(Models!$BJ183:$BT183,,AH183)*(1-AF183)+INDEX(Models!$BJ183:$BT183,,AH183+1)*AF183-ERP_i)*AE183*Ramure*Pc/MaxiM</f>
        <v>1.1737575920907815E-3</v>
      </c>
      <c r="AE183" s="304">
        <f t="shared" si="65"/>
        <v>0.7</v>
      </c>
      <c r="AF183" s="177">
        <f t="shared" si="66"/>
        <v>0.56703207422327528</v>
      </c>
      <c r="AG183" s="799">
        <f t="shared" si="74"/>
        <v>2</v>
      </c>
      <c r="AH183" s="176">
        <f t="shared" si="67"/>
        <v>8</v>
      </c>
      <c r="AI183" s="224">
        <f t="shared" si="68"/>
        <v>2.5670320742232753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46922</v>
      </c>
      <c r="B184" s="409">
        <f>'2027'!Wh/'2027'!Env_an*'2028'!Env_an</f>
        <v>54.610214253576999</v>
      </c>
      <c r="C184" s="829"/>
      <c r="D184" s="391">
        <f t="shared" si="50"/>
        <v>58.339683605485057</v>
      </c>
      <c r="E184" s="383">
        <f t="shared" si="75"/>
        <v>60.984535313898242</v>
      </c>
      <c r="F184" s="383">
        <f t="shared" si="51"/>
        <v>60.99055582325088</v>
      </c>
      <c r="G184" s="110">
        <f t="shared" si="76"/>
        <v>0.99259712627657426</v>
      </c>
      <c r="H184" s="412" t="b">
        <f>Wh_hp&gt;='2027'!Maxi_hp</f>
        <v>0</v>
      </c>
      <c r="I184" s="388">
        <f>IF(H184,Wh_hp,'2027'!Maxi_hp)</f>
        <v>60.990613979636336</v>
      </c>
      <c r="J184" s="85">
        <f>IF(H184,An,'2027'!An_max)</f>
        <v>2026</v>
      </c>
      <c r="K184" s="197">
        <f t="shared" si="52"/>
        <v>46922</v>
      </c>
      <c r="L184" s="147">
        <f>IF(t&lt;Tvie,1-EXP((T0-t)*PertePVj)+'2027'!Pspv,1-EXP((T0-t)*PertePVj)+Pspv)</f>
        <v>6.3926801131252931E-2</v>
      </c>
      <c r="M184" s="832"/>
      <c r="N184" s="832"/>
      <c r="O184" s="48">
        <f>IF(t&lt;Tnet,'2027'!Resal+('2027'!Salim-'2027'!Resal)*(1-EXP(('2027'!Tnet-t)/('2027'!Tau_j))),Resal+(Salim-Resal)*(1-EXP((Tnet-t)/(Tau_j))))*Salcycl</f>
        <v>4.3369219668554684E-2</v>
      </c>
      <c r="P184" s="169">
        <f>(INDEX(Models!$BJ184:$BT184,,T184)*(1-R184)+INDEX(Models!$BJ184:$BT184,,T184+1)*R184-ERP_i)*Q184*Ramure*Pc/MaxiM</f>
        <v>9.9767098578874659E-5</v>
      </c>
      <c r="Q184" s="304">
        <f t="shared" si="53"/>
        <v>0.7</v>
      </c>
      <c r="R184" s="177">
        <f t="shared" si="54"/>
        <v>0.81536771811545461</v>
      </c>
      <c r="S184" s="799">
        <f t="shared" si="55"/>
        <v>-1</v>
      </c>
      <c r="T184" s="176">
        <f t="shared" si="56"/>
        <v>5</v>
      </c>
      <c r="U184" s="250">
        <f t="shared" si="57"/>
        <v>-0.18463228188454545</v>
      </c>
      <c r="V184" s="382">
        <f t="shared" si="58"/>
        <v>55.017443826565149</v>
      </c>
      <c r="W184" s="400">
        <f t="shared" si="59"/>
        <v>54.610214253576999</v>
      </c>
      <c r="X184" s="157">
        <f t="shared" si="60"/>
        <v>46922</v>
      </c>
      <c r="Y184" s="383">
        <f t="shared" si="61"/>
        <v>52.667012656665626</v>
      </c>
      <c r="Z184" s="383">
        <f t="shared" si="62"/>
        <v>56.263775867436635</v>
      </c>
      <c r="AA184" s="384">
        <f t="shared" si="63"/>
        <v>60.920296711991739</v>
      </c>
      <c r="AB184" s="197">
        <f t="shared" si="64"/>
        <v>46922</v>
      </c>
      <c r="AC184" s="119">
        <f>IF(OR(t&lt;Tnet,NoTnet),'2027'!Resal_s+('2027'!Salim-'2027'!Resal_s)*(1-EXP(('2027'!Tnet_s-t)/'2027'!Tau_j)),Resal_s+(Salim-Resal_s)*(1-EXP((Tnet_s-t)/Tau_j)))*Salcycl</f>
        <v>7.6436279793077544E-2</v>
      </c>
      <c r="AD184" s="230">
        <f>(INDEX(Models!$BJ184:$BT184,,AH184)*(1-AF184)+INDEX(Models!$BJ184:$BT184,,AH184+1)*AF184-ERP_i)*AE184*Ramure*Pc/MaxiM</f>
        <v>1.1642781812100629E-3</v>
      </c>
      <c r="AE184" s="304">
        <f t="shared" si="65"/>
        <v>0.7</v>
      </c>
      <c r="AF184" s="177">
        <f t="shared" si="66"/>
        <v>0.57102554895480528</v>
      </c>
      <c r="AG184" s="799">
        <f t="shared" si="74"/>
        <v>2</v>
      </c>
      <c r="AH184" s="176">
        <f t="shared" si="67"/>
        <v>8</v>
      </c>
      <c r="AI184" s="224">
        <f t="shared" si="68"/>
        <v>2.5710255489548053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46923</v>
      </c>
      <c r="B185" s="409">
        <f>'2027'!Wh/'2027'!Env_an*'2028'!Env_an</f>
        <v>28.687004630783594</v>
      </c>
      <c r="C185" s="829"/>
      <c r="D185" s="391">
        <f t="shared" si="50"/>
        <v>30.646699911810916</v>
      </c>
      <c r="E185" s="383">
        <f t="shared" si="75"/>
        <v>32.038975248693653</v>
      </c>
      <c r="F185" s="383">
        <f t="shared" si="51"/>
        <v>32.039994555157875</v>
      </c>
      <c r="G185" s="110">
        <f t="shared" si="76"/>
        <v>0.52195948456534857</v>
      </c>
      <c r="H185" s="412" t="b">
        <f>Wh_hp&gt;='2027'!Maxi_hp</f>
        <v>0</v>
      </c>
      <c r="I185" s="388">
        <f>IF(H185,Wh_hp,'2027'!Maxi_hp)</f>
        <v>55.931265464438617</v>
      </c>
      <c r="J185" s="85">
        <f>IF(H185,An,'2027'!An_max)</f>
        <v>2020</v>
      </c>
      <c r="K185" s="197">
        <f t="shared" si="52"/>
        <v>46923</v>
      </c>
      <c r="L185" s="147">
        <f>IF(t&lt;Tvie,1-EXP((T0-t)*PertePVj)+'2027'!Pspv,1-EXP((T0-t)*PertePVj)+Pspv)</f>
        <v>6.3944740760556562E-2</v>
      </c>
      <c r="M185" s="832"/>
      <c r="N185" s="832"/>
      <c r="O185" s="48">
        <f>IF(t&lt;Tnet,'2027'!Resal+('2027'!Salim-'2027'!Resal)*(1-EXP(('2027'!Tnet-t)/('2027'!Tau_j))),Resal+(Salim-Resal)*(1-EXP((Tnet-t)/(Tau_j))))*Salcycl</f>
        <v>4.3455676284137858E-2</v>
      </c>
      <c r="P185" s="169">
        <f>(INDEX(Models!$BJ185:$BT185,,T185)*(1-R185)+INDEX(Models!$BJ185:$BT185,,T185+1)*R185-ERP_i)*Q185*Ramure*Pc/MaxiM</f>
        <v>1.0031519369741545E-4</v>
      </c>
      <c r="Q185" s="304">
        <f t="shared" si="53"/>
        <v>0.7</v>
      </c>
      <c r="R185" s="177">
        <f t="shared" si="54"/>
        <v>0.81933130057712045</v>
      </c>
      <c r="S185" s="799">
        <f t="shared" si="55"/>
        <v>-1</v>
      </c>
      <c r="T185" s="176">
        <f t="shared" si="56"/>
        <v>5</v>
      </c>
      <c r="U185" s="250">
        <f t="shared" si="57"/>
        <v>-0.18066869942287958</v>
      </c>
      <c r="V185" s="382">
        <f t="shared" si="58"/>
        <v>54.956448364234802</v>
      </c>
      <c r="W185" s="400">
        <f t="shared" si="59"/>
        <v>28.687004630783594</v>
      </c>
      <c r="X185" s="157">
        <f t="shared" si="60"/>
        <v>46923</v>
      </c>
      <c r="Y185" s="383">
        <f t="shared" si="61"/>
        <v>27.686746457667773</v>
      </c>
      <c r="Z185" s="383">
        <f t="shared" si="62"/>
        <v>29.578111104427318</v>
      </c>
      <c r="AA185" s="384">
        <f t="shared" si="63"/>
        <v>32.028219097127426</v>
      </c>
      <c r="AB185" s="197">
        <f t="shared" si="64"/>
        <v>46923</v>
      </c>
      <c r="AC185" s="119">
        <f>IF(OR(t&lt;Tnet,NoTnet),'2027'!Resal_s+('2027'!Salim-'2027'!Resal_s)*(1-EXP(('2027'!Tnet_s-t)/'2027'!Tau_j)),Resal_s+(Salim-Resal_s)*(1-EXP((Tnet_s-t)/Tau_j)))*Salcycl</f>
        <v>7.6498414890631652E-2</v>
      </c>
      <c r="AD185" s="230">
        <f>(INDEX(Models!$BJ185:$BT185,,AH185)*(1-AF185)+INDEX(Models!$BJ185:$BT185,,AH185+1)*AF185-ERP_i)*AE185*Ramure*Pc/MaxiM</f>
        <v>1.1588834120690224E-3</v>
      </c>
      <c r="AE185" s="304">
        <f t="shared" si="65"/>
        <v>0.7</v>
      </c>
      <c r="AF185" s="177">
        <f t="shared" si="66"/>
        <v>0.57498913141647101</v>
      </c>
      <c r="AG185" s="799">
        <f t="shared" si="74"/>
        <v>2</v>
      </c>
      <c r="AH185" s="176">
        <f t="shared" si="67"/>
        <v>8</v>
      </c>
      <c r="AI185" s="224">
        <f t="shared" si="68"/>
        <v>2.574989131416471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46924</v>
      </c>
      <c r="B186" s="409">
        <f>'2027'!Wh/'2027'!Env_an*'2028'!Env_an</f>
        <v>18.978363597532379</v>
      </c>
      <c r="C186" s="829"/>
      <c r="D186" s="391">
        <f t="shared" si="50"/>
        <v>20.275221076084961</v>
      </c>
      <c r="E186" s="383">
        <f t="shared" si="75"/>
        <v>21.198221161844099</v>
      </c>
      <c r="F186" s="383">
        <f t="shared" si="51"/>
        <v>21.1983609280562</v>
      </c>
      <c r="G186" s="110">
        <f t="shared" si="76"/>
        <v>0.34570253513356969</v>
      </c>
      <c r="H186" s="412" t="b">
        <f>Wh_hp&gt;='2027'!Maxi_hp</f>
        <v>0</v>
      </c>
      <c r="I186" s="388">
        <f>IF(H186,Wh_hp,'2027'!Maxi_hp)</f>
        <v>56.260411269728877</v>
      </c>
      <c r="J186" s="85">
        <f>IF(H186,An,'2027'!An_max)</f>
        <v>2020</v>
      </c>
      <c r="K186" s="197">
        <f t="shared" si="52"/>
        <v>46924</v>
      </c>
      <c r="L186" s="147">
        <f>IF(t&lt;Tvie,1-EXP((T0-t)*PertePVj)+'2027'!Pspv,1-EXP((T0-t)*PertePVj)+Pspv)</f>
        <v>6.3962680046051434E-2</v>
      </c>
      <c r="M186" s="832"/>
      <c r="N186" s="832"/>
      <c r="O186" s="48">
        <f>IF(t&lt;Tnet,'2027'!Resal+('2027'!Salim-'2027'!Resal)*(1-EXP(('2027'!Tnet-t)/('2027'!Tau_j))),Resal+(Salim-Resal)*(1-EXP((Tnet-t)/(Tau_j))))*Salcycl</f>
        <v>4.3541393342027189E-2</v>
      </c>
      <c r="P186" s="169">
        <f>(INDEX(Models!$BJ186:$BT186,,T186)*(1-R186)+INDEX(Models!$BJ186:$BT186,,T186+1)*R186-ERP_i)*Q186*Ramure*Pc/MaxiM</f>
        <v>1.0091318001607925E-4</v>
      </c>
      <c r="Q186" s="304">
        <f t="shared" si="53"/>
        <v>0.7</v>
      </c>
      <c r="R186" s="177">
        <f t="shared" si="54"/>
        <v>0.82326201781682173</v>
      </c>
      <c r="S186" s="799">
        <f t="shared" si="55"/>
        <v>-1</v>
      </c>
      <c r="T186" s="176">
        <f t="shared" si="56"/>
        <v>5</v>
      </c>
      <c r="U186" s="250">
        <f t="shared" si="57"/>
        <v>-0.17673798218317821</v>
      </c>
      <c r="V186" s="382">
        <f t="shared" si="58"/>
        <v>54.892780987499073</v>
      </c>
      <c r="W186" s="400">
        <f t="shared" si="59"/>
        <v>18.978363597532379</v>
      </c>
      <c r="X186" s="157">
        <f t="shared" si="60"/>
        <v>46924</v>
      </c>
      <c r="Y186" s="383">
        <f t="shared" si="61"/>
        <v>18.321946848843055</v>
      </c>
      <c r="Z186" s="383">
        <f t="shared" si="62"/>
        <v>19.573949091842259</v>
      </c>
      <c r="AA186" s="384">
        <f t="shared" si="63"/>
        <v>21.196757508134652</v>
      </c>
      <c r="AB186" s="197">
        <f t="shared" si="64"/>
        <v>46924</v>
      </c>
      <c r="AC186" s="119">
        <f>IF(OR(t&lt;Tnet,NoTnet),'2027'!Resal_s+('2027'!Salim-'2027'!Resal_s)*(1-EXP(('2027'!Tnet_s-t)/'2027'!Tau_j)),Resal_s+(Salim-Resal_s)*(1-EXP((Tnet_s-t)/Tau_j)))*Salcycl</f>
        <v>7.6559276373738258E-2</v>
      </c>
      <c r="AD186" s="230">
        <f>(INDEX(Models!$BJ186:$BT186,,AH186)*(1-AF186)+INDEX(Models!$BJ186:$BT186,,AH186+1)*AF186-ERP_i)*AE186*Ramure*Pc/MaxiM</f>
        <v>1.1576918394835913E-3</v>
      </c>
      <c r="AE186" s="304">
        <f t="shared" si="65"/>
        <v>0.7</v>
      </c>
      <c r="AF186" s="177">
        <f t="shared" si="66"/>
        <v>0.57891984865617241</v>
      </c>
      <c r="AG186" s="799">
        <f t="shared" si="74"/>
        <v>2</v>
      </c>
      <c r="AH186" s="176">
        <f t="shared" si="67"/>
        <v>8</v>
      </c>
      <c r="AI186" s="224">
        <f t="shared" si="68"/>
        <v>2.5789198486561724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46925</v>
      </c>
      <c r="B187" s="409">
        <f>'2027'!Wh/'2027'!Env_an*'2028'!Env_an</f>
        <v>40.062950787259389</v>
      </c>
      <c r="C187" s="829"/>
      <c r="D187" s="391">
        <f t="shared" si="50"/>
        <v>42.801411594633223</v>
      </c>
      <c r="E187" s="383">
        <f t="shared" si="75"/>
        <v>44.753859686538021</v>
      </c>
      <c r="F187" s="383">
        <f t="shared" si="51"/>
        <v>44.756656660576084</v>
      </c>
      <c r="G187" s="110">
        <f t="shared" si="76"/>
        <v>0.73069459450249041</v>
      </c>
      <c r="H187" s="412" t="b">
        <f>Wh_hp&gt;='2027'!Maxi_hp</f>
        <v>0</v>
      </c>
      <c r="I187" s="388">
        <f>IF(H187,Wh_hp,'2027'!Maxi_hp)</f>
        <v>60.180759205917369</v>
      </c>
      <c r="J187" s="85">
        <f>IF(H187,An,'2027'!An_max)</f>
        <v>2020</v>
      </c>
      <c r="K187" s="197">
        <f t="shared" si="52"/>
        <v>46925</v>
      </c>
      <c r="L187" s="147">
        <f>IF(t&lt;Tvie,1-EXP((T0-t)*PertePVj)+'2027'!Pspv,1-EXP((T0-t)*PertePVj)+Pspv)</f>
        <v>6.3980618987743876E-2</v>
      </c>
      <c r="M187" s="832"/>
      <c r="N187" s="832"/>
      <c r="O187" s="48">
        <f>IF(t&lt;Tnet,'2027'!Resal+('2027'!Salim-'2027'!Resal)*(1-EXP(('2027'!Tnet-t)/('2027'!Tau_j))),Resal+(Salim-Resal)*(1-EXP((Tnet-t)/(Tau_j))))*Salcycl</f>
        <v>4.3626362185965752E-2</v>
      </c>
      <c r="P187" s="169">
        <f>(INDEX(Models!$BJ187:$BT187,,T187)*(1-R187)+INDEX(Models!$BJ187:$BT187,,T187+1)*R187-ERP_i)*Q187*Ramure*Pc/MaxiM</f>
        <v>1.0156185603088662E-4</v>
      </c>
      <c r="Q187" s="304">
        <f t="shared" si="53"/>
        <v>0.7</v>
      </c>
      <c r="R187" s="177">
        <f t="shared" si="54"/>
        <v>0.82715700096889189</v>
      </c>
      <c r="S187" s="799">
        <f t="shared" si="55"/>
        <v>-1</v>
      </c>
      <c r="T187" s="176">
        <f t="shared" si="56"/>
        <v>5</v>
      </c>
      <c r="U187" s="250">
        <f t="shared" si="57"/>
        <v>-0.17284299903110814</v>
      </c>
      <c r="V187" s="382">
        <f t="shared" si="58"/>
        <v>54.82644291318536</v>
      </c>
      <c r="W187" s="400">
        <f t="shared" si="59"/>
        <v>40.062950787259389</v>
      </c>
      <c r="X187" s="157">
        <f t="shared" si="60"/>
        <v>46925</v>
      </c>
      <c r="Y187" s="383">
        <f t="shared" si="61"/>
        <v>38.65566639129532</v>
      </c>
      <c r="Z187" s="383">
        <f t="shared" si="62"/>
        <v>41.297933755913505</v>
      </c>
      <c r="AA187" s="384">
        <f t="shared" si="63"/>
        <v>44.724688079672163</v>
      </c>
      <c r="AB187" s="197">
        <f t="shared" si="64"/>
        <v>46925</v>
      </c>
      <c r="AC187" s="119">
        <f>IF(OR(t&lt;Tnet,NoTnet),'2027'!Resal_s+('2027'!Salim-'2027'!Resal_s)*(1-EXP(('2027'!Tnet_s-t)/'2027'!Tau_j)),Resal_s+(Salim-Resal_s)*(1-EXP((Tnet_s-t)/Tau_j)))*Salcycl</f>
        <v>7.6618853498860939E-2</v>
      </c>
      <c r="AD187" s="230">
        <f>(INDEX(Models!$BJ187:$BT187,,AH187)*(1-AF187)+INDEX(Models!$BJ187:$BT187,,AH187+1)*AF187-ERP_i)*AE187*Ramure*Pc/MaxiM</f>
        <v>1.1608217906527328E-3</v>
      </c>
      <c r="AE187" s="304">
        <f t="shared" si="65"/>
        <v>0.7</v>
      </c>
      <c r="AF187" s="177">
        <f t="shared" si="66"/>
        <v>0.58281483180824267</v>
      </c>
      <c r="AG187" s="799">
        <f t="shared" si="74"/>
        <v>2</v>
      </c>
      <c r="AH187" s="176">
        <f t="shared" si="67"/>
        <v>8</v>
      </c>
      <c r="AI187" s="224">
        <f t="shared" si="68"/>
        <v>2.5828148318082427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46926</v>
      </c>
      <c r="B188" s="409">
        <f>'2027'!Wh/'2027'!Env_an*'2028'!Env_an</f>
        <v>41.676122769753825</v>
      </c>
      <c r="C188" s="829"/>
      <c r="D188" s="391">
        <f t="shared" si="50"/>
        <v>44.525703573973964</v>
      </c>
      <c r="E188" s="383">
        <f t="shared" si="75"/>
        <v>46.560907680077833</v>
      </c>
      <c r="F188" s="383">
        <f t="shared" si="51"/>
        <v>46.564044300260072</v>
      </c>
      <c r="G188" s="110">
        <f t="shared" si="76"/>
        <v>0.76107779658903019</v>
      </c>
      <c r="H188" s="412" t="b">
        <f>Wh_hp&gt;='2027'!Maxi_hp</f>
        <v>0</v>
      </c>
      <c r="I188" s="388">
        <f>IF(H188,Wh_hp,'2027'!Maxi_hp)</f>
        <v>53.862501168142678</v>
      </c>
      <c r="J188" s="85">
        <f>IF(H188,An,'2027'!An_max)</f>
        <v>2018</v>
      </c>
      <c r="K188" s="197">
        <f t="shared" si="52"/>
        <v>46926</v>
      </c>
      <c r="L188" s="147">
        <f>IF(t&lt;Tvie,1-EXP((T0-t)*PertePVj)+'2027'!Pspv,1-EXP((T0-t)*PertePVj)+Pspv)</f>
        <v>6.3998557585640659E-2</v>
      </c>
      <c r="M188" s="832"/>
      <c r="N188" s="832"/>
      <c r="O188" s="48">
        <f>IF(t&lt;Tnet,'2027'!Resal+('2027'!Salim-'2027'!Resal)*(1-EXP(('2027'!Tnet-t)/('2027'!Tau_j))),Resal+(Salim-Resal)*(1-EXP((Tnet-t)/(Tau_j))))*Salcycl</f>
        <v>4.3710576264703704E-2</v>
      </c>
      <c r="P188" s="169">
        <f>(INDEX(Models!$BJ188:$BT188,,T188)*(1-R188)+INDEX(Models!$BJ188:$BT188,,T188+1)*R188-ERP_i)*Q188*Ramure*Pc/MaxiM</f>
        <v>1.0226100333996469E-4</v>
      </c>
      <c r="Q188" s="304">
        <f t="shared" si="53"/>
        <v>0.7</v>
      </c>
      <c r="R188" s="177">
        <f t="shared" si="54"/>
        <v>0.83101349283386938</v>
      </c>
      <c r="S188" s="799">
        <f t="shared" si="55"/>
        <v>-1</v>
      </c>
      <c r="T188" s="176">
        <f t="shared" si="56"/>
        <v>5</v>
      </c>
      <c r="U188" s="250">
        <f t="shared" si="57"/>
        <v>-0.16898650716613062</v>
      </c>
      <c r="V188" s="382">
        <f t="shared" si="58"/>
        <v>54.757435283568682</v>
      </c>
      <c r="W188" s="400">
        <f t="shared" si="59"/>
        <v>41.676122769753825</v>
      </c>
      <c r="X188" s="157">
        <f t="shared" si="60"/>
        <v>46926</v>
      </c>
      <c r="Y188" s="383">
        <f t="shared" si="61"/>
        <v>40.211143468825128</v>
      </c>
      <c r="Z188" s="383">
        <f t="shared" si="62"/>
        <v>42.960557160150209</v>
      </c>
      <c r="AA188" s="384">
        <f t="shared" si="63"/>
        <v>46.528206964535009</v>
      </c>
      <c r="AB188" s="197">
        <f t="shared" si="64"/>
        <v>46926</v>
      </c>
      <c r="AC188" s="119">
        <f>IF(OR(t&lt;Tnet,NoTnet),'2027'!Resal_s+('2027'!Salim-'2027'!Resal_s)*(1-EXP(('2027'!Tnet_s-t)/'2027'!Tau_j)),Resal_s+(Salim-Resal_s)*(1-EXP((Tnet_s-t)/Tau_j)))*Salcycl</f>
        <v>7.6677139248115783E-2</v>
      </c>
      <c r="AD188" s="230">
        <f>(INDEX(Models!$BJ188:$BT188,,AH188)*(1-AF188)+INDEX(Models!$BJ188:$BT188,,AH188+1)*AF188-ERP_i)*AE188*Ramure*Pc/MaxiM</f>
        <v>1.1683792411424406E-3</v>
      </c>
      <c r="AE188" s="304">
        <f t="shared" si="65"/>
        <v>0.7</v>
      </c>
      <c r="AF188" s="177">
        <f t="shared" si="66"/>
        <v>0.58667132367322017</v>
      </c>
      <c r="AG188" s="799">
        <f t="shared" si="74"/>
        <v>2</v>
      </c>
      <c r="AH188" s="176">
        <f t="shared" si="67"/>
        <v>8</v>
      </c>
      <c r="AI188" s="224">
        <f t="shared" si="68"/>
        <v>2.5866713236732202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46927</v>
      </c>
      <c r="B189" s="409">
        <f>'2027'!Wh/'2027'!Env_an*'2028'!Env_an</f>
        <v>38.999973589685283</v>
      </c>
      <c r="C189" s="829"/>
      <c r="D189" s="391">
        <f t="shared" si="50"/>
        <v>41.667372786313564</v>
      </c>
      <c r="E189" s="383">
        <f t="shared" si="75"/>
        <v>43.575729646813187</v>
      </c>
      <c r="F189" s="383">
        <f t="shared" si="51"/>
        <v>43.578379229552112</v>
      </c>
      <c r="G189" s="110">
        <f t="shared" si="76"/>
        <v>0.7131349722446938</v>
      </c>
      <c r="H189" s="412" t="b">
        <f>Wh_hp&gt;='2027'!Maxi_hp</f>
        <v>0</v>
      </c>
      <c r="I189" s="388">
        <f>IF(H189,Wh_hp,'2027'!Maxi_hp)</f>
        <v>60.623696514192886</v>
      </c>
      <c r="J189" s="85">
        <f>IF(H189,An,'2027'!An_max)</f>
        <v>2020</v>
      </c>
      <c r="K189" s="197">
        <f t="shared" si="52"/>
        <v>46927</v>
      </c>
      <c r="L189" s="147">
        <f>IF(t&lt;Tvie,1-EXP((T0-t)*PertePVj)+'2027'!Pspv,1-EXP((T0-t)*PertePVj)+Pspv)</f>
        <v>6.4016495839748222E-2</v>
      </c>
      <c r="M189" s="832"/>
      <c r="N189" s="832"/>
      <c r="O189" s="48">
        <f>IF(t&lt;Tnet,'2027'!Resal+('2027'!Salim-'2027'!Resal)*(1-EXP(('2027'!Tnet-t)/('2027'!Tau_j))),Resal+(Salim-Resal)*(1-EXP((Tnet-t)/(Tau_j))))*Salcycl</f>
        <v>4.3794031126204891E-2</v>
      </c>
      <c r="P189" s="169">
        <f>(INDEX(Models!$BJ189:$BT189,,T189)*(1-R189)+INDEX(Models!$BJ189:$BT189,,T189+1)*R189-ERP_i)*Q189*Ramure*Pc/MaxiM</f>
        <v>1.0301034621151558E-4</v>
      </c>
      <c r="Q189" s="304">
        <f t="shared" si="53"/>
        <v>0.7</v>
      </c>
      <c r="R189" s="177">
        <f t="shared" si="54"/>
        <v>0.83482885473910329</v>
      </c>
      <c r="S189" s="799">
        <f t="shared" si="55"/>
        <v>-1</v>
      </c>
      <c r="T189" s="176">
        <f t="shared" si="56"/>
        <v>5</v>
      </c>
      <c r="U189" s="250">
        <f t="shared" si="57"/>
        <v>-0.16517114526089671</v>
      </c>
      <c r="V189" s="382">
        <f t="shared" si="58"/>
        <v>54.685759106605381</v>
      </c>
      <c r="W189" s="400">
        <f t="shared" si="59"/>
        <v>38.999973589685283</v>
      </c>
      <c r="X189" s="157">
        <f t="shared" si="60"/>
        <v>46927</v>
      </c>
      <c r="Y189" s="383">
        <f t="shared" si="61"/>
        <v>37.632524042865803</v>
      </c>
      <c r="Z189" s="383">
        <f t="shared" si="62"/>
        <v>40.20639666788685</v>
      </c>
      <c r="AA189" s="384">
        <f t="shared" si="63"/>
        <v>43.548015785347388</v>
      </c>
      <c r="AB189" s="197">
        <f t="shared" si="64"/>
        <v>46927</v>
      </c>
      <c r="AC189" s="119">
        <f>IF(OR(t&lt;Tnet,NoTnet),'2027'!Resal_s+('2027'!Salim-'2027'!Resal_s)*(1-EXP(('2027'!Tnet_s-t)/'2027'!Tau_j)),Resal_s+(Salim-Resal_s)*(1-EXP((Tnet_s-t)/Tau_j)))*Salcycl</f>
        <v>7.6734130297272746E-2</v>
      </c>
      <c r="AD189" s="230">
        <f>(INDEX(Models!$BJ189:$BT189,,AH189)*(1-AF189)+INDEX(Models!$BJ189:$BT189,,AH189+1)*AF189-ERP_i)*AE189*Ramure*Pc/MaxiM</f>
        <v>1.1804684766987838E-3</v>
      </c>
      <c r="AE189" s="304">
        <f t="shared" si="65"/>
        <v>0.7</v>
      </c>
      <c r="AF189" s="177">
        <f t="shared" si="66"/>
        <v>0.59048668557845385</v>
      </c>
      <c r="AG189" s="799">
        <f t="shared" si="74"/>
        <v>2</v>
      </c>
      <c r="AH189" s="176">
        <f t="shared" si="67"/>
        <v>8</v>
      </c>
      <c r="AI189" s="224">
        <f t="shared" si="68"/>
        <v>2.5904866855784539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46928</v>
      </c>
      <c r="B190" s="409">
        <f>'2027'!Wh/'2027'!Env_an*'2028'!Env_an</f>
        <v>39.010148306369899</v>
      </c>
      <c r="C190" s="829"/>
      <c r="D190" s="391">
        <f t="shared" si="50"/>
        <v>41.679042171037729</v>
      </c>
      <c r="E190" s="383">
        <f t="shared" si="75"/>
        <v>43.591703323908156</v>
      </c>
      <c r="F190" s="383">
        <f t="shared" si="51"/>
        <v>43.594381952947579</v>
      </c>
      <c r="G190" s="110">
        <f t="shared" si="76"/>
        <v>0.71429197256786858</v>
      </c>
      <c r="H190" s="412" t="b">
        <f>Wh_hp&gt;='2027'!Maxi_hp</f>
        <v>0</v>
      </c>
      <c r="I190" s="388">
        <f>IF(H190,Wh_hp,'2027'!Maxi_hp)</f>
        <v>61.35509471330375</v>
      </c>
      <c r="J190" s="85">
        <f>IF(H190,An,'2027'!An_max)</f>
        <v>2020</v>
      </c>
      <c r="K190" s="197">
        <f t="shared" si="52"/>
        <v>46928</v>
      </c>
      <c r="L190" s="147">
        <f>IF(t&lt;Tvie,1-EXP((T0-t)*PertePVj)+'2027'!Pspv,1-EXP((T0-t)*PertePVj)+Pspv)</f>
        <v>6.4034433750073338E-2</v>
      </c>
      <c r="M190" s="832"/>
      <c r="N190" s="832"/>
      <c r="O190" s="48">
        <f>IF(t&lt;Tnet,'2027'!Resal+('2027'!Salim-'2027'!Resal)*(1-EXP(('2027'!Tnet-t)/('2027'!Tau_j))),Resal+(Salim-Resal)*(1-EXP((Tnet-t)/(Tau_j))))*Salcycl</f>
        <v>4.3876724400017129E-2</v>
      </c>
      <c r="P190" s="169">
        <f>(INDEX(Models!$BJ190:$BT190,,T190)*(1-R190)+INDEX(Models!$BJ190:$BT190,,T190+1)*R190-ERP_i)*Q190*Ramure*Pc/MaxiM</f>
        <v>1.03810634227791E-4</v>
      </c>
      <c r="Q190" s="304">
        <f t="shared" si="53"/>
        <v>0.7</v>
      </c>
      <c r="R190" s="177">
        <f t="shared" si="54"/>
        <v>0.83860057265188404</v>
      </c>
      <c r="S190" s="799">
        <f t="shared" si="55"/>
        <v>-1</v>
      </c>
      <c r="T190" s="176">
        <f t="shared" si="56"/>
        <v>5</v>
      </c>
      <c r="U190" s="250">
        <f t="shared" si="57"/>
        <v>-0.16139942734811596</v>
      </c>
      <c r="V190" s="382">
        <f t="shared" si="58"/>
        <v>54.611415203315033</v>
      </c>
      <c r="W190" s="400">
        <f t="shared" si="59"/>
        <v>39.010148306369899</v>
      </c>
      <c r="X190" s="157">
        <f t="shared" si="60"/>
        <v>46928</v>
      </c>
      <c r="Y190" s="383">
        <f t="shared" si="61"/>
        <v>37.642904216350402</v>
      </c>
      <c r="Z190" s="383">
        <f t="shared" si="62"/>
        <v>40.218257566004077</v>
      </c>
      <c r="AA190" s="384">
        <f t="shared" si="63"/>
        <v>43.563490460377785</v>
      </c>
      <c r="AB190" s="197">
        <f t="shared" si="64"/>
        <v>46928</v>
      </c>
      <c r="AC190" s="119">
        <f>IF(OR(t&lt;Tnet,NoTnet),'2027'!Resal_s+('2027'!Salim-'2027'!Resal_s)*(1-EXP(('2027'!Tnet_s-t)/'2027'!Tau_j)),Resal_s+(Salim-Resal_s)*(1-EXP((Tnet_s-t)/Tau_j)))*Salcycl</f>
        <v>7.6789826963390151E-2</v>
      </c>
      <c r="AD190" s="230">
        <f>(INDEX(Models!$BJ190:$BT190,,AH190)*(1-AF190)+INDEX(Models!$BJ190:$BT190,,AH190+1)*AF190-ERP_i)*AE190*Ramure*Pc/MaxiM</f>
        <v>1.1972040132177818E-3</v>
      </c>
      <c r="AE190" s="304">
        <f t="shared" si="65"/>
        <v>0.7</v>
      </c>
      <c r="AF190" s="177">
        <f t="shared" si="66"/>
        <v>0.5942584034912346</v>
      </c>
      <c r="AG190" s="799">
        <f t="shared" si="74"/>
        <v>2</v>
      </c>
      <c r="AH190" s="176">
        <f t="shared" si="67"/>
        <v>8</v>
      </c>
      <c r="AI190" s="224">
        <f t="shared" si="68"/>
        <v>2.5942584034912346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46929</v>
      </c>
      <c r="B191" s="409">
        <f>'2027'!Wh/'2027'!Env_an*'2028'!Env_an</f>
        <v>10.249639403255129</v>
      </c>
      <c r="C191" s="829"/>
      <c r="D191" s="391">
        <f t="shared" si="50"/>
        <v>10.951082185734654</v>
      </c>
      <c r="E191" s="383">
        <f t="shared" si="75"/>
        <v>11.454611510060944</v>
      </c>
      <c r="F191" s="383">
        <f t="shared" si="51"/>
        <v>11.454611510060944</v>
      </c>
      <c r="G191" s="110">
        <f t="shared" si="76"/>
        <v>0.18793063865252005</v>
      </c>
      <c r="H191" s="412" t="b">
        <f>Wh_hp&gt;='2027'!Maxi_hp</f>
        <v>0</v>
      </c>
      <c r="I191" s="388">
        <f>IF(H191,Wh_hp,'2027'!Maxi_hp)</f>
        <v>61.449694288761741</v>
      </c>
      <c r="J191" s="85">
        <f>IF(H191,An,'2027'!An_max)</f>
        <v>2018</v>
      </c>
      <c r="K191" s="197">
        <f t="shared" si="52"/>
        <v>46929</v>
      </c>
      <c r="L191" s="147">
        <f>IF(t&lt;Tvie,1-EXP((T0-t)*PertePVj)+'2027'!Pspv,1-EXP((T0-t)*PertePVj)+Pspv)</f>
        <v>6.4052371316622447E-2</v>
      </c>
      <c r="M191" s="832"/>
      <c r="N191" s="832"/>
      <c r="O191" s="48">
        <f>IF(t&lt;Tnet,'2027'!Resal+('2027'!Salim-'2027'!Resal)*(1-EXP(('2027'!Tnet-t)/('2027'!Tau_j))),Resal+(Salim-Resal)*(1-EXP((Tnet-t)/(Tau_j))))*Salcycl</f>
        <v>4.395865576794334E-2</v>
      </c>
      <c r="P191" s="169">
        <f>(INDEX(Models!$BJ191:$BT191,,T191)*(1-R191)+INDEX(Models!$BJ191:$BT191,,T191+1)*R191-ERP_i)*Q191*Ramure*Pc/MaxiM</f>
        <v>1.0466385056619477E-4</v>
      </c>
      <c r="Q191" s="304">
        <f t="shared" si="53"/>
        <v>0.7</v>
      </c>
      <c r="R191" s="177">
        <f t="shared" si="54"/>
        <v>0.84232626252454978</v>
      </c>
      <c r="S191" s="799">
        <f t="shared" si="55"/>
        <v>-1</v>
      </c>
      <c r="T191" s="176">
        <f t="shared" si="56"/>
        <v>5</v>
      </c>
      <c r="U191" s="250">
        <f t="shared" si="57"/>
        <v>-0.15767373747545016</v>
      </c>
      <c r="V191" s="382">
        <f t="shared" si="58"/>
        <v>54.533772193887245</v>
      </c>
      <c r="W191" s="400">
        <f t="shared" si="59"/>
        <v>10.249639403255129</v>
      </c>
      <c r="X191" s="157">
        <f t="shared" si="60"/>
        <v>46929</v>
      </c>
      <c r="Y191" s="383">
        <f t="shared" si="61"/>
        <v>9.8970758749224217</v>
      </c>
      <c r="Z191" s="383">
        <f t="shared" si="62"/>
        <v>10.57439067273978</v>
      </c>
      <c r="AA191" s="384">
        <f t="shared" si="63"/>
        <v>11.454611510060944</v>
      </c>
      <c r="AB191" s="197">
        <f t="shared" si="64"/>
        <v>46929</v>
      </c>
      <c r="AC191" s="119">
        <f>IF(OR(t&lt;Tnet,NoTnet),'2027'!Resal_s+('2027'!Salim-'2027'!Resal_s)*(1-EXP(('2027'!Tnet_s-t)/'2027'!Tau_j)),Resal_s+(Salim-Resal_s)*(1-EXP((Tnet_s-t)/Tau_j)))*Salcycl</f>
        <v>7.684423313248466E-2</v>
      </c>
      <c r="AD191" s="230">
        <f>(INDEX(Models!$BJ191:$BT191,,AH191)*(1-AF191)+INDEX(Models!$BJ191:$BT191,,AH191+1)*AF191-ERP_i)*AE191*Ramure*Pc/MaxiM</f>
        <v>1.2187130359313351E-3</v>
      </c>
      <c r="AE191" s="304">
        <f t="shared" si="65"/>
        <v>0.7</v>
      </c>
      <c r="AF191" s="177">
        <f t="shared" si="66"/>
        <v>0.59798409336390046</v>
      </c>
      <c r="AG191" s="799">
        <f t="shared" si="74"/>
        <v>2</v>
      </c>
      <c r="AH191" s="176">
        <f t="shared" si="67"/>
        <v>8</v>
      </c>
      <c r="AI191" s="224">
        <f t="shared" si="68"/>
        <v>2.5979840933639005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46930</v>
      </c>
      <c r="B192" s="409">
        <f>'2027'!Wh/'2027'!Env_an*'2028'!Env_an</f>
        <v>15.312953083861593</v>
      </c>
      <c r="C192" s="829"/>
      <c r="D192" s="391">
        <f t="shared" si="50"/>
        <v>16.361221599845209</v>
      </c>
      <c r="E192" s="383">
        <f t="shared" si="75"/>
        <v>17.114961544042814</v>
      </c>
      <c r="F192" s="383">
        <f t="shared" si="51"/>
        <v>17.114961544042814</v>
      </c>
      <c r="G192" s="110">
        <f t="shared" si="76"/>
        <v>0.28118757584021992</v>
      </c>
      <c r="H192" s="412" t="b">
        <f>Wh_hp&gt;='2027'!Maxi_hp</f>
        <v>0</v>
      </c>
      <c r="I192" s="388">
        <f>IF(H192,Wh_hp,'2027'!Maxi_hp)</f>
        <v>60.093655665818403</v>
      </c>
      <c r="J192" s="85">
        <f>IF(H192,An,'2027'!An_max)</f>
        <v>2018</v>
      </c>
      <c r="K192" s="197">
        <f t="shared" si="52"/>
        <v>46930</v>
      </c>
      <c r="L192" s="147">
        <f>IF(t&lt;Tvie,1-EXP((T0-t)*PertePVj)+'2027'!Pspv,1-EXP((T0-t)*PertePVj)+Pspv)</f>
        <v>6.407030853940221E-2</v>
      </c>
      <c r="M192" s="832"/>
      <c r="N192" s="832"/>
      <c r="O192" s="48">
        <f>IF(t&lt;Tnet,'2027'!Resal+('2027'!Salim-'2027'!Resal)*(1-EXP(('2027'!Tnet-t)/('2027'!Tau_j))),Resal+(Salim-Resal)*(1-EXP((Tnet-t)/(Tau_j))))*Salcycl</f>
        <v>4.4039826923243E-2</v>
      </c>
      <c r="P192" s="169">
        <f>(INDEX(Models!$BJ192:$BT192,,T192)*(1-R192)+INDEX(Models!$BJ192:$BT192,,T192+1)*R192-ERP_i)*Q192*Ramure*Pc/MaxiM</f>
        <v>1.0552857007551987E-4</v>
      </c>
      <c r="Q192" s="304">
        <f t="shared" si="53"/>
        <v>0.7</v>
      </c>
      <c r="R192" s="177">
        <f t="shared" si="54"/>
        <v>0.84600367485872352</v>
      </c>
      <c r="S192" s="799">
        <f t="shared" si="55"/>
        <v>-1</v>
      </c>
      <c r="T192" s="176">
        <f t="shared" si="56"/>
        <v>5</v>
      </c>
      <c r="U192" s="250">
        <f t="shared" si="57"/>
        <v>-0.15399632514127648</v>
      </c>
      <c r="V192" s="382">
        <f t="shared" si="58"/>
        <v>54.452395643964827</v>
      </c>
      <c r="W192" s="400">
        <f t="shared" si="59"/>
        <v>15.312953083861593</v>
      </c>
      <c r="X192" s="157">
        <f t="shared" si="60"/>
        <v>46930</v>
      </c>
      <c r="Y192" s="383">
        <f t="shared" si="61"/>
        <v>14.786628015157044</v>
      </c>
      <c r="Z192" s="383">
        <f t="shared" si="62"/>
        <v>15.798866250392436</v>
      </c>
      <c r="AA192" s="384">
        <f t="shared" si="63"/>
        <v>17.114961544042814</v>
      </c>
      <c r="AB192" s="197">
        <f t="shared" si="64"/>
        <v>46930</v>
      </c>
      <c r="AC192" s="119">
        <f>IF(OR(t&lt;Tnet,NoTnet),'2027'!Resal_s+('2027'!Salim-'2027'!Resal_s)*(1-EXP(('2027'!Tnet_s-t)/'2027'!Tau_j)),Resal_s+(Salim-Resal_s)*(1-EXP((Tnet_s-t)/Tau_j)))*Salcycl</f>
        <v>7.6897356167795111E-2</v>
      </c>
      <c r="AD192" s="230">
        <f>(INDEX(Models!$BJ192:$BT192,,AH192)*(1-AF192)+INDEX(Models!$BJ192:$BT192,,AH192+1)*AF192-ERP_i)*AE192*Ramure*Pc/MaxiM</f>
        <v>1.2478423214400587E-3</v>
      </c>
      <c r="AE192" s="304">
        <f t="shared" si="65"/>
        <v>0.7</v>
      </c>
      <c r="AF192" s="177">
        <f t="shared" si="66"/>
        <v>0.60166150569807408</v>
      </c>
      <c r="AG192" s="799">
        <f t="shared" si="74"/>
        <v>2</v>
      </c>
      <c r="AH192" s="176">
        <f t="shared" si="67"/>
        <v>8</v>
      </c>
      <c r="AI192" s="224">
        <f t="shared" si="68"/>
        <v>2.6016615056980741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46931</v>
      </c>
      <c r="B193" s="409">
        <f>'2027'!Wh/'2027'!Env_an*'2028'!Env_an</f>
        <v>54.020794196914153</v>
      </c>
      <c r="C193" s="829"/>
      <c r="D193" s="391">
        <f t="shared" si="50"/>
        <v>57.719965512202904</v>
      </c>
      <c r="E193" s="383">
        <f t="shared" si="75"/>
        <v>60.384127815309455</v>
      </c>
      <c r="F193" s="383">
        <f t="shared" si="51"/>
        <v>60.390493405657871</v>
      </c>
      <c r="G193" s="110">
        <f t="shared" si="76"/>
        <v>0.99362050500419918</v>
      </c>
      <c r="H193" s="412" t="b">
        <f>Wh_hp&gt;='2027'!Maxi_hp</f>
        <v>0</v>
      </c>
      <c r="I193" s="388">
        <f>IF(H193,Wh_hp,'2027'!Maxi_hp)</f>
        <v>60.390544316619234</v>
      </c>
      <c r="J193" s="85">
        <f>IF(H193,An,'2027'!An_max)</f>
        <v>2026</v>
      </c>
      <c r="K193" s="197">
        <f t="shared" si="52"/>
        <v>46931</v>
      </c>
      <c r="L193" s="147">
        <f>IF(t&lt;Tvie,1-EXP((T0-t)*PertePVj)+'2027'!Pspv,1-EXP((T0-t)*PertePVj)+Pspv)</f>
        <v>6.4088245418419176E-2</v>
      </c>
      <c r="M193" s="832"/>
      <c r="N193" s="832"/>
      <c r="O193" s="48">
        <f>IF(t&lt;Tnet,'2027'!Resal+('2027'!Salim-'2027'!Resal)*(1-EXP(('2027'!Tnet-t)/('2027'!Tau_j))),Resal+(Salim-Resal)*(1-EXP((Tnet-t)/(Tau_j))))*Salcycl</f>
        <v>4.4120241518684163E-2</v>
      </c>
      <c r="P193" s="169">
        <f>(INDEX(Models!$BJ193:$BT193,,T193)*(1-R193)+INDEX(Models!$BJ193:$BT193,,T193+1)*R193-ERP_i)*Q193*Ramure*Pc/MaxiM</f>
        <v>1.0637648165418618E-4</v>
      </c>
      <c r="Q193" s="304">
        <f t="shared" si="53"/>
        <v>0.7</v>
      </c>
      <c r="R193" s="177">
        <f t="shared" si="54"/>
        <v>0.84963069848338713</v>
      </c>
      <c r="S193" s="799">
        <f t="shared" si="55"/>
        <v>-1</v>
      </c>
      <c r="T193" s="176">
        <f t="shared" si="56"/>
        <v>5</v>
      </c>
      <c r="U193" s="250">
        <f t="shared" si="57"/>
        <v>-0.15036930151661287</v>
      </c>
      <c r="V193" s="382">
        <f t="shared" si="58"/>
        <v>54.367579529362921</v>
      </c>
      <c r="W193" s="400">
        <f t="shared" si="59"/>
        <v>54.020794196914153</v>
      </c>
      <c r="X193" s="157">
        <f t="shared" si="60"/>
        <v>46931</v>
      </c>
      <c r="Y193" s="383">
        <f t="shared" si="61"/>
        <v>52.104694492523642</v>
      </c>
      <c r="Z193" s="383">
        <f t="shared" si="62"/>
        <v>55.672657424650204</v>
      </c>
      <c r="AA193" s="384">
        <f t="shared" si="63"/>
        <v>60.31375286684613</v>
      </c>
      <c r="AB193" s="197">
        <f t="shared" si="64"/>
        <v>46931</v>
      </c>
      <c r="AC193" s="119">
        <f>IF(OR(t&lt;Tnet,NoTnet),'2027'!Resal_s+('2027'!Salim-'2027'!Resal_s)*(1-EXP(('2027'!Tnet_s-t)/'2027'!Tau_j)),Resal_s+(Salim-Resal_s)*(1-EXP((Tnet_s-t)/Tau_j)))*Salcycl</f>
        <v>7.6949206799351549E-2</v>
      </c>
      <c r="AD193" s="230">
        <f>(INDEX(Models!$BJ193:$BT193,,AH193)*(1-AF193)+INDEX(Models!$BJ193:$BT193,,AH193+1)*AF193-ERP_i)*AE193*Ramure*Pc/MaxiM</f>
        <v>1.2824244213378373E-3</v>
      </c>
      <c r="AE193" s="304">
        <f t="shared" si="65"/>
        <v>0.7</v>
      </c>
      <c r="AF193" s="177">
        <f t="shared" si="66"/>
        <v>0.60528852932273791</v>
      </c>
      <c r="AG193" s="799">
        <f t="shared" si="74"/>
        <v>2</v>
      </c>
      <c r="AH193" s="176">
        <f t="shared" si="67"/>
        <v>8</v>
      </c>
      <c r="AI193" s="224">
        <f t="shared" si="68"/>
        <v>2.6052885293227379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46932</v>
      </c>
      <c r="B194" s="409">
        <f>'2027'!Wh/'2027'!Env_an*'2028'!Env_an</f>
        <v>55.037834672718816</v>
      </c>
      <c r="C194" s="829"/>
      <c r="D194" s="391">
        <f t="shared" si="50"/>
        <v>58.807776706560993</v>
      </c>
      <c r="E194" s="383">
        <f t="shared" si="75"/>
        <v>61.527276488658366</v>
      </c>
      <c r="F194" s="383">
        <f t="shared" si="51"/>
        <v>61.533873329482425</v>
      </c>
      <c r="G194" s="110">
        <f t="shared" si="76"/>
        <v>1.013968753642656</v>
      </c>
      <c r="H194" s="412" t="b">
        <f>Wh_hp&gt;='2027'!Maxi_hp</f>
        <v>1</v>
      </c>
      <c r="I194" s="388">
        <f>IF(H194,Wh_hp,'2027'!Maxi_hp)</f>
        <v>61.533873329482425</v>
      </c>
      <c r="J194" s="85">
        <f>IF(H194,An,'2027'!An_max)</f>
        <v>2028</v>
      </c>
      <c r="K194" s="197">
        <f t="shared" si="52"/>
        <v>46932</v>
      </c>
      <c r="L194" s="147">
        <f>IF(t&lt;Tvie,1-EXP((T0-t)*PertePVj)+'2027'!Pspv,1-EXP((T0-t)*PertePVj)+Pspv)</f>
        <v>6.4106181953679897E-2</v>
      </c>
      <c r="M194" s="832"/>
      <c r="N194" s="832"/>
      <c r="O194" s="48">
        <f>IF(t&lt;Tnet,'2027'!Resal+('2027'!Salim-'2027'!Resal)*(1-EXP(('2027'!Tnet-t)/('2027'!Tau_j))),Resal+(Salim-Resal)*(1-EXP((Tnet-t)/(Tau_j))))*Salcycl</f>
        <v>4.419990510385538E-2</v>
      </c>
      <c r="P194" s="169">
        <f>(INDEX(Models!$BJ194:$BT194,,T194)*(1-R194)+INDEX(Models!$BJ194:$BT194,,T194+1)*R194-ERP_i)*Q194*Ramure*Pc/MaxiM</f>
        <v>1.0720665654727257E-4</v>
      </c>
      <c r="Q194" s="304">
        <f t="shared" si="53"/>
        <v>0.7</v>
      </c>
      <c r="R194" s="177">
        <f t="shared" si="54"/>
        <v>0.85320536354880505</v>
      </c>
      <c r="S194" s="799">
        <f t="shared" si="55"/>
        <v>-1</v>
      </c>
      <c r="T194" s="176">
        <f t="shared" si="56"/>
        <v>5</v>
      </c>
      <c r="U194" s="250">
        <f t="shared" si="57"/>
        <v>-0.146794636451195</v>
      </c>
      <c r="V194" s="382">
        <f t="shared" si="58"/>
        <v>54.279616087770798</v>
      </c>
      <c r="W194" s="400">
        <f t="shared" si="59"/>
        <v>55.037834672718816</v>
      </c>
      <c r="X194" s="157">
        <f t="shared" si="60"/>
        <v>46932</v>
      </c>
      <c r="Y194" s="383">
        <f t="shared" si="61"/>
        <v>53.08451582524355</v>
      </c>
      <c r="Z194" s="383">
        <f t="shared" si="62"/>
        <v>56.720660828872198</v>
      </c>
      <c r="AA194" s="384">
        <f t="shared" si="63"/>
        <v>61.452490223897975</v>
      </c>
      <c r="AB194" s="197">
        <f t="shared" si="64"/>
        <v>46932</v>
      </c>
      <c r="AC194" s="119">
        <f>IF(OR(t&lt;Tnet,NoTnet),'2027'!Resal_s+('2027'!Salim-'2027'!Resal_s)*(1-EXP(('2027'!Tnet_s-t)/'2027'!Tau_j)),Resal_s+(Salim-Resal_s)*(1-EXP((Tnet_s-t)/Tau_j)))*Salcycl</f>
        <v>7.6999798995706706E-2</v>
      </c>
      <c r="AD194" s="230">
        <f>(INDEX(Models!$BJ194:$BT194,,AH194)*(1-AF194)+INDEX(Models!$BJ194:$BT194,,AH194+1)*AF194-ERP_i)*AE194*Ramure*Pc/MaxiM</f>
        <v>1.3225740747487731E-3</v>
      </c>
      <c r="AE194" s="304">
        <f t="shared" si="65"/>
        <v>0.7</v>
      </c>
      <c r="AF194" s="177">
        <f t="shared" si="66"/>
        <v>0.60886319438815573</v>
      </c>
      <c r="AG194" s="799">
        <f t="shared" si="74"/>
        <v>2</v>
      </c>
      <c r="AH194" s="176">
        <f t="shared" si="67"/>
        <v>8</v>
      </c>
      <c r="AI194" s="224">
        <f t="shared" si="68"/>
        <v>2.6088631943881557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46933</v>
      </c>
      <c r="B195" s="409">
        <f>'2027'!Wh/'2027'!Env_an*'2028'!Env_an</f>
        <v>12.143382499353253</v>
      </c>
      <c r="C195" s="829"/>
      <c r="D195" s="391">
        <f t="shared" si="50"/>
        <v>12.975419855126868</v>
      </c>
      <c r="E195" s="383">
        <f t="shared" si="75"/>
        <v>13.576574627883479</v>
      </c>
      <c r="F195" s="383">
        <f t="shared" si="51"/>
        <v>13.576574627883479</v>
      </c>
      <c r="G195" s="110">
        <f t="shared" si="76"/>
        <v>0.2240697597081068</v>
      </c>
      <c r="H195" s="412" t="b">
        <f>Wh_hp&gt;='2027'!Maxi_hp</f>
        <v>0</v>
      </c>
      <c r="I195" s="388">
        <f>IF(H195,Wh_hp,'2027'!Maxi_hp)</f>
        <v>46.176742952915681</v>
      </c>
      <c r="J195" s="85">
        <f>IF(H195,An,'2027'!An_max)</f>
        <v>2018</v>
      </c>
      <c r="K195" s="197">
        <f t="shared" si="52"/>
        <v>46933</v>
      </c>
      <c r="L195" s="147">
        <f>IF(t&lt;Tvie,1-EXP((T0-t)*PertePVj)+'2027'!Pspv,1-EXP((T0-t)*PertePVj)+Pspv)</f>
        <v>6.4124118145191145E-2</v>
      </c>
      <c r="M195" s="832"/>
      <c r="N195" s="832"/>
      <c r="O195" s="48">
        <f>IF(t&lt;Tnet,'2027'!Resal+('2027'!Salim-'2027'!Resal)*(1-EXP(('2027'!Tnet-t)/('2027'!Tau_j))),Resal+(Salim-Resal)*(1-EXP((Tnet-t)/(Tau_j))))*Salcycl</f>
        <v>4.4278825052231116E-2</v>
      </c>
      <c r="P195" s="169">
        <f>(INDEX(Models!$BJ195:$BT195,,T195)*(1-R195)+INDEX(Models!$BJ195:$BT195,,T195+1)*R195-ERP_i)*Q195*Ramure*Pc/MaxiM</f>
        <v>1.0801818545148035E-4</v>
      </c>
      <c r="Q195" s="304">
        <f t="shared" si="53"/>
        <v>0.7</v>
      </c>
      <c r="R195" s="177">
        <f t="shared" si="54"/>
        <v>0.85672584374524952</v>
      </c>
      <c r="S195" s="799">
        <f t="shared" si="55"/>
        <v>-1</v>
      </c>
      <c r="T195" s="176">
        <f t="shared" si="56"/>
        <v>5</v>
      </c>
      <c r="U195" s="250">
        <f t="shared" si="57"/>
        <v>-0.14327415625475048</v>
      </c>
      <c r="V195" s="382">
        <f t="shared" si="58"/>
        <v>54.188797314853062</v>
      </c>
      <c r="W195" s="400">
        <f t="shared" si="59"/>
        <v>12.143382499353253</v>
      </c>
      <c r="X195" s="157">
        <f t="shared" si="60"/>
        <v>46933</v>
      </c>
      <c r="Y195" s="383">
        <f t="shared" si="61"/>
        <v>11.72700312145515</v>
      </c>
      <c r="Z195" s="383">
        <f t="shared" si="62"/>
        <v>12.530511095353207</v>
      </c>
      <c r="AA195" s="384">
        <f t="shared" si="63"/>
        <v>13.576574627883479</v>
      </c>
      <c r="AB195" s="197">
        <f t="shared" si="64"/>
        <v>46933</v>
      </c>
      <c r="AC195" s="119">
        <f>IF(OR(t&lt;Tnet,NoTnet),'2027'!Resal_s+('2027'!Salim-'2027'!Resal_s)*(1-EXP(('2027'!Tnet_s-t)/'2027'!Tau_j)),Resal_s+(Salim-Resal_s)*(1-EXP((Tnet_s-t)/Tau_j)))*Salcycl</f>
        <v>7.7049149818826462E-2</v>
      </c>
      <c r="AD195" s="230">
        <f>(INDEX(Models!$BJ195:$BT195,,AH195)*(1-AF195)+INDEX(Models!$BJ195:$BT195,,AH195+1)*AF195-ERP_i)*AE195*Ramure*Pc/MaxiM</f>
        <v>1.3684034549464172E-3</v>
      </c>
      <c r="AE195" s="304">
        <f t="shared" si="65"/>
        <v>0.7</v>
      </c>
      <c r="AF195" s="177">
        <f t="shared" si="66"/>
        <v>0.61238367458460008</v>
      </c>
      <c r="AG195" s="799">
        <f t="shared" si="74"/>
        <v>2</v>
      </c>
      <c r="AH195" s="176">
        <f t="shared" si="67"/>
        <v>8</v>
      </c>
      <c r="AI195" s="224">
        <f t="shared" si="68"/>
        <v>2.6123836745846001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46934</v>
      </c>
      <c r="B196" s="409">
        <f>'2027'!Wh/'2027'!Env_an*'2028'!Env_an</f>
        <v>38.707557976760228</v>
      </c>
      <c r="C196" s="829"/>
      <c r="D196" s="391">
        <f t="shared" si="50"/>
        <v>41.360505771106652</v>
      </c>
      <c r="E196" s="383">
        <f t="shared" si="75"/>
        <v>43.280290050387023</v>
      </c>
      <c r="F196" s="383">
        <f t="shared" si="51"/>
        <v>43.283085842959693</v>
      </c>
      <c r="G196" s="110">
        <f t="shared" si="76"/>
        <v>0.7155106648612013</v>
      </c>
      <c r="H196" s="412" t="b">
        <f>Wh_hp&gt;='2027'!Maxi_hp</f>
        <v>0</v>
      </c>
      <c r="I196" s="388">
        <f>IF(H196,Wh_hp,'2027'!Maxi_hp)</f>
        <v>60.353143786946767</v>
      </c>
      <c r="J196" s="85">
        <f>IF(H196,An,'2027'!An_max)</f>
        <v>2020</v>
      </c>
      <c r="K196" s="197">
        <f t="shared" si="52"/>
        <v>46934</v>
      </c>
      <c r="L196" s="147">
        <f>IF(t&lt;Tvie,1-EXP((T0-t)*PertePVj)+'2027'!Pspv,1-EXP((T0-t)*PertePVj)+Pspv)</f>
        <v>6.4142053992959247E-2</v>
      </c>
      <c r="M196" s="832"/>
      <c r="N196" s="832"/>
      <c r="O196" s="48">
        <f>IF(t&lt;Tnet,'2027'!Resal+('2027'!Salim-'2027'!Resal)*(1-EXP(('2027'!Tnet-t)/('2027'!Tau_j))),Resal+(Salim-Resal)*(1-EXP((Tnet-t)/(Tau_j))))*Salcycl</f>
        <v>4.4357010478565509E-2</v>
      </c>
      <c r="P196" s="169">
        <f>(INDEX(Models!$BJ196:$BT196,,T196)*(1-R196)+INDEX(Models!$BJ196:$BT196,,T196+1)*R196-ERP_i)*Q196*Ramure*Pc/MaxiM</f>
        <v>1.0881017913606939E-4</v>
      </c>
      <c r="Q196" s="304">
        <f t="shared" si="53"/>
        <v>0.7</v>
      </c>
      <c r="R196" s="177">
        <f t="shared" si="54"/>
        <v>0.86019045776200376</v>
      </c>
      <c r="S196" s="799">
        <f t="shared" si="55"/>
        <v>-1</v>
      </c>
      <c r="T196" s="176">
        <f t="shared" si="56"/>
        <v>5</v>
      </c>
      <c r="U196" s="250">
        <f t="shared" si="57"/>
        <v>-0.13980954223799624</v>
      </c>
      <c r="V196" s="382">
        <f t="shared" si="58"/>
        <v>54.095414974735888</v>
      </c>
      <c r="W196" s="400">
        <f t="shared" si="59"/>
        <v>38.707557976760228</v>
      </c>
      <c r="X196" s="157">
        <f t="shared" si="60"/>
        <v>46934</v>
      </c>
      <c r="Y196" s="383">
        <f t="shared" si="61"/>
        <v>37.352340738887591</v>
      </c>
      <c r="Z196" s="383">
        <f t="shared" si="62"/>
        <v>39.912404332576536</v>
      </c>
      <c r="AA196" s="384">
        <f t="shared" si="63"/>
        <v>43.246599490697456</v>
      </c>
      <c r="AB196" s="197">
        <f t="shared" si="64"/>
        <v>46934</v>
      </c>
      <c r="AC196" s="119">
        <f>IF(OR(t&lt;Tnet,NoTnet),'2027'!Resal_s+('2027'!Salim-'2027'!Resal_s)*(1-EXP(('2027'!Tnet_s-t)/'2027'!Tau_j)),Resal_s+(Salim-Resal_s)*(1-EXP((Tnet_s-t)/Tau_j)))*Salcycl</f>
        <v>7.7097279263266039E-2</v>
      </c>
      <c r="AD196" s="230">
        <f>(INDEX(Models!$BJ196:$BT196,,AH196)*(1-AF196)+INDEX(Models!$BJ196:$BT196,,AH196+1)*AF196-ERP_i)*AE196*Ramure*Pc/MaxiM</f>
        <v>1.4200218444253537E-3</v>
      </c>
      <c r="AE196" s="304">
        <f t="shared" si="65"/>
        <v>0.7</v>
      </c>
      <c r="AF196" s="177">
        <f t="shared" si="66"/>
        <v>0.61584828860135454</v>
      </c>
      <c r="AG196" s="799">
        <f t="shared" si="74"/>
        <v>2</v>
      </c>
      <c r="AH196" s="176">
        <f t="shared" si="67"/>
        <v>8</v>
      </c>
      <c r="AI196" s="224">
        <f t="shared" si="68"/>
        <v>2.6158482886013545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46935</v>
      </c>
      <c r="B197" s="409">
        <f>'2027'!Wh/'2027'!Env_an*'2028'!Env_an</f>
        <v>54.304361161436574</v>
      </c>
      <c r="C197" s="829"/>
      <c r="D197" s="391">
        <f t="shared" si="50"/>
        <v>58.027398435602542</v>
      </c>
      <c r="E197" s="383">
        <f t="shared" si="75"/>
        <v>60.725713458915514</v>
      </c>
      <c r="F197" s="383">
        <f t="shared" si="51"/>
        <v>60.732368619296246</v>
      </c>
      <c r="G197" s="110">
        <f t="shared" si="76"/>
        <v>1.0056407759433339</v>
      </c>
      <c r="H197" s="412" t="b">
        <f>Wh_hp&gt;='2027'!Maxi_hp</f>
        <v>0</v>
      </c>
      <c r="I197" s="388">
        <f>IF(H197,Wh_hp,'2027'!Maxi_hp)</f>
        <v>60.732368619296253</v>
      </c>
      <c r="J197" s="85">
        <f>IF(H197,An,'2027'!An_max)</f>
        <v>2027</v>
      </c>
      <c r="K197" s="197">
        <f t="shared" si="52"/>
        <v>46935</v>
      </c>
      <c r="L197" s="147">
        <f>IF(t&lt;Tvie,1-EXP((T0-t)*PertePVj)+'2027'!Pspv,1-EXP((T0-t)*PertePVj)+Pspv)</f>
        <v>6.4159989496990977E-2</v>
      </c>
      <c r="M197" s="832"/>
      <c r="N197" s="832"/>
      <c r="O197" s="48">
        <f>IF(t&lt;Tnet,'2027'!Resal+('2027'!Salim-'2027'!Resal)*(1-EXP(('2027'!Tnet-t)/('2027'!Tau_j))),Resal+(Salim-Resal)*(1-EXP((Tnet-t)/(Tau_j))))*Salcycl</f>
        <v>4.4434472147264981E-2</v>
      </c>
      <c r="P197" s="169">
        <f>(INDEX(Models!$BJ197:$BT197,,T197)*(1-R197)+INDEX(Models!$BJ197:$BT197,,T197+1)*R197-ERP_i)*Q197*Ramure*Pc/MaxiM</f>
        <v>1.0958176886606139E-4</v>
      </c>
      <c r="Q197" s="304">
        <f t="shared" si="53"/>
        <v>0.7</v>
      </c>
      <c r="R197" s="177">
        <f t="shared" si="54"/>
        <v>0.86359767000813226</v>
      </c>
      <c r="S197" s="799">
        <f t="shared" si="55"/>
        <v>-1</v>
      </c>
      <c r="T197" s="176">
        <f t="shared" si="56"/>
        <v>5</v>
      </c>
      <c r="U197" s="250">
        <f t="shared" si="57"/>
        <v>-0.13640232999186769</v>
      </c>
      <c r="V197" s="382">
        <f t="shared" si="58"/>
        <v>53.999760610837164</v>
      </c>
      <c r="W197" s="400">
        <f t="shared" si="59"/>
        <v>54.304361161436574</v>
      </c>
      <c r="X197" s="157">
        <f t="shared" si="60"/>
        <v>46935</v>
      </c>
      <c r="Y197" s="383">
        <f t="shared" si="61"/>
        <v>52.373730552708437</v>
      </c>
      <c r="Z197" s="383">
        <f t="shared" si="62"/>
        <v>55.964406271279039</v>
      </c>
      <c r="AA197" s="384">
        <f t="shared" si="63"/>
        <v>60.642634399231262</v>
      </c>
      <c r="AB197" s="197">
        <f t="shared" si="64"/>
        <v>46935</v>
      </c>
      <c r="AC197" s="119">
        <f>IF(OR(t&lt;Tnet,NoTnet),'2027'!Resal_s+('2027'!Salim-'2027'!Resal_s)*(1-EXP(('2027'!Tnet_s-t)/'2027'!Tau_j)),Resal_s+(Salim-Resal_s)*(1-EXP((Tnet_s-t)/Tau_j)))*Salcycl</f>
        <v>7.7144210080878739E-2</v>
      </c>
      <c r="AD197" s="230">
        <f>(INDEX(Models!$BJ197:$BT197,,AH197)*(1-AF197)+INDEX(Models!$BJ197:$BT197,,AH197+1)*AF197-ERP_i)*AE197*Ramure*Pc/MaxiM</f>
        <v>1.4775353259722842E-3</v>
      </c>
      <c r="AE197" s="304">
        <f t="shared" si="65"/>
        <v>0.7</v>
      </c>
      <c r="AF197" s="177">
        <f t="shared" si="66"/>
        <v>0.61925550084748293</v>
      </c>
      <c r="AG197" s="799">
        <f t="shared" si="74"/>
        <v>2</v>
      </c>
      <c r="AH197" s="176">
        <f t="shared" si="67"/>
        <v>8</v>
      </c>
      <c r="AI197" s="224">
        <f t="shared" si="68"/>
        <v>2.6192555008474829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46936</v>
      </c>
      <c r="B198" s="409">
        <f>'2027'!Wh/'2027'!Env_an*'2028'!Env_an</f>
        <v>49.323782486780942</v>
      </c>
      <c r="C198" s="829"/>
      <c r="D198" s="391">
        <f t="shared" si="50"/>
        <v>52.706367787613999</v>
      </c>
      <c r="E198" s="383">
        <f t="shared" si="75"/>
        <v>55.161681666720256</v>
      </c>
      <c r="F198" s="383">
        <f t="shared" si="51"/>
        <v>55.167028810127796</v>
      </c>
      <c r="G198" s="110">
        <f t="shared" si="76"/>
        <v>0.91504965157959395</v>
      </c>
      <c r="H198" s="412" t="b">
        <f>Wh_hp&gt;='2027'!Maxi_hp</f>
        <v>0</v>
      </c>
      <c r="I198" s="388">
        <f>IF(H198,Wh_hp,'2027'!Maxi_hp)</f>
        <v>55.167658648289866</v>
      </c>
      <c r="J198" s="85">
        <f>IF(H198,An,'2027'!An_max)</f>
        <v>2026</v>
      </c>
      <c r="K198" s="197">
        <f t="shared" si="52"/>
        <v>46936</v>
      </c>
      <c r="L198" s="147">
        <f>IF(t&lt;Tvie,1-EXP((T0-t)*PertePVj)+'2027'!Pspv,1-EXP((T0-t)*PertePVj)+Pspv)</f>
        <v>6.4177924657292884E-2</v>
      </c>
      <c r="M198" s="832"/>
      <c r="N198" s="832"/>
      <c r="O198" s="48">
        <f>IF(t&lt;Tnet,'2027'!Resal+('2027'!Salim-'2027'!Resal)*(1-EXP(('2027'!Tnet-t)/('2027'!Tau_j))),Resal+(Salim-Resal)*(1-EXP((Tnet-t)/(Tau_j))))*Salcycl</f>
        <v>4.4511222372460364E-2</v>
      </c>
      <c r="P198" s="169">
        <f>(INDEX(Models!$BJ198:$BT198,,T198)*(1-R198)+INDEX(Models!$BJ198:$BT198,,T198+1)*R198-ERP_i)*Q198*Ramure*Pc/MaxiM</f>
        <v>1.1031166792906839E-4</v>
      </c>
      <c r="Q198" s="304">
        <f t="shared" si="53"/>
        <v>0.7</v>
      </c>
      <c r="R198" s="177">
        <f t="shared" si="54"/>
        <v>0.86694609062196948</v>
      </c>
      <c r="S198" s="799">
        <f t="shared" si="55"/>
        <v>-1</v>
      </c>
      <c r="T198" s="176">
        <f t="shared" si="56"/>
        <v>5</v>
      </c>
      <c r="U198" s="250">
        <f t="shared" si="57"/>
        <v>-0.13305390937803052</v>
      </c>
      <c r="V198" s="382">
        <f t="shared" si="58"/>
        <v>53.902126652143885</v>
      </c>
      <c r="W198" s="400">
        <f t="shared" si="59"/>
        <v>49.323782486780942</v>
      </c>
      <c r="X198" s="157">
        <f t="shared" si="60"/>
        <v>46936</v>
      </c>
      <c r="Y198" s="383">
        <f t="shared" si="61"/>
        <v>47.576729460344133</v>
      </c>
      <c r="Z198" s="383">
        <f t="shared" si="62"/>
        <v>50.839503270876648</v>
      </c>
      <c r="AA198" s="384">
        <f t="shared" si="63"/>
        <v>55.092057395862703</v>
      </c>
      <c r="AB198" s="197">
        <f t="shared" si="64"/>
        <v>46936</v>
      </c>
      <c r="AC198" s="119">
        <f>IF(OR(t&lt;Tnet,NoTnet),'2027'!Resal_s+('2027'!Salim-'2027'!Resal_s)*(1-EXP(('2027'!Tnet_s-t)/'2027'!Tau_j)),Resal_s+(Salim-Resal_s)*(1-EXP((Tnet_s-t)/Tau_j)))*Salcycl</f>
        <v>7.7189967592414074E-2</v>
      </c>
      <c r="AD198" s="230">
        <f>(INDEX(Models!$BJ198:$BT198,,AH198)*(1-AF198)+INDEX(Models!$BJ198:$BT198,,AH198+1)*AF198-ERP_i)*AE198*Ramure*Pc/MaxiM</f>
        <v>1.546661670403209E-3</v>
      </c>
      <c r="AE198" s="304">
        <f t="shared" si="65"/>
        <v>0.7</v>
      </c>
      <c r="AF198" s="177">
        <f t="shared" si="66"/>
        <v>0.62260392146132038</v>
      </c>
      <c r="AG198" s="799">
        <f t="shared" si="74"/>
        <v>2</v>
      </c>
      <c r="AH198" s="176">
        <f t="shared" si="67"/>
        <v>8</v>
      </c>
      <c r="AI198" s="224">
        <f t="shared" si="68"/>
        <v>2.6226039214613204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46937</v>
      </c>
      <c r="B199" s="409">
        <f>'2027'!Wh/'2027'!Env_an*'2028'!Env_an</f>
        <v>41.691135918813814</v>
      </c>
      <c r="C199" s="829"/>
      <c r="D199" s="391">
        <f t="shared" si="50"/>
        <v>44.551134274073831</v>
      </c>
      <c r="E199" s="383">
        <f t="shared" si="75"/>
        <v>46.630250052304191</v>
      </c>
      <c r="F199" s="383">
        <f t="shared" si="51"/>
        <v>46.633760793816961</v>
      </c>
      <c r="G199" s="110">
        <f t="shared" si="76"/>
        <v>0.77486010964843932</v>
      </c>
      <c r="H199" s="412" t="b">
        <f>Wh_hp&gt;='2027'!Maxi_hp</f>
        <v>0</v>
      </c>
      <c r="I199" s="388">
        <f>IF(H199,Wh_hp,'2027'!Maxi_hp)</f>
        <v>58.802223324731905</v>
      </c>
      <c r="J199" s="85">
        <f>IF(H199,An,'2027'!An_max)</f>
        <v>2018</v>
      </c>
      <c r="K199" s="197">
        <f t="shared" si="52"/>
        <v>46937</v>
      </c>
      <c r="L199" s="147">
        <f>IF(t&lt;Tvie,1-EXP((T0-t)*PertePVj)+'2027'!Pspv,1-EXP((T0-t)*PertePVj)+Pspv)</f>
        <v>6.4195859473871408E-2</v>
      </c>
      <c r="M199" s="832"/>
      <c r="N199" s="832"/>
      <c r="O199" s="48">
        <f>IF(t&lt;Tnet,'2027'!Resal+('2027'!Salim-'2027'!Resal)*(1-EXP(('2027'!Tnet-t)/('2027'!Tau_j))),Resal+(Salim-Resal)*(1-EXP((Tnet-t)/(Tau_j))))*Salcycl</f>
        <v>4.458727491056251E-2</v>
      </c>
      <c r="P199" s="169">
        <f>(INDEX(Models!$BJ199:$BT199,,T199)*(1-R199)+INDEX(Models!$BJ199:$BT199,,T199+1)*R199-ERP_i)*Q199*Ramure*Pc/MaxiM</f>
        <v>1.1096997123129362E-4</v>
      </c>
      <c r="Q199" s="304">
        <f t="shared" si="53"/>
        <v>0.7</v>
      </c>
      <c r="R199" s="177">
        <f t="shared" si="54"/>
        <v>0.87023447480113514</v>
      </c>
      <c r="S199" s="799">
        <f t="shared" si="55"/>
        <v>-1</v>
      </c>
      <c r="T199" s="176">
        <f t="shared" si="56"/>
        <v>5</v>
      </c>
      <c r="U199" s="250">
        <f t="shared" si="57"/>
        <v>-0.12976552519886486</v>
      </c>
      <c r="V199" s="382">
        <f t="shared" si="58"/>
        <v>53.802805781498904</v>
      </c>
      <c r="W199" s="400">
        <f t="shared" si="59"/>
        <v>41.691135918813814</v>
      </c>
      <c r="X199" s="157">
        <f t="shared" si="60"/>
        <v>46937</v>
      </c>
      <c r="Y199" s="383">
        <f t="shared" si="61"/>
        <v>40.225148575066306</v>
      </c>
      <c r="Z199" s="383">
        <f t="shared" si="62"/>
        <v>42.98458067566456</v>
      </c>
      <c r="AA199" s="384">
        <f t="shared" si="63"/>
        <v>46.582348796500376</v>
      </c>
      <c r="AB199" s="197">
        <f t="shared" si="64"/>
        <v>46937</v>
      </c>
      <c r="AC199" s="119">
        <f>IF(OR(t&lt;Tnet,NoTnet),'2027'!Resal_s+('2027'!Salim-'2027'!Resal_s)*(1-EXP(('2027'!Tnet_s-t)/'2027'!Tau_j)),Resal_s+(Salim-Resal_s)*(1-EXP((Tnet_s-t)/Tau_j)))*Salcycl</f>
        <v>7.7234579487458238E-2</v>
      </c>
      <c r="AD199" s="230">
        <f>(INDEX(Models!$BJ199:$BT199,,AH199)*(1-AF199)+INDEX(Models!$BJ199:$BT199,,AH199+1)*AF199-ERP_i)*AE199*Ramure*Pc/MaxiM</f>
        <v>1.6250663406606294E-3</v>
      </c>
      <c r="AE199" s="304">
        <f t="shared" si="65"/>
        <v>0.7</v>
      </c>
      <c r="AF199" s="177">
        <f t="shared" si="66"/>
        <v>0.6258923056404857</v>
      </c>
      <c r="AG199" s="799">
        <f t="shared" si="74"/>
        <v>2</v>
      </c>
      <c r="AH199" s="176">
        <f t="shared" si="67"/>
        <v>8</v>
      </c>
      <c r="AI199" s="224">
        <f t="shared" si="68"/>
        <v>2.6258923056404857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46938</v>
      </c>
      <c r="B200" s="409">
        <f>'2027'!Wh/'2027'!Env_an*'2028'!Env_an</f>
        <v>53.506551204119646</v>
      </c>
      <c r="C200" s="829"/>
      <c r="D200" s="391">
        <f t="shared" si="50"/>
        <v>57.178179009270373</v>
      </c>
      <c r="E200" s="383">
        <f t="shared" si="75"/>
        <v>59.851296194799986</v>
      </c>
      <c r="F200" s="383">
        <f t="shared" si="51"/>
        <v>59.857938921810813</v>
      </c>
      <c r="G200" s="110">
        <f t="shared" si="76"/>
        <v>0.99635826459519505</v>
      </c>
      <c r="H200" s="412" t="b">
        <f>Wh_hp&gt;='2027'!Maxi_hp</f>
        <v>0</v>
      </c>
      <c r="I200" s="388">
        <f>IF(H200,Wh_hp,'2027'!Maxi_hp)</f>
        <v>59.857968344640803</v>
      </c>
      <c r="J200" s="85">
        <f>IF(H200,An,'2027'!An_max)</f>
        <v>2026</v>
      </c>
      <c r="K200" s="197">
        <f t="shared" si="52"/>
        <v>46938</v>
      </c>
      <c r="L200" s="147">
        <f>IF(t&lt;Tvie,1-EXP((T0-t)*PertePVj)+'2027'!Pspv,1-EXP((T0-t)*PertePVj)+Pspv)</f>
        <v>6.4213793946733433E-2</v>
      </c>
      <c r="M200" s="832"/>
      <c r="N200" s="832"/>
      <c r="O200" s="48">
        <f>IF(t&lt;Tnet,'2027'!Resal+('2027'!Salim-'2027'!Resal)*(1-EXP(('2027'!Tnet-t)/('2027'!Tau_j))),Resal+(Salim-Resal)*(1-EXP((Tnet-t)/(Tau_j))))*Salcycl</f>
        <v>4.466264484614213E-2</v>
      </c>
      <c r="P200" s="169">
        <f>(INDEX(Models!$BJ200:$BT200,,T200)*(1-R200)+INDEX(Models!$BJ200:$BT200,,T200+1)*R200-ERP_i)*Q200*Ramure*Pc/MaxiM</f>
        <v>1.1155514149212922E-4</v>
      </c>
      <c r="Q200" s="304">
        <f t="shared" si="53"/>
        <v>0.7</v>
      </c>
      <c r="R200" s="177">
        <f t="shared" si="54"/>
        <v>0.87346172148911427</v>
      </c>
      <c r="S200" s="799">
        <f t="shared" si="55"/>
        <v>-1</v>
      </c>
      <c r="T200" s="176">
        <f t="shared" si="56"/>
        <v>5</v>
      </c>
      <c r="U200" s="250">
        <f t="shared" si="57"/>
        <v>-0.12653827851088578</v>
      </c>
      <c r="V200" s="382">
        <f t="shared" si="58"/>
        <v>53.702088951010602</v>
      </c>
      <c r="W200" s="400">
        <f t="shared" si="59"/>
        <v>53.506551204119646</v>
      </c>
      <c r="X200" s="157">
        <f t="shared" si="60"/>
        <v>46938</v>
      </c>
      <c r="Y200" s="383">
        <f t="shared" si="61"/>
        <v>51.597494361181752</v>
      </c>
      <c r="Z200" s="383">
        <f t="shared" si="62"/>
        <v>55.138122391007691</v>
      </c>
      <c r="AA200" s="384">
        <f t="shared" si="63"/>
        <v>59.755946980140358</v>
      </c>
      <c r="AB200" s="197">
        <f t="shared" si="64"/>
        <v>46938</v>
      </c>
      <c r="AC200" s="119">
        <f>IF(OR(t&lt;Tnet,NoTnet),'2027'!Resal_s+('2027'!Salim-'2027'!Resal_s)*(1-EXP(('2027'!Tnet_s-t)/'2027'!Tau_j)),Resal_s+(Salim-Resal_s)*(1-EXP((Tnet_s-t)/Tau_j)))*Salcycl</f>
        <v>7.7278075614254496E-2</v>
      </c>
      <c r="AD200" s="230">
        <f>(INDEX(Models!$BJ200:$BT200,,AH200)*(1-AF200)+INDEX(Models!$BJ200:$BT200,,AH200+1)*AF200-ERP_i)*AE200*Ramure*Pc/MaxiM</f>
        <v>1.7128094328679043E-3</v>
      </c>
      <c r="AE200" s="304">
        <f t="shared" si="65"/>
        <v>0.7</v>
      </c>
      <c r="AF200" s="177">
        <f t="shared" si="66"/>
        <v>0.62911955232846495</v>
      </c>
      <c r="AG200" s="799">
        <f t="shared" si="74"/>
        <v>2</v>
      </c>
      <c r="AH200" s="176">
        <f t="shared" si="67"/>
        <v>8</v>
      </c>
      <c r="AI200" s="224">
        <f t="shared" si="68"/>
        <v>2.6291195523284649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46939</v>
      </c>
      <c r="B201" s="409">
        <f>'2027'!Wh/'2027'!Env_an*'2028'!Env_an</f>
        <v>38.082437488283382</v>
      </c>
      <c r="C201" s="829"/>
      <c r="D201" s="391">
        <f t="shared" si="50"/>
        <v>40.696440166729275</v>
      </c>
      <c r="E201" s="383">
        <f t="shared" si="75"/>
        <v>42.602356641530854</v>
      </c>
      <c r="F201" s="383">
        <f t="shared" si="51"/>
        <v>42.605156518989013</v>
      </c>
      <c r="G201" s="110">
        <f t="shared" si="76"/>
        <v>0.71045676597914886</v>
      </c>
      <c r="H201" s="412" t="b">
        <f>Wh_hp&gt;='2027'!Maxi_hp</f>
        <v>0</v>
      </c>
      <c r="I201" s="388">
        <f>IF(H201,Wh_hp,'2027'!Maxi_hp)</f>
        <v>58.562115804958381</v>
      </c>
      <c r="J201" s="85">
        <f>IF(H201,An,'2027'!An_max)</f>
        <v>2020</v>
      </c>
      <c r="K201" s="197">
        <f t="shared" si="52"/>
        <v>46939</v>
      </c>
      <c r="L201" s="147">
        <f>IF(t&lt;Tvie,1-EXP((T0-t)*PertePVj)+'2027'!Pspv,1-EXP((T0-t)*PertePVj)+Pspv)</f>
        <v>6.4231728075885286E-2</v>
      </c>
      <c r="M201" s="832"/>
      <c r="N201" s="832"/>
      <c r="O201" s="48">
        <f>IF(t&lt;Tnet,'2027'!Resal+('2027'!Salim-'2027'!Resal)*(1-EXP(('2027'!Tnet-t)/('2027'!Tau_j))),Resal+(Salim-Resal)*(1-EXP((Tnet-t)/(Tau_j))))*Salcycl</f>
        <v>4.4737348472023208E-2</v>
      </c>
      <c r="P201" s="169">
        <f>(INDEX(Models!$BJ201:$BT201,,T201)*(1-R201)+INDEX(Models!$BJ201:$BT201,,T201+1)*R201-ERP_i)*Q201*Ramure*Pc/MaxiM</f>
        <v>1.1206568142983956E-4</v>
      </c>
      <c r="Q201" s="304">
        <f t="shared" si="53"/>
        <v>0.7</v>
      </c>
      <c r="R201" s="177">
        <f t="shared" si="54"/>
        <v>0.8766268714580151</v>
      </c>
      <c r="S201" s="799">
        <f t="shared" si="55"/>
        <v>-1</v>
      </c>
      <c r="T201" s="176">
        <f t="shared" si="56"/>
        <v>5</v>
      </c>
      <c r="U201" s="250">
        <f t="shared" si="57"/>
        <v>-0.1233731285419849</v>
      </c>
      <c r="V201" s="382">
        <f t="shared" si="58"/>
        <v>53.600266926894093</v>
      </c>
      <c r="W201" s="400">
        <f t="shared" si="59"/>
        <v>38.082437488283382</v>
      </c>
      <c r="X201" s="157">
        <f t="shared" si="60"/>
        <v>46939</v>
      </c>
      <c r="Y201" s="383">
        <f t="shared" si="61"/>
        <v>36.746853910862953</v>
      </c>
      <c r="Z201" s="383">
        <f t="shared" si="62"/>
        <v>39.269181284918481</v>
      </c>
      <c r="AA201" s="384">
        <f t="shared" si="63"/>
        <v>42.559936320280087</v>
      </c>
      <c r="AB201" s="197">
        <f t="shared" si="64"/>
        <v>46939</v>
      </c>
      <c r="AC201" s="119">
        <f>IF(OR(t&lt;Tnet,NoTnet),'2027'!Resal_s+('2027'!Salim-'2027'!Resal_s)*(1-EXP(('2027'!Tnet_s-t)/'2027'!Tau_j)),Resal_s+(Salim-Resal_s)*(1-EXP((Tnet_s-t)/Tau_j)))*Salcycl</f>
        <v>7.7320487761010609E-2</v>
      </c>
      <c r="AD201" s="230">
        <f>(INDEX(Models!$BJ201:$BT201,,AH201)*(1-AF201)+INDEX(Models!$BJ201:$BT201,,AH201+1)*AF201-ERP_i)*AE201*Ramure*Pc/MaxiM</f>
        <v>1.8099479203778327E-3</v>
      </c>
      <c r="AE201" s="304">
        <f t="shared" si="65"/>
        <v>0.7</v>
      </c>
      <c r="AF201" s="177">
        <f t="shared" si="66"/>
        <v>0.63228470229736589</v>
      </c>
      <c r="AG201" s="799">
        <f t="shared" si="74"/>
        <v>2</v>
      </c>
      <c r="AH201" s="176">
        <f t="shared" si="67"/>
        <v>8</v>
      </c>
      <c r="AI201" s="224">
        <f t="shared" si="68"/>
        <v>2.6322847022973659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46940</v>
      </c>
      <c r="B202" s="409">
        <f>'2027'!Wh/'2027'!Env_an*'2028'!Env_an</f>
        <v>53.195481564948587</v>
      </c>
      <c r="C202" s="829"/>
      <c r="D202" s="391">
        <f t="shared" si="50"/>
        <v>56.847942658253885</v>
      </c>
      <c r="E202" s="383">
        <f t="shared" si="75"/>
        <v>59.514888312726875</v>
      </c>
      <c r="F202" s="383">
        <f t="shared" si="51"/>
        <v>59.521530465404908</v>
      </c>
      <c r="G202" s="110">
        <f t="shared" si="76"/>
        <v>0.99435120729385729</v>
      </c>
      <c r="H202" s="412" t="b">
        <f>Wh_hp&gt;='2027'!Maxi_hp</f>
        <v>0</v>
      </c>
      <c r="I202" s="388">
        <f>IF(H202,Wh_hp,'2027'!Maxi_hp)</f>
        <v>59.521575946562791</v>
      </c>
      <c r="J202" s="85">
        <f>IF(H202,An,'2027'!An_max)</f>
        <v>2026</v>
      </c>
      <c r="K202" s="197">
        <f t="shared" si="52"/>
        <v>46940</v>
      </c>
      <c r="L202" s="147">
        <f>IF(t&lt;Tvie,1-EXP((T0-t)*PertePVj)+'2027'!Pspv,1-EXP((T0-t)*PertePVj)+Pspv)</f>
        <v>6.4249661861333629E-2</v>
      </c>
      <c r="M202" s="832"/>
      <c r="N202" s="832"/>
      <c r="O202" s="48">
        <f>IF(t&lt;Tnet,'2027'!Resal+('2027'!Salim-'2027'!Resal)*(1-EXP(('2027'!Tnet-t)/('2027'!Tau_j))),Resal+(Salim-Resal)*(1-EXP((Tnet-t)/(Tau_j))))*Salcycl</f>
        <v>4.4811403164520119E-2</v>
      </c>
      <c r="P202" s="169">
        <f>(INDEX(Models!$BJ202:$BT202,,T202)*(1-R202)+INDEX(Models!$BJ202:$BT202,,T202+1)*R202-ERP_i)*Q202*Ramure*Pc/MaxiM</f>
        <v>1.1250013536728158E-4</v>
      </c>
      <c r="Q202" s="304">
        <f t="shared" si="53"/>
        <v>0.7</v>
      </c>
      <c r="R202" s="177">
        <f t="shared" si="54"/>
        <v>0.87972910483004685</v>
      </c>
      <c r="S202" s="799">
        <f t="shared" si="55"/>
        <v>-1</v>
      </c>
      <c r="T202" s="176">
        <f t="shared" si="56"/>
        <v>5</v>
      </c>
      <c r="U202" s="250">
        <f t="shared" si="57"/>
        <v>-0.12027089516995321</v>
      </c>
      <c r="V202" s="382">
        <f t="shared" si="58"/>
        <v>53.497630297966246</v>
      </c>
      <c r="W202" s="400">
        <f t="shared" si="59"/>
        <v>53.195481564948587</v>
      </c>
      <c r="X202" s="157">
        <f t="shared" si="60"/>
        <v>46940</v>
      </c>
      <c r="Y202" s="383">
        <f t="shared" si="61"/>
        <v>51.290753584877528</v>
      </c>
      <c r="Z202" s="383">
        <f t="shared" si="62"/>
        <v>54.812433930723181</v>
      </c>
      <c r="AA202" s="384">
        <f t="shared" si="63"/>
        <v>59.408375750429947</v>
      </c>
      <c r="AB202" s="197">
        <f t="shared" si="64"/>
        <v>46940</v>
      </c>
      <c r="AC202" s="119">
        <f>IF(OR(t&lt;Tnet,NoTnet),'2027'!Resal_s+('2027'!Salim-'2027'!Resal_s)*(1-EXP(('2027'!Tnet_s-t)/'2027'!Tau_j)),Resal_s+(Salim-Resal_s)*(1-EXP((Tnet_s-t)/Tau_j)))*Salcycl</f>
        <v>7.7361849430355858E-2</v>
      </c>
      <c r="AD202" s="230">
        <f>(INDEX(Models!$BJ202:$BT202,,AH202)*(1-AF202)+INDEX(Models!$BJ202:$BT202,,AH202+1)*AF202-ERP_i)*AE202*Ramure*Pc/MaxiM</f>
        <v>1.9165354018780168E-3</v>
      </c>
      <c r="AE202" s="304">
        <f t="shared" si="65"/>
        <v>0.7</v>
      </c>
      <c r="AF202" s="177">
        <f t="shared" si="66"/>
        <v>0.63538693566939752</v>
      </c>
      <c r="AG202" s="799">
        <f t="shared" si="74"/>
        <v>2</v>
      </c>
      <c r="AH202" s="176">
        <f t="shared" si="67"/>
        <v>8</v>
      </c>
      <c r="AI202" s="224">
        <f t="shared" si="68"/>
        <v>2.6353869356693975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46941</v>
      </c>
      <c r="B203" s="409">
        <f>'2027'!Wh/'2027'!Env_an*'2028'!Env_an</f>
        <v>54.318403079015553</v>
      </c>
      <c r="C203" s="829"/>
      <c r="D203" s="391">
        <f t="shared" si="50"/>
        <v>58.049077713205158</v>
      </c>
      <c r="E203" s="383">
        <f t="shared" si="75"/>
        <v>60.777044873403952</v>
      </c>
      <c r="F203" s="383">
        <f t="shared" si="51"/>
        <v>60.783904768053468</v>
      </c>
      <c r="G203" s="110">
        <f t="shared" si="76"/>
        <v>1.0173039193298983</v>
      </c>
      <c r="H203" s="412" t="b">
        <f>Wh_hp&gt;='2027'!Maxi_hp</f>
        <v>0</v>
      </c>
      <c r="I203" s="388">
        <f>IF(H203,Wh_hp,'2027'!Maxi_hp)</f>
        <v>61.731530922923696</v>
      </c>
      <c r="J203" s="85">
        <f>IF(H203,An,'2027'!An_max)</f>
        <v>2020</v>
      </c>
      <c r="K203" s="197">
        <f t="shared" si="52"/>
        <v>46941</v>
      </c>
      <c r="L203" s="147">
        <f>IF(t&lt;Tvie,1-EXP((T0-t)*PertePVj)+'2027'!Pspv,1-EXP((T0-t)*PertePVj)+Pspv)</f>
        <v>6.4267595303085123E-2</v>
      </c>
      <c r="M203" s="832"/>
      <c r="N203" s="832"/>
      <c r="O203" s="48">
        <f>IF(t&lt;Tnet,'2027'!Resal+('2027'!Salim-'2027'!Resal)*(1-EXP(('2027'!Tnet-t)/('2027'!Tau_j))),Resal+(Salim-Resal)*(1-EXP((Tnet-t)/(Tau_j))))*Salcycl</f>
        <v>4.4884827254780664E-2</v>
      </c>
      <c r="P203" s="169">
        <f>(INDEX(Models!$BJ203:$BT203,,T203)*(1-R203)+INDEX(Models!$BJ203:$BT203,,T203+1)*R203-ERP_i)*Q203*Ramure*Pc/MaxiM</f>
        <v>1.1285709063432931E-4</v>
      </c>
      <c r="Q203" s="304">
        <f t="shared" si="53"/>
        <v>0.7</v>
      </c>
      <c r="R203" s="177">
        <f t="shared" si="54"/>
        <v>0.88276773808252873</v>
      </c>
      <c r="S203" s="799">
        <f t="shared" si="55"/>
        <v>-1</v>
      </c>
      <c r="T203" s="176">
        <f t="shared" si="56"/>
        <v>5</v>
      </c>
      <c r="U203" s="250">
        <f t="shared" si="57"/>
        <v>-0.11723226191747127</v>
      </c>
      <c r="V203" s="382">
        <f t="shared" si="58"/>
        <v>53.394469486360848</v>
      </c>
      <c r="W203" s="400">
        <f t="shared" si="59"/>
        <v>54.318403079015553</v>
      </c>
      <c r="X203" s="157">
        <f t="shared" si="60"/>
        <v>46941</v>
      </c>
      <c r="Y203" s="383">
        <f t="shared" si="61"/>
        <v>52.368366475950907</v>
      </c>
      <c r="Z203" s="383">
        <f t="shared" si="62"/>
        <v>55.965109483317612</v>
      </c>
      <c r="AA203" s="384">
        <f t="shared" si="63"/>
        <v>60.660354075130883</v>
      </c>
      <c r="AB203" s="197">
        <f t="shared" si="64"/>
        <v>46941</v>
      </c>
      <c r="AC203" s="119">
        <f>IF(OR(t&lt;Tnet,NoTnet),'2027'!Resal_s+('2027'!Salim-'2027'!Resal_s)*(1-EXP(('2027'!Tnet_s-t)/'2027'!Tau_j)),Resal_s+(Salim-Resal_s)*(1-EXP((Tnet_s-t)/Tau_j)))*Salcycl</f>
        <v>7.7402195608650304E-2</v>
      </c>
      <c r="AD203" s="230">
        <f>(INDEX(Models!$BJ203:$BT203,,AH203)*(1-AF203)+INDEX(Models!$BJ203:$BT203,,AH203+1)*AF203-ERP_i)*AE203*Ramure*Pc/MaxiM</f>
        <v>2.0326218493866401E-3</v>
      </c>
      <c r="AE203" s="304">
        <f t="shared" si="65"/>
        <v>0.7</v>
      </c>
      <c r="AF203" s="177">
        <f t="shared" si="66"/>
        <v>0.63842556892187963</v>
      </c>
      <c r="AG203" s="799">
        <f t="shared" si="74"/>
        <v>2</v>
      </c>
      <c r="AH203" s="176">
        <f t="shared" si="67"/>
        <v>8</v>
      </c>
      <c r="AI203" s="224">
        <f t="shared" si="68"/>
        <v>2.6384255689218796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46942</v>
      </c>
      <c r="B204" s="409">
        <f>'2027'!Wh/'2027'!Env_an*'2028'!Env_an</f>
        <v>53.97495969623607</v>
      </c>
      <c r="C204" s="829"/>
      <c r="D204" s="391">
        <f t="shared" si="50"/>
        <v>57.683151575083741</v>
      </c>
      <c r="E204" s="383">
        <f t="shared" si="75"/>
        <v>60.398526792964461</v>
      </c>
      <c r="F204" s="383">
        <f t="shared" si="51"/>
        <v>60.405360764254944</v>
      </c>
      <c r="G204" s="110">
        <f t="shared" si="76"/>
        <v>1.012833010801764</v>
      </c>
      <c r="H204" s="412" t="b">
        <f>Wh_hp&gt;='2027'!Maxi_hp</f>
        <v>1</v>
      </c>
      <c r="I204" s="388">
        <f>IF(H204,Wh_hp,'2027'!Maxi_hp)</f>
        <v>60.405360764254944</v>
      </c>
      <c r="J204" s="85">
        <f>IF(H204,An,'2027'!An_max)</f>
        <v>2028</v>
      </c>
      <c r="K204" s="197">
        <f t="shared" si="52"/>
        <v>46942</v>
      </c>
      <c r="L204" s="147">
        <f>IF(t&lt;Tvie,1-EXP((T0-t)*PertePVj)+'2027'!Pspv,1-EXP((T0-t)*PertePVj)+Pspv)</f>
        <v>6.4285528401146319E-2</v>
      </c>
      <c r="M204" s="832"/>
      <c r="N204" s="832"/>
      <c r="O204" s="48">
        <f>IF(t&lt;Tnet,'2027'!Resal+('2027'!Salim-'2027'!Resal)*(1-EXP(('2027'!Tnet-t)/('2027'!Tau_j))),Resal+(Salim-Resal)*(1-EXP((Tnet-t)/(Tau_j))))*Salcycl</f>
        <v>4.4957639897220472E-2</v>
      </c>
      <c r="P204" s="169">
        <f>(INDEX(Models!$BJ204:$BT204,,T204)*(1-R204)+INDEX(Models!$BJ204:$BT204,,T204+1)*R204-ERP_i)*Q204*Ramure*Pc/MaxiM</f>
        <v>1.1313517879899801E-4</v>
      </c>
      <c r="Q204" s="304">
        <f t="shared" si="53"/>
        <v>0.7</v>
      </c>
      <c r="R204" s="177">
        <f t="shared" si="54"/>
        <v>0.88574222058289043</v>
      </c>
      <c r="S204" s="799">
        <f t="shared" si="55"/>
        <v>-1</v>
      </c>
      <c r="T204" s="176">
        <f t="shared" si="56"/>
        <v>5</v>
      </c>
      <c r="U204" s="250">
        <f t="shared" si="57"/>
        <v>-0.11425777941710963</v>
      </c>
      <c r="V204" s="382">
        <f t="shared" si="58"/>
        <v>53.291074758226138</v>
      </c>
      <c r="W204" s="400">
        <f t="shared" si="59"/>
        <v>53.97495969623607</v>
      </c>
      <c r="X204" s="157">
        <f t="shared" si="60"/>
        <v>46942</v>
      </c>
      <c r="Y204" s="383">
        <f t="shared" si="61"/>
        <v>52.032462916991605</v>
      </c>
      <c r="Z204" s="383">
        <f t="shared" si="62"/>
        <v>55.607201231037742</v>
      </c>
      <c r="AA204" s="384">
        <f t="shared" si="63"/>
        <v>60.274990691805272</v>
      </c>
      <c r="AB204" s="197">
        <f t="shared" si="64"/>
        <v>46942</v>
      </c>
      <c r="AC204" s="119">
        <f>IF(OR(t&lt;Tnet,NoTnet),'2027'!Resal_s+('2027'!Salim-'2027'!Resal_s)*(1-EXP(('2027'!Tnet_s-t)/'2027'!Tau_j)),Resal_s+(Salim-Resal_s)*(1-EXP((Tnet_s-t)/Tau_j)))*Salcycl</f>
        <v>7.7441562531873495E-2</v>
      </c>
      <c r="AD204" s="230">
        <f>(INDEX(Models!$BJ204:$BT204,,AH204)*(1-AF204)+INDEX(Models!$BJ204:$BT204,,AH204+1)*AF204-ERP_i)*AE204*Ramure*Pc/MaxiM</f>
        <v>2.1582533536794197E-3</v>
      </c>
      <c r="AE204" s="304">
        <f t="shared" si="65"/>
        <v>0.7</v>
      </c>
      <c r="AF204" s="177">
        <f t="shared" si="66"/>
        <v>0.6414000514222411</v>
      </c>
      <c r="AG204" s="799">
        <f t="shared" si="74"/>
        <v>2</v>
      </c>
      <c r="AH204" s="176">
        <f t="shared" si="67"/>
        <v>8</v>
      </c>
      <c r="AI204" s="224">
        <f t="shared" si="68"/>
        <v>2.6414000514222411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46943</v>
      </c>
      <c r="B205" s="409">
        <f>'2027'!Wh/'2027'!Env_an*'2028'!Env_an</f>
        <v>53.588046175261326</v>
      </c>
      <c r="C205" s="829"/>
      <c r="D205" s="391">
        <f t="shared" si="50"/>
        <v>57.27075387223195</v>
      </c>
      <c r="E205" s="383">
        <f t="shared" si="75"/>
        <v>59.971250963268801</v>
      </c>
      <c r="F205" s="383">
        <f t="shared" si="51"/>
        <v>59.978048580009023</v>
      </c>
      <c r="G205" s="110">
        <f t="shared" si="76"/>
        <v>1.0075441398630591</v>
      </c>
      <c r="H205" s="412" t="b">
        <f>Wh_hp&gt;='2027'!Maxi_hp</f>
        <v>1</v>
      </c>
      <c r="I205" s="388">
        <f>IF(H205,Wh_hp,'2027'!Maxi_hp)</f>
        <v>59.978048580009023</v>
      </c>
      <c r="J205" s="85">
        <f>IF(H205,An,'2027'!An_max)</f>
        <v>2028</v>
      </c>
      <c r="K205" s="197">
        <f t="shared" si="52"/>
        <v>46943</v>
      </c>
      <c r="L205" s="147">
        <f>IF(t&lt;Tvie,1-EXP((T0-t)*PertePVj)+'2027'!Pspv,1-EXP((T0-t)*PertePVj)+Pspv)</f>
        <v>6.4303461155523656E-2</v>
      </c>
      <c r="M205" s="832"/>
      <c r="N205" s="832"/>
      <c r="O205" s="48">
        <f>IF(t&lt;Tnet,'2027'!Resal+('2027'!Salim-'2027'!Resal)*(1-EXP(('2027'!Tnet-t)/('2027'!Tau_j))),Resal+(Salim-Resal)*(1-EXP((Tnet-t)/(Tau_j))))*Salcycl</f>
        <v>4.5029860936048285E-2</v>
      </c>
      <c r="P205" s="169">
        <f>(INDEX(Models!$BJ205:$BT205,,T205)*(1-R205)+INDEX(Models!$BJ205:$BT205,,T205+1)*R205-ERP_i)*Q205*Ramure*Pc/MaxiM</f>
        <v>1.1333507676821788E-4</v>
      </c>
      <c r="Q205" s="304">
        <f t="shared" si="53"/>
        <v>0.7</v>
      </c>
      <c r="R205" s="177">
        <f t="shared" si="54"/>
        <v>0.88865213070115345</v>
      </c>
      <c r="S205" s="799">
        <f t="shared" si="55"/>
        <v>-1</v>
      </c>
      <c r="T205" s="176">
        <f t="shared" si="56"/>
        <v>5</v>
      </c>
      <c r="U205" s="250">
        <f t="shared" si="57"/>
        <v>-0.1113478692988466</v>
      </c>
      <c r="V205" s="382">
        <f t="shared" si="58"/>
        <v>53.186797535783171</v>
      </c>
      <c r="W205" s="400">
        <f t="shared" si="59"/>
        <v>53.588046175261326</v>
      </c>
      <c r="X205" s="157">
        <f t="shared" si="60"/>
        <v>46943</v>
      </c>
      <c r="Y205" s="383">
        <f t="shared" si="61"/>
        <v>51.654236561434665</v>
      </c>
      <c r="Z205" s="383">
        <f t="shared" si="62"/>
        <v>55.204047911969674</v>
      </c>
      <c r="AA205" s="384">
        <f t="shared" si="63"/>
        <v>59.840488185580021</v>
      </c>
      <c r="AB205" s="197">
        <f t="shared" si="64"/>
        <v>46943</v>
      </c>
      <c r="AC205" s="119">
        <f>IF(OR(t&lt;Tnet,NoTnet),'2027'!Resal_s+('2027'!Salim-'2027'!Resal_s)*(1-EXP(('2027'!Tnet_s-t)/'2027'!Tau_j)),Resal_s+(Salim-Resal_s)*(1-EXP((Tnet_s-t)/Tau_j)))*Salcycl</f>
        <v>7.7479987449828439E-2</v>
      </c>
      <c r="AD205" s="230">
        <f>(INDEX(Models!$BJ205:$BT205,,AH205)*(1-AF205)+INDEX(Models!$BJ205:$BT205,,AH205+1)*AF205-ERP_i)*AE205*Ramure*Pc/MaxiM</f>
        <v>2.2935123380263952E-3</v>
      </c>
      <c r="AE205" s="304">
        <f t="shared" si="65"/>
        <v>0.7</v>
      </c>
      <c r="AF205" s="177">
        <f t="shared" si="66"/>
        <v>0.64430996154050391</v>
      </c>
      <c r="AG205" s="799">
        <f t="shared" si="74"/>
        <v>2</v>
      </c>
      <c r="AH205" s="176">
        <f t="shared" si="67"/>
        <v>8</v>
      </c>
      <c r="AI205" s="224">
        <f t="shared" si="68"/>
        <v>2.6443099615405039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46944</v>
      </c>
      <c r="B206" s="409">
        <f>'2027'!Wh/'2027'!Env_an*'2028'!Env_an</f>
        <v>52.753839417155973</v>
      </c>
      <c r="C206" s="829"/>
      <c r="D206" s="391">
        <f t="shared" si="50"/>
        <v>56.380298806040621</v>
      </c>
      <c r="E206" s="383">
        <f t="shared" si="75"/>
        <v>59.043238042565406</v>
      </c>
      <c r="F206" s="383">
        <f t="shared" si="51"/>
        <v>59.04993258467006</v>
      </c>
      <c r="G206" s="110">
        <f t="shared" si="76"/>
        <v>0.99383911327014784</v>
      </c>
      <c r="H206" s="412" t="b">
        <f>Wh_hp&gt;='2027'!Maxi_hp</f>
        <v>0</v>
      </c>
      <c r="I206" s="388">
        <f>IF(H206,Wh_hp,'2027'!Maxi_hp)</f>
        <v>59.049982117292068</v>
      </c>
      <c r="J206" s="85">
        <f>IF(H206,An,'2027'!An_max)</f>
        <v>2026</v>
      </c>
      <c r="K206" s="197">
        <f t="shared" si="52"/>
        <v>46944</v>
      </c>
      <c r="L206" s="147">
        <f>IF(t&lt;Tvie,1-EXP((T0-t)*PertePVj)+'2027'!Pspv,1-EXP((T0-t)*PertePVj)+Pspv)</f>
        <v>6.4321393566224017E-2</v>
      </c>
      <c r="M206" s="832"/>
      <c r="N206" s="832"/>
      <c r="O206" s="48">
        <f>IF(t&lt;Tnet,'2027'!Resal+('2027'!Salim-'2027'!Resal)*(1-EXP(('2027'!Tnet-t)/('2027'!Tau_j))),Resal+(Salim-Resal)*(1-EXP((Tnet-t)/(Tau_j))))*Salcycl</f>
        <v>4.5101510770886623E-2</v>
      </c>
      <c r="P206" s="169">
        <f>(INDEX(Models!$BJ206:$BT206,,T206)*(1-R206)+INDEX(Models!$BJ206:$BT206,,T206+1)*R206-ERP_i)*Q206*Ramure*Pc/MaxiM</f>
        <v>1.1437737014907867E-4</v>
      </c>
      <c r="Q206" s="304">
        <f t="shared" si="53"/>
        <v>0.7</v>
      </c>
      <c r="R206" s="177">
        <f t="shared" si="54"/>
        <v>0.8914971715478448</v>
      </c>
      <c r="S206" s="799">
        <f t="shared" si="55"/>
        <v>-1</v>
      </c>
      <c r="T206" s="176">
        <f t="shared" si="56"/>
        <v>5</v>
      </c>
      <c r="U206" s="250">
        <f t="shared" si="57"/>
        <v>-0.1085028284521552</v>
      </c>
      <c r="V206" s="382">
        <f t="shared" si="58"/>
        <v>53.08081117948138</v>
      </c>
      <c r="W206" s="400">
        <f t="shared" si="59"/>
        <v>52.753839417155973</v>
      </c>
      <c r="X206" s="157">
        <f t="shared" si="60"/>
        <v>46944</v>
      </c>
      <c r="Y206" s="383">
        <f t="shared" si="61"/>
        <v>50.845251075714621</v>
      </c>
      <c r="Z206" s="383">
        <f t="shared" si="62"/>
        <v>54.340508296438507</v>
      </c>
      <c r="AA206" s="384">
        <f t="shared" si="63"/>
        <v>58.906818059626787</v>
      </c>
      <c r="AB206" s="197">
        <f t="shared" si="64"/>
        <v>46944</v>
      </c>
      <c r="AC206" s="119">
        <f>IF(OR(t&lt;Tnet,NoTnet),'2027'!Resal_s+('2027'!Salim-'2027'!Resal_s)*(1-EXP(('2027'!Tnet_s-t)/'2027'!Tau_j)),Resal_s+(Salim-Resal_s)*(1-EXP((Tnet_s-t)/Tau_j)))*Salcycl</f>
        <v>7.7517508390389733E-2</v>
      </c>
      <c r="AD206" s="230">
        <f>(INDEX(Models!$BJ206:$BT206,,AH206)*(1-AF206)+INDEX(Models!$BJ206:$BT206,,AH206+1)*AF206-ERP_i)*AE206*Ramure*Pc/MaxiM</f>
        <v>2.4451355669595338E-3</v>
      </c>
      <c r="AE206" s="304">
        <f t="shared" si="65"/>
        <v>0.7</v>
      </c>
      <c r="AF206" s="177">
        <f t="shared" si="66"/>
        <v>0.64715500238719548</v>
      </c>
      <c r="AG206" s="799">
        <f t="shared" si="74"/>
        <v>2</v>
      </c>
      <c r="AH206" s="176">
        <f t="shared" si="67"/>
        <v>8</v>
      </c>
      <c r="AI206" s="224">
        <f t="shared" si="68"/>
        <v>2.6471550023871955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46945</v>
      </c>
      <c r="B207" s="409">
        <f>'2027'!Wh/'2027'!Env_an*'2028'!Env_an</f>
        <v>51.627043566443561</v>
      </c>
      <c r="C207" s="829"/>
      <c r="D207" s="391">
        <f t="shared" ref="D207:D270" si="77">Wh/(1-Ppv)</f>
        <v>55.177101037600686</v>
      </c>
      <c r="E207" s="383">
        <f t="shared" si="75"/>
        <v>57.787513877725786</v>
      </c>
      <c r="F207" s="383">
        <f t="shared" ref="F207:F270" si="78">Wh_sa/(1-Pvg*MEDIAN((-Sdif+Wh/Env_an)/Csdif,0,1))</f>
        <v>57.793992534192142</v>
      </c>
      <c r="G207" s="110">
        <f t="shared" si="76"/>
        <v>0.97458369039278681</v>
      </c>
      <c r="H207" s="412" t="b">
        <f>Wh_hp&gt;='2027'!Maxi_hp</f>
        <v>0</v>
      </c>
      <c r="I207" s="388">
        <f>IF(H207,Wh_hp,'2027'!Maxi_hp)</f>
        <v>57.794195686783667</v>
      </c>
      <c r="J207" s="85">
        <f>IF(H207,An,'2027'!An_max)</f>
        <v>2026</v>
      </c>
      <c r="K207" s="197">
        <f t="shared" ref="K207:K270" si="79">t</f>
        <v>46945</v>
      </c>
      <c r="L207" s="147">
        <f>IF(t&lt;Tvie,1-EXP((T0-t)*PertePVj)+'2027'!Pspv,1-EXP((T0-t)*PertePVj)+Pspv)</f>
        <v>6.4339325633253619E-2</v>
      </c>
      <c r="M207" s="832"/>
      <c r="N207" s="832"/>
      <c r="O207" s="48">
        <f>IF(t&lt;Tnet,'2027'!Resal+('2027'!Salim-'2027'!Resal)*(1-EXP(('2027'!Tnet-t)/('2027'!Tau_j))),Resal+(Salim-Resal)*(1-EXP((Tnet-t)/(Tau_j))))*Salcycl</f>
        <v>4.517261022248769E-2</v>
      </c>
      <c r="P207" s="169">
        <f>(INDEX(Models!$BJ207:$BT207,,T207)*(1-R207)+INDEX(Models!$BJ207:$BT207,,T207+1)*R207-ERP_i)*Q207*Ramure*Pc/MaxiM</f>
        <v>1.1632198578938091E-4</v>
      </c>
      <c r="Q207" s="304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0.89427716638521937</v>
      </c>
      <c r="S207" s="799">
        <f t="shared" ref="S207:S270" si="82">INDEX(Echel_vg,T207)</f>
        <v>-1</v>
      </c>
      <c r="T207" s="176">
        <f t="shared" ref="T207:T270" si="83">MIN(MATCH(Hp_vg,Echel_vg),10)</f>
        <v>5</v>
      </c>
      <c r="U207" s="250">
        <f t="shared" ref="U207:U270" si="84">IF(OR(t&lt;Ttai,Notai),Hdd+PousH*Croivg,Hdtf+PousH*(Croivg-Croi_tai))</f>
        <v>-0.10572283361478063</v>
      </c>
      <c r="V207" s="382">
        <f t="shared" ref="V207:V270" si="85">MaxiM*(1-Ppv)*(1-Pvg)*(1-Psa)</f>
        <v>52.973209009684048</v>
      </c>
      <c r="W207" s="400">
        <f t="shared" ref="W207:W270" si="86">Wh*(A207&gt;Tmaj)</f>
        <v>51.627043566443561</v>
      </c>
      <c r="X207" s="157">
        <f t="shared" ref="X207:X270" si="87">t</f>
        <v>46945</v>
      </c>
      <c r="Y207" s="383">
        <f t="shared" ref="Y207:Y270" si="88">Wh_pvt_s*(1-Ppv)</f>
        <v>49.756308768768079</v>
      </c>
      <c r="Z207" s="383">
        <f t="shared" ref="Z207:Z270" si="89">Wh_sa_s*(1-Psa_s)</f>
        <v>53.177727921976704</v>
      </c>
      <c r="AA207" s="384">
        <f t="shared" ref="AA207:AA270" si="90">Wh_hp*(1-Pvg_s*MEDIAN((-Sdif+Wh/Env_an)/Csdif,0,1))</f>
        <v>57.648618317013003</v>
      </c>
      <c r="AB207" s="197">
        <f t="shared" ref="AB207:AB270" si="91">t</f>
        <v>46945</v>
      </c>
      <c r="AC207" s="119">
        <f>IF(OR(t&lt;Tnet,NoTnet),'2027'!Resal_s+('2027'!Salim-'2027'!Resal_s)*(1-EXP(('2027'!Tnet_s-t)/'2027'!Tau_j)),Resal_s+(Salim-Resal_s)*(1-EXP((Tnet_s-t)/Tau_j)))*Salcycl</f>
        <v>7.7554163925501615E-2</v>
      </c>
      <c r="AD207" s="230">
        <f>(INDEX(Models!$BJ207:$BT207,,AH207)*(1-AF207)+INDEX(Models!$BJ207:$BT207,,AH207+1)*AF207-ERP_i)*AE207*Ramure*Pc/MaxiM</f>
        <v>2.610142660391745E-3</v>
      </c>
      <c r="AE207" s="304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0.64993499722457004</v>
      </c>
      <c r="AG207" s="799">
        <f t="shared" si="74"/>
        <v>2</v>
      </c>
      <c r="AH207" s="176">
        <f t="shared" ref="AH207:AH270" si="94">MIN(MATCH(Hp_vg_s,Echel_vg),10)</f>
        <v>8</v>
      </c>
      <c r="AI207" s="224">
        <f t="shared" ref="AI207:AI270" si="95">IF(OR(t&lt;Ttai,Notai),Hdd_s+PousH*Croivg,Hdtai_s+PousH*(Croivg-Croi_tai))</f>
        <v>2.64993499722457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46946</v>
      </c>
      <c r="B208" s="409">
        <f>'2027'!Wh/'2027'!Env_an*'2028'!Env_an</f>
        <v>51.685118253691122</v>
      </c>
      <c r="C208" s="829"/>
      <c r="D208" s="391">
        <f t="shared" si="77"/>
        <v>55.240227811386831</v>
      </c>
      <c r="E208" s="383">
        <f t="shared" si="75"/>
        <v>57.857903371146229</v>
      </c>
      <c r="F208" s="383">
        <f t="shared" si="78"/>
        <v>57.864580099300383</v>
      </c>
      <c r="G208" s="110">
        <f t="shared" si="76"/>
        <v>0.97769440699531263</v>
      </c>
      <c r="H208" s="412" t="b">
        <f>Wh_hp&gt;='2027'!Maxi_hp</f>
        <v>0</v>
      </c>
      <c r="I208" s="388">
        <f>IF(H208,Wh_hp,'2027'!Maxi_hp)</f>
        <v>57.86476288067972</v>
      </c>
      <c r="J208" s="85">
        <f>IF(H208,An,'2027'!An_max)</f>
        <v>2026</v>
      </c>
      <c r="K208" s="197">
        <f t="shared" si="79"/>
        <v>46946</v>
      </c>
      <c r="L208" s="147">
        <f>IF(t&lt;Tvie,1-EXP((T0-t)*PertePVj)+'2027'!Pspv,1-EXP((T0-t)*PertePVj)+Pspv)</f>
        <v>6.4357257356619457E-2</v>
      </c>
      <c r="M208" s="832"/>
      <c r="N208" s="832"/>
      <c r="O208" s="48">
        <f>IF(t&lt;Tnet,'2027'!Resal+('2027'!Salim-'2027'!Resal)*(1-EXP(('2027'!Tnet-t)/('2027'!Tau_j))),Resal+(Salim-Resal)*(1-EXP((Tnet-t)/(Tau_j))))*Salcycl</f>
        <v>4.5243180399530944E-2</v>
      </c>
      <c r="P208" s="169">
        <f>(INDEX(Models!$BJ208:$BT208,,T208)*(1-R208)+INDEX(Models!$BJ208:$BT208,,T208+1)*R208-ERP_i)*Q208*Ramure*Pc/MaxiM</f>
        <v>1.1918254289942749E-4</v>
      </c>
      <c r="Q208" s="304">
        <f t="shared" si="80"/>
        <v>0.7</v>
      </c>
      <c r="R208" s="177">
        <f t="shared" si="81"/>
        <v>0.89699205375909574</v>
      </c>
      <c r="S208" s="799">
        <f t="shared" si="82"/>
        <v>-1</v>
      </c>
      <c r="T208" s="176">
        <f t="shared" si="83"/>
        <v>5</v>
      </c>
      <c r="U208" s="250">
        <f t="shared" si="84"/>
        <v>-0.10300794624090426</v>
      </c>
      <c r="V208" s="382">
        <f t="shared" si="85"/>
        <v>52.864086779928542</v>
      </c>
      <c r="W208" s="400">
        <f t="shared" si="86"/>
        <v>51.685118253691122</v>
      </c>
      <c r="X208" s="157">
        <f t="shared" si="87"/>
        <v>46946</v>
      </c>
      <c r="Y208" s="383">
        <f t="shared" si="88"/>
        <v>49.804985190174961</v>
      </c>
      <c r="Z208" s="383">
        <f t="shared" si="89"/>
        <v>53.230771661270815</v>
      </c>
      <c r="AA208" s="384">
        <f t="shared" si="90"/>
        <v>57.708363150750777</v>
      </c>
      <c r="AB208" s="197">
        <f t="shared" si="91"/>
        <v>46946</v>
      </c>
      <c r="AC208" s="119">
        <f>IF(OR(t&lt;Tnet,NoTnet),'2027'!Resal_s+('2027'!Salim-'2027'!Resal_s)*(1-EXP(('2027'!Tnet_s-t)/'2027'!Tau_j)),Resal_s+(Salim-Resal_s)*(1-EXP((Tnet_s-t)/Tau_j)))*Salcycl</f>
        <v>7.7589992940593558E-2</v>
      </c>
      <c r="AD208" s="230">
        <f>(INDEX(Models!$BJ208:$BT208,,AH208)*(1-AF208)+INDEX(Models!$BJ208:$BT208,,AH208+1)*AF208-ERP_i)*AE208*Ramure*Pc/MaxiM</f>
        <v>2.7885414445899133E-3</v>
      </c>
      <c r="AE208" s="304">
        <f t="shared" si="92"/>
        <v>0.7</v>
      </c>
      <c r="AF208" s="177">
        <f t="shared" si="93"/>
        <v>0.65264988459844631</v>
      </c>
      <c r="AG208" s="799">
        <f t="shared" ref="AG208:AG271" si="99">INDEX(Echel_vg,AH208)</f>
        <v>2</v>
      </c>
      <c r="AH208" s="176">
        <f t="shared" si="94"/>
        <v>8</v>
      </c>
      <c r="AI208" s="224">
        <f t="shared" si="95"/>
        <v>2.6526498845984463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46947</v>
      </c>
      <c r="B209" s="409">
        <f>'2027'!Wh/'2027'!Env_an*'2028'!Env_an</f>
        <v>51.443181505320489</v>
      </c>
      <c r="C209" s="829"/>
      <c r="D209" s="391">
        <f t="shared" si="77"/>
        <v>54.982703414887396</v>
      </c>
      <c r="E209" s="383">
        <f t="shared" si="75"/>
        <v>57.592401891856035</v>
      </c>
      <c r="F209" s="383">
        <f t="shared" si="78"/>
        <v>57.599233664373607</v>
      </c>
      <c r="G209" s="110">
        <f t="shared" si="76"/>
        <v>0.9751564875899732</v>
      </c>
      <c r="H209" s="412" t="b">
        <f>Wh_hp&gt;='2027'!Maxi_hp</f>
        <v>0</v>
      </c>
      <c r="I209" s="388">
        <f>IF(H209,Wh_hp,'2027'!Maxi_hp)</f>
        <v>58.629820417743659</v>
      </c>
      <c r="J209" s="85">
        <f>IF(H209,An,'2027'!An_max)</f>
        <v>2018</v>
      </c>
      <c r="K209" s="197">
        <f t="shared" si="79"/>
        <v>46947</v>
      </c>
      <c r="L209" s="147">
        <f>IF(t&lt;Tvie,1-EXP((T0-t)*PertePVj)+'2027'!Pspv,1-EXP((T0-t)*PertePVj)+Pspv)</f>
        <v>6.4375188736327749E-2</v>
      </c>
      <c r="M209" s="832"/>
      <c r="N209" s="832"/>
      <c r="O209" s="48">
        <f>IF(t&lt;Tnet,'2027'!Resal+('2027'!Salim-'2027'!Resal)*(1-EXP(('2027'!Tnet-t)/('2027'!Tau_j))),Resal+(Salim-Resal)*(1-EXP((Tnet-t)/(Tau_j))))*Salcycl</f>
        <v>4.5313242567465627E-2</v>
      </c>
      <c r="P209" s="169">
        <f>(INDEX(Models!$BJ209:$BT209,,T209)*(1-R209)+INDEX(Models!$BJ209:$BT209,,T209+1)*R209-ERP_i)*Q209*Ramure*Pc/MaxiM</f>
        <v>1.2297237164561131E-4</v>
      </c>
      <c r="Q209" s="304">
        <f t="shared" si="80"/>
        <v>0.7</v>
      </c>
      <c r="R209" s="177">
        <f t="shared" si="81"/>
        <v>0.89964188239760201</v>
      </c>
      <c r="S209" s="799">
        <f t="shared" si="82"/>
        <v>-1</v>
      </c>
      <c r="T209" s="176">
        <f t="shared" si="83"/>
        <v>5</v>
      </c>
      <c r="U209" s="250">
        <f t="shared" si="84"/>
        <v>-0.10035811760239793</v>
      </c>
      <c r="V209" s="382">
        <f t="shared" si="85"/>
        <v>52.75354023098776</v>
      </c>
      <c r="W209" s="400">
        <f t="shared" si="86"/>
        <v>51.443181505320489</v>
      </c>
      <c r="X209" s="157">
        <f t="shared" si="87"/>
        <v>46947</v>
      </c>
      <c r="Y209" s="383">
        <f t="shared" si="88"/>
        <v>49.565070442456239</v>
      </c>
      <c r="Z209" s="383">
        <f t="shared" si="89"/>
        <v>52.975369876641828</v>
      </c>
      <c r="AA209" s="384">
        <f t="shared" si="90"/>
        <v>57.433659686004262</v>
      </c>
      <c r="AB209" s="197">
        <f t="shared" si="91"/>
        <v>46947</v>
      </c>
      <c r="AC209" s="119">
        <f>IF(OR(t&lt;Tnet,NoTnet),'2027'!Resal_s+('2027'!Salim-'2027'!Resal_s)*(1-EXP(('2027'!Tnet_s-t)/'2027'!Tau_j)),Resal_s+(Salim-Resal_s)*(1-EXP((Tnet_s-t)/Tau_j)))*Salcycl</f>
        <v>7.7625034409027141E-2</v>
      </c>
      <c r="AD209" s="230">
        <f>(INDEX(Models!$BJ209:$BT209,,AH209)*(1-AF209)+INDEX(Models!$BJ209:$BT209,,AH209+1)*AF209-ERP_i)*AE209*Ramure*Pc/MaxiM</f>
        <v>2.9803429125475718E-3</v>
      </c>
      <c r="AE209" s="304">
        <f t="shared" si="92"/>
        <v>0.7</v>
      </c>
      <c r="AF209" s="177">
        <f t="shared" si="93"/>
        <v>0.65529971323695291</v>
      </c>
      <c r="AG209" s="799">
        <f t="shared" si="99"/>
        <v>2</v>
      </c>
      <c r="AH209" s="176">
        <f t="shared" si="94"/>
        <v>8</v>
      </c>
      <c r="AI209" s="224">
        <f t="shared" si="95"/>
        <v>2.6552997132369529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46948</v>
      </c>
      <c r="B210" s="409">
        <f>'2027'!Wh/'2027'!Env_an*'2028'!Env_an</f>
        <v>49.008800432683422</v>
      </c>
      <c r="C210" s="829"/>
      <c r="D210" s="391">
        <f t="shared" si="77"/>
        <v>52.381829877908281</v>
      </c>
      <c r="E210" s="383">
        <f t="shared" si="75"/>
        <v>54.872079475124956</v>
      </c>
      <c r="F210" s="383">
        <f t="shared" si="78"/>
        <v>54.878396772087477</v>
      </c>
      <c r="G210" s="110">
        <f t="shared" si="76"/>
        <v>0.93097707388726947</v>
      </c>
      <c r="H210" s="412" t="b">
        <f>Wh_hp&gt;='2027'!Maxi_hp</f>
        <v>0</v>
      </c>
      <c r="I210" s="388">
        <f>IF(H210,Wh_hp,'2027'!Maxi_hp)</f>
        <v>60.732811241786656</v>
      </c>
      <c r="J210" s="85">
        <f>IF(H210,An,'2027'!An_max)</f>
        <v>2018</v>
      </c>
      <c r="K210" s="197">
        <f t="shared" si="79"/>
        <v>46948</v>
      </c>
      <c r="L210" s="147">
        <f>IF(t&lt;Tvie,1-EXP((T0-t)*PertePVj)+'2027'!Pspv,1-EXP((T0-t)*PertePVj)+Pspv)</f>
        <v>6.4393119772385266E-2</v>
      </c>
      <c r="M210" s="832"/>
      <c r="N210" s="832"/>
      <c r="O210" s="48">
        <f>IF(t&lt;Tnet,'2027'!Resal+('2027'!Salim-'2027'!Resal)*(1-EXP(('2027'!Tnet-t)/('2027'!Tau_j))),Resal+(Salim-Resal)*(1-EXP((Tnet-t)/(Tau_j))))*Salcycl</f>
        <v>4.5382818020329944E-2</v>
      </c>
      <c r="P210" s="169">
        <f>(INDEX(Models!$BJ210:$BT210,,T210)*(1-R210)+INDEX(Models!$BJ210:$BT210,,T210+1)*R210-ERP_i)*Q210*Ramure*Pc/MaxiM</f>
        <v>1.2770452002885802E-4</v>
      </c>
      <c r="Q210" s="304">
        <f t="shared" si="80"/>
        <v>0.7</v>
      </c>
      <c r="R210" s="177">
        <f t="shared" si="81"/>
        <v>0.902226805921724</v>
      </c>
      <c r="S210" s="799">
        <f t="shared" si="82"/>
        <v>-1</v>
      </c>
      <c r="T210" s="176">
        <f t="shared" si="83"/>
        <v>5</v>
      </c>
      <c r="U210" s="250">
        <f t="shared" si="84"/>
        <v>-9.777319407827606E-2</v>
      </c>
      <c r="V210" s="382">
        <f t="shared" si="85"/>
        <v>52.641665098403209</v>
      </c>
      <c r="W210" s="400">
        <f t="shared" si="86"/>
        <v>49.008800432683422</v>
      </c>
      <c r="X210" s="157">
        <f t="shared" si="87"/>
        <v>46948</v>
      </c>
      <c r="Y210" s="383">
        <f t="shared" si="88"/>
        <v>47.221231579614013</v>
      </c>
      <c r="Z210" s="383">
        <f t="shared" si="89"/>
        <v>50.47123164392081</v>
      </c>
      <c r="AA210" s="384">
        <f t="shared" si="90"/>
        <v>54.720813177664205</v>
      </c>
      <c r="AB210" s="197">
        <f t="shared" si="91"/>
        <v>46948</v>
      </c>
      <c r="AC210" s="119">
        <f>IF(OR(t&lt;Tnet,NoTnet),'2027'!Resal_s+('2027'!Salim-'2027'!Resal_s)*(1-EXP(('2027'!Tnet_s-t)/'2027'!Tau_j)),Resal_s+(Salim-Resal_s)*(1-EXP((Tnet_s-t)/Tau_j)))*Salcycl</f>
        <v>7.7659327173119977E-2</v>
      </c>
      <c r="AD210" s="230">
        <f>(INDEX(Models!$BJ210:$BT210,,AH210)*(1-AF210)+INDEX(Models!$BJ210:$BT210,,AH210+1)*AF210-ERP_i)*AE210*Ramure*Pc/MaxiM</f>
        <v>3.1855613895705563E-3</v>
      </c>
      <c r="AE210" s="304">
        <f t="shared" si="92"/>
        <v>0.7</v>
      </c>
      <c r="AF210" s="177">
        <f t="shared" si="93"/>
        <v>0.65788463676107467</v>
      </c>
      <c r="AG210" s="799">
        <f t="shared" si="99"/>
        <v>2</v>
      </c>
      <c r="AH210" s="176">
        <f t="shared" si="94"/>
        <v>8</v>
      </c>
      <c r="AI210" s="224">
        <f t="shared" si="95"/>
        <v>2.6578846367610747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46949</v>
      </c>
      <c r="B211" s="409">
        <f>'2027'!Wh/'2027'!Env_an*'2028'!Env_an</f>
        <v>50.160247317956433</v>
      </c>
      <c r="C211" s="829"/>
      <c r="D211" s="391">
        <f t="shared" si="77"/>
        <v>53.613552557323324</v>
      </c>
      <c r="E211" s="383">
        <f t="shared" si="75"/>
        <v>56.166424853327477</v>
      </c>
      <c r="F211" s="383">
        <f t="shared" si="78"/>
        <v>56.173435307195163</v>
      </c>
      <c r="G211" s="110">
        <f t="shared" si="76"/>
        <v>0.95490565625894386</v>
      </c>
      <c r="H211" s="412" t="b">
        <f>Wh_hp&gt;='2027'!Maxi_hp</f>
        <v>0</v>
      </c>
      <c r="I211" s="388">
        <f>IF(H211,Wh_hp,'2027'!Maxi_hp)</f>
        <v>60.019024315602991</v>
      </c>
      <c r="J211" s="85">
        <f>IF(H211,An,'2027'!An_max)</f>
        <v>2018</v>
      </c>
      <c r="K211" s="197">
        <f t="shared" si="79"/>
        <v>46949</v>
      </c>
      <c r="L211" s="147">
        <f>IF(t&lt;Tvie,1-EXP((T0-t)*PertePVj)+'2027'!Pspv,1-EXP((T0-t)*PertePVj)+Pspv)</f>
        <v>6.4411050464798669E-2</v>
      </c>
      <c r="M211" s="832"/>
      <c r="N211" s="832"/>
      <c r="O211" s="48">
        <f>IF(t&lt;Tnet,'2027'!Resal+('2027'!Salim-'2027'!Resal)*(1-EXP(('2027'!Tnet-t)/('2027'!Tau_j))),Resal+(Salim-Resal)*(1-EXP((Tnet-t)/(Tau_j))))*Salcycl</f>
        <v>4.5451927956438459E-2</v>
      </c>
      <c r="P211" s="169">
        <f>(INDEX(Models!$BJ211:$BT211,,T211)*(1-R211)+INDEX(Models!$BJ211:$BT211,,T211+1)*R211-ERP_i)*Q211*Ramure*Pc/MaxiM</f>
        <v>1.3339176195069106E-4</v>
      </c>
      <c r="Q211" s="304">
        <f t="shared" si="80"/>
        <v>0.7</v>
      </c>
      <c r="R211" s="177">
        <f t="shared" si="81"/>
        <v>0.90474707741079707</v>
      </c>
      <c r="S211" s="799">
        <f t="shared" si="82"/>
        <v>-1</v>
      </c>
      <c r="T211" s="176">
        <f t="shared" si="83"/>
        <v>5</v>
      </c>
      <c r="U211" s="250">
        <f t="shared" si="84"/>
        <v>-9.5252922589202926E-2</v>
      </c>
      <c r="V211" s="382">
        <f t="shared" si="85"/>
        <v>52.528557118340863</v>
      </c>
      <c r="W211" s="400">
        <f t="shared" si="86"/>
        <v>50.160247317956433</v>
      </c>
      <c r="X211" s="157">
        <f t="shared" si="87"/>
        <v>46949</v>
      </c>
      <c r="Y211" s="383">
        <f t="shared" si="88"/>
        <v>48.317694098386049</v>
      </c>
      <c r="Z211" s="383">
        <f t="shared" si="89"/>
        <v>51.644147916016088</v>
      </c>
      <c r="AA211" s="384">
        <f t="shared" si="90"/>
        <v>55.994525533873258</v>
      </c>
      <c r="AB211" s="197">
        <f t="shared" si="91"/>
        <v>46949</v>
      </c>
      <c r="AC211" s="119">
        <f>IF(OR(t&lt;Tnet,NoTnet),'2027'!Resal_s+('2027'!Salim-'2027'!Resal_s)*(1-EXP(('2027'!Tnet_s-t)/'2027'!Tau_j)),Resal_s+(Salim-Resal_s)*(1-EXP((Tnet_s-t)/Tau_j)))*Salcycl</f>
        <v>7.7692909733210663E-2</v>
      </c>
      <c r="AD211" s="230">
        <f>(INDEX(Models!$BJ211:$BT211,,AH211)*(1-AF211)+INDEX(Models!$BJ211:$BT211,,AH211+1)*AF211-ERP_i)*AE211*Ramure*Pc/MaxiM</f>
        <v>3.4042146691239351E-3</v>
      </c>
      <c r="AE211" s="304">
        <f t="shared" si="92"/>
        <v>0.7</v>
      </c>
      <c r="AF211" s="177">
        <f t="shared" si="93"/>
        <v>0.66040490825014775</v>
      </c>
      <c r="AG211" s="799">
        <f t="shared" si="99"/>
        <v>2</v>
      </c>
      <c r="AH211" s="176">
        <f t="shared" si="94"/>
        <v>8</v>
      </c>
      <c r="AI211" s="224">
        <f t="shared" si="95"/>
        <v>2.6604049082501477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46950</v>
      </c>
      <c r="B212" s="409">
        <f>'2027'!Wh/'2027'!Env_an*'2028'!Env_an</f>
        <v>50.716220085587388</v>
      </c>
      <c r="C212" s="829"/>
      <c r="D212" s="391">
        <f t="shared" si="77"/>
        <v>54.208840425273443</v>
      </c>
      <c r="E212" s="383">
        <f t="shared" si="75"/>
        <v>56.794143538447322</v>
      </c>
      <c r="F212" s="383">
        <f t="shared" si="78"/>
        <v>56.801853982675091</v>
      </c>
      <c r="G212" s="110">
        <f t="shared" si="76"/>
        <v>0.96759834894682739</v>
      </c>
      <c r="H212" s="412" t="b">
        <f>Wh_hp&gt;='2027'!Maxi_hp</f>
        <v>0</v>
      </c>
      <c r="I212" s="388">
        <f>IF(H212,Wh_hp,'2027'!Maxi_hp)</f>
        <v>58.588907311846619</v>
      </c>
      <c r="J212" s="85">
        <f>IF(H212,An,'2027'!An_max)</f>
        <v>2021</v>
      </c>
      <c r="K212" s="197">
        <f t="shared" si="79"/>
        <v>46950</v>
      </c>
      <c r="L212" s="147">
        <f>IF(t&lt;Tvie,1-EXP((T0-t)*PertePVj)+'2027'!Pspv,1-EXP((T0-t)*PertePVj)+Pspv)</f>
        <v>6.4428980813574399E-2</v>
      </c>
      <c r="M212" s="832"/>
      <c r="N212" s="832"/>
      <c r="O212" s="48">
        <f>IF(t&lt;Tnet,'2027'!Resal+('2027'!Salim-'2027'!Resal)*(1-EXP(('2027'!Tnet-t)/('2027'!Tau_j))),Resal+(Salim-Resal)*(1-EXP((Tnet-t)/(Tau_j))))*Salcycl</f>
        <v>4.5520593358780628E-2</v>
      </c>
      <c r="P212" s="169">
        <f>(INDEX(Models!$BJ212:$BT212,,T212)*(1-R212)+INDEX(Models!$BJ212:$BT212,,T212+1)*R212-ERP_i)*Q212*Ramure*Pc/MaxiM</f>
        <v>1.4232969817633132E-4</v>
      </c>
      <c r="Q212" s="304">
        <f t="shared" si="80"/>
        <v>0.7</v>
      </c>
      <c r="R212" s="177">
        <f t="shared" si="81"/>
        <v>0.90720304386405815</v>
      </c>
      <c r="S212" s="799">
        <f t="shared" si="82"/>
        <v>-1</v>
      </c>
      <c r="T212" s="176">
        <f t="shared" si="83"/>
        <v>5</v>
      </c>
      <c r="U212" s="250">
        <f t="shared" si="84"/>
        <v>-9.2796956135941855E-2</v>
      </c>
      <c r="V212" s="382">
        <f t="shared" si="85"/>
        <v>52.414192349768079</v>
      </c>
      <c r="W212" s="400">
        <f t="shared" si="86"/>
        <v>50.716220085587388</v>
      </c>
      <c r="X212" s="157">
        <f t="shared" si="87"/>
        <v>46950</v>
      </c>
      <c r="Y212" s="383">
        <f t="shared" si="88"/>
        <v>48.841712033813472</v>
      </c>
      <c r="Z212" s="383">
        <f t="shared" si="89"/>
        <v>52.205242608184165</v>
      </c>
      <c r="AA212" s="384">
        <f t="shared" si="90"/>
        <v>56.60490529052386</v>
      </c>
      <c r="AB212" s="197">
        <f t="shared" si="91"/>
        <v>46950</v>
      </c>
      <c r="AC212" s="119">
        <f>IF(OR(t&lt;Tnet,NoTnet),'2027'!Resal_s+('2027'!Salim-'2027'!Resal_s)*(1-EXP(('2027'!Tnet_s-t)/'2027'!Tau_j)),Resal_s+(Salim-Resal_s)*(1-EXP((Tnet_s-t)/Tau_j)))*Salcycl</f>
        <v>7.7725820046133598E-2</v>
      </c>
      <c r="AD212" s="230">
        <f>(INDEX(Models!$BJ212:$BT212,,AH212)*(1-AF212)+INDEX(Models!$BJ212:$BT212,,AH212+1)*AF212-ERP_i)*AE212*Ramure*Pc/MaxiM</f>
        <v>3.6355425293336176E-3</v>
      </c>
      <c r="AE212" s="304">
        <f t="shared" si="92"/>
        <v>0.7</v>
      </c>
      <c r="AF212" s="177">
        <f t="shared" si="93"/>
        <v>0.66286087470340904</v>
      </c>
      <c r="AG212" s="799">
        <f t="shared" si="99"/>
        <v>2</v>
      </c>
      <c r="AH212" s="176">
        <f t="shared" si="94"/>
        <v>8</v>
      </c>
      <c r="AI212" s="224">
        <f t="shared" si="95"/>
        <v>2.662860874703409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46951</v>
      </c>
      <c r="B213" s="409">
        <f>'2027'!Wh/'2027'!Env_an*'2028'!Env_an</f>
        <v>52.75903537600918</v>
      </c>
      <c r="C213" s="829"/>
      <c r="D213" s="391">
        <f t="shared" si="77"/>
        <v>56.393416884743061</v>
      </c>
      <c r="E213" s="383">
        <f t="shared" si="75"/>
        <v>59.087130312130007</v>
      </c>
      <c r="F213" s="383">
        <f t="shared" si="78"/>
        <v>59.096265528391378</v>
      </c>
      <c r="G213" s="110">
        <f t="shared" si="76"/>
        <v>1.0088027243466919</v>
      </c>
      <c r="H213" s="412" t="b">
        <f>Wh_hp&gt;='2027'!Maxi_hp</f>
        <v>1</v>
      </c>
      <c r="I213" s="388">
        <f>IF(H213,Wh_hp,'2027'!Maxi_hp)</f>
        <v>59.096265528391378</v>
      </c>
      <c r="J213" s="85">
        <f>IF(H213,An,'2027'!An_max)</f>
        <v>2028</v>
      </c>
      <c r="K213" s="197">
        <f t="shared" si="79"/>
        <v>46951</v>
      </c>
      <c r="L213" s="147">
        <f>IF(t&lt;Tvie,1-EXP((T0-t)*PertePVj)+'2027'!Pspv,1-EXP((T0-t)*PertePVj)+Pspv)</f>
        <v>6.4446910818719005E-2</v>
      </c>
      <c r="M213" s="832"/>
      <c r="N213" s="832"/>
      <c r="O213" s="48">
        <f>IF(t&lt;Tnet,'2027'!Resal+('2027'!Salim-'2027'!Resal)*(1-EXP(('2027'!Tnet-t)/('2027'!Tau_j))),Resal+(Salim-Resal)*(1-EXP((Tnet-t)/(Tau_j))))*Salcycl</f>
        <v>4.5588834880917424E-2</v>
      </c>
      <c r="P213" s="169">
        <f>(INDEX(Models!$BJ213:$BT213,,T213)*(1-R213)+INDEX(Models!$BJ213:$BT213,,T213+1)*R213-ERP_i)*Q213*Ramure*Pc/MaxiM</f>
        <v>1.5458195504727151E-4</v>
      </c>
      <c r="Q213" s="304">
        <f t="shared" si="80"/>
        <v>0.7</v>
      </c>
      <c r="R213" s="177">
        <f t="shared" si="81"/>
        <v>0.90959514059709057</v>
      </c>
      <c r="S213" s="799">
        <f t="shared" si="82"/>
        <v>-1</v>
      </c>
      <c r="T213" s="176">
        <f t="shared" si="83"/>
        <v>5</v>
      </c>
      <c r="U213" s="250">
        <f t="shared" si="84"/>
        <v>-9.0404859402909488E-2</v>
      </c>
      <c r="V213" s="382">
        <f t="shared" si="85"/>
        <v>52.298664647417887</v>
      </c>
      <c r="W213" s="400">
        <f t="shared" si="86"/>
        <v>52.75903537600918</v>
      </c>
      <c r="X213" s="157">
        <f t="shared" si="87"/>
        <v>46951</v>
      </c>
      <c r="Y213" s="383">
        <f t="shared" si="88"/>
        <v>50.791105451617263</v>
      </c>
      <c r="Z213" s="383">
        <f t="shared" si="89"/>
        <v>54.289923296673045</v>
      </c>
      <c r="AA213" s="384">
        <f t="shared" si="90"/>
        <v>58.867335155797591</v>
      </c>
      <c r="AB213" s="197">
        <f t="shared" si="91"/>
        <v>46951</v>
      </c>
      <c r="AC213" s="119">
        <f>IF(OR(t&lt;Tnet,NoTnet),'2027'!Resal_s+('2027'!Salim-'2027'!Resal_s)*(1-EXP(('2027'!Tnet_s-t)/'2027'!Tau_j)),Resal_s+(Salim-Resal_s)*(1-EXP((Tnet_s-t)/Tau_j)))*Salcycl</f>
        <v>7.7758095334365437E-2</v>
      </c>
      <c r="AD213" s="230">
        <f>(INDEX(Models!$BJ213:$BT213,,AH213)*(1-AF213)+INDEX(Models!$BJ213:$BT213,,AH213+1)*AF213-ERP_i)*AE213*Ramure*Pc/MaxiM</f>
        <v>3.8738551505221957E-3</v>
      </c>
      <c r="AE213" s="304">
        <f t="shared" si="92"/>
        <v>0.7</v>
      </c>
      <c r="AF213" s="177">
        <f t="shared" si="93"/>
        <v>0.66525297143644124</v>
      </c>
      <c r="AG213" s="799">
        <f t="shared" si="99"/>
        <v>2</v>
      </c>
      <c r="AH213" s="176">
        <f t="shared" si="94"/>
        <v>8</v>
      </c>
      <c r="AI213" s="224">
        <f t="shared" si="95"/>
        <v>2.6652529714364412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46952</v>
      </c>
      <c r="B214" s="409">
        <f>'2027'!Wh/'2027'!Env_an*'2028'!Env_an</f>
        <v>31.809812238388119</v>
      </c>
      <c r="C214" s="829"/>
      <c r="D214" s="391">
        <f t="shared" si="77"/>
        <v>34.001728224428334</v>
      </c>
      <c r="E214" s="383">
        <f t="shared" si="75"/>
        <v>35.628402539385995</v>
      </c>
      <c r="F214" s="383">
        <f t="shared" si="78"/>
        <v>35.631084518769242</v>
      </c>
      <c r="G214" s="110">
        <f t="shared" si="76"/>
        <v>0.6095349076803519</v>
      </c>
      <c r="H214" s="412" t="b">
        <f>Wh_hp&gt;='2027'!Maxi_hp</f>
        <v>0</v>
      </c>
      <c r="I214" s="388">
        <f>IF(H214,Wh_hp,'2027'!Maxi_hp)</f>
        <v>58.821936669758294</v>
      </c>
      <c r="J214" s="85">
        <f>IF(H214,An,'2027'!An_max)</f>
        <v>2020</v>
      </c>
      <c r="K214" s="197">
        <f t="shared" si="79"/>
        <v>46952</v>
      </c>
      <c r="L214" s="147">
        <f>IF(t&lt;Tvie,1-EXP((T0-t)*PertePVj)+'2027'!Pspv,1-EXP((T0-t)*PertePVj)+Pspv)</f>
        <v>6.4464840480239149E-2</v>
      </c>
      <c r="M214" s="832"/>
      <c r="N214" s="832"/>
      <c r="O214" s="48">
        <f>IF(t&lt;Tnet,'2027'!Resal+('2027'!Salim-'2027'!Resal)*(1-EXP(('2027'!Tnet-t)/('2027'!Tau_j))),Resal+(Salim-Resal)*(1-EXP((Tnet-t)/(Tau_j))))*Salcycl</f>
        <v>4.5656672739099909E-2</v>
      </c>
      <c r="P214" s="169">
        <f>(INDEX(Models!$BJ214:$BT214,,T214)*(1-R214)+INDEX(Models!$BJ214:$BT214,,T214+1)*R214-ERP_i)*Q214*Ramure*Pc/MaxiM</f>
        <v>1.7018983535424249E-4</v>
      </c>
      <c r="Q214" s="304">
        <f t="shared" si="80"/>
        <v>0.7</v>
      </c>
      <c r="R214" s="177">
        <f t="shared" si="81"/>
        <v>0.91192388560954152</v>
      </c>
      <c r="S214" s="799">
        <f t="shared" si="82"/>
        <v>-1</v>
      </c>
      <c r="T214" s="176">
        <f t="shared" si="83"/>
        <v>5</v>
      </c>
      <c r="U214" s="250">
        <f t="shared" si="84"/>
        <v>-8.8076114390458538E-2</v>
      </c>
      <c r="V214" s="382">
        <f t="shared" si="85"/>
        <v>52.182069070812311</v>
      </c>
      <c r="W214" s="400">
        <f t="shared" si="86"/>
        <v>31.809812238388119</v>
      </c>
      <c r="X214" s="157">
        <f t="shared" si="87"/>
        <v>46952</v>
      </c>
      <c r="Y214" s="383">
        <f t="shared" si="88"/>
        <v>30.685073681688269</v>
      </c>
      <c r="Z214" s="383">
        <f t="shared" si="89"/>
        <v>32.799487405091078</v>
      </c>
      <c r="AA214" s="384">
        <f t="shared" si="90"/>
        <v>35.566171796766255</v>
      </c>
      <c r="AB214" s="197">
        <f t="shared" si="91"/>
        <v>46952</v>
      </c>
      <c r="AC214" s="119">
        <f>IF(OR(t&lt;Tnet,NoTnet),'2027'!Resal_s+('2027'!Salim-'2027'!Resal_s)*(1-EXP(('2027'!Tnet_s-t)/'2027'!Tau_j)),Resal_s+(Salim-Resal_s)*(1-EXP((Tnet_s-t)/Tau_j)))*Salcycl</f>
        <v>7.7789771906987576E-2</v>
      </c>
      <c r="AD214" s="230">
        <f>(INDEX(Models!$BJ214:$BT214,,AH214)*(1-AF214)+INDEX(Models!$BJ214:$BT214,,AH214+1)*AF214-ERP_i)*AE214*Ramure*Pc/MaxiM</f>
        <v>4.119153763475855E-3</v>
      </c>
      <c r="AE214" s="304">
        <f t="shared" si="92"/>
        <v>0.7</v>
      </c>
      <c r="AF214" s="177">
        <f t="shared" si="93"/>
        <v>0.66758171644889241</v>
      </c>
      <c r="AG214" s="799">
        <f t="shared" si="99"/>
        <v>2</v>
      </c>
      <c r="AH214" s="176">
        <f t="shared" si="94"/>
        <v>8</v>
      </c>
      <c r="AI214" s="224">
        <f t="shared" si="95"/>
        <v>2.6675817164488924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46953</v>
      </c>
      <c r="B215" s="409">
        <f>'2027'!Wh/'2027'!Env_an*'2028'!Env_an</f>
        <v>38.647364048720725</v>
      </c>
      <c r="C215" s="829"/>
      <c r="D215" s="391">
        <f t="shared" si="77"/>
        <v>41.311226347356211</v>
      </c>
      <c r="E215" s="383">
        <f t="shared" si="75"/>
        <v>43.290653677175776</v>
      </c>
      <c r="F215" s="383">
        <f t="shared" si="78"/>
        <v>43.295829385727636</v>
      </c>
      <c r="G215" s="110">
        <f t="shared" si="76"/>
        <v>0.7422460859328156</v>
      </c>
      <c r="H215" s="412" t="b">
        <f>Wh_hp&gt;='2027'!Maxi_hp</f>
        <v>0</v>
      </c>
      <c r="I215" s="388">
        <f>IF(H215,Wh_hp,'2027'!Maxi_hp)</f>
        <v>57.966887791855576</v>
      </c>
      <c r="J215" s="85">
        <f>IF(H215,An,'2027'!An_max)</f>
        <v>2020</v>
      </c>
      <c r="K215" s="197">
        <f t="shared" si="79"/>
        <v>46953</v>
      </c>
      <c r="L215" s="147">
        <f>IF(t&lt;Tvie,1-EXP((T0-t)*PertePVj)+'2027'!Pspv,1-EXP((T0-t)*PertePVj)+Pspv)</f>
        <v>6.4482769798141493E-2</v>
      </c>
      <c r="M215" s="832"/>
      <c r="N215" s="832"/>
      <c r="O215" s="48">
        <f>IF(t&lt;Tnet,'2027'!Resal+('2027'!Salim-'2027'!Resal)*(1-EXP(('2027'!Tnet-t)/('2027'!Tau_j))),Resal+(Salim-Resal)*(1-EXP((Tnet-t)/(Tau_j))))*Salcycl</f>
        <v>4.5724126611264015E-2</v>
      </c>
      <c r="P215" s="169">
        <f>(INDEX(Models!$BJ215:$BT215,,T215)*(1-R215)+INDEX(Models!$BJ215:$BT215,,T215+1)*R215-ERP_i)*Q215*Ramure*Pc/MaxiM</f>
        <v>1.8919385054896431E-4</v>
      </c>
      <c r="Q215" s="304">
        <f t="shared" si="80"/>
        <v>0.7</v>
      </c>
      <c r="R215" s="177">
        <f t="shared" si="81"/>
        <v>0.91418987395788953</v>
      </c>
      <c r="S215" s="799">
        <f t="shared" si="82"/>
        <v>-1</v>
      </c>
      <c r="T215" s="176">
        <f t="shared" si="83"/>
        <v>5</v>
      </c>
      <c r="U215" s="250">
        <f t="shared" si="84"/>
        <v>-8.5810126042110413E-2</v>
      </c>
      <c r="V215" s="382">
        <f t="shared" si="85"/>
        <v>52.064500754197162</v>
      </c>
      <c r="W215" s="400">
        <f t="shared" si="86"/>
        <v>38.647364048720725</v>
      </c>
      <c r="X215" s="157">
        <f t="shared" si="87"/>
        <v>46953</v>
      </c>
      <c r="Y215" s="383">
        <f t="shared" si="88"/>
        <v>37.248767414272841</v>
      </c>
      <c r="Z215" s="383">
        <f t="shared" si="89"/>
        <v>39.81622808404672</v>
      </c>
      <c r="AA215" s="384">
        <f t="shared" si="90"/>
        <v>43.176241400527978</v>
      </c>
      <c r="AB215" s="197">
        <f t="shared" si="91"/>
        <v>46953</v>
      </c>
      <c r="AC215" s="119">
        <f>IF(OR(t&lt;Tnet,NoTnet),'2027'!Resal_s+('2027'!Salim-'2027'!Resal_s)*(1-EXP(('2027'!Tnet_s-t)/'2027'!Tau_j)),Resal_s+(Salim-Resal_s)*(1-EXP((Tnet_s-t)/Tau_j)))*Salcycl</f>
        <v>7.7820884993480902E-2</v>
      </c>
      <c r="AD215" s="230">
        <f>(INDEX(Models!$BJ215:$BT215,,AH215)*(1-AF215)+INDEX(Models!$BJ215:$BT215,,AH215+1)*AF215-ERP_i)*AE215*Ramure*Pc/MaxiM</f>
        <v>4.3714423199446842E-3</v>
      </c>
      <c r="AE215" s="304">
        <f t="shared" si="92"/>
        <v>0.7</v>
      </c>
      <c r="AF215" s="177">
        <f t="shared" si="93"/>
        <v>0.66984770479724043</v>
      </c>
      <c r="AG215" s="799">
        <f t="shared" si="99"/>
        <v>2</v>
      </c>
      <c r="AH215" s="176">
        <f t="shared" si="94"/>
        <v>8</v>
      </c>
      <c r="AI215" s="224">
        <f t="shared" si="95"/>
        <v>2.6698477047972404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46954</v>
      </c>
      <c r="B216" s="409">
        <f>'2027'!Wh/'2027'!Env_an*'2028'!Env_an</f>
        <v>50.436434821927364</v>
      </c>
      <c r="C216" s="829"/>
      <c r="D216" s="391">
        <f t="shared" si="77"/>
        <v>53.913920358619606</v>
      </c>
      <c r="E216" s="383">
        <f t="shared" si="75"/>
        <v>56.501177977864565</v>
      </c>
      <c r="F216" s="383">
        <f t="shared" si="78"/>
        <v>56.512641428064903</v>
      </c>
      <c r="G216" s="110">
        <f t="shared" si="76"/>
        <v>0.97093016356615269</v>
      </c>
      <c r="H216" s="412" t="b">
        <f>Wh_hp&gt;='2027'!Maxi_hp</f>
        <v>0</v>
      </c>
      <c r="I216" s="388">
        <f>IF(H216,Wh_hp,'2027'!Maxi_hp)</f>
        <v>56.513050958729934</v>
      </c>
      <c r="J216" s="85">
        <f>IF(H216,An,'2027'!An_max)</f>
        <v>2026</v>
      </c>
      <c r="K216" s="197">
        <f t="shared" si="79"/>
        <v>46954</v>
      </c>
      <c r="L216" s="147">
        <f>IF(t&lt;Tvie,1-EXP((T0-t)*PertePVj)+'2027'!Pspv,1-EXP((T0-t)*PertePVj)+Pspv)</f>
        <v>6.4500698772432585E-2</v>
      </c>
      <c r="M216" s="832"/>
      <c r="N216" s="832"/>
      <c r="O216" s="48">
        <f>IF(t&lt;Tnet,'2027'!Resal+('2027'!Salim-'2027'!Resal)*(1-EXP(('2027'!Tnet-t)/('2027'!Tau_j))),Resal+(Salim-Resal)*(1-EXP((Tnet-t)/(Tau_j))))*Salcycl</f>
        <v>4.5791215543480666E-2</v>
      </c>
      <c r="P216" s="169">
        <f>(INDEX(Models!$BJ216:$BT216,,T216)*(1-R216)+INDEX(Models!$BJ216:$BT216,,T216+1)*R216-ERP_i)*Q216*Ramure*Pc/MaxiM</f>
        <v>2.1163375680451459E-4</v>
      </c>
      <c r="Q216" s="304">
        <f t="shared" si="80"/>
        <v>0.7</v>
      </c>
      <c r="R216" s="177">
        <f t="shared" si="81"/>
        <v>0.91639377216433759</v>
      </c>
      <c r="S216" s="799">
        <f t="shared" si="82"/>
        <v>-1</v>
      </c>
      <c r="T216" s="176">
        <f t="shared" si="83"/>
        <v>5</v>
      </c>
      <c r="U216" s="250">
        <f t="shared" si="84"/>
        <v>-8.3606227835662461E-2</v>
      </c>
      <c r="V216" s="382">
        <f t="shared" si="85"/>
        <v>51.946054905985257</v>
      </c>
      <c r="W216" s="400">
        <f t="shared" si="86"/>
        <v>50.436434821927364</v>
      </c>
      <c r="X216" s="157">
        <f t="shared" si="87"/>
        <v>46954</v>
      </c>
      <c r="Y216" s="383">
        <f t="shared" si="88"/>
        <v>48.535337788750752</v>
      </c>
      <c r="Z216" s="383">
        <f t="shared" si="89"/>
        <v>51.881746704740891</v>
      </c>
      <c r="AA216" s="384">
        <f t="shared" si="90"/>
        <v>56.261811343429841</v>
      </c>
      <c r="AB216" s="197">
        <f t="shared" si="91"/>
        <v>46954</v>
      </c>
      <c r="AC216" s="119">
        <f>IF(OR(t&lt;Tnet,NoTnet),'2027'!Resal_s+('2027'!Salim-'2027'!Resal_s)*(1-EXP(('2027'!Tnet_s-t)/'2027'!Tau_j)),Resal_s+(Salim-Resal_s)*(1-EXP((Tnet_s-t)/Tau_j)))*Salcycl</f>
        <v>7.7851468591233861E-2</v>
      </c>
      <c r="AD216" s="230">
        <f>(INDEX(Models!$BJ216:$BT216,,AH216)*(1-AF216)+INDEX(Models!$BJ216:$BT216,,AH216+1)*AF216-ERP_i)*AE216*Ramure*Pc/MaxiM</f>
        <v>4.6307274165466386E-3</v>
      </c>
      <c r="AE216" s="304">
        <f t="shared" si="92"/>
        <v>0.7</v>
      </c>
      <c r="AF216" s="177">
        <f t="shared" si="93"/>
        <v>0.67205160300368849</v>
      </c>
      <c r="AG216" s="799">
        <f t="shared" si="99"/>
        <v>2</v>
      </c>
      <c r="AH216" s="176">
        <f t="shared" si="94"/>
        <v>8</v>
      </c>
      <c r="AI216" s="224">
        <f t="shared" si="95"/>
        <v>2.6720516030036885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46955</v>
      </c>
      <c r="B217" s="409">
        <f>'2027'!Wh/'2027'!Env_an*'2028'!Env_an</f>
        <v>42.372319294768204</v>
      </c>
      <c r="C217" s="829"/>
      <c r="D217" s="391">
        <f t="shared" si="77"/>
        <v>45.294669178867061</v>
      </c>
      <c r="E217" s="383">
        <f t="shared" si="75"/>
        <v>47.471620763596981</v>
      </c>
      <c r="F217" s="383">
        <f t="shared" si="78"/>
        <v>47.479960226397289</v>
      </c>
      <c r="G217" s="110">
        <f t="shared" si="76"/>
        <v>0.81752440398370541</v>
      </c>
      <c r="H217" s="412" t="b">
        <f>Wh_hp&gt;='2027'!Maxi_hp</f>
        <v>0</v>
      </c>
      <c r="I217" s="388">
        <f>IF(H217,Wh_hp,'2027'!Maxi_hp)</f>
        <v>54.98806790169472</v>
      </c>
      <c r="J217" s="85">
        <f>IF(H217,An,'2027'!An_max)</f>
        <v>2021</v>
      </c>
      <c r="K217" s="197">
        <f t="shared" si="79"/>
        <v>46955</v>
      </c>
      <c r="L217" s="147">
        <f>IF(t&lt;Tvie,1-EXP((T0-t)*PertePVj)+'2027'!Pspv,1-EXP((T0-t)*PertePVj)+Pspv)</f>
        <v>6.4518627403118867E-2</v>
      </c>
      <c r="M217" s="832"/>
      <c r="N217" s="832"/>
      <c r="O217" s="48">
        <f>IF(t&lt;Tnet,'2027'!Resal+('2027'!Salim-'2027'!Resal)*(1-EXP(('2027'!Tnet-t)/('2027'!Tau_j))),Resal+(Salim-Resal)*(1-EXP((Tnet-t)/(Tau_j))))*Salcycl</f>
        <v>4.5857957864360213E-2</v>
      </c>
      <c r="P217" s="169">
        <f>(INDEX(Models!$BJ217:$BT217,,T217)*(1-R217)+INDEX(Models!$BJ217:$BT217,,T217+1)*R217-ERP_i)*Q217*Ramure*Pc/MaxiM</f>
        <v>2.3754858968953415E-4</v>
      </c>
      <c r="Q217" s="304">
        <f t="shared" si="80"/>
        <v>0.7</v>
      </c>
      <c r="R217" s="177">
        <f t="shared" si="81"/>
        <v>0.91853631269016089</v>
      </c>
      <c r="S217" s="799">
        <f t="shared" si="82"/>
        <v>-1</v>
      </c>
      <c r="T217" s="176">
        <f t="shared" si="83"/>
        <v>5</v>
      </c>
      <c r="U217" s="250">
        <f t="shared" si="84"/>
        <v>-8.1463687309839161E-2</v>
      </c>
      <c r="V217" s="382">
        <f t="shared" si="85"/>
        <v>51.826826808673481</v>
      </c>
      <c r="W217" s="400">
        <f t="shared" si="86"/>
        <v>42.372319294768204</v>
      </c>
      <c r="X217" s="157">
        <f t="shared" si="87"/>
        <v>46955</v>
      </c>
      <c r="Y217" s="383">
        <f t="shared" si="88"/>
        <v>40.809083712444753</v>
      </c>
      <c r="Z217" s="383">
        <f t="shared" si="89"/>
        <v>43.623619783213215</v>
      </c>
      <c r="AA217" s="384">
        <f t="shared" si="90"/>
        <v>47.308043815029279</v>
      </c>
      <c r="AB217" s="197">
        <f t="shared" si="91"/>
        <v>46955</v>
      </c>
      <c r="AC217" s="119">
        <f>IF(OR(t&lt;Tnet,NoTnet),'2027'!Resal_s+('2027'!Salim-'2027'!Resal_s)*(1-EXP(('2027'!Tnet_s-t)/'2027'!Tau_j)),Resal_s+(Salim-Resal_s)*(1-EXP((Tnet_s-t)/Tau_j)))*Salcycl</f>
        <v>7.7881555327501378E-2</v>
      </c>
      <c r="AD217" s="230">
        <f>(INDEX(Models!$BJ217:$BT217,,AH217)*(1-AF217)+INDEX(Models!$BJ217:$BT217,,AH217+1)*AF217-ERP_i)*AE217*Ramure*Pc/MaxiM</f>
        <v>4.8970181944371716E-3</v>
      </c>
      <c r="AE217" s="304">
        <f t="shared" si="92"/>
        <v>0.7</v>
      </c>
      <c r="AF217" s="177">
        <f t="shared" si="93"/>
        <v>0.67419414352951179</v>
      </c>
      <c r="AG217" s="799">
        <f t="shared" si="99"/>
        <v>2</v>
      </c>
      <c r="AH217" s="176">
        <f t="shared" si="94"/>
        <v>8</v>
      </c>
      <c r="AI217" s="224">
        <f t="shared" si="95"/>
        <v>2.6741941435295118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46956</v>
      </c>
      <c r="B218" s="409">
        <f>'2027'!Wh/'2027'!Env_an*'2028'!Env_an</f>
        <v>37.373398481138274</v>
      </c>
      <c r="C218" s="829"/>
      <c r="D218" s="391">
        <f t="shared" si="77"/>
        <v>39.951746600545412</v>
      </c>
      <c r="E218" s="383">
        <f t="shared" si="75"/>
        <v>41.87482144045061</v>
      </c>
      <c r="F218" s="383">
        <f t="shared" si="78"/>
        <v>41.881574898374183</v>
      </c>
      <c r="G218" s="110">
        <f t="shared" si="76"/>
        <v>0.72271665841507204</v>
      </c>
      <c r="H218" s="412" t="b">
        <f>Wh_hp&gt;='2027'!Maxi_hp</f>
        <v>0</v>
      </c>
      <c r="I218" s="388">
        <f>IF(H218,Wh_hp,'2027'!Maxi_hp)</f>
        <v>56.499257606465072</v>
      </c>
      <c r="J218" s="85">
        <f>IF(H218,An,'2027'!An_max)</f>
        <v>2018</v>
      </c>
      <c r="K218" s="197">
        <f t="shared" si="79"/>
        <v>46956</v>
      </c>
      <c r="L218" s="147">
        <f>IF(t&lt;Tvie,1-EXP((T0-t)*PertePVj)+'2027'!Pspv,1-EXP((T0-t)*PertePVj)+Pspv)</f>
        <v>6.4536555690207109E-2</v>
      </c>
      <c r="M218" s="832"/>
      <c r="N218" s="832"/>
      <c r="O218" s="48">
        <f>IF(t&lt;Tnet,'2027'!Resal+('2027'!Salim-'2027'!Resal)*(1-EXP(('2027'!Tnet-t)/('2027'!Tau_j))),Resal+(Salim-Resal)*(1-EXP((Tnet-t)/(Tau_j))))*Salcycl</f>
        <v>4.5924371107825934E-2</v>
      </c>
      <c r="P218" s="169">
        <f>(INDEX(Models!$BJ218:$BT218,,T218)*(1-R218)+INDEX(Models!$BJ218:$BT218,,T218+1)*R218-ERP_i)*Q218*Ramure*Pc/MaxiM</f>
        <v>2.6697669658836933E-4</v>
      </c>
      <c r="Q218" s="304">
        <f t="shared" si="80"/>
        <v>0.7</v>
      </c>
      <c r="R218" s="177">
        <f t="shared" si="81"/>
        <v>0.92061828849906657</v>
      </c>
      <c r="S218" s="799">
        <f t="shared" si="82"/>
        <v>-1</v>
      </c>
      <c r="T218" s="176">
        <f t="shared" si="83"/>
        <v>5</v>
      </c>
      <c r="U218" s="250">
        <f t="shared" si="84"/>
        <v>-7.9381711500933483E-2</v>
      </c>
      <c r="V218" s="382">
        <f t="shared" si="85"/>
        <v>51.706911818017524</v>
      </c>
      <c r="W218" s="400">
        <f t="shared" si="86"/>
        <v>37.373398481138274</v>
      </c>
      <c r="X218" s="157">
        <f t="shared" si="87"/>
        <v>46956</v>
      </c>
      <c r="Y218" s="383">
        <f t="shared" si="88"/>
        <v>36.013409167284685</v>
      </c>
      <c r="Z218" s="383">
        <f t="shared" si="89"/>
        <v>38.497933175631715</v>
      </c>
      <c r="AA218" s="384">
        <f t="shared" si="90"/>
        <v>41.750786028046335</v>
      </c>
      <c r="AB218" s="197">
        <f t="shared" si="91"/>
        <v>46956</v>
      </c>
      <c r="AC218" s="119">
        <f>IF(OR(t&lt;Tnet,NoTnet),'2027'!Resal_s+('2027'!Salim-'2027'!Resal_s)*(1-EXP(('2027'!Tnet_s-t)/'2027'!Tau_j)),Resal_s+(Salim-Resal_s)*(1-EXP((Tnet_s-t)/Tau_j)))*Salcycl</f>
        <v>7.7911176336404639E-2</v>
      </c>
      <c r="AD218" s="230">
        <f>(INDEX(Models!$BJ218:$BT218,,AH218)*(1-AF218)+INDEX(Models!$BJ218:$BT218,,AH218+1)*AF218-ERP_i)*AE218*Ramure*Pc/MaxiM</f>
        <v>5.1703262159614825E-3</v>
      </c>
      <c r="AE218" s="304">
        <f t="shared" si="92"/>
        <v>0.7</v>
      </c>
      <c r="AF218" s="177">
        <f t="shared" si="93"/>
        <v>0.67627611933841703</v>
      </c>
      <c r="AG218" s="799">
        <f t="shared" si="99"/>
        <v>2</v>
      </c>
      <c r="AH218" s="176">
        <f t="shared" si="94"/>
        <v>8</v>
      </c>
      <c r="AI218" s="224">
        <f t="shared" si="95"/>
        <v>2.676276119338417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46957</v>
      </c>
      <c r="B219" s="409">
        <f>'2027'!Wh/'2027'!Env_an*'2028'!Env_an</f>
        <v>50.789992832714582</v>
      </c>
      <c r="C219" s="829"/>
      <c r="D219" s="391">
        <f t="shared" si="77"/>
        <v>54.294977039396642</v>
      </c>
      <c r="E219" s="383">
        <f t="shared" si="75"/>
        <v>56.912405424364678</v>
      </c>
      <c r="F219" s="383">
        <f t="shared" si="78"/>
        <v>56.929105354079162</v>
      </c>
      <c r="G219" s="110">
        <f t="shared" si="76"/>
        <v>0.98456370702767038</v>
      </c>
      <c r="H219" s="412" t="b">
        <f>Wh_hp&gt;='2027'!Maxi_hp</f>
        <v>0</v>
      </c>
      <c r="I219" s="388">
        <f>IF(H219,Wh_hp,'2027'!Maxi_hp)</f>
        <v>56.929412706918249</v>
      </c>
      <c r="J219" s="85">
        <f>IF(H219,An,'2027'!An_max)</f>
        <v>2026</v>
      </c>
      <c r="K219" s="197">
        <f t="shared" si="79"/>
        <v>46957</v>
      </c>
      <c r="L219" s="147">
        <f>IF(t&lt;Tvie,1-EXP((T0-t)*PertePVj)+'2027'!Pspv,1-EXP((T0-t)*PertePVj)+Pspv)</f>
        <v>6.4554483633703863E-2</v>
      </c>
      <c r="M219" s="832"/>
      <c r="N219" s="832"/>
      <c r="O219" s="48">
        <f>IF(t&lt;Tnet,'2027'!Resal+('2027'!Salim-'2027'!Resal)*(1-EXP(('2027'!Tnet-t)/('2027'!Tau_j))),Resal+(Salim-Resal)*(1-EXP((Tnet-t)/(Tau_j))))*Salcycl</f>
        <v>4.599047194458409E-2</v>
      </c>
      <c r="P219" s="169">
        <f>(INDEX(Models!$BJ219:$BT219,,T219)*(1-R219)+INDEX(Models!$BJ219:$BT219,,T219+1)*R219-ERP_i)*Q219*Ramure*Pc/MaxiM</f>
        <v>2.9995791253097488E-4</v>
      </c>
      <c r="Q219" s="304">
        <f t="shared" si="80"/>
        <v>0.7</v>
      </c>
      <c r="R219" s="177">
        <f t="shared" si="81"/>
        <v>0.92264054773336834</v>
      </c>
      <c r="S219" s="799">
        <f t="shared" si="82"/>
        <v>-1</v>
      </c>
      <c r="T219" s="176">
        <f t="shared" si="83"/>
        <v>5</v>
      </c>
      <c r="U219" s="250">
        <f t="shared" si="84"/>
        <v>-7.7359452266631656E-2</v>
      </c>
      <c r="V219" s="382">
        <f t="shared" si="85"/>
        <v>51.585952799762957</v>
      </c>
      <c r="W219" s="400">
        <f t="shared" si="86"/>
        <v>50.789992832714582</v>
      </c>
      <c r="X219" s="157">
        <f t="shared" si="87"/>
        <v>46957</v>
      </c>
      <c r="Y219" s="383">
        <f t="shared" si="88"/>
        <v>48.841685757769547</v>
      </c>
      <c r="Z219" s="383">
        <f t="shared" si="89"/>
        <v>52.212218566713844</v>
      </c>
      <c r="AA219" s="384">
        <f t="shared" si="90"/>
        <v>56.625641516977247</v>
      </c>
      <c r="AB219" s="197">
        <f t="shared" si="91"/>
        <v>46957</v>
      </c>
      <c r="AC219" s="119">
        <f>IF(OR(t&lt;Tnet,NoTnet),'2027'!Resal_s+('2027'!Salim-'2027'!Resal_s)*(1-EXP(('2027'!Tnet_s-t)/'2027'!Tau_j)),Resal_s+(Salim-Resal_s)*(1-EXP((Tnet_s-t)/Tau_j)))*Salcycl</f>
        <v>7.7940361151408538E-2</v>
      </c>
      <c r="AD219" s="230">
        <f>(INDEX(Models!$BJ219:$BT219,,AH219)*(1-AF219)+INDEX(Models!$BJ219:$BT219,,AH219+1)*AF219-ERP_i)*AE219*Ramure*Pc/MaxiM</f>
        <v>5.4507043240315358E-3</v>
      </c>
      <c r="AE219" s="304">
        <f t="shared" si="92"/>
        <v>0.7</v>
      </c>
      <c r="AF219" s="177">
        <f t="shared" si="93"/>
        <v>0.67829837857271924</v>
      </c>
      <c r="AG219" s="799">
        <f t="shared" si="99"/>
        <v>2</v>
      </c>
      <c r="AH219" s="176">
        <f t="shared" si="94"/>
        <v>8</v>
      </c>
      <c r="AI219" s="224">
        <f t="shared" si="95"/>
        <v>2.6782983785727192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46958</v>
      </c>
      <c r="B220" s="409">
        <f>'2027'!Wh/'2027'!Env_an*'2028'!Env_an</f>
        <v>27.161227039162998</v>
      </c>
      <c r="C220" s="829"/>
      <c r="D220" s="391">
        <f t="shared" si="77"/>
        <v>29.036162034714476</v>
      </c>
      <c r="E220" s="383">
        <f t="shared" si="75"/>
        <v>30.438024076191731</v>
      </c>
      <c r="F220" s="383">
        <f t="shared" si="78"/>
        <v>30.441379438468136</v>
      </c>
      <c r="G220" s="110">
        <f t="shared" si="76"/>
        <v>0.52765611624702924</v>
      </c>
      <c r="H220" s="412" t="b">
        <f>Wh_hp&gt;='2027'!Maxi_hp</f>
        <v>0</v>
      </c>
      <c r="I220" s="388">
        <f>IF(H220,Wh_hp,'2027'!Maxi_hp)</f>
        <v>57.091704599474085</v>
      </c>
      <c r="J220" s="85">
        <f>IF(H220,An,'2027'!An_max)</f>
        <v>2018</v>
      </c>
      <c r="K220" s="197">
        <f t="shared" si="79"/>
        <v>46958</v>
      </c>
      <c r="L220" s="147">
        <f>IF(t&lt;Tvie,1-EXP((T0-t)*PertePVj)+'2027'!Pspv,1-EXP((T0-t)*PertePVj)+Pspv)</f>
        <v>6.4572411233615568E-2</v>
      </c>
      <c r="M220" s="832"/>
      <c r="N220" s="832"/>
      <c r="O220" s="48">
        <f>IF(t&lt;Tnet,'2027'!Resal+('2027'!Salim-'2027'!Resal)*(1-EXP(('2027'!Tnet-t)/('2027'!Tau_j))),Resal+(Salim-Resal)*(1-EXP((Tnet-t)/(Tau_j))))*Salcycl</f>
        <v>4.6056276122528397E-2</v>
      </c>
      <c r="P220" s="169">
        <f>(INDEX(Models!$BJ220:$BT220,,T220)*(1-R220)+INDEX(Models!$BJ220:$BT220,,T220+1)*R220-ERP_i)*Q220*Ramure*Pc/MaxiM</f>
        <v>3.387378819550103E-4</v>
      </c>
      <c r="Q220" s="304">
        <f t="shared" si="80"/>
        <v>0.7</v>
      </c>
      <c r="R220" s="177">
        <f t="shared" si="81"/>
        <v>0.92460398852307635</v>
      </c>
      <c r="S220" s="799">
        <f t="shared" si="82"/>
        <v>-1</v>
      </c>
      <c r="T220" s="176">
        <f t="shared" si="83"/>
        <v>5</v>
      </c>
      <c r="U220" s="250">
        <f t="shared" si="84"/>
        <v>-7.5396011476923652E-2</v>
      </c>
      <c r="V220" s="382">
        <f t="shared" si="85"/>
        <v>51.46347932672068</v>
      </c>
      <c r="W220" s="400">
        <f t="shared" si="86"/>
        <v>27.161227039162998</v>
      </c>
      <c r="X220" s="157">
        <f t="shared" si="87"/>
        <v>46958</v>
      </c>
      <c r="Y220" s="383">
        <f t="shared" si="88"/>
        <v>26.206498997487195</v>
      </c>
      <c r="Z220" s="383">
        <f t="shared" si="89"/>
        <v>28.015529274743315</v>
      </c>
      <c r="AA220" s="384">
        <f t="shared" si="90"/>
        <v>30.384589516051914</v>
      </c>
      <c r="AB220" s="197">
        <f t="shared" si="91"/>
        <v>46958</v>
      </c>
      <c r="AC220" s="119">
        <f>IF(OR(t&lt;Tnet,NoTnet),'2027'!Resal_s+('2027'!Salim-'2027'!Resal_s)*(1-EXP(('2027'!Tnet_s-t)/'2027'!Tau_j)),Resal_s+(Salim-Resal_s)*(1-EXP((Tnet_s-t)/Tau_j)))*Salcycl</f>
        <v>7.7969137613560557E-2</v>
      </c>
      <c r="AD220" s="230">
        <f>(INDEX(Models!$BJ220:$BT220,,AH220)*(1-AF220)+INDEX(Models!$BJ220:$BT220,,AH220+1)*AF220-ERP_i)*AE220*Ramure*Pc/MaxiM</f>
        <v>5.7331806377300129E-3</v>
      </c>
      <c r="AE220" s="304">
        <f t="shared" si="92"/>
        <v>0.7</v>
      </c>
      <c r="AF220" s="177">
        <f t="shared" si="93"/>
        <v>0.68026181936242702</v>
      </c>
      <c r="AG220" s="799">
        <f t="shared" si="99"/>
        <v>2</v>
      </c>
      <c r="AH220" s="176">
        <f t="shared" si="94"/>
        <v>8</v>
      </c>
      <c r="AI220" s="224">
        <f t="shared" si="95"/>
        <v>2.680261819362427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46959</v>
      </c>
      <c r="B221" s="409">
        <f>'2027'!Wh/'2027'!Env_an*'2028'!Env_an</f>
        <v>42.784042653771493</v>
      </c>
      <c r="C221" s="829"/>
      <c r="D221" s="391">
        <f t="shared" si="77"/>
        <v>45.738294582829447</v>
      </c>
      <c r="E221" s="383">
        <f t="shared" si="75"/>
        <v>47.949826829974455</v>
      </c>
      <c r="F221" s="383">
        <f t="shared" si="78"/>
        <v>47.963801542184704</v>
      </c>
      <c r="G221" s="110">
        <f t="shared" si="76"/>
        <v>0.83327714961566779</v>
      </c>
      <c r="H221" s="412" t="b">
        <f>Wh_hp&gt;='2027'!Maxi_hp</f>
        <v>0</v>
      </c>
      <c r="I221" s="388">
        <f>IF(H221,Wh_hp,'2027'!Maxi_hp)</f>
        <v>56.969060465949205</v>
      </c>
      <c r="J221" s="85">
        <f>IF(H221,An,'2027'!An_max)</f>
        <v>2020</v>
      </c>
      <c r="K221" s="197">
        <f t="shared" si="79"/>
        <v>46959</v>
      </c>
      <c r="L221" s="147">
        <f>IF(t&lt;Tvie,1-EXP((T0-t)*PertePVj)+'2027'!Pspv,1-EXP((T0-t)*PertePVj)+Pspv)</f>
        <v>6.4590338489948995E-2</v>
      </c>
      <c r="M221" s="832"/>
      <c r="N221" s="832"/>
      <c r="O221" s="48">
        <f>IF(t&lt;Tnet,'2027'!Resal+('2027'!Salim-'2027'!Resal)*(1-EXP(('2027'!Tnet-t)/('2027'!Tau_j))),Resal+(Salim-Resal)*(1-EXP((Tnet-t)/(Tau_j))))*Salcycl</f>
        <v>4.6121798416225615E-2</v>
      </c>
      <c r="P221" s="169">
        <f>(INDEX(Models!$BJ221:$BT221,,T221)*(1-R221)+INDEX(Models!$BJ221:$BT221,,T221+1)*R221-ERP_i)*Q221*Ramure*Pc/MaxiM</f>
        <v>3.8239529806180576E-4</v>
      </c>
      <c r="Q221" s="304">
        <f t="shared" si="80"/>
        <v>0.7</v>
      </c>
      <c r="R221" s="177">
        <f t="shared" si="81"/>
        <v>0.9265095539453635</v>
      </c>
      <c r="S221" s="799">
        <f t="shared" si="82"/>
        <v>-1</v>
      </c>
      <c r="T221" s="176">
        <f t="shared" si="83"/>
        <v>5</v>
      </c>
      <c r="U221" s="250">
        <f t="shared" si="84"/>
        <v>-7.3490446054636505E-2</v>
      </c>
      <c r="V221" s="382">
        <f t="shared" si="85"/>
        <v>51.339637312206257</v>
      </c>
      <c r="W221" s="400">
        <f t="shared" si="86"/>
        <v>42.784042653771493</v>
      </c>
      <c r="X221" s="157">
        <f t="shared" si="87"/>
        <v>46959</v>
      </c>
      <c r="Y221" s="383">
        <f t="shared" si="88"/>
        <v>41.176922409277907</v>
      </c>
      <c r="Z221" s="383">
        <f t="shared" si="89"/>
        <v>44.020202167684644</v>
      </c>
      <c r="AA221" s="384">
        <f t="shared" si="90"/>
        <v>47.744126166402602</v>
      </c>
      <c r="AB221" s="197">
        <f t="shared" si="91"/>
        <v>46959</v>
      </c>
      <c r="AC221" s="119">
        <f>IF(OR(t&lt;Tnet,NoTnet),'2027'!Resal_s+('2027'!Salim-'2027'!Resal_s)*(1-EXP(('2027'!Tnet_s-t)/'2027'!Tau_j)),Resal_s+(Salim-Resal_s)*(1-EXP((Tnet_s-t)/Tau_j)))*Salcycl</f>
        <v>7.7997531795617428E-2</v>
      </c>
      <c r="AD221" s="230">
        <f>(INDEX(Models!$BJ221:$BT221,,AH221)*(1-AF221)+INDEX(Models!$BJ221:$BT221,,AH221+1)*AF221-ERP_i)*AE221*Ramure*Pc/MaxiM</f>
        <v>6.0110598011051987E-3</v>
      </c>
      <c r="AE221" s="304">
        <f t="shared" si="92"/>
        <v>0.7</v>
      </c>
      <c r="AF221" s="177">
        <f t="shared" si="93"/>
        <v>0.68216738478471406</v>
      </c>
      <c r="AG221" s="799">
        <f t="shared" si="99"/>
        <v>2</v>
      </c>
      <c r="AH221" s="176">
        <f t="shared" si="94"/>
        <v>8</v>
      </c>
      <c r="AI221" s="224">
        <f t="shared" si="95"/>
        <v>2.6821673847847141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46960</v>
      </c>
      <c r="B222" s="409">
        <f>'2027'!Wh/'2027'!Env_an*'2028'!Env_an</f>
        <v>52.693227294014811</v>
      </c>
      <c r="C222" s="829"/>
      <c r="D222" s="391">
        <f t="shared" si="77"/>
        <v>56.332791220034267</v>
      </c>
      <c r="E222" s="383">
        <f t="shared" si="75"/>
        <v>59.060627529472903</v>
      </c>
      <c r="F222" s="383">
        <f t="shared" si="78"/>
        <v>59.086092502375408</v>
      </c>
      <c r="G222" s="110">
        <f t="shared" si="76"/>
        <v>1.0288727641708302</v>
      </c>
      <c r="H222" s="412" t="b">
        <f>Wh_hp&gt;='2027'!Maxi_hp</f>
        <v>1</v>
      </c>
      <c r="I222" s="388">
        <f>IF(H222,Wh_hp,'2027'!Maxi_hp)</f>
        <v>59.086092502375408</v>
      </c>
      <c r="J222" s="85">
        <f>IF(H222,An,'2027'!An_max)</f>
        <v>2028</v>
      </c>
      <c r="K222" s="197">
        <f t="shared" si="79"/>
        <v>46960</v>
      </c>
      <c r="L222" s="147">
        <f>IF(t&lt;Tvie,1-EXP((T0-t)*PertePVj)+'2027'!Pspv,1-EXP((T0-t)*PertePVj)+Pspv)</f>
        <v>6.4608265402710585E-2</v>
      </c>
      <c r="M222" s="832"/>
      <c r="N222" s="832"/>
      <c r="O222" s="48">
        <f>IF(t&lt;Tnet,'2027'!Resal+('2027'!Salim-'2027'!Resal)*(1-EXP(('2027'!Tnet-t)/('2027'!Tau_j))),Resal+(Salim-Resal)*(1-EXP((Tnet-t)/(Tau_j))))*Salcycl</f>
        <v>4.6187052585537985E-2</v>
      </c>
      <c r="P222" s="169">
        <f>(INDEX(Models!$BJ222:$BT222,,T222)*(1-R222)+INDEX(Models!$BJ222:$BT222,,T222+1)*R222-ERP_i)*Q222*Ramure*Pc/MaxiM</f>
        <v>4.3098082516594574E-4</v>
      </c>
      <c r="Q222" s="304">
        <f t="shared" si="80"/>
        <v>0.7</v>
      </c>
      <c r="R222" s="177">
        <f t="shared" si="81"/>
        <v>0.92835822714933625</v>
      </c>
      <c r="S222" s="799">
        <f t="shared" si="82"/>
        <v>-1</v>
      </c>
      <c r="T222" s="176">
        <f t="shared" si="83"/>
        <v>5</v>
      </c>
      <c r="U222" s="250">
        <f t="shared" si="84"/>
        <v>-7.164177285066381E-2</v>
      </c>
      <c r="V222" s="382">
        <f t="shared" si="85"/>
        <v>51.214522464767882</v>
      </c>
      <c r="W222" s="400">
        <f t="shared" si="86"/>
        <v>52.693227294014811</v>
      </c>
      <c r="X222" s="157">
        <f t="shared" si="87"/>
        <v>46960</v>
      </c>
      <c r="Y222" s="383">
        <f t="shared" si="88"/>
        <v>50.636049956452851</v>
      </c>
      <c r="Z222" s="383">
        <f t="shared" si="89"/>
        <v>54.133522976074822</v>
      </c>
      <c r="AA222" s="384">
        <f t="shared" si="90"/>
        <v>58.714776781002257</v>
      </c>
      <c r="AB222" s="197">
        <f t="shared" si="91"/>
        <v>46960</v>
      </c>
      <c r="AC222" s="119">
        <f>IF(OR(t&lt;Tnet,NoTnet),'2027'!Resal_s+('2027'!Salim-'2027'!Resal_s)*(1-EXP(('2027'!Tnet_s-t)/'2027'!Tau_j)),Resal_s+(Salim-Resal_s)*(1-EXP((Tnet_s-t)/Tau_j)))*Salcycl</f>
        <v>7.8025567942033788E-2</v>
      </c>
      <c r="AD222" s="230">
        <f>(INDEX(Models!$BJ222:$BT222,,AH222)*(1-AF222)+INDEX(Models!$BJ222:$BT222,,AH222+1)*AF222-ERP_i)*AE222*Ramure*Pc/MaxiM</f>
        <v>6.2843167596202208E-3</v>
      </c>
      <c r="AE222" s="304">
        <f t="shared" si="92"/>
        <v>0.7</v>
      </c>
      <c r="AF222" s="177">
        <f t="shared" si="93"/>
        <v>0.68401605798868692</v>
      </c>
      <c r="AG222" s="799">
        <f t="shared" si="99"/>
        <v>2</v>
      </c>
      <c r="AH222" s="176">
        <f t="shared" si="94"/>
        <v>8</v>
      </c>
      <c r="AI222" s="224">
        <f t="shared" si="95"/>
        <v>2.6840160579886869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46961</v>
      </c>
      <c r="B223" s="409">
        <f>'2027'!Wh/'2027'!Env_an*'2028'!Env_an</f>
        <v>42.008538321475108</v>
      </c>
      <c r="C223" s="829"/>
      <c r="D223" s="391">
        <f t="shared" si="77"/>
        <v>44.91096282676051</v>
      </c>
      <c r="E223" s="383">
        <f t="shared" si="75"/>
        <v>47.088922067950215</v>
      </c>
      <c r="F223" s="383">
        <f t="shared" si="78"/>
        <v>47.105951891152174</v>
      </c>
      <c r="G223" s="110">
        <f t="shared" si="76"/>
        <v>0.82217309071326738</v>
      </c>
      <c r="H223" s="412" t="b">
        <f>Wh_hp&gt;='2027'!Maxi_hp</f>
        <v>0</v>
      </c>
      <c r="I223" s="388">
        <f>IF(H223,Wh_hp,'2027'!Maxi_hp)</f>
        <v>55.235892081296527</v>
      </c>
      <c r="J223" s="85">
        <f>IF(H223,An,'2027'!An_max)</f>
        <v>2020</v>
      </c>
      <c r="K223" s="197">
        <f t="shared" si="79"/>
        <v>46961</v>
      </c>
      <c r="L223" s="147">
        <f>IF(t&lt;Tvie,1-EXP((T0-t)*PertePVj)+'2027'!Pspv,1-EXP((T0-t)*PertePVj)+Pspv)</f>
        <v>6.4626191971906999E-2</v>
      </c>
      <c r="M223" s="832"/>
      <c r="N223" s="832"/>
      <c r="O223" s="48">
        <f>IF(t&lt;Tnet,'2027'!Resal+('2027'!Salim-'2027'!Resal)*(1-EXP(('2027'!Tnet-t)/('2027'!Tau_j))),Resal+(Salim-Resal)*(1-EXP((Tnet-t)/(Tau_j))))*Salcycl</f>
        <v>4.6252051343347131E-2</v>
      </c>
      <c r="P223" s="169">
        <f>(INDEX(Models!$BJ223:$BT223,,T223)*(1-R223)+INDEX(Models!$BJ223:$BT223,,T223+1)*R223-ERP_i)*Q223*Ramure*Pc/MaxiM</f>
        <v>4.8454459245667264E-4</v>
      </c>
      <c r="Q223" s="304">
        <f t="shared" si="80"/>
        <v>0.7</v>
      </c>
      <c r="R223" s="177">
        <f t="shared" si="81"/>
        <v>0.93015102665860139</v>
      </c>
      <c r="S223" s="799">
        <f t="shared" si="82"/>
        <v>-1</v>
      </c>
      <c r="T223" s="176">
        <f t="shared" si="83"/>
        <v>5</v>
      </c>
      <c r="U223" s="250">
        <f t="shared" si="84"/>
        <v>-6.9848973341398612E-2</v>
      </c>
      <c r="V223" s="382">
        <f t="shared" si="85"/>
        <v>51.088230586066487</v>
      </c>
      <c r="W223" s="400">
        <f t="shared" si="86"/>
        <v>42.008538321475108</v>
      </c>
      <c r="X223" s="157">
        <f t="shared" si="87"/>
        <v>46961</v>
      </c>
      <c r="Y223" s="383">
        <f t="shared" si="88"/>
        <v>40.42390528867481</v>
      </c>
      <c r="Z223" s="383">
        <f t="shared" si="89"/>
        <v>43.216845438396881</v>
      </c>
      <c r="AA223" s="384">
        <f t="shared" si="90"/>
        <v>46.875642548838513</v>
      </c>
      <c r="AB223" s="197">
        <f t="shared" si="91"/>
        <v>46961</v>
      </c>
      <c r="AC223" s="119">
        <f>IF(OR(t&lt;Tnet,NoTnet),'2027'!Resal_s+('2027'!Salim-'2027'!Resal_s)*(1-EXP(('2027'!Tnet_s-t)/'2027'!Tau_j)),Resal_s+(Salim-Resal_s)*(1-EXP((Tnet_s-t)/Tau_j)))*Salcycl</f>
        <v>7.8053268424632935E-2</v>
      </c>
      <c r="AD223" s="230">
        <f>(INDEX(Models!$BJ223:$BT223,,AH223)*(1-AF223)+INDEX(Models!$BJ223:$BT223,,AH223+1)*AF223-ERP_i)*AE223*Ramure*Pc/MaxiM</f>
        <v>6.5529245422515829E-3</v>
      </c>
      <c r="AE223" s="304">
        <f t="shared" si="92"/>
        <v>0.7</v>
      </c>
      <c r="AF223" s="177">
        <f t="shared" si="93"/>
        <v>0.68580885749795195</v>
      </c>
      <c r="AG223" s="799">
        <f t="shared" si="99"/>
        <v>2</v>
      </c>
      <c r="AH223" s="176">
        <f t="shared" si="94"/>
        <v>8</v>
      </c>
      <c r="AI223" s="224">
        <f t="shared" si="95"/>
        <v>2.685808857497952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46962</v>
      </c>
      <c r="B224" s="409">
        <f>'2027'!Wh/'2027'!Env_an*'2028'!Env_an</f>
        <v>24.748169245553736</v>
      </c>
      <c r="C224" s="829"/>
      <c r="D224" s="391">
        <f t="shared" si="77"/>
        <v>26.458559492739134</v>
      </c>
      <c r="E224" s="383">
        <f t="shared" si="75"/>
        <v>27.743552228264463</v>
      </c>
      <c r="F224" s="383">
        <f t="shared" si="78"/>
        <v>27.747548782200134</v>
      </c>
      <c r="G224" s="110">
        <f t="shared" si="76"/>
        <v>0.48543709669290347</v>
      </c>
      <c r="H224" s="412" t="b">
        <f>Wh_hp&gt;='2027'!Maxi_hp</f>
        <v>0</v>
      </c>
      <c r="I224" s="388">
        <f>IF(H224,Wh_hp,'2027'!Maxi_hp)</f>
        <v>58.807397280234632</v>
      </c>
      <c r="J224" s="85">
        <f>IF(H224,An,'2027'!An_max)</f>
        <v>2018</v>
      </c>
      <c r="K224" s="197">
        <f t="shared" si="79"/>
        <v>46962</v>
      </c>
      <c r="L224" s="147">
        <f>IF(t&lt;Tvie,1-EXP((T0-t)*PertePVj)+'2027'!Pspv,1-EXP((T0-t)*PertePVj)+Pspv)</f>
        <v>6.4644118197544786E-2</v>
      </c>
      <c r="M224" s="832"/>
      <c r="N224" s="832"/>
      <c r="O224" s="48">
        <f>IF(t&lt;Tnet,'2027'!Resal+('2027'!Salim-'2027'!Resal)*(1-EXP(('2027'!Tnet-t)/('2027'!Tau_j))),Resal+(Salim-Resal)*(1-EXP((Tnet-t)/(Tau_j))))*Salcycl</f>
        <v>4.6316806332255087E-2</v>
      </c>
      <c r="P224" s="169">
        <f>(INDEX(Models!$BJ224:$BT224,,T224)*(1-R224)+INDEX(Models!$BJ224:$BT224,,T224+1)*R224-ERP_i)*Q224*Ramure*Pc/MaxiM</f>
        <v>5.4313617212018751E-4</v>
      </c>
      <c r="Q224" s="304">
        <f t="shared" si="80"/>
        <v>0.7</v>
      </c>
      <c r="R224" s="177">
        <f t="shared" si="81"/>
        <v>0.9318890018618281</v>
      </c>
      <c r="S224" s="799">
        <f t="shared" si="82"/>
        <v>-1</v>
      </c>
      <c r="T224" s="176">
        <f t="shared" si="83"/>
        <v>5</v>
      </c>
      <c r="U224" s="250">
        <f t="shared" si="84"/>
        <v>-6.8110998138171897E-2</v>
      </c>
      <c r="V224" s="382">
        <f t="shared" si="85"/>
        <v>50.960857566505311</v>
      </c>
      <c r="W224" s="400">
        <f t="shared" si="86"/>
        <v>24.748169245553736</v>
      </c>
      <c r="X224" s="157">
        <f t="shared" si="87"/>
        <v>46962</v>
      </c>
      <c r="Y224" s="383">
        <f t="shared" si="88"/>
        <v>23.88408626852641</v>
      </c>
      <c r="Z224" s="383">
        <f t="shared" si="89"/>
        <v>25.534758195459414</v>
      </c>
      <c r="AA224" s="384">
        <f t="shared" si="90"/>
        <v>27.697388386866336</v>
      </c>
      <c r="AB224" s="197">
        <f t="shared" si="91"/>
        <v>46962</v>
      </c>
      <c r="AC224" s="119">
        <f>IF(OR(t&lt;Tnet,NoTnet),'2027'!Resal_s+('2027'!Salim-'2027'!Resal_s)*(1-EXP(('2027'!Tnet_s-t)/'2027'!Tau_j)),Resal_s+(Salim-Resal_s)*(1-EXP((Tnet_s-t)/Tau_j)))*Salcycl</f>
        <v>7.8080653713633402E-2</v>
      </c>
      <c r="AD224" s="230">
        <f>(INDEX(Models!$BJ224:$BT224,,AH224)*(1-AF224)+INDEX(Models!$BJ224:$BT224,,AH224+1)*AF224-ERP_i)*AE224*Ramure*Pc/MaxiM</f>
        <v>6.8168541078500872E-3</v>
      </c>
      <c r="AE224" s="304">
        <f t="shared" si="92"/>
        <v>0.7</v>
      </c>
      <c r="AF224" s="177">
        <f t="shared" si="93"/>
        <v>0.68754683270117889</v>
      </c>
      <c r="AG224" s="799">
        <f t="shared" si="99"/>
        <v>2</v>
      </c>
      <c r="AH224" s="176">
        <f t="shared" si="94"/>
        <v>8</v>
      </c>
      <c r="AI224" s="224">
        <f t="shared" si="95"/>
        <v>2.6875468327011789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46963</v>
      </c>
      <c r="B225" s="409">
        <f>'2027'!Wh/'2027'!Env_an*'2028'!Env_an</f>
        <v>41.077373104438635</v>
      </c>
      <c r="C225" s="829"/>
      <c r="D225" s="391">
        <f t="shared" si="77"/>
        <v>43.917145502791698</v>
      </c>
      <c r="E225" s="383">
        <f t="shared" si="75"/>
        <v>46.053151849212014</v>
      </c>
      <c r="F225" s="383">
        <f t="shared" si="78"/>
        <v>46.073444764911159</v>
      </c>
      <c r="G225" s="110">
        <f t="shared" si="76"/>
        <v>0.8079582366611211</v>
      </c>
      <c r="H225" s="412" t="b">
        <f>Wh_hp&gt;='2027'!Maxi_hp</f>
        <v>0</v>
      </c>
      <c r="I225" s="388">
        <f>IF(H225,Wh_hp,'2027'!Maxi_hp)</f>
        <v>48.678240079056877</v>
      </c>
      <c r="J225" s="85">
        <f>IF(H225,An,'2027'!An_max)</f>
        <v>2020</v>
      </c>
      <c r="K225" s="197">
        <f t="shared" si="79"/>
        <v>46963</v>
      </c>
      <c r="L225" s="147">
        <f>IF(t&lt;Tvie,1-EXP((T0-t)*PertePVj)+'2027'!Pspv,1-EXP((T0-t)*PertePVj)+Pspv)</f>
        <v>6.4662044079630498E-2</v>
      </c>
      <c r="M225" s="832"/>
      <c r="N225" s="832"/>
      <c r="O225" s="48">
        <f>IF(t&lt;Tnet,'2027'!Resal+('2027'!Salim-'2027'!Resal)*(1-EXP(('2027'!Tnet-t)/('2027'!Tau_j))),Resal+(Salim-Resal)*(1-EXP((Tnet-t)/(Tau_j))))*Salcycl</f>
        <v>4.6381328110051252E-2</v>
      </c>
      <c r="P225" s="169">
        <f>(INDEX(Models!$BJ225:$BT225,,T225)*(1-R225)+INDEX(Models!$BJ225:$BT225,,T225+1)*R225-ERP_i)*Q225*Ramure*Pc/MaxiM</f>
        <v>6.0680454869725079E-4</v>
      </c>
      <c r="Q225" s="304">
        <f t="shared" si="80"/>
        <v>0.7</v>
      </c>
      <c r="R225" s="177">
        <f t="shared" si="81"/>
        <v>0.93357322869933412</v>
      </c>
      <c r="S225" s="799">
        <f t="shared" si="82"/>
        <v>-1</v>
      </c>
      <c r="T225" s="176">
        <f t="shared" si="83"/>
        <v>5</v>
      </c>
      <c r="U225" s="250">
        <f t="shared" si="84"/>
        <v>-6.6426771300665932E-2</v>
      </c>
      <c r="V225" s="382">
        <f t="shared" si="85"/>
        <v>50.832499383314932</v>
      </c>
      <c r="W225" s="400">
        <f t="shared" si="86"/>
        <v>41.077373104438635</v>
      </c>
      <c r="X225" s="157">
        <f t="shared" si="87"/>
        <v>46963</v>
      </c>
      <c r="Y225" s="383">
        <f t="shared" si="88"/>
        <v>39.524197664032641</v>
      </c>
      <c r="Z225" s="383">
        <f t="shared" si="89"/>
        <v>42.256595505248107</v>
      </c>
      <c r="AA225" s="384">
        <f t="shared" si="90"/>
        <v>45.836804849176424</v>
      </c>
      <c r="AB225" s="197">
        <f t="shared" si="91"/>
        <v>46963</v>
      </c>
      <c r="AC225" s="119">
        <f>IF(OR(t&lt;Tnet,NoTnet),'2027'!Resal_s+('2027'!Salim-'2027'!Resal_s)*(1-EXP(('2027'!Tnet_s-t)/'2027'!Tau_j)),Resal_s+(Salim-Resal_s)*(1-EXP((Tnet_s-t)/Tau_j)))*Salcycl</f>
        <v>7.810774236356148E-2</v>
      </c>
      <c r="AD225" s="230">
        <f>(INDEX(Models!$BJ225:$BT225,,AH225)*(1-AF225)+INDEX(Models!$BJ225:$BT225,,AH225+1)*AF225-ERP_i)*AE225*Ramure*Pc/MaxiM</f>
        <v>7.076074202449518E-3</v>
      </c>
      <c r="AE225" s="304">
        <f t="shared" si="92"/>
        <v>0.7</v>
      </c>
      <c r="AF225" s="177">
        <f t="shared" si="93"/>
        <v>0.68923105953868458</v>
      </c>
      <c r="AG225" s="799">
        <f t="shared" si="99"/>
        <v>2</v>
      </c>
      <c r="AH225" s="176">
        <f t="shared" si="94"/>
        <v>8</v>
      </c>
      <c r="AI225" s="224">
        <f t="shared" si="95"/>
        <v>2.6892310595386846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46964</v>
      </c>
      <c r="B226" s="409">
        <f>'2027'!Wh/'2027'!Env_an*'2028'!Env_an</f>
        <v>51.427435387146481</v>
      </c>
      <c r="C226" s="829"/>
      <c r="D226" s="391">
        <f t="shared" si="77"/>
        <v>54.98378492562815</v>
      </c>
      <c r="E226" s="383">
        <f t="shared" si="75"/>
        <v>57.66192933840113</v>
      </c>
      <c r="F226" s="383">
        <f t="shared" si="78"/>
        <v>57.700833981931638</v>
      </c>
      <c r="G226" s="110">
        <f t="shared" si="76"/>
        <v>1.0142814071359794</v>
      </c>
      <c r="H226" s="412" t="b">
        <f>Wh_hp&gt;='2027'!Maxi_hp</f>
        <v>1</v>
      </c>
      <c r="I226" s="388">
        <f>IF(H226,Wh_hp,'2027'!Maxi_hp)</f>
        <v>57.700833981931638</v>
      </c>
      <c r="J226" s="85">
        <f>IF(H226,An,'2027'!An_max)</f>
        <v>2028</v>
      </c>
      <c r="K226" s="197">
        <f t="shared" si="79"/>
        <v>46964</v>
      </c>
      <c r="L226" s="147">
        <f>IF(t&lt;Tvie,1-EXP((T0-t)*PertePVj)+'2027'!Pspv,1-EXP((T0-t)*PertePVj)+Pspv)</f>
        <v>6.4679969618170907E-2</v>
      </c>
      <c r="M226" s="832"/>
      <c r="N226" s="832"/>
      <c r="O226" s="48">
        <f>IF(t&lt;Tnet,'2027'!Resal+('2027'!Salim-'2027'!Resal)*(1-EXP(('2027'!Tnet-t)/('2027'!Tau_j))),Resal+(Salim-Resal)*(1-EXP((Tnet-t)/(Tau_j))))*Salcycl</f>
        <v>4.6445626143650678E-2</v>
      </c>
      <c r="P226" s="169">
        <f>(INDEX(Models!$BJ226:$BT226,,T226)*(1-R226)+INDEX(Models!$BJ226:$BT226,,T226+1)*R226-ERP_i)*Q226*Ramure*Pc/MaxiM</f>
        <v>6.7424750815025679E-4</v>
      </c>
      <c r="Q226" s="304">
        <f t="shared" si="80"/>
        <v>0.7</v>
      </c>
      <c r="R226" s="177">
        <f t="shared" si="81"/>
        <v>0.93520480555171259</v>
      </c>
      <c r="S226" s="799">
        <f t="shared" si="82"/>
        <v>-1</v>
      </c>
      <c r="T226" s="176">
        <f t="shared" si="83"/>
        <v>5</v>
      </c>
      <c r="U226" s="250">
        <f t="shared" si="84"/>
        <v>-6.4795194448287463E-2</v>
      </c>
      <c r="V226" s="382">
        <f t="shared" si="85"/>
        <v>50.703320622194816</v>
      </c>
      <c r="W226" s="400">
        <f t="shared" si="86"/>
        <v>51.427435387146481</v>
      </c>
      <c r="X226" s="157">
        <f t="shared" si="87"/>
        <v>46964</v>
      </c>
      <c r="Y226" s="383">
        <f t="shared" si="88"/>
        <v>49.387378195678039</v>
      </c>
      <c r="Z226" s="383">
        <f t="shared" si="89"/>
        <v>52.802652131288632</v>
      </c>
      <c r="AA226" s="384">
        <f t="shared" si="90"/>
        <v>57.278046584061471</v>
      </c>
      <c r="AB226" s="197">
        <f t="shared" si="91"/>
        <v>46964</v>
      </c>
      <c r="AC226" s="119">
        <f>IF(OR(t&lt;Tnet,NoTnet),'2027'!Resal_s+('2027'!Salim-'2027'!Resal_s)*(1-EXP(('2027'!Tnet_s-t)/'2027'!Tau_j)),Resal_s+(Salim-Resal_s)*(1-EXP((Tnet_s-t)/Tau_j)))*Salcycl</f>
        <v>7.8134551013445117E-2</v>
      </c>
      <c r="AD226" s="230">
        <f>(INDEX(Models!$BJ226:$BT226,,AH226)*(1-AF226)+INDEX(Models!$BJ226:$BT226,,AH226+1)*AF226-ERP_i)*AE226*Ramure*Pc/MaxiM</f>
        <v>7.327232011976827E-3</v>
      </c>
      <c r="AE226" s="304">
        <f t="shared" si="92"/>
        <v>0.7</v>
      </c>
      <c r="AF226" s="177">
        <f t="shared" si="93"/>
        <v>0.69086263639106349</v>
      </c>
      <c r="AG226" s="799">
        <f t="shared" si="99"/>
        <v>2</v>
      </c>
      <c r="AH226" s="176">
        <f t="shared" si="94"/>
        <v>8</v>
      </c>
      <c r="AI226" s="224">
        <f t="shared" si="95"/>
        <v>2.6908626363910635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46965</v>
      </c>
      <c r="B227" s="409">
        <f>'2027'!Wh/'2027'!Env_an*'2028'!Env_an</f>
        <v>51.109636154396789</v>
      </c>
      <c r="C227" s="829"/>
      <c r="D227" s="391">
        <f t="shared" si="77"/>
        <v>54.645056256114792</v>
      </c>
      <c r="E227" s="383">
        <f t="shared" si="75"/>
        <v>57.31055340687319</v>
      </c>
      <c r="F227" s="383">
        <f t="shared" si="78"/>
        <v>57.353171023524034</v>
      </c>
      <c r="G227" s="110">
        <f t="shared" si="76"/>
        <v>1.0106003214513373</v>
      </c>
      <c r="H227" s="412" t="b">
        <f>Wh_hp&gt;='2027'!Maxi_hp</f>
        <v>1</v>
      </c>
      <c r="I227" s="388">
        <f>IF(H227,Wh_hp,'2027'!Maxi_hp)</f>
        <v>57.353171023524034</v>
      </c>
      <c r="J227" s="85">
        <f>IF(H227,An,'2027'!An_max)</f>
        <v>2028</v>
      </c>
      <c r="K227" s="197">
        <f t="shared" si="79"/>
        <v>46965</v>
      </c>
      <c r="L227" s="147">
        <f>IF(t&lt;Tvie,1-EXP((T0-t)*PertePVj)+'2027'!Pspv,1-EXP((T0-t)*PertePVj)+Pspv)</f>
        <v>6.4697894813172341E-2</v>
      </c>
      <c r="M227" s="832"/>
      <c r="N227" s="832"/>
      <c r="O227" s="48">
        <f>IF(t&lt;Tnet,'2027'!Resal+('2027'!Salim-'2027'!Resal)*(1-EXP(('2027'!Tnet-t)/('2027'!Tau_j))),Resal+(Salim-Resal)*(1-EXP((Tnet-t)/(Tau_j))))*Salcycl</f>
        <v>4.6509708811130271E-2</v>
      </c>
      <c r="P227" s="169">
        <f>(INDEX(Models!$BJ227:$BT227,,T227)*(1-R227)+INDEX(Models!$BJ227:$BT227,,T227+1)*R227-ERP_i)*Q227*Ramure*Pc/MaxiM</f>
        <v>7.4307341495319097E-4</v>
      </c>
      <c r="Q227" s="304">
        <f t="shared" si="80"/>
        <v>0.7</v>
      </c>
      <c r="R227" s="177">
        <f t="shared" si="81"/>
        <v>0.9367848493346479</v>
      </c>
      <c r="S227" s="799">
        <f t="shared" si="82"/>
        <v>-1</v>
      </c>
      <c r="T227" s="176">
        <f t="shared" si="83"/>
        <v>5</v>
      </c>
      <c r="U227" s="250">
        <f t="shared" si="84"/>
        <v>-6.3215150665352104E-2</v>
      </c>
      <c r="V227" s="382">
        <f t="shared" si="85"/>
        <v>50.573540369547402</v>
      </c>
      <c r="W227" s="400">
        <f t="shared" si="86"/>
        <v>51.109636154396789</v>
      </c>
      <c r="X227" s="157">
        <f t="shared" si="87"/>
        <v>46965</v>
      </c>
      <c r="Y227" s="383">
        <f t="shared" si="88"/>
        <v>49.075392595256808</v>
      </c>
      <c r="Z227" s="383">
        <f t="shared" si="89"/>
        <v>52.470097440285286</v>
      </c>
      <c r="AA227" s="384">
        <f t="shared" si="90"/>
        <v>56.918944428978755</v>
      </c>
      <c r="AB227" s="197">
        <f t="shared" si="91"/>
        <v>46965</v>
      </c>
      <c r="AC227" s="119">
        <f>IF(OR(t&lt;Tnet,NoTnet),'2027'!Resal_s+('2027'!Salim-'2027'!Resal_s)*(1-EXP(('2027'!Tnet_s-t)/'2027'!Tau_j)),Resal_s+(Salim-Resal_s)*(1-EXP((Tnet_s-t)/Tau_j)))*Salcycl</f>
        <v>7.8161094400557116E-2</v>
      </c>
      <c r="AD227" s="230">
        <f>(INDEX(Models!$BJ227:$BT227,,AH227)*(1-AF227)+INDEX(Models!$BJ227:$BT227,,AH227+1)*AF227-ERP_i)*AE227*Ramure*Pc/MaxiM</f>
        <v>7.5711000245683811E-3</v>
      </c>
      <c r="AE227" s="304">
        <f t="shared" si="92"/>
        <v>0.7</v>
      </c>
      <c r="AF227" s="177">
        <f t="shared" si="93"/>
        <v>0.69244268017399868</v>
      </c>
      <c r="AG227" s="799">
        <f t="shared" si="99"/>
        <v>2</v>
      </c>
      <c r="AH227" s="176">
        <f t="shared" si="94"/>
        <v>8</v>
      </c>
      <c r="AI227" s="224">
        <f t="shared" si="95"/>
        <v>2.6924426801739987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46966</v>
      </c>
      <c r="B228" s="409">
        <f>'2027'!Wh/'2027'!Env_an*'2028'!Env_an</f>
        <v>51.328186538878732</v>
      </c>
      <c r="C228" s="829"/>
      <c r="D228" s="391">
        <f t="shared" si="77"/>
        <v>54.879776241349809</v>
      </c>
      <c r="E228" s="383">
        <f t="shared" si="75"/>
        <v>57.560578652427985</v>
      </c>
      <c r="F228" s="383">
        <f t="shared" si="78"/>
        <v>57.607430014049775</v>
      </c>
      <c r="G228" s="110">
        <f t="shared" si="76"/>
        <v>1.0175430984044598</v>
      </c>
      <c r="H228" s="412" t="b">
        <f>Wh_hp&gt;='2027'!Maxi_hp</f>
        <v>1</v>
      </c>
      <c r="I228" s="388">
        <f>IF(H228,Wh_hp,'2027'!Maxi_hp)</f>
        <v>57.607430014049775</v>
      </c>
      <c r="J228" s="85">
        <f>IF(H228,An,'2027'!An_max)</f>
        <v>2028</v>
      </c>
      <c r="K228" s="197">
        <f t="shared" si="79"/>
        <v>46966</v>
      </c>
      <c r="L228" s="147">
        <f>IF(t&lt;Tvie,1-EXP((T0-t)*PertePVj)+'2027'!Pspv,1-EXP((T0-t)*PertePVj)+Pspv)</f>
        <v>6.4715819664641572E-2</v>
      </c>
      <c r="M228" s="832"/>
      <c r="N228" s="832"/>
      <c r="O228" s="48">
        <f>IF(t&lt;Tnet,'2027'!Resal+('2027'!Salim-'2027'!Resal)*(1-EXP(('2027'!Tnet-t)/('2027'!Tau_j))),Resal+(Salim-Resal)*(1-EXP((Tnet-t)/(Tau_j))))*Salcycl</f>
        <v>4.6573583411415161E-2</v>
      </c>
      <c r="P228" s="169">
        <f>(INDEX(Models!$BJ228:$BT228,,T228)*(1-R228)+INDEX(Models!$BJ228:$BT228,,T228+1)*R228-ERP_i)*Q228*Ramure*Pc/MaxiM</f>
        <v>8.132867862767595E-4</v>
      </c>
      <c r="Q228" s="304">
        <f t="shared" si="80"/>
        <v>0.7</v>
      </c>
      <c r="R228" s="177">
        <f t="shared" si="81"/>
        <v>0.93831449180235738</v>
      </c>
      <c r="S228" s="799">
        <f t="shared" si="82"/>
        <v>-1</v>
      </c>
      <c r="T228" s="176">
        <f t="shared" si="83"/>
        <v>5</v>
      </c>
      <c r="U228" s="250">
        <f t="shared" si="84"/>
        <v>-6.168550819764268E-2</v>
      </c>
      <c r="V228" s="382">
        <f t="shared" si="85"/>
        <v>50.443255543045773</v>
      </c>
      <c r="W228" s="400">
        <f t="shared" si="86"/>
        <v>51.328186538878732</v>
      </c>
      <c r="X228" s="157">
        <f t="shared" si="87"/>
        <v>46966</v>
      </c>
      <c r="Y228" s="383">
        <f t="shared" si="88"/>
        <v>49.278855747507649</v>
      </c>
      <c r="Z228" s="383">
        <f t="shared" si="89"/>
        <v>52.688644567727074</v>
      </c>
      <c r="AA228" s="384">
        <f t="shared" si="90"/>
        <v>57.157651926730246</v>
      </c>
      <c r="AB228" s="197">
        <f t="shared" si="91"/>
        <v>46966</v>
      </c>
      <c r="AC228" s="119">
        <f>IF(OR(t&lt;Tnet,NoTnet),'2027'!Resal_s+('2027'!Salim-'2027'!Resal_s)*(1-EXP(('2027'!Tnet_s-t)/'2027'!Tau_j)),Resal_s+(Salim-Resal_s)*(1-EXP((Tnet_s-t)/Tau_j)))*Salcycl</f>
        <v>7.8187385386858446E-2</v>
      </c>
      <c r="AD228" s="230">
        <f>(INDEX(Models!$BJ228:$BT228,,AH228)*(1-AF228)+INDEX(Models!$BJ228:$BT228,,AH228+1)*AF228-ERP_i)*AE228*Ramure*Pc/MaxiM</f>
        <v>7.8076402160247608E-3</v>
      </c>
      <c r="AE228" s="304">
        <f t="shared" si="92"/>
        <v>0.7</v>
      </c>
      <c r="AF228" s="177">
        <f t="shared" si="93"/>
        <v>0.69397232264170805</v>
      </c>
      <c r="AG228" s="799">
        <f t="shared" si="99"/>
        <v>2</v>
      </c>
      <c r="AH228" s="176">
        <f t="shared" si="94"/>
        <v>8</v>
      </c>
      <c r="AI228" s="224">
        <f t="shared" si="95"/>
        <v>2.6939723226417081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46967</v>
      </c>
      <c r="B229" s="409">
        <f>'2027'!Wh/'2027'!Env_an*'2028'!Env_an</f>
        <v>51.431732639988596</v>
      </c>
      <c r="C229" s="829"/>
      <c r="D229" s="391">
        <f t="shared" si="77"/>
        <v>54.991540985820954</v>
      </c>
      <c r="E229" s="383">
        <f t="shared" si="75"/>
        <v>57.681655112240357</v>
      </c>
      <c r="F229" s="383">
        <f t="shared" si="78"/>
        <v>57.73274234612979</v>
      </c>
      <c r="G229" s="110">
        <f t="shared" si="76"/>
        <v>1.0222443360490967</v>
      </c>
      <c r="H229" s="412" t="b">
        <f>Wh_hp&gt;='2027'!Maxi_hp</f>
        <v>1</v>
      </c>
      <c r="I229" s="388">
        <f>IF(H229,Wh_hp,'2027'!Maxi_hp)</f>
        <v>57.73274234612979</v>
      </c>
      <c r="J229" s="85">
        <f>IF(H229,An,'2027'!An_max)</f>
        <v>2028</v>
      </c>
      <c r="K229" s="197">
        <f t="shared" si="79"/>
        <v>46967</v>
      </c>
      <c r="L229" s="147">
        <f>IF(t&lt;Tvie,1-EXP((T0-t)*PertePVj)+'2027'!Pspv,1-EXP((T0-t)*PertePVj)+Pspv)</f>
        <v>6.4733744172585039E-2</v>
      </c>
      <c r="M229" s="832"/>
      <c r="N229" s="832"/>
      <c r="O229" s="48">
        <f>IF(t&lt;Tnet,'2027'!Resal+('2027'!Salim-'2027'!Resal)*(1-EXP(('2027'!Tnet-t)/('2027'!Tau_j))),Resal+(Salim-Resal)*(1-EXP((Tnet-t)/(Tau_j))))*Salcycl</f>
        <v>4.6637256181099804E-2</v>
      </c>
      <c r="P229" s="169">
        <f>(INDEX(Models!$BJ229:$BT229,,T229)*(1-R229)+INDEX(Models!$BJ229:$BT229,,T229+1)*R229-ERP_i)*Q229*Ramure*Pc/MaxiM</f>
        <v>8.8489186228398245E-4</v>
      </c>
      <c r="Q229" s="304">
        <f t="shared" si="80"/>
        <v>0.7</v>
      </c>
      <c r="R229" s="177">
        <f t="shared" si="81"/>
        <v>0.93979487606053569</v>
      </c>
      <c r="S229" s="799">
        <f t="shared" si="82"/>
        <v>-1</v>
      </c>
      <c r="T229" s="176">
        <f t="shared" si="83"/>
        <v>5</v>
      </c>
      <c r="U229" s="250">
        <f t="shared" si="84"/>
        <v>-6.0205123939464311E-2</v>
      </c>
      <c r="V229" s="382">
        <f t="shared" si="85"/>
        <v>50.31256307935994</v>
      </c>
      <c r="W229" s="400">
        <f t="shared" si="86"/>
        <v>51.431732639988596</v>
      </c>
      <c r="X229" s="157">
        <f t="shared" si="87"/>
        <v>46967</v>
      </c>
      <c r="Y229" s="383">
        <f t="shared" si="88"/>
        <v>49.372302697633963</v>
      </c>
      <c r="Z229" s="383">
        <f t="shared" si="89"/>
        <v>52.789569162799616</v>
      </c>
      <c r="AA229" s="384">
        <f t="shared" si="90"/>
        <v>57.268755227126221</v>
      </c>
      <c r="AB229" s="197">
        <f t="shared" si="91"/>
        <v>46967</v>
      </c>
      <c r="AC229" s="119">
        <f>IF(OR(t&lt;Tnet,NoTnet),'2027'!Resal_s+('2027'!Salim-'2027'!Resal_s)*(1-EXP(('2027'!Tnet_s-t)/'2027'!Tau_j)),Resal_s+(Salim-Resal_s)*(1-EXP((Tnet_s-t)/Tau_j)))*Salcycl</f>
        <v>7.8213434997186221E-2</v>
      </c>
      <c r="AD229" s="230">
        <f>(INDEX(Models!$BJ229:$BT229,,AH229)*(1-AF229)+INDEX(Models!$BJ229:$BT229,,AH229+1)*AF229-ERP_i)*AE229*Ramure*Pc/MaxiM</f>
        <v>8.0368106580109219E-3</v>
      </c>
      <c r="AE229" s="304">
        <f t="shared" si="92"/>
        <v>0.7</v>
      </c>
      <c r="AF229" s="177">
        <f t="shared" si="93"/>
        <v>0.69545270689988659</v>
      </c>
      <c r="AG229" s="799">
        <f t="shared" si="99"/>
        <v>2</v>
      </c>
      <c r="AH229" s="176">
        <f t="shared" si="94"/>
        <v>8</v>
      </c>
      <c r="AI229" s="224">
        <f t="shared" si="95"/>
        <v>2.6954527068998866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46968</v>
      </c>
      <c r="B230" s="409">
        <f>'2027'!Wh/'2027'!Env_an*'2028'!Env_an</f>
        <v>48.897202930383614</v>
      </c>
      <c r="C230" s="829"/>
      <c r="D230" s="391">
        <f t="shared" si="77"/>
        <v>52.282587709553212</v>
      </c>
      <c r="E230" s="383">
        <f t="shared" si="75"/>
        <v>54.843834965563019</v>
      </c>
      <c r="F230" s="383">
        <f t="shared" si="78"/>
        <v>54.894495393060836</v>
      </c>
      <c r="G230" s="110">
        <f t="shared" si="76"/>
        <v>0.97437163888757616</v>
      </c>
      <c r="H230" s="412" t="b">
        <f>Wh_hp&gt;='2027'!Maxi_hp</f>
        <v>0</v>
      </c>
      <c r="I230" s="388">
        <f>IF(H230,Wh_hp,'2027'!Maxi_hp)</f>
        <v>54.940621976631377</v>
      </c>
      <c r="J230" s="85">
        <f>IF(H230,An,'2027'!An_max)</f>
        <v>2018</v>
      </c>
      <c r="K230" s="197">
        <f t="shared" si="79"/>
        <v>46968</v>
      </c>
      <c r="L230" s="147">
        <f>IF(t&lt;Tvie,1-EXP((T0-t)*PertePVj)+'2027'!Pspv,1-EXP((T0-t)*PertePVj)+Pspv)</f>
        <v>6.4751668337009516E-2</v>
      </c>
      <c r="M230" s="832"/>
      <c r="N230" s="832"/>
      <c r="O230" s="48">
        <f>IF(t&lt;Tnet,'2027'!Resal+('2027'!Salim-'2027'!Resal)*(1-EXP(('2027'!Tnet-t)/('2027'!Tau_j))),Resal+(Salim-Resal)*(1-EXP((Tnet-t)/(Tau_j))))*Salcycl</f>
        <v>4.6700732317826413E-2</v>
      </c>
      <c r="P230" s="169">
        <f>(INDEX(Models!$BJ230:$BT230,,T230)*(1-R230)+INDEX(Models!$BJ230:$BT230,,T230+1)*R230-ERP_i)*Q230*Ramure*Pc/MaxiM</f>
        <v>9.5789255525184278E-4</v>
      </c>
      <c r="Q230" s="304">
        <f t="shared" si="80"/>
        <v>0.7</v>
      </c>
      <c r="R230" s="177">
        <f t="shared" si="81"/>
        <v>0.94122715328827722</v>
      </c>
      <c r="S230" s="799">
        <f t="shared" si="82"/>
        <v>-1</v>
      </c>
      <c r="T230" s="176">
        <f t="shared" si="83"/>
        <v>5</v>
      </c>
      <c r="U230" s="250">
        <f t="shared" si="84"/>
        <v>-5.8772846711722837E-2</v>
      </c>
      <c r="V230" s="382">
        <f t="shared" si="85"/>
        <v>50.181559933216384</v>
      </c>
      <c r="W230" s="400">
        <f t="shared" si="86"/>
        <v>48.897202930383614</v>
      </c>
      <c r="X230" s="157">
        <f t="shared" si="87"/>
        <v>46968</v>
      </c>
      <c r="Y230" s="383">
        <f t="shared" si="88"/>
        <v>46.946651225961055</v>
      </c>
      <c r="Z230" s="383">
        <f t="shared" si="89"/>
        <v>50.196990079077651</v>
      </c>
      <c r="AA230" s="384">
        <f t="shared" si="90"/>
        <v>54.457721500385752</v>
      </c>
      <c r="AB230" s="197">
        <f t="shared" si="91"/>
        <v>46968</v>
      </c>
      <c r="AC230" s="119">
        <f>IF(OR(t&lt;Tnet,NoTnet),'2027'!Resal_s+('2027'!Salim-'2027'!Resal_s)*(1-EXP(('2027'!Tnet_s-t)/'2027'!Tau_j)),Resal_s+(Salim-Resal_s)*(1-EXP((Tnet_s-t)/Tau_j)))*Salcycl</f>
        <v>7.8239252468135623E-2</v>
      </c>
      <c r="AD230" s="230">
        <f>(INDEX(Models!$BJ230:$BT230,,AH230)*(1-AF230)+INDEX(Models!$BJ230:$BT230,,AH230+1)*AF230-ERP_i)*AE230*Ramure*Pc/MaxiM</f>
        <v>8.2585655271045742E-3</v>
      </c>
      <c r="AE230" s="304">
        <f t="shared" si="92"/>
        <v>0.7</v>
      </c>
      <c r="AF230" s="177">
        <f t="shared" si="93"/>
        <v>0.69688498412762812</v>
      </c>
      <c r="AG230" s="799">
        <f t="shared" si="99"/>
        <v>2</v>
      </c>
      <c r="AH230" s="176">
        <f t="shared" si="94"/>
        <v>8</v>
      </c>
      <c r="AI230" s="224">
        <f t="shared" si="95"/>
        <v>2.6968849841276281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46969</v>
      </c>
      <c r="B231" s="409">
        <f>'2027'!Wh/'2027'!Env_an*'2028'!Env_an</f>
        <v>39.480773600607051</v>
      </c>
      <c r="C231" s="829"/>
      <c r="D231" s="391">
        <f t="shared" si="77"/>
        <v>42.215023452566896</v>
      </c>
      <c r="E231" s="383">
        <f t="shared" si="75"/>
        <v>44.286015385033537</v>
      </c>
      <c r="F231" s="383">
        <f t="shared" si="78"/>
        <v>44.31796271322299</v>
      </c>
      <c r="G231" s="110">
        <f t="shared" si="76"/>
        <v>0.78857540155317585</v>
      </c>
      <c r="H231" s="412" t="b">
        <f>Wh_hp&gt;='2027'!Maxi_hp</f>
        <v>0</v>
      </c>
      <c r="I231" s="388">
        <f>IF(H231,Wh_hp,'2027'!Maxi_hp)</f>
        <v>53.590627988169963</v>
      </c>
      <c r="J231" s="85">
        <f>IF(H231,An,'2027'!An_max)</f>
        <v>2018</v>
      </c>
      <c r="K231" s="197">
        <f t="shared" si="79"/>
        <v>46969</v>
      </c>
      <c r="L231" s="147">
        <f>IF(t&lt;Tvie,1-EXP((T0-t)*PertePVj)+'2027'!Pspv,1-EXP((T0-t)*PertePVj)+Pspv)</f>
        <v>6.476959215792133E-2</v>
      </c>
      <c r="M231" s="832"/>
      <c r="N231" s="832"/>
      <c r="O231" s="48">
        <f>IF(t&lt;Tnet,'2027'!Resal+('2027'!Salim-'2027'!Resal)*(1-EXP(('2027'!Tnet-t)/('2027'!Tau_j))),Resal+(Salim-Resal)*(1-EXP((Tnet-t)/(Tau_j))))*Salcycl</f>
        <v>4.6764016009589564E-2</v>
      </c>
      <c r="P231" s="169">
        <f>(INDEX(Models!$BJ231:$BT231,,T231)*(1-R231)+INDEX(Models!$BJ231:$BT231,,T231+1)*R231-ERP_i)*Q231*Ramure*Pc/MaxiM</f>
        <v>1.032292396867879E-3</v>
      </c>
      <c r="Q231" s="304">
        <f t="shared" si="80"/>
        <v>0.7</v>
      </c>
      <c r="R231" s="177">
        <f t="shared" si="81"/>
        <v>0.94261247966719108</v>
      </c>
      <c r="S231" s="799">
        <f t="shared" si="82"/>
        <v>-1</v>
      </c>
      <c r="T231" s="176">
        <f t="shared" si="83"/>
        <v>5</v>
      </c>
      <c r="U231" s="250">
        <f t="shared" si="84"/>
        <v>-5.7387520332808972E-2</v>
      </c>
      <c r="V231" s="382">
        <f t="shared" si="85"/>
        <v>50.050343076995908</v>
      </c>
      <c r="W231" s="400">
        <f t="shared" si="86"/>
        <v>39.480773600607051</v>
      </c>
      <c r="X231" s="157">
        <f t="shared" si="87"/>
        <v>46969</v>
      </c>
      <c r="Y231" s="383">
        <f t="shared" si="88"/>
        <v>37.977583115042684</v>
      </c>
      <c r="Z231" s="383">
        <f t="shared" si="89"/>
        <v>40.60772917197054</v>
      </c>
      <c r="AA231" s="384">
        <f t="shared" si="90"/>
        <v>44.055745259573868</v>
      </c>
      <c r="AB231" s="197">
        <f t="shared" si="91"/>
        <v>46969</v>
      </c>
      <c r="AC231" s="119">
        <f>IF(OR(t&lt;Tnet,NoTnet),'2027'!Resal_s+('2027'!Salim-'2027'!Resal_s)*(1-EXP(('2027'!Tnet_s-t)/'2027'!Tau_j)),Resal_s+(Salim-Resal_s)*(1-EXP((Tnet_s-t)/Tau_j)))*Salcycl</f>
        <v>7.8264845306504696E-2</v>
      </c>
      <c r="AD231" s="230">
        <f>(INDEX(Models!$BJ231:$BT231,,AH231)*(1-AF231)+INDEX(Models!$BJ231:$BT231,,AH231+1)*AF231-ERP_i)*AE231*Ramure*Pc/MaxiM</f>
        <v>8.4728551358919397E-3</v>
      </c>
      <c r="AE231" s="304">
        <f t="shared" si="92"/>
        <v>0.7</v>
      </c>
      <c r="AF231" s="177">
        <f t="shared" si="93"/>
        <v>0.69827031050654176</v>
      </c>
      <c r="AG231" s="799">
        <f t="shared" si="99"/>
        <v>2</v>
      </c>
      <c r="AH231" s="176">
        <f t="shared" si="94"/>
        <v>8</v>
      </c>
      <c r="AI231" s="224">
        <f t="shared" si="95"/>
        <v>2.6982703105065418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46970</v>
      </c>
      <c r="B232" s="409">
        <f>'2027'!Wh/'2027'!Env_an*'2028'!Env_an</f>
        <v>46.838142866491772</v>
      </c>
      <c r="C232" s="829"/>
      <c r="D232" s="391">
        <f t="shared" si="77"/>
        <v>50.08288880821646</v>
      </c>
      <c r="E232" s="383">
        <f t="shared" si="75"/>
        <v>52.543341673171675</v>
      </c>
      <c r="F232" s="383">
        <f t="shared" si="78"/>
        <v>52.596484976440586</v>
      </c>
      <c r="G232" s="110">
        <f t="shared" si="76"/>
        <v>0.93819093597608449</v>
      </c>
      <c r="H232" s="412" t="b">
        <f>Wh_hp&gt;='2027'!Maxi_hp</f>
        <v>0</v>
      </c>
      <c r="I232" s="388">
        <f>IF(H232,Wh_hp,'2027'!Maxi_hp)</f>
        <v>56.645072121276598</v>
      </c>
      <c r="J232" s="85">
        <f>IF(H232,An,'2027'!An_max)</f>
        <v>2020</v>
      </c>
      <c r="K232" s="197">
        <f t="shared" si="79"/>
        <v>46970</v>
      </c>
      <c r="L232" s="147">
        <f>IF(t&lt;Tvie,1-EXP((T0-t)*PertePVj)+'2027'!Pspv,1-EXP((T0-t)*PertePVj)+Pspv)</f>
        <v>6.4787515635327364E-2</v>
      </c>
      <c r="M232" s="832"/>
      <c r="N232" s="832"/>
      <c r="O232" s="48">
        <f>IF(t&lt;Tnet,'2027'!Resal+('2027'!Salim-'2027'!Resal)*(1-EXP(('2027'!Tnet-t)/('2027'!Tau_j))),Resal+(Salim-Resal)*(1-EXP((Tnet-t)/(Tau_j))))*Salcycl</f>
        <v>4.6827110469289196E-2</v>
      </c>
      <c r="P232" s="169">
        <f>(INDEX(Models!$BJ232:$BT232,,T232)*(1-R232)+INDEX(Models!$BJ232:$BT232,,T232+1)*R232-ERP_i)*Q232*Ramure*Pc/MaxiM</f>
        <v>1.1080944840380265E-3</v>
      </c>
      <c r="Q232" s="304">
        <f t="shared" si="80"/>
        <v>0.7</v>
      </c>
      <c r="R232" s="177">
        <f t="shared" si="81"/>
        <v>0.94395201351481628</v>
      </c>
      <c r="S232" s="799">
        <f t="shared" si="82"/>
        <v>-1</v>
      </c>
      <c r="T232" s="176">
        <f t="shared" si="83"/>
        <v>5</v>
      </c>
      <c r="U232" s="250">
        <f t="shared" si="84"/>
        <v>-5.6047986485183776E-2</v>
      </c>
      <c r="V232" s="382">
        <f t="shared" si="85"/>
        <v>49.919009499320786</v>
      </c>
      <c r="W232" s="400">
        <f t="shared" si="86"/>
        <v>46.838142866491772</v>
      </c>
      <c r="X232" s="157">
        <f t="shared" si="87"/>
        <v>46970</v>
      </c>
      <c r="Y232" s="383">
        <f t="shared" si="88"/>
        <v>44.979059936727509</v>
      </c>
      <c r="Z232" s="383">
        <f t="shared" si="89"/>
        <v>48.09501657506592</v>
      </c>
      <c r="AA232" s="384">
        <f t="shared" si="90"/>
        <v>52.18021722788621</v>
      </c>
      <c r="AB232" s="197">
        <f t="shared" si="91"/>
        <v>46970</v>
      </c>
      <c r="AC232" s="119">
        <f>IF(OR(t&lt;Tnet,NoTnet),'2027'!Resal_s+('2027'!Salim-'2027'!Resal_s)*(1-EXP(('2027'!Tnet_s-t)/'2027'!Tau_j)),Resal_s+(Salim-Resal_s)*(1-EXP((Tnet_s-t)/Tau_j)))*Salcycl</f>
        <v>7.8290219356102433E-2</v>
      </c>
      <c r="AD232" s="230">
        <f>(INDEX(Models!$BJ232:$BT232,,AH232)*(1-AF232)+INDEX(Models!$BJ232:$BT232,,AH232+1)*AF232-ERP_i)*AE232*Ramure*Pc/MaxiM</f>
        <v>8.6796259864016009E-3</v>
      </c>
      <c r="AE232" s="304">
        <f t="shared" si="92"/>
        <v>0.7</v>
      </c>
      <c r="AF232" s="177">
        <f t="shared" si="93"/>
        <v>0.69960984435416673</v>
      </c>
      <c r="AG232" s="799">
        <f t="shared" si="99"/>
        <v>2</v>
      </c>
      <c r="AH232" s="176">
        <f t="shared" si="94"/>
        <v>8</v>
      </c>
      <c r="AI232" s="224">
        <f t="shared" si="95"/>
        <v>2.6996098443541667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46971</v>
      </c>
      <c r="B233" s="409">
        <f>'2027'!Wh/'2027'!Env_an*'2028'!Env_an</f>
        <v>49.5782601931991</v>
      </c>
      <c r="C233" s="829"/>
      <c r="D233" s="391">
        <f t="shared" si="77"/>
        <v>53.013845726338978</v>
      </c>
      <c r="E233" s="383">
        <f t="shared" ref="E233:E296" si="100">Wh_pvt/(1-Psa)</f>
        <v>55.621960451656001</v>
      </c>
      <c r="F233" s="383">
        <f t="shared" si="78"/>
        <v>55.687569181447472</v>
      </c>
      <c r="G233" s="110">
        <f t="shared" ref="G233:G296" si="101">+Wh_hp/MaxiM</f>
        <v>0.99577935589006561</v>
      </c>
      <c r="H233" s="412" t="b">
        <f>Wh_hp&gt;='2027'!Maxi_hp</f>
        <v>0</v>
      </c>
      <c r="I233" s="388">
        <f>IF(H233,Wh_hp,'2027'!Maxi_hp)</f>
        <v>55.687875457776215</v>
      </c>
      <c r="J233" s="85">
        <f>IF(H233,An,'2027'!An_max)</f>
        <v>2026</v>
      </c>
      <c r="K233" s="197">
        <f t="shared" si="79"/>
        <v>46971</v>
      </c>
      <c r="L233" s="147">
        <f>IF(t&lt;Tvie,1-EXP((T0-t)*PertePVj)+'2027'!Pspv,1-EXP((T0-t)*PertePVj)+Pspv)</f>
        <v>6.4805438769233947E-2</v>
      </c>
      <c r="M233" s="832"/>
      <c r="N233" s="832"/>
      <c r="O233" s="48">
        <f>IF(t&lt;Tnet,'2027'!Resal+('2027'!Salim-'2027'!Resal)*(1-EXP(('2027'!Tnet-t)/('2027'!Tau_j))),Resal+(Salim-Resal)*(1-EXP((Tnet-t)/(Tau_j))))*Salcycl</f>
        <v>4.6890017973815833E-2</v>
      </c>
      <c r="P233" s="169">
        <f>(INDEX(Models!$BJ233:$BT233,,T233)*(1-R233)+INDEX(Models!$BJ233:$BT233,,T233+1)*R233-ERP_i)*Q233*Ramure*Pc/MaxiM</f>
        <v>1.1852922101313517E-3</v>
      </c>
      <c r="Q233" s="304">
        <f t="shared" si="80"/>
        <v>0.7</v>
      </c>
      <c r="R233" s="177">
        <f t="shared" si="81"/>
        <v>0.94524691261846705</v>
      </c>
      <c r="S233" s="799">
        <f t="shared" si="82"/>
        <v>-1</v>
      </c>
      <c r="T233" s="176">
        <f t="shared" si="83"/>
        <v>5</v>
      </c>
      <c r="U233" s="250">
        <f t="shared" si="84"/>
        <v>-5.4753087381532894E-2</v>
      </c>
      <c r="V233" s="382">
        <f t="shared" si="85"/>
        <v>49.788043664917708</v>
      </c>
      <c r="W233" s="400">
        <f t="shared" si="86"/>
        <v>49.5782601931991</v>
      </c>
      <c r="X233" s="157">
        <f t="shared" si="87"/>
        <v>46971</v>
      </c>
      <c r="Y233" s="383">
        <f t="shared" si="88"/>
        <v>47.576531705410567</v>
      </c>
      <c r="Z233" s="383">
        <f t="shared" si="89"/>
        <v>50.873405040762115</v>
      </c>
      <c r="AA233" s="384">
        <f t="shared" si="90"/>
        <v>55.196109248825834</v>
      </c>
      <c r="AB233" s="197">
        <f t="shared" si="91"/>
        <v>46971</v>
      </c>
      <c r="AC233" s="119">
        <f>IF(OR(t&lt;Tnet,NoTnet),'2027'!Resal_s+('2027'!Salim-'2027'!Resal_s)*(1-EXP(('2027'!Tnet_s-t)/'2027'!Tau_j)),Resal_s+(Salim-Resal_s)*(1-EXP((Tnet_s-t)/Tau_j)))*Salcycl</f>
        <v>7.8315378871667063E-2</v>
      </c>
      <c r="AD233" s="230">
        <f>(INDEX(Models!$BJ233:$BT233,,AH233)*(1-AF233)+INDEX(Models!$BJ233:$BT233,,AH233+1)*AF233-ERP_i)*AE233*Ramure*Pc/MaxiM</f>
        <v>8.8787518304281922E-3</v>
      </c>
      <c r="AE233" s="304">
        <f t="shared" si="92"/>
        <v>0.7</v>
      </c>
      <c r="AF233" s="177">
        <f t="shared" si="93"/>
        <v>0.70090474345781795</v>
      </c>
      <c r="AG233" s="799">
        <f t="shared" si="99"/>
        <v>2</v>
      </c>
      <c r="AH233" s="176">
        <f t="shared" si="94"/>
        <v>8</v>
      </c>
      <c r="AI233" s="224">
        <f t="shared" si="95"/>
        <v>2.7009047434578179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46972</v>
      </c>
      <c r="B234" s="409">
        <f>'2027'!Wh/'2027'!Env_an*'2028'!Env_an</f>
        <v>50.484534353707069</v>
      </c>
      <c r="C234" s="829"/>
      <c r="D234" s="391">
        <f t="shared" si="77"/>
        <v>53.983955841650435</v>
      </c>
      <c r="E234" s="383">
        <f t="shared" si="100"/>
        <v>56.643524515644934</v>
      </c>
      <c r="F234" s="383">
        <f t="shared" si="78"/>
        <v>56.714919727372141</v>
      </c>
      <c r="G234" s="110">
        <f t="shared" si="101"/>
        <v>1.0166461290976145</v>
      </c>
      <c r="H234" s="412" t="b">
        <f>Wh_hp&gt;='2027'!Maxi_hp</f>
        <v>0</v>
      </c>
      <c r="I234" s="388">
        <f>IF(H234,Wh_hp,'2027'!Maxi_hp)</f>
        <v>56.714919727372155</v>
      </c>
      <c r="J234" s="85">
        <f>IF(H234,An,'2027'!An_max)</f>
        <v>2026</v>
      </c>
      <c r="K234" s="197">
        <f t="shared" si="79"/>
        <v>46972</v>
      </c>
      <c r="L234" s="147">
        <f>IF(t&lt;Tvie,1-EXP((T0-t)*PertePVj)+'2027'!Pspv,1-EXP((T0-t)*PertePVj)+Pspv)</f>
        <v>6.4823361559647741E-2</v>
      </c>
      <c r="M234" s="832"/>
      <c r="N234" s="832"/>
      <c r="O234" s="48">
        <f>IF(t&lt;Tnet,'2027'!Resal+('2027'!Salim-'2027'!Resal)*(1-EXP(('2027'!Tnet-t)/('2027'!Tau_j))),Resal+(Salim-Resal)*(1-EXP((Tnet-t)/(Tau_j))))*Salcycl</f>
        <v>4.6952739906923155E-2</v>
      </c>
      <c r="P234" s="169">
        <f>(INDEX(Models!$BJ234:$BT234,,T234)*(1-R234)+INDEX(Models!$BJ234:$BT234,,T234+1)*R234-ERP_i)*Q234*Ramure*Pc/MaxiM</f>
        <v>1.2588435648045869E-3</v>
      </c>
      <c r="Q234" s="304">
        <f t="shared" si="80"/>
        <v>0.7</v>
      </c>
      <c r="R234" s="177">
        <f t="shared" si="81"/>
        <v>0.94649833176480436</v>
      </c>
      <c r="S234" s="799">
        <f t="shared" si="82"/>
        <v>-1</v>
      </c>
      <c r="T234" s="176">
        <f t="shared" si="83"/>
        <v>5</v>
      </c>
      <c r="U234" s="250">
        <f t="shared" si="84"/>
        <v>-5.3501668235195698E-2</v>
      </c>
      <c r="V234" s="382">
        <f t="shared" si="85"/>
        <v>49.657922170537006</v>
      </c>
      <c r="W234" s="400">
        <f t="shared" si="86"/>
        <v>50.484534353707069</v>
      </c>
      <c r="X234" s="157">
        <f t="shared" si="87"/>
        <v>46972</v>
      </c>
      <c r="Y234" s="383">
        <f t="shared" si="88"/>
        <v>48.439664699441323</v>
      </c>
      <c r="Z234" s="383">
        <f t="shared" si="89"/>
        <v>51.79734256431697</v>
      </c>
      <c r="AA234" s="384">
        <f t="shared" si="90"/>
        <v>56.200074777231208</v>
      </c>
      <c r="AB234" s="197">
        <f t="shared" si="91"/>
        <v>46972</v>
      </c>
      <c r="AC234" s="119">
        <f>IF(OR(t&lt;Tnet,NoTnet),'2027'!Resal_s+('2027'!Salim-'2027'!Resal_s)*(1-EXP(('2027'!Tnet_s-t)/'2027'!Tau_j)),Resal_s+(Salim-Resal_s)*(1-EXP((Tnet_s-t)/Tau_j)))*Salcycl</f>
        <v>7.8340326598603544E-2</v>
      </c>
      <c r="AD234" s="230">
        <f>(INDEX(Models!$BJ234:$BT234,,AH234)*(1-AF234)+INDEX(Models!$BJ234:$BT234,,AH234+1)*AF234-ERP_i)*AE234*Ramure*Pc/MaxiM</f>
        <v>9.0777691763611057E-3</v>
      </c>
      <c r="AE234" s="304">
        <f t="shared" si="92"/>
        <v>0.7</v>
      </c>
      <c r="AF234" s="177">
        <f t="shared" si="93"/>
        <v>0.70215616260415503</v>
      </c>
      <c r="AG234" s="799">
        <f t="shared" si="99"/>
        <v>2</v>
      </c>
      <c r="AH234" s="176">
        <f t="shared" si="94"/>
        <v>8</v>
      </c>
      <c r="AI234" s="224">
        <f t="shared" si="95"/>
        <v>2.702156162604155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46973</v>
      </c>
      <c r="B235" s="409">
        <f>'2027'!Wh/'2027'!Env_an*'2028'!Env_an</f>
        <v>48.838870183321738</v>
      </c>
      <c r="C235" s="829"/>
      <c r="D235" s="391">
        <f t="shared" si="77"/>
        <v>52.225220540707809</v>
      </c>
      <c r="E235" s="383">
        <f t="shared" si="100"/>
        <v>54.801739492342449</v>
      </c>
      <c r="F235" s="383">
        <f t="shared" si="78"/>
        <v>54.873074155642279</v>
      </c>
      <c r="G235" s="110">
        <f t="shared" si="101"/>
        <v>0.98605063531755066</v>
      </c>
      <c r="H235" s="412" t="b">
        <f>Wh_hp&gt;='2027'!Maxi_hp</f>
        <v>0</v>
      </c>
      <c r="I235" s="388">
        <f>IF(H235,Wh_hp,'2027'!Maxi_hp)</f>
        <v>54.928479355291955</v>
      </c>
      <c r="J235" s="85">
        <f>IF(H235,An,'2027'!An_max)</f>
        <v>2018</v>
      </c>
      <c r="K235" s="197">
        <f t="shared" si="79"/>
        <v>46973</v>
      </c>
      <c r="L235" s="147">
        <f>IF(t&lt;Tvie,1-EXP((T0-t)*PertePVj)+'2027'!Pspv,1-EXP((T0-t)*PertePVj)+Pspv)</f>
        <v>6.4841284006575406E-2</v>
      </c>
      <c r="M235" s="832"/>
      <c r="N235" s="832"/>
      <c r="O235" s="48">
        <f>IF(t&lt;Tnet,'2027'!Resal+('2027'!Salim-'2027'!Resal)*(1-EXP(('2027'!Tnet-t)/('2027'!Tau_j))),Resal+(Salim-Resal)*(1-EXP((Tnet-t)/(Tau_j))))*Salcycl</f>
        <v>4.7015276805121527E-2</v>
      </c>
      <c r="P235" s="169">
        <f>(INDEX(Models!$BJ235:$BT235,,T235)*(1-R235)+INDEX(Models!$BJ235:$BT235,,T235+1)*R235-ERP_i)*Q235*Ramure*Pc/MaxiM</f>
        <v>1.3263761498275653E-3</v>
      </c>
      <c r="Q235" s="304">
        <f t="shared" si="80"/>
        <v>0.7</v>
      </c>
      <c r="R235" s="177">
        <f t="shared" si="81"/>
        <v>0.94770742045970691</v>
      </c>
      <c r="S235" s="799">
        <f t="shared" si="82"/>
        <v>-1</v>
      </c>
      <c r="T235" s="176">
        <f t="shared" si="83"/>
        <v>5</v>
      </c>
      <c r="U235" s="250">
        <f t="shared" si="84"/>
        <v>-5.2292579540293038E-2</v>
      </c>
      <c r="V235" s="382">
        <f t="shared" si="85"/>
        <v>49.528470728656359</v>
      </c>
      <c r="W235" s="400">
        <f t="shared" si="86"/>
        <v>48.838870183321738</v>
      </c>
      <c r="X235" s="157">
        <f t="shared" si="87"/>
        <v>46973</v>
      </c>
      <c r="Y235" s="383">
        <f t="shared" si="88"/>
        <v>46.86347963624565</v>
      </c>
      <c r="Z235" s="383">
        <f t="shared" si="89"/>
        <v>50.112861950350641</v>
      </c>
      <c r="AA235" s="384">
        <f t="shared" si="90"/>
        <v>54.373874063501695</v>
      </c>
      <c r="AB235" s="197">
        <f t="shared" si="91"/>
        <v>46973</v>
      </c>
      <c r="AC235" s="119">
        <f>IF(OR(t&lt;Tnet,NoTnet),'2027'!Resal_s+('2027'!Salim-'2027'!Resal_s)*(1-EXP(('2027'!Tnet_s-t)/'2027'!Tau_j)),Resal_s+(Salim-Resal_s)*(1-EXP((Tnet_s-t)/Tau_j)))*Salcycl</f>
        <v>7.8365063857225664E-2</v>
      </c>
      <c r="AD235" s="230">
        <f>(INDEX(Models!$BJ235:$BT235,,AH235)*(1-AF235)+INDEX(Models!$BJ235:$BT235,,AH235+1)*AF235-ERP_i)*AE235*Ramure*Pc/MaxiM</f>
        <v>9.2819824974011804E-3</v>
      </c>
      <c r="AE235" s="304">
        <f t="shared" si="92"/>
        <v>0.7</v>
      </c>
      <c r="AF235" s="177">
        <f t="shared" si="93"/>
        <v>0.7033652512990578</v>
      </c>
      <c r="AG235" s="799">
        <f t="shared" si="99"/>
        <v>2</v>
      </c>
      <c r="AH235" s="176">
        <f t="shared" si="94"/>
        <v>8</v>
      </c>
      <c r="AI235" s="224">
        <f t="shared" si="95"/>
        <v>2.7033652512990578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46974</v>
      </c>
      <c r="B236" s="409">
        <f>'2027'!Wh/'2027'!Env_an*'2028'!Env_an</f>
        <v>47.494255389565794</v>
      </c>
      <c r="C236" s="829"/>
      <c r="D236" s="391">
        <f t="shared" si="77"/>
        <v>50.788347273355825</v>
      </c>
      <c r="E236" s="383">
        <f t="shared" si="100"/>
        <v>53.297465551564159</v>
      </c>
      <c r="F236" s="383">
        <f t="shared" si="78"/>
        <v>53.367449714541756</v>
      </c>
      <c r="G236" s="110">
        <f t="shared" si="101"/>
        <v>0.9613602438239035</v>
      </c>
      <c r="H236" s="412" t="b">
        <f>Wh_hp&gt;='2027'!Maxi_hp</f>
        <v>0</v>
      </c>
      <c r="I236" s="388">
        <f>IF(H236,Wh_hp,'2027'!Maxi_hp)</f>
        <v>53.370561745499188</v>
      </c>
      <c r="J236" s="85">
        <f>IF(H236,An,'2027'!An_max)</f>
        <v>2026</v>
      </c>
      <c r="K236" s="197">
        <f t="shared" si="79"/>
        <v>46974</v>
      </c>
      <c r="L236" s="147">
        <f>IF(t&lt;Tvie,1-EXP((T0-t)*PertePVj)+'2027'!Pspv,1-EXP((T0-t)*PertePVj)+Pspv)</f>
        <v>6.4859206110023382E-2</v>
      </c>
      <c r="M236" s="832"/>
      <c r="N236" s="832"/>
      <c r="O236" s="48">
        <f>IF(t&lt;Tnet,'2027'!Resal+('2027'!Salim-'2027'!Resal)*(1-EXP(('2027'!Tnet-t)/('2027'!Tau_j))),Resal+(Salim-Resal)*(1-EXP((Tnet-t)/(Tau_j))))*Salcycl</f>
        <v>4.7077628405816321E-2</v>
      </c>
      <c r="P236" s="169">
        <f>(INDEX(Models!$BJ236:$BT236,,T236)*(1-R236)+INDEX(Models!$BJ236:$BT236,,T236+1)*R236-ERP_i)*Q236*Ramure*Pc/MaxiM</f>
        <v>1.3878257597677022E-3</v>
      </c>
      <c r="Q236" s="304">
        <f t="shared" si="80"/>
        <v>0.7</v>
      </c>
      <c r="R236" s="177">
        <f t="shared" si="81"/>
        <v>0.94887532083242476</v>
      </c>
      <c r="S236" s="799">
        <f t="shared" si="82"/>
        <v>-1</v>
      </c>
      <c r="T236" s="176">
        <f t="shared" si="83"/>
        <v>5</v>
      </c>
      <c r="U236" s="250">
        <f t="shared" si="84"/>
        <v>-5.1124679167575293E-2</v>
      </c>
      <c r="V236" s="382">
        <f t="shared" si="85"/>
        <v>49.39939990377276</v>
      </c>
      <c r="W236" s="400">
        <f t="shared" si="86"/>
        <v>47.494255389565794</v>
      </c>
      <c r="X236" s="157">
        <f t="shared" si="87"/>
        <v>46974</v>
      </c>
      <c r="Y236" s="383">
        <f t="shared" si="88"/>
        <v>45.58146104632133</v>
      </c>
      <c r="Z236" s="383">
        <f t="shared" si="89"/>
        <v>48.742885931339437</v>
      </c>
      <c r="AA236" s="384">
        <f t="shared" si="90"/>
        <v>52.888818784793187</v>
      </c>
      <c r="AB236" s="197">
        <f t="shared" si="91"/>
        <v>46974</v>
      </c>
      <c r="AC236" s="119">
        <f>IF(OR(t&lt;Tnet,NoTnet),'2027'!Resal_s+('2027'!Salim-'2027'!Resal_s)*(1-EXP(('2027'!Tnet_s-t)/'2027'!Tau_j)),Resal_s+(Salim-Resal_s)*(1-EXP((Tnet_s-t)/Tau_j)))*Salcycl</f>
        <v>7.8389590630180736E-2</v>
      </c>
      <c r="AD236" s="230">
        <f>(INDEX(Models!$BJ236:$BT236,,AH236)*(1-AF236)+INDEX(Models!$BJ236:$BT236,,AH236+1)*AF236-ERP_i)*AE236*Ramure*Pc/MaxiM</f>
        <v>9.4915235885484357E-3</v>
      </c>
      <c r="AE236" s="304">
        <f t="shared" si="92"/>
        <v>0.7</v>
      </c>
      <c r="AF236" s="177">
        <f t="shared" si="93"/>
        <v>0.70453315167177522</v>
      </c>
      <c r="AG236" s="799">
        <f t="shared" si="99"/>
        <v>2</v>
      </c>
      <c r="AH236" s="176">
        <f t="shared" si="94"/>
        <v>8</v>
      </c>
      <c r="AI236" s="224">
        <f t="shared" si="95"/>
        <v>2.7045331516717752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46975</v>
      </c>
      <c r="B237" s="409">
        <f>'2027'!Wh/'2027'!Env_an*'2028'!Env_an</f>
        <v>45.452762250078067</v>
      </c>
      <c r="C237" s="829"/>
      <c r="D237" s="391">
        <f t="shared" si="77"/>
        <v>48.606192410358652</v>
      </c>
      <c r="E237" s="383">
        <f t="shared" si="100"/>
        <v>51.010832532235952</v>
      </c>
      <c r="F237" s="383">
        <f t="shared" si="78"/>
        <v>51.076383404341613</v>
      </c>
      <c r="G237" s="110">
        <f t="shared" si="101"/>
        <v>0.92236867328280525</v>
      </c>
      <c r="H237" s="412" t="b">
        <f>Wh_hp&gt;='2027'!Maxi_hp</f>
        <v>0</v>
      </c>
      <c r="I237" s="388">
        <f>IF(H237,Wh_hp,'2027'!Maxi_hp)</f>
        <v>51.137114320029383</v>
      </c>
      <c r="J237" s="85">
        <f>IF(H237,An,'2027'!An_max)</f>
        <v>2021</v>
      </c>
      <c r="K237" s="197">
        <f t="shared" si="79"/>
        <v>46975</v>
      </c>
      <c r="L237" s="147">
        <f>IF(t&lt;Tvie,1-EXP((T0-t)*PertePVj)+'2027'!Pspv,1-EXP((T0-t)*PertePVj)+Pspv)</f>
        <v>6.4877127869998441E-2</v>
      </c>
      <c r="M237" s="832"/>
      <c r="N237" s="832"/>
      <c r="O237" s="48">
        <f>IF(t&lt;Tnet,'2027'!Resal+('2027'!Salim-'2027'!Resal)*(1-EXP(('2027'!Tnet-t)/('2027'!Tau_j))),Resal+(Salim-Resal)*(1-EXP((Tnet-t)/(Tau_j))))*Salcycl</f>
        <v>4.7139793696911472E-2</v>
      </c>
      <c r="P237" s="169">
        <f>(INDEX(Models!$BJ237:$BT237,,T237)*(1-R237)+INDEX(Models!$BJ237:$BT237,,T237+1)*R237-ERP_i)*Q237*Ramure*Pc/MaxiM</f>
        <v>1.4431308113607084E-3</v>
      </c>
      <c r="Q237" s="304">
        <f t="shared" si="80"/>
        <v>0.7</v>
      </c>
      <c r="R237" s="177">
        <f t="shared" si="81"/>
        <v>0.95000316571749877</v>
      </c>
      <c r="S237" s="799">
        <f t="shared" si="82"/>
        <v>-1</v>
      </c>
      <c r="T237" s="176">
        <f t="shared" si="83"/>
        <v>5</v>
      </c>
      <c r="U237" s="250">
        <f t="shared" si="84"/>
        <v>-4.999683428250129E-2</v>
      </c>
      <c r="V237" s="382">
        <f t="shared" si="85"/>
        <v>49.270420313147575</v>
      </c>
      <c r="W237" s="400">
        <f t="shared" si="86"/>
        <v>45.452762250078067</v>
      </c>
      <c r="X237" s="157">
        <f t="shared" si="87"/>
        <v>46975</v>
      </c>
      <c r="Y237" s="383">
        <f t="shared" si="88"/>
        <v>43.63747203342708</v>
      </c>
      <c r="Z237" s="383">
        <f t="shared" si="89"/>
        <v>46.664960652743574</v>
      </c>
      <c r="AA237" s="384">
        <f t="shared" si="90"/>
        <v>50.635486948991847</v>
      </c>
      <c r="AB237" s="197">
        <f t="shared" si="91"/>
        <v>46975</v>
      </c>
      <c r="AC237" s="119">
        <f>IF(OR(t&lt;Tnet,NoTnet),'2027'!Resal_s+('2027'!Salim-'2027'!Resal_s)*(1-EXP(('2027'!Tnet_s-t)/'2027'!Tau_j)),Resal_s+(Salim-Resal_s)*(1-EXP((Tnet_s-t)/Tau_j)))*Salcycl</f>
        <v>7.8413905651742194E-2</v>
      </c>
      <c r="AD237" s="230">
        <f>(INDEX(Models!$BJ237:$BT237,,AH237)*(1-AF237)+INDEX(Models!$BJ237:$BT237,,AH237+1)*AF237-ERP_i)*AE237*Ramure*Pc/MaxiM</f>
        <v>9.7065262275895531E-3</v>
      </c>
      <c r="AE237" s="304">
        <f t="shared" si="92"/>
        <v>0.7</v>
      </c>
      <c r="AF237" s="177">
        <f t="shared" si="93"/>
        <v>0.70566099655684944</v>
      </c>
      <c r="AG237" s="799">
        <f t="shared" si="99"/>
        <v>2</v>
      </c>
      <c r="AH237" s="176">
        <f t="shared" si="94"/>
        <v>8</v>
      </c>
      <c r="AI237" s="224">
        <f t="shared" si="95"/>
        <v>2.7056609965568494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46976</v>
      </c>
      <c r="B238" s="409">
        <f>'2027'!Wh/'2027'!Env_an*'2028'!Env_an</f>
        <v>45.858298979597087</v>
      </c>
      <c r="C238" s="829"/>
      <c r="D238" s="391">
        <f t="shared" si="77"/>
        <v>49.040804398059073</v>
      </c>
      <c r="E238" s="383">
        <f t="shared" si="100"/>
        <v>51.47029339867305</v>
      </c>
      <c r="F238" s="383">
        <f t="shared" si="78"/>
        <v>51.539862781263402</v>
      </c>
      <c r="G238" s="110">
        <f t="shared" si="101"/>
        <v>0.93306063896947455</v>
      </c>
      <c r="H238" s="412" t="b">
        <f>Wh_hp&gt;='2027'!Maxi_hp</f>
        <v>0</v>
      </c>
      <c r="I238" s="388">
        <f>IF(H238,Wh_hp,'2027'!Maxi_hp)</f>
        <v>51.545419043772277</v>
      </c>
      <c r="J238" s="85">
        <f>IF(H238,An,'2027'!An_max)</f>
        <v>2026</v>
      </c>
      <c r="K238" s="197">
        <f t="shared" si="79"/>
        <v>46976</v>
      </c>
      <c r="L238" s="147">
        <f>IF(t&lt;Tvie,1-EXP((T0-t)*PertePVj)+'2027'!Pspv,1-EXP((T0-t)*PertePVj)+Pspv)</f>
        <v>6.4895049286506912E-2</v>
      </c>
      <c r="M238" s="832"/>
      <c r="N238" s="832"/>
      <c r="O238" s="48">
        <f>IF(t&lt;Tnet,'2027'!Resal+('2027'!Salim-'2027'!Resal)*(1-EXP(('2027'!Tnet-t)/('2027'!Tau_j))),Resal+(Salim-Resal)*(1-EXP((Tnet-t)/(Tau_j))))*Salcycl</f>
        <v>4.7201770967107252E-2</v>
      </c>
      <c r="P238" s="169">
        <f>(INDEX(Models!$BJ238:$BT238,,T238)*(1-R238)+INDEX(Models!$BJ238:$BT238,,T238+1)*R238-ERP_i)*Q238*Ramure*Pc/MaxiM</f>
        <v>1.4922319443788463E-3</v>
      </c>
      <c r="Q238" s="304">
        <f t="shared" si="80"/>
        <v>0.7</v>
      </c>
      <c r="R238" s="177">
        <f t="shared" si="81"/>
        <v>0.95109207690755149</v>
      </c>
      <c r="S238" s="799">
        <f t="shared" si="82"/>
        <v>-1</v>
      </c>
      <c r="T238" s="176">
        <f t="shared" si="83"/>
        <v>5</v>
      </c>
      <c r="U238" s="250">
        <f t="shared" si="84"/>
        <v>-4.8907923092448458E-2</v>
      </c>
      <c r="V238" s="382">
        <f t="shared" si="85"/>
        <v>49.141242626380539</v>
      </c>
      <c r="W238" s="400">
        <f t="shared" si="86"/>
        <v>45.858298979597087</v>
      </c>
      <c r="X238" s="157">
        <f t="shared" si="87"/>
        <v>46976</v>
      </c>
      <c r="Y238" s="383">
        <f t="shared" si="88"/>
        <v>44.016014667102617</v>
      </c>
      <c r="Z238" s="383">
        <f t="shared" si="89"/>
        <v>47.070667986003087</v>
      </c>
      <c r="AA238" s="384">
        <f t="shared" si="90"/>
        <v>51.077049962873197</v>
      </c>
      <c r="AB238" s="197">
        <f t="shared" si="91"/>
        <v>46976</v>
      </c>
      <c r="AC238" s="119">
        <f>IF(OR(t&lt;Tnet,NoTnet),'2027'!Resal_s+('2027'!Salim-'2027'!Resal_s)*(1-EXP(('2027'!Tnet_s-t)/'2027'!Tau_j)),Resal_s+(Salim-Resal_s)*(1-EXP((Tnet_s-t)/Tau_j)))*Salcycl</f>
        <v>7.8438006497678694E-2</v>
      </c>
      <c r="AD238" s="230">
        <f>(INDEX(Models!$BJ238:$BT238,,AH238)*(1-AF238)+INDEX(Models!$BJ238:$BT238,,AH238+1)*AF238-ERP_i)*AE238*Ramure*Pc/MaxiM</f>
        <v>9.927126649038125E-3</v>
      </c>
      <c r="AE238" s="304">
        <f t="shared" si="92"/>
        <v>0.7</v>
      </c>
      <c r="AF238" s="177">
        <f t="shared" si="93"/>
        <v>0.70674990774690238</v>
      </c>
      <c r="AG238" s="799">
        <f t="shared" si="99"/>
        <v>2</v>
      </c>
      <c r="AH238" s="176">
        <f t="shared" si="94"/>
        <v>8</v>
      </c>
      <c r="AI238" s="224">
        <f t="shared" si="95"/>
        <v>2.7067499077469024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46977</v>
      </c>
      <c r="B239" s="409">
        <f>'2027'!Wh/'2027'!Env_an*'2028'!Env_an</f>
        <v>34.464770148680515</v>
      </c>
      <c r="C239" s="829"/>
      <c r="D239" s="391">
        <f t="shared" si="77"/>
        <v>36.857286066659228</v>
      </c>
      <c r="E239" s="383">
        <f t="shared" si="100"/>
        <v>38.685710377281652</v>
      </c>
      <c r="F239" s="383">
        <f t="shared" si="78"/>
        <v>38.719946305698329</v>
      </c>
      <c r="G239" s="110">
        <f t="shared" si="101"/>
        <v>0.70273840686495226</v>
      </c>
      <c r="H239" s="412" t="b">
        <f>Wh_hp&gt;='2027'!Maxi_hp</f>
        <v>0</v>
      </c>
      <c r="I239" s="388">
        <f>IF(H239,Wh_hp,'2027'!Maxi_hp)</f>
        <v>44.585045141201746</v>
      </c>
      <c r="J239" s="85">
        <f>IF(H239,An,'2027'!An_max)</f>
        <v>2018</v>
      </c>
      <c r="K239" s="197">
        <f t="shared" si="79"/>
        <v>46977</v>
      </c>
      <c r="L239" s="147">
        <f>IF(t&lt;Tvie,1-EXP((T0-t)*PertePVj)+'2027'!Pspv,1-EXP((T0-t)*PertePVj)+Pspv)</f>
        <v>6.4912970359555677E-2</v>
      </c>
      <c r="M239" s="832"/>
      <c r="N239" s="832"/>
      <c r="O239" s="48">
        <f>IF(t&lt;Tnet,'2027'!Resal+('2027'!Salim-'2027'!Resal)*(1-EXP(('2027'!Tnet-t)/('2027'!Tau_j))),Resal+(Salim-Resal)*(1-EXP((Tnet-t)/(Tau_j))))*Salcycl</f>
        <v>4.7263557856137318E-2</v>
      </c>
      <c r="P239" s="169">
        <f>(INDEX(Models!$BJ239:$BT239,,T239)*(1-R239)+INDEX(Models!$BJ239:$BT239,,T239+1)*R239-ERP_i)*Q239*Ramure*Pc/MaxiM</f>
        <v>1.5350716182820758E-3</v>
      </c>
      <c r="Q239" s="304">
        <f t="shared" si="80"/>
        <v>0.7</v>
      </c>
      <c r="R239" s="177">
        <f t="shared" si="81"/>
        <v>0.95214316356974638</v>
      </c>
      <c r="S239" s="799">
        <f t="shared" si="82"/>
        <v>-1</v>
      </c>
      <c r="T239" s="176">
        <f t="shared" si="83"/>
        <v>5</v>
      </c>
      <c r="U239" s="250">
        <f t="shared" si="84"/>
        <v>-4.7856836430253569E-2</v>
      </c>
      <c r="V239" s="382">
        <f t="shared" si="85"/>
        <v>49.011577563647741</v>
      </c>
      <c r="W239" s="400">
        <f t="shared" si="86"/>
        <v>34.464770148680515</v>
      </c>
      <c r="X239" s="157">
        <f t="shared" si="87"/>
        <v>46977</v>
      </c>
      <c r="Y239" s="383">
        <f t="shared" si="88"/>
        <v>33.170553594321383</v>
      </c>
      <c r="Z239" s="383">
        <f t="shared" si="89"/>
        <v>35.47322606653627</v>
      </c>
      <c r="AA239" s="384">
        <f t="shared" si="90"/>
        <v>38.493498715972343</v>
      </c>
      <c r="AB239" s="197">
        <f t="shared" si="91"/>
        <v>46977</v>
      </c>
      <c r="AC239" s="119">
        <f>IF(OR(t&lt;Tnet,NoTnet),'2027'!Resal_s+('2027'!Salim-'2027'!Resal_s)*(1-EXP(('2027'!Tnet_s-t)/'2027'!Tau_j)),Resal_s+(Salim-Resal_s)*(1-EXP((Tnet_s-t)/Tau_j)))*Salcycl</f>
        <v>7.8461889674446519E-2</v>
      </c>
      <c r="AD239" s="230">
        <f>(INDEX(Models!$BJ239:$BT239,,AH239)*(1-AF239)+INDEX(Models!$BJ239:$BT239,,AH239+1)*AF239-ERP_i)*AE239*Ramure*Pc/MaxiM</f>
        <v>1.0153464038890165E-2</v>
      </c>
      <c r="AE239" s="304">
        <f t="shared" si="92"/>
        <v>0.7</v>
      </c>
      <c r="AF239" s="177">
        <f t="shared" si="93"/>
        <v>0.70780099440909705</v>
      </c>
      <c r="AG239" s="799">
        <f t="shared" si="99"/>
        <v>2</v>
      </c>
      <c r="AH239" s="176">
        <f t="shared" si="94"/>
        <v>8</v>
      </c>
      <c r="AI239" s="224">
        <f t="shared" si="95"/>
        <v>2.7078009944090971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46978</v>
      </c>
      <c r="B240" s="409">
        <f>'2027'!Wh/'2027'!Env_an*'2028'!Env_an</f>
        <v>34.342175339952796</v>
      </c>
      <c r="C240" s="829"/>
      <c r="D240" s="391">
        <f t="shared" si="77"/>
        <v>36.726884689789316</v>
      </c>
      <c r="E240" s="383">
        <f t="shared" si="100"/>
        <v>38.551332329098116</v>
      </c>
      <c r="F240" s="383">
        <f t="shared" si="78"/>
        <v>38.586241629073513</v>
      </c>
      <c r="G240" s="110">
        <f t="shared" si="101"/>
        <v>0.70209604752937027</v>
      </c>
      <c r="H240" s="412" t="b">
        <f>Wh_hp&gt;='2027'!Maxi_hp</f>
        <v>0</v>
      </c>
      <c r="I240" s="388">
        <f>IF(H240,Wh_hp,'2027'!Maxi_hp)</f>
        <v>56.167943192678834</v>
      </c>
      <c r="J240" s="85">
        <f>IF(H240,An,'2027'!An_max)</f>
        <v>2018</v>
      </c>
      <c r="K240" s="197">
        <f t="shared" si="79"/>
        <v>46978</v>
      </c>
      <c r="L240" s="147">
        <f>IF(t&lt;Tvie,1-EXP((T0-t)*PertePVj)+'2027'!Pspv,1-EXP((T0-t)*PertePVj)+Pspv)</f>
        <v>6.4930891089151066E-2</v>
      </c>
      <c r="M240" s="832"/>
      <c r="N240" s="832"/>
      <c r="O240" s="48">
        <f>IF(t&lt;Tnet,'2027'!Resal+('2027'!Salim-'2027'!Resal)*(1-EXP(('2027'!Tnet-t)/('2027'!Tau_j))),Resal+(Salim-Resal)*(1-EXP((Tnet-t)/(Tau_j))))*Salcycl</f>
        <v>4.7325151404215712E-2</v>
      </c>
      <c r="P240" s="169">
        <f>(INDEX(Models!$BJ240:$BT240,,T240)*(1-R240)+INDEX(Models!$BJ240:$BT240,,T240+1)*R240-ERP_i)*Q240*Ramure*Pc/MaxiM</f>
        <v>1.5731477199438528E-3</v>
      </c>
      <c r="Q240" s="304">
        <f t="shared" si="80"/>
        <v>0.7</v>
      </c>
      <c r="R240" s="177">
        <f t="shared" si="81"/>
        <v>0.95315752081850558</v>
      </c>
      <c r="S240" s="799">
        <f t="shared" si="82"/>
        <v>-1</v>
      </c>
      <c r="T240" s="176">
        <f t="shared" si="83"/>
        <v>5</v>
      </c>
      <c r="U240" s="250">
        <f t="shared" si="84"/>
        <v>-4.6842479181494423E-2</v>
      </c>
      <c r="V240" s="382">
        <f t="shared" si="85"/>
        <v>48.881059815276956</v>
      </c>
      <c r="W240" s="400">
        <f t="shared" si="86"/>
        <v>34.342175339952796</v>
      </c>
      <c r="X240" s="157">
        <f t="shared" si="87"/>
        <v>46978</v>
      </c>
      <c r="Y240" s="383">
        <f t="shared" si="88"/>
        <v>33.050240545698379</v>
      </c>
      <c r="Z240" s="383">
        <f t="shared" si="89"/>
        <v>35.345238368739061</v>
      </c>
      <c r="AA240" s="384">
        <f t="shared" si="90"/>
        <v>38.355598651586476</v>
      </c>
      <c r="AB240" s="197">
        <f t="shared" si="91"/>
        <v>46978</v>
      </c>
      <c r="AC240" s="119">
        <f>IF(OR(t&lt;Tnet,NoTnet),'2027'!Resal_s+('2027'!Salim-'2027'!Resal_s)*(1-EXP(('2027'!Tnet_s-t)/'2027'!Tau_j)),Resal_s+(Salim-Resal_s)*(1-EXP((Tnet_s-t)/Tau_j)))*Salcycl</f>
        <v>7.8485550706504176E-2</v>
      </c>
      <c r="AD240" s="230">
        <f>(INDEX(Models!$BJ240:$BT240,,AH240)*(1-AF240)+INDEX(Models!$BJ240:$BT240,,AH240+1)*AF240-ERP_i)*AE240*Ramure*Pc/MaxiM</f>
        <v>1.0393662273678859E-2</v>
      </c>
      <c r="AE240" s="304">
        <f t="shared" si="92"/>
        <v>0.7</v>
      </c>
      <c r="AF240" s="177">
        <f t="shared" si="93"/>
        <v>0.70881535165785614</v>
      </c>
      <c r="AG240" s="799">
        <f t="shared" si="99"/>
        <v>2</v>
      </c>
      <c r="AH240" s="176">
        <f t="shared" si="94"/>
        <v>8</v>
      </c>
      <c r="AI240" s="224">
        <f t="shared" si="95"/>
        <v>2.7088153516578561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46979</v>
      </c>
      <c r="B241" s="409">
        <f>'2027'!Wh/'2027'!Env_an*'2028'!Env_an</f>
        <v>32.074682507889122</v>
      </c>
      <c r="C241" s="829"/>
      <c r="D241" s="391">
        <f t="shared" si="77"/>
        <v>34.302595303360597</v>
      </c>
      <c r="E241" s="383">
        <f t="shared" si="100"/>
        <v>36.008934405601345</v>
      </c>
      <c r="F241" s="383">
        <f t="shared" si="78"/>
        <v>36.038564846990383</v>
      </c>
      <c r="G241" s="110">
        <f t="shared" si="101"/>
        <v>0.65743389112932293</v>
      </c>
      <c r="H241" s="412" t="b">
        <f>Wh_hp&gt;='2027'!Maxi_hp</f>
        <v>0</v>
      </c>
      <c r="I241" s="388">
        <f>IF(H241,Wh_hp,'2027'!Maxi_hp)</f>
        <v>48.01365532613444</v>
      </c>
      <c r="J241" s="85">
        <f>IF(H241,An,'2027'!An_max)</f>
        <v>2020</v>
      </c>
      <c r="K241" s="197">
        <f t="shared" si="79"/>
        <v>46979</v>
      </c>
      <c r="L241" s="147">
        <f>IF(t&lt;Tvie,1-EXP((T0-t)*PertePVj)+'2027'!Pspv,1-EXP((T0-t)*PertePVj)+Pspv)</f>
        <v>6.494881147529985E-2</v>
      </c>
      <c r="M241" s="832"/>
      <c r="N241" s="832"/>
      <c r="O241" s="48">
        <f>IF(t&lt;Tnet,'2027'!Resal+('2027'!Salim-'2027'!Resal)*(1-EXP(('2027'!Tnet-t)/('2027'!Tau_j))),Resal+(Salim-Resal)*(1-EXP((Tnet-t)/(Tau_j))))*Salcycl</f>
        <v>4.7386548099999162E-2</v>
      </c>
      <c r="P241" s="169">
        <f>(INDEX(Models!$BJ241:$BT241,,T241)*(1-R241)+INDEX(Models!$BJ241:$BT241,,T241+1)*R241-ERP_i)*Q241*Ramure*Pc/MaxiM</f>
        <v>1.6078472927495999E-3</v>
      </c>
      <c r="Q241" s="304">
        <f t="shared" si="80"/>
        <v>0.7</v>
      </c>
      <c r="R241" s="177">
        <f t="shared" si="81"/>
        <v>0.95413622843693768</v>
      </c>
      <c r="S241" s="799">
        <f t="shared" si="82"/>
        <v>-1</v>
      </c>
      <c r="T241" s="176">
        <f t="shared" si="83"/>
        <v>5</v>
      </c>
      <c r="U241" s="250">
        <f t="shared" si="84"/>
        <v>-4.5863771563062261E-2</v>
      </c>
      <c r="V241" s="382">
        <f t="shared" si="85"/>
        <v>48.749330391308412</v>
      </c>
      <c r="W241" s="400">
        <f t="shared" si="86"/>
        <v>32.074682507889122</v>
      </c>
      <c r="X241" s="157">
        <f t="shared" si="87"/>
        <v>46979</v>
      </c>
      <c r="Y241" s="383">
        <f t="shared" si="88"/>
        <v>30.883184438747861</v>
      </c>
      <c r="Z241" s="383">
        <f t="shared" si="89"/>
        <v>33.028335579653728</v>
      </c>
      <c r="AA241" s="384">
        <f t="shared" si="90"/>
        <v>35.842276282768516</v>
      </c>
      <c r="AB241" s="197">
        <f t="shared" si="91"/>
        <v>46979</v>
      </c>
      <c r="AC241" s="119">
        <f>IF(OR(t&lt;Tnet,NoTnet),'2027'!Resal_s+('2027'!Salim-'2027'!Resal_s)*(1-EXP(('2027'!Tnet_s-t)/'2027'!Tau_j)),Resal_s+(Salim-Resal_s)*(1-EXP((Tnet_s-t)/Tau_j)))*Salcycl</f>
        <v>7.8508984220614766E-2</v>
      </c>
      <c r="AD241" s="230">
        <f>(INDEX(Models!$BJ241:$BT241,,AH241)*(1-AF241)+INDEX(Models!$BJ241:$BT241,,AH241+1)*AF241-ERP_i)*AE241*Ramure*Pc/MaxiM</f>
        <v>1.0651276922880848E-2</v>
      </c>
      <c r="AE241" s="304">
        <f t="shared" si="92"/>
        <v>0.7</v>
      </c>
      <c r="AF241" s="177">
        <f t="shared" si="93"/>
        <v>0.70979405927628836</v>
      </c>
      <c r="AG241" s="799">
        <f t="shared" si="99"/>
        <v>2</v>
      </c>
      <c r="AH241" s="176">
        <f t="shared" si="94"/>
        <v>8</v>
      </c>
      <c r="AI241" s="224">
        <f t="shared" si="95"/>
        <v>2.7097940592762884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46980</v>
      </c>
      <c r="B242" s="409">
        <f>'2027'!Wh/'2027'!Env_an*'2028'!Env_an</f>
        <v>36.877836148785995</v>
      </c>
      <c r="C242" s="829"/>
      <c r="D242" s="391">
        <f t="shared" si="77"/>
        <v>39.440132658227711</v>
      </c>
      <c r="E242" s="383">
        <f t="shared" si="100"/>
        <v>41.404691875697822</v>
      </c>
      <c r="F242" s="383">
        <f t="shared" si="78"/>
        <v>41.449198478413606</v>
      </c>
      <c r="G242" s="110">
        <f t="shared" si="101"/>
        <v>0.75812259133418591</v>
      </c>
      <c r="H242" s="412" t="b">
        <f>Wh_hp&gt;='2027'!Maxi_hp</f>
        <v>0</v>
      </c>
      <c r="I242" s="388">
        <f>IF(H242,Wh_hp,'2027'!Maxi_hp)</f>
        <v>56.53449474291795</v>
      </c>
      <c r="J242" s="85">
        <f>IF(H242,An,'2027'!An_max)</f>
        <v>2018</v>
      </c>
      <c r="K242" s="197">
        <f t="shared" si="79"/>
        <v>46980</v>
      </c>
      <c r="L242" s="147">
        <f>IF(t&lt;Tvie,1-EXP((T0-t)*PertePVj)+'2027'!Pspv,1-EXP((T0-t)*PertePVj)+Pspv)</f>
        <v>6.4966731518008469E-2</v>
      </c>
      <c r="M242" s="832"/>
      <c r="N242" s="832"/>
      <c r="O242" s="48">
        <f>IF(t&lt;Tnet,'2027'!Resal+('2027'!Salim-'2027'!Resal)*(1-EXP(('2027'!Tnet-t)/('2027'!Tau_j))),Resal+(Salim-Resal)*(1-EXP((Tnet-t)/(Tau_j))))*Salcycl</f>
        <v>4.7447743926412288E-2</v>
      </c>
      <c r="P242" s="169">
        <f>(INDEX(Models!$BJ242:$BT242,,T242)*(1-R242)+INDEX(Models!$BJ242:$BT242,,T242+1)*R242-ERP_i)*Q242*Ramure*Pc/MaxiM</f>
        <v>1.6391467113348634E-3</v>
      </c>
      <c r="Q242" s="304">
        <f t="shared" si="80"/>
        <v>0.7</v>
      </c>
      <c r="R242" s="177">
        <f t="shared" si="81"/>
        <v>0.95508034973935274</v>
      </c>
      <c r="S242" s="799">
        <f t="shared" si="82"/>
        <v>-1</v>
      </c>
      <c r="T242" s="176">
        <f t="shared" si="83"/>
        <v>5</v>
      </c>
      <c r="U242" s="250">
        <f t="shared" si="84"/>
        <v>-4.4919650260647259E-2</v>
      </c>
      <c r="V242" s="382">
        <f t="shared" si="85"/>
        <v>48.616099847823882</v>
      </c>
      <c r="W242" s="400">
        <f t="shared" si="86"/>
        <v>36.877836148785995</v>
      </c>
      <c r="X242" s="157">
        <f t="shared" si="87"/>
        <v>46980</v>
      </c>
      <c r="Y242" s="383">
        <f t="shared" si="88"/>
        <v>35.457135826630612</v>
      </c>
      <c r="Z242" s="383">
        <f t="shared" si="89"/>
        <v>37.920721135617548</v>
      </c>
      <c r="AA242" s="384">
        <f t="shared" si="90"/>
        <v>41.152518273835035</v>
      </c>
      <c r="AB242" s="197">
        <f t="shared" si="91"/>
        <v>46980</v>
      </c>
      <c r="AC242" s="119">
        <f>IF(OR(t&lt;Tnet,NoTnet),'2027'!Resal_s+('2027'!Salim-'2027'!Resal_s)*(1-EXP(('2027'!Tnet_s-t)/'2027'!Tau_j)),Resal_s+(Salim-Resal_s)*(1-EXP((Tnet_s-t)/Tau_j)))*Salcycl</f>
        <v>7.8532184026081295E-2</v>
      </c>
      <c r="AD242" s="230">
        <f>(INDEX(Models!$BJ242:$BT242,,AH242)*(1-AF242)+INDEX(Models!$BJ242:$BT242,,AH242+1)*AF242-ERP_i)*AE242*Ramure*Pc/MaxiM</f>
        <v>1.0926522178262133E-2</v>
      </c>
      <c r="AE242" s="304">
        <f t="shared" si="92"/>
        <v>0.7</v>
      </c>
      <c r="AF242" s="177">
        <f t="shared" si="93"/>
        <v>0.71073818057870364</v>
      </c>
      <c r="AG242" s="799">
        <f t="shared" si="99"/>
        <v>2</v>
      </c>
      <c r="AH242" s="176">
        <f t="shared" si="94"/>
        <v>8</v>
      </c>
      <c r="AI242" s="224">
        <f t="shared" si="95"/>
        <v>2.7107381805787036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46981</v>
      </c>
      <c r="B243" s="409">
        <f>'2027'!Wh/'2027'!Env_an*'2028'!Env_an</f>
        <v>23.037856184571783</v>
      </c>
      <c r="C243" s="829"/>
      <c r="D243" s="391">
        <f t="shared" si="77"/>
        <v>24.639013909840568</v>
      </c>
      <c r="E243" s="383">
        <f t="shared" si="100"/>
        <v>25.867968347632434</v>
      </c>
      <c r="F243" s="383">
        <f t="shared" si="78"/>
        <v>25.878765348994222</v>
      </c>
      <c r="G243" s="110">
        <f t="shared" si="101"/>
        <v>0.47459858204574668</v>
      </c>
      <c r="H243" s="412" t="b">
        <f>Wh_hp&gt;='2027'!Maxi_hp</f>
        <v>0</v>
      </c>
      <c r="I243" s="388">
        <f>IF(H243,Wh_hp,'2027'!Maxi_hp)</f>
        <v>53.858600637454124</v>
      </c>
      <c r="J243" s="85">
        <f>IF(H243,An,'2027'!An_max)</f>
        <v>2018</v>
      </c>
      <c r="K243" s="197">
        <f t="shared" si="79"/>
        <v>46981</v>
      </c>
      <c r="L243" s="147">
        <f>IF(t&lt;Tvie,1-EXP((T0-t)*PertePVj)+'2027'!Pspv,1-EXP((T0-t)*PertePVj)+Pspv)</f>
        <v>6.4984651217283473E-2</v>
      </c>
      <c r="M243" s="832"/>
      <c r="N243" s="832"/>
      <c r="O243" s="48">
        <f>IF(t&lt;Tnet,'2027'!Resal+('2027'!Salim-'2027'!Resal)*(1-EXP(('2027'!Tnet-t)/('2027'!Tau_j))),Resal+(Salim-Resal)*(1-EXP((Tnet-t)/(Tau_j))))*Salcycl</f>
        <v>4.7508734403733925E-2</v>
      </c>
      <c r="P243" s="169">
        <f>(INDEX(Models!$BJ243:$BT243,,T243)*(1-R243)+INDEX(Models!$BJ243:$BT243,,T243+1)*R243-ERP_i)*Q243*Ramure*Pc/MaxiM</f>
        <v>1.6670228929757417E-3</v>
      </c>
      <c r="Q243" s="304">
        <f t="shared" si="80"/>
        <v>0.7</v>
      </c>
      <c r="R243" s="177">
        <f t="shared" si="81"/>
        <v>0.95599093056723494</v>
      </c>
      <c r="S243" s="799">
        <f t="shared" si="82"/>
        <v>-1</v>
      </c>
      <c r="T243" s="176">
        <f t="shared" si="83"/>
        <v>5</v>
      </c>
      <c r="U243" s="250">
        <f t="shared" si="84"/>
        <v>-4.4009069432765113E-2</v>
      </c>
      <c r="V243" s="382">
        <f t="shared" si="85"/>
        <v>48.481078822831371</v>
      </c>
      <c r="W243" s="400">
        <f t="shared" si="86"/>
        <v>23.037856184571783</v>
      </c>
      <c r="X243" s="157">
        <f t="shared" si="87"/>
        <v>46981</v>
      </c>
      <c r="Y243" s="383">
        <f t="shared" si="88"/>
        <v>22.233632921808788</v>
      </c>
      <c r="Z243" s="383">
        <f t="shared" si="89"/>
        <v>23.778896197537769</v>
      </c>
      <c r="AA243" s="384">
        <f t="shared" si="90"/>
        <v>25.806097914375432</v>
      </c>
      <c r="AB243" s="197">
        <f t="shared" si="91"/>
        <v>46981</v>
      </c>
      <c r="AC243" s="119">
        <f>IF(OR(t&lt;Tnet,NoTnet),'2027'!Resal_s+('2027'!Salim-'2027'!Resal_s)*(1-EXP(('2027'!Tnet_s-t)/'2027'!Tau_j)),Resal_s+(Salim-Resal_s)*(1-EXP((Tnet_s-t)/Tau_j)))*Salcycl</f>
        <v>7.8555143189951215E-2</v>
      </c>
      <c r="AD243" s="230">
        <f>(INDEX(Models!$BJ243:$BT243,,AH243)*(1-AF243)+INDEX(Models!$BJ243:$BT243,,AH243+1)*AF243-ERP_i)*AE243*Ramure*Pc/MaxiM</f>
        <v>1.12196222843935E-2</v>
      </c>
      <c r="AE243" s="304">
        <f t="shared" si="92"/>
        <v>0.7</v>
      </c>
      <c r="AF243" s="177">
        <f t="shared" si="93"/>
        <v>0.71164876140658562</v>
      </c>
      <c r="AG243" s="799">
        <f t="shared" si="99"/>
        <v>2</v>
      </c>
      <c r="AH243" s="176">
        <f t="shared" si="94"/>
        <v>8</v>
      </c>
      <c r="AI243" s="224">
        <f t="shared" si="95"/>
        <v>2.7116487614065856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46982</v>
      </c>
      <c r="B244" s="409">
        <f>'2027'!Wh/'2027'!Env_an*'2028'!Env_an</f>
        <v>30.876562741519695</v>
      </c>
      <c r="C244" s="829"/>
      <c r="D244" s="391">
        <f t="shared" si="77"/>
        <v>33.023152545399306</v>
      </c>
      <c r="E244" s="383">
        <f t="shared" si="100"/>
        <v>34.672506868099354</v>
      </c>
      <c r="F244" s="383">
        <f t="shared" si="78"/>
        <v>34.700905564000941</v>
      </c>
      <c r="G244" s="110">
        <f t="shared" si="101"/>
        <v>0.63812670308672104</v>
      </c>
      <c r="H244" s="412" t="b">
        <f>Wh_hp&gt;='2027'!Maxi_hp</f>
        <v>0</v>
      </c>
      <c r="I244" s="388">
        <f>IF(H244,Wh_hp,'2027'!Maxi_hp)</f>
        <v>45.332057361760235</v>
      </c>
      <c r="J244" s="85">
        <f>IF(H244,An,'2027'!An_max)</f>
        <v>2021</v>
      </c>
      <c r="K244" s="197">
        <f t="shared" si="79"/>
        <v>46982</v>
      </c>
      <c r="L244" s="147">
        <f>IF(t&lt;Tvie,1-EXP((T0-t)*PertePVj)+'2027'!Pspv,1-EXP((T0-t)*PertePVj)+Pspv)</f>
        <v>6.5002570573131635E-2</v>
      </c>
      <c r="M244" s="832"/>
      <c r="N244" s="832"/>
      <c r="O244" s="48">
        <f>IF(t&lt;Tnet,'2027'!Resal+('2027'!Salim-'2027'!Resal)*(1-EXP(('2027'!Tnet-t)/('2027'!Tau_j))),Resal+(Salim-Resal)*(1-EXP((Tnet-t)/(Tau_j))))*Salcycl</f>
        <v>4.7569514629400629E-2</v>
      </c>
      <c r="P244" s="169">
        <f>(INDEX(Models!$BJ244:$BT244,,T244)*(1-R244)+INDEX(Models!$BJ244:$BT244,,T244+1)*R244-ERP_i)*Q244*Ramure*Pc/MaxiM</f>
        <v>1.6914530773284051E-3</v>
      </c>
      <c r="Q244" s="304">
        <f t="shared" si="80"/>
        <v>0.7</v>
      </c>
      <c r="R244" s="177">
        <f t="shared" si="81"/>
        <v>0.95686899841108575</v>
      </c>
      <c r="S244" s="799">
        <f t="shared" si="82"/>
        <v>-1</v>
      </c>
      <c r="T244" s="176">
        <f t="shared" si="83"/>
        <v>5</v>
      </c>
      <c r="U244" s="250">
        <f t="shared" si="84"/>
        <v>-4.3131001588914253E-2</v>
      </c>
      <c r="V244" s="382">
        <f t="shared" si="85"/>
        <v>48.343978033350425</v>
      </c>
      <c r="W244" s="400">
        <f t="shared" si="86"/>
        <v>30.876562741519695</v>
      </c>
      <c r="X244" s="157">
        <f t="shared" si="87"/>
        <v>46982</v>
      </c>
      <c r="Y244" s="383">
        <f t="shared" si="88"/>
        <v>29.728989782672691</v>
      </c>
      <c r="Z244" s="383">
        <f t="shared" si="89"/>
        <v>31.795798412938812</v>
      </c>
      <c r="AA244" s="384">
        <f t="shared" si="90"/>
        <v>34.507308679997763</v>
      </c>
      <c r="AB244" s="197">
        <f t="shared" si="91"/>
        <v>46982</v>
      </c>
      <c r="AC244" s="119">
        <f>IF(OR(t&lt;Tnet,NoTnet),'2027'!Resal_s+('2027'!Salim-'2027'!Resal_s)*(1-EXP(('2027'!Tnet_s-t)/'2027'!Tau_j)),Resal_s+(Salim-Resal_s)*(1-EXP((Tnet_s-t)/Tau_j)))*Salcycl</f>
        <v>7.8577854106329822E-2</v>
      </c>
      <c r="AD244" s="230">
        <f>(INDEX(Models!$BJ244:$BT244,,AH244)*(1-AF244)+INDEX(Models!$BJ244:$BT244,,AH244+1)*AF244-ERP_i)*AE244*Ramure*Pc/MaxiM</f>
        <v>1.1530812764894871E-2</v>
      </c>
      <c r="AE244" s="304">
        <f t="shared" si="92"/>
        <v>0.7</v>
      </c>
      <c r="AF244" s="177">
        <f t="shared" si="93"/>
        <v>0.71252682925043631</v>
      </c>
      <c r="AG244" s="799">
        <f t="shared" si="99"/>
        <v>2</v>
      </c>
      <c r="AH244" s="176">
        <f t="shared" si="94"/>
        <v>8</v>
      </c>
      <c r="AI244" s="224">
        <f t="shared" si="95"/>
        <v>2.7125268292504363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46983</v>
      </c>
      <c r="B245" s="409">
        <f>'2027'!Wh/'2027'!Env_an*'2028'!Env_an</f>
        <v>32.248008564979074</v>
      </c>
      <c r="C245" s="829"/>
      <c r="D245" s="391">
        <f t="shared" si="77"/>
        <v>34.490604559542454</v>
      </c>
      <c r="E245" s="383">
        <f t="shared" si="100"/>
        <v>36.215554282416107</v>
      </c>
      <c r="F245" s="383">
        <f t="shared" si="78"/>
        <v>36.248273647017832</v>
      </c>
      <c r="G245" s="110">
        <f t="shared" si="101"/>
        <v>0.6684410381160053</v>
      </c>
      <c r="H245" s="412" t="b">
        <f>Wh_hp&gt;='2027'!Maxi_hp</f>
        <v>0</v>
      </c>
      <c r="I245" s="388">
        <f>IF(H245,Wh_hp,'2027'!Maxi_hp)</f>
        <v>41.817185675969036</v>
      </c>
      <c r="J245" s="85">
        <f>IF(H245,An,'2027'!An_max)</f>
        <v>2021</v>
      </c>
      <c r="K245" s="197">
        <f t="shared" si="79"/>
        <v>46983</v>
      </c>
      <c r="L245" s="147">
        <f>IF(t&lt;Tvie,1-EXP((T0-t)*PertePVj)+'2027'!Pspv,1-EXP((T0-t)*PertePVj)+Pspv)</f>
        <v>6.5020489585559393E-2</v>
      </c>
      <c r="M245" s="832"/>
      <c r="N245" s="832"/>
      <c r="O245" s="48">
        <f>IF(t&lt;Tnet,'2027'!Resal+('2027'!Salim-'2027'!Resal)*(1-EXP(('2027'!Tnet-t)/('2027'!Tau_j))),Resal+(Salim-Resal)*(1-EXP((Tnet-t)/(Tau_j))))*Salcycl</f>
        <v>4.7630079314047065E-2</v>
      </c>
      <c r="P245" s="169">
        <f>(INDEX(Models!$BJ245:$BT245,,T245)*(1-R245)+INDEX(Models!$BJ245:$BT245,,T245+1)*R245-ERP_i)*Q245*Ramure*Pc/MaxiM</f>
        <v>1.7124146031691854E-3</v>
      </c>
      <c r="Q245" s="304">
        <f t="shared" si="80"/>
        <v>0.7</v>
      </c>
      <c r="R245" s="177">
        <f t="shared" si="81"/>
        <v>0.9577155616506372</v>
      </c>
      <c r="S245" s="799">
        <f t="shared" si="82"/>
        <v>-1</v>
      </c>
      <c r="T245" s="176">
        <f t="shared" si="83"/>
        <v>5</v>
      </c>
      <c r="U245" s="250">
        <f t="shared" si="84"/>
        <v>-4.2284438349362796E-2</v>
      </c>
      <c r="V245" s="382">
        <f t="shared" si="85"/>
        <v>48.204508273855488</v>
      </c>
      <c r="W245" s="400">
        <f t="shared" si="86"/>
        <v>32.248008564979074</v>
      </c>
      <c r="X245" s="157">
        <f t="shared" si="87"/>
        <v>46983</v>
      </c>
      <c r="Y245" s="383">
        <f t="shared" si="88"/>
        <v>31.032290653770875</v>
      </c>
      <c r="Z245" s="383">
        <f t="shared" si="89"/>
        <v>33.190343005501212</v>
      </c>
      <c r="AA245" s="384">
        <f t="shared" si="90"/>
        <v>36.02165630595767</v>
      </c>
      <c r="AB245" s="197">
        <f t="shared" si="91"/>
        <v>46983</v>
      </c>
      <c r="AC245" s="119">
        <f>IF(OR(t&lt;Tnet,NoTnet),'2027'!Resal_s+('2027'!Salim-'2027'!Resal_s)*(1-EXP(('2027'!Tnet_s-t)/'2027'!Tau_j)),Resal_s+(Salim-Resal_s)*(1-EXP((Tnet_s-t)/Tau_j)))*Salcycl</f>
        <v>7.8600308559053797E-2</v>
      </c>
      <c r="AD245" s="230">
        <f>(INDEX(Models!$BJ245:$BT245,,AH245)*(1-AF245)+INDEX(Models!$BJ245:$BT245,,AH245+1)*AF245-ERP_i)*AE245*Ramure*Pc/MaxiM</f>
        <v>1.1860341693259458E-2</v>
      </c>
      <c r="AE245" s="304">
        <f t="shared" si="92"/>
        <v>0.7</v>
      </c>
      <c r="AF245" s="177">
        <f t="shared" si="93"/>
        <v>0.71337339248998788</v>
      </c>
      <c r="AG245" s="799">
        <f t="shared" si="99"/>
        <v>2</v>
      </c>
      <c r="AH245" s="176">
        <f t="shared" si="94"/>
        <v>8</v>
      </c>
      <c r="AI245" s="224">
        <f t="shared" si="95"/>
        <v>2.7133733924899879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46984</v>
      </c>
      <c r="B246" s="409">
        <f>'2027'!Wh/'2027'!Env_an*'2028'!Env_an</f>
        <v>47.077944757007671</v>
      </c>
      <c r="C246" s="829"/>
      <c r="D246" s="391">
        <f t="shared" si="77"/>
        <v>50.352811465891918</v>
      </c>
      <c r="E246" s="383">
        <f t="shared" si="100"/>
        <v>52.874414656888597</v>
      </c>
      <c r="F246" s="383">
        <f t="shared" si="78"/>
        <v>52.963354276601947</v>
      </c>
      <c r="G246" s="110">
        <f t="shared" si="101"/>
        <v>0.97946787852966755</v>
      </c>
      <c r="H246" s="412" t="b">
        <f>Wh_hp&gt;='2027'!Maxi_hp</f>
        <v>0</v>
      </c>
      <c r="I246" s="388">
        <f>IF(H246,Wh_hp,'2027'!Maxi_hp)</f>
        <v>52.965324239561944</v>
      </c>
      <c r="J246" s="85">
        <f>IF(H246,An,'2027'!An_max)</f>
        <v>2026</v>
      </c>
      <c r="K246" s="197">
        <f t="shared" si="79"/>
        <v>46984</v>
      </c>
      <c r="L246" s="147">
        <f>IF(t&lt;Tvie,1-EXP((T0-t)*PertePVj)+'2027'!Pspv,1-EXP((T0-t)*PertePVj)+Pspv)</f>
        <v>6.503840825457341E-2</v>
      </c>
      <c r="M246" s="832"/>
      <c r="N246" s="832"/>
      <c r="O246" s="48">
        <f>IF(t&lt;Tnet,'2027'!Resal+('2027'!Salim-'2027'!Resal)*(1-EXP(('2027'!Tnet-t)/('2027'!Tau_j))),Resal+(Salim-Resal)*(1-EXP((Tnet-t)/(Tau_j))))*Salcycl</f>
        <v>4.7690422813373955E-2</v>
      </c>
      <c r="P246" s="169">
        <f>(INDEX(Models!$BJ246:$BT246,,T246)*(1-R246)+INDEX(Models!$BJ246:$BT246,,T246+1)*R246-ERP_i)*Q246*Ramure*Pc/MaxiM</f>
        <v>1.729884681750679E-3</v>
      </c>
      <c r="Q246" s="304">
        <f t="shared" si="80"/>
        <v>0.7</v>
      </c>
      <c r="R246" s="177">
        <f t="shared" si="81"/>
        <v>0.95853160890606537</v>
      </c>
      <c r="S246" s="799">
        <f t="shared" si="82"/>
        <v>-1</v>
      </c>
      <c r="T246" s="176">
        <f t="shared" si="83"/>
        <v>5</v>
      </c>
      <c r="U246" s="250">
        <f t="shared" si="84"/>
        <v>-4.1468391093934576E-2</v>
      </c>
      <c r="V246" s="382">
        <f t="shared" si="85"/>
        <v>48.062380410883364</v>
      </c>
      <c r="W246" s="400">
        <f t="shared" si="86"/>
        <v>47.077944757007671</v>
      </c>
      <c r="X246" s="157">
        <f t="shared" si="87"/>
        <v>46984</v>
      </c>
      <c r="Y246" s="383">
        <f t="shared" si="88"/>
        <v>45.084700055730252</v>
      </c>
      <c r="Z246" s="383">
        <f t="shared" si="89"/>
        <v>48.220911376224763</v>
      </c>
      <c r="AA246" s="384">
        <f t="shared" si="90"/>
        <v>52.335672685612252</v>
      </c>
      <c r="AB246" s="197">
        <f t="shared" si="91"/>
        <v>46984</v>
      </c>
      <c r="AC246" s="119">
        <f>IF(OR(t&lt;Tnet,NoTnet),'2027'!Resal_s+('2027'!Salim-'2027'!Resal_s)*(1-EXP(('2027'!Tnet_s-t)/'2027'!Tau_j)),Resal_s+(Salim-Resal_s)*(1-EXP((Tnet_s-t)/Tau_j)))*Salcycl</f>
        <v>7.8622497777098233E-2</v>
      </c>
      <c r="AD246" s="230">
        <f>(INDEX(Models!$BJ246:$BT246,,AH246)*(1-AF246)+INDEX(Models!$BJ246:$BT246,,AH246+1)*AF246-ERP_i)*AE246*Ramure*Pc/MaxiM</f>
        <v>1.2208471014038031E-2</v>
      </c>
      <c r="AE246" s="304">
        <f t="shared" si="92"/>
        <v>0.7</v>
      </c>
      <c r="AF246" s="177">
        <f t="shared" si="93"/>
        <v>0.71418943974541627</v>
      </c>
      <c r="AG246" s="799">
        <f t="shared" si="99"/>
        <v>2</v>
      </c>
      <c r="AH246" s="176">
        <f t="shared" si="94"/>
        <v>8</v>
      </c>
      <c r="AI246" s="224">
        <f t="shared" si="95"/>
        <v>2.7141894397454163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46985</v>
      </c>
      <c r="B247" s="409">
        <f>'2027'!Wh/'2027'!Env_an*'2028'!Env_an</f>
        <v>37.292840382910754</v>
      </c>
      <c r="C247" s="829"/>
      <c r="D247" s="391">
        <f t="shared" si="77"/>
        <v>39.887793717563419</v>
      </c>
      <c r="E247" s="383">
        <f t="shared" si="100"/>
        <v>41.887966712198903</v>
      </c>
      <c r="F247" s="383">
        <f t="shared" si="78"/>
        <v>41.937931158425833</v>
      </c>
      <c r="G247" s="110">
        <f t="shared" si="101"/>
        <v>0.77782257038688818</v>
      </c>
      <c r="H247" s="412" t="b">
        <f>Wh_hp&gt;='2027'!Maxi_hp</f>
        <v>0</v>
      </c>
      <c r="I247" s="388">
        <f>IF(H247,Wh_hp,'2027'!Maxi_hp)</f>
        <v>53.982802943625828</v>
      </c>
      <c r="J247" s="85">
        <f>IF(H247,An,'2027'!An_max)</f>
        <v>2020</v>
      </c>
      <c r="K247" s="197">
        <f t="shared" si="79"/>
        <v>46985</v>
      </c>
      <c r="L247" s="147">
        <f>IF(t&lt;Tvie,1-EXP((T0-t)*PertePVj)+'2027'!Pspv,1-EXP((T0-t)*PertePVj)+Pspv)</f>
        <v>6.5056326580180235E-2</v>
      </c>
      <c r="M247" s="832"/>
      <c r="N247" s="832"/>
      <c r="O247" s="48">
        <f>IF(t&lt;Tnet,'2027'!Resal+('2027'!Salim-'2027'!Resal)*(1-EXP(('2027'!Tnet-t)/('2027'!Tau_j))),Resal+(Salim-Resal)*(1-EXP((Tnet-t)/(Tau_j))))*Salcycl</f>
        <v>4.7750539155508344E-2</v>
      </c>
      <c r="P247" s="169">
        <f>(INDEX(Models!$BJ247:$BT247,,T247)*(1-R247)+INDEX(Models!$BJ247:$BT247,,T247+1)*R247-ERP_i)*Q247*Ramure*Pc/MaxiM</f>
        <v>1.7437909581790826E-3</v>
      </c>
      <c r="Q247" s="304">
        <f t="shared" si="80"/>
        <v>0.7</v>
      </c>
      <c r="R247" s="177">
        <f t="shared" si="81"/>
        <v>0.95931810849299681</v>
      </c>
      <c r="S247" s="799">
        <f t="shared" si="82"/>
        <v>-1</v>
      </c>
      <c r="T247" s="176">
        <f t="shared" si="83"/>
        <v>5</v>
      </c>
      <c r="U247" s="250">
        <f t="shared" si="84"/>
        <v>-4.0681891507003187E-2</v>
      </c>
      <c r="V247" s="382">
        <f t="shared" si="85"/>
        <v>47.918659912144477</v>
      </c>
      <c r="W247" s="400">
        <f t="shared" si="86"/>
        <v>37.292840382910754</v>
      </c>
      <c r="X247" s="157">
        <f t="shared" si="87"/>
        <v>46985</v>
      </c>
      <c r="Y247" s="383">
        <f t="shared" si="88"/>
        <v>35.815608694601025</v>
      </c>
      <c r="Z247" s="383">
        <f t="shared" si="89"/>
        <v>38.307771593977797</v>
      </c>
      <c r="AA247" s="384">
        <f t="shared" si="90"/>
        <v>41.577619013721403</v>
      </c>
      <c r="AB247" s="197">
        <f t="shared" si="91"/>
        <v>46985</v>
      </c>
      <c r="AC247" s="119">
        <f>IF(OR(t&lt;Tnet,NoTnet),'2027'!Resal_s+('2027'!Salim-'2027'!Resal_s)*(1-EXP(('2027'!Tnet_s-t)/'2027'!Tau_j)),Resal_s+(Salim-Resal_s)*(1-EXP((Tnet_s-t)/Tau_j)))*Salcycl</f>
        <v>7.8644412482217721E-2</v>
      </c>
      <c r="AD247" s="230">
        <f>(INDEX(Models!$BJ247:$BT247,,AH247)*(1-AF247)+INDEX(Models!$BJ247:$BT247,,AH247+1)*AF247-ERP_i)*AE247*Ramure*Pc/MaxiM</f>
        <v>1.2575123062588492E-2</v>
      </c>
      <c r="AE247" s="304">
        <f t="shared" si="92"/>
        <v>0.7</v>
      </c>
      <c r="AF247" s="177">
        <f t="shared" si="93"/>
        <v>0.71497593933234738</v>
      </c>
      <c r="AG247" s="799">
        <f t="shared" si="99"/>
        <v>2</v>
      </c>
      <c r="AH247" s="176">
        <f t="shared" si="94"/>
        <v>8</v>
      </c>
      <c r="AI247" s="224">
        <f t="shared" si="95"/>
        <v>2.7149759393323474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46986</v>
      </c>
      <c r="B248" s="409">
        <f>'2027'!Wh/'2027'!Env_an*'2028'!Env_an</f>
        <v>26.191857389673693</v>
      </c>
      <c r="C248" s="829"/>
      <c r="D248" s="391">
        <f t="shared" si="77"/>
        <v>28.014906250404866</v>
      </c>
      <c r="E248" s="383">
        <f t="shared" si="100"/>
        <v>29.42156362509159</v>
      </c>
      <c r="F248" s="383">
        <f t="shared" si="78"/>
        <v>29.439925038407207</v>
      </c>
      <c r="G248" s="110">
        <f t="shared" si="101"/>
        <v>0.54762018944388846</v>
      </c>
      <c r="H248" s="412" t="b">
        <f>Wh_hp&gt;='2027'!Maxi_hp</f>
        <v>0</v>
      </c>
      <c r="I248" s="388">
        <f>IF(H248,Wh_hp,'2027'!Maxi_hp)</f>
        <v>55.500972969341134</v>
      </c>
      <c r="J248" s="85">
        <f>IF(H248,An,'2027'!An_max)</f>
        <v>2018</v>
      </c>
      <c r="K248" s="197">
        <f t="shared" si="79"/>
        <v>46986</v>
      </c>
      <c r="L248" s="147">
        <f>IF(t&lt;Tvie,1-EXP((T0-t)*PertePVj)+'2027'!Pspv,1-EXP((T0-t)*PertePVj)+Pspv)</f>
        <v>6.5074244562386419E-2</v>
      </c>
      <c r="M248" s="832"/>
      <c r="N248" s="832"/>
      <c r="O248" s="48">
        <f>IF(t&lt;Tnet,'2027'!Resal+('2027'!Salim-'2027'!Resal)*(1-EXP(('2027'!Tnet-t)/('2027'!Tau_j))),Resal+(Salim-Resal)*(1-EXP((Tnet-t)/(Tau_j))))*Salcycl</f>
        <v>4.7810422063601074E-2</v>
      </c>
      <c r="P248" s="169">
        <f>(INDEX(Models!$BJ248:$BT248,,T248)*(1-R248)+INDEX(Models!$BJ248:$BT248,,T248+1)*R248-ERP_i)*Q248*Ramure*Pc/MaxiM</f>
        <v>1.7586957844958303E-3</v>
      </c>
      <c r="Q248" s="304">
        <f t="shared" si="80"/>
        <v>0.7</v>
      </c>
      <c r="R248" s="177">
        <f t="shared" si="81"/>
        <v>0.9600760079742916</v>
      </c>
      <c r="S248" s="799">
        <f t="shared" si="82"/>
        <v>-1</v>
      </c>
      <c r="T248" s="176">
        <f t="shared" si="83"/>
        <v>5</v>
      </c>
      <c r="U248" s="250">
        <f t="shared" si="84"/>
        <v>-3.9923992025708455E-2</v>
      </c>
      <c r="V248" s="382">
        <f t="shared" si="85"/>
        <v>47.774189950086772</v>
      </c>
      <c r="W248" s="400">
        <f t="shared" si="86"/>
        <v>26.191857389673693</v>
      </c>
      <c r="X248" s="157">
        <f t="shared" si="87"/>
        <v>46986</v>
      </c>
      <c r="Y248" s="383">
        <f t="shared" si="88"/>
        <v>25.242455930526518</v>
      </c>
      <c r="Z248" s="383">
        <f t="shared" si="89"/>
        <v>26.999422984888465</v>
      </c>
      <c r="AA248" s="384">
        <f t="shared" si="90"/>
        <v>29.304708436782292</v>
      </c>
      <c r="AB248" s="197">
        <f t="shared" si="91"/>
        <v>46986</v>
      </c>
      <c r="AC248" s="119">
        <f>IF(OR(t&lt;Tnet,NoTnet),'2027'!Resal_s+('2027'!Salim-'2027'!Resal_s)*(1-EXP(('2027'!Tnet_s-t)/'2027'!Tau_j)),Resal_s+(Salim-Resal_s)*(1-EXP((Tnet_s-t)/Tau_j)))*Salcycl</f>
        <v>7.8666042928456761E-2</v>
      </c>
      <c r="AD248" s="230">
        <f>(INDEX(Models!$BJ248:$BT248,,AH248)*(1-AF248)+INDEX(Models!$BJ248:$BT248,,AH248+1)*AF248-ERP_i)*AE248*Ramure*Pc/MaxiM</f>
        <v>1.295133785095489E-2</v>
      </c>
      <c r="AE248" s="304">
        <f t="shared" si="92"/>
        <v>0.7</v>
      </c>
      <c r="AF248" s="177">
        <f t="shared" si="93"/>
        <v>0.71573383881364228</v>
      </c>
      <c r="AG248" s="799">
        <f t="shared" si="99"/>
        <v>2</v>
      </c>
      <c r="AH248" s="176">
        <f t="shared" si="94"/>
        <v>8</v>
      </c>
      <c r="AI248" s="224">
        <f t="shared" si="95"/>
        <v>2.7157338388136423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46987</v>
      </c>
      <c r="B249" s="409">
        <f>'2027'!Wh/'2027'!Env_an*'2028'!Env_an</f>
        <v>40.756576825909768</v>
      </c>
      <c r="C249" s="829"/>
      <c r="D249" s="391">
        <f t="shared" si="77"/>
        <v>43.59421878617394</v>
      </c>
      <c r="E249" s="383">
        <f t="shared" si="100"/>
        <v>45.785997459432949</v>
      </c>
      <c r="F249" s="383">
        <f t="shared" si="78"/>
        <v>45.85078716504222</v>
      </c>
      <c r="G249" s="110">
        <f t="shared" si="101"/>
        <v>0.8554051726452826</v>
      </c>
      <c r="H249" s="412" t="b">
        <f>Wh_hp&gt;='2027'!Maxi_hp</f>
        <v>0</v>
      </c>
      <c r="I249" s="388">
        <f>IF(H249,Wh_hp,'2027'!Maxi_hp)</f>
        <v>53.062243382697936</v>
      </c>
      <c r="J249" s="85">
        <f>IF(H249,An,'2027'!An_max)</f>
        <v>2018</v>
      </c>
      <c r="K249" s="197">
        <f t="shared" si="79"/>
        <v>46987</v>
      </c>
      <c r="L249" s="147">
        <f>IF(t&lt;Tvie,1-EXP((T0-t)*PertePVj)+'2027'!Pspv,1-EXP((T0-t)*PertePVj)+Pspv)</f>
        <v>6.5092162201198511E-2</v>
      </c>
      <c r="M249" s="832"/>
      <c r="N249" s="832"/>
      <c r="O249" s="48">
        <f>IF(t&lt;Tnet,'2027'!Resal+('2027'!Salim-'2027'!Resal)*(1-EXP(('2027'!Tnet-t)/('2027'!Tau_j))),Resal+(Salim-Resal)*(1-EXP((Tnet-t)/(Tau_j))))*Salcycl</f>
        <v>4.7870064973487871E-2</v>
      </c>
      <c r="P249" s="169">
        <f>(INDEX(Models!$BJ249:$BT249,,T249)*(1-R249)+INDEX(Models!$BJ249:$BT249,,T249+1)*R249-ERP_i)*Q249*Ramure*Pc/MaxiM</f>
        <v>1.7799244639983007E-3</v>
      </c>
      <c r="Q249" s="304">
        <f t="shared" si="80"/>
        <v>0.7</v>
      </c>
      <c r="R249" s="177">
        <f t="shared" si="81"/>
        <v>0.96080623380180064</v>
      </c>
      <c r="S249" s="799">
        <f t="shared" si="82"/>
        <v>-1</v>
      </c>
      <c r="T249" s="176">
        <f t="shared" si="83"/>
        <v>5</v>
      </c>
      <c r="U249" s="250">
        <f t="shared" si="84"/>
        <v>-3.919376619819942E-2</v>
      </c>
      <c r="V249" s="382">
        <f t="shared" si="85"/>
        <v>47.628427610766302</v>
      </c>
      <c r="W249" s="400">
        <f t="shared" si="86"/>
        <v>40.756576825909768</v>
      </c>
      <c r="X249" s="157">
        <f t="shared" si="87"/>
        <v>46987</v>
      </c>
      <c r="Y249" s="383">
        <f t="shared" si="88"/>
        <v>39.075316004164009</v>
      </c>
      <c r="Z249" s="383">
        <f t="shared" si="89"/>
        <v>41.795901611184568</v>
      </c>
      <c r="AA249" s="384">
        <f t="shared" si="90"/>
        <v>45.365601920001012</v>
      </c>
      <c r="AB249" s="197">
        <f t="shared" si="91"/>
        <v>46987</v>
      </c>
      <c r="AC249" s="119">
        <f>IF(OR(t&lt;Tnet,NoTnet),'2027'!Resal_s+('2027'!Salim-'2027'!Resal_s)*(1-EXP(('2027'!Tnet_s-t)/'2027'!Tau_j)),Resal_s+(Salim-Resal_s)*(1-EXP((Tnet_s-t)/Tau_j)))*Salcycl</f>
        <v>7.8687378933301827E-2</v>
      </c>
      <c r="AD249" s="230">
        <f>(INDEX(Models!$BJ249:$BT249,,AH249)*(1-AF249)+INDEX(Models!$BJ249:$BT249,,AH249+1)*AF249-ERP_i)*AE249*Ramure*Pc/MaxiM</f>
        <v>1.3329171341322261E-2</v>
      </c>
      <c r="AE249" s="304">
        <f t="shared" si="92"/>
        <v>0.7</v>
      </c>
      <c r="AF249" s="177">
        <f t="shared" si="93"/>
        <v>0.71646406464115131</v>
      </c>
      <c r="AG249" s="799">
        <f t="shared" si="99"/>
        <v>2</v>
      </c>
      <c r="AH249" s="176">
        <f t="shared" si="94"/>
        <v>8</v>
      </c>
      <c r="AI249" s="224">
        <f t="shared" si="95"/>
        <v>2.7164640646411513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46988</v>
      </c>
      <c r="B250" s="409">
        <f>'2027'!Wh/'2027'!Env_an*'2028'!Env_an</f>
        <v>47.668937920271141</v>
      </c>
      <c r="C250" s="829"/>
      <c r="D250" s="391">
        <f t="shared" si="77"/>
        <v>50.988824325546851</v>
      </c>
      <c r="E250" s="383">
        <f t="shared" si="100"/>
        <v>53.555721177533336</v>
      </c>
      <c r="F250" s="383">
        <f t="shared" si="78"/>
        <v>53.652701401553536</v>
      </c>
      <c r="G250" s="110">
        <f t="shared" si="101"/>
        <v>1.003956420084732</v>
      </c>
      <c r="H250" s="412" t="b">
        <f>Wh_hp&gt;='2027'!Maxi_hp</f>
        <v>1</v>
      </c>
      <c r="I250" s="388">
        <f>IF(H250,Wh_hp,'2027'!Maxi_hp)</f>
        <v>53.652701401553536</v>
      </c>
      <c r="J250" s="85">
        <f>IF(H250,An,'2027'!An_max)</f>
        <v>2028</v>
      </c>
      <c r="K250" s="197">
        <f t="shared" si="79"/>
        <v>46988</v>
      </c>
      <c r="L250" s="147">
        <f>IF(t&lt;Tvie,1-EXP((T0-t)*PertePVj)+'2027'!Pspv,1-EXP((T0-t)*PertePVj)+Pspv)</f>
        <v>6.5110079496623174E-2</v>
      </c>
      <c r="M250" s="832"/>
      <c r="N250" s="832"/>
      <c r="O250" s="48">
        <f>IF(t&lt;Tnet,'2027'!Resal+('2027'!Salim-'2027'!Resal)*(1-EXP(('2027'!Tnet-t)/('2027'!Tau_j))),Resal+(Salim-Resal)*(1-EXP((Tnet-t)/(Tau_j))))*Salcycl</f>
        <v>4.7929461046326061E-2</v>
      </c>
      <c r="P250" s="169">
        <f>(INDEX(Models!$BJ250:$BT250,,T250)*(1-R250)+INDEX(Models!$BJ250:$BT250,,T250+1)*R250-ERP_i)*Q250*Ramure*Pc/MaxiM</f>
        <v>1.807555285881543E-3</v>
      </c>
      <c r="Q250" s="304">
        <f t="shared" si="80"/>
        <v>0.7</v>
      </c>
      <c r="R250" s="177">
        <f t="shared" si="81"/>
        <v>0.96150969104153194</v>
      </c>
      <c r="S250" s="799">
        <f t="shared" si="82"/>
        <v>-1</v>
      </c>
      <c r="T250" s="176">
        <f t="shared" si="83"/>
        <v>5</v>
      </c>
      <c r="U250" s="250">
        <f t="shared" si="84"/>
        <v>-3.8490308958468056E-2</v>
      </c>
      <c r="V250" s="382">
        <f t="shared" si="85"/>
        <v>47.481082810594486</v>
      </c>
      <c r="W250" s="400">
        <f t="shared" si="86"/>
        <v>47.668937920271141</v>
      </c>
      <c r="X250" s="157">
        <f t="shared" si="87"/>
        <v>46988</v>
      </c>
      <c r="Y250" s="383">
        <f t="shared" si="88"/>
        <v>45.577907815164245</v>
      </c>
      <c r="Z250" s="383">
        <f t="shared" si="89"/>
        <v>48.752165164668298</v>
      </c>
      <c r="AA250" s="384">
        <f t="shared" si="90"/>
        <v>52.917193306190015</v>
      </c>
      <c r="AB250" s="197">
        <f t="shared" si="91"/>
        <v>46988</v>
      </c>
      <c r="AC250" s="119">
        <f>IF(OR(t&lt;Tnet,NoTnet),'2027'!Resal_s+('2027'!Salim-'2027'!Resal_s)*(1-EXP(('2027'!Tnet_s-t)/'2027'!Tau_j)),Resal_s+(Salim-Resal_s)*(1-EXP((Tnet_s-t)/Tau_j)))*Salcycl</f>
        <v>7.8708409900388854E-2</v>
      </c>
      <c r="AD250" s="230">
        <f>(INDEX(Models!$BJ250:$BT250,,AH250)*(1-AF250)+INDEX(Models!$BJ250:$BT250,,AH250+1)*AF250-ERP_i)*AE250*Ramure*Pc/MaxiM</f>
        <v>1.3708687095897556E-2</v>
      </c>
      <c r="AE250" s="304">
        <f t="shared" si="92"/>
        <v>0.7</v>
      </c>
      <c r="AF250" s="177">
        <f t="shared" si="93"/>
        <v>0.71716752188088284</v>
      </c>
      <c r="AG250" s="799">
        <f t="shared" si="99"/>
        <v>2</v>
      </c>
      <c r="AH250" s="176">
        <f t="shared" si="94"/>
        <v>8</v>
      </c>
      <c r="AI250" s="224">
        <f t="shared" si="95"/>
        <v>2.7171675218808828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46989</v>
      </c>
      <c r="B251" s="409">
        <f>'2027'!Wh/'2027'!Env_an*'2028'!Env_an</f>
        <v>26.843739923461541</v>
      </c>
      <c r="C251" s="829"/>
      <c r="D251" s="391">
        <f t="shared" si="77"/>
        <v>28.713813036960385</v>
      </c>
      <c r="E251" s="383">
        <f t="shared" si="100"/>
        <v>30.161207242642828</v>
      </c>
      <c r="F251" s="383">
        <f t="shared" si="78"/>
        <v>30.182420360332447</v>
      </c>
      <c r="G251" s="110">
        <f t="shared" si="101"/>
        <v>0.56649251842538351</v>
      </c>
      <c r="H251" s="412" t="b">
        <f>Wh_hp&gt;='2027'!Maxi_hp</f>
        <v>0</v>
      </c>
      <c r="I251" s="388">
        <f>IF(H251,Wh_hp,'2027'!Maxi_hp)</f>
        <v>51.419146627981888</v>
      </c>
      <c r="J251" s="85">
        <f>IF(H251,An,'2027'!An_max)</f>
        <v>2021</v>
      </c>
      <c r="K251" s="197">
        <f t="shared" si="79"/>
        <v>46989</v>
      </c>
      <c r="L251" s="147">
        <f>IF(t&lt;Tvie,1-EXP((T0-t)*PertePVj)+'2027'!Pspv,1-EXP((T0-t)*PertePVj)+Pspv)</f>
        <v>6.5127996448666958E-2</v>
      </c>
      <c r="M251" s="832"/>
      <c r="N251" s="832"/>
      <c r="O251" s="48">
        <f>IF(t&lt;Tnet,'2027'!Resal+('2027'!Salim-'2027'!Resal)*(1-EXP(('2027'!Tnet-t)/('2027'!Tau_j))),Resal+(Salim-Resal)*(1-EXP((Tnet-t)/(Tau_j))))*Salcycl</f>
        <v>4.7988603176204223E-2</v>
      </c>
      <c r="P251" s="169">
        <f>(INDEX(Models!$BJ251:$BT251,,T251)*(1-R251)+INDEX(Models!$BJ251:$BT251,,T251+1)*R251-ERP_i)*Q251*Ramure*Pc/MaxiM</f>
        <v>1.8416683420439978E-3</v>
      </c>
      <c r="Q251" s="304">
        <f t="shared" si="80"/>
        <v>0.7</v>
      </c>
      <c r="R251" s="177">
        <f t="shared" si="81"/>
        <v>0.96218726317590364</v>
      </c>
      <c r="S251" s="799">
        <f t="shared" si="82"/>
        <v>-1</v>
      </c>
      <c r="T251" s="176">
        <f t="shared" si="83"/>
        <v>5</v>
      </c>
      <c r="U251" s="250">
        <f t="shared" si="84"/>
        <v>-3.781273682409636E-2</v>
      </c>
      <c r="V251" s="382">
        <f t="shared" si="85"/>
        <v>47.331865605232416</v>
      </c>
      <c r="W251" s="400">
        <f t="shared" si="86"/>
        <v>26.843739923461541</v>
      </c>
      <c r="X251" s="157">
        <f t="shared" si="87"/>
        <v>46989</v>
      </c>
      <c r="Y251" s="383">
        <f t="shared" si="88"/>
        <v>25.855444516876407</v>
      </c>
      <c r="Z251" s="383">
        <f t="shared" si="89"/>
        <v>27.656667884649842</v>
      </c>
      <c r="AA251" s="384">
        <f t="shared" si="90"/>
        <v>30.020126143313838</v>
      </c>
      <c r="AB251" s="197">
        <f t="shared" si="91"/>
        <v>46989</v>
      </c>
      <c r="AC251" s="119">
        <f>IF(OR(t&lt;Tnet,NoTnet),'2027'!Resal_s+('2027'!Salim-'2027'!Resal_s)*(1-EXP(('2027'!Tnet_s-t)/'2027'!Tau_j)),Resal_s+(Salim-Resal_s)*(1-EXP((Tnet_s-t)/Tau_j)))*Salcycl</f>
        <v>7.872912483382051E-2</v>
      </c>
      <c r="AD251" s="230">
        <f>(INDEX(Models!$BJ251:$BT251,,AH251)*(1-AF251)+INDEX(Models!$BJ251:$BT251,,AH251+1)*AF251-ERP_i)*AE251*Ramure*Pc/MaxiM</f>
        <v>1.4089966687276976E-2</v>
      </c>
      <c r="AE251" s="304">
        <f t="shared" si="92"/>
        <v>0.7</v>
      </c>
      <c r="AF251" s="177">
        <f t="shared" si="93"/>
        <v>0.71784509401525431</v>
      </c>
      <c r="AG251" s="799">
        <f t="shared" si="99"/>
        <v>2</v>
      </c>
      <c r="AH251" s="176">
        <f t="shared" si="94"/>
        <v>8</v>
      </c>
      <c r="AI251" s="224">
        <f t="shared" si="95"/>
        <v>2.7178450940152543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46990</v>
      </c>
      <c r="B252" s="409">
        <f>'2027'!Wh/'2027'!Env_an*'2028'!Env_an</f>
        <v>34.308582267186502</v>
      </c>
      <c r="C252" s="829"/>
      <c r="D252" s="391">
        <f t="shared" si="77"/>
        <v>36.699398062631261</v>
      </c>
      <c r="E252" s="383">
        <f t="shared" si="100"/>
        <v>38.551710768685048</v>
      </c>
      <c r="F252" s="383">
        <f t="shared" si="78"/>
        <v>38.596046316248191</v>
      </c>
      <c r="G252" s="110">
        <f t="shared" si="101"/>
        <v>0.72664327938607143</v>
      </c>
      <c r="H252" s="412" t="b">
        <f>Wh_hp&gt;='2027'!Maxi_hp</f>
        <v>0</v>
      </c>
      <c r="I252" s="388">
        <f>IF(H252,Wh_hp,'2027'!Maxi_hp)</f>
        <v>52.553587232779272</v>
      </c>
      <c r="J252" s="85">
        <f>IF(H252,An,'2027'!An_max)</f>
        <v>2020</v>
      </c>
      <c r="K252" s="197">
        <f t="shared" si="79"/>
        <v>46990</v>
      </c>
      <c r="L252" s="147">
        <f>IF(t&lt;Tvie,1-EXP((T0-t)*PertePVj)+'2027'!Pspv,1-EXP((T0-t)*PertePVj)+Pspv)</f>
        <v>6.5145913057336413E-2</v>
      </c>
      <c r="M252" s="832"/>
      <c r="N252" s="832"/>
      <c r="O252" s="48">
        <f>IF(t&lt;Tnet,'2027'!Resal+('2027'!Salim-'2027'!Resal)*(1-EXP(('2027'!Tnet-t)/('2027'!Tau_j))),Resal+(Salim-Resal)*(1-EXP((Tnet-t)/(Tau_j))))*Salcycl</f>
        <v>4.8047483992808726E-2</v>
      </c>
      <c r="P252" s="169">
        <f>(INDEX(Models!$BJ252:$BT252,,T252)*(1-R252)+INDEX(Models!$BJ252:$BT252,,T252+1)*R252-ERP_i)*Q252*Ramure*Pc/MaxiM</f>
        <v>1.8823442538982527E-3</v>
      </c>
      <c r="Q252" s="304">
        <f t="shared" si="80"/>
        <v>0.7</v>
      </c>
      <c r="R252" s="177">
        <f t="shared" si="81"/>
        <v>0.96283981197702651</v>
      </c>
      <c r="S252" s="799">
        <f t="shared" si="82"/>
        <v>-1</v>
      </c>
      <c r="T252" s="176">
        <f t="shared" si="83"/>
        <v>5</v>
      </c>
      <c r="U252" s="250">
        <f t="shared" si="84"/>
        <v>-3.7160188022973439E-2</v>
      </c>
      <c r="V252" s="382">
        <f t="shared" si="85"/>
        <v>47.180486269554009</v>
      </c>
      <c r="W252" s="400">
        <f t="shared" si="86"/>
        <v>34.308582267186502</v>
      </c>
      <c r="X252" s="157">
        <f t="shared" si="87"/>
        <v>46990</v>
      </c>
      <c r="Y252" s="383">
        <f t="shared" si="88"/>
        <v>32.946671120031368</v>
      </c>
      <c r="Z252" s="383">
        <f t="shared" si="89"/>
        <v>35.242581254342909</v>
      </c>
      <c r="AA252" s="384">
        <f t="shared" si="90"/>
        <v>38.255156145451835</v>
      </c>
      <c r="AB252" s="197">
        <f t="shared" si="91"/>
        <v>46990</v>
      </c>
      <c r="AC252" s="119">
        <f>IF(OR(t&lt;Tnet,NoTnet),'2027'!Resal_s+('2027'!Salim-'2027'!Resal_s)*(1-EXP(('2027'!Tnet_s-t)/'2027'!Tau_j)),Resal_s+(Salim-Resal_s)*(1-EXP((Tnet_s-t)/Tau_j)))*Salcycl</f>
        <v>7.874951234428812E-2</v>
      </c>
      <c r="AD252" s="230">
        <f>(INDEX(Models!$BJ252:$BT252,,AH252)*(1-AF252)+INDEX(Models!$BJ252:$BT252,,AH252+1)*AF252-ERP_i)*AE252*Ramure*Pc/MaxiM</f>
        <v>1.447309640858772E-2</v>
      </c>
      <c r="AE252" s="304">
        <f t="shared" si="92"/>
        <v>0.7</v>
      </c>
      <c r="AF252" s="177">
        <f t="shared" si="93"/>
        <v>0.71849764281637718</v>
      </c>
      <c r="AG252" s="799">
        <f t="shared" si="99"/>
        <v>2</v>
      </c>
      <c r="AH252" s="176">
        <f t="shared" si="94"/>
        <v>8</v>
      </c>
      <c r="AI252" s="224">
        <f t="shared" si="95"/>
        <v>2.7184976428163772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46991</v>
      </c>
      <c r="B253" s="409">
        <f>'2027'!Wh/'2027'!Env_an*'2028'!Env_an</f>
        <v>43.425223365385136</v>
      </c>
      <c r="C253" s="829"/>
      <c r="D253" s="391">
        <f t="shared" si="77"/>
        <v>46.45222845187962</v>
      </c>
      <c r="E253" s="383">
        <f t="shared" si="100"/>
        <v>48.799796122041649</v>
      </c>
      <c r="F253" s="383">
        <f t="shared" si="78"/>
        <v>48.883805517603854</v>
      </c>
      <c r="G253" s="110">
        <f t="shared" si="101"/>
        <v>0.92322194139313141</v>
      </c>
      <c r="H253" s="412" t="b">
        <f>Wh_hp&gt;='2027'!Maxi_hp</f>
        <v>0</v>
      </c>
      <c r="I253" s="388">
        <f>IF(H253,Wh_hp,'2027'!Maxi_hp)</f>
        <v>48.891261817650822</v>
      </c>
      <c r="J253" s="85">
        <f>IF(H253,An,'2027'!An_max)</f>
        <v>2026</v>
      </c>
      <c r="K253" s="197">
        <f t="shared" si="79"/>
        <v>46991</v>
      </c>
      <c r="L253" s="147">
        <f>IF(t&lt;Tvie,1-EXP((T0-t)*PertePVj)+'2027'!Pspv,1-EXP((T0-t)*PertePVj)+Pspv)</f>
        <v>6.51638293226382E-2</v>
      </c>
      <c r="M253" s="832"/>
      <c r="N253" s="832"/>
      <c r="O253" s="48">
        <f>IF(t&lt;Tnet,'2027'!Resal+('2027'!Salim-'2027'!Resal)*(1-EXP(('2027'!Tnet-t)/('2027'!Tau_j))),Resal+(Salim-Resal)*(1-EXP((Tnet-t)/(Tau_j))))*Salcycl</f>
        <v>4.810609585931637E-2</v>
      </c>
      <c r="P253" s="169">
        <f>(INDEX(Models!$BJ253:$BT253,,T253)*(1-R253)+INDEX(Models!$BJ253:$BT253,,T253+1)*R253-ERP_i)*Q253*Ramure*Pc/MaxiM</f>
        <v>1.9296657855816439E-3</v>
      </c>
      <c r="Q253" s="304">
        <f t="shared" si="80"/>
        <v>0.7</v>
      </c>
      <c r="R253" s="177">
        <f t="shared" si="81"/>
        <v>0.96346817744522428</v>
      </c>
      <c r="S253" s="799">
        <f t="shared" si="82"/>
        <v>-1</v>
      </c>
      <c r="T253" s="176">
        <f t="shared" si="83"/>
        <v>5</v>
      </c>
      <c r="U253" s="250">
        <f t="shared" si="84"/>
        <v>-3.6531822554775661E-2</v>
      </c>
      <c r="V253" s="382">
        <f t="shared" si="85"/>
        <v>47.026655242225601</v>
      </c>
      <c r="W253" s="400">
        <f t="shared" si="86"/>
        <v>43.425223365385136</v>
      </c>
      <c r="X253" s="157">
        <f t="shared" si="87"/>
        <v>46991</v>
      </c>
      <c r="Y253" s="383">
        <f t="shared" si="88"/>
        <v>41.541633880008867</v>
      </c>
      <c r="Z253" s="383">
        <f t="shared" si="89"/>
        <v>44.437341197344459</v>
      </c>
      <c r="AA253" s="384">
        <f t="shared" si="90"/>
        <v>48.236944090307929</v>
      </c>
      <c r="AB253" s="197">
        <f t="shared" si="91"/>
        <v>46991</v>
      </c>
      <c r="AC253" s="119">
        <f>IF(OR(t&lt;Tnet,NoTnet),'2027'!Resal_s+('2027'!Salim-'2027'!Resal_s)*(1-EXP(('2027'!Tnet_s-t)/'2027'!Tau_j)),Resal_s+(Salim-Resal_s)*(1-EXP((Tnet_s-t)/Tau_j)))*Salcycl</f>
        <v>7.8769560647331871E-2</v>
      </c>
      <c r="AD253" s="230">
        <f>(INDEX(Models!$BJ253:$BT253,,AH253)*(1-AF253)+INDEX(Models!$BJ253:$BT253,,AH253+1)*AF253-ERP_i)*AE253*Ramure*Pc/MaxiM</f>
        <v>1.4858175754177321E-2</v>
      </c>
      <c r="AE253" s="304">
        <f t="shared" si="92"/>
        <v>0.7</v>
      </c>
      <c r="AF253" s="177">
        <f t="shared" si="93"/>
        <v>0.71912600828457496</v>
      </c>
      <c r="AG253" s="799">
        <f t="shared" si="99"/>
        <v>2</v>
      </c>
      <c r="AH253" s="176">
        <f t="shared" si="94"/>
        <v>8</v>
      </c>
      <c r="AI253" s="224">
        <f t="shared" si="95"/>
        <v>2.719126008284575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46992</v>
      </c>
      <c r="B254" s="409">
        <f>'2027'!Wh/'2027'!Env_an*'2028'!Env_an</f>
        <v>46.432633841574273</v>
      </c>
      <c r="C254" s="829"/>
      <c r="D254" s="391">
        <f t="shared" si="77"/>
        <v>49.670225849111766</v>
      </c>
      <c r="E254" s="383">
        <f t="shared" si="100"/>
        <v>52.18362021739803</v>
      </c>
      <c r="F254" s="383">
        <f t="shared" si="78"/>
        <v>52.285916807916038</v>
      </c>
      <c r="G254" s="110">
        <f t="shared" si="101"/>
        <v>0.99063973719045828</v>
      </c>
      <c r="H254" s="412" t="b">
        <f>Wh_hp&gt;='2027'!Maxi_hp</f>
        <v>0</v>
      </c>
      <c r="I254" s="388">
        <f>IF(H254,Wh_hp,'2027'!Maxi_hp)</f>
        <v>53.319342181775433</v>
      </c>
      <c r="J254" s="85">
        <f>IF(H254,An,'2027'!An_max)</f>
        <v>2021</v>
      </c>
      <c r="K254" s="197">
        <f t="shared" si="79"/>
        <v>46992</v>
      </c>
      <c r="L254" s="147">
        <f>IF(t&lt;Tvie,1-EXP((T0-t)*PertePVj)+'2027'!Pspv,1-EXP((T0-t)*PertePVj)+Pspv)</f>
        <v>6.5181745244578759E-2</v>
      </c>
      <c r="M254" s="832"/>
      <c r="N254" s="832"/>
      <c r="O254" s="48">
        <f>IF(t&lt;Tnet,'2027'!Resal+('2027'!Salim-'2027'!Resal)*(1-EXP(('2027'!Tnet-t)/('2027'!Tau_j))),Resal+(Salim-Resal)*(1-EXP((Tnet-t)/(Tau_j))))*Salcycl</f>
        <v>4.8164430865766147E-2</v>
      </c>
      <c r="P254" s="169">
        <f>(INDEX(Models!$BJ254:$BT254,,T254)*(1-R254)+INDEX(Models!$BJ254:$BT254,,T254+1)*R254-ERP_i)*Q254*Ramure*Pc/MaxiM</f>
        <v>1.9829255348622595E-3</v>
      </c>
      <c r="Q254" s="304">
        <f t="shared" si="80"/>
        <v>0.7</v>
      </c>
      <c r="R254" s="177">
        <f t="shared" si="81"/>
        <v>0.9640731778072722</v>
      </c>
      <c r="S254" s="799">
        <f t="shared" si="82"/>
        <v>-1</v>
      </c>
      <c r="T254" s="176">
        <f t="shared" si="83"/>
        <v>5</v>
      </c>
      <c r="U254" s="250">
        <f t="shared" si="84"/>
        <v>-3.5926822192727803E-2</v>
      </c>
      <c r="V254" s="382">
        <f t="shared" si="85"/>
        <v>46.870120356594612</v>
      </c>
      <c r="W254" s="400">
        <f t="shared" si="86"/>
        <v>46.432633841574273</v>
      </c>
      <c r="X254" s="157">
        <f t="shared" si="87"/>
        <v>46992</v>
      </c>
      <c r="Y254" s="383">
        <f t="shared" si="88"/>
        <v>44.350407736405451</v>
      </c>
      <c r="Z254" s="383">
        <f t="shared" si="89"/>
        <v>47.442813093127882</v>
      </c>
      <c r="AA254" s="384">
        <f t="shared" si="90"/>
        <v>51.500499187806092</v>
      </c>
      <c r="AB254" s="197">
        <f t="shared" si="91"/>
        <v>46992</v>
      </c>
      <c r="AC254" s="119">
        <f>IF(OR(t&lt;Tnet,NoTnet),'2027'!Resal_s+('2027'!Salim-'2027'!Resal_s)*(1-EXP(('2027'!Tnet_s-t)/'2027'!Tau_j)),Resal_s+(Salim-Resal_s)*(1-EXP((Tnet_s-t)/Tau_j)))*Salcycl</f>
        <v>7.8789257554205655E-2</v>
      </c>
      <c r="AD254" s="230">
        <f>(INDEX(Models!$BJ254:$BT254,,AH254)*(1-AF254)+INDEX(Models!$BJ254:$BT254,,AH254+1)*AF254-ERP_i)*AE254*Ramure*Pc/MaxiM</f>
        <v>1.5224599828404128E-2</v>
      </c>
      <c r="AE254" s="304">
        <f t="shared" si="92"/>
        <v>0.7</v>
      </c>
      <c r="AF254" s="177">
        <f t="shared" si="93"/>
        <v>0.71973100864662287</v>
      </c>
      <c r="AG254" s="799">
        <f t="shared" si="99"/>
        <v>2</v>
      </c>
      <c r="AH254" s="176">
        <f t="shared" si="94"/>
        <v>8</v>
      </c>
      <c r="AI254" s="224">
        <f t="shared" si="95"/>
        <v>2.7197310086466229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46993</v>
      </c>
      <c r="B255" s="409">
        <f>'2027'!Wh/'2027'!Env_an*'2028'!Env_an</f>
        <v>31.155761115643386</v>
      </c>
      <c r="C255" s="829"/>
      <c r="D255" s="391">
        <f t="shared" si="77"/>
        <v>33.328786704419123</v>
      </c>
      <c r="E255" s="383">
        <f t="shared" si="100"/>
        <v>35.017413242825825</v>
      </c>
      <c r="F255" s="383">
        <f t="shared" si="78"/>
        <v>35.054915821596531</v>
      </c>
      <c r="G255" s="110">
        <f t="shared" si="101"/>
        <v>0.66634636467541086</v>
      </c>
      <c r="H255" s="412" t="b">
        <f>Wh_hp&gt;='2027'!Maxi_hp</f>
        <v>0</v>
      </c>
      <c r="I255" s="388">
        <f>IF(H255,Wh_hp,'2027'!Maxi_hp)</f>
        <v>52.692719517671406</v>
      </c>
      <c r="J255" s="85">
        <f>IF(H255,An,'2027'!An_max)</f>
        <v>2021</v>
      </c>
      <c r="K255" s="197">
        <f t="shared" si="79"/>
        <v>46993</v>
      </c>
      <c r="L255" s="147">
        <f>IF(t&lt;Tvie,1-EXP((T0-t)*PertePVj)+'2027'!Pspv,1-EXP((T0-t)*PertePVj)+Pspv)</f>
        <v>6.5199660823164862E-2</v>
      </c>
      <c r="M255" s="832"/>
      <c r="N255" s="832"/>
      <c r="O255" s="48">
        <f>IF(t&lt;Tnet,'2027'!Resal+('2027'!Salim-'2027'!Resal)*(1-EXP(('2027'!Tnet-t)/('2027'!Tau_j))),Resal+(Salim-Resal)*(1-EXP((Tnet-t)/(Tau_j))))*Salcycl</f>
        <v>4.8222480818244207E-2</v>
      </c>
      <c r="P255" s="169">
        <f>(INDEX(Models!$BJ255:$BT255,,T255)*(1-R255)+INDEX(Models!$BJ255:$BT255,,T255+1)*R255-ERP_i)*Q255*Ramure*Pc/MaxiM</f>
        <v>2.0405659842432748E-3</v>
      </c>
      <c r="Q255" s="304">
        <f t="shared" si="80"/>
        <v>0.7</v>
      </c>
      <c r="R255" s="177">
        <f t="shared" si="81"/>
        <v>0.9646556095691079</v>
      </c>
      <c r="S255" s="799">
        <f t="shared" si="82"/>
        <v>-1</v>
      </c>
      <c r="T255" s="176">
        <f t="shared" si="83"/>
        <v>5</v>
      </c>
      <c r="U255" s="250">
        <f t="shared" si="84"/>
        <v>-3.5344390430892103E-2</v>
      </c>
      <c r="V255" s="382">
        <f t="shared" si="85"/>
        <v>46.710669044610597</v>
      </c>
      <c r="W255" s="400">
        <f t="shared" si="86"/>
        <v>31.155761115643386</v>
      </c>
      <c r="X255" s="157">
        <f t="shared" si="87"/>
        <v>46993</v>
      </c>
      <c r="Y255" s="383">
        <f t="shared" si="88"/>
        <v>29.940520372202965</v>
      </c>
      <c r="Z255" s="383">
        <f t="shared" si="89"/>
        <v>32.028786380809336</v>
      </c>
      <c r="AA255" s="384">
        <f t="shared" si="90"/>
        <v>34.768872189832898</v>
      </c>
      <c r="AB255" s="197">
        <f t="shared" si="91"/>
        <v>46993</v>
      </c>
      <c r="AC255" s="119">
        <f>IF(OR(t&lt;Tnet,NoTnet),'2027'!Resal_s+('2027'!Salim-'2027'!Resal_s)*(1-EXP(('2027'!Tnet_s-t)/'2027'!Tau_j)),Resal_s+(Salim-Resal_s)*(1-EXP((Tnet_s-t)/Tau_j)))*Salcycl</f>
        <v>7.8808590455942865E-2</v>
      </c>
      <c r="AD255" s="230">
        <f>(INDEX(Models!$BJ255:$BT255,,AH255)*(1-AF255)+INDEX(Models!$BJ255:$BT255,,AH255+1)*AF255-ERP_i)*AE255*Ramure*Pc/MaxiM</f>
        <v>1.5564020505231138E-2</v>
      </c>
      <c r="AE255" s="304">
        <f t="shared" si="92"/>
        <v>0.7</v>
      </c>
      <c r="AF255" s="177">
        <f t="shared" si="93"/>
        <v>0.72031344040845857</v>
      </c>
      <c r="AG255" s="799">
        <f t="shared" si="99"/>
        <v>2</v>
      </c>
      <c r="AH255" s="176">
        <f t="shared" si="94"/>
        <v>8</v>
      </c>
      <c r="AI255" s="224">
        <f t="shared" si="95"/>
        <v>2.7203134404084586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46994</v>
      </c>
      <c r="B256" s="409">
        <f>'2027'!Wh/'2027'!Env_an*'2028'!Env_an</f>
        <v>45.8298387088144</v>
      </c>
      <c r="C256" s="829"/>
      <c r="D256" s="391">
        <f t="shared" si="77"/>
        <v>49.027279006347406</v>
      </c>
      <c r="E256" s="383">
        <f t="shared" si="100"/>
        <v>51.514406786466751</v>
      </c>
      <c r="F256" s="383">
        <f t="shared" si="78"/>
        <v>51.620554584741186</v>
      </c>
      <c r="G256" s="110">
        <f t="shared" si="101"/>
        <v>0.98452561431678232</v>
      </c>
      <c r="H256" s="412" t="b">
        <f>Wh_hp&gt;='2027'!Maxi_hp</f>
        <v>0</v>
      </c>
      <c r="I256" s="388">
        <f>IF(H256,Wh_hp,'2027'!Maxi_hp)</f>
        <v>51.62228320677383</v>
      </c>
      <c r="J256" s="85">
        <f>IF(H256,An,'2027'!An_max)</f>
        <v>2026</v>
      </c>
      <c r="K256" s="197">
        <f t="shared" si="79"/>
        <v>46994</v>
      </c>
      <c r="L256" s="147">
        <f>IF(t&lt;Tvie,1-EXP((T0-t)*PertePVj)+'2027'!Pspv,1-EXP((T0-t)*PertePVj)+Pspv)</f>
        <v>6.5217576058402948E-2</v>
      </c>
      <c r="M256" s="832"/>
      <c r="N256" s="832"/>
      <c r="O256" s="48">
        <f>IF(t&lt;Tnet,'2027'!Resal+('2027'!Salim-'2027'!Resal)*(1-EXP(('2027'!Tnet-t)/('2027'!Tau_j))),Resal+(Salim-Resal)*(1-EXP((Tnet-t)/(Tau_j))))*Salcycl</f>
        <v>4.8280237224292977E-2</v>
      </c>
      <c r="P256" s="169">
        <f>(INDEX(Models!$BJ256:$BT256,,T256)*(1-R256)+INDEX(Models!$BJ256:$BT256,,T256+1)*R256-ERP_i)*Q256*Ramure*Pc/MaxiM</f>
        <v>2.1026532200793106E-3</v>
      </c>
      <c r="Q256" s="304">
        <f t="shared" si="80"/>
        <v>0.7</v>
      </c>
      <c r="R256" s="177">
        <f t="shared" si="81"/>
        <v>0.9652162476180477</v>
      </c>
      <c r="S256" s="799">
        <f t="shared" si="82"/>
        <v>-1</v>
      </c>
      <c r="T256" s="176">
        <f t="shared" si="83"/>
        <v>5</v>
      </c>
      <c r="U256" s="250">
        <f t="shared" si="84"/>
        <v>-3.478375238195236E-2</v>
      </c>
      <c r="V256" s="382">
        <f t="shared" si="85"/>
        <v>46.548012267503651</v>
      </c>
      <c r="W256" s="400">
        <f t="shared" si="86"/>
        <v>45.8298387088144</v>
      </c>
      <c r="X256" s="157">
        <f t="shared" si="87"/>
        <v>46994</v>
      </c>
      <c r="Y256" s="383">
        <f t="shared" si="88"/>
        <v>43.760093108020804</v>
      </c>
      <c r="Z256" s="383">
        <f t="shared" si="89"/>
        <v>46.813132112071919</v>
      </c>
      <c r="AA256" s="384">
        <f t="shared" si="90"/>
        <v>50.819075108150884</v>
      </c>
      <c r="AB256" s="197">
        <f t="shared" si="91"/>
        <v>46994</v>
      </c>
      <c r="AC256" s="119">
        <f>IF(OR(t&lt;Tnet,NoTnet),'2027'!Resal_s+('2027'!Salim-'2027'!Resal_s)*(1-EXP(('2027'!Tnet_s-t)/'2027'!Tau_j)),Resal_s+(Salim-Resal_s)*(1-EXP((Tnet_s-t)/Tau_j)))*Salcycl</f>
        <v>7.8827546301338591E-2</v>
      </c>
      <c r="AD256" s="230">
        <f>(INDEX(Models!$BJ256:$BT256,,AH256)*(1-AF256)+INDEX(Models!$BJ256:$BT256,,AH256+1)*AF256-ERP_i)*AE256*Ramure*Pc/MaxiM</f>
        <v>1.587629163935184E-2</v>
      </c>
      <c r="AE256" s="304">
        <f t="shared" si="92"/>
        <v>0.7</v>
      </c>
      <c r="AF256" s="177">
        <f t="shared" si="93"/>
        <v>0.72087407845739815</v>
      </c>
      <c r="AG256" s="799">
        <f t="shared" si="99"/>
        <v>2</v>
      </c>
      <c r="AH256" s="176">
        <f t="shared" si="94"/>
        <v>8</v>
      </c>
      <c r="AI256" s="224">
        <f t="shared" si="95"/>
        <v>2.7208740784573981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46995</v>
      </c>
      <c r="B257" s="409">
        <f>'2027'!Wh/'2027'!Env_an*'2028'!Env_an</f>
        <v>19.308457972469615</v>
      </c>
      <c r="C257" s="829"/>
      <c r="D257" s="391">
        <f t="shared" si="77"/>
        <v>20.655959640678876</v>
      </c>
      <c r="E257" s="383">
        <f t="shared" si="100"/>
        <v>21.705135793760221</v>
      </c>
      <c r="F257" s="383">
        <f t="shared" si="78"/>
        <v>21.712960834763315</v>
      </c>
      <c r="G257" s="110">
        <f t="shared" si="101"/>
        <v>0.41554000652495532</v>
      </c>
      <c r="H257" s="412" t="b">
        <f>Wh_hp&gt;='2027'!Maxi_hp</f>
        <v>0</v>
      </c>
      <c r="I257" s="388">
        <f>IF(H257,Wh_hp,'2027'!Maxi_hp)</f>
        <v>51.112198719060622</v>
      </c>
      <c r="J257" s="85">
        <f>IF(H257,An,'2027'!An_max)</f>
        <v>2021</v>
      </c>
      <c r="K257" s="197">
        <f t="shared" si="79"/>
        <v>46995</v>
      </c>
      <c r="L257" s="147">
        <f>IF(t&lt;Tvie,1-EXP((T0-t)*PertePVj)+'2027'!Pspv,1-EXP((T0-t)*PertePVj)+Pspv)</f>
        <v>6.5235490950299679E-2</v>
      </c>
      <c r="M257" s="832"/>
      <c r="N257" s="832"/>
      <c r="O257" s="48">
        <f>IF(t&lt;Tnet,'2027'!Resal+('2027'!Salim-'2027'!Resal)*(1-EXP(('2027'!Tnet-t)/('2027'!Tau_j))),Resal+(Salim-Resal)*(1-EXP((Tnet-t)/(Tau_j))))*Salcycl</f>
        <v>4.8337691275028176E-2</v>
      </c>
      <c r="P257" s="169">
        <f>(INDEX(Models!$BJ257:$BT257,,T257)*(1-R257)+INDEX(Models!$BJ257:$BT257,,T257+1)*R257-ERP_i)*Q257*Ramure*Pc/MaxiM</f>
        <v>2.1692565771104775E-3</v>
      </c>
      <c r="Q257" s="304">
        <f t="shared" si="80"/>
        <v>0.7</v>
      </c>
      <c r="R257" s="177">
        <f t="shared" si="81"/>
        <v>0.96575584536980785</v>
      </c>
      <c r="S257" s="799">
        <f t="shared" si="82"/>
        <v>-1</v>
      </c>
      <c r="T257" s="176">
        <f t="shared" si="83"/>
        <v>5</v>
      </c>
      <c r="U257" s="250">
        <f t="shared" si="84"/>
        <v>-3.4244154630192203E-2</v>
      </c>
      <c r="V257" s="382">
        <f t="shared" si="85"/>
        <v>46.381861123688168</v>
      </c>
      <c r="W257" s="400">
        <f t="shared" si="86"/>
        <v>19.308457972469615</v>
      </c>
      <c r="X257" s="157">
        <f t="shared" si="87"/>
        <v>46995</v>
      </c>
      <c r="Y257" s="383">
        <f t="shared" si="88"/>
        <v>18.646006766995917</v>
      </c>
      <c r="Z257" s="383">
        <f t="shared" si="89"/>
        <v>19.947277187440299</v>
      </c>
      <c r="AA257" s="384">
        <f t="shared" si="90"/>
        <v>21.65466317623774</v>
      </c>
      <c r="AB257" s="197">
        <f t="shared" si="91"/>
        <v>46995</v>
      </c>
      <c r="AC257" s="119">
        <f>IF(OR(t&lt;Tnet,NoTnet),'2027'!Resal_s+('2027'!Salim-'2027'!Resal_s)*(1-EXP(('2027'!Tnet_s-t)/'2027'!Tau_j)),Resal_s+(Salim-Resal_s)*(1-EXP((Tnet_s-t)/Tau_j)))*Salcycl</f>
        <v>7.8846111569678037E-2</v>
      </c>
      <c r="AD257" s="230">
        <f>(INDEX(Models!$BJ257:$BT257,,AH257)*(1-AF257)+INDEX(Models!$BJ257:$BT257,,AH257+1)*AF257-ERP_i)*AE257*Ramure*Pc/MaxiM</f>
        <v>1.616126728751385E-2</v>
      </c>
      <c r="AE257" s="304">
        <f t="shared" si="92"/>
        <v>0.7</v>
      </c>
      <c r="AF257" s="177">
        <f t="shared" si="93"/>
        <v>0.72141367620915853</v>
      </c>
      <c r="AG257" s="799">
        <f t="shared" si="99"/>
        <v>2</v>
      </c>
      <c r="AH257" s="176">
        <f t="shared" si="94"/>
        <v>8</v>
      </c>
      <c r="AI257" s="224">
        <f t="shared" si="95"/>
        <v>2.7214136762091585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46996</v>
      </c>
      <c r="B258" s="409">
        <f>'2027'!Wh/'2027'!Env_an*'2028'!Env_an</f>
        <v>40.982995512234275</v>
      </c>
      <c r="C258" s="829"/>
      <c r="D258" s="391">
        <f t="shared" si="77"/>
        <v>43.843963437070713</v>
      </c>
      <c r="E258" s="383">
        <f t="shared" si="100"/>
        <v>46.07369211043715</v>
      </c>
      <c r="F258" s="383">
        <f t="shared" si="78"/>
        <v>46.160394849915619</v>
      </c>
      <c r="G258" s="110">
        <f t="shared" si="101"/>
        <v>0.88652709659114581</v>
      </c>
      <c r="H258" s="412" t="b">
        <f>Wh_hp&gt;='2027'!Maxi_hp</f>
        <v>0</v>
      </c>
      <c r="I258" s="388">
        <f>IF(H258,Wh_hp,'2027'!Maxi_hp)</f>
        <v>46.17249419161962</v>
      </c>
      <c r="J258" s="85">
        <f>IF(H258,An,'2027'!An_max)</f>
        <v>2026</v>
      </c>
      <c r="K258" s="197">
        <f t="shared" si="79"/>
        <v>46996</v>
      </c>
      <c r="L258" s="147">
        <f>IF(t&lt;Tvie,1-EXP((T0-t)*PertePVj)+'2027'!Pspv,1-EXP((T0-t)*PertePVj)+Pspv)</f>
        <v>6.5253405498861605E-2</v>
      </c>
      <c r="M258" s="832"/>
      <c r="N258" s="832"/>
      <c r="O258" s="48">
        <f>IF(t&lt;Tnet,'2027'!Resal+('2027'!Salim-'2027'!Resal)*(1-EXP(('2027'!Tnet-t)/('2027'!Tau_j))),Resal+(Salim-Resal)*(1-EXP((Tnet-t)/(Tau_j))))*Salcycl</f>
        <v>4.8394833824514101E-2</v>
      </c>
      <c r="P258" s="169">
        <f>(INDEX(Models!$BJ258:$BT258,,T258)*(1-R258)+INDEX(Models!$BJ258:$BT258,,T258+1)*R258-ERP_i)*Q258*Ramure*Pc/MaxiM</f>
        <v>2.240449016249865E-3</v>
      </c>
      <c r="Q258" s="304">
        <f t="shared" si="80"/>
        <v>0.7</v>
      </c>
      <c r="R258" s="177">
        <f t="shared" si="81"/>
        <v>0.966275134955905</v>
      </c>
      <c r="S258" s="799">
        <f t="shared" si="82"/>
        <v>-1</v>
      </c>
      <c r="T258" s="176">
        <f t="shared" si="83"/>
        <v>5</v>
      </c>
      <c r="U258" s="250">
        <f t="shared" si="84"/>
        <v>-3.3724865044094998E-2</v>
      </c>
      <c r="V258" s="382">
        <f t="shared" si="85"/>
        <v>46.211926848684548</v>
      </c>
      <c r="W258" s="400">
        <f t="shared" si="86"/>
        <v>40.982995512234275</v>
      </c>
      <c r="X258" s="157">
        <f t="shared" si="87"/>
        <v>46996</v>
      </c>
      <c r="Y258" s="383">
        <f t="shared" si="88"/>
        <v>39.198327466667124</v>
      </c>
      <c r="Z258" s="383">
        <f t="shared" si="89"/>
        <v>41.934710109948824</v>
      </c>
      <c r="AA258" s="384">
        <f t="shared" si="90"/>
        <v>45.525006626206725</v>
      </c>
      <c r="AB258" s="197">
        <f t="shared" si="91"/>
        <v>46996</v>
      </c>
      <c r="AC258" s="119">
        <f>IF(OR(t&lt;Tnet,NoTnet),'2027'!Resal_s+('2027'!Salim-'2027'!Resal_s)*(1-EXP(('2027'!Tnet_s-t)/'2027'!Tau_j)),Resal_s+(Salim-Resal_s)*(1-EXP((Tnet_s-t)/Tau_j)))*Salcycl</f>
        <v>7.8864272239141872E-2</v>
      </c>
      <c r="AD258" s="230">
        <f>(INDEX(Models!$BJ258:$BT258,,AH258)*(1-AF258)+INDEX(Models!$BJ258:$BT258,,AH258+1)*AF258-ERP_i)*AE258*Ramure*Pc/MaxiM</f>
        <v>1.6418799790044993E-2</v>
      </c>
      <c r="AE258" s="304">
        <f t="shared" si="92"/>
        <v>0.7</v>
      </c>
      <c r="AF258" s="177">
        <f t="shared" si="93"/>
        <v>0.72193296579525557</v>
      </c>
      <c r="AG258" s="799">
        <f t="shared" si="99"/>
        <v>2</v>
      </c>
      <c r="AH258" s="176">
        <f t="shared" si="94"/>
        <v>8</v>
      </c>
      <c r="AI258" s="224">
        <f t="shared" si="95"/>
        <v>2.7219329657952556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46997</v>
      </c>
      <c r="B259" s="409">
        <f>'2027'!Wh/'2027'!Env_an*'2028'!Env_an</f>
        <v>36.268249706117366</v>
      </c>
      <c r="C259" s="829"/>
      <c r="D259" s="391">
        <f t="shared" si="77"/>
        <v>38.800831161654322</v>
      </c>
      <c r="E259" s="383">
        <f t="shared" si="100"/>
        <v>40.776521109518235</v>
      </c>
      <c r="F259" s="383">
        <f t="shared" si="78"/>
        <v>40.842445102000269</v>
      </c>
      <c r="G259" s="110">
        <f t="shared" si="101"/>
        <v>0.78723670035995408</v>
      </c>
      <c r="H259" s="412" t="b">
        <f>Wh_hp&gt;='2027'!Maxi_hp</f>
        <v>0</v>
      </c>
      <c r="I259" s="388">
        <f>IF(H259,Wh_hp,'2027'!Maxi_hp)</f>
        <v>43.932172595785929</v>
      </c>
      <c r="J259" s="85">
        <f>IF(H259,An,'2027'!An_max)</f>
        <v>2018</v>
      </c>
      <c r="K259" s="197">
        <f t="shared" si="79"/>
        <v>46997</v>
      </c>
      <c r="L259" s="147">
        <f>IF(t&lt;Tvie,1-EXP((T0-t)*PertePVj)+'2027'!Pspv,1-EXP((T0-t)*PertePVj)+Pspv)</f>
        <v>6.5271319704095165E-2</v>
      </c>
      <c r="M259" s="832"/>
      <c r="N259" s="832"/>
      <c r="O259" s="48">
        <f>IF(t&lt;Tnet,'2027'!Resal+('2027'!Salim-'2027'!Resal)*(1-EXP(('2027'!Tnet-t)/('2027'!Tau_j))),Resal+(Salim-Resal)*(1-EXP((Tnet-t)/(Tau_j))))*Salcycl</f>
        <v>4.8451655367008274E-2</v>
      </c>
      <c r="P259" s="169">
        <f>(INDEX(Models!$BJ259:$BT259,,T259)*(1-R259)+INDEX(Models!$BJ259:$BT259,,T259+1)*R259-ERP_i)*Q259*Ramure*Pc/MaxiM</f>
        <v>2.3163075190866028E-3</v>
      </c>
      <c r="Q259" s="304">
        <f t="shared" si="80"/>
        <v>0.7</v>
      </c>
      <c r="R259" s="177">
        <f t="shared" si="81"/>
        <v>0.96677482744727028</v>
      </c>
      <c r="S259" s="799">
        <f t="shared" si="82"/>
        <v>-1</v>
      </c>
      <c r="T259" s="176">
        <f t="shared" si="83"/>
        <v>5</v>
      </c>
      <c r="U259" s="250">
        <f t="shared" si="84"/>
        <v>-3.322517255272972E-2</v>
      </c>
      <c r="V259" s="382">
        <f t="shared" si="85"/>
        <v>46.037920814925172</v>
      </c>
      <c r="W259" s="400">
        <f t="shared" si="86"/>
        <v>36.268249706117366</v>
      </c>
      <c r="X259" s="157">
        <f t="shared" si="87"/>
        <v>46997</v>
      </c>
      <c r="Y259" s="383">
        <f t="shared" si="88"/>
        <v>34.757186216724165</v>
      </c>
      <c r="Z259" s="383">
        <f t="shared" si="89"/>
        <v>37.184251376261571</v>
      </c>
      <c r="AA259" s="384">
        <f t="shared" si="90"/>
        <v>40.368608507712452</v>
      </c>
      <c r="AB259" s="197">
        <f t="shared" si="91"/>
        <v>46997</v>
      </c>
      <c r="AC259" s="119">
        <f>IF(OR(t&lt;Tnet,NoTnet),'2027'!Resal_s+('2027'!Salim-'2027'!Resal_s)*(1-EXP(('2027'!Tnet_s-t)/'2027'!Tau_j)),Resal_s+(Salim-Resal_s)*(1-EXP((Tnet_s-t)/Tau_j)))*Salcycl</f>
        <v>7.8882013751910979E-2</v>
      </c>
      <c r="AD259" s="230">
        <f>(INDEX(Models!$BJ259:$BT259,,AH259)*(1-AF259)+INDEX(Models!$BJ259:$BT259,,AH259+1)*AF259-ERP_i)*AE259*Ramure*Pc/MaxiM</f>
        <v>1.6648737809173007E-2</v>
      </c>
      <c r="AE259" s="304">
        <f t="shared" si="92"/>
        <v>0.7</v>
      </c>
      <c r="AF259" s="177">
        <f t="shared" si="93"/>
        <v>0.72243265828662118</v>
      </c>
      <c r="AG259" s="799">
        <f t="shared" si="99"/>
        <v>2</v>
      </c>
      <c r="AH259" s="176">
        <f t="shared" si="94"/>
        <v>8</v>
      </c>
      <c r="AI259" s="224">
        <f t="shared" si="95"/>
        <v>2.7224326582866212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46998</v>
      </c>
      <c r="B260" s="409">
        <f>'2027'!Wh/'2027'!Env_an*'2028'!Env_an</f>
        <v>30.467936745025106</v>
      </c>
      <c r="C260" s="829"/>
      <c r="D260" s="391">
        <f t="shared" si="77"/>
        <v>32.596111908781232</v>
      </c>
      <c r="E260" s="383">
        <f t="shared" si="100"/>
        <v>34.257899079415182</v>
      </c>
      <c r="F260" s="383">
        <f t="shared" si="78"/>
        <v>34.30069532715553</v>
      </c>
      <c r="G260" s="110">
        <f t="shared" si="101"/>
        <v>0.66361041880561733</v>
      </c>
      <c r="H260" s="412" t="b">
        <f>Wh_hp&gt;='2027'!Maxi_hp</f>
        <v>0</v>
      </c>
      <c r="I260" s="388">
        <f>IF(H260,Wh_hp,'2027'!Maxi_hp)</f>
        <v>53.184089947763461</v>
      </c>
      <c r="J260" s="85">
        <f>IF(H260,An,'2027'!An_max)</f>
        <v>2018</v>
      </c>
      <c r="K260" s="197">
        <f t="shared" si="79"/>
        <v>46998</v>
      </c>
      <c r="L260" s="147">
        <f>IF(t&lt;Tvie,1-EXP((T0-t)*PertePVj)+'2027'!Pspv,1-EXP((T0-t)*PertePVj)+Pspv)</f>
        <v>6.5289233566007243E-2</v>
      </c>
      <c r="M260" s="832"/>
      <c r="N260" s="832"/>
      <c r="O260" s="48">
        <f>IF(t&lt;Tnet,'2027'!Resal+('2027'!Salim-'2027'!Resal)*(1-EXP(('2027'!Tnet-t)/('2027'!Tau_j))),Resal+(Salim-Resal)*(1-EXP((Tnet-t)/(Tau_j))))*Salcycl</f>
        <v>4.8508146012739159E-2</v>
      </c>
      <c r="P260" s="169">
        <f>(INDEX(Models!$BJ260:$BT260,,T260)*(1-R260)+INDEX(Models!$BJ260:$BT260,,T260+1)*R260-ERP_i)*Q260*Ramure*Pc/MaxiM</f>
        <v>2.3969135007555022E-3</v>
      </c>
      <c r="Q260" s="304">
        <f t="shared" si="80"/>
        <v>0.7</v>
      </c>
      <c r="R260" s="177">
        <f t="shared" si="81"/>
        <v>0.96725561311017061</v>
      </c>
      <c r="S260" s="799">
        <f t="shared" si="82"/>
        <v>-1</v>
      </c>
      <c r="T260" s="176">
        <f t="shared" si="83"/>
        <v>5</v>
      </c>
      <c r="U260" s="250">
        <f t="shared" si="84"/>
        <v>-3.2744386889829336E-2</v>
      </c>
      <c r="V260" s="382">
        <f t="shared" si="85"/>
        <v>45.859554534224706</v>
      </c>
      <c r="W260" s="400">
        <f t="shared" si="86"/>
        <v>30.467936745025106</v>
      </c>
      <c r="X260" s="157">
        <f t="shared" si="87"/>
        <v>46998</v>
      </c>
      <c r="Y260" s="383">
        <f t="shared" si="88"/>
        <v>29.272583238859241</v>
      </c>
      <c r="Z260" s="383">
        <f t="shared" si="89"/>
        <v>31.31726336108958</v>
      </c>
      <c r="AA260" s="384">
        <f t="shared" si="90"/>
        <v>33.999826592582522</v>
      </c>
      <c r="AB260" s="197">
        <f t="shared" si="91"/>
        <v>46998</v>
      </c>
      <c r="AC260" s="119">
        <f>IF(OR(t&lt;Tnet,NoTnet),'2027'!Resal_s+('2027'!Salim-'2027'!Resal_s)*(1-EXP(('2027'!Tnet_s-t)/'2027'!Tau_j)),Resal_s+(Salim-Resal_s)*(1-EXP((Tnet_s-t)/Tau_j)))*Salcycl</f>
        <v>7.8899320977071516E-2</v>
      </c>
      <c r="AD260" s="230">
        <f>(INDEX(Models!$BJ260:$BT260,,AH260)*(1-AF260)+INDEX(Models!$BJ260:$BT260,,AH260+1)*AF260-ERP_i)*AE260*Ramure*Pc/MaxiM</f>
        <v>1.685092432001551E-2</v>
      </c>
      <c r="AE260" s="304">
        <f t="shared" si="92"/>
        <v>0.7</v>
      </c>
      <c r="AF260" s="177">
        <f t="shared" si="93"/>
        <v>0.72291344394952128</v>
      </c>
      <c r="AG260" s="799">
        <f t="shared" si="99"/>
        <v>2</v>
      </c>
      <c r="AH260" s="176">
        <f t="shared" si="94"/>
        <v>8</v>
      </c>
      <c r="AI260" s="224">
        <f t="shared" si="95"/>
        <v>2.7229134439495213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46999</v>
      </c>
      <c r="B261" s="409">
        <f>'2027'!Wh/'2027'!Env_an*'2028'!Env_an</f>
        <v>46.276081984763664</v>
      </c>
      <c r="C261" s="829"/>
      <c r="D261" s="391">
        <f t="shared" si="77"/>
        <v>49.509399628363653</v>
      </c>
      <c r="E261" s="383">
        <f t="shared" si="100"/>
        <v>52.036516384943475</v>
      </c>
      <c r="F261" s="383">
        <f t="shared" si="78"/>
        <v>52.166009389945366</v>
      </c>
      <c r="G261" s="110">
        <f t="shared" si="101"/>
        <v>1.0131143940679883</v>
      </c>
      <c r="H261" s="412" t="b">
        <f>Wh_hp&gt;='2027'!Maxi_hp</f>
        <v>0</v>
      </c>
      <c r="I261" s="388">
        <f>IF(H261,Wh_hp,'2027'!Maxi_hp)</f>
        <v>52.707977140675048</v>
      </c>
      <c r="J261" s="85">
        <f>IF(H261,An,'2027'!An_max)</f>
        <v>2018</v>
      </c>
      <c r="K261" s="197">
        <f t="shared" si="79"/>
        <v>46999</v>
      </c>
      <c r="L261" s="147">
        <f>IF(t&lt;Tvie,1-EXP((T0-t)*PertePVj)+'2027'!Pspv,1-EXP((T0-t)*PertePVj)+Pspv)</f>
        <v>6.5307147084604056E-2</v>
      </c>
      <c r="M261" s="832"/>
      <c r="N261" s="832"/>
      <c r="O261" s="48">
        <f>IF(t&lt;Tnet,'2027'!Resal+('2027'!Salim-'2027'!Resal)*(1-EXP(('2027'!Tnet-t)/('2027'!Tau_j))),Resal+(Salim-Resal)*(1-EXP((Tnet-t)/(Tau_j))))*Salcycl</f>
        <v>4.856429546292676E-2</v>
      </c>
      <c r="P261" s="169">
        <f>(INDEX(Models!$BJ261:$BT261,,T261)*(1-R261)+INDEX(Models!$BJ261:$BT261,,T261+1)*R261-ERP_i)*Q261*Ramure*Pc/MaxiM</f>
        <v>2.4823253017865043E-3</v>
      </c>
      <c r="Q261" s="304">
        <f t="shared" si="80"/>
        <v>0.7</v>
      </c>
      <c r="R261" s="177">
        <f t="shared" si="81"/>
        <v>0.96771816169078206</v>
      </c>
      <c r="S261" s="799">
        <f t="shared" si="82"/>
        <v>-1</v>
      </c>
      <c r="T261" s="176">
        <f t="shared" si="83"/>
        <v>5</v>
      </c>
      <c r="U261" s="250">
        <f t="shared" si="84"/>
        <v>-3.2281838309217936E-2</v>
      </c>
      <c r="V261" s="382">
        <f t="shared" si="85"/>
        <v>45.677055084520056</v>
      </c>
      <c r="W261" s="400">
        <f t="shared" si="86"/>
        <v>46.276081984763664</v>
      </c>
      <c r="X261" s="157">
        <f t="shared" si="87"/>
        <v>46999</v>
      </c>
      <c r="Y261" s="383">
        <f t="shared" si="88"/>
        <v>44.146691603615444</v>
      </c>
      <c r="Z261" s="383">
        <f t="shared" si="89"/>
        <v>47.231228382583339</v>
      </c>
      <c r="AA261" s="384">
        <f t="shared" si="90"/>
        <v>51.277882928040476</v>
      </c>
      <c r="AB261" s="197">
        <f t="shared" si="91"/>
        <v>46999</v>
      </c>
      <c r="AC261" s="119">
        <f>IF(OR(t&lt;Tnet,NoTnet),'2027'!Resal_s+('2027'!Salim-'2027'!Resal_s)*(1-EXP(('2027'!Tnet_s-t)/'2027'!Tau_j)),Resal_s+(Salim-Resal_s)*(1-EXP((Tnet_s-t)/Tau_j)))*Salcycl</f>
        <v>7.891617817248632E-2</v>
      </c>
      <c r="AD261" s="230">
        <f>(INDEX(Models!$BJ261:$BT261,,AH261)*(1-AF261)+INDEX(Models!$BJ261:$BT261,,AH261+1)*AF261-ERP_i)*AE261*Ramure*Pc/MaxiM</f>
        <v>1.7025002914561976E-2</v>
      </c>
      <c r="AE261" s="304">
        <f t="shared" si="92"/>
        <v>0.7</v>
      </c>
      <c r="AF261" s="177">
        <f t="shared" si="93"/>
        <v>0.72337599253013263</v>
      </c>
      <c r="AG261" s="799">
        <f t="shared" si="99"/>
        <v>2</v>
      </c>
      <c r="AH261" s="176">
        <f t="shared" si="94"/>
        <v>8</v>
      </c>
      <c r="AI261" s="224">
        <f t="shared" si="95"/>
        <v>2.7233759925301326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47000</v>
      </c>
      <c r="B262" s="409">
        <f>'2027'!Wh/'2027'!Env_an*'2028'!Env_an</f>
        <v>39.641424290776364</v>
      </c>
      <c r="C262" s="829"/>
      <c r="D262" s="391">
        <f t="shared" si="77"/>
        <v>42.411990099786905</v>
      </c>
      <c r="E262" s="383">
        <f t="shared" si="100"/>
        <v>44.579446955998122</v>
      </c>
      <c r="F262" s="383">
        <f t="shared" si="78"/>
        <v>44.673177105830277</v>
      </c>
      <c r="G262" s="110">
        <f t="shared" si="101"/>
        <v>0.87099992089216394</v>
      </c>
      <c r="H262" s="412" t="b">
        <f>Wh_hp&gt;='2027'!Maxi_hp</f>
        <v>0</v>
      </c>
      <c r="I262" s="388">
        <f>IF(H262,Wh_hp,'2027'!Maxi_hp)</f>
        <v>52.360214050968047</v>
      </c>
      <c r="J262" s="85">
        <f>IF(H262,An,'2027'!An_max)</f>
        <v>2020</v>
      </c>
      <c r="K262" s="197">
        <f t="shared" si="79"/>
        <v>47000</v>
      </c>
      <c r="L262" s="147">
        <f>IF(t&lt;Tvie,1-EXP((T0-t)*PertePVj)+'2027'!Pspv,1-EXP((T0-t)*PertePVj)+Pspv)</f>
        <v>6.5325060259892487E-2</v>
      </c>
      <c r="M262" s="832"/>
      <c r="N262" s="832"/>
      <c r="O262" s="48">
        <f>IF(t&lt;Tnet,'2027'!Resal+('2027'!Salim-'2027'!Resal)*(1-EXP(('2027'!Tnet-t)/('2027'!Tau_j))),Resal+(Salim-Resal)*(1-EXP((Tnet-t)/(Tau_j))))*Salcycl</f>
        <v>4.8620092984791759E-2</v>
      </c>
      <c r="P262" s="169">
        <f>(INDEX(Models!$BJ262:$BT262,,T262)*(1-R262)+INDEX(Models!$BJ262:$BT262,,T262+1)*R262-ERP_i)*Q262*Ramure*Pc/MaxiM</f>
        <v>2.5702832322028399E-3</v>
      </c>
      <c r="Q262" s="304">
        <f t="shared" si="80"/>
        <v>0.7</v>
      </c>
      <c r="R262" s="177">
        <f t="shared" si="81"/>
        <v>0.9681631227249996</v>
      </c>
      <c r="S262" s="799">
        <f t="shared" si="82"/>
        <v>-1</v>
      </c>
      <c r="T262" s="176">
        <f t="shared" si="83"/>
        <v>5</v>
      </c>
      <c r="U262" s="250">
        <f t="shared" si="84"/>
        <v>-3.1836877275000453E-2</v>
      </c>
      <c r="V262" s="382">
        <f t="shared" si="85"/>
        <v>45.491012313260072</v>
      </c>
      <c r="W262" s="400">
        <f t="shared" si="86"/>
        <v>39.641424290776364</v>
      </c>
      <c r="X262" s="157">
        <f t="shared" si="87"/>
        <v>47000</v>
      </c>
      <c r="Y262" s="383">
        <f t="shared" si="88"/>
        <v>37.920688223135919</v>
      </c>
      <c r="Z262" s="383">
        <f t="shared" si="89"/>
        <v>40.570990630903204</v>
      </c>
      <c r="AA262" s="384">
        <f t="shared" si="90"/>
        <v>44.047796353535404</v>
      </c>
      <c r="AB262" s="197">
        <f t="shared" si="91"/>
        <v>47000</v>
      </c>
      <c r="AC262" s="119">
        <f>IF(OR(t&lt;Tnet,NoTnet),'2027'!Resal_s+('2027'!Salim-'2027'!Resal_s)*(1-EXP(('2027'!Tnet_s-t)/'2027'!Tau_j)),Resal_s+(Salim-Resal_s)*(1-EXP((Tnet_s-t)/Tau_j)))*Salcycl</f>
        <v>7.8932568946849122E-2</v>
      </c>
      <c r="AD262" s="230">
        <f>(INDEX(Models!$BJ262:$BT262,,AH262)*(1-AF262)+INDEX(Models!$BJ262:$BT262,,AH262+1)*AF262-ERP_i)*AE262*Ramure*Pc/MaxiM</f>
        <v>1.7149291495258547E-2</v>
      </c>
      <c r="AE262" s="304">
        <f t="shared" si="92"/>
        <v>0.7</v>
      </c>
      <c r="AF262" s="177">
        <f t="shared" si="93"/>
        <v>0.72382095356435006</v>
      </c>
      <c r="AG262" s="799">
        <f t="shared" si="99"/>
        <v>2</v>
      </c>
      <c r="AH262" s="176">
        <f t="shared" si="94"/>
        <v>8</v>
      </c>
      <c r="AI262" s="224">
        <f t="shared" si="95"/>
        <v>2.7238209535643501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47001</v>
      </c>
      <c r="B263" s="409">
        <f>'2027'!Wh/'2027'!Env_an*'2028'!Env_an</f>
        <v>43.09656396672267</v>
      </c>
      <c r="C263" s="829"/>
      <c r="D263" s="391">
        <f t="shared" si="77"/>
        <v>46.10949548979228</v>
      </c>
      <c r="E263" s="383">
        <f t="shared" si="100"/>
        <v>48.468736816114188</v>
      </c>
      <c r="F263" s="383">
        <f t="shared" si="78"/>
        <v>48.58881117596647</v>
      </c>
      <c r="G263" s="110">
        <f t="shared" si="101"/>
        <v>0.95114620684074314</v>
      </c>
      <c r="H263" s="412" t="b">
        <f>Wh_hp&gt;='2027'!Maxi_hp</f>
        <v>0</v>
      </c>
      <c r="I263" s="388">
        <f>IF(H263,Wh_hp,'2027'!Maxi_hp)</f>
        <v>51.253626858987126</v>
      </c>
      <c r="J263" s="85">
        <f>IF(H263,An,'2027'!An_max)</f>
        <v>2018</v>
      </c>
      <c r="K263" s="197">
        <f t="shared" si="79"/>
        <v>47001</v>
      </c>
      <c r="L263" s="147">
        <f>IF(t&lt;Tvie,1-EXP((T0-t)*PertePVj)+'2027'!Pspv,1-EXP((T0-t)*PertePVj)+Pspv)</f>
        <v>6.5342973091878975E-2</v>
      </c>
      <c r="M263" s="832"/>
      <c r="N263" s="832"/>
      <c r="O263" s="48">
        <f>IF(t&lt;Tnet,'2027'!Resal+('2027'!Salim-'2027'!Resal)*(1-EXP(('2027'!Tnet-t)/('2027'!Tau_j))),Resal+(Salim-Resal)*(1-EXP((Tnet-t)/(Tau_j))))*Salcycl</f>
        <v>4.8675527387326986E-2</v>
      </c>
      <c r="P263" s="169">
        <f>(INDEX(Models!$BJ263:$BT263,,T263)*(1-R263)+INDEX(Models!$BJ263:$BT263,,T263+1)*R263-ERP_i)*Q263*Ramure*Pc/MaxiM</f>
        <v>2.6559266076447616E-3</v>
      </c>
      <c r="Q263" s="304">
        <f t="shared" si="80"/>
        <v>0.7</v>
      </c>
      <c r="R263" s="177">
        <f t="shared" si="81"/>
        <v>0.96859112587030483</v>
      </c>
      <c r="S263" s="799">
        <f t="shared" si="82"/>
        <v>-1</v>
      </c>
      <c r="T263" s="176">
        <f t="shared" si="83"/>
        <v>5</v>
      </c>
      <c r="U263" s="250">
        <f t="shared" si="84"/>
        <v>-3.1408874129695119E-2</v>
      </c>
      <c r="V263" s="382">
        <f t="shared" si="85"/>
        <v>45.301746834203833</v>
      </c>
      <c r="W263" s="400">
        <f t="shared" si="86"/>
        <v>43.09656396672267</v>
      </c>
      <c r="X263" s="157">
        <f t="shared" si="87"/>
        <v>47001</v>
      </c>
      <c r="Y263" s="383">
        <f t="shared" si="88"/>
        <v>41.157828331856614</v>
      </c>
      <c r="Z263" s="383">
        <f t="shared" si="89"/>
        <v>44.035220564283549</v>
      </c>
      <c r="AA263" s="384">
        <f t="shared" si="90"/>
        <v>47.809725544684561</v>
      </c>
      <c r="AB263" s="197">
        <f t="shared" si="91"/>
        <v>47001</v>
      </c>
      <c r="AC263" s="119">
        <f>IF(OR(t&lt;Tnet,NoTnet),'2027'!Resal_s+('2027'!Salim-'2027'!Resal_s)*(1-EXP(('2027'!Tnet_s-t)/'2027'!Tau_j)),Resal_s+(Salim-Resal_s)*(1-EXP((Tnet_s-t)/Tau_j)))*Salcycl</f>
        <v>7.8948476223174219E-2</v>
      </c>
      <c r="AD263" s="230">
        <f>(INDEX(Models!$BJ263:$BT263,,AH263)*(1-AF263)+INDEX(Models!$BJ263:$BT263,,AH263+1)*AF263-ERP_i)*AE263*Ramure*Pc/MaxiM</f>
        <v>1.7232607030350934E-2</v>
      </c>
      <c r="AE263" s="304">
        <f t="shared" si="92"/>
        <v>0.7</v>
      </c>
      <c r="AF263" s="177">
        <f t="shared" si="93"/>
        <v>0.72424895670965572</v>
      </c>
      <c r="AG263" s="799">
        <f t="shared" si="99"/>
        <v>2</v>
      </c>
      <c r="AH263" s="176">
        <f t="shared" si="94"/>
        <v>8</v>
      </c>
      <c r="AI263" s="224">
        <f t="shared" si="95"/>
        <v>2.7242489567096557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47002</v>
      </c>
      <c r="B264" s="409">
        <f>'2027'!Wh/'2027'!Env_an*'2028'!Env_an</f>
        <v>33.577896345221518</v>
      </c>
      <c r="C264" s="829"/>
      <c r="D264" s="391">
        <f t="shared" si="77"/>
        <v>35.926055123510551</v>
      </c>
      <c r="E264" s="383">
        <f t="shared" si="100"/>
        <v>37.766435704223099</v>
      </c>
      <c r="F264" s="383">
        <f t="shared" si="78"/>
        <v>37.832221812521979</v>
      </c>
      <c r="G264" s="110">
        <f t="shared" si="101"/>
        <v>0.74362063411760093</v>
      </c>
      <c r="H264" s="412" t="b">
        <f>Wh_hp&gt;='2027'!Maxi_hp</f>
        <v>0</v>
      </c>
      <c r="I264" s="388">
        <f>IF(H264,Wh_hp,'2027'!Maxi_hp)</f>
        <v>52.759985924745806</v>
      </c>
      <c r="J264" s="85">
        <f>IF(H264,An,'2027'!An_max)</f>
        <v>2018</v>
      </c>
      <c r="K264" s="197">
        <f t="shared" si="79"/>
        <v>47002</v>
      </c>
      <c r="L264" s="147">
        <f>IF(t&lt;Tvie,1-EXP((T0-t)*PertePVj)+'2027'!Pspv,1-EXP((T0-t)*PertePVj)+Pspv)</f>
        <v>6.5360885580570183E-2</v>
      </c>
      <c r="M264" s="832"/>
      <c r="N264" s="832"/>
      <c r="O264" s="48">
        <f>IF(t&lt;Tnet,'2027'!Resal+('2027'!Salim-'2027'!Resal)*(1-EXP(('2027'!Tnet-t)/('2027'!Tau_j))),Resal+(Salim-Resal)*(1-EXP((Tnet-t)/(Tau_j))))*Salcycl</f>
        <v>4.8730586998622955E-2</v>
      </c>
      <c r="P264" s="169">
        <f>(INDEX(Models!$BJ264:$BT264,,T264)*(1-R264)+INDEX(Models!$BJ264:$BT264,,T264+1)*R264-ERP_i)*Q264*Ramure*Pc/MaxiM</f>
        <v>2.7392333222846493E-3</v>
      </c>
      <c r="Q264" s="304">
        <f t="shared" si="80"/>
        <v>0.7</v>
      </c>
      <c r="R264" s="177">
        <f t="shared" si="81"/>
        <v>0.969002781256735</v>
      </c>
      <c r="S264" s="799">
        <f t="shared" si="82"/>
        <v>-1</v>
      </c>
      <c r="T264" s="176">
        <f t="shared" si="83"/>
        <v>5</v>
      </c>
      <c r="U264" s="250">
        <f t="shared" si="84"/>
        <v>-3.0997218743265054E-2</v>
      </c>
      <c r="V264" s="382">
        <f t="shared" si="85"/>
        <v>45.109356712052652</v>
      </c>
      <c r="W264" s="400">
        <f t="shared" si="86"/>
        <v>33.577896345221518</v>
      </c>
      <c r="X264" s="157">
        <f t="shared" si="87"/>
        <v>47002</v>
      </c>
      <c r="Y264" s="383">
        <f t="shared" si="88"/>
        <v>32.210219618233587</v>
      </c>
      <c r="Z264" s="383">
        <f t="shared" si="89"/>
        <v>34.462734462211785</v>
      </c>
      <c r="AA264" s="384">
        <f t="shared" si="90"/>
        <v>37.417353995537987</v>
      </c>
      <c r="AB264" s="197">
        <f t="shared" si="91"/>
        <v>47002</v>
      </c>
      <c r="AC264" s="119">
        <f>IF(OR(t&lt;Tnet,NoTnet),'2027'!Resal_s+('2027'!Salim-'2027'!Resal_s)*(1-EXP(('2027'!Tnet_s-t)/'2027'!Tau_j)),Resal_s+(Salim-Resal_s)*(1-EXP((Tnet_s-t)/Tau_j)))*Salcycl</f>
        <v>7.8963882204993341E-2</v>
      </c>
      <c r="AD264" s="230">
        <f>(INDEX(Models!$BJ264:$BT264,,AH264)*(1-AF264)+INDEX(Models!$BJ264:$BT264,,AH264+1)*AF264-ERP_i)*AE264*Ramure*Pc/MaxiM</f>
        <v>1.7274463834568713E-2</v>
      </c>
      <c r="AE264" s="304">
        <f t="shared" si="92"/>
        <v>0.7</v>
      </c>
      <c r="AF264" s="177">
        <f t="shared" si="93"/>
        <v>0.7246606120960859</v>
      </c>
      <c r="AG264" s="799">
        <f t="shared" si="99"/>
        <v>2</v>
      </c>
      <c r="AH264" s="176">
        <f t="shared" si="94"/>
        <v>8</v>
      </c>
      <c r="AI264" s="224">
        <f t="shared" si="95"/>
        <v>2.7246606120960859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47003</v>
      </c>
      <c r="B265" s="409">
        <f>'2027'!Wh/'2027'!Env_an*'2028'!Env_an</f>
        <v>38.27495828571071</v>
      </c>
      <c r="C265" s="829"/>
      <c r="D265" s="391">
        <f t="shared" si="77"/>
        <v>40.952375350124612</v>
      </c>
      <c r="E265" s="383">
        <f t="shared" si="100"/>
        <v>43.052713139058866</v>
      </c>
      <c r="F265" s="383">
        <f t="shared" si="78"/>
        <v>43.148704155593272</v>
      </c>
      <c r="G265" s="110">
        <f t="shared" si="101"/>
        <v>0.8516757568737563</v>
      </c>
      <c r="H265" s="412" t="b">
        <f>Wh_hp&gt;='2027'!Maxi_hp</f>
        <v>0</v>
      </c>
      <c r="I265" s="388">
        <f>IF(H265,Wh_hp,'2027'!Maxi_hp)</f>
        <v>48.227232610216525</v>
      </c>
      <c r="J265" s="85">
        <f>IF(H265,An,'2027'!An_max)</f>
        <v>2020</v>
      </c>
      <c r="K265" s="197">
        <f t="shared" si="79"/>
        <v>47003</v>
      </c>
      <c r="L265" s="147">
        <f>IF(t&lt;Tvie,1-EXP((T0-t)*PertePVj)+'2027'!Pspv,1-EXP((T0-t)*PertePVj)+Pspv)</f>
        <v>6.5378797725972548E-2</v>
      </c>
      <c r="M265" s="832"/>
      <c r="N265" s="832"/>
      <c r="O265" s="48">
        <f>IF(t&lt;Tnet,'2027'!Resal+('2027'!Salim-'2027'!Resal)*(1-EXP(('2027'!Tnet-t)/('2027'!Tau_j))),Resal+(Salim-Resal)*(1-EXP((Tnet-t)/(Tau_j))))*Salcycl</f>
        <v>4.8785259645547308E-2</v>
      </c>
      <c r="P265" s="169">
        <f>(INDEX(Models!$BJ265:$BT265,,T265)*(1-R265)+INDEX(Models!$BJ265:$BT265,,T265+1)*R265-ERP_i)*Q265*Ramure*Pc/MaxiM</f>
        <v>2.8201795081303905E-3</v>
      </c>
      <c r="Q265" s="304">
        <f t="shared" si="80"/>
        <v>0.7</v>
      </c>
      <c r="R265" s="177">
        <f t="shared" si="81"/>
        <v>0.96939867985421158</v>
      </c>
      <c r="S265" s="799">
        <f t="shared" si="82"/>
        <v>-1</v>
      </c>
      <c r="T265" s="176">
        <f t="shared" si="83"/>
        <v>5</v>
      </c>
      <c r="U265" s="250">
        <f t="shared" si="84"/>
        <v>-3.0601320145788369E-2</v>
      </c>
      <c r="V265" s="382">
        <f t="shared" si="85"/>
        <v>44.913939973304537</v>
      </c>
      <c r="W265" s="400">
        <f t="shared" si="86"/>
        <v>38.27495828571071</v>
      </c>
      <c r="X265" s="157">
        <f t="shared" si="87"/>
        <v>47003</v>
      </c>
      <c r="Y265" s="383">
        <f t="shared" si="88"/>
        <v>36.636533517461295</v>
      </c>
      <c r="Z265" s="383">
        <f t="shared" si="89"/>
        <v>39.199339185031242</v>
      </c>
      <c r="AA265" s="384">
        <f t="shared" si="90"/>
        <v>42.560733496510842</v>
      </c>
      <c r="AB265" s="197">
        <f t="shared" si="91"/>
        <v>47003</v>
      </c>
      <c r="AC265" s="119">
        <f>IF(OR(t&lt;Tnet,NoTnet),'2027'!Resal_s+('2027'!Salim-'2027'!Resal_s)*(1-EXP(('2027'!Tnet_s-t)/'2027'!Tau_j)),Resal_s+(Salim-Resal_s)*(1-EXP((Tnet_s-t)/Tau_j)))*Salcycl</f>
        <v>7.8978768346536263E-2</v>
      </c>
      <c r="AD265" s="230">
        <f>(INDEX(Models!$BJ265:$BT265,,AH265)*(1-AF265)+INDEX(Models!$BJ265:$BT265,,AH265+1)*AF265-ERP_i)*AE265*Ramure*Pc/MaxiM</f>
        <v>1.7274354038451928E-2</v>
      </c>
      <c r="AE265" s="304">
        <f t="shared" si="92"/>
        <v>0.7</v>
      </c>
      <c r="AF265" s="177">
        <f t="shared" si="93"/>
        <v>0.72505651069356247</v>
      </c>
      <c r="AG265" s="799">
        <f t="shared" si="99"/>
        <v>2</v>
      </c>
      <c r="AH265" s="176">
        <f t="shared" si="94"/>
        <v>8</v>
      </c>
      <c r="AI265" s="224">
        <f t="shared" si="95"/>
        <v>2.7250565106935625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47004</v>
      </c>
      <c r="B266" s="409">
        <f>'2027'!Wh/'2027'!Env_an*'2028'!Env_an</f>
        <v>16.152521194470012</v>
      </c>
      <c r="C266" s="829"/>
      <c r="D266" s="391">
        <f t="shared" si="77"/>
        <v>17.282756608222677</v>
      </c>
      <c r="E266" s="383">
        <f t="shared" si="100"/>
        <v>18.170179692318101</v>
      </c>
      <c r="F266" s="383">
        <f t="shared" si="78"/>
        <v>18.174787878338066</v>
      </c>
      <c r="G266" s="110">
        <f t="shared" si="101"/>
        <v>0.3602721599195482</v>
      </c>
      <c r="H266" s="412" t="b">
        <f>Wh_hp&gt;='2027'!Maxi_hp</f>
        <v>0</v>
      </c>
      <c r="I266" s="388">
        <f>IF(H266,Wh_hp,'2027'!Maxi_hp)</f>
        <v>49.53769434119436</v>
      </c>
      <c r="J266" s="85">
        <f>IF(H266,An,'2027'!An_max)</f>
        <v>2020</v>
      </c>
      <c r="K266" s="197">
        <f t="shared" si="79"/>
        <v>47004</v>
      </c>
      <c r="L266" s="147">
        <f>IF(t&lt;Tvie,1-EXP((T0-t)*PertePVj)+'2027'!Pspv,1-EXP((T0-t)*PertePVj)+Pspv)</f>
        <v>6.5396709528092845E-2</v>
      </c>
      <c r="M266" s="832"/>
      <c r="N266" s="832"/>
      <c r="O266" s="48">
        <f>IF(t&lt;Tnet,'2027'!Resal+('2027'!Salim-'2027'!Resal)*(1-EXP(('2027'!Tnet-t)/('2027'!Tau_j))),Resal+(Salim-Resal)*(1-EXP((Tnet-t)/(Tau_j))))*Salcycl</f>
        <v>4.8839532636576248E-2</v>
      </c>
      <c r="P266" s="169">
        <f>(INDEX(Models!$BJ266:$BT266,,T266)*(1-R266)+INDEX(Models!$BJ266:$BT266,,T266+1)*R266-ERP_i)*Q266*Ramure*Pc/MaxiM</f>
        <v>2.898739516441515E-3</v>
      </c>
      <c r="Q266" s="304">
        <f t="shared" si="80"/>
        <v>0.7</v>
      </c>
      <c r="R266" s="177">
        <f t="shared" si="81"/>
        <v>0.96977939385369583</v>
      </c>
      <c r="S266" s="799">
        <f t="shared" si="82"/>
        <v>-1</v>
      </c>
      <c r="T266" s="176">
        <f t="shared" si="83"/>
        <v>5</v>
      </c>
      <c r="U266" s="250">
        <f t="shared" si="84"/>
        <v>-3.022060614630423E-2</v>
      </c>
      <c r="V266" s="382">
        <f t="shared" si="85"/>
        <v>44.715594606068407</v>
      </c>
      <c r="W266" s="400">
        <f t="shared" si="86"/>
        <v>16.152521194470012</v>
      </c>
      <c r="X266" s="157">
        <f t="shared" si="87"/>
        <v>47004</v>
      </c>
      <c r="Y266" s="383">
        <f t="shared" si="88"/>
        <v>15.620842580083661</v>
      </c>
      <c r="Z266" s="383">
        <f t="shared" si="89"/>
        <v>16.713875009145607</v>
      </c>
      <c r="AA266" s="384">
        <f t="shared" si="90"/>
        <v>18.147394213128852</v>
      </c>
      <c r="AB266" s="197">
        <f t="shared" si="91"/>
        <v>47004</v>
      </c>
      <c r="AC266" s="119">
        <f>IF(OR(t&lt;Tnet,NoTnet),'2027'!Resal_s+('2027'!Salim-'2027'!Resal_s)*(1-EXP(('2027'!Tnet_s-t)/'2027'!Tau_j)),Resal_s+(Salim-Resal_s)*(1-EXP((Tnet_s-t)/Tau_j)))*Salcycl</f>
        <v>7.8993115328158614E-2</v>
      </c>
      <c r="AD266" s="230">
        <f>(INDEX(Models!$BJ266:$BT266,,AH266)*(1-AF266)+INDEX(Models!$BJ266:$BT266,,AH266+1)*AF266-ERP_i)*AE266*Ramure*Pc/MaxiM</f>
        <v>1.7231747915140275E-2</v>
      </c>
      <c r="AE266" s="304">
        <f t="shared" si="92"/>
        <v>0.7</v>
      </c>
      <c r="AF266" s="177">
        <f t="shared" si="93"/>
        <v>0.72543722469304672</v>
      </c>
      <c r="AG266" s="799">
        <f t="shared" si="99"/>
        <v>2</v>
      </c>
      <c r="AH266" s="176">
        <f t="shared" si="94"/>
        <v>8</v>
      </c>
      <c r="AI266" s="224">
        <f t="shared" si="95"/>
        <v>2.7254372246930467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47005</v>
      </c>
      <c r="B267" s="409">
        <f>'2027'!Wh/'2027'!Env_an*'2028'!Env_an</f>
        <v>42.394910901707668</v>
      </c>
      <c r="C267" s="829"/>
      <c r="D267" s="391">
        <f t="shared" si="77"/>
        <v>45.362266362948439</v>
      </c>
      <c r="E267" s="383">
        <f t="shared" si="100"/>
        <v>47.694197492791048</v>
      </c>
      <c r="F267" s="383">
        <f t="shared" si="78"/>
        <v>47.826798935231402</v>
      </c>
      <c r="G267" s="110">
        <f t="shared" si="101"/>
        <v>0.95219278934663287</v>
      </c>
      <c r="H267" s="412" t="b">
        <f>Wh_hp&gt;='2027'!Maxi_hp</f>
        <v>0</v>
      </c>
      <c r="I267" s="388">
        <f>IF(H267,Wh_hp,'2027'!Maxi_hp)</f>
        <v>47.833908333949203</v>
      </c>
      <c r="J267" s="85">
        <f>IF(H267,An,'2027'!An_max)</f>
        <v>2026</v>
      </c>
      <c r="K267" s="197">
        <f t="shared" si="79"/>
        <v>47005</v>
      </c>
      <c r="L267" s="147">
        <f>IF(t&lt;Tvie,1-EXP((T0-t)*PertePVj)+'2027'!Pspv,1-EXP((T0-t)*PertePVj)+Pspv)</f>
        <v>6.54146209869374E-2</v>
      </c>
      <c r="M267" s="832"/>
      <c r="N267" s="832"/>
      <c r="O267" s="48">
        <f>IF(t&lt;Tnet,'2027'!Resal+('2027'!Salim-'2027'!Resal)*(1-EXP(('2027'!Tnet-t)/('2027'!Tau_j))),Resal+(Salim-Resal)*(1-EXP((Tnet-t)/(Tau_j))))*Salcycl</f>
        <v>4.8893392748563955E-2</v>
      </c>
      <c r="P267" s="169">
        <f>(INDEX(Models!$BJ267:$BT267,,T267)*(1-R267)+INDEX(Models!$BJ267:$BT267,,T267+1)*R267-ERP_i)*Q267*Ramure*Pc/MaxiM</f>
        <v>2.9748859011444221E-3</v>
      </c>
      <c r="Q267" s="304">
        <f t="shared" si="80"/>
        <v>0.7</v>
      </c>
      <c r="R267" s="177">
        <f t="shared" si="81"/>
        <v>0.97014547705982768</v>
      </c>
      <c r="S267" s="799">
        <f t="shared" si="82"/>
        <v>-1</v>
      </c>
      <c r="T267" s="176">
        <f t="shared" si="83"/>
        <v>5</v>
      </c>
      <c r="U267" s="250">
        <f t="shared" si="84"/>
        <v>-2.9854522940172323E-2</v>
      </c>
      <c r="V267" s="382">
        <f t="shared" si="85"/>
        <v>44.514418559714365</v>
      </c>
      <c r="W267" s="400">
        <f t="shared" si="86"/>
        <v>42.394910901707668</v>
      </c>
      <c r="X267" s="157">
        <f t="shared" si="87"/>
        <v>47005</v>
      </c>
      <c r="Y267" s="383">
        <f t="shared" si="88"/>
        <v>40.508921215793961</v>
      </c>
      <c r="Z267" s="383">
        <f t="shared" si="89"/>
        <v>43.344270224483978</v>
      </c>
      <c r="AA267" s="384">
        <f t="shared" si="90"/>
        <v>47.062535395185719</v>
      </c>
      <c r="AB267" s="197">
        <f t="shared" si="91"/>
        <v>47005</v>
      </c>
      <c r="AC267" s="119">
        <f>IF(OR(t&lt;Tnet,NoTnet),'2027'!Resal_s+('2027'!Salim-'2027'!Resal_s)*(1-EXP(('2027'!Tnet_s-t)/'2027'!Tau_j)),Resal_s+(Salim-Resal_s)*(1-EXP((Tnet_s-t)/Tau_j)))*Salcycl</f>
        <v>7.9006903038252016E-2</v>
      </c>
      <c r="AD267" s="230">
        <f>(INDEX(Models!$BJ267:$BT267,,AH267)*(1-AF267)+INDEX(Models!$BJ267:$BT267,,AH267+1)*AF267-ERP_i)*AE267*Ramure*Pc/MaxiM</f>
        <v>1.7146094252054791E-2</v>
      </c>
      <c r="AE267" s="304">
        <f t="shared" si="92"/>
        <v>0.7</v>
      </c>
      <c r="AF267" s="177">
        <f t="shared" si="93"/>
        <v>0.72580330789917857</v>
      </c>
      <c r="AG267" s="799">
        <f t="shared" si="99"/>
        <v>2</v>
      </c>
      <c r="AH267" s="176">
        <f t="shared" si="94"/>
        <v>8</v>
      </c>
      <c r="AI267" s="224">
        <f t="shared" si="95"/>
        <v>2.7258033078991786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47006</v>
      </c>
      <c r="B268" s="409">
        <f>'2027'!Wh/'2027'!Env_an*'2028'!Env_an</f>
        <v>44.535327447233229</v>
      </c>
      <c r="C268" s="829"/>
      <c r="D268" s="391">
        <f t="shared" si="77"/>
        <v>47.653410777742074</v>
      </c>
      <c r="E268" s="383">
        <f t="shared" si="100"/>
        <v>50.105937387551236</v>
      </c>
      <c r="F268" s="383">
        <f t="shared" si="78"/>
        <v>50.2588012823322</v>
      </c>
      <c r="G268" s="110">
        <f t="shared" si="101"/>
        <v>1.0050665759483837</v>
      </c>
      <c r="H268" s="412" t="b">
        <f>Wh_hp&gt;='2027'!Maxi_hp</f>
        <v>1</v>
      </c>
      <c r="I268" s="388">
        <f>IF(H268,Wh_hp,'2027'!Maxi_hp)</f>
        <v>50.2588012823322</v>
      </c>
      <c r="J268" s="85">
        <f>IF(H268,An,'2027'!An_max)</f>
        <v>2028</v>
      </c>
      <c r="K268" s="197">
        <f t="shared" si="79"/>
        <v>47006</v>
      </c>
      <c r="L268" s="147">
        <f>IF(t&lt;Tvie,1-EXP((T0-t)*PertePVj)+'2027'!Pspv,1-EXP((T0-t)*PertePVj)+Pspv)</f>
        <v>6.5432532102512986E-2</v>
      </c>
      <c r="M268" s="832"/>
      <c r="N268" s="832"/>
      <c r="O268" s="48">
        <f>IF(t&lt;Tnet,'2027'!Resal+('2027'!Salim-'2027'!Resal)*(1-EXP(('2027'!Tnet-t)/('2027'!Tau_j))),Resal+(Salim-Resal)*(1-EXP((Tnet-t)/(Tau_j))))*Salcycl</f>
        <v>4.894682621821355E-2</v>
      </c>
      <c r="P268" s="169">
        <f>(INDEX(Models!$BJ268:$BT268,,T268)*(1-R268)+INDEX(Models!$BJ268:$BT268,,T268+1)*R268-ERP_i)*Q268*Ramure*Pc/MaxiM</f>
        <v>3.0415348333168767E-3</v>
      </c>
      <c r="Q268" s="304">
        <f t="shared" si="80"/>
        <v>0.7</v>
      </c>
      <c r="R268" s="177">
        <f t="shared" si="81"/>
        <v>0.97049746529289704</v>
      </c>
      <c r="S268" s="799">
        <f t="shared" si="82"/>
        <v>-1</v>
      </c>
      <c r="T268" s="176">
        <f t="shared" si="83"/>
        <v>5</v>
      </c>
      <c r="U268" s="250">
        <f t="shared" si="84"/>
        <v>-2.9502534707102956E-2</v>
      </c>
      <c r="V268" s="382">
        <f t="shared" si="85"/>
        <v>44.310823295670303</v>
      </c>
      <c r="W268" s="400">
        <f t="shared" si="86"/>
        <v>44.535327447233229</v>
      </c>
      <c r="X268" s="157">
        <f t="shared" si="87"/>
        <v>47006</v>
      </c>
      <c r="Y268" s="383">
        <f t="shared" si="88"/>
        <v>42.522023788772515</v>
      </c>
      <c r="Z268" s="383">
        <f t="shared" si="89"/>
        <v>45.499148268487311</v>
      </c>
      <c r="AA268" s="384">
        <f t="shared" si="90"/>
        <v>49.40297697085721</v>
      </c>
      <c r="AB268" s="197">
        <f t="shared" si="91"/>
        <v>47006</v>
      </c>
      <c r="AC268" s="119">
        <f>IF(OR(t&lt;Tnet,NoTnet),'2027'!Resal_s+('2027'!Salim-'2027'!Resal_s)*(1-EXP(('2027'!Tnet_s-t)/'2027'!Tau_j)),Resal_s+(Salim-Resal_s)*(1-EXP((Tnet_s-t)/Tau_j)))*Salcycl</f>
        <v>7.9020110562826304E-2</v>
      </c>
      <c r="AD268" s="230">
        <f>(INDEX(Models!$BJ268:$BT268,,AH268)*(1-AF268)+INDEX(Models!$BJ268:$BT268,,AH268+1)*AF268-ERP_i)*AE268*Ramure*Pc/MaxiM</f>
        <v>1.7028347068354082E-2</v>
      </c>
      <c r="AE268" s="304">
        <f t="shared" si="92"/>
        <v>0.7</v>
      </c>
      <c r="AF268" s="177">
        <f t="shared" si="93"/>
        <v>0.72615529613224794</v>
      </c>
      <c r="AG268" s="799">
        <f t="shared" si="99"/>
        <v>2</v>
      </c>
      <c r="AH268" s="176">
        <f t="shared" si="94"/>
        <v>8</v>
      </c>
      <c r="AI268" s="224">
        <f t="shared" si="95"/>
        <v>2.7261552961322479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47007</v>
      </c>
      <c r="B269" s="409">
        <f>'2027'!Wh/'2027'!Env_an*'2028'!Env_an</f>
        <v>34.310335325619896</v>
      </c>
      <c r="C269" s="829"/>
      <c r="D269" s="391">
        <f t="shared" si="77"/>
        <v>36.713232662764355</v>
      </c>
      <c r="E269" s="383">
        <f t="shared" si="100"/>
        <v>38.604864001269569</v>
      </c>
      <c r="F269" s="383">
        <f t="shared" si="78"/>
        <v>38.686729835200097</v>
      </c>
      <c r="G269" s="110">
        <f t="shared" si="101"/>
        <v>0.77715970208544694</v>
      </c>
      <c r="H269" s="412" t="b">
        <f>Wh_hp&gt;='2027'!Maxi_hp</f>
        <v>0</v>
      </c>
      <c r="I269" s="388">
        <f>IF(H269,Wh_hp,'2027'!Maxi_hp)</f>
        <v>50.45491962020855</v>
      </c>
      <c r="J269" s="85">
        <f>IF(H269,An,'2027'!An_max)</f>
        <v>2018</v>
      </c>
      <c r="K269" s="197">
        <f t="shared" si="79"/>
        <v>47007</v>
      </c>
      <c r="L269" s="147">
        <f>IF(t&lt;Tvie,1-EXP((T0-t)*PertePVj)+'2027'!Pspv,1-EXP((T0-t)*PertePVj)+Pspv)</f>
        <v>6.5450442874826154E-2</v>
      </c>
      <c r="M269" s="832"/>
      <c r="N269" s="832"/>
      <c r="O269" s="48">
        <f>IF(t&lt;Tnet,'2027'!Resal+('2027'!Salim-'2027'!Resal)*(1-EXP(('2027'!Tnet-t)/('2027'!Tau_j))),Resal+(Salim-Resal)*(1-EXP((Tnet-t)/(Tau_j))))*Salcycl</f>
        <v>4.8999818738980801E-2</v>
      </c>
      <c r="P269" s="169">
        <f>(INDEX(Models!$BJ269:$BT269,,T269)*(1-R269)+INDEX(Models!$BJ269:$BT269,,T269+1)*R269-ERP_i)*Q269*Ramure*Pc/MaxiM</f>
        <v>3.0994014437581855E-3</v>
      </c>
      <c r="Q269" s="304">
        <f t="shared" si="80"/>
        <v>0.7</v>
      </c>
      <c r="R269" s="177">
        <f t="shared" si="81"/>
        <v>0.97083587679816663</v>
      </c>
      <c r="S269" s="799">
        <f t="shared" si="82"/>
        <v>-1</v>
      </c>
      <c r="T269" s="176">
        <f t="shared" si="83"/>
        <v>5</v>
      </c>
      <c r="U269" s="250">
        <f t="shared" si="84"/>
        <v>-2.916412320183337E-2</v>
      </c>
      <c r="V269" s="382">
        <f t="shared" si="85"/>
        <v>44.104869357565399</v>
      </c>
      <c r="W269" s="400">
        <f t="shared" si="86"/>
        <v>34.310335325619896</v>
      </c>
      <c r="X269" s="157">
        <f t="shared" si="87"/>
        <v>47007</v>
      </c>
      <c r="Y269" s="383">
        <f t="shared" si="88"/>
        <v>32.913063624327222</v>
      </c>
      <c r="Z269" s="383">
        <f t="shared" si="89"/>
        <v>35.218104137327025</v>
      </c>
      <c r="AA269" s="384">
        <f t="shared" si="90"/>
        <v>38.24034225341623</v>
      </c>
      <c r="AB269" s="197">
        <f t="shared" si="91"/>
        <v>47007</v>
      </c>
      <c r="AC269" s="119">
        <f>IF(OR(t&lt;Tnet,NoTnet),'2027'!Resal_s+('2027'!Salim-'2027'!Resal_s)*(1-EXP(('2027'!Tnet_s-t)/'2027'!Tau_j)),Resal_s+(Salim-Resal_s)*(1-EXP((Tnet_s-t)/Tau_j)))*Salcycl</f>
        <v>7.9032716183893792E-2</v>
      </c>
      <c r="AD269" s="230">
        <f>(INDEX(Models!$BJ269:$BT269,,AH269)*(1-AF269)+INDEX(Models!$BJ269:$BT269,,AH269+1)*AF269-ERP_i)*AE269*Ramure*Pc/MaxiM</f>
        <v>1.6900021034791105E-2</v>
      </c>
      <c r="AE269" s="304">
        <f t="shared" si="92"/>
        <v>0.7</v>
      </c>
      <c r="AF269" s="177">
        <f t="shared" si="93"/>
        <v>0.72649370763751753</v>
      </c>
      <c r="AG269" s="799">
        <f t="shared" si="99"/>
        <v>2</v>
      </c>
      <c r="AH269" s="176">
        <f t="shared" si="94"/>
        <v>8</v>
      </c>
      <c r="AI269" s="224">
        <f t="shared" si="95"/>
        <v>2.7264937076375175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47008</v>
      </c>
      <c r="B270" s="409">
        <f>'2027'!Wh/'2027'!Env_an*'2028'!Env_an</f>
        <v>10.829285398339957</v>
      </c>
      <c r="C270" s="829"/>
      <c r="D270" s="391">
        <f t="shared" si="77"/>
        <v>11.587927960091154</v>
      </c>
      <c r="E270" s="383">
        <f t="shared" si="100"/>
        <v>12.185663455475</v>
      </c>
      <c r="F270" s="383">
        <f t="shared" si="78"/>
        <v>12.185663455475</v>
      </c>
      <c r="G270" s="110">
        <f t="shared" si="101"/>
        <v>0.24592286092050381</v>
      </c>
      <c r="H270" s="412" t="b">
        <f>Wh_hp&gt;='2027'!Maxi_hp</f>
        <v>0</v>
      </c>
      <c r="I270" s="388">
        <f>IF(H270,Wh_hp,'2027'!Maxi_hp)</f>
        <v>48.157798418886934</v>
      </c>
      <c r="J270" s="85">
        <f>IF(H270,An,'2027'!An_max)</f>
        <v>2020</v>
      </c>
      <c r="K270" s="197">
        <f t="shared" si="79"/>
        <v>47008</v>
      </c>
      <c r="L270" s="147">
        <f>IF(t&lt;Tvie,1-EXP((T0-t)*PertePVj)+'2027'!Pspv,1-EXP((T0-t)*PertePVj)+Pspv)</f>
        <v>6.5468353303883453E-2</v>
      </c>
      <c r="M270" s="832"/>
      <c r="N270" s="832"/>
      <c r="O270" s="48">
        <f>IF(t&lt;Tnet,'2027'!Resal+('2027'!Salim-'2027'!Resal)*(1-EXP(('2027'!Tnet-t)/('2027'!Tau_j))),Resal+(Salim-Resal)*(1-EXP((Tnet-t)/(Tau_j))))*Salcycl</f>
        <v>4.9052355464099508E-2</v>
      </c>
      <c r="P270" s="169">
        <f>(INDEX(Models!$BJ270:$BT270,,T270)*(1-R270)+INDEX(Models!$BJ270:$BT270,,T270+1)*R270-ERP_i)*Q270*Ramure*Pc/MaxiM</f>
        <v>3.1483681034958086E-3</v>
      </c>
      <c r="Q270" s="304">
        <f t="shared" si="80"/>
        <v>0.7</v>
      </c>
      <c r="R270" s="177">
        <f t="shared" si="81"/>
        <v>0.97116121266073474</v>
      </c>
      <c r="S270" s="799">
        <f t="shared" si="82"/>
        <v>-1</v>
      </c>
      <c r="T270" s="176">
        <f t="shared" si="83"/>
        <v>5</v>
      </c>
      <c r="U270" s="250">
        <f t="shared" si="84"/>
        <v>-2.8838787339265315E-2</v>
      </c>
      <c r="V270" s="382">
        <f t="shared" si="85"/>
        <v>43.896654346005619</v>
      </c>
      <c r="W270" s="400">
        <f t="shared" si="86"/>
        <v>10.829285398339957</v>
      </c>
      <c r="X270" s="157">
        <f t="shared" si="87"/>
        <v>47008</v>
      </c>
      <c r="Y270" s="383">
        <f t="shared" si="88"/>
        <v>10.487735963603342</v>
      </c>
      <c r="Z270" s="383">
        <f t="shared" si="89"/>
        <v>11.222451375168527</v>
      </c>
      <c r="AA270" s="384">
        <f t="shared" si="90"/>
        <v>12.185663455475</v>
      </c>
      <c r="AB270" s="197">
        <f t="shared" si="91"/>
        <v>47008</v>
      </c>
      <c r="AC270" s="119">
        <f>IF(OR(t&lt;Tnet,NoTnet),'2027'!Resal_s+('2027'!Salim-'2027'!Resal_s)*(1-EXP(('2027'!Tnet_s-t)/'2027'!Tau_j)),Resal_s+(Salim-Resal_s)*(1-EXP((Tnet_s-t)/Tau_j)))*Salcycl</f>
        <v>7.9044697387707891E-2</v>
      </c>
      <c r="AD270" s="230">
        <f>(INDEX(Models!$BJ270:$BT270,,AH270)*(1-AF270)+INDEX(Models!$BJ270:$BT270,,AH270+1)*AF270-ERP_i)*AE270*Ramure*Pc/MaxiM</f>
        <v>1.6760960864440476E-2</v>
      </c>
      <c r="AE270" s="304">
        <f t="shared" si="92"/>
        <v>0.7</v>
      </c>
      <c r="AF270" s="177">
        <f t="shared" si="93"/>
        <v>0.72681904350008519</v>
      </c>
      <c r="AG270" s="799">
        <f t="shared" si="99"/>
        <v>2</v>
      </c>
      <c r="AH270" s="176">
        <f t="shared" si="94"/>
        <v>8</v>
      </c>
      <c r="AI270" s="224">
        <f t="shared" si="95"/>
        <v>2.7268190435000852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47009</v>
      </c>
      <c r="B271" s="409">
        <f>'2027'!Wh/'2027'!Env_an*'2028'!Env_an</f>
        <v>36.325049775432667</v>
      </c>
      <c r="C271" s="829"/>
      <c r="D271" s="391">
        <f t="shared" ref="D271:D334" si="102">Wh/(1-Ppv)</f>
        <v>38.870535929404085</v>
      </c>
      <c r="E271" s="383">
        <f t="shared" si="100"/>
        <v>40.8778174896458</v>
      </c>
      <c r="F271" s="383">
        <f t="shared" ref="F271:F334" si="103">Wh_sa/(1-Pvg*MEDIAN((-Sdif+Wh/Env_an)/Csdif,0,1))</f>
        <v>40.977015930647013</v>
      </c>
      <c r="G271" s="110">
        <f t="shared" si="101"/>
        <v>0.83085826567398857</v>
      </c>
      <c r="H271" s="412" t="b">
        <f>Wh_hp&gt;='2027'!Maxi_hp</f>
        <v>0</v>
      </c>
      <c r="I271" s="388">
        <f>IF(H271,Wh_hp,'2027'!Maxi_hp)</f>
        <v>47.866073313841895</v>
      </c>
      <c r="J271" s="85">
        <f>IF(H271,An,'2027'!An_max)</f>
        <v>2020</v>
      </c>
      <c r="K271" s="197">
        <f t="shared" ref="K271:K334" si="104">t</f>
        <v>47009</v>
      </c>
      <c r="L271" s="147">
        <f>IF(t&lt;Tvie,1-EXP((T0-t)*PertePVj)+'2027'!Pspv,1-EXP((T0-t)*PertePVj)+Pspv)</f>
        <v>6.5486263389691435E-2</v>
      </c>
      <c r="M271" s="832"/>
      <c r="N271" s="832"/>
      <c r="O271" s="48">
        <f>IF(t&lt;Tnet,'2027'!Resal+('2027'!Salim-'2027'!Resal)*(1-EXP(('2027'!Tnet-t)/('2027'!Tau_j))),Resal+(Salim-Resal)*(1-EXP((Tnet-t)/(Tau_j))))*Salcycl</f>
        <v>4.9104421016365481E-2</v>
      </c>
      <c r="P271" s="169">
        <f>(INDEX(Models!$BJ271:$BT271,,T271)*(1-R271)+INDEX(Models!$BJ271:$BT271,,T271+1)*R271-ERP_i)*Q271*Ramure*Pc/MaxiM</f>
        <v>3.1883129640930029E-3</v>
      </c>
      <c r="Q271" s="304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0.9714739572242832</v>
      </c>
      <c r="S271" s="799">
        <f t="shared" ref="S271:S334" si="107">INDEX(Echel_vg,T271)</f>
        <v>-1</v>
      </c>
      <c r="T271" s="176">
        <f t="shared" ref="T271:T334" si="108">MIN(MATCH(Hp_vg,Echel_vg),10)</f>
        <v>5</v>
      </c>
      <c r="U271" s="250">
        <f t="shared" ref="U271:U334" si="109">IF(OR(t&lt;Ttai,Notai),Hdd+PousH*Croivg,Hdtf+PousH*(Croivg-Croi_tai))</f>
        <v>-2.8526042775716853E-2</v>
      </c>
      <c r="V271" s="382">
        <f t="shared" ref="V271:V334" si="110">MaxiM*(1-Ppv)*(1-Pvg)*(1-Psa)</f>
        <v>43.686275758617789</v>
      </c>
      <c r="W271" s="400">
        <f t="shared" ref="W271:W334" si="111">Wh*(A271&gt;Tmaj)</f>
        <v>36.325049775432667</v>
      </c>
      <c r="X271" s="157">
        <f t="shared" ref="X271:X334" si="112">t</f>
        <v>47009</v>
      </c>
      <c r="Y271" s="383">
        <f t="shared" ref="Y271:Y334" si="113">Wh_pvt_s*(1-Ppv)</f>
        <v>34.821451728572725</v>
      </c>
      <c r="Z271" s="383">
        <f t="shared" ref="Z271:Z334" si="114">Wh_sa_s*(1-Psa_s)</f>
        <v>37.26157290622389</v>
      </c>
      <c r="AA271" s="384">
        <f t="shared" ref="AA271:AA334" si="115">Wh_hp*(1-Pvg_s*MEDIAN((-Sdif+Wh/Env_an)/Csdif,0,1))</f>
        <v>40.460195360183945</v>
      </c>
      <c r="AB271" s="197">
        <f t="shared" ref="AB271:AB334" si="116">t</f>
        <v>47009</v>
      </c>
      <c r="AC271" s="119">
        <f>IF(OR(t&lt;Tnet,NoTnet),'2027'!Resal_s+('2027'!Salim-'2027'!Resal_s)*(1-EXP(('2027'!Tnet_s-t)/'2027'!Tau_j)),Resal_s+(Salim-Resal_s)*(1-EXP((Tnet_s-t)/Tau_j)))*Salcycl</f>
        <v>7.9056030883819017E-2</v>
      </c>
      <c r="AD271" s="230">
        <f>(INDEX(Models!$BJ271:$BT271,,AH271)*(1-AF271)+INDEX(Models!$BJ271:$BT271,,AH271+1)*AF271-ERP_i)*AE271*Ramure*Pc/MaxiM</f>
        <v>1.6611004248515398E-2</v>
      </c>
      <c r="AE271" s="304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0.72713178806363388</v>
      </c>
      <c r="AG271" s="799">
        <f t="shared" si="99"/>
        <v>2</v>
      </c>
      <c r="AH271" s="176">
        <f t="shared" ref="AH271:AH334" si="119">MIN(MATCH(Hp_vg_s,Echel_vg),10)</f>
        <v>8</v>
      </c>
      <c r="AI271" s="224">
        <f t="shared" ref="AI271:AI334" si="120">IF(OR(t&lt;Ttai,Notai),Hdd_s+PousH*Croivg,Hdtai_s+PousH*(Croivg-Croi_tai))</f>
        <v>2.7271317880636339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47010</v>
      </c>
      <c r="B272" s="409">
        <f>'2027'!Wh/'2027'!Env_an*'2028'!Env_an</f>
        <v>40.597681005224686</v>
      </c>
      <c r="C272" s="829"/>
      <c r="D272" s="391">
        <f t="shared" si="102"/>
        <v>43.443405350776779</v>
      </c>
      <c r="E272" s="383">
        <f t="shared" si="100"/>
        <v>45.68930900144737</v>
      </c>
      <c r="F272" s="383">
        <f t="shared" si="103"/>
        <v>45.822876567969139</v>
      </c>
      <c r="G272" s="110">
        <f t="shared" si="101"/>
        <v>0.93355686371736368</v>
      </c>
      <c r="H272" s="412" t="b">
        <f>Wh_hp&gt;='2027'!Maxi_hp</f>
        <v>0</v>
      </c>
      <c r="I272" s="388">
        <f>IF(H272,Wh_hp,'2027'!Maxi_hp)</f>
        <v>49.308768016515323</v>
      </c>
      <c r="J272" s="85">
        <f>IF(H272,An,'2027'!An_max)</f>
        <v>2020</v>
      </c>
      <c r="K272" s="197">
        <f t="shared" si="104"/>
        <v>47010</v>
      </c>
      <c r="L272" s="147">
        <f>IF(t&lt;Tvie,1-EXP((T0-t)*PertePVj)+'2027'!Pspv,1-EXP((T0-t)*PertePVj)+Pspv)</f>
        <v>6.550417313225676E-2</v>
      </c>
      <c r="M272" s="832"/>
      <c r="N272" s="832"/>
      <c r="O272" s="48">
        <f>IF(t&lt;Tnet,'2027'!Resal+('2027'!Salim-'2027'!Resal)*(1-EXP(('2027'!Tnet-t)/('2027'!Tau_j))),Resal+(Salim-Resal)*(1-EXP((Tnet-t)/(Tau_j))))*Salcycl</f>
        <v>4.9155999505255094E-2</v>
      </c>
      <c r="P272" s="169">
        <f>(INDEX(Models!$BJ272:$BT272,,T272)*(1-R272)+INDEX(Models!$BJ272:$BT272,,T272+1)*R272-ERP_i)*Q272*Ramure*Pc/MaxiM</f>
        <v>3.2191100346368952E-3</v>
      </c>
      <c r="Q272" s="304">
        <f t="shared" si="105"/>
        <v>0.7</v>
      </c>
      <c r="R272" s="177">
        <f t="shared" si="106"/>
        <v>0.97177457851220161</v>
      </c>
      <c r="S272" s="799">
        <f t="shared" si="107"/>
        <v>-1</v>
      </c>
      <c r="T272" s="176">
        <f t="shared" si="108"/>
        <v>5</v>
      </c>
      <c r="U272" s="250">
        <f t="shared" si="109"/>
        <v>-2.8225421487798386E-2</v>
      </c>
      <c r="V272" s="382">
        <f t="shared" si="110"/>
        <v>43.473830990876451</v>
      </c>
      <c r="W272" s="400">
        <f t="shared" si="111"/>
        <v>40.597681005224686</v>
      </c>
      <c r="X272" s="157">
        <f t="shared" si="112"/>
        <v>47010</v>
      </c>
      <c r="Y272" s="383">
        <f t="shared" si="113"/>
        <v>38.848146382804892</v>
      </c>
      <c r="Z272" s="383">
        <f t="shared" si="114"/>
        <v>41.57123581066881</v>
      </c>
      <c r="AA272" s="384">
        <f t="shared" si="115"/>
        <v>45.14033261501848</v>
      </c>
      <c r="AB272" s="197">
        <f t="shared" si="116"/>
        <v>47010</v>
      </c>
      <c r="AC272" s="119">
        <f>IF(OR(t&lt;Tnet,NoTnet),'2027'!Resal_s+('2027'!Salim-'2027'!Resal_s)*(1-EXP(('2027'!Tnet_s-t)/'2027'!Tau_j)),Resal_s+(Salim-Resal_s)*(1-EXP((Tnet_s-t)/Tau_j)))*Salcycl</f>
        <v>7.9066692635804986E-2</v>
      </c>
      <c r="AD272" s="230">
        <f>(INDEX(Models!$BJ272:$BT272,,AH272)*(1-AF272)+INDEX(Models!$BJ272:$BT272,,AH272+1)*AF272-ERP_i)*AE272*Ramure*Pc/MaxiM</f>
        <v>1.6449982171877087E-2</v>
      </c>
      <c r="AE272" s="304">
        <f t="shared" si="117"/>
        <v>0.7</v>
      </c>
      <c r="AF272" s="177">
        <f t="shared" si="118"/>
        <v>0.72743240935155251</v>
      </c>
      <c r="AG272" s="799">
        <f t="shared" ref="AG272:AG335" si="124">INDEX(Echel_vg,AH272)</f>
        <v>2</v>
      </c>
      <c r="AH272" s="176">
        <f t="shared" si="119"/>
        <v>8</v>
      </c>
      <c r="AI272" s="224">
        <f t="shared" si="120"/>
        <v>2.7274324093515525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47011</v>
      </c>
      <c r="B273" s="409">
        <f>'2027'!Wh/'2027'!Env_an*'2028'!Env_an</f>
        <v>24.154875366742555</v>
      </c>
      <c r="C273" s="829"/>
      <c r="D273" s="391">
        <f t="shared" si="102"/>
        <v>25.848524523918464</v>
      </c>
      <c r="E273" s="383">
        <f t="shared" si="100"/>
        <v>27.186281925410704</v>
      </c>
      <c r="F273" s="383">
        <f t="shared" si="103"/>
        <v>27.21883915520355</v>
      </c>
      <c r="G273" s="110">
        <f t="shared" si="101"/>
        <v>0.55722968669646356</v>
      </c>
      <c r="H273" s="412" t="b">
        <f>Wh_hp&gt;='2027'!Maxi_hp</f>
        <v>0</v>
      </c>
      <c r="I273" s="388">
        <f>IF(H273,Wh_hp,'2027'!Maxi_hp)</f>
        <v>44.025352482191991</v>
      </c>
      <c r="J273" s="85">
        <f>IF(H273,An,'2027'!An_max)</f>
        <v>2018</v>
      </c>
      <c r="K273" s="197">
        <f t="shared" si="104"/>
        <v>47011</v>
      </c>
      <c r="L273" s="147">
        <f>IF(t&lt;Tvie,1-EXP((T0-t)*PertePVj)+'2027'!Pspv,1-EXP((T0-t)*PertePVj)+Pspv)</f>
        <v>6.5522082531585868E-2</v>
      </c>
      <c r="M273" s="832"/>
      <c r="N273" s="832"/>
      <c r="O273" s="48">
        <f>IF(t&lt;Tnet,'2027'!Resal+('2027'!Salim-'2027'!Resal)*(1-EXP(('2027'!Tnet-t)/('2027'!Tau_j))),Resal+(Salim-Resal)*(1-EXP((Tnet-t)/(Tau_j))))*Salcycl</f>
        <v>4.9207074551884673E-2</v>
      </c>
      <c r="P273" s="169">
        <f>(INDEX(Models!$BJ273:$BT273,,T273)*(1-R273)+INDEX(Models!$BJ273:$BT273,,T273+1)*R273-ERP_i)*Q273*Ramure*Pc/MaxiM</f>
        <v>3.2406292743233211E-3</v>
      </c>
      <c r="Q273" s="304">
        <f t="shared" si="105"/>
        <v>0.7</v>
      </c>
      <c r="R273" s="177">
        <f t="shared" si="106"/>
        <v>0.97206352864971812</v>
      </c>
      <c r="S273" s="799">
        <f t="shared" si="107"/>
        <v>-1</v>
      </c>
      <c r="T273" s="176">
        <f t="shared" si="108"/>
        <v>5</v>
      </c>
      <c r="U273" s="250">
        <f t="shared" si="109"/>
        <v>-2.7936471350281877E-2</v>
      </c>
      <c r="V273" s="382">
        <f t="shared" si="110"/>
        <v>43.259417328606808</v>
      </c>
      <c r="W273" s="400">
        <f t="shared" si="111"/>
        <v>24.154875366742555</v>
      </c>
      <c r="X273" s="157">
        <f t="shared" si="112"/>
        <v>47011</v>
      </c>
      <c r="Y273" s="383">
        <f t="shared" si="113"/>
        <v>23.283321712974413</v>
      </c>
      <c r="Z273" s="383">
        <f t="shared" si="114"/>
        <v>24.915860800703619</v>
      </c>
      <c r="AA273" s="384">
        <f t="shared" si="115"/>
        <v>27.055303804122243</v>
      </c>
      <c r="AB273" s="197">
        <f t="shared" si="116"/>
        <v>47011</v>
      </c>
      <c r="AC273" s="119">
        <f>IF(OR(t&lt;Tnet,NoTnet),'2027'!Resal_s+('2027'!Salim-'2027'!Resal_s)*(1-EXP(('2027'!Tnet_s-t)/'2027'!Tau_j)),Resal_s+(Salim-Resal_s)*(1-EXP((Tnet_s-t)/Tau_j)))*Salcycl</f>
        <v>7.9076657904416134E-2</v>
      </c>
      <c r="AD273" s="230">
        <f>(INDEX(Models!$BJ273:$BT273,,AH273)*(1-AF273)+INDEX(Models!$BJ273:$BT273,,AH273+1)*AF273-ERP_i)*AE273*Ramure*Pc/MaxiM</f>
        <v>1.6277719249236398E-2</v>
      </c>
      <c r="AE273" s="304">
        <f t="shared" si="117"/>
        <v>0.7</v>
      </c>
      <c r="AF273" s="177">
        <f t="shared" si="118"/>
        <v>0.72772135948906902</v>
      </c>
      <c r="AG273" s="799">
        <f t="shared" si="124"/>
        <v>2</v>
      </c>
      <c r="AH273" s="176">
        <f t="shared" si="119"/>
        <v>8</v>
      </c>
      <c r="AI273" s="224">
        <f t="shared" si="120"/>
        <v>2.727721359489069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47012</v>
      </c>
      <c r="B274" s="409">
        <f>'2027'!Wh/'2027'!Env_an*'2028'!Env_an</f>
        <v>44.463215022011845</v>
      </c>
      <c r="C274" s="829"/>
      <c r="D274" s="391">
        <f t="shared" si="102"/>
        <v>47.581720589152503</v>
      </c>
      <c r="E274" s="383">
        <f t="shared" si="100"/>
        <v>50.046912872130314</v>
      </c>
      <c r="F274" s="383">
        <f t="shared" si="103"/>
        <v>50.210233541506348</v>
      </c>
      <c r="G274" s="110">
        <f t="shared" si="101"/>
        <v>1.0329920945130593</v>
      </c>
      <c r="H274" s="412" t="b">
        <f>Wh_hp&gt;='2027'!Maxi_hp</f>
        <v>0</v>
      </c>
      <c r="I274" s="388">
        <f>IF(H274,Wh_hp,'2027'!Maxi_hp)</f>
        <v>50.210233541506355</v>
      </c>
      <c r="J274" s="85">
        <f>IF(H274,An,'2027'!An_max)</f>
        <v>2027</v>
      </c>
      <c r="K274" s="197">
        <f t="shared" si="104"/>
        <v>47012</v>
      </c>
      <c r="L274" s="147">
        <f>IF(t&lt;Tvie,1-EXP((T0-t)*PertePVj)+'2027'!Pspv,1-EXP((T0-t)*PertePVj)+Pspv)</f>
        <v>6.5539991587685531E-2</v>
      </c>
      <c r="M274" s="832"/>
      <c r="N274" s="832"/>
      <c r="O274" s="48">
        <f>IF(t&lt;Tnet,'2027'!Resal+('2027'!Salim-'2027'!Resal)*(1-EXP(('2027'!Tnet-t)/('2027'!Tau_j))),Resal+(Salim-Resal)*(1-EXP((Tnet-t)/(Tau_j))))*Salcycl</f>
        <v>4.9257629322239559E-2</v>
      </c>
      <c r="P274" s="169">
        <f>(INDEX(Models!$BJ274:$BT274,,T274)*(1-R274)+INDEX(Models!$BJ274:$BT274,,T274+1)*R274-ERP_i)*Q274*Ramure*Pc/MaxiM</f>
        <v>3.2527367003984745E-3</v>
      </c>
      <c r="Q274" s="304">
        <f t="shared" si="105"/>
        <v>0.7</v>
      </c>
      <c r="R274" s="177">
        <f t="shared" si="106"/>
        <v>0.97234124428579682</v>
      </c>
      <c r="S274" s="799">
        <f t="shared" si="107"/>
        <v>-1</v>
      </c>
      <c r="T274" s="176">
        <f t="shared" si="108"/>
        <v>5</v>
      </c>
      <c r="U274" s="250">
        <f t="shared" si="109"/>
        <v>-2.7658755714203231E-2</v>
      </c>
      <c r="V274" s="382">
        <f t="shared" si="110"/>
        <v>43.043131944752488</v>
      </c>
      <c r="W274" s="400">
        <f t="shared" si="111"/>
        <v>44.463215022011845</v>
      </c>
      <c r="X274" s="157">
        <f t="shared" si="112"/>
        <v>47012</v>
      </c>
      <c r="Y274" s="383">
        <f t="shared" si="113"/>
        <v>42.513384145723883</v>
      </c>
      <c r="Z274" s="383">
        <f t="shared" si="114"/>
        <v>45.495134904655629</v>
      </c>
      <c r="AA274" s="384">
        <f t="shared" si="115"/>
        <v>49.402148331818822</v>
      </c>
      <c r="AB274" s="197">
        <f t="shared" si="116"/>
        <v>47012</v>
      </c>
      <c r="AC274" s="119">
        <f>IF(OR(t&lt;Tnet,NoTnet),'2027'!Resal_s+('2027'!Salim-'2027'!Resal_s)*(1-EXP(('2027'!Tnet_s-t)/'2027'!Tau_j)),Resal_s+(Salim-Resal_s)*(1-EXP((Tnet_s-t)/Tau_j)))*Salcycl</f>
        <v>7.9085901303744918E-2</v>
      </c>
      <c r="AD274" s="230">
        <f>(INDEX(Models!$BJ274:$BT274,,AH274)*(1-AF274)+INDEX(Models!$BJ274:$BT274,,AH274+1)*AF274-ERP_i)*AE274*Ramure*Pc/MaxiM</f>
        <v>1.6094034078123202E-2</v>
      </c>
      <c r="AE274" s="304">
        <f t="shared" si="117"/>
        <v>0.7</v>
      </c>
      <c r="AF274" s="177">
        <f t="shared" si="118"/>
        <v>0.7279990751251475</v>
      </c>
      <c r="AG274" s="799">
        <f t="shared" si="124"/>
        <v>2</v>
      </c>
      <c r="AH274" s="176">
        <f t="shared" si="119"/>
        <v>8</v>
      </c>
      <c r="AI274" s="224">
        <f t="shared" si="120"/>
        <v>2.7279990751251475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47013</v>
      </c>
      <c r="B275" s="409">
        <f>'2027'!Wh/'2027'!Env_an*'2028'!Env_an</f>
        <v>43.760564807210763</v>
      </c>
      <c r="C275" s="829"/>
      <c r="D275" s="391">
        <f t="shared" si="102"/>
        <v>46.830686268615565</v>
      </c>
      <c r="E275" s="383">
        <f t="shared" si="100"/>
        <v>49.259559203991529</v>
      </c>
      <c r="F275" s="383">
        <f t="shared" si="103"/>
        <v>49.420439760582553</v>
      </c>
      <c r="G275" s="110">
        <f t="shared" si="101"/>
        <v>1.0218602561464742</v>
      </c>
      <c r="H275" s="412" t="b">
        <f>Wh_hp&gt;='2027'!Maxi_hp</f>
        <v>1</v>
      </c>
      <c r="I275" s="388">
        <f>IF(H275,Wh_hp,'2027'!Maxi_hp)</f>
        <v>49.420439760582553</v>
      </c>
      <c r="J275" s="85">
        <f>IF(H275,An,'2027'!An_max)</f>
        <v>2028</v>
      </c>
      <c r="K275" s="197">
        <f t="shared" si="104"/>
        <v>47013</v>
      </c>
      <c r="L275" s="147">
        <f>IF(t&lt;Tvie,1-EXP((T0-t)*PertePVj)+'2027'!Pspv,1-EXP((T0-t)*PertePVj)+Pspv)</f>
        <v>6.5557900300562189E-2</v>
      </c>
      <c r="M275" s="832"/>
      <c r="N275" s="832"/>
      <c r="O275" s="48">
        <f>IF(t&lt;Tnet,'2027'!Resal+('2027'!Salim-'2027'!Resal)*(1-EXP(('2027'!Tnet-t)/('2027'!Tau_j))),Resal+(Salim-Resal)*(1-EXP((Tnet-t)/(Tau_j))))*Salcycl</f>
        <v>4.9307646569016671E-2</v>
      </c>
      <c r="P275" s="169">
        <f>(INDEX(Models!$BJ275:$BT275,,T275)*(1-R275)+INDEX(Models!$BJ275:$BT275,,T275+1)*R275-ERP_i)*Q275*Ramure*Pc/MaxiM</f>
        <v>3.2553444965365491E-3</v>
      </c>
      <c r="Q275" s="304">
        <f t="shared" si="105"/>
        <v>0.7</v>
      </c>
      <c r="R275" s="177">
        <f t="shared" si="106"/>
        <v>0.97260814701368314</v>
      </c>
      <c r="S275" s="799">
        <f t="shared" si="107"/>
        <v>-1</v>
      </c>
      <c r="T275" s="176">
        <f t="shared" si="108"/>
        <v>5</v>
      </c>
      <c r="U275" s="250">
        <f t="shared" si="109"/>
        <v>-2.7391852986316911E-2</v>
      </c>
      <c r="V275" s="382">
        <f t="shared" si="110"/>
        <v>42.824412187470458</v>
      </c>
      <c r="W275" s="400">
        <f t="shared" si="111"/>
        <v>43.760564807210763</v>
      </c>
      <c r="X275" s="157">
        <f t="shared" si="112"/>
        <v>47013</v>
      </c>
      <c r="Y275" s="383">
        <f t="shared" si="113"/>
        <v>41.851766909426253</v>
      </c>
      <c r="Z275" s="383">
        <f t="shared" si="114"/>
        <v>44.787972334388428</v>
      </c>
      <c r="AA275" s="384">
        <f t="shared" si="115"/>
        <v>48.634704992786638</v>
      </c>
      <c r="AB275" s="197">
        <f t="shared" si="116"/>
        <v>47013</v>
      </c>
      <c r="AC275" s="119">
        <f>IF(OR(t&lt;Tnet,NoTnet),'2027'!Resal_s+('2027'!Salim-'2027'!Resal_s)*(1-EXP(('2027'!Tnet_s-t)/'2027'!Tau_j)),Resal_s+(Salim-Resal_s)*(1-EXP((Tnet_s-t)/Tau_j)))*Salcycl</f>
        <v>7.9094396870891787E-2</v>
      </c>
      <c r="AD275" s="230">
        <f>(INDEX(Models!$BJ275:$BT275,,AH275)*(1-AF275)+INDEX(Models!$BJ275:$BT275,,AH275+1)*AF275-ERP_i)*AE275*Ramure*Pc/MaxiM</f>
        <v>1.5898983732285824E-2</v>
      </c>
      <c r="AE275" s="304">
        <f t="shared" si="117"/>
        <v>0.7</v>
      </c>
      <c r="AF275" s="177">
        <f t="shared" si="118"/>
        <v>0.7282659778530336</v>
      </c>
      <c r="AG275" s="799">
        <f t="shared" si="124"/>
        <v>2</v>
      </c>
      <c r="AH275" s="176">
        <f t="shared" si="119"/>
        <v>8</v>
      </c>
      <c r="AI275" s="224">
        <f t="shared" si="120"/>
        <v>2.7282659778530336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47014</v>
      </c>
      <c r="B276" s="409">
        <f>'2027'!Wh/'2027'!Env_an*'2028'!Env_an</f>
        <v>42.1931118268365</v>
      </c>
      <c r="C276" s="829"/>
      <c r="D276" s="391">
        <f t="shared" si="102"/>
        <v>45.154130445607947</v>
      </c>
      <c r="E276" s="383">
        <f t="shared" si="100"/>
        <v>47.498520062587055</v>
      </c>
      <c r="F276" s="383">
        <f t="shared" si="103"/>
        <v>47.650936363974502</v>
      </c>
      <c r="G276" s="110">
        <f t="shared" si="101"/>
        <v>0.99033503651605337</v>
      </c>
      <c r="H276" s="412" t="b">
        <f>Wh_hp&gt;='2027'!Maxi_hp</f>
        <v>0</v>
      </c>
      <c r="I276" s="388">
        <f>IF(H276,Wh_hp,'2027'!Maxi_hp)</f>
        <v>47.652494258532265</v>
      </c>
      <c r="J276" s="85">
        <f>IF(H276,An,'2027'!An_max)</f>
        <v>2026</v>
      </c>
      <c r="K276" s="197">
        <f t="shared" si="104"/>
        <v>47014</v>
      </c>
      <c r="L276" s="147">
        <f>IF(t&lt;Tvie,1-EXP((T0-t)*PertePVj)+'2027'!Pspv,1-EXP((T0-t)*PertePVj)+Pspv)</f>
        <v>6.5575808670222391E-2</v>
      </c>
      <c r="M276" s="832"/>
      <c r="N276" s="832"/>
      <c r="O276" s="48">
        <f>IF(t&lt;Tnet,'2027'!Resal+('2027'!Salim-'2027'!Resal)*(1-EXP(('2027'!Tnet-t)/('2027'!Tau_j))),Resal+(Salim-Resal)*(1-EXP((Tnet-t)/(Tau_j))))*Salcycl</f>
        <v>4.9357108682333603E-2</v>
      </c>
      <c r="P276" s="169">
        <f>(INDEX(Models!$BJ276:$BT276,,T276)*(1-R276)+INDEX(Models!$BJ276:$BT276,,T276+1)*R276-ERP_i)*Q276*Ramure*Pc/MaxiM</f>
        <v>3.2431739559616738E-3</v>
      </c>
      <c r="Q276" s="304">
        <f t="shared" si="105"/>
        <v>0.7</v>
      </c>
      <c r="R276" s="177">
        <f t="shared" si="106"/>
        <v>0.97286464378909243</v>
      </c>
      <c r="S276" s="799">
        <f t="shared" si="107"/>
        <v>-1</v>
      </c>
      <c r="T276" s="176">
        <f t="shared" si="108"/>
        <v>5</v>
      </c>
      <c r="U276" s="250">
        <f t="shared" si="109"/>
        <v>-2.7135356210907624E-2</v>
      </c>
      <c r="V276" s="382">
        <f t="shared" si="110"/>
        <v>42.602981351551719</v>
      </c>
      <c r="W276" s="400">
        <f t="shared" si="111"/>
        <v>42.1931118268365</v>
      </c>
      <c r="X276" s="157">
        <f t="shared" si="112"/>
        <v>47014</v>
      </c>
      <c r="Y276" s="383">
        <f t="shared" si="113"/>
        <v>40.367217665987454</v>
      </c>
      <c r="Z276" s="383">
        <f t="shared" si="114"/>
        <v>43.200099099040798</v>
      </c>
      <c r="AA276" s="384">
        <f t="shared" si="115"/>
        <v>46.910846414620735</v>
      </c>
      <c r="AB276" s="197">
        <f t="shared" si="116"/>
        <v>47014</v>
      </c>
      <c r="AC276" s="119">
        <f>IF(OR(t&lt;Tnet,NoTnet),'2027'!Resal_s+('2027'!Salim-'2027'!Resal_s)*(1-EXP(('2027'!Tnet_s-t)/'2027'!Tau_j)),Resal_s+(Salim-Resal_s)*(1-EXP((Tnet_s-t)/Tau_j)))*Salcycl</f>
        <v>7.9102118149448064E-2</v>
      </c>
      <c r="AD276" s="230">
        <f>(INDEX(Models!$BJ276:$BT276,,AH276)*(1-AF276)+INDEX(Models!$BJ276:$BT276,,AH276+1)*AF276-ERP_i)*AE276*Ramure*Pc/MaxiM</f>
        <v>1.574792477552419E-2</v>
      </c>
      <c r="AE276" s="304">
        <f t="shared" si="117"/>
        <v>0.7</v>
      </c>
      <c r="AF276" s="177">
        <f t="shared" si="118"/>
        <v>0.72852247462844311</v>
      </c>
      <c r="AG276" s="799">
        <f t="shared" si="124"/>
        <v>2</v>
      </c>
      <c r="AH276" s="176">
        <f t="shared" si="119"/>
        <v>8</v>
      </c>
      <c r="AI276" s="224">
        <f t="shared" si="120"/>
        <v>2.7285224746284431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47015</v>
      </c>
      <c r="B277" s="409">
        <f>'2027'!Wh/'2027'!Env_an*'2028'!Env_an</f>
        <v>42.191998147165947</v>
      </c>
      <c r="C277" s="829"/>
      <c r="D277" s="391">
        <f t="shared" si="102"/>
        <v>45.153803972730316</v>
      </c>
      <c r="E277" s="383">
        <f t="shared" si="100"/>
        <v>47.50061947143395</v>
      </c>
      <c r="F277" s="383">
        <f t="shared" si="103"/>
        <v>47.653022376679388</v>
      </c>
      <c r="G277" s="110">
        <f t="shared" si="101"/>
        <v>0.99556882887895792</v>
      </c>
      <c r="H277" s="412" t="b">
        <f>Wh_hp&gt;='2027'!Maxi_hp</f>
        <v>0</v>
      </c>
      <c r="I277" s="388">
        <f>IF(H277,Wh_hp,'2027'!Maxi_hp)</f>
        <v>48.889969383535792</v>
      </c>
      <c r="J277" s="85">
        <f>IF(H277,An,'2027'!An_max)</f>
        <v>2018</v>
      </c>
      <c r="K277" s="197">
        <f t="shared" si="104"/>
        <v>47015</v>
      </c>
      <c r="L277" s="147">
        <f>IF(t&lt;Tvie,1-EXP((T0-t)*PertePVj)+'2027'!Pspv,1-EXP((T0-t)*PertePVj)+Pspv)</f>
        <v>6.5593716696672799E-2</v>
      </c>
      <c r="M277" s="832"/>
      <c r="N277" s="832"/>
      <c r="O277" s="48">
        <f>IF(t&lt;Tnet,'2027'!Resal+('2027'!Salim-'2027'!Resal)*(1-EXP(('2027'!Tnet-t)/('2027'!Tau_j))),Resal+(Salim-Resal)*(1-EXP((Tnet-t)/(Tau_j))))*Salcycl</f>
        <v>4.9405997749460293E-2</v>
      </c>
      <c r="P277" s="169">
        <f>(INDEX(Models!$BJ277:$BT277,,T277)*(1-R277)+INDEX(Models!$BJ277:$BT277,,T277+1)*R277-ERP_i)*Q277*Ramure*Pc/MaxiM</f>
        <v>3.2184597100181956E-3</v>
      </c>
      <c r="Q277" s="304">
        <f t="shared" si="105"/>
        <v>0.7</v>
      </c>
      <c r="R277" s="177">
        <f t="shared" si="106"/>
        <v>0.97311112734513938</v>
      </c>
      <c r="S277" s="799">
        <f t="shared" si="107"/>
        <v>-1</v>
      </c>
      <c r="T277" s="176">
        <f t="shared" si="108"/>
        <v>5</v>
      </c>
      <c r="U277" s="250">
        <f t="shared" si="109"/>
        <v>-2.6888872654860674E-2</v>
      </c>
      <c r="V277" s="382">
        <f t="shared" si="110"/>
        <v>42.378928008708542</v>
      </c>
      <c r="W277" s="400">
        <f t="shared" si="111"/>
        <v>42.191998147165947</v>
      </c>
      <c r="X277" s="157">
        <f t="shared" si="112"/>
        <v>47015</v>
      </c>
      <c r="Y277" s="383">
        <f t="shared" si="113"/>
        <v>40.366523690372858</v>
      </c>
      <c r="Z277" s="383">
        <f t="shared" si="114"/>
        <v>43.200184343440533</v>
      </c>
      <c r="AA277" s="384">
        <f t="shared" si="115"/>
        <v>46.911291498702191</v>
      </c>
      <c r="AB277" s="197">
        <f t="shared" si="116"/>
        <v>47015</v>
      </c>
      <c r="AC277" s="119">
        <f>IF(OR(t&lt;Tnet,NoTnet),'2027'!Resal_s+('2027'!Salim-'2027'!Resal_s)*(1-EXP(('2027'!Tnet_s-t)/'2027'!Tau_j)),Resal_s+(Salim-Resal_s)*(1-EXP((Tnet_s-t)/Tau_j)))*Salcycl</f>
        <v>7.910903828696178E-2</v>
      </c>
      <c r="AD277" s="230">
        <f>(INDEX(Models!$BJ277:$BT277,,AH277)*(1-AF277)+INDEX(Models!$BJ277:$BT277,,AH277+1)*AF277-ERP_i)*AE277*Ramure*Pc/MaxiM</f>
        <v>1.5663946449062008E-2</v>
      </c>
      <c r="AE277" s="304">
        <f t="shared" si="117"/>
        <v>0.7</v>
      </c>
      <c r="AF277" s="177">
        <f t="shared" si="118"/>
        <v>0.72876895818449006</v>
      </c>
      <c r="AG277" s="799">
        <f t="shared" si="124"/>
        <v>2</v>
      </c>
      <c r="AH277" s="176">
        <f t="shared" si="119"/>
        <v>8</v>
      </c>
      <c r="AI277" s="224">
        <f t="shared" si="120"/>
        <v>2.7287689581844901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47016</v>
      </c>
      <c r="B278" s="409">
        <f>'2027'!Wh/'2027'!Env_an*'2028'!Env_an</f>
        <v>43.600473156663085</v>
      </c>
      <c r="C278" s="829"/>
      <c r="D278" s="391">
        <f t="shared" si="102"/>
        <v>46.662045776980996</v>
      </c>
      <c r="E278" s="383">
        <f t="shared" si="100"/>
        <v>49.0897445142785</v>
      </c>
      <c r="F278" s="383">
        <f t="shared" si="103"/>
        <v>49.24639747322302</v>
      </c>
      <c r="G278" s="110">
        <f t="shared" si="101"/>
        <v>1.0343521668497802</v>
      </c>
      <c r="H278" s="412" t="b">
        <f>Wh_hp&gt;='2027'!Maxi_hp</f>
        <v>1</v>
      </c>
      <c r="I278" s="388">
        <f>IF(H278,Wh_hp,'2027'!Maxi_hp)</f>
        <v>49.24639747322302</v>
      </c>
      <c r="J278" s="85">
        <f>IF(H278,An,'2027'!An_max)</f>
        <v>2028</v>
      </c>
      <c r="K278" s="197">
        <f t="shared" si="104"/>
        <v>47016</v>
      </c>
      <c r="L278" s="147">
        <f>IF(t&lt;Tvie,1-EXP((T0-t)*PertePVj)+'2027'!Pspv,1-EXP((T0-t)*PertePVj)+Pspv)</f>
        <v>6.5611624379919964E-2</v>
      </c>
      <c r="M278" s="832"/>
      <c r="N278" s="832"/>
      <c r="O278" s="48">
        <f>IF(t&lt;Tnet,'2027'!Resal+('2027'!Salim-'2027'!Resal)*(1-EXP(('2027'!Tnet-t)/('2027'!Tau_j))),Resal+(Salim-Resal)*(1-EXP((Tnet-t)/(Tau_j))))*Salcycl</f>
        <v>4.9454295623628082E-2</v>
      </c>
      <c r="P278" s="169">
        <f>(INDEX(Models!$BJ278:$BT278,,T278)*(1-R278)+INDEX(Models!$BJ278:$BT278,,T278+1)*R278-ERP_i)*Q278*Ramure*Pc/MaxiM</f>
        <v>3.1810034232391715E-3</v>
      </c>
      <c r="Q278" s="304">
        <f t="shared" si="105"/>
        <v>0.7</v>
      </c>
      <c r="R278" s="177">
        <f t="shared" si="106"/>
        <v>0.97334797660320949</v>
      </c>
      <c r="S278" s="799">
        <f t="shared" si="107"/>
        <v>-1</v>
      </c>
      <c r="T278" s="176">
        <f t="shared" si="108"/>
        <v>5</v>
      </c>
      <c r="U278" s="250">
        <f t="shared" si="109"/>
        <v>-2.6652023396790514E-2</v>
      </c>
      <c r="V278" s="382">
        <f t="shared" si="110"/>
        <v>42.152445321840979</v>
      </c>
      <c r="W278" s="400">
        <f t="shared" si="111"/>
        <v>43.600473156663085</v>
      </c>
      <c r="X278" s="157">
        <f t="shared" si="112"/>
        <v>47016</v>
      </c>
      <c r="Y278" s="383">
        <f t="shared" si="113"/>
        <v>41.711681288427187</v>
      </c>
      <c r="Z278" s="383">
        <f t="shared" si="114"/>
        <v>44.640625222618404</v>
      </c>
      <c r="AA278" s="384">
        <f t="shared" si="115"/>
        <v>48.475793971633735</v>
      </c>
      <c r="AB278" s="197">
        <f t="shared" si="116"/>
        <v>47016</v>
      </c>
      <c r="AC278" s="119">
        <f>IF(OR(t&lt;Tnet,NoTnet),'2027'!Resal_s+('2027'!Salim-'2027'!Resal_s)*(1-EXP(('2027'!Tnet_s-t)/'2027'!Tau_j)),Resal_s+(Salim-Resal_s)*(1-EXP((Tnet_s-t)/Tau_j)))*Salcycl</f>
        <v>7.911513014638874E-2</v>
      </c>
      <c r="AD278" s="230">
        <f>(INDEX(Models!$BJ278:$BT278,,AH278)*(1-AF278)+INDEX(Models!$BJ278:$BT278,,AH278+1)*AF278-ERP_i)*AE278*Ramure*Pc/MaxiM</f>
        <v>1.5647916215765566E-2</v>
      </c>
      <c r="AE278" s="304">
        <f t="shared" si="117"/>
        <v>0.7</v>
      </c>
      <c r="AF278" s="177">
        <f t="shared" si="118"/>
        <v>0.72900580744256027</v>
      </c>
      <c r="AG278" s="799">
        <f t="shared" si="124"/>
        <v>2</v>
      </c>
      <c r="AH278" s="176">
        <f t="shared" si="119"/>
        <v>8</v>
      </c>
      <c r="AI278" s="224">
        <f t="shared" si="120"/>
        <v>2.7290058074425603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47017</v>
      </c>
      <c r="B279" s="409">
        <f>'2027'!Wh/'2027'!Env_an*'2028'!Env_an</f>
        <v>42.459314773398759</v>
      </c>
      <c r="C279" s="829"/>
      <c r="D279" s="391">
        <f t="shared" si="102"/>
        <v>45.441627507295927</v>
      </c>
      <c r="E279" s="383">
        <f t="shared" si="100"/>
        <v>47.808229730576514</v>
      </c>
      <c r="F279" s="383">
        <f t="shared" si="103"/>
        <v>47.958368246020811</v>
      </c>
      <c r="G279" s="110">
        <f t="shared" si="101"/>
        <v>1.0127753085273885</v>
      </c>
      <c r="H279" s="412" t="b">
        <f>Wh_hp&gt;='2027'!Maxi_hp</f>
        <v>1</v>
      </c>
      <c r="I279" s="388">
        <f>IF(H279,Wh_hp,'2027'!Maxi_hp)</f>
        <v>47.958368246020811</v>
      </c>
      <c r="J279" s="85">
        <f>IF(H279,An,'2027'!An_max)</f>
        <v>2028</v>
      </c>
      <c r="K279" s="197">
        <f t="shared" si="104"/>
        <v>47017</v>
      </c>
      <c r="L279" s="147">
        <f>IF(t&lt;Tvie,1-EXP((T0-t)*PertePVj)+'2027'!Pspv,1-EXP((T0-t)*PertePVj)+Pspv)</f>
        <v>6.5629531719970546E-2</v>
      </c>
      <c r="M279" s="832"/>
      <c r="N279" s="832"/>
      <c r="O279" s="48">
        <f>IF(t&lt;Tnet,'2027'!Resal+('2027'!Salim-'2027'!Resal)*(1-EXP(('2027'!Tnet-t)/('2027'!Tau_j))),Resal+(Salim-Resal)*(1-EXP((Tnet-t)/(Tau_j))))*Salcycl</f>
        <v>4.9501984001867061E-2</v>
      </c>
      <c r="P279" s="169">
        <f>(INDEX(Models!$BJ279:$BT279,,T279)*(1-R279)+INDEX(Models!$BJ279:$BT279,,T279+1)*R279-ERP_i)*Q279*Ramure*Pc/MaxiM</f>
        <v>3.1306009969752947E-3</v>
      </c>
      <c r="Q279" s="304">
        <f t="shared" si="105"/>
        <v>0.7</v>
      </c>
      <c r="R279" s="177">
        <f t="shared" si="106"/>
        <v>0.97357555707905763</v>
      </c>
      <c r="S279" s="799">
        <f t="shared" si="107"/>
        <v>-1</v>
      </c>
      <c r="T279" s="176">
        <f t="shared" si="108"/>
        <v>5</v>
      </c>
      <c r="U279" s="250">
        <f t="shared" si="109"/>
        <v>-2.6424442920942426E-2</v>
      </c>
      <c r="V279" s="382">
        <f t="shared" si="110"/>
        <v>41.923726236114625</v>
      </c>
      <c r="W279" s="400">
        <f t="shared" si="111"/>
        <v>42.459314773398759</v>
      </c>
      <c r="X279" s="157">
        <f t="shared" si="112"/>
        <v>47017</v>
      </c>
      <c r="Y279" s="383">
        <f t="shared" si="113"/>
        <v>40.617531965879685</v>
      </c>
      <c r="Z279" s="383">
        <f t="shared" si="114"/>
        <v>43.470479156567983</v>
      </c>
      <c r="AA279" s="384">
        <f t="shared" si="115"/>
        <v>47.205386645493761</v>
      </c>
      <c r="AB279" s="197">
        <f t="shared" si="116"/>
        <v>47017</v>
      </c>
      <c r="AC279" s="119">
        <f>IF(OR(t&lt;Tnet,NoTnet),'2027'!Resal_s+('2027'!Salim-'2027'!Resal_s)*(1-EXP(('2027'!Tnet_s-t)/'2027'!Tau_j)),Resal_s+(Salim-Resal_s)*(1-EXP((Tnet_s-t)/Tau_j)))*Salcycl</f>
        <v>7.9120366431365996E-2</v>
      </c>
      <c r="AD279" s="230">
        <f>(INDEX(Models!$BJ279:$BT279,,AH279)*(1-AF279)+INDEX(Models!$BJ279:$BT279,,AH279+1)*AF279-ERP_i)*AE279*Ramure*Pc/MaxiM</f>
        <v>1.5700734367448434E-2</v>
      </c>
      <c r="AE279" s="304">
        <f t="shared" si="117"/>
        <v>0.7</v>
      </c>
      <c r="AF279" s="177">
        <f t="shared" si="118"/>
        <v>0.7292333879184083</v>
      </c>
      <c r="AG279" s="799">
        <f t="shared" si="124"/>
        <v>2</v>
      </c>
      <c r="AH279" s="176">
        <f t="shared" si="119"/>
        <v>8</v>
      </c>
      <c r="AI279" s="224">
        <f t="shared" si="120"/>
        <v>2.7292333879184083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47018</v>
      </c>
      <c r="B280" s="409">
        <f>'2027'!Wh/'2027'!Env_an*'2028'!Env_an</f>
        <v>31.947099819532674</v>
      </c>
      <c r="C280" s="829"/>
      <c r="D280" s="391">
        <f t="shared" si="102"/>
        <v>34.191697163711893</v>
      </c>
      <c r="E280" s="383">
        <f t="shared" si="100"/>
        <v>35.974183587564724</v>
      </c>
      <c r="F280" s="383">
        <f t="shared" si="103"/>
        <v>36.047824483939678</v>
      </c>
      <c r="G280" s="110">
        <f t="shared" si="101"/>
        <v>0.76546042104206835</v>
      </c>
      <c r="H280" s="412" t="b">
        <f>Wh_hp&gt;='2027'!Maxi_hp</f>
        <v>0</v>
      </c>
      <c r="I280" s="388">
        <f>IF(H280,Wh_hp,'2027'!Maxi_hp)</f>
        <v>41.960409852229127</v>
      </c>
      <c r="J280" s="85">
        <f>IF(H280,An,'2027'!An_max)</f>
        <v>2021</v>
      </c>
      <c r="K280" s="197">
        <f t="shared" si="104"/>
        <v>47018</v>
      </c>
      <c r="L280" s="147">
        <f>IF(t&lt;Tvie,1-EXP((T0-t)*PertePVj)+'2027'!Pspv,1-EXP((T0-t)*PertePVj)+Pspv)</f>
        <v>6.5647438716830986E-2</v>
      </c>
      <c r="M280" s="832"/>
      <c r="N280" s="832"/>
      <c r="O280" s="48">
        <f>IF(t&lt;Tnet,'2027'!Resal+('2027'!Salim-'2027'!Resal)*(1-EXP(('2027'!Tnet-t)/('2027'!Tau_j))),Resal+(Salim-Resal)*(1-EXP((Tnet-t)/(Tau_j))))*Salcycl</f>
        <v>4.9549044511714449E-2</v>
      </c>
      <c r="P280" s="169">
        <f>(INDEX(Models!$BJ280:$BT280,,T280)*(1-R280)+INDEX(Models!$BJ280:$BT280,,T280+1)*R280-ERP_i)*Q280*Ramure*Pc/MaxiM</f>
        <v>3.0670592876412281E-3</v>
      </c>
      <c r="Q280" s="304">
        <f t="shared" si="105"/>
        <v>0.7</v>
      </c>
      <c r="R280" s="177">
        <f t="shared" si="106"/>
        <v>0.97379422128350979</v>
      </c>
      <c r="S280" s="799">
        <f t="shared" si="107"/>
        <v>-1</v>
      </c>
      <c r="T280" s="176">
        <f t="shared" si="108"/>
        <v>5</v>
      </c>
      <c r="U280" s="250">
        <f t="shared" si="109"/>
        <v>-2.6205778716490213E-2</v>
      </c>
      <c r="V280" s="382">
        <f t="shared" si="110"/>
        <v>41.6929627928074</v>
      </c>
      <c r="W280" s="400">
        <f t="shared" si="111"/>
        <v>31.947099819532674</v>
      </c>
      <c r="X280" s="157">
        <f t="shared" si="112"/>
        <v>47018</v>
      </c>
      <c r="Y280" s="383">
        <f t="shared" si="113"/>
        <v>30.689452263606992</v>
      </c>
      <c r="Z280" s="383">
        <f t="shared" si="114"/>
        <v>32.845687522342125</v>
      </c>
      <c r="AA280" s="384">
        <f t="shared" si="115"/>
        <v>35.667900126604877</v>
      </c>
      <c r="AB280" s="197">
        <f t="shared" si="116"/>
        <v>47018</v>
      </c>
      <c r="AC280" s="119">
        <f>IF(OR(t&lt;Tnet,NoTnet),'2027'!Resal_s+('2027'!Salim-'2027'!Resal_s)*(1-EXP(('2027'!Tnet_s-t)/'2027'!Tau_j)),Resal_s+(Salim-Resal_s)*(1-EXP((Tnet_s-t)/Tau_j)))*Salcycl</f>
        <v>7.9124719824973738E-2</v>
      </c>
      <c r="AD280" s="230">
        <f>(INDEX(Models!$BJ280:$BT280,,AH280)*(1-AF280)+INDEX(Models!$BJ280:$BT280,,AH280+1)*AF280-ERP_i)*AE280*Ramure*Pc/MaxiM</f>
        <v>1.5823415875219141E-2</v>
      </c>
      <c r="AE280" s="304">
        <f t="shared" si="117"/>
        <v>0.7</v>
      </c>
      <c r="AF280" s="177">
        <f t="shared" si="118"/>
        <v>0.72945205212286046</v>
      </c>
      <c r="AG280" s="799">
        <f t="shared" si="124"/>
        <v>2</v>
      </c>
      <c r="AH280" s="176">
        <f t="shared" si="119"/>
        <v>8</v>
      </c>
      <c r="AI280" s="224">
        <f t="shared" si="120"/>
        <v>2.7294520521228605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47019</v>
      </c>
      <c r="B281" s="409">
        <f>'2027'!Wh/'2027'!Env_an*'2028'!Env_an</f>
        <v>21.434559678725449</v>
      </c>
      <c r="C281" s="829"/>
      <c r="D281" s="391">
        <f t="shared" si="102"/>
        <v>22.940987549290103</v>
      </c>
      <c r="E281" s="383">
        <f t="shared" si="100"/>
        <v>24.13812913865285</v>
      </c>
      <c r="F281" s="383">
        <f t="shared" si="103"/>
        <v>24.160523711197087</v>
      </c>
      <c r="G281" s="110">
        <f t="shared" si="101"/>
        <v>0.51592171679782306</v>
      </c>
      <c r="H281" s="412" t="b">
        <f>Wh_hp&gt;='2027'!Maxi_hp</f>
        <v>0</v>
      </c>
      <c r="I281" s="388">
        <f>IF(H281,Wh_hp,'2027'!Maxi_hp)</f>
        <v>41.038887067631343</v>
      </c>
      <c r="J281" s="85">
        <f>IF(H281,An,'2027'!An_max)</f>
        <v>2021</v>
      </c>
      <c r="K281" s="197">
        <f t="shared" si="104"/>
        <v>47019</v>
      </c>
      <c r="L281" s="147">
        <f>IF(t&lt;Tvie,1-EXP((T0-t)*PertePVj)+'2027'!Pspv,1-EXP((T0-t)*PertePVj)+Pspv)</f>
        <v>6.5665345370507833E-2</v>
      </c>
      <c r="M281" s="832"/>
      <c r="N281" s="832"/>
      <c r="O281" s="48">
        <f>IF(t&lt;Tnet,'2027'!Resal+('2027'!Salim-'2027'!Resal)*(1-EXP(('2027'!Tnet-t)/('2027'!Tau_j))),Resal+(Salim-Resal)*(1-EXP((Tnet-t)/(Tau_j))))*Salcycl</f>
        <v>4.9595458806529519E-2</v>
      </c>
      <c r="P281" s="169">
        <f>(INDEX(Models!$BJ281:$BT281,,T281)*(1-R281)+INDEX(Models!$BJ281:$BT281,,T281+1)*R281-ERP_i)*Q281*Ramure*Pc/MaxiM</f>
        <v>2.9901706290601615E-3</v>
      </c>
      <c r="Q281" s="304">
        <f t="shared" si="105"/>
        <v>0.7</v>
      </c>
      <c r="R281" s="177">
        <f t="shared" si="106"/>
        <v>0.97400430911721858</v>
      </c>
      <c r="S281" s="799">
        <f t="shared" si="107"/>
        <v>-1</v>
      </c>
      <c r="T281" s="176">
        <f t="shared" si="108"/>
        <v>5</v>
      </c>
      <c r="U281" s="250">
        <f t="shared" si="109"/>
        <v>-2.5995690882781364E-2</v>
      </c>
      <c r="V281" s="382">
        <f t="shared" si="110"/>
        <v>41.460347212883924</v>
      </c>
      <c r="W281" s="400">
        <f t="shared" si="111"/>
        <v>21.434559678725449</v>
      </c>
      <c r="X281" s="157">
        <f t="shared" si="112"/>
        <v>47019</v>
      </c>
      <c r="Y281" s="383">
        <f t="shared" si="113"/>
        <v>20.684562626713511</v>
      </c>
      <c r="Z281" s="383">
        <f t="shared" si="114"/>
        <v>22.138280458960303</v>
      </c>
      <c r="AA281" s="384">
        <f t="shared" si="115"/>
        <v>24.040566312119346</v>
      </c>
      <c r="AB281" s="197">
        <f t="shared" si="116"/>
        <v>47019</v>
      </c>
      <c r="AC281" s="119">
        <f>IF(OR(t&lt;Tnet,NoTnet),'2027'!Resal_s+('2027'!Salim-'2027'!Resal_s)*(1-EXP(('2027'!Tnet_s-t)/'2027'!Tau_j)),Resal_s+(Salim-Resal_s)*(1-EXP((Tnet_s-t)/Tau_j)))*Salcycl</f>
        <v>7.9128163141484006E-2</v>
      </c>
      <c r="AD281" s="230">
        <f>(INDEX(Models!$BJ281:$BT281,,AH281)*(1-AF281)+INDEX(Models!$BJ281:$BT281,,AH281+1)*AF281-ERP_i)*AE281*Ramure*Pc/MaxiM</f>
        <v>1.6016965304972583E-2</v>
      </c>
      <c r="AE281" s="304">
        <f t="shared" si="117"/>
        <v>0.7</v>
      </c>
      <c r="AF281" s="177">
        <f t="shared" si="118"/>
        <v>0.72966213995656926</v>
      </c>
      <c r="AG281" s="799">
        <f t="shared" si="124"/>
        <v>2</v>
      </c>
      <c r="AH281" s="176">
        <f t="shared" si="119"/>
        <v>8</v>
      </c>
      <c r="AI281" s="224">
        <f t="shared" si="120"/>
        <v>2.7296621399565693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47020</v>
      </c>
      <c r="B282" s="409">
        <f>'2027'!Wh/'2027'!Env_an*'2028'!Env_an</f>
        <v>32.443027844163389</v>
      </c>
      <c r="C282" s="829"/>
      <c r="D282" s="391">
        <f t="shared" si="102"/>
        <v>34.723799934587888</v>
      </c>
      <c r="E282" s="383">
        <f t="shared" si="100"/>
        <v>36.537569022703423</v>
      </c>
      <c r="F282" s="383">
        <f t="shared" si="103"/>
        <v>36.611695412404082</v>
      </c>
      <c r="G282" s="110">
        <f t="shared" si="101"/>
        <v>0.78626411701112098</v>
      </c>
      <c r="H282" s="412" t="b">
        <f>Wh_hp&gt;='2027'!Maxi_hp</f>
        <v>0</v>
      </c>
      <c r="I282" s="388">
        <f>IF(H282,Wh_hp,'2027'!Maxi_hp)</f>
        <v>36.635114347240354</v>
      </c>
      <c r="J282" s="85">
        <f>IF(H282,An,'2027'!An_max)</f>
        <v>2026</v>
      </c>
      <c r="K282" s="197">
        <f t="shared" si="104"/>
        <v>47020</v>
      </c>
      <c r="L282" s="147">
        <f>IF(t&lt;Tvie,1-EXP((T0-t)*PertePVj)+'2027'!Pspv,1-EXP((T0-t)*PertePVj)+Pspv)</f>
        <v>6.5683251681007859E-2</v>
      </c>
      <c r="M282" s="832"/>
      <c r="N282" s="832"/>
      <c r="O282" s="48">
        <f>IF(t&lt;Tnet,'2027'!Resal+('2027'!Salim-'2027'!Resal)*(1-EXP(('2027'!Tnet-t)/('2027'!Tau_j))),Resal+(Salim-Resal)*(1-EXP((Tnet-t)/(Tau_j))))*Salcycl</f>
        <v>4.9641208669041592E-2</v>
      </c>
      <c r="P282" s="169">
        <f>(INDEX(Models!$BJ282:$BT282,,T282)*(1-R282)+INDEX(Models!$BJ282:$BT282,,T282+1)*R282-ERP_i)*Q282*Ramure*Pc/MaxiM</f>
        <v>2.9104185660720331E-3</v>
      </c>
      <c r="Q282" s="304">
        <f t="shared" si="105"/>
        <v>0.7</v>
      </c>
      <c r="R282" s="177">
        <f t="shared" si="106"/>
        <v>0.97420614825899321</v>
      </c>
      <c r="S282" s="799">
        <f t="shared" si="107"/>
        <v>-1</v>
      </c>
      <c r="T282" s="176">
        <f t="shared" si="108"/>
        <v>5</v>
      </c>
      <c r="U282" s="250">
        <f t="shared" si="109"/>
        <v>-2.5793851741006735E-2</v>
      </c>
      <c r="V282" s="382">
        <f t="shared" si="110"/>
        <v>41.225629263777655</v>
      </c>
      <c r="W282" s="400">
        <f t="shared" si="111"/>
        <v>32.443027844163389</v>
      </c>
      <c r="X282" s="157">
        <f t="shared" si="112"/>
        <v>47020</v>
      </c>
      <c r="Y282" s="383">
        <f t="shared" si="113"/>
        <v>31.141656972422325</v>
      </c>
      <c r="Z282" s="383">
        <f t="shared" si="114"/>
        <v>33.330941598180594</v>
      </c>
      <c r="AA282" s="384">
        <f t="shared" si="115"/>
        <v>36.195082726597541</v>
      </c>
      <c r="AB282" s="197">
        <f t="shared" si="116"/>
        <v>47020</v>
      </c>
      <c r="AC282" s="119">
        <f>IF(OR(t&lt;Tnet,NoTnet),'2027'!Resal_s+('2027'!Salim-'2027'!Resal_s)*(1-EXP(('2027'!Tnet_s-t)/'2027'!Tau_j)),Resal_s+(Salim-Resal_s)*(1-EXP((Tnet_s-t)/Tau_j)))*Salcycl</f>
        <v>7.9130669490424077E-2</v>
      </c>
      <c r="AD282" s="230">
        <f>(INDEX(Models!$BJ282:$BT282,,AH282)*(1-AF282)+INDEX(Models!$BJ282:$BT282,,AH282+1)*AF282-ERP_i)*AE282*Ramure*Pc/MaxiM</f>
        <v>1.6357430876223059E-2</v>
      </c>
      <c r="AE282" s="304">
        <f t="shared" si="117"/>
        <v>0.7</v>
      </c>
      <c r="AF282" s="177">
        <f t="shared" si="118"/>
        <v>0.72986397909834411</v>
      </c>
      <c r="AG282" s="799">
        <f t="shared" si="124"/>
        <v>2</v>
      </c>
      <c r="AH282" s="176">
        <f t="shared" si="119"/>
        <v>8</v>
      </c>
      <c r="AI282" s="224">
        <f t="shared" si="120"/>
        <v>2.7298639790983441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47021</v>
      </c>
      <c r="B283" s="409">
        <f>'2027'!Wh/'2027'!Env_an*'2028'!Env_an</f>
        <v>33.768749985561179</v>
      </c>
      <c r="C283" s="829"/>
      <c r="D283" s="391">
        <f t="shared" si="102"/>
        <v>36.14341413563573</v>
      </c>
      <c r="E283" s="383">
        <f t="shared" si="100"/>
        <v>38.033139191306155</v>
      </c>
      <c r="F283" s="383">
        <f t="shared" si="103"/>
        <v>38.114011194459323</v>
      </c>
      <c r="G283" s="110">
        <f t="shared" si="101"/>
        <v>0.82326625039827717</v>
      </c>
      <c r="H283" s="412" t="b">
        <f>Wh_hp&gt;='2027'!Maxi_hp</f>
        <v>0</v>
      </c>
      <c r="I283" s="388">
        <f>IF(H283,Wh_hp,'2027'!Maxi_hp)</f>
        <v>39.791402666859739</v>
      </c>
      <c r="J283" s="85">
        <f>IF(H283,An,'2027'!An_max)</f>
        <v>2018</v>
      </c>
      <c r="K283" s="197">
        <f t="shared" si="104"/>
        <v>47021</v>
      </c>
      <c r="L283" s="147">
        <f>IF(t&lt;Tvie,1-EXP((T0-t)*PertePVj)+'2027'!Pspv,1-EXP((T0-t)*PertePVj)+Pspv)</f>
        <v>6.5701157648337505E-2</v>
      </c>
      <c r="M283" s="832"/>
      <c r="N283" s="832"/>
      <c r="O283" s="48">
        <f>IF(t&lt;Tnet,'2027'!Resal+('2027'!Salim-'2027'!Resal)*(1-EXP(('2027'!Tnet-t)/('2027'!Tau_j))),Resal+(Salim-Resal)*(1-EXP((Tnet-t)/(Tau_j))))*Salcycl</f>
        <v>4.9686276122650148E-2</v>
      </c>
      <c r="P283" s="169">
        <f>(INDEX(Models!$BJ283:$BT283,,T283)*(1-R283)+INDEX(Models!$BJ283:$BT283,,T283+1)*R283-ERP_i)*Q283*Ramure*Pc/MaxiM</f>
        <v>2.8353080347285802E-3</v>
      </c>
      <c r="Q283" s="304">
        <f t="shared" si="105"/>
        <v>0.7</v>
      </c>
      <c r="R283" s="177">
        <f t="shared" si="106"/>
        <v>0.97440005454729561</v>
      </c>
      <c r="S283" s="799">
        <f t="shared" si="107"/>
        <v>-1</v>
      </c>
      <c r="T283" s="176">
        <f t="shared" si="108"/>
        <v>5</v>
      </c>
      <c r="U283" s="250">
        <f t="shared" si="109"/>
        <v>-2.5599945452704387E-2</v>
      </c>
      <c r="V283" s="382">
        <f t="shared" si="110"/>
        <v>40.988691041360916</v>
      </c>
      <c r="W283" s="400">
        <f t="shared" si="111"/>
        <v>33.768749985561179</v>
      </c>
      <c r="X283" s="157">
        <f t="shared" si="112"/>
        <v>47021</v>
      </c>
      <c r="Y283" s="383">
        <f t="shared" si="113"/>
        <v>32.378864477585992</v>
      </c>
      <c r="Z283" s="383">
        <f t="shared" si="114"/>
        <v>34.655789999789867</v>
      </c>
      <c r="AA283" s="384">
        <f t="shared" si="115"/>
        <v>37.633838938022244</v>
      </c>
      <c r="AB283" s="197">
        <f t="shared" si="116"/>
        <v>47021</v>
      </c>
      <c r="AC283" s="119">
        <f>IF(OR(t&lt;Tnet,NoTnet),'2027'!Resal_s+('2027'!Salim-'2027'!Resal_s)*(1-EXP(('2027'!Tnet_s-t)/'2027'!Tau_j)),Resal_s+(Salim-Resal_s)*(1-EXP((Tnet_s-t)/Tau_j)))*Salcycl</f>
        <v>7.9132212452118197E-2</v>
      </c>
      <c r="AD283" s="230">
        <f>(INDEX(Models!$BJ283:$BT283,,AH283)*(1-AF283)+INDEX(Models!$BJ283:$BT283,,AH283+1)*AF283-ERP_i)*AE283*Ramure*Pc/MaxiM</f>
        <v>1.6834456964684618E-2</v>
      </c>
      <c r="AE283" s="304">
        <f t="shared" si="117"/>
        <v>0.7</v>
      </c>
      <c r="AF283" s="177">
        <f t="shared" si="118"/>
        <v>0.73005788538664618</v>
      </c>
      <c r="AG283" s="799">
        <f t="shared" si="124"/>
        <v>2</v>
      </c>
      <c r="AH283" s="176">
        <f t="shared" si="119"/>
        <v>8</v>
      </c>
      <c r="AI283" s="224">
        <f t="shared" si="120"/>
        <v>2.7300578853866462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47022</v>
      </c>
      <c r="B284" s="409">
        <f>'2027'!Wh/'2027'!Env_an*'2028'!Env_an</f>
        <v>14.463471982737007</v>
      </c>
      <c r="C284" s="829"/>
      <c r="D284" s="391">
        <f t="shared" si="102"/>
        <v>15.480859572494513</v>
      </c>
      <c r="E284" s="383">
        <f t="shared" si="100"/>
        <v>16.291022611026712</v>
      </c>
      <c r="F284" s="383">
        <f t="shared" si="103"/>
        <v>16.294558228118525</v>
      </c>
      <c r="G284" s="110">
        <f t="shared" si="101"/>
        <v>0.35402967427661303</v>
      </c>
      <c r="H284" s="412" t="b">
        <f>Wh_hp&gt;='2027'!Maxi_hp</f>
        <v>0</v>
      </c>
      <c r="I284" s="388">
        <f>IF(H284,Wh_hp,'2027'!Maxi_hp)</f>
        <v>40.257199501289676</v>
      </c>
      <c r="J284" s="85">
        <f>IF(H284,An,'2027'!An_max)</f>
        <v>2018</v>
      </c>
      <c r="K284" s="197">
        <f t="shared" si="104"/>
        <v>47022</v>
      </c>
      <c r="L284" s="147">
        <f>IF(t&lt;Tvie,1-EXP((T0-t)*PertePVj)+'2027'!Pspv,1-EXP((T0-t)*PertePVj)+Pspv)</f>
        <v>6.571906327250332E-2</v>
      </c>
      <c r="M284" s="832"/>
      <c r="N284" s="832"/>
      <c r="O284" s="48">
        <f>IF(t&lt;Tnet,'2027'!Resal+('2027'!Salim-'2027'!Resal)*(1-EXP(('2027'!Tnet-t)/('2027'!Tau_j))),Resal+(Salim-Resal)*(1-EXP((Tnet-t)/(Tau_j))))*Salcycl</f>
        <v>4.973064354989188E-2</v>
      </c>
      <c r="P284" s="169">
        <f>(INDEX(Models!$BJ284:$BT284,,T284)*(1-R284)+INDEX(Models!$BJ284:$BT284,,T284+1)*R284-ERP_i)*Q284*Ramure*Pc/MaxiM</f>
        <v>2.7648895589769094E-3</v>
      </c>
      <c r="Q284" s="304">
        <f t="shared" si="105"/>
        <v>0.7</v>
      </c>
      <c r="R284" s="177">
        <f t="shared" si="106"/>
        <v>0.97458633235455094</v>
      </c>
      <c r="S284" s="799">
        <f t="shared" si="107"/>
        <v>-1</v>
      </c>
      <c r="T284" s="176">
        <f t="shared" si="108"/>
        <v>5</v>
      </c>
      <c r="U284" s="250">
        <f t="shared" si="109"/>
        <v>-2.5413667645449001E-2</v>
      </c>
      <c r="V284" s="382">
        <f t="shared" si="110"/>
        <v>40.749726465762357</v>
      </c>
      <c r="W284" s="400">
        <f t="shared" si="111"/>
        <v>14.463471982737007</v>
      </c>
      <c r="X284" s="157">
        <f t="shared" si="112"/>
        <v>47022</v>
      </c>
      <c r="Y284" s="383">
        <f t="shared" si="113"/>
        <v>13.999803969540515</v>
      </c>
      <c r="Z284" s="383">
        <f t="shared" si="114"/>
        <v>14.98457628663343</v>
      </c>
      <c r="AA284" s="384">
        <f t="shared" si="115"/>
        <v>16.272243964893399</v>
      </c>
      <c r="AB284" s="197">
        <f t="shared" si="116"/>
        <v>47022</v>
      </c>
      <c r="AC284" s="119">
        <f>IF(OR(t&lt;Tnet,NoTnet),'2027'!Resal_s+('2027'!Salim-'2027'!Resal_s)*(1-EXP(('2027'!Tnet_s-t)/'2027'!Tau_j)),Resal_s+(Salim-Resal_s)*(1-EXP((Tnet_s-t)/Tau_j)))*Salcycl</f>
        <v>7.9132766263709617E-2</v>
      </c>
      <c r="AD284" s="230">
        <f>(INDEX(Models!$BJ284:$BT284,,AH284)*(1-AF284)+INDEX(Models!$BJ284:$BT284,,AH284+1)*AF284-ERP_i)*AE284*Ramure*Pc/MaxiM</f>
        <v>1.7449987316294064E-2</v>
      </c>
      <c r="AE284" s="304">
        <f t="shared" si="117"/>
        <v>0.7</v>
      </c>
      <c r="AF284" s="177">
        <f t="shared" si="118"/>
        <v>0.73024416319390184</v>
      </c>
      <c r="AG284" s="799">
        <f t="shared" si="124"/>
        <v>2</v>
      </c>
      <c r="AH284" s="176">
        <f t="shared" si="119"/>
        <v>8</v>
      </c>
      <c r="AI284" s="224">
        <f t="shared" si="120"/>
        <v>2.7302441631939018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47023</v>
      </c>
      <c r="B285" s="409">
        <f>'2027'!Wh/'2027'!Env_an*'2028'!Env_an</f>
        <v>14.531314930173977</v>
      </c>
      <c r="C285" s="829"/>
      <c r="D285" s="391">
        <f t="shared" si="102"/>
        <v>15.55377280387048</v>
      </c>
      <c r="E285" s="383">
        <f t="shared" si="100"/>
        <v>16.36850350676723</v>
      </c>
      <c r="F285" s="383">
        <f t="shared" si="103"/>
        <v>16.372210521519751</v>
      </c>
      <c r="G285" s="110">
        <f t="shared" si="101"/>
        <v>0.35783157045539127</v>
      </c>
      <c r="H285" s="412" t="b">
        <f>Wh_hp&gt;='2027'!Maxi_hp</f>
        <v>0</v>
      </c>
      <c r="I285" s="388">
        <f>IF(H285,Wh_hp,'2027'!Maxi_hp)</f>
        <v>31.058972746779887</v>
      </c>
      <c r="J285" s="85">
        <f>IF(H285,An,'2027'!An_max)</f>
        <v>2021</v>
      </c>
      <c r="K285" s="197">
        <f t="shared" si="104"/>
        <v>47023</v>
      </c>
      <c r="L285" s="147">
        <f>IF(t&lt;Tvie,1-EXP((T0-t)*PertePVj)+'2027'!Pspv,1-EXP((T0-t)*PertePVj)+Pspv)</f>
        <v>6.5736968553511965E-2</v>
      </c>
      <c r="M285" s="832"/>
      <c r="N285" s="832"/>
      <c r="O285" s="48">
        <f>IF(t&lt;Tnet,'2027'!Resal+('2027'!Salim-'2027'!Resal)*(1-EXP(('2027'!Tnet-t)/('2027'!Tau_j))),Resal+(Salim-Resal)*(1-EXP((Tnet-t)/(Tau_j))))*Salcycl</f>
        <v>4.9774293817386142E-2</v>
      </c>
      <c r="P285" s="169">
        <f>(INDEX(Models!$BJ285:$BT285,,T285)*(1-R285)+INDEX(Models!$BJ285:$BT285,,T285+1)*R285-ERP_i)*Q285*Ramure*Pc/MaxiM</f>
        <v>2.6992169386572847E-3</v>
      </c>
      <c r="Q285" s="304">
        <f t="shared" si="105"/>
        <v>0.7</v>
      </c>
      <c r="R285" s="177">
        <f t="shared" si="106"/>
        <v>0.97476527495398035</v>
      </c>
      <c r="S285" s="799">
        <f t="shared" si="107"/>
        <v>-1</v>
      </c>
      <c r="T285" s="176">
        <f t="shared" si="108"/>
        <v>5</v>
      </c>
      <c r="U285" s="250">
        <f t="shared" si="109"/>
        <v>-2.5234725046019701E-2</v>
      </c>
      <c r="V285" s="382">
        <f t="shared" si="110"/>
        <v>40.508929381361568</v>
      </c>
      <c r="W285" s="400">
        <f t="shared" si="111"/>
        <v>14.531314930173977</v>
      </c>
      <c r="X285" s="157">
        <f t="shared" si="112"/>
        <v>47023</v>
      </c>
      <c r="Y285" s="383">
        <f t="shared" si="113"/>
        <v>14.064035809544537</v>
      </c>
      <c r="Z285" s="383">
        <f t="shared" si="114"/>
        <v>15.053614813132082</v>
      </c>
      <c r="AA285" s="384">
        <f t="shared" si="115"/>
        <v>16.347206999933359</v>
      </c>
      <c r="AB285" s="197">
        <f t="shared" si="116"/>
        <v>47023</v>
      </c>
      <c r="AC285" s="119">
        <f>IF(OR(t&lt;Tnet,NoTnet),'2027'!Resal_s+('2027'!Salim-'2027'!Resal_s)*(1-EXP(('2027'!Tnet_s-t)/'2027'!Tau_j)),Resal_s+(Salim-Resal_s)*(1-EXP((Tnet_s-t)/Tau_j)))*Salcycl</f>
        <v>7.9132306014510642E-2</v>
      </c>
      <c r="AD285" s="230">
        <f>(INDEX(Models!$BJ285:$BT285,,AH285)*(1-AF285)+INDEX(Models!$BJ285:$BT285,,AH285+1)*AF285-ERP_i)*AE285*Ramure*Pc/MaxiM</f>
        <v>1.8206004965626181E-2</v>
      </c>
      <c r="AE285" s="304">
        <f t="shared" si="117"/>
        <v>0.7</v>
      </c>
      <c r="AF285" s="177">
        <f t="shared" si="118"/>
        <v>0.73042310579333103</v>
      </c>
      <c r="AG285" s="799">
        <f t="shared" si="124"/>
        <v>2</v>
      </c>
      <c r="AH285" s="176">
        <f t="shared" si="119"/>
        <v>8</v>
      </c>
      <c r="AI285" s="224">
        <f t="shared" si="120"/>
        <v>2.730423105793331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47024</v>
      </c>
      <c r="B286" s="409">
        <f>'2027'!Wh/'2027'!Env_an*'2028'!Env_an</f>
        <v>20.602545803387933</v>
      </c>
      <c r="C286" s="829"/>
      <c r="D286" s="391">
        <f t="shared" si="102"/>
        <v>22.052612551891773</v>
      </c>
      <c r="E286" s="383">
        <f t="shared" si="100"/>
        <v>23.208810760849047</v>
      </c>
      <c r="F286" s="383">
        <f t="shared" si="103"/>
        <v>23.227340168636534</v>
      </c>
      <c r="G286" s="110">
        <f t="shared" si="101"/>
        <v>0.51071232048459037</v>
      </c>
      <c r="H286" s="412" t="b">
        <f>Wh_hp&gt;='2027'!Maxi_hp</f>
        <v>0</v>
      </c>
      <c r="I286" s="388">
        <f>IF(H286,Wh_hp,'2027'!Maxi_hp)</f>
        <v>45.479306908151436</v>
      </c>
      <c r="J286" s="85">
        <f>IF(H286,An,'2027'!An_max)</f>
        <v>2018</v>
      </c>
      <c r="K286" s="197">
        <f t="shared" si="104"/>
        <v>47024</v>
      </c>
      <c r="L286" s="147">
        <f>IF(t&lt;Tvie,1-EXP((T0-t)*PertePVj)+'2027'!Pspv,1-EXP((T0-t)*PertePVj)+Pspv)</f>
        <v>6.5754873491369992E-2</v>
      </c>
      <c r="M286" s="832"/>
      <c r="N286" s="832"/>
      <c r="O286" s="48">
        <f>IF(t&lt;Tnet,'2027'!Resal+('2027'!Salim-'2027'!Resal)*(1-EXP(('2027'!Tnet-t)/('2027'!Tau_j))),Resal+(Salim-Resal)*(1-EXP((Tnet-t)/(Tau_j))))*Salcycl</f>
        <v>4.9817210406474945E-2</v>
      </c>
      <c r="P286" s="169">
        <f>(INDEX(Models!$BJ286:$BT286,,T286)*(1-R286)+INDEX(Models!$BJ286:$BT286,,T286+1)*R286-ERP_i)*Q286*Ramure*Pc/MaxiM</f>
        <v>2.6383470421316407E-3</v>
      </c>
      <c r="Q286" s="304">
        <f t="shared" si="105"/>
        <v>0.7</v>
      </c>
      <c r="R286" s="177">
        <f t="shared" si="106"/>
        <v>0.97493716487870852</v>
      </c>
      <c r="S286" s="799">
        <f t="shared" si="107"/>
        <v>-1</v>
      </c>
      <c r="T286" s="176">
        <f t="shared" si="108"/>
        <v>5</v>
      </c>
      <c r="U286" s="250">
        <f t="shared" si="109"/>
        <v>-2.5062835121291482E-2</v>
      </c>
      <c r="V286" s="382">
        <f t="shared" si="110"/>
        <v>40.266493558776801</v>
      </c>
      <c r="W286" s="400">
        <f t="shared" si="111"/>
        <v>20.602545803387933</v>
      </c>
      <c r="X286" s="157">
        <f t="shared" si="112"/>
        <v>47024</v>
      </c>
      <c r="Y286" s="383">
        <f t="shared" si="113"/>
        <v>19.867456921526266</v>
      </c>
      <c r="Z286" s="383">
        <f t="shared" si="114"/>
        <v>21.265785988922406</v>
      </c>
      <c r="AA286" s="384">
        <f t="shared" si="115"/>
        <v>23.093166945087887</v>
      </c>
      <c r="AB286" s="197">
        <f t="shared" si="116"/>
        <v>47024</v>
      </c>
      <c r="AC286" s="119">
        <f>IF(OR(t&lt;Tnet,NoTnet),'2027'!Resal_s+('2027'!Salim-'2027'!Resal_s)*(1-EXP(('2027'!Tnet_s-t)/'2027'!Tau_j)),Resal_s+(Salim-Resal_s)*(1-EXP((Tnet_s-t)/Tau_j)))*Salcycl</f>
        <v>7.9130807849383464E-2</v>
      </c>
      <c r="AD286" s="230">
        <f>(INDEX(Models!$BJ286:$BT286,,AH286)*(1-AF286)+INDEX(Models!$BJ286:$BT286,,AH286+1)*AF286-ERP_i)*AE286*Ramure*Pc/MaxiM</f>
        <v>1.9104524631483315E-2</v>
      </c>
      <c r="AE286" s="304">
        <f t="shared" si="117"/>
        <v>0.7</v>
      </c>
      <c r="AF286" s="177">
        <f t="shared" si="118"/>
        <v>0.73059499571805908</v>
      </c>
      <c r="AG286" s="799">
        <f t="shared" si="124"/>
        <v>2</v>
      </c>
      <c r="AH286" s="176">
        <f t="shared" si="119"/>
        <v>8</v>
      </c>
      <c r="AI286" s="224">
        <f t="shared" si="120"/>
        <v>2.7305949957180591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47025</v>
      </c>
      <c r="B287" s="409">
        <f>'2027'!Wh/'2027'!Env_an*'2028'!Env_an</f>
        <v>28.464888554436047</v>
      </c>
      <c r="C287" s="829"/>
      <c r="D287" s="391">
        <f t="shared" si="102"/>
        <v>30.468913650494045</v>
      </c>
      <c r="E287" s="383">
        <f t="shared" si="100"/>
        <v>32.067793893377207</v>
      </c>
      <c r="F287" s="383">
        <f t="shared" si="103"/>
        <v>32.116515108771203</v>
      </c>
      <c r="G287" s="110">
        <f t="shared" si="101"/>
        <v>0.71046131683872493</v>
      </c>
      <c r="H287" s="412" t="b">
        <f>Wh_hp&gt;='2027'!Maxi_hp</f>
        <v>0</v>
      </c>
      <c r="I287" s="388">
        <f>IF(H287,Wh_hp,'2027'!Maxi_hp)</f>
        <v>37.731180167005817</v>
      </c>
      <c r="J287" s="85">
        <f>IF(H287,An,'2027'!An_max)</f>
        <v>2020</v>
      </c>
      <c r="K287" s="197">
        <f t="shared" si="104"/>
        <v>47025</v>
      </c>
      <c r="L287" s="147">
        <f>IF(t&lt;Tvie,1-EXP((T0-t)*PertePVj)+'2027'!Pspv,1-EXP((T0-t)*PertePVj)+Pspv)</f>
        <v>6.5772778086083949E-2</v>
      </c>
      <c r="M287" s="832"/>
      <c r="N287" s="832"/>
      <c r="O287" s="48">
        <f>IF(t&lt;Tnet,'2027'!Resal+('2027'!Salim-'2027'!Resal)*(1-EXP(('2027'!Tnet-t)/('2027'!Tau_j))),Resal+(Salim-Resal)*(1-EXP((Tnet-t)/(Tau_j))))*Salcycl</f>
        <v>4.9859377548680368E-2</v>
      </c>
      <c r="P287" s="169">
        <f>(INDEX(Models!$BJ287:$BT287,,T287)*(1-R287)+INDEX(Models!$BJ287:$BT287,,T287+1)*R287-ERP_i)*Q287*Ramure*Pc/MaxiM</f>
        <v>2.5823395868497245E-3</v>
      </c>
      <c r="Q287" s="304">
        <f t="shared" si="105"/>
        <v>0.7</v>
      </c>
      <c r="R287" s="177">
        <f t="shared" si="106"/>
        <v>0.9751022742729557</v>
      </c>
      <c r="S287" s="799">
        <f t="shared" si="107"/>
        <v>-1</v>
      </c>
      <c r="T287" s="176">
        <f t="shared" si="108"/>
        <v>5</v>
      </c>
      <c r="U287" s="250">
        <f t="shared" si="109"/>
        <v>-2.4897725727044295E-2</v>
      </c>
      <c r="V287" s="382">
        <f t="shared" si="110"/>
        <v>40.022612695377262</v>
      </c>
      <c r="W287" s="400">
        <f t="shared" si="111"/>
        <v>28.464888554436047</v>
      </c>
      <c r="X287" s="157">
        <f t="shared" si="112"/>
        <v>47025</v>
      </c>
      <c r="Y287" s="383">
        <f t="shared" si="113"/>
        <v>27.302925145086018</v>
      </c>
      <c r="Z287" s="383">
        <f t="shared" si="114"/>
        <v>29.22514405986966</v>
      </c>
      <c r="AA287" s="384">
        <f t="shared" si="115"/>
        <v>31.736388952973208</v>
      </c>
      <c r="AB287" s="197">
        <f t="shared" si="116"/>
        <v>47025</v>
      </c>
      <c r="AC287" s="119">
        <f>IF(OR(t&lt;Tnet,NoTnet),'2027'!Resal_s+('2027'!Salim-'2027'!Resal_s)*(1-EXP(('2027'!Tnet_s-t)/'2027'!Tau_j)),Resal_s+(Salim-Resal_s)*(1-EXP((Tnet_s-t)/Tau_j)))*Salcycl</f>
        <v>7.9128249178717081E-2</v>
      </c>
      <c r="AD287" s="230">
        <f>(INDEX(Models!$BJ287:$BT287,,AH287)*(1-AF287)+INDEX(Models!$BJ287:$BT287,,AH287+1)*AF287-ERP_i)*AE287*Ramure*Pc/MaxiM</f>
        <v>2.0147584828829414E-2</v>
      </c>
      <c r="AE287" s="304">
        <f t="shared" si="117"/>
        <v>0.7</v>
      </c>
      <c r="AF287" s="177">
        <f t="shared" si="118"/>
        <v>0.73076010511230649</v>
      </c>
      <c r="AG287" s="799">
        <f t="shared" si="124"/>
        <v>2</v>
      </c>
      <c r="AH287" s="176">
        <f t="shared" si="119"/>
        <v>8</v>
      </c>
      <c r="AI287" s="224">
        <f t="shared" si="120"/>
        <v>2.7307601051123065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47026</v>
      </c>
      <c r="B288" s="409">
        <f>'2027'!Wh/'2027'!Env_an*'2028'!Env_an</f>
        <v>33.352372219539994</v>
      </c>
      <c r="C288" s="829"/>
      <c r="D288" s="391">
        <f t="shared" si="102"/>
        <v>35.70117701565772</v>
      </c>
      <c r="E288" s="383">
        <f t="shared" si="100"/>
        <v>37.576261802818607</v>
      </c>
      <c r="F288" s="383">
        <f t="shared" si="103"/>
        <v>37.649571722472913</v>
      </c>
      <c r="G288" s="110">
        <f t="shared" si="101"/>
        <v>0.83798302475417341</v>
      </c>
      <c r="H288" s="412" t="b">
        <f>Wh_hp&gt;='2027'!Maxi_hp</f>
        <v>0</v>
      </c>
      <c r="I288" s="388">
        <f>IF(H288,Wh_hp,'2027'!Maxi_hp)</f>
        <v>44.215885035477228</v>
      </c>
      <c r="J288" s="85">
        <f>IF(H288,An,'2027'!An_max)</f>
        <v>2020</v>
      </c>
      <c r="K288" s="197">
        <f t="shared" si="104"/>
        <v>47026</v>
      </c>
      <c r="L288" s="147">
        <f>IF(t&lt;Tvie,1-EXP((T0-t)*PertePVj)+'2027'!Pspv,1-EXP((T0-t)*PertePVj)+Pspv)</f>
        <v>6.57906823376605E-2</v>
      </c>
      <c r="M288" s="832"/>
      <c r="N288" s="832"/>
      <c r="O288" s="48">
        <f>IF(t&lt;Tnet,'2027'!Resal+('2027'!Salim-'2027'!Resal)*(1-EXP(('2027'!Tnet-t)/('2027'!Tau_j))),Resal+(Salim-Resal)*(1-EXP((Tnet-t)/(Tau_j))))*Salcycl</f>
        <v>4.99007803650185E-2</v>
      </c>
      <c r="P288" s="169">
        <f>(INDEX(Models!$BJ288:$BT288,,T288)*(1-R288)+INDEX(Models!$BJ288:$BT288,,T288+1)*R288-ERP_i)*Q288*Ramure*Pc/MaxiM</f>
        <v>2.5312569075440451E-3</v>
      </c>
      <c r="Q288" s="304">
        <f t="shared" si="105"/>
        <v>0.7</v>
      </c>
      <c r="R288" s="177">
        <f t="shared" si="106"/>
        <v>0.97526086523515432</v>
      </c>
      <c r="S288" s="799">
        <f t="shared" si="107"/>
        <v>-1</v>
      </c>
      <c r="T288" s="176">
        <f t="shared" si="108"/>
        <v>5</v>
      </c>
      <c r="U288" s="250">
        <f t="shared" si="109"/>
        <v>-2.4739134764845683E-2</v>
      </c>
      <c r="V288" s="382">
        <f t="shared" si="110"/>
        <v>39.777480414334541</v>
      </c>
      <c r="W288" s="400">
        <f t="shared" si="111"/>
        <v>33.352372219539994</v>
      </c>
      <c r="X288" s="157">
        <f t="shared" si="112"/>
        <v>47026</v>
      </c>
      <c r="Y288" s="383">
        <f t="shared" si="113"/>
        <v>31.857933605912397</v>
      </c>
      <c r="Z288" s="383">
        <f t="shared" si="114"/>
        <v>34.10149417651936</v>
      </c>
      <c r="AA288" s="384">
        <f t="shared" si="115"/>
        <v>37.031605476547462</v>
      </c>
      <c r="AB288" s="197">
        <f t="shared" si="116"/>
        <v>47026</v>
      </c>
      <c r="AC288" s="119">
        <f>IF(OR(t&lt;Tnet,NoTnet),'2027'!Resal_s+('2027'!Salim-'2027'!Resal_s)*(1-EXP(('2027'!Tnet_s-t)/'2027'!Tau_j)),Resal_s+(Salim-Resal_s)*(1-EXP((Tnet_s-t)/Tau_j)))*Salcycl</f>
        <v>7.9124608893442971E-2</v>
      </c>
      <c r="AD288" s="230">
        <f>(INDEX(Models!$BJ288:$BT288,,AH288)*(1-AF288)+INDEX(Models!$BJ288:$BT288,,AH288+1)*AF288-ERP_i)*AE288*Ramure*Pc/MaxiM</f>
        <v>2.1337239707859522E-2</v>
      </c>
      <c r="AE288" s="304">
        <f t="shared" si="117"/>
        <v>0.7</v>
      </c>
      <c r="AF288" s="177">
        <f t="shared" si="118"/>
        <v>0.7309186960745051</v>
      </c>
      <c r="AG288" s="799">
        <f t="shared" si="124"/>
        <v>2</v>
      </c>
      <c r="AH288" s="176">
        <f t="shared" si="119"/>
        <v>8</v>
      </c>
      <c r="AI288" s="224">
        <f t="shared" si="120"/>
        <v>2.7309186960745051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47027</v>
      </c>
      <c r="B289" s="409">
        <f>'2027'!Wh/'2027'!Env_an*'2028'!Env_an</f>
        <v>37.75147123017328</v>
      </c>
      <c r="C289" s="829"/>
      <c r="D289" s="391">
        <f t="shared" si="102"/>
        <v>40.410852288264167</v>
      </c>
      <c r="E289" s="383">
        <f t="shared" si="100"/>
        <v>42.53511573000403</v>
      </c>
      <c r="F289" s="383">
        <f t="shared" si="103"/>
        <v>42.63426220912168</v>
      </c>
      <c r="G289" s="110">
        <f t="shared" si="101"/>
        <v>0.95485589693243011</v>
      </c>
      <c r="H289" s="412" t="b">
        <f>Wh_hp&gt;='2027'!Maxi_hp</f>
        <v>0</v>
      </c>
      <c r="I289" s="388">
        <f>IF(H289,Wh_hp,'2027'!Maxi_hp)</f>
        <v>42.639173429368263</v>
      </c>
      <c r="J289" s="85">
        <f>IF(H289,An,'2027'!An_max)</f>
        <v>2026</v>
      </c>
      <c r="K289" s="197">
        <f t="shared" si="104"/>
        <v>47027</v>
      </c>
      <c r="L289" s="147">
        <f>IF(t&lt;Tvie,1-EXP((T0-t)*PertePVj)+'2027'!Pspv,1-EXP((T0-t)*PertePVj)+Pspv)</f>
        <v>6.5808586246106082E-2</v>
      </c>
      <c r="M289" s="832"/>
      <c r="N289" s="832"/>
      <c r="O289" s="48">
        <f>IF(t&lt;Tnet,'2027'!Resal+('2027'!Salim-'2027'!Resal)*(1-EXP(('2027'!Tnet-t)/('2027'!Tau_j))),Resal+(Salim-Resal)*(1-EXP((Tnet-t)/(Tau_j))))*Salcycl</f>
        <v>4.9941405008131108E-2</v>
      </c>
      <c r="P289" s="169">
        <f>(INDEX(Models!$BJ289:$BT289,,T289)*(1-R289)+INDEX(Models!$BJ289:$BT289,,T289+1)*R289-ERP_i)*Q289*Ramure*Pc/MaxiM</f>
        <v>2.4852463765687566E-3</v>
      </c>
      <c r="Q289" s="304">
        <f t="shared" si="105"/>
        <v>0.7</v>
      </c>
      <c r="R289" s="177">
        <f t="shared" si="106"/>
        <v>0.97541319015287942</v>
      </c>
      <c r="S289" s="799">
        <f t="shared" si="107"/>
        <v>-1</v>
      </c>
      <c r="T289" s="176">
        <f t="shared" si="108"/>
        <v>5</v>
      </c>
      <c r="U289" s="250">
        <f t="shared" si="109"/>
        <v>-2.4586809847120583E-2</v>
      </c>
      <c r="V289" s="382">
        <f t="shared" si="110"/>
        <v>39.529972092633983</v>
      </c>
      <c r="W289" s="400">
        <f t="shared" si="111"/>
        <v>37.75147123017328</v>
      </c>
      <c r="X289" s="157">
        <f t="shared" si="112"/>
        <v>47027</v>
      </c>
      <c r="Y289" s="383">
        <f t="shared" si="113"/>
        <v>35.899081196672697</v>
      </c>
      <c r="Z289" s="383">
        <f t="shared" si="114"/>
        <v>38.42797168560795</v>
      </c>
      <c r="AA289" s="384">
        <f t="shared" si="115"/>
        <v>41.729613152544623</v>
      </c>
      <c r="AB289" s="197">
        <f t="shared" si="116"/>
        <v>47027</v>
      </c>
      <c r="AC289" s="119">
        <f>IF(OR(t&lt;Tnet,NoTnet),'2027'!Resal_s+('2027'!Salim-'2027'!Resal_s)*(1-EXP(('2027'!Tnet_s-t)/'2027'!Tau_j)),Resal_s+(Salim-Resal_s)*(1-EXP((Tnet_s-t)/Tau_j)))*Salcycl</f>
        <v>7.9119867583419906E-2</v>
      </c>
      <c r="AD289" s="230">
        <f>(INDEX(Models!$BJ289:$BT289,,AH289)*(1-AF289)+INDEX(Models!$BJ289:$BT289,,AH289+1)*AF289-ERP_i)*AE289*Ramure*Pc/MaxiM</f>
        <v>2.2676304896884981E-2</v>
      </c>
      <c r="AE289" s="304">
        <f t="shared" si="117"/>
        <v>0.7</v>
      </c>
      <c r="AF289" s="177">
        <f t="shared" si="118"/>
        <v>0.7310710209922302</v>
      </c>
      <c r="AG289" s="799">
        <f t="shared" si="124"/>
        <v>2</v>
      </c>
      <c r="AH289" s="176">
        <f t="shared" si="119"/>
        <v>8</v>
      </c>
      <c r="AI289" s="224">
        <f t="shared" si="120"/>
        <v>2.7310710209922302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47028</v>
      </c>
      <c r="B290" s="409">
        <f>'2027'!Wh/'2027'!Env_an*'2028'!Env_an</f>
        <v>33.588218745245399</v>
      </c>
      <c r="C290" s="829"/>
      <c r="D290" s="391">
        <f t="shared" si="102"/>
        <v>35.955010904200513</v>
      </c>
      <c r="E290" s="383">
        <f t="shared" si="100"/>
        <v>37.846632480201222</v>
      </c>
      <c r="F290" s="383">
        <f t="shared" si="103"/>
        <v>37.920894948044129</v>
      </c>
      <c r="G290" s="110">
        <f t="shared" si="101"/>
        <v>0.85470050376825557</v>
      </c>
      <c r="H290" s="412" t="b">
        <f>Wh_hp&gt;='2027'!Maxi_hp</f>
        <v>0</v>
      </c>
      <c r="I290" s="388">
        <f>IF(H290,Wh_hp,'2027'!Maxi_hp)</f>
        <v>37.934926703288703</v>
      </c>
      <c r="J290" s="85">
        <f>IF(H290,An,'2027'!An_max)</f>
        <v>2026</v>
      </c>
      <c r="K290" s="197">
        <f t="shared" si="104"/>
        <v>47028</v>
      </c>
      <c r="L290" s="147">
        <f>IF(t&lt;Tvie,1-EXP((T0-t)*PertePVj)+'2027'!Pspv,1-EXP((T0-t)*PertePVj)+Pspv)</f>
        <v>6.5826489811427358E-2</v>
      </c>
      <c r="M290" s="832"/>
      <c r="N290" s="832"/>
      <c r="O290" s="48">
        <f>IF(t&lt;Tnet,'2027'!Resal+('2027'!Salim-'2027'!Resal)*(1-EXP(('2027'!Tnet-t)/('2027'!Tau_j))),Resal+(Salim-Resal)*(1-EXP((Tnet-t)/(Tau_j))))*Salcycl</f>
        <v>4.9981238806128321E-2</v>
      </c>
      <c r="P290" s="169">
        <f>(INDEX(Models!$BJ290:$BT290,,T290)*(1-R290)+INDEX(Models!$BJ290:$BT290,,T290+1)*R290-ERP_i)*Q290*Ramure*Pc/MaxiM</f>
        <v>2.4693781534742385E-3</v>
      </c>
      <c r="Q290" s="304">
        <f t="shared" si="105"/>
        <v>0.7</v>
      </c>
      <c r="R290" s="177">
        <f t="shared" si="106"/>
        <v>0.97555949202950987</v>
      </c>
      <c r="S290" s="799">
        <f t="shared" si="107"/>
        <v>-1</v>
      </c>
      <c r="T290" s="176">
        <f t="shared" si="108"/>
        <v>5</v>
      </c>
      <c r="U290" s="250">
        <f t="shared" si="109"/>
        <v>-2.4440507970490133E-2</v>
      </c>
      <c r="V290" s="382">
        <f t="shared" si="110"/>
        <v>39.27811024510401</v>
      </c>
      <c r="W290" s="400">
        <f t="shared" si="111"/>
        <v>33.588218745245399</v>
      </c>
      <c r="X290" s="157">
        <f t="shared" si="112"/>
        <v>47028</v>
      </c>
      <c r="Y290" s="383">
        <f t="shared" si="113"/>
        <v>31.995659728358817</v>
      </c>
      <c r="Z290" s="383">
        <f t="shared" si="114"/>
        <v>34.250232295604441</v>
      </c>
      <c r="AA290" s="384">
        <f t="shared" si="115"/>
        <v>37.192695495559583</v>
      </c>
      <c r="AB290" s="197">
        <f t="shared" si="116"/>
        <v>47028</v>
      </c>
      <c r="AC290" s="119">
        <f>IF(OR(t&lt;Tnet,NoTnet),'2027'!Resal_s+('2027'!Salim-'2027'!Resal_s)*(1-EXP(('2027'!Tnet_s-t)/'2027'!Tau_j)),Resal_s+(Salim-Resal_s)*(1-EXP((Tnet_s-t)/Tau_j)))*Salcycl</f>
        <v>7.9114007757422319E-2</v>
      </c>
      <c r="AD290" s="230">
        <f>(INDEX(Models!$BJ290:$BT290,,AH290)*(1-AF290)+INDEX(Models!$BJ290:$BT290,,AH290+1)*AF290-ERP_i)*AE290*Ramure*Pc/MaxiM</f>
        <v>2.4214113421885272E-2</v>
      </c>
      <c r="AE290" s="304">
        <f t="shared" si="117"/>
        <v>0.7</v>
      </c>
      <c r="AF290" s="177">
        <f t="shared" si="118"/>
        <v>0.73121732286886054</v>
      </c>
      <c r="AG290" s="799">
        <f t="shared" si="124"/>
        <v>2</v>
      </c>
      <c r="AH290" s="176">
        <f t="shared" si="119"/>
        <v>8</v>
      </c>
      <c r="AI290" s="224">
        <f t="shared" si="120"/>
        <v>2.7312173228688605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47029</v>
      </c>
      <c r="B291" s="409">
        <f>'2027'!Wh/'2027'!Env_an*'2028'!Env_an</f>
        <v>40.071842268434509</v>
      </c>
      <c r="C291" s="829"/>
      <c r="D291" s="391">
        <f t="shared" si="102"/>
        <v>42.896324733912508</v>
      </c>
      <c r="E291" s="383">
        <f t="shared" si="100"/>
        <v>45.15498951992322</v>
      </c>
      <c r="F291" s="383">
        <f t="shared" si="103"/>
        <v>45.26769224982543</v>
      </c>
      <c r="G291" s="110">
        <f t="shared" si="101"/>
        <v>1.0269021069326254</v>
      </c>
      <c r="H291" s="412" t="b">
        <f>Wh_hp&gt;='2027'!Maxi_hp</f>
        <v>1</v>
      </c>
      <c r="I291" s="388">
        <f>IF(H291,Wh_hp,'2027'!Maxi_hp)</f>
        <v>45.26769224982543</v>
      </c>
      <c r="J291" s="85">
        <f>IF(H291,An,'2027'!An_max)</f>
        <v>2028</v>
      </c>
      <c r="K291" s="197">
        <f t="shared" si="104"/>
        <v>47029</v>
      </c>
      <c r="L291" s="147">
        <f>IF(t&lt;Tvie,1-EXP((T0-t)*PertePVj)+'2027'!Pspv,1-EXP((T0-t)*PertePVj)+Pspv)</f>
        <v>6.5844393033630877E-2</v>
      </c>
      <c r="M291" s="832"/>
      <c r="N291" s="832"/>
      <c r="O291" s="48">
        <f>IF(t&lt;Tnet,'2027'!Resal+('2027'!Salim-'2027'!Resal)*(1-EXP(('2027'!Tnet-t)/('2027'!Tau_j))),Resal+(Salim-Resal)*(1-EXP((Tnet-t)/(Tau_j))))*Salcycl</f>
        <v>5.0020270406975709E-2</v>
      </c>
      <c r="P291" s="169">
        <f>(INDEX(Models!$BJ291:$BT291,,T291)*(1-R291)+INDEX(Models!$BJ291:$BT291,,T291+1)*R291-ERP_i)*Q291*Ramure*Pc/MaxiM</f>
        <v>2.4896946210604177E-3</v>
      </c>
      <c r="Q291" s="304">
        <f t="shared" si="105"/>
        <v>0.7</v>
      </c>
      <c r="R291" s="177">
        <f t="shared" si="106"/>
        <v>0.97570000480257424</v>
      </c>
      <c r="S291" s="799">
        <f t="shared" si="107"/>
        <v>-1</v>
      </c>
      <c r="T291" s="176">
        <f t="shared" si="108"/>
        <v>5</v>
      </c>
      <c r="U291" s="250">
        <f t="shared" si="109"/>
        <v>-2.4299995197425761E-2</v>
      </c>
      <c r="V291" s="382">
        <f t="shared" si="110"/>
        <v>39.022066463696149</v>
      </c>
      <c r="W291" s="400">
        <f t="shared" si="111"/>
        <v>40.071842268434509</v>
      </c>
      <c r="X291" s="157">
        <f t="shared" si="112"/>
        <v>47029</v>
      </c>
      <c r="Y291" s="383">
        <f t="shared" si="113"/>
        <v>37.933503479837775</v>
      </c>
      <c r="Z291" s="383">
        <f t="shared" si="114"/>
        <v>40.607264139884819</v>
      </c>
      <c r="AA291" s="384">
        <f t="shared" si="115"/>
        <v>44.095529838966272</v>
      </c>
      <c r="AB291" s="197">
        <f t="shared" si="116"/>
        <v>47029</v>
      </c>
      <c r="AC291" s="119">
        <f>IF(OR(t&lt;Tnet,NoTnet),'2027'!Resal_s+('2027'!Salim-'2027'!Resal_s)*(1-EXP(('2027'!Tnet_s-t)/'2027'!Tau_j)),Resal_s+(Salim-Resal_s)*(1-EXP((Tnet_s-t)/Tau_j)))*Salcycl</f>
        <v>7.9107014062884715E-2</v>
      </c>
      <c r="AD291" s="230">
        <f>(INDEX(Models!$BJ291:$BT291,,AH291)*(1-AF291)+INDEX(Models!$BJ291:$BT291,,AH291+1)*AF291-ERP_i)*AE291*Ramure*Pc/MaxiM</f>
        <v>2.589401740186292E-2</v>
      </c>
      <c r="AE291" s="304">
        <f t="shared" si="117"/>
        <v>0.7</v>
      </c>
      <c r="AF291" s="177">
        <f t="shared" si="118"/>
        <v>0.73135783564192502</v>
      </c>
      <c r="AG291" s="799">
        <f t="shared" si="124"/>
        <v>2</v>
      </c>
      <c r="AH291" s="176">
        <f t="shared" si="119"/>
        <v>8</v>
      </c>
      <c r="AI291" s="224">
        <f t="shared" si="120"/>
        <v>2.731357835641925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47030</v>
      </c>
      <c r="B292" s="409">
        <f>'2027'!Wh/'2027'!Env_an*'2028'!Env_an</f>
        <v>39.760045102242486</v>
      </c>
      <c r="C292" s="829"/>
      <c r="D292" s="391">
        <f t="shared" si="102"/>
        <v>42.563366116445394</v>
      </c>
      <c r="E292" s="383">
        <f t="shared" si="100"/>
        <v>44.806301930063029</v>
      </c>
      <c r="F292" s="383">
        <f t="shared" si="103"/>
        <v>44.920703887087065</v>
      </c>
      <c r="G292" s="110">
        <f t="shared" si="101"/>
        <v>1.0257418885232881</v>
      </c>
      <c r="H292" s="412" t="b">
        <f>Wh_hp&gt;='2027'!Maxi_hp</f>
        <v>1</v>
      </c>
      <c r="I292" s="388">
        <f>IF(H292,Wh_hp,'2027'!Maxi_hp)</f>
        <v>44.920703887087065</v>
      </c>
      <c r="J292" s="85">
        <f>IF(H292,An,'2027'!An_max)</f>
        <v>2028</v>
      </c>
      <c r="K292" s="197">
        <f t="shared" si="104"/>
        <v>47030</v>
      </c>
      <c r="L292" s="147">
        <f>IF(t&lt;Tvie,1-EXP((T0-t)*PertePVj)+'2027'!Pspv,1-EXP((T0-t)*PertePVj)+Pspv)</f>
        <v>6.5862295912723301E-2</v>
      </c>
      <c r="M292" s="832"/>
      <c r="N292" s="832"/>
      <c r="O292" s="48">
        <f>IF(t&lt;Tnet,'2027'!Resal+('2027'!Salim-'2027'!Resal)*(1-EXP(('2027'!Tnet-t)/('2027'!Tau_j))),Resal+(Salim-Resal)*(1-EXP((Tnet-t)/(Tau_j))))*Salcycl</f>
        <v>5.0058489922211596E-2</v>
      </c>
      <c r="P292" s="169">
        <f>(INDEX(Models!$BJ292:$BT292,,T292)*(1-R292)+INDEX(Models!$BJ292:$BT292,,T292+1)*R292-ERP_i)*Q292*Ramure*Pc/MaxiM</f>
        <v>2.5467534371587811E-3</v>
      </c>
      <c r="Q292" s="304">
        <f t="shared" si="105"/>
        <v>0.7</v>
      </c>
      <c r="R292" s="177">
        <f t="shared" si="106"/>
        <v>0.97583495365375961</v>
      </c>
      <c r="S292" s="799">
        <f t="shared" si="107"/>
        <v>-1</v>
      </c>
      <c r="T292" s="176">
        <f t="shared" si="108"/>
        <v>5</v>
      </c>
      <c r="U292" s="250">
        <f t="shared" si="109"/>
        <v>-2.4165046346240449E-2</v>
      </c>
      <c r="V292" s="382">
        <f t="shared" si="110"/>
        <v>38.76223204600052</v>
      </c>
      <c r="W292" s="400">
        <f t="shared" si="111"/>
        <v>39.760045102242486</v>
      </c>
      <c r="X292" s="157">
        <f t="shared" si="112"/>
        <v>47030</v>
      </c>
      <c r="Y292" s="383">
        <f t="shared" si="113"/>
        <v>37.571857153757449</v>
      </c>
      <c r="Z292" s="383">
        <f t="shared" si="114"/>
        <v>40.220897828407431</v>
      </c>
      <c r="AA292" s="384">
        <f t="shared" si="115"/>
        <v>43.675587607786404</v>
      </c>
      <c r="AB292" s="197">
        <f t="shared" si="116"/>
        <v>47030</v>
      </c>
      <c r="AC292" s="119">
        <f>IF(OR(t&lt;Tnet,NoTnet),'2027'!Resal_s+('2027'!Salim-'2027'!Resal_s)*(1-EXP(('2027'!Tnet_s-t)/'2027'!Tau_j)),Resal_s+(Salim-Resal_s)*(1-EXP((Tnet_s-t)/Tau_j)))*Salcycl</f>
        <v>7.9098873503491832E-2</v>
      </c>
      <c r="AD292" s="230">
        <f>(INDEX(Models!$BJ292:$BT292,,AH292)*(1-AF292)+INDEX(Models!$BJ292:$BT292,,AH292+1)*AF292-ERP_i)*AE292*Ramure*Pc/MaxiM</f>
        <v>2.7718093697516159E-2</v>
      </c>
      <c r="AE292" s="304">
        <f t="shared" si="117"/>
        <v>0.7</v>
      </c>
      <c r="AF292" s="177">
        <f t="shared" si="118"/>
        <v>0.73149278449311028</v>
      </c>
      <c r="AG292" s="799">
        <f t="shared" si="124"/>
        <v>2</v>
      </c>
      <c r="AH292" s="176">
        <f t="shared" si="119"/>
        <v>8</v>
      </c>
      <c r="AI292" s="224">
        <f t="shared" si="120"/>
        <v>2.7314927844931103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47031</v>
      </c>
      <c r="B293" s="409">
        <f>'2027'!Wh/'2027'!Env_an*'2028'!Env_an</f>
        <v>14.14220629756443</v>
      </c>
      <c r="C293" s="829"/>
      <c r="D293" s="391">
        <f t="shared" si="102"/>
        <v>15.139606583736397</v>
      </c>
      <c r="E293" s="383">
        <f t="shared" si="100"/>
        <v>15.938036702350892</v>
      </c>
      <c r="F293" s="383">
        <f t="shared" si="103"/>
        <v>15.942087185052641</v>
      </c>
      <c r="G293" s="110">
        <f t="shared" si="101"/>
        <v>0.36646250692007637</v>
      </c>
      <c r="H293" s="412" t="b">
        <f>Wh_hp&gt;='2027'!Maxi_hp</f>
        <v>0</v>
      </c>
      <c r="I293" s="388">
        <f>IF(H293,Wh_hp,'2027'!Maxi_hp)</f>
        <v>37.456299477721394</v>
      </c>
      <c r="J293" s="85">
        <f>IF(H293,An,'2027'!An_max)</f>
        <v>2021</v>
      </c>
      <c r="K293" s="197">
        <f t="shared" si="104"/>
        <v>47031</v>
      </c>
      <c r="L293" s="147">
        <f>IF(t&lt;Tvie,1-EXP((T0-t)*PertePVj)+'2027'!Pspv,1-EXP((T0-t)*PertePVj)+Pspv)</f>
        <v>6.5880198448711069E-2</v>
      </c>
      <c r="M293" s="832"/>
      <c r="N293" s="832"/>
      <c r="O293" s="48">
        <f>IF(t&lt;Tnet,'2027'!Resal+('2027'!Salim-'2027'!Resal)*(1-EXP(('2027'!Tnet-t)/('2027'!Tau_j))),Resal+(Salim-Resal)*(1-EXP((Tnet-t)/(Tau_j))))*Salcycl</f>
        <v>5.0095889068741184E-2</v>
      </c>
      <c r="P293" s="169">
        <f>(INDEX(Models!$BJ293:$BT293,,T293)*(1-R293)+INDEX(Models!$BJ293:$BT293,,T293+1)*R293-ERP_i)*Q293*Ramure*Pc/MaxiM</f>
        <v>2.6411263916437935E-3</v>
      </c>
      <c r="Q293" s="304">
        <f t="shared" si="105"/>
        <v>0.7</v>
      </c>
      <c r="R293" s="177">
        <f t="shared" si="106"/>
        <v>0.9759645553105909</v>
      </c>
      <c r="S293" s="799">
        <f t="shared" si="107"/>
        <v>-1</v>
      </c>
      <c r="T293" s="176">
        <f t="shared" si="108"/>
        <v>5</v>
      </c>
      <c r="U293" s="250">
        <f t="shared" si="109"/>
        <v>-2.4035444689409102E-2</v>
      </c>
      <c r="V293" s="382">
        <f t="shared" si="110"/>
        <v>38.498998603931653</v>
      </c>
      <c r="W293" s="400">
        <f t="shared" si="111"/>
        <v>14.14220629756443</v>
      </c>
      <c r="X293" s="157">
        <f t="shared" si="112"/>
        <v>47031</v>
      </c>
      <c r="Y293" s="383">
        <f t="shared" si="113"/>
        <v>13.674864267626798</v>
      </c>
      <c r="Z293" s="383">
        <f t="shared" si="114"/>
        <v>14.63930455699259</v>
      </c>
      <c r="AA293" s="384">
        <f t="shared" si="115"/>
        <v>15.896556461902986</v>
      </c>
      <c r="AB293" s="197">
        <f t="shared" si="116"/>
        <v>47031</v>
      </c>
      <c r="AC293" s="119">
        <f>IF(OR(t&lt;Tnet,NoTnet),'2027'!Resal_s+('2027'!Salim-'2027'!Resal_s)*(1-EXP(('2027'!Tnet_s-t)/'2027'!Tau_j)),Resal_s+(Salim-Resal_s)*(1-EXP((Tnet_s-t)/Tau_j)))*Salcycl</f>
        <v>7.9089575652656077E-2</v>
      </c>
      <c r="AD293" s="230">
        <f>(INDEX(Models!$BJ293:$BT293,,AH293)*(1-AF293)+INDEX(Models!$BJ293:$BT293,,AH293+1)*AF293-ERP_i)*AE293*Ramure*Pc/MaxiM</f>
        <v>2.9688410837874032E-2</v>
      </c>
      <c r="AE293" s="304">
        <f t="shared" si="117"/>
        <v>0.7</v>
      </c>
      <c r="AF293" s="177">
        <f t="shared" si="118"/>
        <v>0.73162238614994157</v>
      </c>
      <c r="AG293" s="799">
        <f t="shared" si="124"/>
        <v>2</v>
      </c>
      <c r="AH293" s="176">
        <f t="shared" si="119"/>
        <v>8</v>
      </c>
      <c r="AI293" s="224">
        <f t="shared" si="120"/>
        <v>2.7316223861499416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47032</v>
      </c>
      <c r="B294" s="409">
        <f>'2027'!Wh/'2027'!Env_an*'2028'!Env_an</f>
        <v>29.954247079493097</v>
      </c>
      <c r="C294" s="829"/>
      <c r="D294" s="391">
        <f t="shared" si="102"/>
        <v>32.06742979547262</v>
      </c>
      <c r="E294" s="383">
        <f t="shared" si="100"/>
        <v>33.759896500528164</v>
      </c>
      <c r="F294" s="383">
        <f t="shared" si="103"/>
        <v>33.824687970425117</v>
      </c>
      <c r="G294" s="110">
        <f t="shared" si="101"/>
        <v>0.78279731531975594</v>
      </c>
      <c r="H294" s="412" t="b">
        <f>Wh_hp&gt;='2027'!Maxi_hp</f>
        <v>0</v>
      </c>
      <c r="I294" s="388">
        <f>IF(H294,Wh_hp,'2027'!Maxi_hp)</f>
        <v>42.329866448649689</v>
      </c>
      <c r="J294" s="85">
        <f>IF(H294,An,'2027'!An_max)</f>
        <v>2021</v>
      </c>
      <c r="K294" s="197">
        <f t="shared" si="104"/>
        <v>47032</v>
      </c>
      <c r="L294" s="147">
        <f>IF(t&lt;Tvie,1-EXP((T0-t)*PertePVj)+'2027'!Pspv,1-EXP((T0-t)*PertePVj)+Pspv)</f>
        <v>6.5898100641600732E-2</v>
      </c>
      <c r="M294" s="832"/>
      <c r="N294" s="832"/>
      <c r="O294" s="48">
        <f>IF(t&lt;Tnet,'2027'!Resal+('2027'!Salim-'2027'!Resal)*(1-EXP(('2027'!Tnet-t)/('2027'!Tau_j))),Resal+(Salim-Resal)*(1-EXP((Tnet-t)/(Tau_j))))*Salcycl</f>
        <v>5.0132461307429224E-2</v>
      </c>
      <c r="P294" s="169">
        <f>(INDEX(Models!$BJ294:$BT294,,T294)*(1-R294)+INDEX(Models!$BJ294:$BT294,,T294+1)*R294-ERP_i)*Q294*Ramure*Pc/MaxiM</f>
        <v>2.7733959863359596E-3</v>
      </c>
      <c r="Q294" s="304">
        <f t="shared" si="105"/>
        <v>0.7</v>
      </c>
      <c r="R294" s="177">
        <f t="shared" si="106"/>
        <v>0.97608901833980921</v>
      </c>
      <c r="S294" s="799">
        <f t="shared" si="107"/>
        <v>-1</v>
      </c>
      <c r="T294" s="176">
        <f t="shared" si="108"/>
        <v>5</v>
      </c>
      <c r="U294" s="250">
        <f t="shared" si="109"/>
        <v>-2.3910981660190844E-2</v>
      </c>
      <c r="V294" s="382">
        <f t="shared" si="110"/>
        <v>38.232758078572154</v>
      </c>
      <c r="W294" s="400">
        <f t="shared" si="111"/>
        <v>29.954247079493097</v>
      </c>
      <c r="X294" s="157">
        <f t="shared" si="112"/>
        <v>47032</v>
      </c>
      <c r="Y294" s="383">
        <f t="shared" si="113"/>
        <v>28.457932171886249</v>
      </c>
      <c r="Z294" s="383">
        <f t="shared" si="114"/>
        <v>30.46555433773657</v>
      </c>
      <c r="AA294" s="384">
        <f t="shared" si="115"/>
        <v>33.081619456346225</v>
      </c>
      <c r="AB294" s="197">
        <f t="shared" si="116"/>
        <v>47032</v>
      </c>
      <c r="AC294" s="119">
        <f>IF(OR(t&lt;Tnet,NoTnet),'2027'!Resal_s+('2027'!Salim-'2027'!Resal_s)*(1-EXP(('2027'!Tnet_s-t)/'2027'!Tau_j)),Resal_s+(Salim-Resal_s)*(1-EXP((Tnet_s-t)/Tau_j)))*Salcycl</f>
        <v>7.9079112860897222E-2</v>
      </c>
      <c r="AD294" s="230">
        <f>(INDEX(Models!$BJ294:$BT294,,AH294)*(1-AF294)+INDEX(Models!$BJ294:$BT294,,AH294+1)*AF294-ERP_i)*AE294*Ramure*Pc/MaxiM</f>
        <v>3.1807014685678404E-2</v>
      </c>
      <c r="AE294" s="304">
        <f t="shared" si="117"/>
        <v>0.7</v>
      </c>
      <c r="AF294" s="177">
        <f t="shared" si="118"/>
        <v>0.73174684917916011</v>
      </c>
      <c r="AG294" s="799">
        <f t="shared" si="124"/>
        <v>2</v>
      </c>
      <c r="AH294" s="176">
        <f t="shared" si="119"/>
        <v>8</v>
      </c>
      <c r="AI294" s="224">
        <f t="shared" si="120"/>
        <v>2.7317468491791601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47033</v>
      </c>
      <c r="B295" s="409">
        <f>'2027'!Wh/'2027'!Env_an*'2028'!Env_an</f>
        <v>14.437008057855124</v>
      </c>
      <c r="C295" s="829"/>
      <c r="D295" s="391">
        <f t="shared" si="102"/>
        <v>15.45579208760847</v>
      </c>
      <c r="E295" s="383">
        <f t="shared" si="100"/>
        <v>16.272135887408378</v>
      </c>
      <c r="F295" s="383">
        <f t="shared" si="103"/>
        <v>16.277632236598091</v>
      </c>
      <c r="G295" s="110">
        <f t="shared" si="101"/>
        <v>0.37929096843019011</v>
      </c>
      <c r="H295" s="412" t="b">
        <f>Wh_hp&gt;='2027'!Maxi_hp</f>
        <v>0</v>
      </c>
      <c r="I295" s="388">
        <f>IF(H295,Wh_hp,'2027'!Maxi_hp)</f>
        <v>42.692090541725008</v>
      </c>
      <c r="J295" s="85">
        <f>IF(H295,An,'2027'!An_max)</f>
        <v>2021</v>
      </c>
      <c r="K295" s="197">
        <f t="shared" si="104"/>
        <v>47033</v>
      </c>
      <c r="L295" s="147">
        <f>IF(t&lt;Tvie,1-EXP((T0-t)*PertePVj)+'2027'!Pspv,1-EXP((T0-t)*PertePVj)+Pspv)</f>
        <v>6.5916002491399062E-2</v>
      </c>
      <c r="M295" s="832"/>
      <c r="N295" s="832"/>
      <c r="O295" s="48">
        <f>IF(t&lt;Tnet,'2027'!Resal+('2027'!Salim-'2027'!Resal)*(1-EXP(('2027'!Tnet-t)/('2027'!Tau_j))),Resal+(Salim-Resal)*(1-EXP((Tnet-t)/(Tau_j))))*Salcycl</f>
        <v>5.0168201977197534E-2</v>
      </c>
      <c r="P295" s="169">
        <f>(INDEX(Models!$BJ295:$BT295,,T295)*(1-R295)+INDEX(Models!$BJ295:$BT295,,T295+1)*R295-ERP_i)*Q295*Ramure*Pc/MaxiM</f>
        <v>2.944151854974058E-3</v>
      </c>
      <c r="Q295" s="304">
        <f t="shared" si="105"/>
        <v>0.7</v>
      </c>
      <c r="R295" s="177">
        <f t="shared" si="106"/>
        <v>0.97620854343249808</v>
      </c>
      <c r="S295" s="799">
        <f t="shared" si="107"/>
        <v>-1</v>
      </c>
      <c r="T295" s="176">
        <f t="shared" si="108"/>
        <v>5</v>
      </c>
      <c r="U295" s="250">
        <f t="shared" si="109"/>
        <v>-2.3791456567501867E-2</v>
      </c>
      <c r="V295" s="382">
        <f t="shared" si="110"/>
        <v>37.963902757708944</v>
      </c>
      <c r="W295" s="400">
        <f t="shared" si="111"/>
        <v>14.437008057855124</v>
      </c>
      <c r="X295" s="157">
        <f t="shared" si="112"/>
        <v>47033</v>
      </c>
      <c r="Y295" s="383">
        <f t="shared" si="113"/>
        <v>13.947756695779788</v>
      </c>
      <c r="Z295" s="383">
        <f t="shared" si="114"/>
        <v>14.932015464328044</v>
      </c>
      <c r="AA295" s="384">
        <f t="shared" si="115"/>
        <v>16.214016931129233</v>
      </c>
      <c r="AB295" s="197">
        <f t="shared" si="116"/>
        <v>47033</v>
      </c>
      <c r="AC295" s="119">
        <f>IF(OR(t&lt;Tnet,NoTnet),'2027'!Resal_s+('2027'!Salim-'2027'!Resal_s)*(1-EXP(('2027'!Tnet_s-t)/'2027'!Tau_j)),Resal_s+(Salim-Resal_s)*(1-EXP((Tnet_s-t)/Tau_j)))*Salcycl</f>
        <v>7.9067480455128888E-2</v>
      </c>
      <c r="AD295" s="230">
        <f>(INDEX(Models!$BJ295:$BT295,,AH295)*(1-AF295)+INDEX(Models!$BJ295:$BT295,,AH295+1)*AF295-ERP_i)*AE295*Ramure*Pc/MaxiM</f>
        <v>3.4075913508454549E-2</v>
      </c>
      <c r="AE295" s="304">
        <f t="shared" si="117"/>
        <v>0.7</v>
      </c>
      <c r="AF295" s="177">
        <f t="shared" si="118"/>
        <v>0.73186637427184875</v>
      </c>
      <c r="AG295" s="799">
        <f t="shared" si="124"/>
        <v>2</v>
      </c>
      <c r="AH295" s="176">
        <f t="shared" si="119"/>
        <v>8</v>
      </c>
      <c r="AI295" s="224">
        <f t="shared" si="120"/>
        <v>2.7318663742718488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47034</v>
      </c>
      <c r="B296" s="409">
        <f>'2027'!Wh/'2027'!Env_an*'2028'!Env_an</f>
        <v>37.786096361995384</v>
      </c>
      <c r="C296" s="829"/>
      <c r="D296" s="391">
        <f t="shared" si="102"/>
        <v>40.453343209578421</v>
      </c>
      <c r="E296" s="383">
        <f t="shared" si="100"/>
        <v>42.591572543921139</v>
      </c>
      <c r="F296" s="383">
        <f t="shared" si="103"/>
        <v>42.727093613485295</v>
      </c>
      <c r="G296" s="110">
        <f t="shared" si="101"/>
        <v>1.0024924014672847</v>
      </c>
      <c r="H296" s="412" t="b">
        <f>Wh_hp&gt;='2027'!Maxi_hp</f>
        <v>1</v>
      </c>
      <c r="I296" s="388">
        <f>IF(H296,Wh_hp,'2027'!Maxi_hp)</f>
        <v>42.727093613485295</v>
      </c>
      <c r="J296" s="85">
        <f>IF(H296,An,'2027'!An_max)</f>
        <v>2028</v>
      </c>
      <c r="K296" s="197">
        <f t="shared" si="104"/>
        <v>47034</v>
      </c>
      <c r="L296" s="147">
        <f>IF(t&lt;Tvie,1-EXP((T0-t)*PertePVj)+'2027'!Pspv,1-EXP((T0-t)*PertePVj)+Pspv)</f>
        <v>6.5933903998112497E-2</v>
      </c>
      <c r="M296" s="832"/>
      <c r="N296" s="832"/>
      <c r="O296" s="48">
        <f>IF(t&lt;Tnet,'2027'!Resal+('2027'!Salim-'2027'!Resal)*(1-EXP(('2027'!Tnet-t)/('2027'!Tau_j))),Resal+(Salim-Resal)*(1-EXP((Tnet-t)/(Tau_j))))*Salcycl</f>
        <v>5.0203108423332726E-2</v>
      </c>
      <c r="P296" s="169">
        <f>(INDEX(Models!$BJ296:$BT296,,T296)*(1-R296)+INDEX(Models!$BJ296:$BT296,,T296+1)*R296-ERP_i)*Q296*Ramure*Pc/MaxiM</f>
        <v>3.1717830093968514E-3</v>
      </c>
      <c r="Q296" s="304">
        <f t="shared" si="105"/>
        <v>0.7</v>
      </c>
      <c r="R296" s="177">
        <f t="shared" si="106"/>
        <v>0.97632332368102825</v>
      </c>
      <c r="S296" s="799">
        <f t="shared" si="107"/>
        <v>-1</v>
      </c>
      <c r="T296" s="176">
        <f t="shared" si="108"/>
        <v>5</v>
      </c>
      <c r="U296" s="250">
        <f t="shared" si="109"/>
        <v>-2.3676676318971801E-2</v>
      </c>
      <c r="V296" s="382">
        <f t="shared" si="110"/>
        <v>37.692152386083194</v>
      </c>
      <c r="W296" s="400">
        <f t="shared" si="111"/>
        <v>37.786096361995384</v>
      </c>
      <c r="X296" s="157">
        <f t="shared" si="112"/>
        <v>47034</v>
      </c>
      <c r="Y296" s="383">
        <f t="shared" si="113"/>
        <v>35.415022851912482</v>
      </c>
      <c r="Z296" s="383">
        <f t="shared" si="114"/>
        <v>37.914900244747692</v>
      </c>
      <c r="AA296" s="384">
        <f t="shared" si="115"/>
        <v>41.169545351801574</v>
      </c>
      <c r="AB296" s="197">
        <f t="shared" si="116"/>
        <v>47034</v>
      </c>
      <c r="AC296" s="119">
        <f>IF(OR(t&lt;Tnet,NoTnet),'2027'!Resal_s+('2027'!Salim-'2027'!Resal_s)*(1-EXP(('2027'!Tnet_s-t)/'2027'!Tau_j)),Resal_s+(Salim-Resal_s)*(1-EXP((Tnet_s-t)/Tau_j)))*Salcycl</f>
        <v>7.9054676927868092E-2</v>
      </c>
      <c r="AD296" s="230">
        <f>(INDEX(Models!$BJ296:$BT296,,AH296)*(1-AF296)+INDEX(Models!$BJ296:$BT296,,AH296+1)*AF296-ERP_i)*AE296*Ramure*Pc/MaxiM</f>
        <v>3.6453410001941536E-2</v>
      </c>
      <c r="AE296" s="304">
        <f t="shared" si="117"/>
        <v>0.7</v>
      </c>
      <c r="AF296" s="177">
        <f t="shared" si="118"/>
        <v>0.73198115452037893</v>
      </c>
      <c r="AG296" s="799">
        <f t="shared" si="124"/>
        <v>2</v>
      </c>
      <c r="AH296" s="176">
        <f t="shared" si="119"/>
        <v>8</v>
      </c>
      <c r="AI296" s="224">
        <f t="shared" si="120"/>
        <v>2.7319811545203789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47035</v>
      </c>
      <c r="B297" s="409">
        <f>'2027'!Wh/'2027'!Env_an*'2028'!Env_an</f>
        <v>32.973715947077743</v>
      </c>
      <c r="C297" s="829"/>
      <c r="D297" s="391">
        <f t="shared" si="102"/>
        <v>35.3019428004866</v>
      </c>
      <c r="E297" s="383">
        <f t="shared" ref="E297:E360" si="125">Wh_pvt/(1-Psa)</f>
        <v>37.169219579367507</v>
      </c>
      <c r="F297" s="383">
        <f t="shared" si="103"/>
        <v>37.275862264431559</v>
      </c>
      <c r="G297" s="110">
        <f t="shared" ref="G297:G360" si="126">+Wh_hp/MaxiM</f>
        <v>0.88070136386613818</v>
      </c>
      <c r="H297" s="412" t="b">
        <f>Wh_hp&gt;='2027'!Maxi_hp</f>
        <v>0</v>
      </c>
      <c r="I297" s="388">
        <f>IF(H297,Wh_hp,'2027'!Maxi_hp)</f>
        <v>37.292453382084915</v>
      </c>
      <c r="J297" s="85">
        <f>IF(H297,An,'2027'!An_max)</f>
        <v>2026</v>
      </c>
      <c r="K297" s="197">
        <f t="shared" si="104"/>
        <v>47035</v>
      </c>
      <c r="L297" s="147">
        <f>IF(t&lt;Tvie,1-EXP((T0-t)*PertePVj)+'2027'!Pspv,1-EXP((T0-t)*PertePVj)+Pspv)</f>
        <v>6.5951805161747701E-2</v>
      </c>
      <c r="M297" s="832"/>
      <c r="N297" s="832"/>
      <c r="O297" s="48">
        <f>IF(t&lt;Tnet,'2027'!Resal+('2027'!Salim-'2027'!Resal)*(1-EXP(('2027'!Tnet-t)/('2027'!Tau_j))),Resal+(Salim-Resal)*(1-EXP((Tnet-t)/(Tau_j))))*Salcycl</f>
        <v>5.0237180118719152E-2</v>
      </c>
      <c r="P297" s="169">
        <f>(INDEX(Models!$BJ297:$BT297,,T297)*(1-R297)+INDEX(Models!$BJ297:$BT297,,T297+1)*R297-ERP_i)*Q297*Ramure*Pc/MaxiM</f>
        <v>3.4455797480380697E-3</v>
      </c>
      <c r="Q297" s="304">
        <f t="shared" si="105"/>
        <v>0.7</v>
      </c>
      <c r="R297" s="177">
        <f t="shared" si="106"/>
        <v>0.97643354484790112</v>
      </c>
      <c r="S297" s="799">
        <f t="shared" si="107"/>
        <v>-1</v>
      </c>
      <c r="T297" s="176">
        <f t="shared" si="108"/>
        <v>5</v>
      </c>
      <c r="U297" s="250">
        <f t="shared" si="109"/>
        <v>-2.3566455152098931E-2</v>
      </c>
      <c r="V297" s="382">
        <f t="shared" si="110"/>
        <v>37.418338466190363</v>
      </c>
      <c r="W297" s="400">
        <f t="shared" si="111"/>
        <v>32.973715947077743</v>
      </c>
      <c r="X297" s="157">
        <f t="shared" si="112"/>
        <v>47035</v>
      </c>
      <c r="Y297" s="383">
        <f t="shared" si="113"/>
        <v>31.030846160879847</v>
      </c>
      <c r="Z297" s="383">
        <f t="shared" si="114"/>
        <v>33.221889761537852</v>
      </c>
      <c r="AA297" s="384">
        <f t="shared" si="115"/>
        <v>36.073135816053572</v>
      </c>
      <c r="AB297" s="197">
        <f t="shared" si="116"/>
        <v>47035</v>
      </c>
      <c r="AC297" s="119">
        <f>IF(OR(t&lt;Tnet,NoTnet),'2027'!Resal_s+('2027'!Salim-'2027'!Resal_s)*(1-EXP(('2027'!Tnet_s-t)/'2027'!Tau_j)),Resal_s+(Salim-Resal_s)*(1-EXP((Tnet_s-t)/Tau_j)))*Salcycl</f>
        <v>7.9040704114412899E-2</v>
      </c>
      <c r="AD297" s="230">
        <f>(INDEX(Models!$BJ297:$BT297,,AH297)*(1-AF297)+INDEX(Models!$BJ297:$BT297,,AH297+1)*AF297-ERP_i)*AE297*Ramure*Pc/MaxiM</f>
        <v>3.8859579449561581E-2</v>
      </c>
      <c r="AE297" s="304">
        <f t="shared" si="117"/>
        <v>0.7</v>
      </c>
      <c r="AF297" s="177">
        <f t="shared" si="118"/>
        <v>0.73209137568725158</v>
      </c>
      <c r="AG297" s="799">
        <f t="shared" si="124"/>
        <v>2</v>
      </c>
      <c r="AH297" s="176">
        <f t="shared" si="119"/>
        <v>8</v>
      </c>
      <c r="AI297" s="224">
        <f t="shared" si="120"/>
        <v>2.7320913756872516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47036</v>
      </c>
      <c r="B298" s="409">
        <f>'2027'!Wh/'2027'!Env_an*'2028'!Env_an</f>
        <v>23.726722346835285</v>
      </c>
      <c r="C298" s="829"/>
      <c r="D298" s="391">
        <f t="shared" si="102"/>
        <v>25.402519060464158</v>
      </c>
      <c r="E298" s="383">
        <f t="shared" si="125"/>
        <v>26.747107347909921</v>
      </c>
      <c r="F298" s="383">
        <f t="shared" si="103"/>
        <v>26.79595199841647</v>
      </c>
      <c r="G298" s="110">
        <f t="shared" si="126"/>
        <v>0.63755269413693216</v>
      </c>
      <c r="H298" s="412" t="b">
        <f>Wh_hp&gt;='2027'!Maxi_hp</f>
        <v>0</v>
      </c>
      <c r="I298" s="388">
        <f>IF(H298,Wh_hp,'2027'!Maxi_hp)</f>
        <v>42.840909894173365</v>
      </c>
      <c r="J298" s="85">
        <f>IF(H298,An,'2027'!An_max)</f>
        <v>2018</v>
      </c>
      <c r="K298" s="197">
        <f t="shared" si="104"/>
        <v>47036</v>
      </c>
      <c r="L298" s="147">
        <f>IF(t&lt;Tvie,1-EXP((T0-t)*PertePVj)+'2027'!Pspv,1-EXP((T0-t)*PertePVj)+Pspv)</f>
        <v>6.5969705982311111E-2</v>
      </c>
      <c r="M298" s="832"/>
      <c r="N298" s="832"/>
      <c r="O298" s="48">
        <f>IF(t&lt;Tnet,'2027'!Resal+('2027'!Salim-'2027'!Resal)*(1-EXP(('2027'!Tnet-t)/('2027'!Tau_j))),Resal+(Salim-Resal)*(1-EXP((Tnet-t)/(Tau_j))))*Salcycl</f>
        <v>5.0270418776736686E-2</v>
      </c>
      <c r="P298" s="169">
        <f>(INDEX(Models!$BJ298:$BT298,,T298)*(1-R298)+INDEX(Models!$BJ298:$BT298,,T298+1)*R298-ERP_i)*Q298*Ramure*Pc/MaxiM</f>
        <v>3.7662320500568909E-3</v>
      </c>
      <c r="Q298" s="304">
        <f t="shared" si="105"/>
        <v>0.7</v>
      </c>
      <c r="R298" s="177">
        <f t="shared" si="106"/>
        <v>0.97653938562659404</v>
      </c>
      <c r="S298" s="799">
        <f t="shared" si="107"/>
        <v>-1</v>
      </c>
      <c r="T298" s="176">
        <f t="shared" si="108"/>
        <v>5</v>
      </c>
      <c r="U298" s="250">
        <f t="shared" si="109"/>
        <v>-2.3460614373405908E-2</v>
      </c>
      <c r="V298" s="382">
        <f t="shared" si="110"/>
        <v>37.142855739813434</v>
      </c>
      <c r="W298" s="400">
        <f t="shared" si="111"/>
        <v>23.726722346835285</v>
      </c>
      <c r="X298" s="157">
        <f t="shared" si="112"/>
        <v>47036</v>
      </c>
      <c r="Y298" s="383">
        <f t="shared" si="113"/>
        <v>22.589672037358781</v>
      </c>
      <c r="Z298" s="383">
        <f t="shared" si="114"/>
        <v>24.185159926869538</v>
      </c>
      <c r="AA298" s="384">
        <f t="shared" si="115"/>
        <v>26.260403187783645</v>
      </c>
      <c r="AB298" s="197">
        <f t="shared" si="116"/>
        <v>47036</v>
      </c>
      <c r="AC298" s="119">
        <f>IF(OR(t&lt;Tnet,NoTnet),'2027'!Resal_s+('2027'!Salim-'2027'!Resal_s)*(1-EXP(('2027'!Tnet_s-t)/'2027'!Tau_j)),Resal_s+(Salim-Resal_s)*(1-EXP((Tnet_s-t)/Tau_j)))*Salcycl</f>
        <v>7.9025567356083473E-2</v>
      </c>
      <c r="AD298" s="230">
        <f>(INDEX(Models!$BJ298:$BT298,,AH298)*(1-AF298)+INDEX(Models!$BJ298:$BT298,,AH298+1)*AF298-ERP_i)*AE298*Ramure*Pc/MaxiM</f>
        <v>4.12942067157335E-2</v>
      </c>
      <c r="AE298" s="304">
        <f t="shared" si="117"/>
        <v>0.7</v>
      </c>
      <c r="AF298" s="177">
        <f t="shared" si="118"/>
        <v>0.73219721646594493</v>
      </c>
      <c r="AG298" s="799">
        <f t="shared" si="124"/>
        <v>2</v>
      </c>
      <c r="AH298" s="176">
        <f t="shared" si="119"/>
        <v>8</v>
      </c>
      <c r="AI298" s="224">
        <f t="shared" si="120"/>
        <v>2.7321972164659449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47037</v>
      </c>
      <c r="B299" s="409">
        <f>'2027'!Wh/'2027'!Env_an*'2028'!Env_an</f>
        <v>22.581580498258045</v>
      </c>
      <c r="C299" s="829"/>
      <c r="D299" s="391">
        <f t="shared" si="102"/>
        <v>24.176960235684881</v>
      </c>
      <c r="E299" s="383">
        <f t="shared" si="125"/>
        <v>25.457546847636412</v>
      </c>
      <c r="F299" s="383">
        <f t="shared" si="103"/>
        <v>25.504625804686157</v>
      </c>
      <c r="G299" s="110">
        <f t="shared" si="126"/>
        <v>0.61112531160146322</v>
      </c>
      <c r="H299" s="412" t="b">
        <f>Wh_hp&gt;='2027'!Maxi_hp</f>
        <v>0</v>
      </c>
      <c r="I299" s="388">
        <f>IF(H299,Wh_hp,'2027'!Maxi_hp)</f>
        <v>40.800834584500151</v>
      </c>
      <c r="J299" s="85">
        <f>IF(H299,An,'2027'!An_max)</f>
        <v>2021</v>
      </c>
      <c r="K299" s="197">
        <f t="shared" si="104"/>
        <v>47037</v>
      </c>
      <c r="L299" s="147">
        <f>IF(t&lt;Tvie,1-EXP((T0-t)*PertePVj)+'2027'!Pspv,1-EXP((T0-t)*PertePVj)+Pspv)</f>
        <v>6.5987606459809389E-2</v>
      </c>
      <c r="M299" s="832"/>
      <c r="N299" s="832"/>
      <c r="O299" s="48">
        <f>IF(t&lt;Tnet,'2027'!Resal+('2027'!Salim-'2027'!Resal)*(1-EXP(('2027'!Tnet-t)/('2027'!Tau_j))),Resal+(Salim-Resal)*(1-EXP((Tnet-t)/(Tau_j))))*Salcycl</f>
        <v>5.0302828454597416E-2</v>
      </c>
      <c r="P299" s="169">
        <f>(INDEX(Models!$BJ299:$BT299,,T299)*(1-R299)+INDEX(Models!$BJ299:$BT299,,T299+1)*R299-ERP_i)*Q299*Ramure*Pc/MaxiM</f>
        <v>4.1344203923652997E-3</v>
      </c>
      <c r="Q299" s="304">
        <f t="shared" si="105"/>
        <v>0.7</v>
      </c>
      <c r="R299" s="177">
        <f t="shared" si="106"/>
        <v>0.9766410178945153</v>
      </c>
      <c r="S299" s="799">
        <f t="shared" si="107"/>
        <v>-1</v>
      </c>
      <c r="T299" s="176">
        <f t="shared" si="108"/>
        <v>5</v>
      </c>
      <c r="U299" s="250">
        <f t="shared" si="109"/>
        <v>-2.335898210548476E-2</v>
      </c>
      <c r="V299" s="382">
        <f t="shared" si="110"/>
        <v>36.866099416005532</v>
      </c>
      <c r="W299" s="400">
        <f t="shared" si="111"/>
        <v>22.581580498258045</v>
      </c>
      <c r="X299" s="157">
        <f t="shared" si="112"/>
        <v>47037</v>
      </c>
      <c r="Y299" s="383">
        <f t="shared" si="113"/>
        <v>21.510891348427702</v>
      </c>
      <c r="Z299" s="383">
        <f t="shared" si="114"/>
        <v>23.030627320580717</v>
      </c>
      <c r="AA299" s="384">
        <f t="shared" si="115"/>
        <v>25.006361857528045</v>
      </c>
      <c r="AB299" s="197">
        <f t="shared" si="116"/>
        <v>47037</v>
      </c>
      <c r="AC299" s="119">
        <f>IF(OR(t&lt;Tnet,NoTnet),'2027'!Resal_s+('2027'!Salim-'2027'!Resal_s)*(1-EXP(('2027'!Tnet_s-t)/'2027'!Tau_j)),Resal_s+(Salim-Resal_s)*(1-EXP((Tnet_s-t)/Tau_j)))*Salcycl</f>
        <v>7.9009275647690586E-2</v>
      </c>
      <c r="AD299" s="230">
        <f>(INDEX(Models!$BJ299:$BT299,,AH299)*(1-AF299)+INDEX(Models!$BJ299:$BT299,,AH299+1)*AF299-ERP_i)*AE299*Ramure*Pc/MaxiM</f>
        <v>4.3756972392873759E-2</v>
      </c>
      <c r="AE299" s="304">
        <f t="shared" si="117"/>
        <v>0.7</v>
      </c>
      <c r="AF299" s="177">
        <f t="shared" si="118"/>
        <v>0.73229884873386597</v>
      </c>
      <c r="AG299" s="799">
        <f t="shared" si="124"/>
        <v>2</v>
      </c>
      <c r="AH299" s="176">
        <f t="shared" si="119"/>
        <v>8</v>
      </c>
      <c r="AI299" s="224">
        <f t="shared" si="120"/>
        <v>2.732298848733866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47038</v>
      </c>
      <c r="B300" s="409">
        <f>'2027'!Wh/'2027'!Env_an*'2028'!Env_an</f>
        <v>23.223159304555772</v>
      </c>
      <c r="C300" s="829"/>
      <c r="D300" s="391">
        <f t="shared" si="102"/>
        <v>24.864342850538677</v>
      </c>
      <c r="E300" s="383">
        <f t="shared" si="125"/>
        <v>26.182209043040086</v>
      </c>
      <c r="F300" s="383">
        <f t="shared" si="103"/>
        <v>26.239306282295118</v>
      </c>
      <c r="G300" s="110">
        <f t="shared" si="126"/>
        <v>0.633201987905882</v>
      </c>
      <c r="H300" s="412" t="b">
        <f>Wh_hp&gt;='2027'!Maxi_hp</f>
        <v>0</v>
      </c>
      <c r="I300" s="388">
        <f>IF(H300,Wh_hp,'2027'!Maxi_hp)</f>
        <v>40.05086474432693</v>
      </c>
      <c r="J300" s="85">
        <f>IF(H300,An,'2027'!An_max)</f>
        <v>2021</v>
      </c>
      <c r="K300" s="197">
        <f t="shared" si="104"/>
        <v>47038</v>
      </c>
      <c r="L300" s="147">
        <f>IF(t&lt;Tvie,1-EXP((T0-t)*PertePVj)+'2027'!Pspv,1-EXP((T0-t)*PertePVj)+Pspv)</f>
        <v>6.6005506594249197E-2</v>
      </c>
      <c r="M300" s="832"/>
      <c r="N300" s="832"/>
      <c r="O300" s="48">
        <f>IF(t&lt;Tnet,'2027'!Resal+('2027'!Salim-'2027'!Resal)*(1-EXP(('2027'!Tnet-t)/('2027'!Tau_j))),Resal+(Salim-Resal)*(1-EXP((Tnet-t)/(Tau_j))))*Salcycl</f>
        <v>5.0334415645945305E-2</v>
      </c>
      <c r="P300" s="169">
        <f>(INDEX(Models!$BJ300:$BT300,,T300)*(1-R300)+INDEX(Models!$BJ300:$BT300,,T300+1)*R300-ERP_i)*Q300*Ramure*Pc/MaxiM</f>
        <v>4.5508105821752791E-3</v>
      </c>
      <c r="Q300" s="304">
        <f t="shared" si="105"/>
        <v>0.7</v>
      </c>
      <c r="R300" s="177">
        <f t="shared" si="106"/>
        <v>0.97673860695819059</v>
      </c>
      <c r="S300" s="799">
        <f t="shared" si="107"/>
        <v>-1</v>
      </c>
      <c r="T300" s="176">
        <f t="shared" si="108"/>
        <v>5</v>
      </c>
      <c r="U300" s="250">
        <f t="shared" si="109"/>
        <v>-2.3261393041809408E-2</v>
      </c>
      <c r="V300" s="382">
        <f t="shared" si="110"/>
        <v>36.588465171273135</v>
      </c>
      <c r="W300" s="400">
        <f t="shared" si="111"/>
        <v>23.223159304555772</v>
      </c>
      <c r="X300" s="157">
        <f t="shared" si="112"/>
        <v>47038</v>
      </c>
      <c r="Y300" s="383">
        <f t="shared" si="113"/>
        <v>22.072345995453407</v>
      </c>
      <c r="Z300" s="383">
        <f t="shared" si="114"/>
        <v>23.63220142226751</v>
      </c>
      <c r="AA300" s="384">
        <f t="shared" si="115"/>
        <v>25.659057643549506</v>
      </c>
      <c r="AB300" s="197">
        <f t="shared" si="116"/>
        <v>47038</v>
      </c>
      <c r="AC300" s="119">
        <f>IF(OR(t&lt;Tnet,NoTnet),'2027'!Resal_s+('2027'!Salim-'2027'!Resal_s)*(1-EXP(('2027'!Tnet_s-t)/'2027'!Tau_j)),Resal_s+(Salim-Resal_s)*(1-EXP((Tnet_s-t)/Tau_j)))*Salcycl</f>
        <v>7.8991841767483265E-2</v>
      </c>
      <c r="AD300" s="230">
        <f>(INDEX(Models!$BJ300:$BT300,,AH300)*(1-AF300)+INDEX(Models!$BJ300:$BT300,,AH300+1)*AF300-ERP_i)*AE300*Ramure*Pc/MaxiM</f>
        <v>4.6247448737437663E-2</v>
      </c>
      <c r="AE300" s="304">
        <f t="shared" si="117"/>
        <v>0.7</v>
      </c>
      <c r="AF300" s="177">
        <f t="shared" si="118"/>
        <v>0.73239643779754138</v>
      </c>
      <c r="AG300" s="799">
        <f t="shared" si="124"/>
        <v>2</v>
      </c>
      <c r="AH300" s="176">
        <f t="shared" si="119"/>
        <v>8</v>
      </c>
      <c r="AI300" s="224">
        <f t="shared" si="120"/>
        <v>2.7323964377975414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47039</v>
      </c>
      <c r="B301" s="409">
        <f>'2027'!Wh/'2027'!Env_an*'2028'!Env_an</f>
        <v>14.460285171702285</v>
      </c>
      <c r="C301" s="829"/>
      <c r="D301" s="391">
        <f t="shared" si="102"/>
        <v>15.482492035205011</v>
      </c>
      <c r="E301" s="383">
        <f t="shared" si="125"/>
        <v>16.303627312057795</v>
      </c>
      <c r="F301" s="383">
        <f t="shared" si="103"/>
        <v>16.315112772454192</v>
      </c>
      <c r="G301" s="110">
        <f t="shared" si="126"/>
        <v>0.39652296935330972</v>
      </c>
      <c r="H301" s="412" t="b">
        <f>Wh_hp&gt;='2027'!Maxi_hp</f>
        <v>0</v>
      </c>
      <c r="I301" s="388">
        <f>IF(H301,Wh_hp,'2027'!Maxi_hp)</f>
        <v>42.197658918664054</v>
      </c>
      <c r="J301" s="85">
        <f>IF(H301,An,'2027'!An_max)</f>
        <v>2021</v>
      </c>
      <c r="K301" s="197">
        <f t="shared" si="104"/>
        <v>47039</v>
      </c>
      <c r="L301" s="147">
        <f>IF(t&lt;Tvie,1-EXP((T0-t)*PertePVj)+'2027'!Pspv,1-EXP((T0-t)*PertePVj)+Pspv)</f>
        <v>6.6023406385636862E-2</v>
      </c>
      <c r="M301" s="832"/>
      <c r="N301" s="832"/>
      <c r="O301" s="48">
        <f>IF(t&lt;Tnet,'2027'!Resal+('2027'!Salim-'2027'!Resal)*(1-EXP(('2027'!Tnet-t)/('2027'!Tau_j))),Resal+(Salim-Resal)*(1-EXP((Tnet-t)/(Tau_j))))*Salcycl</f>
        <v>5.0365189361602503E-2</v>
      </c>
      <c r="P301" s="169">
        <f>(INDEX(Models!$BJ301:$BT301,,T301)*(1-R301)+INDEX(Models!$BJ301:$BT301,,T301+1)*R301-ERP_i)*Q301*Ramure*Pc/MaxiM</f>
        <v>5.0160483825010633E-3</v>
      </c>
      <c r="Q301" s="304">
        <f t="shared" si="105"/>
        <v>0.7</v>
      </c>
      <c r="R301" s="177">
        <f t="shared" si="106"/>
        <v>0.97683231179081531</v>
      </c>
      <c r="S301" s="799">
        <f t="shared" si="107"/>
        <v>-1</v>
      </c>
      <c r="T301" s="176">
        <f t="shared" si="108"/>
        <v>5</v>
      </c>
      <c r="U301" s="250">
        <f t="shared" si="109"/>
        <v>-2.3167688209184745E-2</v>
      </c>
      <c r="V301" s="382">
        <f t="shared" si="110"/>
        <v>36.310349141818492</v>
      </c>
      <c r="W301" s="400">
        <f t="shared" si="111"/>
        <v>14.460285171702285</v>
      </c>
      <c r="X301" s="157">
        <f t="shared" si="112"/>
        <v>47039</v>
      </c>
      <c r="Y301" s="383">
        <f t="shared" si="113"/>
        <v>13.938492365232577</v>
      </c>
      <c r="Z301" s="383">
        <f t="shared" si="114"/>
        <v>14.923813359489552</v>
      </c>
      <c r="AA301" s="384">
        <f t="shared" si="115"/>
        <v>16.203453248546722</v>
      </c>
      <c r="AB301" s="197">
        <f t="shared" si="116"/>
        <v>47039</v>
      </c>
      <c r="AC301" s="119">
        <f>IF(OR(t&lt;Tnet,NoTnet),'2027'!Resal_s+('2027'!Salim-'2027'!Resal_s)*(1-EXP(('2027'!Tnet_s-t)/'2027'!Tau_j)),Resal_s+(Salim-Resal_s)*(1-EXP((Tnet_s-t)/Tau_j)))*Salcycl</f>
        <v>7.8973282387934232E-2</v>
      </c>
      <c r="AD301" s="230">
        <f>(INDEX(Models!$BJ301:$BT301,,AH301)*(1-AF301)+INDEX(Models!$BJ301:$BT301,,AH301+1)*AF301-ERP_i)*AE301*Ramure*Pc/MaxiM</f>
        <v>4.8765095604050811E-2</v>
      </c>
      <c r="AE301" s="304">
        <f t="shared" si="117"/>
        <v>0.7</v>
      </c>
      <c r="AF301" s="177">
        <f t="shared" si="118"/>
        <v>0.73249014263016576</v>
      </c>
      <c r="AG301" s="799">
        <f t="shared" si="124"/>
        <v>2</v>
      </c>
      <c r="AH301" s="176">
        <f t="shared" si="119"/>
        <v>8</v>
      </c>
      <c r="AI301" s="224">
        <f t="shared" si="120"/>
        <v>2.7324901426301658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47040</v>
      </c>
      <c r="B302" s="409">
        <f>'2027'!Wh/'2027'!Env_an*'2028'!Env_an</f>
        <v>36.868057469774477</v>
      </c>
      <c r="C302" s="829"/>
      <c r="D302" s="391">
        <f t="shared" si="102"/>
        <v>39.475040705837465</v>
      </c>
      <c r="E302" s="383">
        <f t="shared" si="125"/>
        <v>41.56996583506686</v>
      </c>
      <c r="F302" s="383">
        <f t="shared" si="103"/>
        <v>41.80115775263846</v>
      </c>
      <c r="G302" s="110">
        <f t="shared" si="126"/>
        <v>1.0231989932940342</v>
      </c>
      <c r="H302" s="412" t="b">
        <f>Wh_hp&gt;='2027'!Maxi_hp</f>
        <v>1</v>
      </c>
      <c r="I302" s="388">
        <f>IF(H302,Wh_hp,'2027'!Maxi_hp)</f>
        <v>41.80115775263846</v>
      </c>
      <c r="J302" s="85">
        <f>IF(H302,An,'2027'!An_max)</f>
        <v>2028</v>
      </c>
      <c r="K302" s="197">
        <f t="shared" si="104"/>
        <v>47040</v>
      </c>
      <c r="L302" s="147">
        <f>IF(t&lt;Tvie,1-EXP((T0-t)*PertePVj)+'2027'!Pspv,1-EXP((T0-t)*PertePVj)+Pspv)</f>
        <v>6.6041305833979158E-2</v>
      </c>
      <c r="M302" s="832"/>
      <c r="N302" s="832"/>
      <c r="O302" s="48">
        <f>IF(t&lt;Tnet,'2027'!Resal+('2027'!Salim-'2027'!Resal)*(1-EXP(('2027'!Tnet-t)/('2027'!Tau_j))),Resal+(Salim-Resal)*(1-EXP((Tnet-t)/(Tau_j))))*Salcycl</f>
        <v>5.0395161197419096E-2</v>
      </c>
      <c r="P302" s="169">
        <f>(INDEX(Models!$BJ302:$BT302,,T302)*(1-R302)+INDEX(Models!$BJ302:$BT302,,T302+1)*R302-ERP_i)*Q302*Ramure*Pc/MaxiM</f>
        <v>5.5307539312593615E-3</v>
      </c>
      <c r="Q302" s="304">
        <f t="shared" si="105"/>
        <v>0.7</v>
      </c>
      <c r="R302" s="177">
        <f t="shared" si="106"/>
        <v>0.97692228526230807</v>
      </c>
      <c r="S302" s="799">
        <f t="shared" si="107"/>
        <v>-1</v>
      </c>
      <c r="T302" s="176">
        <f t="shared" si="108"/>
        <v>5</v>
      </c>
      <c r="U302" s="250">
        <f t="shared" si="109"/>
        <v>-2.307771473769199E-2</v>
      </c>
      <c r="V302" s="382">
        <f t="shared" si="110"/>
        <v>36.032147911994471</v>
      </c>
      <c r="W302" s="400">
        <f t="shared" si="111"/>
        <v>36.868057469774477</v>
      </c>
      <c r="X302" s="157">
        <f t="shared" si="112"/>
        <v>47040</v>
      </c>
      <c r="Y302" s="383">
        <f t="shared" si="113"/>
        <v>34.113175123779939</v>
      </c>
      <c r="Z302" s="383">
        <f t="shared" si="114"/>
        <v>36.525357424121765</v>
      </c>
      <c r="AA302" s="384">
        <f t="shared" si="115"/>
        <v>39.656371432007404</v>
      </c>
      <c r="AB302" s="197">
        <f t="shared" si="116"/>
        <v>47040</v>
      </c>
      <c r="AC302" s="119">
        <f>IF(OR(t&lt;Tnet,NoTnet),'2027'!Resal_s+('2027'!Salim-'2027'!Resal_s)*(1-EXP(('2027'!Tnet_s-t)/'2027'!Tau_j)),Resal_s+(Salim-Resal_s)*(1-EXP((Tnet_s-t)/Tau_j)))*Salcycl</f>
        <v>7.8953618165844994E-2</v>
      </c>
      <c r="AD302" s="230">
        <f>(INDEX(Models!$BJ302:$BT302,,AH302)*(1-AF302)+INDEX(Models!$BJ302:$BT302,,AH302+1)*AF302-ERP_i)*AE302*Ramure*Pc/MaxiM</f>
        <v>5.1309256392442347E-2</v>
      </c>
      <c r="AE302" s="304">
        <f t="shared" si="117"/>
        <v>0.7</v>
      </c>
      <c r="AF302" s="177">
        <f t="shared" si="118"/>
        <v>0.73258011610165852</v>
      </c>
      <c r="AG302" s="799">
        <f t="shared" si="124"/>
        <v>2</v>
      </c>
      <c r="AH302" s="176">
        <f t="shared" si="119"/>
        <v>8</v>
      </c>
      <c r="AI302" s="224">
        <f t="shared" si="120"/>
        <v>2.7325801161016585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47041</v>
      </c>
      <c r="B303" s="409">
        <f>'2027'!Wh/'2027'!Env_an*'2028'!Env_an</f>
        <v>32.927812397523525</v>
      </c>
      <c r="C303" s="829"/>
      <c r="D303" s="391">
        <f t="shared" si="102"/>
        <v>35.256852009963673</v>
      </c>
      <c r="E303" s="383">
        <f t="shared" si="125"/>
        <v>37.12906058483528</v>
      </c>
      <c r="F303" s="383">
        <f t="shared" si="103"/>
        <v>37.330936443638045</v>
      </c>
      <c r="G303" s="110">
        <f t="shared" si="126"/>
        <v>0.92035181830167789</v>
      </c>
      <c r="H303" s="412" t="b">
        <f>Wh_hp&gt;='2027'!Maxi_hp</f>
        <v>0</v>
      </c>
      <c r="I303" s="388">
        <f>IF(H303,Wh_hp,'2027'!Maxi_hp)</f>
        <v>39.40385171327874</v>
      </c>
      <c r="J303" s="85">
        <f>IF(H303,An,'2027'!An_max)</f>
        <v>2018</v>
      </c>
      <c r="K303" s="197">
        <f t="shared" si="104"/>
        <v>47041</v>
      </c>
      <c r="L303" s="147">
        <f>IF(t&lt;Tvie,1-EXP((T0-t)*PertePVj)+'2027'!Pspv,1-EXP((T0-t)*PertePVj)+Pspv)</f>
        <v>6.6059204939282634E-2</v>
      </c>
      <c r="M303" s="832"/>
      <c r="N303" s="832"/>
      <c r="O303" s="48">
        <f>IF(t&lt;Tnet,'2027'!Resal+('2027'!Salim-'2027'!Resal)*(1-EXP(('2027'!Tnet-t)/('2027'!Tau_j))),Resal+(Salim-Resal)*(1-EXP((Tnet-t)/(Tau_j))))*Salcycl</f>
        <v>5.0424345388266477E-2</v>
      </c>
      <c r="P303" s="169">
        <f>(INDEX(Models!$BJ303:$BT303,,T303)*(1-R303)+INDEX(Models!$BJ303:$BT303,,T303+1)*R303-ERP_i)*Q303*Ramure*Pc/MaxiM</f>
        <v>6.0957854224513277E-3</v>
      </c>
      <c r="Q303" s="304">
        <f t="shared" si="105"/>
        <v>0.7</v>
      </c>
      <c r="R303" s="177">
        <f t="shared" si="106"/>
        <v>0.97700867436201444</v>
      </c>
      <c r="S303" s="799">
        <f t="shared" si="107"/>
        <v>-1</v>
      </c>
      <c r="T303" s="176">
        <f t="shared" si="108"/>
        <v>5</v>
      </c>
      <c r="U303" s="250">
        <f t="shared" si="109"/>
        <v>-2.299132563798556E-2</v>
      </c>
      <c r="V303" s="382">
        <f t="shared" si="110"/>
        <v>35.752668279714428</v>
      </c>
      <c r="W303" s="400">
        <f t="shared" si="111"/>
        <v>32.927812397523525</v>
      </c>
      <c r="X303" s="157">
        <f t="shared" si="112"/>
        <v>47041</v>
      </c>
      <c r="Y303" s="383">
        <f t="shared" si="113"/>
        <v>30.577909783157555</v>
      </c>
      <c r="Z303" s="383">
        <f t="shared" si="114"/>
        <v>32.740736827080802</v>
      </c>
      <c r="AA303" s="384">
        <f t="shared" si="115"/>
        <v>35.546526302080771</v>
      </c>
      <c r="AB303" s="197">
        <f t="shared" si="116"/>
        <v>47041</v>
      </c>
      <c r="AC303" s="119">
        <f>IF(OR(t&lt;Tnet,NoTnet),'2027'!Resal_s+('2027'!Salim-'2027'!Resal_s)*(1-EXP(('2027'!Tnet_s-t)/'2027'!Tau_j)),Resal_s+(Salim-Resal_s)*(1-EXP((Tnet_s-t)/Tau_j)))*Salcycl</f>
        <v>7.8932873810393309E-2</v>
      </c>
      <c r="AD303" s="230">
        <f>(INDEX(Models!$BJ303:$BT303,,AH303)*(1-AF303)+INDEX(Models!$BJ303:$BT303,,AH303+1)*AF303-ERP_i)*AE303*Ramure*Pc/MaxiM</f>
        <v>5.3881535875997276E-2</v>
      </c>
      <c r="AE303" s="304">
        <f t="shared" si="117"/>
        <v>0.7</v>
      </c>
      <c r="AF303" s="177">
        <f t="shared" si="118"/>
        <v>0.73266650520136523</v>
      </c>
      <c r="AG303" s="799">
        <f t="shared" si="124"/>
        <v>2</v>
      </c>
      <c r="AH303" s="176">
        <f t="shared" si="119"/>
        <v>8</v>
      </c>
      <c r="AI303" s="224">
        <f t="shared" si="120"/>
        <v>2.7326665052013652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47042</v>
      </c>
      <c r="B304" s="409">
        <f>'2027'!Wh/'2027'!Env_an*'2028'!Env_an</f>
        <v>18.070097994635397</v>
      </c>
      <c r="C304" s="829"/>
      <c r="D304" s="391">
        <f t="shared" si="102"/>
        <v>19.348597262424203</v>
      </c>
      <c r="E304" s="383">
        <f t="shared" si="125"/>
        <v>20.37665576168304</v>
      </c>
      <c r="F304" s="383">
        <f t="shared" si="103"/>
        <v>20.417628883196389</v>
      </c>
      <c r="G304" s="110">
        <f t="shared" si="126"/>
        <v>0.50703607829126618</v>
      </c>
      <c r="H304" s="412" t="b">
        <f>Wh_hp&gt;='2027'!Maxi_hp</f>
        <v>0</v>
      </c>
      <c r="I304" s="388">
        <f>IF(H304,Wh_hp,'2027'!Maxi_hp)</f>
        <v>38.717430776256577</v>
      </c>
      <c r="J304" s="85">
        <f>IF(H304,An,'2027'!An_max)</f>
        <v>2021</v>
      </c>
      <c r="K304" s="197">
        <f t="shared" si="104"/>
        <v>47042</v>
      </c>
      <c r="L304" s="147">
        <f>IF(t&lt;Tvie,1-EXP((T0-t)*PertePVj)+'2027'!Pspv,1-EXP((T0-t)*PertePVj)+Pspv)</f>
        <v>6.6077103701553841E-2</v>
      </c>
      <c r="M304" s="832"/>
      <c r="N304" s="832"/>
      <c r="O304" s="48">
        <f>IF(t&lt;Tnet,'2027'!Resal+('2027'!Salim-'2027'!Resal)*(1-EXP(('2027'!Tnet-t)/('2027'!Tau_j))),Resal+(Salim-Resal)*(1-EXP((Tnet-t)/(Tau_j))))*Salcycl</f>
        <v>5.045275884730957E-2</v>
      </c>
      <c r="P304" s="169">
        <f>(INDEX(Models!$BJ304:$BT304,,T304)*(1-R304)+INDEX(Models!$BJ304:$BT304,,T304+1)*R304-ERP_i)*Q304*Ramure*Pc/MaxiM</f>
        <v>6.7072045220424271E-3</v>
      </c>
      <c r="Q304" s="304">
        <f t="shared" si="105"/>
        <v>0.7</v>
      </c>
      <c r="R304" s="177">
        <f t="shared" si="106"/>
        <v>0.97709162041421038</v>
      </c>
      <c r="S304" s="799">
        <f t="shared" si="107"/>
        <v>-1</v>
      </c>
      <c r="T304" s="176">
        <f t="shared" si="108"/>
        <v>5</v>
      </c>
      <c r="U304" s="250">
        <f t="shared" si="109"/>
        <v>-2.2908379585789673E-2</v>
      </c>
      <c r="V304" s="382">
        <f t="shared" si="110"/>
        <v>35.470828090773466</v>
      </c>
      <c r="W304" s="400">
        <f t="shared" si="111"/>
        <v>18.070097994635397</v>
      </c>
      <c r="X304" s="157">
        <f t="shared" si="112"/>
        <v>47042</v>
      </c>
      <c r="Y304" s="383">
        <f t="shared" si="113"/>
        <v>17.267431979525288</v>
      </c>
      <c r="Z304" s="383">
        <f t="shared" si="114"/>
        <v>18.489140857306143</v>
      </c>
      <c r="AA304" s="384">
        <f t="shared" si="115"/>
        <v>20.073133460043437</v>
      </c>
      <c r="AB304" s="197">
        <f t="shared" si="116"/>
        <v>47042</v>
      </c>
      <c r="AC304" s="119">
        <f>IF(OR(t&lt;Tnet,NoTnet),'2027'!Resal_s+('2027'!Salim-'2027'!Resal_s)*(1-EXP(('2027'!Tnet_s-t)/'2027'!Tau_j)),Resal_s+(Salim-Resal_s)*(1-EXP((Tnet_s-t)/Tau_j)))*Salcycl</f>
        <v>7.8911078127902073E-2</v>
      </c>
      <c r="AD304" s="230">
        <f>(INDEX(Models!$BJ304:$BT304,,AH304)*(1-AF304)+INDEX(Models!$BJ304:$BT304,,AH304+1)*AF304-ERP_i)*AE304*Ramure*Pc/MaxiM</f>
        <v>5.6393098076295105E-2</v>
      </c>
      <c r="AE304" s="304">
        <f t="shared" si="117"/>
        <v>0.7</v>
      </c>
      <c r="AF304" s="177">
        <f t="shared" si="118"/>
        <v>0.73274945125356084</v>
      </c>
      <c r="AG304" s="799">
        <f t="shared" si="124"/>
        <v>2</v>
      </c>
      <c r="AH304" s="176">
        <f t="shared" si="119"/>
        <v>8</v>
      </c>
      <c r="AI304" s="224">
        <f t="shared" si="120"/>
        <v>2.7327494512535608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47043</v>
      </c>
      <c r="B305" s="409">
        <f>'2027'!Wh/'2027'!Env_an*'2028'!Env_an</f>
        <v>34.349461533472869</v>
      </c>
      <c r="C305" s="829"/>
      <c r="D305" s="391">
        <f t="shared" si="102"/>
        <v>36.780466547964579</v>
      </c>
      <c r="E305" s="383">
        <f t="shared" si="125"/>
        <v>38.735869558426991</v>
      </c>
      <c r="F305" s="383">
        <f t="shared" si="103"/>
        <v>39.012422855449365</v>
      </c>
      <c r="G305" s="110">
        <f t="shared" si="126"/>
        <v>0.97592734128309178</v>
      </c>
      <c r="H305" s="412" t="b">
        <f>Wh_hp&gt;='2027'!Maxi_hp</f>
        <v>0</v>
      </c>
      <c r="I305" s="388">
        <f>IF(H305,Wh_hp,'2027'!Maxi_hp)</f>
        <v>39.019911362418313</v>
      </c>
      <c r="J305" s="85">
        <f>IF(H305,An,'2027'!An_max)</f>
        <v>2026</v>
      </c>
      <c r="K305" s="197">
        <f t="shared" si="104"/>
        <v>47043</v>
      </c>
      <c r="L305" s="147">
        <f>IF(t&lt;Tvie,1-EXP((T0-t)*PertePVj)+'2027'!Pspv,1-EXP((T0-t)*PertePVj)+Pspv)</f>
        <v>6.609500212079944E-2</v>
      </c>
      <c r="M305" s="832"/>
      <c r="N305" s="832"/>
      <c r="O305" s="48">
        <f>IF(t&lt;Tnet,'2027'!Resal+('2027'!Salim-'2027'!Resal)*(1-EXP(('2027'!Tnet-t)/('2027'!Tau_j))),Resal+(Salim-Resal)*(1-EXP((Tnet-t)/(Tau_j))))*Salcycl</f>
        <v>5.0480421189796558E-2</v>
      </c>
      <c r="P305" s="169">
        <f>(INDEX(Models!$BJ305:$BT305,,T305)*(1-R305)+INDEX(Models!$BJ305:$BT305,,T305+1)*R305-ERP_i)*Q305*Ramure*Pc/MaxiM</f>
        <v>7.3386500512244348E-3</v>
      </c>
      <c r="Q305" s="304">
        <f t="shared" si="105"/>
        <v>0.7</v>
      </c>
      <c r="R305" s="177">
        <f t="shared" si="106"/>
        <v>0.97717125928656268</v>
      </c>
      <c r="S305" s="799">
        <f t="shared" si="107"/>
        <v>-1</v>
      </c>
      <c r="T305" s="176">
        <f t="shared" si="108"/>
        <v>5</v>
      </c>
      <c r="U305" s="250">
        <f t="shared" si="109"/>
        <v>-2.2828740713437323E-2</v>
      </c>
      <c r="V305" s="382">
        <f t="shared" si="110"/>
        <v>35.187885816138234</v>
      </c>
      <c r="W305" s="400">
        <f t="shared" si="111"/>
        <v>34.349461533472869</v>
      </c>
      <c r="X305" s="157">
        <f t="shared" si="112"/>
        <v>47043</v>
      </c>
      <c r="Y305" s="383">
        <f t="shared" si="113"/>
        <v>31.653796361258017</v>
      </c>
      <c r="Z305" s="383">
        <f t="shared" si="114"/>
        <v>33.894021804295342</v>
      </c>
      <c r="AA305" s="384">
        <f t="shared" si="115"/>
        <v>36.796862401339602</v>
      </c>
      <c r="AB305" s="197">
        <f t="shared" si="116"/>
        <v>47043</v>
      </c>
      <c r="AC305" s="119">
        <f>IF(OR(t&lt;Tnet,NoTnet),'2027'!Resal_s+('2027'!Salim-'2027'!Resal_s)*(1-EXP(('2027'!Tnet_s-t)/'2027'!Tau_j)),Resal_s+(Salim-Resal_s)*(1-EXP((Tnet_s-t)/Tau_j)))*Salcycl</f>
        <v>7.8888264042278375E-2</v>
      </c>
      <c r="AD305" s="230">
        <f>(INDEX(Models!$BJ305:$BT305,,AH305)*(1-AF305)+INDEX(Models!$BJ305:$BT305,,AH305+1)*AF305-ERP_i)*AE305*Ramure*Pc/MaxiM</f>
        <v>5.8792366661707389E-2</v>
      </c>
      <c r="AE305" s="304">
        <f t="shared" si="117"/>
        <v>0.7</v>
      </c>
      <c r="AF305" s="177">
        <f t="shared" si="118"/>
        <v>0.73282909012591357</v>
      </c>
      <c r="AG305" s="799">
        <f t="shared" si="124"/>
        <v>2</v>
      </c>
      <c r="AH305" s="176">
        <f t="shared" si="119"/>
        <v>8</v>
      </c>
      <c r="AI305" s="224">
        <f t="shared" si="120"/>
        <v>2.7328290901259136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47044</v>
      </c>
      <c r="B306" s="409">
        <f>'2027'!Wh/'2027'!Env_an*'2028'!Env_an</f>
        <v>15.356476600529481</v>
      </c>
      <c r="C306" s="829"/>
      <c r="D306" s="391">
        <f t="shared" si="102"/>
        <v>16.443611442720748</v>
      </c>
      <c r="E306" s="383">
        <f t="shared" si="125"/>
        <v>17.318313653951936</v>
      </c>
      <c r="F306" s="383">
        <f t="shared" si="103"/>
        <v>17.346026176570977</v>
      </c>
      <c r="G306" s="110">
        <f t="shared" si="126"/>
        <v>0.43714446463845136</v>
      </c>
      <c r="H306" s="412" t="b">
        <f>Wh_hp&gt;='2027'!Maxi_hp</f>
        <v>0</v>
      </c>
      <c r="I306" s="388">
        <f>IF(H306,Wh_hp,'2027'!Maxi_hp)</f>
        <v>39.339930108632885</v>
      </c>
      <c r="J306" s="85">
        <f>IF(H306,An,'2027'!An_max)</f>
        <v>2020</v>
      </c>
      <c r="K306" s="197">
        <f t="shared" si="104"/>
        <v>47044</v>
      </c>
      <c r="L306" s="147">
        <f>IF(t&lt;Tvie,1-EXP((T0-t)*PertePVj)+'2027'!Pspv,1-EXP((T0-t)*PertePVj)+Pspv)</f>
        <v>6.6112900197025759E-2</v>
      </c>
      <c r="M306" s="832"/>
      <c r="N306" s="832"/>
      <c r="O306" s="48">
        <f>IF(t&lt;Tnet,'2027'!Resal+('2027'!Salim-'2027'!Resal)*(1-EXP(('2027'!Tnet-t)/('2027'!Tau_j))),Resal+(Salim-Resal)*(1-EXP((Tnet-t)/(Tau_j))))*Salcycl</f>
        <v>5.0507354740719108E-2</v>
      </c>
      <c r="P306" s="169">
        <f>(INDEX(Models!$BJ306:$BT306,,T306)*(1-R306)+INDEX(Models!$BJ306:$BT306,,T306+1)*R306-ERP_i)*Q306*Ramure*Pc/MaxiM</f>
        <v>7.9903439237948449E-3</v>
      </c>
      <c r="Q306" s="304">
        <f t="shared" si="105"/>
        <v>0.7</v>
      </c>
      <c r="R306" s="177">
        <f t="shared" si="106"/>
        <v>0.97724772159170681</v>
      </c>
      <c r="S306" s="799">
        <f t="shared" si="107"/>
        <v>-1</v>
      </c>
      <c r="T306" s="176">
        <f t="shared" si="108"/>
        <v>5</v>
      </c>
      <c r="U306" s="250">
        <f t="shared" si="109"/>
        <v>-2.2752278408293247E-2</v>
      </c>
      <c r="V306" s="382">
        <f t="shared" si="110"/>
        <v>34.904136218828945</v>
      </c>
      <c r="W306" s="400">
        <f t="shared" si="111"/>
        <v>15.356476600529481</v>
      </c>
      <c r="X306" s="157">
        <f t="shared" si="112"/>
        <v>47044</v>
      </c>
      <c r="Y306" s="383">
        <f t="shared" si="113"/>
        <v>14.739461988441091</v>
      </c>
      <c r="Z306" s="383">
        <f t="shared" si="114"/>
        <v>15.782916362749557</v>
      </c>
      <c r="AA306" s="384">
        <f t="shared" si="115"/>
        <v>17.134195592905545</v>
      </c>
      <c r="AB306" s="197">
        <f t="shared" si="116"/>
        <v>47044</v>
      </c>
      <c r="AC306" s="119">
        <f>IF(OR(t&lt;Tnet,NoTnet),'2027'!Resal_s+('2027'!Salim-'2027'!Resal_s)*(1-EXP(('2027'!Tnet_s-t)/'2027'!Tau_j)),Resal_s+(Salim-Resal_s)*(1-EXP((Tnet_s-t)/Tau_j)))*Salcycl</f>
        <v>7.8864468590255171E-2</v>
      </c>
      <c r="AD306" s="230">
        <f>(INDEX(Models!$BJ306:$BT306,,AH306)*(1-AF306)+INDEX(Models!$BJ306:$BT306,,AH306+1)*AF306-ERP_i)*AE306*Ramure*Pc/MaxiM</f>
        <v>6.1077053155101563E-2</v>
      </c>
      <c r="AE306" s="304">
        <f t="shared" si="117"/>
        <v>0.7</v>
      </c>
      <c r="AF306" s="177">
        <f t="shared" si="118"/>
        <v>0.73290555243105748</v>
      </c>
      <c r="AG306" s="799">
        <f t="shared" si="124"/>
        <v>2</v>
      </c>
      <c r="AH306" s="176">
        <f t="shared" si="119"/>
        <v>8</v>
      </c>
      <c r="AI306" s="224">
        <f t="shared" si="120"/>
        <v>2.7329055524310575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47045</v>
      </c>
      <c r="B307" s="409">
        <f>'2027'!Wh/'2027'!Env_an*'2028'!Env_an</f>
        <v>11.932762986996181</v>
      </c>
      <c r="C307" s="829"/>
      <c r="D307" s="391">
        <f t="shared" si="102"/>
        <v>12.777766908416366</v>
      </c>
      <c r="E307" s="383">
        <f t="shared" si="125"/>
        <v>13.457839793137794</v>
      </c>
      <c r="F307" s="383">
        <f t="shared" si="103"/>
        <v>13.465284873549058</v>
      </c>
      <c r="G307" s="110">
        <f t="shared" si="126"/>
        <v>0.34188280726940939</v>
      </c>
      <c r="H307" s="412" t="b">
        <f>Wh_hp&gt;='2027'!Maxi_hp</f>
        <v>0</v>
      </c>
      <c r="I307" s="388">
        <f>IF(H307,Wh_hp,'2027'!Maxi_hp)</f>
        <v>36.661931071686425</v>
      </c>
      <c r="J307" s="85">
        <f>IF(H307,An,'2027'!An_max)</f>
        <v>2020</v>
      </c>
      <c r="K307" s="197">
        <f t="shared" si="104"/>
        <v>47045</v>
      </c>
      <c r="L307" s="147">
        <f>IF(t&lt;Tvie,1-EXP((T0-t)*PertePVj)+'2027'!Pspv,1-EXP((T0-t)*PertePVj)+Pspv)</f>
        <v>6.6130797930239571E-2</v>
      </c>
      <c r="M307" s="832"/>
      <c r="N307" s="832"/>
      <c r="O307" s="48">
        <f>IF(t&lt;Tnet,'2027'!Resal+('2027'!Salim-'2027'!Resal)*(1-EXP(('2027'!Tnet-t)/('2027'!Tau_j))),Resal+(Salim-Resal)*(1-EXP((Tnet-t)/(Tau_j))))*Salcycl</f>
        <v>5.0533584525816674E-2</v>
      </c>
      <c r="P307" s="169">
        <f>(INDEX(Models!$BJ307:$BT307,,T307)*(1-R307)+INDEX(Models!$BJ307:$BT307,,T307+1)*R307-ERP_i)*Q307*Ramure*Pc/MaxiM</f>
        <v>8.6624946653041796E-3</v>
      </c>
      <c r="Q307" s="304">
        <f t="shared" si="105"/>
        <v>0.7</v>
      </c>
      <c r="R307" s="177">
        <f t="shared" si="106"/>
        <v>0.97732113288210143</v>
      </c>
      <c r="S307" s="799">
        <f t="shared" si="107"/>
        <v>-1</v>
      </c>
      <c r="T307" s="176">
        <f t="shared" si="108"/>
        <v>5</v>
      </c>
      <c r="U307" s="250">
        <f t="shared" si="109"/>
        <v>-2.2678867117898516E-2</v>
      </c>
      <c r="V307" s="382">
        <f t="shared" si="110"/>
        <v>34.619873945164166</v>
      </c>
      <c r="W307" s="400">
        <f t="shared" si="111"/>
        <v>11.932762986996181</v>
      </c>
      <c r="X307" s="157">
        <f t="shared" si="112"/>
        <v>47045</v>
      </c>
      <c r="Y307" s="383">
        <f t="shared" si="113"/>
        <v>11.536660021562319</v>
      </c>
      <c r="Z307" s="383">
        <f t="shared" si="114"/>
        <v>12.353614399097108</v>
      </c>
      <c r="AA307" s="384">
        <f t="shared" si="115"/>
        <v>13.410928412994732</v>
      </c>
      <c r="AB307" s="197">
        <f t="shared" si="116"/>
        <v>47045</v>
      </c>
      <c r="AC307" s="119">
        <f>IF(OR(t&lt;Tnet,NoTnet),'2027'!Resal_s+('2027'!Salim-'2027'!Resal_s)*(1-EXP(('2027'!Tnet_s-t)/'2027'!Tau_j)),Resal_s+(Salim-Resal_s)*(1-EXP((Tnet_s-t)/Tau_j)))*Salcycl</f>
        <v>7.8839732890761224E-2</v>
      </c>
      <c r="AD307" s="230">
        <f>(INDEX(Models!$BJ307:$BT307,,AH307)*(1-AF307)+INDEX(Models!$BJ307:$BT307,,AH307+1)*AF307-ERP_i)*AE307*Ramure*Pc/MaxiM</f>
        <v>6.3244790326821829E-2</v>
      </c>
      <c r="AE307" s="304">
        <f t="shared" si="117"/>
        <v>0.7</v>
      </c>
      <c r="AF307" s="177">
        <f t="shared" si="118"/>
        <v>0.7329789637214521</v>
      </c>
      <c r="AG307" s="799">
        <f t="shared" si="124"/>
        <v>2</v>
      </c>
      <c r="AH307" s="176">
        <f t="shared" si="119"/>
        <v>8</v>
      </c>
      <c r="AI307" s="224">
        <f t="shared" si="120"/>
        <v>2.7329789637214521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47046</v>
      </c>
      <c r="B308" s="409">
        <f>'2027'!Wh/'2027'!Env_an*'2028'!Env_an</f>
        <v>16.215137444365258</v>
      </c>
      <c r="C308" s="829"/>
      <c r="D308" s="391">
        <f t="shared" si="102"/>
        <v>17.363725213115615</v>
      </c>
      <c r="E308" s="383">
        <f t="shared" si="125"/>
        <v>18.288369410422433</v>
      </c>
      <c r="F308" s="383">
        <f t="shared" si="103"/>
        <v>18.330569452886625</v>
      </c>
      <c r="G308" s="110">
        <f t="shared" si="126"/>
        <v>0.46891864205699202</v>
      </c>
      <c r="H308" s="412" t="b">
        <f>Wh_hp&gt;='2027'!Maxi_hp</f>
        <v>0</v>
      </c>
      <c r="I308" s="388">
        <f>IF(H308,Wh_hp,'2027'!Maxi_hp)</f>
        <v>22.202361362008595</v>
      </c>
      <c r="J308" s="85">
        <f>IF(H308,An,'2027'!An_max)</f>
        <v>2018</v>
      </c>
      <c r="K308" s="197">
        <f t="shared" si="104"/>
        <v>47046</v>
      </c>
      <c r="L308" s="147">
        <f>IF(t&lt;Tvie,1-EXP((T0-t)*PertePVj)+'2027'!Pspv,1-EXP((T0-t)*PertePVj)+Pspv)</f>
        <v>6.6148695320447537E-2</v>
      </c>
      <c r="M308" s="832"/>
      <c r="N308" s="832"/>
      <c r="O308" s="48">
        <f>IF(t&lt;Tnet,'2027'!Resal+('2027'!Salim-'2027'!Resal)*(1-EXP(('2027'!Tnet-t)/('2027'!Tau_j))),Resal+(Salim-Resal)*(1-EXP((Tnet-t)/(Tau_j))))*Salcycl</f>
        <v>5.0559138245527241E-2</v>
      </c>
      <c r="P308" s="169">
        <f>(INDEX(Models!$BJ308:$BT308,,T308)*(1-R308)+INDEX(Models!$BJ308:$BT308,,T308+1)*R308-ERP_i)*Q308*Ramure*Pc/MaxiM</f>
        <v>9.3552961469086995E-3</v>
      </c>
      <c r="Q308" s="304">
        <f t="shared" si="105"/>
        <v>0.7</v>
      </c>
      <c r="R308" s="177">
        <f t="shared" si="106"/>
        <v>0.97739161383832973</v>
      </c>
      <c r="S308" s="799">
        <f t="shared" si="107"/>
        <v>-1</v>
      </c>
      <c r="T308" s="176">
        <f t="shared" si="108"/>
        <v>5</v>
      </c>
      <c r="U308" s="250">
        <f t="shared" si="109"/>
        <v>-2.2608386161670269E-2</v>
      </c>
      <c r="V308" s="382">
        <f t="shared" si="110"/>
        <v>34.335393499845928</v>
      </c>
      <c r="W308" s="400">
        <f t="shared" si="111"/>
        <v>16.215137444365258</v>
      </c>
      <c r="X308" s="157">
        <f t="shared" si="112"/>
        <v>47046</v>
      </c>
      <c r="Y308" s="383">
        <f t="shared" si="113"/>
        <v>15.515518583983686</v>
      </c>
      <c r="Z308" s="383">
        <f t="shared" si="114"/>
        <v>16.614549346598363</v>
      </c>
      <c r="AA308" s="384">
        <f t="shared" si="115"/>
        <v>18.0360439562272</v>
      </c>
      <c r="AB308" s="197">
        <f t="shared" si="116"/>
        <v>47046</v>
      </c>
      <c r="AC308" s="119">
        <f>IF(OR(t&lt;Tnet,NoTnet),'2027'!Resal_s+('2027'!Salim-'2027'!Resal_s)*(1-EXP(('2027'!Tnet_s-t)/'2027'!Tau_j)),Resal_s+(Salim-Resal_s)*(1-EXP((Tnet_s-t)/Tau_j)))*Salcycl</f>
        <v>7.8814102087949686E-2</v>
      </c>
      <c r="AD308" s="230">
        <f>(INDEX(Models!$BJ308:$BT308,,AH308)*(1-AF308)+INDEX(Models!$BJ308:$BT308,,AH308+1)*AF308-ERP_i)*AE308*Ramure*Pc/MaxiM</f>
        <v>6.5293139133740533E-2</v>
      </c>
      <c r="AE308" s="304">
        <f t="shared" si="117"/>
        <v>0.7</v>
      </c>
      <c r="AF308" s="177">
        <f t="shared" si="118"/>
        <v>0.7330494446776803</v>
      </c>
      <c r="AG308" s="799">
        <f t="shared" si="124"/>
        <v>2</v>
      </c>
      <c r="AH308" s="176">
        <f t="shared" si="119"/>
        <v>8</v>
      </c>
      <c r="AI308" s="224">
        <f t="shared" si="120"/>
        <v>2.7330494446776803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47047</v>
      </c>
      <c r="B309" s="409">
        <f>'2027'!Wh/'2027'!Env_an*'2028'!Env_an</f>
        <v>33.77612629123005</v>
      </c>
      <c r="C309" s="829"/>
      <c r="D309" s="391">
        <f t="shared" si="102"/>
        <v>36.169327435893059</v>
      </c>
      <c r="E309" s="383">
        <f t="shared" si="125"/>
        <v>38.096397361273951</v>
      </c>
      <c r="F309" s="383">
        <f t="shared" si="103"/>
        <v>38.479375495160845</v>
      </c>
      <c r="G309" s="110">
        <f t="shared" si="126"/>
        <v>0.99181157065805603</v>
      </c>
      <c r="H309" s="412" t="b">
        <f>Wh_hp&gt;='2027'!Maxi_hp</f>
        <v>0</v>
      </c>
      <c r="I309" s="388">
        <f>IF(H309,Wh_hp,'2027'!Maxi_hp)</f>
        <v>38.48277723921764</v>
      </c>
      <c r="J309" s="85">
        <f>IF(H309,An,'2027'!An_max)</f>
        <v>2026</v>
      </c>
      <c r="K309" s="197">
        <f t="shared" si="104"/>
        <v>47047</v>
      </c>
      <c r="L309" s="147">
        <f>IF(t&lt;Tvie,1-EXP((T0-t)*PertePVj)+'2027'!Pspv,1-EXP((T0-t)*PertePVj)+Pspv)</f>
        <v>6.6166592367655985E-2</v>
      </c>
      <c r="M309" s="832"/>
      <c r="N309" s="832"/>
      <c r="O309" s="48">
        <f>IF(t&lt;Tnet,'2027'!Resal+('2027'!Salim-'2027'!Resal)*(1-EXP(('2027'!Tnet-t)/('2027'!Tau_j))),Resal+(Salim-Resal)*(1-EXP((Tnet-t)/(Tau_j))))*Salcycl</f>
        <v>5.0584046231621174E-2</v>
      </c>
      <c r="P309" s="169">
        <f>(INDEX(Models!$BJ309:$BT309,,T309)*(1-R309)+INDEX(Models!$BJ309:$BT309,,T309+1)*R309-ERP_i)*Q309*Ramure*Pc/MaxiM</f>
        <v>1.0068926251858436E-2</v>
      </c>
      <c r="Q309" s="304">
        <f t="shared" si="105"/>
        <v>0.7</v>
      </c>
      <c r="R309" s="177">
        <f t="shared" si="106"/>
        <v>0.9774592804510065</v>
      </c>
      <c r="S309" s="799">
        <f t="shared" si="107"/>
        <v>-1</v>
      </c>
      <c r="T309" s="176">
        <f t="shared" si="108"/>
        <v>5</v>
      </c>
      <c r="U309" s="250">
        <f t="shared" si="109"/>
        <v>-2.254071954899356E-2</v>
      </c>
      <c r="V309" s="382">
        <f t="shared" si="110"/>
        <v>34.050989222025223</v>
      </c>
      <c r="W309" s="400">
        <f t="shared" si="111"/>
        <v>33.77612629123005</v>
      </c>
      <c r="X309" s="157">
        <f t="shared" si="112"/>
        <v>47047</v>
      </c>
      <c r="Y309" s="383">
        <f t="shared" si="113"/>
        <v>30.902765820745294</v>
      </c>
      <c r="Z309" s="383">
        <f t="shared" si="114"/>
        <v>33.092375543831373</v>
      </c>
      <c r="AA309" s="384">
        <f t="shared" si="115"/>
        <v>35.922634618803514</v>
      </c>
      <c r="AB309" s="197">
        <f t="shared" si="116"/>
        <v>47047</v>
      </c>
      <c r="AC309" s="119">
        <f>IF(OR(t&lt;Tnet,NoTnet),'2027'!Resal_s+('2027'!Salim-'2027'!Resal_s)*(1-EXP(('2027'!Tnet_s-t)/'2027'!Tau_j)),Resal_s+(Salim-Resal_s)*(1-EXP((Tnet_s-t)/Tau_j)))*Salcycl</f>
        <v>7.8787625267625908E-2</v>
      </c>
      <c r="AD309" s="230">
        <f>(INDEX(Models!$BJ309:$BT309,,AH309)*(1-AF309)+INDEX(Models!$BJ309:$BT309,,AH309+1)*AF309-ERP_i)*AE309*Ramure*Pc/MaxiM</f>
        <v>6.7219595719156325E-2</v>
      </c>
      <c r="AE309" s="304">
        <f t="shared" si="117"/>
        <v>0.7</v>
      </c>
      <c r="AF309" s="177">
        <f t="shared" si="118"/>
        <v>0.73311711129035739</v>
      </c>
      <c r="AG309" s="799">
        <f t="shared" si="124"/>
        <v>2</v>
      </c>
      <c r="AH309" s="176">
        <f t="shared" si="119"/>
        <v>8</v>
      </c>
      <c r="AI309" s="224">
        <f t="shared" si="120"/>
        <v>2.7331171112903574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47048</v>
      </c>
      <c r="B310" s="409">
        <f>'2027'!Wh/'2027'!Env_an*'2028'!Env_an</f>
        <v>19.838440073909211</v>
      </c>
      <c r="C310" s="829"/>
      <c r="D310" s="391">
        <f t="shared" si="102"/>
        <v>21.244496200530648</v>
      </c>
      <c r="E310" s="383">
        <f t="shared" si="125"/>
        <v>22.37695687315593</v>
      </c>
      <c r="F310" s="383">
        <f t="shared" si="103"/>
        <v>22.476428478977702</v>
      </c>
      <c r="G310" s="110">
        <f t="shared" si="126"/>
        <v>0.58374671074674489</v>
      </c>
      <c r="H310" s="412" t="b">
        <f>Wh_hp&gt;='2027'!Maxi_hp</f>
        <v>0</v>
      </c>
      <c r="I310" s="388">
        <f>IF(H310,Wh_hp,'2027'!Maxi_hp)</f>
        <v>34.945512770955865</v>
      </c>
      <c r="J310" s="85">
        <f>IF(H310,An,'2027'!An_max)</f>
        <v>2021</v>
      </c>
      <c r="K310" s="197">
        <f t="shared" si="104"/>
        <v>47048</v>
      </c>
      <c r="L310" s="147">
        <f>IF(t&lt;Tvie,1-EXP((T0-t)*PertePVj)+'2027'!Pspv,1-EXP((T0-t)*PertePVj)+Pspv)</f>
        <v>6.6184489071871577E-2</v>
      </c>
      <c r="M310" s="832"/>
      <c r="N310" s="832"/>
      <c r="O310" s="48">
        <f>IF(t&lt;Tnet,'2027'!Resal+('2027'!Salim-'2027'!Resal)*(1-EXP(('2027'!Tnet-t)/('2027'!Tau_j))),Resal+(Salim-Resal)*(1-EXP((Tnet-t)/(Tau_j))))*Salcycl</f>
        <v>5.0608341386393557E-2</v>
      </c>
      <c r="P310" s="169">
        <f>(INDEX(Models!$BJ310:$BT310,,T310)*(1-R310)+INDEX(Models!$BJ310:$BT310,,T310+1)*R310-ERP_i)*Q310*Ramure*Pc/MaxiM</f>
        <v>1.0775595075209123E-2</v>
      </c>
      <c r="Q310" s="304">
        <f t="shared" si="105"/>
        <v>0.7</v>
      </c>
      <c r="R310" s="177">
        <f t="shared" si="106"/>
        <v>0.97752424419646389</v>
      </c>
      <c r="S310" s="799">
        <f t="shared" si="107"/>
        <v>-1</v>
      </c>
      <c r="T310" s="176">
        <f t="shared" si="108"/>
        <v>5</v>
      </c>
      <c r="U310" s="250">
        <f t="shared" si="109"/>
        <v>-2.2475755803536113E-2</v>
      </c>
      <c r="V310" s="382">
        <f t="shared" si="110"/>
        <v>33.767909366239785</v>
      </c>
      <c r="W310" s="400">
        <f t="shared" si="111"/>
        <v>19.838440073909211</v>
      </c>
      <c r="X310" s="157">
        <f t="shared" si="112"/>
        <v>47048</v>
      </c>
      <c r="Y310" s="383">
        <f t="shared" si="113"/>
        <v>18.788065638611595</v>
      </c>
      <c r="Z310" s="383">
        <f t="shared" si="114"/>
        <v>20.119676123111248</v>
      </c>
      <c r="AA310" s="384">
        <f t="shared" si="115"/>
        <v>21.839785380372287</v>
      </c>
      <c r="AB310" s="197">
        <f t="shared" si="116"/>
        <v>47048</v>
      </c>
      <c r="AC310" s="119">
        <f>IF(OR(t&lt;Tnet,NoTnet),'2027'!Resal_s+('2027'!Salim-'2027'!Resal_s)*(1-EXP(('2027'!Tnet_s-t)/'2027'!Tau_j)),Resal_s+(Salim-Resal_s)*(1-EXP((Tnet_s-t)/Tau_j)))*Salcycl</f>
        <v>7.8760355347032185E-2</v>
      </c>
      <c r="AD310" s="230">
        <f>(INDEX(Models!$BJ310:$BT310,,AH310)*(1-AF310)+INDEX(Models!$BJ310:$BT310,,AH310+1)*AF310-ERP_i)*AE310*Ramure*Pc/MaxiM</f>
        <v>6.8966497336840932E-2</v>
      </c>
      <c r="AE310" s="304">
        <f t="shared" si="117"/>
        <v>0.7</v>
      </c>
      <c r="AF310" s="177">
        <f t="shared" si="118"/>
        <v>0.73318207503581467</v>
      </c>
      <c r="AG310" s="799">
        <f t="shared" si="124"/>
        <v>2</v>
      </c>
      <c r="AH310" s="176">
        <f t="shared" si="119"/>
        <v>8</v>
      </c>
      <c r="AI310" s="224">
        <f t="shared" si="120"/>
        <v>2.7331820750358147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47049</v>
      </c>
      <c r="B311" s="409">
        <f>'2027'!Wh/'2027'!Env_an*'2028'!Env_an</f>
        <v>28.431144363105336</v>
      </c>
      <c r="C311" s="829"/>
      <c r="D311" s="391">
        <f t="shared" si="102"/>
        <v>30.446794808200352</v>
      </c>
      <c r="E311" s="383">
        <f t="shared" si="125"/>
        <v>32.070595073474863</v>
      </c>
      <c r="F311" s="383">
        <f t="shared" si="103"/>
        <v>32.361361679869162</v>
      </c>
      <c r="G311" s="110">
        <f t="shared" si="126"/>
        <v>0.84690124913244014</v>
      </c>
      <c r="H311" s="412" t="b">
        <f>Wh_hp&gt;='2027'!Maxi_hp</f>
        <v>0</v>
      </c>
      <c r="I311" s="388">
        <f>IF(H311,Wh_hp,'2027'!Maxi_hp)</f>
        <v>39.130239680184168</v>
      </c>
      <c r="J311" s="85">
        <f>IF(H311,An,'2027'!An_max)</f>
        <v>2021</v>
      </c>
      <c r="K311" s="197">
        <f t="shared" si="104"/>
        <v>47049</v>
      </c>
      <c r="L311" s="147">
        <f>IF(t&lt;Tvie,1-EXP((T0-t)*PertePVj)+'2027'!Pspv,1-EXP((T0-t)*PertePVj)+Pspv)</f>
        <v>6.6202385433100974E-2</v>
      </c>
      <c r="M311" s="832"/>
      <c r="N311" s="832"/>
      <c r="O311" s="48">
        <f>IF(t&lt;Tnet,'2027'!Resal+('2027'!Salim-'2027'!Resal)*(1-EXP(('2027'!Tnet-t)/('2027'!Tau_j))),Resal+(Salim-Resal)*(1-EXP((Tnet-t)/(Tau_j))))*Salcycl</f>
        <v>5.0632059104432817E-2</v>
      </c>
      <c r="P311" s="169">
        <f>(INDEX(Models!$BJ311:$BT311,,T311)*(1-R311)+INDEX(Models!$BJ311:$BT311,,T311+1)*R311-ERP_i)*Q311*Ramure*Pc/MaxiM</f>
        <v>1.1455897225756488E-2</v>
      </c>
      <c r="Q311" s="304">
        <f t="shared" si="105"/>
        <v>0.7</v>
      </c>
      <c r="R311" s="177">
        <f t="shared" si="106"/>
        <v>0.9775866122063781</v>
      </c>
      <c r="S311" s="799">
        <f t="shared" si="107"/>
        <v>-1</v>
      </c>
      <c r="T311" s="176">
        <f t="shared" si="108"/>
        <v>5</v>
      </c>
      <c r="U311" s="250">
        <f t="shared" si="109"/>
        <v>-2.2413387793621953E-2</v>
      </c>
      <c r="V311" s="382">
        <f t="shared" si="110"/>
        <v>33.487088171875193</v>
      </c>
      <c r="W311" s="400">
        <f t="shared" si="111"/>
        <v>28.431144363105336</v>
      </c>
      <c r="X311" s="157">
        <f t="shared" si="112"/>
        <v>47049</v>
      </c>
      <c r="Y311" s="383">
        <f t="shared" si="113"/>
        <v>26.298668451578806</v>
      </c>
      <c r="Z311" s="383">
        <f t="shared" si="114"/>
        <v>28.163135181895154</v>
      </c>
      <c r="AA311" s="384">
        <f t="shared" si="115"/>
        <v>30.569981643700366</v>
      </c>
      <c r="AB311" s="197">
        <f t="shared" si="116"/>
        <v>47049</v>
      </c>
      <c r="AC311" s="119">
        <f>IF(OR(t&lt;Tnet,NoTnet),'2027'!Resal_s+('2027'!Salim-'2027'!Resal_s)*(1-EXP(('2027'!Tnet_s-t)/'2027'!Tau_j)),Resal_s+(Salim-Resal_s)*(1-EXP((Tnet_s-t)/Tau_j)))*Salcycl</f>
        <v>7.8732348938168203E-2</v>
      </c>
      <c r="AD311" s="230">
        <f>(INDEX(Models!$BJ311:$BT311,,AH311)*(1-AF311)+INDEX(Models!$BJ311:$BT311,,AH311+1)*AF311-ERP_i)*AE311*Ramure*Pc/MaxiM</f>
        <v>7.057848162519953E-2</v>
      </c>
      <c r="AE311" s="304">
        <f t="shared" si="117"/>
        <v>0.7</v>
      </c>
      <c r="AF311" s="177">
        <f t="shared" si="118"/>
        <v>0.733244443045729</v>
      </c>
      <c r="AG311" s="799">
        <f t="shared" si="124"/>
        <v>2</v>
      </c>
      <c r="AH311" s="176">
        <f t="shared" si="119"/>
        <v>8</v>
      </c>
      <c r="AI311" s="224">
        <f t="shared" si="120"/>
        <v>2.733244443045729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47050</v>
      </c>
      <c r="B312" s="409">
        <f>'2027'!Wh/'2027'!Env_an*'2028'!Env_an</f>
        <v>22.116391743046258</v>
      </c>
      <c r="C312" s="829"/>
      <c r="D312" s="391">
        <f t="shared" si="102"/>
        <v>23.684806281101519</v>
      </c>
      <c r="E312" s="383">
        <f t="shared" si="125"/>
        <v>24.948582652602273</v>
      </c>
      <c r="F312" s="383">
        <f t="shared" si="103"/>
        <v>25.107541362764806</v>
      </c>
      <c r="G312" s="110">
        <f t="shared" si="126"/>
        <v>0.66210709015933744</v>
      </c>
      <c r="H312" s="412" t="b">
        <f>Wh_hp&gt;='2027'!Maxi_hp</f>
        <v>0</v>
      </c>
      <c r="I312" s="388">
        <f>IF(H312,Wh_hp,'2027'!Maxi_hp)</f>
        <v>36.653360755544639</v>
      </c>
      <c r="J312" s="85">
        <f>IF(H312,An,'2027'!An_max)</f>
        <v>2021</v>
      </c>
      <c r="K312" s="197">
        <f t="shared" si="104"/>
        <v>47050</v>
      </c>
      <c r="L312" s="147">
        <f>IF(t&lt;Tvie,1-EXP((T0-t)*PertePVj)+'2027'!Pspv,1-EXP((T0-t)*PertePVj)+Pspv)</f>
        <v>6.6220281451350727E-2</v>
      </c>
      <c r="M312" s="832"/>
      <c r="N312" s="832"/>
      <c r="O312" s="48">
        <f>IF(t&lt;Tnet,'2027'!Resal+('2027'!Salim-'2027'!Resal)*(1-EXP(('2027'!Tnet-t)/('2027'!Tau_j))),Resal+(Salim-Resal)*(1-EXP((Tnet-t)/(Tau_j))))*Salcycl</f>
        <v>5.0655237177128158E-2</v>
      </c>
      <c r="P312" s="169">
        <f>(INDEX(Models!$BJ312:$BT312,,T312)*(1-R312)+INDEX(Models!$BJ312:$BT312,,T312+1)*R312-ERP_i)*Q312*Ramure*Pc/MaxiM</f>
        <v>1.2109356529878476E-2</v>
      </c>
      <c r="Q312" s="304">
        <f t="shared" si="105"/>
        <v>0.7</v>
      </c>
      <c r="R312" s="177">
        <f t="shared" si="106"/>
        <v>0.97764648743150462</v>
      </c>
      <c r="S312" s="799">
        <f t="shared" si="107"/>
        <v>-1</v>
      </c>
      <c r="T312" s="176">
        <f t="shared" si="108"/>
        <v>5</v>
      </c>
      <c r="U312" s="250">
        <f t="shared" si="109"/>
        <v>-2.2353512568495382E-2</v>
      </c>
      <c r="V312" s="382">
        <f t="shared" si="110"/>
        <v>33.208802571349089</v>
      </c>
      <c r="W312" s="400">
        <f t="shared" si="111"/>
        <v>22.116391743046258</v>
      </c>
      <c r="X312" s="157">
        <f t="shared" si="112"/>
        <v>47050</v>
      </c>
      <c r="Y312" s="383">
        <f t="shared" si="113"/>
        <v>20.786017057955039</v>
      </c>
      <c r="Z312" s="383">
        <f t="shared" si="114"/>
        <v>22.260086233466531</v>
      </c>
      <c r="AA312" s="384">
        <f t="shared" si="115"/>
        <v>24.161700656390096</v>
      </c>
      <c r="AB312" s="197">
        <f t="shared" si="116"/>
        <v>47050</v>
      </c>
      <c r="AC312" s="119">
        <f>IF(OR(t&lt;Tnet,NoTnet),'2027'!Resal_s+('2027'!Salim-'2027'!Resal_s)*(1-EXP(('2027'!Tnet_s-t)/'2027'!Tau_j)),Resal_s+(Salim-Resal_s)*(1-EXP((Tnet_s-t)/Tau_j)))*Salcycl</f>
        <v>7.8703666185047316E-2</v>
      </c>
      <c r="AD312" s="230">
        <f>(INDEX(Models!$BJ312:$BT312,,AH312)*(1-AF312)+INDEX(Models!$BJ312:$BT312,,AH312+1)*AF312-ERP_i)*AE312*Ramure*Pc/MaxiM</f>
        <v>7.2053442823311373E-2</v>
      </c>
      <c r="AE312" s="304">
        <f t="shared" si="117"/>
        <v>0.7</v>
      </c>
      <c r="AF312" s="177">
        <f t="shared" si="118"/>
        <v>0.7333043182708554</v>
      </c>
      <c r="AG312" s="799">
        <f t="shared" si="124"/>
        <v>2</v>
      </c>
      <c r="AH312" s="176">
        <f t="shared" si="119"/>
        <v>8</v>
      </c>
      <c r="AI312" s="224">
        <f t="shared" si="120"/>
        <v>2.7333043182708554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47051</v>
      </c>
      <c r="B313" s="409">
        <f>'2027'!Wh/'2027'!Env_an*'2028'!Env_an</f>
        <v>15.221015229164166</v>
      </c>
      <c r="C313" s="829"/>
      <c r="D313" s="391">
        <f t="shared" si="102"/>
        <v>16.300746995980244</v>
      </c>
      <c r="E313" s="383">
        <f t="shared" si="125"/>
        <v>17.170934148930403</v>
      </c>
      <c r="F313" s="383">
        <f t="shared" si="103"/>
        <v>17.221747727292637</v>
      </c>
      <c r="G313" s="110">
        <f t="shared" si="126"/>
        <v>0.45764088739636938</v>
      </c>
      <c r="H313" s="412" t="b">
        <f>Wh_hp&gt;='2027'!Maxi_hp</f>
        <v>0</v>
      </c>
      <c r="I313" s="388">
        <f>IF(H313,Wh_hp,'2027'!Maxi_hp)</f>
        <v>37.378397618671073</v>
      </c>
      <c r="J313" s="85">
        <f>IF(H313,An,'2027'!An_max)</f>
        <v>2018</v>
      </c>
      <c r="K313" s="197">
        <f t="shared" si="104"/>
        <v>47051</v>
      </c>
      <c r="L313" s="147">
        <f>IF(t&lt;Tvie,1-EXP((T0-t)*PertePVj)+'2027'!Pspv,1-EXP((T0-t)*PertePVj)+Pspv)</f>
        <v>6.6238177126627273E-2</v>
      </c>
      <c r="M313" s="832"/>
      <c r="N313" s="832"/>
      <c r="O313" s="48">
        <f>IF(t&lt;Tnet,'2027'!Resal+('2027'!Salim-'2027'!Resal)*(1-EXP(('2027'!Tnet-t)/('2027'!Tau_j))),Resal+(Salim-Resal)*(1-EXP((Tnet-t)/(Tau_j))))*Salcycl</f>
        <v>5.0677915680223083E-2</v>
      </c>
      <c r="P313" s="169">
        <f>(INDEX(Models!$BJ313:$BT313,,T313)*(1-R313)+INDEX(Models!$BJ313:$BT313,,T313+1)*R313-ERP_i)*Q313*Ramure*Pc/MaxiM</f>
        <v>1.2735394750153542E-2</v>
      </c>
      <c r="Q313" s="304">
        <f t="shared" si="105"/>
        <v>0.7</v>
      </c>
      <c r="R313" s="177">
        <f t="shared" si="106"/>
        <v>0.97770396879968824</v>
      </c>
      <c r="S313" s="799">
        <f t="shared" si="107"/>
        <v>-1</v>
      </c>
      <c r="T313" s="176">
        <f t="shared" si="108"/>
        <v>5</v>
      </c>
      <c r="U313" s="250">
        <f t="shared" si="109"/>
        <v>-2.2296031200311817E-2</v>
      </c>
      <c r="V313" s="382">
        <f t="shared" si="110"/>
        <v>32.933331764135943</v>
      </c>
      <c r="W313" s="400">
        <f t="shared" si="111"/>
        <v>15.221015229164166</v>
      </c>
      <c r="X313" s="157">
        <f t="shared" si="112"/>
        <v>47051</v>
      </c>
      <c r="Y313" s="383">
        <f t="shared" si="113"/>
        <v>14.563937031500997</v>
      </c>
      <c r="Z313" s="383">
        <f t="shared" si="114"/>
        <v>15.597057702235926</v>
      </c>
      <c r="AA313" s="384">
        <f t="shared" si="115"/>
        <v>16.92893066697679</v>
      </c>
      <c r="AB313" s="197">
        <f t="shared" si="116"/>
        <v>47051</v>
      </c>
      <c r="AC313" s="119">
        <f>IF(OR(t&lt;Tnet,NoTnet),'2027'!Resal_s+('2027'!Salim-'2027'!Resal_s)*(1-EXP(('2027'!Tnet_s-t)/'2027'!Tau_j)),Resal_s+(Salim-Resal_s)*(1-EXP((Tnet_s-t)/Tau_j)))*Salcycl</f>
        <v>7.8674370575511007E-2</v>
      </c>
      <c r="AD313" s="230">
        <f>(INDEX(Models!$BJ313:$BT313,,AH313)*(1-AF313)+INDEX(Models!$BJ313:$BT313,,AH313+1)*AF313-ERP_i)*AE313*Ramure*Pc/MaxiM</f>
        <v>7.3388668401148591E-2</v>
      </c>
      <c r="AE313" s="304">
        <f t="shared" si="117"/>
        <v>0.7</v>
      </c>
      <c r="AF313" s="177">
        <f t="shared" si="118"/>
        <v>0.73336179963903891</v>
      </c>
      <c r="AG313" s="799">
        <f t="shared" si="124"/>
        <v>2</v>
      </c>
      <c r="AH313" s="176">
        <f t="shared" si="119"/>
        <v>8</v>
      </c>
      <c r="AI313" s="224">
        <f t="shared" si="120"/>
        <v>2.7333617996390389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47052</v>
      </c>
      <c r="B314" s="409">
        <f>'2027'!Wh/'2027'!Env_an*'2028'!Env_an</f>
        <v>15.401072023227016</v>
      </c>
      <c r="C314" s="829"/>
      <c r="D314" s="391">
        <f t="shared" si="102"/>
        <v>16.493892564082817</v>
      </c>
      <c r="E314" s="383">
        <f t="shared" si="125"/>
        <v>17.374797157626283</v>
      </c>
      <c r="F314" s="383">
        <f t="shared" si="103"/>
        <v>17.4317558058884</v>
      </c>
      <c r="G314" s="110">
        <f t="shared" si="126"/>
        <v>0.46678177483877192</v>
      </c>
      <c r="H314" s="412" t="b">
        <f>Wh_hp&gt;='2027'!Maxi_hp</f>
        <v>0</v>
      </c>
      <c r="I314" s="388">
        <f>IF(H314,Wh_hp,'2027'!Maxi_hp)</f>
        <v>34.064654173647206</v>
      </c>
      <c r="J314" s="85">
        <f>IF(H314,An,'2027'!An_max)</f>
        <v>2021</v>
      </c>
      <c r="K314" s="197">
        <f t="shared" si="104"/>
        <v>47052</v>
      </c>
      <c r="L314" s="147">
        <f>IF(t&lt;Tvie,1-EXP((T0-t)*PertePVj)+'2027'!Pspv,1-EXP((T0-t)*PertePVj)+Pspv)</f>
        <v>6.6256072458937387E-2</v>
      </c>
      <c r="M314" s="832"/>
      <c r="N314" s="832"/>
      <c r="O314" s="48">
        <f>IF(t&lt;Tnet,'2027'!Resal+('2027'!Salim-'2027'!Resal)*(1-EXP(('2027'!Tnet-t)/('2027'!Tau_j))),Resal+(Salim-Resal)*(1-EXP((Tnet-t)/(Tau_j))))*Salcycl</f>
        <v>5.0700136844867488E-2</v>
      </c>
      <c r="P314" s="169">
        <f>(INDEX(Models!$BJ314:$BT314,,T314)*(1-R314)+INDEX(Models!$BJ314:$BT314,,T314+1)*R314-ERP_i)*Q314*Ramure*Pc/MaxiM</f>
        <v>1.3333416311926995E-2</v>
      </c>
      <c r="Q314" s="304">
        <f t="shared" si="105"/>
        <v>0.7</v>
      </c>
      <c r="R314" s="177">
        <f t="shared" si="106"/>
        <v>0.97775915136831004</v>
      </c>
      <c r="S314" s="799">
        <f t="shared" si="107"/>
        <v>-1</v>
      </c>
      <c r="T314" s="176">
        <f t="shared" si="108"/>
        <v>5</v>
      </c>
      <c r="U314" s="250">
        <f t="shared" si="109"/>
        <v>-2.2240848631689958E-2</v>
      </c>
      <c r="V314" s="382">
        <f t="shared" si="110"/>
        <v>32.660954377517221</v>
      </c>
      <c r="W314" s="400">
        <f t="shared" si="111"/>
        <v>15.401072023227016</v>
      </c>
      <c r="X314" s="157">
        <f t="shared" si="112"/>
        <v>47052</v>
      </c>
      <c r="Y314" s="383">
        <f t="shared" si="113"/>
        <v>14.722618478341595</v>
      </c>
      <c r="Z314" s="383">
        <f t="shared" si="114"/>
        <v>15.767297697038194</v>
      </c>
      <c r="AA314" s="384">
        <f t="shared" si="115"/>
        <v>17.113153596708827</v>
      </c>
      <c r="AB314" s="197">
        <f t="shared" si="116"/>
        <v>47052</v>
      </c>
      <c r="AC314" s="119">
        <f>IF(OR(t&lt;Tnet,NoTnet),'2027'!Resal_s+('2027'!Salim-'2027'!Resal_s)*(1-EXP(('2027'!Tnet_s-t)/'2027'!Tau_j)),Resal_s+(Salim-Resal_s)*(1-EXP((Tnet_s-t)/Tau_j)))*Salcycl</f>
        <v>7.8644528728443561E-2</v>
      </c>
      <c r="AD314" s="230">
        <f>(INDEX(Models!$BJ314:$BT314,,AH314)*(1-AF314)+INDEX(Models!$BJ314:$BT314,,AH314+1)*AF314-ERP_i)*AE314*Ramure*Pc/MaxiM</f>
        <v>7.4581402868651295E-2</v>
      </c>
      <c r="AE314" s="304">
        <f t="shared" si="117"/>
        <v>0.7</v>
      </c>
      <c r="AF314" s="177">
        <f t="shared" si="118"/>
        <v>0.73341698220766061</v>
      </c>
      <c r="AG314" s="799">
        <f t="shared" si="124"/>
        <v>2</v>
      </c>
      <c r="AH314" s="176">
        <f t="shared" si="119"/>
        <v>8</v>
      </c>
      <c r="AI314" s="224">
        <f t="shared" si="120"/>
        <v>2.7334169822076606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47053</v>
      </c>
      <c r="B315" s="409">
        <f>'2027'!Wh/'2027'!Env_an*'2028'!Env_an</f>
        <v>16.837424115368282</v>
      </c>
      <c r="C315" s="829"/>
      <c r="D315" s="391">
        <f t="shared" si="102"/>
        <v>18.032510102941544</v>
      </c>
      <c r="E315" s="383">
        <f t="shared" si="125"/>
        <v>18.996025459878968</v>
      </c>
      <c r="F315" s="383">
        <f t="shared" si="103"/>
        <v>19.079316923916743</v>
      </c>
      <c r="G315" s="110">
        <f t="shared" si="126"/>
        <v>0.51482351880893651</v>
      </c>
      <c r="H315" s="412" t="b">
        <f>Wh_hp&gt;='2027'!Maxi_hp</f>
        <v>0</v>
      </c>
      <c r="I315" s="388">
        <f>IF(H315,Wh_hp,'2027'!Maxi_hp)</f>
        <v>36.268866308329294</v>
      </c>
      <c r="J315" s="85">
        <f>IF(H315,An,'2027'!An_max)</f>
        <v>2021</v>
      </c>
      <c r="K315" s="197">
        <f t="shared" si="104"/>
        <v>47053</v>
      </c>
      <c r="L315" s="147">
        <f>IF(t&lt;Tvie,1-EXP((T0-t)*PertePVj)+'2027'!Pspv,1-EXP((T0-t)*PertePVj)+Pspv)</f>
        <v>6.6273967448287396E-2</v>
      </c>
      <c r="M315" s="832"/>
      <c r="N315" s="832"/>
      <c r="O315" s="48">
        <f>IF(t&lt;Tnet,'2027'!Resal+('2027'!Salim-'2027'!Resal)*(1-EXP(('2027'!Tnet-t)/('2027'!Tau_j))),Resal+(Salim-Resal)*(1-EXP((Tnet-t)/(Tau_j))))*Salcycl</f>
        <v>5.0721944912763058E-2</v>
      </c>
      <c r="P315" s="169">
        <f>(INDEX(Models!$BJ315:$BT315,,T315)*(1-R315)+INDEX(Models!$BJ315:$BT315,,T315+1)*R315-ERP_i)*Q315*Ramure*Pc/MaxiM</f>
        <v>1.3902809733388071E-2</v>
      </c>
      <c r="Q315" s="304">
        <f t="shared" si="105"/>
        <v>0.7</v>
      </c>
      <c r="R315" s="177">
        <f t="shared" si="106"/>
        <v>0.97781212647133575</v>
      </c>
      <c r="S315" s="799">
        <f t="shared" si="107"/>
        <v>-1</v>
      </c>
      <c r="T315" s="176">
        <f t="shared" si="108"/>
        <v>5</v>
      </c>
      <c r="U315" s="250">
        <f t="shared" si="109"/>
        <v>-2.2187873528664304E-2</v>
      </c>
      <c r="V315" s="382">
        <f t="shared" si="110"/>
        <v>32.391948492966968</v>
      </c>
      <c r="W315" s="400">
        <f t="shared" si="111"/>
        <v>16.837424115368282</v>
      </c>
      <c r="X315" s="157">
        <f t="shared" si="112"/>
        <v>47053</v>
      </c>
      <c r="Y315" s="383">
        <f t="shared" si="113"/>
        <v>16.024550030803212</v>
      </c>
      <c r="Z315" s="383">
        <f t="shared" si="114"/>
        <v>17.161939875458838</v>
      </c>
      <c r="AA315" s="384">
        <f t="shared" si="115"/>
        <v>18.626225913893684</v>
      </c>
      <c r="AB315" s="197">
        <f t="shared" si="116"/>
        <v>47053</v>
      </c>
      <c r="AC315" s="119">
        <f>IF(OR(t&lt;Tnet,NoTnet),'2027'!Resal_s+('2027'!Salim-'2027'!Resal_s)*(1-EXP(('2027'!Tnet_s-t)/'2027'!Tau_j)),Resal_s+(Salim-Resal_s)*(1-EXP((Tnet_s-t)/Tau_j)))*Salcycl</f>
        <v>7.8614210157442854E-2</v>
      </c>
      <c r="AD315" s="230">
        <f>(INDEX(Models!$BJ315:$BT315,,AH315)*(1-AF315)+INDEX(Models!$BJ315:$BT315,,AH315+1)*AF315-ERP_i)*AE315*Ramure*Pc/MaxiM</f>
        <v>7.5628855573992154E-2</v>
      </c>
      <c r="AE315" s="304">
        <f t="shared" si="117"/>
        <v>0.7</v>
      </c>
      <c r="AF315" s="177">
        <f t="shared" si="118"/>
        <v>0.7334699573106862</v>
      </c>
      <c r="AG315" s="799">
        <f t="shared" si="124"/>
        <v>2</v>
      </c>
      <c r="AH315" s="176">
        <f t="shared" si="119"/>
        <v>8</v>
      </c>
      <c r="AI315" s="224">
        <f t="shared" si="120"/>
        <v>2.7334699573106862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47054</v>
      </c>
      <c r="B316" s="409">
        <f>'2027'!Wh/'2027'!Env_an*'2028'!Env_an</f>
        <v>27.058858165563301</v>
      </c>
      <c r="C316" s="829"/>
      <c r="D316" s="391">
        <f t="shared" si="102"/>
        <v>28.979996068436588</v>
      </c>
      <c r="E316" s="383">
        <f t="shared" si="125"/>
        <v>30.529148430782548</v>
      </c>
      <c r="F316" s="383">
        <f t="shared" si="103"/>
        <v>30.87458187045867</v>
      </c>
      <c r="G316" s="110">
        <f t="shared" si="126"/>
        <v>0.83948506907277709</v>
      </c>
      <c r="H316" s="412" t="b">
        <f>Wh_hp&gt;='2027'!Maxi_hp</f>
        <v>0</v>
      </c>
      <c r="I316" s="388">
        <f>IF(H316,Wh_hp,'2027'!Maxi_hp)</f>
        <v>30.949558003040423</v>
      </c>
      <c r="J316" s="85">
        <f>IF(H316,An,'2027'!An_max)</f>
        <v>2026</v>
      </c>
      <c r="K316" s="197">
        <f t="shared" si="104"/>
        <v>47054</v>
      </c>
      <c r="L316" s="147">
        <f>IF(t&lt;Tvie,1-EXP((T0-t)*PertePVj)+'2027'!Pspv,1-EXP((T0-t)*PertePVj)+Pspv)</f>
        <v>6.6291862094684184E-2</v>
      </c>
      <c r="M316" s="832"/>
      <c r="N316" s="832"/>
      <c r="O316" s="48">
        <f>IF(t&lt;Tnet,'2027'!Resal+('2027'!Salim-'2027'!Resal)*(1-EXP(('2027'!Tnet-t)/('2027'!Tau_j))),Resal+(Salim-Resal)*(1-EXP((Tnet-t)/(Tau_j))))*Salcycl</f>
        <v>5.07433859761365E-2</v>
      </c>
      <c r="P316" s="169">
        <f>(INDEX(Models!$BJ316:$BT316,,T316)*(1-R316)+INDEX(Models!$BJ316:$BT316,,T316+1)*R316-ERP_i)*Q316*Ramure*Pc/MaxiM</f>
        <v>1.444294908774859E-2</v>
      </c>
      <c r="Q316" s="304">
        <f t="shared" si="105"/>
        <v>0.7</v>
      </c>
      <c r="R316" s="177">
        <f t="shared" si="106"/>
        <v>0.97786298186112464</v>
      </c>
      <c r="S316" s="799">
        <f t="shared" si="107"/>
        <v>-1</v>
      </c>
      <c r="T316" s="176">
        <f t="shared" si="108"/>
        <v>5</v>
      </c>
      <c r="U316" s="250">
        <f t="shared" si="109"/>
        <v>-2.2137018138875364E-2</v>
      </c>
      <c r="V316" s="382">
        <f t="shared" si="110"/>
        <v>32.126591683160022</v>
      </c>
      <c r="W316" s="400">
        <f t="shared" si="111"/>
        <v>27.058858165563301</v>
      </c>
      <c r="X316" s="157">
        <f t="shared" si="112"/>
        <v>47054</v>
      </c>
      <c r="Y316" s="383">
        <f t="shared" si="113"/>
        <v>24.987757847443174</v>
      </c>
      <c r="Z316" s="383">
        <f t="shared" si="114"/>
        <v>26.76185076795068</v>
      </c>
      <c r="AA316" s="384">
        <f t="shared" si="115"/>
        <v>29.04424914328116</v>
      </c>
      <c r="AB316" s="197">
        <f t="shared" si="116"/>
        <v>47054</v>
      </c>
      <c r="AC316" s="119">
        <f>IF(OR(t&lt;Tnet,NoTnet),'2027'!Resal_s+('2027'!Salim-'2027'!Resal_s)*(1-EXP(('2027'!Tnet_s-t)/'2027'!Tau_j)),Resal_s+(Salim-Resal_s)*(1-EXP((Tnet_s-t)/Tau_j)))*Salcycl</f>
        <v>7.8583487012211878E-2</v>
      </c>
      <c r="AD316" s="230">
        <f>(INDEX(Models!$BJ316:$BT316,,AH316)*(1-AF316)+INDEX(Models!$BJ316:$BT316,,AH316+1)*AF316-ERP_i)*AE316*Ramure*Pc/MaxiM</f>
        <v>7.6528208783292195E-2</v>
      </c>
      <c r="AE316" s="304">
        <f t="shared" si="117"/>
        <v>0.7</v>
      </c>
      <c r="AF316" s="177">
        <f t="shared" si="118"/>
        <v>0.73352081270047531</v>
      </c>
      <c r="AG316" s="799">
        <f t="shared" si="124"/>
        <v>2</v>
      </c>
      <c r="AH316" s="176">
        <f t="shared" si="119"/>
        <v>8</v>
      </c>
      <c r="AI316" s="224">
        <f t="shared" si="120"/>
        <v>2.7335208127004753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47055</v>
      </c>
      <c r="B317" s="409">
        <f>'2027'!Wh/'2027'!Env_an*'2028'!Env_an</f>
        <v>24.134384053323132</v>
      </c>
      <c r="C317" s="829"/>
      <c r="D317" s="391">
        <f t="shared" si="102"/>
        <v>25.848384106725501</v>
      </c>
      <c r="E317" s="383">
        <f t="shared" si="125"/>
        <v>27.230739178231453</v>
      </c>
      <c r="F317" s="383">
        <f t="shared" si="103"/>
        <v>27.499438042946004</v>
      </c>
      <c r="G317" s="110">
        <f t="shared" si="126"/>
        <v>0.75343927158884438</v>
      </c>
      <c r="H317" s="412" t="b">
        <f>Wh_hp&gt;='2027'!Maxi_hp</f>
        <v>0</v>
      </c>
      <c r="I317" s="388">
        <f>IF(H317,Wh_hp,'2027'!Maxi_hp)</f>
        <v>31.493556755699309</v>
      </c>
      <c r="J317" s="85">
        <f>IF(H317,An,'2027'!An_max)</f>
        <v>2020</v>
      </c>
      <c r="K317" s="197">
        <f t="shared" si="104"/>
        <v>47055</v>
      </c>
      <c r="L317" s="147">
        <f>IF(t&lt;Tvie,1-EXP((T0-t)*PertePVj)+'2027'!Pspv,1-EXP((T0-t)*PertePVj)+Pspv)</f>
        <v>6.6309756398134079E-2</v>
      </c>
      <c r="M317" s="832"/>
      <c r="N317" s="832"/>
      <c r="O317" s="48">
        <f>IF(t&lt;Tnet,'2027'!Resal+('2027'!Salim-'2027'!Resal)*(1-EXP(('2027'!Tnet-t)/('2027'!Tau_j))),Resal+(Salim-Resal)*(1-EXP((Tnet-t)/(Tau_j))))*Salcycl</f>
        <v>5.0764507803409867E-2</v>
      </c>
      <c r="P317" s="169">
        <f>(INDEX(Models!$BJ317:$BT317,,T317)*(1-R317)+INDEX(Models!$BJ317:$BT317,,T317+1)*R317-ERP_i)*Q317*Ramure*Pc/MaxiM</f>
        <v>1.4953432967714153E-2</v>
      </c>
      <c r="Q317" s="304">
        <f t="shared" si="105"/>
        <v>0.7</v>
      </c>
      <c r="R317" s="177">
        <f t="shared" si="106"/>
        <v>0.9779118018451588</v>
      </c>
      <c r="S317" s="799">
        <f t="shared" si="107"/>
        <v>-1</v>
      </c>
      <c r="T317" s="176">
        <f t="shared" si="108"/>
        <v>5</v>
      </c>
      <c r="U317" s="250">
        <f t="shared" si="109"/>
        <v>-2.2088198154841199E-2</v>
      </c>
      <c r="V317" s="382">
        <f t="shared" si="110"/>
        <v>31.864647360293684</v>
      </c>
      <c r="W317" s="400">
        <f t="shared" si="111"/>
        <v>24.134384053323132</v>
      </c>
      <c r="X317" s="157">
        <f t="shared" si="112"/>
        <v>47055</v>
      </c>
      <c r="Y317" s="383">
        <f t="shared" si="113"/>
        <v>22.464363066051018</v>
      </c>
      <c r="Z317" s="383">
        <f t="shared" si="114"/>
        <v>24.05975988288256</v>
      </c>
      <c r="AA317" s="384">
        <f t="shared" si="115"/>
        <v>26.110829053552262</v>
      </c>
      <c r="AB317" s="197">
        <f t="shared" si="116"/>
        <v>47055</v>
      </c>
      <c r="AC317" s="119">
        <f>IF(OR(t&lt;Tnet,NoTnet),'2027'!Resal_s+('2027'!Salim-'2027'!Resal_s)*(1-EXP(('2027'!Tnet_s-t)/'2027'!Tau_j)),Resal_s+(Salim-Resal_s)*(1-EXP((Tnet_s-t)/Tau_j)))*Salcycl</f>
        <v>7.855243379913518E-2</v>
      </c>
      <c r="AD317" s="230">
        <f>(INDEX(Models!$BJ317:$BT317,,AH317)*(1-AF317)+INDEX(Models!$BJ317:$BT317,,AH317+1)*AF317-ERP_i)*AE317*Ramure*Pc/MaxiM</f>
        <v>7.7277853270141181E-2</v>
      </c>
      <c r="AE317" s="304">
        <f t="shared" si="117"/>
        <v>0.7</v>
      </c>
      <c r="AF317" s="177">
        <f t="shared" si="118"/>
        <v>0.73356963268450937</v>
      </c>
      <c r="AG317" s="799">
        <f t="shared" si="124"/>
        <v>2</v>
      </c>
      <c r="AH317" s="176">
        <f t="shared" si="119"/>
        <v>8</v>
      </c>
      <c r="AI317" s="224">
        <f t="shared" si="120"/>
        <v>2.7335696326845094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47056</v>
      </c>
      <c r="B318" s="409">
        <f>'2027'!Wh/'2027'!Env_an*'2028'!Env_an</f>
        <v>23.479361732169249</v>
      </c>
      <c r="C318" s="829"/>
      <c r="D318" s="391">
        <f t="shared" si="102"/>
        <v>25.147324691780987</v>
      </c>
      <c r="E318" s="383">
        <f t="shared" si="125"/>
        <v>26.492769520021319</v>
      </c>
      <c r="F318" s="383">
        <f t="shared" si="103"/>
        <v>26.753510525023842</v>
      </c>
      <c r="G318" s="110">
        <f t="shared" si="126"/>
        <v>0.73861852187752564</v>
      </c>
      <c r="H318" s="412" t="b">
        <f>Wh_hp&gt;='2027'!Maxi_hp</f>
        <v>0</v>
      </c>
      <c r="I318" s="388">
        <f>IF(H318,Wh_hp,'2027'!Maxi_hp)</f>
        <v>35.545081569193108</v>
      </c>
      <c r="J318" s="85">
        <f>IF(H318,An,'2027'!An_max)</f>
        <v>2020</v>
      </c>
      <c r="K318" s="197">
        <f t="shared" si="104"/>
        <v>47056</v>
      </c>
      <c r="L318" s="147">
        <f>IF(t&lt;Tvie,1-EXP((T0-t)*PertePVj)+'2027'!Pspv,1-EXP((T0-t)*PertePVj)+Pspv)</f>
        <v>6.6327650358643742E-2</v>
      </c>
      <c r="M318" s="832"/>
      <c r="N318" s="832"/>
      <c r="O318" s="48">
        <f>IF(t&lt;Tnet,'2027'!Resal+('2027'!Salim-'2027'!Resal)*(1-EXP(('2027'!Tnet-t)/('2027'!Tau_j))),Resal+(Salim-Resal)*(1-EXP((Tnet-t)/(Tau_j))))*Salcycl</f>
        <v>5.0785359651566109E-2</v>
      </c>
      <c r="P318" s="169">
        <f>(INDEX(Models!$BJ318:$BT318,,T318)*(1-R318)+INDEX(Models!$BJ318:$BT318,,T318+1)*R318-ERP_i)*Q318*Ramure*Pc/MaxiM</f>
        <v>1.540481978307949E-2</v>
      </c>
      <c r="Q318" s="304">
        <f t="shared" si="105"/>
        <v>0.7</v>
      </c>
      <c r="R318" s="177">
        <f t="shared" si="106"/>
        <v>0.97795866741784754</v>
      </c>
      <c r="S318" s="799">
        <f t="shared" si="107"/>
        <v>-1</v>
      </c>
      <c r="T318" s="176">
        <f t="shared" si="108"/>
        <v>5</v>
      </c>
      <c r="U318" s="250">
        <f t="shared" si="109"/>
        <v>-2.2041332582152517E-2</v>
      </c>
      <c r="V318" s="382">
        <f t="shared" si="110"/>
        <v>31.60655879959581</v>
      </c>
      <c r="W318" s="400">
        <f t="shared" si="111"/>
        <v>23.479361732169249</v>
      </c>
      <c r="X318" s="157">
        <f t="shared" si="112"/>
        <v>47056</v>
      </c>
      <c r="Y318" s="383">
        <f t="shared" si="113"/>
        <v>21.883325818511175</v>
      </c>
      <c r="Z318" s="383">
        <f t="shared" si="114"/>
        <v>23.43790712760963</v>
      </c>
      <c r="AA318" s="384">
        <f t="shared" si="115"/>
        <v>25.435099834039207</v>
      </c>
      <c r="AB318" s="197">
        <f t="shared" si="116"/>
        <v>47056</v>
      </c>
      <c r="AC318" s="119">
        <f>IF(OR(t&lt;Tnet,NoTnet),'2027'!Resal_s+('2027'!Salim-'2027'!Resal_s)*(1-EXP(('2027'!Tnet_s-t)/'2027'!Tau_j)),Resal_s+(Salim-Resal_s)*(1-EXP((Tnet_s-t)/Tau_j)))*Salcycl</f>
        <v>7.852112708269296E-2</v>
      </c>
      <c r="AD318" s="230">
        <f>(INDEX(Models!$BJ318:$BT318,,AH318)*(1-AF318)+INDEX(Models!$BJ318:$BT318,,AH318+1)*AF318-ERP_i)*AE318*Ramure*Pc/MaxiM</f>
        <v>7.789292326501196E-2</v>
      </c>
      <c r="AE318" s="304">
        <f t="shared" si="117"/>
        <v>0.7</v>
      </c>
      <c r="AF318" s="177">
        <f t="shared" si="118"/>
        <v>0.73361649825719821</v>
      </c>
      <c r="AG318" s="799">
        <f t="shared" si="124"/>
        <v>2</v>
      </c>
      <c r="AH318" s="176">
        <f t="shared" si="119"/>
        <v>8</v>
      </c>
      <c r="AI318" s="224">
        <f t="shared" si="120"/>
        <v>2.7336164982571982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47057</v>
      </c>
      <c r="B319" s="409">
        <f>'2027'!Wh/'2027'!Env_an*'2028'!Env_an</f>
        <v>25.231406149955163</v>
      </c>
      <c r="C319" s="829"/>
      <c r="D319" s="391">
        <f t="shared" si="102"/>
        <v>27.024351447333011</v>
      </c>
      <c r="E319" s="383">
        <f t="shared" si="125"/>
        <v>28.47084075695247</v>
      </c>
      <c r="F319" s="383">
        <f t="shared" si="103"/>
        <v>28.798995647911315</v>
      </c>
      <c r="G319" s="110">
        <f t="shared" si="126"/>
        <v>0.8011896973363466</v>
      </c>
      <c r="H319" s="412" t="b">
        <f>Wh_hp&gt;='2027'!Maxi_hp</f>
        <v>0</v>
      </c>
      <c r="I319" s="388">
        <f>IF(H319,Wh_hp,'2027'!Maxi_hp)</f>
        <v>28.89281537592537</v>
      </c>
      <c r="J319" s="85">
        <f>IF(H319,An,'2027'!An_max)</f>
        <v>2026</v>
      </c>
      <c r="K319" s="197">
        <f t="shared" si="104"/>
        <v>47057</v>
      </c>
      <c r="L319" s="147">
        <f>IF(t&lt;Tvie,1-EXP((T0-t)*PertePVj)+'2027'!Pspv,1-EXP((T0-t)*PertePVj)+Pspv)</f>
        <v>6.6345543976219723E-2</v>
      </c>
      <c r="M319" s="832"/>
      <c r="N319" s="832"/>
      <c r="O319" s="48">
        <f>IF(t&lt;Tnet,'2027'!Resal+('2027'!Salim-'2027'!Resal)*(1-EXP(('2027'!Tnet-t)/('2027'!Tau_j))),Resal+(Salim-Resal)*(1-EXP((Tnet-t)/(Tau_j))))*Salcycl</f>
        <v>5.0805992066329554E-2</v>
      </c>
      <c r="P319" s="169">
        <f>(INDEX(Models!$BJ319:$BT319,,T319)*(1-R319)+INDEX(Models!$BJ319:$BT319,,T319+1)*R319-ERP_i)*Q319*Ramure*Pc/MaxiM</f>
        <v>1.5801557615618658E-2</v>
      </c>
      <c r="Q319" s="304">
        <f t="shared" si="105"/>
        <v>0.7</v>
      </c>
      <c r="R319" s="177">
        <f t="shared" si="106"/>
        <v>0.97800365638756093</v>
      </c>
      <c r="S319" s="799">
        <f t="shared" si="107"/>
        <v>-1</v>
      </c>
      <c r="T319" s="176">
        <f t="shared" si="108"/>
        <v>5</v>
      </c>
      <c r="U319" s="250">
        <f t="shared" si="109"/>
        <v>-2.1996343612439129E-2</v>
      </c>
      <c r="V319" s="382">
        <f t="shared" si="110"/>
        <v>31.352041247045445</v>
      </c>
      <c r="W319" s="400">
        <f t="shared" si="111"/>
        <v>25.231406149955163</v>
      </c>
      <c r="X319" s="157">
        <f t="shared" si="112"/>
        <v>47057</v>
      </c>
      <c r="Y319" s="383">
        <f t="shared" si="113"/>
        <v>23.37578921813876</v>
      </c>
      <c r="Z319" s="383">
        <f t="shared" si="114"/>
        <v>25.036874260409867</v>
      </c>
      <c r="AA319" s="384">
        <f t="shared" si="115"/>
        <v>27.169390044473491</v>
      </c>
      <c r="AB319" s="197">
        <f t="shared" si="116"/>
        <v>47057</v>
      </c>
      <c r="AC319" s="119">
        <f>IF(OR(t&lt;Tnet,NoTnet),'2027'!Resal_s+('2027'!Salim-'2027'!Resal_s)*(1-EXP(('2027'!Tnet_s-t)/'2027'!Tau_j)),Resal_s+(Salim-Resal_s)*(1-EXP((Tnet_s-t)/Tau_j)))*Salcycl</f>
        <v>7.848964516954246E-2</v>
      </c>
      <c r="AD319" s="230">
        <f>(INDEX(Models!$BJ319:$BT319,,AH319)*(1-AF319)+INDEX(Models!$BJ319:$BT319,,AH319+1)*AF319-ERP_i)*AE319*Ramure*Pc/MaxiM</f>
        <v>7.8469977266580115E-2</v>
      </c>
      <c r="AE319" s="304">
        <f t="shared" si="117"/>
        <v>0.7</v>
      </c>
      <c r="AF319" s="177">
        <f t="shared" si="118"/>
        <v>0.73366148722691182</v>
      </c>
      <c r="AG319" s="799">
        <f t="shared" si="124"/>
        <v>2</v>
      </c>
      <c r="AH319" s="176">
        <f t="shared" si="119"/>
        <v>8</v>
      </c>
      <c r="AI319" s="224">
        <f t="shared" si="120"/>
        <v>2.7336614872269118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47058</v>
      </c>
      <c r="B320" s="409">
        <f>'2027'!Wh/'2027'!Env_an*'2028'!Env_an</f>
        <v>28.017063599184098</v>
      </c>
      <c r="C320" s="829"/>
      <c r="D320" s="391">
        <f t="shared" si="102"/>
        <v>30.008532995630222</v>
      </c>
      <c r="E320" s="383">
        <f t="shared" si="125"/>
        <v>31.615433454239497</v>
      </c>
      <c r="F320" s="383">
        <f t="shared" si="103"/>
        <v>32.059658056185867</v>
      </c>
      <c r="G320" s="110">
        <f t="shared" si="126"/>
        <v>0.89875293496681075</v>
      </c>
      <c r="H320" s="412" t="b">
        <f>Wh_hp&gt;='2027'!Maxi_hp</f>
        <v>0</v>
      </c>
      <c r="I320" s="388">
        <f>IF(H320,Wh_hp,'2027'!Maxi_hp)</f>
        <v>32.113729938183305</v>
      </c>
      <c r="J320" s="85">
        <f>IF(H320,An,'2027'!An_max)</f>
        <v>2026</v>
      </c>
      <c r="K320" s="197">
        <f t="shared" si="104"/>
        <v>47058</v>
      </c>
      <c r="L320" s="147">
        <f>IF(t&lt;Tvie,1-EXP((T0-t)*PertePVj)+'2027'!Pspv,1-EXP((T0-t)*PertePVj)+Pspv)</f>
        <v>6.6363437250868573E-2</v>
      </c>
      <c r="M320" s="832"/>
      <c r="N320" s="832"/>
      <c r="O320" s="48">
        <f>IF(t&lt;Tnet,'2027'!Resal+('2027'!Salim-'2027'!Resal)*(1-EXP(('2027'!Tnet-t)/('2027'!Tau_j))),Resal+(Salim-Resal)*(1-EXP((Tnet-t)/(Tau_j))))*Salcycl</f>
        <v>5.0826456671395001E-2</v>
      </c>
      <c r="P320" s="169">
        <f>(INDEX(Models!$BJ320:$BT320,,T320)*(1-R320)+INDEX(Models!$BJ320:$BT320,,T320+1)*R320-ERP_i)*Q320*Ramure*Pc/MaxiM</f>
        <v>1.6142901175064131E-2</v>
      </c>
      <c r="Q320" s="304">
        <f t="shared" si="105"/>
        <v>0.7</v>
      </c>
      <c r="R320" s="177">
        <f t="shared" si="106"/>
        <v>0.97804684349904414</v>
      </c>
      <c r="S320" s="799">
        <f t="shared" si="107"/>
        <v>-1</v>
      </c>
      <c r="T320" s="176">
        <f t="shared" si="108"/>
        <v>5</v>
      </c>
      <c r="U320" s="250">
        <f t="shared" si="109"/>
        <v>-2.1953156500955862E-2</v>
      </c>
      <c r="V320" s="382">
        <f t="shared" si="110"/>
        <v>31.100979238970471</v>
      </c>
      <c r="W320" s="400">
        <f t="shared" si="111"/>
        <v>28.017063599184098</v>
      </c>
      <c r="X320" s="157">
        <f t="shared" si="112"/>
        <v>47058</v>
      </c>
      <c r="Y320" s="383">
        <f t="shared" si="113"/>
        <v>25.713016933692614</v>
      </c>
      <c r="Z320" s="383">
        <f t="shared" si="114"/>
        <v>27.540713334940069</v>
      </c>
      <c r="AA320" s="384">
        <f t="shared" si="115"/>
        <v>29.885469528784668</v>
      </c>
      <c r="AB320" s="197">
        <f t="shared" si="116"/>
        <v>47058</v>
      </c>
      <c r="AC320" s="119">
        <f>IF(OR(t&lt;Tnet,NoTnet),'2027'!Resal_s+('2027'!Salim-'2027'!Resal_s)*(1-EXP(('2027'!Tnet_s-t)/'2027'!Tau_j)),Resal_s+(Salim-Resal_s)*(1-EXP((Tnet_s-t)/Tau_j)))*Salcycl</f>
        <v>7.8458067777259E-2</v>
      </c>
      <c r="AD320" s="230">
        <f>(INDEX(Models!$BJ320:$BT320,,AH320)*(1-AF320)+INDEX(Models!$BJ320:$BT320,,AH320+1)*AF320-ERP_i)*AE320*Ramure*Pc/MaxiM</f>
        <v>7.9008930122319784E-2</v>
      </c>
      <c r="AE320" s="304">
        <f t="shared" si="117"/>
        <v>0.7</v>
      </c>
      <c r="AF320" s="177">
        <f t="shared" si="118"/>
        <v>0.73370467433839481</v>
      </c>
      <c r="AG320" s="799">
        <f t="shared" si="124"/>
        <v>2</v>
      </c>
      <c r="AH320" s="176">
        <f t="shared" si="119"/>
        <v>8</v>
      </c>
      <c r="AI320" s="224">
        <f t="shared" si="120"/>
        <v>2.7337046743383948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47059</v>
      </c>
      <c r="B321" s="409">
        <f>'2027'!Wh/'2027'!Env_an*'2028'!Env_an</f>
        <v>8.7855731948811595</v>
      </c>
      <c r="C321" s="829"/>
      <c r="D321" s="391">
        <f t="shared" si="102"/>
        <v>9.41023726164285</v>
      </c>
      <c r="E321" s="383">
        <f t="shared" si="125"/>
        <v>9.9143503078468509</v>
      </c>
      <c r="F321" s="383">
        <f t="shared" si="103"/>
        <v>9.9143503078468509</v>
      </c>
      <c r="G321" s="110">
        <f t="shared" si="126"/>
        <v>0.28007554587085765</v>
      </c>
      <c r="H321" s="412" t="b">
        <f>Wh_hp&gt;='2027'!Maxi_hp</f>
        <v>0</v>
      </c>
      <c r="I321" s="388">
        <f>IF(H321,Wh_hp,'2027'!Maxi_hp)</f>
        <v>28.049300463393088</v>
      </c>
      <c r="J321" s="85">
        <f>IF(H321,An,'2027'!An_max)</f>
        <v>2020</v>
      </c>
      <c r="K321" s="197">
        <f t="shared" si="104"/>
        <v>47059</v>
      </c>
      <c r="L321" s="147">
        <f>IF(t&lt;Tvie,1-EXP((T0-t)*PertePVj)+'2027'!Pspv,1-EXP((T0-t)*PertePVj)+Pspv)</f>
        <v>6.6381330182596954E-2</v>
      </c>
      <c r="M321" s="832"/>
      <c r="N321" s="832"/>
      <c r="O321" s="48">
        <f>IF(t&lt;Tnet,'2027'!Resal+('2027'!Salim-'2027'!Resal)*(1-EXP(('2027'!Tnet-t)/('2027'!Tau_j))),Resal+(Salim-Resal)*(1-EXP((Tnet-t)/(Tau_j))))*Salcycl</f>
        <v>5.0846805948042154E-2</v>
      </c>
      <c r="P321" s="169">
        <f>(INDEX(Models!$BJ321:$BT321,,T321)*(1-R321)+INDEX(Models!$BJ321:$BT321,,T321+1)*R321-ERP_i)*Q321*Ramure*Pc/MaxiM</f>
        <v>1.6428110937971179E-2</v>
      </c>
      <c r="Q321" s="304">
        <f t="shared" si="105"/>
        <v>0.7</v>
      </c>
      <c r="R321" s="177">
        <f t="shared" si="106"/>
        <v>0.97808830055135876</v>
      </c>
      <c r="S321" s="799">
        <f t="shared" si="107"/>
        <v>-1</v>
      </c>
      <c r="T321" s="176">
        <f t="shared" si="108"/>
        <v>5</v>
      </c>
      <c r="U321" s="250">
        <f t="shared" si="109"/>
        <v>-2.1911699448641297E-2</v>
      </c>
      <c r="V321" s="382">
        <f t="shared" si="110"/>
        <v>30.853257098591705</v>
      </c>
      <c r="W321" s="400">
        <f t="shared" si="111"/>
        <v>8.7855731948811595</v>
      </c>
      <c r="X321" s="157">
        <f t="shared" si="112"/>
        <v>47059</v>
      </c>
      <c r="Y321" s="383">
        <f t="shared" si="113"/>
        <v>8.5302896339913445</v>
      </c>
      <c r="Z321" s="383">
        <f t="shared" si="114"/>
        <v>9.1368027544475918</v>
      </c>
      <c r="AA321" s="384">
        <f t="shared" si="115"/>
        <v>9.9143503078468509</v>
      </c>
      <c r="AB321" s="197">
        <f t="shared" si="116"/>
        <v>47059</v>
      </c>
      <c r="AC321" s="119">
        <f>IF(OR(t&lt;Tnet,NoTnet),'2027'!Resal_s+('2027'!Salim-'2027'!Resal_s)*(1-EXP(('2027'!Tnet_s-t)/'2027'!Tau_j)),Resal_s+(Salim-Resal_s)*(1-EXP((Tnet_s-t)/Tau_j)))*Salcycl</f>
        <v>7.8426475689875264E-2</v>
      </c>
      <c r="AD321" s="230">
        <f>(INDEX(Models!$BJ321:$BT321,,AH321)*(1-AF321)+INDEX(Models!$BJ321:$BT321,,AH321+1)*AF321-ERP_i)*AE321*Ramure*Pc/MaxiM</f>
        <v>7.9509721570235045E-2</v>
      </c>
      <c r="AE321" s="304">
        <f t="shared" si="117"/>
        <v>0.7</v>
      </c>
      <c r="AF321" s="177">
        <f t="shared" si="118"/>
        <v>0.73374613139070943</v>
      </c>
      <c r="AG321" s="799">
        <f t="shared" si="124"/>
        <v>2</v>
      </c>
      <c r="AH321" s="176">
        <f t="shared" si="119"/>
        <v>8</v>
      </c>
      <c r="AI321" s="224">
        <f t="shared" si="120"/>
        <v>2.7337461313907094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47060</v>
      </c>
      <c r="B322" s="409">
        <f>'2027'!Wh/'2027'!Env_an*'2028'!Env_an</f>
        <v>12.259936675048511</v>
      </c>
      <c r="C322" s="829"/>
      <c r="D322" s="391">
        <f t="shared" si="102"/>
        <v>13.131883535318343</v>
      </c>
      <c r="E322" s="383">
        <f t="shared" si="125"/>
        <v>13.83566351831187</v>
      </c>
      <c r="F322" s="383">
        <f t="shared" si="103"/>
        <v>13.868841499422432</v>
      </c>
      <c r="G322" s="110">
        <f t="shared" si="126"/>
        <v>0.39480984327837304</v>
      </c>
      <c r="H322" s="412" t="b">
        <f>Wh_hp&gt;='2027'!Maxi_hp</f>
        <v>0</v>
      </c>
      <c r="I322" s="388">
        <f>IF(H322,Wh_hp,'2027'!Maxi_hp)</f>
        <v>18.973893501694523</v>
      </c>
      <c r="J322" s="85">
        <f>IF(H322,An,'2027'!An_max)</f>
        <v>2018</v>
      </c>
      <c r="K322" s="197">
        <f t="shared" si="104"/>
        <v>47060</v>
      </c>
      <c r="L322" s="147">
        <f>IF(t&lt;Tvie,1-EXP((T0-t)*PertePVj)+'2027'!Pspv,1-EXP((T0-t)*PertePVj)+Pspv)</f>
        <v>6.6399222771411304E-2</v>
      </c>
      <c r="M322" s="832"/>
      <c r="N322" s="832"/>
      <c r="O322" s="48">
        <f>IF(t&lt;Tnet,'2027'!Resal+('2027'!Salim-'2027'!Resal)*(1-EXP(('2027'!Tnet-t)/('2027'!Tau_j))),Resal+(Salim-Resal)*(1-EXP((Tnet-t)/(Tau_j))))*Salcycl</f>
        <v>5.0867093006566465E-2</v>
      </c>
      <c r="P322" s="169">
        <f>(INDEX(Models!$BJ322:$BT322,,T322)*(1-R322)+INDEX(Models!$BJ322:$BT322,,T322+1)*R322-ERP_i)*Q322*Ramure*Pc/MaxiM</f>
        <v>1.6656449421038406E-2</v>
      </c>
      <c r="Q322" s="304">
        <f t="shared" si="105"/>
        <v>0.7</v>
      </c>
      <c r="R322" s="177">
        <f t="shared" si="106"/>
        <v>0.97812809651149668</v>
      </c>
      <c r="S322" s="799">
        <f t="shared" si="107"/>
        <v>-1</v>
      </c>
      <c r="T322" s="176">
        <f t="shared" si="108"/>
        <v>5</v>
      </c>
      <c r="U322" s="250">
        <f t="shared" si="109"/>
        <v>-2.1871903488503375E-2</v>
      </c>
      <c r="V322" s="382">
        <f t="shared" si="110"/>
        <v>30.608759020718811</v>
      </c>
      <c r="W322" s="400">
        <f t="shared" si="111"/>
        <v>12.259936675048511</v>
      </c>
      <c r="X322" s="157">
        <f t="shared" si="112"/>
        <v>47060</v>
      </c>
      <c r="Y322" s="383">
        <f t="shared" si="113"/>
        <v>11.795845636439442</v>
      </c>
      <c r="Z322" s="383">
        <f t="shared" si="114"/>
        <v>12.634785578752011</v>
      </c>
      <c r="AA322" s="384">
        <f t="shared" si="115"/>
        <v>13.709544651768061</v>
      </c>
      <c r="AB322" s="197">
        <f t="shared" si="116"/>
        <v>47060</v>
      </c>
      <c r="AC322" s="119">
        <f>IF(OR(t&lt;Tnet,NoTnet),'2027'!Resal_s+('2027'!Salim-'2027'!Resal_s)*(1-EXP(('2027'!Tnet_s-t)/'2027'!Tau_j)),Resal_s+(Salim-Resal_s)*(1-EXP((Tnet_s-t)/Tau_j)))*Salcycl</f>
        <v>7.8394950402487951E-2</v>
      </c>
      <c r="AD322" s="230">
        <f>(INDEX(Models!$BJ322:$BT322,,AH322)*(1-AF322)+INDEX(Models!$BJ322:$BT322,,AH322+1)*AF322-ERP_i)*AE322*Ramure*Pc/MaxiM</f>
        <v>7.9972312873530127E-2</v>
      </c>
      <c r="AE322" s="304">
        <f t="shared" si="117"/>
        <v>0.7</v>
      </c>
      <c r="AF322" s="177">
        <f t="shared" si="118"/>
        <v>0.73378592735084736</v>
      </c>
      <c r="AG322" s="799">
        <f t="shared" si="124"/>
        <v>2</v>
      </c>
      <c r="AH322" s="176">
        <f t="shared" si="119"/>
        <v>8</v>
      </c>
      <c r="AI322" s="224">
        <f t="shared" si="120"/>
        <v>2.7337859273508474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47061</v>
      </c>
      <c r="B323" s="409">
        <f>'2027'!Wh/'2027'!Env_an*'2028'!Env_an</f>
        <v>29.713932676350893</v>
      </c>
      <c r="C323" s="829"/>
      <c r="D323" s="391">
        <f t="shared" si="102"/>
        <v>31.827846412268045</v>
      </c>
      <c r="E323" s="383">
        <f t="shared" si="125"/>
        <v>33.534319796770795</v>
      </c>
      <c r="F323" s="383">
        <f t="shared" si="103"/>
        <v>34.090330236204522</v>
      </c>
      <c r="G323" s="110">
        <f t="shared" si="126"/>
        <v>0.9779677598243125</v>
      </c>
      <c r="H323" s="412" t="b">
        <f>Wh_hp&gt;='2027'!Maxi_hp</f>
        <v>0</v>
      </c>
      <c r="I323" s="388">
        <f>IF(H323,Wh_hp,'2027'!Maxi_hp)</f>
        <v>34.103232915386066</v>
      </c>
      <c r="J323" s="85">
        <f>IF(H323,An,'2027'!An_max)</f>
        <v>2026</v>
      </c>
      <c r="K323" s="197">
        <f t="shared" si="104"/>
        <v>47061</v>
      </c>
      <c r="L323" s="147">
        <f>IF(t&lt;Tvie,1-EXP((T0-t)*PertePVj)+'2027'!Pspv,1-EXP((T0-t)*PertePVj)+Pspv)</f>
        <v>6.6417115017318396E-2</v>
      </c>
      <c r="M323" s="832"/>
      <c r="N323" s="832"/>
      <c r="O323" s="48">
        <f>IF(t&lt;Tnet,'2027'!Resal+('2027'!Salim-'2027'!Resal)*(1-EXP(('2027'!Tnet-t)/('2027'!Tau_j))),Resal+(Salim-Resal)*(1-EXP((Tnet-t)/(Tau_j))))*Salcycl</f>
        <v>5.0887371351038373E-2</v>
      </c>
      <c r="P323" s="169">
        <f>(INDEX(Models!$BJ323:$BT323,,T323)*(1-R323)+INDEX(Models!$BJ323:$BT323,,T323+1)*R323-ERP_i)*Q323*Ramure*Pc/MaxiM</f>
        <v>1.6827177140817506E-2</v>
      </c>
      <c r="Q323" s="304">
        <f t="shared" si="105"/>
        <v>0.7</v>
      </c>
      <c r="R323" s="177">
        <f t="shared" si="106"/>
        <v>0.97816629762380813</v>
      </c>
      <c r="S323" s="799">
        <f t="shared" si="107"/>
        <v>-1</v>
      </c>
      <c r="T323" s="176">
        <f t="shared" si="108"/>
        <v>5</v>
      </c>
      <c r="U323" s="250">
        <f t="shared" si="109"/>
        <v>-2.1833702376191866E-2</v>
      </c>
      <c r="V323" s="382">
        <f t="shared" si="110"/>
        <v>30.367369161905927</v>
      </c>
      <c r="W323" s="400">
        <f t="shared" si="111"/>
        <v>29.713932676350893</v>
      </c>
      <c r="X323" s="157">
        <f t="shared" si="112"/>
        <v>47061</v>
      </c>
      <c r="Y323" s="383">
        <f t="shared" si="113"/>
        <v>27.046421797626603</v>
      </c>
      <c r="Z323" s="383">
        <f t="shared" si="114"/>
        <v>28.970563013404352</v>
      </c>
      <c r="AA323" s="384">
        <f t="shared" si="115"/>
        <v>31.433830291963428</v>
      </c>
      <c r="AB323" s="197">
        <f t="shared" si="116"/>
        <v>47061</v>
      </c>
      <c r="AC323" s="119">
        <f>IF(OR(t&lt;Tnet,NoTnet),'2027'!Resal_s+('2027'!Salim-'2027'!Resal_s)*(1-EXP(('2027'!Tnet_s-t)/'2027'!Tau_j)),Resal_s+(Salim-Resal_s)*(1-EXP((Tnet_s-t)/Tau_j)))*Salcycl</f>
        <v>7.8363573757311109E-2</v>
      </c>
      <c r="AD323" s="230">
        <f>(INDEX(Models!$BJ323:$BT323,,AH323)*(1-AF323)+INDEX(Models!$BJ323:$BT323,,AH323+1)*AF323-ERP_i)*AE323*Ramure*Pc/MaxiM</f>
        <v>8.0396683166314847E-2</v>
      </c>
      <c r="AE323" s="304">
        <f t="shared" si="117"/>
        <v>0.7</v>
      </c>
      <c r="AF323" s="177">
        <f t="shared" si="118"/>
        <v>0.73382412846315903</v>
      </c>
      <c r="AG323" s="799">
        <f t="shared" si="124"/>
        <v>2</v>
      </c>
      <c r="AH323" s="176">
        <f t="shared" si="119"/>
        <v>8</v>
      </c>
      <c r="AI323" s="224">
        <f t="shared" si="120"/>
        <v>2.733824128463159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47062</v>
      </c>
      <c r="B324" s="409">
        <f>'2027'!Wh/'2027'!Env_an*'2028'!Env_an</f>
        <v>30.741013294990456</v>
      </c>
      <c r="C324" s="829"/>
      <c r="D324" s="391">
        <f t="shared" si="102"/>
        <v>32.928626847479542</v>
      </c>
      <c r="E324" s="383">
        <f t="shared" si="125"/>
        <v>34.694862303149513</v>
      </c>
      <c r="F324" s="383">
        <f t="shared" si="103"/>
        <v>35.29257127323325</v>
      </c>
      <c r="G324" s="110">
        <f t="shared" si="126"/>
        <v>1.0203101945035626</v>
      </c>
      <c r="H324" s="412" t="b">
        <f>Wh_hp&gt;='2027'!Maxi_hp</f>
        <v>1</v>
      </c>
      <c r="I324" s="388">
        <f>IF(H324,Wh_hp,'2027'!Maxi_hp)</f>
        <v>35.29257127323325</v>
      </c>
      <c r="J324" s="85">
        <f>IF(H324,An,'2027'!An_max)</f>
        <v>2028</v>
      </c>
      <c r="K324" s="197">
        <f t="shared" si="104"/>
        <v>47062</v>
      </c>
      <c r="L324" s="147">
        <f>IF(t&lt;Tvie,1-EXP((T0-t)*PertePVj)+'2027'!Pspv,1-EXP((T0-t)*PertePVj)+Pspv)</f>
        <v>6.6435006920324557E-2</v>
      </c>
      <c r="M324" s="832"/>
      <c r="N324" s="832"/>
      <c r="O324" s="48">
        <f>IF(t&lt;Tnet,'2027'!Resal+('2027'!Salim-'2027'!Resal)*(1-EXP(('2027'!Tnet-t)/('2027'!Tau_j))),Resal+(Salim-Resal)*(1-EXP((Tnet-t)/(Tau_j))))*Salcycl</f>
        <v>5.0907694638973586E-2</v>
      </c>
      <c r="P324" s="169">
        <f>(INDEX(Models!$BJ324:$BT324,,T324)*(1-R324)+INDEX(Models!$BJ324:$BT324,,T324+1)*R324-ERP_i)*Q324*Ramure*Pc/MaxiM</f>
        <v>1.6935829510870852E-2</v>
      </c>
      <c r="Q324" s="304">
        <f t="shared" si="105"/>
        <v>0.7</v>
      </c>
      <c r="R324" s="177">
        <f t="shared" si="106"/>
        <v>0.97820296751538349</v>
      </c>
      <c r="S324" s="799">
        <f t="shared" si="107"/>
        <v>-1</v>
      </c>
      <c r="T324" s="176">
        <f t="shared" si="108"/>
        <v>5</v>
      </c>
      <c r="U324" s="250">
        <f t="shared" si="109"/>
        <v>-2.1797032484616508E-2</v>
      </c>
      <c r="V324" s="382">
        <f t="shared" si="110"/>
        <v>30.129085704125171</v>
      </c>
      <c r="W324" s="400">
        <f t="shared" si="111"/>
        <v>30.741013294990456</v>
      </c>
      <c r="X324" s="157">
        <f t="shared" si="112"/>
        <v>47062</v>
      </c>
      <c r="Y324" s="383">
        <f t="shared" si="113"/>
        <v>27.912758114346577</v>
      </c>
      <c r="Z324" s="383">
        <f t="shared" si="114"/>
        <v>29.899105387689225</v>
      </c>
      <c r="AA324" s="384">
        <f t="shared" si="115"/>
        <v>32.440227129807575</v>
      </c>
      <c r="AB324" s="197">
        <f t="shared" si="116"/>
        <v>47062</v>
      </c>
      <c r="AC324" s="119">
        <f>IF(OR(t&lt;Tnet,NoTnet),'2027'!Resal_s+('2027'!Salim-'2027'!Resal_s)*(1-EXP(('2027'!Tnet_s-t)/'2027'!Tau_j)),Resal_s+(Salim-Resal_s)*(1-EXP((Tnet_s-t)/Tau_j)))*Salcycl</f>
        <v>7.8332427573648181E-2</v>
      </c>
      <c r="AD324" s="230">
        <f>(INDEX(Models!$BJ324:$BT324,,AH324)*(1-AF324)+INDEX(Models!$BJ324:$BT324,,AH324+1)*AF324-ERP_i)*AE324*Ramure*Pc/MaxiM</f>
        <v>8.0819958436662925E-2</v>
      </c>
      <c r="AE324" s="304">
        <f t="shared" si="117"/>
        <v>0.7</v>
      </c>
      <c r="AF324" s="177">
        <f t="shared" si="118"/>
        <v>0.73386079835473428</v>
      </c>
      <c r="AG324" s="799">
        <f t="shared" si="124"/>
        <v>2</v>
      </c>
      <c r="AH324" s="176">
        <f t="shared" si="119"/>
        <v>8</v>
      </c>
      <c r="AI324" s="224">
        <f t="shared" si="120"/>
        <v>2.7338607983547343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47063</v>
      </c>
      <c r="B325" s="409">
        <f>'2027'!Wh/'2027'!Env_an*'2028'!Env_an</f>
        <v>30.839645912079288</v>
      </c>
      <c r="C325" s="829"/>
      <c r="D325" s="391">
        <f t="shared" si="102"/>
        <v>33.034911534598137</v>
      </c>
      <c r="E325" s="383">
        <f t="shared" si="125"/>
        <v>34.80759688149007</v>
      </c>
      <c r="F325" s="383">
        <f t="shared" si="103"/>
        <v>35.409981593380152</v>
      </c>
      <c r="G325" s="110">
        <f t="shared" si="126"/>
        <v>1.0316720956581413</v>
      </c>
      <c r="H325" s="412" t="b">
        <f>Wh_hp&gt;='2027'!Maxi_hp</f>
        <v>1</v>
      </c>
      <c r="I325" s="388">
        <f>IF(H325,Wh_hp,'2027'!Maxi_hp)</f>
        <v>35.409981593380152</v>
      </c>
      <c r="J325" s="85">
        <f>IF(H325,An,'2027'!An_max)</f>
        <v>2028</v>
      </c>
      <c r="K325" s="197">
        <f t="shared" si="104"/>
        <v>47063</v>
      </c>
      <c r="L325" s="147">
        <f>IF(t&lt;Tvie,1-EXP((T0-t)*PertePVj)+'2027'!Pspv,1-EXP((T0-t)*PertePVj)+Pspv)</f>
        <v>6.6452898480436562E-2</v>
      </c>
      <c r="M325" s="832"/>
      <c r="N325" s="832"/>
      <c r="O325" s="48">
        <f>IF(t&lt;Tnet,'2027'!Resal+('2027'!Salim-'2027'!Resal)*(1-EXP(('2027'!Tnet-t)/('2027'!Tau_j))),Resal+(Salim-Resal)*(1-EXP((Tnet-t)/(Tau_j))))*Salcycl</f>
        <v>5.0928116437552871E-2</v>
      </c>
      <c r="P325" s="169">
        <f>(INDEX(Models!$BJ325:$BT325,,T325)*(1-R325)+INDEX(Models!$BJ325:$BT325,,T325+1)*R325-ERP_i)*Q325*Ramure*Pc/MaxiM</f>
        <v>1.7011720559682315E-2</v>
      </c>
      <c r="Q325" s="304">
        <f t="shared" si="105"/>
        <v>0.7</v>
      </c>
      <c r="R325" s="177">
        <f t="shared" si="106"/>
        <v>0.97823816729752044</v>
      </c>
      <c r="S325" s="799">
        <f t="shared" si="107"/>
        <v>-1</v>
      </c>
      <c r="T325" s="176">
        <f t="shared" si="108"/>
        <v>5</v>
      </c>
      <c r="U325" s="250">
        <f t="shared" si="109"/>
        <v>-2.1761832702479611E-2</v>
      </c>
      <c r="V325" s="382">
        <f t="shared" si="110"/>
        <v>29.892875887474261</v>
      </c>
      <c r="W325" s="400">
        <f t="shared" si="111"/>
        <v>30.839645912079288</v>
      </c>
      <c r="X325" s="157">
        <f t="shared" si="112"/>
        <v>47063</v>
      </c>
      <c r="Y325" s="383">
        <f t="shared" si="113"/>
        <v>27.991329601176073</v>
      </c>
      <c r="Z325" s="383">
        <f t="shared" si="114"/>
        <v>29.983842867289418</v>
      </c>
      <c r="AA325" s="384">
        <f t="shared" si="115"/>
        <v>32.531078114593619</v>
      </c>
      <c r="AB325" s="197">
        <f t="shared" si="116"/>
        <v>47063</v>
      </c>
      <c r="AC325" s="119">
        <f>IF(OR(t&lt;Tnet,NoTnet),'2027'!Resal_s+('2027'!Salim-'2027'!Resal_s)*(1-EXP(('2027'!Tnet_s-t)/'2027'!Tau_j)),Resal_s+(Salim-Resal_s)*(1-EXP((Tnet_s-t)/Tau_j)))*Salcycl</f>
        <v>7.8301593274324816E-2</v>
      </c>
      <c r="AD325" s="230">
        <f>(INDEX(Models!$BJ325:$BT325,,AH325)*(1-AF325)+INDEX(Models!$BJ325:$BT325,,AH325+1)*AF325-ERP_i)*AE325*Ramure*Pc/MaxiM</f>
        <v>8.1302032625872461E-2</v>
      </c>
      <c r="AE325" s="304">
        <f t="shared" si="117"/>
        <v>0.7</v>
      </c>
      <c r="AF325" s="177">
        <f t="shared" si="118"/>
        <v>0.73389599813687134</v>
      </c>
      <c r="AG325" s="799">
        <f t="shared" si="124"/>
        <v>2</v>
      </c>
      <c r="AH325" s="176">
        <f t="shared" si="119"/>
        <v>8</v>
      </c>
      <c r="AI325" s="224">
        <f t="shared" si="120"/>
        <v>2.7338959981368713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47064</v>
      </c>
      <c r="B326" s="409">
        <f>'2027'!Wh/'2027'!Env_an*'2028'!Env_an</f>
        <v>19.965978212438959</v>
      </c>
      <c r="C326" s="829"/>
      <c r="D326" s="391">
        <f t="shared" si="102"/>
        <v>21.387630930126591</v>
      </c>
      <c r="E326" s="383">
        <f t="shared" si="125"/>
        <v>22.535800440160024</v>
      </c>
      <c r="F326" s="383">
        <f t="shared" si="103"/>
        <v>22.742582790588745</v>
      </c>
      <c r="G326" s="110">
        <f t="shared" si="126"/>
        <v>0.66778358178146768</v>
      </c>
      <c r="H326" s="412" t="b">
        <f>Wh_hp&gt;='2027'!Maxi_hp</f>
        <v>0</v>
      </c>
      <c r="I326" s="388">
        <f>IF(H326,Wh_hp,'2027'!Maxi_hp)</f>
        <v>29.721733914268235</v>
      </c>
      <c r="J326" s="85">
        <f>IF(H326,An,'2027'!An_max)</f>
        <v>2021</v>
      </c>
      <c r="K326" s="197">
        <f t="shared" si="104"/>
        <v>47064</v>
      </c>
      <c r="L326" s="147">
        <f>IF(t&lt;Tvie,1-EXP((T0-t)*PertePVj)+'2027'!Pspv,1-EXP((T0-t)*PertePVj)+Pspv)</f>
        <v>6.6470789697660848E-2</v>
      </c>
      <c r="M326" s="832"/>
      <c r="N326" s="832"/>
      <c r="O326" s="48">
        <f>IF(t&lt;Tnet,'2027'!Resal+('2027'!Salim-'2027'!Resal)*(1-EXP(('2027'!Tnet-t)/('2027'!Tau_j))),Resal+(Salim-Resal)*(1-EXP((Tnet-t)/(Tau_j))))*Salcycl</f>
        <v>5.0948689978073024E-2</v>
      </c>
      <c r="P326" s="169">
        <f>(INDEX(Models!$BJ326:$BT326,,T326)*(1-R326)+INDEX(Models!$BJ326:$BT326,,T326+1)*R326-ERP_i)*Q326*Ramure*Pc/MaxiM</f>
        <v>1.7054477287410313E-2</v>
      </c>
      <c r="Q326" s="304">
        <f t="shared" si="105"/>
        <v>0.7</v>
      </c>
      <c r="R326" s="177">
        <f t="shared" si="106"/>
        <v>0.97827195566341318</v>
      </c>
      <c r="S326" s="799">
        <f t="shared" si="107"/>
        <v>-1</v>
      </c>
      <c r="T326" s="176">
        <f t="shared" si="108"/>
        <v>5</v>
      </c>
      <c r="U326" s="250">
        <f t="shared" si="109"/>
        <v>-2.1728044336586816E-2</v>
      </c>
      <c r="V326" s="382">
        <f t="shared" si="110"/>
        <v>29.658630990273124</v>
      </c>
      <c r="W326" s="400">
        <f t="shared" si="111"/>
        <v>19.965978212438959</v>
      </c>
      <c r="X326" s="157">
        <f t="shared" si="112"/>
        <v>47064</v>
      </c>
      <c r="Y326" s="383">
        <f t="shared" si="113"/>
        <v>18.715224740989481</v>
      </c>
      <c r="Z326" s="383">
        <f t="shared" si="114"/>
        <v>20.047819108872062</v>
      </c>
      <c r="AA326" s="384">
        <f t="shared" si="115"/>
        <v>21.750235052033442</v>
      </c>
      <c r="AB326" s="197">
        <f t="shared" si="116"/>
        <v>47064</v>
      </c>
      <c r="AC326" s="119">
        <f>IF(OR(t&lt;Tnet,NoTnet),'2027'!Resal_s+('2027'!Salim-'2027'!Resal_s)*(1-EXP(('2027'!Tnet_s-t)/'2027'!Tau_j)),Resal_s+(Salim-Resal_s)*(1-EXP((Tnet_s-t)/Tau_j)))*Salcycl</f>
        <v>7.8271151511175002E-2</v>
      </c>
      <c r="AD326" s="230">
        <f>(INDEX(Models!$BJ326:$BT326,,AH326)*(1-AF326)+INDEX(Models!$BJ326:$BT326,,AH326+1)*AF326-ERP_i)*AE326*Ramure*Pc/MaxiM</f>
        <v>8.1844373725881811E-2</v>
      </c>
      <c r="AE326" s="304">
        <f t="shared" si="117"/>
        <v>0.7</v>
      </c>
      <c r="AF326" s="177">
        <f t="shared" si="118"/>
        <v>0.73392978650276408</v>
      </c>
      <c r="AG326" s="799">
        <f t="shared" si="124"/>
        <v>2</v>
      </c>
      <c r="AH326" s="176">
        <f t="shared" si="119"/>
        <v>8</v>
      </c>
      <c r="AI326" s="224">
        <f t="shared" si="120"/>
        <v>2.7339297865027641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47065</v>
      </c>
      <c r="B327" s="409">
        <f>'2027'!Wh/'2027'!Env_an*'2028'!Env_an</f>
        <v>11.834780581802383</v>
      </c>
      <c r="C327" s="829"/>
      <c r="D327" s="391">
        <f t="shared" si="102"/>
        <v>12.677704421467627</v>
      </c>
      <c r="E327" s="383">
        <f t="shared" si="125"/>
        <v>13.358584358242645</v>
      </c>
      <c r="F327" s="383">
        <f t="shared" si="103"/>
        <v>13.391942702672781</v>
      </c>
      <c r="G327" s="110">
        <f t="shared" si="126"/>
        <v>0.39630897903610585</v>
      </c>
      <c r="H327" s="412" t="b">
        <f>Wh_hp&gt;='2027'!Maxi_hp</f>
        <v>0</v>
      </c>
      <c r="I327" s="388">
        <f>IF(H327,Wh_hp,'2027'!Maxi_hp)</f>
        <v>28.934926580180637</v>
      </c>
      <c r="J327" s="85">
        <f>IF(H327,An,'2027'!An_max)</f>
        <v>2020</v>
      </c>
      <c r="K327" s="197">
        <f t="shared" si="104"/>
        <v>47065</v>
      </c>
      <c r="L327" s="147">
        <f>IF(t&lt;Tvie,1-EXP((T0-t)*PertePVj)+'2027'!Pspv,1-EXP((T0-t)*PertePVj)+Pspv)</f>
        <v>6.6488680572004077E-2</v>
      </c>
      <c r="M327" s="832"/>
      <c r="N327" s="832"/>
      <c r="O327" s="48">
        <f>IF(t&lt;Tnet,'2027'!Resal+('2027'!Salim-'2027'!Resal)*(1-EXP(('2027'!Tnet-t)/('2027'!Tau_j))),Resal+(Salim-Resal)*(1-EXP((Tnet-t)/(Tau_j))))*Salcycl</f>
        <v>5.0969467910339926E-2</v>
      </c>
      <c r="P327" s="169">
        <f>(INDEX(Models!$BJ327:$BT327,,T327)*(1-R327)+INDEX(Models!$BJ327:$BT327,,T327+1)*R327-ERP_i)*Q327*Ramure*Pc/MaxiM</f>
        <v>1.7063717034984285E-2</v>
      </c>
      <c r="Q327" s="304">
        <f t="shared" si="105"/>
        <v>0.7</v>
      </c>
      <c r="R327" s="177">
        <f t="shared" si="106"/>
        <v>0.97830438898218874</v>
      </c>
      <c r="S327" s="799">
        <f t="shared" si="107"/>
        <v>-1</v>
      </c>
      <c r="T327" s="176">
        <f t="shared" si="108"/>
        <v>5</v>
      </c>
      <c r="U327" s="250">
        <f t="shared" si="109"/>
        <v>-2.16956110178112E-2</v>
      </c>
      <c r="V327" s="382">
        <f t="shared" si="110"/>
        <v>29.426242521434812</v>
      </c>
      <c r="W327" s="400">
        <f t="shared" si="111"/>
        <v>11.834780581802383</v>
      </c>
      <c r="X327" s="157">
        <f t="shared" si="112"/>
        <v>47065</v>
      </c>
      <c r="Y327" s="383">
        <f t="shared" si="113"/>
        <v>11.384703914044973</v>
      </c>
      <c r="Z327" s="383">
        <f t="shared" si="114"/>
        <v>12.195571362777786</v>
      </c>
      <c r="AA327" s="384">
        <f t="shared" si="115"/>
        <v>13.230761802192424</v>
      </c>
      <c r="AB327" s="197">
        <f t="shared" si="116"/>
        <v>47065</v>
      </c>
      <c r="AC327" s="119">
        <f>IF(OR(t&lt;Tnet,NoTnet),'2027'!Resal_s+('2027'!Salim-'2027'!Resal_s)*(1-EXP(('2027'!Tnet_s-t)/'2027'!Tau_j)),Resal_s+(Salim-Resal_s)*(1-EXP((Tnet_s-t)/Tau_j)))*Salcycl</f>
        <v>7.8241181792200395E-2</v>
      </c>
      <c r="AD327" s="230">
        <f>(INDEX(Models!$BJ327:$BT327,,AH327)*(1-AF327)+INDEX(Models!$BJ327:$BT327,,AH327+1)*AF327-ERP_i)*AE327*Ramure*Pc/MaxiM</f>
        <v>8.2448494498909786E-2</v>
      </c>
      <c r="AE327" s="304">
        <f t="shared" si="117"/>
        <v>0.7</v>
      </c>
      <c r="AF327" s="177">
        <f t="shared" si="118"/>
        <v>0.73396221982153964</v>
      </c>
      <c r="AG327" s="799">
        <f t="shared" si="124"/>
        <v>2</v>
      </c>
      <c r="AH327" s="176">
        <f t="shared" si="119"/>
        <v>8</v>
      </c>
      <c r="AI327" s="224">
        <f t="shared" si="120"/>
        <v>2.7339622198215396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47066</v>
      </c>
      <c r="B328" s="409">
        <f>'2027'!Wh/'2027'!Env_an*'2028'!Env_an</f>
        <v>20.659837213345259</v>
      </c>
      <c r="C328" s="829"/>
      <c r="D328" s="391">
        <f t="shared" si="102"/>
        <v>22.131743592204</v>
      </c>
      <c r="E328" s="383">
        <f t="shared" si="125"/>
        <v>23.320887346454768</v>
      </c>
      <c r="F328" s="383">
        <f t="shared" si="103"/>
        <v>23.554606756257453</v>
      </c>
      <c r="G328" s="110">
        <f t="shared" si="126"/>
        <v>0.70254882370297678</v>
      </c>
      <c r="H328" s="412" t="b">
        <f>Wh_hp&gt;='2027'!Maxi_hp</f>
        <v>0</v>
      </c>
      <c r="I328" s="388">
        <f>IF(H328,Wh_hp,'2027'!Maxi_hp)</f>
        <v>23.675364749287397</v>
      </c>
      <c r="J328" s="85">
        <f>IF(H328,An,'2027'!An_max)</f>
        <v>2026</v>
      </c>
      <c r="K328" s="197">
        <f t="shared" si="104"/>
        <v>47066</v>
      </c>
      <c r="L328" s="147">
        <f>IF(t&lt;Tvie,1-EXP((T0-t)*PertePVj)+'2027'!Pspv,1-EXP((T0-t)*PertePVj)+Pspv)</f>
        <v>6.6506571103472689E-2</v>
      </c>
      <c r="M328" s="832"/>
      <c r="N328" s="832"/>
      <c r="O328" s="48">
        <f>IF(t&lt;Tnet,'2027'!Resal+('2027'!Salim-'2027'!Resal)*(1-EXP(('2027'!Tnet-t)/('2027'!Tau_j))),Resal+(Salim-Resal)*(1-EXP((Tnet-t)/(Tau_j))))*Salcycl</f>
        <v>5.0990502058728113E-2</v>
      </c>
      <c r="P328" s="169">
        <f>(INDEX(Models!$BJ328:$BT328,,T328)*(1-R328)+INDEX(Models!$BJ328:$BT328,,T328+1)*R328-ERP_i)*Q328*Ramure*Pc/MaxiM</f>
        <v>1.7039044390416095E-2</v>
      </c>
      <c r="Q328" s="304">
        <f t="shared" si="105"/>
        <v>0.7</v>
      </c>
      <c r="R328" s="177">
        <f t="shared" si="106"/>
        <v>0.97833552138941693</v>
      </c>
      <c r="S328" s="799">
        <f t="shared" si="107"/>
        <v>-1</v>
      </c>
      <c r="T328" s="176">
        <f t="shared" si="108"/>
        <v>5</v>
      </c>
      <c r="U328" s="250">
        <f t="shared" si="109"/>
        <v>-2.1664478610583071E-2</v>
      </c>
      <c r="V328" s="382">
        <f t="shared" si="110"/>
        <v>29.195602278378445</v>
      </c>
      <c r="W328" s="400">
        <f t="shared" si="111"/>
        <v>20.659837213345259</v>
      </c>
      <c r="X328" s="157">
        <f t="shared" si="112"/>
        <v>47066</v>
      </c>
      <c r="Y328" s="383">
        <f t="shared" si="113"/>
        <v>19.287328227773372</v>
      </c>
      <c r="Z328" s="383">
        <f t="shared" si="114"/>
        <v>20.661450451314604</v>
      </c>
      <c r="AA328" s="384">
        <f t="shared" si="115"/>
        <v>22.41453036836003</v>
      </c>
      <c r="AB328" s="197">
        <f t="shared" si="116"/>
        <v>47066</v>
      </c>
      <c r="AC328" s="119">
        <f>IF(OR(t&lt;Tnet,NoTnet),'2027'!Resal_s+('2027'!Salim-'2027'!Resal_s)*(1-EXP(('2027'!Tnet_s-t)/'2027'!Tau_j)),Resal_s+(Salim-Resal_s)*(1-EXP((Tnet_s-t)/Tau_j)))*Salcycl</f>
        <v>7.8211762113028396E-2</v>
      </c>
      <c r="AD328" s="230">
        <f>(INDEX(Models!$BJ328:$BT328,,AH328)*(1-AF328)+INDEX(Models!$BJ328:$BT328,,AH328+1)*AF328-ERP_i)*AE328*Ramure*Pc/MaxiM</f>
        <v>8.3115956001469371E-2</v>
      </c>
      <c r="AE328" s="304">
        <f t="shared" si="117"/>
        <v>0.7</v>
      </c>
      <c r="AF328" s="177">
        <f t="shared" si="118"/>
        <v>0.73399335222876783</v>
      </c>
      <c r="AG328" s="799">
        <f t="shared" si="124"/>
        <v>2</v>
      </c>
      <c r="AH328" s="176">
        <f t="shared" si="119"/>
        <v>8</v>
      </c>
      <c r="AI328" s="224">
        <f t="shared" si="120"/>
        <v>2.7339933522287678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47067</v>
      </c>
      <c r="B329" s="409">
        <f>'2027'!Wh/'2027'!Env_an*'2028'!Env_an</f>
        <v>28.037663364150244</v>
      </c>
      <c r="C329" s="829"/>
      <c r="D329" s="391">
        <f t="shared" si="102"/>
        <v>30.035777266278103</v>
      </c>
      <c r="E329" s="383">
        <f t="shared" si="125"/>
        <v>31.650318342199093</v>
      </c>
      <c r="F329" s="383">
        <f t="shared" si="103"/>
        <v>32.171566432908932</v>
      </c>
      <c r="G329" s="110">
        <f t="shared" si="126"/>
        <v>0.96716532144266754</v>
      </c>
      <c r="H329" s="412" t="b">
        <f>Wh_hp&gt;='2027'!Maxi_hp</f>
        <v>0</v>
      </c>
      <c r="I329" s="388">
        <f>IF(H329,Wh_hp,'2027'!Maxi_hp)</f>
        <v>32.189581326122102</v>
      </c>
      <c r="J329" s="85">
        <f>IF(H329,An,'2027'!An_max)</f>
        <v>2026</v>
      </c>
      <c r="K329" s="197">
        <f t="shared" si="104"/>
        <v>47067</v>
      </c>
      <c r="L329" s="147">
        <f>IF(t&lt;Tvie,1-EXP((T0-t)*PertePVj)+'2027'!Pspv,1-EXP((T0-t)*PertePVj)+Pspv)</f>
        <v>6.6524461292073456E-2</v>
      </c>
      <c r="M329" s="832"/>
      <c r="N329" s="832"/>
      <c r="O329" s="48">
        <f>IF(t&lt;Tnet,'2027'!Resal+('2027'!Salim-'2027'!Resal)*(1-EXP(('2027'!Tnet-t)/('2027'!Tau_j))),Resal+(Salim-Resal)*(1-EXP((Tnet-t)/(Tau_j))))*Salcycl</f>
        <v>5.1011843181631995E-2</v>
      </c>
      <c r="P329" s="169">
        <f>(INDEX(Models!$BJ329:$BT329,,T329)*(1-R329)+INDEX(Models!$BJ329:$BT329,,T329+1)*R329-ERP_i)*Q329*Ramure*Pc/MaxiM</f>
        <v>1.6980047981651435E-2</v>
      </c>
      <c r="Q329" s="304">
        <f t="shared" si="105"/>
        <v>0.7</v>
      </c>
      <c r="R329" s="177">
        <f t="shared" si="106"/>
        <v>0.97836540487421464</v>
      </c>
      <c r="S329" s="799">
        <f t="shared" si="107"/>
        <v>-1</v>
      </c>
      <c r="T329" s="176">
        <f t="shared" si="108"/>
        <v>5</v>
      </c>
      <c r="U329" s="250">
        <f t="shared" si="109"/>
        <v>-2.1634595125785361E-2</v>
      </c>
      <c r="V329" s="382">
        <f t="shared" si="110"/>
        <v>28.96660240323488</v>
      </c>
      <c r="W329" s="400">
        <f t="shared" si="111"/>
        <v>28.037663364150244</v>
      </c>
      <c r="X329" s="157">
        <f t="shared" si="112"/>
        <v>47067</v>
      </c>
      <c r="Y329" s="383">
        <f t="shared" si="113"/>
        <v>25.468560541786129</v>
      </c>
      <c r="Z329" s="383">
        <f t="shared" si="114"/>
        <v>27.283586431240103</v>
      </c>
      <c r="AA329" s="384">
        <f t="shared" si="115"/>
        <v>29.597615906123668</v>
      </c>
      <c r="AB329" s="197">
        <f t="shared" si="116"/>
        <v>47067</v>
      </c>
      <c r="AC329" s="119">
        <f>IF(OR(t&lt;Tnet,NoTnet),'2027'!Resal_s+('2027'!Salim-'2027'!Resal_s)*(1-EXP(('2027'!Tnet_s-t)/'2027'!Tau_j)),Resal_s+(Salim-Resal_s)*(1-EXP((Tnet_s-t)/Tau_j)))*Salcycl</f>
        <v>7.8182968595277944E-2</v>
      </c>
      <c r="AD329" s="230">
        <f>(INDEX(Models!$BJ329:$BT329,,AH329)*(1-AF329)+INDEX(Models!$BJ329:$BT329,,AH329+1)*AF329-ERP_i)*AE329*Ramure*Pc/MaxiM</f>
        <v>8.3848371296078694E-2</v>
      </c>
      <c r="AE329" s="304">
        <f t="shared" si="117"/>
        <v>0.7</v>
      </c>
      <c r="AF329" s="177">
        <f t="shared" si="118"/>
        <v>0.7340232357135652</v>
      </c>
      <c r="AG329" s="799">
        <f t="shared" si="124"/>
        <v>2</v>
      </c>
      <c r="AH329" s="176">
        <f t="shared" si="119"/>
        <v>8</v>
      </c>
      <c r="AI329" s="224">
        <f t="shared" si="120"/>
        <v>2.7340232357135652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47068</v>
      </c>
      <c r="B330" s="409">
        <f>'2027'!Wh/'2027'!Env_an*'2028'!Env_an</f>
        <v>27.808898961634675</v>
      </c>
      <c r="C330" s="829"/>
      <c r="D330" s="391">
        <f t="shared" si="102"/>
        <v>29.791280831574497</v>
      </c>
      <c r="E330" s="383">
        <f t="shared" si="125"/>
        <v>31.393397038163602</v>
      </c>
      <c r="F330" s="383">
        <f t="shared" si="103"/>
        <v>31.90727869280396</v>
      </c>
      <c r="G330" s="110">
        <f t="shared" si="126"/>
        <v>0.96686379398915101</v>
      </c>
      <c r="H330" s="412" t="b">
        <f>Wh_hp&gt;='2027'!Maxi_hp</f>
        <v>0</v>
      </c>
      <c r="I330" s="388">
        <f>IF(H330,Wh_hp,'2027'!Maxi_hp)</f>
        <v>33.228636444643307</v>
      </c>
      <c r="J330" s="85">
        <f>IF(H330,An,'2027'!An_max)</f>
        <v>2020</v>
      </c>
      <c r="K330" s="197">
        <f t="shared" si="104"/>
        <v>47068</v>
      </c>
      <c r="L330" s="147">
        <f>IF(t&lt;Tvie,1-EXP((T0-t)*PertePVj)+'2027'!Pspv,1-EXP((T0-t)*PertePVj)+Pspv)</f>
        <v>6.6542351137812816E-2</v>
      </c>
      <c r="M330" s="832"/>
      <c r="N330" s="832"/>
      <c r="O330" s="48">
        <f>IF(t&lt;Tnet,'2027'!Resal+('2027'!Salim-'2027'!Resal)*(1-EXP(('2027'!Tnet-t)/('2027'!Tau_j))),Resal+(Salim-Resal)*(1-EXP((Tnet-t)/(Tau_j))))*Salcycl</f>
        <v>5.1033540736017791E-2</v>
      </c>
      <c r="P330" s="169">
        <f>(INDEX(Models!$BJ330:$BT330,,T330)*(1-R330)+INDEX(Models!$BJ330:$BT330,,T330+1)*R330-ERP_i)*Q330*Ramure*Pc/MaxiM</f>
        <v>1.6886297170327691E-2</v>
      </c>
      <c r="Q330" s="304">
        <f t="shared" si="105"/>
        <v>0.7</v>
      </c>
      <c r="R330" s="177">
        <f t="shared" si="106"/>
        <v>0.97839408936306516</v>
      </c>
      <c r="S330" s="799">
        <f t="shared" si="107"/>
        <v>-1</v>
      </c>
      <c r="T330" s="176">
        <f t="shared" si="108"/>
        <v>5</v>
      </c>
      <c r="U330" s="250">
        <f t="shared" si="109"/>
        <v>-2.1605910636934789E-2</v>
      </c>
      <c r="V330" s="382">
        <f t="shared" si="110"/>
        <v>28.739135434675433</v>
      </c>
      <c r="W330" s="400">
        <f t="shared" si="111"/>
        <v>27.808898961634675</v>
      </c>
      <c r="X330" s="157">
        <f t="shared" si="112"/>
        <v>47068</v>
      </c>
      <c r="Y330" s="383">
        <f t="shared" si="113"/>
        <v>25.239682411731998</v>
      </c>
      <c r="Z330" s="383">
        <f t="shared" si="114"/>
        <v>27.038915415709777</v>
      </c>
      <c r="AA330" s="384">
        <f t="shared" si="115"/>
        <v>29.331299462750827</v>
      </c>
      <c r="AB330" s="197">
        <f t="shared" si="116"/>
        <v>47068</v>
      </c>
      <c r="AC330" s="119">
        <f>IF(OR(t&lt;Tnet,NoTnet),'2027'!Resal_s+('2027'!Salim-'2027'!Resal_s)*(1-EXP(('2027'!Tnet_s-t)/'2027'!Tau_j)),Resal_s+(Salim-Resal_s)*(1-EXP((Tnet_s-t)/Tau_j)))*Salcycl</f>
        <v>7.8154875134402224E-2</v>
      </c>
      <c r="AD330" s="230">
        <f>(INDEX(Models!$BJ330:$BT330,,AH330)*(1-AF330)+INDEX(Models!$BJ330:$BT330,,AH330+1)*AF330-ERP_i)*AE330*Ramure*Pc/MaxiM</f>
        <v>8.464740936064738E-2</v>
      </c>
      <c r="AE330" s="304">
        <f t="shared" si="117"/>
        <v>0.7</v>
      </c>
      <c r="AF330" s="177">
        <f t="shared" si="118"/>
        <v>0.73405192020241605</v>
      </c>
      <c r="AG330" s="799">
        <f t="shared" si="124"/>
        <v>2</v>
      </c>
      <c r="AH330" s="176">
        <f t="shared" si="119"/>
        <v>8</v>
      </c>
      <c r="AI330" s="224">
        <f t="shared" si="120"/>
        <v>2.7340519202024161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47069</v>
      </c>
      <c r="B331" s="409">
        <f>'2027'!Wh/'2027'!Env_an*'2028'!Env_an</f>
        <v>27.952990416553778</v>
      </c>
      <c r="C331" s="829"/>
      <c r="D331" s="391">
        <f t="shared" si="102"/>
        <v>29.946217885276539</v>
      </c>
      <c r="E331" s="383">
        <f t="shared" si="125"/>
        <v>31.557401288379442</v>
      </c>
      <c r="F331" s="383">
        <f t="shared" si="103"/>
        <v>32.079916008537218</v>
      </c>
      <c r="G331" s="110">
        <f t="shared" si="126"/>
        <v>0.97990848487586946</v>
      </c>
      <c r="H331" s="412" t="b">
        <f>Wh_hp&gt;='2027'!Maxi_hp</f>
        <v>0</v>
      </c>
      <c r="I331" s="388">
        <f>IF(H331,Wh_hp,'2027'!Maxi_hp)</f>
        <v>32.090707243924719</v>
      </c>
      <c r="J331" s="85">
        <f>IF(H331,An,'2027'!An_max)</f>
        <v>2026</v>
      </c>
      <c r="K331" s="197">
        <f t="shared" si="104"/>
        <v>47069</v>
      </c>
      <c r="L331" s="147">
        <f>IF(t&lt;Tvie,1-EXP((T0-t)*PertePVj)+'2027'!Pspv,1-EXP((T0-t)*PertePVj)+Pspv)</f>
        <v>6.6560240640697321E-2</v>
      </c>
      <c r="M331" s="832"/>
      <c r="N331" s="832"/>
      <c r="O331" s="48">
        <f>IF(t&lt;Tnet,'2027'!Resal+('2027'!Salim-'2027'!Resal)*(1-EXP(('2027'!Tnet-t)/('2027'!Tau_j))),Resal+(Salim-Resal)*(1-EXP((Tnet-t)/(Tau_j))))*Salcycl</f>
        <v>5.1055642648756228E-2</v>
      </c>
      <c r="P331" s="169">
        <f>(INDEX(Models!$BJ331:$BT331,,T331)*(1-R331)+INDEX(Models!$BJ331:$BT331,,T331+1)*R331-ERP_i)*Q331*Ramure*Pc/MaxiM</f>
        <v>1.6757681685253656E-2</v>
      </c>
      <c r="Q331" s="304">
        <f t="shared" si="105"/>
        <v>0.7</v>
      </c>
      <c r="R331" s="177">
        <f t="shared" si="106"/>
        <v>0.97842162280046585</v>
      </c>
      <c r="S331" s="799">
        <f t="shared" si="107"/>
        <v>-1</v>
      </c>
      <c r="T331" s="176">
        <f t="shared" si="108"/>
        <v>5</v>
      </c>
      <c r="U331" s="250">
        <f t="shared" si="109"/>
        <v>-2.1578377199534204E-2</v>
      </c>
      <c r="V331" s="382">
        <f t="shared" si="110"/>
        <v>28.512500749486858</v>
      </c>
      <c r="W331" s="400">
        <f t="shared" si="111"/>
        <v>27.952990416553778</v>
      </c>
      <c r="X331" s="157">
        <f t="shared" si="112"/>
        <v>47069</v>
      </c>
      <c r="Y331" s="383">
        <f t="shared" si="113"/>
        <v>25.310645112492942</v>
      </c>
      <c r="Z331" s="383">
        <f t="shared" si="114"/>
        <v>27.115456416668756</v>
      </c>
      <c r="AA331" s="384">
        <f t="shared" si="115"/>
        <v>29.413457910212756</v>
      </c>
      <c r="AB331" s="197">
        <f t="shared" si="116"/>
        <v>47069</v>
      </c>
      <c r="AC331" s="119">
        <f>IF(OR(t&lt;Tnet,NoTnet),'2027'!Resal_s+('2027'!Salim-'2027'!Resal_s)*(1-EXP(('2027'!Tnet_s-t)/'2027'!Tau_j)),Resal_s+(Salim-Resal_s)*(1-EXP((Tnet_s-t)/Tau_j)))*Salcycl</f>
        <v>7.8127553059516436E-2</v>
      </c>
      <c r="AD331" s="230">
        <f>(INDEX(Models!$BJ331:$BT331,,AH331)*(1-AF331)+INDEX(Models!$BJ331:$BT331,,AH331+1)*AF331-ERP_i)*AE331*Ramure*Pc/MaxiM</f>
        <v>8.5516549706571687E-2</v>
      </c>
      <c r="AE331" s="304">
        <f t="shared" si="117"/>
        <v>0.7</v>
      </c>
      <c r="AF331" s="177">
        <f t="shared" si="118"/>
        <v>0.73407945363981675</v>
      </c>
      <c r="AG331" s="799">
        <f t="shared" si="124"/>
        <v>2</v>
      </c>
      <c r="AH331" s="176">
        <f t="shared" si="119"/>
        <v>8</v>
      </c>
      <c r="AI331" s="224">
        <f t="shared" si="120"/>
        <v>2.7340794536398167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47070</v>
      </c>
      <c r="B332" s="409">
        <f>'2027'!Wh/'2027'!Env_an*'2028'!Env_an</f>
        <v>11.872951393525033</v>
      </c>
      <c r="C332" s="829"/>
      <c r="D332" s="391">
        <f t="shared" si="102"/>
        <v>12.719812736967908</v>
      </c>
      <c r="E332" s="383">
        <f t="shared" si="125"/>
        <v>13.404489886561008</v>
      </c>
      <c r="F332" s="383">
        <f t="shared" si="103"/>
        <v>13.442662106863976</v>
      </c>
      <c r="G332" s="110">
        <f t="shared" si="126"/>
        <v>0.41395215809855701</v>
      </c>
      <c r="H332" s="412" t="b">
        <f>Wh_hp&gt;='2027'!Maxi_hp</f>
        <v>0</v>
      </c>
      <c r="I332" s="388">
        <f>IF(H332,Wh_hp,'2027'!Maxi_hp)</f>
        <v>18.993319038472997</v>
      </c>
      <c r="J332" s="85">
        <f>IF(H332,An,'2027'!An_max)</f>
        <v>2020</v>
      </c>
      <c r="K332" s="197">
        <f t="shared" si="104"/>
        <v>47070</v>
      </c>
      <c r="L332" s="147">
        <f>IF(t&lt;Tvie,1-EXP((T0-t)*PertePVj)+'2027'!Pspv,1-EXP((T0-t)*PertePVj)+Pspv)</f>
        <v>6.6578129800733632E-2</v>
      </c>
      <c r="M332" s="832"/>
      <c r="N332" s="832"/>
      <c r="O332" s="48">
        <f>IF(t&lt;Tnet,'2027'!Resal+('2027'!Salim-'2027'!Resal)*(1-EXP(('2027'!Tnet-t)/('2027'!Tau_j))),Resal+(Salim-Resal)*(1-EXP((Tnet-t)/(Tau_j))))*Salcycl</f>
        <v>5.1078195096371334E-2</v>
      </c>
      <c r="P332" s="169">
        <f>(INDEX(Models!$BJ332:$BT332,,T332)*(1-R332)+INDEX(Models!$BJ332:$BT332,,T332+1)*R332-ERP_i)*Q332*Ramure*Pc/MaxiM</f>
        <v>1.6599881628595149E-2</v>
      </c>
      <c r="Q332" s="304">
        <f t="shared" si="105"/>
        <v>0.7</v>
      </c>
      <c r="R332" s="177">
        <f t="shared" si="106"/>
        <v>0.97844805122651513</v>
      </c>
      <c r="S332" s="799">
        <f t="shared" si="107"/>
        <v>-1</v>
      </c>
      <c r="T332" s="176">
        <f t="shared" si="108"/>
        <v>5</v>
      </c>
      <c r="U332" s="250">
        <f t="shared" si="109"/>
        <v>-2.1551948773484875E-2</v>
      </c>
      <c r="V332" s="382">
        <f t="shared" si="110"/>
        <v>28.286146478613343</v>
      </c>
      <c r="W332" s="400">
        <f t="shared" si="111"/>
        <v>11.872951393525033</v>
      </c>
      <c r="X332" s="157">
        <f t="shared" si="112"/>
        <v>47070</v>
      </c>
      <c r="Y332" s="383">
        <f t="shared" si="113"/>
        <v>11.396566121747082</v>
      </c>
      <c r="Z332" s="383">
        <f t="shared" si="114"/>
        <v>12.209448359415608</v>
      </c>
      <c r="AA332" s="384">
        <f t="shared" si="115"/>
        <v>13.243803602323069</v>
      </c>
      <c r="AB332" s="197">
        <f t="shared" si="116"/>
        <v>47070</v>
      </c>
      <c r="AC332" s="119">
        <f>IF(OR(t&lt;Tnet,NoTnet),'2027'!Resal_s+('2027'!Salim-'2027'!Resal_s)*(1-EXP(('2027'!Tnet_s-t)/'2027'!Tau_j)),Resal_s+(Salim-Resal_s)*(1-EXP((Tnet_s-t)/Tau_j)))*Salcycl</f>
        <v>7.8101070807636203E-2</v>
      </c>
      <c r="AD332" s="230">
        <f>(INDEX(Models!$BJ332:$BT332,,AH332)*(1-AF332)+INDEX(Models!$BJ332:$BT332,,AH332+1)*AF332-ERP_i)*AE332*Ramure*Pc/MaxiM</f>
        <v>8.6477223751163956E-2</v>
      </c>
      <c r="AE332" s="304">
        <f t="shared" si="117"/>
        <v>0.7</v>
      </c>
      <c r="AF332" s="177">
        <f t="shared" si="118"/>
        <v>0.73410588206586569</v>
      </c>
      <c r="AG332" s="799">
        <f t="shared" si="124"/>
        <v>2</v>
      </c>
      <c r="AH332" s="176">
        <f t="shared" si="119"/>
        <v>8</v>
      </c>
      <c r="AI332" s="224">
        <f t="shared" si="120"/>
        <v>2.7341058820658657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47071</v>
      </c>
      <c r="B333" s="409">
        <f>'2027'!Wh/'2027'!Env_an*'2028'!Env_an</f>
        <v>12.994548449750283</v>
      </c>
      <c r="C333" s="829"/>
      <c r="D333" s="391">
        <f t="shared" si="102"/>
        <v>13.921676689775341</v>
      </c>
      <c r="E333" s="383">
        <f t="shared" si="125"/>
        <v>14.671403642094564</v>
      </c>
      <c r="F333" s="383">
        <f t="shared" si="103"/>
        <v>14.727833790163324</v>
      </c>
      <c r="G333" s="110">
        <f t="shared" si="126"/>
        <v>0.45724283758216944</v>
      </c>
      <c r="H333" s="412" t="b">
        <f>Wh_hp&gt;='2027'!Maxi_hp</f>
        <v>0</v>
      </c>
      <c r="I333" s="388">
        <f>IF(H333,Wh_hp,'2027'!Maxi_hp)</f>
        <v>31.702886154707713</v>
      </c>
      <c r="J333" s="85">
        <f>IF(H333,An,'2027'!An_max)</f>
        <v>2020</v>
      </c>
      <c r="K333" s="197">
        <f t="shared" si="104"/>
        <v>47071</v>
      </c>
      <c r="L333" s="147">
        <f>IF(t&lt;Tvie,1-EXP((T0-t)*PertePVj)+'2027'!Pspv,1-EXP((T0-t)*PertePVj)+Pspv)</f>
        <v>6.6596018617928299E-2</v>
      </c>
      <c r="M333" s="832"/>
      <c r="N333" s="832"/>
      <c r="O333" s="48">
        <f>IF(t&lt;Tnet,'2027'!Resal+('2027'!Salim-'2027'!Resal)*(1-EXP(('2027'!Tnet-t)/('2027'!Tau_j))),Resal+(Salim-Resal)*(1-EXP((Tnet-t)/(Tau_j))))*Salcycl</f>
        <v>5.1101242294782127E-2</v>
      </c>
      <c r="P333" s="169">
        <f>(INDEX(Models!$BJ333:$BT333,,T333)*(1-R333)+INDEX(Models!$BJ333:$BT333,,T333+1)*R333-ERP_i)*Q333*Ramure*Pc/MaxiM</f>
        <v>1.6443724356498993E-2</v>
      </c>
      <c r="Q333" s="304">
        <f t="shared" si="105"/>
        <v>0.7</v>
      </c>
      <c r="R333" s="177">
        <f t="shared" si="106"/>
        <v>0.97847341885155115</v>
      </c>
      <c r="S333" s="799">
        <f t="shared" si="107"/>
        <v>-1</v>
      </c>
      <c r="T333" s="176">
        <f t="shared" si="108"/>
        <v>5</v>
      </c>
      <c r="U333" s="250">
        <f t="shared" si="109"/>
        <v>-2.1526581148448798E-2</v>
      </c>
      <c r="V333" s="382">
        <f t="shared" si="110"/>
        <v>28.05955013492904</v>
      </c>
      <c r="W333" s="400">
        <f t="shared" si="111"/>
        <v>12.994548449750283</v>
      </c>
      <c r="X333" s="157">
        <f t="shared" si="112"/>
        <v>47071</v>
      </c>
      <c r="Y333" s="383">
        <f t="shared" si="113"/>
        <v>12.41528020215943</v>
      </c>
      <c r="Z333" s="383">
        <f t="shared" si="114"/>
        <v>13.301079114507724</v>
      </c>
      <c r="AA333" s="384">
        <f t="shared" si="115"/>
        <v>14.427514424861203</v>
      </c>
      <c r="AB333" s="197">
        <f t="shared" si="116"/>
        <v>47071</v>
      </c>
      <c r="AC333" s="119">
        <f>IF(OR(t&lt;Tnet,NoTnet),'2027'!Resal_s+('2027'!Salim-'2027'!Resal_s)*(1-EXP(('2027'!Tnet_s-t)/'2027'!Tau_j)),Resal_s+(Salim-Resal_s)*(1-EXP((Tnet_s-t)/Tau_j)))*Salcycl</f>
        <v>7.8075493614647051E-2</v>
      </c>
      <c r="AD333" s="230">
        <f>(INDEX(Models!$BJ333:$BT333,,AH333)*(1-AF333)+INDEX(Models!$BJ333:$BT333,,AH333+1)*AF333-ERP_i)*AE333*Ramure*Pc/MaxiM</f>
        <v>8.7512952401425231E-2</v>
      </c>
      <c r="AE333" s="304">
        <f t="shared" si="117"/>
        <v>0.7</v>
      </c>
      <c r="AF333" s="177">
        <f t="shared" si="118"/>
        <v>0.73413124969090182</v>
      </c>
      <c r="AG333" s="799">
        <f t="shared" si="124"/>
        <v>2</v>
      </c>
      <c r="AH333" s="176">
        <f t="shared" si="119"/>
        <v>8</v>
      </c>
      <c r="AI333" s="224">
        <f t="shared" si="120"/>
        <v>2.7341312496909018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47072</v>
      </c>
      <c r="B334" s="409">
        <f>'2027'!Wh/'2027'!Env_an*'2028'!Env_an</f>
        <v>27.368793579408312</v>
      </c>
      <c r="C334" s="829"/>
      <c r="D334" s="391">
        <f t="shared" si="102"/>
        <v>29.322049886288994</v>
      </c>
      <c r="E334" s="383">
        <f t="shared" si="125"/>
        <v>30.901904380076363</v>
      </c>
      <c r="F334" s="383">
        <f t="shared" si="103"/>
        <v>31.401210147056972</v>
      </c>
      <c r="G334" s="110">
        <f t="shared" si="126"/>
        <v>0.98293046440487031</v>
      </c>
      <c r="H334" s="412" t="b">
        <f>Wh_hp&gt;='2027'!Maxi_hp</f>
        <v>0</v>
      </c>
      <c r="I334" s="388">
        <f>IF(H334,Wh_hp,'2027'!Maxi_hp)</f>
        <v>31.409877016011794</v>
      </c>
      <c r="J334" s="85">
        <f>IF(H334,An,'2027'!An_max)</f>
        <v>2026</v>
      </c>
      <c r="K334" s="197">
        <f t="shared" si="104"/>
        <v>47072</v>
      </c>
      <c r="L334" s="147">
        <f>IF(t&lt;Tvie,1-EXP((T0-t)*PertePVj)+'2027'!Pspv,1-EXP((T0-t)*PertePVj)+Pspv)</f>
        <v>6.6613907092287761E-2</v>
      </c>
      <c r="M334" s="832"/>
      <c r="N334" s="832"/>
      <c r="O334" s="48">
        <f>IF(t&lt;Tnet,'2027'!Resal+('2027'!Salim-'2027'!Resal)*(1-EXP(('2027'!Tnet-t)/('2027'!Tau_j))),Resal+(Salim-Resal)*(1-EXP((Tnet-t)/(Tau_j))))*Salcycl</f>
        <v>5.1124826300542318E-2</v>
      </c>
      <c r="P334" s="169">
        <f>(INDEX(Models!$BJ334:$BT334,,T334)*(1-R334)+INDEX(Models!$BJ334:$BT334,,T334+1)*R334-ERP_i)*Q334*Ramure*Pc/MaxiM</f>
        <v>1.6289027635952344E-2</v>
      </c>
      <c r="Q334" s="304">
        <f t="shared" si="105"/>
        <v>0.7</v>
      </c>
      <c r="R334" s="177">
        <f t="shared" si="106"/>
        <v>0.97849776812794287</v>
      </c>
      <c r="S334" s="799">
        <f t="shared" si="107"/>
        <v>-1</v>
      </c>
      <c r="T334" s="176">
        <f t="shared" si="108"/>
        <v>5</v>
      </c>
      <c r="U334" s="250">
        <f t="shared" si="109"/>
        <v>-2.1502231872057131E-2</v>
      </c>
      <c r="V334" s="382">
        <f t="shared" si="110"/>
        <v>27.833095840141223</v>
      </c>
      <c r="W334" s="400">
        <f t="shared" si="111"/>
        <v>27.368793579408312</v>
      </c>
      <c r="X334" s="157">
        <f t="shared" si="112"/>
        <v>47072</v>
      </c>
      <c r="Y334" s="383">
        <f t="shared" si="113"/>
        <v>24.684104457958476</v>
      </c>
      <c r="Z334" s="383">
        <f t="shared" si="114"/>
        <v>26.445759847419428</v>
      </c>
      <c r="AA334" s="384">
        <f t="shared" si="115"/>
        <v>28.684619754215024</v>
      </c>
      <c r="AB334" s="197">
        <f t="shared" si="116"/>
        <v>47072</v>
      </c>
      <c r="AC334" s="119">
        <f>IF(OR(t&lt;Tnet,NoTnet),'2027'!Resal_s+('2027'!Salim-'2027'!Resal_s)*(1-EXP(('2027'!Tnet_s-t)/'2027'!Tau_j)),Resal_s+(Salim-Resal_s)*(1-EXP((Tnet_s-t)/Tau_j)))*Salcycl</f>
        <v>7.8050883225203274E-2</v>
      </c>
      <c r="AD334" s="230">
        <f>(INDEX(Models!$BJ334:$BT334,,AH334)*(1-AF334)+INDEX(Models!$BJ334:$BT334,,AH334+1)*AF334-ERP_i)*AE334*Ramure*Pc/MaxiM</f>
        <v>8.862428377736703E-2</v>
      </c>
      <c r="AE334" s="304">
        <f t="shared" si="117"/>
        <v>0.7</v>
      </c>
      <c r="AF334" s="177">
        <f t="shared" si="118"/>
        <v>0.73415559896729343</v>
      </c>
      <c r="AG334" s="799">
        <f t="shared" si="124"/>
        <v>2</v>
      </c>
      <c r="AH334" s="176">
        <f t="shared" si="119"/>
        <v>8</v>
      </c>
      <c r="AI334" s="224">
        <f t="shared" si="120"/>
        <v>2.7341555989672934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47073</v>
      </c>
      <c r="B335" s="409">
        <f>'2027'!Wh/'2027'!Env_an*'2028'!Env_an</f>
        <v>12.027283454527112</v>
      </c>
      <c r="C335" s="829"/>
      <c r="D335" s="391">
        <f t="shared" ref="D335:D380" si="127">Wh/(1-Ppv)</f>
        <v>12.88589368373783</v>
      </c>
      <c r="E335" s="383">
        <f t="shared" si="125"/>
        <v>13.580523712168073</v>
      </c>
      <c r="F335" s="383">
        <f t="shared" ref="F335:F380" si="128">Wh_sa/(1-Pvg*MEDIAN((-Sdif+Wh/Env_an)/Csdif,0,1))</f>
        <v>13.623123685242199</v>
      </c>
      <c r="G335" s="110">
        <f t="shared" si="126"/>
        <v>0.4299729304818663</v>
      </c>
      <c r="H335" s="412" t="b">
        <f>Wh_hp&gt;='2027'!Maxi_hp</f>
        <v>0</v>
      </c>
      <c r="I335" s="388">
        <f>IF(H335,Wh_hp,'2027'!Maxi_hp)</f>
        <v>19.304439918384041</v>
      </c>
      <c r="J335" s="85">
        <f>IF(H335,An,'2027'!An_max)</f>
        <v>2020</v>
      </c>
      <c r="K335" s="197">
        <f t="shared" ref="K335:K380" si="129">t</f>
        <v>47073</v>
      </c>
      <c r="L335" s="147">
        <f>IF(t&lt;Tvie,1-EXP((T0-t)*PertePVj)+'2027'!Pspv,1-EXP((T0-t)*PertePVj)+Pspv)</f>
        <v>6.663179522381879E-2</v>
      </c>
      <c r="M335" s="832"/>
      <c r="N335" s="832"/>
      <c r="O335" s="48">
        <f>IF(t&lt;Tnet,'2027'!Resal+('2027'!Salim-'2027'!Resal)*(1-EXP(('2027'!Tnet-t)/('2027'!Tau_j))),Resal+(Salim-Resal)*(1-EXP((Tnet-t)/(Tau_j))))*Salcycl</f>
        <v>5.1148986824996939E-2</v>
      </c>
      <c r="P335" s="169">
        <f>(INDEX(Models!$BJ335:$BT335,,T335)*(1-R335)+INDEX(Models!$BJ335:$BT335,,T335+1)*R335-ERP_i)*Q335*Ramure*Pc/MaxiM</f>
        <v>1.6135605519568972E-2</v>
      </c>
      <c r="Q335" s="304">
        <f t="shared" ref="Q335:Q380" si="130">IF(OR(t&lt;Ttai,Notai),Dd+PousD*Croivg,Dens+PousD*(Croivg-Croi_tai))</f>
        <v>0.7</v>
      </c>
      <c r="R335" s="177">
        <f t="shared" ref="R335:R379" si="131">(Hp_vg-S335)/(INDEX(Echel_vg,T335+1)-S335)</f>
        <v>0.97852113981913824</v>
      </c>
      <c r="S335" s="799">
        <f t="shared" ref="S335:S379" si="132">INDEX(Echel_vg,T335)</f>
        <v>-1</v>
      </c>
      <c r="T335" s="176">
        <f t="shared" ref="T335:T380" si="133">MIN(MATCH(Hp_vg,Echel_vg),10)</f>
        <v>5</v>
      </c>
      <c r="U335" s="250">
        <f t="shared" ref="U335:U380" si="134">IF(OR(t&lt;Ttai,Notai),Hdd+PousH*Croivg,Hdtf+PousH*(Croivg-Croi_tai))</f>
        <v>-2.1478860180861759E-2</v>
      </c>
      <c r="V335" s="382">
        <f t="shared" ref="V335:V380" si="135">MaxiM*(1-Ppv)*(1-Pvg)*(1-Psa)</f>
        <v>27.607167927040372</v>
      </c>
      <c r="W335" s="400">
        <f t="shared" ref="W335:W379" si="136">Wh*(A335&gt;Tmaj)</f>
        <v>12.027283454527112</v>
      </c>
      <c r="X335" s="157">
        <f t="shared" ref="X335:X380" si="137">t</f>
        <v>47073</v>
      </c>
      <c r="Y335" s="383">
        <f t="shared" ref="Y335:Y380" si="138">Wh_pvt_s*(1-Ppv)</f>
        <v>11.519196904086067</v>
      </c>
      <c r="Z335" s="383">
        <f t="shared" ref="Z335:Z380" si="139">Wh_sa_s*(1-Psa_s)</f>
        <v>12.341535575285999</v>
      </c>
      <c r="AA335" s="384">
        <f t="shared" ref="AA335:AA380" si="140">Wh_hp*(1-Pvg_s*MEDIAN((-Sdif+Wh/Env_an)/Csdif,0,1))</f>
        <v>13.386009741368273</v>
      </c>
      <c r="AB335" s="197">
        <f t="shared" ref="AB335:AB380" si="141">t</f>
        <v>47073</v>
      </c>
      <c r="AC335" s="119">
        <f>IF(OR(t&lt;Tnet,NoTnet),'2027'!Resal_s+('2027'!Salim-'2027'!Resal_s)*(1-EXP(('2027'!Tnet_s-t)/'2027'!Tau_j)),Resal_s+(Salim-Resal_s)*(1-EXP((Tnet_s-t)/Tau_j)))*Salcycl</f>
        <v>7.8027297623609201E-2</v>
      </c>
      <c r="AD335" s="230">
        <f>(INDEX(Models!$BJ335:$BT335,,AH335)*(1-AF335)+INDEX(Models!$BJ335:$BT335,,AH335+1)*AF335-ERP_i)*AE335*Ramure*Pc/MaxiM</f>
        <v>8.9811724877892241E-2</v>
      </c>
      <c r="AE335" s="304">
        <f t="shared" ref="AE335:AE380" si="142">IF(OR(t&lt;Ttai,Notai),Dd_s+PousD*Croivg,Dens_s+PousD*(Croivg-Croi_tai))</f>
        <v>0.7</v>
      </c>
      <c r="AF335" s="177">
        <f t="shared" ref="AF335:AF379" si="143">(Hp_vg_s-AG335)/(INDEX(Echel_vg,AH335+1)-AG335)</f>
        <v>0.73417897065848914</v>
      </c>
      <c r="AG335" s="799">
        <f t="shared" si="124"/>
        <v>2</v>
      </c>
      <c r="AH335" s="176">
        <f t="shared" ref="AH335:AH380" si="144">MIN(MATCH(Hp_vg_s,Echel_vg),10)</f>
        <v>8</v>
      </c>
      <c r="AI335" s="224">
        <f t="shared" ref="AI335:AI380" si="145">IF(OR(t&lt;Ttai,Notai),Hdd_s+PousH*Croivg,Hdtai_s+PousH*(Croivg-Croi_tai))</f>
        <v>2.7341789706584891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80" si="148">A335+1</f>
        <v>47074</v>
      </c>
      <c r="B336" s="409">
        <f>'2027'!Wh/'2027'!Env_an*'2028'!Env_an</f>
        <v>13.828608221055847</v>
      </c>
      <c r="C336" s="829"/>
      <c r="D336" s="391">
        <f t="shared" si="127"/>
        <v>14.816096345999805</v>
      </c>
      <c r="E336" s="383">
        <f t="shared" si="125"/>
        <v>15.615184043174992</v>
      </c>
      <c r="F336" s="383">
        <f t="shared" si="128"/>
        <v>15.688627732366145</v>
      </c>
      <c r="G336" s="110">
        <f t="shared" si="126"/>
        <v>0.49928813596044669</v>
      </c>
      <c r="H336" s="412" t="b">
        <f>Wh_hp&gt;='2027'!Maxi_hp</f>
        <v>0</v>
      </c>
      <c r="I336" s="388">
        <f>IF(H336,Wh_hp,'2027'!Maxi_hp)</f>
        <v>28.981060402104621</v>
      </c>
      <c r="J336" s="85">
        <f>IF(H336,An,'2027'!An_max)</f>
        <v>2020</v>
      </c>
      <c r="K336" s="197">
        <f t="shared" si="129"/>
        <v>47074</v>
      </c>
      <c r="L336" s="147">
        <f>IF(t&lt;Tvie,1-EXP((T0-t)*PertePVj)+'2027'!Pspv,1-EXP((T0-t)*PertePVj)+Pspv)</f>
        <v>6.6649683012527827E-2</v>
      </c>
      <c r="M336" s="832"/>
      <c r="N336" s="832"/>
      <c r="O336" s="48">
        <f>IF(t&lt;Tnet,'2027'!Resal+('2027'!Salim-'2027'!Resal)*(1-EXP(('2027'!Tnet-t)/('2027'!Tau_j))),Resal+(Salim-Resal)*(1-EXP((Tnet-t)/(Tau_j))))*Salcycl</f>
        <v>5.1173761062678472E-2</v>
      </c>
      <c r="P336" s="169">
        <f>(INDEX(Models!$BJ336:$BT336,,T336)*(1-R336)+INDEX(Models!$BJ336:$BT336,,T336+1)*R336-ERP_i)*Q336*Ramure*Pc/MaxiM</f>
        <v>1.5983268118567786E-2</v>
      </c>
      <c r="Q336" s="304">
        <f t="shared" si="130"/>
        <v>0.7</v>
      </c>
      <c r="R336" s="177">
        <f t="shared" si="131"/>
        <v>0.97854357306606898</v>
      </c>
      <c r="S336" s="799">
        <f t="shared" si="132"/>
        <v>-1</v>
      </c>
      <c r="T336" s="176">
        <f t="shared" si="133"/>
        <v>5</v>
      </c>
      <c r="U336" s="250">
        <f t="shared" si="134"/>
        <v>-2.1456426933931072E-2</v>
      </c>
      <c r="V336" s="382">
        <f t="shared" si="135"/>
        <v>27.382150937036606</v>
      </c>
      <c r="W336" s="400">
        <f t="shared" si="136"/>
        <v>13.828608221055847</v>
      </c>
      <c r="X336" s="157">
        <f t="shared" si="137"/>
        <v>47074</v>
      </c>
      <c r="Y336" s="383">
        <f t="shared" si="138"/>
        <v>13.140627992625422</v>
      </c>
      <c r="Z336" s="383">
        <f t="shared" si="139"/>
        <v>14.078988085672661</v>
      </c>
      <c r="AA336" s="384">
        <f t="shared" si="140"/>
        <v>15.270131498512962</v>
      </c>
      <c r="AB336" s="197">
        <f t="shared" si="141"/>
        <v>47074</v>
      </c>
      <c r="AC336" s="119">
        <f>IF(OR(t&lt;Tnet,NoTnet),'2027'!Resal_s+('2027'!Salim-'2027'!Resal_s)*(1-EXP(('2027'!Tnet_s-t)/'2027'!Tau_j)),Resal_s+(Salim-Resal_s)*(1-EXP((Tnet_s-t)/Tau_j)))*Salcycl</f>
        <v>7.8004790787577466E-2</v>
      </c>
      <c r="AD336" s="230">
        <f>(INDEX(Models!$BJ336:$BT336,,AH336)*(1-AF336)+INDEX(Models!$BJ336:$BT336,,AH336+1)*AF336-ERP_i)*AE336*Ramure*Pc/MaxiM</f>
        <v>9.1075728710697981E-2</v>
      </c>
      <c r="AE336" s="304">
        <f t="shared" si="142"/>
        <v>0.7</v>
      </c>
      <c r="AF336" s="177">
        <f t="shared" si="143"/>
        <v>0.73420140390541988</v>
      </c>
      <c r="AG336" s="799">
        <f t="shared" ref="AG336:AG379" si="149">INDEX(Echel_vg,AH336)</f>
        <v>2</v>
      </c>
      <c r="AH336" s="176">
        <f t="shared" si="144"/>
        <v>8</v>
      </c>
      <c r="AI336" s="224">
        <f t="shared" si="145"/>
        <v>2.7342014039054199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47075</v>
      </c>
      <c r="B337" s="409">
        <f>'2027'!Wh/'2027'!Env_an*'2028'!Env_an</f>
        <v>5.7893380928171778</v>
      </c>
      <c r="C337" s="829"/>
      <c r="D337" s="391">
        <f t="shared" si="127"/>
        <v>6.2028682488410967</v>
      </c>
      <c r="E337" s="383">
        <f t="shared" si="125"/>
        <v>6.5375873852559252</v>
      </c>
      <c r="F337" s="383">
        <f t="shared" si="128"/>
        <v>6.5375873852559252</v>
      </c>
      <c r="G337" s="110">
        <f t="shared" si="126"/>
        <v>0.20979424827107473</v>
      </c>
      <c r="H337" s="412" t="b">
        <f>Wh_hp&gt;='2027'!Maxi_hp</f>
        <v>0</v>
      </c>
      <c r="I337" s="388">
        <f>IF(H337,Wh_hp,'2027'!Maxi_hp)</f>
        <v>31.083466174894443</v>
      </c>
      <c r="J337" s="85">
        <f>IF(H337,An,'2027'!An_max)</f>
        <v>2020</v>
      </c>
      <c r="K337" s="197">
        <f t="shared" si="129"/>
        <v>47075</v>
      </c>
      <c r="L337" s="147">
        <f>IF(t&lt;Tvie,1-EXP((T0-t)*PertePVj)+'2027'!Pspv,1-EXP((T0-t)*PertePVj)+Pspv)</f>
        <v>6.6667570458421421E-2</v>
      </c>
      <c r="M337" s="832"/>
      <c r="N337" s="832"/>
      <c r="O337" s="48">
        <f>IF(t&lt;Tnet,'2027'!Resal+('2027'!Salim-'2027'!Resal)*(1-EXP(('2027'!Tnet-t)/('2027'!Tau_j))),Resal+(Salim-Resal)*(1-EXP((Tnet-t)/(Tau_j))))*Salcycl</f>
        <v>5.1199183535154451E-2</v>
      </c>
      <c r="P337" s="169">
        <f>(INDEX(Models!$BJ337:$BT337,,T337)*(1-R337)+INDEX(Models!$BJ337:$BT337,,T337+1)*R337-ERP_i)*Q337*Ramure*Pc/MaxiM</f>
        <v>1.5831821457302966E-2</v>
      </c>
      <c r="Q337" s="304">
        <f t="shared" si="130"/>
        <v>0.7</v>
      </c>
      <c r="R337" s="177">
        <f t="shared" si="131"/>
        <v>0.97856510545100539</v>
      </c>
      <c r="S337" s="799">
        <f t="shared" si="132"/>
        <v>-1</v>
      </c>
      <c r="T337" s="176">
        <f t="shared" si="133"/>
        <v>5</v>
      </c>
      <c r="U337" s="250">
        <f t="shared" si="134"/>
        <v>-2.1434894548994665E-2</v>
      </c>
      <c r="V337" s="382">
        <f t="shared" si="135"/>
        <v>27.158429617258953</v>
      </c>
      <c r="W337" s="400">
        <f t="shared" si="136"/>
        <v>5.7893380928171778</v>
      </c>
      <c r="X337" s="157">
        <f t="shared" si="137"/>
        <v>47075</v>
      </c>
      <c r="Y337" s="383">
        <f t="shared" si="138"/>
        <v>5.6259076297014428</v>
      </c>
      <c r="Z337" s="383">
        <f t="shared" si="139"/>
        <v>6.0277640116552034</v>
      </c>
      <c r="AA337" s="384">
        <f t="shared" si="140"/>
        <v>6.5375873852559252</v>
      </c>
      <c r="AB337" s="197">
        <f t="shared" si="141"/>
        <v>47075</v>
      </c>
      <c r="AC337" s="119">
        <f>IF(OR(t&lt;Tnet,NoTnet),'2027'!Resal_s+('2027'!Salim-'2027'!Resal_s)*(1-EXP(('2027'!Tnet_s-t)/'2027'!Tau_j)),Resal_s+(Salim-Resal_s)*(1-EXP((Tnet_s-t)/Tau_j)))*Salcycl</f>
        <v>7.7983412466579846E-2</v>
      </c>
      <c r="AD337" s="230">
        <f>(INDEX(Models!$BJ337:$BT337,,AH337)*(1-AF337)+INDEX(Models!$BJ337:$BT337,,AH337+1)*AF337-ERP_i)*AE337*Ramure*Pc/MaxiM</f>
        <v>9.2416680513999691E-2</v>
      </c>
      <c r="AE337" s="304">
        <f t="shared" si="142"/>
        <v>0.7</v>
      </c>
      <c r="AF337" s="177">
        <f t="shared" si="143"/>
        <v>0.73422293629035629</v>
      </c>
      <c r="AG337" s="799">
        <f t="shared" si="149"/>
        <v>2</v>
      </c>
      <c r="AH337" s="176">
        <f t="shared" si="144"/>
        <v>8</v>
      </c>
      <c r="AI337" s="224">
        <f t="shared" si="145"/>
        <v>2.7342229362903563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47076</v>
      </c>
      <c r="B338" s="409">
        <f>'2027'!Wh/'2027'!Env_an*'2028'!Env_an</f>
        <v>19.206488294381746</v>
      </c>
      <c r="C338" s="829"/>
      <c r="D338" s="391">
        <f t="shared" si="127"/>
        <v>20.578794630372396</v>
      </c>
      <c r="E338" s="383">
        <f t="shared" si="125"/>
        <v>21.689864122283826</v>
      </c>
      <c r="F338" s="383">
        <f t="shared" si="128"/>
        <v>21.892486549905538</v>
      </c>
      <c r="G338" s="110">
        <f t="shared" si="126"/>
        <v>0.70840675019157351</v>
      </c>
      <c r="H338" s="412" t="b">
        <f>Wh_hp&gt;='2027'!Maxi_hp</f>
        <v>0</v>
      </c>
      <c r="I338" s="388">
        <f>IF(H338,Wh_hp,'2027'!Maxi_hp)</f>
        <v>30.262737933685557</v>
      </c>
      <c r="J338" s="85">
        <f>IF(H338,An,'2027'!An_max)</f>
        <v>2018</v>
      </c>
      <c r="K338" s="197">
        <f t="shared" si="129"/>
        <v>47076</v>
      </c>
      <c r="L338" s="147">
        <f>IF(t&lt;Tvie,1-EXP((T0-t)*PertePVj)+'2027'!Pspv,1-EXP((T0-t)*PertePVj)+Pspv)</f>
        <v>6.6685457561506234E-2</v>
      </c>
      <c r="M338" s="832"/>
      <c r="N338" s="832"/>
      <c r="O338" s="48">
        <f>IF(t&lt;Tnet,'2027'!Resal+('2027'!Salim-'2027'!Resal)*(1-EXP(('2027'!Tnet-t)/('2027'!Tau_j))),Resal+(Salim-Resal)*(1-EXP((Tnet-t)/(Tau_j))))*Salcycl</f>
        <v>5.1225285951419848E-2</v>
      </c>
      <c r="P338" s="169">
        <f>(INDEX(Models!$BJ338:$BT338,,T338)*(1-R338)+INDEX(Models!$BJ338:$BT338,,T338+1)*R338-ERP_i)*Q338*Ramure*Pc/MaxiM</f>
        <v>1.5685702447064642E-2</v>
      </c>
      <c r="Q338" s="304">
        <f t="shared" si="130"/>
        <v>0.7</v>
      </c>
      <c r="R338" s="177">
        <f t="shared" si="131"/>
        <v>0.97858577305895666</v>
      </c>
      <c r="S338" s="799">
        <f t="shared" si="132"/>
        <v>-1</v>
      </c>
      <c r="T338" s="176">
        <f t="shared" si="133"/>
        <v>5</v>
      </c>
      <c r="U338" s="250">
        <f t="shared" si="134"/>
        <v>-2.1414226941043391E-2</v>
      </c>
      <c r="V338" s="382">
        <f t="shared" si="135"/>
        <v>26.936262070548125</v>
      </c>
      <c r="W338" s="400">
        <f t="shared" si="136"/>
        <v>19.206488294381746</v>
      </c>
      <c r="X338" s="157">
        <f t="shared" si="137"/>
        <v>47076</v>
      </c>
      <c r="Y338" s="383">
        <f t="shared" si="138"/>
        <v>17.796384976824232</v>
      </c>
      <c r="Z338" s="383">
        <f t="shared" si="139"/>
        <v>19.067939229069744</v>
      </c>
      <c r="AA338" s="384">
        <f t="shared" si="140"/>
        <v>20.680236834612934</v>
      </c>
      <c r="AB338" s="197">
        <f t="shared" si="141"/>
        <v>47076</v>
      </c>
      <c r="AC338" s="119">
        <f>IF(OR(t&lt;Tnet,NoTnet),'2027'!Resal_s+('2027'!Salim-'2027'!Resal_s)*(1-EXP(('2027'!Tnet_s-t)/'2027'!Tau_j)),Resal_s+(Salim-Resal_s)*(1-EXP((Tnet_s-t)/Tau_j)))*Salcycl</f>
        <v>7.7963207986315383E-2</v>
      </c>
      <c r="AD338" s="230">
        <f>(INDEX(Models!$BJ338:$BT338,,AH338)*(1-AF338)+INDEX(Models!$BJ338:$BT338,,AH338+1)*AF338-ERP_i)*AE338*Ramure*Pc/MaxiM</f>
        <v>9.3844440365302317E-2</v>
      </c>
      <c r="AE338" s="304">
        <f t="shared" si="142"/>
        <v>0.7</v>
      </c>
      <c r="AF338" s="177">
        <f t="shared" si="143"/>
        <v>0.73424360389830756</v>
      </c>
      <c r="AG338" s="799">
        <f t="shared" si="149"/>
        <v>2</v>
      </c>
      <c r="AH338" s="176">
        <f t="shared" si="144"/>
        <v>8</v>
      </c>
      <c r="AI338" s="224">
        <f t="shared" si="145"/>
        <v>2.7342436038983076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47077</v>
      </c>
      <c r="B339" s="409">
        <f>'2027'!Wh/'2027'!Env_an*'2028'!Env_an</f>
        <v>3.0948962866514309</v>
      </c>
      <c r="C339" s="829"/>
      <c r="D339" s="391">
        <f t="shared" si="127"/>
        <v>3.3160906211567007</v>
      </c>
      <c r="E339" s="383">
        <f t="shared" si="125"/>
        <v>3.4952284067990012</v>
      </c>
      <c r="F339" s="383">
        <f t="shared" si="128"/>
        <v>3.4952284067990012</v>
      </c>
      <c r="G339" s="110">
        <f t="shared" si="126"/>
        <v>0.11404337668779234</v>
      </c>
      <c r="H339" s="412" t="b">
        <f>Wh_hp&gt;='2027'!Maxi_hp</f>
        <v>0</v>
      </c>
      <c r="I339" s="388">
        <f>IF(H339,Wh_hp,'2027'!Maxi_hp)</f>
        <v>27.490335001003508</v>
      </c>
      <c r="J339" s="85">
        <f>IF(H339,An,'2027'!An_max)</f>
        <v>2018</v>
      </c>
      <c r="K339" s="197">
        <f t="shared" si="129"/>
        <v>47077</v>
      </c>
      <c r="L339" s="147">
        <f>IF(t&lt;Tvie,1-EXP((T0-t)*PertePVj)+'2027'!Pspv,1-EXP((T0-t)*PertePVj)+Pspv)</f>
        <v>6.6703344321788816E-2</v>
      </c>
      <c r="M339" s="832"/>
      <c r="N339" s="832"/>
      <c r="O339" s="48">
        <f>IF(t&lt;Tnet,'2027'!Resal+('2027'!Salim-'2027'!Resal)*(1-EXP(('2027'!Tnet-t)/('2027'!Tau_j))),Resal+(Salim-Resal)*(1-EXP((Tnet-t)/(Tau_j))))*Salcycl</f>
        <v>5.1252097085797664E-2</v>
      </c>
      <c r="P339" s="169">
        <f>(INDEX(Models!$BJ339:$BT339,,T339)*(1-R339)+INDEX(Models!$BJ339:$BT339,,T339+1)*R339-ERP_i)*Q339*Ramure*Pc/MaxiM</f>
        <v>1.5548830358132587E-2</v>
      </c>
      <c r="Q339" s="304">
        <f t="shared" si="130"/>
        <v>0.7</v>
      </c>
      <c r="R339" s="177">
        <f t="shared" si="131"/>
        <v>0.9786056105367047</v>
      </c>
      <c r="S339" s="799">
        <f t="shared" si="132"/>
        <v>-1</v>
      </c>
      <c r="T339" s="176">
        <f t="shared" si="133"/>
        <v>5</v>
      </c>
      <c r="U339" s="250">
        <f t="shared" si="134"/>
        <v>-2.139438946329536E-2</v>
      </c>
      <c r="V339" s="382">
        <f t="shared" si="135"/>
        <v>26.71592474550442</v>
      </c>
      <c r="W339" s="400">
        <f t="shared" si="136"/>
        <v>3.0948962866514309</v>
      </c>
      <c r="X339" s="157">
        <f t="shared" si="137"/>
        <v>47077</v>
      </c>
      <c r="Y339" s="383">
        <f t="shared" si="138"/>
        <v>3.0078243195925665</v>
      </c>
      <c r="Z339" s="383">
        <f t="shared" si="139"/>
        <v>3.222795561617898</v>
      </c>
      <c r="AA339" s="384">
        <f t="shared" si="140"/>
        <v>3.4952284067990012</v>
      </c>
      <c r="AB339" s="197">
        <f t="shared" si="141"/>
        <v>47077</v>
      </c>
      <c r="AC339" s="119">
        <f>IF(OR(t&lt;Tnet,NoTnet),'2027'!Resal_s+('2027'!Salim-'2027'!Resal_s)*(1-EXP(('2027'!Tnet_s-t)/'2027'!Tau_j)),Resal_s+(Salim-Resal_s)*(1-EXP((Tnet_s-t)/Tau_j)))*Salcycl</f>
        <v>7.7944218080615302E-2</v>
      </c>
      <c r="AD339" s="230">
        <f>(INDEX(Models!$BJ339:$BT339,,AH339)*(1-AF339)+INDEX(Models!$BJ339:$BT339,,AH339+1)*AF339-ERP_i)*AE339*Ramure*Pc/MaxiM</f>
        <v>9.5319083317628547E-2</v>
      </c>
      <c r="AE339" s="304">
        <f t="shared" si="142"/>
        <v>0.7</v>
      </c>
      <c r="AF339" s="177">
        <f t="shared" si="143"/>
        <v>0.73426344137605515</v>
      </c>
      <c r="AG339" s="799">
        <f t="shared" si="149"/>
        <v>2</v>
      </c>
      <c r="AH339" s="176">
        <f t="shared" si="144"/>
        <v>8</v>
      </c>
      <c r="AI339" s="224">
        <f t="shared" si="145"/>
        <v>2.7342634413760551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47078</v>
      </c>
      <c r="B340" s="409">
        <f>'2027'!Wh/'2027'!Env_an*'2028'!Env_an</f>
        <v>9.4671840134675271</v>
      </c>
      <c r="C340" s="829"/>
      <c r="D340" s="391">
        <f t="shared" si="127"/>
        <v>10.144004476783227</v>
      </c>
      <c r="E340" s="383">
        <f t="shared" si="125"/>
        <v>10.692301897448793</v>
      </c>
      <c r="F340" s="383">
        <f t="shared" si="128"/>
        <v>10.705811898650012</v>
      </c>
      <c r="G340" s="110">
        <f t="shared" si="126"/>
        <v>0.35221660044282616</v>
      </c>
      <c r="H340" s="412" t="b">
        <f>Wh_hp&gt;='2027'!Maxi_hp</f>
        <v>0</v>
      </c>
      <c r="I340" s="388">
        <f>IF(H340,Wh_hp,'2027'!Maxi_hp)</f>
        <v>31.520653340989391</v>
      </c>
      <c r="J340" s="85">
        <f>IF(H340,An,'2027'!An_max)</f>
        <v>2020</v>
      </c>
      <c r="K340" s="197">
        <f t="shared" si="129"/>
        <v>47078</v>
      </c>
      <c r="L340" s="147">
        <f>IF(t&lt;Tvie,1-EXP((T0-t)*PertePVj)+'2027'!Pspv,1-EXP((T0-t)*PertePVj)+Pspv)</f>
        <v>6.6721230739275716E-2</v>
      </c>
      <c r="M340" s="832"/>
      <c r="N340" s="832"/>
      <c r="O340" s="48">
        <f>IF(t&lt;Tnet,'2027'!Resal+('2027'!Salim-'2027'!Resal)*(1-EXP(('2027'!Tnet-t)/('2027'!Tau_j))),Resal+(Salim-Resal)*(1-EXP((Tnet-t)/(Tau_j))))*Salcycl</f>
        <v>5.1279642674173898E-2</v>
      </c>
      <c r="P340" s="169">
        <f>(INDEX(Models!$BJ340:$BT340,,T340)*(1-R340)+INDEX(Models!$BJ340:$BT340,,T340+1)*R340-ERP_i)*Q340*Ramure*Pc/MaxiM</f>
        <v>1.542115712875832E-2</v>
      </c>
      <c r="Q340" s="304">
        <f t="shared" si="130"/>
        <v>0.7</v>
      </c>
      <c r="R340" s="177">
        <f t="shared" si="131"/>
        <v>0.97862465114955954</v>
      </c>
      <c r="S340" s="799">
        <f t="shared" si="132"/>
        <v>-1</v>
      </c>
      <c r="T340" s="176">
        <f t="shared" si="133"/>
        <v>5</v>
      </c>
      <c r="U340" s="250">
        <f t="shared" si="134"/>
        <v>-2.1375348850440457E-2</v>
      </c>
      <c r="V340" s="382">
        <f t="shared" si="135"/>
        <v>26.497804572628315</v>
      </c>
      <c r="W340" s="400">
        <f t="shared" si="136"/>
        <v>9.4671840134675271</v>
      </c>
      <c r="X340" s="157">
        <f t="shared" si="137"/>
        <v>47078</v>
      </c>
      <c r="Y340" s="383">
        <f t="shared" si="138"/>
        <v>9.1398959447735653</v>
      </c>
      <c r="Z340" s="383">
        <f t="shared" si="139"/>
        <v>9.7933181872480901</v>
      </c>
      <c r="AA340" s="384">
        <f t="shared" si="140"/>
        <v>10.620973232147396</v>
      </c>
      <c r="AB340" s="197">
        <f t="shared" si="141"/>
        <v>47078</v>
      </c>
      <c r="AC340" s="119">
        <f>IF(OR(t&lt;Tnet,NoTnet),'2027'!Resal_s+('2027'!Salim-'2027'!Resal_s)*(1-EXP(('2027'!Tnet_s-t)/'2027'!Tau_j)),Resal_s+(Salim-Resal_s)*(1-EXP((Tnet_s-t)/Tau_j)))*Salcycl</f>
        <v>7.792647875188799E-2</v>
      </c>
      <c r="AD340" s="230">
        <f>(INDEX(Models!$BJ340:$BT340,,AH340)*(1-AF340)+INDEX(Models!$BJ340:$BT340,,AH340+1)*AF340-ERP_i)*AE340*Ramure*Pc/MaxiM</f>
        <v>9.6840139926343771E-2</v>
      </c>
      <c r="AE340" s="304">
        <f t="shared" si="142"/>
        <v>0.7</v>
      </c>
      <c r="AF340" s="177">
        <f t="shared" si="143"/>
        <v>0.73428248198891044</v>
      </c>
      <c r="AG340" s="799">
        <f t="shared" si="149"/>
        <v>2</v>
      </c>
      <c r="AH340" s="176">
        <f t="shared" si="144"/>
        <v>8</v>
      </c>
      <c r="AI340" s="224">
        <f t="shared" si="145"/>
        <v>2.7342824819889104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47079</v>
      </c>
      <c r="B341" s="409">
        <f>'2027'!Wh/'2027'!Env_an*'2028'!Env_an</f>
        <v>12.940124446718361</v>
      </c>
      <c r="C341" s="829"/>
      <c r="D341" s="391">
        <f t="shared" si="127"/>
        <v>13.865495361321182</v>
      </c>
      <c r="E341" s="383">
        <f t="shared" si="125"/>
        <v>14.615380505250741</v>
      </c>
      <c r="F341" s="383">
        <f t="shared" si="128"/>
        <v>14.677096976786981</v>
      </c>
      <c r="G341" s="110">
        <f t="shared" si="126"/>
        <v>0.48686447603846322</v>
      </c>
      <c r="H341" s="412" t="b">
        <f>Wh_hp&gt;='2027'!Maxi_hp</f>
        <v>0</v>
      </c>
      <c r="I341" s="388">
        <f>IF(H341,Wh_hp,'2027'!Maxi_hp)</f>
        <v>31.418721073336016</v>
      </c>
      <c r="J341" s="85">
        <f>IF(H341,An,'2027'!An_max)</f>
        <v>2020</v>
      </c>
      <c r="K341" s="197">
        <f t="shared" si="129"/>
        <v>47079</v>
      </c>
      <c r="L341" s="147">
        <f>IF(t&lt;Tvie,1-EXP((T0-t)*PertePVj)+'2027'!Pspv,1-EXP((T0-t)*PertePVj)+Pspv)</f>
        <v>6.6739116813973487E-2</v>
      </c>
      <c r="M341" s="832"/>
      <c r="N341" s="832"/>
      <c r="O341" s="48">
        <f>IF(t&lt;Tnet,'2027'!Resal+('2027'!Salim-'2027'!Resal)*(1-EXP(('2027'!Tnet-t)/('2027'!Tau_j))),Resal+(Salim-Resal)*(1-EXP((Tnet-t)/(Tau_j))))*Salcycl</f>
        <v>5.1307945329247741E-2</v>
      </c>
      <c r="P341" s="169">
        <f>(INDEX(Models!$BJ341:$BT341,,T341)*(1-R341)+INDEX(Models!$BJ341:$BT341,,T341+1)*R341-ERP_i)*Q341*Ramure*Pc/MaxiM</f>
        <v>1.5302538238167088E-2</v>
      </c>
      <c r="Q341" s="304">
        <f t="shared" si="130"/>
        <v>0.7</v>
      </c>
      <c r="R341" s="177">
        <f t="shared" si="131"/>
        <v>0.97864292683591936</v>
      </c>
      <c r="S341" s="799">
        <f t="shared" si="132"/>
        <v>-1</v>
      </c>
      <c r="T341" s="176">
        <f t="shared" si="133"/>
        <v>5</v>
      </c>
      <c r="U341" s="250">
        <f t="shared" si="134"/>
        <v>-2.1357073164080698E-2</v>
      </c>
      <c r="V341" s="382">
        <f t="shared" si="135"/>
        <v>26.28229110238237</v>
      </c>
      <c r="W341" s="400">
        <f t="shared" si="136"/>
        <v>12.940124446718361</v>
      </c>
      <c r="X341" s="157">
        <f t="shared" si="137"/>
        <v>47079</v>
      </c>
      <c r="Y341" s="383">
        <f t="shared" si="138"/>
        <v>12.288846649137039</v>
      </c>
      <c r="Z341" s="383">
        <f t="shared" si="139"/>
        <v>13.167643550198502</v>
      </c>
      <c r="AA341" s="384">
        <f t="shared" si="140"/>
        <v>14.280215437085182</v>
      </c>
      <c r="AB341" s="197">
        <f t="shared" si="141"/>
        <v>47079</v>
      </c>
      <c r="AC341" s="119">
        <f>IF(OR(t&lt;Tnet,NoTnet),'2027'!Resal_s+('2027'!Salim-'2027'!Resal_s)*(1-EXP(('2027'!Tnet_s-t)/'2027'!Tau_j)),Resal_s+(Salim-Resal_s)*(1-EXP((Tnet_s-t)/Tau_j)))*Salcycl</f>
        <v>7.7910021160981488E-2</v>
      </c>
      <c r="AD341" s="230">
        <f>(INDEX(Models!$BJ341:$BT341,,AH341)*(1-AF341)+INDEX(Models!$BJ341:$BT341,,AH341+1)*AF341-ERP_i)*AE341*Ramure*Pc/MaxiM</f>
        <v>9.840638627150039E-2</v>
      </c>
      <c r="AE341" s="304">
        <f t="shared" si="142"/>
        <v>0.7</v>
      </c>
      <c r="AF341" s="177">
        <f t="shared" si="143"/>
        <v>0.73430075767527025</v>
      </c>
      <c r="AG341" s="799">
        <f t="shared" si="149"/>
        <v>2</v>
      </c>
      <c r="AH341" s="176">
        <f t="shared" si="144"/>
        <v>8</v>
      </c>
      <c r="AI341" s="224">
        <f t="shared" si="145"/>
        <v>2.7343007576752703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47080</v>
      </c>
      <c r="B342" s="409">
        <f>'2027'!Wh/'2027'!Env_an*'2028'!Env_an</f>
        <v>13.549394818201716</v>
      </c>
      <c r="C342" s="829"/>
      <c r="D342" s="391">
        <f t="shared" si="127"/>
        <v>14.518613967813838</v>
      </c>
      <c r="E342" s="383">
        <f t="shared" si="125"/>
        <v>15.304290714817984</v>
      </c>
      <c r="F342" s="383">
        <f t="shared" si="128"/>
        <v>15.377629330704259</v>
      </c>
      <c r="G342" s="110">
        <f t="shared" si="126"/>
        <v>0.51429229590322989</v>
      </c>
      <c r="H342" s="412" t="b">
        <f>Wh_hp&gt;='2027'!Maxi_hp</f>
        <v>0</v>
      </c>
      <c r="I342" s="388">
        <f>IF(H342,Wh_hp,'2027'!Maxi_hp)</f>
        <v>29.328916242000091</v>
      </c>
      <c r="J342" s="85">
        <f>IF(H342,An,'2027'!An_max)</f>
        <v>2020</v>
      </c>
      <c r="K342" s="197">
        <f t="shared" si="129"/>
        <v>47080</v>
      </c>
      <c r="L342" s="147">
        <f>IF(t&lt;Tvie,1-EXP((T0-t)*PertePVj)+'2027'!Pspv,1-EXP((T0-t)*PertePVj)+Pspv)</f>
        <v>6.6757002545888677E-2</v>
      </c>
      <c r="M342" s="832"/>
      <c r="N342" s="832"/>
      <c r="O342" s="48">
        <f>IF(t&lt;Tnet,'2027'!Resal+('2027'!Salim-'2027'!Resal)*(1-EXP(('2027'!Tnet-t)/('2027'!Tau_j))),Resal+(Salim-Resal)*(1-EXP((Tnet-t)/(Tau_j))))*Salcycl</f>
        <v>5.1337024475328091E-2</v>
      </c>
      <c r="P342" s="169">
        <f>(INDEX(Models!$BJ342:$BT342,,T342)*(1-R342)+INDEX(Models!$BJ342:$BT342,,T342+1)*R342-ERP_i)*Q342*Ramure*Pc/MaxiM</f>
        <v>1.5192892675695157E-2</v>
      </c>
      <c r="Q342" s="304">
        <f t="shared" si="130"/>
        <v>0.7</v>
      </c>
      <c r="R342" s="177">
        <f t="shared" si="131"/>
        <v>0.97866046825971775</v>
      </c>
      <c r="S342" s="799">
        <f t="shared" si="132"/>
        <v>-1</v>
      </c>
      <c r="T342" s="176">
        <f t="shared" si="133"/>
        <v>5</v>
      </c>
      <c r="U342" s="250">
        <f t="shared" si="134"/>
        <v>-2.1339531740282303E-2</v>
      </c>
      <c r="V342" s="382">
        <f t="shared" si="135"/>
        <v>26.069772122631502</v>
      </c>
      <c r="W342" s="400">
        <f t="shared" si="136"/>
        <v>13.549394818201716</v>
      </c>
      <c r="X342" s="157">
        <f t="shared" si="137"/>
        <v>47080</v>
      </c>
      <c r="Y342" s="383">
        <f t="shared" si="138"/>
        <v>12.817719791655644</v>
      </c>
      <c r="Z342" s="383">
        <f t="shared" si="139"/>
        <v>13.734600555934959</v>
      </c>
      <c r="AA342" s="384">
        <f t="shared" si="140"/>
        <v>14.894831545920241</v>
      </c>
      <c r="AB342" s="197">
        <f t="shared" si="141"/>
        <v>47080</v>
      </c>
      <c r="AC342" s="119">
        <f>IF(OR(t&lt;Tnet,NoTnet),'2027'!Resal_s+('2027'!Salim-'2027'!Resal_s)*(1-EXP(('2027'!Tnet_s-t)/'2027'!Tau_j)),Resal_s+(Salim-Resal_s)*(1-EXP((Tnet_s-t)/Tau_j)))*Salcycl</f>
        <v>7.7894871547108821E-2</v>
      </c>
      <c r="AD342" s="230">
        <f>(INDEX(Models!$BJ342:$BT342,,AH342)*(1-AF342)+INDEX(Models!$BJ342:$BT342,,AH342+1)*AF342-ERP_i)*AE342*Ramure*Pc/MaxiM</f>
        <v>0.10001681705667044</v>
      </c>
      <c r="AE342" s="304">
        <f t="shared" si="142"/>
        <v>0.7</v>
      </c>
      <c r="AF342" s="177">
        <f t="shared" si="143"/>
        <v>0.73431829909906821</v>
      </c>
      <c r="AG342" s="799">
        <f t="shared" si="149"/>
        <v>2</v>
      </c>
      <c r="AH342" s="176">
        <f t="shared" si="144"/>
        <v>8</v>
      </c>
      <c r="AI342" s="224">
        <f t="shared" si="145"/>
        <v>2.7343182990990682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47081</v>
      </c>
      <c r="B343" s="409">
        <f>'2027'!Wh/'2027'!Env_an*'2028'!Env_an</f>
        <v>3.9753840935156224</v>
      </c>
      <c r="C343" s="829"/>
      <c r="D343" s="391">
        <f t="shared" si="127"/>
        <v>4.2598340337404599</v>
      </c>
      <c r="E343" s="383">
        <f t="shared" si="125"/>
        <v>4.4904969235622527</v>
      </c>
      <c r="F343" s="383">
        <f t="shared" si="128"/>
        <v>4.4904969235622527</v>
      </c>
      <c r="G343" s="110">
        <f t="shared" si="126"/>
        <v>0.15140335832660712</v>
      </c>
      <c r="H343" s="412" t="b">
        <f>Wh_hp&gt;='2027'!Maxi_hp</f>
        <v>0</v>
      </c>
      <c r="I343" s="388">
        <f>IF(H343,Wh_hp,'2027'!Maxi_hp)</f>
        <v>27.79857439619018</v>
      </c>
      <c r="J343" s="85">
        <f>IF(H343,An,'2027'!An_max)</f>
        <v>2020</v>
      </c>
      <c r="K343" s="197">
        <f t="shared" si="129"/>
        <v>47081</v>
      </c>
      <c r="L343" s="147">
        <f>IF(t&lt;Tvie,1-EXP((T0-t)*PertePVj)+'2027'!Pspv,1-EXP((T0-t)*PertePVj)+Pspv)</f>
        <v>6.6774887935027949E-2</v>
      </c>
      <c r="M343" s="832"/>
      <c r="N343" s="832"/>
      <c r="O343" s="48">
        <f>IF(t&lt;Tnet,'2027'!Resal+('2027'!Salim-'2027'!Resal)*(1-EXP(('2027'!Tnet-t)/('2027'!Tau_j))),Resal+(Salim-Resal)*(1-EXP((Tnet-t)/(Tau_j))))*Salcycl</f>
        <v>5.1366896303051211E-2</v>
      </c>
      <c r="P343" s="169">
        <f>(INDEX(Models!$BJ343:$BT343,,T343)*(1-R343)+INDEX(Models!$BJ343:$BT343,,T343+1)*R343-ERP_i)*Q343*Ramure*Pc/MaxiM</f>
        <v>1.5092214049873903E-2</v>
      </c>
      <c r="Q343" s="304">
        <f t="shared" si="130"/>
        <v>0.7</v>
      </c>
      <c r="R343" s="177">
        <f t="shared" si="131"/>
        <v>0.9786773048608356</v>
      </c>
      <c r="S343" s="799">
        <f t="shared" si="132"/>
        <v>-1</v>
      </c>
      <c r="T343" s="176">
        <f t="shared" si="133"/>
        <v>5</v>
      </c>
      <c r="U343" s="250">
        <f t="shared" si="134"/>
        <v>-2.1322695139164405E-2</v>
      </c>
      <c r="V343" s="382">
        <f t="shared" si="135"/>
        <v>25.86063340417822</v>
      </c>
      <c r="W343" s="400">
        <f t="shared" si="136"/>
        <v>3.9753840935156224</v>
      </c>
      <c r="X343" s="157">
        <f t="shared" si="137"/>
        <v>47081</v>
      </c>
      <c r="Y343" s="383">
        <f t="shared" si="138"/>
        <v>3.8642726963557799</v>
      </c>
      <c r="Z343" s="383">
        <f t="shared" si="139"/>
        <v>4.1407723028425591</v>
      </c>
      <c r="AA343" s="384">
        <f t="shared" si="140"/>
        <v>4.4904969235622527</v>
      </c>
      <c r="AB343" s="197">
        <f t="shared" si="141"/>
        <v>47081</v>
      </c>
      <c r="AC343" s="119">
        <f>IF(OR(t&lt;Tnet,NoTnet),'2027'!Resal_s+('2027'!Salim-'2027'!Resal_s)*(1-EXP(('2027'!Tnet_s-t)/'2027'!Tau_j)),Resal_s+(Salim-Resal_s)*(1-EXP((Tnet_s-t)/Tau_j)))*Salcycl</f>
        <v>7.7881051178242885E-2</v>
      </c>
      <c r="AD343" s="230">
        <f>(INDEX(Models!$BJ343:$BT343,,AH343)*(1-AF343)+INDEX(Models!$BJ343:$BT343,,AH343+1)*AF343-ERP_i)*AE343*Ramure*Pc/MaxiM</f>
        <v>0.10167076264212799</v>
      </c>
      <c r="AE343" s="304">
        <f t="shared" si="142"/>
        <v>0.7</v>
      </c>
      <c r="AF343" s="177">
        <f t="shared" si="143"/>
        <v>0.73433513570018638</v>
      </c>
      <c r="AG343" s="799">
        <f t="shared" si="149"/>
        <v>2</v>
      </c>
      <c r="AH343" s="176">
        <f t="shared" si="144"/>
        <v>8</v>
      </c>
      <c r="AI343" s="224">
        <f t="shared" si="145"/>
        <v>2.7343351357001864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47082</v>
      </c>
      <c r="B344" s="409">
        <f>'2027'!Wh/'2027'!Env_an*'2028'!Env_an</f>
        <v>14.057641418724401</v>
      </c>
      <c r="C344" s="829"/>
      <c r="D344" s="391">
        <f t="shared" si="127"/>
        <v>15.063793991004083</v>
      </c>
      <c r="E344" s="383">
        <f t="shared" si="125"/>
        <v>15.879986782726796</v>
      </c>
      <c r="F344" s="383">
        <f t="shared" si="128"/>
        <v>15.964811903613661</v>
      </c>
      <c r="G344" s="110">
        <f t="shared" si="126"/>
        <v>0.5426073978750372</v>
      </c>
      <c r="H344" s="412" t="b">
        <f>Wh_hp&gt;='2027'!Maxi_hp</f>
        <v>0</v>
      </c>
      <c r="I344" s="388">
        <f>IF(H344,Wh_hp,'2027'!Maxi_hp)</f>
        <v>28.034337428546774</v>
      </c>
      <c r="J344" s="85">
        <f>IF(H344,An,'2027'!An_max)</f>
        <v>2020</v>
      </c>
      <c r="K344" s="197">
        <f t="shared" si="129"/>
        <v>47082</v>
      </c>
      <c r="L344" s="147">
        <f>IF(t&lt;Tvie,1-EXP((T0-t)*PertePVj)+'2027'!Pspv,1-EXP((T0-t)*PertePVj)+Pspv)</f>
        <v>6.6792772981397852E-2</v>
      </c>
      <c r="M344" s="832"/>
      <c r="N344" s="832"/>
      <c r="O344" s="48">
        <f>IF(t&lt;Tnet,'2027'!Resal+('2027'!Salim-'2027'!Resal)*(1-EXP(('2027'!Tnet-t)/('2027'!Tau_j))),Resal+(Salim-Resal)*(1-EXP((Tnet-t)/(Tau_j))))*Salcycl</f>
        <v>5.1397573744237209E-2</v>
      </c>
      <c r="P344" s="169">
        <f>(INDEX(Models!$BJ344:$BT344,,T344)*(1-R344)+INDEX(Models!$BJ344:$BT344,,T344+1)*R344-ERP_i)*Q344*Ramure*Pc/MaxiM</f>
        <v>1.500049005222379E-2</v>
      </c>
      <c r="Q344" s="304">
        <f t="shared" si="130"/>
        <v>0.7</v>
      </c>
      <c r="R344" s="177">
        <f t="shared" si="131"/>
        <v>0.97869346490355436</v>
      </c>
      <c r="S344" s="799">
        <f t="shared" si="132"/>
        <v>-1</v>
      </c>
      <c r="T344" s="176">
        <f t="shared" si="133"/>
        <v>5</v>
      </c>
      <c r="U344" s="250">
        <f t="shared" si="134"/>
        <v>-2.13065350964457E-2</v>
      </c>
      <c r="V344" s="382">
        <f t="shared" si="135"/>
        <v>25.655260834822979</v>
      </c>
      <c r="W344" s="400">
        <f t="shared" si="136"/>
        <v>14.057641418724401</v>
      </c>
      <c r="X344" s="157">
        <f t="shared" si="137"/>
        <v>47082</v>
      </c>
      <c r="Y344" s="383">
        <f t="shared" si="138"/>
        <v>13.23534820567054</v>
      </c>
      <c r="Z344" s="383">
        <f t="shared" si="139"/>
        <v>14.182646493163851</v>
      </c>
      <c r="AA344" s="384">
        <f t="shared" si="140"/>
        <v>15.380287591492342</v>
      </c>
      <c r="AB344" s="197">
        <f t="shared" si="141"/>
        <v>47082</v>
      </c>
      <c r="AC344" s="119">
        <f>IF(OR(t&lt;Tnet,NoTnet),'2027'!Resal_s+('2027'!Salim-'2027'!Resal_s)*(1-EXP(('2027'!Tnet_s-t)/'2027'!Tau_j)),Resal_s+(Salim-Resal_s)*(1-EXP((Tnet_s-t)/Tau_j)))*Salcycl</f>
        <v>7.7868576332146777E-2</v>
      </c>
      <c r="AD344" s="230">
        <f>(INDEX(Models!$BJ344:$BT344,,AH344)*(1-AF344)+INDEX(Models!$BJ344:$BT344,,AH344+1)*AF344-ERP_i)*AE344*Ramure*Pc/MaxiM</f>
        <v>0.1033673873681033</v>
      </c>
      <c r="AE344" s="304">
        <f t="shared" si="142"/>
        <v>0.7</v>
      </c>
      <c r="AF344" s="177">
        <f t="shared" si="143"/>
        <v>0.73435129574290503</v>
      </c>
      <c r="AG344" s="799">
        <f t="shared" si="149"/>
        <v>2</v>
      </c>
      <c r="AH344" s="176">
        <f t="shared" si="144"/>
        <v>8</v>
      </c>
      <c r="AI344" s="224">
        <f t="shared" si="145"/>
        <v>2.734351295742905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47083</v>
      </c>
      <c r="B345" s="409">
        <f>'2027'!Wh/'2027'!Env_an*'2028'!Env_an</f>
        <v>15.883231630766934</v>
      </c>
      <c r="C345" s="829"/>
      <c r="D345" s="391">
        <f t="shared" si="127"/>
        <v>17.020374012593038</v>
      </c>
      <c r="E345" s="383">
        <f t="shared" si="125"/>
        <v>17.943174738866148</v>
      </c>
      <c r="F345" s="383">
        <f t="shared" si="128"/>
        <v>18.067986929044189</v>
      </c>
      <c r="G345" s="110">
        <f t="shared" si="126"/>
        <v>0.61906158765763908</v>
      </c>
      <c r="H345" s="412" t="b">
        <f>Wh_hp&gt;='2027'!Maxi_hp</f>
        <v>0</v>
      </c>
      <c r="I345" s="388">
        <f>IF(H345,Wh_hp,'2027'!Maxi_hp)</f>
        <v>23.110543581605093</v>
      </c>
      <c r="J345" s="85">
        <f>IF(H345,An,'2027'!An_max)</f>
        <v>2020</v>
      </c>
      <c r="K345" s="197">
        <f t="shared" si="129"/>
        <v>47083</v>
      </c>
      <c r="L345" s="147">
        <f>IF(t&lt;Tvie,1-EXP((T0-t)*PertePVj)+'2027'!Pspv,1-EXP((T0-t)*PertePVj)+Pspv)</f>
        <v>6.6810657685004826E-2</v>
      </c>
      <c r="M345" s="832"/>
      <c r="N345" s="832"/>
      <c r="O345" s="48">
        <f>IF(t&lt;Tnet,'2027'!Resal+('2027'!Salim-'2027'!Resal)*(1-EXP(('2027'!Tnet-t)/('2027'!Tau_j))),Resal+(Salim-Resal)*(1-EXP((Tnet-t)/(Tau_j))))*Salcycl</f>
        <v>5.1429066466942439E-2</v>
      </c>
      <c r="P345" s="169">
        <f>(INDEX(Models!$BJ345:$BT345,,T345)*(1-R345)+INDEX(Models!$BJ345:$BT345,,T345+1)*R345-ERP_i)*Q345*Ramure*Pc/MaxiM</f>
        <v>1.4920062332241709E-2</v>
      </c>
      <c r="Q345" s="304">
        <f t="shared" si="130"/>
        <v>0.7</v>
      </c>
      <c r="R345" s="177">
        <f t="shared" si="131"/>
        <v>0.97870897552312275</v>
      </c>
      <c r="S345" s="799">
        <f t="shared" si="132"/>
        <v>-1</v>
      </c>
      <c r="T345" s="176">
        <f t="shared" si="133"/>
        <v>5</v>
      </c>
      <c r="U345" s="250">
        <f t="shared" si="134"/>
        <v>-2.1291024476877252E-2</v>
      </c>
      <c r="V345" s="382">
        <f t="shared" si="135"/>
        <v>25.449952005622141</v>
      </c>
      <c r="W345" s="400">
        <f t="shared" si="136"/>
        <v>15.883231630766934</v>
      </c>
      <c r="X345" s="157">
        <f t="shared" si="137"/>
        <v>47083</v>
      </c>
      <c r="Y345" s="383">
        <f t="shared" si="138"/>
        <v>14.791365513160972</v>
      </c>
      <c r="Z345" s="383">
        <f t="shared" si="139"/>
        <v>15.85033694927068</v>
      </c>
      <c r="AA345" s="384">
        <f t="shared" si="140"/>
        <v>17.188597459333074</v>
      </c>
      <c r="AB345" s="197">
        <f t="shared" si="141"/>
        <v>47083</v>
      </c>
      <c r="AC345" s="119">
        <f>IF(OR(t&lt;Tnet,NoTnet),'2027'!Resal_s+('2027'!Salim-'2027'!Resal_s)*(1-EXP(('2027'!Tnet_s-t)/'2027'!Tau_j)),Resal_s+(Salim-Resal_s)*(1-EXP((Tnet_s-t)/Tau_j)))*Salcycl</f>
        <v>7.7857458307963673E-2</v>
      </c>
      <c r="AD345" s="230">
        <f>(INDEX(Models!$BJ345:$BT345,,AH345)*(1-AF345)+INDEX(Models!$BJ345:$BT345,,AH345+1)*AF345-ERP_i)*AE345*Ramure*Pc/MaxiM</f>
        <v>0.10512230963731097</v>
      </c>
      <c r="AE345" s="304">
        <f t="shared" si="142"/>
        <v>0.7</v>
      </c>
      <c r="AF345" s="177">
        <f t="shared" si="143"/>
        <v>0.73436680636247331</v>
      </c>
      <c r="AG345" s="799">
        <f t="shared" si="149"/>
        <v>2</v>
      </c>
      <c r="AH345" s="176">
        <f t="shared" si="144"/>
        <v>8</v>
      </c>
      <c r="AI345" s="224">
        <f t="shared" si="145"/>
        <v>2.7343668063624733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47084</v>
      </c>
      <c r="B346" s="409">
        <f>'2027'!Wh/'2027'!Env_an*'2028'!Env_an</f>
        <v>8.9621226514640941</v>
      </c>
      <c r="C346" s="829"/>
      <c r="D346" s="391">
        <f t="shared" si="127"/>
        <v>9.6039399566638792</v>
      </c>
      <c r="E346" s="383">
        <f t="shared" si="125"/>
        <v>10.124985702407397</v>
      </c>
      <c r="F346" s="383">
        <f t="shared" si="128"/>
        <v>10.136831131213098</v>
      </c>
      <c r="G346" s="110">
        <f t="shared" si="126"/>
        <v>0.35018777233154569</v>
      </c>
      <c r="H346" s="412" t="b">
        <f>Wh_hp&gt;='2027'!Maxi_hp</f>
        <v>0</v>
      </c>
      <c r="I346" s="388">
        <f>IF(H346,Wh_hp,'2027'!Maxi_hp)</f>
        <v>17.324015395081876</v>
      </c>
      <c r="J346" s="85">
        <f>IF(H346,An,'2027'!An_max)</f>
        <v>2020</v>
      </c>
      <c r="K346" s="197">
        <f t="shared" si="129"/>
        <v>47084</v>
      </c>
      <c r="L346" s="147">
        <f>IF(t&lt;Tvie,1-EXP((T0-t)*PertePVj)+'2027'!Pspv,1-EXP((T0-t)*PertePVj)+Pspv)</f>
        <v>6.6828542045855643E-2</v>
      </c>
      <c r="M346" s="832"/>
      <c r="N346" s="832"/>
      <c r="O346" s="48">
        <f>IF(t&lt;Tnet,'2027'!Resal+('2027'!Salim-'2027'!Resal)*(1-EXP(('2027'!Tnet-t)/('2027'!Tau_j))),Resal+(Salim-Resal)*(1-EXP((Tnet-t)/(Tau_j))))*Salcycl</f>
        <v>5.1461380890605014E-2</v>
      </c>
      <c r="P346" s="169">
        <f>(INDEX(Models!$BJ346:$BT346,,T346)*(1-R346)+INDEX(Models!$BJ346:$BT346,,T346+1)*R346-ERP_i)*Q346*Ramure*Pc/MaxiM</f>
        <v>1.4857930492240918E-2</v>
      </c>
      <c r="Q346" s="304">
        <f t="shared" si="130"/>
        <v>0.7</v>
      </c>
      <c r="R346" s="177">
        <f t="shared" si="131"/>
        <v>0.9787238627705106</v>
      </c>
      <c r="S346" s="799">
        <f t="shared" si="132"/>
        <v>-1</v>
      </c>
      <c r="T346" s="176">
        <f t="shared" si="133"/>
        <v>5</v>
      </c>
      <c r="U346" s="250">
        <f t="shared" si="134"/>
        <v>-2.1276137229489456E-2</v>
      </c>
      <c r="V346" s="382">
        <f t="shared" si="135"/>
        <v>25.241581633895407</v>
      </c>
      <c r="W346" s="400">
        <f t="shared" si="136"/>
        <v>8.9621226514640941</v>
      </c>
      <c r="X346" s="157">
        <f t="shared" si="137"/>
        <v>47084</v>
      </c>
      <c r="Y346" s="383">
        <f t="shared" si="138"/>
        <v>8.649669655837581</v>
      </c>
      <c r="Z346" s="383">
        <f t="shared" si="139"/>
        <v>9.2691108178563919</v>
      </c>
      <c r="AA346" s="384">
        <f t="shared" si="140"/>
        <v>10.051605198746298</v>
      </c>
      <c r="AB346" s="197">
        <f t="shared" si="141"/>
        <v>47084</v>
      </c>
      <c r="AC346" s="119">
        <f>IF(OR(t&lt;Tnet,NoTnet),'2027'!Resal_s+('2027'!Salim-'2027'!Resal_s)*(1-EXP(('2027'!Tnet_s-t)/'2027'!Tau_j)),Resal_s+(Salim-Resal_s)*(1-EXP((Tnet_s-t)/Tau_j)))*Salcycl</f>
        <v>7.7847703468049437E-2</v>
      </c>
      <c r="AD346" s="230">
        <f>(INDEX(Models!$BJ346:$BT346,,AH346)*(1-AF346)+INDEX(Models!$BJ346:$BT346,,AH346+1)*AF346-ERP_i)*AE346*Ramure*Pc/MaxiM</f>
        <v>0.10690039183036741</v>
      </c>
      <c r="AE346" s="304">
        <f t="shared" si="142"/>
        <v>0.7</v>
      </c>
      <c r="AF346" s="177">
        <f t="shared" si="143"/>
        <v>0.73438169360986105</v>
      </c>
      <c r="AG346" s="799">
        <f t="shared" si="149"/>
        <v>2</v>
      </c>
      <c r="AH346" s="176">
        <f t="shared" si="144"/>
        <v>8</v>
      </c>
      <c r="AI346" s="224">
        <f t="shared" si="145"/>
        <v>2.7343816936098611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47085</v>
      </c>
      <c r="B347" s="409">
        <f>'2027'!Wh/'2027'!Env_an*'2028'!Env_an</f>
        <v>9.970478365921716</v>
      </c>
      <c r="C347" s="829"/>
      <c r="D347" s="391">
        <f t="shared" si="127"/>
        <v>10.68471326093327</v>
      </c>
      <c r="E347" s="383">
        <f t="shared" si="125"/>
        <v>11.264788120594762</v>
      </c>
      <c r="F347" s="383">
        <f t="shared" si="128"/>
        <v>11.288263267501316</v>
      </c>
      <c r="G347" s="110">
        <f t="shared" si="126"/>
        <v>0.39323301059183785</v>
      </c>
      <c r="H347" s="412" t="b">
        <f>Wh_hp&gt;='2027'!Maxi_hp</f>
        <v>0</v>
      </c>
      <c r="I347" s="388">
        <f>IF(H347,Wh_hp,'2027'!Maxi_hp)</f>
        <v>14.807733331286865</v>
      </c>
      <c r="J347" s="85">
        <f>IF(H347,An,'2027'!An_max)</f>
        <v>2018</v>
      </c>
      <c r="K347" s="197">
        <f t="shared" si="129"/>
        <v>47085</v>
      </c>
      <c r="L347" s="147">
        <f>IF(t&lt;Tvie,1-EXP((T0-t)*PertePVj)+'2027'!Pspv,1-EXP((T0-t)*PertePVj)+Pspv)</f>
        <v>6.6846426063956743E-2</v>
      </c>
      <c r="M347" s="832"/>
      <c r="N347" s="832"/>
      <c r="O347" s="48">
        <f>IF(t&lt;Tnet,'2027'!Resal+('2027'!Salim-'2027'!Resal)*(1-EXP(('2027'!Tnet-t)/('2027'!Tau_j))),Resal+(Salim-Resal)*(1-EXP((Tnet-t)/(Tau_j))))*Salcycl</f>
        <v>5.1494520221021689E-2</v>
      </c>
      <c r="P347" s="169">
        <f>(INDEX(Models!$BJ347:$BT347,,T347)*(1-R347)+INDEX(Models!$BJ347:$BT347,,T347+1)*R347-ERP_i)*Q347*Ramure*Pc/MaxiM</f>
        <v>1.4807029875231971E-2</v>
      </c>
      <c r="Q347" s="304">
        <f t="shared" si="130"/>
        <v>0.7</v>
      </c>
      <c r="R347" s="177">
        <f t="shared" si="131"/>
        <v>0.97873815165541389</v>
      </c>
      <c r="S347" s="799">
        <f t="shared" si="132"/>
        <v>-1</v>
      </c>
      <c r="T347" s="176">
        <f t="shared" si="133"/>
        <v>5</v>
      </c>
      <c r="U347" s="250">
        <f t="shared" si="134"/>
        <v>-2.1261848344586165E-2</v>
      </c>
      <c r="V347" s="382">
        <f t="shared" si="135"/>
        <v>25.031762729892598</v>
      </c>
      <c r="W347" s="400">
        <f t="shared" si="136"/>
        <v>9.970478365921716</v>
      </c>
      <c r="X347" s="157">
        <f t="shared" si="137"/>
        <v>47085</v>
      </c>
      <c r="Y347" s="383">
        <f t="shared" si="138"/>
        <v>9.5654842631639845</v>
      </c>
      <c r="Z347" s="383">
        <f t="shared" si="139"/>
        <v>10.250707418733613</v>
      </c>
      <c r="AA347" s="384">
        <f t="shared" si="140"/>
        <v>11.115966627813902</v>
      </c>
      <c r="AB347" s="197">
        <f t="shared" si="141"/>
        <v>47085</v>
      </c>
      <c r="AC347" s="119">
        <f>IF(OR(t&lt;Tnet,NoTnet),'2027'!Resal_s+('2027'!Salim-'2027'!Resal_s)*(1-EXP(('2027'!Tnet_s-t)/'2027'!Tau_j)),Resal_s+(Salim-Resal_s)*(1-EXP((Tnet_s-t)/Tau_j)))*Salcycl</f>
        <v>7.7839313309494215E-2</v>
      </c>
      <c r="AD347" s="230">
        <f>(INDEX(Models!$BJ347:$BT347,,AH347)*(1-AF347)+INDEX(Models!$BJ347:$BT347,,AH347+1)*AF347-ERP_i)*AE347*Ramure*Pc/MaxiM</f>
        <v>0.10867669972030188</v>
      </c>
      <c r="AE347" s="304">
        <f t="shared" si="142"/>
        <v>0.7</v>
      </c>
      <c r="AF347" s="177">
        <f t="shared" si="143"/>
        <v>0.73439598249476479</v>
      </c>
      <c r="AG347" s="799">
        <f t="shared" si="149"/>
        <v>2</v>
      </c>
      <c r="AH347" s="176">
        <f t="shared" si="144"/>
        <v>8</v>
      </c>
      <c r="AI347" s="224">
        <f t="shared" si="145"/>
        <v>2.7343959824947648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47086</v>
      </c>
      <c r="B348" s="409">
        <f>'2027'!Wh/'2027'!Env_an*'2028'!Env_an</f>
        <v>4.4463990920287717</v>
      </c>
      <c r="C348" s="829"/>
      <c r="D348" s="391">
        <f t="shared" si="127"/>
        <v>4.7650080673547102</v>
      </c>
      <c r="E348" s="383">
        <f t="shared" si="125"/>
        <v>5.0238810438778154</v>
      </c>
      <c r="F348" s="383">
        <f t="shared" si="128"/>
        <v>5.0238810438778154</v>
      </c>
      <c r="G348" s="110">
        <f t="shared" si="126"/>
        <v>0.17648661832769097</v>
      </c>
      <c r="H348" s="412" t="b">
        <f>Wh_hp&gt;='2027'!Maxi_hp</f>
        <v>0</v>
      </c>
      <c r="I348" s="388">
        <f>IF(H348,Wh_hp,'2027'!Maxi_hp)</f>
        <v>27.039927040267969</v>
      </c>
      <c r="J348" s="85">
        <f>IF(H348,An,'2027'!An_max)</f>
        <v>2020</v>
      </c>
      <c r="K348" s="197">
        <f t="shared" si="129"/>
        <v>47086</v>
      </c>
      <c r="L348" s="147">
        <f>IF(t&lt;Tvie,1-EXP((T0-t)*PertePVj)+'2027'!Pspv,1-EXP((T0-t)*PertePVj)+Pspv)</f>
        <v>6.6864309739314676E-2</v>
      </c>
      <c r="M348" s="832"/>
      <c r="N348" s="832"/>
      <c r="O348" s="48">
        <f>IF(t&lt;Tnet,'2027'!Resal+('2027'!Salim-'2027'!Resal)*(1-EXP(('2027'!Tnet-t)/('2027'!Tau_j))),Resal+(Salim-Resal)*(1-EXP((Tnet-t)/(Tau_j))))*Salcycl</f>
        <v>5.152848450473814E-2</v>
      </c>
      <c r="P348" s="169">
        <f>(INDEX(Models!$BJ348:$BT348,,T348)*(1-R348)+INDEX(Models!$BJ348:$BT348,,T348+1)*R348-ERP_i)*Q348*Ramure*Pc/MaxiM</f>
        <v>1.4766734990265611E-2</v>
      </c>
      <c r="Q348" s="304">
        <f t="shared" si="130"/>
        <v>0.7</v>
      </c>
      <c r="R348" s="177">
        <f t="shared" si="131"/>
        <v>0.97875186618758114</v>
      </c>
      <c r="S348" s="799">
        <f t="shared" si="132"/>
        <v>-1</v>
      </c>
      <c r="T348" s="176">
        <f t="shared" si="133"/>
        <v>5</v>
      </c>
      <c r="U348" s="250">
        <f t="shared" si="134"/>
        <v>-2.1248133812418912E-2</v>
      </c>
      <c r="V348" s="382">
        <f t="shared" si="135"/>
        <v>24.821940249554213</v>
      </c>
      <c r="W348" s="400">
        <f t="shared" si="136"/>
        <v>4.4463990920287717</v>
      </c>
      <c r="X348" s="157">
        <f t="shared" si="137"/>
        <v>47086</v>
      </c>
      <c r="Y348" s="383">
        <f t="shared" si="138"/>
        <v>4.3230878583310766</v>
      </c>
      <c r="Z348" s="383">
        <f t="shared" si="139"/>
        <v>4.6328609048522811</v>
      </c>
      <c r="AA348" s="384">
        <f t="shared" si="140"/>
        <v>5.0238810438778154</v>
      </c>
      <c r="AB348" s="197">
        <f t="shared" si="141"/>
        <v>47086</v>
      </c>
      <c r="AC348" s="119">
        <f>IF(OR(t&lt;Tnet,NoTnet),'2027'!Resal_s+('2027'!Salim-'2027'!Resal_s)*(1-EXP(('2027'!Tnet_s-t)/'2027'!Tau_j)),Resal_s+(Salim-Resal_s)*(1-EXP((Tnet_s-t)/Tau_j)))*Salcycl</f>
        <v>7.783228456454766E-2</v>
      </c>
      <c r="AD348" s="230">
        <f>(INDEX(Models!$BJ348:$BT348,,AH348)*(1-AF348)+INDEX(Models!$BJ348:$BT348,,AH348+1)*AF348-ERP_i)*AE348*Ramure*Pc/MaxiM</f>
        <v>0.11044576931756819</v>
      </c>
      <c r="AE348" s="304">
        <f t="shared" si="142"/>
        <v>0.7</v>
      </c>
      <c r="AF348" s="177">
        <f t="shared" si="143"/>
        <v>0.7344096970269316</v>
      </c>
      <c r="AG348" s="799">
        <f t="shared" si="149"/>
        <v>2</v>
      </c>
      <c r="AH348" s="176">
        <f t="shared" si="144"/>
        <v>8</v>
      </c>
      <c r="AI348" s="224">
        <f t="shared" si="145"/>
        <v>2.7344096970269316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47087</v>
      </c>
      <c r="B349" s="409">
        <f>'2027'!Wh/'2027'!Env_an*'2028'!Env_an</f>
        <v>3.3002443556614658</v>
      </c>
      <c r="C349" s="829"/>
      <c r="D349" s="391">
        <f t="shared" si="127"/>
        <v>3.5367928156105677</v>
      </c>
      <c r="E349" s="383">
        <f t="shared" si="125"/>
        <v>3.7290761801574592</v>
      </c>
      <c r="F349" s="383">
        <f t="shared" si="128"/>
        <v>3.7290761801574592</v>
      </c>
      <c r="G349" s="110">
        <f t="shared" si="126"/>
        <v>0.13210647907788189</v>
      </c>
      <c r="H349" s="412" t="b">
        <f>Wh_hp&gt;='2027'!Maxi_hp</f>
        <v>0</v>
      </c>
      <c r="I349" s="388">
        <f>IF(H349,Wh_hp,'2027'!Maxi_hp)</f>
        <v>27.868335200452961</v>
      </c>
      <c r="J349" s="85">
        <f>IF(H349,An,'2027'!An_max)</f>
        <v>2020</v>
      </c>
      <c r="K349" s="197">
        <f t="shared" si="129"/>
        <v>47087</v>
      </c>
      <c r="L349" s="147">
        <f>IF(t&lt;Tvie,1-EXP((T0-t)*PertePVj)+'2027'!Pspv,1-EXP((T0-t)*PertePVj)+Pspv)</f>
        <v>6.6882193071935991E-2</v>
      </c>
      <c r="M349" s="832"/>
      <c r="N349" s="832"/>
      <c r="O349" s="48">
        <f>IF(t&lt;Tnet,'2027'!Resal+('2027'!Salim-'2027'!Resal)*(1-EXP(('2027'!Tnet-t)/('2027'!Tau_j))),Resal+(Salim-Resal)*(1-EXP((Tnet-t)/(Tau_j))))*Salcycl</f>
        <v>5.1563270702282171E-2</v>
      </c>
      <c r="P349" s="169">
        <f>(INDEX(Models!$BJ349:$BT349,,T349)*(1-R349)+INDEX(Models!$BJ349:$BT349,,T349+1)*R349-ERP_i)*Q349*Ramure*Pc/MaxiM</f>
        <v>1.4736407402722458E-2</v>
      </c>
      <c r="Q349" s="304">
        <f t="shared" si="130"/>
        <v>0.7</v>
      </c>
      <c r="R349" s="177">
        <f t="shared" si="131"/>
        <v>0.97876502941652155</v>
      </c>
      <c r="S349" s="799">
        <f t="shared" si="132"/>
        <v>-1</v>
      </c>
      <c r="T349" s="176">
        <f t="shared" si="133"/>
        <v>5</v>
      </c>
      <c r="U349" s="250">
        <f t="shared" si="134"/>
        <v>-2.1234970583478507E-2</v>
      </c>
      <c r="V349" s="382">
        <f t="shared" si="135"/>
        <v>24.613558948845746</v>
      </c>
      <c r="W349" s="400">
        <f t="shared" si="136"/>
        <v>3.3002443556614658</v>
      </c>
      <c r="X349" s="157">
        <f t="shared" si="137"/>
        <v>47087</v>
      </c>
      <c r="Y349" s="383">
        <f t="shared" si="138"/>
        <v>3.2088566727660282</v>
      </c>
      <c r="Z349" s="383">
        <f t="shared" si="139"/>
        <v>3.4388548251264974</v>
      </c>
      <c r="AA349" s="384">
        <f t="shared" si="140"/>
        <v>3.7290761801574592</v>
      </c>
      <c r="AB349" s="197">
        <f t="shared" si="141"/>
        <v>47087</v>
      </c>
      <c r="AC349" s="119">
        <f>IF(OR(t&lt;Tnet,NoTnet),'2027'!Resal_s+('2027'!Salim-'2027'!Resal_s)*(1-EXP(('2027'!Tnet_s-t)/'2027'!Tau_j)),Resal_s+(Salim-Resal_s)*(1-EXP((Tnet_s-t)/Tau_j)))*Salcycl</f>
        <v>7.7826609328937701E-2</v>
      </c>
      <c r="AD349" s="230">
        <f>(INDEX(Models!$BJ349:$BT349,,AH349)*(1-AF349)+INDEX(Models!$BJ349:$BT349,,AH349+1)*AF349-ERP_i)*AE349*Ramure*Pc/MaxiM</f>
        <v>0.11220149789526802</v>
      </c>
      <c r="AE349" s="304">
        <f t="shared" si="142"/>
        <v>0.7</v>
      </c>
      <c r="AF349" s="177">
        <f t="shared" si="143"/>
        <v>0.73442286025587222</v>
      </c>
      <c r="AG349" s="799">
        <f t="shared" si="149"/>
        <v>2</v>
      </c>
      <c r="AH349" s="176">
        <f t="shared" si="144"/>
        <v>8</v>
      </c>
      <c r="AI349" s="224">
        <f t="shared" si="145"/>
        <v>2.7344228602558722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47088</v>
      </c>
      <c r="B350" s="409">
        <f>'2027'!Wh/'2027'!Env_an*'2028'!Env_an</f>
        <v>5.7589028246873477</v>
      </c>
      <c r="C350" s="829"/>
      <c r="D350" s="391">
        <f t="shared" si="127"/>
        <v>6.1717964785397781</v>
      </c>
      <c r="E350" s="383">
        <f t="shared" si="125"/>
        <v>6.5075802858098095</v>
      </c>
      <c r="F350" s="383">
        <f t="shared" si="128"/>
        <v>6.5075802858098095</v>
      </c>
      <c r="G350" s="110">
        <f t="shared" si="126"/>
        <v>0.23247064876331339</v>
      </c>
      <c r="H350" s="412" t="b">
        <f>Wh_hp&gt;='2027'!Maxi_hp</f>
        <v>0</v>
      </c>
      <c r="I350" s="388">
        <f>IF(H350,Wh_hp,'2027'!Maxi_hp)</f>
        <v>10.826785026069079</v>
      </c>
      <c r="J350" s="85">
        <f>IF(H350,An,'2027'!An_max)</f>
        <v>2021</v>
      </c>
      <c r="K350" s="197">
        <f t="shared" si="129"/>
        <v>47088</v>
      </c>
      <c r="L350" s="147">
        <f>IF(t&lt;Tvie,1-EXP((T0-t)*PertePVj)+'2027'!Pspv,1-EXP((T0-t)*PertePVj)+Pspv)</f>
        <v>6.6900076061827463E-2</v>
      </c>
      <c r="M350" s="832"/>
      <c r="N350" s="832"/>
      <c r="O350" s="48">
        <f>IF(t&lt;Tnet,'2027'!Resal+('2027'!Salim-'2027'!Resal)*(1-EXP(('2027'!Tnet-t)/('2027'!Tau_j))),Resal+(Salim-Resal)*(1-EXP((Tnet-t)/(Tau_j))))*Salcycl</f>
        <v>5.1598872779522957E-2</v>
      </c>
      <c r="P350" s="169">
        <f>(INDEX(Models!$BJ350:$BT350,,T350)*(1-R350)+INDEX(Models!$BJ350:$BT350,,T350+1)*R350-ERP_i)*Q350*Ramure*Pc/MaxiM</f>
        <v>1.4715390017486632E-2</v>
      </c>
      <c r="Q350" s="304">
        <f t="shared" si="130"/>
        <v>0.7</v>
      </c>
      <c r="R350" s="177">
        <f t="shared" si="131"/>
        <v>0.978777663469659</v>
      </c>
      <c r="S350" s="799">
        <f t="shared" si="132"/>
        <v>-1</v>
      </c>
      <c r="T350" s="176">
        <f t="shared" si="133"/>
        <v>5</v>
      </c>
      <c r="U350" s="250">
        <f t="shared" si="134"/>
        <v>-2.1222336530340946E-2</v>
      </c>
      <c r="V350" s="382">
        <f t="shared" si="135"/>
        <v>24.408063356532935</v>
      </c>
      <c r="W350" s="400">
        <f t="shared" si="136"/>
        <v>5.7589028246873477</v>
      </c>
      <c r="X350" s="157">
        <f t="shared" si="137"/>
        <v>47088</v>
      </c>
      <c r="Y350" s="383">
        <f t="shared" si="138"/>
        <v>5.5996684859304047</v>
      </c>
      <c r="Z350" s="383">
        <f t="shared" si="139"/>
        <v>6.0011455818117074</v>
      </c>
      <c r="AA350" s="384">
        <f t="shared" si="140"/>
        <v>6.5075802858098095</v>
      </c>
      <c r="AB350" s="197">
        <f t="shared" si="141"/>
        <v>47088</v>
      </c>
      <c r="AC350" s="119">
        <f>IF(OR(t&lt;Tnet,NoTnet),'2027'!Resal_s+('2027'!Salim-'2027'!Resal_s)*(1-EXP(('2027'!Tnet_s-t)/'2027'!Tau_j)),Resal_s+(Salim-Resal_s)*(1-EXP((Tnet_s-t)/Tau_j)))*Salcycl</f>
        <v>7.7822275216859763E-2</v>
      </c>
      <c r="AD350" s="230">
        <f>(INDEX(Models!$BJ350:$BT350,,AH350)*(1-AF350)+INDEX(Models!$BJ350:$BT350,,AH350+1)*AF350-ERP_i)*AE350*Ramure*Pc/MaxiM</f>
        <v>0.11393712425453931</v>
      </c>
      <c r="AE350" s="304">
        <f t="shared" si="142"/>
        <v>0.7</v>
      </c>
      <c r="AF350" s="177">
        <f t="shared" si="143"/>
        <v>0.73443549430900967</v>
      </c>
      <c r="AG350" s="799">
        <f t="shared" si="149"/>
        <v>2</v>
      </c>
      <c r="AH350" s="176">
        <f t="shared" si="144"/>
        <v>8</v>
      </c>
      <c r="AI350" s="224">
        <f t="shared" si="145"/>
        <v>2.7344354943090097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47089</v>
      </c>
      <c r="B351" s="409">
        <f>'2027'!Wh/'2027'!Env_an*'2028'!Env_an</f>
        <v>10.645394322169267</v>
      </c>
      <c r="C351" s="829"/>
      <c r="D351" s="391">
        <f t="shared" si="127"/>
        <v>11.408851366853431</v>
      </c>
      <c r="E351" s="383">
        <f t="shared" si="125"/>
        <v>12.030025103320538</v>
      </c>
      <c r="F351" s="383">
        <f t="shared" si="128"/>
        <v>12.065445704091967</v>
      </c>
      <c r="G351" s="110">
        <f t="shared" si="126"/>
        <v>0.43457687555559543</v>
      </c>
      <c r="H351" s="412" t="b">
        <f>Wh_hp&gt;='2027'!Maxi_hp</f>
        <v>0</v>
      </c>
      <c r="I351" s="388">
        <f>IF(H351,Wh_hp,'2027'!Maxi_hp)</f>
        <v>17.956998625515752</v>
      </c>
      <c r="J351" s="85">
        <f>IF(H351,An,'2027'!An_max)</f>
        <v>2021</v>
      </c>
      <c r="K351" s="197">
        <f t="shared" si="129"/>
        <v>47089</v>
      </c>
      <c r="L351" s="147">
        <f>IF(t&lt;Tvie,1-EXP((T0-t)*PertePVj)+'2027'!Pspv,1-EXP((T0-t)*PertePVj)+Pspv)</f>
        <v>6.6917958708995418E-2</v>
      </c>
      <c r="M351" s="832"/>
      <c r="N351" s="832"/>
      <c r="O351" s="48">
        <f>IF(t&lt;Tnet,'2027'!Resal+('2027'!Salim-'2027'!Resal)*(1-EXP(('2027'!Tnet-t)/('2027'!Tau_j))),Resal+(Salim-Resal)*(1-EXP((Tnet-t)/(Tau_j))))*Salcycl</f>
        <v>5.1635281816298985E-2</v>
      </c>
      <c r="P351" s="169">
        <f>(INDEX(Models!$BJ351:$BT351,,T351)*(1-R351)+INDEX(Models!$BJ351:$BT351,,T351+1)*R351-ERP_i)*Q351*Ramure*Pc/MaxiM</f>
        <v>1.4703001821550127E-2</v>
      </c>
      <c r="Q351" s="304">
        <f t="shared" si="130"/>
        <v>0.7</v>
      </c>
      <c r="R351" s="177">
        <f t="shared" si="131"/>
        <v>0.97878978958898921</v>
      </c>
      <c r="S351" s="799">
        <f t="shared" si="132"/>
        <v>-1</v>
      </c>
      <c r="T351" s="176">
        <f t="shared" si="133"/>
        <v>5</v>
      </c>
      <c r="U351" s="250">
        <f t="shared" si="134"/>
        <v>-2.1210210411010844E-2</v>
      </c>
      <c r="V351" s="382">
        <f t="shared" si="135"/>
        <v>24.206897738743137</v>
      </c>
      <c r="W351" s="400">
        <f t="shared" si="136"/>
        <v>10.645394322169267</v>
      </c>
      <c r="X351" s="157">
        <f t="shared" si="137"/>
        <v>47089</v>
      </c>
      <c r="Y351" s="383">
        <f t="shared" si="138"/>
        <v>10.142232394840544</v>
      </c>
      <c r="Z351" s="383">
        <f t="shared" si="139"/>
        <v>10.869604114133239</v>
      </c>
      <c r="AA351" s="384">
        <f t="shared" si="140"/>
        <v>11.786847965884245</v>
      </c>
      <c r="AB351" s="197">
        <f t="shared" si="141"/>
        <v>47089</v>
      </c>
      <c r="AC351" s="119">
        <f>IF(OR(t&lt;Tnet,NoTnet),'2027'!Resal_s+('2027'!Salim-'2027'!Resal_s)*(1-EXP(('2027'!Tnet_s-t)/'2027'!Tau_j)),Resal_s+(Salim-Resal_s)*(1-EXP((Tnet_s-t)/Tau_j)))*Salcycl</f>
        <v>7.7819265541209146E-2</v>
      </c>
      <c r="AD351" s="230">
        <f>(INDEX(Models!$BJ351:$BT351,,AH351)*(1-AF351)+INDEX(Models!$BJ351:$BT351,,AH351+1)*AF351-ERP_i)*AE351*Ramure*Pc/MaxiM</f>
        <v>0.11564521671388378</v>
      </c>
      <c r="AE351" s="304">
        <f t="shared" si="142"/>
        <v>0.7</v>
      </c>
      <c r="AF351" s="177">
        <f t="shared" si="143"/>
        <v>0.73444762042834011</v>
      </c>
      <c r="AG351" s="799">
        <f t="shared" si="149"/>
        <v>2</v>
      </c>
      <c r="AH351" s="176">
        <f t="shared" si="144"/>
        <v>8</v>
      </c>
      <c r="AI351" s="224">
        <f t="shared" si="145"/>
        <v>2.7344476204283401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47090</v>
      </c>
      <c r="B352" s="409">
        <f>'2027'!Wh/'2027'!Env_an*'2028'!Env_an</f>
        <v>20.838678537928534</v>
      </c>
      <c r="C352" s="829"/>
      <c r="D352" s="391">
        <f t="shared" si="127"/>
        <v>22.333596609864898</v>
      </c>
      <c r="E352" s="383">
        <f t="shared" si="125"/>
        <v>23.55051001183719</v>
      </c>
      <c r="F352" s="383">
        <f t="shared" si="128"/>
        <v>23.834750577464167</v>
      </c>
      <c r="G352" s="110">
        <f t="shared" si="126"/>
        <v>0.86542651756117872</v>
      </c>
      <c r="H352" s="412" t="b">
        <f>Wh_hp&gt;='2027'!Maxi_hp</f>
        <v>0</v>
      </c>
      <c r="I352" s="388">
        <f>IF(H352,Wh_hp,'2027'!Maxi_hp)</f>
        <v>23.881775382002694</v>
      </c>
      <c r="J352" s="85">
        <f>IF(H352,An,'2027'!An_max)</f>
        <v>2026</v>
      </c>
      <c r="K352" s="197">
        <f t="shared" si="129"/>
        <v>47090</v>
      </c>
      <c r="L352" s="147">
        <f>IF(t&lt;Tvie,1-EXP((T0-t)*PertePVj)+'2027'!Pspv,1-EXP((T0-t)*PertePVj)+Pspv)</f>
        <v>6.6935841013446518E-2</v>
      </c>
      <c r="M352" s="832"/>
      <c r="N352" s="832"/>
      <c r="O352" s="48">
        <f>IF(t&lt;Tnet,'2027'!Resal+('2027'!Salim-'2027'!Resal)*(1-EXP(('2027'!Tnet-t)/('2027'!Tau_j))),Resal+(Salim-Resal)*(1-EXP((Tnet-t)/(Tau_j))))*Salcycl</f>
        <v>5.1672486131325156E-2</v>
      </c>
      <c r="P352" s="169">
        <f>(INDEX(Models!$BJ352:$BT352,,T352)*(1-R352)+INDEX(Models!$BJ352:$BT352,,T352+1)*R352-ERP_i)*Q352*Ramure*Pc/MaxiM</f>
        <v>1.470040380884142E-2</v>
      </c>
      <c r="Q352" s="304">
        <f t="shared" si="130"/>
        <v>0.7</v>
      </c>
      <c r="R352" s="177">
        <f t="shared" si="131"/>
        <v>0.97880142816629712</v>
      </c>
      <c r="S352" s="799">
        <f t="shared" si="132"/>
        <v>-1</v>
      </c>
      <c r="T352" s="176">
        <f t="shared" si="133"/>
        <v>5</v>
      </c>
      <c r="U352" s="250">
        <f t="shared" si="134"/>
        <v>-2.1198571833702884E-2</v>
      </c>
      <c r="V352" s="382">
        <f t="shared" si="135"/>
        <v>24.011460482140865</v>
      </c>
      <c r="W352" s="400">
        <f t="shared" si="136"/>
        <v>20.838678537928534</v>
      </c>
      <c r="X352" s="157">
        <f t="shared" si="137"/>
        <v>47090</v>
      </c>
      <c r="Y352" s="383">
        <f t="shared" si="138"/>
        <v>18.55757863860093</v>
      </c>
      <c r="Z352" s="383">
        <f t="shared" si="139"/>
        <v>19.888855937577993</v>
      </c>
      <c r="AA352" s="384">
        <f t="shared" si="140"/>
        <v>21.567159668720809</v>
      </c>
      <c r="AB352" s="197">
        <f t="shared" si="141"/>
        <v>47090</v>
      </c>
      <c r="AC352" s="119">
        <f>IF(OR(t&lt;Tnet,NoTnet),'2027'!Resal_s+('2027'!Salim-'2027'!Resal_s)*(1-EXP(('2027'!Tnet_s-t)/'2027'!Tau_j)),Resal_s+(Salim-Resal_s)*(1-EXP((Tnet_s-t)/Tau_j)))*Salcycl</f>
        <v>7.7817559517440238E-2</v>
      </c>
      <c r="AD352" s="230">
        <f>(INDEX(Models!$BJ352:$BT352,,AH352)*(1-AF352)+INDEX(Models!$BJ352:$BT352,,AH352+1)*AF352-ERP_i)*AE352*Ramure*Pc/MaxiM</f>
        <v>0.11727566738497015</v>
      </c>
      <c r="AE352" s="304">
        <f t="shared" si="142"/>
        <v>0.7</v>
      </c>
      <c r="AF352" s="177">
        <f t="shared" si="143"/>
        <v>0.73445925900564779</v>
      </c>
      <c r="AG352" s="799">
        <f t="shared" si="149"/>
        <v>2</v>
      </c>
      <c r="AH352" s="176">
        <f t="shared" si="144"/>
        <v>8</v>
      </c>
      <c r="AI352" s="224">
        <f t="shared" si="145"/>
        <v>2.7344592590056478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47091</v>
      </c>
      <c r="B353" s="409">
        <f>'2027'!Wh/'2027'!Env_an*'2028'!Env_an</f>
        <v>24.699909559116708</v>
      </c>
      <c r="C353" s="829"/>
      <c r="D353" s="391">
        <f t="shared" si="127"/>
        <v>26.472330652105327</v>
      </c>
      <c r="E353" s="383">
        <f t="shared" si="125"/>
        <v>27.915873638095693</v>
      </c>
      <c r="F353" s="383">
        <f t="shared" si="128"/>
        <v>28.332410903227839</v>
      </c>
      <c r="G353" s="110">
        <f t="shared" si="126"/>
        <v>1.0367954994143609</v>
      </c>
      <c r="H353" s="412" t="b">
        <f>Wh_hp&gt;='2027'!Maxi_hp</f>
        <v>1</v>
      </c>
      <c r="I353" s="388">
        <f>IF(H353,Wh_hp,'2027'!Maxi_hp)</f>
        <v>28.332410903227839</v>
      </c>
      <c r="J353" s="85">
        <f>IF(H353,An,'2027'!An_max)</f>
        <v>2028</v>
      </c>
      <c r="K353" s="197">
        <f t="shared" si="129"/>
        <v>47091</v>
      </c>
      <c r="L353" s="147">
        <f>IF(t&lt;Tvie,1-EXP((T0-t)*PertePVj)+'2027'!Pspv,1-EXP((T0-t)*PertePVj)+Pspv)</f>
        <v>6.6953722975187313E-2</v>
      </c>
      <c r="M353" s="832"/>
      <c r="N353" s="832"/>
      <c r="O353" s="48">
        <f>IF(t&lt;Tnet,'2027'!Resal+('2027'!Salim-'2027'!Resal)*(1-EXP(('2027'!Tnet-t)/('2027'!Tau_j))),Resal+(Salim-Resal)*(1-EXP((Tnet-t)/(Tau_j))))*Salcycl</f>
        <v>5.1710471422267056E-2</v>
      </c>
      <c r="P353" s="169">
        <f>(INDEX(Models!$BJ353:$BT353,,T353)*(1-R353)+INDEX(Models!$BJ353:$BT353,,T353+1)*R353-ERP_i)*Q353*Ramure*Pc/MaxiM</f>
        <v>1.4701793876803157E-2</v>
      </c>
      <c r="Q353" s="304">
        <f t="shared" si="130"/>
        <v>0.7</v>
      </c>
      <c r="R353" s="177">
        <f t="shared" si="131"/>
        <v>0.97881259877699223</v>
      </c>
      <c r="S353" s="799">
        <f t="shared" si="132"/>
        <v>-1</v>
      </c>
      <c r="T353" s="176">
        <f t="shared" si="133"/>
        <v>5</v>
      </c>
      <c r="U353" s="250">
        <f t="shared" si="134"/>
        <v>-2.1187401223007718E-2</v>
      </c>
      <c r="V353" s="382">
        <f t="shared" si="135"/>
        <v>23.823318651622788</v>
      </c>
      <c r="W353" s="400">
        <f t="shared" si="136"/>
        <v>24.699909559116708</v>
      </c>
      <c r="X353" s="157">
        <f t="shared" si="137"/>
        <v>47091</v>
      </c>
      <c r="Y353" s="383">
        <f t="shared" si="138"/>
        <v>21.481970459545522</v>
      </c>
      <c r="Z353" s="383">
        <f t="shared" si="139"/>
        <v>23.02347802945496</v>
      </c>
      <c r="AA353" s="384">
        <f t="shared" si="140"/>
        <v>24.966282546109941</v>
      </c>
      <c r="AB353" s="197">
        <f t="shared" si="141"/>
        <v>47091</v>
      </c>
      <c r="AC353" s="119">
        <f>IF(OR(t&lt;Tnet,NoTnet),'2027'!Resal_s+('2027'!Salim-'2027'!Resal_s)*(1-EXP(('2027'!Tnet_s-t)/'2027'!Tau_j)),Resal_s+(Salim-Resal_s)*(1-EXP((Tnet_s-t)/Tau_j)))*Salcycl</f>
        <v>7.7817132489261823E-2</v>
      </c>
      <c r="AD353" s="230">
        <f>(INDEX(Models!$BJ353:$BT353,,AH353)*(1-AF353)+INDEX(Models!$BJ353:$BT353,,AH353+1)*AF353-ERP_i)*AE353*Ramure*Pc/MaxiM</f>
        <v>0.11880839821980703</v>
      </c>
      <c r="AE353" s="304">
        <f t="shared" si="142"/>
        <v>0.7</v>
      </c>
      <c r="AF353" s="177">
        <f t="shared" si="143"/>
        <v>0.7344704296163429</v>
      </c>
      <c r="AG353" s="799">
        <f t="shared" si="149"/>
        <v>2</v>
      </c>
      <c r="AH353" s="176">
        <f t="shared" si="144"/>
        <v>8</v>
      </c>
      <c r="AI353" s="224">
        <f t="shared" si="145"/>
        <v>2.7344704296163429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47092</v>
      </c>
      <c r="B354" s="409">
        <f>'2027'!Wh/'2027'!Env_an*'2028'!Env_an</f>
        <v>15.656950496087724</v>
      </c>
      <c r="C354" s="829"/>
      <c r="D354" s="391">
        <f t="shared" si="127"/>
        <v>16.780786708295722</v>
      </c>
      <c r="E354" s="383">
        <f t="shared" si="125"/>
        <v>17.696570441600127</v>
      </c>
      <c r="F354" s="383">
        <f t="shared" si="128"/>
        <v>17.832263845696257</v>
      </c>
      <c r="G354" s="110">
        <f t="shared" si="126"/>
        <v>0.65746229092991693</v>
      </c>
      <c r="H354" s="412" t="b">
        <f>Wh_hp&gt;='2027'!Maxi_hp</f>
        <v>0</v>
      </c>
      <c r="I354" s="388">
        <f>IF(H354,Wh_hp,'2027'!Maxi_hp)</f>
        <v>24.344380996305986</v>
      </c>
      <c r="J354" s="85">
        <f>IF(H354,An,'2027'!An_max)</f>
        <v>2020</v>
      </c>
      <c r="K354" s="197">
        <f t="shared" si="129"/>
        <v>47092</v>
      </c>
      <c r="L354" s="147">
        <f>IF(t&lt;Tvie,1-EXP((T0-t)*PertePVj)+'2027'!Pspv,1-EXP((T0-t)*PertePVj)+Pspv)</f>
        <v>6.6971604594224465E-2</v>
      </c>
      <c r="M354" s="832"/>
      <c r="N354" s="832"/>
      <c r="O354" s="48">
        <f>IF(t&lt;Tnet,'2027'!Resal+('2027'!Salim-'2027'!Resal)*(1-EXP(('2027'!Tnet-t)/('2027'!Tau_j))),Resal+(Salim-Resal)*(1-EXP((Tnet-t)/(Tau_j))))*Salcycl</f>
        <v>5.1749220919756818E-2</v>
      </c>
      <c r="P354" s="169">
        <f>(INDEX(Models!$BJ354:$BT354,,T354)*(1-R354)+INDEX(Models!$BJ354:$BT354,,T354+1)*R354-ERP_i)*Q354*Ramure*Pc/MaxiM</f>
        <v>1.4706332943507134E-2</v>
      </c>
      <c r="Q354" s="304">
        <f t="shared" si="130"/>
        <v>0.7</v>
      </c>
      <c r="R354" s="177">
        <f t="shared" si="131"/>
        <v>0.97882332021261065</v>
      </c>
      <c r="S354" s="799">
        <f t="shared" si="132"/>
        <v>-1</v>
      </c>
      <c r="T354" s="176">
        <f t="shared" si="133"/>
        <v>5</v>
      </c>
      <c r="U354" s="250">
        <f t="shared" si="134"/>
        <v>-2.1176679787389352E-2</v>
      </c>
      <c r="V354" s="382">
        <f t="shared" si="135"/>
        <v>23.643915212314116</v>
      </c>
      <c r="W354" s="400">
        <f t="shared" si="136"/>
        <v>15.656950496087724</v>
      </c>
      <c r="X354" s="157">
        <f t="shared" si="137"/>
        <v>47092</v>
      </c>
      <c r="Y354" s="383">
        <f t="shared" si="138"/>
        <v>14.388742390641287</v>
      </c>
      <c r="Z354" s="383">
        <f t="shared" si="139"/>
        <v>15.421548220280691</v>
      </c>
      <c r="AA354" s="384">
        <f t="shared" si="140"/>
        <v>16.722889285831876</v>
      </c>
      <c r="AB354" s="197">
        <f t="shared" si="141"/>
        <v>47092</v>
      </c>
      <c r="AC354" s="119">
        <f>IF(OR(t&lt;Tnet,NoTnet),'2027'!Resal_s+('2027'!Salim-'2027'!Resal_s)*(1-EXP(('2027'!Tnet_s-t)/'2027'!Tau_j)),Resal_s+(Salim-Resal_s)*(1-EXP((Tnet_s-t)/Tau_j)))*Salcycl</f>
        <v>7.7817956174219119E-2</v>
      </c>
      <c r="AD354" s="230">
        <f>(INDEX(Models!$BJ354:$BT354,,AH354)*(1-AF354)+INDEX(Models!$BJ354:$BT354,,AH354+1)*AF354-ERP_i)*AE354*Ramure*Pc/MaxiM</f>
        <v>0.1202330485044377</v>
      </c>
      <c r="AE354" s="304">
        <f t="shared" si="142"/>
        <v>0.7</v>
      </c>
      <c r="AF354" s="177">
        <f t="shared" si="143"/>
        <v>0.73448115105196132</v>
      </c>
      <c r="AG354" s="799">
        <f t="shared" si="149"/>
        <v>2</v>
      </c>
      <c r="AH354" s="176">
        <f t="shared" si="144"/>
        <v>8</v>
      </c>
      <c r="AI354" s="224">
        <f t="shared" si="145"/>
        <v>2.7344811510519613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47093</v>
      </c>
      <c r="B355" s="409">
        <f>'2027'!Wh/'2027'!Env_an*'2028'!Env_an</f>
        <v>18.323947972952674</v>
      </c>
      <c r="C355" s="829"/>
      <c r="D355" s="391">
        <f t="shared" si="127"/>
        <v>19.639594297659343</v>
      </c>
      <c r="E355" s="383">
        <f t="shared" si="125"/>
        <v>20.712255401109712</v>
      </c>
      <c r="F355" s="383">
        <f t="shared" si="128"/>
        <v>20.923610470097664</v>
      </c>
      <c r="G355" s="110">
        <f t="shared" si="126"/>
        <v>0.77694639069006655</v>
      </c>
      <c r="H355" s="412" t="b">
        <f>Wh_hp&gt;='2027'!Maxi_hp</f>
        <v>0</v>
      </c>
      <c r="I355" s="388">
        <f>IF(H355,Wh_hp,'2027'!Maxi_hp)</f>
        <v>20.992430963698428</v>
      </c>
      <c r="J355" s="85">
        <f>IF(H355,An,'2027'!An_max)</f>
        <v>2026</v>
      </c>
      <c r="K355" s="197">
        <f t="shared" si="129"/>
        <v>47093</v>
      </c>
      <c r="L355" s="147">
        <f>IF(t&lt;Tvie,1-EXP((T0-t)*PertePVj)+'2027'!Pspv,1-EXP((T0-t)*PertePVj)+Pspv)</f>
        <v>6.6989485870564414E-2</v>
      </c>
      <c r="M355" s="832"/>
      <c r="N355" s="832"/>
      <c r="O355" s="48">
        <f>IF(t&lt;Tnet,'2027'!Resal+('2027'!Salim-'2027'!Resal)*(1-EXP(('2027'!Tnet-t)/('2027'!Tau_j))),Resal+(Salim-Resal)*(1-EXP((Tnet-t)/(Tau_j))))*Salcycl</f>
        <v>5.1788715554024048E-2</v>
      </c>
      <c r="P355" s="169">
        <f>(INDEX(Models!$BJ355:$BT355,,T355)*(1-R355)+INDEX(Models!$BJ355:$BT355,,T355+1)*R355-ERP_i)*Q355*Ramure*Pc/MaxiM</f>
        <v>1.4713148100622138E-2</v>
      </c>
      <c r="Q355" s="304">
        <f t="shared" si="130"/>
        <v>0.7</v>
      </c>
      <c r="R355" s="177">
        <f t="shared" si="131"/>
        <v>0.97883361051203877</v>
      </c>
      <c r="S355" s="799">
        <f t="shared" si="132"/>
        <v>-1</v>
      </c>
      <c r="T355" s="176">
        <f t="shared" si="133"/>
        <v>5</v>
      </c>
      <c r="U355" s="250">
        <f t="shared" si="134"/>
        <v>-2.116638948796129E-2</v>
      </c>
      <c r="V355" s="382">
        <f t="shared" si="135"/>
        <v>23.474692793116677</v>
      </c>
      <c r="W355" s="400">
        <f t="shared" si="136"/>
        <v>18.323947972952674</v>
      </c>
      <c r="X355" s="157">
        <f t="shared" si="137"/>
        <v>47093</v>
      </c>
      <c r="Y355" s="383">
        <f t="shared" si="138"/>
        <v>16.500563301193086</v>
      </c>
      <c r="Z355" s="383">
        <f t="shared" si="139"/>
        <v>17.685291913981562</v>
      </c>
      <c r="AA355" s="384">
        <f t="shared" si="140"/>
        <v>19.17770055022369</v>
      </c>
      <c r="AB355" s="197">
        <f t="shared" si="141"/>
        <v>47093</v>
      </c>
      <c r="AC355" s="119">
        <f>IF(OR(t&lt;Tnet,NoTnet),'2027'!Resal_s+('2027'!Salim-'2027'!Resal_s)*(1-EXP(('2027'!Tnet_s-t)/'2027'!Tau_j)),Resal_s+(Salim-Resal_s)*(1-EXP((Tnet_s-t)/Tau_j)))*Salcycl</f>
        <v>7.781999892707267E-2</v>
      </c>
      <c r="AD355" s="230">
        <f>(INDEX(Models!$BJ355:$BT355,,AH355)*(1-AF355)+INDEX(Models!$BJ355:$BT355,,AH355+1)*AF355-ERP_i)*AE355*Ramure*Pc/MaxiM</f>
        <v>0.12153875156367942</v>
      </c>
      <c r="AE355" s="304">
        <f t="shared" si="142"/>
        <v>0.7</v>
      </c>
      <c r="AF355" s="177">
        <f t="shared" si="143"/>
        <v>0.73449144135138944</v>
      </c>
      <c r="AG355" s="799">
        <f t="shared" si="149"/>
        <v>2</v>
      </c>
      <c r="AH355" s="176">
        <f t="shared" si="144"/>
        <v>8</v>
      </c>
      <c r="AI355" s="224">
        <f t="shared" si="145"/>
        <v>2.7344914413513894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47094</v>
      </c>
      <c r="B356" s="409">
        <f>'2027'!Wh/'2027'!Env_an*'2028'!Env_an</f>
        <v>4.4656288336198049</v>
      </c>
      <c r="C356" s="829"/>
      <c r="D356" s="391">
        <f t="shared" si="127"/>
        <v>4.7863495109534311</v>
      </c>
      <c r="E356" s="383">
        <f t="shared" si="125"/>
        <v>5.047980984924326</v>
      </c>
      <c r="F356" s="383">
        <f t="shared" si="128"/>
        <v>5.047980984924326</v>
      </c>
      <c r="G356" s="110">
        <f t="shared" si="126"/>
        <v>0.18869799498306428</v>
      </c>
      <c r="H356" s="412" t="b">
        <f>Wh_hp&gt;='2027'!Maxi_hp</f>
        <v>0</v>
      </c>
      <c r="I356" s="388">
        <f>IF(H356,Wh_hp,'2027'!Maxi_hp)</f>
        <v>18.164839905008368</v>
      </c>
      <c r="J356" s="85">
        <f>IF(H356,An,'2027'!An_max)</f>
        <v>2018</v>
      </c>
      <c r="K356" s="197">
        <f t="shared" si="129"/>
        <v>47094</v>
      </c>
      <c r="L356" s="147">
        <f>IF(t&lt;Tvie,1-EXP((T0-t)*PertePVj)+'2027'!Pspv,1-EXP((T0-t)*PertePVj)+Pspv)</f>
        <v>6.7007366804213819E-2</v>
      </c>
      <c r="M356" s="832"/>
      <c r="N356" s="832"/>
      <c r="O356" s="48">
        <f>IF(t&lt;Tnet,'2027'!Resal+('2027'!Salim-'2027'!Resal)*(1-EXP(('2027'!Tnet-t)/('2027'!Tau_j))),Resal+(Salim-Resal)*(1-EXP((Tnet-t)/(Tau_j))))*Salcycl</f>
        <v>5.1828934132725712E-2</v>
      </c>
      <c r="P356" s="169">
        <f>(INDEX(Models!$BJ356:$BT356,,T356)*(1-R356)+INDEX(Models!$BJ356:$BT356,,T356+1)*R356-ERP_i)*Q356*Ramure*Pc/MaxiM</f>
        <v>1.4721333640062863E-2</v>
      </c>
      <c r="Q356" s="304">
        <f t="shared" si="130"/>
        <v>0.7</v>
      </c>
      <c r="R356" s="177">
        <f t="shared" si="131"/>
        <v>0.97884348699150592</v>
      </c>
      <c r="S356" s="799">
        <f t="shared" si="132"/>
        <v>-1</v>
      </c>
      <c r="T356" s="176">
        <f t="shared" si="133"/>
        <v>5</v>
      </c>
      <c r="U356" s="250">
        <f t="shared" si="134"/>
        <v>-2.1156513008494082E-2</v>
      </c>
      <c r="V356" s="382">
        <f t="shared" si="135"/>
        <v>23.317093655617779</v>
      </c>
      <c r="W356" s="400">
        <f t="shared" si="136"/>
        <v>4.4656288336198049</v>
      </c>
      <c r="X356" s="157">
        <f t="shared" si="137"/>
        <v>47094</v>
      </c>
      <c r="Y356" s="383">
        <f t="shared" si="138"/>
        <v>4.3432027614324573</v>
      </c>
      <c r="Z356" s="383">
        <f t="shared" si="139"/>
        <v>4.6551308197961374</v>
      </c>
      <c r="AA356" s="384">
        <f t="shared" si="140"/>
        <v>5.047980984924326</v>
      </c>
      <c r="AB356" s="197">
        <f t="shared" si="141"/>
        <v>47094</v>
      </c>
      <c r="AC356" s="119">
        <f>IF(OR(t&lt;Tnet,NoTnet),'2027'!Resal_s+('2027'!Salim-'2027'!Resal_s)*(1-EXP(('2027'!Tnet_s-t)/'2027'!Tau_j)),Resal_s+(Salim-Resal_s)*(1-EXP((Tnet_s-t)/Tau_j)))*Salcycl</f>
        <v>7.7823226018763958E-2</v>
      </c>
      <c r="AD356" s="230">
        <f>(INDEX(Models!$BJ356:$BT356,,AH356)*(1-AF356)+INDEX(Models!$BJ356:$BT356,,AH356+1)*AF356-ERP_i)*AE356*Ramure*Pc/MaxiM</f>
        <v>0.12271423078878702</v>
      </c>
      <c r="AE356" s="304">
        <f t="shared" si="142"/>
        <v>0.7</v>
      </c>
      <c r="AF356" s="177">
        <f t="shared" si="143"/>
        <v>0.73450131783085659</v>
      </c>
      <c r="AG356" s="799">
        <f t="shared" si="149"/>
        <v>2</v>
      </c>
      <c r="AH356" s="176">
        <f t="shared" si="144"/>
        <v>8</v>
      </c>
      <c r="AI356" s="224">
        <f t="shared" si="145"/>
        <v>2.7345013178308566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47095</v>
      </c>
      <c r="B357" s="409">
        <f>'2027'!Wh/'2027'!Env_an*'2028'!Env_an</f>
        <v>9.0270409548591726</v>
      </c>
      <c r="C357" s="829"/>
      <c r="D357" s="391">
        <f t="shared" si="127"/>
        <v>9.6755468780437059</v>
      </c>
      <c r="E357" s="383">
        <f t="shared" si="125"/>
        <v>10.204872099100962</v>
      </c>
      <c r="F357" s="383">
        <f t="shared" si="128"/>
        <v>10.2241398646491</v>
      </c>
      <c r="G357" s="110">
        <f t="shared" si="126"/>
        <v>0.38454387613814844</v>
      </c>
      <c r="H357" s="412" t="b">
        <f>Wh_hp&gt;='2027'!Maxi_hp</f>
        <v>0</v>
      </c>
      <c r="I357" s="388">
        <f>IF(H357,Wh_hp,'2027'!Maxi_hp)</f>
        <v>10.317764311390514</v>
      </c>
      <c r="J357" s="85">
        <f>IF(H357,An,'2027'!An_max)</f>
        <v>2026</v>
      </c>
      <c r="K357" s="197">
        <f t="shared" si="129"/>
        <v>47095</v>
      </c>
      <c r="L357" s="147">
        <f>IF(t&lt;Tvie,1-EXP((T0-t)*PertePVj)+'2027'!Pspv,1-EXP((T0-t)*PertePVj)+Pspv)</f>
        <v>6.7025247395179233E-2</v>
      </c>
      <c r="M357" s="832"/>
      <c r="N357" s="832"/>
      <c r="O357" s="48">
        <f>IF(t&lt;Tnet,'2027'!Resal+('2027'!Salim-'2027'!Resal)*(1-EXP(('2027'!Tnet-t)/('2027'!Tau_j))),Resal+(Salim-Resal)*(1-EXP((Tnet-t)/(Tau_j))))*Salcycl</f>
        <v>5.1869853528481731E-2</v>
      </c>
      <c r="P357" s="169">
        <f>(INDEX(Models!$BJ357:$BT357,,T357)*(1-R357)+INDEX(Models!$BJ357:$BT357,,T357+1)*R357-ERP_i)*Q357*Ramure*Pc/MaxiM</f>
        <v>1.4729953409338354E-2</v>
      </c>
      <c r="Q357" s="304">
        <f t="shared" si="130"/>
        <v>0.7</v>
      </c>
      <c r="R357" s="177">
        <f t="shared" si="131"/>
        <v>0.97885296627339402</v>
      </c>
      <c r="S357" s="799">
        <f t="shared" si="132"/>
        <v>-1</v>
      </c>
      <c r="T357" s="176">
        <f t="shared" si="133"/>
        <v>5</v>
      </c>
      <c r="U357" s="250">
        <f t="shared" si="134"/>
        <v>-2.1147033726606035E-2</v>
      </c>
      <c r="V357" s="382">
        <f t="shared" si="135"/>
        <v>23.172559668385649</v>
      </c>
      <c r="W357" s="400">
        <f t="shared" si="136"/>
        <v>9.0270409548591726</v>
      </c>
      <c r="X357" s="157">
        <f t="shared" si="137"/>
        <v>47095</v>
      </c>
      <c r="Y357" s="383">
        <f t="shared" si="138"/>
        <v>8.6572099069927884</v>
      </c>
      <c r="Z357" s="383">
        <f t="shared" si="139"/>
        <v>9.2791470324596386</v>
      </c>
      <c r="AA357" s="384">
        <f t="shared" si="140"/>
        <v>10.062269302075986</v>
      </c>
      <c r="AB357" s="197">
        <f t="shared" si="141"/>
        <v>47095</v>
      </c>
      <c r="AC357" s="119">
        <f>IF(OR(t&lt;Tnet,NoTnet),'2027'!Resal_s+('2027'!Salim-'2027'!Resal_s)*(1-EXP(('2027'!Tnet_s-t)/'2027'!Tau_j)),Resal_s+(Salim-Resal_s)*(1-EXP((Tnet_s-t)/Tau_j)))*Salcycl</f>
        <v>7.782759992865422E-2</v>
      </c>
      <c r="AD357" s="230">
        <f>(INDEX(Models!$BJ357:$BT357,,AH357)*(1-AF357)+INDEX(Models!$BJ357:$BT357,,AH357+1)*AF357-ERP_i)*AE357*Ramure*Pc/MaxiM</f>
        <v>0.12374791664806072</v>
      </c>
      <c r="AE357" s="304">
        <f t="shared" si="142"/>
        <v>0.7</v>
      </c>
      <c r="AF357" s="177">
        <f t="shared" si="143"/>
        <v>0.73451079711274492</v>
      </c>
      <c r="AG357" s="799">
        <f t="shared" si="149"/>
        <v>2</v>
      </c>
      <c r="AH357" s="176">
        <f t="shared" si="144"/>
        <v>8</v>
      </c>
      <c r="AI357" s="224">
        <f t="shared" si="145"/>
        <v>2.7345107971127449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47096</v>
      </c>
      <c r="B358" s="409">
        <f>'2027'!Wh/'2027'!Env_an*'2028'!Env_an</f>
        <v>15.101373953077243</v>
      </c>
      <c r="C358" s="829"/>
      <c r="D358" s="391">
        <f t="shared" si="127"/>
        <v>16.186572392068943</v>
      </c>
      <c r="E358" s="383">
        <f t="shared" si="125"/>
        <v>17.072848704748608</v>
      </c>
      <c r="F358" s="383">
        <f t="shared" si="128"/>
        <v>17.20155200044049</v>
      </c>
      <c r="G358" s="110">
        <f t="shared" si="126"/>
        <v>0.65057835730760138</v>
      </c>
      <c r="H358" s="412" t="b">
        <f>Wh_hp&gt;='2027'!Maxi_hp</f>
        <v>0</v>
      </c>
      <c r="I358" s="388">
        <f>IF(H358,Wh_hp,'2027'!Maxi_hp)</f>
        <v>19.483808473016875</v>
      </c>
      <c r="J358" s="85">
        <f>IF(H358,An,'2027'!An_max)</f>
        <v>2018</v>
      </c>
      <c r="K358" s="197">
        <f t="shared" si="129"/>
        <v>47096</v>
      </c>
      <c r="L358" s="147">
        <f>IF(t&lt;Tvie,1-EXP((T0-t)*PertePVj)+'2027'!Pspv,1-EXP((T0-t)*PertePVj)+Pspv)</f>
        <v>6.7043127643467093E-2</v>
      </c>
      <c r="M358" s="832"/>
      <c r="N358" s="832"/>
      <c r="O358" s="48">
        <f>IF(t&lt;Tnet,'2027'!Resal+('2027'!Salim-'2027'!Resal)*(1-EXP(('2027'!Tnet-t)/('2027'!Tau_j))),Resal+(Salim-Resal)*(1-EXP((Tnet-t)/(Tau_j))))*Salcycl</f>
        <v>5.1911448874560673E-2</v>
      </c>
      <c r="P358" s="169">
        <f>(INDEX(Models!$BJ358:$BT358,,T358)*(1-R358)+INDEX(Models!$BJ358:$BT358,,T358+1)*R358-ERP_i)*Q358*Ramure*Pc/MaxiM</f>
        <v>1.473804460302742E-2</v>
      </c>
      <c r="Q358" s="304">
        <f t="shared" si="130"/>
        <v>0.7</v>
      </c>
      <c r="R358" s="177">
        <f t="shared" si="131"/>
        <v>0.97886206431390965</v>
      </c>
      <c r="S358" s="799">
        <f t="shared" si="132"/>
        <v>-1</v>
      </c>
      <c r="T358" s="176">
        <f t="shared" si="133"/>
        <v>5</v>
      </c>
      <c r="U358" s="250">
        <f t="shared" si="134"/>
        <v>-2.1137935686090403E-2</v>
      </c>
      <c r="V358" s="382">
        <f t="shared" si="135"/>
        <v>23.042532293019796</v>
      </c>
      <c r="W358" s="400">
        <f t="shared" si="136"/>
        <v>15.101373953077243</v>
      </c>
      <c r="X358" s="157">
        <f t="shared" si="137"/>
        <v>47096</v>
      </c>
      <c r="Y358" s="383">
        <f t="shared" si="138"/>
        <v>13.862870030316964</v>
      </c>
      <c r="Z358" s="383">
        <f t="shared" si="139"/>
        <v>14.859068453294181</v>
      </c>
      <c r="AA358" s="384">
        <f t="shared" si="140"/>
        <v>16.11320916144965</v>
      </c>
      <c r="AB358" s="197">
        <f t="shared" si="141"/>
        <v>47096</v>
      </c>
      <c r="AC358" s="119">
        <f>IF(OR(t&lt;Tnet,NoTnet),'2027'!Resal_s+('2027'!Salim-'2027'!Resal_s)*(1-EXP(('2027'!Tnet_s-t)/'2027'!Tau_j)),Resal_s+(Salim-Resal_s)*(1-EXP((Tnet_s-t)/Tau_j)))*Salcycl</f>
        <v>7.783308064764409E-2</v>
      </c>
      <c r="AD358" s="230">
        <f>(INDEX(Models!$BJ358:$BT358,,AH358)*(1-AF358)+INDEX(Models!$BJ358:$BT358,,AH358+1)*AF358-ERP_i)*AE358*Ramure*Pc/MaxiM</f>
        <v>0.12462808522660103</v>
      </c>
      <c r="AE358" s="304">
        <f t="shared" si="142"/>
        <v>0.7</v>
      </c>
      <c r="AF358" s="177">
        <f t="shared" si="143"/>
        <v>0.73451989515326055</v>
      </c>
      <c r="AG358" s="799">
        <f t="shared" si="149"/>
        <v>2</v>
      </c>
      <c r="AH358" s="176">
        <f t="shared" si="144"/>
        <v>8</v>
      </c>
      <c r="AI358" s="224">
        <f t="shared" si="145"/>
        <v>2.7345198951532605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47097</v>
      </c>
      <c r="B359" s="409">
        <f>'2027'!Wh/'2027'!Env_an*'2028'!Env_an</f>
        <v>14.3973188255554</v>
      </c>
      <c r="C359" s="829"/>
      <c r="D359" s="391">
        <f t="shared" si="127"/>
        <v>15.432218979005617</v>
      </c>
      <c r="E359" s="383">
        <f t="shared" si="125"/>
        <v>16.27791688818062</v>
      </c>
      <c r="F359" s="383">
        <f t="shared" si="128"/>
        <v>16.391218107709197</v>
      </c>
      <c r="G359" s="110">
        <f t="shared" si="126"/>
        <v>0.62312487147360507</v>
      </c>
      <c r="H359" s="412" t="b">
        <f>Wh_hp&gt;='2027'!Maxi_hp</f>
        <v>0</v>
      </c>
      <c r="I359" s="388">
        <f>IF(H359,Wh_hp,'2027'!Maxi_hp)</f>
        <v>16.483070849051703</v>
      </c>
      <c r="J359" s="85">
        <f>IF(H359,An,'2027'!An_max)</f>
        <v>2026</v>
      </c>
      <c r="K359" s="197">
        <f t="shared" si="129"/>
        <v>47097</v>
      </c>
      <c r="L359" s="147">
        <f>IF(t&lt;Tvie,1-EXP((T0-t)*PertePVj)+'2027'!Pspv,1-EXP((T0-t)*PertePVj)+Pspv)</f>
        <v>6.7061007549084173E-2</v>
      </c>
      <c r="M359" s="832"/>
      <c r="N359" s="832"/>
      <c r="O359" s="48">
        <f>IF(t&lt;Tnet,'2027'!Resal+('2027'!Salim-'2027'!Resal)*(1-EXP(('2027'!Tnet-t)/('2027'!Tau_j))),Resal+(Salim-Resal)*(1-EXP((Tnet-t)/(Tau_j))))*Salcycl</f>
        <v>5.1953693767109926E-2</v>
      </c>
      <c r="P359" s="169">
        <f>(INDEX(Models!$BJ359:$BT359,,T359)*(1-R359)+INDEX(Models!$BJ359:$BT359,,T359+1)*R359-ERP_i)*Q359*Ramure*Pc/MaxiM</f>
        <v>1.4748256032417455E-2</v>
      </c>
      <c r="Q359" s="304">
        <f t="shared" si="130"/>
        <v>0.7</v>
      </c>
      <c r="R359" s="177">
        <f t="shared" si="131"/>
        <v>0.97887079642966268</v>
      </c>
      <c r="S359" s="799">
        <f t="shared" si="132"/>
        <v>-1</v>
      </c>
      <c r="T359" s="176">
        <f t="shared" si="133"/>
        <v>5</v>
      </c>
      <c r="U359" s="250">
        <f t="shared" si="134"/>
        <v>-2.1129203570337318E-2</v>
      </c>
      <c r="V359" s="382">
        <f t="shared" si="135"/>
        <v>22.922720065872841</v>
      </c>
      <c r="W359" s="400">
        <f t="shared" si="136"/>
        <v>14.3973188255554</v>
      </c>
      <c r="X359" s="157">
        <f t="shared" si="137"/>
        <v>47097</v>
      </c>
      <c r="Y359" s="383">
        <f t="shared" si="138"/>
        <v>13.273052237040659</v>
      </c>
      <c r="Z359" s="383">
        <f t="shared" si="139"/>
        <v>14.227138477909621</v>
      </c>
      <c r="AA359" s="384">
        <f t="shared" si="140"/>
        <v>15.428052298581029</v>
      </c>
      <c r="AB359" s="197">
        <f t="shared" si="141"/>
        <v>47097</v>
      </c>
      <c r="AC359" s="119">
        <f>IF(OR(t&lt;Tnet,NoTnet),'2027'!Resal_s+('2027'!Salim-'2027'!Resal_s)*(1-EXP(('2027'!Tnet_s-t)/'2027'!Tau_j)),Resal_s+(Salim-Resal_s)*(1-EXP((Tnet_s-t)/Tau_j)))*Salcycl</f>
        <v>7.7839625989721356E-2</v>
      </c>
      <c r="AD359" s="230">
        <f>(INDEX(Models!$BJ359:$BT359,,AH359)*(1-AF359)+INDEX(Models!$BJ359:$BT359,,AH359+1)*AF359-ERP_i)*AE359*Ramure*Pc/MaxiM</f>
        <v>0.12537390165610757</v>
      </c>
      <c r="AE359" s="304">
        <f t="shared" si="142"/>
        <v>0.7</v>
      </c>
      <c r="AF359" s="177">
        <f t="shared" si="143"/>
        <v>0.73452862726901325</v>
      </c>
      <c r="AG359" s="799">
        <f t="shared" si="149"/>
        <v>2</v>
      </c>
      <c r="AH359" s="176">
        <f t="shared" si="144"/>
        <v>8</v>
      </c>
      <c r="AI359" s="224">
        <f t="shared" si="145"/>
        <v>2.7345286272690132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47098</v>
      </c>
      <c r="B360" s="409">
        <f>'2027'!Wh/'2027'!Env_an*'2028'!Env_an</f>
        <v>6.6421365579199572</v>
      </c>
      <c r="C360" s="829"/>
      <c r="D360" s="391">
        <f t="shared" si="127"/>
        <v>7.119719412671957</v>
      </c>
      <c r="E360" s="383">
        <f t="shared" si="125"/>
        <v>7.5102252964598577</v>
      </c>
      <c r="F360" s="383">
        <f t="shared" si="128"/>
        <v>7.5102252964598577</v>
      </c>
      <c r="G360" s="110">
        <f t="shared" si="126"/>
        <v>0.28691355911210253</v>
      </c>
      <c r="H360" s="412" t="b">
        <f>Wh_hp&gt;='2027'!Maxi_hp</f>
        <v>0</v>
      </c>
      <c r="I360" s="388">
        <f>IF(H360,Wh_hp,'2027'!Maxi_hp)</f>
        <v>25.134038937177625</v>
      </c>
      <c r="J360" s="85">
        <f>IF(H360,An,'2027'!An_max)</f>
        <v>2021</v>
      </c>
      <c r="K360" s="197">
        <f t="shared" si="129"/>
        <v>47098</v>
      </c>
      <c r="L360" s="147">
        <f>IF(t&lt;Tvie,1-EXP((T0-t)*PertePVj)+'2027'!Pspv,1-EXP((T0-t)*PertePVj)+Pspv)</f>
        <v>6.7078887112036911E-2</v>
      </c>
      <c r="M360" s="832"/>
      <c r="N360" s="832"/>
      <c r="O360" s="48">
        <f>IF(t&lt;Tnet,'2027'!Resal+('2027'!Salim-'2027'!Resal)*(1-EXP(('2027'!Tnet-t)/('2027'!Tau_j))),Resal+(Salim-Resal)*(1-EXP((Tnet-t)/(Tau_j))))*Salcycl</f>
        <v>5.1996560472290537E-2</v>
      </c>
      <c r="P360" s="169">
        <f>(INDEX(Models!$BJ360:$BT360,,T360)*(1-R360)+INDEX(Models!$BJ360:$BT360,,T360+1)*R360-ERP_i)*Q360*Ramure*Pc/MaxiM</f>
        <v>1.4763492897040358E-2</v>
      </c>
      <c r="Q360" s="304">
        <f t="shared" si="130"/>
        <v>0.7</v>
      </c>
      <c r="R360" s="177">
        <f t="shared" si="131"/>
        <v>0.9788791773231944</v>
      </c>
      <c r="S360" s="799">
        <f t="shared" si="132"/>
        <v>-1</v>
      </c>
      <c r="T360" s="176">
        <f t="shared" si="133"/>
        <v>5</v>
      </c>
      <c r="U360" s="250">
        <f t="shared" si="134"/>
        <v>-2.112082267680554E-2</v>
      </c>
      <c r="V360" s="382">
        <f t="shared" si="135"/>
        <v>22.808526171706792</v>
      </c>
      <c r="W360" s="400">
        <f t="shared" si="136"/>
        <v>6.6421365579199572</v>
      </c>
      <c r="X360" s="157">
        <f t="shared" si="137"/>
        <v>47098</v>
      </c>
      <c r="Y360" s="383">
        <f t="shared" si="138"/>
        <v>6.4610154596678315</v>
      </c>
      <c r="Z360" s="383">
        <f t="shared" si="139"/>
        <v>6.9255753465231651</v>
      </c>
      <c r="AA360" s="384">
        <f t="shared" si="140"/>
        <v>7.5102252964598577</v>
      </c>
      <c r="AB360" s="197">
        <f t="shared" si="141"/>
        <v>47098</v>
      </c>
      <c r="AC360" s="119">
        <f>IF(OR(t&lt;Tnet,NoTnet),'2027'!Resal_s+('2027'!Salim-'2027'!Resal_s)*(1-EXP(('2027'!Tnet_s-t)/'2027'!Tau_j)),Resal_s+(Salim-Resal_s)*(1-EXP((Tnet_s-t)/Tau_j)))*Salcycl</f>
        <v>7.784719190944675E-2</v>
      </c>
      <c r="AD360" s="230">
        <f>(INDEX(Models!$BJ360:$BT360,,AH360)*(1-AF360)+INDEX(Models!$BJ360:$BT360,,AH360+1)*AF360-ERP_i)*AE360*Ramure*Pc/MaxiM</f>
        <v>0.12600752473456889</v>
      </c>
      <c r="AE360" s="304">
        <f t="shared" si="142"/>
        <v>0.7</v>
      </c>
      <c r="AF360" s="177">
        <f t="shared" si="143"/>
        <v>0.7345370081625453</v>
      </c>
      <c r="AG360" s="799">
        <f t="shared" si="149"/>
        <v>2</v>
      </c>
      <c r="AH360" s="176">
        <f t="shared" si="144"/>
        <v>8</v>
      </c>
      <c r="AI360" s="224">
        <f t="shared" si="145"/>
        <v>2.7345370081625453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47099</v>
      </c>
      <c r="B361" s="409">
        <f>'2027'!Wh/'2027'!Env_an*'2028'!Env_an</f>
        <v>6.2219638287924575</v>
      </c>
      <c r="C361" s="829"/>
      <c r="D361" s="391">
        <f t="shared" si="127"/>
        <v>6.6694632457549528</v>
      </c>
      <c r="E361" s="383">
        <f t="shared" ref="E361:E380" si="150">Wh_pvt/(1-Psa)</f>
        <v>7.0355957924683814</v>
      </c>
      <c r="F361" s="383">
        <f t="shared" si="128"/>
        <v>7.0355957924683814</v>
      </c>
      <c r="G361" s="110">
        <f t="shared" ref="G361:G380" si="151">+Wh_hp/MaxiM</f>
        <v>0.27003222751231964</v>
      </c>
      <c r="H361" s="412" t="b">
        <f>Wh_hp&gt;='2027'!Maxi_hp</f>
        <v>0</v>
      </c>
      <c r="I361" s="388">
        <f>IF(H361,Wh_hp,'2027'!Maxi_hp)</f>
        <v>25.832835378767957</v>
      </c>
      <c r="J361" s="85">
        <f>IF(H361,An,'2027'!An_max)</f>
        <v>2021</v>
      </c>
      <c r="K361" s="197">
        <f t="shared" si="129"/>
        <v>47099</v>
      </c>
      <c r="L361" s="147">
        <f>IF(t&lt;Tvie,1-EXP((T0-t)*PertePVj)+'2027'!Pspv,1-EXP((T0-t)*PertePVj)+Pspv)</f>
        <v>6.7096766332331859E-2</v>
      </c>
      <c r="M361" s="832"/>
      <c r="N361" s="832"/>
      <c r="O361" s="48">
        <f>IF(t&lt;Tnet,'2027'!Resal+('2027'!Salim-'2027'!Resal)*(1-EXP(('2027'!Tnet-t)/('2027'!Tau_j))),Resal+(Salim-Resal)*(1-EXP((Tnet-t)/(Tau_j))))*Salcycl</f>
        <v>5.2040020136656366E-2</v>
      </c>
      <c r="P361" s="169">
        <f>(INDEX(Models!$BJ361:$BT361,,T361)*(1-R361)+INDEX(Models!$BJ361:$BT361,,T361+1)*R361-ERP_i)*Q361*Ramure*Pc/MaxiM</f>
        <v>1.4779828902583074E-2</v>
      </c>
      <c r="Q361" s="304">
        <f t="shared" si="130"/>
        <v>0.7</v>
      </c>
      <c r="R361" s="177">
        <f t="shared" si="131"/>
        <v>0.97888722110749526</v>
      </c>
      <c r="S361" s="799">
        <f t="shared" si="132"/>
        <v>-1</v>
      </c>
      <c r="T361" s="176">
        <f t="shared" si="133"/>
        <v>5</v>
      </c>
      <c r="U361" s="250">
        <f t="shared" si="134"/>
        <v>-2.1112778892504791E-2</v>
      </c>
      <c r="V361" s="382">
        <f t="shared" si="135"/>
        <v>22.701009892181016</v>
      </c>
      <c r="W361" s="400">
        <f t="shared" si="136"/>
        <v>6.2219638287924575</v>
      </c>
      <c r="X361" s="157">
        <f t="shared" si="137"/>
        <v>47099</v>
      </c>
      <c r="Y361" s="383">
        <f t="shared" si="138"/>
        <v>6.0525216224122973</v>
      </c>
      <c r="Z361" s="383">
        <f t="shared" si="139"/>
        <v>6.487834326200236</v>
      </c>
      <c r="AA361" s="384">
        <f t="shared" si="140"/>
        <v>7.0355957924683814</v>
      </c>
      <c r="AB361" s="197">
        <f t="shared" si="141"/>
        <v>47099</v>
      </c>
      <c r="AC361" s="119">
        <f>IF(OR(t&lt;Tnet,NoTnet),'2027'!Resal_s+('2027'!Salim-'2027'!Resal_s)*(1-EXP(('2027'!Tnet_s-t)/'2027'!Tau_j)),Resal_s+(Salim-Resal_s)*(1-EXP((Tnet_s-t)/Tau_j)))*Salcycl</f>
        <v>7.7855732822872614E-2</v>
      </c>
      <c r="AD361" s="230">
        <f>(INDEX(Models!$BJ361:$BT361,,AH361)*(1-AF361)+INDEX(Models!$BJ361:$BT361,,AH361+1)*AF361-ERP_i)*AE361*Ramure*Pc/MaxiM</f>
        <v>0.1265842464281797</v>
      </c>
      <c r="AE361" s="304">
        <f t="shared" si="142"/>
        <v>0.7</v>
      </c>
      <c r="AF361" s="177">
        <f t="shared" si="143"/>
        <v>0.73454505194684572</v>
      </c>
      <c r="AG361" s="799">
        <f t="shared" si="149"/>
        <v>2</v>
      </c>
      <c r="AH361" s="176">
        <f t="shared" si="144"/>
        <v>8</v>
      </c>
      <c r="AI361" s="224">
        <f t="shared" si="145"/>
        <v>2.7345450519468457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47100</v>
      </c>
      <c r="B362" s="409">
        <f>'2027'!Wh/'2027'!Env_an*'2028'!Env_an</f>
        <v>14.603707824547616</v>
      </c>
      <c r="C362" s="829"/>
      <c r="D362" s="391">
        <f t="shared" si="127"/>
        <v>15.654343537030494</v>
      </c>
      <c r="E362" s="383">
        <f t="shared" si="150"/>
        <v>16.514484666509123</v>
      </c>
      <c r="F362" s="383">
        <f t="shared" si="128"/>
        <v>16.636210017934282</v>
      </c>
      <c r="G362" s="110">
        <f t="shared" si="151"/>
        <v>0.64128015434357999</v>
      </c>
      <c r="H362" s="412" t="b">
        <f>Wh_hp&gt;='2027'!Maxi_hp</f>
        <v>0</v>
      </c>
      <c r="I362" s="388">
        <f>IF(H362,Wh_hp,'2027'!Maxi_hp)</f>
        <v>25.956270173874294</v>
      </c>
      <c r="J362" s="85">
        <f>IF(H362,An,'2027'!An_max)</f>
        <v>2021</v>
      </c>
      <c r="K362" s="197">
        <f t="shared" si="129"/>
        <v>47100</v>
      </c>
      <c r="L362" s="147">
        <f>IF(t&lt;Tvie,1-EXP((T0-t)*PertePVj)+'2027'!Pspv,1-EXP((T0-t)*PertePVj)+Pspv)</f>
        <v>6.7114645209975676E-2</v>
      </c>
      <c r="M362" s="832"/>
      <c r="N362" s="832"/>
      <c r="O362" s="48">
        <f>IF(t&lt;Tnet,'2027'!Resal+('2027'!Salim-'2027'!Resal)*(1-EXP(('2027'!Tnet-t)/('2027'!Tau_j))),Resal+(Salim-Resal)*(1-EXP((Tnet-t)/(Tau_j))))*Salcycl</f>
        <v>5.2084042999111541E-2</v>
      </c>
      <c r="P362" s="169">
        <f>(INDEX(Models!$BJ362:$BT362,,T362)*(1-R362)+INDEX(Models!$BJ362:$BT362,,T362+1)*R362-ERP_i)*Q362*Ramure*Pc/MaxiM</f>
        <v>1.4796598065051446E-2</v>
      </c>
      <c r="Q362" s="304">
        <f t="shared" si="130"/>
        <v>0.7</v>
      </c>
      <c r="R362" s="177">
        <f t="shared" si="131"/>
        <v>0.97889494132955068</v>
      </c>
      <c r="S362" s="799">
        <f t="shared" si="132"/>
        <v>-1</v>
      </c>
      <c r="T362" s="176">
        <f t="shared" si="133"/>
        <v>5</v>
      </c>
      <c r="U362" s="250">
        <f t="shared" si="134"/>
        <v>-2.1105058670449373E-2</v>
      </c>
      <c r="V362" s="382">
        <f t="shared" si="135"/>
        <v>22.601153580400556</v>
      </c>
      <c r="W362" s="400">
        <f t="shared" si="136"/>
        <v>14.603707824547616</v>
      </c>
      <c r="X362" s="157">
        <f t="shared" si="137"/>
        <v>47100</v>
      </c>
      <c r="Y362" s="383">
        <f t="shared" si="138"/>
        <v>13.411781551164701</v>
      </c>
      <c r="Z362" s="383">
        <f t="shared" si="139"/>
        <v>14.376666417046982</v>
      </c>
      <c r="AA362" s="384">
        <f t="shared" si="140"/>
        <v>15.590634305448043</v>
      </c>
      <c r="AB362" s="197">
        <f t="shared" si="141"/>
        <v>47100</v>
      </c>
      <c r="AC362" s="119">
        <f>IF(OR(t&lt;Tnet,NoTnet),'2027'!Resal_s+('2027'!Salim-'2027'!Resal_s)*(1-EXP(('2027'!Tnet_s-t)/'2027'!Tau_j)),Resal_s+(Salim-Resal_s)*(1-EXP((Tnet_s-t)/Tau_j)))*Salcycl</f>
        <v>7.7865201929394737E-2</v>
      </c>
      <c r="AD362" s="230">
        <f>(INDEX(Models!$BJ362:$BT362,,AH362)*(1-AF362)+INDEX(Models!$BJ362:$BT362,,AH362+1)*AF362-ERP_i)*AE362*Ramure*Pc/MaxiM</f>
        <v>0.12709730046456666</v>
      </c>
      <c r="AE362" s="304">
        <f t="shared" si="142"/>
        <v>0.7</v>
      </c>
      <c r="AF362" s="177">
        <f t="shared" si="143"/>
        <v>0.73455277216890114</v>
      </c>
      <c r="AG362" s="799">
        <f t="shared" si="149"/>
        <v>2</v>
      </c>
      <c r="AH362" s="176">
        <f t="shared" si="144"/>
        <v>8</v>
      </c>
      <c r="AI362" s="224">
        <f t="shared" si="145"/>
        <v>2.7345527721689011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47101</v>
      </c>
      <c r="B363" s="409">
        <f>'2027'!Wh/'2027'!Env_an*'2028'!Env_an</f>
        <v>6.9497876467713606</v>
      </c>
      <c r="C363" s="829"/>
      <c r="D363" s="391">
        <f t="shared" si="127"/>
        <v>7.4499195477058784</v>
      </c>
      <c r="E363" s="383">
        <f t="shared" si="150"/>
        <v>7.8596311026203782</v>
      </c>
      <c r="F363" s="383">
        <f t="shared" si="128"/>
        <v>7.8610855389601211</v>
      </c>
      <c r="G363" s="110">
        <f t="shared" si="151"/>
        <v>0.30422590387795018</v>
      </c>
      <c r="H363" s="412" t="b">
        <f>Wh_hp&gt;='2027'!Maxi_hp</f>
        <v>0</v>
      </c>
      <c r="I363" s="388">
        <f>IF(H363,Wh_hp,'2027'!Maxi_hp)</f>
        <v>25.992364486751338</v>
      </c>
      <c r="J363" s="85">
        <f>IF(H363,An,'2027'!An_max)</f>
        <v>2018</v>
      </c>
      <c r="K363" s="197">
        <f t="shared" si="129"/>
        <v>47101</v>
      </c>
      <c r="L363" s="147">
        <f>IF(t&lt;Tvie,1-EXP((T0-t)*PertePVj)+'2027'!Pspv,1-EXP((T0-t)*PertePVj)+Pspv)</f>
        <v>6.7132523744974915E-2</v>
      </c>
      <c r="M363" s="832"/>
      <c r="N363" s="832"/>
      <c r="O363" s="48">
        <f>IF(t&lt;Tnet,'2027'!Resal+('2027'!Salim-'2027'!Resal)*(1-EXP(('2027'!Tnet-t)/('2027'!Tau_j))),Resal+(Salim-Resal)*(1-EXP((Tnet-t)/(Tau_j))))*Salcycl</f>
        <v>5.2128598602789893E-2</v>
      </c>
      <c r="P363" s="169">
        <f>(INDEX(Models!$BJ363:$BT363,,T363)*(1-R363)+INDEX(Models!$BJ363:$BT363,,T363+1)*R363-ERP_i)*Q363*Ramure*Pc/MaxiM</f>
        <v>1.4813119806397025E-2</v>
      </c>
      <c r="Q363" s="304">
        <f t="shared" si="130"/>
        <v>0.7</v>
      </c>
      <c r="R363" s="177">
        <f t="shared" si="131"/>
        <v>0.97890235099295586</v>
      </c>
      <c r="S363" s="799">
        <f t="shared" si="132"/>
        <v>-1</v>
      </c>
      <c r="T363" s="176">
        <f t="shared" si="133"/>
        <v>5</v>
      </c>
      <c r="U363" s="250">
        <f t="shared" si="134"/>
        <v>-2.1097649007044139E-2</v>
      </c>
      <c r="V363" s="382">
        <f t="shared" si="135"/>
        <v>22.509939292535453</v>
      </c>
      <c r="W363" s="400">
        <f t="shared" si="136"/>
        <v>6.9497876467713606</v>
      </c>
      <c r="X363" s="157">
        <f t="shared" si="137"/>
        <v>47101</v>
      </c>
      <c r="Y363" s="383">
        <f t="shared" si="138"/>
        <v>6.7514900954663828</v>
      </c>
      <c r="Z363" s="383">
        <f t="shared" si="139"/>
        <v>7.237351786097296</v>
      </c>
      <c r="AA363" s="384">
        <f t="shared" si="140"/>
        <v>7.8485629549480223</v>
      </c>
      <c r="AB363" s="197">
        <f t="shared" si="141"/>
        <v>47101</v>
      </c>
      <c r="AC363" s="119">
        <f>IF(OR(t&lt;Tnet,NoTnet),'2027'!Resal_s+('2027'!Salim-'2027'!Resal_s)*(1-EXP(('2027'!Tnet_s-t)/'2027'!Tau_j)),Resal_s+(Salim-Resal_s)*(1-EXP((Tnet_s-t)/Tau_j)))*Salcycl</f>
        <v>7.7875551532066933E-2</v>
      </c>
      <c r="AD363" s="230">
        <f>(INDEX(Models!$BJ363:$BT363,,AH363)*(1-AF363)+INDEX(Models!$BJ363:$BT363,,AH363+1)*AF363-ERP_i)*AE363*Ramure*Pc/MaxiM</f>
        <v>0.12753981194510244</v>
      </c>
      <c r="AE363" s="304">
        <f t="shared" si="142"/>
        <v>0.7</v>
      </c>
      <c r="AF363" s="177">
        <f t="shared" si="143"/>
        <v>0.73456018183230665</v>
      </c>
      <c r="AG363" s="799">
        <f t="shared" si="149"/>
        <v>2</v>
      </c>
      <c r="AH363" s="176">
        <f t="shared" si="144"/>
        <v>8</v>
      </c>
      <c r="AI363" s="224">
        <f t="shared" si="145"/>
        <v>2.7345601818323066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47102</v>
      </c>
      <c r="B364" s="409">
        <f>'2027'!Wh/'2027'!Env_an*'2028'!Env_an</f>
        <v>4.9839673107902778</v>
      </c>
      <c r="C364" s="829"/>
      <c r="D364" s="391">
        <f t="shared" si="127"/>
        <v>5.342734049669903</v>
      </c>
      <c r="E364" s="383">
        <f t="shared" si="150"/>
        <v>5.6368279733099955</v>
      </c>
      <c r="F364" s="383">
        <f t="shared" si="128"/>
        <v>5.6368279733099955</v>
      </c>
      <c r="G364" s="110">
        <f t="shared" si="151"/>
        <v>0.21892211513630641</v>
      </c>
      <c r="H364" s="412" t="b">
        <f>Wh_hp&gt;='2027'!Maxi_hp</f>
        <v>0</v>
      </c>
      <c r="I364" s="388">
        <f>IF(H364,Wh_hp,'2027'!Maxi_hp)</f>
        <v>25.444176400080966</v>
      </c>
      <c r="J364" s="85">
        <f>IF(H364,An,'2027'!An_max)</f>
        <v>2021</v>
      </c>
      <c r="K364" s="197">
        <f t="shared" si="129"/>
        <v>47102</v>
      </c>
      <c r="L364" s="147">
        <f>IF(t&lt;Tvie,1-EXP((T0-t)*PertePVj)+'2027'!Pspv,1-EXP((T0-t)*PertePVj)+Pspv)</f>
        <v>6.7150401937336013E-2</v>
      </c>
      <c r="M364" s="832"/>
      <c r="N364" s="832"/>
      <c r="O364" s="48">
        <f>IF(t&lt;Tnet,'2027'!Resal+('2027'!Salim-'2027'!Resal)*(1-EXP(('2027'!Tnet-t)/('2027'!Tau_j))),Resal+(Salim-Resal)*(1-EXP((Tnet-t)/(Tau_j))))*Salcycl</f>
        <v>5.2173656005222682E-2</v>
      </c>
      <c r="P364" s="169">
        <f>(INDEX(Models!$BJ364:$BT364,,T364)*(1-R364)+INDEX(Models!$BJ364:$BT364,,T364+1)*R364-ERP_i)*Q364*Ramure*Pc/MaxiM</f>
        <v>1.4828701364707786E-2</v>
      </c>
      <c r="Q364" s="304">
        <f t="shared" si="130"/>
        <v>0.7</v>
      </c>
      <c r="R364" s="177">
        <f t="shared" si="131"/>
        <v>0.97890946257963196</v>
      </c>
      <c r="S364" s="799">
        <f t="shared" si="132"/>
        <v>-1</v>
      </c>
      <c r="T364" s="176">
        <f t="shared" si="133"/>
        <v>5</v>
      </c>
      <c r="U364" s="250">
        <f t="shared" si="134"/>
        <v>-2.1090537420367983E-2</v>
      </c>
      <c r="V364" s="382">
        <f t="shared" si="135"/>
        <v>22.428348752568809</v>
      </c>
      <c r="W364" s="400">
        <f t="shared" si="136"/>
        <v>4.9839673107902778</v>
      </c>
      <c r="X364" s="157">
        <f t="shared" si="137"/>
        <v>47102</v>
      </c>
      <c r="Y364" s="383">
        <f t="shared" si="138"/>
        <v>4.8487599093734888</v>
      </c>
      <c r="Z364" s="383">
        <f t="shared" si="139"/>
        <v>5.1977938559906782</v>
      </c>
      <c r="AA364" s="384">
        <f t="shared" si="140"/>
        <v>5.6368279733099955</v>
      </c>
      <c r="AB364" s="197">
        <f t="shared" si="141"/>
        <v>47102</v>
      </c>
      <c r="AC364" s="119">
        <f>IF(OR(t&lt;Tnet,NoTnet),'2027'!Resal_s+('2027'!Salim-'2027'!Resal_s)*(1-EXP(('2027'!Tnet_s-t)/'2027'!Tau_j)),Resal_s+(Salim-Resal_s)*(1-EXP((Tnet_s-t)/Tau_j)))*Salcycl</f>
        <v>7.7886733353956197E-2</v>
      </c>
      <c r="AD364" s="230">
        <f>(INDEX(Models!$BJ364:$BT364,,AH364)*(1-AF364)+INDEX(Models!$BJ364:$BT364,,AH364+1)*AF364-ERP_i)*AE364*Ramure*Pc/MaxiM</f>
        <v>0.12790485206939381</v>
      </c>
      <c r="AE364" s="304">
        <f t="shared" si="142"/>
        <v>0.7</v>
      </c>
      <c r="AF364" s="177">
        <f t="shared" si="143"/>
        <v>0.73456729341898264</v>
      </c>
      <c r="AG364" s="799">
        <f t="shared" si="149"/>
        <v>2</v>
      </c>
      <c r="AH364" s="176">
        <f t="shared" si="144"/>
        <v>8</v>
      </c>
      <c r="AI364" s="224">
        <f t="shared" si="145"/>
        <v>2.7345672934189826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47103</v>
      </c>
      <c r="B365" s="409">
        <f>'2027'!Wh/'2027'!Env_an*'2028'!Env_an</f>
        <v>2.7783687447940557</v>
      </c>
      <c r="C365" s="829"/>
      <c r="D365" s="391">
        <f t="shared" si="127"/>
        <v>2.9784243873695111</v>
      </c>
      <c r="E365" s="383">
        <f t="shared" si="150"/>
        <v>3.1425244497911433</v>
      </c>
      <c r="F365" s="383">
        <f t="shared" si="128"/>
        <v>3.1425244497911433</v>
      </c>
      <c r="G365" s="110">
        <f t="shared" si="151"/>
        <v>0.12242635102927545</v>
      </c>
      <c r="H365" s="412" t="b">
        <f>Wh_hp&gt;='2027'!Maxi_hp</f>
        <v>0</v>
      </c>
      <c r="I365" s="388">
        <f>IF(H365,Wh_hp,'2027'!Maxi_hp)</f>
        <v>25.822433356414916</v>
      </c>
      <c r="J365" s="85">
        <f>IF(H365,An,'2027'!An_max)</f>
        <v>2021</v>
      </c>
      <c r="K365" s="197">
        <f t="shared" si="129"/>
        <v>47103</v>
      </c>
      <c r="L365" s="147">
        <f>IF(t&lt;Tvie,1-EXP((T0-t)*PertePVj)+'2027'!Pspv,1-EXP((T0-t)*PertePVj)+Pspv)</f>
        <v>6.7168279787065743E-2</v>
      </c>
      <c r="M365" s="832"/>
      <c r="N365" s="832"/>
      <c r="O365" s="48">
        <f>IF(t&lt;Tnet,'2027'!Resal+('2027'!Salim-'2027'!Resal)*(1-EXP(('2027'!Tnet-t)/('2027'!Tau_j))),Resal+(Salim-Resal)*(1-EXP((Tnet-t)/(Tau_j))))*Salcycl</f>
        <v>5.2219183985199785E-2</v>
      </c>
      <c r="P365" s="169">
        <f>(INDEX(Models!$BJ365:$BT365,,T365)*(1-R365)+INDEX(Models!$BJ365:$BT365,,T365+1)*R365-ERP_i)*Q365*Ramure*Pc/MaxiM</f>
        <v>1.484264088444218E-2</v>
      </c>
      <c r="Q365" s="304">
        <f t="shared" si="130"/>
        <v>0.7</v>
      </c>
      <c r="R365" s="177">
        <f t="shared" si="131"/>
        <v>0.97891628807068198</v>
      </c>
      <c r="S365" s="799">
        <f t="shared" si="132"/>
        <v>-1</v>
      </c>
      <c r="T365" s="176">
        <f t="shared" si="133"/>
        <v>5</v>
      </c>
      <c r="U365" s="250">
        <f t="shared" si="134"/>
        <v>-2.1083711929318016E-2</v>
      </c>
      <c r="V365" s="382">
        <f t="shared" si="135"/>
        <v>22.357363363839845</v>
      </c>
      <c r="W365" s="400">
        <f t="shared" si="136"/>
        <v>2.7783687447940557</v>
      </c>
      <c r="X365" s="157">
        <f t="shared" si="137"/>
        <v>47103</v>
      </c>
      <c r="Y365" s="383">
        <f t="shared" si="138"/>
        <v>2.7030906211274499</v>
      </c>
      <c r="Z365" s="383">
        <f t="shared" si="139"/>
        <v>2.8977258840537976</v>
      </c>
      <c r="AA365" s="384">
        <f t="shared" si="140"/>
        <v>3.1425244497911433</v>
      </c>
      <c r="AB365" s="197">
        <f t="shared" si="141"/>
        <v>47103</v>
      </c>
      <c r="AC365" s="119">
        <f>IF(OR(t&lt;Tnet,NoTnet),'2027'!Resal_s+('2027'!Salim-'2027'!Resal_s)*(1-EXP(('2027'!Tnet_s-t)/'2027'!Tau_j)),Resal_s+(Salim-Resal_s)*(1-EXP((Tnet_s-t)/Tau_j)))*Salcycl</f>
        <v>7.7898698848187301E-2</v>
      </c>
      <c r="AD365" s="230">
        <f>(INDEX(Models!$BJ365:$BT365,,AH365)*(1-AF365)+INDEX(Models!$BJ365:$BT365,,AH365+1)*AF365-ERP_i)*AE365*Ramure*Pc/MaxiM</f>
        <v>0.12818550019949704</v>
      </c>
      <c r="AE365" s="304">
        <f t="shared" si="142"/>
        <v>0.7</v>
      </c>
      <c r="AF365" s="177">
        <f t="shared" si="143"/>
        <v>0.73457411891003277</v>
      </c>
      <c r="AG365" s="799">
        <f t="shared" si="149"/>
        <v>2</v>
      </c>
      <c r="AH365" s="176">
        <f t="shared" si="144"/>
        <v>8</v>
      </c>
      <c r="AI365" s="224">
        <f t="shared" si="145"/>
        <v>2.7345741189100328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47104</v>
      </c>
      <c r="B366" s="409">
        <f>'2027'!Wh/'2027'!Env_an*'2028'!Env_an</f>
        <v>18.785996622488266</v>
      </c>
      <c r="C366" s="829"/>
      <c r="D366" s="391">
        <f t="shared" si="127"/>
        <v>20.139062868101739</v>
      </c>
      <c r="E366" s="383">
        <f t="shared" si="150"/>
        <v>21.249680640690713</v>
      </c>
      <c r="F366" s="383">
        <f t="shared" si="128"/>
        <v>21.497193816645634</v>
      </c>
      <c r="G366" s="110">
        <f t="shared" si="151"/>
        <v>0.8396511507066815</v>
      </c>
      <c r="H366" s="412" t="b">
        <f>Wh_hp&gt;='2027'!Maxi_hp</f>
        <v>0</v>
      </c>
      <c r="I366" s="388">
        <f>IF(H366,Wh_hp,'2027'!Maxi_hp)</f>
        <v>24.301759677464336</v>
      </c>
      <c r="J366" s="85">
        <f>IF(H366,An,'2027'!An_max)</f>
        <v>2021</v>
      </c>
      <c r="K366" s="197">
        <f t="shared" si="129"/>
        <v>47104</v>
      </c>
      <c r="L366" s="147">
        <f>IF(t&lt;Tvie,1-EXP((T0-t)*PertePVj)+'2027'!Pspv,1-EXP((T0-t)*PertePVj)+Pspv)</f>
        <v>6.7186157294170545E-2</v>
      </c>
      <c r="M366" s="832"/>
      <c r="N366" s="832"/>
      <c r="O366" s="48">
        <f>IF(t&lt;Tnet,'2027'!Resal+('2027'!Salim-'2027'!Resal)*(1-EXP(('2027'!Tnet-t)/('2027'!Tau_j))),Resal+(Salim-Resal)*(1-EXP((Tnet-t)/(Tau_j))))*Salcycl</f>
        <v>5.2265151244779956E-2</v>
      </c>
      <c r="P366" s="169">
        <f>(INDEX(Models!$BJ366:$BT366,,T366)*(1-R366)+INDEX(Models!$BJ366:$BT366,,T366+1)*R366-ERP_i)*Q366*Ramure*Pc/MaxiM</f>
        <v>1.4856438464045043E-2</v>
      </c>
      <c r="Q366" s="304">
        <f t="shared" si="130"/>
        <v>0.7</v>
      </c>
      <c r="R366" s="177">
        <f t="shared" si="131"/>
        <v>0.97892283896641741</v>
      </c>
      <c r="S366" s="799">
        <f t="shared" si="132"/>
        <v>-1</v>
      </c>
      <c r="T366" s="176">
        <f t="shared" si="133"/>
        <v>5</v>
      </c>
      <c r="U366" s="250">
        <f t="shared" si="134"/>
        <v>-2.1077161033582592E-2</v>
      </c>
      <c r="V366" s="382">
        <f t="shared" si="135"/>
        <v>22.297914215685097</v>
      </c>
      <c r="W366" s="400">
        <f t="shared" si="136"/>
        <v>18.785996622488266</v>
      </c>
      <c r="X366" s="157">
        <f t="shared" si="137"/>
        <v>47104</v>
      </c>
      <c r="Y366" s="383">
        <f t="shared" si="138"/>
        <v>16.650767761246534</v>
      </c>
      <c r="Z366" s="383">
        <f t="shared" si="139"/>
        <v>17.850043598138896</v>
      </c>
      <c r="AA366" s="384">
        <f t="shared" si="140"/>
        <v>19.358273801940989</v>
      </c>
      <c r="AB366" s="197">
        <f t="shared" si="141"/>
        <v>47104</v>
      </c>
      <c r="AC366" s="119">
        <f>IF(OR(t&lt;Tnet,NoTnet),'2027'!Resal_s+('2027'!Salim-'2027'!Resal_s)*(1-EXP(('2027'!Tnet_s-t)/'2027'!Tau_j)),Resal_s+(Salim-Resal_s)*(1-EXP((Tnet_s-t)/Tau_j)))*Salcycl</f>
        <v>7.7911399499415335E-2</v>
      </c>
      <c r="AD366" s="230">
        <f>(INDEX(Models!$BJ366:$BT366,,AH366)*(1-AF366)+INDEX(Models!$BJ366:$BT366,,AH366+1)*AF366-ERP_i)*AE366*Ramure*Pc/MaxiM</f>
        <v>0.12838400806493339</v>
      </c>
      <c r="AE366" s="304">
        <f t="shared" si="142"/>
        <v>0.7</v>
      </c>
      <c r="AF366" s="177">
        <f t="shared" si="143"/>
        <v>0.73458066980576797</v>
      </c>
      <c r="AG366" s="799">
        <f t="shared" si="149"/>
        <v>2</v>
      </c>
      <c r="AH366" s="176">
        <f t="shared" si="144"/>
        <v>8</v>
      </c>
      <c r="AI366" s="224">
        <f t="shared" si="145"/>
        <v>2.734580669805768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47105</v>
      </c>
      <c r="B367" s="409">
        <f>'2027'!Wh/'2027'!Env_an*'2028'!Env_an</f>
        <v>16.797538860083048</v>
      </c>
      <c r="C367" s="829"/>
      <c r="D367" s="391">
        <f t="shared" si="127"/>
        <v>18.00773103723137</v>
      </c>
      <c r="E367" s="383">
        <f t="shared" si="150"/>
        <v>19.001741123557103</v>
      </c>
      <c r="F367" s="383">
        <f t="shared" si="128"/>
        <v>19.187125573822478</v>
      </c>
      <c r="G367" s="110">
        <f t="shared" si="151"/>
        <v>0.75094270407041719</v>
      </c>
      <c r="H367" s="412" t="b">
        <f>Wh_hp&gt;='2027'!Maxi_hp</f>
        <v>0</v>
      </c>
      <c r="I367" s="388">
        <f>IF(H367,Wh_hp,'2027'!Maxi_hp)</f>
        <v>25.50206749437104</v>
      </c>
      <c r="J367" s="85">
        <f>IF(H367,An,'2027'!An_max)</f>
        <v>2021</v>
      </c>
      <c r="K367" s="197">
        <f t="shared" si="129"/>
        <v>47105</v>
      </c>
      <c r="L367" s="147">
        <f>IF(t&lt;Tvie,1-EXP((T0-t)*PertePVj)+'2027'!Pspv,1-EXP((T0-t)*PertePVj)+Pspv)</f>
        <v>6.7204034458656969E-2</v>
      </c>
      <c r="M367" s="832"/>
      <c r="N367" s="832"/>
      <c r="O367" s="48">
        <f>IF(t&lt;Tnet,'2027'!Resal+('2027'!Salim-'2027'!Resal)*(1-EXP(('2027'!Tnet-t)/('2027'!Tau_j))),Resal+(Salim-Resal)*(1-EXP((Tnet-t)/(Tau_j))))*Salcycl</f>
        <v>5.2311526604971133E-2</v>
      </c>
      <c r="P367" s="169">
        <f>(INDEX(Models!$BJ367:$BT367,,T367)*(1-R367)+INDEX(Models!$BJ367:$BT367,,T367+1)*R367-ERP_i)*Q367*Ramure*Pc/MaxiM</f>
        <v>1.486740774910017E-2</v>
      </c>
      <c r="Q367" s="304">
        <f t="shared" si="130"/>
        <v>0.7</v>
      </c>
      <c r="R367" s="177">
        <f t="shared" si="131"/>
        <v>0.97892912630559037</v>
      </c>
      <c r="S367" s="799">
        <f t="shared" si="132"/>
        <v>-1</v>
      </c>
      <c r="T367" s="176">
        <f t="shared" si="133"/>
        <v>5</v>
      </c>
      <c r="U367" s="250">
        <f t="shared" si="134"/>
        <v>-2.1070873694409631E-2</v>
      </c>
      <c r="V367" s="382">
        <f t="shared" si="135"/>
        <v>22.251026999401216</v>
      </c>
      <c r="W367" s="400">
        <f t="shared" si="136"/>
        <v>16.797538860083048</v>
      </c>
      <c r="X367" s="157">
        <f t="shared" si="137"/>
        <v>47105</v>
      </c>
      <c r="Y367" s="383">
        <f t="shared" si="138"/>
        <v>15.124446455978234</v>
      </c>
      <c r="Z367" s="383">
        <f t="shared" si="139"/>
        <v>16.214099347225247</v>
      </c>
      <c r="AA367" s="384">
        <f t="shared" si="140"/>
        <v>17.584356591136284</v>
      </c>
      <c r="AB367" s="197">
        <f t="shared" si="141"/>
        <v>47105</v>
      </c>
      <c r="AC367" s="119">
        <f>IF(OR(t&lt;Tnet,NoTnet),'2027'!Resal_s+('2027'!Salim-'2027'!Resal_s)*(1-EXP(('2027'!Tnet_s-t)/'2027'!Tau_j)),Resal_s+(Salim-Resal_s)*(1-EXP((Tnet_s-t)/Tau_j)))*Salcycl</f>
        <v>7.7924787114573249E-2</v>
      </c>
      <c r="AD367" s="230">
        <f>(INDEX(Models!$BJ367:$BT367,,AH367)*(1-AF367)+INDEX(Models!$BJ367:$BT367,,AH367+1)*AF367-ERP_i)*AE367*Ramure*Pc/MaxiM</f>
        <v>0.12853839660821248</v>
      </c>
      <c r="AE367" s="304">
        <f t="shared" si="142"/>
        <v>0.7</v>
      </c>
      <c r="AF367" s="177">
        <f t="shared" si="143"/>
        <v>0.73458695714494127</v>
      </c>
      <c r="AG367" s="799">
        <f t="shared" si="149"/>
        <v>2</v>
      </c>
      <c r="AH367" s="176">
        <f t="shared" si="144"/>
        <v>8</v>
      </c>
      <c r="AI367" s="224">
        <f t="shared" si="145"/>
        <v>2.7345869571449413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47106</v>
      </c>
      <c r="B368" s="409">
        <f>'2027'!Wh/'2027'!Env_an*'2028'!Env_an</f>
        <v>3.761848513713546</v>
      </c>
      <c r="C368" s="829"/>
      <c r="D368" s="391">
        <f t="shared" si="127"/>
        <v>4.0329512015852211</v>
      </c>
      <c r="E368" s="383">
        <f t="shared" si="150"/>
        <v>4.2557763266835646</v>
      </c>
      <c r="F368" s="383">
        <f t="shared" si="128"/>
        <v>4.2557763266835646</v>
      </c>
      <c r="G368" s="110">
        <f t="shared" si="151"/>
        <v>0.16679920088548489</v>
      </c>
      <c r="H368" s="412" t="b">
        <f>Wh_hp&gt;='2027'!Maxi_hp</f>
        <v>0</v>
      </c>
      <c r="I368" s="388">
        <f>IF(H368,Wh_hp,'2027'!Maxi_hp)</f>
        <v>25.974540677970943</v>
      </c>
      <c r="J368" s="85">
        <f>IF(H368,An,'2027'!An_max)</f>
        <v>2021</v>
      </c>
      <c r="K368" s="197">
        <f t="shared" si="129"/>
        <v>47106</v>
      </c>
      <c r="L368" s="147">
        <f>IF(t&lt;Tvie,1-EXP((T0-t)*PertePVj)+'2027'!Pspv,1-EXP((T0-t)*PertePVj)+Pspv)</f>
        <v>6.7221911280531566E-2</v>
      </c>
      <c r="M368" s="832"/>
      <c r="N368" s="832"/>
      <c r="O368" s="48">
        <f>IF(t&lt;Tnet,'2027'!Resal+('2027'!Salim-'2027'!Resal)*(1-EXP(('2027'!Tnet-t)/('2027'!Tau_j))),Resal+(Salim-Resal)*(1-EXP((Tnet-t)/(Tau_j))))*Salcycl</f>
        <v>5.235827919367813E-2</v>
      </c>
      <c r="P368" s="169">
        <f>(INDEX(Models!$BJ368:$BT368,,T368)*(1-R368)+INDEX(Models!$BJ368:$BT368,,T368+1)*R368-ERP_i)*Q368*Ramure*Pc/MaxiM</f>
        <v>1.4874842589466952E-2</v>
      </c>
      <c r="Q368" s="304">
        <f t="shared" si="130"/>
        <v>0.7</v>
      </c>
      <c r="R368" s="177">
        <f t="shared" si="131"/>
        <v>0.97893516068386099</v>
      </c>
      <c r="S368" s="799">
        <f t="shared" si="132"/>
        <v>-1</v>
      </c>
      <c r="T368" s="176">
        <f t="shared" si="133"/>
        <v>5</v>
      </c>
      <c r="U368" s="250">
        <f t="shared" si="134"/>
        <v>-2.106483931613895E-2</v>
      </c>
      <c r="V368" s="382">
        <f t="shared" si="135"/>
        <v>22.217682036563815</v>
      </c>
      <c r="W368" s="400">
        <f t="shared" si="136"/>
        <v>3.761848513713546</v>
      </c>
      <c r="X368" s="157">
        <f t="shared" si="137"/>
        <v>47106</v>
      </c>
      <c r="Y368" s="383">
        <f t="shared" si="138"/>
        <v>3.6603015945480069</v>
      </c>
      <c r="Z368" s="383">
        <f t="shared" si="139"/>
        <v>3.9240861667032969</v>
      </c>
      <c r="AA368" s="384">
        <f t="shared" si="140"/>
        <v>4.2557763266835646</v>
      </c>
      <c r="AB368" s="197">
        <f t="shared" si="141"/>
        <v>47106</v>
      </c>
      <c r="AC368" s="119">
        <f>IF(OR(t&lt;Tnet,NoTnet),'2027'!Resal_s+('2027'!Salim-'2027'!Resal_s)*(1-EXP(('2027'!Tnet_s-t)/'2027'!Tau_j)),Resal_s+(Salim-Resal_s)*(1-EXP((Tnet_s-t)/Tau_j)))*Salcycl</f>
        <v>7.7938814100868573E-2</v>
      </c>
      <c r="AD368" s="230">
        <f>(INDEX(Models!$BJ368:$BT368,,AH368)*(1-AF368)+INDEX(Models!$BJ368:$BT368,,AH368+1)*AF368-ERP_i)*AE368*Ramure*Pc/MaxiM</f>
        <v>0.1286423742274177</v>
      </c>
      <c r="AE368" s="304">
        <f t="shared" si="142"/>
        <v>0.7</v>
      </c>
      <c r="AF368" s="177">
        <f t="shared" si="143"/>
        <v>0.73459299152321167</v>
      </c>
      <c r="AG368" s="799">
        <f t="shared" si="149"/>
        <v>2</v>
      </c>
      <c r="AH368" s="176">
        <f t="shared" si="144"/>
        <v>8</v>
      </c>
      <c r="AI368" s="224">
        <f t="shared" si="145"/>
        <v>2.7345929915232117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47107</v>
      </c>
      <c r="B369" s="409">
        <f>'2027'!Wh/'2027'!Env_an*'2028'!Env_an</f>
        <v>19.174213677103563</v>
      </c>
      <c r="C369" s="829"/>
      <c r="D369" s="391">
        <f t="shared" si="127"/>
        <v>20.556423210905496</v>
      </c>
      <c r="E369" s="383">
        <f t="shared" si="150"/>
        <v>21.693267086160397</v>
      </c>
      <c r="F369" s="383">
        <f t="shared" si="128"/>
        <v>21.956350087231865</v>
      </c>
      <c r="G369" s="110">
        <f t="shared" si="151"/>
        <v>0.86121599272375426</v>
      </c>
      <c r="H369" s="412" t="b">
        <f>Wh_hp&gt;='2027'!Maxi_hp</f>
        <v>0</v>
      </c>
      <c r="I369" s="388">
        <f>IF(H369,Wh_hp,'2027'!Maxi_hp)</f>
        <v>22.295003218801163</v>
      </c>
      <c r="J369" s="85">
        <f>IF(H369,An,'2027'!An_max)</f>
        <v>2018</v>
      </c>
      <c r="K369" s="197">
        <f t="shared" si="129"/>
        <v>47107</v>
      </c>
      <c r="L369" s="147">
        <f>IF(t&lt;Tvie,1-EXP((T0-t)*PertePVj)+'2027'!Pspv,1-EXP((T0-t)*PertePVj)+Pspv)</f>
        <v>6.7239787759800995E-2</v>
      </c>
      <c r="M369" s="832"/>
      <c r="N369" s="832"/>
      <c r="O369" s="48">
        <f>IF(t&lt;Tnet,'2027'!Resal+('2027'!Salim-'2027'!Resal)*(1-EXP(('2027'!Tnet-t)/('2027'!Tau_j))),Resal+(Salim-Resal)*(1-EXP((Tnet-t)/(Tau_j))))*Salcycl</f>
        <v>5.2405378624604301E-2</v>
      </c>
      <c r="P369" s="169">
        <f>(INDEX(Models!$BJ369:$BT369,,T369)*(1-R369)+INDEX(Models!$BJ369:$BT369,,T369+1)*R369-ERP_i)*Q369*Ramure*Pc/MaxiM</f>
        <v>1.487804596691608E-2</v>
      </c>
      <c r="Q369" s="304">
        <f t="shared" si="130"/>
        <v>0.7</v>
      </c>
      <c r="R369" s="177">
        <f t="shared" si="131"/>
        <v>0.97894095227153066</v>
      </c>
      <c r="S369" s="799">
        <f t="shared" si="132"/>
        <v>-1</v>
      </c>
      <c r="T369" s="176">
        <f t="shared" si="133"/>
        <v>5</v>
      </c>
      <c r="U369" s="250">
        <f t="shared" si="134"/>
        <v>-2.1059047728469393E-2</v>
      </c>
      <c r="V369" s="382">
        <f t="shared" si="135"/>
        <v>22.198859272672657</v>
      </c>
      <c r="W369" s="400">
        <f t="shared" si="136"/>
        <v>19.174213677103563</v>
      </c>
      <c r="X369" s="157">
        <f t="shared" si="137"/>
        <v>47107</v>
      </c>
      <c r="Y369" s="383">
        <f t="shared" si="138"/>
        <v>16.926419042278855</v>
      </c>
      <c r="Z369" s="383">
        <f t="shared" si="139"/>
        <v>18.146592039584192</v>
      </c>
      <c r="AA369" s="384">
        <f t="shared" si="140"/>
        <v>19.680776116304717</v>
      </c>
      <c r="AB369" s="197">
        <f t="shared" si="141"/>
        <v>47107</v>
      </c>
      <c r="AC369" s="119">
        <f>IF(OR(t&lt;Tnet,NoTnet),'2027'!Resal_s+('2027'!Salim-'2027'!Resal_s)*(1-EXP(('2027'!Tnet_s-t)/'2027'!Tau_j)),Resal_s+(Salim-Resal_s)*(1-EXP((Tnet_s-t)/Tau_j)))*Salcycl</f>
        <v>7.7953433729146357E-2</v>
      </c>
      <c r="AD369" s="230">
        <f>(INDEX(Models!$BJ369:$BT369,,AH369)*(1-AF369)+INDEX(Models!$BJ369:$BT369,,AH369+1)*AF369-ERP_i)*AE369*Ramure*Pc/MaxiM</f>
        <v>0.12868978232225159</v>
      </c>
      <c r="AE369" s="304">
        <f t="shared" si="142"/>
        <v>0.7</v>
      </c>
      <c r="AF369" s="177">
        <f t="shared" si="143"/>
        <v>0.73459878311088112</v>
      </c>
      <c r="AG369" s="799">
        <f t="shared" si="149"/>
        <v>2</v>
      </c>
      <c r="AH369" s="176">
        <f t="shared" si="144"/>
        <v>8</v>
      </c>
      <c r="AI369" s="224">
        <f t="shared" si="145"/>
        <v>2.7345987831108811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47108</v>
      </c>
      <c r="B370" s="409">
        <f>'2027'!Wh/'2027'!Env_an*'2028'!Env_an</f>
        <v>18.749369201242718</v>
      </c>
      <c r="C370" s="829"/>
      <c r="D370" s="391">
        <f t="shared" si="127"/>
        <v>20.101338253356243</v>
      </c>
      <c r="E370" s="383">
        <f t="shared" si="150"/>
        <v>21.214075827362606</v>
      </c>
      <c r="F370" s="383">
        <f t="shared" si="128"/>
        <v>21.462540771372364</v>
      </c>
      <c r="G370" s="110">
        <f t="shared" si="151"/>
        <v>0.84191596922929779</v>
      </c>
      <c r="H370" s="412" t="b">
        <f>Wh_hp&gt;='2027'!Maxi_hp</f>
        <v>0</v>
      </c>
      <c r="I370" s="388">
        <f>IF(H370,Wh_hp,'2027'!Maxi_hp)</f>
        <v>25.041210642089073</v>
      </c>
      <c r="J370" s="85">
        <f>IF(H370,An,'2027'!An_max)</f>
        <v>2021</v>
      </c>
      <c r="K370" s="197">
        <f t="shared" si="129"/>
        <v>47108</v>
      </c>
      <c r="L370" s="147">
        <f>IF(t&lt;Tvie,1-EXP((T0-t)*PertePVj)+'2027'!Pspv,1-EXP((T0-t)*PertePVj)+Pspv)</f>
        <v>6.7257663896471809E-2</v>
      </c>
      <c r="M370" s="832"/>
      <c r="N370" s="832"/>
      <c r="O370" s="48">
        <f>IF(t&lt;Tnet,'2027'!Resal+('2027'!Salim-'2027'!Resal)*(1-EXP(('2027'!Tnet-t)/('2027'!Tau_j))),Resal+(Salim-Resal)*(1-EXP((Tnet-t)/(Tau_j))))*Salcycl</f>
        <v>5.2452795165892671E-2</v>
      </c>
      <c r="P370" s="169">
        <f>(INDEX(Models!$BJ370:$BT370,,T370)*(1-R370)+INDEX(Models!$BJ370:$BT370,,T370+1)*R370-ERP_i)*Q370*Ramure*Pc/MaxiM</f>
        <v>1.4876336323037601E-2</v>
      </c>
      <c r="Q370" s="304">
        <f t="shared" si="130"/>
        <v>0.7</v>
      </c>
      <c r="R370" s="177">
        <f t="shared" si="131"/>
        <v>0.97894651083056838</v>
      </c>
      <c r="S370" s="799">
        <f t="shared" si="132"/>
        <v>-1</v>
      </c>
      <c r="T370" s="176">
        <f t="shared" si="133"/>
        <v>5</v>
      </c>
      <c r="U370" s="250">
        <f t="shared" si="134"/>
        <v>-2.1053489169431616E-2</v>
      </c>
      <c r="V370" s="382">
        <f t="shared" si="135"/>
        <v>22.195538263869356</v>
      </c>
      <c r="W370" s="400">
        <f t="shared" si="136"/>
        <v>18.749369201242718</v>
      </c>
      <c r="X370" s="157">
        <f t="shared" si="137"/>
        <v>47108</v>
      </c>
      <c r="Y370" s="383">
        <f t="shared" si="138"/>
        <v>16.609877752582076</v>
      </c>
      <c r="Z370" s="383">
        <f t="shared" si="139"/>
        <v>17.807573549163411</v>
      </c>
      <c r="AA370" s="384">
        <f t="shared" si="140"/>
        <v>19.313413357202094</v>
      </c>
      <c r="AB370" s="197">
        <f t="shared" si="141"/>
        <v>47108</v>
      </c>
      <c r="AC370" s="119">
        <f>IF(OR(t&lt;Tnet,NoTnet),'2027'!Resal_s+('2027'!Salim-'2027'!Resal_s)*(1-EXP(('2027'!Tnet_s-t)/'2027'!Tau_j)),Resal_s+(Salim-Resal_s)*(1-EXP((Tnet_s-t)/Tau_j)))*Salcycl</f>
        <v>7.7968600380892636E-2</v>
      </c>
      <c r="AD370" s="230">
        <f>(INDEX(Models!$BJ370:$BT370,,AH370)*(1-AF370)+INDEX(Models!$BJ370:$BT370,,AH370+1)*AF370-ERP_i)*AE370*Ramure*Pc/MaxiM</f>
        <v>0.12867466008807169</v>
      </c>
      <c r="AE370" s="304">
        <f t="shared" si="142"/>
        <v>0.7</v>
      </c>
      <c r="AF370" s="177">
        <f t="shared" si="143"/>
        <v>0.73460434166991906</v>
      </c>
      <c r="AG370" s="799">
        <f t="shared" si="149"/>
        <v>2</v>
      </c>
      <c r="AH370" s="176">
        <f t="shared" si="144"/>
        <v>8</v>
      </c>
      <c r="AI370" s="224">
        <f t="shared" si="145"/>
        <v>2.7346043416699191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47109</v>
      </c>
      <c r="B371" s="409">
        <f>'2027'!Wh/'2027'!Env_an*'2028'!Env_an</f>
        <v>18.878155138351115</v>
      </c>
      <c r="C371" s="829"/>
      <c r="D371" s="391">
        <f t="shared" si="127"/>
        <v>20.239798506075328</v>
      </c>
      <c r="E371" s="383">
        <f t="shared" si="150"/>
        <v>21.361276184191851</v>
      </c>
      <c r="F371" s="383">
        <f t="shared" si="128"/>
        <v>21.613801224154656</v>
      </c>
      <c r="G371" s="110">
        <f t="shared" si="151"/>
        <v>0.84729446314896628</v>
      </c>
      <c r="H371" s="412" t="b">
        <f>Wh_hp&gt;='2027'!Maxi_hp</f>
        <v>0</v>
      </c>
      <c r="I371" s="388">
        <f>IF(H371,Wh_hp,'2027'!Maxi_hp)</f>
        <v>22.181600514114333</v>
      </c>
      <c r="J371" s="85">
        <f>IF(H371,An,'2027'!An_max)</f>
        <v>2020</v>
      </c>
      <c r="K371" s="197">
        <f t="shared" si="129"/>
        <v>47109</v>
      </c>
      <c r="L371" s="147">
        <f>IF(t&lt;Tvie,1-EXP((T0-t)*PertePVj)+'2027'!Pspv,1-EXP((T0-t)*PertePVj)+Pspv)</f>
        <v>6.7275539690550445E-2</v>
      </c>
      <c r="M371" s="832"/>
      <c r="N371" s="832"/>
      <c r="O371" s="48">
        <f>IF(t&lt;Tnet,'2027'!Resal+('2027'!Salim-'2027'!Resal)*(1-EXP(('2027'!Tnet-t)/('2027'!Tau_j))),Resal+(Salim-Resal)*(1-EXP((Tnet-t)/(Tau_j))))*Salcycl</f>
        <v>5.2500499897401187E-2</v>
      </c>
      <c r="P371" s="169">
        <f>(INDEX(Models!$BJ371:$BT371,,T371)*(1-R371)+INDEX(Models!$BJ371:$BT371,,T371+1)*R371-ERP_i)*Q371*Ramure*Pc/MaxiM</f>
        <v>1.4868994669194594E-2</v>
      </c>
      <c r="Q371" s="304">
        <f t="shared" si="130"/>
        <v>0.7</v>
      </c>
      <c r="R371" s="177">
        <f t="shared" si="131"/>
        <v>0.97894651083056838</v>
      </c>
      <c r="S371" s="799">
        <f t="shared" si="132"/>
        <v>-1</v>
      </c>
      <c r="T371" s="176">
        <f t="shared" si="133"/>
        <v>5</v>
      </c>
      <c r="U371" s="250">
        <f t="shared" si="134"/>
        <v>-2.1053489169431616E-2</v>
      </c>
      <c r="V371" s="382">
        <f t="shared" si="135"/>
        <v>22.208699521386709</v>
      </c>
      <c r="W371" s="400">
        <f t="shared" si="136"/>
        <v>18.878155138351115</v>
      </c>
      <c r="X371" s="157">
        <f t="shared" si="137"/>
        <v>47109</v>
      </c>
      <c r="Y371" s="383">
        <f t="shared" si="138"/>
        <v>16.709450562480232</v>
      </c>
      <c r="Z371" s="383">
        <f t="shared" si="139"/>
        <v>17.914669630232002</v>
      </c>
      <c r="AA371" s="384">
        <f t="shared" si="140"/>
        <v>19.429895871630574</v>
      </c>
      <c r="AB371" s="197">
        <f t="shared" si="141"/>
        <v>47109</v>
      </c>
      <c r="AC371" s="119">
        <f>IF(OR(t&lt;Tnet,NoTnet),'2027'!Resal_s+('2027'!Salim-'2027'!Resal_s)*(1-EXP(('2027'!Tnet_s-t)/'2027'!Tau_j)),Resal_s+(Salim-Resal_s)*(1-EXP((Tnet_s-t)/Tau_j)))*Salcycl</f>
        <v>7.7984269777324977E-2</v>
      </c>
      <c r="AD371" s="230">
        <f>(INDEX(Models!$BJ371:$BT371,,AH371)*(1-AF371)+INDEX(Models!$BJ371:$BT371,,AH371+1)*AF371-ERP_i)*AE371*Ramure*Pc/MaxiM</f>
        <v>0.12859111733826029</v>
      </c>
      <c r="AE371" s="304">
        <f t="shared" si="142"/>
        <v>0.7</v>
      </c>
      <c r="AF371" s="177">
        <f t="shared" si="143"/>
        <v>0.73460434166991906</v>
      </c>
      <c r="AG371" s="799">
        <f t="shared" si="149"/>
        <v>2</v>
      </c>
      <c r="AH371" s="176">
        <f t="shared" si="144"/>
        <v>8</v>
      </c>
      <c r="AI371" s="224">
        <f t="shared" si="145"/>
        <v>2.7346043416699191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47110</v>
      </c>
      <c r="B372" s="409">
        <f>'2027'!Wh/'2027'!Env_an*'2028'!Env_an</f>
        <v>20.045125857586662</v>
      </c>
      <c r="C372" s="829"/>
      <c r="D372" s="391">
        <f t="shared" si="127"/>
        <v>21.491352353472848</v>
      </c>
      <c r="E372" s="383">
        <f t="shared" si="150"/>
        <v>22.683326329929827</v>
      </c>
      <c r="F372" s="383">
        <f t="shared" si="128"/>
        <v>22.976543867499711</v>
      </c>
      <c r="G372" s="110">
        <f t="shared" si="151"/>
        <v>0.89942549743890243</v>
      </c>
      <c r="H372" s="412" t="b">
        <f>Wh_hp&gt;='2027'!Maxi_hp</f>
        <v>0</v>
      </c>
      <c r="I372" s="388">
        <f>IF(H372,Wh_hp,'2027'!Maxi_hp)</f>
        <v>23.011126380029076</v>
      </c>
      <c r="J372" s="85">
        <f>IF(H372,An,'2027'!An_max)</f>
        <v>2026</v>
      </c>
      <c r="K372" s="197">
        <f t="shared" si="129"/>
        <v>47110</v>
      </c>
      <c r="L372" s="147">
        <f>IF(t&lt;Tvie,1-EXP((T0-t)*PertePVj)+'2027'!Pspv,1-EXP((T0-t)*PertePVj)+Pspv)</f>
        <v>6.7293415142043678E-2</v>
      </c>
      <c r="M372" s="832"/>
      <c r="N372" s="832"/>
      <c r="O372" s="48">
        <f>IF(t&lt;Tnet,'2027'!Resal+('2027'!Salim-'2027'!Resal)*(1-EXP(('2027'!Tnet-t)/('2027'!Tau_j))),Resal+(Salim-Resal)*(1-EXP((Tnet-t)/(Tau_j))))*Salcycl</f>
        <v>5.2548464855624442E-2</v>
      </c>
      <c r="P372" s="169">
        <f>(INDEX(Models!$BJ372:$BT372,,T372)*(1-R372)+INDEX(Models!$BJ372:$BT372,,T372+1)*R372-ERP_i)*Q372*Ramure*Pc/MaxiM</f>
        <v>1.4855430899992998E-2</v>
      </c>
      <c r="Q372" s="304">
        <f t="shared" si="130"/>
        <v>0.7</v>
      </c>
      <c r="R372" s="177">
        <f t="shared" si="131"/>
        <v>0.97894651083056838</v>
      </c>
      <c r="S372" s="799">
        <f t="shared" si="132"/>
        <v>-1</v>
      </c>
      <c r="T372" s="176">
        <f t="shared" si="133"/>
        <v>5</v>
      </c>
      <c r="U372" s="250">
        <f t="shared" si="134"/>
        <v>-2.1053489169431616E-2</v>
      </c>
      <c r="V372" s="382">
        <f t="shared" si="135"/>
        <v>22.239320916439215</v>
      </c>
      <c r="W372" s="400">
        <f t="shared" si="136"/>
        <v>20.045125857586662</v>
      </c>
      <c r="X372" s="157">
        <f t="shared" si="137"/>
        <v>47110</v>
      </c>
      <c r="Y372" s="383">
        <f t="shared" si="138"/>
        <v>17.578779371258531</v>
      </c>
      <c r="Z372" s="383">
        <f t="shared" si="139"/>
        <v>18.847062577493904</v>
      </c>
      <c r="AA372" s="384">
        <f t="shared" si="140"/>
        <v>20.441508392107647</v>
      </c>
      <c r="AB372" s="197">
        <f t="shared" si="141"/>
        <v>47110</v>
      </c>
      <c r="AC372" s="119">
        <f>IF(OR(t&lt;Tnet,NoTnet),'2027'!Resal_s+('2027'!Salim-'2027'!Resal_s)*(1-EXP(('2027'!Tnet_s-t)/'2027'!Tau_j)),Resal_s+(Salim-Resal_s)*(1-EXP((Tnet_s-t)/Tau_j)))*Salcycl</f>
        <v>7.8000399189198238E-2</v>
      </c>
      <c r="AD372" s="230">
        <f>(INDEX(Models!$BJ372:$BT372,,AH372)*(1-AF372)+INDEX(Models!$BJ372:$BT372,,AH372+1)*AF372-ERP_i)*AE372*Ramure*Pc/MaxiM</f>
        <v>0.12843380599205204</v>
      </c>
      <c r="AE372" s="304">
        <f t="shared" si="142"/>
        <v>0.7</v>
      </c>
      <c r="AF372" s="177">
        <f t="shared" si="143"/>
        <v>0.73460434166991906</v>
      </c>
      <c r="AG372" s="799">
        <f t="shared" si="149"/>
        <v>2</v>
      </c>
      <c r="AH372" s="176">
        <f t="shared" si="144"/>
        <v>8</v>
      </c>
      <c r="AI372" s="224">
        <f t="shared" si="145"/>
        <v>2.7346043416699191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47111</v>
      </c>
      <c r="B373" s="409">
        <f>'2027'!Wh/'2027'!Env_an*'2028'!Env_an</f>
        <v>11.249020356032631</v>
      </c>
      <c r="C373" s="829"/>
      <c r="D373" s="391">
        <f t="shared" si="127"/>
        <v>12.060851855984616</v>
      </c>
      <c r="E373" s="383">
        <f t="shared" si="150"/>
        <v>12.730429994348036</v>
      </c>
      <c r="F373" s="383">
        <f t="shared" si="128"/>
        <v>12.785897428214149</v>
      </c>
      <c r="G373" s="110">
        <f t="shared" si="151"/>
        <v>0.49938014565954109</v>
      </c>
      <c r="H373" s="412" t="b">
        <f>Wh_hp&gt;='2027'!Maxi_hp</f>
        <v>0</v>
      </c>
      <c r="I373" s="388">
        <f>IF(H373,Wh_hp,'2027'!Maxi_hp)</f>
        <v>15.402591944038759</v>
      </c>
      <c r="J373" s="85">
        <f>IF(H373,An,'2027'!An_max)</f>
        <v>2018</v>
      </c>
      <c r="K373" s="197">
        <f t="shared" si="129"/>
        <v>47111</v>
      </c>
      <c r="L373" s="147">
        <f>IF(t&lt;Tvie,1-EXP((T0-t)*PertePVj)+'2027'!Pspv,1-EXP((T0-t)*PertePVj)+Pspv)</f>
        <v>6.7311290250957945E-2</v>
      </c>
      <c r="M373" s="832"/>
      <c r="N373" s="832"/>
      <c r="O373" s="48">
        <f>IF(t&lt;Tnet,'2027'!Resal+('2027'!Salim-'2027'!Resal)*(1-EXP(('2027'!Tnet-t)/('2027'!Tau_j))),Resal+(Salim-Resal)*(1-EXP((Tnet-t)/(Tau_j))))*Salcycl</f>
        <v>5.2596663165399377E-2</v>
      </c>
      <c r="P373" s="169">
        <f>(INDEX(Models!$BJ373:$BT373,,T373)*(1-R373)+INDEX(Models!$BJ373:$BT373,,T373+1)*R373-ERP_i)*Q373*Ramure*Pc/MaxiM</f>
        <v>1.48349146957189E-2</v>
      </c>
      <c r="Q373" s="304">
        <f t="shared" si="130"/>
        <v>0.7</v>
      </c>
      <c r="R373" s="177">
        <f t="shared" si="131"/>
        <v>0.97894651083056838</v>
      </c>
      <c r="S373" s="799">
        <f t="shared" si="132"/>
        <v>-1</v>
      </c>
      <c r="T373" s="176">
        <f t="shared" si="133"/>
        <v>5</v>
      </c>
      <c r="U373" s="250">
        <f t="shared" si="134"/>
        <v>-2.1053489169431616E-2</v>
      </c>
      <c r="V373" s="382">
        <f t="shared" si="135"/>
        <v>22.288486868842416</v>
      </c>
      <c r="W373" s="400">
        <f t="shared" si="136"/>
        <v>11.249020356032631</v>
      </c>
      <c r="X373" s="157">
        <f t="shared" si="137"/>
        <v>47111</v>
      </c>
      <c r="Y373" s="383">
        <f t="shared" si="138"/>
        <v>10.582707494007161</v>
      </c>
      <c r="Z373" s="383">
        <f t="shared" si="139"/>
        <v>11.346451804755569</v>
      </c>
      <c r="AA373" s="384">
        <f t="shared" si="140"/>
        <v>12.306573071534862</v>
      </c>
      <c r="AB373" s="197">
        <f t="shared" si="141"/>
        <v>47111</v>
      </c>
      <c r="AC373" s="119">
        <f>IF(OR(t&lt;Tnet,NoTnet),'2027'!Resal_s+('2027'!Salim-'2027'!Resal_s)*(1-EXP(('2027'!Tnet_s-t)/'2027'!Tau_j)),Resal_s+(Salim-Resal_s)*(1-EXP((Tnet_s-t)/Tau_j)))*Salcycl</f>
        <v>7.8016947626147526E-2</v>
      </c>
      <c r="AD373" s="230">
        <f>(INDEX(Models!$BJ373:$BT373,,AH373)*(1-AF373)+INDEX(Models!$BJ373:$BT373,,AH373+1)*AF373-ERP_i)*AE373*Ramure*Pc/MaxiM</f>
        <v>0.12819659117602786</v>
      </c>
      <c r="AE373" s="304">
        <f t="shared" si="142"/>
        <v>0.7</v>
      </c>
      <c r="AF373" s="177">
        <f t="shared" si="143"/>
        <v>0.73460434166991906</v>
      </c>
      <c r="AG373" s="799">
        <f t="shared" si="149"/>
        <v>2</v>
      </c>
      <c r="AH373" s="176">
        <f t="shared" si="144"/>
        <v>8</v>
      </c>
      <c r="AI373" s="224">
        <f t="shared" si="145"/>
        <v>2.7346043416699191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47112</v>
      </c>
      <c r="B374" s="409">
        <f>'2027'!Wh/'2027'!Env_an*'2028'!Env_an</f>
        <v>19.204171533174787</v>
      </c>
      <c r="C374" s="829"/>
      <c r="D374" s="391">
        <f t="shared" si="127"/>
        <v>20.59051362266624</v>
      </c>
      <c r="E374" s="383">
        <f t="shared" si="150"/>
        <v>21.734740541602786</v>
      </c>
      <c r="F374" s="383">
        <f t="shared" si="128"/>
        <v>21.994838536700293</v>
      </c>
      <c r="G374" s="110">
        <f t="shared" si="151"/>
        <v>0.85642794028424729</v>
      </c>
      <c r="H374" s="412" t="b">
        <f>Wh_hp&gt;='2027'!Maxi_hp</f>
        <v>0</v>
      </c>
      <c r="I374" s="388">
        <f>IF(H374,Wh_hp,'2027'!Maxi_hp)</f>
        <v>22.041957603987257</v>
      </c>
      <c r="J374" s="85">
        <f>IF(H374,An,'2027'!An_max)</f>
        <v>2026</v>
      </c>
      <c r="K374" s="197">
        <f t="shared" si="129"/>
        <v>47112</v>
      </c>
      <c r="L374" s="147">
        <f>IF(t&lt;Tvie,1-EXP((T0-t)*PertePVj)+'2027'!Pspv,1-EXP((T0-t)*PertePVj)+Pspv)</f>
        <v>6.7329165017299797E-2</v>
      </c>
      <c r="M374" s="832"/>
      <c r="N374" s="832"/>
      <c r="O374" s="48">
        <f>IF(t&lt;Tnet,'2027'!Resal+('2027'!Salim-'2027'!Resal)*(1-EXP(('2027'!Tnet-t)/('2027'!Tau_j))),Resal+(Salim-Resal)*(1-EXP((Tnet-t)/(Tau_j))))*Salcycl</f>
        <v>5.2645069157663156E-2</v>
      </c>
      <c r="P374" s="169">
        <f>(INDEX(Models!$BJ374:$BT374,,T374)*(1-R374)+INDEX(Models!$BJ374:$BT374,,T374+1)*R374-ERP_i)*Q374*Ramure*Pc/MaxiM</f>
        <v>1.480766558655194E-2</v>
      </c>
      <c r="Q374" s="304">
        <f t="shared" si="130"/>
        <v>0.7</v>
      </c>
      <c r="R374" s="177">
        <f t="shared" si="131"/>
        <v>0.97894651083056838</v>
      </c>
      <c r="S374" s="799">
        <f t="shared" si="132"/>
        <v>-1</v>
      </c>
      <c r="T374" s="176">
        <f t="shared" si="133"/>
        <v>5</v>
      </c>
      <c r="U374" s="250">
        <f t="shared" si="134"/>
        <v>-2.1053489169431616E-2</v>
      </c>
      <c r="V374" s="382">
        <f t="shared" si="135"/>
        <v>22.355896542194415</v>
      </c>
      <c r="W374" s="400">
        <f t="shared" si="136"/>
        <v>19.204171533174787</v>
      </c>
      <c r="X374" s="157">
        <f t="shared" si="137"/>
        <v>47112</v>
      </c>
      <c r="Y374" s="383">
        <f t="shared" si="138"/>
        <v>16.981629550879394</v>
      </c>
      <c r="Z374" s="383">
        <f t="shared" si="139"/>
        <v>18.20752715098503</v>
      </c>
      <c r="AA374" s="384">
        <f t="shared" si="140"/>
        <v>19.748585850509691</v>
      </c>
      <c r="AB374" s="197">
        <f t="shared" si="141"/>
        <v>47112</v>
      </c>
      <c r="AC374" s="119">
        <f>IF(OR(t&lt;Tnet,NoTnet),'2027'!Resal_s+('2027'!Salim-'2027'!Resal_s)*(1-EXP(('2027'!Tnet_s-t)/'2027'!Tau_j)),Resal_s+(Salim-Resal_s)*(1-EXP((Tnet_s-t)/Tau_j)))*Salcycl</f>
        <v>7.8033876004589414E-2</v>
      </c>
      <c r="AD374" s="230">
        <f>(INDEX(Models!$BJ374:$BT374,,AH374)*(1-AF374)+INDEX(Models!$BJ374:$BT374,,AH374+1)*AF374-ERP_i)*AE374*Ramure*Pc/MaxiM</f>
        <v>0.12788164163870344</v>
      </c>
      <c r="AE374" s="304">
        <f t="shared" si="142"/>
        <v>0.7</v>
      </c>
      <c r="AF374" s="177">
        <f t="shared" si="143"/>
        <v>0.73460434166991906</v>
      </c>
      <c r="AG374" s="799">
        <f t="shared" si="149"/>
        <v>2</v>
      </c>
      <c r="AH374" s="176">
        <f t="shared" si="144"/>
        <v>8</v>
      </c>
      <c r="AI374" s="224">
        <f t="shared" si="145"/>
        <v>2.7346043416699191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47113</v>
      </c>
      <c r="B375" s="409">
        <f>'2027'!Wh/'2027'!Env_an*'2028'!Env_an</f>
        <v>6.502575496724738</v>
      </c>
      <c r="C375" s="829"/>
      <c r="D375" s="391">
        <f t="shared" si="127"/>
        <v>6.9721276527421807</v>
      </c>
      <c r="E375" s="383">
        <f t="shared" si="150"/>
        <v>7.3599503635762593</v>
      </c>
      <c r="F375" s="383">
        <f t="shared" si="128"/>
        <v>7.3599503635762593</v>
      </c>
      <c r="G375" s="110">
        <f t="shared" si="151"/>
        <v>0.28548905493970134</v>
      </c>
      <c r="H375" s="412" t="b">
        <f>Wh_hp&gt;='2027'!Maxi_hp</f>
        <v>0</v>
      </c>
      <c r="I375" s="388">
        <f>IF(H375,Wh_hp,'2027'!Maxi_hp)</f>
        <v>24.49923801757005</v>
      </c>
      <c r="J375" s="85">
        <f>IF(H375,An,'2027'!An_max)</f>
        <v>2018</v>
      </c>
      <c r="K375" s="197">
        <f t="shared" si="129"/>
        <v>47113</v>
      </c>
      <c r="L375" s="147">
        <f>IF(t&lt;Tvie,1-EXP((T0-t)*PertePVj)+'2027'!Pspv,1-EXP((T0-t)*PertePVj)+Pspv)</f>
        <v>6.7347039441075784E-2</v>
      </c>
      <c r="M375" s="832"/>
      <c r="N375" s="832"/>
      <c r="O375" s="48">
        <f>IF(t&lt;Tnet,'2027'!Resal+('2027'!Salim-'2027'!Resal)*(1-EXP(('2027'!Tnet-t)/('2027'!Tau_j))),Resal+(Salim-Resal)*(1-EXP((Tnet-t)/(Tau_j))))*Salcycl</f>
        <v>5.2693658472668402E-2</v>
      </c>
      <c r="P375" s="169">
        <f>(INDEX(Models!$BJ375:$BT375,,T375)*(1-R375)+INDEX(Models!$BJ375:$BT375,,T375+1)*R375-ERP_i)*Q375*Ramure*Pc/MaxiM</f>
        <v>1.4776421891570878E-2</v>
      </c>
      <c r="Q375" s="304">
        <f t="shared" si="130"/>
        <v>0.7</v>
      </c>
      <c r="R375" s="177">
        <f t="shared" si="131"/>
        <v>0.97894651083056838</v>
      </c>
      <c r="S375" s="799">
        <f t="shared" si="132"/>
        <v>-1</v>
      </c>
      <c r="T375" s="176">
        <f t="shared" si="133"/>
        <v>5</v>
      </c>
      <c r="U375" s="250">
        <f t="shared" si="134"/>
        <v>-2.1053489169431616E-2</v>
      </c>
      <c r="V375" s="382">
        <f t="shared" si="135"/>
        <v>22.440407388495046</v>
      </c>
      <c r="W375" s="400">
        <f t="shared" si="136"/>
        <v>6.502575496724738</v>
      </c>
      <c r="X375" s="157">
        <f t="shared" si="137"/>
        <v>47113</v>
      </c>
      <c r="Y375" s="383">
        <f t="shared" si="138"/>
        <v>6.328514606138512</v>
      </c>
      <c r="Z375" s="383">
        <f t="shared" si="139"/>
        <v>6.7854977936765817</v>
      </c>
      <c r="AA375" s="384">
        <f t="shared" si="140"/>
        <v>7.3599503635762593</v>
      </c>
      <c r="AB375" s="197">
        <f t="shared" si="141"/>
        <v>47113</v>
      </c>
      <c r="AC375" s="119">
        <f>IF(OR(t&lt;Tnet,NoTnet),'2027'!Resal_s+('2027'!Salim-'2027'!Resal_s)*(1-EXP(('2027'!Tnet_s-t)/'2027'!Tau_j)),Resal_s+(Salim-Resal_s)*(1-EXP((Tnet_s-t)/Tau_j)))*Salcycl</f>
        <v>7.8051147293410117E-2</v>
      </c>
      <c r="AD375" s="230">
        <f>(INDEX(Models!$BJ375:$BT375,,AH375)*(1-AF375)+INDEX(Models!$BJ375:$BT375,,AH375+1)*AF375-ERP_i)*AE375*Ramure*Pc/MaxiM</f>
        <v>0.1274517192486869</v>
      </c>
      <c r="AE375" s="304">
        <f t="shared" si="142"/>
        <v>0.7</v>
      </c>
      <c r="AF375" s="177">
        <f t="shared" si="143"/>
        <v>0.73460434166991906</v>
      </c>
      <c r="AG375" s="799">
        <f t="shared" si="149"/>
        <v>2</v>
      </c>
      <c r="AH375" s="176">
        <f t="shared" si="144"/>
        <v>8</v>
      </c>
      <c r="AI375" s="224">
        <f t="shared" si="145"/>
        <v>2.7346043416699191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47114</v>
      </c>
      <c r="B376" s="409">
        <f>'2027'!Wh/'2027'!Env_an*'2028'!Env_an</f>
        <v>20.906135514048547</v>
      </c>
      <c r="C376" s="829"/>
      <c r="D376" s="391">
        <f t="shared" si="127"/>
        <v>22.416200952727358</v>
      </c>
      <c r="E376" s="383">
        <f t="shared" si="150"/>
        <v>23.664313852482074</v>
      </c>
      <c r="F376" s="383">
        <f t="shared" si="128"/>
        <v>23.981166627196512</v>
      </c>
      <c r="G376" s="110">
        <f t="shared" si="151"/>
        <v>0.9260372849092583</v>
      </c>
      <c r="H376" s="412" t="b">
        <f>Wh_hp&gt;='2027'!Maxi_hp</f>
        <v>0</v>
      </c>
      <c r="I376" s="388">
        <f>IF(H376,Wh_hp,'2027'!Maxi_hp)</f>
        <v>24.00746563980147</v>
      </c>
      <c r="J376" s="85">
        <f>IF(H376,An,'2027'!An_max)</f>
        <v>2026</v>
      </c>
      <c r="K376" s="197">
        <f t="shared" si="129"/>
        <v>47114</v>
      </c>
      <c r="L376" s="147">
        <f>IF(t&lt;Tvie,1-EXP((T0-t)*PertePVj)+'2027'!Pspv,1-EXP((T0-t)*PertePVj)+Pspv)</f>
        <v>6.7364913522292569E-2</v>
      </c>
      <c r="M376" s="832"/>
      <c r="N376" s="832"/>
      <c r="O376" s="48">
        <f>IF(t&lt;Tnet,'2027'!Resal+('2027'!Salim-'2027'!Resal)*(1-EXP(('2027'!Tnet-t)/('2027'!Tau_j))),Resal+(Salim-Resal)*(1-EXP((Tnet-t)/(Tau_j))))*Salcycl</f>
        <v>5.2742408148200075E-2</v>
      </c>
      <c r="P376" s="169">
        <f>(INDEX(Models!$BJ376:$BT376,,T376)*(1-R376)+INDEX(Models!$BJ376:$BT376,,T376+1)*R376-ERP_i)*Q376*Ramure*Pc/MaxiM</f>
        <v>1.473976047953454E-2</v>
      </c>
      <c r="Q376" s="304">
        <f t="shared" si="130"/>
        <v>0.7</v>
      </c>
      <c r="R376" s="177">
        <f t="shared" si="131"/>
        <v>0.97894651083056838</v>
      </c>
      <c r="S376" s="799">
        <f t="shared" si="132"/>
        <v>-1</v>
      </c>
      <c r="T376" s="176">
        <f t="shared" si="133"/>
        <v>5</v>
      </c>
      <c r="U376" s="250">
        <f t="shared" si="134"/>
        <v>-2.1053489169431616E-2</v>
      </c>
      <c r="V376" s="382">
        <f t="shared" si="135"/>
        <v>22.540971782078955</v>
      </c>
      <c r="W376" s="400">
        <f t="shared" si="136"/>
        <v>20.906135514048547</v>
      </c>
      <c r="X376" s="157">
        <f t="shared" si="137"/>
        <v>47114</v>
      </c>
      <c r="Y376" s="383">
        <f t="shared" si="138"/>
        <v>18.273994797548678</v>
      </c>
      <c r="Z376" s="383">
        <f t="shared" si="139"/>
        <v>19.593938789676315</v>
      </c>
      <c r="AA376" s="384">
        <f t="shared" si="140"/>
        <v>21.253144736265885</v>
      </c>
      <c r="AB376" s="197">
        <f t="shared" si="141"/>
        <v>47114</v>
      </c>
      <c r="AC376" s="119">
        <f>IF(OR(t&lt;Tnet,NoTnet),'2027'!Resal_s+('2027'!Salim-'2027'!Resal_s)*(1-EXP(('2027'!Tnet_s-t)/'2027'!Tau_j)),Resal_s+(Salim-Resal_s)*(1-EXP((Tnet_s-t)/Tau_j)))*Salcycl</f>
        <v>7.8068726636879082E-2</v>
      </c>
      <c r="AD376" s="230">
        <f>(INDEX(Models!$BJ376:$BT376,,AH376)*(1-AF376)+INDEX(Models!$BJ376:$BT376,,AH376+1)*AF376-ERP_i)*AE376*Ramure*Pc/MaxiM</f>
        <v>0.12690559295711965</v>
      </c>
      <c r="AE376" s="304">
        <f t="shared" si="142"/>
        <v>0.7</v>
      </c>
      <c r="AF376" s="177">
        <f t="shared" si="143"/>
        <v>0.73460434166991906</v>
      </c>
      <c r="AG376" s="799">
        <f t="shared" si="149"/>
        <v>2</v>
      </c>
      <c r="AH376" s="176">
        <f t="shared" si="144"/>
        <v>8</v>
      </c>
      <c r="AI376" s="224">
        <f t="shared" si="145"/>
        <v>2.7346043416699191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47115</v>
      </c>
      <c r="B377" s="409">
        <f>'2027'!Wh/'2027'!Env_an*'2028'!Env_an</f>
        <v>10.637640129177147</v>
      </c>
      <c r="C377" s="829"/>
      <c r="D377" s="391">
        <f t="shared" si="127"/>
        <v>11.406223243440904</v>
      </c>
      <c r="E377" s="383">
        <f t="shared" si="150"/>
        <v>12.041932473394692</v>
      </c>
      <c r="F377" s="383">
        <f t="shared" si="128"/>
        <v>12.084949037902435</v>
      </c>
      <c r="G377" s="110">
        <f t="shared" si="151"/>
        <v>0.46426977636454353</v>
      </c>
      <c r="H377" s="412" t="b">
        <f>Wh_hp&gt;='2027'!Maxi_hp</f>
        <v>0</v>
      </c>
      <c r="I377" s="388">
        <f>IF(H377,Wh_hp,'2027'!Maxi_hp)</f>
        <v>25.350843824112598</v>
      </c>
      <c r="J377" s="85">
        <f>IF(H377,An,'2027'!An_max)</f>
        <v>2018</v>
      </c>
      <c r="K377" s="197">
        <f t="shared" si="129"/>
        <v>47115</v>
      </c>
      <c r="L377" s="147">
        <f>IF(t&lt;Tvie,1-EXP((T0-t)*PertePVj)+'2027'!Pspv,1-EXP((T0-t)*PertePVj)+Pspv)</f>
        <v>6.73827872609567E-2</v>
      </c>
      <c r="M377" s="832"/>
      <c r="N377" s="832"/>
      <c r="O377" s="48">
        <f>IF(t&lt;Tnet,'2027'!Resal+('2027'!Salim-'2027'!Resal)*(1-EXP(('2027'!Tnet-t)/('2027'!Tau_j))),Resal+(Salim-Resal)*(1-EXP((Tnet-t)/(Tau_j))))*Salcycl</f>
        <v>5.2791296692480005E-2</v>
      </c>
      <c r="P377" s="169">
        <f>(INDEX(Models!$BJ377:$BT377,,T377)*(1-R377)+INDEX(Models!$BJ377:$BT377,,T377+1)*R377-ERP_i)*Q377*Ramure*Pc/MaxiM</f>
        <v>1.4698468594818903E-2</v>
      </c>
      <c r="Q377" s="304">
        <f t="shared" si="130"/>
        <v>0.7</v>
      </c>
      <c r="R377" s="177">
        <f t="shared" si="131"/>
        <v>0.97894651083056838</v>
      </c>
      <c r="S377" s="799">
        <f t="shared" si="132"/>
        <v>-1</v>
      </c>
      <c r="T377" s="176">
        <f t="shared" si="133"/>
        <v>5</v>
      </c>
      <c r="U377" s="250">
        <f t="shared" si="134"/>
        <v>-2.1053489169431616E-2</v>
      </c>
      <c r="V377" s="382">
        <f t="shared" si="135"/>
        <v>22.656492431296648</v>
      </c>
      <c r="W377" s="400">
        <f t="shared" si="136"/>
        <v>10.637640129177147</v>
      </c>
      <c r="X377" s="157">
        <f t="shared" si="137"/>
        <v>47115</v>
      </c>
      <c r="Y377" s="383">
        <f t="shared" si="138"/>
        <v>10.07286384636355</v>
      </c>
      <c r="Z377" s="383">
        <f t="shared" si="139"/>
        <v>10.800641151346678</v>
      </c>
      <c r="AA377" s="384">
        <f t="shared" si="140"/>
        <v>11.715461489199381</v>
      </c>
      <c r="AB377" s="197">
        <f t="shared" si="141"/>
        <v>47115</v>
      </c>
      <c r="AC377" s="119">
        <f>IF(OR(t&lt;Tnet,NoTnet),'2027'!Resal_s+('2027'!Salim-'2027'!Resal_s)*(1-EXP(('2027'!Tnet_s-t)/'2027'!Tau_j)),Resal_s+(Salim-Resal_s)*(1-EXP((Tnet_s-t)/Tau_j)))*Salcycl</f>
        <v>7.8086581454438322E-2</v>
      </c>
      <c r="AD377" s="230">
        <f>(INDEX(Models!$BJ377:$BT377,,AH377)*(1-AF377)+INDEX(Models!$BJ377:$BT377,,AH377+1)*AF377-ERP_i)*AE377*Ramure*Pc/MaxiM</f>
        <v>0.12625139159615612</v>
      </c>
      <c r="AE377" s="304">
        <f t="shared" si="142"/>
        <v>0.7</v>
      </c>
      <c r="AF377" s="177">
        <f t="shared" si="143"/>
        <v>0.73460434166991906</v>
      </c>
      <c r="AG377" s="799">
        <f t="shared" si="149"/>
        <v>2</v>
      </c>
      <c r="AH377" s="176">
        <f t="shared" si="144"/>
        <v>8</v>
      </c>
      <c r="AI377" s="224">
        <f t="shared" si="145"/>
        <v>2.7346043416699191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47116</v>
      </c>
      <c r="B378" s="409">
        <f>'2027'!Wh/'2027'!Env_an*'2028'!Env_an</f>
        <v>14.518822377409483</v>
      </c>
      <c r="C378" s="829"/>
      <c r="D378" s="391">
        <f t="shared" si="127"/>
        <v>15.568124236115054</v>
      </c>
      <c r="E378" s="383">
        <f t="shared" si="150"/>
        <v>16.436641364902737</v>
      </c>
      <c r="F378" s="383">
        <f t="shared" si="128"/>
        <v>16.553482651499323</v>
      </c>
      <c r="G378" s="110">
        <f t="shared" si="151"/>
        <v>0.63231150651431856</v>
      </c>
      <c r="H378" s="412" t="b">
        <f>Wh_hp&gt;='2027'!Maxi_hp</f>
        <v>0</v>
      </c>
      <c r="I378" s="388">
        <f>IF(H378,Wh_hp,'2027'!Maxi_hp)</f>
        <v>26.258304943114872</v>
      </c>
      <c r="J378" s="85">
        <f>IF(H378,An,'2027'!An_max)</f>
        <v>2018</v>
      </c>
      <c r="K378" s="197">
        <f t="shared" si="129"/>
        <v>47116</v>
      </c>
      <c r="L378" s="147">
        <f>IF(t&lt;Tvie,1-EXP((T0-t)*PertePVj)+'2027'!Pspv,1-EXP((T0-t)*PertePVj)+Pspv)</f>
        <v>6.7400660657074618E-2</v>
      </c>
      <c r="M378" s="832"/>
      <c r="N378" s="832"/>
      <c r="O378" s="48">
        <f>IF(t&lt;Tnet,'2027'!Resal+('2027'!Salim-'2027'!Resal)*(1-EXP(('2027'!Tnet-t)/('2027'!Tau_j))),Resal+(Salim-Resal)*(1-EXP((Tnet-t)/(Tau_j))))*Salcycl</f>
        <v>5.2840304141589002E-2</v>
      </c>
      <c r="P378" s="169">
        <f>(INDEX(Models!$BJ378:$BT378,,T378)*(1-R378)+INDEX(Models!$BJ378:$BT378,,T378+1)*R378-ERP_i)*Q378*Ramure*Pc/MaxiM</f>
        <v>1.4653331896754747E-2</v>
      </c>
      <c r="Q378" s="304">
        <f t="shared" si="130"/>
        <v>0.7</v>
      </c>
      <c r="R378" s="177">
        <f t="shared" si="131"/>
        <v>0.97894651083056838</v>
      </c>
      <c r="S378" s="799">
        <f t="shared" si="132"/>
        <v>-1</v>
      </c>
      <c r="T378" s="176">
        <f t="shared" si="133"/>
        <v>5</v>
      </c>
      <c r="U378" s="250">
        <f t="shared" si="134"/>
        <v>-2.1053489169431616E-2</v>
      </c>
      <c r="V378" s="382">
        <f t="shared" si="135"/>
        <v>22.785872255776447</v>
      </c>
      <c r="W378" s="400">
        <f t="shared" si="136"/>
        <v>14.518822377409483</v>
      </c>
      <c r="X378" s="157">
        <f t="shared" si="137"/>
        <v>47116</v>
      </c>
      <c r="Y378" s="383">
        <f t="shared" si="138"/>
        <v>13.371662523887826</v>
      </c>
      <c r="Z378" s="383">
        <f t="shared" si="139"/>
        <v>14.338057040989327</v>
      </c>
      <c r="AA378" s="384">
        <f t="shared" si="140"/>
        <v>15.552803830901896</v>
      </c>
      <c r="AB378" s="197">
        <f t="shared" si="141"/>
        <v>47116</v>
      </c>
      <c r="AC378" s="119">
        <f>IF(OR(t&lt;Tnet,NoTnet),'2027'!Resal_s+('2027'!Salim-'2027'!Resal_s)*(1-EXP(('2027'!Tnet_s-t)/'2027'!Tau_j)),Resal_s+(Salim-Resal_s)*(1-EXP((Tnet_s-t)/Tau_j)))*Salcycl</f>
        <v>7.8104681517231378E-2</v>
      </c>
      <c r="AD378" s="230">
        <f>(INDEX(Models!$BJ378:$BT378,,AH378)*(1-AF378)+INDEX(Models!$BJ378:$BT378,,AH378+1)*AF378-ERP_i)*AE378*Ramure*Pc/MaxiM</f>
        <v>0.12549741026812261</v>
      </c>
      <c r="AE378" s="304">
        <f t="shared" si="142"/>
        <v>0.7</v>
      </c>
      <c r="AF378" s="177">
        <f t="shared" si="143"/>
        <v>0.73460434166991906</v>
      </c>
      <c r="AG378" s="799">
        <f t="shared" si="149"/>
        <v>2</v>
      </c>
      <c r="AH378" s="176">
        <f t="shared" si="144"/>
        <v>8</v>
      </c>
      <c r="AI378" s="224">
        <f t="shared" si="145"/>
        <v>2.7346043416699191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47117</v>
      </c>
      <c r="B379" s="409">
        <f>'2027'!Wh/'2027'!Env_an*'2028'!Env_an</f>
        <v>12.499340101975104</v>
      </c>
      <c r="C379" s="829"/>
      <c r="D379" s="391">
        <f t="shared" si="127"/>
        <v>13.402947145956899</v>
      </c>
      <c r="E379" s="383">
        <f t="shared" si="150"/>
        <v>14.151406728219923</v>
      </c>
      <c r="F379" s="383">
        <f t="shared" si="128"/>
        <v>14.224163972303213</v>
      </c>
      <c r="G379" s="110">
        <f t="shared" si="151"/>
        <v>0.53995563084713971</v>
      </c>
      <c r="H379" s="412" t="b">
        <f>Wh_hp&gt;='2027'!Maxi_hp</f>
        <v>0</v>
      </c>
      <c r="I379" s="388">
        <f>IF(H379,Wh_hp,'2027'!Maxi_hp)</f>
        <v>25.860373589041732</v>
      </c>
      <c r="J379" s="85">
        <f>IF(H379,An,'2027'!An_max)</f>
        <v>2021</v>
      </c>
      <c r="K379" s="197">
        <f t="shared" si="129"/>
        <v>47117</v>
      </c>
      <c r="L379" s="147">
        <f>IF(t&lt;Tvie,1-EXP((T0-t)*PertePVj)+'2027'!Pspv,1-EXP((T0-t)*PertePVj)+Pspv)</f>
        <v>6.7418533710652984E-2</v>
      </c>
      <c r="M379" s="832"/>
      <c r="N379" s="832"/>
      <c r="O379" s="48">
        <f>IF(t&lt;Tnet,'2027'!Resal+('2027'!Salim-'2027'!Resal)*(1-EXP(('2027'!Tnet-t)/('2027'!Tau_j))),Resal+(Salim-Resal)*(1-EXP((Tnet-t)/(Tau_j))))*Salcycl</f>
        <v>5.2889412101377084E-2</v>
      </c>
      <c r="P379" s="169">
        <f>(INDEX(Models!$BJ379:$BT379,,T379)*(1-R379)+INDEX(Models!$BJ379:$BT379,,T379+1)*R379-ERP_i)*Q379*Ramure*Pc/MaxiM</f>
        <v>1.4605127480205839E-2</v>
      </c>
      <c r="Q379" s="305">
        <f t="shared" si="130"/>
        <v>0.7</v>
      </c>
      <c r="R379" s="177">
        <f t="shared" si="131"/>
        <v>0.97894651083056838</v>
      </c>
      <c r="S379" s="799">
        <f t="shared" si="132"/>
        <v>-1</v>
      </c>
      <c r="T379" s="176">
        <f t="shared" si="133"/>
        <v>5</v>
      </c>
      <c r="U379" s="306">
        <f t="shared" si="134"/>
        <v>-2.1053489169431616E-2</v>
      </c>
      <c r="V379" s="382">
        <f t="shared" si="135"/>
        <v>22.928014388353578</v>
      </c>
      <c r="W379" s="400">
        <f t="shared" si="136"/>
        <v>12.499340101975104</v>
      </c>
      <c r="X379" s="157">
        <f t="shared" si="137"/>
        <v>47117</v>
      </c>
      <c r="Y379" s="383">
        <f t="shared" si="138"/>
        <v>11.695012010219738</v>
      </c>
      <c r="Z379" s="383">
        <f t="shared" si="139"/>
        <v>12.540472262174671</v>
      </c>
      <c r="AA379" s="384">
        <f t="shared" si="140"/>
        <v>13.603194622049493</v>
      </c>
      <c r="AB379" s="197">
        <f t="shared" si="141"/>
        <v>47117</v>
      </c>
      <c r="AC379" s="119">
        <f>IF(OR(t&lt;Tnet,NoTnet),'2027'!Resal_s+('2027'!Salim-'2027'!Resal_s)*(1-EXP(('2027'!Tnet_s-t)/'2027'!Tau_j)),Resal_s+(Salim-Resal_s)*(1-EXP((Tnet_s-t)/Tau_j)))*Salcycl</f>
        <v>7.8122999001444093E-2</v>
      </c>
      <c r="AD379" s="230">
        <f>(INDEX(Models!$BJ379:$BT379,,AH379)*(1-AF379)+INDEX(Models!$BJ379:$BT379,,AH379+1)*AF379-ERP_i)*AE379*Ramure*Pc/MaxiM</f>
        <v>0.12465200731591826</v>
      </c>
      <c r="AE379" s="305">
        <f t="shared" si="142"/>
        <v>0.7</v>
      </c>
      <c r="AF379" s="177">
        <f t="shared" si="143"/>
        <v>0.73460434166991906</v>
      </c>
      <c r="AG379" s="799">
        <f t="shared" si="149"/>
        <v>2</v>
      </c>
      <c r="AH379" s="176">
        <f t="shared" si="144"/>
        <v>8</v>
      </c>
      <c r="AI379" s="221">
        <f t="shared" si="145"/>
        <v>2.7346043416699191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604">
        <f t="shared" si="148"/>
        <v>47118</v>
      </c>
      <c r="B380" s="792">
        <f>AVERAGE(B366:B379)</f>
        <v>15.122139527079382</v>
      </c>
      <c r="C380" s="837"/>
      <c r="D380" s="603">
        <f t="shared" si="127"/>
        <v>16.215665753211361</v>
      </c>
      <c r="E380" s="599">
        <f t="shared" si="150"/>
        <v>17.122085028309336</v>
      </c>
      <c r="F380" s="599">
        <f t="shared" si="128"/>
        <v>17.249463080831795</v>
      </c>
      <c r="G380" s="110">
        <f t="shared" si="151"/>
        <v>0.6504211283938115</v>
      </c>
      <c r="H380" s="600" t="b">
        <f>Wh_hp&gt;='2027'!Maxi_hp</f>
        <v>1</v>
      </c>
      <c r="I380" s="601">
        <f>IF(H380,Wh_hp,'2027'!Maxi_hp)</f>
        <v>17.249463080831795</v>
      </c>
      <c r="J380" s="151">
        <f>IF(H380,An,'2027'!An_max)</f>
        <v>2028</v>
      </c>
      <c r="K380" s="233">
        <f t="shared" si="129"/>
        <v>47118</v>
      </c>
      <c r="L380" s="147">
        <f>IF(t&lt;Tvie,1-EXP((T0-t)*PertePVj)+'2027'!Pspv,1-EXP((T0-t)*PertePVj)+Pspv)</f>
        <v>6.7436406421698458E-2</v>
      </c>
      <c r="M380" s="832"/>
      <c r="N380" s="832"/>
      <c r="O380" s="48">
        <f>IF(t&lt;Tnet,'2027'!Resal+('2027'!Salim-'2027'!Resal)*(1-EXP(('2027'!Tnet-t)/('2027'!Tau_j))),Resal+(Salim-Resal)*(1-EXP((Tnet-t)/(Tau_j))))*Salcycl</f>
        <v>5.2938603773974718E-2</v>
      </c>
      <c r="P380" s="230">
        <f>(INDEX(Models!$BJ380:$BT380,,T380)*(1-R380)+INDEX(Models!$BJ380:$BT380,,T380+1)*R380-ERP_i)*Q380*Ramure*Pc/MaxiM</f>
        <v>1.4554617909636511E-2</v>
      </c>
      <c r="Q380" s="327">
        <f t="shared" si="130"/>
        <v>0.7</v>
      </c>
      <c r="R380" s="313">
        <f t="shared" ref="R380" si="152">(Hp_vg-S380)/(INDEX(Echel_vg,T380+1)-S380)</f>
        <v>0.97894651083056838</v>
      </c>
      <c r="S380" s="800">
        <f t="shared" ref="S380" si="153">INDEX(Echel_vg,T380)</f>
        <v>-1</v>
      </c>
      <c r="T380" s="232">
        <f t="shared" si="133"/>
        <v>5</v>
      </c>
      <c r="U380" s="300">
        <f t="shared" si="134"/>
        <v>-2.1053489169431616E-2</v>
      </c>
      <c r="V380" s="382">
        <f t="shared" si="135"/>
        <v>23.08182218537274</v>
      </c>
      <c r="W380" s="400">
        <f t="shared" ref="W380" si="154">Wh*(A380&gt;Tmaj)</f>
        <v>15.122139527079382</v>
      </c>
      <c r="X380" s="325">
        <f t="shared" si="137"/>
        <v>47118</v>
      </c>
      <c r="Y380" s="599">
        <f t="shared" si="138"/>
        <v>13.898350288021552</v>
      </c>
      <c r="Z380" s="599">
        <f t="shared" si="139"/>
        <v>14.903380727841585</v>
      </c>
      <c r="AA380" s="602">
        <f t="shared" si="140"/>
        <v>16.166668599965391</v>
      </c>
      <c r="AB380" s="233">
        <f t="shared" si="141"/>
        <v>47118</v>
      </c>
      <c r="AC380" s="119">
        <f>IF(OR(t&lt;Tnet,NoTnet),'2027'!Resal_s+('2027'!Salim-'2027'!Resal_s)*(1-EXP(('2027'!Tnet_s-t)/'2027'!Tau_j)),Resal_s+(Salim-Resal_s)*(1-EXP((Tnet_s-t)/Tau_j)))*Salcycl</f>
        <v>7.8141508518737787E-2</v>
      </c>
      <c r="AD380" s="230">
        <f>(INDEX(Models!$BJ380:$BT380,,AH380)*(1-AF380)+INDEX(Models!$BJ380:$BT380,,AH380+1)*AF380-ERP_i)*AE380*Ramure*Pc/MaxiM</f>
        <v>0.12372351148087428</v>
      </c>
      <c r="AE380" s="327">
        <f t="shared" si="142"/>
        <v>0.7</v>
      </c>
      <c r="AF380" s="313">
        <f t="shared" ref="AF380" si="155">(Hp_vg_s-AG380)/(INDEX(Echel_vg,AH380+1)-AG380)</f>
        <v>0.73460434166991906</v>
      </c>
      <c r="AG380" s="800">
        <f t="shared" ref="AG380" si="156">INDEX(Echel_vg,AH380)</f>
        <v>2</v>
      </c>
      <c r="AH380" s="232">
        <f t="shared" si="144"/>
        <v>8</v>
      </c>
      <c r="AI380" s="224">
        <f t="shared" si="145"/>
        <v>2.7346043416699191</v>
      </c>
      <c r="AJ380" s="264" t="b">
        <f t="shared" si="146"/>
        <v>0</v>
      </c>
      <c r="AK380" s="264" t="b">
        <f t="shared" si="147"/>
        <v>0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1.3760553721378714</v>
      </c>
      <c r="C381" s="374"/>
      <c r="D381" s="372">
        <f>MIN(D15:D380)</f>
        <v>1.4655288818794787</v>
      </c>
      <c r="E381" s="372">
        <f>MIN(E15:E380)</f>
        <v>1.5111806372932479</v>
      </c>
      <c r="F381" s="373">
        <f>MIN(F15:F380)</f>
        <v>1.5111806372932479</v>
      </c>
      <c r="G381" s="125">
        <f>+MIN(G15:G380)</f>
        <v>5.2956498970906922E-2</v>
      </c>
      <c r="H381" s="94"/>
      <c r="I381" s="373">
        <f>MIN(I15:I380)</f>
        <v>10.317764311390514</v>
      </c>
      <c r="J381" s="57">
        <f>MIN(J15:J380)</f>
        <v>2018</v>
      </c>
      <c r="K381" s="200" t="s">
        <v>7</v>
      </c>
      <c r="L381" s="146">
        <f t="shared" ref="L381:T381" si="157">MIN(L15:L380)</f>
        <v>6.0890059564465471E-2</v>
      </c>
      <c r="M381" s="833"/>
      <c r="N381" s="833"/>
      <c r="O381" s="47">
        <f t="shared" si="157"/>
        <v>2.9511734569786206E-2</v>
      </c>
      <c r="P381" s="168">
        <f t="shared" si="157"/>
        <v>8.9419319157446909E-5</v>
      </c>
      <c r="Q381" s="309">
        <f t="shared" si="157"/>
        <v>0.7</v>
      </c>
      <c r="R381" s="310">
        <f t="shared" si="157"/>
        <v>0.57894752925950521</v>
      </c>
      <c r="S381" s="799">
        <f t="shared" si="157"/>
        <v>-1</v>
      </c>
      <c r="T381" s="176">
        <f t="shared" si="157"/>
        <v>5</v>
      </c>
      <c r="U381" s="251">
        <f>MIN(U15:U380)</f>
        <v>-0.42105247074049479</v>
      </c>
      <c r="V381" s="57">
        <f>MIN(V15:V380)</f>
        <v>22.195538263869356</v>
      </c>
      <c r="W381" s="793" t="s">
        <v>40</v>
      </c>
      <c r="X381" s="112" t="s">
        <v>7</v>
      </c>
      <c r="Y381" s="372">
        <f>MIN(Y15:Y380)</f>
        <v>1.3217531964363385</v>
      </c>
      <c r="Z381" s="372">
        <f>MIN(Z15:Z380)</f>
        <v>1.4076958844210616</v>
      </c>
      <c r="AA381" s="372">
        <f>MIN(AA15:AA380)</f>
        <v>1.5111806372932479</v>
      </c>
      <c r="AB381" s="200" t="s">
        <v>7</v>
      </c>
      <c r="AC381" s="47">
        <f t="shared" ref="AC381:AH381" si="158">MIN(AC15:AC380)</f>
        <v>6.81997813692546E-2</v>
      </c>
      <c r="AD381" s="168">
        <f t="shared" si="158"/>
        <v>1.1576918394835913E-3</v>
      </c>
      <c r="AE381" s="309">
        <f t="shared" si="158"/>
        <v>0.7</v>
      </c>
      <c r="AF381" s="310">
        <f t="shared" si="158"/>
        <v>0.33460536009885589</v>
      </c>
      <c r="AG381" s="799">
        <f t="shared" si="158"/>
        <v>2</v>
      </c>
      <c r="AH381" s="176">
        <f t="shared" si="158"/>
        <v>8</v>
      </c>
      <c r="AI381" s="225">
        <f>MIN(AI15:AI380)</f>
        <v>2.3346053600988559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29.742633898450663</v>
      </c>
      <c r="C382" s="374"/>
      <c r="D382" s="374">
        <f>AVERAGE(D15:D380)</f>
        <v>31.778944240020518</v>
      </c>
      <c r="E382" s="374">
        <f>AVERAGE(E15:E380)</f>
        <v>33.209967073600922</v>
      </c>
      <c r="F382" s="375">
        <f>AVERAGE(F15:F380)</f>
        <v>33.283898885497678</v>
      </c>
      <c r="G382" s="126">
        <f>AVERAGE(G15:G380)</f>
        <v>0.6880639005814021</v>
      </c>
      <c r="H382" s="94"/>
      <c r="I382" s="375">
        <f>AVERAGE(I15:I380)</f>
        <v>43.502327340867083</v>
      </c>
      <c r="J382" s="59">
        <f>AVERAGE(J15:J380)</f>
        <v>2021.8415300546449</v>
      </c>
      <c r="K382" s="200" t="s">
        <v>8</v>
      </c>
      <c r="L382" s="147">
        <f t="shared" ref="L382:V382" si="159">AVERAGE(L15:L380)</f>
        <v>6.416703862351518E-2</v>
      </c>
      <c r="M382" s="832"/>
      <c r="N382" s="832"/>
      <c r="O382" s="48">
        <f t="shared" si="159"/>
        <v>4.3011091965113921E-2</v>
      </c>
      <c r="P382" s="169">
        <f t="shared" si="159"/>
        <v>5.1925219130272808E-3</v>
      </c>
      <c r="Q382" s="311">
        <f t="shared" si="159"/>
        <v>0.69999999999999529</v>
      </c>
      <c r="R382" s="177">
        <f t="shared" si="159"/>
        <v>0.8033355328259556</v>
      </c>
      <c r="S382" s="799">
        <f t="shared" si="159"/>
        <v>-1</v>
      </c>
      <c r="T382" s="176">
        <f t="shared" si="159"/>
        <v>5</v>
      </c>
      <c r="U382" s="250">
        <f>AVERAGE(U15:U380)</f>
        <v>-0.19666446717404393</v>
      </c>
      <c r="V382" s="59">
        <f t="shared" si="159"/>
        <v>41.983890240357994</v>
      </c>
      <c r="X382" s="112" t="s">
        <v>8</v>
      </c>
      <c r="Y382" s="374">
        <f>AVERAGE(Y15:Y380)</f>
        <v>28.325937052407326</v>
      </c>
      <c r="Z382" s="374">
        <f>AVERAGE(Z15:Z380)</f>
        <v>30.265217300097731</v>
      </c>
      <c r="AA382" s="374">
        <f>AVERAGE(AA15:AA380)</f>
        <v>32.735528050949235</v>
      </c>
      <c r="AB382" s="200" t="s">
        <v>8</v>
      </c>
      <c r="AC382" s="48">
        <f t="shared" ref="AC382:AH382" si="160">AVERAGE(AC15:AC380)</f>
        <v>7.5115230156985013E-2</v>
      </c>
      <c r="AD382" s="169">
        <f t="shared" si="160"/>
        <v>3.8694993569861398E-2</v>
      </c>
      <c r="AE382" s="311">
        <f t="shared" si="160"/>
        <v>0.69999999999999529</v>
      </c>
      <c r="AF382" s="177">
        <f t="shared" si="160"/>
        <v>0.55899336366530716</v>
      </c>
      <c r="AG382" s="799">
        <f t="shared" si="160"/>
        <v>2</v>
      </c>
      <c r="AH382" s="176">
        <f t="shared" si="160"/>
        <v>8</v>
      </c>
      <c r="AI382" s="224">
        <f>AVERAGE(AI15:AI380)</f>
        <v>2.5589933636653042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57.000931424587961</v>
      </c>
      <c r="C383" s="376"/>
      <c r="D383" s="376">
        <f>MAX(D15:D380)</f>
        <v>60.869166303069029</v>
      </c>
      <c r="E383" s="376">
        <f>MAX(E15:E380)</f>
        <v>63.499190396196191</v>
      </c>
      <c r="F383" s="377">
        <f>MAX(F15:F380)</f>
        <v>63.505407005756894</v>
      </c>
      <c r="G383" s="127">
        <f>+MAX(G15:G380)</f>
        <v>1.0482441826576601</v>
      </c>
      <c r="H383" s="94"/>
      <c r="I383" s="377">
        <f>MAX(I15:I380)</f>
        <v>64.215122991320413</v>
      </c>
      <c r="J383" s="60">
        <f>MAX(J15:J380)</f>
        <v>2028</v>
      </c>
      <c r="K383" s="200" t="s">
        <v>9</v>
      </c>
      <c r="L383" s="148">
        <f t="shared" ref="L383:T383" si="161">MAX(L15:L380)</f>
        <v>6.7436406421698458E-2</v>
      </c>
      <c r="M383" s="834"/>
      <c r="N383" s="834"/>
      <c r="O383" s="49">
        <f t="shared" si="161"/>
        <v>5.2938603773974718E-2</v>
      </c>
      <c r="P383" s="170">
        <f t="shared" si="161"/>
        <v>1.7063717034984285E-2</v>
      </c>
      <c r="Q383" s="312">
        <f t="shared" si="161"/>
        <v>0.7</v>
      </c>
      <c r="R383" s="313">
        <f t="shared" si="161"/>
        <v>0.97894651083056838</v>
      </c>
      <c r="S383" s="800">
        <f t="shared" si="161"/>
        <v>-1</v>
      </c>
      <c r="T383" s="232">
        <f t="shared" si="161"/>
        <v>5</v>
      </c>
      <c r="U383" s="252">
        <f>MAX(U15:U380)</f>
        <v>-2.1053489169431616E-2</v>
      </c>
      <c r="V383" s="60">
        <f>MAX(V15:V380)</f>
        <v>55.679094587134855</v>
      </c>
      <c r="X383" s="112" t="s">
        <v>9</v>
      </c>
      <c r="Y383" s="376">
        <f>MAX(Y15:Y380)</f>
        <v>54.869608447258933</v>
      </c>
      <c r="Z383" s="376">
        <f>MAX(Z15:Z380)</f>
        <v>58.593206077327316</v>
      </c>
      <c r="AA383" s="376">
        <f>MAX(AA15:AA380)</f>
        <v>63.336679651737079</v>
      </c>
      <c r="AB383" s="200" t="s">
        <v>9</v>
      </c>
      <c r="AC383" s="49">
        <f t="shared" ref="AC383:AH383" si="162">MAX(AC15:AC380)</f>
        <v>7.9132766263709617E-2</v>
      </c>
      <c r="AD383" s="170">
        <f t="shared" si="162"/>
        <v>0.12868978232225159</v>
      </c>
      <c r="AE383" s="312">
        <f t="shared" si="162"/>
        <v>0.7</v>
      </c>
      <c r="AF383" s="313">
        <f t="shared" si="162"/>
        <v>0.73460434166991906</v>
      </c>
      <c r="AG383" s="800">
        <f t="shared" si="162"/>
        <v>2</v>
      </c>
      <c r="AH383" s="232">
        <f t="shared" si="162"/>
        <v>8</v>
      </c>
      <c r="AI383" s="226">
        <f>MAX(AI15:AI380)</f>
        <v>2.7346043416699191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" priority="5" stopIfTrue="1" operator="lessThan">
      <formula>0.01</formula>
    </cfRule>
    <cfRule type="cellIs" dxfId="0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45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H4" sqref="H4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24" customWidth="1"/>
    <col min="14" max="14" width="9.140625" style="624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1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89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49" width="6.85546875" style="1060" customWidth="1"/>
    <col min="50" max="51" width="6.85546875" style="15" customWidth="1"/>
    <col min="52" max="16384" width="11.42578125" style="15"/>
  </cols>
  <sheetData>
    <row r="1" spans="1:49" ht="21.75" thickBot="1" x14ac:dyDescent="0.4">
      <c r="A1" s="651" t="str">
        <f>"Masques "&amp;Station</f>
        <v>Masques Noueilles salle des fêtes</v>
      </c>
      <c r="B1" s="6"/>
      <c r="C1" s="657"/>
      <c r="D1" s="658"/>
      <c r="E1" s="1195"/>
      <c r="F1" s="1195"/>
      <c r="H1" s="22" t="s">
        <v>279</v>
      </c>
      <c r="I1" s="1233">
        <v>44588</v>
      </c>
      <c r="J1" s="1234"/>
      <c r="K1" s="875"/>
      <c r="M1" s="780" t="s">
        <v>170</v>
      </c>
      <c r="N1" s="653"/>
      <c r="O1" s="654"/>
      <c r="P1" s="654"/>
      <c r="Q1" s="653"/>
      <c r="R1" s="653"/>
      <c r="S1" s="655"/>
      <c r="T1" s="656"/>
      <c r="U1" s="655"/>
      <c r="V1" s="653"/>
      <c r="W1" s="655"/>
      <c r="X1" s="653"/>
      <c r="Y1" s="15"/>
      <c r="AA1" s="15"/>
    </row>
    <row r="2" spans="1:49" s="6" customFormat="1" ht="12.75" customHeight="1" thickBot="1" x14ac:dyDescent="0.25">
      <c r="A2" s="571"/>
      <c r="C2" s="657"/>
      <c r="D2" s="658"/>
      <c r="E2" s="1195"/>
      <c r="F2" s="1195"/>
      <c r="G2" s="26"/>
      <c r="H2" s="25"/>
      <c r="L2" s="8"/>
      <c r="P2" s="1110"/>
      <c r="Q2" s="563"/>
      <c r="R2" s="563"/>
      <c r="S2" s="563"/>
      <c r="T2" s="563"/>
      <c r="U2" s="563"/>
      <c r="V2" s="1145" t="s">
        <v>354</v>
      </c>
      <c r="W2" s="1101">
        <v>2.5398429389891737</v>
      </c>
      <c r="X2" s="563" t="s">
        <v>356</v>
      </c>
      <c r="Y2" s="563"/>
      <c r="Z2" s="563"/>
      <c r="AA2" s="563"/>
      <c r="AB2" s="563"/>
      <c r="AC2" s="563"/>
      <c r="AD2" s="563"/>
      <c r="AE2" s="563"/>
      <c r="AF2" s="563"/>
      <c r="AM2" s="355"/>
      <c r="AN2" s="355"/>
      <c r="AO2" s="355"/>
      <c r="AP2" s="355"/>
      <c r="AQ2" s="355"/>
      <c r="AR2" s="355"/>
      <c r="AS2" s="355"/>
      <c r="AT2" s="355"/>
      <c r="AU2" s="355"/>
      <c r="AV2" s="355"/>
      <c r="AW2" s="355"/>
    </row>
    <row r="3" spans="1:49" ht="16.5" thickBot="1" x14ac:dyDescent="0.3">
      <c r="A3" s="659" t="s">
        <v>310</v>
      </c>
      <c r="B3" s="660"/>
      <c r="C3" s="660"/>
      <c r="E3" s="1019"/>
      <c r="F3" s="1020" t="s">
        <v>190</v>
      </c>
      <c r="G3" s="20"/>
      <c r="H3" s="22" t="s">
        <v>15</v>
      </c>
      <c r="I3" s="1144">
        <v>0.35</v>
      </c>
      <c r="J3" s="876">
        <f>DEGREES(ATAN(I3))</f>
        <v>19.290046219188735</v>
      </c>
      <c r="K3" s="876"/>
      <c r="L3" s="560" t="s">
        <v>301</v>
      </c>
      <c r="M3" s="877" t="s">
        <v>283</v>
      </c>
      <c r="P3" s="1111"/>
      <c r="Q3" s="1111"/>
      <c r="R3" s="1117"/>
      <c r="S3" s="1112"/>
      <c r="T3" s="1113"/>
      <c r="U3" s="1113"/>
      <c r="V3" s="1114" t="s">
        <v>355</v>
      </c>
      <c r="W3" s="1114">
        <v>7.1</v>
      </c>
      <c r="X3" s="1114">
        <f>+W2/W3</f>
        <v>0.35772435760410898</v>
      </c>
      <c r="Y3" s="1113"/>
      <c r="Z3" s="1113"/>
      <c r="AA3" s="1113"/>
      <c r="AB3" s="1113"/>
      <c r="AC3" s="1113"/>
      <c r="AD3" s="1113"/>
      <c r="AE3" s="1113"/>
      <c r="AF3" s="1113"/>
    </row>
    <row r="4" spans="1:49" s="25" customFormat="1" ht="12" thickBot="1" x14ac:dyDescent="0.25">
      <c r="A4" s="661" t="s">
        <v>139</v>
      </c>
      <c r="B4" s="878" t="s">
        <v>140</v>
      </c>
      <c r="C4" s="878" t="s">
        <v>141</v>
      </c>
      <c r="D4" s="878" t="s">
        <v>142</v>
      </c>
      <c r="E4" s="879" t="s">
        <v>168</v>
      </c>
      <c r="F4" s="662" t="s">
        <v>189</v>
      </c>
      <c r="I4" s="6"/>
      <c r="J4" s="880"/>
      <c r="K4" s="880"/>
      <c r="L4" s="6"/>
      <c r="O4" s="880" t="s">
        <v>280</v>
      </c>
      <c r="P4" s="1114"/>
      <c r="Q4" s="1115"/>
      <c r="R4" s="1114"/>
      <c r="S4" s="1114"/>
      <c r="T4" s="1114"/>
      <c r="U4" s="1114"/>
      <c r="V4" s="1114"/>
      <c r="W4" s="1114"/>
      <c r="X4" s="1114"/>
      <c r="Y4" s="1114"/>
      <c r="Z4" s="1114"/>
      <c r="AA4" s="1114"/>
      <c r="AB4" s="1114"/>
      <c r="AC4" s="1114"/>
      <c r="AD4" s="1114"/>
      <c r="AE4" s="1114"/>
      <c r="AF4" s="1114"/>
      <c r="AM4" s="355"/>
      <c r="AN4" s="355"/>
      <c r="AO4" s="355"/>
      <c r="AP4" s="355"/>
      <c r="AQ4" s="355"/>
      <c r="AR4" s="355"/>
      <c r="AS4" s="355"/>
      <c r="AT4" s="355"/>
      <c r="AU4" s="355"/>
      <c r="AV4" s="355"/>
      <c r="AW4" s="355"/>
    </row>
    <row r="5" spans="1:49" ht="16.5" thickBot="1" x14ac:dyDescent="0.3">
      <c r="A5" s="663" t="s">
        <v>143</v>
      </c>
      <c r="B5" s="881">
        <v>2</v>
      </c>
      <c r="C5" s="882">
        <v>15</v>
      </c>
      <c r="D5" s="171">
        <f>+C5*B5</f>
        <v>30</v>
      </c>
      <c r="E5" s="883">
        <v>0.3</v>
      </c>
      <c r="F5" s="664">
        <f>+D5*E5</f>
        <v>9</v>
      </c>
      <c r="G5" s="624"/>
      <c r="H5" s="22" t="s">
        <v>281</v>
      </c>
      <c r="I5" s="877">
        <f>51+90-180</f>
        <v>-39</v>
      </c>
      <c r="J5" s="876"/>
      <c r="K5" s="876"/>
      <c r="L5" s="22" t="s">
        <v>282</v>
      </c>
      <c r="M5" s="877">
        <f>Azi_pvG</f>
        <v>-39</v>
      </c>
      <c r="N5" s="884">
        <f>+IF($M$3="G",Azi_pvG,Azi_pvD)</f>
        <v>-39</v>
      </c>
      <c r="O5" s="885">
        <f>90-$J$3</f>
        <v>70.709953780811261</v>
      </c>
      <c r="P5" s="1116"/>
      <c r="Q5" s="1112"/>
      <c r="R5" s="1117"/>
      <c r="S5" s="1112"/>
      <c r="T5" s="1112"/>
      <c r="U5" s="1113"/>
      <c r="V5" s="1116"/>
      <c r="W5" s="1140"/>
      <c r="X5" s="1140" t="s">
        <v>348</v>
      </c>
      <c r="Y5" s="1113"/>
      <c r="Z5" s="1113"/>
      <c r="AA5" s="1113"/>
      <c r="AB5" s="1113"/>
      <c r="AC5" s="1113"/>
      <c r="AD5" s="1118"/>
      <c r="AE5" s="1118"/>
      <c r="AF5" s="1113"/>
    </row>
    <row r="6" spans="1:49" s="6" customFormat="1" ht="11.25" x14ac:dyDescent="0.2">
      <c r="A6" s="560" t="s">
        <v>138</v>
      </c>
      <c r="B6" s="8">
        <f>1.776+0.002+0.01</f>
        <v>1.788</v>
      </c>
      <c r="C6" s="8">
        <f>1.052+0.002+0.01</f>
        <v>1.0640000000000001</v>
      </c>
      <c r="E6" s="623"/>
      <c r="F6" s="597"/>
      <c r="G6" s="25"/>
      <c r="N6" s="18"/>
      <c r="P6" s="563"/>
      <c r="Q6" s="563"/>
      <c r="R6" s="1105"/>
      <c r="S6" s="1106"/>
      <c r="T6" s="1105"/>
      <c r="U6" s="563"/>
      <c r="V6" s="1116" t="s">
        <v>346</v>
      </c>
      <c r="W6" s="1141">
        <v>8.1981756184301098</v>
      </c>
      <c r="X6" s="1142">
        <f>-(W6-W7)/2</f>
        <v>-0.51911274347441516</v>
      </c>
      <c r="Y6" s="563"/>
      <c r="Z6" s="563"/>
      <c r="AA6" s="563"/>
      <c r="AB6" s="563"/>
      <c r="AC6" s="563"/>
      <c r="AD6" s="1118"/>
      <c r="AE6" s="1118"/>
      <c r="AF6" s="563"/>
      <c r="AM6" s="355"/>
      <c r="AN6" s="355"/>
      <c r="AO6" s="355"/>
      <c r="AP6" s="355"/>
      <c r="AQ6" s="355"/>
      <c r="AR6" s="355"/>
      <c r="AS6" s="355"/>
      <c r="AT6" s="355"/>
      <c r="AU6" s="355"/>
      <c r="AV6" s="355"/>
      <c r="AW6" s="355"/>
    </row>
    <row r="7" spans="1:49" s="6" customFormat="1" ht="19.5" thickBot="1" x14ac:dyDescent="0.35">
      <c r="A7" s="16" t="s">
        <v>163</v>
      </c>
      <c r="D7" s="665"/>
      <c r="F7" s="8"/>
      <c r="G7" s="26"/>
      <c r="H7" s="563"/>
      <c r="I7" s="563"/>
      <c r="M7" s="666" t="s">
        <v>144</v>
      </c>
      <c r="N7" s="26"/>
      <c r="O7" s="18"/>
      <c r="P7" s="18"/>
      <c r="S7" s="666" t="s">
        <v>144</v>
      </c>
      <c r="U7" s="26"/>
      <c r="V7" s="1116" t="s">
        <v>347</v>
      </c>
      <c r="W7" s="1143">
        <v>7.1599501314812795</v>
      </c>
      <c r="X7" s="1142">
        <f>-X6</f>
        <v>0.51911274347441516</v>
      </c>
      <c r="Y7" s="1119"/>
      <c r="Z7" s="1106"/>
      <c r="AA7" s="563"/>
      <c r="AB7" s="563"/>
      <c r="AC7" s="563"/>
      <c r="AD7" s="563"/>
      <c r="AE7" s="563"/>
      <c r="AF7" s="563"/>
      <c r="AM7" s="355"/>
      <c r="AN7" s="355"/>
      <c r="AO7" s="355"/>
      <c r="AP7" s="355"/>
      <c r="AQ7" s="355"/>
      <c r="AR7" s="355"/>
      <c r="AS7" s="355"/>
      <c r="AT7" s="355"/>
      <c r="AU7" s="355"/>
      <c r="AV7" s="355"/>
      <c r="AW7" s="355"/>
    </row>
    <row r="8" spans="1:49" s="19" customFormat="1" ht="16.5" thickBot="1" x14ac:dyDescent="0.3">
      <c r="A8" s="659" t="s">
        <v>303</v>
      </c>
      <c r="D8" s="105"/>
      <c r="E8" s="886">
        <v>1.73</v>
      </c>
      <c r="F8" s="668" t="s">
        <v>236</v>
      </c>
      <c r="H8" s="29"/>
      <c r="I8" s="31"/>
      <c r="L8" s="667" t="s">
        <v>171</v>
      </c>
      <c r="M8" s="29"/>
      <c r="O8" s="29"/>
      <c r="P8" s="34"/>
      <c r="R8" s="667" t="s">
        <v>172</v>
      </c>
      <c r="S8" s="29"/>
      <c r="U8" s="29"/>
      <c r="V8" s="29"/>
      <c r="Y8" s="667" t="s">
        <v>173</v>
      </c>
      <c r="Z8" s="668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r="9" spans="1:49" s="19" customFormat="1" ht="15.75" thickBot="1" x14ac:dyDescent="0.3">
      <c r="A9" s="669" t="s">
        <v>174</v>
      </c>
      <c r="B9" s="887" t="s">
        <v>175</v>
      </c>
      <c r="C9" s="887" t="s">
        <v>176</v>
      </c>
      <c r="D9" s="887" t="s">
        <v>179</v>
      </c>
      <c r="E9" s="888" t="s">
        <v>180</v>
      </c>
      <c r="F9" s="669" t="s">
        <v>177</v>
      </c>
      <c r="G9" s="669" t="s">
        <v>178</v>
      </c>
      <c r="H9" s="670" t="s">
        <v>147</v>
      </c>
      <c r="I9" s="671" t="s">
        <v>181</v>
      </c>
      <c r="L9" s="672" t="s">
        <v>149</v>
      </c>
      <c r="M9" s="680" t="s">
        <v>150</v>
      </c>
      <c r="N9" s="680" t="s">
        <v>151</v>
      </c>
      <c r="O9" s="680" t="s">
        <v>152</v>
      </c>
      <c r="P9" s="34"/>
      <c r="R9" s="672" t="s">
        <v>149</v>
      </c>
      <c r="S9" s="680" t="s">
        <v>150</v>
      </c>
      <c r="T9" s="680" t="s">
        <v>151</v>
      </c>
      <c r="U9" s="680" t="s">
        <v>152</v>
      </c>
      <c r="V9" s="558"/>
      <c r="W9" s="785" t="s">
        <v>339</v>
      </c>
      <c r="X9" s="558"/>
      <c r="Y9" s="558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</row>
    <row r="10" spans="1:49" s="19" customFormat="1" x14ac:dyDescent="0.25">
      <c r="A10" s="781" t="s">
        <v>344</v>
      </c>
      <c r="B10" s="889">
        <v>13.37</v>
      </c>
      <c r="C10" s="890">
        <v>0.71</v>
      </c>
      <c r="D10" s="889">
        <f>Hrm*B10/(B10-C10)</f>
        <v>1.8270221169036334</v>
      </c>
      <c r="E10" s="890">
        <f t="shared" ref="E10:E11" si="0">+D10*C10/B10</f>
        <v>9.7022116903633493E-2</v>
      </c>
      <c r="F10" s="891">
        <f>DEGREES(ATAN2(H10,D10))</f>
        <v>3.0683699857090052</v>
      </c>
      <c r="G10" s="891">
        <f>DEGREES(ATAN2(H10,E10))</f>
        <v>0.16309811785060149</v>
      </c>
      <c r="H10" s="554">
        <f>SQRT(POWER(N10-T$10,2)+POWER(M10-S$10,2))</f>
        <v>34.083427057735868</v>
      </c>
      <c r="I10" s="674">
        <f>(F10-G10)/(B10-C10)</f>
        <v>0.22948434975184864</v>
      </c>
      <c r="J10" s="43"/>
      <c r="K10" s="43"/>
      <c r="L10" s="782" t="str">
        <f>A10</f>
        <v>Mur entrée maison individuel</v>
      </c>
      <c r="M10" s="892">
        <v>411.5</v>
      </c>
      <c r="N10" s="893">
        <v>821</v>
      </c>
      <c r="O10" s="894">
        <v>202.84</v>
      </c>
      <c r="P10" s="811"/>
      <c r="Q10" s="811"/>
      <c r="R10" s="783" t="s">
        <v>335</v>
      </c>
      <c r="S10" s="892">
        <v>445.54</v>
      </c>
      <c r="T10" s="893">
        <v>819.28</v>
      </c>
      <c r="U10" s="894">
        <v>201.63</v>
      </c>
      <c r="V10" s="675" t="s">
        <v>182</v>
      </c>
      <c r="W10" s="895">
        <f>1.55+U10-O11+X6</f>
        <v>-9.3391127434744092</v>
      </c>
      <c r="X10" s="811" t="s">
        <v>85</v>
      </c>
      <c r="Y10" s="613" t="s">
        <v>338</v>
      </c>
      <c r="Z10" s="616"/>
      <c r="AA10" s="558"/>
      <c r="AB10" s="558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</row>
    <row r="11" spans="1:49" s="19" customFormat="1" x14ac:dyDescent="0.25">
      <c r="A11" s="781" t="s">
        <v>345</v>
      </c>
      <c r="B11" s="896">
        <v>-11.01</v>
      </c>
      <c r="C11" s="897">
        <v>-28.61</v>
      </c>
      <c r="D11" s="896">
        <f>2.265*B11/(B11-C11)</f>
        <v>-1.4169119318181818</v>
      </c>
      <c r="E11" s="897">
        <f t="shared" si="0"/>
        <v>-3.6819119318181817</v>
      </c>
      <c r="F11" s="891">
        <f>DEGREES(ATAN2(H11,D11))</f>
        <v>-2.4050656011672156</v>
      </c>
      <c r="G11" s="891">
        <f>DEGREES(ATAN2(H11,E11))</f>
        <v>-6.2286949851399109</v>
      </c>
      <c r="H11" s="554">
        <f>SQRT(POWER(N11-T$11,2)+POWER(M11-S$11,2))</f>
        <v>33.735207128458605</v>
      </c>
      <c r="I11" s="674">
        <f>(F11-G11)/(B11-C11)</f>
        <v>0.21725166954390313</v>
      </c>
      <c r="J11" s="117"/>
      <c r="K11" s="43"/>
      <c r="L11" s="782" t="str">
        <f>A11</f>
        <v>Hauteur porte d'entrée SdF</v>
      </c>
      <c r="M11" s="898">
        <v>375.82</v>
      </c>
      <c r="N11" s="617">
        <v>907.41</v>
      </c>
      <c r="O11" s="899">
        <v>212</v>
      </c>
      <c r="P11" s="812"/>
      <c r="Q11" s="812"/>
      <c r="R11" s="784" t="s">
        <v>336</v>
      </c>
      <c r="S11" s="898">
        <v>353.63</v>
      </c>
      <c r="T11" s="617">
        <v>932.82</v>
      </c>
      <c r="U11" s="899">
        <f>213.43+0.5</f>
        <v>213.93</v>
      </c>
      <c r="V11" s="676" t="s">
        <v>183</v>
      </c>
      <c r="W11" s="900">
        <f>1.55+U11-O11+X7</f>
        <v>3.9991127434744334</v>
      </c>
      <c r="X11" s="812" t="s">
        <v>85</v>
      </c>
      <c r="Y11" s="614" t="s">
        <v>337</v>
      </c>
      <c r="Z11" s="616"/>
      <c r="AA11" s="558"/>
      <c r="AB11" s="558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r="12" spans="1:49" s="19" customFormat="1" ht="15.75" thickBot="1" x14ac:dyDescent="0.3">
      <c r="A12" s="781"/>
      <c r="B12" s="901"/>
      <c r="C12" s="902"/>
      <c r="D12" s="901"/>
      <c r="E12" s="902"/>
      <c r="F12" s="891" t="e">
        <f>DEGREES(ATAN2(H12,D12))</f>
        <v>#DIV/0!</v>
      </c>
      <c r="G12" s="891" t="e">
        <f>DEGREES(ATAN2(H12,E12))</f>
        <v>#DIV/0!</v>
      </c>
      <c r="H12" s="554">
        <f>SQRT(POWER(N12-T$12,2)+POWER(M12-S$12,2))</f>
        <v>0</v>
      </c>
      <c r="I12" s="674" t="e">
        <f>(F12-G12)/(B12-C12)</f>
        <v>#DIV/0!</v>
      </c>
      <c r="J12" s="117"/>
      <c r="K12" s="43"/>
      <c r="L12" s="782">
        <f>A12</f>
        <v>0</v>
      </c>
      <c r="M12" s="903"/>
      <c r="N12" s="904"/>
      <c r="O12" s="905"/>
      <c r="P12" s="812"/>
      <c r="Q12" s="812"/>
      <c r="R12" s="784"/>
      <c r="S12" s="903"/>
      <c r="T12" s="904"/>
      <c r="U12" s="905"/>
      <c r="V12" s="676" t="s">
        <v>237</v>
      </c>
      <c r="W12" s="906"/>
      <c r="X12" s="812" t="s">
        <v>85</v>
      </c>
      <c r="Y12" s="614"/>
      <c r="Z12" s="616"/>
      <c r="AA12" s="558"/>
      <c r="AB12" s="558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</row>
    <row r="13" spans="1:49" s="6" customFormat="1" ht="11.25" x14ac:dyDescent="0.2">
      <c r="A13" s="560"/>
      <c r="C13" s="1096" t="s">
        <v>331</v>
      </c>
      <c r="D13" s="10" t="e">
        <f>Hrm*B13/(B13-C13)</f>
        <v>#VALUE!</v>
      </c>
      <c r="E13" s="1097" t="e">
        <f>+D13*C13/B13</f>
        <v>#VALUE!</v>
      </c>
      <c r="F13" s="563"/>
      <c r="G13" s="1101"/>
      <c r="H13" s="1102"/>
      <c r="I13" s="1103"/>
      <c r="J13" s="563"/>
      <c r="K13" s="563"/>
      <c r="L13" s="563"/>
      <c r="O13" s="18"/>
      <c r="P13" s="1104"/>
      <c r="Q13" s="563"/>
      <c r="R13" s="563"/>
      <c r="U13" s="786"/>
      <c r="V13" s="26"/>
      <c r="Y13" s="1105"/>
      <c r="Z13" s="1106"/>
      <c r="AA13" s="1107"/>
      <c r="AB13" s="1108"/>
      <c r="AC13" s="1109"/>
      <c r="AD13" s="1108"/>
      <c r="AM13" s="355"/>
      <c r="AN13" s="355"/>
      <c r="AO13" s="355"/>
      <c r="AP13" s="355"/>
      <c r="AQ13" s="355"/>
      <c r="AR13" s="355"/>
      <c r="AS13" s="355"/>
      <c r="AT13" s="355"/>
      <c r="AU13" s="355"/>
      <c r="AV13" s="355"/>
      <c r="AW13" s="355"/>
    </row>
    <row r="14" spans="1:49" s="19" customFormat="1" ht="15.75" x14ac:dyDescent="0.25">
      <c r="A14" s="659" t="s">
        <v>161</v>
      </c>
      <c r="B14" s="679"/>
      <c r="C14" s="28"/>
      <c r="D14" s="666" t="s">
        <v>304</v>
      </c>
      <c r="E14" s="71"/>
      <c r="F14" s="82"/>
      <c r="G14" s="879" t="s">
        <v>185</v>
      </c>
      <c r="K14" s="1007" t="s">
        <v>305</v>
      </c>
      <c r="L14" s="1006">
        <f>+CHOOSE(N14,L16,L17,L18,L19)</f>
        <v>5.6444077378236344</v>
      </c>
      <c r="M14" s="136" t="s">
        <v>284</v>
      </c>
      <c r="N14" s="907">
        <f>IF(M3="D",3,IF(M3="C",2,1))</f>
        <v>1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</row>
    <row r="15" spans="1:49" s="19" customFormat="1" ht="13.5" thickBot="1" x14ac:dyDescent="0.25">
      <c r="A15" s="680" t="s">
        <v>149</v>
      </c>
      <c r="B15" s="681" t="s">
        <v>184</v>
      </c>
      <c r="C15" s="680" t="s">
        <v>145</v>
      </c>
      <c r="D15" s="680" t="s">
        <v>150</v>
      </c>
      <c r="E15" s="680" t="s">
        <v>151</v>
      </c>
      <c r="F15" s="1018" t="s">
        <v>285</v>
      </c>
      <c r="G15" s="1017" t="s">
        <v>186</v>
      </c>
      <c r="H15" s="680" t="s">
        <v>153</v>
      </c>
      <c r="I15" s="680" t="s">
        <v>155</v>
      </c>
      <c r="J15" s="680" t="s">
        <v>146</v>
      </c>
      <c r="K15" s="680" t="s">
        <v>147</v>
      </c>
      <c r="L15" s="680" t="s">
        <v>148</v>
      </c>
      <c r="M15" s="680" t="s">
        <v>154</v>
      </c>
      <c r="N15" s="682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</row>
    <row r="16" spans="1:49" s="19" customFormat="1" ht="12.75" x14ac:dyDescent="0.2">
      <c r="A16" s="959" t="s">
        <v>296</v>
      </c>
      <c r="B16" s="908">
        <v>1</v>
      </c>
      <c r="C16" s="968"/>
      <c r="D16" s="909">
        <v>388.02250000000004</v>
      </c>
      <c r="E16" s="909">
        <v>901.77916666666658</v>
      </c>
      <c r="F16" s="981"/>
      <c r="G16" s="985"/>
      <c r="H16" s="985"/>
      <c r="I16" s="985"/>
      <c r="J16" s="992">
        <f>IF(B16="",0,C16*CHOOSE(B16,Rata1,Rata2,Rata3))</f>
        <v>0</v>
      </c>
      <c r="K16" s="987">
        <f>IF(B16="",0,SQRT(+POWER(D16-CHOOSE(B16,$S$10,$S$11,$S$12),2)+POWER(E16-CHOOSE(B16,$T$10,$T$11,$T$12),2)))</f>
        <v>100.5702506059542</v>
      </c>
      <c r="L16" s="1139">
        <f>L17</f>
        <v>5.6444077378236344</v>
      </c>
      <c r="M16" s="993"/>
      <c r="N16" s="1002" t="str">
        <f t="shared" ref="N16:N43" si="1">A16</f>
        <v>Centre du champ PV G.: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</row>
    <row r="17" spans="1:49" s="39" customFormat="1" ht="12.75" x14ac:dyDescent="0.2">
      <c r="A17" s="960" t="s">
        <v>297</v>
      </c>
      <c r="B17" s="910">
        <v>1</v>
      </c>
      <c r="C17" s="969">
        <v>36.97</v>
      </c>
      <c r="D17" s="911">
        <v>384.08749999999998</v>
      </c>
      <c r="E17" s="911">
        <v>898.73749999999995</v>
      </c>
      <c r="F17" s="982"/>
      <c r="G17" s="972"/>
      <c r="H17" s="972"/>
      <c r="I17" s="972"/>
      <c r="J17" s="994">
        <f>IF(B17="",0,C17*CHOOSE(B17,Rata1,Rata2,Rata3))</f>
        <v>8.4840364103258441</v>
      </c>
      <c r="K17" s="989">
        <f>IF(B17="",0,SQRT(+POWER(D17-CHOOSE(B17,$S$10,$S$11,$S$12),2)+POWER(E17-CHOOSE(B17,$T$10,$T$11,$T$12),2)))</f>
        <v>100.448514486278</v>
      </c>
      <c r="L17" s="988">
        <f>IF(B17="",0,K17*TAN(RADIANS(J17))+CHOOSE(B17,Hobs1,Hobs2,Hobs3))</f>
        <v>5.6444077378236344</v>
      </c>
      <c r="M17" s="995"/>
      <c r="N17" s="1003" t="str">
        <f t="shared" si="1"/>
        <v>Centre du champ PV C.: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49" s="28" customFormat="1" ht="12.75" x14ac:dyDescent="0.2">
      <c r="A18" s="960" t="s">
        <v>298</v>
      </c>
      <c r="B18" s="910">
        <v>1</v>
      </c>
      <c r="C18" s="969"/>
      <c r="D18" s="911">
        <v>380.15250000000003</v>
      </c>
      <c r="E18" s="911">
        <v>895.69583333333333</v>
      </c>
      <c r="F18" s="983"/>
      <c r="G18" s="973"/>
      <c r="H18" s="973"/>
      <c r="I18" s="973"/>
      <c r="J18" s="994">
        <f>IF(B18="",0,C18*CHOOSE(B18,Rata1,Rata2,Rata3))</f>
        <v>0</v>
      </c>
      <c r="K18" s="989">
        <f>IF(B18="",0,SQRT(+POWER(D18-CHOOSE(B18,$S$10,$S$11,$S$12),2)+POWER(E18-CHOOSE(B18,$T$10,$T$11,$T$12),2)))</f>
        <v>100.57288272828706</v>
      </c>
      <c r="L18" s="1138">
        <f>L17</f>
        <v>5.6444077378236344</v>
      </c>
      <c r="M18" s="995"/>
      <c r="N18" s="1003" t="str">
        <f t="shared" si="1"/>
        <v>Centre du champ PV D.: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</row>
    <row r="19" spans="1:49" s="34" customFormat="1" ht="13.5" thickBot="1" x14ac:dyDescent="0.25">
      <c r="A19" s="961"/>
      <c r="B19" s="958"/>
      <c r="C19" s="997"/>
      <c r="D19" s="962"/>
      <c r="E19" s="963"/>
      <c r="F19" s="984"/>
      <c r="G19" s="974"/>
      <c r="H19" s="974"/>
      <c r="I19" s="974"/>
      <c r="J19" s="996">
        <f>IF(B19="",0,C19*CHOOSE(B19,Rata1,Rata2,Rata3))</f>
        <v>0</v>
      </c>
      <c r="K19" s="991">
        <f>IF(B19="",0,SQRT(+POWER(D19-CHOOSE(B19,$S$10,$S$11,$S$12),2)+POWER(E19-CHOOSE(B19,$T$10,$T$11,$T$12),2)))</f>
        <v>0</v>
      </c>
      <c r="L19" s="990">
        <f>IF(B19="",0,K19*TAN(RADIANS(J19))+CHOOSE(B19,Hobs1,Hobs2,Hobs3))</f>
        <v>0</v>
      </c>
      <c r="M19" s="998"/>
      <c r="N19" s="1004">
        <f t="shared" si="1"/>
        <v>0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49" s="34" customFormat="1" ht="12.75" x14ac:dyDescent="0.2">
      <c r="A20" s="912" t="s">
        <v>162</v>
      </c>
      <c r="B20" s="910"/>
      <c r="C20" s="969"/>
      <c r="D20" s="911"/>
      <c r="E20" s="911"/>
      <c r="F20" s="971"/>
      <c r="G20" s="999">
        <f t="shared" ref="G20:G42" si="2">IF(AND(H20=H21,H20&gt;=Azi_pv_sel+90),"",P57-P56)</f>
        <v>98.476263416523224</v>
      </c>
      <c r="H20" s="975">
        <f>+Azi_pv_sel-180</f>
        <v>-219</v>
      </c>
      <c r="I20" s="976">
        <f>J3</f>
        <v>19.290046219188735</v>
      </c>
      <c r="J20" s="994">
        <f t="shared" ref="J20:J42" si="3">IF(B20="",0,C20*CHOOSE(B20,Rata1,Rata2,Rata3))</f>
        <v>0</v>
      </c>
      <c r="K20" s="989">
        <f t="shared" ref="K20:K42" si="4">IF(B20="",0,SQRT(+POWER(D20-CHOOSE(B20,$S$10,$S$11,$S$12),2)+POWER(E20-CHOOSE(B20,$T$10,$T$11,$T$12),2)))</f>
        <v>0</v>
      </c>
      <c r="L20" s="988">
        <f t="shared" ref="L20:L42" si="5">IF(B20="",0,K20*TAN(RADIANS(J20))+CHOOSE(B20,Hobs1,Hobs2,Hobs3))</f>
        <v>0</v>
      </c>
      <c r="M20" s="989">
        <f t="shared" ref="M20:M42" si="6">IF(B20="",0,SQRT(POWER($E20-CHOOSE($N$14,E$16,E$17,E$18,E$19),2)+POWER($D20-CHOOSE($N$14,D$16,D$17,D$18,D$19),2)))</f>
        <v>0</v>
      </c>
      <c r="N20" s="1000" t="str">
        <f t="shared" si="1"/>
        <v>Arrière PV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49" s="34" customFormat="1" ht="12.75" x14ac:dyDescent="0.2">
      <c r="A21" s="912" t="s">
        <v>333</v>
      </c>
      <c r="B21" s="910">
        <v>1</v>
      </c>
      <c r="C21" s="969">
        <v>49.14</v>
      </c>
      <c r="D21" s="911">
        <v>431.85</v>
      </c>
      <c r="E21" s="911">
        <v>927.62</v>
      </c>
      <c r="F21" s="971"/>
      <c r="G21" s="999">
        <f t="shared" si="2"/>
        <v>23.636864087477008</v>
      </c>
      <c r="H21" s="977">
        <f t="shared" ref="H21:H31" si="7">DEGREES(ATAN2(CHOOSE($N$14,E$16,E$17,E$18,E$19)-$E21,CHOOSE($N$14,D$16,D$17,D$18,D$19)-$D21))</f>
        <v>-120.52373658347678</v>
      </c>
      <c r="I21" s="978">
        <f t="shared" ref="I21:I31" si="8">DEGREES(ATAN2(M21,$L21-L$14))</f>
        <v>7.602906561084902</v>
      </c>
      <c r="J21" s="994">
        <f t="shared" si="3"/>
        <v>11.276860946805842</v>
      </c>
      <c r="K21" s="989">
        <f t="shared" si="4"/>
        <v>109.20151876233227</v>
      </c>
      <c r="L21" s="988">
        <f t="shared" si="5"/>
        <v>12.435645407728906</v>
      </c>
      <c r="M21" s="989">
        <f t="shared" si="6"/>
        <v>50.878270642889525</v>
      </c>
      <c r="N21" s="1000" t="str">
        <f t="shared" si="1"/>
        <v>Arbre 0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49" s="34" customFormat="1" ht="12.75" x14ac:dyDescent="0.2">
      <c r="A22" s="912" t="s">
        <v>352</v>
      </c>
      <c r="B22" s="910">
        <v>1</v>
      </c>
      <c r="C22" s="969">
        <v>44.7</v>
      </c>
      <c r="D22" s="911">
        <v>415.6</v>
      </c>
      <c r="E22" s="911">
        <v>905.11</v>
      </c>
      <c r="F22" s="971"/>
      <c r="G22" s="999">
        <f t="shared" si="2"/>
        <v>21.661149094539823</v>
      </c>
      <c r="H22" s="977">
        <f t="shared" si="7"/>
        <v>-96.886872495999768</v>
      </c>
      <c r="I22" s="978">
        <f t="shared" si="8"/>
        <v>3.0236649639214628</v>
      </c>
      <c r="J22" s="994">
        <f t="shared" si="3"/>
        <v>10.257950433907634</v>
      </c>
      <c r="K22" s="989">
        <f t="shared" si="4"/>
        <v>90.902103936047638</v>
      </c>
      <c r="L22" s="988">
        <f t="shared" si="5"/>
        <v>7.1116918683603529</v>
      </c>
      <c r="M22" s="989">
        <f t="shared" si="6"/>
        <v>27.777922113513895</v>
      </c>
      <c r="N22" s="1000" t="str">
        <f t="shared" si="1"/>
        <v>Arbres 1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49" s="34" customFormat="1" ht="12.75" x14ac:dyDescent="0.2">
      <c r="A23" s="912" t="s">
        <v>156</v>
      </c>
      <c r="B23" s="910">
        <v>1</v>
      </c>
      <c r="C23" s="969">
        <v>48.4</v>
      </c>
      <c r="D23" s="911">
        <v>400.57</v>
      </c>
      <c r="E23" s="911">
        <v>898.47</v>
      </c>
      <c r="F23" s="971" t="s">
        <v>135</v>
      </c>
      <c r="G23" s="999">
        <f t="shared" si="2"/>
        <v>7.5010000000000048</v>
      </c>
      <c r="H23" s="977">
        <f t="shared" si="7"/>
        <v>-75.225723401459945</v>
      </c>
      <c r="I23" s="978">
        <f t="shared" si="8"/>
        <v>12.576078076409106</v>
      </c>
      <c r="J23" s="994">
        <f t="shared" si="3"/>
        <v>11.107042527989474</v>
      </c>
      <c r="K23" s="989">
        <f t="shared" si="4"/>
        <v>91.067870294632513</v>
      </c>
      <c r="L23" s="988">
        <f t="shared" si="5"/>
        <v>8.539317846289407</v>
      </c>
      <c r="M23" s="989">
        <f t="shared" si="6"/>
        <v>12.976530363613223</v>
      </c>
      <c r="N23" s="1000" t="str">
        <f t="shared" si="1"/>
        <v>Arbre 2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49" s="34" customFormat="1" ht="12.75" x14ac:dyDescent="0.2">
      <c r="A24" s="912" t="s">
        <v>349</v>
      </c>
      <c r="B24" s="910">
        <v>1</v>
      </c>
      <c r="C24" s="969">
        <v>46.53</v>
      </c>
      <c r="D24" s="911">
        <v>417.38</v>
      </c>
      <c r="E24" s="911">
        <v>891.43</v>
      </c>
      <c r="F24" s="971"/>
      <c r="G24" s="999">
        <f t="shared" si="2"/>
        <v>27.343813493427291</v>
      </c>
      <c r="H24" s="977">
        <f t="shared" si="7"/>
        <v>-70.581321112572596</v>
      </c>
      <c r="I24" s="978">
        <f t="shared" si="8"/>
        <v>-0.69939067886811623</v>
      </c>
      <c r="J24" s="994">
        <f t="shared" si="3"/>
        <v>10.677906793953518</v>
      </c>
      <c r="K24" s="989">
        <f t="shared" si="4"/>
        <v>77.450681727148137</v>
      </c>
      <c r="L24" s="988">
        <f t="shared" si="5"/>
        <v>5.2644165643735743</v>
      </c>
      <c r="M24" s="989">
        <f t="shared" si="6"/>
        <v>31.128251748924821</v>
      </c>
      <c r="N24" s="1000" t="str">
        <f t="shared" si="1"/>
        <v>Creux 3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49" s="34" customFormat="1" ht="12.75" x14ac:dyDescent="0.2">
      <c r="A25" s="912" t="s">
        <v>350</v>
      </c>
      <c r="B25" s="910">
        <v>1</v>
      </c>
      <c r="C25" s="969">
        <v>40.36</v>
      </c>
      <c r="D25" s="911">
        <v>406.52</v>
      </c>
      <c r="E25" s="911">
        <v>880.03</v>
      </c>
      <c r="F25" s="971"/>
      <c r="G25" s="999">
        <f t="shared" si="2"/>
        <v>41.488837977335493</v>
      </c>
      <c r="H25" s="977">
        <f t="shared" si="7"/>
        <v>-40.380909908032649</v>
      </c>
      <c r="I25" s="978">
        <f t="shared" si="8"/>
        <v>-6.4131213612393507</v>
      </c>
      <c r="J25" s="994">
        <f t="shared" si="3"/>
        <v>9.2619883559846112</v>
      </c>
      <c r="K25" s="989">
        <f t="shared" si="4"/>
        <v>72.201959114694404</v>
      </c>
      <c r="L25" s="988">
        <f t="shared" si="5"/>
        <v>2.4352314917145179</v>
      </c>
      <c r="M25" s="989">
        <f t="shared" si="6"/>
        <v>28.551423028361302</v>
      </c>
      <c r="N25" s="1000" t="str">
        <f t="shared" si="1"/>
        <v>Creux 4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49" s="34" customFormat="1" ht="12.75" x14ac:dyDescent="0.2">
      <c r="A26" s="912" t="s">
        <v>158</v>
      </c>
      <c r="B26" s="910">
        <v>1</v>
      </c>
      <c r="C26" s="969">
        <v>47.27</v>
      </c>
      <c r="D26" s="911">
        <v>387.78</v>
      </c>
      <c r="E26" s="911">
        <v>889.24</v>
      </c>
      <c r="F26" s="971"/>
      <c r="G26" s="999">
        <f t="shared" si="2"/>
        <v>8.9802770093446416</v>
      </c>
      <c r="H26" s="977">
        <f t="shared" si="7"/>
        <v>1.107928069302847</v>
      </c>
      <c r="I26" s="978">
        <f t="shared" si="8"/>
        <v>10.838263125291196</v>
      </c>
      <c r="J26" s="994">
        <f t="shared" si="3"/>
        <v>10.847725212769886</v>
      </c>
      <c r="K26" s="989">
        <f t="shared" si="4"/>
        <v>90.722760099106381</v>
      </c>
      <c r="L26" s="988">
        <f t="shared" si="5"/>
        <v>8.0455103050421179</v>
      </c>
      <c r="M26" s="989">
        <f t="shared" si="6"/>
        <v>12.541511350090234</v>
      </c>
      <c r="N26" s="1000" t="str">
        <f t="shared" si="1"/>
        <v>Arbre 4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49" s="34" customFormat="1" ht="12.75" x14ac:dyDescent="0.2">
      <c r="A27" s="912" t="s">
        <v>342</v>
      </c>
      <c r="B27" s="910">
        <v>1</v>
      </c>
      <c r="C27" s="969">
        <v>44</v>
      </c>
      <c r="D27" s="911">
        <v>385.16</v>
      </c>
      <c r="E27" s="911">
        <v>885.69</v>
      </c>
      <c r="F27" s="971"/>
      <c r="G27" s="999">
        <f t="shared" si="2"/>
        <v>8.0099884848592335</v>
      </c>
      <c r="H27" s="977">
        <f>DEGREES(ATAN2(CHOOSE($N$14,E$16,E$17,E$18,E$19)-$E27,CHOOSE($N$14,D$16,D$17,D$18,D$19)-$D27))</f>
        <v>10.088205078647489</v>
      </c>
      <c r="I27" s="978">
        <f t="shared" si="8"/>
        <v>3.5017391230971406</v>
      </c>
      <c r="J27" s="994">
        <f t="shared" si="3"/>
        <v>10.097311389081341</v>
      </c>
      <c r="K27" s="989">
        <f t="shared" si="4"/>
        <v>89.755403737045327</v>
      </c>
      <c r="L27" s="988">
        <f t="shared" si="5"/>
        <v>6.6444143585150801</v>
      </c>
      <c r="M27" s="989">
        <f t="shared" si="6"/>
        <v>16.341823346180604</v>
      </c>
      <c r="N27" s="1000" t="str">
        <f t="shared" si="1"/>
        <v>Creux 4-5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49" s="34" customFormat="1" ht="12.75" x14ac:dyDescent="0.2">
      <c r="A28" s="912" t="s">
        <v>159</v>
      </c>
      <c r="B28" s="910">
        <v>1</v>
      </c>
      <c r="C28" s="969">
        <v>55.21</v>
      </c>
      <c r="D28" s="911">
        <v>380.6</v>
      </c>
      <c r="E28" s="911">
        <v>880.57</v>
      </c>
      <c r="F28" s="971" t="s">
        <v>283</v>
      </c>
      <c r="G28" s="999">
        <f t="shared" si="2"/>
        <v>7.6000000000000227</v>
      </c>
      <c r="H28" s="977">
        <f t="shared" si="7"/>
        <v>19.288341492031062</v>
      </c>
      <c r="I28" s="978">
        <f t="shared" si="8"/>
        <v>12.764834600370969</v>
      </c>
      <c r="J28" s="994">
        <f t="shared" si="3"/>
        <v>12.669830949799564</v>
      </c>
      <c r="K28" s="989">
        <f t="shared" si="4"/>
        <v>89.295395737966288</v>
      </c>
      <c r="L28" s="988">
        <f t="shared" si="5"/>
        <v>10.735073305785658</v>
      </c>
      <c r="M28" s="989">
        <f t="shared" si="6"/>
        <v>22.47047522738313</v>
      </c>
      <c r="N28" s="1000" t="str">
        <f t="shared" si="1"/>
        <v>Arbre 5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49" s="34" customFormat="1" ht="12.75" x14ac:dyDescent="0.2">
      <c r="A29" s="912" t="s">
        <v>343</v>
      </c>
      <c r="B29" s="910">
        <v>1</v>
      </c>
      <c r="C29" s="969">
        <v>51</v>
      </c>
      <c r="D29" s="911">
        <v>378.74</v>
      </c>
      <c r="E29" s="911">
        <v>882.49</v>
      </c>
      <c r="F29" s="971"/>
      <c r="G29" s="999">
        <f t="shared" si="2"/>
        <v>15.016424942723493</v>
      </c>
      <c r="H29" s="977">
        <f t="shared" si="7"/>
        <v>25.698193563506745</v>
      </c>
      <c r="I29" s="978">
        <f t="shared" si="8"/>
        <v>10.75974880563918</v>
      </c>
      <c r="J29" s="994">
        <f t="shared" si="3"/>
        <v>11.703701837344282</v>
      </c>
      <c r="K29" s="989">
        <f t="shared" si="4"/>
        <v>91.965994258747656</v>
      </c>
      <c r="L29" s="988">
        <f t="shared" si="5"/>
        <v>9.7123258543169264</v>
      </c>
      <c r="M29" s="989">
        <f t="shared" si="6"/>
        <v>21.406465307108537</v>
      </c>
      <c r="N29" s="1000" t="str">
        <f t="shared" si="1"/>
        <v>Creux 5-6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49" s="34" customFormat="1" ht="12.75" x14ac:dyDescent="0.2">
      <c r="A30" s="912" t="s">
        <v>160</v>
      </c>
      <c r="B30" s="910">
        <v>1</v>
      </c>
      <c r="C30" s="969">
        <v>54.72</v>
      </c>
      <c r="D30" s="911">
        <v>374.34</v>
      </c>
      <c r="E30" s="911">
        <v>885.88</v>
      </c>
      <c r="F30" s="971"/>
      <c r="G30" s="999">
        <f t="shared" si="2"/>
        <v>19.193180980447401</v>
      </c>
      <c r="H30" s="977">
        <f t="shared" si="7"/>
        <v>40.714618506230238</v>
      </c>
      <c r="I30" s="978">
        <f t="shared" si="8"/>
        <v>17.795252285546006</v>
      </c>
      <c r="J30" s="994">
        <f t="shared" si="3"/>
        <v>12.557383618421158</v>
      </c>
      <c r="K30" s="989">
        <f t="shared" si="4"/>
        <v>97.493589532850876</v>
      </c>
      <c r="L30" s="988">
        <f t="shared" si="5"/>
        <v>12.377160549650704</v>
      </c>
      <c r="M30" s="989">
        <f t="shared" si="6"/>
        <v>20.976041260076784</v>
      </c>
      <c r="N30" s="1000" t="str">
        <f t="shared" si="1"/>
        <v>Arbre 6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49" s="34" customFormat="1" ht="12.75" x14ac:dyDescent="0.2">
      <c r="A31" s="912" t="s">
        <v>351</v>
      </c>
      <c r="B31" s="910">
        <v>1</v>
      </c>
      <c r="C31" s="969">
        <v>54.29</v>
      </c>
      <c r="D31" s="911">
        <v>342.45</v>
      </c>
      <c r="E31" s="911">
        <v>875.37</v>
      </c>
      <c r="F31" s="971"/>
      <c r="G31" s="999">
        <f t="shared" si="2"/>
        <v>11.475211111273303</v>
      </c>
      <c r="H31" s="977">
        <f t="shared" si="7"/>
        <v>59.907799486677639</v>
      </c>
      <c r="I31" s="978">
        <f t="shared" si="8"/>
        <v>11.739970150616056</v>
      </c>
      <c r="J31" s="994">
        <f t="shared" si="3"/>
        <v>12.458705348027863</v>
      </c>
      <c r="K31" s="989">
        <f t="shared" si="4"/>
        <v>117.36113581590803</v>
      </c>
      <c r="L31" s="988">
        <f t="shared" si="5"/>
        <v>16.590496167716836</v>
      </c>
      <c r="M31" s="989">
        <f t="shared" si="6"/>
        <v>52.671594244694901</v>
      </c>
      <c r="N31" s="1000" t="str">
        <f t="shared" si="1"/>
        <v>Arbres 9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49" s="34" customFormat="1" ht="12.75" x14ac:dyDescent="0.2">
      <c r="A32" s="912" t="s">
        <v>340</v>
      </c>
      <c r="B32" s="910">
        <v>1</v>
      </c>
      <c r="C32" s="970">
        <v>51.51</v>
      </c>
      <c r="D32" s="911">
        <v>366.8</v>
      </c>
      <c r="E32" s="911">
        <v>894.63</v>
      </c>
      <c r="F32" s="971"/>
      <c r="G32" s="999">
        <f t="shared" si="2"/>
        <v>13.222347047706833</v>
      </c>
      <c r="H32" s="977">
        <f t="shared" ref="H32" si="9">DEGREES(ATAN2(CHOOSE($N$14,E$16,E$17,E$18,E$19)-$E32,CHOOSE($N$14,D$16,D$17,D$18,D$19)-$D32))</f>
        <v>71.383010597950943</v>
      </c>
      <c r="I32" s="978">
        <f t="shared" ref="I32" si="10">DEGREES(ATAN2(M32,$L32-L$14))</f>
        <v>19.261964687956883</v>
      </c>
      <c r="J32" s="994">
        <f t="shared" si="3"/>
        <v>11.820738855717723</v>
      </c>
      <c r="K32" s="989">
        <f t="shared" si="4"/>
        <v>108.98444889065598</v>
      </c>
      <c r="L32" s="988">
        <f t="shared" si="5"/>
        <v>13.47009778939146</v>
      </c>
      <c r="M32" s="989">
        <f t="shared" si="6"/>
        <v>22.394309327991738</v>
      </c>
      <c r="N32" s="1000" t="str">
        <f t="shared" si="1"/>
        <v>Arbre 7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49" s="39" customFormat="1" ht="12.75" x14ac:dyDescent="0.2">
      <c r="A33" s="912" t="s">
        <v>341</v>
      </c>
      <c r="B33" s="910">
        <v>1</v>
      </c>
      <c r="C33" s="970">
        <v>48.68</v>
      </c>
      <c r="D33" s="911">
        <v>341.12</v>
      </c>
      <c r="E33" s="911">
        <v>897.35</v>
      </c>
      <c r="F33" s="971"/>
      <c r="G33" s="999">
        <f t="shared" si="2"/>
        <v>56.394642354342224</v>
      </c>
      <c r="H33" s="977">
        <f t="shared" ref="H33" si="11">DEGREES(ATAN2(CHOOSE($N$14,E$16,E$17,E$18,E$19)-$E33,CHOOSE($N$14,D$16,D$17,D$18,D$19)-$D33))</f>
        <v>84.605357645657776</v>
      </c>
      <c r="I33" s="978">
        <f t="shared" ref="I33" si="12">DEGREES(ATAN2(M33,$L33-L$14))</f>
        <v>12.870280536061024</v>
      </c>
      <c r="J33" s="994">
        <f t="shared" si="3"/>
        <v>11.171298145919993</v>
      </c>
      <c r="K33" s="989">
        <f t="shared" si="4"/>
        <v>130.37814732538581</v>
      </c>
      <c r="L33" s="988">
        <f t="shared" si="5"/>
        <v>16.408589834675894</v>
      </c>
      <c r="M33" s="989">
        <f t="shared" si="6"/>
        <v>47.111166655169058</v>
      </c>
      <c r="N33" s="1000" t="str">
        <f t="shared" si="1"/>
        <v>Arbre 8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49" s="39" customFormat="1" ht="12.75" x14ac:dyDescent="0.2">
      <c r="A34" s="912" t="s">
        <v>162</v>
      </c>
      <c r="B34" s="910"/>
      <c r="C34" s="970"/>
      <c r="D34" s="911"/>
      <c r="E34" s="911"/>
      <c r="F34" s="971"/>
      <c r="G34" s="999" t="str">
        <f t="shared" si="2"/>
        <v/>
      </c>
      <c r="H34" s="977">
        <f>Azi_pv_sel+180</f>
        <v>141</v>
      </c>
      <c r="I34" s="978">
        <f>$J$3</f>
        <v>19.290046219188735</v>
      </c>
      <c r="J34" s="994">
        <f t="shared" si="3"/>
        <v>0</v>
      </c>
      <c r="K34" s="989">
        <f t="shared" si="4"/>
        <v>0</v>
      </c>
      <c r="L34" s="988">
        <f t="shared" si="5"/>
        <v>0</v>
      </c>
      <c r="M34" s="989">
        <f t="shared" si="6"/>
        <v>0</v>
      </c>
      <c r="N34" s="1000" t="str">
        <f t="shared" si="1"/>
        <v>Arrière PV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49" s="39" customFormat="1" ht="12.75" x14ac:dyDescent="0.2">
      <c r="A35" s="912"/>
      <c r="B35" s="910"/>
      <c r="C35" s="964"/>
      <c r="D35" s="911"/>
      <c r="E35" s="911"/>
      <c r="F35" s="971"/>
      <c r="G35" s="999" t="str">
        <f t="shared" si="2"/>
        <v/>
      </c>
      <c r="H35" s="977">
        <f>Azi_pv_sel+180</f>
        <v>141</v>
      </c>
      <c r="I35" s="978">
        <f>$J$3</f>
        <v>19.290046219188735</v>
      </c>
      <c r="J35" s="994">
        <f t="shared" si="3"/>
        <v>0</v>
      </c>
      <c r="K35" s="989">
        <f t="shared" si="4"/>
        <v>0</v>
      </c>
      <c r="L35" s="988">
        <f t="shared" si="5"/>
        <v>0</v>
      </c>
      <c r="M35" s="989">
        <f t="shared" si="6"/>
        <v>0</v>
      </c>
      <c r="N35" s="1000">
        <f t="shared" si="1"/>
        <v>0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</row>
    <row r="36" spans="1:49" s="34" customFormat="1" ht="12.75" x14ac:dyDescent="0.2">
      <c r="A36" s="912"/>
      <c r="B36" s="910"/>
      <c r="C36" s="964"/>
      <c r="D36" s="911"/>
      <c r="E36" s="911"/>
      <c r="F36" s="971"/>
      <c r="G36" s="999" t="str">
        <f t="shared" si="2"/>
        <v/>
      </c>
      <c r="H36" s="977">
        <f t="shared" ref="H36:I38" si="13">+H35</f>
        <v>141</v>
      </c>
      <c r="I36" s="978">
        <f t="shared" si="13"/>
        <v>19.290046219188735</v>
      </c>
      <c r="J36" s="994">
        <f t="shared" si="3"/>
        <v>0</v>
      </c>
      <c r="K36" s="989">
        <f t="shared" si="4"/>
        <v>0</v>
      </c>
      <c r="L36" s="988">
        <f t="shared" si="5"/>
        <v>0</v>
      </c>
      <c r="M36" s="989">
        <f t="shared" si="6"/>
        <v>0</v>
      </c>
      <c r="N36" s="1000">
        <f t="shared" si="1"/>
        <v>0</v>
      </c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</row>
    <row r="37" spans="1:49" s="34" customFormat="1" ht="12.75" x14ac:dyDescent="0.2">
      <c r="A37" s="912"/>
      <c r="B37" s="910"/>
      <c r="C37" s="964"/>
      <c r="D37" s="911"/>
      <c r="E37" s="911"/>
      <c r="F37" s="971"/>
      <c r="G37" s="999" t="str">
        <f t="shared" si="2"/>
        <v/>
      </c>
      <c r="H37" s="977">
        <f t="shared" si="13"/>
        <v>141</v>
      </c>
      <c r="I37" s="978">
        <f t="shared" si="13"/>
        <v>19.290046219188735</v>
      </c>
      <c r="J37" s="994">
        <f t="shared" si="3"/>
        <v>0</v>
      </c>
      <c r="K37" s="989">
        <f t="shared" si="4"/>
        <v>0</v>
      </c>
      <c r="L37" s="988">
        <f t="shared" si="5"/>
        <v>0</v>
      </c>
      <c r="M37" s="989">
        <f t="shared" si="6"/>
        <v>0</v>
      </c>
      <c r="N37" s="1000">
        <f t="shared" si="1"/>
        <v>0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49" s="34" customFormat="1" ht="12.75" x14ac:dyDescent="0.2">
      <c r="A38" s="912"/>
      <c r="B38" s="910"/>
      <c r="C38" s="964"/>
      <c r="D38" s="911"/>
      <c r="E38" s="911"/>
      <c r="F38" s="971"/>
      <c r="G38" s="999" t="str">
        <f t="shared" si="2"/>
        <v/>
      </c>
      <c r="H38" s="977">
        <f t="shared" si="13"/>
        <v>141</v>
      </c>
      <c r="I38" s="978">
        <f t="shared" si="13"/>
        <v>19.290046219188735</v>
      </c>
      <c r="J38" s="994">
        <f t="shared" si="3"/>
        <v>0</v>
      </c>
      <c r="K38" s="989">
        <f t="shared" si="4"/>
        <v>0</v>
      </c>
      <c r="L38" s="988">
        <f t="shared" si="5"/>
        <v>0</v>
      </c>
      <c r="M38" s="989">
        <f t="shared" si="6"/>
        <v>0</v>
      </c>
      <c r="N38" s="1000">
        <f t="shared" si="1"/>
        <v>0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49" s="34" customFormat="1" ht="12.75" x14ac:dyDescent="0.2">
      <c r="A39" s="912"/>
      <c r="B39" s="910"/>
      <c r="C39" s="964"/>
      <c r="D39" s="911"/>
      <c r="E39" s="911"/>
      <c r="F39" s="971"/>
      <c r="G39" s="999" t="str">
        <f t="shared" si="2"/>
        <v/>
      </c>
      <c r="H39" s="977">
        <f t="shared" ref="H39:H43" si="14">+H38</f>
        <v>141</v>
      </c>
      <c r="I39" s="978">
        <f t="shared" ref="I39:I43" si="15">+I38</f>
        <v>19.290046219188735</v>
      </c>
      <c r="J39" s="994">
        <f t="shared" si="3"/>
        <v>0</v>
      </c>
      <c r="K39" s="989">
        <f t="shared" si="4"/>
        <v>0</v>
      </c>
      <c r="L39" s="988">
        <f t="shared" si="5"/>
        <v>0</v>
      </c>
      <c r="M39" s="989">
        <f t="shared" si="6"/>
        <v>0</v>
      </c>
      <c r="N39" s="1000">
        <f t="shared" si="1"/>
        <v>0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49" s="34" customFormat="1" ht="12.75" x14ac:dyDescent="0.2">
      <c r="A40" s="912"/>
      <c r="B40" s="910"/>
      <c r="C40" s="964"/>
      <c r="D40" s="911"/>
      <c r="E40" s="911"/>
      <c r="F40" s="971"/>
      <c r="G40" s="999" t="str">
        <f t="shared" si="2"/>
        <v/>
      </c>
      <c r="H40" s="977">
        <f t="shared" si="14"/>
        <v>141</v>
      </c>
      <c r="I40" s="978">
        <f t="shared" si="15"/>
        <v>19.290046219188735</v>
      </c>
      <c r="J40" s="994">
        <f t="shared" si="3"/>
        <v>0</v>
      </c>
      <c r="K40" s="989">
        <f t="shared" si="4"/>
        <v>0</v>
      </c>
      <c r="L40" s="988">
        <f t="shared" si="5"/>
        <v>0</v>
      </c>
      <c r="M40" s="989">
        <f t="shared" si="6"/>
        <v>0</v>
      </c>
      <c r="N40" s="1000">
        <f t="shared" si="1"/>
        <v>0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49" s="34" customFormat="1" ht="12.75" x14ac:dyDescent="0.2">
      <c r="A41" s="912"/>
      <c r="B41" s="910"/>
      <c r="C41" s="964"/>
      <c r="D41" s="911"/>
      <c r="E41" s="911"/>
      <c r="F41" s="971"/>
      <c r="G41" s="999" t="str">
        <f t="shared" si="2"/>
        <v/>
      </c>
      <c r="H41" s="977">
        <f t="shared" si="14"/>
        <v>141</v>
      </c>
      <c r="I41" s="978">
        <f t="shared" si="15"/>
        <v>19.290046219188735</v>
      </c>
      <c r="J41" s="994">
        <f t="shared" si="3"/>
        <v>0</v>
      </c>
      <c r="K41" s="989">
        <f t="shared" si="4"/>
        <v>0</v>
      </c>
      <c r="L41" s="988">
        <f t="shared" si="5"/>
        <v>0</v>
      </c>
      <c r="M41" s="989">
        <f t="shared" si="6"/>
        <v>0</v>
      </c>
      <c r="N41" s="1000">
        <f t="shared" si="1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49" s="19" customFormat="1" ht="12.75" x14ac:dyDescent="0.2">
      <c r="A42" s="912"/>
      <c r="B42" s="910"/>
      <c r="C42" s="964"/>
      <c r="D42" s="911"/>
      <c r="E42" s="911"/>
      <c r="F42" s="971"/>
      <c r="G42" s="999" t="str">
        <f t="shared" si="2"/>
        <v/>
      </c>
      <c r="H42" s="977">
        <f t="shared" si="14"/>
        <v>141</v>
      </c>
      <c r="I42" s="978">
        <f t="shared" si="15"/>
        <v>19.290046219188735</v>
      </c>
      <c r="J42" s="994">
        <f t="shared" si="3"/>
        <v>0</v>
      </c>
      <c r="K42" s="989">
        <f t="shared" si="4"/>
        <v>0</v>
      </c>
      <c r="L42" s="988">
        <f t="shared" si="5"/>
        <v>0</v>
      </c>
      <c r="M42" s="989">
        <f t="shared" si="6"/>
        <v>0</v>
      </c>
      <c r="N42" s="1000">
        <f t="shared" si="1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</row>
    <row r="43" spans="1:49" s="19" customFormat="1" ht="13.5" thickBot="1" x14ac:dyDescent="0.25">
      <c r="A43" s="957"/>
      <c r="B43" s="957"/>
      <c r="C43" s="966"/>
      <c r="D43" s="967"/>
      <c r="E43" s="967"/>
      <c r="F43" s="986"/>
      <c r="G43" s="1098"/>
      <c r="H43" s="979">
        <f t="shared" si="14"/>
        <v>141</v>
      </c>
      <c r="I43" s="980">
        <f t="shared" si="15"/>
        <v>19.290046219188735</v>
      </c>
      <c r="J43" s="996"/>
      <c r="K43" s="991"/>
      <c r="L43" s="990"/>
      <c r="M43" s="991"/>
      <c r="N43" s="1001">
        <f t="shared" si="1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</row>
    <row r="44" spans="1:49" s="34" customFormat="1" ht="12.75" x14ac:dyDescent="0.2">
      <c r="A44" s="955" t="s">
        <v>187</v>
      </c>
      <c r="B44" s="913"/>
      <c r="C44" s="914"/>
      <c r="D44" s="615"/>
      <c r="E44" s="650"/>
      <c r="F44" s="965"/>
      <c r="G44" s="615"/>
      <c r="H44" s="915"/>
      <c r="I44" s="915"/>
      <c r="J44" s="914"/>
      <c r="K44" s="615"/>
      <c r="L44" s="913"/>
      <c r="M44" s="913"/>
      <c r="N44" s="1005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49" s="39" customFormat="1" ht="12.75" x14ac:dyDescent="0.2">
      <c r="A45" s="912" t="s">
        <v>157</v>
      </c>
      <c r="B45" s="910">
        <v>1</v>
      </c>
      <c r="C45" s="969">
        <v>58.1</v>
      </c>
      <c r="D45" s="911">
        <v>421.69</v>
      </c>
      <c r="E45" s="911">
        <v>895.26</v>
      </c>
      <c r="F45" s="971"/>
      <c r="G45" s="999"/>
      <c r="H45" s="977"/>
      <c r="I45" s="978"/>
      <c r="J45" s="994"/>
      <c r="K45" s="989"/>
      <c r="L45" s="988"/>
      <c r="M45" s="989"/>
      <c r="N45" s="1000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49" s="39" customFormat="1" ht="12.75" x14ac:dyDescent="0.2">
      <c r="A46" s="912" t="s">
        <v>347</v>
      </c>
      <c r="B46" s="910">
        <v>2</v>
      </c>
      <c r="C46" s="969">
        <v>23.92</v>
      </c>
      <c r="D46" s="911">
        <v>380.68</v>
      </c>
      <c r="E46" s="911">
        <v>902.85</v>
      </c>
      <c r="F46" s="971"/>
      <c r="G46" s="999"/>
      <c r="H46" s="977"/>
      <c r="I46" s="978"/>
      <c r="J46" s="994"/>
      <c r="K46" s="989"/>
      <c r="L46" s="988"/>
      <c r="M46" s="989"/>
      <c r="N46" s="1000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49" s="34" customFormat="1" ht="12.75" x14ac:dyDescent="0.2">
      <c r="A47" s="912" t="s">
        <v>353</v>
      </c>
      <c r="B47" s="910">
        <v>2</v>
      </c>
      <c r="C47" s="969">
        <v>8.93</v>
      </c>
      <c r="D47" s="911">
        <v>376.43</v>
      </c>
      <c r="E47" s="911">
        <v>908.39</v>
      </c>
      <c r="F47" s="971"/>
      <c r="G47" s="999"/>
      <c r="H47" s="977"/>
      <c r="I47" s="978"/>
      <c r="J47" s="994"/>
      <c r="K47" s="989"/>
      <c r="L47" s="988"/>
      <c r="M47" s="989"/>
      <c r="N47" s="1000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49" s="34" customFormat="1" ht="12.75" x14ac:dyDescent="0.2">
      <c r="A48" s="912" t="s">
        <v>156</v>
      </c>
      <c r="B48" s="910">
        <v>2</v>
      </c>
      <c r="C48" s="969">
        <v>14</v>
      </c>
      <c r="D48" s="911">
        <v>400.57</v>
      </c>
      <c r="E48" s="911">
        <v>898.47</v>
      </c>
      <c r="F48" s="971"/>
      <c r="G48" s="999"/>
      <c r="H48" s="977"/>
      <c r="I48" s="978"/>
      <c r="J48" s="994"/>
      <c r="K48" s="989"/>
      <c r="L48" s="988"/>
      <c r="M48" s="989"/>
      <c r="N48" s="1000"/>
      <c r="O48" s="688"/>
      <c r="P48" s="684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9" customFormat="1" ht="12.75" x14ac:dyDescent="0.2">
      <c r="A49" s="912" t="s">
        <v>159</v>
      </c>
      <c r="B49" s="910">
        <v>2</v>
      </c>
      <c r="C49" s="969">
        <v>31</v>
      </c>
      <c r="D49" s="911">
        <v>380.6</v>
      </c>
      <c r="E49" s="911">
        <v>880.57</v>
      </c>
      <c r="F49" s="971"/>
      <c r="G49" s="999"/>
      <c r="H49" s="977"/>
      <c r="I49" s="978"/>
      <c r="J49" s="994"/>
      <c r="K49" s="989"/>
      <c r="L49" s="988"/>
      <c r="M49" s="989"/>
      <c r="N49" s="1000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4" customFormat="1" ht="12.75" x14ac:dyDescent="0.2">
      <c r="A50" s="912" t="s">
        <v>160</v>
      </c>
      <c r="B50" s="910">
        <v>2</v>
      </c>
      <c r="C50" s="969">
        <v>33</v>
      </c>
      <c r="D50" s="911">
        <v>374.34</v>
      </c>
      <c r="E50" s="911">
        <v>885.88</v>
      </c>
      <c r="F50" s="971"/>
      <c r="G50" s="999"/>
      <c r="H50" s="977"/>
      <c r="I50" s="978"/>
      <c r="J50" s="994"/>
      <c r="K50" s="989"/>
      <c r="L50" s="988"/>
      <c r="M50" s="989"/>
      <c r="N50" s="1000"/>
      <c r="O50" s="688"/>
      <c r="P50" s="684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12" t="s">
        <v>340</v>
      </c>
      <c r="B51" s="910">
        <v>2</v>
      </c>
      <c r="C51" s="969">
        <v>31</v>
      </c>
      <c r="D51" s="911">
        <v>366.8</v>
      </c>
      <c r="E51" s="911">
        <v>894.63</v>
      </c>
      <c r="F51" s="971"/>
      <c r="G51" s="999"/>
      <c r="H51" s="977"/>
      <c r="I51" s="978"/>
      <c r="J51" s="994"/>
      <c r="K51" s="989"/>
      <c r="L51" s="988"/>
      <c r="M51" s="989"/>
      <c r="N51" s="1000"/>
      <c r="O51" s="688"/>
      <c r="P51" s="684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ht="21" x14ac:dyDescent="0.35">
      <c r="A52" s="651" t="s">
        <v>169</v>
      </c>
      <c r="C52" s="624"/>
      <c r="F52" s="15"/>
      <c r="K52" s="15"/>
      <c r="L52" s="624"/>
      <c r="M52" s="916"/>
      <c r="N52" s="41"/>
      <c r="O52" s="917"/>
      <c r="P52" s="21"/>
      <c r="R52" s="21"/>
      <c r="S52" s="341"/>
    </row>
    <row r="53" spans="1:51" s="36" customFormat="1" ht="15.75" x14ac:dyDescent="0.25">
      <c r="A53" s="686"/>
      <c r="B53" s="686" t="s">
        <v>198</v>
      </c>
      <c r="C53" s="1095">
        <v>1</v>
      </c>
      <c r="E53" s="684"/>
      <c r="G53" s="686" t="s">
        <v>332</v>
      </c>
      <c r="H53" s="1120">
        <f>I1</f>
        <v>44588</v>
      </c>
      <c r="L53" s="1021"/>
      <c r="P53" s="683" t="s">
        <v>286</v>
      </c>
      <c r="R53" s="684"/>
      <c r="V53" s="684"/>
      <c r="X53" s="684"/>
      <c r="Y53" s="690"/>
      <c r="Z53" s="684"/>
      <c r="AA53" s="683" t="s">
        <v>287</v>
      </c>
      <c r="AM53" s="82"/>
      <c r="AN53" s="1235" t="s">
        <v>322</v>
      </c>
      <c r="AO53" s="1236"/>
      <c r="AP53" s="1227" t="s">
        <v>323</v>
      </c>
      <c r="AQ53" s="1228"/>
      <c r="AR53" s="1227" t="s">
        <v>324</v>
      </c>
      <c r="AS53" s="1228"/>
      <c r="AT53" s="1227" t="s">
        <v>325</v>
      </c>
      <c r="AU53" s="1228"/>
      <c r="AV53" s="1227" t="s">
        <v>326</v>
      </c>
      <c r="AW53" s="1228"/>
    </row>
    <row r="54" spans="1:51" s="4" customFormat="1" x14ac:dyDescent="0.25">
      <c r="A54" s="707" t="str">
        <f>Station</f>
        <v>Noueilles salle des fêtes</v>
      </c>
      <c r="B54" s="1232" t="s">
        <v>312</v>
      </c>
      <c r="C54" s="1229" t="str">
        <f>"Hauteur fonction de la croissance vue du champ PV "&amp;ZonePV</f>
        <v>Hauteur fonction de la croissance vue du champ PV 1</v>
      </c>
      <c r="D54" s="1230"/>
      <c r="E54" s="1230"/>
      <c r="F54" s="1230"/>
      <c r="G54" s="1230"/>
      <c r="H54" s="1230"/>
      <c r="I54" s="1230"/>
      <c r="J54" s="1230"/>
      <c r="K54" s="1230"/>
      <c r="L54" s="1230"/>
      <c r="M54" s="1231"/>
      <c r="O54" s="918" t="str">
        <f>Station</f>
        <v>Noueilles salle des fêtes</v>
      </c>
      <c r="P54" s="919">
        <f>Azi_pv_sel</f>
        <v>-39</v>
      </c>
      <c r="Q54" s="1229" t="str">
        <f>"Elevation vue du champ PV zone: "&amp;ZonePV</f>
        <v>Elevation vue du champ PV zone: 1</v>
      </c>
      <c r="R54" s="1230"/>
      <c r="S54" s="1230"/>
      <c r="T54" s="1230"/>
      <c r="U54" s="1230"/>
      <c r="V54" s="1230"/>
      <c r="W54" s="1230"/>
      <c r="X54" s="1230"/>
      <c r="Y54" s="1230"/>
      <c r="Z54" s="1231"/>
      <c r="AA54" s="920">
        <f>Ram_pv</f>
        <v>0.35</v>
      </c>
      <c r="AB54" s="2"/>
      <c r="AC54" s="2"/>
      <c r="AD54" s="28"/>
      <c r="AG54" s="921"/>
      <c r="AH54" s="922" t="s">
        <v>288</v>
      </c>
      <c r="AJ54" s="1225" t="s">
        <v>319</v>
      </c>
      <c r="AK54" s="1062"/>
      <c r="AL54" s="1062"/>
      <c r="AM54" s="1062"/>
      <c r="AN54" s="1223" t="s">
        <v>313</v>
      </c>
      <c r="AO54" s="1224"/>
      <c r="AP54" s="1221" t="s">
        <v>313</v>
      </c>
      <c r="AQ54" s="1222"/>
      <c r="AR54" s="1221" t="s">
        <v>313</v>
      </c>
      <c r="AS54" s="1222"/>
      <c r="AT54" s="1221" t="s">
        <v>313</v>
      </c>
      <c r="AU54" s="1222"/>
      <c r="AV54" s="1221" t="s">
        <v>313</v>
      </c>
      <c r="AW54" s="1222"/>
    </row>
    <row r="55" spans="1:51" s="19" customFormat="1" ht="13.5" thickBot="1" x14ac:dyDescent="0.25">
      <c r="A55" s="708" t="s">
        <v>311</v>
      </c>
      <c r="B55" s="1232"/>
      <c r="C55" s="691">
        <f>+D$55-$C$53</f>
        <v>-5</v>
      </c>
      <c r="D55" s="691">
        <f>+E$55-$C$53</f>
        <v>-4</v>
      </c>
      <c r="E55" s="691">
        <f>+F$55-$C$53</f>
        <v>-3</v>
      </c>
      <c r="F55" s="691">
        <f>+G$55-$C$53</f>
        <v>-2</v>
      </c>
      <c r="G55" s="691">
        <f>+H$55-$C$53</f>
        <v>-1</v>
      </c>
      <c r="H55" s="692">
        <v>0</v>
      </c>
      <c r="I55" s="691">
        <f>$C$53+H$55</f>
        <v>1</v>
      </c>
      <c r="J55" s="691">
        <f>$C$53+I$55</f>
        <v>2</v>
      </c>
      <c r="K55" s="691">
        <f>$C$53+J$55</f>
        <v>3</v>
      </c>
      <c r="L55" s="691">
        <f>$C$53+K$55</f>
        <v>4</v>
      </c>
      <c r="M55" s="691">
        <f>$C$53+L$55</f>
        <v>5</v>
      </c>
      <c r="N55" s="673" t="s">
        <v>154</v>
      </c>
      <c r="O55" s="673" t="str">
        <f>"zone "&amp;ZonePV</f>
        <v>zone 1</v>
      </c>
      <c r="P55" s="693" t="s">
        <v>153</v>
      </c>
      <c r="Q55" s="691">
        <f t="shared" ref="Q55:AA55" si="16">C55</f>
        <v>-5</v>
      </c>
      <c r="R55" s="691">
        <f t="shared" si="16"/>
        <v>-4</v>
      </c>
      <c r="S55" s="691">
        <f t="shared" si="16"/>
        <v>-3</v>
      </c>
      <c r="T55" s="691">
        <f t="shared" si="16"/>
        <v>-2</v>
      </c>
      <c r="U55" s="691">
        <f t="shared" si="16"/>
        <v>-1</v>
      </c>
      <c r="V55" s="692">
        <f t="shared" si="16"/>
        <v>0</v>
      </c>
      <c r="W55" s="691">
        <f t="shared" si="16"/>
        <v>1</v>
      </c>
      <c r="X55" s="691">
        <f t="shared" si="16"/>
        <v>2</v>
      </c>
      <c r="Y55" s="691">
        <f t="shared" si="16"/>
        <v>3</v>
      </c>
      <c r="Z55" s="691">
        <f t="shared" si="16"/>
        <v>4</v>
      </c>
      <c r="AA55" s="691">
        <f t="shared" si="16"/>
        <v>5</v>
      </c>
      <c r="AB55" s="124" t="s">
        <v>295</v>
      </c>
      <c r="AC55" s="924" t="s">
        <v>290</v>
      </c>
      <c r="AD55" s="923" t="s">
        <v>289</v>
      </c>
      <c r="AE55" s="924" t="s">
        <v>291</v>
      </c>
      <c r="AF55" s="925" t="s">
        <v>292</v>
      </c>
      <c r="AG55" s="926" t="s">
        <v>293</v>
      </c>
      <c r="AH55" s="927" t="s">
        <v>294</v>
      </c>
      <c r="AJ55" s="1226"/>
      <c r="AK55" s="82" t="s">
        <v>315</v>
      </c>
      <c r="AL55" s="82" t="s">
        <v>317</v>
      </c>
      <c r="AM55" s="82" t="s">
        <v>318</v>
      </c>
      <c r="AN55" s="1071" t="s">
        <v>316</v>
      </c>
      <c r="AO55" s="1072" t="s">
        <v>314</v>
      </c>
      <c r="AP55" s="1073" t="s">
        <v>316</v>
      </c>
      <c r="AQ55" s="1074" t="s">
        <v>314</v>
      </c>
      <c r="AR55" s="1073" t="s">
        <v>316</v>
      </c>
      <c r="AS55" s="1074" t="s">
        <v>314</v>
      </c>
      <c r="AT55" s="1073" t="s">
        <v>316</v>
      </c>
      <c r="AU55" s="1074" t="s">
        <v>314</v>
      </c>
      <c r="AV55" s="1073" t="s">
        <v>316</v>
      </c>
      <c r="AW55" s="1074" t="s">
        <v>314</v>
      </c>
    </row>
    <row r="56" spans="1:51" s="28" customFormat="1" ht="12.75" x14ac:dyDescent="0.2">
      <c r="A56" s="1022" t="str">
        <f t="shared" ref="A56:A79" si="17">A20</f>
        <v>Arrière PV</v>
      </c>
      <c r="B56" s="1025">
        <v>1</v>
      </c>
      <c r="C56" s="1081">
        <f t="shared" ref="C56:M56" si="18">$L20+C$55*Rapous</f>
        <v>-5</v>
      </c>
      <c r="D56" s="1081">
        <f t="shared" si="18"/>
        <v>-4</v>
      </c>
      <c r="E56" s="1081">
        <f t="shared" si="18"/>
        <v>-3</v>
      </c>
      <c r="F56" s="1081">
        <f t="shared" si="18"/>
        <v>-2</v>
      </c>
      <c r="G56" s="1082">
        <f t="shared" si="18"/>
        <v>-1</v>
      </c>
      <c r="H56" s="1083">
        <f t="shared" si="18"/>
        <v>0</v>
      </c>
      <c r="I56" s="1084">
        <f t="shared" si="18"/>
        <v>1</v>
      </c>
      <c r="J56" s="1081">
        <f t="shared" si="18"/>
        <v>2</v>
      </c>
      <c r="K56" s="1081">
        <f t="shared" si="18"/>
        <v>3</v>
      </c>
      <c r="L56" s="1081">
        <f t="shared" si="18"/>
        <v>4</v>
      </c>
      <c r="M56" s="1082">
        <f t="shared" si="18"/>
        <v>5</v>
      </c>
      <c r="N56" s="688">
        <f t="shared" ref="N56:N79" si="19">$M20</f>
        <v>0</v>
      </c>
      <c r="O56" s="928" t="str">
        <f t="shared" ref="O56:O79" si="20">N20</f>
        <v>Arrière PV</v>
      </c>
      <c r="P56" s="678">
        <f t="shared" ref="P56:P79" si="21">$H20+Azi_decal</f>
        <v>-219</v>
      </c>
      <c r="Q56" s="1085">
        <f t="shared" ref="Q56:Q79" si="22">MAX(IF($N56=0,$I20,DEGREES(ATAN2($N56,C56-H_pv))),Elev_F+0)</f>
        <v>19.290046219188735</v>
      </c>
      <c r="R56" s="688">
        <f t="shared" ref="R56:R79" si="23">MAX(IF($N56=0,$I20,DEGREES(ATAN2($N56,D56-H_pv))),Elev_F+0)</f>
        <v>19.290046219188735</v>
      </c>
      <c r="S56" s="688">
        <f t="shared" ref="S56:S79" si="24">MAX(IF($N56=0,$I20,DEGREES(ATAN2($N56,E56-H_pv))),Elev_F+0)</f>
        <v>19.290046219188735</v>
      </c>
      <c r="T56" s="688">
        <f t="shared" ref="T56:T79" si="25">MAX(IF($N56=0,$I20,DEGREES(ATAN2($N56,F56-H_pv))),Elev_F+0)</f>
        <v>19.290046219188735</v>
      </c>
      <c r="U56" s="944">
        <f t="shared" ref="U56:U79" si="26">MAX(IF($N56=0,$I20,DEGREES(ATAN2($N56,G56-H_pv))),Elev_F+0)</f>
        <v>19.290046219188735</v>
      </c>
      <c r="V56" s="1086">
        <f t="shared" ref="V56:V79" si="27">MAX(IF($N56=0,$I20,DEGREES(ATAN2($N56,H56-H_pv))),Elev_F+0)</f>
        <v>19.290046219188735</v>
      </c>
      <c r="W56" s="685">
        <f t="shared" ref="W56:W79" si="28">MAX(IF($N56=0,$I20,DEGREES(ATAN2($N56,I56-H_pv))),Elev_F+0)</f>
        <v>19.290046219188735</v>
      </c>
      <c r="X56" s="688">
        <f t="shared" ref="X56:X79" si="29">MAX(IF($N56=0,$I20,DEGREES(ATAN2($N56,J56-H_pv))),Elev_F+0)</f>
        <v>19.290046219188735</v>
      </c>
      <c r="Y56" s="688">
        <f t="shared" ref="Y56:Y79" si="30">MAX(IF($N56=0,$I20,DEGREES(ATAN2($N56,K56-H_pv))),Elev_F+0)</f>
        <v>19.290046219188735</v>
      </c>
      <c r="Z56" s="688">
        <f t="shared" ref="Z56:Z79" si="31">MAX(IF($N56=0,$I20,DEGREES(ATAN2($N56,L56-H_pv))),Elev_F+0)</f>
        <v>19.290046219188735</v>
      </c>
      <c r="AA56" s="944">
        <f t="shared" ref="AA56:AA79" si="32">MAX(IF($N56=0,$I20,DEGREES(ATAN2($N56,M56-H_pv))),Elev_F+0)</f>
        <v>19.290046219188735</v>
      </c>
      <c r="AB56" s="1049">
        <f t="shared" ref="AB56:AB78" si="33">(AA56+AA57)/2</f>
        <v>16.16910814649178</v>
      </c>
      <c r="AC56" s="1050">
        <f>INDEX($AH$56:$AH$82,MATCH(AB56,$AG$56:$AG$82)+1)</f>
        <v>7.5010000000000003</v>
      </c>
      <c r="AD56" s="1051" t="b">
        <f t="shared" ref="AD56:AD79" si="34">G20&lt;AC56</f>
        <v>0</v>
      </c>
      <c r="AE56" s="1050">
        <f t="shared" ref="AE56:AE79" si="35">H21-H20</f>
        <v>98.476263416523224</v>
      </c>
      <c r="AF56" s="1052">
        <f>+IF(F15="D",AC55-AE55,IF(F20="G",AE56-AC56,0))</f>
        <v>0</v>
      </c>
      <c r="AG56" s="929">
        <v>-10</v>
      </c>
      <c r="AH56" s="930">
        <v>7.5</v>
      </c>
      <c r="AJ56" s="1063">
        <f>AM56+(INDEX($AO$56:$AO$79,$AK56+1)-AM56)/(INDEX($AN$56:$AN$79,AK56+1)-AL56)*($H20-AL56)</f>
        <v>1</v>
      </c>
      <c r="AK56" s="82">
        <f>MATCH($H20,$AN$56:$AN$79)</f>
        <v>1</v>
      </c>
      <c r="AL56" s="1064">
        <f>INDEX($AN$56:$AN$79,$AK56)</f>
        <v>-219</v>
      </c>
      <c r="AM56" s="1064">
        <f>INDEX($AO$56:$AO$79,$AK56)</f>
        <v>1</v>
      </c>
      <c r="AN56" s="1075">
        <f t="shared" ref="AN56:AN67" si="36">IF(AND(AX56=0,AX57=0),MAX(AN55,$H$43+1),AX56)</f>
        <v>-219</v>
      </c>
      <c r="AO56" s="1076">
        <f>IF(AND(AY56=0,AY57=0),$I$43,AY56)</f>
        <v>1</v>
      </c>
      <c r="AP56" s="1068">
        <f>$H$20</f>
        <v>-219</v>
      </c>
      <c r="AQ56" s="1069">
        <v>1</v>
      </c>
      <c r="AR56" s="1068">
        <f>$H$20</f>
        <v>-219</v>
      </c>
      <c r="AS56" s="1069">
        <f>AS57</f>
        <v>1</v>
      </c>
      <c r="AT56" s="1068">
        <f>$H$20</f>
        <v>-219</v>
      </c>
      <c r="AU56" s="1069">
        <f>AU57</f>
        <v>1</v>
      </c>
      <c r="AV56" s="1068">
        <f>$H$20</f>
        <v>-219</v>
      </c>
      <c r="AW56" s="1069">
        <f>AW57</f>
        <v>1</v>
      </c>
      <c r="AX56" s="28">
        <f t="shared" ref="AX56:AX79" si="37">CHOOSE(ZonePV,AP56,AR56,AT56,AV56)</f>
        <v>-219</v>
      </c>
      <c r="AY56" s="28">
        <f t="shared" ref="AY56:AY79" si="38">CHOOSE(ZonePV,AQ56,AS56,AU56,AW56)</f>
        <v>1</v>
      </c>
    </row>
    <row r="57" spans="1:51" s="28" customFormat="1" ht="12.75" x14ac:dyDescent="0.2">
      <c r="A57" s="1022" t="str">
        <f t="shared" si="17"/>
        <v>Arbre 0</v>
      </c>
      <c r="B57" s="1026">
        <v>1</v>
      </c>
      <c r="C57" s="1081">
        <f t="shared" ref="C57:M57" si="39">$L21+C$55*Rapous</f>
        <v>7.4356454077289058</v>
      </c>
      <c r="D57" s="1081">
        <f t="shared" si="39"/>
        <v>8.4356454077289058</v>
      </c>
      <c r="E57" s="1081">
        <f t="shared" si="39"/>
        <v>9.4356454077289058</v>
      </c>
      <c r="F57" s="1081">
        <f t="shared" si="39"/>
        <v>10.435645407728906</v>
      </c>
      <c r="G57" s="1082">
        <f t="shared" si="39"/>
        <v>11.435645407728906</v>
      </c>
      <c r="H57" s="1083">
        <f t="shared" si="39"/>
        <v>12.435645407728906</v>
      </c>
      <c r="I57" s="1084">
        <f t="shared" si="39"/>
        <v>13.435645407728906</v>
      </c>
      <c r="J57" s="1081">
        <f t="shared" si="39"/>
        <v>14.435645407728906</v>
      </c>
      <c r="K57" s="1081">
        <f t="shared" si="39"/>
        <v>15.435645407728906</v>
      </c>
      <c r="L57" s="1081">
        <f t="shared" si="39"/>
        <v>16.435645407728906</v>
      </c>
      <c r="M57" s="1082">
        <f t="shared" si="39"/>
        <v>17.435645407728906</v>
      </c>
      <c r="N57" s="688">
        <f t="shared" si="19"/>
        <v>50.878270642889525</v>
      </c>
      <c r="O57" s="928" t="str">
        <f t="shared" si="20"/>
        <v>Arbre 0</v>
      </c>
      <c r="P57" s="678">
        <f t="shared" si="21"/>
        <v>-120.52373658347678</v>
      </c>
      <c r="Q57" s="685">
        <f t="shared" si="22"/>
        <v>2.0163418651043794</v>
      </c>
      <c r="R57" s="688">
        <f t="shared" si="23"/>
        <v>3.1401614057961185</v>
      </c>
      <c r="S57" s="688">
        <f t="shared" si="24"/>
        <v>4.2615678433279651</v>
      </c>
      <c r="T57" s="688">
        <f t="shared" si="25"/>
        <v>5.3797131964048495</v>
      </c>
      <c r="U57" s="944">
        <f t="shared" si="26"/>
        <v>6.4937643293220422</v>
      </c>
      <c r="V57" s="1086">
        <f t="shared" si="27"/>
        <v>7.602906561084902</v>
      </c>
      <c r="W57" s="685">
        <f t="shared" si="28"/>
        <v>8.7063470694383316</v>
      </c>
      <c r="X57" s="688">
        <f t="shared" si="29"/>
        <v>9.8033180562888766</v>
      </c>
      <c r="Y57" s="688">
        <f t="shared" si="30"/>
        <v>10.893079645762318</v>
      </c>
      <c r="Z57" s="688">
        <f t="shared" si="31"/>
        <v>11.97492249131931</v>
      </c>
      <c r="AA57" s="944">
        <f t="shared" si="32"/>
        <v>13.048170073794825</v>
      </c>
      <c r="AB57" s="1053">
        <f t="shared" si="33"/>
        <v>13.077175694610004</v>
      </c>
      <c r="AC57" s="1054">
        <f t="shared" ref="AC57:AC79" si="40">INDEX($AH$56:$AH$82,MATCH(AB57,$AG$56:$AG$82)+1)</f>
        <v>7.5010000000000003</v>
      </c>
      <c r="AD57" s="39" t="b">
        <f t="shared" si="34"/>
        <v>0</v>
      </c>
      <c r="AE57" s="1054">
        <f t="shared" si="35"/>
        <v>23.636864087477008</v>
      </c>
      <c r="AF57" s="1055">
        <f t="shared" ref="AF57:AF79" si="41">+IF(F20="D",AC56-AE56,IF(F21="G",AE57-AC57,0))</f>
        <v>0</v>
      </c>
      <c r="AG57" s="929">
        <v>22.98</v>
      </c>
      <c r="AH57" s="930">
        <v>7.5010000000000003</v>
      </c>
      <c r="AJ57" s="1063">
        <f t="shared" ref="AJ57:AJ79" si="42">AM57+(INDEX($AO$56:$AO$79,$AK57+1)-AM57)/(INDEX($AN$56:$AN$79,AK57+1)-AL57)*($H21-AL57)</f>
        <v>1</v>
      </c>
      <c r="AK57" s="82">
        <f t="shared" ref="AK57:AK79" si="43">MATCH($H21,$AN$56:$AN$79)</f>
        <v>1</v>
      </c>
      <c r="AL57" s="1064">
        <f t="shared" ref="AL57:AL79" si="44">INDEX($AN$56:$AN$79,$AK57)</f>
        <v>-219</v>
      </c>
      <c r="AM57" s="1064">
        <f t="shared" ref="AM57:AM79" si="45">INDEX($AO$56:$AO$79,$AK57)</f>
        <v>1</v>
      </c>
      <c r="AN57" s="1075">
        <f t="shared" si="36"/>
        <v>141</v>
      </c>
      <c r="AO57" s="1076">
        <f t="shared" ref="AO57:AO79" si="46">IF(AND(AY57=0,AY58=0),$I$43,AY57)</f>
        <v>1</v>
      </c>
      <c r="AP57" s="1068">
        <f>$H$43</f>
        <v>141</v>
      </c>
      <c r="AQ57" s="1069">
        <v>1</v>
      </c>
      <c r="AR57" s="1068">
        <f>$H$43</f>
        <v>141</v>
      </c>
      <c r="AS57" s="1069">
        <v>1</v>
      </c>
      <c r="AT57" s="1068">
        <f>$H$43</f>
        <v>141</v>
      </c>
      <c r="AU57" s="1069">
        <v>1</v>
      </c>
      <c r="AV57" s="1068">
        <f>$H$43</f>
        <v>141</v>
      </c>
      <c r="AW57" s="1069">
        <v>1</v>
      </c>
      <c r="AX57" s="28">
        <f t="shared" si="37"/>
        <v>141</v>
      </c>
      <c r="AY57" s="28">
        <f t="shared" si="38"/>
        <v>1</v>
      </c>
    </row>
    <row r="58" spans="1:51" s="19" customFormat="1" ht="12.75" x14ac:dyDescent="0.2">
      <c r="A58" s="1022" t="str">
        <f t="shared" si="17"/>
        <v>Arbres 1</v>
      </c>
      <c r="B58" s="1026">
        <v>1</v>
      </c>
      <c r="C58" s="1081">
        <f t="shared" ref="C58:M58" si="47">$L22+C$55*Rapous</f>
        <v>2.1116918683603529</v>
      </c>
      <c r="D58" s="1081">
        <f t="shared" si="47"/>
        <v>3.1116918683603529</v>
      </c>
      <c r="E58" s="1081">
        <f t="shared" si="47"/>
        <v>4.1116918683603529</v>
      </c>
      <c r="F58" s="1081">
        <f t="shared" si="47"/>
        <v>5.1116918683603529</v>
      </c>
      <c r="G58" s="1082">
        <f t="shared" si="47"/>
        <v>6.1116918683603529</v>
      </c>
      <c r="H58" s="1083">
        <f t="shared" si="47"/>
        <v>7.1116918683603529</v>
      </c>
      <c r="I58" s="1084">
        <f t="shared" si="47"/>
        <v>8.1116918683603529</v>
      </c>
      <c r="J58" s="1081">
        <f t="shared" si="47"/>
        <v>9.1116918683603529</v>
      </c>
      <c r="K58" s="1081">
        <f t="shared" si="47"/>
        <v>10.111691868360353</v>
      </c>
      <c r="L58" s="1081">
        <f t="shared" si="47"/>
        <v>11.111691868360353</v>
      </c>
      <c r="M58" s="1082">
        <f t="shared" si="47"/>
        <v>12.111691868360353</v>
      </c>
      <c r="N58" s="688">
        <f t="shared" si="19"/>
        <v>27.777922113513895</v>
      </c>
      <c r="O58" s="928" t="str">
        <f t="shared" si="20"/>
        <v>Arbres 1</v>
      </c>
      <c r="P58" s="678">
        <f t="shared" si="21"/>
        <v>-96.886872495999768</v>
      </c>
      <c r="Q58" s="685">
        <f t="shared" si="22"/>
        <v>1</v>
      </c>
      <c r="R58" s="688">
        <f t="shared" si="23"/>
        <v>1</v>
      </c>
      <c r="S58" s="688">
        <f t="shared" si="24"/>
        <v>1</v>
      </c>
      <c r="T58" s="688">
        <f t="shared" si="25"/>
        <v>1</v>
      </c>
      <c r="U58" s="944">
        <f t="shared" si="26"/>
        <v>1</v>
      </c>
      <c r="V58" s="1086">
        <f t="shared" si="27"/>
        <v>3.0236649639214628</v>
      </c>
      <c r="W58" s="685">
        <f t="shared" si="28"/>
        <v>5.0757921947291109</v>
      </c>
      <c r="X58" s="688">
        <f t="shared" si="29"/>
        <v>7.1149506940177591</v>
      </c>
      <c r="Y58" s="688">
        <f t="shared" si="30"/>
        <v>9.1361586637458903</v>
      </c>
      <c r="Z58" s="688">
        <f t="shared" si="31"/>
        <v>11.134699475722488</v>
      </c>
      <c r="AA58" s="944">
        <f t="shared" si="32"/>
        <v>13.106181315425182</v>
      </c>
      <c r="AB58" s="1053">
        <f t="shared" si="33"/>
        <v>22.211238571693833</v>
      </c>
      <c r="AC58" s="1054">
        <f t="shared" si="40"/>
        <v>7.5010000000000003</v>
      </c>
      <c r="AD58" s="39" t="b">
        <f t="shared" si="34"/>
        <v>0</v>
      </c>
      <c r="AE58" s="1054">
        <f t="shared" si="35"/>
        <v>21.661149094539823</v>
      </c>
      <c r="AF58" s="1055">
        <f t="shared" si="41"/>
        <v>0</v>
      </c>
      <c r="AG58" s="929">
        <v>23.38</v>
      </c>
      <c r="AH58" s="930">
        <v>7.5199999999999818</v>
      </c>
      <c r="AJ58" s="1063">
        <f t="shared" si="42"/>
        <v>1</v>
      </c>
      <c r="AK58" s="82">
        <f t="shared" si="43"/>
        <v>1</v>
      </c>
      <c r="AL58" s="1064">
        <f t="shared" si="44"/>
        <v>-219</v>
      </c>
      <c r="AM58" s="1064">
        <f t="shared" si="45"/>
        <v>1</v>
      </c>
      <c r="AN58" s="1075">
        <f t="shared" si="36"/>
        <v>142</v>
      </c>
      <c r="AO58" s="1076">
        <f t="shared" si="46"/>
        <v>19.290046219188735</v>
      </c>
      <c r="AP58" s="1068"/>
      <c r="AQ58" s="1069"/>
      <c r="AR58" s="1068"/>
      <c r="AS58" s="1069"/>
      <c r="AT58" s="1068"/>
      <c r="AU58" s="1069"/>
      <c r="AV58" s="1068"/>
      <c r="AW58" s="1069"/>
      <c r="AX58" s="28">
        <f t="shared" si="37"/>
        <v>0</v>
      </c>
      <c r="AY58" s="28">
        <f t="shared" si="38"/>
        <v>0</v>
      </c>
    </row>
    <row r="59" spans="1:51" s="19" customFormat="1" ht="12.75" x14ac:dyDescent="0.2">
      <c r="A59" s="1022" t="str">
        <f t="shared" si="17"/>
        <v>Arbre 2</v>
      </c>
      <c r="B59" s="1026">
        <v>1</v>
      </c>
      <c r="C59" s="1081">
        <f t="shared" ref="C59:M59" si="48">$L23+C$55*Rapous</f>
        <v>3.539317846289407</v>
      </c>
      <c r="D59" s="1081">
        <f t="shared" si="48"/>
        <v>4.539317846289407</v>
      </c>
      <c r="E59" s="1081">
        <f t="shared" si="48"/>
        <v>5.539317846289407</v>
      </c>
      <c r="F59" s="1081">
        <f t="shared" si="48"/>
        <v>6.539317846289407</v>
      </c>
      <c r="G59" s="1082">
        <f t="shared" si="48"/>
        <v>7.539317846289407</v>
      </c>
      <c r="H59" s="1083">
        <f t="shared" si="48"/>
        <v>8.539317846289407</v>
      </c>
      <c r="I59" s="1084">
        <f t="shared" si="48"/>
        <v>9.539317846289407</v>
      </c>
      <c r="J59" s="1081">
        <f t="shared" si="48"/>
        <v>10.539317846289407</v>
      </c>
      <c r="K59" s="1081">
        <f t="shared" si="48"/>
        <v>11.539317846289407</v>
      </c>
      <c r="L59" s="1081">
        <f t="shared" si="48"/>
        <v>12.539317846289407</v>
      </c>
      <c r="M59" s="1082">
        <f t="shared" si="48"/>
        <v>13.539317846289407</v>
      </c>
      <c r="N59" s="688">
        <f t="shared" si="19"/>
        <v>12.976530363613223</v>
      </c>
      <c r="O59" s="928" t="str">
        <f t="shared" si="20"/>
        <v>Arbre 2</v>
      </c>
      <c r="P59" s="678">
        <f t="shared" si="21"/>
        <v>-75.225723401459945</v>
      </c>
      <c r="Q59" s="685">
        <f t="shared" si="22"/>
        <v>1</v>
      </c>
      <c r="R59" s="688">
        <f t="shared" si="23"/>
        <v>1</v>
      </c>
      <c r="S59" s="688">
        <f t="shared" si="24"/>
        <v>1</v>
      </c>
      <c r="T59" s="688">
        <f t="shared" si="25"/>
        <v>3.9450850688042136</v>
      </c>
      <c r="U59" s="944">
        <f t="shared" si="26"/>
        <v>8.3079506895246436</v>
      </c>
      <c r="V59" s="1086">
        <f t="shared" si="27"/>
        <v>12.576078076409106</v>
      </c>
      <c r="W59" s="685">
        <f t="shared" si="28"/>
        <v>16.707146956005808</v>
      </c>
      <c r="X59" s="688">
        <f t="shared" si="29"/>
        <v>20.667104919858172</v>
      </c>
      <c r="Y59" s="688">
        <f t="shared" si="30"/>
        <v>24.431099181945491</v>
      </c>
      <c r="Z59" s="688">
        <f t="shared" si="31"/>
        <v>27.983359724092111</v>
      </c>
      <c r="AA59" s="944">
        <f t="shared" si="32"/>
        <v>31.316295827962485</v>
      </c>
      <c r="AB59" s="1053">
        <f t="shared" si="33"/>
        <v>19.879211156901576</v>
      </c>
      <c r="AC59" s="1054">
        <f t="shared" si="40"/>
        <v>7.5010000000000003</v>
      </c>
      <c r="AD59" s="39" t="b">
        <f t="shared" si="34"/>
        <v>0</v>
      </c>
      <c r="AE59" s="1054">
        <f t="shared" si="35"/>
        <v>4.6444022888873491</v>
      </c>
      <c r="AF59" s="1055">
        <f t="shared" si="41"/>
        <v>0</v>
      </c>
      <c r="AG59" s="929">
        <v>24.23</v>
      </c>
      <c r="AH59" s="930">
        <v>7.6000000000000227</v>
      </c>
      <c r="AJ59" s="1063">
        <f t="shared" si="42"/>
        <v>1</v>
      </c>
      <c r="AK59" s="82">
        <f t="shared" si="43"/>
        <v>1</v>
      </c>
      <c r="AL59" s="1064">
        <f t="shared" si="44"/>
        <v>-219</v>
      </c>
      <c r="AM59" s="1064">
        <f t="shared" si="45"/>
        <v>1</v>
      </c>
      <c r="AN59" s="1075">
        <f t="shared" si="36"/>
        <v>142</v>
      </c>
      <c r="AO59" s="1076">
        <f t="shared" si="46"/>
        <v>19.290046219188735</v>
      </c>
      <c r="AP59" s="1068"/>
      <c r="AQ59" s="1069"/>
      <c r="AR59" s="1068"/>
      <c r="AS59" s="1069"/>
      <c r="AT59" s="1068"/>
      <c r="AU59" s="1069"/>
      <c r="AV59" s="1068"/>
      <c r="AW59" s="1069"/>
      <c r="AX59" s="28">
        <f t="shared" si="37"/>
        <v>0</v>
      </c>
      <c r="AY59" s="28">
        <f t="shared" si="38"/>
        <v>0</v>
      </c>
    </row>
    <row r="60" spans="1:51" s="19" customFormat="1" ht="12.75" x14ac:dyDescent="0.2">
      <c r="A60" s="1022" t="str">
        <f t="shared" si="17"/>
        <v>Creux 3</v>
      </c>
      <c r="B60" s="1026">
        <v>1</v>
      </c>
      <c r="C60" s="1081">
        <f t="shared" ref="C60:M60" si="49">$L24+C$55*Rapous</f>
        <v>0.2644165643735743</v>
      </c>
      <c r="D60" s="1081">
        <f t="shared" si="49"/>
        <v>1.2644165643735743</v>
      </c>
      <c r="E60" s="1081">
        <f t="shared" si="49"/>
        <v>2.2644165643735743</v>
      </c>
      <c r="F60" s="1081">
        <f t="shared" si="49"/>
        <v>3.2644165643735743</v>
      </c>
      <c r="G60" s="1082">
        <f t="shared" si="49"/>
        <v>4.2644165643735743</v>
      </c>
      <c r="H60" s="1083">
        <f t="shared" si="49"/>
        <v>5.2644165643735743</v>
      </c>
      <c r="I60" s="1084">
        <f t="shared" si="49"/>
        <v>6.2644165643735743</v>
      </c>
      <c r="J60" s="1081">
        <f t="shared" si="49"/>
        <v>7.2644165643735743</v>
      </c>
      <c r="K60" s="1081">
        <f t="shared" si="49"/>
        <v>8.2644165643735743</v>
      </c>
      <c r="L60" s="1081">
        <f t="shared" si="49"/>
        <v>9.2644165643735743</v>
      </c>
      <c r="M60" s="1082">
        <f t="shared" si="49"/>
        <v>10.264416564373574</v>
      </c>
      <c r="N60" s="688">
        <f t="shared" si="19"/>
        <v>31.128251748924821</v>
      </c>
      <c r="O60" s="928" t="str">
        <f t="shared" si="20"/>
        <v>Creux 3</v>
      </c>
      <c r="P60" s="678">
        <f t="shared" si="21"/>
        <v>-67.72472340145994</v>
      </c>
      <c r="Q60" s="685">
        <f t="shared" si="22"/>
        <v>1</v>
      </c>
      <c r="R60" s="688">
        <f t="shared" si="23"/>
        <v>1</v>
      </c>
      <c r="S60" s="688">
        <f t="shared" si="24"/>
        <v>1</v>
      </c>
      <c r="T60" s="688">
        <f t="shared" si="25"/>
        <v>1</v>
      </c>
      <c r="U60" s="944">
        <f t="shared" si="26"/>
        <v>1</v>
      </c>
      <c r="V60" s="1086">
        <f t="shared" si="27"/>
        <v>1</v>
      </c>
      <c r="W60" s="685">
        <f t="shared" si="28"/>
        <v>1.1410596625789826</v>
      </c>
      <c r="X60" s="688">
        <f t="shared" si="29"/>
        <v>2.9791587781636331</v>
      </c>
      <c r="Y60" s="688">
        <f t="shared" si="30"/>
        <v>4.8111426736510978</v>
      </c>
      <c r="Z60" s="688">
        <f t="shared" si="31"/>
        <v>6.6333221700275118</v>
      </c>
      <c r="AA60" s="944">
        <f t="shared" si="32"/>
        <v>8.4421264858406655</v>
      </c>
      <c r="AB60" s="1053">
        <f t="shared" si="33"/>
        <v>6.0155868147272971</v>
      </c>
      <c r="AC60" s="1054">
        <f t="shared" si="40"/>
        <v>7.5010000000000003</v>
      </c>
      <c r="AD60" s="39" t="b">
        <f t="shared" si="34"/>
        <v>0</v>
      </c>
      <c r="AE60" s="1054">
        <f t="shared" si="35"/>
        <v>30.200411204539947</v>
      </c>
      <c r="AF60" s="1055">
        <f t="shared" si="41"/>
        <v>2.8565977111126513</v>
      </c>
      <c r="AG60" s="929">
        <v>25.31</v>
      </c>
      <c r="AH60" s="930">
        <v>7.7300000000000182</v>
      </c>
      <c r="AJ60" s="1063">
        <f t="shared" si="42"/>
        <v>1</v>
      </c>
      <c r="AK60" s="82">
        <f t="shared" si="43"/>
        <v>1</v>
      </c>
      <c r="AL60" s="1064">
        <f t="shared" si="44"/>
        <v>-219</v>
      </c>
      <c r="AM60" s="1064">
        <f t="shared" si="45"/>
        <v>1</v>
      </c>
      <c r="AN60" s="1075">
        <f t="shared" si="36"/>
        <v>142</v>
      </c>
      <c r="AO60" s="1076">
        <f t="shared" si="46"/>
        <v>19.290046219188735</v>
      </c>
      <c r="AP60" s="1068"/>
      <c r="AQ60" s="1069"/>
      <c r="AR60" s="1068"/>
      <c r="AS60" s="1069"/>
      <c r="AT60" s="1068"/>
      <c r="AU60" s="1069"/>
      <c r="AV60" s="1068"/>
      <c r="AW60" s="1069"/>
      <c r="AX60" s="28">
        <f t="shared" si="37"/>
        <v>0</v>
      </c>
      <c r="AY60" s="28">
        <f t="shared" si="38"/>
        <v>0</v>
      </c>
    </row>
    <row r="61" spans="1:51" s="19" customFormat="1" ht="12.75" x14ac:dyDescent="0.2">
      <c r="A61" s="1022" t="str">
        <f t="shared" si="17"/>
        <v>Creux 4</v>
      </c>
      <c r="B61" s="1026">
        <v>1</v>
      </c>
      <c r="C61" s="1081">
        <f t="shared" ref="C61:M61" si="50">$L25+C$55*Rapous</f>
        <v>-2.5647685082854821</v>
      </c>
      <c r="D61" s="1081">
        <f t="shared" si="50"/>
        <v>-1.5647685082854821</v>
      </c>
      <c r="E61" s="1081">
        <f t="shared" si="50"/>
        <v>-0.56476850828548208</v>
      </c>
      <c r="F61" s="1081">
        <f t="shared" si="50"/>
        <v>0.43523149171451792</v>
      </c>
      <c r="G61" s="1082">
        <f t="shared" si="50"/>
        <v>1.4352314917145179</v>
      </c>
      <c r="H61" s="1083">
        <f t="shared" si="50"/>
        <v>2.4352314917145179</v>
      </c>
      <c r="I61" s="1084">
        <f t="shared" si="50"/>
        <v>3.4352314917145179</v>
      </c>
      <c r="J61" s="1081">
        <f t="shared" si="50"/>
        <v>4.4352314917145179</v>
      </c>
      <c r="K61" s="1081">
        <f t="shared" si="50"/>
        <v>5.4352314917145179</v>
      </c>
      <c r="L61" s="1081">
        <f t="shared" si="50"/>
        <v>6.4352314917145179</v>
      </c>
      <c r="M61" s="1082">
        <f t="shared" si="50"/>
        <v>7.4352314917145179</v>
      </c>
      <c r="N61" s="688">
        <f t="shared" si="19"/>
        <v>28.551423028361302</v>
      </c>
      <c r="O61" s="928" t="str">
        <f t="shared" si="20"/>
        <v>Creux 4</v>
      </c>
      <c r="P61" s="678">
        <f t="shared" si="21"/>
        <v>-40.380909908032649</v>
      </c>
      <c r="Q61" s="685">
        <f t="shared" si="22"/>
        <v>1</v>
      </c>
      <c r="R61" s="688">
        <f t="shared" si="23"/>
        <v>1</v>
      </c>
      <c r="S61" s="688">
        <f t="shared" si="24"/>
        <v>1</v>
      </c>
      <c r="T61" s="688">
        <f t="shared" si="25"/>
        <v>1</v>
      </c>
      <c r="U61" s="944">
        <f t="shared" si="26"/>
        <v>1</v>
      </c>
      <c r="V61" s="1086">
        <f t="shared" si="27"/>
        <v>1</v>
      </c>
      <c r="W61" s="685">
        <f t="shared" si="28"/>
        <v>1</v>
      </c>
      <c r="X61" s="688">
        <f t="shared" si="29"/>
        <v>1</v>
      </c>
      <c r="Y61" s="688">
        <f t="shared" si="30"/>
        <v>1</v>
      </c>
      <c r="Z61" s="688">
        <f t="shared" si="31"/>
        <v>1.5865857666648735</v>
      </c>
      <c r="AA61" s="944">
        <f t="shared" si="32"/>
        <v>3.5890471436139291</v>
      </c>
      <c r="AB61" s="1053">
        <f t="shared" si="33"/>
        <v>17.067555332069244</v>
      </c>
      <c r="AC61" s="1054">
        <f t="shared" si="40"/>
        <v>7.5010000000000003</v>
      </c>
      <c r="AD61" s="39" t="b">
        <f t="shared" si="34"/>
        <v>0</v>
      </c>
      <c r="AE61" s="1054">
        <f t="shared" si="35"/>
        <v>41.488837977335493</v>
      </c>
      <c r="AF61" s="1055">
        <f t="shared" si="41"/>
        <v>0</v>
      </c>
      <c r="AG61" s="929">
        <v>26.83</v>
      </c>
      <c r="AH61" s="930">
        <v>7.9000000000000057</v>
      </c>
      <c r="AJ61" s="1063">
        <f t="shared" si="42"/>
        <v>1</v>
      </c>
      <c r="AK61" s="82">
        <f t="shared" si="43"/>
        <v>1</v>
      </c>
      <c r="AL61" s="1064">
        <f t="shared" si="44"/>
        <v>-219</v>
      </c>
      <c r="AM61" s="1064">
        <f t="shared" si="45"/>
        <v>1</v>
      </c>
      <c r="AN61" s="1075">
        <f t="shared" si="36"/>
        <v>142</v>
      </c>
      <c r="AO61" s="1076">
        <f t="shared" si="46"/>
        <v>19.290046219188735</v>
      </c>
      <c r="AP61" s="1068"/>
      <c r="AQ61" s="1069"/>
      <c r="AR61" s="1068"/>
      <c r="AS61" s="1069"/>
      <c r="AT61" s="1068"/>
      <c r="AU61" s="1069"/>
      <c r="AV61" s="1068"/>
      <c r="AW61" s="1069"/>
      <c r="AX61" s="28">
        <f t="shared" si="37"/>
        <v>0</v>
      </c>
      <c r="AY61" s="28">
        <f t="shared" si="38"/>
        <v>0</v>
      </c>
    </row>
    <row r="62" spans="1:51" s="19" customFormat="1" ht="12.75" x14ac:dyDescent="0.2">
      <c r="A62" s="1022" t="str">
        <f t="shared" si="17"/>
        <v>Arbre 4</v>
      </c>
      <c r="B62" s="1026">
        <v>1</v>
      </c>
      <c r="C62" s="1081">
        <f t="shared" ref="C62:M62" si="51">$L26+C$55*Rapous</f>
        <v>3.0455103050421179</v>
      </c>
      <c r="D62" s="1081">
        <f t="shared" si="51"/>
        <v>4.0455103050421179</v>
      </c>
      <c r="E62" s="1081">
        <f t="shared" si="51"/>
        <v>5.0455103050421179</v>
      </c>
      <c r="F62" s="1081">
        <f t="shared" si="51"/>
        <v>6.0455103050421179</v>
      </c>
      <c r="G62" s="1082">
        <f t="shared" si="51"/>
        <v>7.0455103050421179</v>
      </c>
      <c r="H62" s="1083">
        <f t="shared" si="51"/>
        <v>8.0455103050421179</v>
      </c>
      <c r="I62" s="1084">
        <f t="shared" si="51"/>
        <v>9.0455103050421179</v>
      </c>
      <c r="J62" s="1081">
        <f t="shared" si="51"/>
        <v>10.045510305042118</v>
      </c>
      <c r="K62" s="1081">
        <f t="shared" si="51"/>
        <v>11.045510305042118</v>
      </c>
      <c r="L62" s="1081">
        <f t="shared" si="51"/>
        <v>12.045510305042118</v>
      </c>
      <c r="M62" s="1082">
        <f t="shared" si="51"/>
        <v>13.045510305042118</v>
      </c>
      <c r="N62" s="688">
        <f t="shared" si="19"/>
        <v>12.541511350090234</v>
      </c>
      <c r="O62" s="928" t="str">
        <f t="shared" si="20"/>
        <v>Arbre 4</v>
      </c>
      <c r="P62" s="678">
        <f t="shared" si="21"/>
        <v>1.107928069302847</v>
      </c>
      <c r="Q62" s="685">
        <f t="shared" si="22"/>
        <v>1</v>
      </c>
      <c r="R62" s="688">
        <f t="shared" si="23"/>
        <v>1</v>
      </c>
      <c r="S62" s="688">
        <f t="shared" si="24"/>
        <v>1</v>
      </c>
      <c r="T62" s="688">
        <f t="shared" si="25"/>
        <v>1.8318090136898599</v>
      </c>
      <c r="U62" s="944">
        <f t="shared" si="26"/>
        <v>6.3744924633336835</v>
      </c>
      <c r="V62" s="1086">
        <f t="shared" si="27"/>
        <v>10.838263125291196</v>
      </c>
      <c r="W62" s="685">
        <f t="shared" si="28"/>
        <v>15.172978086768822</v>
      </c>
      <c r="X62" s="688">
        <f t="shared" si="29"/>
        <v>19.337136321348897</v>
      </c>
      <c r="Y62" s="688">
        <f t="shared" si="30"/>
        <v>23.299516202046441</v>
      </c>
      <c r="Z62" s="688">
        <f t="shared" si="31"/>
        <v>27.039458902161694</v>
      </c>
      <c r="AA62" s="944">
        <f t="shared" si="32"/>
        <v>30.546063520524555</v>
      </c>
      <c r="AB62" s="1053">
        <f t="shared" si="33"/>
        <v>25.353551108933839</v>
      </c>
      <c r="AC62" s="1054">
        <f t="shared" si="40"/>
        <v>7.9000000000000057</v>
      </c>
      <c r="AD62" s="39" t="b">
        <f t="shared" si="34"/>
        <v>0</v>
      </c>
      <c r="AE62" s="1054">
        <f t="shared" si="35"/>
        <v>8.9802770093446416</v>
      </c>
      <c r="AF62" s="1055">
        <f t="shared" si="41"/>
        <v>0</v>
      </c>
      <c r="AG62" s="929">
        <v>28.54</v>
      </c>
      <c r="AH62" s="930">
        <v>8.1200000000000045</v>
      </c>
      <c r="AJ62" s="1063">
        <f t="shared" si="42"/>
        <v>1</v>
      </c>
      <c r="AK62" s="82">
        <f t="shared" si="43"/>
        <v>1</v>
      </c>
      <c r="AL62" s="1064">
        <f t="shared" si="44"/>
        <v>-219</v>
      </c>
      <c r="AM62" s="1064">
        <f t="shared" si="45"/>
        <v>1</v>
      </c>
      <c r="AN62" s="1075">
        <f t="shared" si="36"/>
        <v>142</v>
      </c>
      <c r="AO62" s="1076">
        <f t="shared" si="46"/>
        <v>19.290046219188735</v>
      </c>
      <c r="AP62" s="1068"/>
      <c r="AQ62" s="1069"/>
      <c r="AR62" s="1068"/>
      <c r="AS62" s="1069"/>
      <c r="AT62" s="1068"/>
      <c r="AU62" s="1069"/>
      <c r="AV62" s="1068"/>
      <c r="AW62" s="1069"/>
      <c r="AX62" s="28">
        <f t="shared" si="37"/>
        <v>0</v>
      </c>
      <c r="AY62" s="28">
        <f t="shared" si="38"/>
        <v>0</v>
      </c>
    </row>
    <row r="63" spans="1:51" s="19" customFormat="1" ht="12.75" x14ac:dyDescent="0.2">
      <c r="A63" s="1022" t="str">
        <f t="shared" si="17"/>
        <v>Creux 4-5</v>
      </c>
      <c r="B63" s="1026">
        <v>1</v>
      </c>
      <c r="C63" s="1081">
        <f t="shared" ref="C63:M63" si="52">$L27+C$55*Rapous</f>
        <v>1.6444143585150801</v>
      </c>
      <c r="D63" s="1081">
        <f t="shared" si="52"/>
        <v>2.6444143585150801</v>
      </c>
      <c r="E63" s="1081">
        <f t="shared" si="52"/>
        <v>3.6444143585150801</v>
      </c>
      <c r="F63" s="1081">
        <f t="shared" si="52"/>
        <v>4.6444143585150801</v>
      </c>
      <c r="G63" s="1082">
        <f t="shared" si="52"/>
        <v>5.6444143585150801</v>
      </c>
      <c r="H63" s="1083">
        <f t="shared" si="52"/>
        <v>6.6444143585150801</v>
      </c>
      <c r="I63" s="1084">
        <f t="shared" si="52"/>
        <v>7.6444143585150801</v>
      </c>
      <c r="J63" s="1081">
        <f t="shared" si="52"/>
        <v>8.6444143585150801</v>
      </c>
      <c r="K63" s="1081">
        <f t="shared" si="52"/>
        <v>9.6444143585150801</v>
      </c>
      <c r="L63" s="1081">
        <f t="shared" si="52"/>
        <v>10.64441435851508</v>
      </c>
      <c r="M63" s="1082">
        <f t="shared" si="52"/>
        <v>11.64441435851508</v>
      </c>
      <c r="N63" s="688">
        <f t="shared" si="19"/>
        <v>16.341823346180604</v>
      </c>
      <c r="O63" s="928" t="str">
        <f t="shared" si="20"/>
        <v>Creux 4-5</v>
      </c>
      <c r="P63" s="678">
        <f t="shared" si="21"/>
        <v>10.088205078647489</v>
      </c>
      <c r="Q63" s="685">
        <f t="shared" si="22"/>
        <v>1</v>
      </c>
      <c r="R63" s="688">
        <f t="shared" si="23"/>
        <v>1</v>
      </c>
      <c r="S63" s="688">
        <f t="shared" si="24"/>
        <v>1</v>
      </c>
      <c r="T63" s="688">
        <f t="shared" si="25"/>
        <v>1</v>
      </c>
      <c r="U63" s="944">
        <f t="shared" si="26"/>
        <v>1</v>
      </c>
      <c r="V63" s="1086">
        <f t="shared" si="27"/>
        <v>3.5017391230971406</v>
      </c>
      <c r="W63" s="685">
        <f t="shared" si="28"/>
        <v>6.9774891926505731</v>
      </c>
      <c r="X63" s="688">
        <f t="shared" si="29"/>
        <v>10.402444755292569</v>
      </c>
      <c r="Y63" s="688">
        <f t="shared" si="30"/>
        <v>13.753929477942814</v>
      </c>
      <c r="Z63" s="688">
        <f t="shared" si="31"/>
        <v>17.012214968537343</v>
      </c>
      <c r="AA63" s="944">
        <f t="shared" si="32"/>
        <v>20.161038697343123</v>
      </c>
      <c r="AB63" s="1053">
        <f t="shared" si="33"/>
        <v>22.172068410786459</v>
      </c>
      <c r="AC63" s="1054">
        <f t="shared" si="40"/>
        <v>7.5010000000000003</v>
      </c>
      <c r="AD63" s="39" t="b">
        <f t="shared" si="34"/>
        <v>0</v>
      </c>
      <c r="AE63" s="1054">
        <f t="shared" si="35"/>
        <v>9.2001364133835732</v>
      </c>
      <c r="AF63" s="1055">
        <f t="shared" si="41"/>
        <v>0</v>
      </c>
      <c r="AG63" s="929">
        <v>30.6</v>
      </c>
      <c r="AH63" s="930">
        <v>8.3700000000000045</v>
      </c>
      <c r="AJ63" s="1063">
        <f t="shared" si="42"/>
        <v>1</v>
      </c>
      <c r="AK63" s="82">
        <f t="shared" si="43"/>
        <v>1</v>
      </c>
      <c r="AL63" s="1064">
        <f t="shared" si="44"/>
        <v>-219</v>
      </c>
      <c r="AM63" s="1064">
        <f t="shared" si="45"/>
        <v>1</v>
      </c>
      <c r="AN63" s="1075">
        <f t="shared" si="36"/>
        <v>142</v>
      </c>
      <c r="AO63" s="1076">
        <f t="shared" si="46"/>
        <v>19.290046219188735</v>
      </c>
      <c r="AP63" s="1068"/>
      <c r="AQ63" s="1069"/>
      <c r="AR63" s="1068"/>
      <c r="AS63" s="1069"/>
      <c r="AT63" s="1068"/>
      <c r="AU63" s="1069"/>
      <c r="AV63" s="1068"/>
      <c r="AW63" s="1069"/>
      <c r="AX63" s="28">
        <f t="shared" si="37"/>
        <v>0</v>
      </c>
      <c r="AY63" s="28">
        <f t="shared" si="38"/>
        <v>0</v>
      </c>
    </row>
    <row r="64" spans="1:51" s="19" customFormat="1" ht="12.75" x14ac:dyDescent="0.2">
      <c r="A64" s="1022" t="str">
        <f t="shared" si="17"/>
        <v>Arbre 5</v>
      </c>
      <c r="B64" s="1026">
        <v>1</v>
      </c>
      <c r="C64" s="1081">
        <f t="shared" ref="C64:M64" si="53">$L28+C$55*Rapous</f>
        <v>5.735073305785658</v>
      </c>
      <c r="D64" s="1081">
        <f t="shared" si="53"/>
        <v>6.735073305785658</v>
      </c>
      <c r="E64" s="1081">
        <f t="shared" si="53"/>
        <v>7.735073305785658</v>
      </c>
      <c r="F64" s="1081">
        <f t="shared" si="53"/>
        <v>8.735073305785658</v>
      </c>
      <c r="G64" s="1082">
        <f t="shared" si="53"/>
        <v>9.735073305785658</v>
      </c>
      <c r="H64" s="1083">
        <f t="shared" si="53"/>
        <v>10.735073305785658</v>
      </c>
      <c r="I64" s="1084">
        <f t="shared" si="53"/>
        <v>11.735073305785658</v>
      </c>
      <c r="J64" s="1081">
        <f t="shared" si="53"/>
        <v>12.735073305785658</v>
      </c>
      <c r="K64" s="1081">
        <f t="shared" si="53"/>
        <v>13.735073305785658</v>
      </c>
      <c r="L64" s="1081">
        <f t="shared" si="53"/>
        <v>14.735073305785658</v>
      </c>
      <c r="M64" s="1082">
        <f t="shared" si="53"/>
        <v>15.735073305785658</v>
      </c>
      <c r="N64" s="688">
        <f t="shared" si="19"/>
        <v>22.47047522738313</v>
      </c>
      <c r="O64" s="928" t="str">
        <f t="shared" si="20"/>
        <v>Arbre 5</v>
      </c>
      <c r="P64" s="678">
        <f t="shared" si="21"/>
        <v>18.098193563506722</v>
      </c>
      <c r="Q64" s="685">
        <f t="shared" si="22"/>
        <v>1</v>
      </c>
      <c r="R64" s="688">
        <f t="shared" si="23"/>
        <v>2.7788254810120239</v>
      </c>
      <c r="S64" s="688">
        <f t="shared" si="24"/>
        <v>5.3155285419022453</v>
      </c>
      <c r="T64" s="688">
        <f t="shared" si="25"/>
        <v>7.8315170059081529</v>
      </c>
      <c r="U64" s="944">
        <f t="shared" si="26"/>
        <v>10.317494698680061</v>
      </c>
      <c r="V64" s="1086">
        <f t="shared" si="27"/>
        <v>12.764834600370969</v>
      </c>
      <c r="W64" s="685">
        <f t="shared" si="28"/>
        <v>15.165735899368972</v>
      </c>
      <c r="X64" s="688">
        <f t="shared" si="29"/>
        <v>17.51333927053356</v>
      </c>
      <c r="Y64" s="688">
        <f t="shared" si="30"/>
        <v>19.801798320202906</v>
      </c>
      <c r="Z64" s="688">
        <f t="shared" si="31"/>
        <v>22.026308568143698</v>
      </c>
      <c r="AA64" s="944">
        <f t="shared" si="32"/>
        <v>24.183098124229797</v>
      </c>
      <c r="AB64" s="1053">
        <f t="shared" si="33"/>
        <v>23.570465112614155</v>
      </c>
      <c r="AC64" s="1054">
        <f t="shared" si="40"/>
        <v>7.6000000000000227</v>
      </c>
      <c r="AD64" s="39" t="b">
        <f t="shared" si="34"/>
        <v>0</v>
      </c>
      <c r="AE64" s="1054">
        <f t="shared" si="35"/>
        <v>6.409852071475683</v>
      </c>
      <c r="AF64" s="1055">
        <f t="shared" si="41"/>
        <v>-1.1901479285243397</v>
      </c>
      <c r="AG64" s="929">
        <v>32.76</v>
      </c>
      <c r="AH64" s="930">
        <v>8.660000000000025</v>
      </c>
      <c r="AJ64" s="1063">
        <f t="shared" si="42"/>
        <v>1</v>
      </c>
      <c r="AK64" s="82">
        <f t="shared" si="43"/>
        <v>1</v>
      </c>
      <c r="AL64" s="1064">
        <f t="shared" si="44"/>
        <v>-219</v>
      </c>
      <c r="AM64" s="1064">
        <f t="shared" si="45"/>
        <v>1</v>
      </c>
      <c r="AN64" s="1075">
        <f t="shared" si="36"/>
        <v>142</v>
      </c>
      <c r="AO64" s="1076">
        <f t="shared" si="46"/>
        <v>19.290046219188735</v>
      </c>
      <c r="AP64" s="1068"/>
      <c r="AQ64" s="1069"/>
      <c r="AR64" s="1068"/>
      <c r="AS64" s="1069"/>
      <c r="AT64" s="1068"/>
      <c r="AU64" s="1069"/>
      <c r="AV64" s="1068"/>
      <c r="AW64" s="1069"/>
      <c r="AX64" s="28">
        <f t="shared" si="37"/>
        <v>0</v>
      </c>
      <c r="AY64" s="28">
        <f t="shared" si="38"/>
        <v>0</v>
      </c>
    </row>
    <row r="65" spans="1:51" s="19" customFormat="1" ht="12.75" x14ac:dyDescent="0.2">
      <c r="A65" s="1022" t="str">
        <f t="shared" si="17"/>
        <v>Creux 5-6</v>
      </c>
      <c r="B65" s="1026">
        <v>1</v>
      </c>
      <c r="C65" s="1081">
        <f t="shared" ref="C65:M65" si="54">$L29+C$55*Rapous</f>
        <v>4.7123258543169264</v>
      </c>
      <c r="D65" s="1081">
        <f t="shared" si="54"/>
        <v>5.7123258543169264</v>
      </c>
      <c r="E65" s="1081">
        <f t="shared" si="54"/>
        <v>6.7123258543169264</v>
      </c>
      <c r="F65" s="1081">
        <f t="shared" si="54"/>
        <v>7.7123258543169264</v>
      </c>
      <c r="G65" s="1082">
        <f t="shared" si="54"/>
        <v>8.7123258543169264</v>
      </c>
      <c r="H65" s="1083">
        <f t="shared" si="54"/>
        <v>9.7123258543169264</v>
      </c>
      <c r="I65" s="1084">
        <f t="shared" si="54"/>
        <v>10.712325854316926</v>
      </c>
      <c r="J65" s="1081">
        <f t="shared" si="54"/>
        <v>11.712325854316926</v>
      </c>
      <c r="K65" s="1081">
        <f t="shared" si="54"/>
        <v>12.712325854316926</v>
      </c>
      <c r="L65" s="1081">
        <f t="shared" si="54"/>
        <v>13.712325854316926</v>
      </c>
      <c r="M65" s="1082">
        <f t="shared" si="54"/>
        <v>14.712325854316926</v>
      </c>
      <c r="N65" s="688">
        <f t="shared" si="19"/>
        <v>21.406465307108537</v>
      </c>
      <c r="O65" s="928" t="str">
        <f t="shared" si="20"/>
        <v>Creux 5-6</v>
      </c>
      <c r="P65" s="678">
        <f t="shared" si="21"/>
        <v>25.698193563506745</v>
      </c>
      <c r="Q65" s="685">
        <f t="shared" si="22"/>
        <v>1</v>
      </c>
      <c r="R65" s="688">
        <f t="shared" si="23"/>
        <v>1</v>
      </c>
      <c r="S65" s="688">
        <f t="shared" si="24"/>
        <v>2.8559837084254651</v>
      </c>
      <c r="T65" s="688">
        <f t="shared" si="25"/>
        <v>5.5177940866872861</v>
      </c>
      <c r="U65" s="944">
        <f t="shared" si="26"/>
        <v>8.1559418745389802</v>
      </c>
      <c r="V65" s="1086">
        <f t="shared" si="27"/>
        <v>10.75974880563918</v>
      </c>
      <c r="W65" s="685">
        <f t="shared" si="28"/>
        <v>13.319375694733321</v>
      </c>
      <c r="X65" s="688">
        <f t="shared" si="29"/>
        <v>15.826014590109866</v>
      </c>
      <c r="Y65" s="688">
        <f t="shared" si="30"/>
        <v>18.272024308434911</v>
      </c>
      <c r="Z65" s="688">
        <f t="shared" si="31"/>
        <v>20.651007481034224</v>
      </c>
      <c r="AA65" s="944">
        <f t="shared" si="32"/>
        <v>22.957832100998512</v>
      </c>
      <c r="AB65" s="1053">
        <f t="shared" si="33"/>
        <v>26.088945889330716</v>
      </c>
      <c r="AC65" s="1054">
        <f t="shared" si="40"/>
        <v>7.9000000000000057</v>
      </c>
      <c r="AD65" s="39" t="b">
        <f t="shared" si="34"/>
        <v>0</v>
      </c>
      <c r="AE65" s="1054">
        <f t="shared" si="35"/>
        <v>15.016424942723493</v>
      </c>
      <c r="AF65" s="1055">
        <f t="shared" si="41"/>
        <v>0</v>
      </c>
      <c r="AG65" s="929">
        <v>35.270000000000003</v>
      </c>
      <c r="AH65" s="930">
        <v>9</v>
      </c>
      <c r="AJ65" s="1063">
        <f t="shared" si="42"/>
        <v>1</v>
      </c>
      <c r="AK65" s="82">
        <f t="shared" si="43"/>
        <v>1</v>
      </c>
      <c r="AL65" s="1064">
        <f t="shared" si="44"/>
        <v>-219</v>
      </c>
      <c r="AM65" s="1064">
        <f t="shared" si="45"/>
        <v>1</v>
      </c>
      <c r="AN65" s="1075">
        <f t="shared" si="36"/>
        <v>142</v>
      </c>
      <c r="AO65" s="1076">
        <f t="shared" si="46"/>
        <v>19.290046219188735</v>
      </c>
      <c r="AP65" s="1068"/>
      <c r="AQ65" s="1069"/>
      <c r="AR65" s="1068"/>
      <c r="AS65" s="1069"/>
      <c r="AT65" s="1068"/>
      <c r="AU65" s="1069"/>
      <c r="AV65" s="1068"/>
      <c r="AW65" s="1069"/>
      <c r="AX65" s="28">
        <f t="shared" si="37"/>
        <v>0</v>
      </c>
      <c r="AY65" s="28">
        <f t="shared" si="38"/>
        <v>0</v>
      </c>
    </row>
    <row r="66" spans="1:51" s="19" customFormat="1" ht="12.75" x14ac:dyDescent="0.2">
      <c r="A66" s="1022" t="str">
        <f t="shared" si="17"/>
        <v>Arbre 6</v>
      </c>
      <c r="B66" s="1026">
        <v>1</v>
      </c>
      <c r="C66" s="1081">
        <f t="shared" ref="C66:M66" si="55">$L30+C$55*Rapous</f>
        <v>7.3771605496507036</v>
      </c>
      <c r="D66" s="1081">
        <f t="shared" si="55"/>
        <v>8.3771605496507036</v>
      </c>
      <c r="E66" s="1081">
        <f t="shared" si="55"/>
        <v>9.3771605496507036</v>
      </c>
      <c r="F66" s="1081">
        <f t="shared" si="55"/>
        <v>10.377160549650704</v>
      </c>
      <c r="G66" s="1082">
        <f t="shared" si="55"/>
        <v>11.377160549650704</v>
      </c>
      <c r="H66" s="1083">
        <f t="shared" si="55"/>
        <v>12.377160549650704</v>
      </c>
      <c r="I66" s="1084">
        <f t="shared" si="55"/>
        <v>13.377160549650704</v>
      </c>
      <c r="J66" s="1081">
        <f t="shared" si="55"/>
        <v>14.377160549650704</v>
      </c>
      <c r="K66" s="1081">
        <f t="shared" si="55"/>
        <v>15.377160549650704</v>
      </c>
      <c r="L66" s="1081">
        <f t="shared" si="55"/>
        <v>16.377160549650704</v>
      </c>
      <c r="M66" s="1082">
        <f t="shared" si="55"/>
        <v>17.377160549650704</v>
      </c>
      <c r="N66" s="688">
        <f t="shared" si="19"/>
        <v>20.976041260076784</v>
      </c>
      <c r="O66" s="928" t="str">
        <f t="shared" si="20"/>
        <v>Arbre 6</v>
      </c>
      <c r="P66" s="678">
        <f t="shared" si="21"/>
        <v>40.714618506230238</v>
      </c>
      <c r="Q66" s="685">
        <f t="shared" si="22"/>
        <v>4.7222696126445651</v>
      </c>
      <c r="R66" s="688">
        <f t="shared" si="23"/>
        <v>7.4226720687329717</v>
      </c>
      <c r="S66" s="688">
        <f t="shared" si="24"/>
        <v>10.090338457785782</v>
      </c>
      <c r="T66" s="688">
        <f t="shared" si="25"/>
        <v>12.714550347400516</v>
      </c>
      <c r="U66" s="944">
        <f t="shared" si="26"/>
        <v>15.285659187416011</v>
      </c>
      <c r="V66" s="1086">
        <f t="shared" si="27"/>
        <v>17.795252285546006</v>
      </c>
      <c r="W66" s="685">
        <f t="shared" si="28"/>
        <v>20.236252743430189</v>
      </c>
      <c r="X66" s="688">
        <f t="shared" si="29"/>
        <v>22.602955601439856</v>
      </c>
      <c r="Y66" s="688">
        <f t="shared" si="30"/>
        <v>24.891007189401471</v>
      </c>
      <c r="Z66" s="688">
        <f t="shared" si="31"/>
        <v>27.097337844941421</v>
      </c>
      <c r="AA66" s="944">
        <f t="shared" si="32"/>
        <v>29.220059677662924</v>
      </c>
      <c r="AB66" s="1053">
        <f t="shared" si="33"/>
        <v>23.031755980426141</v>
      </c>
      <c r="AC66" s="1054">
        <f t="shared" si="40"/>
        <v>7.5199999999999818</v>
      </c>
      <c r="AD66" s="39" t="b">
        <f t="shared" si="34"/>
        <v>0</v>
      </c>
      <c r="AE66" s="1054">
        <f t="shared" si="35"/>
        <v>19.193180980447401</v>
      </c>
      <c r="AF66" s="1055">
        <f t="shared" si="41"/>
        <v>0</v>
      </c>
      <c r="AG66" s="929">
        <v>37.65</v>
      </c>
      <c r="AH66" s="930">
        <v>9.3500000000000227</v>
      </c>
      <c r="AJ66" s="1063">
        <f t="shared" si="42"/>
        <v>1</v>
      </c>
      <c r="AK66" s="82">
        <f t="shared" si="43"/>
        <v>1</v>
      </c>
      <c r="AL66" s="1064">
        <f t="shared" si="44"/>
        <v>-219</v>
      </c>
      <c r="AM66" s="1064">
        <f t="shared" si="45"/>
        <v>1</v>
      </c>
      <c r="AN66" s="1075">
        <f t="shared" si="36"/>
        <v>142</v>
      </c>
      <c r="AO66" s="1076">
        <f t="shared" si="46"/>
        <v>19.290046219188735</v>
      </c>
      <c r="AP66" s="1068"/>
      <c r="AQ66" s="1069"/>
      <c r="AR66" s="1068"/>
      <c r="AS66" s="1069"/>
      <c r="AT66" s="1068"/>
      <c r="AU66" s="1069"/>
      <c r="AV66" s="1068"/>
      <c r="AW66" s="1069"/>
      <c r="AX66" s="28">
        <f t="shared" si="37"/>
        <v>0</v>
      </c>
      <c r="AY66" s="28">
        <f t="shared" si="38"/>
        <v>0</v>
      </c>
    </row>
    <row r="67" spans="1:51" s="19" customFormat="1" ht="12.75" x14ac:dyDescent="0.2">
      <c r="A67" s="1022" t="str">
        <f t="shared" si="17"/>
        <v>Arbres 9</v>
      </c>
      <c r="B67" s="1026">
        <v>1</v>
      </c>
      <c r="C67" s="1081">
        <f t="shared" ref="C67:M67" si="56">$L31+C$55*Rapous</f>
        <v>11.590496167716836</v>
      </c>
      <c r="D67" s="1081">
        <f t="shared" si="56"/>
        <v>12.590496167716836</v>
      </c>
      <c r="E67" s="1081">
        <f t="shared" si="56"/>
        <v>13.590496167716836</v>
      </c>
      <c r="F67" s="1081">
        <f t="shared" si="56"/>
        <v>14.590496167716836</v>
      </c>
      <c r="G67" s="1082">
        <f t="shared" si="56"/>
        <v>15.590496167716836</v>
      </c>
      <c r="H67" s="1083">
        <f t="shared" si="56"/>
        <v>16.590496167716836</v>
      </c>
      <c r="I67" s="1084">
        <f t="shared" si="56"/>
        <v>17.590496167716836</v>
      </c>
      <c r="J67" s="1081">
        <f t="shared" si="56"/>
        <v>18.590496167716836</v>
      </c>
      <c r="K67" s="1081">
        <f t="shared" si="56"/>
        <v>19.590496167716836</v>
      </c>
      <c r="L67" s="1081">
        <f t="shared" si="56"/>
        <v>20.590496167716836</v>
      </c>
      <c r="M67" s="1082">
        <f t="shared" si="56"/>
        <v>21.590496167716836</v>
      </c>
      <c r="N67" s="688">
        <f t="shared" si="19"/>
        <v>52.671594244694901</v>
      </c>
      <c r="O67" s="928" t="str">
        <f t="shared" si="20"/>
        <v>Arbres 9</v>
      </c>
      <c r="P67" s="678">
        <f t="shared" si="21"/>
        <v>59.907799486677639</v>
      </c>
      <c r="Q67" s="685">
        <f t="shared" si="22"/>
        <v>6.4408434276298934</v>
      </c>
      <c r="R67" s="688">
        <f t="shared" si="23"/>
        <v>7.5125543487306032</v>
      </c>
      <c r="S67" s="688">
        <f t="shared" si="24"/>
        <v>8.5790046238899897</v>
      </c>
      <c r="T67" s="688">
        <f t="shared" si="25"/>
        <v>9.6394998717444356</v>
      </c>
      <c r="U67" s="944">
        <f t="shared" si="26"/>
        <v>10.693369743802268</v>
      </c>
      <c r="V67" s="1086">
        <f t="shared" si="27"/>
        <v>11.739970150616056</v>
      </c>
      <c r="W67" s="685">
        <f t="shared" si="28"/>
        <v>12.778685238725332</v>
      </c>
      <c r="X67" s="688">
        <f t="shared" si="29"/>
        <v>13.80892910776878</v>
      </c>
      <c r="Y67" s="688">
        <f t="shared" si="30"/>
        <v>14.83014726135551</v>
      </c>
      <c r="Z67" s="688">
        <f t="shared" si="31"/>
        <v>15.841817789361508</v>
      </c>
      <c r="AA67" s="944">
        <f t="shared" si="32"/>
        <v>16.843452283189354</v>
      </c>
      <c r="AB67" s="1053">
        <f t="shared" si="33"/>
        <v>23.322061531453144</v>
      </c>
      <c r="AC67" s="1054">
        <f t="shared" si="40"/>
        <v>7.5199999999999818</v>
      </c>
      <c r="AD67" s="39" t="b">
        <f t="shared" si="34"/>
        <v>0</v>
      </c>
      <c r="AE67" s="1054">
        <f t="shared" si="35"/>
        <v>11.475211111273303</v>
      </c>
      <c r="AF67" s="1055">
        <f t="shared" si="41"/>
        <v>0</v>
      </c>
      <c r="AG67" s="929">
        <v>40.520000000000003</v>
      </c>
      <c r="AH67" s="930">
        <v>9.789999999999992</v>
      </c>
      <c r="AJ67" s="1063">
        <f t="shared" si="42"/>
        <v>1</v>
      </c>
      <c r="AK67" s="82">
        <f t="shared" si="43"/>
        <v>1</v>
      </c>
      <c r="AL67" s="1064">
        <f t="shared" si="44"/>
        <v>-219</v>
      </c>
      <c r="AM67" s="1064">
        <f t="shared" si="45"/>
        <v>1</v>
      </c>
      <c r="AN67" s="1075">
        <f t="shared" si="36"/>
        <v>142</v>
      </c>
      <c r="AO67" s="1076">
        <f t="shared" si="46"/>
        <v>19.290046219188735</v>
      </c>
      <c r="AP67" s="1068"/>
      <c r="AQ67" s="1069"/>
      <c r="AR67" s="1068"/>
      <c r="AS67" s="1069"/>
      <c r="AT67" s="1068"/>
      <c r="AU67" s="1069"/>
      <c r="AV67" s="1068"/>
      <c r="AW67" s="1069"/>
      <c r="AX67" s="28">
        <f t="shared" si="37"/>
        <v>0</v>
      </c>
      <c r="AY67" s="28">
        <f t="shared" si="38"/>
        <v>0</v>
      </c>
    </row>
    <row r="68" spans="1:51" s="19" customFormat="1" ht="12.75" x14ac:dyDescent="0.2">
      <c r="A68" s="1022" t="str">
        <f t="shared" si="17"/>
        <v>Arbre 7</v>
      </c>
      <c r="B68" s="1026">
        <v>1</v>
      </c>
      <c r="C68" s="1081">
        <f t="shared" ref="C68:M68" si="57">$L32+C$55*Rapous</f>
        <v>8.4700977893914597</v>
      </c>
      <c r="D68" s="1081">
        <f t="shared" si="57"/>
        <v>9.4700977893914597</v>
      </c>
      <c r="E68" s="1081">
        <f t="shared" si="57"/>
        <v>10.47009778939146</v>
      </c>
      <c r="F68" s="1081">
        <f t="shared" si="57"/>
        <v>11.47009778939146</v>
      </c>
      <c r="G68" s="1082">
        <f t="shared" si="57"/>
        <v>12.47009778939146</v>
      </c>
      <c r="H68" s="1083">
        <f t="shared" si="57"/>
        <v>13.47009778939146</v>
      </c>
      <c r="I68" s="1084">
        <f t="shared" si="57"/>
        <v>14.47009778939146</v>
      </c>
      <c r="J68" s="1081">
        <f t="shared" si="57"/>
        <v>15.47009778939146</v>
      </c>
      <c r="K68" s="1081">
        <f t="shared" si="57"/>
        <v>16.47009778939146</v>
      </c>
      <c r="L68" s="1081">
        <f t="shared" si="57"/>
        <v>17.47009778939146</v>
      </c>
      <c r="M68" s="1082">
        <f t="shared" si="57"/>
        <v>18.47009778939146</v>
      </c>
      <c r="N68" s="688">
        <f t="shared" si="19"/>
        <v>22.394309327991738</v>
      </c>
      <c r="O68" s="928" t="str">
        <f t="shared" si="20"/>
        <v>Arbre 7</v>
      </c>
      <c r="P68" s="678">
        <f t="shared" si="21"/>
        <v>71.383010597950943</v>
      </c>
      <c r="Q68" s="685">
        <f t="shared" si="22"/>
        <v>7.1915153452013758</v>
      </c>
      <c r="R68" s="688">
        <f t="shared" si="23"/>
        <v>9.6944332012725969</v>
      </c>
      <c r="S68" s="688">
        <f t="shared" si="24"/>
        <v>12.160566093635859</v>
      </c>
      <c r="T68" s="688">
        <f t="shared" si="25"/>
        <v>14.581811927408539</v>
      </c>
      <c r="U68" s="944">
        <f t="shared" si="26"/>
        <v>16.950998003031525</v>
      </c>
      <c r="V68" s="1086">
        <f t="shared" si="27"/>
        <v>19.261964687956883</v>
      </c>
      <c r="W68" s="685">
        <f t="shared" si="28"/>
        <v>21.509605120440156</v>
      </c>
      <c r="X68" s="688">
        <f t="shared" si="29"/>
        <v>23.689864581499165</v>
      </c>
      <c r="Y68" s="688">
        <f t="shared" si="30"/>
        <v>25.799705382423852</v>
      </c>
      <c r="Z68" s="688">
        <f t="shared" si="31"/>
        <v>27.837044397114781</v>
      </c>
      <c r="AA68" s="944">
        <f t="shared" si="32"/>
        <v>29.800670779716938</v>
      </c>
      <c r="AB68" s="1053">
        <f t="shared" si="33"/>
        <v>24.150885664830618</v>
      </c>
      <c r="AC68" s="1054">
        <f t="shared" si="40"/>
        <v>7.6000000000000227</v>
      </c>
      <c r="AD68" s="39" t="b">
        <f t="shared" si="34"/>
        <v>0</v>
      </c>
      <c r="AE68" s="1054">
        <f t="shared" si="35"/>
        <v>13.222347047706833</v>
      </c>
      <c r="AF68" s="1055">
        <f t="shared" si="41"/>
        <v>0</v>
      </c>
      <c r="AG68" s="929">
        <v>42.91</v>
      </c>
      <c r="AH68" s="930">
        <v>10.22999999999999</v>
      </c>
      <c r="AJ68" s="1063">
        <f t="shared" si="42"/>
        <v>1</v>
      </c>
      <c r="AK68" s="82">
        <f t="shared" si="43"/>
        <v>1</v>
      </c>
      <c r="AL68" s="1064">
        <f t="shared" si="44"/>
        <v>-219</v>
      </c>
      <c r="AM68" s="1064">
        <f t="shared" si="45"/>
        <v>1</v>
      </c>
      <c r="AN68" s="1075">
        <f>IF(AND(AX68=0,AX69=0),MAX(AN67,$H$43+1),AX68)</f>
        <v>142</v>
      </c>
      <c r="AO68" s="1076">
        <f t="shared" si="46"/>
        <v>19.290046219188735</v>
      </c>
      <c r="AP68" s="1068"/>
      <c r="AQ68" s="1069"/>
      <c r="AR68" s="1068"/>
      <c r="AS68" s="1069"/>
      <c r="AT68" s="1068"/>
      <c r="AU68" s="1069"/>
      <c r="AV68" s="1068"/>
      <c r="AW68" s="1069"/>
      <c r="AX68" s="28">
        <f t="shared" si="37"/>
        <v>0</v>
      </c>
      <c r="AY68" s="28">
        <f t="shared" si="38"/>
        <v>0</v>
      </c>
    </row>
    <row r="69" spans="1:51" s="19" customFormat="1" ht="12.75" x14ac:dyDescent="0.2">
      <c r="A69" s="1022" t="str">
        <f t="shared" si="17"/>
        <v>Arbre 8</v>
      </c>
      <c r="B69" s="1026">
        <v>1</v>
      </c>
      <c r="C69" s="1081">
        <f t="shared" ref="C69:M69" si="58">$L33+C$55*Rapous</f>
        <v>11.408589834675894</v>
      </c>
      <c r="D69" s="1081">
        <f t="shared" si="58"/>
        <v>12.408589834675894</v>
      </c>
      <c r="E69" s="1081">
        <f t="shared" si="58"/>
        <v>13.408589834675894</v>
      </c>
      <c r="F69" s="1081">
        <f t="shared" si="58"/>
        <v>14.408589834675894</v>
      </c>
      <c r="G69" s="1082">
        <f t="shared" si="58"/>
        <v>15.408589834675894</v>
      </c>
      <c r="H69" s="1083">
        <f t="shared" si="58"/>
        <v>16.408589834675894</v>
      </c>
      <c r="I69" s="1084">
        <f t="shared" si="58"/>
        <v>17.408589834675894</v>
      </c>
      <c r="J69" s="1081">
        <f t="shared" si="58"/>
        <v>18.408589834675894</v>
      </c>
      <c r="K69" s="1081">
        <f t="shared" si="58"/>
        <v>19.408589834675894</v>
      </c>
      <c r="L69" s="1081">
        <f t="shared" si="58"/>
        <v>20.408589834675894</v>
      </c>
      <c r="M69" s="1082">
        <f t="shared" si="58"/>
        <v>21.408589834675894</v>
      </c>
      <c r="N69" s="688">
        <f t="shared" si="19"/>
        <v>47.111166655169058</v>
      </c>
      <c r="O69" s="928" t="str">
        <f t="shared" si="20"/>
        <v>Arbre 8</v>
      </c>
      <c r="P69" s="678">
        <f t="shared" si="21"/>
        <v>84.605357645657776</v>
      </c>
      <c r="Q69" s="685">
        <f t="shared" si="22"/>
        <v>6.9756268006757765</v>
      </c>
      <c r="R69" s="688">
        <f t="shared" si="23"/>
        <v>8.1706398453557352</v>
      </c>
      <c r="S69" s="688">
        <f t="shared" si="24"/>
        <v>9.3585393050361745</v>
      </c>
      <c r="T69" s="688">
        <f t="shared" si="25"/>
        <v>10.538377198297088</v>
      </c>
      <c r="U69" s="944">
        <f t="shared" si="26"/>
        <v>11.709245670133855</v>
      </c>
      <c r="V69" s="1086">
        <f t="shared" si="27"/>
        <v>12.870280536061024</v>
      </c>
      <c r="W69" s="685">
        <f t="shared" si="28"/>
        <v>14.020664321801002</v>
      </c>
      <c r="X69" s="688">
        <f t="shared" si="29"/>
        <v>15.159628783740663</v>
      </c>
      <c r="Y69" s="688">
        <f t="shared" si="30"/>
        <v>16.286456905283636</v>
      </c>
      <c r="Z69" s="688">
        <f t="shared" si="31"/>
        <v>17.400484373609665</v>
      </c>
      <c r="AA69" s="944">
        <f t="shared" si="32"/>
        <v>18.501100549944301</v>
      </c>
      <c r="AB69" s="1053">
        <f t="shared" si="33"/>
        <v>18.895573384566518</v>
      </c>
      <c r="AC69" s="1054">
        <f t="shared" si="40"/>
        <v>7.5010000000000003</v>
      </c>
      <c r="AD69" s="39" t="b">
        <f t="shared" si="34"/>
        <v>0</v>
      </c>
      <c r="AE69" s="1054">
        <f t="shared" si="35"/>
        <v>56.394642354342224</v>
      </c>
      <c r="AF69" s="1055">
        <f t="shared" si="41"/>
        <v>0</v>
      </c>
      <c r="AG69" s="929">
        <v>46.04</v>
      </c>
      <c r="AH69" s="930">
        <v>10.759999999999991</v>
      </c>
      <c r="AJ69" s="1063">
        <f t="shared" si="42"/>
        <v>1</v>
      </c>
      <c r="AK69" s="82">
        <f t="shared" si="43"/>
        <v>1</v>
      </c>
      <c r="AL69" s="1064">
        <f t="shared" si="44"/>
        <v>-219</v>
      </c>
      <c r="AM69" s="1064">
        <f t="shared" si="45"/>
        <v>1</v>
      </c>
      <c r="AN69" s="1075">
        <f>IF(AND(AX69=0,AX70=0),MAX(AN68,$H$43+1),AX69)</f>
        <v>142</v>
      </c>
      <c r="AO69" s="1076">
        <f t="shared" si="46"/>
        <v>19.290046219188735</v>
      </c>
      <c r="AP69" s="1068"/>
      <c r="AQ69" s="1069"/>
      <c r="AR69" s="1068"/>
      <c r="AS69" s="1069"/>
      <c r="AT69" s="1068"/>
      <c r="AU69" s="1069"/>
      <c r="AV69" s="1068"/>
      <c r="AW69" s="1069"/>
      <c r="AX69" s="28">
        <f t="shared" si="37"/>
        <v>0</v>
      </c>
      <c r="AY69" s="28">
        <f t="shared" si="38"/>
        <v>0</v>
      </c>
    </row>
    <row r="70" spans="1:51" s="28" customFormat="1" ht="12.75" x14ac:dyDescent="0.2">
      <c r="A70" s="1023" t="str">
        <f t="shared" si="17"/>
        <v>Arrière PV</v>
      </c>
      <c r="B70" s="1026">
        <v>1</v>
      </c>
      <c r="C70" s="1081">
        <f t="shared" ref="C70:M70" si="59">$L34+C$55*Rapous</f>
        <v>-5</v>
      </c>
      <c r="D70" s="1081">
        <f t="shared" si="59"/>
        <v>-4</v>
      </c>
      <c r="E70" s="1081">
        <f t="shared" si="59"/>
        <v>-3</v>
      </c>
      <c r="F70" s="1081">
        <f t="shared" si="59"/>
        <v>-2</v>
      </c>
      <c r="G70" s="1082">
        <f t="shared" si="59"/>
        <v>-1</v>
      </c>
      <c r="H70" s="1083">
        <f t="shared" si="59"/>
        <v>0</v>
      </c>
      <c r="I70" s="1084">
        <f t="shared" si="59"/>
        <v>1</v>
      </c>
      <c r="J70" s="1081">
        <f t="shared" si="59"/>
        <v>2</v>
      </c>
      <c r="K70" s="1081">
        <f t="shared" si="59"/>
        <v>3</v>
      </c>
      <c r="L70" s="1081">
        <f t="shared" si="59"/>
        <v>4</v>
      </c>
      <c r="M70" s="1082">
        <f t="shared" si="59"/>
        <v>5</v>
      </c>
      <c r="N70" s="688">
        <f t="shared" si="19"/>
        <v>0</v>
      </c>
      <c r="O70" s="928" t="str">
        <f t="shared" si="20"/>
        <v>Arrière PV</v>
      </c>
      <c r="P70" s="678">
        <f t="shared" si="21"/>
        <v>141</v>
      </c>
      <c r="Q70" s="685">
        <f t="shared" si="22"/>
        <v>19.290046219188735</v>
      </c>
      <c r="R70" s="688">
        <f t="shared" si="23"/>
        <v>19.290046219188735</v>
      </c>
      <c r="S70" s="688">
        <f t="shared" si="24"/>
        <v>19.290046219188735</v>
      </c>
      <c r="T70" s="688">
        <f t="shared" si="25"/>
        <v>19.290046219188735</v>
      </c>
      <c r="U70" s="944">
        <f t="shared" si="26"/>
        <v>19.290046219188735</v>
      </c>
      <c r="V70" s="1086">
        <f t="shared" si="27"/>
        <v>19.290046219188735</v>
      </c>
      <c r="W70" s="685">
        <f t="shared" si="28"/>
        <v>19.290046219188735</v>
      </c>
      <c r="X70" s="688">
        <f t="shared" si="29"/>
        <v>19.290046219188735</v>
      </c>
      <c r="Y70" s="688">
        <f t="shared" si="30"/>
        <v>19.290046219188735</v>
      </c>
      <c r="Z70" s="688">
        <f t="shared" si="31"/>
        <v>19.290046219188735</v>
      </c>
      <c r="AA70" s="944">
        <f t="shared" si="32"/>
        <v>19.290046219188735</v>
      </c>
      <c r="AB70" s="1053">
        <f t="shared" si="33"/>
        <v>19.290046219188735</v>
      </c>
      <c r="AC70" s="1054">
        <f t="shared" si="40"/>
        <v>7.5010000000000003</v>
      </c>
      <c r="AD70" s="39" t="b">
        <f t="shared" si="34"/>
        <v>0</v>
      </c>
      <c r="AE70" s="1054">
        <f t="shared" si="35"/>
        <v>0</v>
      </c>
      <c r="AF70" s="1055">
        <f t="shared" si="41"/>
        <v>0</v>
      </c>
      <c r="AG70" s="929">
        <v>48.37</v>
      </c>
      <c r="AH70" s="930">
        <v>11.280000000000001</v>
      </c>
      <c r="AJ70" s="1063">
        <f t="shared" si="42"/>
        <v>1</v>
      </c>
      <c r="AK70" s="82">
        <f t="shared" si="43"/>
        <v>2</v>
      </c>
      <c r="AL70" s="1064">
        <f t="shared" si="44"/>
        <v>141</v>
      </c>
      <c r="AM70" s="1064">
        <f t="shared" si="45"/>
        <v>1</v>
      </c>
      <c r="AN70" s="1075">
        <f t="shared" ref="AN70:AN79" si="60">IF(AND(AX70=0,AX71=0),MAX(AN69,$H$43+1),AX70)</f>
        <v>142</v>
      </c>
      <c r="AO70" s="1076">
        <f t="shared" si="46"/>
        <v>19.290046219188735</v>
      </c>
      <c r="AP70" s="1068"/>
      <c r="AQ70" s="1069"/>
      <c r="AR70" s="1068"/>
      <c r="AS70" s="1069"/>
      <c r="AT70" s="1068"/>
      <c r="AU70" s="1069"/>
      <c r="AV70" s="1068"/>
      <c r="AW70" s="1069"/>
      <c r="AX70" s="28">
        <f t="shared" si="37"/>
        <v>0</v>
      </c>
      <c r="AY70" s="28">
        <f t="shared" si="38"/>
        <v>0</v>
      </c>
    </row>
    <row r="71" spans="1:51" s="28" customFormat="1" ht="12.75" x14ac:dyDescent="0.2">
      <c r="A71" s="1023">
        <f t="shared" si="17"/>
        <v>0</v>
      </c>
      <c r="B71" s="1026">
        <v>1</v>
      </c>
      <c r="C71" s="1081">
        <f t="shared" ref="C71:M71" si="61">$L35+C$55*Rapous</f>
        <v>-5</v>
      </c>
      <c r="D71" s="1081">
        <f t="shared" si="61"/>
        <v>-4</v>
      </c>
      <c r="E71" s="1081">
        <f t="shared" si="61"/>
        <v>-3</v>
      </c>
      <c r="F71" s="1081">
        <f t="shared" si="61"/>
        <v>-2</v>
      </c>
      <c r="G71" s="1082">
        <f t="shared" si="61"/>
        <v>-1</v>
      </c>
      <c r="H71" s="1083">
        <f t="shared" si="61"/>
        <v>0</v>
      </c>
      <c r="I71" s="1084">
        <f t="shared" si="61"/>
        <v>1</v>
      </c>
      <c r="J71" s="1081">
        <f t="shared" si="61"/>
        <v>2</v>
      </c>
      <c r="K71" s="1081">
        <f t="shared" si="61"/>
        <v>3</v>
      </c>
      <c r="L71" s="1081">
        <f t="shared" si="61"/>
        <v>4</v>
      </c>
      <c r="M71" s="1082">
        <f t="shared" si="61"/>
        <v>5</v>
      </c>
      <c r="N71" s="688">
        <f t="shared" si="19"/>
        <v>0</v>
      </c>
      <c r="O71" s="928">
        <f t="shared" si="20"/>
        <v>0</v>
      </c>
      <c r="P71" s="678">
        <f t="shared" si="21"/>
        <v>141</v>
      </c>
      <c r="Q71" s="685">
        <f t="shared" si="22"/>
        <v>19.290046219188735</v>
      </c>
      <c r="R71" s="688">
        <f t="shared" si="23"/>
        <v>19.290046219188735</v>
      </c>
      <c r="S71" s="688">
        <f t="shared" si="24"/>
        <v>19.290046219188735</v>
      </c>
      <c r="T71" s="688">
        <f t="shared" si="25"/>
        <v>19.290046219188735</v>
      </c>
      <c r="U71" s="944">
        <f t="shared" si="26"/>
        <v>19.290046219188735</v>
      </c>
      <c r="V71" s="1086">
        <f t="shared" si="27"/>
        <v>19.290046219188735</v>
      </c>
      <c r="W71" s="685">
        <f t="shared" si="28"/>
        <v>19.290046219188735</v>
      </c>
      <c r="X71" s="688">
        <f t="shared" si="29"/>
        <v>19.290046219188735</v>
      </c>
      <c r="Y71" s="688">
        <f t="shared" si="30"/>
        <v>19.290046219188735</v>
      </c>
      <c r="Z71" s="688">
        <f t="shared" si="31"/>
        <v>19.290046219188735</v>
      </c>
      <c r="AA71" s="944">
        <f t="shared" si="32"/>
        <v>19.290046219188735</v>
      </c>
      <c r="AB71" s="1053">
        <f t="shared" si="33"/>
        <v>19.290046219188735</v>
      </c>
      <c r="AC71" s="1054">
        <f t="shared" si="40"/>
        <v>7.5010000000000003</v>
      </c>
      <c r="AD71" s="39" t="b">
        <f t="shared" si="34"/>
        <v>0</v>
      </c>
      <c r="AE71" s="1054">
        <f t="shared" si="35"/>
        <v>0</v>
      </c>
      <c r="AF71" s="1055">
        <f t="shared" si="41"/>
        <v>0</v>
      </c>
      <c r="AG71" s="929">
        <v>51.52</v>
      </c>
      <c r="AH71" s="930">
        <v>11.930000000000007</v>
      </c>
      <c r="AJ71" s="1063">
        <f t="shared" si="42"/>
        <v>1</v>
      </c>
      <c r="AK71" s="82">
        <f t="shared" si="43"/>
        <v>2</v>
      </c>
      <c r="AL71" s="1064">
        <f t="shared" si="44"/>
        <v>141</v>
      </c>
      <c r="AM71" s="1064">
        <f t="shared" si="45"/>
        <v>1</v>
      </c>
      <c r="AN71" s="1075">
        <f t="shared" si="60"/>
        <v>142</v>
      </c>
      <c r="AO71" s="1076">
        <f t="shared" si="46"/>
        <v>19.290046219188735</v>
      </c>
      <c r="AP71" s="1068"/>
      <c r="AQ71" s="1069"/>
      <c r="AR71" s="1068"/>
      <c r="AS71" s="1069"/>
      <c r="AT71" s="1068"/>
      <c r="AU71" s="1069"/>
      <c r="AV71" s="1068"/>
      <c r="AW71" s="1069"/>
      <c r="AX71" s="28">
        <f t="shared" si="37"/>
        <v>0</v>
      </c>
      <c r="AY71" s="28">
        <f t="shared" si="38"/>
        <v>0</v>
      </c>
    </row>
    <row r="72" spans="1:51" s="28" customFormat="1" ht="12.75" x14ac:dyDescent="0.2">
      <c r="A72" s="1023">
        <f t="shared" si="17"/>
        <v>0</v>
      </c>
      <c r="B72" s="1026">
        <v>1</v>
      </c>
      <c r="C72" s="1081">
        <f t="shared" ref="C72:M72" si="62">$L36+C$55*Rapous</f>
        <v>-5</v>
      </c>
      <c r="D72" s="1081">
        <f t="shared" si="62"/>
        <v>-4</v>
      </c>
      <c r="E72" s="1081">
        <f t="shared" si="62"/>
        <v>-3</v>
      </c>
      <c r="F72" s="1081">
        <f t="shared" si="62"/>
        <v>-2</v>
      </c>
      <c r="G72" s="1082">
        <f t="shared" si="62"/>
        <v>-1</v>
      </c>
      <c r="H72" s="1083">
        <f t="shared" si="62"/>
        <v>0</v>
      </c>
      <c r="I72" s="1084">
        <f t="shared" si="62"/>
        <v>1</v>
      </c>
      <c r="J72" s="1081">
        <f t="shared" si="62"/>
        <v>2</v>
      </c>
      <c r="K72" s="1081">
        <f t="shared" si="62"/>
        <v>3</v>
      </c>
      <c r="L72" s="1081">
        <f t="shared" si="62"/>
        <v>4</v>
      </c>
      <c r="M72" s="1082">
        <f t="shared" si="62"/>
        <v>5</v>
      </c>
      <c r="N72" s="688">
        <f t="shared" si="19"/>
        <v>0</v>
      </c>
      <c r="O72" s="928">
        <f t="shared" si="20"/>
        <v>0</v>
      </c>
      <c r="P72" s="678">
        <f t="shared" si="21"/>
        <v>141</v>
      </c>
      <c r="Q72" s="685">
        <f t="shared" si="22"/>
        <v>19.290046219188735</v>
      </c>
      <c r="R72" s="688">
        <f t="shared" si="23"/>
        <v>19.290046219188735</v>
      </c>
      <c r="S72" s="688">
        <f t="shared" si="24"/>
        <v>19.290046219188735</v>
      </c>
      <c r="T72" s="688">
        <f t="shared" si="25"/>
        <v>19.290046219188735</v>
      </c>
      <c r="U72" s="944">
        <f t="shared" si="26"/>
        <v>19.290046219188735</v>
      </c>
      <c r="V72" s="1086">
        <f t="shared" si="27"/>
        <v>19.290046219188735</v>
      </c>
      <c r="W72" s="685">
        <f t="shared" si="28"/>
        <v>19.290046219188735</v>
      </c>
      <c r="X72" s="688">
        <f t="shared" si="29"/>
        <v>19.290046219188735</v>
      </c>
      <c r="Y72" s="688">
        <f t="shared" si="30"/>
        <v>19.290046219188735</v>
      </c>
      <c r="Z72" s="688">
        <f t="shared" si="31"/>
        <v>19.290046219188735</v>
      </c>
      <c r="AA72" s="944">
        <f t="shared" si="32"/>
        <v>19.290046219188735</v>
      </c>
      <c r="AB72" s="1053">
        <f t="shared" si="33"/>
        <v>19.290046219188735</v>
      </c>
      <c r="AC72" s="1054">
        <f t="shared" si="40"/>
        <v>7.5010000000000003</v>
      </c>
      <c r="AD72" s="39" t="b">
        <f t="shared" si="34"/>
        <v>0</v>
      </c>
      <c r="AE72" s="1054">
        <f t="shared" si="35"/>
        <v>0</v>
      </c>
      <c r="AF72" s="1055">
        <f t="shared" si="41"/>
        <v>0</v>
      </c>
      <c r="AG72" s="929">
        <v>53.73</v>
      </c>
      <c r="AH72" s="932">
        <v>12.530000000000001</v>
      </c>
      <c r="AJ72" s="1063">
        <f t="shared" si="42"/>
        <v>1</v>
      </c>
      <c r="AK72" s="82">
        <f t="shared" si="43"/>
        <v>2</v>
      </c>
      <c r="AL72" s="1064">
        <f t="shared" si="44"/>
        <v>141</v>
      </c>
      <c r="AM72" s="1064">
        <f t="shared" si="45"/>
        <v>1</v>
      </c>
      <c r="AN72" s="1075">
        <f t="shared" si="60"/>
        <v>142</v>
      </c>
      <c r="AO72" s="1076">
        <f t="shared" si="46"/>
        <v>19.290046219188735</v>
      </c>
      <c r="AP72" s="1068"/>
      <c r="AQ72" s="1069"/>
      <c r="AR72" s="1068"/>
      <c r="AS72" s="1069"/>
      <c r="AT72" s="1068"/>
      <c r="AU72" s="1069"/>
      <c r="AV72" s="1068"/>
      <c r="AW72" s="1069"/>
      <c r="AX72" s="28">
        <f t="shared" si="37"/>
        <v>0</v>
      </c>
      <c r="AY72" s="28">
        <f t="shared" si="38"/>
        <v>0</v>
      </c>
    </row>
    <row r="73" spans="1:51" s="28" customFormat="1" ht="12.75" x14ac:dyDescent="0.2">
      <c r="A73" s="1023">
        <f t="shared" si="17"/>
        <v>0</v>
      </c>
      <c r="B73" s="1026">
        <v>1</v>
      </c>
      <c r="C73" s="1081">
        <f t="shared" ref="C73:M73" si="63">$L37+C$55*Rapous</f>
        <v>-5</v>
      </c>
      <c r="D73" s="1081">
        <f t="shared" si="63"/>
        <v>-4</v>
      </c>
      <c r="E73" s="1081">
        <f t="shared" si="63"/>
        <v>-3</v>
      </c>
      <c r="F73" s="1081">
        <f t="shared" si="63"/>
        <v>-2</v>
      </c>
      <c r="G73" s="1082">
        <f t="shared" si="63"/>
        <v>-1</v>
      </c>
      <c r="H73" s="1083">
        <f t="shared" si="63"/>
        <v>0</v>
      </c>
      <c r="I73" s="1084">
        <f t="shared" si="63"/>
        <v>1</v>
      </c>
      <c r="J73" s="1081">
        <f t="shared" si="63"/>
        <v>2</v>
      </c>
      <c r="K73" s="1081">
        <f t="shared" si="63"/>
        <v>3</v>
      </c>
      <c r="L73" s="1081">
        <f t="shared" si="63"/>
        <v>4</v>
      </c>
      <c r="M73" s="1082">
        <f t="shared" si="63"/>
        <v>5</v>
      </c>
      <c r="N73" s="688">
        <f t="shared" si="19"/>
        <v>0</v>
      </c>
      <c r="O73" s="928">
        <f t="shared" si="20"/>
        <v>0</v>
      </c>
      <c r="P73" s="678">
        <f t="shared" si="21"/>
        <v>141</v>
      </c>
      <c r="Q73" s="685">
        <f t="shared" si="22"/>
        <v>19.290046219188735</v>
      </c>
      <c r="R73" s="688">
        <f t="shared" si="23"/>
        <v>19.290046219188735</v>
      </c>
      <c r="S73" s="688">
        <f t="shared" si="24"/>
        <v>19.290046219188735</v>
      </c>
      <c r="T73" s="688">
        <f t="shared" si="25"/>
        <v>19.290046219188735</v>
      </c>
      <c r="U73" s="944">
        <f t="shared" si="26"/>
        <v>19.290046219188735</v>
      </c>
      <c r="V73" s="1086">
        <f t="shared" si="27"/>
        <v>19.290046219188735</v>
      </c>
      <c r="W73" s="685">
        <f t="shared" si="28"/>
        <v>19.290046219188735</v>
      </c>
      <c r="X73" s="688">
        <f t="shared" si="29"/>
        <v>19.290046219188735</v>
      </c>
      <c r="Y73" s="688">
        <f t="shared" si="30"/>
        <v>19.290046219188735</v>
      </c>
      <c r="Z73" s="688">
        <f t="shared" si="31"/>
        <v>19.290046219188735</v>
      </c>
      <c r="AA73" s="944">
        <f t="shared" si="32"/>
        <v>19.290046219188735</v>
      </c>
      <c r="AB73" s="1053">
        <f t="shared" si="33"/>
        <v>19.290046219188735</v>
      </c>
      <c r="AC73" s="1054">
        <f t="shared" si="40"/>
        <v>7.5010000000000003</v>
      </c>
      <c r="AD73" s="39" t="b">
        <f t="shared" si="34"/>
        <v>0</v>
      </c>
      <c r="AE73" s="1054">
        <f t="shared" si="35"/>
        <v>0</v>
      </c>
      <c r="AF73" s="1055">
        <f t="shared" si="41"/>
        <v>0</v>
      </c>
      <c r="AG73" s="929">
        <v>56.67</v>
      </c>
      <c r="AH73" s="932">
        <v>13.370000000000005</v>
      </c>
      <c r="AJ73" s="1063">
        <f t="shared" si="42"/>
        <v>1</v>
      </c>
      <c r="AK73" s="82">
        <f t="shared" si="43"/>
        <v>2</v>
      </c>
      <c r="AL73" s="1064">
        <f t="shared" si="44"/>
        <v>141</v>
      </c>
      <c r="AM73" s="1064">
        <f t="shared" si="45"/>
        <v>1</v>
      </c>
      <c r="AN73" s="1075">
        <f t="shared" si="60"/>
        <v>142</v>
      </c>
      <c r="AO73" s="1076">
        <f t="shared" si="46"/>
        <v>19.290046219188735</v>
      </c>
      <c r="AP73" s="1068"/>
      <c r="AQ73" s="1069"/>
      <c r="AR73" s="1068"/>
      <c r="AS73" s="1069"/>
      <c r="AT73" s="1068"/>
      <c r="AU73" s="1069"/>
      <c r="AV73" s="1068"/>
      <c r="AW73" s="1069"/>
      <c r="AX73" s="28">
        <f t="shared" si="37"/>
        <v>0</v>
      </c>
      <c r="AY73" s="28">
        <f t="shared" si="38"/>
        <v>0</v>
      </c>
    </row>
    <row r="74" spans="1:51" s="28" customFormat="1" ht="12.75" x14ac:dyDescent="0.2">
      <c r="A74" s="1023">
        <f t="shared" si="17"/>
        <v>0</v>
      </c>
      <c r="B74" s="1026">
        <v>1</v>
      </c>
      <c r="C74" s="1081">
        <f t="shared" ref="C74:M74" si="64">$L38+C$55*Rapous</f>
        <v>-5</v>
      </c>
      <c r="D74" s="1081">
        <f t="shared" si="64"/>
        <v>-4</v>
      </c>
      <c r="E74" s="1081">
        <f t="shared" si="64"/>
        <v>-3</v>
      </c>
      <c r="F74" s="1081">
        <f t="shared" si="64"/>
        <v>-2</v>
      </c>
      <c r="G74" s="1082">
        <f t="shared" si="64"/>
        <v>-1</v>
      </c>
      <c r="H74" s="1083">
        <f t="shared" si="64"/>
        <v>0</v>
      </c>
      <c r="I74" s="1084">
        <f t="shared" si="64"/>
        <v>1</v>
      </c>
      <c r="J74" s="1081">
        <f t="shared" si="64"/>
        <v>2</v>
      </c>
      <c r="K74" s="1081">
        <f t="shared" si="64"/>
        <v>3</v>
      </c>
      <c r="L74" s="1081">
        <f t="shared" si="64"/>
        <v>4</v>
      </c>
      <c r="M74" s="1082">
        <f t="shared" si="64"/>
        <v>5</v>
      </c>
      <c r="N74" s="688">
        <f t="shared" si="19"/>
        <v>0</v>
      </c>
      <c r="O74" s="928">
        <f t="shared" si="20"/>
        <v>0</v>
      </c>
      <c r="P74" s="678">
        <f t="shared" si="21"/>
        <v>141</v>
      </c>
      <c r="Q74" s="685">
        <f t="shared" si="22"/>
        <v>19.290046219188735</v>
      </c>
      <c r="R74" s="688">
        <f t="shared" si="23"/>
        <v>19.290046219188735</v>
      </c>
      <c r="S74" s="688">
        <f t="shared" si="24"/>
        <v>19.290046219188735</v>
      </c>
      <c r="T74" s="688">
        <f t="shared" si="25"/>
        <v>19.290046219188735</v>
      </c>
      <c r="U74" s="944">
        <f t="shared" si="26"/>
        <v>19.290046219188735</v>
      </c>
      <c r="V74" s="1086">
        <f t="shared" si="27"/>
        <v>19.290046219188735</v>
      </c>
      <c r="W74" s="685">
        <f t="shared" si="28"/>
        <v>19.290046219188735</v>
      </c>
      <c r="X74" s="688">
        <f t="shared" si="29"/>
        <v>19.290046219188735</v>
      </c>
      <c r="Y74" s="688">
        <f t="shared" si="30"/>
        <v>19.290046219188735</v>
      </c>
      <c r="Z74" s="688">
        <f t="shared" si="31"/>
        <v>19.290046219188735</v>
      </c>
      <c r="AA74" s="944">
        <f t="shared" si="32"/>
        <v>19.290046219188735</v>
      </c>
      <c r="AB74" s="1053">
        <f t="shared" si="33"/>
        <v>19.290046219188735</v>
      </c>
      <c r="AC74" s="1054">
        <f t="shared" si="40"/>
        <v>7.5010000000000003</v>
      </c>
      <c r="AD74" s="39" t="b">
        <f t="shared" si="34"/>
        <v>0</v>
      </c>
      <c r="AE74" s="1054">
        <f t="shared" si="35"/>
        <v>0</v>
      </c>
      <c r="AF74" s="1055">
        <f t="shared" si="41"/>
        <v>0</v>
      </c>
      <c r="AG74" s="929">
        <v>58.66</v>
      </c>
      <c r="AH74" s="932">
        <v>13.969999999999999</v>
      </c>
      <c r="AJ74" s="1063">
        <f t="shared" si="42"/>
        <v>1</v>
      </c>
      <c r="AK74" s="82">
        <f t="shared" si="43"/>
        <v>2</v>
      </c>
      <c r="AL74" s="1064">
        <f t="shared" si="44"/>
        <v>141</v>
      </c>
      <c r="AM74" s="1064">
        <f t="shared" si="45"/>
        <v>1</v>
      </c>
      <c r="AN74" s="1075">
        <f t="shared" si="60"/>
        <v>142</v>
      </c>
      <c r="AO74" s="1076">
        <f t="shared" si="46"/>
        <v>19.290046219188735</v>
      </c>
      <c r="AP74" s="1068"/>
      <c r="AQ74" s="1069"/>
      <c r="AR74" s="1068"/>
      <c r="AS74" s="1069"/>
      <c r="AT74" s="1068"/>
      <c r="AU74" s="1069"/>
      <c r="AV74" s="1068"/>
      <c r="AW74" s="1069"/>
      <c r="AX74" s="28">
        <f t="shared" si="37"/>
        <v>0</v>
      </c>
      <c r="AY74" s="28">
        <f t="shared" si="38"/>
        <v>0</v>
      </c>
    </row>
    <row r="75" spans="1:51" s="28" customFormat="1" ht="12.75" x14ac:dyDescent="0.2">
      <c r="A75" s="1023">
        <f t="shared" si="17"/>
        <v>0</v>
      </c>
      <c r="B75" s="1026">
        <v>1</v>
      </c>
      <c r="C75" s="688">
        <f t="shared" ref="C75:M75" si="65">$L39+C$55*Rapous</f>
        <v>-5</v>
      </c>
      <c r="D75" s="688">
        <f t="shared" si="65"/>
        <v>-4</v>
      </c>
      <c r="E75" s="688">
        <f t="shared" si="65"/>
        <v>-3</v>
      </c>
      <c r="F75" s="688">
        <f t="shared" si="65"/>
        <v>-2</v>
      </c>
      <c r="G75" s="944">
        <f t="shared" si="65"/>
        <v>-1</v>
      </c>
      <c r="H75" s="1083">
        <f t="shared" si="65"/>
        <v>0</v>
      </c>
      <c r="I75" s="1084">
        <f t="shared" si="65"/>
        <v>1</v>
      </c>
      <c r="J75" s="1087">
        <f t="shared" si="65"/>
        <v>2</v>
      </c>
      <c r="K75" s="1081">
        <f t="shared" si="65"/>
        <v>3</v>
      </c>
      <c r="L75" s="1087">
        <f t="shared" si="65"/>
        <v>4</v>
      </c>
      <c r="M75" s="1082">
        <f t="shared" si="65"/>
        <v>5</v>
      </c>
      <c r="N75" s="688">
        <f t="shared" si="19"/>
        <v>0</v>
      </c>
      <c r="O75" s="928">
        <f t="shared" si="20"/>
        <v>0</v>
      </c>
      <c r="P75" s="688">
        <f t="shared" si="21"/>
        <v>141</v>
      </c>
      <c r="Q75" s="685">
        <f t="shared" si="22"/>
        <v>19.290046219188735</v>
      </c>
      <c r="R75" s="688">
        <f t="shared" si="23"/>
        <v>19.290046219188735</v>
      </c>
      <c r="S75" s="688">
        <f t="shared" si="24"/>
        <v>19.290046219188735</v>
      </c>
      <c r="T75" s="688">
        <f t="shared" si="25"/>
        <v>19.290046219188735</v>
      </c>
      <c r="U75" s="944">
        <f t="shared" si="26"/>
        <v>19.290046219188735</v>
      </c>
      <c r="V75" s="1086">
        <f t="shared" si="27"/>
        <v>19.290046219188735</v>
      </c>
      <c r="W75" s="685">
        <f t="shared" si="28"/>
        <v>19.290046219188735</v>
      </c>
      <c r="X75" s="688">
        <f t="shared" si="29"/>
        <v>19.290046219188735</v>
      </c>
      <c r="Y75" s="688">
        <f t="shared" si="30"/>
        <v>19.290046219188735</v>
      </c>
      <c r="Z75" s="688">
        <f t="shared" si="31"/>
        <v>19.290046219188735</v>
      </c>
      <c r="AA75" s="944">
        <f t="shared" si="32"/>
        <v>19.290046219188735</v>
      </c>
      <c r="AB75" s="1053">
        <f t="shared" si="33"/>
        <v>19.290046219188735</v>
      </c>
      <c r="AC75" s="1054">
        <f t="shared" si="40"/>
        <v>7.5010000000000003</v>
      </c>
      <c r="AD75" s="39" t="b">
        <f t="shared" si="34"/>
        <v>0</v>
      </c>
      <c r="AE75" s="1054">
        <f t="shared" si="35"/>
        <v>0</v>
      </c>
      <c r="AF75" s="1055">
        <f t="shared" si="41"/>
        <v>0</v>
      </c>
      <c r="AG75" s="929">
        <v>61.27</v>
      </c>
      <c r="AH75" s="932">
        <v>15.02000000000001</v>
      </c>
      <c r="AJ75" s="1063">
        <f t="shared" si="42"/>
        <v>1</v>
      </c>
      <c r="AK75" s="82">
        <f t="shared" si="43"/>
        <v>2</v>
      </c>
      <c r="AL75" s="1064">
        <f t="shared" si="44"/>
        <v>141</v>
      </c>
      <c r="AM75" s="1064">
        <f t="shared" si="45"/>
        <v>1</v>
      </c>
      <c r="AN75" s="1075">
        <f t="shared" si="60"/>
        <v>142</v>
      </c>
      <c r="AO75" s="1076">
        <f t="shared" si="46"/>
        <v>19.290046219188735</v>
      </c>
      <c r="AP75" s="1068"/>
      <c r="AQ75" s="1069"/>
      <c r="AR75" s="1068"/>
      <c r="AS75" s="1069"/>
      <c r="AT75" s="1068"/>
      <c r="AU75" s="1069"/>
      <c r="AV75" s="1068"/>
      <c r="AW75" s="1069"/>
      <c r="AX75" s="28">
        <f t="shared" si="37"/>
        <v>0</v>
      </c>
      <c r="AY75" s="28">
        <f t="shared" si="38"/>
        <v>0</v>
      </c>
    </row>
    <row r="76" spans="1:51" s="28" customFormat="1" ht="12.75" x14ac:dyDescent="0.2">
      <c r="A76" s="1023">
        <f t="shared" si="17"/>
        <v>0</v>
      </c>
      <c r="B76" s="1026">
        <v>1</v>
      </c>
      <c r="C76" s="688">
        <f t="shared" ref="C76:M76" si="66">$L40+C$55*Rapous</f>
        <v>-5</v>
      </c>
      <c r="D76" s="688">
        <f t="shared" si="66"/>
        <v>-4</v>
      </c>
      <c r="E76" s="688">
        <f t="shared" si="66"/>
        <v>-3</v>
      </c>
      <c r="F76" s="688">
        <f t="shared" si="66"/>
        <v>-2</v>
      </c>
      <c r="G76" s="944">
        <f t="shared" si="66"/>
        <v>-1</v>
      </c>
      <c r="H76" s="1083">
        <f t="shared" si="66"/>
        <v>0</v>
      </c>
      <c r="I76" s="1084">
        <f t="shared" si="66"/>
        <v>1</v>
      </c>
      <c r="J76" s="1087">
        <f t="shared" si="66"/>
        <v>2</v>
      </c>
      <c r="K76" s="1081">
        <f t="shared" si="66"/>
        <v>3</v>
      </c>
      <c r="L76" s="1087">
        <f t="shared" si="66"/>
        <v>4</v>
      </c>
      <c r="M76" s="1082">
        <f t="shared" si="66"/>
        <v>5</v>
      </c>
      <c r="N76" s="688">
        <f t="shared" si="19"/>
        <v>0</v>
      </c>
      <c r="O76" s="928">
        <f t="shared" si="20"/>
        <v>0</v>
      </c>
      <c r="P76" s="688">
        <f t="shared" si="21"/>
        <v>141</v>
      </c>
      <c r="Q76" s="685">
        <f t="shared" si="22"/>
        <v>19.290046219188735</v>
      </c>
      <c r="R76" s="688">
        <f t="shared" si="23"/>
        <v>19.290046219188735</v>
      </c>
      <c r="S76" s="688">
        <f t="shared" si="24"/>
        <v>19.290046219188735</v>
      </c>
      <c r="T76" s="688">
        <f t="shared" si="25"/>
        <v>19.290046219188735</v>
      </c>
      <c r="U76" s="944">
        <f t="shared" si="26"/>
        <v>19.290046219188735</v>
      </c>
      <c r="V76" s="1086">
        <f t="shared" si="27"/>
        <v>19.290046219188735</v>
      </c>
      <c r="W76" s="685">
        <f t="shared" si="28"/>
        <v>19.290046219188735</v>
      </c>
      <c r="X76" s="688">
        <f t="shared" si="29"/>
        <v>19.290046219188735</v>
      </c>
      <c r="Y76" s="688">
        <f t="shared" si="30"/>
        <v>19.290046219188735</v>
      </c>
      <c r="Z76" s="688">
        <f t="shared" si="31"/>
        <v>19.290046219188735</v>
      </c>
      <c r="AA76" s="944">
        <f t="shared" si="32"/>
        <v>19.290046219188735</v>
      </c>
      <c r="AB76" s="1053">
        <f t="shared" si="33"/>
        <v>19.290046219188735</v>
      </c>
      <c r="AC76" s="1054">
        <f t="shared" si="40"/>
        <v>7.5010000000000003</v>
      </c>
      <c r="AD76" s="39" t="b">
        <f t="shared" si="34"/>
        <v>0</v>
      </c>
      <c r="AE76" s="1054">
        <f t="shared" si="35"/>
        <v>0</v>
      </c>
      <c r="AF76" s="1055">
        <f t="shared" si="41"/>
        <v>0</v>
      </c>
      <c r="AG76" s="929">
        <v>62.95</v>
      </c>
      <c r="AH76" s="932">
        <v>15.569999999999993</v>
      </c>
      <c r="AJ76" s="1063">
        <f t="shared" si="42"/>
        <v>1</v>
      </c>
      <c r="AK76" s="82">
        <f t="shared" si="43"/>
        <v>2</v>
      </c>
      <c r="AL76" s="1064">
        <f t="shared" si="44"/>
        <v>141</v>
      </c>
      <c r="AM76" s="1064">
        <f t="shared" si="45"/>
        <v>1</v>
      </c>
      <c r="AN76" s="1075">
        <f t="shared" si="60"/>
        <v>142</v>
      </c>
      <c r="AO76" s="1076">
        <f t="shared" si="46"/>
        <v>19.290046219188735</v>
      </c>
      <c r="AP76" s="1068"/>
      <c r="AQ76" s="1069"/>
      <c r="AR76" s="1068"/>
      <c r="AS76" s="1069"/>
      <c r="AT76" s="1068"/>
      <c r="AU76" s="1069"/>
      <c r="AV76" s="1068"/>
      <c r="AW76" s="1069"/>
      <c r="AX76" s="28">
        <f t="shared" si="37"/>
        <v>0</v>
      </c>
      <c r="AY76" s="28">
        <f t="shared" si="38"/>
        <v>0</v>
      </c>
    </row>
    <row r="77" spans="1:51" s="28" customFormat="1" ht="12.75" x14ac:dyDescent="0.2">
      <c r="A77" s="1023">
        <f t="shared" si="17"/>
        <v>0</v>
      </c>
      <c r="B77" s="1026">
        <v>1</v>
      </c>
      <c r="C77" s="688">
        <f t="shared" ref="C77:M77" si="67">$L41+C$55*Rapous</f>
        <v>-5</v>
      </c>
      <c r="D77" s="688">
        <f t="shared" si="67"/>
        <v>-4</v>
      </c>
      <c r="E77" s="688">
        <f t="shared" si="67"/>
        <v>-3</v>
      </c>
      <c r="F77" s="688">
        <f t="shared" si="67"/>
        <v>-2</v>
      </c>
      <c r="G77" s="944">
        <f t="shared" si="67"/>
        <v>-1</v>
      </c>
      <c r="H77" s="1083">
        <f t="shared" si="67"/>
        <v>0</v>
      </c>
      <c r="I77" s="1084">
        <f t="shared" si="67"/>
        <v>1</v>
      </c>
      <c r="J77" s="1087">
        <f t="shared" si="67"/>
        <v>2</v>
      </c>
      <c r="K77" s="1081">
        <f t="shared" si="67"/>
        <v>3</v>
      </c>
      <c r="L77" s="1087">
        <f t="shared" si="67"/>
        <v>4</v>
      </c>
      <c r="M77" s="1082">
        <f t="shared" si="67"/>
        <v>5</v>
      </c>
      <c r="N77" s="688">
        <f t="shared" si="19"/>
        <v>0</v>
      </c>
      <c r="O77" s="928">
        <f t="shared" si="20"/>
        <v>0</v>
      </c>
      <c r="P77" s="688">
        <f t="shared" si="21"/>
        <v>141</v>
      </c>
      <c r="Q77" s="685">
        <f t="shared" si="22"/>
        <v>19.290046219188735</v>
      </c>
      <c r="R77" s="688">
        <f t="shared" si="23"/>
        <v>19.290046219188735</v>
      </c>
      <c r="S77" s="688">
        <f t="shared" si="24"/>
        <v>19.290046219188735</v>
      </c>
      <c r="T77" s="688">
        <f t="shared" si="25"/>
        <v>19.290046219188735</v>
      </c>
      <c r="U77" s="944">
        <f t="shared" si="26"/>
        <v>19.290046219188735</v>
      </c>
      <c r="V77" s="1086">
        <f t="shared" si="27"/>
        <v>19.290046219188735</v>
      </c>
      <c r="W77" s="685">
        <f t="shared" si="28"/>
        <v>19.290046219188735</v>
      </c>
      <c r="X77" s="688">
        <f t="shared" si="29"/>
        <v>19.290046219188735</v>
      </c>
      <c r="Y77" s="688">
        <f t="shared" si="30"/>
        <v>19.290046219188735</v>
      </c>
      <c r="Z77" s="688">
        <f t="shared" si="31"/>
        <v>19.290046219188735</v>
      </c>
      <c r="AA77" s="944">
        <f t="shared" si="32"/>
        <v>19.290046219188735</v>
      </c>
      <c r="AB77" s="1053">
        <f t="shared" si="33"/>
        <v>19.290046219188735</v>
      </c>
      <c r="AC77" s="1054">
        <f t="shared" si="40"/>
        <v>7.5010000000000003</v>
      </c>
      <c r="AD77" s="39" t="b">
        <f t="shared" si="34"/>
        <v>0</v>
      </c>
      <c r="AE77" s="1054">
        <f t="shared" si="35"/>
        <v>0</v>
      </c>
      <c r="AF77" s="1055">
        <f t="shared" si="41"/>
        <v>0</v>
      </c>
      <c r="AG77" s="929">
        <v>65.069999999999993</v>
      </c>
      <c r="AH77" s="932">
        <v>16.789999999999992</v>
      </c>
      <c r="AJ77" s="1063">
        <f t="shared" si="42"/>
        <v>1</v>
      </c>
      <c r="AK77" s="82">
        <f t="shared" si="43"/>
        <v>2</v>
      </c>
      <c r="AL77" s="1064">
        <f t="shared" si="44"/>
        <v>141</v>
      </c>
      <c r="AM77" s="1064">
        <f t="shared" si="45"/>
        <v>1</v>
      </c>
      <c r="AN77" s="1075">
        <f t="shared" si="60"/>
        <v>142</v>
      </c>
      <c r="AO77" s="1076">
        <f t="shared" si="46"/>
        <v>19.290046219188735</v>
      </c>
      <c r="AP77" s="1068"/>
      <c r="AQ77" s="1069"/>
      <c r="AR77" s="1068"/>
      <c r="AS77" s="1069"/>
      <c r="AT77" s="1068"/>
      <c r="AU77" s="1069"/>
      <c r="AV77" s="1068"/>
      <c r="AW77" s="1069"/>
      <c r="AX77" s="28">
        <f t="shared" si="37"/>
        <v>0</v>
      </c>
      <c r="AY77" s="28">
        <f t="shared" si="38"/>
        <v>0</v>
      </c>
    </row>
    <row r="78" spans="1:51" s="28" customFormat="1" ht="12.75" x14ac:dyDescent="0.2">
      <c r="A78" s="1023">
        <f t="shared" si="17"/>
        <v>0</v>
      </c>
      <c r="B78" s="1026">
        <v>1</v>
      </c>
      <c r="C78" s="688">
        <f t="shared" ref="C78:M78" si="68">$L42+C$55*Rapous</f>
        <v>-5</v>
      </c>
      <c r="D78" s="688">
        <f t="shared" si="68"/>
        <v>-4</v>
      </c>
      <c r="E78" s="688">
        <f t="shared" si="68"/>
        <v>-3</v>
      </c>
      <c r="F78" s="688">
        <f t="shared" si="68"/>
        <v>-2</v>
      </c>
      <c r="G78" s="944">
        <f t="shared" si="68"/>
        <v>-1</v>
      </c>
      <c r="H78" s="1083">
        <f t="shared" si="68"/>
        <v>0</v>
      </c>
      <c r="I78" s="1084">
        <f t="shared" si="68"/>
        <v>1</v>
      </c>
      <c r="J78" s="1087">
        <f t="shared" si="68"/>
        <v>2</v>
      </c>
      <c r="K78" s="1081">
        <f t="shared" si="68"/>
        <v>3</v>
      </c>
      <c r="L78" s="1087">
        <f t="shared" si="68"/>
        <v>4</v>
      </c>
      <c r="M78" s="1082">
        <f t="shared" si="68"/>
        <v>5</v>
      </c>
      <c r="N78" s="688">
        <f t="shared" si="19"/>
        <v>0</v>
      </c>
      <c r="O78" s="928">
        <f t="shared" si="20"/>
        <v>0</v>
      </c>
      <c r="P78" s="688">
        <f t="shared" si="21"/>
        <v>141</v>
      </c>
      <c r="Q78" s="685">
        <f t="shared" si="22"/>
        <v>19.290046219188735</v>
      </c>
      <c r="R78" s="688">
        <f t="shared" si="23"/>
        <v>19.290046219188735</v>
      </c>
      <c r="S78" s="688">
        <f t="shared" si="24"/>
        <v>19.290046219188735</v>
      </c>
      <c r="T78" s="688">
        <f t="shared" si="25"/>
        <v>19.290046219188735</v>
      </c>
      <c r="U78" s="944">
        <f t="shared" si="26"/>
        <v>19.290046219188735</v>
      </c>
      <c r="V78" s="1086">
        <f t="shared" si="27"/>
        <v>19.290046219188735</v>
      </c>
      <c r="W78" s="685">
        <f t="shared" si="28"/>
        <v>19.290046219188735</v>
      </c>
      <c r="X78" s="688">
        <f t="shared" si="29"/>
        <v>19.290046219188735</v>
      </c>
      <c r="Y78" s="688">
        <f t="shared" si="30"/>
        <v>19.290046219188735</v>
      </c>
      <c r="Z78" s="688">
        <f t="shared" si="31"/>
        <v>19.290046219188735</v>
      </c>
      <c r="AA78" s="944">
        <f t="shared" si="32"/>
        <v>19.290046219188735</v>
      </c>
      <c r="AB78" s="1053">
        <f t="shared" si="33"/>
        <v>19.290046219188735</v>
      </c>
      <c r="AC78" s="1054">
        <f t="shared" si="40"/>
        <v>7.5010000000000003</v>
      </c>
      <c r="AD78" s="39" t="b">
        <f t="shared" si="34"/>
        <v>0</v>
      </c>
      <c r="AE78" s="1054">
        <f t="shared" si="35"/>
        <v>0</v>
      </c>
      <c r="AF78" s="1055">
        <f t="shared" si="41"/>
        <v>0</v>
      </c>
      <c r="AG78" s="929">
        <v>66.36</v>
      </c>
      <c r="AH78" s="932">
        <v>17.259999999999991</v>
      </c>
      <c r="AJ78" s="1063">
        <f t="shared" si="42"/>
        <v>1</v>
      </c>
      <c r="AK78" s="82">
        <f t="shared" si="43"/>
        <v>2</v>
      </c>
      <c r="AL78" s="1064">
        <f t="shared" si="44"/>
        <v>141</v>
      </c>
      <c r="AM78" s="1064">
        <f t="shared" si="45"/>
        <v>1</v>
      </c>
      <c r="AN78" s="1075">
        <f t="shared" si="60"/>
        <v>142</v>
      </c>
      <c r="AO78" s="1076">
        <f t="shared" si="46"/>
        <v>19.290046219188735</v>
      </c>
      <c r="AP78" s="1068"/>
      <c r="AQ78" s="1069"/>
      <c r="AR78" s="1068"/>
      <c r="AS78" s="1069"/>
      <c r="AT78" s="1068"/>
      <c r="AU78" s="1069"/>
      <c r="AV78" s="1068"/>
      <c r="AW78" s="1069"/>
      <c r="AX78" s="28">
        <f t="shared" si="37"/>
        <v>0</v>
      </c>
      <c r="AY78" s="28">
        <f t="shared" si="38"/>
        <v>0</v>
      </c>
    </row>
    <row r="79" spans="1:51" s="28" customFormat="1" ht="13.5" thickBot="1" x14ac:dyDescent="0.25">
      <c r="A79" s="1024">
        <f t="shared" si="17"/>
        <v>0</v>
      </c>
      <c r="B79" s="1027">
        <v>1</v>
      </c>
      <c r="C79" s="697">
        <f t="shared" ref="C79:M79" si="69">$L43+C$55*Rapous</f>
        <v>-5</v>
      </c>
      <c r="D79" s="697">
        <f t="shared" si="69"/>
        <v>-4</v>
      </c>
      <c r="E79" s="697">
        <f t="shared" si="69"/>
        <v>-3</v>
      </c>
      <c r="F79" s="697">
        <f t="shared" si="69"/>
        <v>-2</v>
      </c>
      <c r="G79" s="950">
        <f t="shared" si="69"/>
        <v>-1</v>
      </c>
      <c r="H79" s="1088">
        <f t="shared" si="69"/>
        <v>0</v>
      </c>
      <c r="I79" s="1089">
        <f t="shared" si="69"/>
        <v>1</v>
      </c>
      <c r="J79" s="1090">
        <f t="shared" si="69"/>
        <v>2</v>
      </c>
      <c r="K79" s="1091">
        <f t="shared" si="69"/>
        <v>3</v>
      </c>
      <c r="L79" s="1090">
        <f t="shared" si="69"/>
        <v>4</v>
      </c>
      <c r="M79" s="1092">
        <f t="shared" si="69"/>
        <v>5</v>
      </c>
      <c r="N79" s="697">
        <f t="shared" si="19"/>
        <v>0</v>
      </c>
      <c r="O79" s="933">
        <f t="shared" si="20"/>
        <v>0</v>
      </c>
      <c r="P79" s="697">
        <f t="shared" si="21"/>
        <v>141</v>
      </c>
      <c r="Q79" s="949">
        <f t="shared" si="22"/>
        <v>19.290046219188735</v>
      </c>
      <c r="R79" s="697">
        <f t="shared" si="23"/>
        <v>19.290046219188735</v>
      </c>
      <c r="S79" s="697">
        <f t="shared" si="24"/>
        <v>19.290046219188735</v>
      </c>
      <c r="T79" s="697">
        <f t="shared" si="25"/>
        <v>19.290046219188735</v>
      </c>
      <c r="U79" s="950">
        <f t="shared" si="26"/>
        <v>19.290046219188735</v>
      </c>
      <c r="V79" s="1093">
        <f t="shared" si="27"/>
        <v>19.290046219188735</v>
      </c>
      <c r="W79" s="949">
        <f t="shared" si="28"/>
        <v>19.290046219188735</v>
      </c>
      <c r="X79" s="697">
        <f t="shared" si="29"/>
        <v>19.290046219188735</v>
      </c>
      <c r="Y79" s="697">
        <f t="shared" si="30"/>
        <v>19.290046219188735</v>
      </c>
      <c r="Z79" s="697">
        <f t="shared" si="31"/>
        <v>19.290046219188735</v>
      </c>
      <c r="AA79" s="950">
        <f t="shared" si="32"/>
        <v>19.290046219188735</v>
      </c>
      <c r="AB79" s="1056">
        <f>(AA79+Z80)/2</f>
        <v>9.6450231095943675</v>
      </c>
      <c r="AC79" s="1057">
        <f t="shared" si="40"/>
        <v>7.5010000000000003</v>
      </c>
      <c r="AD79" s="1058" t="b">
        <f t="shared" si="34"/>
        <v>1</v>
      </c>
      <c r="AE79" s="1057">
        <f t="shared" si="35"/>
        <v>-141</v>
      </c>
      <c r="AF79" s="1059">
        <f t="shared" si="41"/>
        <v>0</v>
      </c>
      <c r="AG79" s="929">
        <v>67.87</v>
      </c>
      <c r="AH79" s="932">
        <v>18.400000000000006</v>
      </c>
      <c r="AJ79" s="1065">
        <f t="shared" si="42"/>
        <v>1</v>
      </c>
      <c r="AK79" s="1066">
        <f t="shared" si="43"/>
        <v>2</v>
      </c>
      <c r="AL79" s="1067">
        <f t="shared" si="44"/>
        <v>141</v>
      </c>
      <c r="AM79" s="1067">
        <f t="shared" si="45"/>
        <v>1</v>
      </c>
      <c r="AN79" s="1077">
        <f t="shared" si="60"/>
        <v>142</v>
      </c>
      <c r="AO79" s="1078">
        <f t="shared" si="46"/>
        <v>19.290046219188735</v>
      </c>
      <c r="AP79" s="1079"/>
      <c r="AQ79" s="1080"/>
      <c r="AR79" s="1079"/>
      <c r="AS79" s="1080"/>
      <c r="AT79" s="1079"/>
      <c r="AU79" s="1080"/>
      <c r="AV79" s="1079"/>
      <c r="AW79" s="1080"/>
      <c r="AX79" s="28">
        <f t="shared" si="37"/>
        <v>0</v>
      </c>
      <c r="AY79" s="28">
        <f t="shared" si="38"/>
        <v>0</v>
      </c>
    </row>
    <row r="80" spans="1:51" s="19" customFormat="1" ht="12.75" x14ac:dyDescent="0.2">
      <c r="G80" s="31"/>
      <c r="H80" s="31"/>
      <c r="U80" s="29"/>
      <c r="W80" s="29"/>
      <c r="X80" s="694"/>
      <c r="Y80" s="29"/>
      <c r="AB80" s="1028"/>
      <c r="AC80" s="29"/>
      <c r="AG80" s="929">
        <v>68.69</v>
      </c>
      <c r="AH80" s="932">
        <v>18.659999999999997</v>
      </c>
      <c r="AJ80" s="931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</row>
    <row r="81" spans="1:49" s="19" customFormat="1" ht="15.75" x14ac:dyDescent="0.25">
      <c r="A81" s="652" t="s">
        <v>196</v>
      </c>
      <c r="F81" s="30"/>
      <c r="G81" s="29"/>
      <c r="H81" s="31"/>
      <c r="K81" s="30"/>
      <c r="Q81" s="29"/>
      <c r="R81" s="668"/>
      <c r="S81" s="29"/>
      <c r="U81" s="29"/>
      <c r="W81" s="29"/>
      <c r="X81" s="694"/>
      <c r="Y81" s="29"/>
      <c r="AB81" s="1028"/>
      <c r="AC81" s="29"/>
      <c r="AG81" s="929">
        <v>69.48</v>
      </c>
      <c r="AH81" s="932">
        <v>19.439999999999998</v>
      </c>
      <c r="AJ81" s="931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</row>
    <row r="82" spans="1:49" s="19" customFormat="1" ht="12.75" x14ac:dyDescent="0.2">
      <c r="A82" s="681" t="str">
        <f t="array" ref="A82:Z94">TRANSPOSE(O54:AA79)</f>
        <v>Noueilles salle des fêtes</v>
      </c>
      <c r="B82" s="934" t="str">
        <v>zone 1</v>
      </c>
      <c r="C82" s="935" t="str">
        <v>Arrière PV</v>
      </c>
      <c r="D82" s="935" t="str">
        <v>Arbre 0</v>
      </c>
      <c r="E82" s="935" t="str">
        <v>Arbres 1</v>
      </c>
      <c r="F82" s="935" t="str">
        <v>Arbre 2</v>
      </c>
      <c r="G82" s="935" t="str">
        <v>Creux 3</v>
      </c>
      <c r="H82" s="935" t="str">
        <v>Creux 4</v>
      </c>
      <c r="I82" s="935" t="str">
        <v>Arbre 4</v>
      </c>
      <c r="J82" s="935" t="str">
        <v>Creux 4-5</v>
      </c>
      <c r="K82" s="935" t="str">
        <v>Arbre 5</v>
      </c>
      <c r="L82" s="935" t="str">
        <v>Creux 5-6</v>
      </c>
      <c r="M82" s="935" t="str">
        <v>Arbre 6</v>
      </c>
      <c r="N82" s="935" t="str">
        <v>Arbres 9</v>
      </c>
      <c r="O82" s="935" t="str">
        <v>Arbre 7</v>
      </c>
      <c r="P82" s="935" t="str">
        <v>Arbre 8</v>
      </c>
      <c r="Q82" s="935" t="str">
        <v>Arrière PV</v>
      </c>
      <c r="R82" s="935">
        <v>0</v>
      </c>
      <c r="S82" s="935">
        <v>0</v>
      </c>
      <c r="T82" s="935">
        <v>0</v>
      </c>
      <c r="U82" s="935">
        <v>0</v>
      </c>
      <c r="V82" s="935">
        <v>0</v>
      </c>
      <c r="W82" s="935">
        <v>0</v>
      </c>
      <c r="X82" s="935">
        <v>0</v>
      </c>
      <c r="Y82" s="935">
        <v>0</v>
      </c>
      <c r="Z82" s="935">
        <v>0</v>
      </c>
      <c r="AB82" s="1029"/>
      <c r="AG82" s="951">
        <v>69.760000000000005</v>
      </c>
      <c r="AH82" s="952">
        <v>19.519999999999982</v>
      </c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</row>
    <row r="83" spans="1:49" s="19" customFormat="1" ht="12.75" x14ac:dyDescent="0.2">
      <c r="A83" s="936">
        <v>-39</v>
      </c>
      <c r="B83" s="937" t="str">
        <v>Azi.S / PV</v>
      </c>
      <c r="C83" s="938">
        <v>-219</v>
      </c>
      <c r="D83" s="695">
        <v>-120.52373658347678</v>
      </c>
      <c r="E83" s="695">
        <v>-96.886872495999768</v>
      </c>
      <c r="F83" s="695">
        <v>-75.225723401459945</v>
      </c>
      <c r="G83" s="695">
        <v>-67.72472340145994</v>
      </c>
      <c r="H83" s="695">
        <v>-40.380909908032649</v>
      </c>
      <c r="I83" s="695">
        <v>1.107928069302847</v>
      </c>
      <c r="J83" s="695">
        <v>10.088205078647489</v>
      </c>
      <c r="K83" s="695">
        <v>18.098193563506722</v>
      </c>
      <c r="L83" s="695">
        <v>25.698193563506745</v>
      </c>
      <c r="M83" s="695">
        <v>40.714618506230238</v>
      </c>
      <c r="N83" s="695">
        <v>59.907799486677639</v>
      </c>
      <c r="O83" s="695">
        <v>71.383010597950943</v>
      </c>
      <c r="P83" s="695">
        <v>84.605357645657776</v>
      </c>
      <c r="Q83" s="695">
        <v>141</v>
      </c>
      <c r="R83" s="695">
        <v>141</v>
      </c>
      <c r="S83" s="695">
        <v>141</v>
      </c>
      <c r="T83" s="695">
        <v>141</v>
      </c>
      <c r="U83" s="695">
        <v>141</v>
      </c>
      <c r="V83" s="695">
        <v>141</v>
      </c>
      <c r="W83" s="695">
        <v>141</v>
      </c>
      <c r="X83" s="695">
        <v>141</v>
      </c>
      <c r="Y83" s="695">
        <v>141</v>
      </c>
      <c r="Z83" s="939">
        <v>141</v>
      </c>
      <c r="AD83" s="28"/>
      <c r="AE83" s="34"/>
      <c r="AF83" s="28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</row>
    <row r="84" spans="1:49" s="19" customFormat="1" ht="12.75" x14ac:dyDescent="0.2">
      <c r="A84" s="940" t="str">
        <v>Elevation vue du champ PV zone: 1</v>
      </c>
      <c r="B84" s="941">
        <v>-5</v>
      </c>
      <c r="C84" s="813">
        <v>19.290046219188735</v>
      </c>
      <c r="D84" s="696">
        <v>2.0163418651043794</v>
      </c>
      <c r="E84" s="696">
        <v>1</v>
      </c>
      <c r="F84" s="696">
        <v>1</v>
      </c>
      <c r="G84" s="696">
        <v>1</v>
      </c>
      <c r="H84" s="696">
        <v>1</v>
      </c>
      <c r="I84" s="696">
        <v>1</v>
      </c>
      <c r="J84" s="696">
        <v>1</v>
      </c>
      <c r="K84" s="696">
        <v>1</v>
      </c>
      <c r="L84" s="696">
        <v>1</v>
      </c>
      <c r="M84" s="696">
        <v>4.7222696126445651</v>
      </c>
      <c r="N84" s="696">
        <v>6.4408434276298934</v>
      </c>
      <c r="O84" s="696">
        <v>7.1915153452013758</v>
      </c>
      <c r="P84" s="696">
        <v>6.9756268006757765</v>
      </c>
      <c r="Q84" s="696">
        <v>19.290046219188735</v>
      </c>
      <c r="R84" s="696">
        <v>19.290046219188735</v>
      </c>
      <c r="S84" s="696">
        <v>19.290046219188735</v>
      </c>
      <c r="T84" s="696">
        <v>19.290046219188735</v>
      </c>
      <c r="U84" s="696">
        <v>19.290046219188735</v>
      </c>
      <c r="V84" s="696">
        <v>19.290046219188735</v>
      </c>
      <c r="W84" s="696">
        <v>19.290046219188735</v>
      </c>
      <c r="X84" s="696">
        <v>19.290046219188735</v>
      </c>
      <c r="Y84" s="696">
        <v>19.290046219188735</v>
      </c>
      <c r="Z84" s="942">
        <v>19.290046219188735</v>
      </c>
      <c r="AD84" s="28"/>
      <c r="AE84" s="34"/>
      <c r="AF84" s="28"/>
      <c r="AG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</row>
    <row r="85" spans="1:49" s="19" customFormat="1" ht="12.75" x14ac:dyDescent="0.2">
      <c r="A85" s="943">
        <v>0</v>
      </c>
      <c r="B85" s="941">
        <v>-4</v>
      </c>
      <c r="C85" s="685">
        <v>19.290046219188735</v>
      </c>
      <c r="D85" s="688">
        <v>3.1401614057961185</v>
      </c>
      <c r="E85" s="688">
        <v>1</v>
      </c>
      <c r="F85" s="688">
        <v>1</v>
      </c>
      <c r="G85" s="688">
        <v>1</v>
      </c>
      <c r="H85" s="688">
        <v>1</v>
      </c>
      <c r="I85" s="688">
        <v>1</v>
      </c>
      <c r="J85" s="688">
        <v>1</v>
      </c>
      <c r="K85" s="688">
        <v>2.7788254810120239</v>
      </c>
      <c r="L85" s="688">
        <v>1</v>
      </c>
      <c r="M85" s="688">
        <v>7.4226720687329717</v>
      </c>
      <c r="N85" s="688">
        <v>7.5125543487306032</v>
      </c>
      <c r="O85" s="688">
        <v>9.6944332012725969</v>
      </c>
      <c r="P85" s="688">
        <v>8.1706398453557352</v>
      </c>
      <c r="Q85" s="688">
        <v>19.290046219188735</v>
      </c>
      <c r="R85" s="688">
        <v>19.290046219188735</v>
      </c>
      <c r="S85" s="688">
        <v>19.290046219188735</v>
      </c>
      <c r="T85" s="688">
        <v>19.290046219188735</v>
      </c>
      <c r="U85" s="688">
        <v>19.290046219188735</v>
      </c>
      <c r="V85" s="688">
        <v>19.290046219188735</v>
      </c>
      <c r="W85" s="688">
        <v>19.290046219188735</v>
      </c>
      <c r="X85" s="688">
        <v>19.290046219188735</v>
      </c>
      <c r="Y85" s="688">
        <v>19.290046219188735</v>
      </c>
      <c r="Z85" s="944">
        <v>19.290046219188735</v>
      </c>
      <c r="AD85" s="28"/>
      <c r="AE85" s="34"/>
      <c r="AF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</row>
    <row r="86" spans="1:49" s="19" customFormat="1" ht="12.75" x14ac:dyDescent="0.2">
      <c r="A86" s="943">
        <v>0</v>
      </c>
      <c r="B86" s="941">
        <v>-3</v>
      </c>
      <c r="C86" s="685">
        <v>19.290046219188735</v>
      </c>
      <c r="D86" s="688">
        <v>4.2615678433279651</v>
      </c>
      <c r="E86" s="688">
        <v>1</v>
      </c>
      <c r="F86" s="688">
        <v>1</v>
      </c>
      <c r="G86" s="688">
        <v>1</v>
      </c>
      <c r="H86" s="688">
        <v>1</v>
      </c>
      <c r="I86" s="688">
        <v>1</v>
      </c>
      <c r="J86" s="688">
        <v>1</v>
      </c>
      <c r="K86" s="688">
        <v>5.3155285419022453</v>
      </c>
      <c r="L86" s="688">
        <v>2.8559837084254651</v>
      </c>
      <c r="M86" s="688">
        <v>10.090338457785782</v>
      </c>
      <c r="N86" s="688">
        <v>8.5790046238899897</v>
      </c>
      <c r="O86" s="688">
        <v>12.160566093635859</v>
      </c>
      <c r="P86" s="688">
        <v>9.3585393050361745</v>
      </c>
      <c r="Q86" s="688">
        <v>19.290046219188735</v>
      </c>
      <c r="R86" s="688">
        <v>19.290046219188735</v>
      </c>
      <c r="S86" s="688">
        <v>19.290046219188735</v>
      </c>
      <c r="T86" s="688">
        <v>19.290046219188735</v>
      </c>
      <c r="U86" s="688">
        <v>19.290046219188735</v>
      </c>
      <c r="V86" s="688">
        <v>19.290046219188735</v>
      </c>
      <c r="W86" s="688">
        <v>19.290046219188735</v>
      </c>
      <c r="X86" s="688">
        <v>19.290046219188735</v>
      </c>
      <c r="Y86" s="688">
        <v>19.290046219188735</v>
      </c>
      <c r="Z86" s="944">
        <v>19.290046219188735</v>
      </c>
      <c r="AD86" s="28"/>
      <c r="AF86" s="28"/>
      <c r="AG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</row>
    <row r="87" spans="1:49" s="19" customFormat="1" ht="12.75" x14ac:dyDescent="0.2">
      <c r="A87" s="943">
        <v>0</v>
      </c>
      <c r="B87" s="941">
        <v>-2</v>
      </c>
      <c r="C87" s="685">
        <v>19.290046219188735</v>
      </c>
      <c r="D87" s="688">
        <v>5.3797131964048495</v>
      </c>
      <c r="E87" s="688">
        <v>1</v>
      </c>
      <c r="F87" s="688">
        <v>3.9450850688042136</v>
      </c>
      <c r="G87" s="688">
        <v>1</v>
      </c>
      <c r="H87" s="688">
        <v>1</v>
      </c>
      <c r="I87" s="688">
        <v>1.8318090136898599</v>
      </c>
      <c r="J87" s="688">
        <v>1</v>
      </c>
      <c r="K87" s="688">
        <v>7.8315170059081529</v>
      </c>
      <c r="L87" s="688">
        <v>5.5177940866872861</v>
      </c>
      <c r="M87" s="688">
        <v>12.714550347400516</v>
      </c>
      <c r="N87" s="688">
        <v>9.6394998717444356</v>
      </c>
      <c r="O87" s="688">
        <v>14.581811927408539</v>
      </c>
      <c r="P87" s="688">
        <v>10.538377198297088</v>
      </c>
      <c r="Q87" s="688">
        <v>19.290046219188735</v>
      </c>
      <c r="R87" s="688">
        <v>19.290046219188735</v>
      </c>
      <c r="S87" s="688">
        <v>19.290046219188735</v>
      </c>
      <c r="T87" s="688">
        <v>19.290046219188735</v>
      </c>
      <c r="U87" s="688">
        <v>19.290046219188735</v>
      </c>
      <c r="V87" s="688">
        <v>19.290046219188735</v>
      </c>
      <c r="W87" s="688">
        <v>19.290046219188735</v>
      </c>
      <c r="X87" s="688">
        <v>19.290046219188735</v>
      </c>
      <c r="Y87" s="688">
        <v>19.290046219188735</v>
      </c>
      <c r="Z87" s="944">
        <v>19.290046219188735</v>
      </c>
      <c r="AD87" s="28"/>
      <c r="AF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</row>
    <row r="88" spans="1:49" s="19" customFormat="1" ht="12.75" x14ac:dyDescent="0.2">
      <c r="A88" s="943">
        <v>0</v>
      </c>
      <c r="B88" s="945">
        <v>-1</v>
      </c>
      <c r="C88" s="685">
        <v>19.290046219188735</v>
      </c>
      <c r="D88" s="688">
        <v>6.4937643293220422</v>
      </c>
      <c r="E88" s="688">
        <v>1</v>
      </c>
      <c r="F88" s="688">
        <v>8.3079506895246436</v>
      </c>
      <c r="G88" s="688">
        <v>1</v>
      </c>
      <c r="H88" s="688">
        <v>1</v>
      </c>
      <c r="I88" s="688">
        <v>6.3744924633336835</v>
      </c>
      <c r="J88" s="688">
        <v>1</v>
      </c>
      <c r="K88" s="688">
        <v>10.317494698680061</v>
      </c>
      <c r="L88" s="688">
        <v>8.1559418745389802</v>
      </c>
      <c r="M88" s="688">
        <v>15.285659187416011</v>
      </c>
      <c r="N88" s="688">
        <v>10.693369743802268</v>
      </c>
      <c r="O88" s="688">
        <v>16.950998003031525</v>
      </c>
      <c r="P88" s="688">
        <v>11.709245670133855</v>
      </c>
      <c r="Q88" s="688">
        <v>19.290046219188735</v>
      </c>
      <c r="R88" s="688">
        <v>19.290046219188735</v>
      </c>
      <c r="S88" s="688">
        <v>19.290046219188735</v>
      </c>
      <c r="T88" s="688">
        <v>19.290046219188735</v>
      </c>
      <c r="U88" s="688">
        <v>19.290046219188735</v>
      </c>
      <c r="V88" s="688">
        <v>19.290046219188735</v>
      </c>
      <c r="W88" s="688">
        <v>19.290046219188735</v>
      </c>
      <c r="X88" s="688">
        <v>19.290046219188735</v>
      </c>
      <c r="Y88" s="688">
        <v>19.290046219188735</v>
      </c>
      <c r="Z88" s="944">
        <v>19.290046219188735</v>
      </c>
      <c r="AF88" s="28"/>
      <c r="AG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</row>
    <row r="89" spans="1:49" s="19" customFormat="1" ht="12.75" x14ac:dyDescent="0.2">
      <c r="A89" s="943">
        <v>0</v>
      </c>
      <c r="B89" s="941">
        <v>0</v>
      </c>
      <c r="C89" s="946">
        <v>19.290046219188735</v>
      </c>
      <c r="D89" s="677">
        <v>7.602906561084902</v>
      </c>
      <c r="E89" s="677">
        <v>3.0236649639214628</v>
      </c>
      <c r="F89" s="677">
        <v>12.576078076409106</v>
      </c>
      <c r="G89" s="677">
        <v>1</v>
      </c>
      <c r="H89" s="677">
        <v>1</v>
      </c>
      <c r="I89" s="677">
        <v>10.838263125291196</v>
      </c>
      <c r="J89" s="677">
        <v>3.5017391230971406</v>
      </c>
      <c r="K89" s="677">
        <v>12.764834600370969</v>
      </c>
      <c r="L89" s="677">
        <v>10.75974880563918</v>
      </c>
      <c r="M89" s="677">
        <v>17.795252285546006</v>
      </c>
      <c r="N89" s="677">
        <v>11.739970150616056</v>
      </c>
      <c r="O89" s="677">
        <v>19.261964687956883</v>
      </c>
      <c r="P89" s="677">
        <v>12.870280536061024</v>
      </c>
      <c r="Q89" s="677">
        <v>19.290046219188735</v>
      </c>
      <c r="R89" s="677">
        <v>19.290046219188735</v>
      </c>
      <c r="S89" s="677">
        <v>19.290046219188735</v>
      </c>
      <c r="T89" s="677">
        <v>19.290046219188735</v>
      </c>
      <c r="U89" s="677">
        <v>19.290046219188735</v>
      </c>
      <c r="V89" s="677">
        <v>19.290046219188735</v>
      </c>
      <c r="W89" s="677">
        <v>19.290046219188735</v>
      </c>
      <c r="X89" s="677">
        <v>19.290046219188735</v>
      </c>
      <c r="Y89" s="677">
        <v>19.290046219188735</v>
      </c>
      <c r="Z89" s="687">
        <v>19.290046219188735</v>
      </c>
      <c r="AF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</row>
    <row r="90" spans="1:49" s="19" customFormat="1" ht="12.75" x14ac:dyDescent="0.2">
      <c r="A90" s="943">
        <v>0</v>
      </c>
      <c r="B90" s="947">
        <v>1</v>
      </c>
      <c r="C90" s="685">
        <v>19.290046219188735</v>
      </c>
      <c r="D90" s="688">
        <v>8.7063470694383316</v>
      </c>
      <c r="E90" s="688">
        <v>5.0757921947291109</v>
      </c>
      <c r="F90" s="688">
        <v>16.707146956005808</v>
      </c>
      <c r="G90" s="688">
        <v>1.1410596625789826</v>
      </c>
      <c r="H90" s="688">
        <v>1</v>
      </c>
      <c r="I90" s="688">
        <v>15.172978086768822</v>
      </c>
      <c r="J90" s="688">
        <v>6.9774891926505731</v>
      </c>
      <c r="K90" s="688">
        <v>15.165735899368972</v>
      </c>
      <c r="L90" s="688">
        <v>13.319375694733321</v>
      </c>
      <c r="M90" s="688">
        <v>20.236252743430189</v>
      </c>
      <c r="N90" s="688">
        <v>12.778685238725332</v>
      </c>
      <c r="O90" s="688">
        <v>21.509605120440156</v>
      </c>
      <c r="P90" s="688">
        <v>14.020664321801002</v>
      </c>
      <c r="Q90" s="688">
        <v>19.290046219188735</v>
      </c>
      <c r="R90" s="688">
        <v>19.290046219188735</v>
      </c>
      <c r="S90" s="688">
        <v>19.290046219188735</v>
      </c>
      <c r="T90" s="688">
        <v>19.290046219188735</v>
      </c>
      <c r="U90" s="688">
        <v>19.290046219188735</v>
      </c>
      <c r="V90" s="688">
        <v>19.290046219188735</v>
      </c>
      <c r="W90" s="688">
        <v>19.290046219188735</v>
      </c>
      <c r="X90" s="688">
        <v>19.290046219188735</v>
      </c>
      <c r="Y90" s="688">
        <v>19.290046219188735</v>
      </c>
      <c r="Z90" s="944">
        <v>19.290046219188735</v>
      </c>
      <c r="AF90" s="28"/>
      <c r="AG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</row>
    <row r="91" spans="1:49" s="19" customFormat="1" ht="12.75" x14ac:dyDescent="0.2">
      <c r="A91" s="943">
        <v>0</v>
      </c>
      <c r="B91" s="941">
        <v>2</v>
      </c>
      <c r="C91" s="685">
        <v>19.290046219188735</v>
      </c>
      <c r="D91" s="688">
        <v>9.8033180562888766</v>
      </c>
      <c r="E91" s="688">
        <v>7.1149506940177591</v>
      </c>
      <c r="F91" s="688">
        <v>20.667104919858172</v>
      </c>
      <c r="G91" s="688">
        <v>2.9791587781636331</v>
      </c>
      <c r="H91" s="688">
        <v>1</v>
      </c>
      <c r="I91" s="688">
        <v>19.337136321348897</v>
      </c>
      <c r="J91" s="688">
        <v>10.402444755292569</v>
      </c>
      <c r="K91" s="688">
        <v>17.51333927053356</v>
      </c>
      <c r="L91" s="688">
        <v>15.826014590109866</v>
      </c>
      <c r="M91" s="688">
        <v>22.602955601439856</v>
      </c>
      <c r="N91" s="688">
        <v>13.80892910776878</v>
      </c>
      <c r="O91" s="688">
        <v>23.689864581499165</v>
      </c>
      <c r="P91" s="688">
        <v>15.159628783740663</v>
      </c>
      <c r="Q91" s="688">
        <v>19.290046219188735</v>
      </c>
      <c r="R91" s="688">
        <v>19.290046219188735</v>
      </c>
      <c r="S91" s="688">
        <v>19.290046219188735</v>
      </c>
      <c r="T91" s="688">
        <v>19.290046219188735</v>
      </c>
      <c r="U91" s="688">
        <v>19.290046219188735</v>
      </c>
      <c r="V91" s="688">
        <v>19.290046219188735</v>
      </c>
      <c r="W91" s="688">
        <v>19.290046219188735</v>
      </c>
      <c r="X91" s="688">
        <v>19.290046219188735</v>
      </c>
      <c r="Y91" s="688">
        <v>19.290046219188735</v>
      </c>
      <c r="Z91" s="944">
        <v>19.290046219188735</v>
      </c>
      <c r="AF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</row>
    <row r="92" spans="1:49" s="19" customFormat="1" ht="12.75" x14ac:dyDescent="0.2">
      <c r="A92" s="943">
        <v>0</v>
      </c>
      <c r="B92" s="941">
        <v>3</v>
      </c>
      <c r="C92" s="685">
        <v>19.290046219188735</v>
      </c>
      <c r="D92" s="688">
        <v>10.893079645762318</v>
      </c>
      <c r="E92" s="688">
        <v>9.1361586637458903</v>
      </c>
      <c r="F92" s="688">
        <v>24.431099181945491</v>
      </c>
      <c r="G92" s="688">
        <v>4.8111426736510978</v>
      </c>
      <c r="H92" s="688">
        <v>1</v>
      </c>
      <c r="I92" s="688">
        <v>23.299516202046441</v>
      </c>
      <c r="J92" s="688">
        <v>13.753929477942814</v>
      </c>
      <c r="K92" s="688">
        <v>19.801798320202906</v>
      </c>
      <c r="L92" s="688">
        <v>18.272024308434911</v>
      </c>
      <c r="M92" s="688">
        <v>24.891007189401471</v>
      </c>
      <c r="N92" s="688">
        <v>14.83014726135551</v>
      </c>
      <c r="O92" s="688">
        <v>25.799705382423852</v>
      </c>
      <c r="P92" s="688">
        <v>16.286456905283636</v>
      </c>
      <c r="Q92" s="688">
        <v>19.290046219188735</v>
      </c>
      <c r="R92" s="688">
        <v>19.290046219188735</v>
      </c>
      <c r="S92" s="688">
        <v>19.290046219188735</v>
      </c>
      <c r="T92" s="688">
        <v>19.290046219188735</v>
      </c>
      <c r="U92" s="688">
        <v>19.290046219188735</v>
      </c>
      <c r="V92" s="688">
        <v>19.290046219188735</v>
      </c>
      <c r="W92" s="688">
        <v>19.290046219188735</v>
      </c>
      <c r="X92" s="688">
        <v>19.290046219188735</v>
      </c>
      <c r="Y92" s="688">
        <v>19.290046219188735</v>
      </c>
      <c r="Z92" s="944">
        <v>19.290046219188735</v>
      </c>
      <c r="AF92" s="28"/>
      <c r="AG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</row>
    <row r="93" spans="1:49" s="19" customFormat="1" ht="12.75" x14ac:dyDescent="0.2">
      <c r="A93" s="943">
        <v>0</v>
      </c>
      <c r="B93" s="941">
        <v>4</v>
      </c>
      <c r="C93" s="685">
        <v>19.290046219188735</v>
      </c>
      <c r="D93" s="688">
        <v>11.97492249131931</v>
      </c>
      <c r="E93" s="688">
        <v>11.134699475722488</v>
      </c>
      <c r="F93" s="688">
        <v>27.983359724092111</v>
      </c>
      <c r="G93" s="688">
        <v>6.6333221700275118</v>
      </c>
      <c r="H93" s="688">
        <v>1.5865857666648735</v>
      </c>
      <c r="I93" s="688">
        <v>27.039458902161694</v>
      </c>
      <c r="J93" s="688">
        <v>17.012214968537343</v>
      </c>
      <c r="K93" s="688">
        <v>22.026308568143698</v>
      </c>
      <c r="L93" s="688">
        <v>20.651007481034224</v>
      </c>
      <c r="M93" s="688">
        <v>27.097337844941421</v>
      </c>
      <c r="N93" s="688">
        <v>15.841817789361508</v>
      </c>
      <c r="O93" s="688">
        <v>27.837044397114781</v>
      </c>
      <c r="P93" s="688">
        <v>17.400484373609665</v>
      </c>
      <c r="Q93" s="688">
        <v>19.290046219188735</v>
      </c>
      <c r="R93" s="688">
        <v>19.290046219188735</v>
      </c>
      <c r="S93" s="688">
        <v>19.290046219188735</v>
      </c>
      <c r="T93" s="688">
        <v>19.290046219188735</v>
      </c>
      <c r="U93" s="688">
        <v>19.290046219188735</v>
      </c>
      <c r="V93" s="688">
        <v>19.290046219188735</v>
      </c>
      <c r="W93" s="688">
        <v>19.290046219188735</v>
      </c>
      <c r="X93" s="688">
        <v>19.290046219188735</v>
      </c>
      <c r="Y93" s="688">
        <v>19.290046219188735</v>
      </c>
      <c r="Z93" s="944">
        <v>19.290046219188735</v>
      </c>
      <c r="AF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</row>
    <row r="94" spans="1:49" s="19" customFormat="1" ht="12.75" x14ac:dyDescent="0.2">
      <c r="A94" s="948">
        <v>0.35</v>
      </c>
      <c r="B94" s="941">
        <v>5</v>
      </c>
      <c r="C94" s="949">
        <v>19.290046219188735</v>
      </c>
      <c r="D94" s="697">
        <v>13.048170073794825</v>
      </c>
      <c r="E94" s="697">
        <v>13.106181315425182</v>
      </c>
      <c r="F94" s="697">
        <v>31.316295827962485</v>
      </c>
      <c r="G94" s="697">
        <v>8.4421264858406655</v>
      </c>
      <c r="H94" s="697">
        <v>3.5890471436139291</v>
      </c>
      <c r="I94" s="697">
        <v>30.546063520524555</v>
      </c>
      <c r="J94" s="697">
        <v>20.161038697343123</v>
      </c>
      <c r="K94" s="697">
        <v>24.183098124229797</v>
      </c>
      <c r="L94" s="697">
        <v>22.957832100998512</v>
      </c>
      <c r="M94" s="697">
        <v>29.220059677662924</v>
      </c>
      <c r="N94" s="697">
        <v>16.843452283189354</v>
      </c>
      <c r="O94" s="697">
        <v>29.800670779716938</v>
      </c>
      <c r="P94" s="697">
        <v>18.501100549944301</v>
      </c>
      <c r="Q94" s="697">
        <v>19.290046219188735</v>
      </c>
      <c r="R94" s="697">
        <v>19.290046219188735</v>
      </c>
      <c r="S94" s="697">
        <v>19.290046219188735</v>
      </c>
      <c r="T94" s="697">
        <v>19.290046219188735</v>
      </c>
      <c r="U94" s="697">
        <v>19.290046219188735</v>
      </c>
      <c r="V94" s="697">
        <v>19.290046219188735</v>
      </c>
      <c r="W94" s="697">
        <v>19.290046219188735</v>
      </c>
      <c r="X94" s="697">
        <v>19.290046219188735</v>
      </c>
      <c r="Y94" s="697">
        <v>19.290046219188735</v>
      </c>
      <c r="Z94" s="950">
        <v>19.290046219188735</v>
      </c>
      <c r="AF94" s="28"/>
      <c r="AG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</row>
    <row r="96" spans="1:49" s="667" customFormat="1" x14ac:dyDescent="0.25">
      <c r="A96" s="1094" t="s">
        <v>309</v>
      </c>
      <c r="F96" s="1013"/>
      <c r="G96" s="1014"/>
      <c r="H96" s="689"/>
      <c r="I96" s="1094" t="s">
        <v>308</v>
      </c>
      <c r="N96" s="1013"/>
      <c r="Q96" s="1094" t="s">
        <v>306</v>
      </c>
      <c r="V96" s="1013"/>
      <c r="W96" s="1014"/>
      <c r="X96" s="689"/>
      <c r="Y96" s="1094" t="s">
        <v>307</v>
      </c>
      <c r="AD96" s="1013"/>
      <c r="AH96" s="1015"/>
      <c r="AM96" s="1061"/>
      <c r="AN96" s="1061"/>
      <c r="AO96" s="1061"/>
      <c r="AP96" s="1061"/>
      <c r="AQ96" s="1061"/>
      <c r="AR96" s="1061"/>
      <c r="AS96" s="1061"/>
      <c r="AT96" s="1061"/>
      <c r="AU96" s="1061"/>
      <c r="AV96" s="1061"/>
      <c r="AW96" s="1061"/>
    </row>
    <row r="97" spans="1:49" s="19" customFormat="1" ht="12.75" x14ac:dyDescent="0.2">
      <c r="A97" s="1008" t="s">
        <v>162</v>
      </c>
      <c r="B97" s="1009"/>
      <c r="C97" s="1010"/>
      <c r="D97" s="1011"/>
      <c r="E97" s="1011"/>
      <c r="F97" s="1012"/>
      <c r="G97" s="29"/>
      <c r="H97" s="31"/>
      <c r="I97" s="1008" t="s">
        <v>162</v>
      </c>
      <c r="J97" s="1009"/>
      <c r="K97" s="1010"/>
      <c r="L97" s="1011"/>
      <c r="M97" s="1011"/>
      <c r="N97" s="1012"/>
      <c r="Q97" s="1008" t="s">
        <v>162</v>
      </c>
      <c r="R97" s="1009"/>
      <c r="S97" s="1010"/>
      <c r="T97" s="1011"/>
      <c r="U97" s="1011"/>
      <c r="V97" s="1012"/>
      <c r="W97" s="29"/>
      <c r="X97" s="694"/>
      <c r="Y97" s="1008"/>
      <c r="Z97" s="1009"/>
      <c r="AA97" s="1010"/>
      <c r="AB97" s="1011"/>
      <c r="AC97" s="1011"/>
      <c r="AD97" s="1012"/>
      <c r="AH97" s="1016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</row>
    <row r="98" spans="1:49" s="19" customFormat="1" ht="12.75" x14ac:dyDescent="0.2">
      <c r="A98" s="912" t="s">
        <v>333</v>
      </c>
      <c r="B98" s="910">
        <v>1</v>
      </c>
      <c r="C98" s="969">
        <v>49.14</v>
      </c>
      <c r="D98" s="911">
        <v>431.85</v>
      </c>
      <c r="E98" s="911">
        <v>927.62</v>
      </c>
      <c r="F98" s="971"/>
      <c r="G98" s="29"/>
      <c r="H98" s="31"/>
      <c r="I98" s="912" t="s">
        <v>333</v>
      </c>
      <c r="J98" s="910">
        <v>1</v>
      </c>
      <c r="K98" s="969">
        <v>49.14</v>
      </c>
      <c r="L98" s="911">
        <v>431.85</v>
      </c>
      <c r="M98" s="911">
        <v>927.62</v>
      </c>
      <c r="N98" s="971"/>
      <c r="Q98" s="912" t="s">
        <v>333</v>
      </c>
      <c r="R98" s="910">
        <v>1</v>
      </c>
      <c r="S98" s="969">
        <v>49.14</v>
      </c>
      <c r="T98" s="911">
        <v>431.85</v>
      </c>
      <c r="U98" s="911">
        <v>927.62</v>
      </c>
      <c r="V98" s="971"/>
      <c r="W98" s="29"/>
      <c r="X98" s="694"/>
      <c r="Y98" s="912"/>
      <c r="Z98" s="910"/>
      <c r="AA98" s="969"/>
      <c r="AB98" s="911"/>
      <c r="AC98" s="911"/>
      <c r="AD98" s="971"/>
      <c r="AH98" s="1016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</row>
    <row r="99" spans="1:49" s="19" customFormat="1" ht="12.75" x14ac:dyDescent="0.2">
      <c r="A99" s="912" t="s">
        <v>352</v>
      </c>
      <c r="B99" s="910">
        <v>1</v>
      </c>
      <c r="C99" s="969">
        <v>44.7</v>
      </c>
      <c r="D99" s="911">
        <v>415.6</v>
      </c>
      <c r="E99" s="911">
        <v>905.11</v>
      </c>
      <c r="F99" s="971"/>
      <c r="G99" s="29"/>
      <c r="H99" s="31"/>
      <c r="I99" s="912" t="s">
        <v>352</v>
      </c>
      <c r="J99" s="910">
        <v>1</v>
      </c>
      <c r="K99" s="969">
        <v>44.7</v>
      </c>
      <c r="L99" s="911">
        <v>415.6</v>
      </c>
      <c r="M99" s="911">
        <v>905.11</v>
      </c>
      <c r="N99" s="971"/>
      <c r="Q99" s="912" t="s">
        <v>352</v>
      </c>
      <c r="R99" s="910">
        <v>1</v>
      </c>
      <c r="S99" s="969">
        <v>44.7</v>
      </c>
      <c r="T99" s="911">
        <v>415.6</v>
      </c>
      <c r="U99" s="911">
        <v>905.11</v>
      </c>
      <c r="V99" s="971" t="s">
        <v>283</v>
      </c>
      <c r="W99" s="29"/>
      <c r="X99" s="694"/>
      <c r="Y99" s="912"/>
      <c r="Z99" s="910"/>
      <c r="AA99" s="969"/>
      <c r="AB99" s="911"/>
      <c r="AC99" s="911"/>
      <c r="AD99" s="971"/>
      <c r="AH99" s="1016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</row>
    <row r="100" spans="1:49" s="19" customFormat="1" ht="12.75" x14ac:dyDescent="0.2">
      <c r="A100" s="912" t="s">
        <v>156</v>
      </c>
      <c r="B100" s="910">
        <v>1</v>
      </c>
      <c r="C100" s="969">
        <v>48.4</v>
      </c>
      <c r="D100" s="911">
        <v>400.57</v>
      </c>
      <c r="E100" s="911">
        <v>898.47</v>
      </c>
      <c r="F100" s="971" t="s">
        <v>135</v>
      </c>
      <c r="G100" s="29"/>
      <c r="H100" s="31"/>
      <c r="I100" s="912" t="s">
        <v>156</v>
      </c>
      <c r="J100" s="910">
        <v>1</v>
      </c>
      <c r="K100" s="969">
        <v>48.4</v>
      </c>
      <c r="L100" s="911">
        <v>400.57</v>
      </c>
      <c r="M100" s="911">
        <v>898.47</v>
      </c>
      <c r="N100" s="971"/>
      <c r="Q100" s="912" t="s">
        <v>156</v>
      </c>
      <c r="R100" s="910">
        <v>1</v>
      </c>
      <c r="S100" s="969">
        <v>48.4</v>
      </c>
      <c r="T100" s="911">
        <v>400.57</v>
      </c>
      <c r="U100" s="911">
        <v>898.47</v>
      </c>
      <c r="V100" s="971"/>
      <c r="W100" s="29"/>
      <c r="X100" s="694"/>
      <c r="Y100" s="912"/>
      <c r="Z100" s="910"/>
      <c r="AA100" s="969"/>
      <c r="AB100" s="911"/>
      <c r="AC100" s="911"/>
      <c r="AD100" s="971"/>
      <c r="AH100" s="1016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</row>
    <row r="101" spans="1:49" s="19" customFormat="1" ht="12.75" x14ac:dyDescent="0.2">
      <c r="A101" s="912" t="s">
        <v>349</v>
      </c>
      <c r="B101" s="910">
        <v>1</v>
      </c>
      <c r="C101" s="969">
        <v>46.53</v>
      </c>
      <c r="D101" s="911">
        <v>417.38</v>
      </c>
      <c r="E101" s="911">
        <v>891.43</v>
      </c>
      <c r="F101" s="971"/>
      <c r="G101" s="29"/>
      <c r="H101" s="31"/>
      <c r="I101" s="912" t="s">
        <v>349</v>
      </c>
      <c r="J101" s="910">
        <v>1</v>
      </c>
      <c r="K101" s="969">
        <v>46.53</v>
      </c>
      <c r="L101" s="911">
        <v>417.38</v>
      </c>
      <c r="M101" s="911">
        <v>891.43</v>
      </c>
      <c r="N101" s="971"/>
      <c r="Q101" s="912" t="s">
        <v>349</v>
      </c>
      <c r="R101" s="910">
        <v>1</v>
      </c>
      <c r="S101" s="969">
        <v>46.53</v>
      </c>
      <c r="T101" s="911">
        <v>417.38</v>
      </c>
      <c r="U101" s="911">
        <v>891.43</v>
      </c>
      <c r="V101" s="971"/>
      <c r="W101" s="29"/>
      <c r="X101" s="694"/>
      <c r="Y101" s="912"/>
      <c r="Z101" s="910"/>
      <c r="AA101" s="969"/>
      <c r="AB101" s="911"/>
      <c r="AC101" s="911"/>
      <c r="AD101" s="971"/>
      <c r="AH101" s="1016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</row>
    <row r="102" spans="1:49" s="19" customFormat="1" ht="12.75" x14ac:dyDescent="0.2">
      <c r="A102" s="912" t="s">
        <v>350</v>
      </c>
      <c r="B102" s="910">
        <v>1</v>
      </c>
      <c r="C102" s="969">
        <v>40.36</v>
      </c>
      <c r="D102" s="911">
        <v>406.52</v>
      </c>
      <c r="E102" s="911">
        <v>880.03</v>
      </c>
      <c r="F102" s="971"/>
      <c r="G102" s="29"/>
      <c r="H102" s="31"/>
      <c r="I102" s="912" t="s">
        <v>350</v>
      </c>
      <c r="J102" s="910">
        <v>1</v>
      </c>
      <c r="K102" s="969">
        <v>40.36</v>
      </c>
      <c r="L102" s="911">
        <v>406.52</v>
      </c>
      <c r="M102" s="911">
        <v>880.03</v>
      </c>
      <c r="N102" s="971"/>
      <c r="Q102" s="912" t="s">
        <v>350</v>
      </c>
      <c r="R102" s="910">
        <v>1</v>
      </c>
      <c r="S102" s="969">
        <v>40.36</v>
      </c>
      <c r="T102" s="911">
        <v>406.52</v>
      </c>
      <c r="U102" s="911">
        <v>880.03</v>
      </c>
      <c r="V102" s="971"/>
      <c r="W102" s="29"/>
      <c r="X102" s="694"/>
      <c r="Y102" s="912"/>
      <c r="Z102" s="910"/>
      <c r="AA102" s="969"/>
      <c r="AB102" s="911"/>
      <c r="AC102" s="911"/>
      <c r="AD102" s="971"/>
      <c r="AH102" s="1016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</row>
    <row r="103" spans="1:49" s="19" customFormat="1" ht="12.75" x14ac:dyDescent="0.2">
      <c r="A103" s="912" t="s">
        <v>158</v>
      </c>
      <c r="B103" s="910">
        <v>1</v>
      </c>
      <c r="C103" s="969">
        <v>47.27</v>
      </c>
      <c r="D103" s="911">
        <v>387.78</v>
      </c>
      <c r="E103" s="911">
        <v>889.24</v>
      </c>
      <c r="F103" s="971"/>
      <c r="G103" s="29"/>
      <c r="H103" s="31"/>
      <c r="I103" s="912" t="s">
        <v>158</v>
      </c>
      <c r="J103" s="910">
        <v>1</v>
      </c>
      <c r="K103" s="969">
        <v>47.27</v>
      </c>
      <c r="L103" s="911">
        <v>387.78</v>
      </c>
      <c r="M103" s="911">
        <v>889.24</v>
      </c>
      <c r="N103" s="971"/>
      <c r="Q103" s="912" t="s">
        <v>158</v>
      </c>
      <c r="R103" s="910">
        <v>1</v>
      </c>
      <c r="S103" s="969">
        <v>47.27</v>
      </c>
      <c r="T103" s="911">
        <v>387.78</v>
      </c>
      <c r="U103" s="911">
        <v>889.24</v>
      </c>
      <c r="V103" s="971"/>
      <c r="W103" s="29"/>
      <c r="X103" s="694"/>
      <c r="Y103" s="912"/>
      <c r="Z103" s="910"/>
      <c r="AA103" s="969"/>
      <c r="AB103" s="911"/>
      <c r="AC103" s="911"/>
      <c r="AD103" s="971"/>
      <c r="AH103" s="1016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</row>
    <row r="104" spans="1:49" s="19" customFormat="1" ht="12.75" x14ac:dyDescent="0.2">
      <c r="A104" s="912" t="s">
        <v>342</v>
      </c>
      <c r="B104" s="910">
        <v>1</v>
      </c>
      <c r="C104" s="969">
        <v>44</v>
      </c>
      <c r="D104" s="911">
        <v>385.16</v>
      </c>
      <c r="E104" s="911">
        <v>885.69</v>
      </c>
      <c r="F104" s="971"/>
      <c r="G104" s="29"/>
      <c r="H104" s="31"/>
      <c r="I104" s="912" t="s">
        <v>342</v>
      </c>
      <c r="J104" s="910">
        <v>1</v>
      </c>
      <c r="K104" s="969">
        <v>44</v>
      </c>
      <c r="L104" s="911">
        <v>385.16</v>
      </c>
      <c r="M104" s="911">
        <v>885.69</v>
      </c>
      <c r="N104" s="971"/>
      <c r="Q104" s="912" t="s">
        <v>342</v>
      </c>
      <c r="R104" s="910">
        <v>1</v>
      </c>
      <c r="S104" s="969">
        <v>44</v>
      </c>
      <c r="T104" s="911">
        <v>385.16</v>
      </c>
      <c r="U104" s="911">
        <v>885.69</v>
      </c>
      <c r="V104" s="971"/>
      <c r="W104" s="29"/>
      <c r="X104" s="694"/>
      <c r="Y104" s="912"/>
      <c r="Z104" s="910"/>
      <c r="AA104" s="969"/>
      <c r="AB104" s="911"/>
      <c r="AC104" s="911"/>
      <c r="AD104" s="971"/>
      <c r="AH104" s="1016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</row>
    <row r="105" spans="1:49" s="19" customFormat="1" ht="12.75" x14ac:dyDescent="0.2">
      <c r="A105" s="912" t="s">
        <v>159</v>
      </c>
      <c r="B105" s="910">
        <v>1</v>
      </c>
      <c r="C105" s="969">
        <v>55.21</v>
      </c>
      <c r="D105" s="911">
        <v>380.6</v>
      </c>
      <c r="E105" s="911">
        <v>880.57</v>
      </c>
      <c r="F105" s="971" t="s">
        <v>283</v>
      </c>
      <c r="G105" s="29"/>
      <c r="H105" s="31"/>
      <c r="I105" s="912" t="s">
        <v>159</v>
      </c>
      <c r="J105" s="910">
        <v>1</v>
      </c>
      <c r="K105" s="969">
        <v>55.21</v>
      </c>
      <c r="L105" s="911">
        <v>380.6</v>
      </c>
      <c r="M105" s="911">
        <v>880.57</v>
      </c>
      <c r="N105" s="971" t="s">
        <v>283</v>
      </c>
      <c r="Q105" s="912" t="s">
        <v>159</v>
      </c>
      <c r="R105" s="910">
        <v>1</v>
      </c>
      <c r="S105" s="969">
        <v>55.21</v>
      </c>
      <c r="T105" s="911">
        <v>380.6</v>
      </c>
      <c r="U105" s="911">
        <v>880.57</v>
      </c>
      <c r="V105" s="971" t="s">
        <v>283</v>
      </c>
      <c r="W105" s="29"/>
      <c r="X105" s="694"/>
      <c r="Y105" s="912"/>
      <c r="Z105" s="910"/>
      <c r="AA105" s="969"/>
      <c r="AB105" s="911"/>
      <c r="AC105" s="911"/>
      <c r="AD105" s="971"/>
      <c r="AH105" s="1016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</row>
    <row r="106" spans="1:49" s="19" customFormat="1" ht="12.75" x14ac:dyDescent="0.2">
      <c r="A106" s="912" t="s">
        <v>343</v>
      </c>
      <c r="B106" s="910">
        <v>1</v>
      </c>
      <c r="C106" s="969">
        <v>51</v>
      </c>
      <c r="D106" s="911">
        <v>378.74</v>
      </c>
      <c r="E106" s="911">
        <v>882.49</v>
      </c>
      <c r="F106" s="971"/>
      <c r="G106" s="29"/>
      <c r="H106" s="31"/>
      <c r="I106" s="912" t="s">
        <v>343</v>
      </c>
      <c r="J106" s="910">
        <v>1</v>
      </c>
      <c r="K106" s="969">
        <v>51</v>
      </c>
      <c r="L106" s="911">
        <v>378.74</v>
      </c>
      <c r="M106" s="911">
        <v>882.49</v>
      </c>
      <c r="N106" s="971"/>
      <c r="Q106" s="912" t="s">
        <v>343</v>
      </c>
      <c r="R106" s="910">
        <v>1</v>
      </c>
      <c r="S106" s="969">
        <v>51</v>
      </c>
      <c r="T106" s="911">
        <v>378.74</v>
      </c>
      <c r="U106" s="911">
        <v>882.49</v>
      </c>
      <c r="V106" s="971"/>
      <c r="W106" s="29"/>
      <c r="X106" s="694"/>
      <c r="Y106" s="912"/>
      <c r="Z106" s="910"/>
      <c r="AA106" s="969"/>
      <c r="AB106" s="911"/>
      <c r="AC106" s="911"/>
      <c r="AD106" s="971"/>
      <c r="AH106" s="1016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</row>
    <row r="107" spans="1:49" s="19" customFormat="1" ht="12.75" x14ac:dyDescent="0.2">
      <c r="A107" s="912" t="s">
        <v>160</v>
      </c>
      <c r="B107" s="910">
        <v>1</v>
      </c>
      <c r="C107" s="969">
        <v>54.72</v>
      </c>
      <c r="D107" s="911">
        <v>374.34</v>
      </c>
      <c r="E107" s="911">
        <v>885.88</v>
      </c>
      <c r="F107" s="971"/>
      <c r="G107" s="29"/>
      <c r="H107" s="31"/>
      <c r="I107" s="912" t="s">
        <v>160</v>
      </c>
      <c r="J107" s="910">
        <v>1</v>
      </c>
      <c r="K107" s="969">
        <v>54.72</v>
      </c>
      <c r="L107" s="911">
        <v>374.34</v>
      </c>
      <c r="M107" s="911">
        <v>885.88</v>
      </c>
      <c r="N107" s="971"/>
      <c r="Q107" s="912" t="s">
        <v>160</v>
      </c>
      <c r="R107" s="910">
        <v>1</v>
      </c>
      <c r="S107" s="969">
        <v>54.72</v>
      </c>
      <c r="T107" s="911">
        <v>374.34</v>
      </c>
      <c r="U107" s="911">
        <v>885.88</v>
      </c>
      <c r="V107" s="971"/>
      <c r="W107" s="29"/>
      <c r="X107" s="694"/>
      <c r="Y107" s="912"/>
      <c r="Z107" s="910"/>
      <c r="AA107" s="969"/>
      <c r="AB107" s="911"/>
      <c r="AC107" s="911"/>
      <c r="AD107" s="971"/>
      <c r="AH107" s="1016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</row>
    <row r="108" spans="1:49" s="19" customFormat="1" ht="12.75" x14ac:dyDescent="0.2">
      <c r="A108" s="912" t="s">
        <v>351</v>
      </c>
      <c r="B108" s="910">
        <v>1</v>
      </c>
      <c r="C108" s="969">
        <v>54.29</v>
      </c>
      <c r="D108" s="911">
        <v>342.45</v>
      </c>
      <c r="E108" s="911">
        <v>875.37</v>
      </c>
      <c r="F108" s="971"/>
      <c r="G108" s="29"/>
      <c r="H108" s="31"/>
      <c r="I108" s="912" t="s">
        <v>351</v>
      </c>
      <c r="J108" s="910">
        <v>1</v>
      </c>
      <c r="K108" s="969">
        <v>54.29</v>
      </c>
      <c r="L108" s="911">
        <v>342.45</v>
      </c>
      <c r="M108" s="911">
        <v>875.37</v>
      </c>
      <c r="N108" s="971"/>
      <c r="Q108" s="912" t="s">
        <v>351</v>
      </c>
      <c r="R108" s="910">
        <v>1</v>
      </c>
      <c r="S108" s="969">
        <v>54.29</v>
      </c>
      <c r="T108" s="911">
        <v>342.45</v>
      </c>
      <c r="U108" s="911">
        <v>875.37</v>
      </c>
      <c r="V108" s="971"/>
      <c r="W108" s="29"/>
      <c r="X108" s="694"/>
      <c r="Y108" s="912"/>
      <c r="Z108" s="910"/>
      <c r="AA108" s="969"/>
      <c r="AB108" s="911"/>
      <c r="AC108" s="911"/>
      <c r="AD108" s="971"/>
      <c r="AH108" s="1016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</row>
    <row r="109" spans="1:49" s="19" customFormat="1" ht="12.75" x14ac:dyDescent="0.2">
      <c r="A109" s="912" t="s">
        <v>340</v>
      </c>
      <c r="B109" s="910">
        <v>1</v>
      </c>
      <c r="C109" s="970">
        <v>51.51</v>
      </c>
      <c r="D109" s="911">
        <v>366.8</v>
      </c>
      <c r="E109" s="911">
        <v>894.63</v>
      </c>
      <c r="F109" s="971"/>
      <c r="G109" s="29"/>
      <c r="H109" s="31"/>
      <c r="I109" s="912" t="s">
        <v>340</v>
      </c>
      <c r="J109" s="910">
        <v>1</v>
      </c>
      <c r="K109" s="970">
        <v>51.51</v>
      </c>
      <c r="L109" s="911">
        <v>366.8</v>
      </c>
      <c r="M109" s="911">
        <v>894.63</v>
      </c>
      <c r="N109" s="971"/>
      <c r="Q109" s="912" t="s">
        <v>340</v>
      </c>
      <c r="R109" s="910">
        <v>1</v>
      </c>
      <c r="S109" s="970">
        <v>51.51</v>
      </c>
      <c r="T109" s="911">
        <v>366.8</v>
      </c>
      <c r="U109" s="911">
        <v>894.63</v>
      </c>
      <c r="V109" s="971" t="s">
        <v>135</v>
      </c>
      <c r="W109" s="29"/>
      <c r="X109" s="694"/>
      <c r="Y109" s="912"/>
      <c r="Z109" s="910"/>
      <c r="AA109" s="970"/>
      <c r="AB109" s="911"/>
      <c r="AC109" s="911"/>
      <c r="AD109" s="971"/>
      <c r="AH109" s="1016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</row>
    <row r="110" spans="1:49" s="19" customFormat="1" ht="12.75" x14ac:dyDescent="0.2">
      <c r="A110" s="912" t="s">
        <v>341</v>
      </c>
      <c r="B110" s="910">
        <v>1</v>
      </c>
      <c r="C110" s="970">
        <v>48.68</v>
      </c>
      <c r="D110" s="911">
        <v>341.12</v>
      </c>
      <c r="E110" s="911">
        <v>897.35</v>
      </c>
      <c r="F110" s="971"/>
      <c r="G110" s="29"/>
      <c r="H110" s="31"/>
      <c r="I110" s="912" t="s">
        <v>341</v>
      </c>
      <c r="J110" s="910">
        <v>1</v>
      </c>
      <c r="K110" s="970">
        <v>48.68</v>
      </c>
      <c r="L110" s="911">
        <v>341.12</v>
      </c>
      <c r="M110" s="911">
        <v>897.35</v>
      </c>
      <c r="N110" s="971"/>
      <c r="Q110" s="912" t="s">
        <v>341</v>
      </c>
      <c r="R110" s="910">
        <v>1</v>
      </c>
      <c r="S110" s="970">
        <v>48.68</v>
      </c>
      <c r="T110" s="911">
        <v>341.12</v>
      </c>
      <c r="U110" s="911">
        <v>897.35</v>
      </c>
      <c r="V110" s="971"/>
      <c r="W110" s="29"/>
      <c r="X110" s="694"/>
      <c r="Y110" s="912"/>
      <c r="Z110" s="910"/>
      <c r="AA110" s="970"/>
      <c r="AB110" s="911"/>
      <c r="AC110" s="911"/>
      <c r="AD110" s="971"/>
      <c r="AH110" s="1016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</row>
    <row r="111" spans="1:49" s="19" customFormat="1" ht="12.75" x14ac:dyDescent="0.2">
      <c r="A111" s="912" t="s">
        <v>162</v>
      </c>
      <c r="B111" s="910"/>
      <c r="C111" s="970"/>
      <c r="D111" s="911"/>
      <c r="E111" s="911"/>
      <c r="F111" s="971"/>
      <c r="G111" s="29"/>
      <c r="H111" s="31"/>
      <c r="I111" s="912" t="s">
        <v>162</v>
      </c>
      <c r="J111" s="910"/>
      <c r="K111" s="970"/>
      <c r="L111" s="911"/>
      <c r="M111" s="911"/>
      <c r="N111" s="971"/>
      <c r="Q111" s="912" t="s">
        <v>162</v>
      </c>
      <c r="R111" s="910"/>
      <c r="S111" s="970"/>
      <c r="T111" s="911"/>
      <c r="U111" s="911"/>
      <c r="V111" s="971"/>
      <c r="W111" s="29"/>
      <c r="X111" s="694"/>
      <c r="Y111" s="912"/>
      <c r="Z111" s="910"/>
      <c r="AA111" s="970"/>
      <c r="AB111" s="911"/>
      <c r="AC111" s="911"/>
      <c r="AD111" s="971"/>
      <c r="AH111" s="1016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</row>
    <row r="112" spans="1:49" s="19" customFormat="1" ht="12.75" x14ac:dyDescent="0.2">
      <c r="A112" s="912"/>
      <c r="B112" s="910"/>
      <c r="C112" s="964"/>
      <c r="D112" s="911"/>
      <c r="E112" s="911"/>
      <c r="F112" s="971"/>
      <c r="G112" s="29"/>
      <c r="H112" s="31"/>
      <c r="I112" s="912"/>
      <c r="J112" s="910"/>
      <c r="K112" s="964"/>
      <c r="L112" s="911"/>
      <c r="M112" s="911"/>
      <c r="N112" s="971"/>
      <c r="Q112" s="912"/>
      <c r="R112" s="910"/>
      <c r="S112" s="964"/>
      <c r="T112" s="911"/>
      <c r="U112" s="911"/>
      <c r="V112" s="971"/>
      <c r="W112" s="29"/>
      <c r="X112" s="694"/>
      <c r="Y112" s="912"/>
      <c r="Z112" s="910"/>
      <c r="AA112" s="964"/>
      <c r="AB112" s="911"/>
      <c r="AC112" s="911"/>
      <c r="AD112" s="971"/>
      <c r="AH112" s="1016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</row>
    <row r="113" spans="1:49" s="19" customFormat="1" ht="12.75" x14ac:dyDescent="0.2">
      <c r="A113" s="912"/>
      <c r="B113" s="910"/>
      <c r="C113" s="964"/>
      <c r="D113" s="911"/>
      <c r="E113" s="911"/>
      <c r="F113" s="971"/>
      <c r="G113" s="29"/>
      <c r="H113" s="31"/>
      <c r="I113" s="912"/>
      <c r="J113" s="910"/>
      <c r="K113" s="964"/>
      <c r="L113" s="911"/>
      <c r="M113" s="911"/>
      <c r="N113" s="971"/>
      <c r="Q113" s="912"/>
      <c r="R113" s="910"/>
      <c r="S113" s="964"/>
      <c r="T113" s="911"/>
      <c r="U113" s="911"/>
      <c r="V113" s="971"/>
      <c r="W113" s="29"/>
      <c r="X113" s="694"/>
      <c r="Y113" s="912"/>
      <c r="Z113" s="910"/>
      <c r="AA113" s="964"/>
      <c r="AB113" s="911"/>
      <c r="AC113" s="911"/>
      <c r="AD113" s="971"/>
      <c r="AH113" s="1016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</row>
    <row r="114" spans="1:49" s="19" customFormat="1" ht="12.75" x14ac:dyDescent="0.2">
      <c r="A114" s="912"/>
      <c r="B114" s="910"/>
      <c r="C114" s="964"/>
      <c r="D114" s="911"/>
      <c r="E114" s="911"/>
      <c r="F114" s="971"/>
      <c r="G114" s="29"/>
      <c r="H114" s="31"/>
      <c r="I114" s="912"/>
      <c r="J114" s="910"/>
      <c r="K114" s="964"/>
      <c r="L114" s="911"/>
      <c r="M114" s="911"/>
      <c r="N114" s="971"/>
      <c r="Q114" s="912"/>
      <c r="R114" s="910"/>
      <c r="S114" s="964"/>
      <c r="T114" s="911"/>
      <c r="U114" s="911"/>
      <c r="V114" s="971"/>
      <c r="W114" s="29"/>
      <c r="X114" s="694"/>
      <c r="Y114" s="912"/>
      <c r="Z114" s="910"/>
      <c r="AA114" s="964"/>
      <c r="AB114" s="911"/>
      <c r="AC114" s="911"/>
      <c r="AD114" s="971"/>
      <c r="AH114" s="1016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</row>
    <row r="115" spans="1:49" s="19" customFormat="1" ht="12.75" x14ac:dyDescent="0.2">
      <c r="A115" s="912"/>
      <c r="B115" s="910"/>
      <c r="C115" s="964"/>
      <c r="D115" s="911"/>
      <c r="E115" s="911"/>
      <c r="F115" s="971"/>
      <c r="G115" s="29"/>
      <c r="H115" s="31"/>
      <c r="I115" s="912"/>
      <c r="J115" s="910"/>
      <c r="K115" s="964"/>
      <c r="L115" s="911"/>
      <c r="M115" s="911"/>
      <c r="N115" s="971"/>
      <c r="Q115" s="912"/>
      <c r="R115" s="910"/>
      <c r="S115" s="964"/>
      <c r="T115" s="911"/>
      <c r="U115" s="911"/>
      <c r="V115" s="971"/>
      <c r="W115" s="29"/>
      <c r="X115" s="694"/>
      <c r="Y115" s="912"/>
      <c r="Z115" s="910"/>
      <c r="AA115" s="964"/>
      <c r="AB115" s="911"/>
      <c r="AC115" s="911"/>
      <c r="AD115" s="971"/>
      <c r="AH115" s="1016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</row>
    <row r="116" spans="1:49" s="19" customFormat="1" ht="12.75" x14ac:dyDescent="0.2">
      <c r="A116" s="912"/>
      <c r="B116" s="910"/>
      <c r="C116" s="964"/>
      <c r="D116" s="911"/>
      <c r="E116" s="911"/>
      <c r="F116" s="971"/>
      <c r="G116" s="29"/>
      <c r="H116" s="31"/>
      <c r="I116" s="912"/>
      <c r="J116" s="910"/>
      <c r="K116" s="964"/>
      <c r="L116" s="911"/>
      <c r="M116" s="911"/>
      <c r="N116" s="971"/>
      <c r="Q116" s="912"/>
      <c r="R116" s="910"/>
      <c r="S116" s="964"/>
      <c r="T116" s="911"/>
      <c r="U116" s="911"/>
      <c r="V116" s="971"/>
      <c r="W116" s="29"/>
      <c r="X116" s="694"/>
      <c r="Y116" s="912"/>
      <c r="Z116" s="910"/>
      <c r="AA116" s="964"/>
      <c r="AB116" s="911"/>
      <c r="AC116" s="911"/>
      <c r="AD116" s="971"/>
      <c r="AH116" s="1016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</row>
    <row r="117" spans="1:49" s="19" customFormat="1" ht="12.75" x14ac:dyDescent="0.2">
      <c r="A117" s="912"/>
      <c r="B117" s="910"/>
      <c r="C117" s="964"/>
      <c r="D117" s="911"/>
      <c r="E117" s="911"/>
      <c r="F117" s="971"/>
      <c r="G117" s="29"/>
      <c r="H117" s="31"/>
      <c r="I117" s="912"/>
      <c r="J117" s="910"/>
      <c r="K117" s="964"/>
      <c r="L117" s="911"/>
      <c r="M117" s="911"/>
      <c r="N117" s="971"/>
      <c r="Q117" s="912"/>
      <c r="R117" s="910"/>
      <c r="S117" s="964"/>
      <c r="T117" s="911"/>
      <c r="U117" s="911"/>
      <c r="V117" s="971"/>
      <c r="W117" s="29"/>
      <c r="X117" s="694"/>
      <c r="Y117" s="912"/>
      <c r="Z117" s="910"/>
      <c r="AA117" s="964"/>
      <c r="AB117" s="911"/>
      <c r="AC117" s="911"/>
      <c r="AD117" s="971"/>
      <c r="AH117" s="1016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</row>
    <row r="118" spans="1:49" s="19" customFormat="1" ht="12.75" x14ac:dyDescent="0.2">
      <c r="A118" s="912"/>
      <c r="B118" s="910"/>
      <c r="C118" s="964"/>
      <c r="D118" s="911"/>
      <c r="E118" s="911"/>
      <c r="F118" s="971"/>
      <c r="G118" s="29"/>
      <c r="H118" s="31"/>
      <c r="I118" s="912"/>
      <c r="J118" s="910"/>
      <c r="K118" s="964"/>
      <c r="L118" s="911"/>
      <c r="M118" s="911"/>
      <c r="N118" s="971"/>
      <c r="Q118" s="912"/>
      <c r="R118" s="910"/>
      <c r="S118" s="964"/>
      <c r="T118" s="911"/>
      <c r="U118" s="911"/>
      <c r="V118" s="971"/>
      <c r="W118" s="29"/>
      <c r="X118" s="694"/>
      <c r="Y118" s="912"/>
      <c r="Z118" s="910"/>
      <c r="AA118" s="964"/>
      <c r="AB118" s="911"/>
      <c r="AC118" s="911"/>
      <c r="AD118" s="971"/>
      <c r="AH118" s="1016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</row>
    <row r="119" spans="1:49" s="19" customFormat="1" ht="12.75" x14ac:dyDescent="0.2">
      <c r="A119" s="912"/>
      <c r="B119" s="910"/>
      <c r="C119" s="964"/>
      <c r="D119" s="911"/>
      <c r="E119" s="911"/>
      <c r="F119" s="971"/>
      <c r="G119" s="29"/>
      <c r="H119" s="31"/>
      <c r="I119" s="912"/>
      <c r="J119" s="910"/>
      <c r="K119" s="964"/>
      <c r="L119" s="911"/>
      <c r="M119" s="911"/>
      <c r="N119" s="971"/>
      <c r="Q119" s="912"/>
      <c r="R119" s="910"/>
      <c r="S119" s="964"/>
      <c r="T119" s="911"/>
      <c r="U119" s="911"/>
      <c r="V119" s="971"/>
      <c r="W119" s="29"/>
      <c r="X119" s="694"/>
      <c r="Y119" s="912"/>
      <c r="Z119" s="910"/>
      <c r="AA119" s="964"/>
      <c r="AB119" s="911"/>
      <c r="AC119" s="911"/>
      <c r="AD119" s="971"/>
      <c r="AH119" s="1016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</row>
    <row r="120" spans="1:49" s="19" customFormat="1" ht="13.5" thickBot="1" x14ac:dyDescent="0.25">
      <c r="A120" s="956"/>
      <c r="B120" s="957"/>
      <c r="C120" s="966"/>
      <c r="D120" s="967"/>
      <c r="E120" s="967"/>
      <c r="F120" s="986"/>
      <c r="G120" s="29"/>
      <c r="H120" s="31"/>
      <c r="I120" s="956"/>
      <c r="J120" s="957"/>
      <c r="K120" s="966"/>
      <c r="L120" s="967"/>
      <c r="M120" s="967"/>
      <c r="N120" s="986"/>
      <c r="Q120" s="956"/>
      <c r="R120" s="957"/>
      <c r="S120" s="966"/>
      <c r="T120" s="967"/>
      <c r="U120" s="967"/>
      <c r="V120" s="986"/>
      <c r="W120" s="29"/>
      <c r="X120" s="694"/>
      <c r="Y120" s="956"/>
      <c r="Z120" s="957"/>
      <c r="AA120" s="966"/>
      <c r="AB120" s="967"/>
      <c r="AC120" s="967"/>
      <c r="AD120" s="986"/>
      <c r="AH120" s="1016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</row>
    <row r="121" spans="1:49" s="667" customFormat="1" x14ac:dyDescent="0.25">
      <c r="A121" s="1094" t="s">
        <v>327</v>
      </c>
      <c r="F121" s="1013"/>
      <c r="G121" s="1014"/>
      <c r="H121" s="689"/>
      <c r="I121" s="1094" t="s">
        <v>328</v>
      </c>
      <c r="N121" s="1013"/>
      <c r="Q121" s="1094" t="s">
        <v>329</v>
      </c>
      <c r="V121" s="1013"/>
      <c r="W121" s="1014"/>
      <c r="X121" s="689"/>
      <c r="Y121" s="1094" t="s">
        <v>330</v>
      </c>
      <c r="AD121" s="1013"/>
      <c r="AH121" s="1015"/>
      <c r="AM121" s="1061"/>
      <c r="AN121" s="1061"/>
      <c r="AO121" s="1061"/>
      <c r="AP121" s="1061"/>
      <c r="AQ121" s="1061"/>
      <c r="AR121" s="1061"/>
      <c r="AS121" s="1061"/>
      <c r="AT121" s="1061"/>
      <c r="AU121" s="1061"/>
      <c r="AV121" s="1061"/>
      <c r="AW121" s="1061"/>
    </row>
    <row r="122" spans="1:49" s="19" customFormat="1" ht="12.75" x14ac:dyDescent="0.2">
      <c r="A122" s="1008"/>
      <c r="B122" s="1009"/>
      <c r="C122" s="1010"/>
      <c r="D122" s="1011"/>
      <c r="E122" s="1011"/>
      <c r="F122" s="1012"/>
      <c r="G122" s="29"/>
      <c r="H122" s="31"/>
      <c r="I122" s="1008"/>
      <c r="J122" s="1009"/>
      <c r="K122" s="1010"/>
      <c r="L122" s="1011"/>
      <c r="M122" s="1011"/>
      <c r="N122" s="1012"/>
      <c r="Q122" s="1008"/>
      <c r="R122" s="1009"/>
      <c r="S122" s="1010"/>
      <c r="T122" s="1011"/>
      <c r="U122" s="1011"/>
      <c r="V122" s="1012"/>
      <c r="W122" s="29"/>
      <c r="X122" s="694"/>
      <c r="Y122" s="1008"/>
      <c r="Z122" s="1009"/>
      <c r="AA122" s="1010"/>
      <c r="AB122" s="1011"/>
      <c r="AC122" s="1011"/>
      <c r="AD122" s="1012"/>
      <c r="AH122" s="1016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</row>
    <row r="123" spans="1:49" s="19" customFormat="1" ht="12.75" x14ac:dyDescent="0.2">
      <c r="A123" s="912"/>
      <c r="B123" s="910"/>
      <c r="C123" s="969"/>
      <c r="D123" s="911"/>
      <c r="E123" s="911"/>
      <c r="F123" s="971"/>
      <c r="G123" s="29"/>
      <c r="H123" s="31"/>
      <c r="I123" s="912"/>
      <c r="J123" s="910"/>
      <c r="K123" s="969"/>
      <c r="L123" s="911"/>
      <c r="M123" s="911"/>
      <c r="N123" s="971"/>
      <c r="Q123" s="912"/>
      <c r="R123" s="910"/>
      <c r="S123" s="969"/>
      <c r="T123" s="911"/>
      <c r="U123" s="911"/>
      <c r="V123" s="971"/>
      <c r="W123" s="29"/>
      <c r="X123" s="694"/>
      <c r="Y123" s="912"/>
      <c r="Z123" s="910"/>
      <c r="AA123" s="969"/>
      <c r="AB123" s="911"/>
      <c r="AC123" s="911"/>
      <c r="AD123" s="971"/>
      <c r="AH123" s="1016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</row>
    <row r="124" spans="1:49" s="19" customFormat="1" ht="12.75" x14ac:dyDescent="0.2">
      <c r="A124" s="912"/>
      <c r="B124" s="910"/>
      <c r="C124" s="969"/>
      <c r="D124" s="911"/>
      <c r="E124" s="911"/>
      <c r="F124" s="971"/>
      <c r="G124" s="29"/>
      <c r="H124" s="31"/>
      <c r="I124" s="912"/>
      <c r="J124" s="910"/>
      <c r="K124" s="969"/>
      <c r="L124" s="911"/>
      <c r="M124" s="911"/>
      <c r="N124" s="971"/>
      <c r="Q124" s="912"/>
      <c r="R124" s="910"/>
      <c r="S124" s="969"/>
      <c r="T124" s="911"/>
      <c r="U124" s="911"/>
      <c r="V124" s="971"/>
      <c r="W124" s="29"/>
      <c r="X124" s="694"/>
      <c r="Y124" s="912"/>
      <c r="Z124" s="910"/>
      <c r="AA124" s="969"/>
      <c r="AB124" s="911"/>
      <c r="AC124" s="911"/>
      <c r="AD124" s="971"/>
      <c r="AH124" s="1016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</row>
    <row r="125" spans="1:49" s="19" customFormat="1" ht="12.75" x14ac:dyDescent="0.2">
      <c r="A125" s="912"/>
      <c r="B125" s="910"/>
      <c r="C125" s="969"/>
      <c r="D125" s="911"/>
      <c r="E125" s="911"/>
      <c r="F125" s="971"/>
      <c r="G125" s="29"/>
      <c r="H125" s="31"/>
      <c r="I125" s="912"/>
      <c r="J125" s="910"/>
      <c r="K125" s="969"/>
      <c r="L125" s="911"/>
      <c r="M125" s="911"/>
      <c r="N125" s="971"/>
      <c r="Q125" s="912"/>
      <c r="R125" s="910"/>
      <c r="S125" s="969"/>
      <c r="T125" s="911"/>
      <c r="U125" s="911"/>
      <c r="V125" s="971"/>
      <c r="W125" s="29"/>
      <c r="X125" s="694"/>
      <c r="Y125" s="912"/>
      <c r="Z125" s="910"/>
      <c r="AA125" s="969"/>
      <c r="AB125" s="911"/>
      <c r="AC125" s="911"/>
      <c r="AD125" s="971"/>
      <c r="AH125" s="1016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</row>
    <row r="126" spans="1:49" s="19" customFormat="1" ht="12.75" x14ac:dyDescent="0.2">
      <c r="A126" s="912"/>
      <c r="B126" s="910"/>
      <c r="C126" s="969"/>
      <c r="D126" s="911"/>
      <c r="E126" s="911"/>
      <c r="F126" s="971"/>
      <c r="G126" s="29"/>
      <c r="H126" s="31"/>
      <c r="I126" s="912"/>
      <c r="J126" s="910"/>
      <c r="K126" s="969"/>
      <c r="L126" s="911"/>
      <c r="M126" s="911"/>
      <c r="N126" s="971"/>
      <c r="Q126" s="912"/>
      <c r="R126" s="910"/>
      <c r="S126" s="969"/>
      <c r="T126" s="911"/>
      <c r="U126" s="911"/>
      <c r="V126" s="971"/>
      <c r="W126" s="29"/>
      <c r="X126" s="694"/>
      <c r="Y126" s="912"/>
      <c r="Z126" s="910"/>
      <c r="AA126" s="969"/>
      <c r="AB126" s="911"/>
      <c r="AC126" s="911"/>
      <c r="AD126" s="971"/>
      <c r="AH126" s="1016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</row>
    <row r="127" spans="1:49" s="19" customFormat="1" ht="12.75" x14ac:dyDescent="0.2">
      <c r="A127" s="912"/>
      <c r="B127" s="910"/>
      <c r="C127" s="969"/>
      <c r="D127" s="911"/>
      <c r="E127" s="911"/>
      <c r="F127" s="971"/>
      <c r="G127" s="29"/>
      <c r="H127" s="31"/>
      <c r="I127" s="912"/>
      <c r="J127" s="910"/>
      <c r="K127" s="969"/>
      <c r="L127" s="911"/>
      <c r="M127" s="911"/>
      <c r="N127" s="971"/>
      <c r="Q127" s="912"/>
      <c r="R127" s="910"/>
      <c r="S127" s="969"/>
      <c r="T127" s="911"/>
      <c r="U127" s="911"/>
      <c r="V127" s="971"/>
      <c r="W127" s="29"/>
      <c r="X127" s="694"/>
      <c r="Y127" s="912"/>
      <c r="Z127" s="910"/>
      <c r="AA127" s="969"/>
      <c r="AB127" s="911"/>
      <c r="AC127" s="911"/>
      <c r="AD127" s="971"/>
      <c r="AH127" s="1016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</row>
    <row r="128" spans="1:49" s="19" customFormat="1" ht="12.75" x14ac:dyDescent="0.2">
      <c r="A128" s="912"/>
      <c r="B128" s="910"/>
      <c r="C128" s="969"/>
      <c r="D128" s="911"/>
      <c r="E128" s="911"/>
      <c r="F128" s="971"/>
      <c r="G128" s="29"/>
      <c r="H128" s="31"/>
      <c r="I128" s="912"/>
      <c r="J128" s="910"/>
      <c r="K128" s="969"/>
      <c r="L128" s="911"/>
      <c r="M128" s="911"/>
      <c r="N128" s="971"/>
      <c r="Q128" s="912"/>
      <c r="R128" s="910"/>
      <c r="S128" s="969"/>
      <c r="T128" s="911"/>
      <c r="U128" s="911"/>
      <c r="V128" s="971"/>
      <c r="W128" s="29"/>
      <c r="X128" s="694"/>
      <c r="Y128" s="912"/>
      <c r="Z128" s="910"/>
      <c r="AA128" s="969"/>
      <c r="AB128" s="911"/>
      <c r="AC128" s="911"/>
      <c r="AD128" s="971"/>
      <c r="AH128" s="1016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</row>
    <row r="129" spans="1:49" s="19" customFormat="1" ht="12.75" x14ac:dyDescent="0.2">
      <c r="A129" s="912"/>
      <c r="B129" s="910"/>
      <c r="C129" s="969"/>
      <c r="D129" s="911"/>
      <c r="E129" s="911"/>
      <c r="F129" s="971"/>
      <c r="G129" s="29"/>
      <c r="H129" s="31"/>
      <c r="I129" s="912"/>
      <c r="J129" s="910"/>
      <c r="K129" s="969"/>
      <c r="L129" s="911"/>
      <c r="M129" s="911"/>
      <c r="N129" s="971"/>
      <c r="Q129" s="912"/>
      <c r="R129" s="910"/>
      <c r="S129" s="969"/>
      <c r="T129" s="911"/>
      <c r="U129" s="911"/>
      <c r="V129" s="971"/>
      <c r="W129" s="29"/>
      <c r="X129" s="694"/>
      <c r="Y129" s="912"/>
      <c r="Z129" s="910"/>
      <c r="AA129" s="969"/>
      <c r="AB129" s="911"/>
      <c r="AC129" s="911"/>
      <c r="AD129" s="971"/>
      <c r="AH129" s="1016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</row>
    <row r="130" spans="1:49" s="19" customFormat="1" ht="12.75" x14ac:dyDescent="0.2">
      <c r="A130" s="912"/>
      <c r="B130" s="910"/>
      <c r="C130" s="969"/>
      <c r="D130" s="911"/>
      <c r="E130" s="911"/>
      <c r="F130" s="971"/>
      <c r="G130" s="29"/>
      <c r="H130" s="31"/>
      <c r="I130" s="912"/>
      <c r="J130" s="910"/>
      <c r="K130" s="969"/>
      <c r="L130" s="911"/>
      <c r="M130" s="911"/>
      <c r="N130" s="971"/>
      <c r="Q130" s="912"/>
      <c r="R130" s="910"/>
      <c r="S130" s="969"/>
      <c r="T130" s="911"/>
      <c r="U130" s="911"/>
      <c r="V130" s="971"/>
      <c r="W130" s="29"/>
      <c r="X130" s="694"/>
      <c r="Y130" s="912"/>
      <c r="Z130" s="910"/>
      <c r="AA130" s="969"/>
      <c r="AB130" s="911"/>
      <c r="AC130" s="911"/>
      <c r="AD130" s="971"/>
      <c r="AH130" s="1016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</row>
    <row r="131" spans="1:49" s="19" customFormat="1" ht="12.75" x14ac:dyDescent="0.2">
      <c r="A131" s="912"/>
      <c r="B131" s="910"/>
      <c r="C131" s="969"/>
      <c r="D131" s="911"/>
      <c r="E131" s="911"/>
      <c r="F131" s="971"/>
      <c r="G131" s="29"/>
      <c r="H131" s="31"/>
      <c r="I131" s="912"/>
      <c r="J131" s="910"/>
      <c r="K131" s="969"/>
      <c r="L131" s="911"/>
      <c r="M131" s="911"/>
      <c r="N131" s="971"/>
      <c r="Q131" s="912"/>
      <c r="R131" s="910"/>
      <c r="S131" s="969"/>
      <c r="T131" s="911"/>
      <c r="U131" s="911"/>
      <c r="V131" s="971"/>
      <c r="W131" s="29"/>
      <c r="X131" s="694"/>
      <c r="Y131" s="912"/>
      <c r="Z131" s="910"/>
      <c r="AA131" s="969"/>
      <c r="AB131" s="911"/>
      <c r="AC131" s="911"/>
      <c r="AD131" s="971"/>
      <c r="AH131" s="1016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</row>
    <row r="132" spans="1:49" s="19" customFormat="1" ht="12.75" x14ac:dyDescent="0.2">
      <c r="A132" s="912"/>
      <c r="B132" s="910"/>
      <c r="C132" s="969"/>
      <c r="D132" s="911"/>
      <c r="E132" s="911"/>
      <c r="F132" s="971"/>
      <c r="G132" s="29"/>
      <c r="H132" s="31"/>
      <c r="I132" s="912"/>
      <c r="J132" s="910"/>
      <c r="K132" s="969"/>
      <c r="L132" s="911"/>
      <c r="M132" s="911"/>
      <c r="N132" s="971"/>
      <c r="Q132" s="912"/>
      <c r="R132" s="910"/>
      <c r="S132" s="969"/>
      <c r="T132" s="911"/>
      <c r="U132" s="911"/>
      <c r="V132" s="971"/>
      <c r="W132" s="29"/>
      <c r="X132" s="694"/>
      <c r="Y132" s="912"/>
      <c r="Z132" s="910"/>
      <c r="AA132" s="969"/>
      <c r="AB132" s="911"/>
      <c r="AC132" s="911"/>
      <c r="AD132" s="971"/>
      <c r="AH132" s="1016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</row>
    <row r="133" spans="1:49" s="19" customFormat="1" ht="12.75" x14ac:dyDescent="0.2">
      <c r="A133" s="912"/>
      <c r="B133" s="910"/>
      <c r="C133" s="969"/>
      <c r="D133" s="911"/>
      <c r="E133" s="911"/>
      <c r="F133" s="971"/>
      <c r="G133" s="29"/>
      <c r="H133" s="31"/>
      <c r="I133" s="912"/>
      <c r="J133" s="910"/>
      <c r="K133" s="969"/>
      <c r="L133" s="911"/>
      <c r="M133" s="911"/>
      <c r="N133" s="971"/>
      <c r="Q133" s="912"/>
      <c r="R133" s="910"/>
      <c r="S133" s="969"/>
      <c r="T133" s="911"/>
      <c r="U133" s="911"/>
      <c r="V133" s="971"/>
      <c r="W133" s="29"/>
      <c r="X133" s="694"/>
      <c r="Y133" s="912"/>
      <c r="Z133" s="910"/>
      <c r="AA133" s="969"/>
      <c r="AB133" s="911"/>
      <c r="AC133" s="911"/>
      <c r="AD133" s="971"/>
      <c r="AH133" s="1016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</row>
    <row r="134" spans="1:49" s="19" customFormat="1" ht="12.75" x14ac:dyDescent="0.2">
      <c r="A134" s="912"/>
      <c r="B134" s="910"/>
      <c r="C134" s="970"/>
      <c r="D134" s="911"/>
      <c r="E134" s="911"/>
      <c r="F134" s="971"/>
      <c r="G134" s="29"/>
      <c r="H134" s="31"/>
      <c r="I134" s="912"/>
      <c r="J134" s="910"/>
      <c r="K134" s="970"/>
      <c r="L134" s="911"/>
      <c r="M134" s="911"/>
      <c r="N134" s="971"/>
      <c r="Q134" s="912"/>
      <c r="R134" s="910"/>
      <c r="S134" s="970"/>
      <c r="T134" s="911"/>
      <c r="U134" s="911"/>
      <c r="V134" s="971"/>
      <c r="W134" s="29"/>
      <c r="X134" s="694"/>
      <c r="Y134" s="912"/>
      <c r="Z134" s="910"/>
      <c r="AA134" s="970"/>
      <c r="AB134" s="911"/>
      <c r="AC134" s="911"/>
      <c r="AD134" s="971"/>
      <c r="AH134" s="1016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</row>
    <row r="135" spans="1:49" s="19" customFormat="1" ht="12.75" x14ac:dyDescent="0.2">
      <c r="A135" s="912"/>
      <c r="B135" s="910"/>
      <c r="C135" s="970"/>
      <c r="D135" s="911"/>
      <c r="E135" s="911"/>
      <c r="F135" s="971"/>
      <c r="G135" s="29"/>
      <c r="H135" s="31"/>
      <c r="I135" s="912"/>
      <c r="J135" s="910"/>
      <c r="K135" s="970"/>
      <c r="L135" s="911"/>
      <c r="M135" s="911"/>
      <c r="N135" s="971"/>
      <c r="Q135" s="912"/>
      <c r="R135" s="910"/>
      <c r="S135" s="970"/>
      <c r="T135" s="911"/>
      <c r="U135" s="911"/>
      <c r="V135" s="971"/>
      <c r="W135" s="29"/>
      <c r="X135" s="694"/>
      <c r="Y135" s="912"/>
      <c r="Z135" s="910"/>
      <c r="AA135" s="970"/>
      <c r="AB135" s="911"/>
      <c r="AC135" s="911"/>
      <c r="AD135" s="971"/>
      <c r="AH135" s="1016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</row>
    <row r="136" spans="1:49" s="19" customFormat="1" ht="12.75" x14ac:dyDescent="0.2">
      <c r="A136" s="912"/>
      <c r="B136" s="910"/>
      <c r="C136" s="970"/>
      <c r="D136" s="911"/>
      <c r="E136" s="911"/>
      <c r="F136" s="971"/>
      <c r="G136" s="29"/>
      <c r="H136" s="31"/>
      <c r="I136" s="912"/>
      <c r="J136" s="910"/>
      <c r="K136" s="970"/>
      <c r="L136" s="911"/>
      <c r="M136" s="911"/>
      <c r="N136" s="971"/>
      <c r="Q136" s="912"/>
      <c r="R136" s="910"/>
      <c r="S136" s="970"/>
      <c r="T136" s="911"/>
      <c r="U136" s="911"/>
      <c r="V136" s="971"/>
      <c r="W136" s="29"/>
      <c r="X136" s="694"/>
      <c r="Y136" s="912"/>
      <c r="Z136" s="910"/>
      <c r="AA136" s="970"/>
      <c r="AB136" s="911"/>
      <c r="AC136" s="911"/>
      <c r="AD136" s="971"/>
      <c r="AH136" s="1016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</row>
    <row r="137" spans="1:49" s="19" customFormat="1" ht="12.75" x14ac:dyDescent="0.2">
      <c r="A137" s="912"/>
      <c r="B137" s="910"/>
      <c r="C137" s="964"/>
      <c r="D137" s="911"/>
      <c r="E137" s="911"/>
      <c r="F137" s="971"/>
      <c r="G137" s="29"/>
      <c r="H137" s="31"/>
      <c r="I137" s="912"/>
      <c r="J137" s="910"/>
      <c r="K137" s="964"/>
      <c r="L137" s="911"/>
      <c r="M137" s="911"/>
      <c r="N137" s="971"/>
      <c r="Q137" s="912"/>
      <c r="R137" s="910"/>
      <c r="S137" s="964"/>
      <c r="T137" s="911"/>
      <c r="U137" s="911"/>
      <c r="V137" s="971"/>
      <c r="W137" s="29"/>
      <c r="X137" s="694"/>
      <c r="Y137" s="912"/>
      <c r="Z137" s="910"/>
      <c r="AA137" s="964"/>
      <c r="AB137" s="911"/>
      <c r="AC137" s="911"/>
      <c r="AD137" s="971"/>
      <c r="AH137" s="1016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</row>
    <row r="138" spans="1:49" s="19" customFormat="1" ht="12.75" x14ac:dyDescent="0.2">
      <c r="A138" s="912"/>
      <c r="B138" s="910"/>
      <c r="C138" s="964"/>
      <c r="D138" s="911"/>
      <c r="E138" s="911"/>
      <c r="F138" s="971"/>
      <c r="G138" s="29"/>
      <c r="H138" s="31"/>
      <c r="I138" s="912"/>
      <c r="J138" s="910"/>
      <c r="K138" s="964"/>
      <c r="L138" s="911"/>
      <c r="M138" s="911"/>
      <c r="N138" s="971"/>
      <c r="Q138" s="912"/>
      <c r="R138" s="910"/>
      <c r="S138" s="964"/>
      <c r="T138" s="911"/>
      <c r="U138" s="911"/>
      <c r="V138" s="971"/>
      <c r="W138" s="29"/>
      <c r="X138" s="694"/>
      <c r="Y138" s="912"/>
      <c r="Z138" s="910"/>
      <c r="AA138" s="964"/>
      <c r="AB138" s="911"/>
      <c r="AC138" s="911"/>
      <c r="AD138" s="971"/>
      <c r="AH138" s="1016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</row>
    <row r="139" spans="1:49" s="19" customFormat="1" ht="12.75" x14ac:dyDescent="0.2">
      <c r="A139" s="912"/>
      <c r="B139" s="910"/>
      <c r="C139" s="964"/>
      <c r="D139" s="911"/>
      <c r="E139" s="911"/>
      <c r="F139" s="971"/>
      <c r="G139" s="29"/>
      <c r="H139" s="31"/>
      <c r="I139" s="912"/>
      <c r="J139" s="910"/>
      <c r="K139" s="964"/>
      <c r="L139" s="911"/>
      <c r="M139" s="911"/>
      <c r="N139" s="971"/>
      <c r="Q139" s="912"/>
      <c r="R139" s="910"/>
      <c r="S139" s="964"/>
      <c r="T139" s="911"/>
      <c r="U139" s="911"/>
      <c r="V139" s="971"/>
      <c r="W139" s="29"/>
      <c r="X139" s="694"/>
      <c r="Y139" s="912"/>
      <c r="Z139" s="910"/>
      <c r="AA139" s="964"/>
      <c r="AB139" s="911"/>
      <c r="AC139" s="911"/>
      <c r="AD139" s="971"/>
      <c r="AH139" s="1016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</row>
    <row r="140" spans="1:49" s="19" customFormat="1" ht="12.75" x14ac:dyDescent="0.2">
      <c r="A140" s="912"/>
      <c r="B140" s="910"/>
      <c r="C140" s="964"/>
      <c r="D140" s="911"/>
      <c r="E140" s="911"/>
      <c r="F140" s="971"/>
      <c r="G140" s="29"/>
      <c r="H140" s="31"/>
      <c r="I140" s="912"/>
      <c r="J140" s="910"/>
      <c r="K140" s="964"/>
      <c r="L140" s="911"/>
      <c r="M140" s="911"/>
      <c r="N140" s="971"/>
      <c r="Q140" s="912"/>
      <c r="R140" s="910"/>
      <c r="S140" s="964"/>
      <c r="T140" s="911"/>
      <c r="U140" s="911"/>
      <c r="V140" s="971"/>
      <c r="W140" s="29"/>
      <c r="X140" s="694"/>
      <c r="Y140" s="912"/>
      <c r="Z140" s="910"/>
      <c r="AA140" s="964"/>
      <c r="AB140" s="911"/>
      <c r="AC140" s="911"/>
      <c r="AD140" s="971"/>
      <c r="AH140" s="1016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</row>
    <row r="141" spans="1:49" s="19" customFormat="1" ht="12.75" x14ac:dyDescent="0.2">
      <c r="A141" s="912"/>
      <c r="B141" s="910"/>
      <c r="C141" s="964"/>
      <c r="D141" s="911"/>
      <c r="E141" s="911"/>
      <c r="F141" s="971"/>
      <c r="G141" s="29"/>
      <c r="H141" s="31"/>
      <c r="I141" s="912"/>
      <c r="J141" s="910"/>
      <c r="K141" s="964"/>
      <c r="L141" s="911"/>
      <c r="M141" s="911"/>
      <c r="N141" s="971"/>
      <c r="Q141" s="912"/>
      <c r="R141" s="910"/>
      <c r="S141" s="964"/>
      <c r="T141" s="911"/>
      <c r="U141" s="911"/>
      <c r="V141" s="971"/>
      <c r="W141" s="29"/>
      <c r="X141" s="694"/>
      <c r="Y141" s="912"/>
      <c r="Z141" s="910"/>
      <c r="AA141" s="964"/>
      <c r="AB141" s="911"/>
      <c r="AC141" s="911"/>
      <c r="AD141" s="971"/>
      <c r="AH141" s="1016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</row>
    <row r="142" spans="1:49" s="19" customFormat="1" ht="12.75" x14ac:dyDescent="0.2">
      <c r="A142" s="912"/>
      <c r="B142" s="910"/>
      <c r="C142" s="964"/>
      <c r="D142" s="911"/>
      <c r="E142" s="911"/>
      <c r="F142" s="971"/>
      <c r="G142" s="29"/>
      <c r="H142" s="31"/>
      <c r="I142" s="912"/>
      <c r="J142" s="910"/>
      <c r="K142" s="964"/>
      <c r="L142" s="911"/>
      <c r="M142" s="911"/>
      <c r="N142" s="971"/>
      <c r="Q142" s="912"/>
      <c r="R142" s="910"/>
      <c r="S142" s="964"/>
      <c r="T142" s="911"/>
      <c r="U142" s="911"/>
      <c r="V142" s="971"/>
      <c r="W142" s="29"/>
      <c r="X142" s="694"/>
      <c r="Y142" s="912"/>
      <c r="Z142" s="910"/>
      <c r="AA142" s="964"/>
      <c r="AB142" s="911"/>
      <c r="AC142" s="911"/>
      <c r="AD142" s="971"/>
      <c r="AH142" s="1016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</row>
    <row r="143" spans="1:49" s="19" customFormat="1" ht="12.75" x14ac:dyDescent="0.2">
      <c r="A143" s="912"/>
      <c r="B143" s="910"/>
      <c r="C143" s="964"/>
      <c r="D143" s="911"/>
      <c r="E143" s="911"/>
      <c r="F143" s="971"/>
      <c r="G143" s="29"/>
      <c r="H143" s="31"/>
      <c r="I143" s="912"/>
      <c r="J143" s="910"/>
      <c r="K143" s="964"/>
      <c r="L143" s="911"/>
      <c r="M143" s="911"/>
      <c r="N143" s="971"/>
      <c r="Q143" s="912"/>
      <c r="R143" s="910"/>
      <c r="S143" s="964"/>
      <c r="T143" s="911"/>
      <c r="U143" s="911"/>
      <c r="V143" s="971"/>
      <c r="W143" s="29"/>
      <c r="X143" s="694"/>
      <c r="Y143" s="912"/>
      <c r="Z143" s="910"/>
      <c r="AA143" s="964"/>
      <c r="AB143" s="911"/>
      <c r="AC143" s="911"/>
      <c r="AD143" s="971"/>
      <c r="AH143" s="1016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</row>
    <row r="144" spans="1:49" s="19" customFormat="1" ht="12.75" x14ac:dyDescent="0.2">
      <c r="A144" s="912"/>
      <c r="B144" s="910"/>
      <c r="C144" s="964"/>
      <c r="D144" s="911"/>
      <c r="E144" s="911"/>
      <c r="F144" s="971"/>
      <c r="G144" s="29"/>
      <c r="H144" s="31"/>
      <c r="I144" s="912"/>
      <c r="J144" s="910"/>
      <c r="K144" s="964"/>
      <c r="L144" s="911"/>
      <c r="M144" s="911"/>
      <c r="N144" s="971"/>
      <c r="Q144" s="912"/>
      <c r="R144" s="910"/>
      <c r="S144" s="964"/>
      <c r="T144" s="911"/>
      <c r="U144" s="911"/>
      <c r="V144" s="971"/>
      <c r="W144" s="29"/>
      <c r="X144" s="694"/>
      <c r="Y144" s="912"/>
      <c r="Z144" s="910"/>
      <c r="AA144" s="964"/>
      <c r="AB144" s="911"/>
      <c r="AC144" s="911"/>
      <c r="AD144" s="971"/>
      <c r="AH144" s="1016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</row>
    <row r="145" spans="1:49" s="19" customFormat="1" ht="13.5" thickBot="1" x14ac:dyDescent="0.25">
      <c r="A145" s="956"/>
      <c r="B145" s="957"/>
      <c r="C145" s="966"/>
      <c r="D145" s="967"/>
      <c r="E145" s="967"/>
      <c r="F145" s="986"/>
      <c r="G145" s="29"/>
      <c r="H145" s="31"/>
      <c r="I145" s="956"/>
      <c r="J145" s="957"/>
      <c r="K145" s="966"/>
      <c r="L145" s="967"/>
      <c r="M145" s="967"/>
      <c r="N145" s="986"/>
      <c r="Q145" s="956"/>
      <c r="R145" s="957"/>
      <c r="S145" s="966"/>
      <c r="T145" s="967"/>
      <c r="U145" s="967"/>
      <c r="V145" s="986"/>
      <c r="W145" s="29"/>
      <c r="X145" s="694"/>
      <c r="Y145" s="956"/>
      <c r="Z145" s="957"/>
      <c r="AA145" s="966"/>
      <c r="AB145" s="967"/>
      <c r="AC145" s="967"/>
      <c r="AD145" s="986"/>
      <c r="AH145" s="1016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</row>
  </sheetData>
  <sheetProtection sheet="1" objects="1" scenarios="1" formatCells="0" formatColumns="0" formatRows="0" sort="0"/>
  <mergeCells count="15">
    <mergeCell ref="Q54:Z54"/>
    <mergeCell ref="B54:B55"/>
    <mergeCell ref="I1:J1"/>
    <mergeCell ref="C54:M54"/>
    <mergeCell ref="AN53:AO53"/>
    <mergeCell ref="AP54:AQ54"/>
    <mergeCell ref="AR54:AS54"/>
    <mergeCell ref="AN54:AO54"/>
    <mergeCell ref="AJ54:AJ55"/>
    <mergeCell ref="AV53:AW53"/>
    <mergeCell ref="AV54:AW54"/>
    <mergeCell ref="AT53:AU53"/>
    <mergeCell ref="AT54:AU54"/>
    <mergeCell ref="AP53:AQ53"/>
    <mergeCell ref="AR53:AS53"/>
  </mergeCells>
  <conditionalFormatting sqref="C82:Z94">
    <cfRule type="expression" dxfId="42" priority="2088" stopIfTrue="1">
      <formula>C$82=0</formula>
    </cfRule>
  </conditionalFormatting>
  <conditionalFormatting sqref="A16:N43">
    <cfRule type="expression" dxfId="41" priority="15" stopIfTrue="1">
      <formula>$B16=""</formula>
    </cfRule>
  </conditionalFormatting>
  <conditionalFormatting sqref="A56:A79 C56:AA79">
    <cfRule type="expression" dxfId="40" priority="2096" stopIfTrue="1">
      <formula>$N56=0</formula>
    </cfRule>
  </conditionalFormatting>
  <conditionalFormatting sqref="F20:G43">
    <cfRule type="expression" dxfId="39" priority="2097" stopIfTrue="1">
      <formula>$AD56=TRUE</formula>
    </cfRule>
  </conditionalFormatting>
  <conditionalFormatting sqref="A45:E45">
    <cfRule type="expression" dxfId="38" priority="2" stopIfTrue="1">
      <formula>$B45=""</formula>
    </cfRule>
  </conditionalFormatting>
  <conditionalFormatting sqref="V2">
    <cfRule type="expression" dxfId="37" priority="1" stopIfTrue="1">
      <formula>$B4=""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xSplit="10" ySplit="42" topLeftCell="K378" activePane="bottomRight" state="frozen"/>
      <selection pane="topRight" activeCell="K1" sqref="K1"/>
      <selection pane="bottomLeft" activeCell="A43" sqref="A43"/>
      <selection pane="bottomRight" activeCell="Y1" sqref="Y1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34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7.85546875" style="6" customWidth="1"/>
    <col min="62" max="64" width="10.140625" style="6" customWidth="1"/>
    <col min="65" max="65" width="10.140625" style="571" customWidth="1"/>
    <col min="66" max="69" width="10.140625" style="6" customWidth="1"/>
    <col min="70" max="70" width="10.140625" style="571" customWidth="1"/>
    <col min="71" max="71" width="10.140625" style="567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47" t="s">
        <v>195</v>
      </c>
      <c r="B1" s="90"/>
      <c r="K1" s="4"/>
      <c r="L1" s="4"/>
      <c r="M1" s="4"/>
      <c r="N1" s="272" t="s">
        <v>241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48">
        <v>0.99399999999999999</v>
      </c>
      <c r="Z1" s="668" t="s">
        <v>226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41" t="s">
        <v>75</v>
      </c>
      <c r="AN1" s="4"/>
      <c r="AO1" s="4"/>
      <c r="AT1" s="754"/>
      <c r="AY1" s="754"/>
      <c r="BC1" s="1246" t="s">
        <v>208</v>
      </c>
      <c r="BD1" s="1246"/>
      <c r="BE1" s="1246"/>
      <c r="BF1" s="797"/>
      <c r="BH1" s="724" t="s">
        <v>200</v>
      </c>
      <c r="BJ1" s="709"/>
      <c r="BK1" s="709"/>
      <c r="BL1" s="709"/>
      <c r="BM1" s="709"/>
      <c r="BN1" s="709"/>
      <c r="BO1" s="709"/>
      <c r="BP1" s="709"/>
      <c r="BQ1" s="709"/>
      <c r="BR1" s="572"/>
      <c r="BS1" s="573"/>
      <c r="BT1" s="460"/>
    </row>
    <row r="2" spans="1:84" s="4" customFormat="1" ht="12.75" customHeight="1" thickBot="1" x14ac:dyDescent="0.3">
      <c r="A2" s="1237" t="str">
        <f>'Réglage perte'!B2</f>
        <v>Noueilles salle des fêtes</v>
      </c>
      <c r="B2" s="1238"/>
      <c r="C2" s="1238"/>
      <c r="D2" s="1239"/>
      <c r="I2" s="1191" t="s">
        <v>371</v>
      </c>
      <c r="J2" s="1192">
        <f>AVERAGEIF($BW$15:$CF$380,"&gt;0,97")</f>
        <v>0.99899737490075047</v>
      </c>
      <c r="L2" s="175">
        <v>43079</v>
      </c>
      <c r="M2" s="175">
        <v>43093</v>
      </c>
      <c r="N2" s="751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5">
        <v>43473</v>
      </c>
      <c r="AO2" s="175">
        <v>43487</v>
      </c>
      <c r="BB2" s="722"/>
      <c r="BC2" s="1246"/>
      <c r="BD2" s="1246"/>
      <c r="BE2" s="1246"/>
      <c r="BF2" s="797"/>
      <c r="BH2" s="28"/>
      <c r="BI2" s="564"/>
      <c r="BJ2" s="565"/>
      <c r="BK2" s="281"/>
      <c r="BL2" s="565"/>
      <c r="BM2" s="566"/>
      <c r="BN2" s="281"/>
      <c r="BP2" s="6"/>
      <c r="BQ2" s="281"/>
      <c r="BR2" s="566"/>
      <c r="BS2" s="567"/>
      <c r="BT2" s="6"/>
    </row>
    <row r="3" spans="1:84" s="4" customFormat="1" ht="12.75" customHeight="1" thickBot="1" x14ac:dyDescent="0.3">
      <c r="A3" s="1240"/>
      <c r="B3" s="1241"/>
      <c r="C3" s="1241"/>
      <c r="D3" s="1242"/>
      <c r="E3" s="3"/>
      <c r="L3" s="746">
        <f>AL3</f>
        <v>266</v>
      </c>
      <c r="M3" s="750">
        <f>+AM3</f>
        <v>257</v>
      </c>
      <c r="N3" s="171">
        <v>282</v>
      </c>
      <c r="O3" s="171">
        <v>325</v>
      </c>
      <c r="P3" s="171">
        <v>375</v>
      </c>
      <c r="Q3" s="171">
        <v>425</v>
      </c>
      <c r="R3" s="171">
        <v>474</v>
      </c>
      <c r="S3" s="171">
        <v>522</v>
      </c>
      <c r="T3" s="171">
        <v>564</v>
      </c>
      <c r="U3" s="171">
        <v>592</v>
      </c>
      <c r="V3" s="171">
        <v>610</v>
      </c>
      <c r="W3" s="171">
        <v>620</v>
      </c>
      <c r="X3" s="171">
        <v>624</v>
      </c>
      <c r="Y3" s="171">
        <v>622</v>
      </c>
      <c r="Z3" s="171">
        <v>614</v>
      </c>
      <c r="AA3" s="171">
        <v>600</v>
      </c>
      <c r="AB3" s="171">
        <v>583</v>
      </c>
      <c r="AC3" s="171">
        <v>564</v>
      </c>
      <c r="AD3" s="171">
        <v>544</v>
      </c>
      <c r="AE3" s="171">
        <v>520</v>
      </c>
      <c r="AF3" s="171">
        <v>489</v>
      </c>
      <c r="AG3" s="171">
        <v>452</v>
      </c>
      <c r="AH3" s="171">
        <v>411</v>
      </c>
      <c r="AI3" s="171">
        <v>370</v>
      </c>
      <c r="AJ3" s="171">
        <v>332</v>
      </c>
      <c r="AK3" s="171">
        <v>296</v>
      </c>
      <c r="AL3" s="171">
        <v>266</v>
      </c>
      <c r="AM3" s="171">
        <v>257</v>
      </c>
      <c r="AN3" s="746">
        <f>+N3</f>
        <v>282</v>
      </c>
      <c r="AO3" s="747">
        <f>+O3</f>
        <v>325</v>
      </c>
      <c r="BC3" s="1246"/>
      <c r="BD3" s="1246"/>
      <c r="BE3" s="1246"/>
      <c r="BF3" s="797"/>
      <c r="BH3" s="28"/>
      <c r="BI3" s="6"/>
      <c r="BJ3" s="6"/>
      <c r="BK3" s="6"/>
      <c r="BL3" s="6"/>
      <c r="BM3" s="6"/>
      <c r="BN3" s="6"/>
      <c r="BO3" s="787" t="s">
        <v>238</v>
      </c>
      <c r="BP3" s="788">
        <v>0.3</v>
      </c>
      <c r="BQ3" s="789" t="s">
        <v>239</v>
      </c>
      <c r="BR3" s="790" t="s">
        <v>244</v>
      </c>
      <c r="BS3" s="565"/>
    </row>
    <row r="4" spans="1:84" s="4" customFormat="1" ht="12.75" customHeight="1" x14ac:dyDescent="0.25">
      <c r="A4" s="2"/>
      <c r="B4" s="416"/>
      <c r="E4" s="33"/>
      <c r="F4" s="568"/>
      <c r="K4" s="2"/>
      <c r="M4" s="626" t="s">
        <v>192</v>
      </c>
      <c r="N4" s="752">
        <f>MAX($BA15:$BA28)-1</f>
        <v>8.8900542938465943E-3</v>
      </c>
      <c r="O4" s="642">
        <f>MAX($BA29:$BA42)-1</f>
        <v>4.3887979774112962E-2</v>
      </c>
      <c r="P4" s="642">
        <f>MAX($BA43:$BA56)-1</f>
        <v>4.186689449621217E-2</v>
      </c>
      <c r="Q4" s="642">
        <f>MAX(BA57:BA70)-1</f>
        <v>-1.1845834892804108E-3</v>
      </c>
      <c r="R4" s="642">
        <f>MAX(BA71:BA84)-1</f>
        <v>2.555793656552563E-3</v>
      </c>
      <c r="S4" s="642">
        <f>MAX(BA85:BA98)-1</f>
        <v>4.3484055130817101E-2</v>
      </c>
      <c r="T4" s="642">
        <f>MAX(BA99:BA112)-1</f>
        <v>4.2622380497127521E-2</v>
      </c>
      <c r="U4" s="642">
        <f>MAX(BA113:BA126)-1</f>
        <v>4.8244182657660062E-2</v>
      </c>
      <c r="V4" s="642">
        <f>MAX(BA127:BA140)-1</f>
        <v>2.0778626236569675E-2</v>
      </c>
      <c r="W4" s="642">
        <f>MAX(BA141:BA154)-1</f>
        <v>7.2105694192106107E-3</v>
      </c>
      <c r="X4" s="642">
        <f>MAX(BA155:BA168)-1</f>
        <v>2.5366007670084567E-2</v>
      </c>
      <c r="Y4" s="642">
        <f>MAX(BA169:BA182)-1</f>
        <v>3.9240239061592019E-2</v>
      </c>
      <c r="Z4" s="642">
        <f>MAX(BA183:BA196)-1</f>
        <v>1.396875364265604E-2</v>
      </c>
      <c r="AA4" s="642">
        <f>MAX(BA197:BA210)-1</f>
        <v>3.3163772445417017E-2</v>
      </c>
      <c r="AB4" s="642">
        <f>MAX(BA211:BA224)-1</f>
        <v>2.8872764170830179E-2</v>
      </c>
      <c r="AC4" s="642">
        <f>MAX(BA225:BA238)-1</f>
        <v>2.2244336049096702E-2</v>
      </c>
      <c r="AD4" s="642">
        <f>MAX(BA239:BA252)-1</f>
        <v>3.4038756541722615E-2</v>
      </c>
      <c r="AE4" s="642">
        <f>MAX(BA253:BA266)-1</f>
        <v>3.703700998098447E-2</v>
      </c>
      <c r="AF4" s="642">
        <f>MAX(BA267:BA280)-1</f>
        <v>3.4352166849780152E-2</v>
      </c>
      <c r="AG4" s="642">
        <f>MAX(BA281:BA294)-1</f>
        <v>2.690210693262518E-2</v>
      </c>
      <c r="AH4" s="642">
        <f>MAX(BA295:BA308)-1</f>
        <v>2.5573114176512535E-2</v>
      </c>
      <c r="AI4" s="642">
        <f>MAX(BA309:BA322)-1</f>
        <v>2.4043709650654277E-2</v>
      </c>
      <c r="AJ4" s="642">
        <f>MAX(BA323:BA336)-1</f>
        <v>3.167209565814133E-2</v>
      </c>
      <c r="AK4" s="642">
        <f>MAX(BA337:BA350)-1</f>
        <v>4.2212857035779594E-2</v>
      </c>
      <c r="AL4" s="642">
        <f>MAX(BA351:BA364)-1</f>
        <v>3.6795499414360888E-2</v>
      </c>
      <c r="AM4" s="642">
        <f>MAX(BA365:BA380)-1</f>
        <v>1.8035793208456496E-2</v>
      </c>
      <c r="AN4" s="630"/>
      <c r="AP4" s="568"/>
      <c r="AU4" s="568"/>
      <c r="BC4" s="19"/>
      <c r="BD4" s="282"/>
      <c r="BE4" s="282"/>
      <c r="BF4" s="282"/>
      <c r="BI4" s="6"/>
      <c r="BJ4" s="6"/>
      <c r="BK4" s="6"/>
      <c r="BL4" s="6"/>
      <c r="BM4" s="6"/>
      <c r="BN4" s="6"/>
      <c r="BO4" s="355" t="s">
        <v>240</v>
      </c>
      <c r="BP4" s="791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43" t="s">
        <v>191</v>
      </c>
      <c r="B5" s="1244"/>
      <c r="C5" s="1244"/>
      <c r="D5" s="1244"/>
      <c r="E5" s="1244"/>
      <c r="F5" s="1244"/>
      <c r="G5" s="1244"/>
      <c r="H5" s="1244"/>
      <c r="I5" s="1244"/>
      <c r="J5" s="1245"/>
      <c r="K5" s="89"/>
      <c r="N5" s="88"/>
      <c r="O5" s="88"/>
      <c r="P5" s="19"/>
      <c r="Q5" s="70"/>
      <c r="R5" s="70"/>
      <c r="S5" s="70"/>
      <c r="T5" s="70"/>
      <c r="U5" s="70"/>
      <c r="V5" s="627"/>
      <c r="W5" s="70"/>
      <c r="X5" s="70"/>
      <c r="Y5" s="70"/>
      <c r="Z5" s="70"/>
      <c r="AA5" s="70"/>
      <c r="AB5" s="70"/>
      <c r="AC5" s="70"/>
      <c r="AD5" s="70"/>
      <c r="AE5" s="628"/>
      <c r="AF5" s="19"/>
      <c r="AG5" s="19"/>
      <c r="AH5" s="71"/>
      <c r="AI5" s="641"/>
      <c r="AJ5" s="641"/>
      <c r="AK5" s="641"/>
      <c r="AL5" s="641"/>
      <c r="AM5" s="88"/>
      <c r="AN5" s="640"/>
      <c r="AP5" s="748"/>
      <c r="AQ5" s="748"/>
      <c r="AR5" s="748"/>
      <c r="AS5" s="748"/>
      <c r="AT5" s="755"/>
      <c r="AU5" s="748"/>
      <c r="AV5" s="748"/>
      <c r="AW5" s="748"/>
      <c r="AX5" s="748"/>
      <c r="AY5" s="755"/>
      <c r="AZ5" s="748"/>
      <c r="BC5" s="19"/>
      <c r="BD5" s="282"/>
      <c r="BE5" s="282"/>
      <c r="BF5" s="282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7">
        <f>'2019'!An</f>
        <v>2019</v>
      </c>
      <c r="B6" s="267">
        <f>'2020'!An</f>
        <v>2020</v>
      </c>
      <c r="C6" s="267">
        <f>'2021'!An</f>
        <v>2021</v>
      </c>
      <c r="D6" s="267">
        <f>'2022'!An</f>
        <v>2022</v>
      </c>
      <c r="E6" s="267">
        <f>'2023'!An</f>
        <v>2023</v>
      </c>
      <c r="F6" s="269">
        <f>'2024'!An</f>
        <v>2024</v>
      </c>
      <c r="G6" s="269">
        <f>'2025'!An</f>
        <v>2025</v>
      </c>
      <c r="H6" s="269">
        <f>'2026'!An</f>
        <v>2026</v>
      </c>
      <c r="I6" s="269">
        <f>'2027'!An</f>
        <v>2027</v>
      </c>
      <c r="J6" s="269">
        <f>'2028'!An</f>
        <v>2028</v>
      </c>
      <c r="K6" s="2"/>
      <c r="BC6" s="37"/>
      <c r="BD6" s="283"/>
      <c r="BE6" s="283"/>
      <c r="BF6" s="283"/>
      <c r="BH6" s="164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8">
        <f>'2019'!Dépas_env</f>
        <v>3.9240239061592019E-2</v>
      </c>
      <c r="B7" s="268">
        <f>'2020'!Dépas_env</f>
        <v>4.3484055130817101E-2</v>
      </c>
      <c r="C7" s="268">
        <f>'2021'!Dépas_env</f>
        <v>4.3887979774112962E-2</v>
      </c>
      <c r="D7" s="268">
        <f>'2022'!Dépas_env</f>
        <v>4.8244182657660062E-2</v>
      </c>
      <c r="E7" s="268">
        <f>'2023'!Dépas_env</f>
        <v>4.824418265765984E-2</v>
      </c>
      <c r="F7" s="598">
        <f>'2024'!Dépas_env</f>
        <v>4.8244182657660062E-2</v>
      </c>
      <c r="G7" s="598">
        <f>'2025'!Dépas_env</f>
        <v>4.8244182657660062E-2</v>
      </c>
      <c r="H7" s="598">
        <f>'2026'!Dépas_env</f>
        <v>4.8244182657660284E-2</v>
      </c>
      <c r="I7" s="598">
        <f>'2027'!Dépas_env</f>
        <v>4.8244182657660062E-2</v>
      </c>
      <c r="J7" s="598">
        <f>'2028'!Dépas_env</f>
        <v>4.8244182657660062E-2</v>
      </c>
      <c r="K7" s="2"/>
      <c r="BA7" s="631"/>
      <c r="BC7" s="19"/>
      <c r="BD7" s="282"/>
      <c r="BE7" s="282"/>
      <c r="BF7" s="282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69"/>
      <c r="B8" s="269"/>
      <c r="C8" s="269"/>
      <c r="D8" s="269"/>
      <c r="E8" s="269"/>
      <c r="F8" s="267"/>
      <c r="G8" s="267"/>
      <c r="H8" s="267"/>
      <c r="I8" s="267"/>
      <c r="J8" s="267"/>
      <c r="K8" s="2"/>
      <c r="BA8" s="631"/>
      <c r="BC8" s="6"/>
      <c r="BD8" s="281"/>
      <c r="BE8" s="281"/>
      <c r="BF8" s="281"/>
      <c r="BJ8" s="6"/>
      <c r="BK8" s="6"/>
      <c r="BL8" s="6"/>
      <c r="BM8" s="6"/>
      <c r="BN8" s="6"/>
      <c r="BO8" s="569"/>
      <c r="BP8" s="569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0"/>
      <c r="B9" s="270"/>
      <c r="C9" s="270"/>
      <c r="D9" s="270"/>
      <c r="E9" s="270"/>
      <c r="F9" s="270"/>
      <c r="G9" s="270"/>
      <c r="H9" s="270"/>
      <c r="I9" s="270"/>
      <c r="J9" s="270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31"/>
      <c r="BB9" s="19"/>
      <c r="BC9" s="19"/>
      <c r="BD9" s="282"/>
      <c r="BE9" s="282"/>
      <c r="BF9" s="282"/>
      <c r="BH9" s="692">
        <f>PousHi*($A$6-BP13-INDEX(Croivg,MIN(MAX(BO13-DATE(BP13,1,1)+1,0),366)))</f>
        <v>-1.2010628157667154</v>
      </c>
      <c r="BI9" s="953" t="s">
        <v>299</v>
      </c>
      <c r="BJ9" s="6"/>
      <c r="BK9" s="6"/>
      <c r="BL9" s="6"/>
      <c r="BM9" s="6"/>
      <c r="BN9" s="6"/>
      <c r="BO9" s="569"/>
      <c r="BP9" s="569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40"/>
      <c r="BD10" s="281"/>
      <c r="BE10" s="281"/>
      <c r="BF10" s="281"/>
      <c r="BH10" s="1031">
        <f>MIN(MATCH(H_i,Echel_vg),10)</f>
        <v>4</v>
      </c>
      <c r="BI10" s="560"/>
      <c r="BO10" s="723"/>
      <c r="BP10" s="723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C11" s="560" t="s">
        <v>320</v>
      </c>
      <c r="D11" s="1070">
        <v>0.97</v>
      </c>
      <c r="E11" s="8"/>
      <c r="J11" s="9"/>
      <c r="K11" s="7"/>
      <c r="L11" s="749" t="s">
        <v>227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79" t="s">
        <v>230</v>
      </c>
      <c r="AT11" s="27"/>
      <c r="AU11" s="679" t="s">
        <v>231</v>
      </c>
      <c r="AY11" s="27"/>
      <c r="AZ11" s="760" t="s">
        <v>234</v>
      </c>
      <c r="BA11" s="631"/>
      <c r="BB11" s="19"/>
      <c r="BC11" s="15"/>
      <c r="BD11" s="1247" t="s">
        <v>249</v>
      </c>
      <c r="BE11" s="1248"/>
      <c r="BF11" s="1251" t="s">
        <v>245</v>
      </c>
      <c r="BH11" s="1032">
        <f>INDEX(Echel_vg,$BH$10)</f>
        <v>-2</v>
      </c>
      <c r="BI11" s="560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89">
        <f>+MIN(B15:B379)</f>
        <v>10.143572329853523</v>
      </c>
      <c r="C12" s="12">
        <f>+MIN(C15:C379)</f>
        <v>2018</v>
      </c>
      <c r="D12" s="1043">
        <f>+MIN(D15:D379)</f>
        <v>0.97054218700240791</v>
      </c>
      <c r="E12" s="12">
        <f t="shared" ref="E12:J12" si="1">+MIN(E15:E379)</f>
        <v>25.5458</v>
      </c>
      <c r="F12" s="415">
        <f t="shared" si="1"/>
        <v>1</v>
      </c>
      <c r="G12" s="12">
        <f t="shared" si="1"/>
        <v>2</v>
      </c>
      <c r="H12" s="173">
        <f t="shared" si="1"/>
        <v>43093</v>
      </c>
      <c r="I12" s="389">
        <f t="shared" si="1"/>
        <v>0</v>
      </c>
      <c r="J12" s="389">
        <f t="shared" si="1"/>
        <v>25.492497536327157</v>
      </c>
      <c r="K12" s="6"/>
      <c r="L12" s="175">
        <f>L2</f>
        <v>43079</v>
      </c>
      <c r="M12" s="175">
        <f t="shared" ref="M12:AO12" si="2">M2</f>
        <v>43093</v>
      </c>
      <c r="N12" s="175">
        <f t="shared" si="2"/>
        <v>43108</v>
      </c>
      <c r="O12" s="175">
        <f t="shared" si="2"/>
        <v>43122</v>
      </c>
      <c r="P12" s="175">
        <f t="shared" si="2"/>
        <v>43136</v>
      </c>
      <c r="Q12" s="175">
        <f t="shared" si="2"/>
        <v>43150</v>
      </c>
      <c r="R12" s="175">
        <f t="shared" si="2"/>
        <v>43164</v>
      </c>
      <c r="S12" s="175">
        <f t="shared" si="2"/>
        <v>43178</v>
      </c>
      <c r="T12" s="175">
        <f t="shared" si="2"/>
        <v>43192</v>
      </c>
      <c r="U12" s="175">
        <f t="shared" si="2"/>
        <v>43206</v>
      </c>
      <c r="V12" s="175">
        <f t="shared" si="2"/>
        <v>43220</v>
      </c>
      <c r="W12" s="175">
        <f t="shared" si="2"/>
        <v>43234</v>
      </c>
      <c r="X12" s="175">
        <f t="shared" si="2"/>
        <v>43248</v>
      </c>
      <c r="Y12" s="175">
        <f t="shared" si="2"/>
        <v>43262</v>
      </c>
      <c r="Z12" s="175">
        <f t="shared" si="2"/>
        <v>43276</v>
      </c>
      <c r="AA12" s="175">
        <f t="shared" si="2"/>
        <v>43290</v>
      </c>
      <c r="AB12" s="175">
        <f t="shared" si="2"/>
        <v>43304</v>
      </c>
      <c r="AC12" s="175">
        <f t="shared" si="2"/>
        <v>43318</v>
      </c>
      <c r="AD12" s="175">
        <f t="shared" si="2"/>
        <v>43332</v>
      </c>
      <c r="AE12" s="175">
        <f t="shared" si="2"/>
        <v>43346</v>
      </c>
      <c r="AF12" s="175">
        <f t="shared" si="2"/>
        <v>43360</v>
      </c>
      <c r="AG12" s="175">
        <f t="shared" si="2"/>
        <v>43374</v>
      </c>
      <c r="AH12" s="175">
        <f t="shared" si="2"/>
        <v>43388</v>
      </c>
      <c r="AI12" s="175">
        <f t="shared" si="2"/>
        <v>43402</v>
      </c>
      <c r="AJ12" s="175">
        <f t="shared" si="2"/>
        <v>43416</v>
      </c>
      <c r="AK12" s="175">
        <f t="shared" si="2"/>
        <v>43430</v>
      </c>
      <c r="AL12" s="175">
        <f t="shared" si="2"/>
        <v>43444</v>
      </c>
      <c r="AM12" s="175">
        <f t="shared" si="2"/>
        <v>43458</v>
      </c>
      <c r="AN12" s="175">
        <f t="shared" si="2"/>
        <v>43473</v>
      </c>
      <c r="AO12" s="175">
        <f t="shared" si="2"/>
        <v>43487</v>
      </c>
      <c r="AP12" s="415">
        <f t="shared" ref="AP12:AZ12" si="3">+MIN(AP15:AP379)</f>
        <v>1</v>
      </c>
      <c r="AQ12" s="12">
        <f t="shared" si="3"/>
        <v>2</v>
      </c>
      <c r="AR12" s="173">
        <f t="shared" si="3"/>
        <v>43079</v>
      </c>
      <c r="AS12" s="389">
        <f t="shared" si="3"/>
        <v>0</v>
      </c>
      <c r="AT12" s="389">
        <f t="shared" si="3"/>
        <v>26.034450981329229</v>
      </c>
      <c r="AU12" s="415">
        <f t="shared" si="3"/>
        <v>1</v>
      </c>
      <c r="AV12" s="12">
        <f t="shared" si="3"/>
        <v>2</v>
      </c>
      <c r="AW12" s="173">
        <f t="shared" si="3"/>
        <v>43093</v>
      </c>
      <c r="AX12" s="389">
        <f t="shared" si="3"/>
        <v>0</v>
      </c>
      <c r="AY12" s="389">
        <f t="shared" si="3"/>
        <v>25.499732759328825</v>
      </c>
      <c r="AZ12" s="389">
        <f t="shared" si="3"/>
        <v>25.782171570077043</v>
      </c>
      <c r="BA12" s="629"/>
      <c r="BC12" s="15"/>
      <c r="BD12" s="1249"/>
      <c r="BE12" s="1250"/>
      <c r="BF12" s="1252"/>
      <c r="BH12" s="1033">
        <f>(H_i-BH11)/(INDEX(Echel_vg,$BH$10+1)-BH$11)</f>
        <v>0.79893718423328464</v>
      </c>
      <c r="BJ12" s="6"/>
      <c r="BK12" s="6"/>
      <c r="BL12" s="6"/>
      <c r="BN12" s="355" t="str">
        <f>Masques!B53</f>
        <v>Pas de calcul pousse en hauteur:</v>
      </c>
      <c r="BO12" s="1099">
        <f>+Masques!C53</f>
        <v>1</v>
      </c>
      <c r="BP12" s="569"/>
      <c r="BQ12" s="569"/>
      <c r="BR12" s="570"/>
      <c r="BS12" s="567"/>
      <c r="BT12" s="6"/>
    </row>
    <row r="13" spans="1:84" s="4" customFormat="1" ht="12.75" customHeight="1" thickBot="1" x14ac:dyDescent="0.3">
      <c r="A13" s="27" t="s">
        <v>5</v>
      </c>
      <c r="B13" s="389">
        <f>+MAX(B15:B379)</f>
        <v>64.215122991320413</v>
      </c>
      <c r="C13" s="12">
        <f>+MAX(C15:C379)</f>
        <v>2022</v>
      </c>
      <c r="D13" s="1043">
        <f>+MAX(D15:D379)</f>
        <v>1.0482441826576601</v>
      </c>
      <c r="E13" s="12">
        <f t="shared" ref="E13:J13" si="4">+MAX(E15:E379)</f>
        <v>62.025599999999997</v>
      </c>
      <c r="F13" s="415">
        <f t="shared" si="4"/>
        <v>27</v>
      </c>
      <c r="G13" s="12">
        <f t="shared" si="4"/>
        <v>28</v>
      </c>
      <c r="H13" s="173">
        <f t="shared" si="4"/>
        <v>43458</v>
      </c>
      <c r="I13" s="389">
        <f t="shared" si="4"/>
        <v>1</v>
      </c>
      <c r="J13" s="389">
        <f t="shared" si="4"/>
        <v>62.033714285173588</v>
      </c>
      <c r="K13" s="6"/>
      <c r="L13" s="763">
        <f>AL13</f>
        <v>264.404</v>
      </c>
      <c r="M13" s="763">
        <f>+AM13</f>
        <v>255.458</v>
      </c>
      <c r="N13" s="762">
        <f t="shared" ref="N13:AM13" si="5">Ajust_M*N3</f>
        <v>280.30799999999999</v>
      </c>
      <c r="O13" s="753">
        <f t="shared" si="5"/>
        <v>323.05</v>
      </c>
      <c r="P13" s="753">
        <f t="shared" si="5"/>
        <v>372.75</v>
      </c>
      <c r="Q13" s="753">
        <f t="shared" si="5"/>
        <v>422.45</v>
      </c>
      <c r="R13" s="753">
        <f t="shared" si="5"/>
        <v>471.15600000000001</v>
      </c>
      <c r="S13" s="753">
        <f t="shared" si="5"/>
        <v>518.86800000000005</v>
      </c>
      <c r="T13" s="753">
        <f t="shared" si="5"/>
        <v>560.61599999999999</v>
      </c>
      <c r="U13" s="753">
        <f t="shared" si="5"/>
        <v>588.44799999999998</v>
      </c>
      <c r="V13" s="753">
        <f t="shared" si="5"/>
        <v>606.34</v>
      </c>
      <c r="W13" s="753">
        <f t="shared" si="5"/>
        <v>616.28</v>
      </c>
      <c r="X13" s="753">
        <f t="shared" si="5"/>
        <v>620.25599999999997</v>
      </c>
      <c r="Y13" s="753">
        <f t="shared" si="5"/>
        <v>618.26800000000003</v>
      </c>
      <c r="Z13" s="753">
        <f t="shared" si="5"/>
        <v>610.31600000000003</v>
      </c>
      <c r="AA13" s="753">
        <f t="shared" si="5"/>
        <v>596.4</v>
      </c>
      <c r="AB13" s="753">
        <f t="shared" si="5"/>
        <v>579.50199999999995</v>
      </c>
      <c r="AC13" s="753">
        <f t="shared" si="5"/>
        <v>560.61599999999999</v>
      </c>
      <c r="AD13" s="753">
        <f t="shared" si="5"/>
        <v>540.73599999999999</v>
      </c>
      <c r="AE13" s="753">
        <f t="shared" si="5"/>
        <v>516.88</v>
      </c>
      <c r="AF13" s="753">
        <f t="shared" si="5"/>
        <v>486.06599999999997</v>
      </c>
      <c r="AG13" s="753">
        <f t="shared" si="5"/>
        <v>449.28800000000001</v>
      </c>
      <c r="AH13" s="753">
        <f t="shared" si="5"/>
        <v>408.53399999999999</v>
      </c>
      <c r="AI13" s="753">
        <f t="shared" si="5"/>
        <v>367.78</v>
      </c>
      <c r="AJ13" s="753">
        <f t="shared" si="5"/>
        <v>330.00799999999998</v>
      </c>
      <c r="AK13" s="753">
        <f t="shared" si="5"/>
        <v>294.22399999999999</v>
      </c>
      <c r="AL13" s="753">
        <f t="shared" si="5"/>
        <v>264.404</v>
      </c>
      <c r="AM13" s="753">
        <f t="shared" si="5"/>
        <v>255.458</v>
      </c>
      <c r="AN13" s="763">
        <f>+N13</f>
        <v>280.30799999999999</v>
      </c>
      <c r="AO13" s="763">
        <f>+O13</f>
        <v>323.05</v>
      </c>
      <c r="AP13" s="415">
        <f t="shared" ref="AP13:AZ13" si="6">+MAX(AP15:AP379)</f>
        <v>15</v>
      </c>
      <c r="AQ13" s="12">
        <f t="shared" si="6"/>
        <v>14</v>
      </c>
      <c r="AR13" s="173">
        <f t="shared" si="6"/>
        <v>43473</v>
      </c>
      <c r="AS13" s="389">
        <f t="shared" si="6"/>
        <v>1</v>
      </c>
      <c r="AT13" s="389">
        <f t="shared" si="6"/>
        <v>62.033007908665709</v>
      </c>
      <c r="AU13" s="415">
        <f t="shared" si="6"/>
        <v>15</v>
      </c>
      <c r="AV13" s="12">
        <f t="shared" si="6"/>
        <v>14</v>
      </c>
      <c r="AW13" s="173">
        <f t="shared" si="6"/>
        <v>43487</v>
      </c>
      <c r="AX13" s="389">
        <f t="shared" si="6"/>
        <v>1</v>
      </c>
      <c r="AY13" s="389">
        <f t="shared" si="6"/>
        <v>62.044146938941296</v>
      </c>
      <c r="AZ13" s="389">
        <f t="shared" si="6"/>
        <v>62.038577423803503</v>
      </c>
      <c r="BA13" s="629"/>
      <c r="BC13" s="37"/>
      <c r="BD13" s="284" t="s">
        <v>49</v>
      </c>
      <c r="BE13" s="284" t="s">
        <v>48</v>
      </c>
      <c r="BF13" s="284" t="s">
        <v>247</v>
      </c>
      <c r="BH13" s="1034" t="s">
        <v>89</v>
      </c>
      <c r="BJ13" s="6"/>
      <c r="BN13" s="33" t="str">
        <f>Masques!G53</f>
        <v>Date de relevés hauteurs (ref. 0m):</v>
      </c>
      <c r="BO13" s="1100">
        <f>+Masques!I1</f>
        <v>44588</v>
      </c>
      <c r="BP13" s="790">
        <f>YEAR(BO13)</f>
        <v>2022</v>
      </c>
      <c r="BW13" s="667" t="s">
        <v>370</v>
      </c>
    </row>
    <row r="14" spans="1:84" ht="37.5" customHeight="1" thickBot="1" x14ac:dyDescent="0.3">
      <c r="A14" s="355" t="s">
        <v>114</v>
      </c>
      <c r="B14" s="1042" t="s">
        <v>3</v>
      </c>
      <c r="C14" s="1042" t="s">
        <v>13</v>
      </c>
      <c r="D14" s="1044" t="s">
        <v>321</v>
      </c>
      <c r="E14" s="174" t="s">
        <v>224</v>
      </c>
      <c r="F14" s="174" t="s">
        <v>220</v>
      </c>
      <c r="G14" s="174" t="s">
        <v>221</v>
      </c>
      <c r="H14" s="174" t="s">
        <v>222</v>
      </c>
      <c r="I14" s="733" t="s">
        <v>223</v>
      </c>
      <c r="J14" s="78" t="s">
        <v>0</v>
      </c>
      <c r="L14" s="2"/>
      <c r="M14" s="4" t="s">
        <v>225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4" t="s">
        <v>220</v>
      </c>
      <c r="AQ14" s="174" t="s">
        <v>221</v>
      </c>
      <c r="AR14" s="174" t="s">
        <v>222</v>
      </c>
      <c r="AS14" s="733" t="s">
        <v>223</v>
      </c>
      <c r="AT14" s="756" t="s">
        <v>232</v>
      </c>
      <c r="AU14" s="174" t="s">
        <v>220</v>
      </c>
      <c r="AV14" s="174" t="s">
        <v>221</v>
      </c>
      <c r="AW14" s="174" t="s">
        <v>222</v>
      </c>
      <c r="AX14" s="733" t="s">
        <v>223</v>
      </c>
      <c r="AY14" s="756" t="s">
        <v>233</v>
      </c>
      <c r="AZ14" s="78" t="s">
        <v>235</v>
      </c>
      <c r="BA14" s="632" t="s">
        <v>193</v>
      </c>
      <c r="BB14" s="72"/>
      <c r="BC14" s="355" t="s">
        <v>114</v>
      </c>
      <c r="BD14" s="285" t="s">
        <v>19</v>
      </c>
      <c r="BE14" s="286" t="s">
        <v>21</v>
      </c>
      <c r="BF14" s="802" t="s">
        <v>248</v>
      </c>
      <c r="BH14" s="1035" t="s">
        <v>90</v>
      </c>
      <c r="BI14" s="1030" t="s">
        <v>300</v>
      </c>
      <c r="BJ14" s="710">
        <f>+Masques!C55</f>
        <v>-5</v>
      </c>
      <c r="BK14" s="710">
        <f>+Masques!D55</f>
        <v>-4</v>
      </c>
      <c r="BL14" s="710">
        <f>+Masques!E55</f>
        <v>-3</v>
      </c>
      <c r="BM14" s="711">
        <f>+Masques!F55</f>
        <v>-2</v>
      </c>
      <c r="BN14" s="711">
        <f>+Masques!G55</f>
        <v>-1</v>
      </c>
      <c r="BO14" s="712">
        <f>+Masques!H55</f>
        <v>0</v>
      </c>
      <c r="BP14" s="710">
        <f>+Masques!I55</f>
        <v>1</v>
      </c>
      <c r="BQ14" s="710">
        <f>+Masques!J55</f>
        <v>2</v>
      </c>
      <c r="BR14" s="710">
        <f>+Masques!K55</f>
        <v>3</v>
      </c>
      <c r="BS14" s="710">
        <f>+Masques!L55</f>
        <v>4</v>
      </c>
      <c r="BT14" s="710">
        <f>+Masques!M55</f>
        <v>5</v>
      </c>
      <c r="BU14" s="954" t="s">
        <v>199</v>
      </c>
      <c r="BW14" s="1183">
        <v>2019</v>
      </c>
      <c r="BX14" s="1183">
        <v>2020</v>
      </c>
      <c r="BY14" s="1183">
        <v>2021</v>
      </c>
      <c r="BZ14" s="1183">
        <v>2022</v>
      </c>
      <c r="CA14" s="1183">
        <v>2023</v>
      </c>
      <c r="CB14" s="1183">
        <v>2024</v>
      </c>
      <c r="CC14" s="1183">
        <v>2025</v>
      </c>
      <c r="CD14" s="1183">
        <v>2026</v>
      </c>
      <c r="CE14" s="1183">
        <v>2027</v>
      </c>
      <c r="CF14" s="1183">
        <v>2028</v>
      </c>
    </row>
    <row r="15" spans="1:84" s="6" customFormat="1" ht="11.25" x14ac:dyDescent="0.2">
      <c r="A15" s="11">
        <v>43101</v>
      </c>
      <c r="B15" s="378">
        <f>'2022'!Maxi_hp</f>
        <v>26.223670689072435</v>
      </c>
      <c r="C15" s="739">
        <f>'2022'!An_max</f>
        <v>2022</v>
      </c>
      <c r="D15" s="1045">
        <f t="shared" ref="D15:D78" si="7">IF($BA15&gt;$D$11,BA15,"")</f>
        <v>0.98880929798499118</v>
      </c>
      <c r="E15" s="1040"/>
      <c r="F15" s="739">
        <f>INT(MATCH($A15,x.2m)/2)*2+1</f>
        <v>1</v>
      </c>
      <c r="G15" s="739">
        <f>INT((MATCH($A15,x.2m)+1)/2)*2</f>
        <v>2</v>
      </c>
      <c r="H15" s="740">
        <f t="shared" ref="H15:H78" si="8">INDEX(x.2m,F15)</f>
        <v>43093</v>
      </c>
      <c r="I15" s="741">
        <f t="shared" ref="I15:I78" si="9">($A15-H15)/(INDEX(x.2m,G15)-H15)</f>
        <v>0.53333333333333333</v>
      </c>
      <c r="J15" s="734">
        <f>((1-I15)*(INDEX(a.m,F15)*$A15*$A15+INDEX(b.m,F15)*$A15+INDEX(c.m,F15))+I15*(INDEX(a.m,G15)*$A15*$A15+INDEX(b.m,G15)*$A15+INDEX(c.m,G15)))/10</f>
        <v>26.520453177889188</v>
      </c>
      <c r="L15" s="743" t="s">
        <v>209</v>
      </c>
      <c r="M15" s="773">
        <f t="shared" ref="M15:AN15" si="10">L12</f>
        <v>43079</v>
      </c>
      <c r="N15" s="774">
        <f t="shared" si="10"/>
        <v>43093</v>
      </c>
      <c r="O15" s="764">
        <f t="shared" si="10"/>
        <v>43108</v>
      </c>
      <c r="P15" s="764">
        <f t="shared" si="10"/>
        <v>43122</v>
      </c>
      <c r="Q15" s="764">
        <f t="shared" si="10"/>
        <v>43136</v>
      </c>
      <c r="R15" s="764">
        <f t="shared" si="10"/>
        <v>43150</v>
      </c>
      <c r="S15" s="764">
        <f t="shared" si="10"/>
        <v>43164</v>
      </c>
      <c r="T15" s="764">
        <f t="shared" si="10"/>
        <v>43178</v>
      </c>
      <c r="U15" s="764">
        <f t="shared" si="10"/>
        <v>43192</v>
      </c>
      <c r="V15" s="764">
        <f t="shared" si="10"/>
        <v>43206</v>
      </c>
      <c r="W15" s="764">
        <f t="shared" si="10"/>
        <v>43220</v>
      </c>
      <c r="X15" s="764">
        <f t="shared" si="10"/>
        <v>43234</v>
      </c>
      <c r="Y15" s="764">
        <f t="shared" si="10"/>
        <v>43248</v>
      </c>
      <c r="Z15" s="764">
        <f t="shared" si="10"/>
        <v>43262</v>
      </c>
      <c r="AA15" s="764">
        <f t="shared" si="10"/>
        <v>43276</v>
      </c>
      <c r="AB15" s="764">
        <f t="shared" si="10"/>
        <v>43290</v>
      </c>
      <c r="AC15" s="764">
        <f t="shared" si="10"/>
        <v>43304</v>
      </c>
      <c r="AD15" s="764">
        <f t="shared" si="10"/>
        <v>43318</v>
      </c>
      <c r="AE15" s="764">
        <f t="shared" si="10"/>
        <v>43332</v>
      </c>
      <c r="AF15" s="764">
        <f t="shared" si="10"/>
        <v>43346</v>
      </c>
      <c r="AG15" s="764">
        <f t="shared" si="10"/>
        <v>43360</v>
      </c>
      <c r="AH15" s="764">
        <f t="shared" si="10"/>
        <v>43374</v>
      </c>
      <c r="AI15" s="764">
        <f t="shared" si="10"/>
        <v>43388</v>
      </c>
      <c r="AJ15" s="764">
        <f t="shared" si="10"/>
        <v>43402</v>
      </c>
      <c r="AK15" s="764">
        <f t="shared" si="10"/>
        <v>43416</v>
      </c>
      <c r="AL15" s="764">
        <f t="shared" si="10"/>
        <v>43430</v>
      </c>
      <c r="AM15" s="764">
        <f t="shared" si="10"/>
        <v>43444</v>
      </c>
      <c r="AN15" s="766">
        <f t="shared" si="10"/>
        <v>43458</v>
      </c>
      <c r="AO15" s="1039">
        <v>43101</v>
      </c>
      <c r="AP15" s="739">
        <f t="shared" ref="AP15:AP78" si="11">INT(MATCH($A15,x.2lg)/2)*2+1</f>
        <v>1</v>
      </c>
      <c r="AQ15" s="739">
        <f t="shared" ref="AQ15:AQ78" si="12">INT((MATCH($A15,x.2lg)+1)/2)*2</f>
        <v>2</v>
      </c>
      <c r="AR15" s="740">
        <f t="shared" ref="AR15:AR78" si="13">INDEX(x.2lg,AP15)</f>
        <v>43079</v>
      </c>
      <c r="AS15" s="741">
        <f t="shared" ref="AS15:AS78" si="14">($A15-AR15)/(INDEX(x.2lg,AQ15)-AR15)</f>
        <v>0.75862068965517238</v>
      </c>
      <c r="AT15" s="757">
        <f t="shared" ref="AT15:AT78" si="15">((1-AS15)*(INDEX(a.lg,AP15)*$A15*$A15+INDEX(b.lg,AP15)*$A15+INDEX(c.lg,AP15))+AS15*(INDEX(a.lg,AQ15)*$A15*$A15+INDEX(b.lg,AQ15)*$A15+INDEX(c.lg,AQ15)))/10</f>
        <v>26.894073070791261</v>
      </c>
      <c r="AU15" s="739">
        <f t="shared" ref="AU15:AU78" si="16">INT(MATCH($A15,x.2ld)/2)*2+1</f>
        <v>1</v>
      </c>
      <c r="AV15" s="739">
        <f t="shared" ref="AV15:AV78" si="17">INT((MATCH($A15,x.2ld)+1)/2)*2</f>
        <v>2</v>
      </c>
      <c r="AW15" s="740">
        <f t="shared" ref="AW15:AW78" si="18">INDEX(x.2ld,AU15)</f>
        <v>43093</v>
      </c>
      <c r="AX15" s="741">
        <f t="shared" ref="AX15:AX78" si="19">($A15-AW15)/(INDEX(x.2ld,AV15)-AW15)</f>
        <v>0.27586206896551724</v>
      </c>
      <c r="AY15" s="757">
        <f t="shared" ref="AY15:AY78" si="20">((1-AX15)*(INDEX(a.ld,AU15)*$A15*$A15+INDEX(b.ld,AU15)*$A15+INDEX(c.ld,AU15))+AX15*(INDEX(a.ld,AV15)*$A15*$A15+INDEX(b.ld,AV15)*$A15+INDEX(c.ld,AV15)))/10</f>
        <v>26.518326265647495</v>
      </c>
      <c r="AZ15" s="734">
        <f>(AY15+AT15)/2</f>
        <v>26.706199668219377</v>
      </c>
      <c r="BA15" s="633">
        <f t="shared" ref="BA15:BA78" si="21">+B15/J15</f>
        <v>0.98880929798499118</v>
      </c>
      <c r="BC15" s="11">
        <v>43101</v>
      </c>
      <c r="BD15" s="287">
        <f>[3]!FeuilCaduc*(1-Persistant)+Persistant</f>
        <v>0.80228914971430698</v>
      </c>
      <c r="BE15" s="288">
        <f>[3]!CroissVégét</f>
        <v>2.3909964587625958E-6</v>
      </c>
      <c r="BF15" s="803">
        <f>1+[3]!Salcycl*Ksac</f>
        <v>1.0005722874285767</v>
      </c>
      <c r="BH15" s="1036">
        <f t="shared" ref="BH15:BH78" si="22">INDEX($BJ15:$BT15,,$BH$10)*(1-Ratini)+INDEX($BJ15:$BT15,,$BH$10+1)*Ratini</f>
        <v>0.14576830976117008</v>
      </c>
      <c r="BI15" s="11">
        <v>44197</v>
      </c>
      <c r="BJ15" s="809">
        <v>2.2088173512709712E-3</v>
      </c>
      <c r="BK15" s="713">
        <v>2.3815580668039901E-2</v>
      </c>
      <c r="BL15" s="713">
        <v>5.7043863042312667E-2</v>
      </c>
      <c r="BM15" s="713">
        <v>0.10339696333704998</v>
      </c>
      <c r="BN15" s="713">
        <v>0.15643160393245872</v>
      </c>
      <c r="BO15" s="714">
        <v>0.22354916901044591</v>
      </c>
      <c r="BP15" s="713">
        <v>0.3606681924962955</v>
      </c>
      <c r="BQ15" s="713">
        <v>0.59399304774030548</v>
      </c>
      <c r="BR15" s="713">
        <v>0.86754186367008357</v>
      </c>
      <c r="BS15" s="713">
        <v>1.1198975928747088</v>
      </c>
      <c r="BT15" s="713">
        <v>1.3190214598537768</v>
      </c>
      <c r="BW15" s="1185">
        <f>'2019'!R\Max</f>
        <v>0</v>
      </c>
      <c r="BX15" s="1185">
        <f>'2020'!R\Max</f>
        <v>0.54445833961190582</v>
      </c>
      <c r="BY15" s="1185">
        <f>'2021'!R\Max</f>
        <v>0.57932187705288185</v>
      </c>
      <c r="BZ15" s="1185">
        <f>'2022'!R\Max</f>
        <v>0.98880929798499118</v>
      </c>
      <c r="CA15" s="1185">
        <f>'2023'!R\Max</f>
        <v>0.98865514031461765</v>
      </c>
      <c r="CB15" s="1185">
        <f>'2024'!R\Max</f>
        <v>0.98848351296361425</v>
      </c>
      <c r="CC15" s="1185">
        <f>'2025'!R\Max</f>
        <v>0.98826624577400157</v>
      </c>
      <c r="CD15" s="1185">
        <f>'2026'!R\Max</f>
        <v>0.98795749993675142</v>
      </c>
      <c r="CE15" s="1186">
        <f>'2027'!R\Max</f>
        <v>0.98896187041285155</v>
      </c>
      <c r="CF15" s="1184">
        <f>'2028'!R\Max</f>
        <v>0.98888147281174554</v>
      </c>
    </row>
    <row r="16" spans="1:84" s="6" customFormat="1" ht="11.25" x14ac:dyDescent="0.2">
      <c r="A16" s="11">
        <v>43102</v>
      </c>
      <c r="B16" s="379">
        <f>'2022'!Maxi_hp</f>
        <v>26.138638462365517</v>
      </c>
      <c r="C16" s="13">
        <f>'2022'!An_max</f>
        <v>2020</v>
      </c>
      <c r="D16" s="1046">
        <f t="shared" si="7"/>
        <v>0.97861572769678962</v>
      </c>
      <c r="E16" s="1041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73">
        <f t="shared" si="8"/>
        <v>43093</v>
      </c>
      <c r="I16" s="742">
        <f t="shared" si="9"/>
        <v>0.6</v>
      </c>
      <c r="J16" s="735">
        <f>((1-I16)*(INDEX(a.m,F16)*$A16*$A16+INDEX(b.m,F16)*$A16+INDEX(c.m,F16))+I16*(INDEX(a.m,G16)*$A16*$A16+INDEX(b.m,G16)*$A16+INDEX(c.m,G16)))/10</f>
        <v>26.709808275699618</v>
      </c>
      <c r="L16" s="744" t="s">
        <v>210</v>
      </c>
      <c r="M16" s="730">
        <f t="shared" ref="M16:AN16" si="25">L13</f>
        <v>264.404</v>
      </c>
      <c r="N16" s="769">
        <f t="shared" si="25"/>
        <v>255.458</v>
      </c>
      <c r="O16" s="731">
        <f t="shared" si="25"/>
        <v>280.30799999999999</v>
      </c>
      <c r="P16" s="731">
        <f t="shared" si="25"/>
        <v>323.05</v>
      </c>
      <c r="Q16" s="731">
        <f t="shared" si="25"/>
        <v>372.75</v>
      </c>
      <c r="R16" s="731">
        <f t="shared" si="25"/>
        <v>422.45</v>
      </c>
      <c r="S16" s="731">
        <f t="shared" si="25"/>
        <v>471.15600000000001</v>
      </c>
      <c r="T16" s="731">
        <f t="shared" si="25"/>
        <v>518.86800000000005</v>
      </c>
      <c r="U16" s="731">
        <f t="shared" si="25"/>
        <v>560.61599999999999</v>
      </c>
      <c r="V16" s="731">
        <f t="shared" si="25"/>
        <v>588.44799999999998</v>
      </c>
      <c r="W16" s="731">
        <f t="shared" si="25"/>
        <v>606.34</v>
      </c>
      <c r="X16" s="731">
        <f t="shared" si="25"/>
        <v>616.28</v>
      </c>
      <c r="Y16" s="731">
        <f t="shared" si="25"/>
        <v>620.25599999999997</v>
      </c>
      <c r="Z16" s="731">
        <f t="shared" si="25"/>
        <v>618.26800000000003</v>
      </c>
      <c r="AA16" s="731">
        <f t="shared" si="25"/>
        <v>610.31600000000003</v>
      </c>
      <c r="AB16" s="731">
        <f t="shared" si="25"/>
        <v>596.4</v>
      </c>
      <c r="AC16" s="731">
        <f t="shared" si="25"/>
        <v>579.50199999999995</v>
      </c>
      <c r="AD16" s="731">
        <f t="shared" si="25"/>
        <v>560.61599999999999</v>
      </c>
      <c r="AE16" s="731">
        <f t="shared" si="25"/>
        <v>540.73599999999999</v>
      </c>
      <c r="AF16" s="731">
        <f t="shared" si="25"/>
        <v>516.88</v>
      </c>
      <c r="AG16" s="731">
        <f t="shared" si="25"/>
        <v>486.06599999999997</v>
      </c>
      <c r="AH16" s="731">
        <f t="shared" si="25"/>
        <v>449.28800000000001</v>
      </c>
      <c r="AI16" s="731">
        <f t="shared" si="25"/>
        <v>408.53399999999999</v>
      </c>
      <c r="AJ16" s="731">
        <f t="shared" si="25"/>
        <v>367.78</v>
      </c>
      <c r="AK16" s="731">
        <f t="shared" si="25"/>
        <v>330.00799999999998</v>
      </c>
      <c r="AL16" s="731">
        <f t="shared" si="25"/>
        <v>294.22399999999999</v>
      </c>
      <c r="AM16" s="731">
        <f t="shared" si="25"/>
        <v>264.404</v>
      </c>
      <c r="AN16" s="767">
        <f t="shared" si="25"/>
        <v>255.458</v>
      </c>
      <c r="AO16" s="1039">
        <v>43102</v>
      </c>
      <c r="AP16" s="13">
        <f t="shared" si="11"/>
        <v>1</v>
      </c>
      <c r="AQ16" s="13">
        <f t="shared" si="12"/>
        <v>2</v>
      </c>
      <c r="AR16" s="173">
        <f t="shared" si="13"/>
        <v>43079</v>
      </c>
      <c r="AS16" s="742">
        <f t="shared" si="14"/>
        <v>0.7931034482758621</v>
      </c>
      <c r="AT16" s="758">
        <f t="shared" si="15"/>
        <v>27.028286130469422</v>
      </c>
      <c r="AU16" s="13">
        <f t="shared" si="16"/>
        <v>1</v>
      </c>
      <c r="AV16" s="13">
        <f t="shared" si="17"/>
        <v>2</v>
      </c>
      <c r="AW16" s="173">
        <f t="shared" si="18"/>
        <v>43093</v>
      </c>
      <c r="AX16" s="742">
        <f t="shared" si="19"/>
        <v>0.31034482758620691</v>
      </c>
      <c r="AY16" s="758">
        <f t="shared" si="20"/>
        <v>26.714861944086596</v>
      </c>
      <c r="AZ16" s="735">
        <f t="shared" ref="AZ16:AZ79" si="26">(AY16+AT16)/2</f>
        <v>26.871574037278009</v>
      </c>
      <c r="BA16" s="633">
        <f>+B16/J16</f>
        <v>0.97861572769678962</v>
      </c>
      <c r="BC16" s="11">
        <v>43102</v>
      </c>
      <c r="BD16" s="289">
        <f>[3]!FeuilCaduc*(1-Persistant)+Persistant</f>
        <v>0.80212912632551969</v>
      </c>
      <c r="BE16" s="290">
        <f>[3]!CroissVégét</f>
        <v>6.0820224447240291E-5</v>
      </c>
      <c r="BF16" s="804">
        <f>1+[3]!Salcycl*Ksac</f>
        <v>1.00053228158138</v>
      </c>
      <c r="BH16" s="1037">
        <f t="shared" si="22"/>
        <v>0.14636646404621598</v>
      </c>
      <c r="BI16" s="11">
        <v>44198</v>
      </c>
      <c r="BJ16" s="715">
        <v>2.1913950388607489E-3</v>
      </c>
      <c r="BK16" s="715">
        <v>2.3593091965633049E-2</v>
      </c>
      <c r="BL16" s="715">
        <v>5.6999903527820583E-2</v>
      </c>
      <c r="BM16" s="715">
        <v>0.103620434326336</v>
      </c>
      <c r="BN16" s="715">
        <v>0.15712405208685121</v>
      </c>
      <c r="BO16" s="716">
        <v>0.22445422790281824</v>
      </c>
      <c r="BP16" s="715">
        <v>0.360324512370095</v>
      </c>
      <c r="BQ16" s="715">
        <v>0.59327371940829743</v>
      </c>
      <c r="BR16" s="715">
        <v>0.86744554658412221</v>
      </c>
      <c r="BS16" s="715">
        <v>1.1229023214474516</v>
      </c>
      <c r="BT16" s="715">
        <v>1.3252118608977475</v>
      </c>
      <c r="BW16" s="1185">
        <f>'2019'!R\Max</f>
        <v>0</v>
      </c>
      <c r="BX16" s="1185">
        <f>'2020'!R\Max</f>
        <v>0.97861572769678962</v>
      </c>
      <c r="BY16" s="1185">
        <f>'2021'!R\Max</f>
        <v>0.17276617730841093</v>
      </c>
      <c r="BZ16" s="1185">
        <f>'2022'!R\Max</f>
        <v>0.66027884942246662</v>
      </c>
      <c r="CA16" s="1185">
        <f>'2023'!R\Max</f>
        <v>0.65721582541723367</v>
      </c>
      <c r="CB16" s="1185">
        <f>'2024'!R\Max</f>
        <v>0.65384268359898801</v>
      </c>
      <c r="CC16" s="1185">
        <f>'2025'!R\Max</f>
        <v>0.64960689412502004</v>
      </c>
      <c r="CD16" s="1185">
        <f>'2026'!R\Max</f>
        <v>0.64365661845522371</v>
      </c>
      <c r="CE16" s="1186">
        <f>'2027'!R\Max</f>
        <v>0.66337286448614652</v>
      </c>
      <c r="CF16" s="1187">
        <f>'2028'!R\Max</f>
        <v>0.66173896462225978</v>
      </c>
    </row>
    <row r="17" spans="1:84" s="6" customFormat="1" ht="11.25" x14ac:dyDescent="0.2">
      <c r="A17" s="11">
        <v>43103</v>
      </c>
      <c r="B17" s="379">
        <f>'2022'!Maxi_hp</f>
        <v>25.752586103343905</v>
      </c>
      <c r="C17" s="13">
        <f>'2022'!An_max</f>
        <v>2021</v>
      </c>
      <c r="D17" s="1046" t="str">
        <f t="shared" si="7"/>
        <v/>
      </c>
      <c r="E17" s="1041"/>
      <c r="F17" s="13">
        <f t="shared" si="23"/>
        <v>1</v>
      </c>
      <c r="G17" s="13">
        <f t="shared" si="24"/>
        <v>2</v>
      </c>
      <c r="H17" s="173">
        <f t="shared" si="8"/>
        <v>43093</v>
      </c>
      <c r="I17" s="742">
        <f t="shared" si="9"/>
        <v>0.66666666666666663</v>
      </c>
      <c r="J17" s="735">
        <f t="shared" ref="J17:J78" si="27">((1-I17)*(INDEX(a.m,F17)*$A17*$A17+INDEX(b.m,F17)*$A17+INDEX(c.m,F17))+I17*(INDEX(a.m,G17)*$A17*$A17+INDEX(b.m,G17)*$A17+INDEX(c.m,G17)))/10</f>
        <v>26.910033715764683</v>
      </c>
      <c r="L17" s="744" t="s">
        <v>211</v>
      </c>
      <c r="M17" s="770">
        <f t="shared" ref="M17:AN17" si="28">M12</f>
        <v>43093</v>
      </c>
      <c r="N17" s="726">
        <f t="shared" si="28"/>
        <v>43108</v>
      </c>
      <c r="O17" s="726">
        <f t="shared" si="28"/>
        <v>43122</v>
      </c>
      <c r="P17" s="726">
        <f t="shared" si="28"/>
        <v>43136</v>
      </c>
      <c r="Q17" s="726">
        <f t="shared" si="28"/>
        <v>43150</v>
      </c>
      <c r="R17" s="726">
        <f t="shared" si="28"/>
        <v>43164</v>
      </c>
      <c r="S17" s="726">
        <f t="shared" si="28"/>
        <v>43178</v>
      </c>
      <c r="T17" s="726">
        <f t="shared" si="28"/>
        <v>43192</v>
      </c>
      <c r="U17" s="726">
        <f t="shared" si="28"/>
        <v>43206</v>
      </c>
      <c r="V17" s="726">
        <f t="shared" si="28"/>
        <v>43220</v>
      </c>
      <c r="W17" s="726">
        <f t="shared" si="28"/>
        <v>43234</v>
      </c>
      <c r="X17" s="726">
        <f t="shared" si="28"/>
        <v>43248</v>
      </c>
      <c r="Y17" s="726">
        <f t="shared" si="28"/>
        <v>43262</v>
      </c>
      <c r="Z17" s="726">
        <f t="shared" si="28"/>
        <v>43276</v>
      </c>
      <c r="AA17" s="726">
        <f t="shared" si="28"/>
        <v>43290</v>
      </c>
      <c r="AB17" s="726">
        <f t="shared" si="28"/>
        <v>43304</v>
      </c>
      <c r="AC17" s="726">
        <f t="shared" si="28"/>
        <v>43318</v>
      </c>
      <c r="AD17" s="726">
        <f t="shared" si="28"/>
        <v>43332</v>
      </c>
      <c r="AE17" s="726">
        <f t="shared" si="28"/>
        <v>43346</v>
      </c>
      <c r="AF17" s="726">
        <f t="shared" si="28"/>
        <v>43360</v>
      </c>
      <c r="AG17" s="726">
        <f t="shared" si="28"/>
        <v>43374</v>
      </c>
      <c r="AH17" s="726">
        <f t="shared" si="28"/>
        <v>43388</v>
      </c>
      <c r="AI17" s="726">
        <f t="shared" si="28"/>
        <v>43402</v>
      </c>
      <c r="AJ17" s="726">
        <f t="shared" si="28"/>
        <v>43416</v>
      </c>
      <c r="AK17" s="726">
        <f t="shared" si="28"/>
        <v>43430</v>
      </c>
      <c r="AL17" s="726">
        <f t="shared" si="28"/>
        <v>43444</v>
      </c>
      <c r="AM17" s="768">
        <f t="shared" si="28"/>
        <v>43458</v>
      </c>
      <c r="AN17" s="775">
        <f t="shared" si="28"/>
        <v>43473</v>
      </c>
      <c r="AO17" s="1039">
        <v>43103</v>
      </c>
      <c r="AP17" s="13">
        <f t="shared" si="11"/>
        <v>1</v>
      </c>
      <c r="AQ17" s="13">
        <f t="shared" si="12"/>
        <v>2</v>
      </c>
      <c r="AR17" s="173">
        <f t="shared" si="13"/>
        <v>43079</v>
      </c>
      <c r="AS17" s="742">
        <f t="shared" si="14"/>
        <v>0.82758620689655171</v>
      </c>
      <c r="AT17" s="758">
        <f t="shared" si="15"/>
        <v>27.171975040076109</v>
      </c>
      <c r="AU17" s="13">
        <f t="shared" si="16"/>
        <v>1</v>
      </c>
      <c r="AV17" s="13">
        <f t="shared" si="17"/>
        <v>2</v>
      </c>
      <c r="AW17" s="173">
        <f t="shared" si="18"/>
        <v>43093</v>
      </c>
      <c r="AX17" s="742">
        <f t="shared" si="19"/>
        <v>0.34482758620689657</v>
      </c>
      <c r="AY17" s="758">
        <f t="shared" si="20"/>
        <v>26.925037614076302</v>
      </c>
      <c r="AZ17" s="735">
        <f t="shared" si="26"/>
        <v>27.048506327076204</v>
      </c>
      <c r="BA17" s="633">
        <f t="shared" si="21"/>
        <v>0.95698825112423724</v>
      </c>
      <c r="BC17" s="11">
        <v>43103</v>
      </c>
      <c r="BD17" s="289">
        <f>[3]!FeuilCaduc*(1-Persistant)+Persistant</f>
        <v>0.80197810729214347</v>
      </c>
      <c r="BE17" s="290">
        <f>[3]!CroissVégét</f>
        <v>1.216934154264056E-4</v>
      </c>
      <c r="BF17" s="804">
        <f>1+[3]!Salcycl*Ksac</f>
        <v>1.0004945268230359</v>
      </c>
      <c r="BH17" s="1037">
        <f t="shared" si="22"/>
        <v>0.1469774070467566</v>
      </c>
      <c r="BI17" s="11">
        <v>44199</v>
      </c>
      <c r="BJ17" s="715">
        <v>2.17327915845676E-3</v>
      </c>
      <c r="BK17" s="715">
        <v>2.3329910981289836E-2</v>
      </c>
      <c r="BL17" s="715">
        <v>5.6912183241736553E-2</v>
      </c>
      <c r="BM17" s="715">
        <v>0.10380912282611392</v>
      </c>
      <c r="BN17" s="715">
        <v>0.15784126086218483</v>
      </c>
      <c r="BO17" s="716">
        <v>0.22541167795416961</v>
      </c>
      <c r="BP17" s="715">
        <v>0.35985938713872784</v>
      </c>
      <c r="BQ17" s="715">
        <v>0.59214824119406684</v>
      </c>
      <c r="BR17" s="715">
        <v>0.86683367907972719</v>
      </c>
      <c r="BS17" s="715">
        <v>1.1254757411559053</v>
      </c>
      <c r="BT17" s="715">
        <v>1.3311515296788785</v>
      </c>
      <c r="BW17" s="1185">
        <f>'2019'!R\Max</f>
        <v>0</v>
      </c>
      <c r="BX17" s="1185">
        <f>'2020'!R\Max</f>
        <v>0.40958917359421237</v>
      </c>
      <c r="BY17" s="1185">
        <f>'2021'!R\Max</f>
        <v>0.95698825112423724</v>
      </c>
      <c r="BZ17" s="1185">
        <f>'2022'!R\Max</f>
        <v>0.74426179975713969</v>
      </c>
      <c r="CA17" s="1185">
        <f>'2023'!R\Max</f>
        <v>0.74170365223620682</v>
      </c>
      <c r="CB17" s="1185">
        <f>'2024'!R\Max</f>
        <v>0.73888395834275289</v>
      </c>
      <c r="CC17" s="1185">
        <f>'2025'!R\Max</f>
        <v>0.73532103274204763</v>
      </c>
      <c r="CD17" s="1185">
        <f>'2026'!R\Max</f>
        <v>0.73027755186773524</v>
      </c>
      <c r="CE17" s="1186">
        <f>'2027'!R\Max</f>
        <v>0.74687343479400592</v>
      </c>
      <c r="CF17" s="1187">
        <f>'2028'!R\Max</f>
        <v>0.74549500899120491</v>
      </c>
    </row>
    <row r="18" spans="1:84" s="6" customFormat="1" ht="11.25" x14ac:dyDescent="0.2">
      <c r="A18" s="11">
        <v>43104</v>
      </c>
      <c r="B18" s="379">
        <f>'2022'!Maxi_hp</f>
        <v>23.895973120339946</v>
      </c>
      <c r="C18" s="13">
        <f>'2022'!An_max</f>
        <v>2021</v>
      </c>
      <c r="D18" s="1046" t="str">
        <f t="shared" si="7"/>
        <v/>
      </c>
      <c r="E18" s="1041"/>
      <c r="F18" s="13">
        <f t="shared" si="23"/>
        <v>1</v>
      </c>
      <c r="G18" s="13">
        <f t="shared" si="24"/>
        <v>2</v>
      </c>
      <c r="H18" s="173">
        <f t="shared" si="8"/>
        <v>43093</v>
      </c>
      <c r="I18" s="742">
        <f t="shared" si="9"/>
        <v>0.73333333333333328</v>
      </c>
      <c r="J18" s="735">
        <f t="shared" si="27"/>
        <v>27.119889041980105</v>
      </c>
      <c r="L18" s="744" t="s">
        <v>212</v>
      </c>
      <c r="M18" s="769">
        <f t="shared" ref="M18:AN18" si="29">M13</f>
        <v>255.458</v>
      </c>
      <c r="N18" s="732">
        <f t="shared" si="29"/>
        <v>280.30799999999999</v>
      </c>
      <c r="O18" s="732">
        <f t="shared" si="29"/>
        <v>323.05</v>
      </c>
      <c r="P18" s="732">
        <f t="shared" si="29"/>
        <v>372.75</v>
      </c>
      <c r="Q18" s="732">
        <f t="shared" si="29"/>
        <v>422.45</v>
      </c>
      <c r="R18" s="732">
        <f t="shared" si="29"/>
        <v>471.15600000000001</v>
      </c>
      <c r="S18" s="732">
        <f t="shared" si="29"/>
        <v>518.86800000000005</v>
      </c>
      <c r="T18" s="732">
        <f t="shared" si="29"/>
        <v>560.61599999999999</v>
      </c>
      <c r="U18" s="732">
        <f t="shared" si="29"/>
        <v>588.44799999999998</v>
      </c>
      <c r="V18" s="732">
        <f t="shared" si="29"/>
        <v>606.34</v>
      </c>
      <c r="W18" s="732">
        <f t="shared" si="29"/>
        <v>616.28</v>
      </c>
      <c r="X18" s="732">
        <f t="shared" si="29"/>
        <v>620.25599999999997</v>
      </c>
      <c r="Y18" s="732">
        <f t="shared" si="29"/>
        <v>618.26800000000003</v>
      </c>
      <c r="Z18" s="732">
        <f t="shared" si="29"/>
        <v>610.31600000000003</v>
      </c>
      <c r="AA18" s="732">
        <f t="shared" si="29"/>
        <v>596.4</v>
      </c>
      <c r="AB18" s="732">
        <f t="shared" si="29"/>
        <v>579.50199999999995</v>
      </c>
      <c r="AC18" s="732">
        <f t="shared" si="29"/>
        <v>560.61599999999999</v>
      </c>
      <c r="AD18" s="732">
        <f t="shared" si="29"/>
        <v>540.73599999999999</v>
      </c>
      <c r="AE18" s="732">
        <f t="shared" si="29"/>
        <v>516.88</v>
      </c>
      <c r="AF18" s="732">
        <f t="shared" si="29"/>
        <v>486.06599999999997</v>
      </c>
      <c r="AG18" s="732">
        <f t="shared" si="29"/>
        <v>449.28800000000001</v>
      </c>
      <c r="AH18" s="732">
        <f t="shared" si="29"/>
        <v>408.53399999999999</v>
      </c>
      <c r="AI18" s="732">
        <f t="shared" si="29"/>
        <v>367.78</v>
      </c>
      <c r="AJ18" s="732">
        <f t="shared" si="29"/>
        <v>330.00799999999998</v>
      </c>
      <c r="AK18" s="732">
        <f t="shared" si="29"/>
        <v>294.22399999999999</v>
      </c>
      <c r="AL18" s="732">
        <f t="shared" si="29"/>
        <v>264.404</v>
      </c>
      <c r="AM18" s="767">
        <f t="shared" si="29"/>
        <v>255.458</v>
      </c>
      <c r="AN18" s="765">
        <f t="shared" si="29"/>
        <v>280.30799999999999</v>
      </c>
      <c r="AO18" s="1039">
        <v>43104</v>
      </c>
      <c r="AP18" s="13">
        <f t="shared" si="11"/>
        <v>1</v>
      </c>
      <c r="AQ18" s="13">
        <f t="shared" si="12"/>
        <v>2</v>
      </c>
      <c r="AR18" s="173">
        <f t="shared" si="13"/>
        <v>43079</v>
      </c>
      <c r="AS18" s="742">
        <f t="shared" si="14"/>
        <v>0.86206896551724133</v>
      </c>
      <c r="AT18" s="758">
        <f t="shared" si="15"/>
        <v>27.325089590970812</v>
      </c>
      <c r="AU18" s="13">
        <f t="shared" si="16"/>
        <v>1</v>
      </c>
      <c r="AV18" s="13">
        <f t="shared" si="17"/>
        <v>2</v>
      </c>
      <c r="AW18" s="173">
        <f t="shared" si="18"/>
        <v>43093</v>
      </c>
      <c r="AX18" s="742">
        <f t="shared" si="19"/>
        <v>0.37931034482758619</v>
      </c>
      <c r="AY18" s="758">
        <f t="shared" si="20"/>
        <v>27.147947281059523</v>
      </c>
      <c r="AZ18" s="735">
        <f t="shared" si="26"/>
        <v>27.236518436015167</v>
      </c>
      <c r="BA18" s="633">
        <f t="shared" si="21"/>
        <v>0.88112355781951346</v>
      </c>
      <c r="BC18" s="11">
        <v>43104</v>
      </c>
      <c r="BD18" s="289">
        <f>[3]!FeuilCaduc*(1-Persistant)+Persistant</f>
        <v>0.80183515610083267</v>
      </c>
      <c r="BE18" s="290">
        <f>[3]!CroissVégét</f>
        <v>1.8511247801664469E-4</v>
      </c>
      <c r="BF18" s="804">
        <f>1+[3]!Salcycl*Ksac</f>
        <v>1.0004587890252081</v>
      </c>
      <c r="BH18" s="1037">
        <f t="shared" si="22"/>
        <v>0.14760078848123365</v>
      </c>
      <c r="BI18" s="11">
        <v>44200</v>
      </c>
      <c r="BJ18" s="715">
        <v>2.1544628839920772E-3</v>
      </c>
      <c r="BK18" s="715">
        <v>2.3025915882220128E-2</v>
      </c>
      <c r="BL18" s="715">
        <v>5.6780492249095288E-2</v>
      </c>
      <c r="BM18" s="715">
        <v>0.10396271529522833</v>
      </c>
      <c r="BN18" s="715">
        <v>0.15858287073070654</v>
      </c>
      <c r="BO18" s="716">
        <v>0.22642102915905937</v>
      </c>
      <c r="BP18" s="715">
        <v>0.35927171285066595</v>
      </c>
      <c r="BQ18" s="715">
        <v>0.59061449617171846</v>
      </c>
      <c r="BR18" s="715">
        <v>0.86570328993113721</v>
      </c>
      <c r="BS18" s="715">
        <v>1.1276143825231986</v>
      </c>
      <c r="BT18" s="715">
        <v>1.3368367748421355</v>
      </c>
      <c r="BW18" s="1185">
        <f>'2019'!R\Max</f>
        <v>0</v>
      </c>
      <c r="BX18" s="1185">
        <f>'2020'!R\Max</f>
        <v>0.18164658443104159</v>
      </c>
      <c r="BY18" s="1185">
        <f>'2021'!R\Max</f>
        <v>0.88112355781951346</v>
      </c>
      <c r="BZ18" s="1185">
        <f>'2022'!R\Max</f>
        <v>0.75059847710519367</v>
      </c>
      <c r="CA18" s="1185">
        <f>'2023'!R\Max</f>
        <v>0.74812854719797039</v>
      </c>
      <c r="CB18" s="1185">
        <f>'2024'!R\Max</f>
        <v>0.74541025588114396</v>
      </c>
      <c r="CC18" s="1185">
        <f>'2025'!R\Max</f>
        <v>0.74196285525861361</v>
      </c>
      <c r="CD18" s="1185">
        <f>'2026'!R\Max</f>
        <v>0.73706260997279882</v>
      </c>
      <c r="CE18" s="1186">
        <f>'2027'!R\Max</f>
        <v>0.75315663290779777</v>
      </c>
      <c r="CF18" s="1187">
        <f>'2028'!R\Max</f>
        <v>0.75180647292424319</v>
      </c>
    </row>
    <row r="19" spans="1:84" s="6" customFormat="1" ht="11.25" x14ac:dyDescent="0.2">
      <c r="A19" s="11">
        <v>43105</v>
      </c>
      <c r="B19" s="379">
        <f>'2022'!Maxi_hp</f>
        <v>14.653566209757251</v>
      </c>
      <c r="C19" s="13">
        <f>'2022'!An_max</f>
        <v>2022</v>
      </c>
      <c r="D19" s="1046" t="str">
        <f t="shared" si="7"/>
        <v/>
      </c>
      <c r="E19" s="1041"/>
      <c r="F19" s="13">
        <f t="shared" si="23"/>
        <v>1</v>
      </c>
      <c r="G19" s="13">
        <f t="shared" si="24"/>
        <v>2</v>
      </c>
      <c r="H19" s="173">
        <f t="shared" si="8"/>
        <v>43093</v>
      </c>
      <c r="I19" s="742">
        <f t="shared" si="9"/>
        <v>0.8</v>
      </c>
      <c r="J19" s="735">
        <f t="shared" si="27"/>
        <v>27.338133792877198</v>
      </c>
      <c r="L19" s="744" t="s">
        <v>213</v>
      </c>
      <c r="M19" s="771">
        <f t="shared" ref="M19:AN19" si="30">N12</f>
        <v>43108</v>
      </c>
      <c r="N19" s="727">
        <f t="shared" si="30"/>
        <v>43122</v>
      </c>
      <c r="O19" s="727">
        <f t="shared" si="30"/>
        <v>43136</v>
      </c>
      <c r="P19" s="727">
        <f t="shared" si="30"/>
        <v>43150</v>
      </c>
      <c r="Q19" s="727">
        <f t="shared" si="30"/>
        <v>43164</v>
      </c>
      <c r="R19" s="727">
        <f t="shared" si="30"/>
        <v>43178</v>
      </c>
      <c r="S19" s="727">
        <f t="shared" si="30"/>
        <v>43192</v>
      </c>
      <c r="T19" s="727">
        <f t="shared" si="30"/>
        <v>43206</v>
      </c>
      <c r="U19" s="727">
        <f t="shared" si="30"/>
        <v>43220</v>
      </c>
      <c r="V19" s="727">
        <f t="shared" si="30"/>
        <v>43234</v>
      </c>
      <c r="W19" s="727">
        <f t="shared" si="30"/>
        <v>43248</v>
      </c>
      <c r="X19" s="727">
        <f t="shared" si="30"/>
        <v>43262</v>
      </c>
      <c r="Y19" s="727">
        <f t="shared" si="30"/>
        <v>43276</v>
      </c>
      <c r="Z19" s="727">
        <f t="shared" si="30"/>
        <v>43290</v>
      </c>
      <c r="AA19" s="727">
        <f t="shared" si="30"/>
        <v>43304</v>
      </c>
      <c r="AB19" s="727">
        <f t="shared" si="30"/>
        <v>43318</v>
      </c>
      <c r="AC19" s="727">
        <f t="shared" si="30"/>
        <v>43332</v>
      </c>
      <c r="AD19" s="727">
        <f t="shared" si="30"/>
        <v>43346</v>
      </c>
      <c r="AE19" s="727">
        <f t="shared" si="30"/>
        <v>43360</v>
      </c>
      <c r="AF19" s="727">
        <f t="shared" si="30"/>
        <v>43374</v>
      </c>
      <c r="AG19" s="727">
        <f t="shared" si="30"/>
        <v>43388</v>
      </c>
      <c r="AH19" s="727">
        <f t="shared" si="30"/>
        <v>43402</v>
      </c>
      <c r="AI19" s="727">
        <f t="shared" si="30"/>
        <v>43416</v>
      </c>
      <c r="AJ19" s="727">
        <f t="shared" si="30"/>
        <v>43430</v>
      </c>
      <c r="AK19" s="727">
        <f t="shared" si="30"/>
        <v>43444</v>
      </c>
      <c r="AL19" s="768">
        <f t="shared" si="30"/>
        <v>43458</v>
      </c>
      <c r="AM19" s="728">
        <f t="shared" si="30"/>
        <v>43473</v>
      </c>
      <c r="AN19" s="728">
        <f t="shared" si="30"/>
        <v>43487</v>
      </c>
      <c r="AO19" s="1039">
        <v>43105</v>
      </c>
      <c r="AP19" s="13">
        <f t="shared" si="11"/>
        <v>1</v>
      </c>
      <c r="AQ19" s="13">
        <f t="shared" si="12"/>
        <v>2</v>
      </c>
      <c r="AR19" s="173">
        <f t="shared" si="13"/>
        <v>43079</v>
      </c>
      <c r="AS19" s="742">
        <f t="shared" si="14"/>
        <v>0.89655172413793105</v>
      </c>
      <c r="AT19" s="758">
        <f t="shared" si="15"/>
        <v>27.487579572560456</v>
      </c>
      <c r="AU19" s="13">
        <f t="shared" si="16"/>
        <v>1</v>
      </c>
      <c r="AV19" s="13">
        <f t="shared" si="17"/>
        <v>2</v>
      </c>
      <c r="AW19" s="173">
        <f t="shared" si="18"/>
        <v>43093</v>
      </c>
      <c r="AX19" s="742">
        <f t="shared" si="19"/>
        <v>0.41379310344827586</v>
      </c>
      <c r="AY19" s="758">
        <f t="shared" si="20"/>
        <v>27.382684948321049</v>
      </c>
      <c r="AZ19" s="735">
        <f t="shared" si="26"/>
        <v>27.435132260440753</v>
      </c>
      <c r="BA19" s="633">
        <f t="shared" si="21"/>
        <v>0.53601194290647436</v>
      </c>
      <c r="BC19" s="11">
        <v>43105</v>
      </c>
      <c r="BD19" s="289">
        <f>[3]!FeuilCaduc*(1-Persistant)+Persistant</f>
        <v>0.80169945704421919</v>
      </c>
      <c r="BE19" s="290">
        <f>[3]!CroissVégét</f>
        <v>2.5118354313997834E-4</v>
      </c>
      <c r="BF19" s="804">
        <f>1+[3]!Salcycl*Ksac</f>
        <v>1.0004248642610547</v>
      </c>
      <c r="BH19" s="1037">
        <f t="shared" si="22"/>
        <v>0.14823625272524421</v>
      </c>
      <c r="BI19" s="11">
        <v>44201</v>
      </c>
      <c r="BJ19" s="715">
        <v>2.1349395741826539E-3</v>
      </c>
      <c r="BK19" s="715">
        <v>2.2680987002125105E-2</v>
      </c>
      <c r="BL19" s="715">
        <v>5.6604621100304668E-2</v>
      </c>
      <c r="BM19" s="715">
        <v>0.104080896216697</v>
      </c>
      <c r="BN19" s="715">
        <v>0.15934851597446523</v>
      </c>
      <c r="BO19" s="716">
        <v>0.22748178362091837</v>
      </c>
      <c r="BP19" s="715">
        <v>0.35856039013453822</v>
      </c>
      <c r="BQ19" s="715">
        <v>0.58867037540937384</v>
      </c>
      <c r="BR19" s="715">
        <v>0.86405141026056131</v>
      </c>
      <c r="BS19" s="715">
        <v>1.1293147484085408</v>
      </c>
      <c r="BT19" s="715">
        <v>1.3422638467585746</v>
      </c>
      <c r="BW19" s="1185">
        <f>'2019'!R\Max</f>
        <v>0</v>
      </c>
      <c r="BX19" s="1185">
        <f>'2020'!R\Max</f>
        <v>0.41821956825941525</v>
      </c>
      <c r="BY19" s="1185">
        <f>'2021'!R\Max</f>
        <v>8.0572581535023793E-2</v>
      </c>
      <c r="BZ19" s="1185">
        <f>'2022'!R\Max</f>
        <v>0.53601194290647436</v>
      </c>
      <c r="CA19" s="1185">
        <f>'2023'!R\Max</f>
        <v>0.53280472809285873</v>
      </c>
      <c r="CB19" s="1185">
        <f>'2024'!R\Max</f>
        <v>0.52930217454358164</v>
      </c>
      <c r="CC19" s="1185">
        <f>'2025'!R\Max</f>
        <v>0.52487493297686494</v>
      </c>
      <c r="CD19" s="1185">
        <f>'2026'!R\Max</f>
        <v>0.51861569890205805</v>
      </c>
      <c r="CE19" s="1186">
        <f>'2027'!R\Max</f>
        <v>0.53940744156349729</v>
      </c>
      <c r="CF19" s="1187">
        <f>'2028'!R\Max</f>
        <v>0.53761284749621796</v>
      </c>
    </row>
    <row r="20" spans="1:84" s="6" customFormat="1" ht="11.25" x14ac:dyDescent="0.2">
      <c r="A20" s="11">
        <v>43106</v>
      </c>
      <c r="B20" s="379">
        <f>'2022'!Maxi_hp</f>
        <v>27.808568767464173</v>
      </c>
      <c r="C20" s="13">
        <f>'2022'!An_max</f>
        <v>2022</v>
      </c>
      <c r="D20" s="1046">
        <f t="shared" si="7"/>
        <v>1.0088900542938466</v>
      </c>
      <c r="E20" s="1041"/>
      <c r="F20" s="13">
        <f t="shared" si="23"/>
        <v>1</v>
      </c>
      <c r="G20" s="13">
        <f t="shared" si="24"/>
        <v>2</v>
      </c>
      <c r="H20" s="173">
        <f t="shared" si="8"/>
        <v>43093</v>
      </c>
      <c r="I20" s="742">
        <f t="shared" si="9"/>
        <v>0.8666666666666667</v>
      </c>
      <c r="J20" s="735">
        <f t="shared" si="27"/>
        <v>27.563527511358263</v>
      </c>
      <c r="L20" s="744" t="s">
        <v>214</v>
      </c>
      <c r="M20" s="772">
        <f>N13</f>
        <v>280.30799999999999</v>
      </c>
      <c r="N20" s="732">
        <f t="shared" ref="N20:AN20" si="31">O13</f>
        <v>323.05</v>
      </c>
      <c r="O20" s="732">
        <f t="shared" si="31"/>
        <v>372.75</v>
      </c>
      <c r="P20" s="732">
        <f t="shared" si="31"/>
        <v>422.45</v>
      </c>
      <c r="Q20" s="732">
        <f t="shared" si="31"/>
        <v>471.15600000000001</v>
      </c>
      <c r="R20" s="732">
        <f t="shared" si="31"/>
        <v>518.86800000000005</v>
      </c>
      <c r="S20" s="732">
        <f t="shared" si="31"/>
        <v>560.61599999999999</v>
      </c>
      <c r="T20" s="732">
        <f t="shared" si="31"/>
        <v>588.44799999999998</v>
      </c>
      <c r="U20" s="732">
        <f t="shared" si="31"/>
        <v>606.34</v>
      </c>
      <c r="V20" s="732">
        <f t="shared" si="31"/>
        <v>616.28</v>
      </c>
      <c r="W20" s="732">
        <f t="shared" si="31"/>
        <v>620.25599999999997</v>
      </c>
      <c r="X20" s="732">
        <f t="shared" si="31"/>
        <v>618.26800000000003</v>
      </c>
      <c r="Y20" s="732">
        <f t="shared" si="31"/>
        <v>610.31600000000003</v>
      </c>
      <c r="Z20" s="732">
        <f t="shared" si="31"/>
        <v>596.4</v>
      </c>
      <c r="AA20" s="732">
        <f t="shared" si="31"/>
        <v>579.50199999999995</v>
      </c>
      <c r="AB20" s="732">
        <f t="shared" si="31"/>
        <v>560.61599999999999</v>
      </c>
      <c r="AC20" s="732">
        <f t="shared" si="31"/>
        <v>540.73599999999999</v>
      </c>
      <c r="AD20" s="732">
        <f t="shared" si="31"/>
        <v>516.88</v>
      </c>
      <c r="AE20" s="732">
        <f t="shared" si="31"/>
        <v>486.06599999999997</v>
      </c>
      <c r="AF20" s="732">
        <f t="shared" si="31"/>
        <v>449.28800000000001</v>
      </c>
      <c r="AG20" s="732">
        <f t="shared" si="31"/>
        <v>408.53399999999999</v>
      </c>
      <c r="AH20" s="732">
        <f t="shared" si="31"/>
        <v>367.78</v>
      </c>
      <c r="AI20" s="732">
        <f t="shared" si="31"/>
        <v>330.00799999999998</v>
      </c>
      <c r="AJ20" s="732">
        <f t="shared" si="31"/>
        <v>294.22399999999999</v>
      </c>
      <c r="AK20" s="732">
        <f t="shared" si="31"/>
        <v>264.404</v>
      </c>
      <c r="AL20" s="767">
        <f t="shared" si="31"/>
        <v>255.458</v>
      </c>
      <c r="AM20" s="765">
        <f t="shared" si="31"/>
        <v>280.30799999999999</v>
      </c>
      <c r="AN20" s="765">
        <f t="shared" si="31"/>
        <v>323.05</v>
      </c>
      <c r="AO20" s="1039">
        <v>43106</v>
      </c>
      <c r="AP20" s="13">
        <f t="shared" si="11"/>
        <v>1</v>
      </c>
      <c r="AQ20" s="13">
        <f t="shared" si="12"/>
        <v>2</v>
      </c>
      <c r="AR20" s="173">
        <f t="shared" si="13"/>
        <v>43079</v>
      </c>
      <c r="AS20" s="742">
        <f t="shared" si="14"/>
        <v>0.93103448275862066</v>
      </c>
      <c r="AT20" s="758">
        <f>((1-AS20)*(INDEX(a.lg,AP20)*$A20*$A20+INDEX(b.lg,AP20)*$A20+INDEX(c.lg,AP20))+AS20*(INDEX(a.lg,AQ20)*$A20*$A20+INDEX(b.lg,AQ20)*$A20+INDEX(c.lg,AQ20)))/10</f>
        <v>27.659394773532608</v>
      </c>
      <c r="AU20" s="13">
        <f t="shared" si="16"/>
        <v>1</v>
      </c>
      <c r="AV20" s="13">
        <f t="shared" si="17"/>
        <v>2</v>
      </c>
      <c r="AW20" s="173">
        <f t="shared" si="18"/>
        <v>43093</v>
      </c>
      <c r="AX20" s="742">
        <f t="shared" si="19"/>
        <v>0.44827586206896552</v>
      </c>
      <c r="AY20" s="758">
        <f t="shared" si="20"/>
        <v>27.628344622793897</v>
      </c>
      <c r="AZ20" s="735">
        <f t="shared" si="26"/>
        <v>27.64386969816325</v>
      </c>
      <c r="BA20" s="633">
        <f t="shared" si="21"/>
        <v>1.0088900542938466</v>
      </c>
      <c r="BC20" s="11">
        <v>43106</v>
      </c>
      <c r="BD20" s="289">
        <f>[3]!FeuilCaduc*(1-Persistant)+Persistant</f>
        <v>0.80157031130564005</v>
      </c>
      <c r="BE20" s="290">
        <f>[3]!CroissVégét</f>
        <v>3.2001713664140156E-4</v>
      </c>
      <c r="BF20" s="804">
        <f>1+[3]!Salcycl*Ksac</f>
        <v>1.00039257782641</v>
      </c>
      <c r="BH20" s="1037">
        <f t="shared" si="22"/>
        <v>0.1488834385201972</v>
      </c>
      <c r="BI20" s="11">
        <v>44202</v>
      </c>
      <c r="BJ20" s="715">
        <v>2.1147027901049459E-3</v>
      </c>
      <c r="BK20" s="715">
        <v>2.2295007877211725E-2</v>
      </c>
      <c r="BL20" s="715">
        <v>5.6384361954427011E-2</v>
      </c>
      <c r="BM20" s="715">
        <v>0.10416334900492787</v>
      </c>
      <c r="BN20" s="715">
        <v>0.16013782409233518</v>
      </c>
      <c r="BO20" s="716">
        <v>0.22859343426872711</v>
      </c>
      <c r="BP20" s="715">
        <v>0.35772432733930465</v>
      </c>
      <c r="BQ20" s="715">
        <v>0.58631378839592918</v>
      </c>
      <c r="BR20" s="715">
        <v>0.86187508680923031</v>
      </c>
      <c r="BS20" s="715">
        <v>1.1305733252399228</v>
      </c>
      <c r="BT20" s="715">
        <v>1.3474289442566938</v>
      </c>
      <c r="BW20" s="1185">
        <f>'2019'!R\Max</f>
        <v>0</v>
      </c>
      <c r="BX20" s="1185">
        <f>'2020'!R\Max</f>
        <v>0.99559370746391951</v>
      </c>
      <c r="BY20" s="1185">
        <f>'2021'!R\Max</f>
        <v>0.288823428940852</v>
      </c>
      <c r="BZ20" s="1185">
        <f>'2022'!R\Max</f>
        <v>1.0088900542938466</v>
      </c>
      <c r="CA20" s="1185">
        <f>'2023'!R\Max</f>
        <v>1.0088900542938468</v>
      </c>
      <c r="CB20" s="1185">
        <f>'2024'!R\Max</f>
        <v>1.0088900542938466</v>
      </c>
      <c r="CC20" s="1185">
        <f>'2025'!R\Max</f>
        <v>1.0088900542938466</v>
      </c>
      <c r="CD20" s="1185">
        <f>'2026'!R\Max</f>
        <v>1.0088900542938466</v>
      </c>
      <c r="CE20" s="1186">
        <f>'2027'!R\Max</f>
        <v>1.0088900542938466</v>
      </c>
      <c r="CF20" s="1187">
        <f>'2028'!R\Max</f>
        <v>1.0088900542938466</v>
      </c>
    </row>
    <row r="21" spans="1:84" s="6" customFormat="1" ht="11.25" x14ac:dyDescent="0.2">
      <c r="A21" s="11">
        <v>43107</v>
      </c>
      <c r="B21" s="379">
        <f>'2022'!Maxi_hp</f>
        <v>14.667527811072381</v>
      </c>
      <c r="C21" s="13">
        <f>'2022'!An_max</f>
        <v>2021</v>
      </c>
      <c r="D21" s="1046" t="str">
        <f t="shared" si="7"/>
        <v/>
      </c>
      <c r="E21" s="1041"/>
      <c r="F21" s="13">
        <f t="shared" si="23"/>
        <v>1</v>
      </c>
      <c r="G21" s="13">
        <f t="shared" si="24"/>
        <v>2</v>
      </c>
      <c r="H21" s="173">
        <f t="shared" si="8"/>
        <v>43093</v>
      </c>
      <c r="I21" s="742">
        <f t="shared" si="9"/>
        <v>0.93333333333333335</v>
      </c>
      <c r="J21" s="735">
        <f t="shared" si="27"/>
        <v>27.794829731980961</v>
      </c>
      <c r="L21" s="745" t="s">
        <v>215</v>
      </c>
      <c r="M21" s="729">
        <f>x.1m*x.1m-x.2m*x.2m</f>
        <v>-1206408</v>
      </c>
      <c r="N21" s="729">
        <f t="shared" ref="N21:AM21" si="32">x.1m*x.1m-x.2m*x.2m</f>
        <v>-1293015</v>
      </c>
      <c r="O21" s="729">
        <f t="shared" si="32"/>
        <v>-1207220</v>
      </c>
      <c r="P21" s="729">
        <f t="shared" si="32"/>
        <v>-1207612</v>
      </c>
      <c r="Q21" s="729">
        <f t="shared" si="32"/>
        <v>-1208004</v>
      </c>
      <c r="R21" s="729">
        <f t="shared" si="32"/>
        <v>-1208396</v>
      </c>
      <c r="S21" s="729">
        <f t="shared" si="32"/>
        <v>-1208788</v>
      </c>
      <c r="T21" s="729">
        <f t="shared" si="32"/>
        <v>-1209180</v>
      </c>
      <c r="U21" s="729">
        <f t="shared" si="32"/>
        <v>-1209572</v>
      </c>
      <c r="V21" s="729">
        <f t="shared" si="32"/>
        <v>-1209964</v>
      </c>
      <c r="W21" s="729">
        <f t="shared" si="32"/>
        <v>-1210356</v>
      </c>
      <c r="X21" s="729">
        <f t="shared" si="32"/>
        <v>-1210748</v>
      </c>
      <c r="Y21" s="729">
        <f t="shared" si="32"/>
        <v>-1211140</v>
      </c>
      <c r="Z21" s="729">
        <f t="shared" si="32"/>
        <v>-1211532</v>
      </c>
      <c r="AA21" s="729">
        <f t="shared" si="32"/>
        <v>-1211924</v>
      </c>
      <c r="AB21" s="729">
        <f t="shared" si="32"/>
        <v>-1212316</v>
      </c>
      <c r="AC21" s="729">
        <f t="shared" si="32"/>
        <v>-1212708</v>
      </c>
      <c r="AD21" s="729">
        <f t="shared" si="32"/>
        <v>-1213100</v>
      </c>
      <c r="AE21" s="729">
        <f t="shared" si="32"/>
        <v>-1213492</v>
      </c>
      <c r="AF21" s="729">
        <f t="shared" si="32"/>
        <v>-1213884</v>
      </c>
      <c r="AG21" s="729">
        <f t="shared" si="32"/>
        <v>-1214276</v>
      </c>
      <c r="AH21" s="729">
        <f t="shared" si="32"/>
        <v>-1214668</v>
      </c>
      <c r="AI21" s="729">
        <f t="shared" si="32"/>
        <v>-1215060</v>
      </c>
      <c r="AJ21" s="729">
        <f t="shared" si="32"/>
        <v>-1215452</v>
      </c>
      <c r="AK21" s="729">
        <f t="shared" si="32"/>
        <v>-1215844</v>
      </c>
      <c r="AL21" s="729">
        <f t="shared" si="32"/>
        <v>-1216236</v>
      </c>
      <c r="AM21" s="729">
        <f t="shared" si="32"/>
        <v>-1216628</v>
      </c>
      <c r="AN21" s="729">
        <f>x.1m*x.1m-x.2m*x.2m</f>
        <v>-1303965</v>
      </c>
      <c r="AO21" s="1039">
        <v>43107</v>
      </c>
      <c r="AP21" s="13">
        <f t="shared" si="11"/>
        <v>1</v>
      </c>
      <c r="AQ21" s="13">
        <f t="shared" si="12"/>
        <v>2</v>
      </c>
      <c r="AR21" s="173">
        <f t="shared" si="13"/>
        <v>43079</v>
      </c>
      <c r="AS21" s="742">
        <f t="shared" si="14"/>
        <v>0.96551724137931039</v>
      </c>
      <c r="AT21" s="758">
        <f t="shared" si="15"/>
        <v>27.840484984424609</v>
      </c>
      <c r="AU21" s="13">
        <f t="shared" si="16"/>
        <v>1</v>
      </c>
      <c r="AV21" s="13">
        <f t="shared" si="17"/>
        <v>2</v>
      </c>
      <c r="AW21" s="173">
        <f t="shared" si="18"/>
        <v>43093</v>
      </c>
      <c r="AX21" s="742">
        <f t="shared" si="19"/>
        <v>0.48275862068965519</v>
      </c>
      <c r="AY21" s="758">
        <f t="shared" si="20"/>
        <v>27.884020307300421</v>
      </c>
      <c r="AZ21" s="735">
        <f t="shared" si="26"/>
        <v>27.862252645862515</v>
      </c>
      <c r="BA21" s="633">
        <f t="shared" si="21"/>
        <v>0.5277070574818381</v>
      </c>
      <c r="BC21" s="11">
        <v>43107</v>
      </c>
      <c r="BD21" s="289">
        <f>[3]!FeuilCaduc*(1-Persistant)+Persistant</f>
        <v>0.80144713216359986</v>
      </c>
      <c r="BE21" s="290">
        <f>[3]!CroissVégét</f>
        <v>3.9172835876776901E-4</v>
      </c>
      <c r="BF21" s="804">
        <f>1+[3]!Salcycl*Ksac</f>
        <v>1.0003617830409</v>
      </c>
      <c r="BH21" s="1037">
        <f t="shared" si="22"/>
        <v>0.1495419786838717</v>
      </c>
      <c r="BI21" s="11">
        <v>44203</v>
      </c>
      <c r="BJ21" s="715">
        <v>2.0937463128005949E-3</v>
      </c>
      <c r="BK21" s="715">
        <v>2.1867866282493074E-2</v>
      </c>
      <c r="BL21" s="715">
        <v>5.6119509703181719E-2</v>
      </c>
      <c r="BM21" s="715">
        <v>0.10420975691426773</v>
      </c>
      <c r="BN21" s="715">
        <v>0.1609504152090846</v>
      </c>
      <c r="BO21" s="716">
        <v>0.22975546357661505</v>
      </c>
      <c r="BP21" s="715">
        <v>0.356762443679006</v>
      </c>
      <c r="BQ21" s="715">
        <v>0.5835426734753133</v>
      </c>
      <c r="BR21" s="715">
        <v>0.85917139521946928</v>
      </c>
      <c r="BS21" s="715">
        <v>1.1313865942612673</v>
      </c>
      <c r="BT21" s="715">
        <v>1.3523282213710044</v>
      </c>
      <c r="BW21" s="1185">
        <f>'2019'!R\Max</f>
        <v>0</v>
      </c>
      <c r="BX21" s="1185">
        <f>'2020'!R\Max</f>
        <v>0.31736809011219219</v>
      </c>
      <c r="BY21" s="1185">
        <f>'2021'!R\Max</f>
        <v>0.5277070574818381</v>
      </c>
      <c r="BZ21" s="1185">
        <f>'2022'!R\Max</f>
        <v>0.33926716510687083</v>
      </c>
      <c r="CA21" s="1185">
        <f>'2023'!R\Max</f>
        <v>0.33650933904730423</v>
      </c>
      <c r="CB21" s="1185">
        <f>'2024'!R\Max</f>
        <v>0.3335254298218458</v>
      </c>
      <c r="CC21" s="1185">
        <f>'2025'!R\Max</f>
        <v>0.32974685557704086</v>
      </c>
      <c r="CD21" s="1185">
        <f>'2026'!R\Max</f>
        <v>0.32440248567802693</v>
      </c>
      <c r="CE21" s="1186">
        <f>'2027'!R\Max</f>
        <v>0.34231417095403116</v>
      </c>
      <c r="CF21" s="1187">
        <f>'2028'!R\Max</f>
        <v>0.34070171735765026</v>
      </c>
    </row>
    <row r="22" spans="1:84" s="6" customFormat="1" ht="11.25" x14ac:dyDescent="0.2">
      <c r="A22" s="11">
        <v>43108</v>
      </c>
      <c r="B22" s="379">
        <f>'2022'!Maxi_hp</f>
        <v>22.512666153472253</v>
      </c>
      <c r="C22" s="13">
        <f>'2022'!An_max</f>
        <v>2021</v>
      </c>
      <c r="D22" s="1046" t="str">
        <f t="shared" si="7"/>
        <v/>
      </c>
      <c r="E22" s="1041">
        <f>N$13/10</f>
        <v>28.030799999999999</v>
      </c>
      <c r="F22" s="13">
        <f t="shared" si="23"/>
        <v>3</v>
      </c>
      <c r="G22" s="13">
        <f t="shared" si="24"/>
        <v>2</v>
      </c>
      <c r="H22" s="173">
        <f t="shared" si="8"/>
        <v>43122</v>
      </c>
      <c r="I22" s="742">
        <f t="shared" si="9"/>
        <v>1</v>
      </c>
      <c r="J22" s="735">
        <f t="shared" si="27"/>
        <v>28.030799999833107</v>
      </c>
      <c r="L22" s="745" t="s">
        <v>216</v>
      </c>
      <c r="M22" s="729">
        <f t="shared" ref="M22:AM22" si="33">x.2m*x.2m-x.3m*x.3m</f>
        <v>-1293015</v>
      </c>
      <c r="N22" s="729">
        <f>x.2m*x.2m-x.3m*x.3m</f>
        <v>-1207220</v>
      </c>
      <c r="O22" s="729">
        <f t="shared" si="33"/>
        <v>-1207612</v>
      </c>
      <c r="P22" s="729">
        <f t="shared" si="33"/>
        <v>-1208004</v>
      </c>
      <c r="Q22" s="729">
        <f t="shared" si="33"/>
        <v>-1208396</v>
      </c>
      <c r="R22" s="729">
        <f t="shared" si="33"/>
        <v>-1208788</v>
      </c>
      <c r="S22" s="729">
        <f t="shared" si="33"/>
        <v>-1209180</v>
      </c>
      <c r="T22" s="729">
        <f t="shared" si="33"/>
        <v>-1209572</v>
      </c>
      <c r="U22" s="729">
        <f t="shared" si="33"/>
        <v>-1209964</v>
      </c>
      <c r="V22" s="729">
        <f t="shared" si="33"/>
        <v>-1210356</v>
      </c>
      <c r="W22" s="729">
        <f t="shared" si="33"/>
        <v>-1210748</v>
      </c>
      <c r="X22" s="729">
        <f t="shared" si="33"/>
        <v>-1211140</v>
      </c>
      <c r="Y22" s="729">
        <f t="shared" si="33"/>
        <v>-1211532</v>
      </c>
      <c r="Z22" s="729">
        <f t="shared" si="33"/>
        <v>-1211924</v>
      </c>
      <c r="AA22" s="729">
        <f t="shared" si="33"/>
        <v>-1212316</v>
      </c>
      <c r="AB22" s="729">
        <f t="shared" si="33"/>
        <v>-1212708</v>
      </c>
      <c r="AC22" s="729">
        <f t="shared" si="33"/>
        <v>-1213100</v>
      </c>
      <c r="AD22" s="729">
        <f t="shared" si="33"/>
        <v>-1213492</v>
      </c>
      <c r="AE22" s="729">
        <f t="shared" si="33"/>
        <v>-1213884</v>
      </c>
      <c r="AF22" s="729">
        <f t="shared" si="33"/>
        <v>-1214276</v>
      </c>
      <c r="AG22" s="729">
        <f t="shared" si="33"/>
        <v>-1214668</v>
      </c>
      <c r="AH22" s="729">
        <f t="shared" si="33"/>
        <v>-1215060</v>
      </c>
      <c r="AI22" s="729">
        <f t="shared" si="33"/>
        <v>-1215452</v>
      </c>
      <c r="AJ22" s="729">
        <f t="shared" si="33"/>
        <v>-1215844</v>
      </c>
      <c r="AK22" s="729">
        <f t="shared" si="33"/>
        <v>-1216236</v>
      </c>
      <c r="AL22" s="729">
        <f t="shared" si="33"/>
        <v>-1216628</v>
      </c>
      <c r="AM22" s="729">
        <f t="shared" si="33"/>
        <v>-1303965</v>
      </c>
      <c r="AN22" s="729">
        <f>x.2m*x.2m-x.3m*x.3m</f>
        <v>-1217440</v>
      </c>
      <c r="AO22" s="1039">
        <v>43108</v>
      </c>
      <c r="AP22" s="13">
        <f t="shared" si="11"/>
        <v>3</v>
      </c>
      <c r="AQ22" s="13">
        <f t="shared" si="12"/>
        <v>2</v>
      </c>
      <c r="AR22" s="173">
        <f t="shared" si="13"/>
        <v>43136</v>
      </c>
      <c r="AS22" s="742">
        <f t="shared" si="14"/>
        <v>1</v>
      </c>
      <c r="AT22" s="758">
        <f t="shared" si="15"/>
        <v>28.030799999833107</v>
      </c>
      <c r="AU22" s="13">
        <f t="shared" si="16"/>
        <v>1</v>
      </c>
      <c r="AV22" s="13">
        <f t="shared" si="17"/>
        <v>2</v>
      </c>
      <c r="AW22" s="173">
        <f t="shared" si="18"/>
        <v>43093</v>
      </c>
      <c r="AX22" s="742">
        <f t="shared" si="19"/>
        <v>0.51724137931034486</v>
      </c>
      <c r="AY22" s="758">
        <f t="shared" si="20"/>
        <v>28.148806007591816</v>
      </c>
      <c r="AZ22" s="735">
        <f t="shared" si="26"/>
        <v>28.089803003712461</v>
      </c>
      <c r="BA22" s="633">
        <f t="shared" si="21"/>
        <v>0.80314033682971198</v>
      </c>
      <c r="BC22" s="11">
        <v>43108</v>
      </c>
      <c r="BD22" s="289">
        <f>[3]!FeuilCaduc*(1-Persistant)+Persistant</f>
        <v>0.80132943939243761</v>
      </c>
      <c r="BE22" s="290">
        <f>[3]!CroissVégét</f>
        <v>4.664370707620742E-4</v>
      </c>
      <c r="BF22" s="804">
        <f>1+[3]!Salcycl*Ksac</f>
        <v>1.0003323598481093</v>
      </c>
      <c r="BH22" s="1037">
        <f t="shared" si="22"/>
        <v>0.15021149981763554</v>
      </c>
      <c r="BI22" s="11">
        <v>44204</v>
      </c>
      <c r="BJ22" s="715">
        <v>2.072064160833127E-3</v>
      </c>
      <c r="BK22" s="715">
        <v>2.1399455267579179E-2</v>
      </c>
      <c r="BL22" s="715">
        <v>5.5809863093674035E-2</v>
      </c>
      <c r="BM22" s="715">
        <v>0.10421980394520713</v>
      </c>
      <c r="BN22" s="715">
        <v>0.16178590148085409</v>
      </c>
      <c r="BO22" s="716">
        <v>0.23096734227833407</v>
      </c>
      <c r="BP22" s="715">
        <v>0.35567367236944214</v>
      </c>
      <c r="BQ22" s="715">
        <v>0.58035500826749831</v>
      </c>
      <c r="BR22" s="715">
        <v>0.85593745329732507</v>
      </c>
      <c r="BS22" s="715">
        <v>1.1317510427541482</v>
      </c>
      <c r="BT22" s="715">
        <v>1.3569577940603637</v>
      </c>
      <c r="BW22" s="1185">
        <f>'2019'!R\Max</f>
        <v>0</v>
      </c>
      <c r="BX22" s="1185">
        <f>'2020'!R\Max</f>
        <v>0.5042343306178847</v>
      </c>
      <c r="BY22" s="1185">
        <f>'2021'!R\Max</f>
        <v>0.80314033682971198</v>
      </c>
      <c r="BZ22" s="1185">
        <f>'2022'!R\Max</f>
        <v>0.23393261870815621</v>
      </c>
      <c r="CA22" s="1185">
        <f>'2023'!R\Max</f>
        <v>0.23195640183299115</v>
      </c>
      <c r="CB22" s="1185">
        <f>'2024'!R\Max</f>
        <v>0.22982551542175522</v>
      </c>
      <c r="CC22" s="1185">
        <f>'2025'!R\Max</f>
        <v>0.22711897075027485</v>
      </c>
      <c r="CD22" s="1185">
        <f>'2026'!R\Max</f>
        <v>0.22327978788623157</v>
      </c>
      <c r="CE22" s="1186">
        <f>'2027'!R\Max</f>
        <v>0.23616581472805373</v>
      </c>
      <c r="CF22" s="1187">
        <f>'2028'!R\Max</f>
        <v>0.23498369516766437</v>
      </c>
    </row>
    <row r="23" spans="1:84" s="6" customFormat="1" ht="11.25" x14ac:dyDescent="0.2">
      <c r="A23" s="11">
        <v>43109</v>
      </c>
      <c r="B23" s="379">
        <f>'2022'!Maxi_hp</f>
        <v>26.668518012021664</v>
      </c>
      <c r="C23" s="13">
        <f>'2022'!An_max</f>
        <v>2020</v>
      </c>
      <c r="D23" s="1046" t="str">
        <f t="shared" si="7"/>
        <v/>
      </c>
      <c r="E23" s="1041"/>
      <c r="F23" s="13">
        <f t="shared" si="23"/>
        <v>3</v>
      </c>
      <c r="G23" s="13">
        <f t="shared" si="24"/>
        <v>2</v>
      </c>
      <c r="H23" s="173">
        <f t="shared" si="8"/>
        <v>43122</v>
      </c>
      <c r="I23" s="742">
        <f t="shared" si="9"/>
        <v>0.9285714285714286</v>
      </c>
      <c r="J23" s="735">
        <f t="shared" si="27"/>
        <v>28.276328552434485</v>
      </c>
      <c r="L23" s="745" t="s">
        <v>217</v>
      </c>
      <c r="M23" s="729">
        <f t="shared" ref="M23:AM23" si="34">(y.1m-y.2m-b.m*(x.1m-x.2m))/D2x12</f>
        <v>7.9160919540204391E-2</v>
      </c>
      <c r="N23" s="729">
        <f>(y.1m-y.2m-b.m*(x.1m-x.2m))/D2x12</f>
        <v>4.8149425287342118E-2</v>
      </c>
      <c r="O23" s="729">
        <f t="shared" si="34"/>
        <v>1.7750000000001327E-2</v>
      </c>
      <c r="P23" s="729">
        <f t="shared" si="34"/>
        <v>-1.0543888123686247E-17</v>
      </c>
      <c r="Q23" s="729">
        <f t="shared" si="34"/>
        <v>-2.5357142857145715E-3</v>
      </c>
      <c r="R23" s="729">
        <f t="shared" si="34"/>
        <v>-2.5357142857139019E-3</v>
      </c>
      <c r="S23" s="729">
        <f t="shared" si="34"/>
        <v>-1.5214285714283749E-2</v>
      </c>
      <c r="T23" s="729">
        <f t="shared" si="34"/>
        <v>-3.5500000000000843E-2</v>
      </c>
      <c r="U23" s="729">
        <f t="shared" si="34"/>
        <v>-2.5357142857141617E-2</v>
      </c>
      <c r="V23" s="729">
        <f t="shared" si="34"/>
        <v>-2.0285714285717391E-2</v>
      </c>
      <c r="W23" s="729">
        <f t="shared" si="34"/>
        <v>-1.5214285714285071E-2</v>
      </c>
      <c r="X23" s="729">
        <f t="shared" si="34"/>
        <v>-1.5214285714282337E-2</v>
      </c>
      <c r="Y23" s="729">
        <f t="shared" si="34"/>
        <v>-1.5214285714289007E-2</v>
      </c>
      <c r="Z23" s="729">
        <f t="shared" si="34"/>
        <v>-1.5214285714286475E-2</v>
      </c>
      <c r="AA23" s="729">
        <f t="shared" si="34"/>
        <v>-7.607142857140794E-3</v>
      </c>
      <c r="AB23" s="729">
        <f t="shared" si="34"/>
        <v>-5.0714285714284855E-3</v>
      </c>
      <c r="AC23" s="729">
        <f t="shared" si="34"/>
        <v>-2.5357142857137921E-3</v>
      </c>
      <c r="AD23" s="729">
        <f t="shared" si="34"/>
        <v>-1.0142857142859925E-2</v>
      </c>
      <c r="AE23" s="729">
        <f t="shared" si="34"/>
        <v>-1.775000000000463E-2</v>
      </c>
      <c r="AF23" s="729">
        <f t="shared" si="34"/>
        <v>-1.5214285714287264E-2</v>
      </c>
      <c r="AG23" s="729">
        <f t="shared" si="34"/>
        <v>-1.0142857142855299E-2</v>
      </c>
      <c r="AH23" s="729">
        <f t="shared" si="34"/>
        <v>1.6156834922541769E-17</v>
      </c>
      <c r="AI23" s="729">
        <f t="shared" si="34"/>
        <v>7.6071428571417724E-3</v>
      </c>
      <c r="AJ23" s="729">
        <f t="shared" si="34"/>
        <v>5.0714285714288697E-3</v>
      </c>
      <c r="AK23" s="729">
        <f t="shared" si="34"/>
        <v>1.5214285714282806E-2</v>
      </c>
      <c r="AL23" s="729">
        <f t="shared" si="34"/>
        <v>5.3249999999982943E-2</v>
      </c>
      <c r="AM23" s="729">
        <f t="shared" si="34"/>
        <v>7.9160919540234159E-2</v>
      </c>
      <c r="AN23" s="729">
        <f>(y.1m-y.2m-b.m*(x.1m-x.2m))/D2x12</f>
        <v>4.8149425287358452E-2</v>
      </c>
      <c r="AO23" s="1039">
        <v>43109</v>
      </c>
      <c r="AP23" s="13">
        <f t="shared" si="11"/>
        <v>3</v>
      </c>
      <c r="AQ23" s="13">
        <f t="shared" si="12"/>
        <v>2</v>
      </c>
      <c r="AR23" s="173">
        <f t="shared" si="13"/>
        <v>43136</v>
      </c>
      <c r="AS23" s="742">
        <f t="shared" si="14"/>
        <v>0.9642857142857143</v>
      </c>
      <c r="AT23" s="758">
        <f t="shared" si="15"/>
        <v>28.234831356313748</v>
      </c>
      <c r="AU23" s="13">
        <f t="shared" si="16"/>
        <v>1</v>
      </c>
      <c r="AV23" s="13">
        <f t="shared" si="17"/>
        <v>2</v>
      </c>
      <c r="AW23" s="173">
        <f t="shared" si="18"/>
        <v>43093</v>
      </c>
      <c r="AX23" s="742">
        <f t="shared" si="19"/>
        <v>0.55172413793103448</v>
      </c>
      <c r="AY23" s="758">
        <f t="shared" si="20"/>
        <v>28.421795727518099</v>
      </c>
      <c r="AZ23" s="735">
        <f t="shared" si="26"/>
        <v>28.328313541915925</v>
      </c>
      <c r="BA23" s="633">
        <f t="shared" si="21"/>
        <v>0.94313934578064607</v>
      </c>
      <c r="BC23" s="11">
        <v>43109</v>
      </c>
      <c r="BD23" s="289">
        <f>[3]!FeuilCaduc*(1-Persistant)+Persistant</f>
        <v>0.80121685294133982</v>
      </c>
      <c r="BE23" s="290">
        <f>[3]!CroissVégét</f>
        <v>5.4426808883230738E-4</v>
      </c>
      <c r="BF23" s="804">
        <f>1+[3]!Salcycl*Ksac</f>
        <v>1.000304213235335</v>
      </c>
      <c r="BH23" s="1037">
        <f t="shared" si="22"/>
        <v>0.15089162201572842</v>
      </c>
      <c r="BI23" s="11">
        <v>44205</v>
      </c>
      <c r="BJ23" s="715">
        <v>2.0496506078748686E-3</v>
      </c>
      <c r="BK23" s="715">
        <v>2.088967419279238E-2</v>
      </c>
      <c r="BL23" s="715">
        <v>5.5455225851920607E-2</v>
      </c>
      <c r="BM23" s="715">
        <v>0.10419317575204137</v>
      </c>
      <c r="BN23" s="715">
        <v>0.16264388650285228</v>
      </c>
      <c r="BO23" s="716">
        <v>0.23222852808489758</v>
      </c>
      <c r="BP23" s="715">
        <v>0.35445696376988661</v>
      </c>
      <c r="BQ23" s="715">
        <v>0.57674882009779682</v>
      </c>
      <c r="BR23" s="715">
        <v>0.85217043428732986</v>
      </c>
      <c r="BS23" s="715">
        <v>1.1316631752753055</v>
      </c>
      <c r="BT23" s="715">
        <v>1.3613137469450134</v>
      </c>
      <c r="BW23" s="1185">
        <f>'2019'!R\Max</f>
        <v>0</v>
      </c>
      <c r="BX23" s="1185">
        <f>'2020'!R\Max</f>
        <v>0.94313934578064607</v>
      </c>
      <c r="BY23" s="1185">
        <f>'2021'!R\Max</f>
        <v>0.18732919496854447</v>
      </c>
      <c r="BZ23" s="1185">
        <f>'2022'!R\Max</f>
        <v>6.6124470728026671E-2</v>
      </c>
      <c r="CA23" s="1185">
        <f>'2023'!R\Max</f>
        <v>6.5580398836508236E-2</v>
      </c>
      <c r="CB23" s="1185">
        <f>'2024'!R\Max</f>
        <v>6.499526210076384E-2</v>
      </c>
      <c r="CC23" s="1185">
        <f>'2025'!R\Max</f>
        <v>6.4248666366543042E-2</v>
      </c>
      <c r="CD23" s="1185">
        <f>'2026'!R\Max</f>
        <v>6.318450211977561E-2</v>
      </c>
      <c r="CE23" s="1186">
        <f>'2027'!R\Max</f>
        <v>6.6753779734385496E-2</v>
      </c>
      <c r="CF23" s="1187">
        <f>'2028'!R\Max</f>
        <v>6.6420661423535143E-2</v>
      </c>
    </row>
    <row r="24" spans="1:84" s="6" customFormat="1" ht="11.25" x14ac:dyDescent="0.2">
      <c r="A24" s="11">
        <v>43110</v>
      </c>
      <c r="B24" s="379">
        <f>'2022'!Maxi_hp</f>
        <v>10.460260744050126</v>
      </c>
      <c r="C24" s="13">
        <f>'2022'!An_max</f>
        <v>2020</v>
      </c>
      <c r="D24" s="1046" t="str">
        <f t="shared" si="7"/>
        <v/>
      </c>
      <c r="E24" s="1041"/>
      <c r="F24" s="13">
        <f t="shared" si="23"/>
        <v>3</v>
      </c>
      <c r="G24" s="13">
        <f t="shared" si="24"/>
        <v>2</v>
      </c>
      <c r="H24" s="173">
        <f t="shared" si="8"/>
        <v>43122</v>
      </c>
      <c r="I24" s="742">
        <f t="shared" si="9"/>
        <v>0.8571428571428571</v>
      </c>
      <c r="J24" s="735">
        <f t="shared" si="27"/>
        <v>28.536264040480766</v>
      </c>
      <c r="L24" s="745" t="s">
        <v>218</v>
      </c>
      <c r="M24" s="729">
        <f t="shared" ref="M24:AM24" si="35">(y.2m-y.3m-(y.1m-y.2m)*D2x23/D2x12)/(x.2m-x.3m)/(1-(x.2m+x.3m)/(x.1m+x.2m))</f>
        <v>-6822.0937586184928</v>
      </c>
      <c r="N24" s="729">
        <f>(y.2m-y.3m-(y.1m-y.2m)*D2x23/D2x12)/(x.2m-x.3m)/(1-(x.2m+x.3m)/(x.1m+x.2m))</f>
        <v>-4148.8719425275112</v>
      </c>
      <c r="O24" s="729">
        <f t="shared" si="35"/>
        <v>-1527.5295000001147</v>
      </c>
      <c r="P24" s="729">
        <f t="shared" si="35"/>
        <v>3.5500000000009089</v>
      </c>
      <c r="Q24" s="729">
        <f t="shared" si="35"/>
        <v>222.3466428571675</v>
      </c>
      <c r="R24" s="729">
        <f t="shared" si="35"/>
        <v>222.34664285710971</v>
      </c>
      <c r="S24" s="729">
        <f t="shared" si="35"/>
        <v>1317.0398571426874</v>
      </c>
      <c r="T24" s="729">
        <f t="shared" si="35"/>
        <v>3069.1170000000725</v>
      </c>
      <c r="U24" s="729">
        <f t="shared" si="35"/>
        <v>2192.7944285713215</v>
      </c>
      <c r="V24" s="729">
        <f t="shared" si="35"/>
        <v>1754.4911428574112</v>
      </c>
      <c r="W24" s="729">
        <f t="shared" si="35"/>
        <v>1316.0458571428017</v>
      </c>
      <c r="X24" s="729">
        <f t="shared" si="35"/>
        <v>1316.045857142565</v>
      </c>
      <c r="Y24" s="729">
        <f t="shared" si="35"/>
        <v>1316.045857143142</v>
      </c>
      <c r="Z24" s="729">
        <f t="shared" si="35"/>
        <v>1316.0458571429228</v>
      </c>
      <c r="AA24" s="729">
        <f t="shared" si="35"/>
        <v>657.52592857125001</v>
      </c>
      <c r="AB24" s="729">
        <f t="shared" si="35"/>
        <v>437.94828571427826</v>
      </c>
      <c r="AC24" s="729">
        <f t="shared" si="35"/>
        <v>218.29964285710011</v>
      </c>
      <c r="AD24" s="729">
        <f t="shared" si="35"/>
        <v>877.45857142881255</v>
      </c>
      <c r="AE24" s="729">
        <f t="shared" si="35"/>
        <v>1536.8305000004011</v>
      </c>
      <c r="AF24" s="729">
        <f t="shared" si="35"/>
        <v>1316.9688571429917</v>
      </c>
      <c r="AG24" s="729">
        <f t="shared" si="35"/>
        <v>877.10357142841144</v>
      </c>
      <c r="AH24" s="729">
        <f t="shared" si="35"/>
        <v>-2.9110000000014034</v>
      </c>
      <c r="AI24" s="729">
        <f t="shared" si="35"/>
        <v>-663.1349285713344</v>
      </c>
      <c r="AJ24" s="729">
        <f t="shared" si="35"/>
        <v>-442.98928571431162</v>
      </c>
      <c r="AK24" s="729">
        <f t="shared" si="35"/>
        <v>-1323.8558571426045</v>
      </c>
      <c r="AL24" s="729">
        <f t="shared" si="35"/>
        <v>-4628.1704999985177</v>
      </c>
      <c r="AM24" s="729">
        <f t="shared" si="35"/>
        <v>-6879.8812298854291</v>
      </c>
      <c r="AN24" s="729">
        <f>(y.2m-y.3m-(y.1m-y.2m)*D2x23/D2x12)/(x.2m-x.3m)/(1-(x.2m+x.3m)/(x.1m+x.2m))</f>
        <v>-4184.0210229886907</v>
      </c>
      <c r="AO24" s="1039">
        <v>43110</v>
      </c>
      <c r="AP24" s="13">
        <f t="shared" si="11"/>
        <v>3</v>
      </c>
      <c r="AQ24" s="13">
        <f t="shared" si="12"/>
        <v>2</v>
      </c>
      <c r="AR24" s="173">
        <f t="shared" si="13"/>
        <v>43136</v>
      </c>
      <c r="AS24" s="742">
        <f t="shared" si="14"/>
        <v>0.9285714285714286</v>
      </c>
      <c r="AT24" s="758">
        <f t="shared" si="15"/>
        <v>28.456468410956273</v>
      </c>
      <c r="AU24" s="13">
        <f t="shared" si="16"/>
        <v>1</v>
      </c>
      <c r="AV24" s="13">
        <f t="shared" si="17"/>
        <v>2</v>
      </c>
      <c r="AW24" s="173">
        <f t="shared" si="18"/>
        <v>43093</v>
      </c>
      <c r="AX24" s="742">
        <f t="shared" si="19"/>
        <v>0.58620689655172409</v>
      </c>
      <c r="AY24" s="758">
        <f t="shared" si="20"/>
        <v>28.702083471520194</v>
      </c>
      <c r="AZ24" s="735">
        <f t="shared" si="26"/>
        <v>28.579275941238233</v>
      </c>
      <c r="BA24" s="633">
        <f t="shared" si="21"/>
        <v>0.36656027324430013</v>
      </c>
      <c r="BC24" s="11">
        <v>43110</v>
      </c>
      <c r="BD24" s="289">
        <f>[3]!FeuilCaduc*(1-Persistant)+Persistant</f>
        <v>0.80110908597862929</v>
      </c>
      <c r="BE24" s="290">
        <f>[3]!CroissVégét</f>
        <v>6.2535138577142317E-4</v>
      </c>
      <c r="BF24" s="804">
        <f>1+[3]!Salcycl*Ksac</f>
        <v>1.0002772714946573</v>
      </c>
      <c r="BH24" s="1037">
        <f t="shared" si="22"/>
        <v>0.15154917073217058</v>
      </c>
      <c r="BI24" s="1039">
        <v>44206</v>
      </c>
      <c r="BJ24" s="715">
        <v>2.0256006093832078E-3</v>
      </c>
      <c r="BK24" s="715">
        <v>2.0333634139030533E-2</v>
      </c>
      <c r="BL24" s="715">
        <v>5.5029060502132424E-2</v>
      </c>
      <c r="BM24" s="715">
        <v>0.10410209150036662</v>
      </c>
      <c r="BN24" s="715">
        <v>0.16348983833222486</v>
      </c>
      <c r="BO24" s="716">
        <v>0.23353363159040963</v>
      </c>
      <c r="BP24" s="715">
        <v>0.35324317312169018</v>
      </c>
      <c r="BQ24" s="715">
        <v>0.57277611109676096</v>
      </c>
      <c r="BR24" s="715">
        <v>0.84788015493663371</v>
      </c>
      <c r="BS24" s="715">
        <v>1.1309307525928805</v>
      </c>
      <c r="BT24" s="715">
        <v>1.3651937319477099</v>
      </c>
      <c r="BW24" s="1185">
        <f>'2019'!R\Max</f>
        <v>0</v>
      </c>
      <c r="BX24" s="1185">
        <f>'2020'!R\Max</f>
        <v>0.36656027324430013</v>
      </c>
      <c r="BY24" s="1185">
        <f>'2021'!R\Max</f>
        <v>0.17742413422177988</v>
      </c>
      <c r="BZ24" s="1185">
        <f>'2022'!R\Max</f>
        <v>5.2720989170978227E-2</v>
      </c>
      <c r="CA24" s="1185">
        <f>'2023'!R\Max</f>
        <v>5.2298892706696097E-2</v>
      </c>
      <c r="CB24" s="1185">
        <f>'2024'!R\Max</f>
        <v>5.1846208661960817E-2</v>
      </c>
      <c r="CC24" s="1185">
        <f>'2025'!R\Max</f>
        <v>5.1266260777151677E-2</v>
      </c>
      <c r="CD24" s="1185">
        <f>'2026'!R\Max</f>
        <v>5.0436092546249166E-2</v>
      </c>
      <c r="CE24" s="1186">
        <f>'2027'!R\Max</f>
        <v>5.3221370987248502E-2</v>
      </c>
      <c r="CF24" s="1187">
        <f>'2028'!R\Max</f>
        <v>5.2956498970906922E-2</v>
      </c>
    </row>
    <row r="25" spans="1:84" s="6" customFormat="1" ht="11.25" x14ac:dyDescent="0.2">
      <c r="A25" s="11">
        <v>43111</v>
      </c>
      <c r="B25" s="379">
        <f>'2022'!Maxi_hp</f>
        <v>28.239972558041078</v>
      </c>
      <c r="C25" s="13">
        <f>'2022'!An_max</f>
        <v>2020</v>
      </c>
      <c r="D25" s="1046">
        <f t="shared" si="7"/>
        <v>0.9802379439203609</v>
      </c>
      <c r="E25" s="1041"/>
      <c r="F25" s="13">
        <f t="shared" si="23"/>
        <v>3</v>
      </c>
      <c r="G25" s="13">
        <f t="shared" si="24"/>
        <v>2</v>
      </c>
      <c r="H25" s="173">
        <f t="shared" si="8"/>
        <v>43122</v>
      </c>
      <c r="I25" s="742">
        <f t="shared" si="9"/>
        <v>0.7857142857142857</v>
      </c>
      <c r="J25" s="735">
        <f t="shared" si="27"/>
        <v>28.809303632032659</v>
      </c>
      <c r="L25" s="745" t="s">
        <v>219</v>
      </c>
      <c r="M25" s="729">
        <f t="shared" ref="M25:AM25" si="36">(y.1m+y.2m+y.3m-a.m*(x.3m*x.3m+x.2m*x.2m+x.1m*x.1m)-b.m*(x.3m+x.2m+x.1m))/3</f>
        <v>146982387.8710331</v>
      </c>
      <c r="N25" s="729">
        <f>(y.1m+y.2m+y.3m-a.m*(x.3m*x.3m+x.2m*x.2m+x.1m*x.1m)-b.m*(x.3m+x.2m+x.1m))/3</f>
        <v>89373791.173215002</v>
      </c>
      <c r="O25" s="729">
        <f t="shared" si="36"/>
        <v>32864202.958002474</v>
      </c>
      <c r="P25" s="729">
        <f t="shared" si="36"/>
        <v>-152760.05000001958</v>
      </c>
      <c r="Q25" s="729">
        <f t="shared" si="36"/>
        <v>-4872531.7071433878</v>
      </c>
      <c r="R25" s="729">
        <f t="shared" si="36"/>
        <v>-4872531.7071421426</v>
      </c>
      <c r="S25" s="729">
        <f t="shared" si="36"/>
        <v>-28502031.462853476</v>
      </c>
      <c r="T25" s="729">
        <f t="shared" si="36"/>
        <v>-66333756.176001549</v>
      </c>
      <c r="U25" s="729">
        <f t="shared" si="36"/>
        <v>-47405627.291426249</v>
      </c>
      <c r="V25" s="729">
        <f t="shared" si="36"/>
        <v>-37935427.597148657</v>
      </c>
      <c r="W25" s="729">
        <f t="shared" si="36"/>
        <v>-28459090.662855949</v>
      </c>
      <c r="X25" s="729">
        <f t="shared" si="36"/>
        <v>-28459090.662850823</v>
      </c>
      <c r="Y25" s="729">
        <f t="shared" si="36"/>
        <v>-28459090.662863303</v>
      </c>
      <c r="Z25" s="729">
        <f t="shared" si="36"/>
        <v>-28459090.662858561</v>
      </c>
      <c r="AA25" s="729">
        <f t="shared" si="36"/>
        <v>-14207732.001424707</v>
      </c>
      <c r="AB25" s="729">
        <f t="shared" si="36"/>
        <v>-9454205.524285553</v>
      </c>
      <c r="AC25" s="729">
        <f t="shared" si="36"/>
        <v>-4697604.4631419312</v>
      </c>
      <c r="AD25" s="729">
        <f t="shared" si="36"/>
        <v>-18976634.380576652</v>
      </c>
      <c r="AE25" s="729">
        <f t="shared" si="36"/>
        <v>-33264894.01400869</v>
      </c>
      <c r="AF25" s="729">
        <f t="shared" si="36"/>
        <v>-28499063.236860067</v>
      </c>
      <c r="AG25" s="729">
        <f t="shared" si="36"/>
        <v>-18961244.56256796</v>
      </c>
      <c r="AH25" s="729">
        <f t="shared" si="36"/>
        <v>126711.00200003048</v>
      </c>
      <c r="AI25" s="729">
        <f t="shared" si="36"/>
        <v>14451919.319426527</v>
      </c>
      <c r="AJ25" s="729">
        <f t="shared" si="36"/>
        <v>9673768.3382862769</v>
      </c>
      <c r="AK25" s="729">
        <f t="shared" si="36"/>
        <v>28798702.40685166</v>
      </c>
      <c r="AL25" s="729">
        <f t="shared" si="36"/>
        <v>100563458.11396782</v>
      </c>
      <c r="AM25" s="729">
        <f t="shared" si="36"/>
        <v>149482998.30649081</v>
      </c>
      <c r="AN25" s="729">
        <f>(y.1m+y.2m+y.3m-a.m*(x.3m*x.3m+x.2m*x.2m+x.1m*x.1m)-b.m*(x.3m+x.2m+x.1m))/3</f>
        <v>90894544.139452279</v>
      </c>
      <c r="AO25" s="1039">
        <v>43111</v>
      </c>
      <c r="AP25" s="13">
        <f t="shared" si="11"/>
        <v>3</v>
      </c>
      <c r="AQ25" s="13">
        <f t="shared" si="12"/>
        <v>2</v>
      </c>
      <c r="AR25" s="173">
        <f t="shared" si="13"/>
        <v>43136</v>
      </c>
      <c r="AS25" s="742">
        <f t="shared" si="14"/>
        <v>0.8928571428571429</v>
      </c>
      <c r="AT25" s="758">
        <f>((1-AS25)*(INDEX(a.lg,AP25)*$A25*$A25+INDEX(b.lg,AP25)*$A25+INDEX(c.lg,AP25))+AS25*(INDEX(a.lg,AQ25)*$A25*$A25+INDEX(b.lg,AQ25)*$A25+INDEX(c.lg,AQ25)))/10</f>
        <v>28.694757675539172</v>
      </c>
      <c r="AU25" s="13">
        <f t="shared" si="16"/>
        <v>1</v>
      </c>
      <c r="AV25" s="13">
        <f t="shared" si="17"/>
        <v>2</v>
      </c>
      <c r="AW25" s="173">
        <f t="shared" si="18"/>
        <v>43093</v>
      </c>
      <c r="AX25" s="742">
        <f t="shared" si="19"/>
        <v>0.62068965517241381</v>
      </c>
      <c r="AY25" s="758">
        <f t="shared" si="20"/>
        <v>28.988763244707009</v>
      </c>
      <c r="AZ25" s="735">
        <f t="shared" si="26"/>
        <v>28.841760460123091</v>
      </c>
      <c r="BA25" s="633">
        <f t="shared" si="21"/>
        <v>0.9802379439203609</v>
      </c>
      <c r="BC25" s="11">
        <v>43111</v>
      </c>
      <c r="BD25" s="289">
        <f>[3]!FeuilCaduc*(1-Persistant)+Persistant</f>
        <v>0.80100593739213621</v>
      </c>
      <c r="BE25" s="290">
        <f>[3]!CroissVégét</f>
        <v>7.0982230050345072E-4</v>
      </c>
      <c r="BF25" s="804">
        <f>1+[3]!Salcycl*Ksac</f>
        <v>1.0002514843480341</v>
      </c>
      <c r="BH25" s="1037">
        <f t="shared" si="22"/>
        <v>0.15216471242846924</v>
      </c>
      <c r="BI25" s="11">
        <v>44207</v>
      </c>
      <c r="BJ25" s="715">
        <v>2.0003900766422402E-3</v>
      </c>
      <c r="BK25" s="715">
        <v>1.974617105127098E-2</v>
      </c>
      <c r="BL25" s="715">
        <v>5.4538743386226697E-2</v>
      </c>
      <c r="BM25" s="715">
        <v>0.10394640281664011</v>
      </c>
      <c r="BN25" s="715">
        <v>0.16429947007073564</v>
      </c>
      <c r="BO25" s="716">
        <v>0.23485285972791214</v>
      </c>
      <c r="BP25" s="715">
        <v>0.352109552191543</v>
      </c>
      <c r="BQ25" s="715">
        <v>0.56862056844763642</v>
      </c>
      <c r="BR25" s="715">
        <v>0.84327991172227379</v>
      </c>
      <c r="BS25" s="715">
        <v>1.129649726839977</v>
      </c>
      <c r="BT25" s="715">
        <v>1.3685499241499184</v>
      </c>
      <c r="BW25" s="1185">
        <f>'2019'!R\Max</f>
        <v>0</v>
      </c>
      <c r="BX25" s="1185">
        <f>'2020'!R\Max</f>
        <v>0.9802379439203609</v>
      </c>
      <c r="BY25" s="1185">
        <f>'2021'!R\Max</f>
        <v>0.25055190452897641</v>
      </c>
      <c r="BZ25" s="1185">
        <f>'2022'!R\Max</f>
        <v>0.91890016854289314</v>
      </c>
      <c r="CA25" s="1185">
        <f>'2023'!R\Max</f>
        <v>0.9180699992670871</v>
      </c>
      <c r="CB25" s="1185">
        <f>'2024'!R\Max</f>
        <v>0.91716943044436017</v>
      </c>
      <c r="CC25" s="1185">
        <f>'2025'!R\Max</f>
        <v>0.91599182270809787</v>
      </c>
      <c r="CD25" s="1185">
        <f>'2026'!R\Max</f>
        <v>0.91425969763790083</v>
      </c>
      <c r="CE25" s="1186">
        <f>'2027'!R\Max</f>
        <v>0.91989396399185153</v>
      </c>
      <c r="CF25" s="1187">
        <f>'2028'!R\Max</f>
        <v>0.91936997460260417</v>
      </c>
    </row>
    <row r="26" spans="1:84" s="6" customFormat="1" ht="11.25" x14ac:dyDescent="0.2">
      <c r="A26" s="11">
        <v>43112</v>
      </c>
      <c r="B26" s="379">
        <f>'2022'!Maxi_hp</f>
        <v>29.063431932857039</v>
      </c>
      <c r="C26" s="13">
        <f>'2022'!An_max</f>
        <v>2020</v>
      </c>
      <c r="D26" s="1046">
        <f t="shared" si="7"/>
        <v>0.99894437289941529</v>
      </c>
      <c r="E26" s="1041"/>
      <c r="F26" s="13">
        <f t="shared" si="23"/>
        <v>3</v>
      </c>
      <c r="G26" s="13">
        <f t="shared" si="24"/>
        <v>2</v>
      </c>
      <c r="H26" s="173">
        <f t="shared" si="8"/>
        <v>43122</v>
      </c>
      <c r="I26" s="742">
        <f t="shared" si="9"/>
        <v>0.7142857142857143</v>
      </c>
      <c r="J26" s="735">
        <f t="shared" si="27"/>
        <v>29.094144500259841</v>
      </c>
      <c r="L26" s="10"/>
      <c r="AO26" s="1039">
        <v>43112</v>
      </c>
      <c r="AP26" s="13">
        <f t="shared" si="11"/>
        <v>3</v>
      </c>
      <c r="AQ26" s="13">
        <f t="shared" si="12"/>
        <v>2</v>
      </c>
      <c r="AR26" s="173">
        <f t="shared" si="13"/>
        <v>43136</v>
      </c>
      <c r="AS26" s="742">
        <f t="shared" si="14"/>
        <v>0.8571428571428571</v>
      </c>
      <c r="AT26" s="758">
        <f>((1-AS26)*(INDEX(a.lg,AP26)*$A26*$A26+INDEX(b.lg,AP26)*$A26+INDEX(c.lg,AP26))+AS26*(INDEX(a.lg,AQ26)*$A26*$A26+INDEX(b.lg,AQ26)*$A26+INDEX(c.lg,AQ26)))/10</f>
        <v>28.94874566536663</v>
      </c>
      <c r="AU26" s="13">
        <f t="shared" si="16"/>
        <v>1</v>
      </c>
      <c r="AV26" s="13">
        <f t="shared" si="17"/>
        <v>2</v>
      </c>
      <c r="AW26" s="173">
        <f t="shared" si="18"/>
        <v>43093</v>
      </c>
      <c r="AX26" s="742">
        <f t="shared" si="19"/>
        <v>0.65517241379310343</v>
      </c>
      <c r="AY26" s="758">
        <f t="shared" si="20"/>
        <v>29.28092905298389</v>
      </c>
      <c r="AZ26" s="735">
        <f t="shared" si="26"/>
        <v>29.114837359175262</v>
      </c>
      <c r="BA26" s="633">
        <f t="shared" si="21"/>
        <v>0.99894437289941529</v>
      </c>
      <c r="BC26" s="11">
        <v>43112</v>
      </c>
      <c r="BD26" s="289">
        <f>[3]!FeuilCaduc*(1-Persistant)+Persistant</f>
        <v>0.8009072838393918</v>
      </c>
      <c r="BE26" s="290">
        <f>[3]!CroissVégét</f>
        <v>7.9782175584567966E-4</v>
      </c>
      <c r="BF26" s="804">
        <f>1+[3]!Salcycl*Ksac</f>
        <v>1.0002268209598479</v>
      </c>
      <c r="BH26" s="1037">
        <f t="shared" si="22"/>
        <v>0.15273778307773617</v>
      </c>
      <c r="BI26" s="11">
        <v>44208</v>
      </c>
      <c r="BJ26" s="715">
        <v>1.9740136794693338E-3</v>
      </c>
      <c r="BK26" s="715">
        <v>1.9127222298186239E-2</v>
      </c>
      <c r="BL26" s="715">
        <v>5.3984077871101412E-2</v>
      </c>
      <c r="BM26" s="715">
        <v>0.10372577317027123</v>
      </c>
      <c r="BN26" s="715">
        <v>0.16507228560541373</v>
      </c>
      <c r="BO26" s="716">
        <v>0.23618558128102299</v>
      </c>
      <c r="BP26" s="715">
        <v>0.35105537652905294</v>
      </c>
      <c r="BQ26" s="715">
        <v>0.56428072660971873</v>
      </c>
      <c r="BR26" s="715">
        <v>0.83836740786309516</v>
      </c>
      <c r="BS26" s="715">
        <v>1.1278166202544662</v>
      </c>
      <c r="BT26" s="715">
        <v>1.3713780630881158</v>
      </c>
      <c r="BW26" s="1185">
        <f>'2019'!R\Max</f>
        <v>0</v>
      </c>
      <c r="BX26" s="1185">
        <f>'2020'!R\Max</f>
        <v>0.99894437289941529</v>
      </c>
      <c r="BY26" s="1185">
        <f>'2021'!R\Max</f>
        <v>0.60387819513482144</v>
      </c>
      <c r="BZ26" s="1185">
        <f>'2022'!R\Max</f>
        <v>0.77538535192846492</v>
      </c>
      <c r="CA26" s="1185">
        <f>'2023'!R\Max</f>
        <v>0.77350107796021006</v>
      </c>
      <c r="CB26" s="1185">
        <f>'2024'!R\Max</f>
        <v>0.77147066682042609</v>
      </c>
      <c r="CC26" s="1185">
        <f>'2025'!R\Max</f>
        <v>0.7688202921886006</v>
      </c>
      <c r="CD26" s="1185">
        <f>'2026'!R\Max</f>
        <v>0.76493510244866592</v>
      </c>
      <c r="CE26" s="1186">
        <f>'2027'!R\Max</f>
        <v>0.77770758720983957</v>
      </c>
      <c r="CF26" s="1187">
        <f>'2028'!R\Max</f>
        <v>0.77648204710391622</v>
      </c>
    </row>
    <row r="27" spans="1:84" s="6" customFormat="1" ht="11.25" x14ac:dyDescent="0.2">
      <c r="A27" s="11">
        <v>43113</v>
      </c>
      <c r="B27" s="379">
        <f>'2022'!Maxi_hp</f>
        <v>18.417034678656321</v>
      </c>
      <c r="C27" s="13">
        <f>'2022'!An_max</f>
        <v>2020</v>
      </c>
      <c r="D27" s="1046" t="str">
        <f t="shared" si="7"/>
        <v/>
      </c>
      <c r="E27" s="1041"/>
      <c r="F27" s="13">
        <f t="shared" si="23"/>
        <v>3</v>
      </c>
      <c r="G27" s="13">
        <f t="shared" si="24"/>
        <v>2</v>
      </c>
      <c r="H27" s="173">
        <f t="shared" si="8"/>
        <v>43122</v>
      </c>
      <c r="I27" s="742">
        <f t="shared" si="9"/>
        <v>0.6428571428571429</v>
      </c>
      <c r="J27" s="735">
        <f t="shared" si="27"/>
        <v>29.38948380571923</v>
      </c>
      <c r="L27" s="10"/>
      <c r="M27" s="6" t="s">
        <v>228</v>
      </c>
      <c r="AC27" s="69"/>
      <c r="AE27" s="69"/>
      <c r="AG27" s="69"/>
      <c r="AI27" s="69"/>
      <c r="AK27" s="69"/>
      <c r="AM27" s="69"/>
      <c r="AO27" s="1039">
        <v>43113</v>
      </c>
      <c r="AP27" s="13">
        <f t="shared" si="11"/>
        <v>3</v>
      </c>
      <c r="AQ27" s="13">
        <f t="shared" si="12"/>
        <v>2</v>
      </c>
      <c r="AR27" s="173">
        <f t="shared" si="13"/>
        <v>43136</v>
      </c>
      <c r="AS27" s="742">
        <f t="shared" si="14"/>
        <v>0.8214285714285714</v>
      </c>
      <c r="AT27" s="758">
        <f>((1-AS27)*(INDEX(a.lg,AP27)*$A27*$A27+INDEX(b.lg,AP27)*$A27+INDEX(c.lg,AP27))+AS27*(INDEX(a.lg,AQ27)*$A27*$A27+INDEX(b.lg,AQ27)*$A27+INDEX(c.lg,AQ27)))/10</f>
        <v>29.217478880276239</v>
      </c>
      <c r="AU27" s="13">
        <f t="shared" si="16"/>
        <v>1</v>
      </c>
      <c r="AV27" s="13">
        <f t="shared" si="17"/>
        <v>2</v>
      </c>
      <c r="AW27" s="173">
        <f t="shared" si="18"/>
        <v>43093</v>
      </c>
      <c r="AX27" s="742">
        <f t="shared" si="19"/>
        <v>0.68965517241379315</v>
      </c>
      <c r="AY27" s="758">
        <f t="shared" si="20"/>
        <v>29.577674897528926</v>
      </c>
      <c r="AZ27" s="735">
        <f t="shared" si="26"/>
        <v>29.397576888902584</v>
      </c>
      <c r="BA27" s="633">
        <f t="shared" si="21"/>
        <v>0.62665390111657371</v>
      </c>
      <c r="BC27" s="11">
        <v>43113</v>
      </c>
      <c r="BD27" s="289">
        <f>[3]!FeuilCaduc*(1-Persistant)+Persistant</f>
        <v>0.80081307144337421</v>
      </c>
      <c r="BE27" s="290">
        <f>[3]!CroissVégét</f>
        <v>8.8949648478391823E-4</v>
      </c>
      <c r="BF27" s="804">
        <f>1+[3]!Salcycl*Ksac</f>
        <v>1.0002032678608435</v>
      </c>
      <c r="BH27" s="1037">
        <f t="shared" si="22"/>
        <v>0.15326791735620421</v>
      </c>
      <c r="BI27" s="11">
        <v>44209</v>
      </c>
      <c r="BJ27" s="715">
        <v>1.9464664709887575E-3</v>
      </c>
      <c r="BK27" s="715">
        <v>1.8476734571084962E-2</v>
      </c>
      <c r="BL27" s="715">
        <v>5.3364879252562419E-2</v>
      </c>
      <c r="BM27" s="715">
        <v>0.1034398747757525</v>
      </c>
      <c r="BN27" s="715">
        <v>0.16580778499922039</v>
      </c>
      <c r="BO27" s="716">
        <v>0.23753115089986432</v>
      </c>
      <c r="BP27" s="715">
        <v>0.35007992555985329</v>
      </c>
      <c r="BQ27" s="715">
        <v>0.55975518299767812</v>
      </c>
      <c r="BR27" s="715">
        <v>0.83314042833401425</v>
      </c>
      <c r="BS27" s="715">
        <v>1.1254280296193346</v>
      </c>
      <c r="BT27" s="715">
        <v>1.373673914152042</v>
      </c>
      <c r="BW27" s="1185">
        <f>'2019'!R\Max</f>
        <v>0</v>
      </c>
      <c r="BX27" s="1185">
        <f>'2020'!R\Max</f>
        <v>0.62665390111657371</v>
      </c>
      <c r="BY27" s="1185">
        <f>'2021'!R\Max</f>
        <v>0.37062248706271933</v>
      </c>
      <c r="BZ27" s="1185">
        <f>'2022'!R\Max</f>
        <v>0.23074415391726089</v>
      </c>
      <c r="CA27" s="1185">
        <f>'2023'!R\Max</f>
        <v>0.22904283751260113</v>
      </c>
      <c r="CB27" s="1185">
        <f>'2024'!R\Max</f>
        <v>0.22723488779794399</v>
      </c>
      <c r="CC27" s="1185">
        <f>'2025'!R\Max</f>
        <v>0.22490052141357056</v>
      </c>
      <c r="CD27" s="1185">
        <f>'2026'!R\Max</f>
        <v>0.22153236104931431</v>
      </c>
      <c r="CE27" s="1186">
        <f>'2027'!R\Max</f>
        <v>0.23292071911061227</v>
      </c>
      <c r="CF27" s="1187">
        <f>'2028'!R\Max</f>
        <v>0.23176857650127627</v>
      </c>
    </row>
    <row r="28" spans="1:84" s="6" customFormat="1" ht="11.25" x14ac:dyDescent="0.2">
      <c r="A28" s="11">
        <v>43114</v>
      </c>
      <c r="B28" s="379">
        <f>'2022'!Maxi_hp</f>
        <v>29.498621369457005</v>
      </c>
      <c r="C28" s="13">
        <f>'2022'!An_max</f>
        <v>2022</v>
      </c>
      <c r="D28" s="1046">
        <f t="shared" si="7"/>
        <v>0.99341963940344269</v>
      </c>
      <c r="E28" s="1041"/>
      <c r="F28" s="13">
        <f t="shared" si="23"/>
        <v>3</v>
      </c>
      <c r="G28" s="13">
        <f t="shared" si="24"/>
        <v>2</v>
      </c>
      <c r="H28" s="173">
        <f t="shared" si="8"/>
        <v>43122</v>
      </c>
      <c r="I28" s="742">
        <f t="shared" si="9"/>
        <v>0.5714285714285714</v>
      </c>
      <c r="J28" s="735">
        <f t="shared" si="27"/>
        <v>29.694018720196823</v>
      </c>
      <c r="L28" s="175">
        <f>M28-28</f>
        <v>43051</v>
      </c>
      <c r="M28" s="175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5">
        <f>AN12</f>
        <v>43473</v>
      </c>
      <c r="AB28" s="175">
        <f>AA28+28</f>
        <v>43501</v>
      </c>
      <c r="AO28" s="1039">
        <v>43114</v>
      </c>
      <c r="AP28" s="13">
        <f t="shared" si="11"/>
        <v>3</v>
      </c>
      <c r="AQ28" s="13">
        <f t="shared" si="12"/>
        <v>2</v>
      </c>
      <c r="AR28" s="173">
        <f t="shared" si="13"/>
        <v>43136</v>
      </c>
      <c r="AS28" s="742">
        <f t="shared" si="14"/>
        <v>0.7857142857142857</v>
      </c>
      <c r="AT28" s="758">
        <f t="shared" si="15"/>
        <v>29.500003834747311</v>
      </c>
      <c r="AU28" s="13">
        <f t="shared" si="16"/>
        <v>1</v>
      </c>
      <c r="AV28" s="13">
        <f t="shared" si="17"/>
        <v>2</v>
      </c>
      <c r="AW28" s="173">
        <f t="shared" si="18"/>
        <v>43093</v>
      </c>
      <c r="AX28" s="742">
        <f t="shared" si="19"/>
        <v>0.72413793103448276</v>
      </c>
      <c r="AY28" s="758">
        <f t="shared" si="20"/>
        <v>29.878094786456945</v>
      </c>
      <c r="AZ28" s="735">
        <f t="shared" si="26"/>
        <v>29.68904931060213</v>
      </c>
      <c r="BA28" s="633">
        <f t="shared" si="21"/>
        <v>0.99341963940344269</v>
      </c>
      <c r="BC28" s="11">
        <v>43114</v>
      </c>
      <c r="BD28" s="289">
        <f>[3]!FeuilCaduc*(1-Persistant)+Persistant</f>
        <v>0.80072330723056218</v>
      </c>
      <c r="BE28" s="290">
        <f>[3]!CroissVégét</f>
        <v>9.849992655628797E-4</v>
      </c>
      <c r="BF28" s="804">
        <f>1+[3]!Salcycl*Ksac</f>
        <v>1.0001808268076406</v>
      </c>
      <c r="BH28" s="1037">
        <f t="shared" si="22"/>
        <v>0.15375464966904107</v>
      </c>
      <c r="BI28" s="11">
        <v>44210</v>
      </c>
      <c r="BJ28" s="715">
        <v>1.9177439158345976E-3</v>
      </c>
      <c r="BK28" s="715">
        <v>1.7794664662550808E-2</v>
      </c>
      <c r="BL28" s="715">
        <v>5.2680976355764159E-2</v>
      </c>
      <c r="BM28" s="715">
        <v>0.10308839019378478</v>
      </c>
      <c r="BN28" s="715">
        <v>0.16650546537207822</v>
      </c>
      <c r="BO28" s="716">
        <v>0.23888890868409624</v>
      </c>
      <c r="BP28" s="715">
        <v>0.34918248038901678</v>
      </c>
      <c r="BQ28" s="715">
        <v>0.55504260232595248</v>
      </c>
      <c r="BR28" s="715">
        <v>0.82759684733183647</v>
      </c>
      <c r="BS28" s="715">
        <v>1.1224806397677691</v>
      </c>
      <c r="BT28" s="715">
        <v>1.3754332814749037</v>
      </c>
      <c r="BW28" s="1185">
        <f>'2019'!R\Max</f>
        <v>0</v>
      </c>
      <c r="BX28" s="1185">
        <f>'2020'!R\Max</f>
        <v>0.89636913050809774</v>
      </c>
      <c r="BY28" s="1185">
        <f>'2021'!R\Max</f>
        <v>0.38487825998086167</v>
      </c>
      <c r="BZ28" s="1185">
        <f>'2022'!R\Max</f>
        <v>0.99341963940344269</v>
      </c>
      <c r="CA28" s="1185">
        <f>'2023'!R\Max</f>
        <v>0.99335255464533001</v>
      </c>
      <c r="CB28" s="1185">
        <f>'2024'!R\Max</f>
        <v>0.99328044584717323</v>
      </c>
      <c r="CC28" s="1185">
        <f>'2025'!R\Max</f>
        <v>0.99318560171079862</v>
      </c>
      <c r="CD28" s="1185">
        <f>'2026'!R\Max</f>
        <v>0.99304524477130274</v>
      </c>
      <c r="CE28" s="1186">
        <f>'2027'!R\Max</f>
        <v>0.99350629724046724</v>
      </c>
      <c r="CF28" s="1187">
        <f>'2028'!R\Max</f>
        <v>0.99346062641173072</v>
      </c>
    </row>
    <row r="29" spans="1:84" s="6" customFormat="1" ht="11.25" x14ac:dyDescent="0.2">
      <c r="A29" s="11">
        <v>43115</v>
      </c>
      <c r="B29" s="379">
        <f>'2022'!Maxi_hp</f>
        <v>30.377227257533896</v>
      </c>
      <c r="C29" s="13">
        <f>'2022'!An_max</f>
        <v>2022</v>
      </c>
      <c r="D29" s="1046">
        <f t="shared" si="7"/>
        <v>1.0123567064288315</v>
      </c>
      <c r="E29" s="1041"/>
      <c r="F29" s="13">
        <f t="shared" si="23"/>
        <v>3</v>
      </c>
      <c r="G29" s="13">
        <f t="shared" si="24"/>
        <v>2</v>
      </c>
      <c r="H29" s="173">
        <f t="shared" si="8"/>
        <v>43122</v>
      </c>
      <c r="I29" s="742">
        <f t="shared" si="9"/>
        <v>0.5</v>
      </c>
      <c r="J29" s="735">
        <f t="shared" si="27"/>
        <v>30.006446408294142</v>
      </c>
      <c r="L29" s="763">
        <f>AJ13</f>
        <v>330.00799999999998</v>
      </c>
      <c r="M29" s="763">
        <f>L13</f>
        <v>264.404</v>
      </c>
      <c r="N29" s="753">
        <f>N13</f>
        <v>280.30799999999999</v>
      </c>
      <c r="O29" s="753">
        <f>P13</f>
        <v>372.75</v>
      </c>
      <c r="P29" s="753">
        <f>R13</f>
        <v>471.15600000000001</v>
      </c>
      <c r="Q29" s="753">
        <f>T13</f>
        <v>560.61599999999999</v>
      </c>
      <c r="R29" s="753">
        <f>V13</f>
        <v>606.34</v>
      </c>
      <c r="S29" s="753">
        <f>X13</f>
        <v>620.25599999999997</v>
      </c>
      <c r="T29" s="753">
        <f>Z13</f>
        <v>610.31600000000003</v>
      </c>
      <c r="U29" s="753">
        <f>AB13</f>
        <v>579.50199999999995</v>
      </c>
      <c r="V29" s="753">
        <f>AD13</f>
        <v>540.73599999999999</v>
      </c>
      <c r="W29" s="753">
        <f>AF13</f>
        <v>486.06599999999997</v>
      </c>
      <c r="X29" s="753">
        <f>AH13</f>
        <v>408.53399999999999</v>
      </c>
      <c r="Y29" s="753">
        <f>AJ13</f>
        <v>330.00799999999998</v>
      </c>
      <c r="Z29" s="753">
        <f>AL13</f>
        <v>264.404</v>
      </c>
      <c r="AA29" s="761">
        <f>AN13</f>
        <v>280.30799999999999</v>
      </c>
      <c r="AB29" s="761">
        <f>P13</f>
        <v>372.75</v>
      </c>
      <c r="AO29" s="1039">
        <v>43115</v>
      </c>
      <c r="AP29" s="13">
        <f t="shared" si="11"/>
        <v>3</v>
      </c>
      <c r="AQ29" s="13">
        <f t="shared" si="12"/>
        <v>2</v>
      </c>
      <c r="AR29" s="173">
        <f t="shared" si="13"/>
        <v>43136</v>
      </c>
      <c r="AS29" s="742">
        <f t="shared" si="14"/>
        <v>0.75</v>
      </c>
      <c r="AT29" s="758">
        <f t="shared" si="15"/>
        <v>29.79536704130005</v>
      </c>
      <c r="AU29" s="13">
        <f t="shared" si="16"/>
        <v>1</v>
      </c>
      <c r="AV29" s="13">
        <f t="shared" si="17"/>
        <v>2</v>
      </c>
      <c r="AW29" s="173">
        <f t="shared" si="18"/>
        <v>43093</v>
      </c>
      <c r="AX29" s="742">
        <f t="shared" si="19"/>
        <v>0.75862068965517238</v>
      </c>
      <c r="AY29" s="758">
        <f t="shared" si="20"/>
        <v>30.181282722384765</v>
      </c>
      <c r="AZ29" s="735">
        <f t="shared" si="26"/>
        <v>29.988324881842409</v>
      </c>
      <c r="BA29" s="633">
        <f t="shared" si="21"/>
        <v>1.0123567064288315</v>
      </c>
      <c r="BC29" s="11">
        <v>43115</v>
      </c>
      <c r="BD29" s="289">
        <f>[3]!FeuilCaduc*(1-Persistant)+Persistant</f>
        <v>0.80063805040813218</v>
      </c>
      <c r="BE29" s="290">
        <f>[3]!CroissVégét</f>
        <v>1.0844891659074879E-3</v>
      </c>
      <c r="BF29" s="804">
        <f>1+[3]!Salcycl*Ksac</f>
        <v>1.0001595126020331</v>
      </c>
      <c r="BH29" s="1037">
        <f t="shared" si="22"/>
        <v>0.15419751517352703</v>
      </c>
      <c r="BI29" s="11">
        <v>44211</v>
      </c>
      <c r="BJ29" s="715">
        <v>1.8878419183210378E-3</v>
      </c>
      <c r="BK29" s="715">
        <v>1.7080980244781045E-2</v>
      </c>
      <c r="BL29" s="715">
        <v>5.1932213134753089E-2</v>
      </c>
      <c r="BM29" s="715">
        <v>0.10267101393063957</v>
      </c>
      <c r="BN29" s="715">
        <v>0.1671648217790449</v>
      </c>
      <c r="BO29" s="716">
        <v>0.24025817976185307</v>
      </c>
      <c r="BP29" s="715">
        <v>0.34836232159849945</v>
      </c>
      <c r="BQ29" s="715">
        <v>0.55014172094366998</v>
      </c>
      <c r="BR29" s="715">
        <v>0.82173463572694549</v>
      </c>
      <c r="BS29" s="715">
        <v>1.1189712370690463</v>
      </c>
      <c r="BT29" s="715">
        <v>1.376652020800025</v>
      </c>
      <c r="BW29" s="1185">
        <f>'2019'!R\Max</f>
        <v>0</v>
      </c>
      <c r="BX29" s="1185">
        <f>'2020'!R\Max</f>
        <v>0.74345976470899833</v>
      </c>
      <c r="BY29" s="1185">
        <f>'2021'!R\Max</f>
        <v>0.60971544866436167</v>
      </c>
      <c r="BZ29" s="1185">
        <f>'2022'!R\Max</f>
        <v>1.0123567064288315</v>
      </c>
      <c r="CA29" s="1185">
        <f>'2023'!R\Max</f>
        <v>1.0123567064288315</v>
      </c>
      <c r="CB29" s="1185">
        <f>'2024'!R\Max</f>
        <v>1.0123567064288315</v>
      </c>
      <c r="CC29" s="1185">
        <f>'2025'!R\Max</f>
        <v>1.0123567064288315</v>
      </c>
      <c r="CD29" s="1185">
        <f>'2026'!R\Max</f>
        <v>1.0123567064288312</v>
      </c>
      <c r="CE29" s="1186">
        <f>'2027'!R\Max</f>
        <v>1.0123567064288315</v>
      </c>
      <c r="CF29" s="1187">
        <f>'2028'!R\Max</f>
        <v>1.0123567064288315</v>
      </c>
    </row>
    <row r="30" spans="1:84" s="6" customFormat="1" ht="11.25" x14ac:dyDescent="0.2">
      <c r="A30" s="11">
        <v>43116</v>
      </c>
      <c r="B30" s="379">
        <f>'2022'!Maxi_hp</f>
        <v>30.049231450929494</v>
      </c>
      <c r="C30" s="13">
        <f>'2022'!An_max</f>
        <v>2022</v>
      </c>
      <c r="D30" s="1046">
        <f t="shared" si="7"/>
        <v>0.99089106802996296</v>
      </c>
      <c r="E30" s="1041"/>
      <c r="F30" s="13">
        <f t="shared" si="23"/>
        <v>3</v>
      </c>
      <c r="G30" s="13">
        <f t="shared" si="24"/>
        <v>2</v>
      </c>
      <c r="H30" s="173">
        <f t="shared" si="8"/>
        <v>43122</v>
      </c>
      <c r="I30" s="742">
        <f t="shared" si="9"/>
        <v>0.42857142857142855</v>
      </c>
      <c r="J30" s="735">
        <f t="shared" si="27"/>
        <v>30.325464039828091</v>
      </c>
      <c r="L30" s="743" t="s">
        <v>209</v>
      </c>
      <c r="M30" s="773">
        <f t="shared" ref="M30:AA30" si="37">L28</f>
        <v>43051</v>
      </c>
      <c r="N30" s="774">
        <f t="shared" si="37"/>
        <v>43079</v>
      </c>
      <c r="O30" s="725">
        <f t="shared" si="37"/>
        <v>43108</v>
      </c>
      <c r="P30" s="725">
        <f t="shared" si="37"/>
        <v>43136</v>
      </c>
      <c r="Q30" s="725">
        <f t="shared" si="37"/>
        <v>43164</v>
      </c>
      <c r="R30" s="725">
        <f t="shared" si="37"/>
        <v>43192</v>
      </c>
      <c r="S30" s="725">
        <f t="shared" si="37"/>
        <v>43220</v>
      </c>
      <c r="T30" s="725">
        <f t="shared" si="37"/>
        <v>43248</v>
      </c>
      <c r="U30" s="725">
        <f t="shared" si="37"/>
        <v>43276</v>
      </c>
      <c r="V30" s="725">
        <f t="shared" si="37"/>
        <v>43304</v>
      </c>
      <c r="W30" s="725">
        <f t="shared" si="37"/>
        <v>43332</v>
      </c>
      <c r="X30" s="725">
        <f t="shared" si="37"/>
        <v>43360</v>
      </c>
      <c r="Y30" s="725">
        <f t="shared" si="37"/>
        <v>43388</v>
      </c>
      <c r="Z30" s="725">
        <f t="shared" si="37"/>
        <v>43416</v>
      </c>
      <c r="AA30" s="766">
        <f t="shared" si="37"/>
        <v>43444</v>
      </c>
      <c r="AO30" s="1039">
        <v>43116</v>
      </c>
      <c r="AP30" s="13">
        <f t="shared" si="11"/>
        <v>3</v>
      </c>
      <c r="AQ30" s="13">
        <f t="shared" si="12"/>
        <v>2</v>
      </c>
      <c r="AR30" s="173">
        <f t="shared" si="13"/>
        <v>43136</v>
      </c>
      <c r="AS30" s="742">
        <f t="shared" si="14"/>
        <v>0.7142857142857143</v>
      </c>
      <c r="AT30" s="758">
        <f t="shared" si="15"/>
        <v>30.102615010073144</v>
      </c>
      <c r="AU30" s="13">
        <f t="shared" si="16"/>
        <v>1</v>
      </c>
      <c r="AV30" s="13">
        <f t="shared" si="17"/>
        <v>2</v>
      </c>
      <c r="AW30" s="173">
        <f t="shared" si="18"/>
        <v>43093</v>
      </c>
      <c r="AX30" s="742">
        <f t="shared" si="19"/>
        <v>0.7931034482758621</v>
      </c>
      <c r="AY30" s="758">
        <f t="shared" si="20"/>
        <v>30.486332711089272</v>
      </c>
      <c r="AZ30" s="735">
        <f t="shared" si="26"/>
        <v>30.294473860581206</v>
      </c>
      <c r="BA30" s="633">
        <f t="shared" si="21"/>
        <v>0.99089106802996296</v>
      </c>
      <c r="BC30" s="11">
        <v>43116</v>
      </c>
      <c r="BD30" s="289">
        <f>[3]!FeuilCaduc*(1-Persistant)+Persistant</f>
        <v>0.80055740357627303</v>
      </c>
      <c r="BE30" s="290">
        <f>[3]!CroissVégét</f>
        <v>1.1881317966940647E-3</v>
      </c>
      <c r="BF30" s="804">
        <f>1+[3]!Salcycl*Ksac</f>
        <v>1.0001393508940681</v>
      </c>
      <c r="BH30" s="1037">
        <f t="shared" si="22"/>
        <v>0.15449287693604014</v>
      </c>
      <c r="BI30" s="11">
        <v>44212</v>
      </c>
      <c r="BJ30" s="715">
        <v>1.8559509680182854E-3</v>
      </c>
      <c r="BK30" s="715">
        <v>1.6348266370412964E-2</v>
      </c>
      <c r="BL30" s="715">
        <v>5.107858629720604E-2</v>
      </c>
      <c r="BM30" s="715">
        <v>0.10211929657275028</v>
      </c>
      <c r="BN30" s="715">
        <v>0.16767336189460805</v>
      </c>
      <c r="BO30" s="716">
        <v>0.24157283512274855</v>
      </c>
      <c r="BP30" s="715">
        <v>0.34768757930966415</v>
      </c>
      <c r="BQ30" s="715">
        <v>0.54516473047146963</v>
      </c>
      <c r="BR30" s="715">
        <v>0.81552624777095961</v>
      </c>
      <c r="BS30" s="715">
        <v>1.1147542364377112</v>
      </c>
      <c r="BT30" s="715">
        <v>1.3772939890248093</v>
      </c>
      <c r="BW30" s="1185">
        <f>'2019'!R\Max</f>
        <v>0</v>
      </c>
      <c r="BX30" s="1185">
        <f>'2020'!R\Max</f>
        <v>0.91347350360742907</v>
      </c>
      <c r="BY30" s="1185">
        <f>'2021'!R\Max</f>
        <v>0.75303597024146096</v>
      </c>
      <c r="BZ30" s="1185">
        <f>'2022'!R\Max</f>
        <v>0.99089106802996296</v>
      </c>
      <c r="CA30" s="1185">
        <f>'2023'!R\Max</f>
        <v>0.99080324993891966</v>
      </c>
      <c r="CB30" s="1185">
        <f>'2024'!R\Max</f>
        <v>0.99070958983174773</v>
      </c>
      <c r="CC30" s="1185">
        <f>'2025'!R\Max</f>
        <v>0.99058669559036228</v>
      </c>
      <c r="CD30" s="1185">
        <f>'2026'!R\Max</f>
        <v>0.99040541665042015</v>
      </c>
      <c r="CE30" s="1186">
        <f>'2027'!R\Max</f>
        <v>0.99101066338592958</v>
      </c>
      <c r="CF30" s="1187">
        <f>'2028'!R\Max</f>
        <v>0.99094763253148765</v>
      </c>
    </row>
    <row r="31" spans="1:84" s="6" customFormat="1" ht="11.25" x14ac:dyDescent="0.2">
      <c r="A31" s="11">
        <v>43117</v>
      </c>
      <c r="B31" s="379">
        <f>'2022'!Maxi_hp</f>
        <v>19.329055345753776</v>
      </c>
      <c r="C31" s="13">
        <f>'2022'!An_max</f>
        <v>2022</v>
      </c>
      <c r="D31" s="1046" t="str">
        <f t="shared" si="7"/>
        <v/>
      </c>
      <c r="E31" s="1041"/>
      <c r="F31" s="13">
        <f t="shared" si="23"/>
        <v>3</v>
      </c>
      <c r="G31" s="13">
        <f t="shared" si="24"/>
        <v>2</v>
      </c>
      <c r="H31" s="173">
        <f t="shared" si="8"/>
        <v>43122</v>
      </c>
      <c r="I31" s="742">
        <f t="shared" si="9"/>
        <v>0.35714285714285715</v>
      </c>
      <c r="J31" s="735">
        <f t="shared" si="27"/>
        <v>30.64976878081049</v>
      </c>
      <c r="L31" s="744" t="s">
        <v>210</v>
      </c>
      <c r="M31" s="765">
        <f t="shared" ref="M31:AA31" si="38">L29</f>
        <v>330.00799999999998</v>
      </c>
      <c r="N31" s="769">
        <f t="shared" si="38"/>
        <v>264.404</v>
      </c>
      <c r="O31" s="731">
        <f t="shared" si="38"/>
        <v>280.30799999999999</v>
      </c>
      <c r="P31" s="731">
        <f t="shared" si="38"/>
        <v>372.75</v>
      </c>
      <c r="Q31" s="731">
        <f t="shared" si="38"/>
        <v>471.15600000000001</v>
      </c>
      <c r="R31" s="731">
        <f t="shared" si="38"/>
        <v>560.61599999999999</v>
      </c>
      <c r="S31" s="731">
        <f t="shared" si="38"/>
        <v>606.34</v>
      </c>
      <c r="T31" s="731">
        <f t="shared" si="38"/>
        <v>620.25599999999997</v>
      </c>
      <c r="U31" s="731">
        <f t="shared" si="38"/>
        <v>610.31600000000003</v>
      </c>
      <c r="V31" s="731">
        <f t="shared" si="38"/>
        <v>579.50199999999995</v>
      </c>
      <c r="W31" s="731">
        <f t="shared" si="38"/>
        <v>540.73599999999999</v>
      </c>
      <c r="X31" s="731">
        <f t="shared" si="38"/>
        <v>486.06599999999997</v>
      </c>
      <c r="Y31" s="731">
        <f t="shared" si="38"/>
        <v>408.53399999999999</v>
      </c>
      <c r="Z31" s="731">
        <f t="shared" si="38"/>
        <v>330.00799999999998</v>
      </c>
      <c r="AA31" s="767">
        <f t="shared" si="38"/>
        <v>264.404</v>
      </c>
      <c r="AO31" s="1039">
        <v>43117</v>
      </c>
      <c r="AP31" s="13">
        <f t="shared" si="11"/>
        <v>3</v>
      </c>
      <c r="AQ31" s="13">
        <f t="shared" si="12"/>
        <v>2</v>
      </c>
      <c r="AR31" s="173">
        <f t="shared" si="13"/>
        <v>43136</v>
      </c>
      <c r="AS31" s="742">
        <f t="shared" si="14"/>
        <v>0.6785714285714286</v>
      </c>
      <c r="AT31" s="758">
        <f t="shared" si="15"/>
        <v>30.420794248151857</v>
      </c>
      <c r="AU31" s="13">
        <f t="shared" si="16"/>
        <v>1</v>
      </c>
      <c r="AV31" s="13">
        <f t="shared" si="17"/>
        <v>2</v>
      </c>
      <c r="AW31" s="173">
        <f t="shared" si="18"/>
        <v>43093</v>
      </c>
      <c r="AX31" s="742">
        <f t="shared" si="19"/>
        <v>0.82758620689655171</v>
      </c>
      <c r="AY31" s="758">
        <f t="shared" si="20"/>
        <v>30.792338756600326</v>
      </c>
      <c r="AZ31" s="735">
        <f t="shared" si="26"/>
        <v>30.60656650237609</v>
      </c>
      <c r="BA31" s="633">
        <f t="shared" si="21"/>
        <v>0.63064277854701145</v>
      </c>
      <c r="BC31" s="11">
        <v>43117</v>
      </c>
      <c r="BD31" s="289">
        <f>[3]!FeuilCaduc*(1-Persistant)+Persistant</f>
        <v>0.80048150396982487</v>
      </c>
      <c r="BE31" s="290">
        <f>[3]!CroissVégét</f>
        <v>1.2960995754023115E-3</v>
      </c>
      <c r="BF31" s="804">
        <f>1+[3]!Salcycl*Ksac</f>
        <v>1.0001203759924562</v>
      </c>
      <c r="BH31" s="1037">
        <f t="shared" si="22"/>
        <v>0.15464774826768879</v>
      </c>
      <c r="BI31" s="11">
        <v>44213</v>
      </c>
      <c r="BJ31" s="715">
        <v>1.8222772070155314E-3</v>
      </c>
      <c r="BK31" s="715">
        <v>1.5622417864089621E-2</v>
      </c>
      <c r="BL31" s="715">
        <v>5.015662524490986E-2</v>
      </c>
      <c r="BM31" s="715">
        <v>0.10146848577142771</v>
      </c>
      <c r="BN31" s="715">
        <v>0.16803099349510511</v>
      </c>
      <c r="BO31" s="716">
        <v>0.24281080897000004</v>
      </c>
      <c r="BP31" s="715">
        <v>0.34720317869724426</v>
      </c>
      <c r="BQ31" s="715">
        <v>0.5403359358495079</v>
      </c>
      <c r="BR31" s="715">
        <v>0.80927677089663108</v>
      </c>
      <c r="BS31" s="715">
        <v>1.1101697022153092</v>
      </c>
      <c r="BT31" s="715">
        <v>1.3776643920003731</v>
      </c>
      <c r="BW31" s="1185">
        <f>'2019'!R\Max</f>
        <v>0</v>
      </c>
      <c r="BX31" s="1185">
        <f>'2020'!R\Max</f>
        <v>0.1506186713960386</v>
      </c>
      <c r="BY31" s="1185">
        <f>'2021'!R\Max</f>
        <v>0.15464732225272179</v>
      </c>
      <c r="BZ31" s="1185">
        <f>'2022'!R\Max</f>
        <v>0.63064277854701145</v>
      </c>
      <c r="CA31" s="1185">
        <f>'2023'!R\Max</f>
        <v>0.62843734123058637</v>
      </c>
      <c r="CB31" s="1185">
        <f>'2024'!R\Max</f>
        <v>0.62611048394020163</v>
      </c>
      <c r="CC31" s="1185">
        <f>'2025'!R\Max</f>
        <v>0.62309251641938057</v>
      </c>
      <c r="CD31" s="1185">
        <f>'2026'!R\Max</f>
        <v>0.6187088721944406</v>
      </c>
      <c r="CE31" s="1186">
        <f>'2027'!R\Max</f>
        <v>0.6337474440009685</v>
      </c>
      <c r="CF31" s="1187">
        <f>'2028'!R\Max</f>
        <v>0.63210748033497943</v>
      </c>
    </row>
    <row r="32" spans="1:84" s="6" customFormat="1" ht="11.25" x14ac:dyDescent="0.2">
      <c r="A32" s="11">
        <v>43118</v>
      </c>
      <c r="B32" s="379">
        <f>'2022'!Maxi_hp</f>
        <v>30.433829557852597</v>
      </c>
      <c r="C32" s="13">
        <f>'2022'!An_max</f>
        <v>2021</v>
      </c>
      <c r="D32" s="1046">
        <f t="shared" si="7"/>
        <v>0.98243181526988166</v>
      </c>
      <c r="E32" s="1041"/>
      <c r="F32" s="13">
        <f t="shared" si="23"/>
        <v>3</v>
      </c>
      <c r="G32" s="13">
        <f t="shared" si="24"/>
        <v>2</v>
      </c>
      <c r="H32" s="173">
        <f t="shared" si="8"/>
        <v>43122</v>
      </c>
      <c r="I32" s="742">
        <f t="shared" si="9"/>
        <v>0.2857142857142857</v>
      </c>
      <c r="J32" s="735">
        <f t="shared" si="27"/>
        <v>30.978057799860835</v>
      </c>
      <c r="L32" s="744" t="s">
        <v>211</v>
      </c>
      <c r="M32" s="776">
        <f t="shared" ref="M32:AA32" si="39">M28</f>
        <v>43079</v>
      </c>
      <c r="N32" s="726">
        <f t="shared" si="39"/>
        <v>43108</v>
      </c>
      <c r="O32" s="726">
        <f t="shared" si="39"/>
        <v>43136</v>
      </c>
      <c r="P32" s="726">
        <f t="shared" si="39"/>
        <v>43164</v>
      </c>
      <c r="Q32" s="726">
        <f t="shared" si="39"/>
        <v>43192</v>
      </c>
      <c r="R32" s="726">
        <f t="shared" si="39"/>
        <v>43220</v>
      </c>
      <c r="S32" s="726">
        <f t="shared" si="39"/>
        <v>43248</v>
      </c>
      <c r="T32" s="726">
        <f t="shared" si="39"/>
        <v>43276</v>
      </c>
      <c r="U32" s="726">
        <f t="shared" si="39"/>
        <v>43304</v>
      </c>
      <c r="V32" s="726">
        <f t="shared" si="39"/>
        <v>43332</v>
      </c>
      <c r="W32" s="726">
        <f t="shared" si="39"/>
        <v>43360</v>
      </c>
      <c r="X32" s="726">
        <f t="shared" si="39"/>
        <v>43388</v>
      </c>
      <c r="Y32" s="726">
        <f t="shared" si="39"/>
        <v>43416</v>
      </c>
      <c r="Z32" s="768">
        <f t="shared" si="39"/>
        <v>43444</v>
      </c>
      <c r="AA32" s="775">
        <f t="shared" si="39"/>
        <v>43473</v>
      </c>
      <c r="AO32" s="1039">
        <v>43118</v>
      </c>
      <c r="AP32" s="13">
        <f t="shared" si="11"/>
        <v>3</v>
      </c>
      <c r="AQ32" s="13">
        <f t="shared" si="12"/>
        <v>2</v>
      </c>
      <c r="AR32" s="173">
        <f t="shared" si="13"/>
        <v>43136</v>
      </c>
      <c r="AS32" s="742">
        <f t="shared" si="14"/>
        <v>0.6428571428571429</v>
      </c>
      <c r="AT32" s="758">
        <f t="shared" si="15"/>
        <v>30.748951267171652</v>
      </c>
      <c r="AU32" s="13">
        <f t="shared" si="16"/>
        <v>1</v>
      </c>
      <c r="AV32" s="13">
        <f t="shared" si="17"/>
        <v>2</v>
      </c>
      <c r="AW32" s="173">
        <f t="shared" si="18"/>
        <v>43093</v>
      </c>
      <c r="AX32" s="742">
        <f t="shared" si="19"/>
        <v>0.86206896551724133</v>
      </c>
      <c r="AY32" s="758">
        <f t="shared" si="20"/>
        <v>31.098394864514983</v>
      </c>
      <c r="AZ32" s="735">
        <f t="shared" si="26"/>
        <v>30.923673065843317</v>
      </c>
      <c r="BA32" s="633">
        <f t="shared" si="21"/>
        <v>0.98243181526988166</v>
      </c>
      <c r="BC32" s="11">
        <v>43118</v>
      </c>
      <c r="BD32" s="289">
        <f>[3]!FeuilCaduc*(1-Persistant)+Persistant</f>
        <v>0.80041051482079162</v>
      </c>
      <c r="BE32" s="290">
        <f>[3]!CroissVégét</f>
        <v>1.4085719996856784E-3</v>
      </c>
      <c r="BF32" s="804">
        <f>1+[3]!Salcycl*Ksac</f>
        <v>1.0001026287051979</v>
      </c>
      <c r="BH32" s="1037">
        <f t="shared" si="22"/>
        <v>0.15466160810784729</v>
      </c>
      <c r="BI32" s="11">
        <v>44214</v>
      </c>
      <c r="BJ32" s="715">
        <v>1.7868176407526094E-3</v>
      </c>
      <c r="BK32" s="715">
        <v>1.4903468514046888E-2</v>
      </c>
      <c r="BL32" s="715">
        <v>4.9166230273130523E-2</v>
      </c>
      <c r="BM32" s="715">
        <v>0.1007183026296028</v>
      </c>
      <c r="BN32" s="715">
        <v>0.16823713457633743</v>
      </c>
      <c r="BO32" s="716">
        <v>0.24397131768112168</v>
      </c>
      <c r="BP32" s="715">
        <v>0.34690846822540933</v>
      </c>
      <c r="BQ32" s="715">
        <v>0.53565456759837582</v>
      </c>
      <c r="BR32" s="715">
        <v>0.80298473260584291</v>
      </c>
      <c r="BS32" s="715">
        <v>1.1052149765968542</v>
      </c>
      <c r="BT32" s="715">
        <v>1.3777595368803945</v>
      </c>
      <c r="BW32" s="1185">
        <f>'2019'!R\Max</f>
        <v>0</v>
      </c>
      <c r="BX32" s="1185">
        <f>'2020'!R\Max</f>
        <v>0.63258044000686242</v>
      </c>
      <c r="BY32" s="1185">
        <f>'2021'!R\Max</f>
        <v>0.98243181526988166</v>
      </c>
      <c r="BZ32" s="1185">
        <f>'2022'!R\Max</f>
        <v>0.16309711904109431</v>
      </c>
      <c r="CA32" s="1185">
        <f>'2023'!R\Max</f>
        <v>0.16203622152499159</v>
      </c>
      <c r="CB32" s="1185">
        <f>'2024'!R\Max</f>
        <v>0.16092784980392522</v>
      </c>
      <c r="CC32" s="1185">
        <f>'2025'!R\Max</f>
        <v>0.15950725867195054</v>
      </c>
      <c r="CD32" s="1185">
        <f>'2026'!R\Max</f>
        <v>0.15747494246832136</v>
      </c>
      <c r="CE32" s="1186">
        <f>'2027'!R\Max</f>
        <v>0.16463765089025331</v>
      </c>
      <c r="CF32" s="1187">
        <f>'2028'!R\Max</f>
        <v>0.16382218605148949</v>
      </c>
    </row>
    <row r="33" spans="1:84" s="6" customFormat="1" ht="11.25" x14ac:dyDescent="0.2">
      <c r="A33" s="11">
        <v>43119</v>
      </c>
      <c r="B33" s="379">
        <f>'2022'!Maxi_hp</f>
        <v>32.683118262088648</v>
      </c>
      <c r="C33" s="13">
        <f>'2022'!An_max</f>
        <v>2021</v>
      </c>
      <c r="D33" s="1046">
        <f t="shared" si="7"/>
        <v>1.043887979774113</v>
      </c>
      <c r="E33" s="1041"/>
      <c r="F33" s="13">
        <f t="shared" si="23"/>
        <v>3</v>
      </c>
      <c r="G33" s="13">
        <f t="shared" si="24"/>
        <v>2</v>
      </c>
      <c r="H33" s="173">
        <f t="shared" si="8"/>
        <v>43122</v>
      </c>
      <c r="I33" s="742">
        <f t="shared" si="9"/>
        <v>0.21428571428571427</v>
      </c>
      <c r="J33" s="735">
        <f t="shared" si="27"/>
        <v>31.309028262937705</v>
      </c>
      <c r="L33" s="744" t="s">
        <v>212</v>
      </c>
      <c r="M33" s="769">
        <f t="shared" ref="M33:AA33" si="40">M29</f>
        <v>264.404</v>
      </c>
      <c r="N33" s="732">
        <f t="shared" si="40"/>
        <v>280.30799999999999</v>
      </c>
      <c r="O33" s="732">
        <f t="shared" si="40"/>
        <v>372.75</v>
      </c>
      <c r="P33" s="732">
        <f t="shared" si="40"/>
        <v>471.15600000000001</v>
      </c>
      <c r="Q33" s="732">
        <f t="shared" si="40"/>
        <v>560.61599999999999</v>
      </c>
      <c r="R33" s="732">
        <f t="shared" si="40"/>
        <v>606.34</v>
      </c>
      <c r="S33" s="732">
        <f t="shared" si="40"/>
        <v>620.25599999999997</v>
      </c>
      <c r="T33" s="732">
        <f t="shared" si="40"/>
        <v>610.31600000000003</v>
      </c>
      <c r="U33" s="732">
        <f t="shared" si="40"/>
        <v>579.50199999999995</v>
      </c>
      <c r="V33" s="732">
        <f t="shared" si="40"/>
        <v>540.73599999999999</v>
      </c>
      <c r="W33" s="732">
        <f t="shared" si="40"/>
        <v>486.06599999999997</v>
      </c>
      <c r="X33" s="732">
        <f t="shared" si="40"/>
        <v>408.53399999999999</v>
      </c>
      <c r="Y33" s="732">
        <f t="shared" si="40"/>
        <v>330.00799999999998</v>
      </c>
      <c r="Z33" s="767">
        <f t="shared" si="40"/>
        <v>264.404</v>
      </c>
      <c r="AA33" s="765">
        <f t="shared" si="40"/>
        <v>280.30799999999999</v>
      </c>
      <c r="AO33" s="1039">
        <v>43119</v>
      </c>
      <c r="AP33" s="13">
        <f t="shared" si="11"/>
        <v>3</v>
      </c>
      <c r="AQ33" s="13">
        <f t="shared" si="12"/>
        <v>2</v>
      </c>
      <c r="AR33" s="173">
        <f t="shared" si="13"/>
        <v>43136</v>
      </c>
      <c r="AS33" s="742">
        <f t="shared" si="14"/>
        <v>0.6071428571428571</v>
      </c>
      <c r="AT33" s="758">
        <f t="shared" si="15"/>
        <v>31.086132581847984</v>
      </c>
      <c r="AU33" s="13">
        <f t="shared" si="16"/>
        <v>1</v>
      </c>
      <c r="AV33" s="13">
        <f t="shared" si="17"/>
        <v>2</v>
      </c>
      <c r="AW33" s="173">
        <f t="shared" si="18"/>
        <v>43093</v>
      </c>
      <c r="AX33" s="742">
        <f t="shared" si="19"/>
        <v>0.89655172413793105</v>
      </c>
      <c r="AY33" s="758">
        <f t="shared" si="20"/>
        <v>31.403595036627916</v>
      </c>
      <c r="AZ33" s="735">
        <f t="shared" si="26"/>
        <v>31.244863809237948</v>
      </c>
      <c r="BA33" s="633">
        <f t="shared" si="21"/>
        <v>1.043887979774113</v>
      </c>
      <c r="BC33" s="11">
        <v>43119</v>
      </c>
      <c r="BD33" s="289">
        <f>[3]!FeuilCaduc*(1-Persistant)+Persistant</f>
        <v>0.8003446169297862</v>
      </c>
      <c r="BE33" s="290">
        <f>[3]!CroissVégét</f>
        <v>1.5257359314074395E-3</v>
      </c>
      <c r="BF33" s="804">
        <f>1+[3]!Salcycl*Ksac</f>
        <v>1.0000861542324466</v>
      </c>
      <c r="BH33" s="1037">
        <f t="shared" si="22"/>
        <v>0.15453396115754159</v>
      </c>
      <c r="BI33" s="11">
        <v>44215</v>
      </c>
      <c r="BJ33" s="715">
        <v>1.7495699591180917E-3</v>
      </c>
      <c r="BK33" s="715">
        <v>1.4191457979372348E-2</v>
      </c>
      <c r="BL33" s="715">
        <v>4.8107324274376695E-2</v>
      </c>
      <c r="BM33" s="715">
        <v>9.9868494059341409E-2</v>
      </c>
      <c r="BN33" s="715">
        <v>0.16829122888380815</v>
      </c>
      <c r="BO33" s="716">
        <v>0.24505357967272859</v>
      </c>
      <c r="BP33" s="715">
        <v>0.34680276257702708</v>
      </c>
      <c r="BQ33" s="715">
        <v>0.53111987375507985</v>
      </c>
      <c r="BR33" s="715">
        <v>0.79664872877559256</v>
      </c>
      <c r="BS33" s="715">
        <v>1.0998875171058333</v>
      </c>
      <c r="BT33" s="715">
        <v>1.3775757767453662</v>
      </c>
      <c r="BW33" s="1185">
        <f>'2019'!R\Max</f>
        <v>0</v>
      </c>
      <c r="BX33" s="1185">
        <f>'2020'!R\Max</f>
        <v>0.73222105116921565</v>
      </c>
      <c r="BY33" s="1185">
        <f>'2021'!R\Max</f>
        <v>1.043887979774113</v>
      </c>
      <c r="BZ33" s="1185">
        <f>'2022'!R\Max</f>
        <v>0.40861488019526232</v>
      </c>
      <c r="CA33" s="1185">
        <f>'2023'!R\Max</f>
        <v>0.40642252370279852</v>
      </c>
      <c r="CB33" s="1185">
        <f>'2024'!R\Max</f>
        <v>0.40413458484819159</v>
      </c>
      <c r="CC33" s="1185">
        <f>'2025'!R\Max</f>
        <v>0.40121195573289348</v>
      </c>
      <c r="CD33" s="1185">
        <f>'2026'!R\Max</f>
        <v>0.39704360637916508</v>
      </c>
      <c r="CE33" s="1186">
        <f>'2027'!R\Max</f>
        <v>0.41186065268943983</v>
      </c>
      <c r="CF33" s="1187">
        <f>'2028'!R\Max</f>
        <v>0.41014376169390937</v>
      </c>
    </row>
    <row r="34" spans="1:84" s="6" customFormat="1" ht="11.25" x14ac:dyDescent="0.2">
      <c r="A34" s="11">
        <v>43120</v>
      </c>
      <c r="B34" s="379">
        <f>'2022'!Maxi_hp</f>
        <v>11.30286271509741</v>
      </c>
      <c r="C34" s="13">
        <f>'2022'!An_max</f>
        <v>2020</v>
      </c>
      <c r="D34" s="1046" t="str">
        <f t="shared" si="7"/>
        <v/>
      </c>
      <c r="E34" s="13"/>
      <c r="F34" s="13">
        <f t="shared" si="23"/>
        <v>3</v>
      </c>
      <c r="G34" s="13">
        <f t="shared" si="24"/>
        <v>2</v>
      </c>
      <c r="H34" s="173">
        <f t="shared" si="8"/>
        <v>43122</v>
      </c>
      <c r="I34" s="742">
        <f t="shared" si="9"/>
        <v>0.14285714285714285</v>
      </c>
      <c r="J34" s="735">
        <f t="shared" si="27"/>
        <v>31.641377339192804</v>
      </c>
      <c r="L34" s="744" t="s">
        <v>213</v>
      </c>
      <c r="M34" s="771">
        <f t="shared" ref="M34:AA34" si="41">N28</f>
        <v>43108</v>
      </c>
      <c r="N34" s="727">
        <f t="shared" si="41"/>
        <v>43136</v>
      </c>
      <c r="O34" s="727">
        <f t="shared" si="41"/>
        <v>43164</v>
      </c>
      <c r="P34" s="727">
        <f t="shared" si="41"/>
        <v>43192</v>
      </c>
      <c r="Q34" s="727">
        <f t="shared" si="41"/>
        <v>43220</v>
      </c>
      <c r="R34" s="727">
        <f t="shared" si="41"/>
        <v>43248</v>
      </c>
      <c r="S34" s="727">
        <f t="shared" si="41"/>
        <v>43276</v>
      </c>
      <c r="T34" s="727">
        <f t="shared" si="41"/>
        <v>43304</v>
      </c>
      <c r="U34" s="727">
        <f t="shared" si="41"/>
        <v>43332</v>
      </c>
      <c r="V34" s="727">
        <f t="shared" si="41"/>
        <v>43360</v>
      </c>
      <c r="W34" s="727">
        <f t="shared" si="41"/>
        <v>43388</v>
      </c>
      <c r="X34" s="727">
        <f t="shared" si="41"/>
        <v>43416</v>
      </c>
      <c r="Y34" s="727">
        <f t="shared" si="41"/>
        <v>43444</v>
      </c>
      <c r="Z34" s="777">
        <f t="shared" si="41"/>
        <v>43473</v>
      </c>
      <c r="AA34" s="775">
        <f t="shared" si="41"/>
        <v>43501</v>
      </c>
      <c r="AO34" s="1039">
        <v>43120</v>
      </c>
      <c r="AP34" s="13">
        <f t="shared" si="11"/>
        <v>3</v>
      </c>
      <c r="AQ34" s="13">
        <f t="shared" si="12"/>
        <v>2</v>
      </c>
      <c r="AR34" s="173">
        <f t="shared" si="13"/>
        <v>43136</v>
      </c>
      <c r="AS34" s="742">
        <f t="shared" si="14"/>
        <v>0.5714285714285714</v>
      </c>
      <c r="AT34" s="758">
        <f t="shared" si="15"/>
        <v>31.43138469592003</v>
      </c>
      <c r="AU34" s="13">
        <f t="shared" si="16"/>
        <v>1</v>
      </c>
      <c r="AV34" s="13">
        <f t="shared" si="17"/>
        <v>2</v>
      </c>
      <c r="AW34" s="173">
        <f t="shared" si="18"/>
        <v>43093</v>
      </c>
      <c r="AX34" s="742">
        <f t="shared" si="19"/>
        <v>0.93103448275862066</v>
      </c>
      <c r="AY34" s="758">
        <f t="shared" si="20"/>
        <v>31.707033280951197</v>
      </c>
      <c r="AZ34" s="735">
        <f t="shared" si="26"/>
        <v>31.569208988435612</v>
      </c>
      <c r="BA34" s="633">
        <f t="shared" si="21"/>
        <v>0.35721778460942799</v>
      </c>
      <c r="BC34" s="11">
        <v>43120</v>
      </c>
      <c r="BD34" s="289">
        <f>[3]!FeuilCaduc*(1-Persistant)+Persistant</f>
        <v>0.80028400053018334</v>
      </c>
      <c r="BE34" s="290">
        <f>[3]!CroissVégét</f>
        <v>1.6477858914927391E-3</v>
      </c>
      <c r="BF34" s="804">
        <f>1+[3]!Salcycl*Ksac</f>
        <v>1.0000710001325459</v>
      </c>
      <c r="BH34" s="1037">
        <f t="shared" si="22"/>
        <v>0.15426520180341038</v>
      </c>
      <c r="BI34" s="11">
        <v>44216</v>
      </c>
      <c r="BJ34" s="715">
        <v>1.7105421209698695E-3</v>
      </c>
      <c r="BK34" s="715">
        <v>1.3486506818318734E-2</v>
      </c>
      <c r="BL34" s="715">
        <v>4.6980116469200972E-2</v>
      </c>
      <c r="BM34" s="715">
        <v>9.8919386969959527E-2</v>
      </c>
      <c r="BN34" s="715">
        <v>0.16819368778569202</v>
      </c>
      <c r="BO34" s="716">
        <v>0.2460581896665413</v>
      </c>
      <c r="BP34" s="715">
        <v>0.34688727244904488</v>
      </c>
      <c r="BQ34" s="715">
        <v>0.52673405368548598</v>
      </c>
      <c r="BR34" s="715">
        <v>0.79027183203018914</v>
      </c>
      <c r="BS34" s="715">
        <v>1.0941910082755766</v>
      </c>
      <c r="BT34" s="715">
        <v>1.3771171978555625</v>
      </c>
      <c r="BW34" s="1185">
        <f>'2019'!R\Max</f>
        <v>0</v>
      </c>
      <c r="BX34" s="1185">
        <f>'2020'!R\Max</f>
        <v>0.35721778460942799</v>
      </c>
      <c r="BY34" s="1185">
        <f>'2021'!R\Max</f>
        <v>0.23545124222784866</v>
      </c>
      <c r="BZ34" s="1185">
        <f>'2022'!R\Max</f>
        <v>0.16729248520085768</v>
      </c>
      <c r="CA34" s="1185">
        <f>'2023'!R\Max</f>
        <v>0.16624249320676962</v>
      </c>
      <c r="CB34" s="1185">
        <f>'2024'!R\Max</f>
        <v>0.16515231694077254</v>
      </c>
      <c r="CC34" s="1185">
        <f>'2025'!R\Max</f>
        <v>0.1637732346261635</v>
      </c>
      <c r="CD34" s="1185">
        <f>'2026'!R\Max</f>
        <v>0.1618287094256034</v>
      </c>
      <c r="CE34" s="1186">
        <f>'2027'!R\Max</f>
        <v>0.16888291995563154</v>
      </c>
      <c r="CF34" s="1187">
        <f>'2028'!R\Max</f>
        <v>0.16804103952221236</v>
      </c>
    </row>
    <row r="35" spans="1:84" s="6" customFormat="1" ht="11.25" x14ac:dyDescent="0.2">
      <c r="A35" s="11">
        <v>43121</v>
      </c>
      <c r="B35" s="379">
        <f>'2022'!Maxi_hp</f>
        <v>20.346103196063709</v>
      </c>
      <c r="C35" s="13">
        <f>'2022'!An_max</f>
        <v>2022</v>
      </c>
      <c r="D35" s="1046" t="str">
        <f t="shared" si="7"/>
        <v/>
      </c>
      <c r="E35" s="13"/>
      <c r="F35" s="13">
        <f t="shared" si="23"/>
        <v>3</v>
      </c>
      <c r="G35" s="13">
        <f t="shared" si="24"/>
        <v>2</v>
      </c>
      <c r="H35" s="173">
        <f t="shared" si="8"/>
        <v>43122</v>
      </c>
      <c r="I35" s="742">
        <f t="shared" si="9"/>
        <v>7.1428571428571425E-2</v>
      </c>
      <c r="J35" s="735">
        <f t="shared" si="27"/>
        <v>31.973802195994985</v>
      </c>
      <c r="L35" s="744" t="s">
        <v>214</v>
      </c>
      <c r="M35" s="772">
        <f t="shared" ref="M35:AA35" si="42">N29</f>
        <v>280.30799999999999</v>
      </c>
      <c r="N35" s="732">
        <f t="shared" si="42"/>
        <v>372.75</v>
      </c>
      <c r="O35" s="732">
        <f t="shared" si="42"/>
        <v>471.15600000000001</v>
      </c>
      <c r="P35" s="732">
        <f t="shared" si="42"/>
        <v>560.61599999999999</v>
      </c>
      <c r="Q35" s="732">
        <f t="shared" si="42"/>
        <v>606.34</v>
      </c>
      <c r="R35" s="732">
        <f t="shared" si="42"/>
        <v>620.25599999999997</v>
      </c>
      <c r="S35" s="732">
        <f t="shared" si="42"/>
        <v>610.31600000000003</v>
      </c>
      <c r="T35" s="732">
        <f t="shared" si="42"/>
        <v>579.50199999999995</v>
      </c>
      <c r="U35" s="732">
        <f t="shared" si="42"/>
        <v>540.73599999999999</v>
      </c>
      <c r="V35" s="732">
        <f t="shared" si="42"/>
        <v>486.06599999999997</v>
      </c>
      <c r="W35" s="732">
        <f t="shared" si="42"/>
        <v>408.53399999999999</v>
      </c>
      <c r="X35" s="732">
        <f t="shared" si="42"/>
        <v>330.00799999999998</v>
      </c>
      <c r="Y35" s="732">
        <f t="shared" si="42"/>
        <v>264.404</v>
      </c>
      <c r="Z35" s="778">
        <f t="shared" si="42"/>
        <v>280.30799999999999</v>
      </c>
      <c r="AA35" s="765">
        <f t="shared" si="42"/>
        <v>372.75</v>
      </c>
      <c r="AO35" s="1039">
        <v>43121</v>
      </c>
      <c r="AP35" s="13">
        <f t="shared" si="11"/>
        <v>3</v>
      </c>
      <c r="AQ35" s="13">
        <f t="shared" si="12"/>
        <v>2</v>
      </c>
      <c r="AR35" s="173">
        <f t="shared" si="13"/>
        <v>43136</v>
      </c>
      <c r="AS35" s="742">
        <f t="shared" si="14"/>
        <v>0.5357142857142857</v>
      </c>
      <c r="AT35" s="758">
        <f t="shared" si="15"/>
        <v>31.783754121884705</v>
      </c>
      <c r="AU35" s="13">
        <f t="shared" si="16"/>
        <v>1</v>
      </c>
      <c r="AV35" s="13">
        <f t="shared" si="17"/>
        <v>2</v>
      </c>
      <c r="AW35" s="173">
        <f t="shared" si="18"/>
        <v>43093</v>
      </c>
      <c r="AX35" s="742">
        <f t="shared" si="19"/>
        <v>0.96551724137931039</v>
      </c>
      <c r="AY35" s="758">
        <f t="shared" si="20"/>
        <v>32.0078035998961</v>
      </c>
      <c r="AZ35" s="735">
        <f t="shared" si="26"/>
        <v>31.895778860890402</v>
      </c>
      <c r="BA35" s="633">
        <f t="shared" si="21"/>
        <v>0.63633668186676429</v>
      </c>
      <c r="BC35" s="11">
        <v>43121</v>
      </c>
      <c r="BD35" s="289">
        <f>[3]!FeuilCaduc*(1-Persistant)+Persistant</f>
        <v>0.80022885752373218</v>
      </c>
      <c r="BE35" s="290">
        <f>[3]!CroissVégét</f>
        <v>1.7749243659651206E-3</v>
      </c>
      <c r="BF35" s="804">
        <f>1+[3]!Salcycl*Ksac</f>
        <v>1.000057214380933</v>
      </c>
      <c r="BH35" s="1037">
        <f t="shared" si="22"/>
        <v>0.15385613561269457</v>
      </c>
      <c r="BI35" s="11">
        <v>44217</v>
      </c>
      <c r="BJ35" s="715">
        <v>1.6697461529958085E-3</v>
      </c>
      <c r="BK35" s="715">
        <v>1.2788757718056995E-2</v>
      </c>
      <c r="BL35" s="715">
        <v>4.5784930727703177E-2</v>
      </c>
      <c r="BM35" s="715">
        <v>9.7871562145913249E-2</v>
      </c>
      <c r="BN35" s="715">
        <v>0.16794537341870808</v>
      </c>
      <c r="BO35" s="716">
        <v>0.24698639098577635</v>
      </c>
      <c r="BP35" s="715">
        <v>0.34716404541829093</v>
      </c>
      <c r="BQ35" s="715">
        <v>0.52250053777188243</v>
      </c>
      <c r="BR35" s="715">
        <v>0.78385901589855334</v>
      </c>
      <c r="BS35" s="715">
        <v>1.0881318731788037</v>
      </c>
      <c r="BT35" s="715">
        <v>1.3763913957655995</v>
      </c>
      <c r="BW35" s="1185">
        <f>'2019'!R\Max</f>
        <v>0</v>
      </c>
      <c r="BX35" s="1185">
        <f>'2020'!R\Max</f>
        <v>0.11858950491716731</v>
      </c>
      <c r="BY35" s="1185">
        <f>'2021'!R\Max</f>
        <v>0.47893086284713227</v>
      </c>
      <c r="BZ35" s="1185">
        <f>'2022'!R\Max</f>
        <v>0.63633668186676429</v>
      </c>
      <c r="CA35" s="1185">
        <f>'2023'!R\Max</f>
        <v>0.63429683147143745</v>
      </c>
      <c r="CB35" s="1185">
        <f>'2024'!R\Max</f>
        <v>0.63217198086012683</v>
      </c>
      <c r="CC35" s="1185">
        <f>'2025'!R\Max</f>
        <v>0.62948905026692681</v>
      </c>
      <c r="CD35" s="1185">
        <f>'2026'!R\Max</f>
        <v>0.62570838593176392</v>
      </c>
      <c r="CE35" s="1186">
        <f>'2027'!R\Max</f>
        <v>0.63946074497413186</v>
      </c>
      <c r="CF35" s="1187">
        <f>'2028'!R\Max</f>
        <v>0.6378106404942967</v>
      </c>
    </row>
    <row r="36" spans="1:84" s="6" customFormat="1" ht="11.25" x14ac:dyDescent="0.2">
      <c r="A36" s="11">
        <v>43122</v>
      </c>
      <c r="B36" s="379">
        <f>'2022'!Maxi_hp</f>
        <v>31.673476071580343</v>
      </c>
      <c r="C36" s="13">
        <f>'2022'!An_max</f>
        <v>2022</v>
      </c>
      <c r="D36" s="1046">
        <f t="shared" si="7"/>
        <v>0.98045120172953226</v>
      </c>
      <c r="E36" s="1041">
        <f>O$13/10</f>
        <v>32.305</v>
      </c>
      <c r="F36" s="13">
        <f t="shared" si="23"/>
        <v>3</v>
      </c>
      <c r="G36" s="13">
        <f t="shared" si="24"/>
        <v>4</v>
      </c>
      <c r="H36" s="173">
        <f t="shared" si="8"/>
        <v>43122</v>
      </c>
      <c r="I36" s="742">
        <f t="shared" si="9"/>
        <v>0</v>
      </c>
      <c r="J36" s="735">
        <f t="shared" si="27"/>
        <v>32.304999999701977</v>
      </c>
      <c r="L36" s="745" t="s">
        <v>215</v>
      </c>
      <c r="M36" s="729">
        <f t="shared" ref="M36:AA36" si="43">x.1lg*x.1lg-x.2lg*x.2lg</f>
        <v>-2411640</v>
      </c>
      <c r="N36" s="729">
        <f t="shared" si="43"/>
        <v>-2499423</v>
      </c>
      <c r="O36" s="729">
        <f t="shared" si="43"/>
        <v>-2414832</v>
      </c>
      <c r="P36" s="729">
        <f t="shared" si="43"/>
        <v>-2416400</v>
      </c>
      <c r="Q36" s="729">
        <f t="shared" si="43"/>
        <v>-2417968</v>
      </c>
      <c r="R36" s="729">
        <f t="shared" si="43"/>
        <v>-2419536</v>
      </c>
      <c r="S36" s="729">
        <f t="shared" si="43"/>
        <v>-2421104</v>
      </c>
      <c r="T36" s="729">
        <f t="shared" si="43"/>
        <v>-2422672</v>
      </c>
      <c r="U36" s="729">
        <f t="shared" si="43"/>
        <v>-2424240</v>
      </c>
      <c r="V36" s="729">
        <f t="shared" si="43"/>
        <v>-2425808</v>
      </c>
      <c r="W36" s="729">
        <f t="shared" si="43"/>
        <v>-2427376</v>
      </c>
      <c r="X36" s="729">
        <f t="shared" si="43"/>
        <v>-2428944</v>
      </c>
      <c r="Y36" s="729">
        <f t="shared" si="43"/>
        <v>-2430512</v>
      </c>
      <c r="Z36" s="729">
        <f t="shared" si="43"/>
        <v>-2432080</v>
      </c>
      <c r="AA36" s="729">
        <f t="shared" si="43"/>
        <v>-2520593</v>
      </c>
      <c r="AO36" s="1039">
        <v>43122</v>
      </c>
      <c r="AP36" s="13">
        <f t="shared" si="11"/>
        <v>3</v>
      </c>
      <c r="AQ36" s="13">
        <f t="shared" si="12"/>
        <v>2</v>
      </c>
      <c r="AR36" s="173">
        <f t="shared" si="13"/>
        <v>43136</v>
      </c>
      <c r="AS36" s="742">
        <f t="shared" si="14"/>
        <v>0.5</v>
      </c>
      <c r="AT36" s="758">
        <f t="shared" si="15"/>
        <v>32.142287370655687</v>
      </c>
      <c r="AU36" s="13">
        <f t="shared" si="16"/>
        <v>3</v>
      </c>
      <c r="AV36" s="13">
        <f t="shared" si="17"/>
        <v>2</v>
      </c>
      <c r="AW36" s="173">
        <f t="shared" si="18"/>
        <v>43150</v>
      </c>
      <c r="AX36" s="742">
        <f t="shared" si="19"/>
        <v>1</v>
      </c>
      <c r="AY36" s="758">
        <f t="shared" si="20"/>
        <v>32.304999999701977</v>
      </c>
      <c r="AZ36" s="735">
        <f t="shared" si="26"/>
        <v>32.223643685178828</v>
      </c>
      <c r="BA36" s="633">
        <f t="shared" si="21"/>
        <v>0.98045120172953226</v>
      </c>
      <c r="BC36" s="11">
        <v>43122</v>
      </c>
      <c r="BD36" s="289">
        <f>[3]!FeuilCaduc*(1-Persistant)+Persistant</f>
        <v>0.80017937416068796</v>
      </c>
      <c r="BE36" s="290">
        <f>[3]!CroissVégét</f>
        <v>1.9073621235293117E-3</v>
      </c>
      <c r="BF36" s="804">
        <f>1+[3]!Salcycl*Ksac</f>
        <v>1.0000448435401721</v>
      </c>
      <c r="BH36" s="1037">
        <f t="shared" si="22"/>
        <v>0.15330691973384417</v>
      </c>
      <c r="BI36" s="11">
        <v>44218</v>
      </c>
      <c r="BJ36" s="715">
        <v>1.6271864317870183E-3</v>
      </c>
      <c r="BK36" s="715">
        <v>1.20982842761874E-2</v>
      </c>
      <c r="BL36" s="715">
        <v>4.4521883113153256E-2</v>
      </c>
      <c r="BM36" s="715">
        <v>9.6725175327257634E-2</v>
      </c>
      <c r="BN36" s="715">
        <v>0.16754644328574711</v>
      </c>
      <c r="BO36" s="716">
        <v>0.2478383890990225</v>
      </c>
      <c r="BP36" s="715">
        <v>0.34763360038710228</v>
      </c>
      <c r="BQ36" s="715">
        <v>0.51842039535648077</v>
      </c>
      <c r="BR36" s="715">
        <v>0.77741175605339119</v>
      </c>
      <c r="BS36" s="715">
        <v>1.081711784074318</v>
      </c>
      <c r="BT36" s="715">
        <v>1.3754000488815816</v>
      </c>
      <c r="BW36" s="1185">
        <f>'2019'!R\Max</f>
        <v>0</v>
      </c>
      <c r="BX36" s="1185">
        <f>'2020'!R\Max</f>
        <v>6.4038230552529898E-2</v>
      </c>
      <c r="BY36" s="1185">
        <f>'2021'!R\Max</f>
        <v>0.17588984652234871</v>
      </c>
      <c r="BZ36" s="1185">
        <f>'2022'!R\Max</f>
        <v>0.98045120172953226</v>
      </c>
      <c r="CA36" s="1185">
        <f>'2023'!R\Max</f>
        <v>0.98028369147451322</v>
      </c>
      <c r="CB36" s="1185">
        <f>'2024'!R\Max</f>
        <v>0.98010860228462049</v>
      </c>
      <c r="CC36" s="1185">
        <f>'2025'!R\Max</f>
        <v>0.97988831194826165</v>
      </c>
      <c r="CD36" s="1185">
        <f>'2026'!R\Max</f>
        <v>0.97957878151617672</v>
      </c>
      <c r="CE36" s="1186">
        <f>'2027'!R\Max</f>
        <v>0.98071012928458345</v>
      </c>
      <c r="CF36" s="1187">
        <f>'2028'!R\Max</f>
        <v>0.98057366819460767</v>
      </c>
    </row>
    <row r="37" spans="1:84" s="6" customFormat="1" ht="11.25" x14ac:dyDescent="0.2">
      <c r="A37" s="11">
        <v>43123</v>
      </c>
      <c r="B37" s="379">
        <f>'2022'!Maxi_hp</f>
        <v>32.062853586562348</v>
      </c>
      <c r="C37" s="13">
        <f>'2022'!An_max</f>
        <v>2022</v>
      </c>
      <c r="D37" s="1046">
        <f t="shared" si="7"/>
        <v>0.98236075996459005</v>
      </c>
      <c r="E37" s="13"/>
      <c r="F37" s="13">
        <f t="shared" si="23"/>
        <v>3</v>
      </c>
      <c r="G37" s="13">
        <f t="shared" si="24"/>
        <v>4</v>
      </c>
      <c r="H37" s="173">
        <f t="shared" si="8"/>
        <v>43122</v>
      </c>
      <c r="I37" s="742">
        <f t="shared" si="9"/>
        <v>7.1428571428571425E-2</v>
      </c>
      <c r="J37" s="735">
        <f>((1-I37)*(INDEX(a.m,F37)*$A37*$A37+INDEX(b.m,F37)*$A37+INDEX(c.m,F37))+I37*(INDEX(a.m,G37)*$A37*$A37+INDEX(b.m,G37)*$A37+INDEX(c.m,G37)))/10</f>
        <v>32.638573213895555</v>
      </c>
      <c r="L37" s="745" t="s">
        <v>216</v>
      </c>
      <c r="M37" s="729">
        <f t="shared" ref="M37:AA37" si="44">x.2lg*x.2lg-x.3lg*x.3lg</f>
        <v>-2499423</v>
      </c>
      <c r="N37" s="729">
        <f t="shared" si="44"/>
        <v>-2414832</v>
      </c>
      <c r="O37" s="729">
        <f t="shared" si="44"/>
        <v>-2416400</v>
      </c>
      <c r="P37" s="729">
        <f t="shared" si="44"/>
        <v>-2417968</v>
      </c>
      <c r="Q37" s="729">
        <f t="shared" si="44"/>
        <v>-2419536</v>
      </c>
      <c r="R37" s="729">
        <f t="shared" si="44"/>
        <v>-2421104</v>
      </c>
      <c r="S37" s="729">
        <f t="shared" si="44"/>
        <v>-2422672</v>
      </c>
      <c r="T37" s="729">
        <f t="shared" si="44"/>
        <v>-2424240</v>
      </c>
      <c r="U37" s="729">
        <f t="shared" si="44"/>
        <v>-2425808</v>
      </c>
      <c r="V37" s="729">
        <f t="shared" si="44"/>
        <v>-2427376</v>
      </c>
      <c r="W37" s="729">
        <f t="shared" si="44"/>
        <v>-2428944</v>
      </c>
      <c r="X37" s="729">
        <f t="shared" si="44"/>
        <v>-2430512</v>
      </c>
      <c r="Y37" s="729">
        <f t="shared" si="44"/>
        <v>-2432080</v>
      </c>
      <c r="Z37" s="729">
        <f t="shared" si="44"/>
        <v>-2520593</v>
      </c>
      <c r="AA37" s="729">
        <f t="shared" si="44"/>
        <v>-2435272</v>
      </c>
      <c r="AO37" s="1039">
        <v>43123</v>
      </c>
      <c r="AP37" s="13">
        <f t="shared" si="11"/>
        <v>3</v>
      </c>
      <c r="AQ37" s="13">
        <f t="shared" si="12"/>
        <v>2</v>
      </c>
      <c r="AR37" s="173">
        <f t="shared" si="13"/>
        <v>43136</v>
      </c>
      <c r="AS37" s="742">
        <f t="shared" si="14"/>
        <v>0.4642857142857143</v>
      </c>
      <c r="AT37" s="758">
        <f t="shared" si="15"/>
        <v>32.506030953203194</v>
      </c>
      <c r="AU37" s="13">
        <f t="shared" si="16"/>
        <v>3</v>
      </c>
      <c r="AV37" s="13">
        <f t="shared" si="17"/>
        <v>2</v>
      </c>
      <c r="AW37" s="173">
        <f t="shared" si="18"/>
        <v>43150</v>
      </c>
      <c r="AX37" s="742">
        <f t="shared" si="19"/>
        <v>0.9642857142857143</v>
      </c>
      <c r="AY37" s="758">
        <f t="shared" si="20"/>
        <v>32.604492473218123</v>
      </c>
      <c r="AZ37" s="735">
        <f t="shared" si="26"/>
        <v>32.555261713210655</v>
      </c>
      <c r="BA37" s="633">
        <f t="shared" si="21"/>
        <v>0.98236075996459005</v>
      </c>
      <c r="BC37" s="11">
        <v>43123</v>
      </c>
      <c r="BD37" s="289">
        <f>[3]!FeuilCaduc*(1-Persistant)+Persistant</f>
        <v>0.80013572423122303</v>
      </c>
      <c r="BE37" s="290">
        <f>[3]!CroissVégét</f>
        <v>2.045318545083899E-3</v>
      </c>
      <c r="BF37" s="804">
        <f>1+[3]!Salcycl*Ksac</f>
        <v>1.0000339310578057</v>
      </c>
      <c r="BH37" s="1037">
        <f t="shared" si="22"/>
        <v>0.1526177290031201</v>
      </c>
      <c r="BI37" s="11">
        <v>44219</v>
      </c>
      <c r="BJ37" s="715">
        <v>1.5828673777136832E-3</v>
      </c>
      <c r="BK37" s="715">
        <v>1.1415155449696374E-2</v>
      </c>
      <c r="BL37" s="715">
        <v>4.3191093345827443E-2</v>
      </c>
      <c r="BM37" s="715">
        <v>9.5480390900740675E-2</v>
      </c>
      <c r="BN37" s="715">
        <v>0.16699707485282428</v>
      </c>
      <c r="BO37" s="716">
        <v>0.2486144041789082</v>
      </c>
      <c r="BP37" s="715">
        <v>0.34829642800962146</v>
      </c>
      <c r="BQ37" s="715">
        <v>0.51449464972901859</v>
      </c>
      <c r="BR37" s="715">
        <v>0.77093149733844557</v>
      </c>
      <c r="BS37" s="715">
        <v>1.0749324304374643</v>
      </c>
      <c r="BT37" s="715">
        <v>1.3741448645684275</v>
      </c>
      <c r="BW37" s="1185">
        <f>'2019'!R\Max</f>
        <v>0</v>
      </c>
      <c r="BX37" s="1185">
        <f>'2020'!R\Max</f>
        <v>0.4107656431363379</v>
      </c>
      <c r="BY37" s="1185">
        <f>'2021'!R\Max</f>
        <v>0.30916676614970207</v>
      </c>
      <c r="BZ37" s="1185">
        <f>'2022'!R\Max</f>
        <v>0.98236075996459005</v>
      </c>
      <c r="CA37" s="1185">
        <f>'2023'!R\Max</f>
        <v>0.9822106844601225</v>
      </c>
      <c r="CB37" s="1185">
        <f>'2024'!R\Max</f>
        <v>0.98205420807717059</v>
      </c>
      <c r="CC37" s="1185">
        <f>'2025'!R\Max</f>
        <v>0.98185972992457704</v>
      </c>
      <c r="CD37" s="1185">
        <f>'2026'!R\Max</f>
        <v>0.98159043112210975</v>
      </c>
      <c r="CE37" s="1186">
        <f>'2027'!R\Max</f>
        <v>0.98259625973052767</v>
      </c>
      <c r="CF37" s="1187">
        <f>'2028'!R\Max</f>
        <v>0.98247215050749359</v>
      </c>
    </row>
    <row r="38" spans="1:84" s="6" customFormat="1" ht="11.25" x14ac:dyDescent="0.2">
      <c r="A38" s="11">
        <v>43124</v>
      </c>
      <c r="B38" s="379">
        <f>'2022'!Maxi_hp</f>
        <v>32.62802258873004</v>
      </c>
      <c r="C38" s="13">
        <f>'2022'!An_max</f>
        <v>2022</v>
      </c>
      <c r="D38" s="1046">
        <f t="shared" si="7"/>
        <v>0.98937297703022298</v>
      </c>
      <c r="E38" s="13"/>
      <c r="F38" s="13">
        <f t="shared" si="23"/>
        <v>3</v>
      </c>
      <c r="G38" s="13">
        <f t="shared" si="24"/>
        <v>4</v>
      </c>
      <c r="H38" s="173">
        <f t="shared" si="8"/>
        <v>43122</v>
      </c>
      <c r="I38" s="742">
        <f t="shared" si="9"/>
        <v>0.14285714285714285</v>
      </c>
      <c r="J38" s="735">
        <f t="shared" si="27"/>
        <v>32.978485713920335</v>
      </c>
      <c r="L38" s="745" t="s">
        <v>217</v>
      </c>
      <c r="M38" s="729">
        <f t="shared" ref="M38:AA38" si="45">(y.1lg-y.2lg-b.lg*(x.1lg-x.2lg))/D2x12Lg</f>
        <v>5.0726557773740542E-2</v>
      </c>
      <c r="N38" s="729">
        <f t="shared" si="45"/>
        <v>4.8299758015733468E-2</v>
      </c>
      <c r="O38" s="729">
        <f t="shared" si="45"/>
        <v>3.8035714285708775E-3</v>
      </c>
      <c r="P38" s="729">
        <f t="shared" si="45"/>
        <v>-5.705357142857229E-3</v>
      </c>
      <c r="Q38" s="729">
        <f t="shared" si="45"/>
        <v>-2.7892857142860456E-2</v>
      </c>
      <c r="R38" s="729">
        <f t="shared" si="45"/>
        <v>-2.0285714285712964E-2</v>
      </c>
      <c r="S38" s="729">
        <f t="shared" si="45"/>
        <v>-1.5214285714285916E-2</v>
      </c>
      <c r="T38" s="729">
        <f t="shared" si="45"/>
        <v>-1.3312500000000707E-2</v>
      </c>
      <c r="U38" s="729">
        <f t="shared" si="45"/>
        <v>-5.0714285714291724E-3</v>
      </c>
      <c r="V38" s="729">
        <f t="shared" si="45"/>
        <v>-1.0142857142858669E-2</v>
      </c>
      <c r="W38" s="729">
        <f t="shared" si="45"/>
        <v>-1.4580357142857664E-2</v>
      </c>
      <c r="X38" s="729">
        <f t="shared" si="45"/>
        <v>-6.3392857142869448E-4</v>
      </c>
      <c r="Y38" s="729">
        <f t="shared" si="45"/>
        <v>8.2410714285706763E-3</v>
      </c>
      <c r="Z38" s="729">
        <f t="shared" si="45"/>
        <v>5.072655777374984E-2</v>
      </c>
      <c r="AA38" s="729">
        <f t="shared" si="45"/>
        <v>4.8299758015724767E-2</v>
      </c>
      <c r="AO38" s="1039">
        <v>43124</v>
      </c>
      <c r="AP38" s="13">
        <f t="shared" si="11"/>
        <v>3</v>
      </c>
      <c r="AQ38" s="13">
        <f t="shared" si="12"/>
        <v>2</v>
      </c>
      <c r="AR38" s="173">
        <f t="shared" si="13"/>
        <v>43136</v>
      </c>
      <c r="AS38" s="742">
        <f t="shared" si="14"/>
        <v>0.42857142857142855</v>
      </c>
      <c r="AT38" s="758">
        <f t="shared" si="15"/>
        <v>32.874031378541673</v>
      </c>
      <c r="AU38" s="13">
        <f t="shared" si="16"/>
        <v>3</v>
      </c>
      <c r="AV38" s="13">
        <f t="shared" si="17"/>
        <v>2</v>
      </c>
      <c r="AW38" s="173">
        <f t="shared" si="18"/>
        <v>43150</v>
      </c>
      <c r="AX38" s="742">
        <f t="shared" si="19"/>
        <v>0.9285714285714286</v>
      </c>
      <c r="AY38" s="758">
        <f t="shared" si="20"/>
        <v>32.912422271172645</v>
      </c>
      <c r="AZ38" s="735">
        <f t="shared" si="26"/>
        <v>32.893226824857159</v>
      </c>
      <c r="BA38" s="633">
        <f t="shared" si="21"/>
        <v>0.98937297703022298</v>
      </c>
      <c r="BC38" s="11">
        <v>43124</v>
      </c>
      <c r="BD38" s="289">
        <f>[3]!FeuilCaduc*(1-Persistant)+Persistant</f>
        <v>0.80009806282804263</v>
      </c>
      <c r="BE38" s="290">
        <f>[3]!CroissVégét</f>
        <v>2.1890219655428525E-3</v>
      </c>
      <c r="BF38" s="804">
        <f>1+[3]!Salcycl*Ksac</f>
        <v>1.0000245157070107</v>
      </c>
      <c r="BH38" s="1037">
        <f t="shared" si="22"/>
        <v>0.15159098671721846</v>
      </c>
      <c r="BI38" s="11">
        <v>44220</v>
      </c>
      <c r="BJ38" s="715">
        <v>1.5379180766559735E-3</v>
      </c>
      <c r="BK38" s="715">
        <v>1.0749986663678527E-2</v>
      </c>
      <c r="BL38" s="715">
        <v>4.174776502572719E-2</v>
      </c>
      <c r="BM38" s="715">
        <v>9.3985310763579327E-2</v>
      </c>
      <c r="BN38" s="715">
        <v>0.16608819580944373</v>
      </c>
      <c r="BO38" s="716">
        <v>0.24909288217476006</v>
      </c>
      <c r="BP38" s="715">
        <v>0.34902114025896047</v>
      </c>
      <c r="BQ38" s="715">
        <v>0.51082951565775336</v>
      </c>
      <c r="BR38" s="715">
        <v>0.76443512191038443</v>
      </c>
      <c r="BS38" s="715">
        <v>1.0677225203180027</v>
      </c>
      <c r="BT38" s="715">
        <v>1.3723142990543031</v>
      </c>
      <c r="BW38" s="1185">
        <f>'2019'!R\Max</f>
        <v>0</v>
      </c>
      <c r="BX38" s="1185">
        <f>'2020'!R\Max</f>
        <v>0.51392216425806247</v>
      </c>
      <c r="BY38" s="1185">
        <f>'2021'!R\Max</f>
        <v>0.5290701345471347</v>
      </c>
      <c r="BZ38" s="1185">
        <f>'2022'!R\Max</f>
        <v>0.98937297703022298</v>
      </c>
      <c r="CA38" s="1185">
        <f>'2023'!R\Max</f>
        <v>0.98928244992113346</v>
      </c>
      <c r="CB38" s="1185">
        <f>'2024'!R\Max</f>
        <v>0.98918824623478874</v>
      </c>
      <c r="CC38" s="1185">
        <f>'2025'!R\Max</f>
        <v>0.98907271699520016</v>
      </c>
      <c r="CD38" s="1185">
        <f>'2026'!R\Max</f>
        <v>0.98891532959889228</v>
      </c>
      <c r="CE38" s="1186">
        <f>'2027'!R\Max</f>
        <v>0.98951677797730242</v>
      </c>
      <c r="CF38" s="1187">
        <f>'2028'!R\Max</f>
        <v>0.98944099998768453</v>
      </c>
    </row>
    <row r="39" spans="1:84" s="6" customFormat="1" ht="11.25" x14ac:dyDescent="0.2">
      <c r="A39" s="11">
        <v>43125</v>
      </c>
      <c r="B39" s="379">
        <f>'2022'!Maxi_hp</f>
        <v>30.431174944513202</v>
      </c>
      <c r="C39" s="13">
        <f>'2022'!An_max</f>
        <v>2022</v>
      </c>
      <c r="D39" s="1046" t="str">
        <f t="shared" si="7"/>
        <v/>
      </c>
      <c r="E39" s="13"/>
      <c r="F39" s="13">
        <f t="shared" si="23"/>
        <v>3</v>
      </c>
      <c r="G39" s="13">
        <f t="shared" si="24"/>
        <v>4</v>
      </c>
      <c r="H39" s="173">
        <f t="shared" si="8"/>
        <v>43122</v>
      </c>
      <c r="I39" s="742">
        <f t="shared" si="9"/>
        <v>0.21428571428571427</v>
      </c>
      <c r="J39" s="735">
        <f t="shared" si="27"/>
        <v>33.323976785173627</v>
      </c>
      <c r="L39" s="745" t="s">
        <v>218</v>
      </c>
      <c r="M39" s="729">
        <f t="shared" ref="M39:AA39" si="46">(y.2lg-y.3lg-(y.1lg-y.2lg)*D2x23Lg/D2x12Lg)/(x.2lg-x.3lg)/(1-(x.2lg+x.3lg)/(x.1lg+x.2lg))</f>
        <v>-4371.4214210522732</v>
      </c>
      <c r="N39" s="729">
        <f t="shared" si="46"/>
        <v>-4162.2628303089168</v>
      </c>
      <c r="O39" s="729">
        <f t="shared" si="46"/>
        <v>-324.73371428566679</v>
      </c>
      <c r="P39" s="729">
        <f t="shared" si="46"/>
        <v>495.88682142857891</v>
      </c>
      <c r="Q39" s="729">
        <f t="shared" si="46"/>
        <v>2411.9105714288576</v>
      </c>
      <c r="R39" s="729">
        <f t="shared" si="46"/>
        <v>1754.5621428570287</v>
      </c>
      <c r="S39" s="729">
        <f t="shared" si="46"/>
        <v>1316.0458571428746</v>
      </c>
      <c r="T39" s="729">
        <f t="shared" si="46"/>
        <v>1151.4957500000612</v>
      </c>
      <c r="U39" s="729">
        <f t="shared" si="46"/>
        <v>437.98378571433778</v>
      </c>
      <c r="V39" s="729">
        <f t="shared" si="46"/>
        <v>877.35207142870365</v>
      </c>
      <c r="W39" s="729">
        <f t="shared" si="46"/>
        <v>1262.0478214286165</v>
      </c>
      <c r="X39" s="729">
        <f t="shared" si="46"/>
        <v>52.223035714296387</v>
      </c>
      <c r="Y39" s="729">
        <f t="shared" si="46"/>
        <v>-718.16246428564909</v>
      </c>
      <c r="Z39" s="729">
        <f t="shared" si="46"/>
        <v>-4408.451808227911</v>
      </c>
      <c r="AA39" s="729">
        <f t="shared" si="46"/>
        <v>-4197.5216536596463</v>
      </c>
      <c r="AO39" s="1039">
        <v>43125</v>
      </c>
      <c r="AP39" s="13">
        <f t="shared" si="11"/>
        <v>3</v>
      </c>
      <c r="AQ39" s="13">
        <f t="shared" si="12"/>
        <v>2</v>
      </c>
      <c r="AR39" s="173">
        <f t="shared" si="13"/>
        <v>43136</v>
      </c>
      <c r="AS39" s="742">
        <f t="shared" si="14"/>
        <v>0.39285714285714285</v>
      </c>
      <c r="AT39" s="758">
        <f t="shared" si="15"/>
        <v>33.245335156939532</v>
      </c>
      <c r="AU39" s="13">
        <f t="shared" si="16"/>
        <v>3</v>
      </c>
      <c r="AV39" s="13">
        <f t="shared" si="17"/>
        <v>2</v>
      </c>
      <c r="AW39" s="173">
        <f t="shared" si="18"/>
        <v>43150</v>
      </c>
      <c r="AX39" s="742">
        <f t="shared" si="19"/>
        <v>0.8928571428571429</v>
      </c>
      <c r="AY39" s="758">
        <f t="shared" si="20"/>
        <v>33.228290275444415</v>
      </c>
      <c r="AZ39" s="735">
        <f t="shared" si="26"/>
        <v>33.236812716191977</v>
      </c>
      <c r="BA39" s="633">
        <f t="shared" si="21"/>
        <v>0.91319157796474404</v>
      </c>
      <c r="BC39" s="11">
        <v>43125</v>
      </c>
      <c r="BD39" s="289">
        <f>[3]!FeuilCaduc*(1-Persistant)+Persistant</f>
        <v>0.80006652073284723</v>
      </c>
      <c r="BE39" s="290">
        <f>[3]!CroissVégét</f>
        <v>2.3387100283593187E-3</v>
      </c>
      <c r="BF39" s="804">
        <f>1+[3]!Salcycl*Ksac</f>
        <v>1.0000166301832119</v>
      </c>
      <c r="BH39" s="1037">
        <f t="shared" si="22"/>
        <v>0.15025976743753905</v>
      </c>
      <c r="BI39" s="11">
        <v>44221</v>
      </c>
      <c r="BJ39" s="715">
        <v>1.4932462996040355E-3</v>
      </c>
      <c r="BK39" s="715">
        <v>1.0107654471746472E-2</v>
      </c>
      <c r="BL39" s="715">
        <v>4.0218461640453604E-2</v>
      </c>
      <c r="BM39" s="715">
        <v>9.226765354193095E-2</v>
      </c>
      <c r="BN39" s="715">
        <v>0.16485422860697982</v>
      </c>
      <c r="BO39" s="716">
        <v>0.24927887083969782</v>
      </c>
      <c r="BP39" s="715">
        <v>0.34967575400475276</v>
      </c>
      <c r="BQ39" s="715">
        <v>0.50737183143751474</v>
      </c>
      <c r="BR39" s="715">
        <v>0.75791139253555373</v>
      </c>
      <c r="BS39" s="715">
        <v>1.0602732508564228</v>
      </c>
      <c r="BT39" s="715">
        <v>1.3701092127833376</v>
      </c>
      <c r="BW39" s="1185">
        <f>'2019'!R\Max</f>
        <v>0</v>
      </c>
      <c r="BX39" s="1185">
        <f>'2020'!R\Max</f>
        <v>0.50821189911474707</v>
      </c>
      <c r="BY39" s="1185">
        <f>'2021'!R\Max</f>
        <v>0.2169079044100328</v>
      </c>
      <c r="BZ39" s="1185">
        <f>'2022'!R\Max</f>
        <v>0.91319157796474404</v>
      </c>
      <c r="CA39" s="1185">
        <f>'2023'!R\Max</f>
        <v>0.91251222938803966</v>
      </c>
      <c r="CB39" s="1185">
        <f>'2024'!R\Max</f>
        <v>0.9118074894784024</v>
      </c>
      <c r="CC39" s="1185">
        <f>'2025'!R\Max</f>
        <v>0.91095632078143673</v>
      </c>
      <c r="CD39" s="1185">
        <f>'2026'!R\Max</f>
        <v>0.90981885548110619</v>
      </c>
      <c r="CE39" s="1186">
        <f>'2027'!R\Max</f>
        <v>0.91428398272516143</v>
      </c>
      <c r="CF39" s="1187">
        <f>'2028'!R\Max</f>
        <v>0.91370805555232981</v>
      </c>
    </row>
    <row r="40" spans="1:84" s="6" customFormat="1" ht="11.25" x14ac:dyDescent="0.2">
      <c r="A40" s="11">
        <v>43126</v>
      </c>
      <c r="B40" s="379">
        <f>'2022'!Maxi_hp</f>
        <v>32.823520357866578</v>
      </c>
      <c r="C40" s="13">
        <f>'2022'!An_max</f>
        <v>2022</v>
      </c>
      <c r="D40" s="1046">
        <f t="shared" si="7"/>
        <v>0.97473545947445006</v>
      </c>
      <c r="E40" s="13"/>
      <c r="F40" s="13">
        <f t="shared" si="23"/>
        <v>3</v>
      </c>
      <c r="G40" s="13">
        <f t="shared" si="24"/>
        <v>4</v>
      </c>
      <c r="H40" s="173">
        <f t="shared" si="8"/>
        <v>43122</v>
      </c>
      <c r="I40" s="742">
        <f t="shared" si="9"/>
        <v>0.2857142857142857</v>
      </c>
      <c r="J40" s="735">
        <f t="shared" si="27"/>
        <v>33.674285713955761</v>
      </c>
      <c r="L40" s="745" t="s">
        <v>219</v>
      </c>
      <c r="M40" s="729">
        <f t="shared" ref="M40:AA40" si="47">(y.1lg+y.2lg+y.3lg-a.lg*(x.3lg*x.3lg+x.2lg*x.2lg+x.1lg*x.1lg)-b.lg*(x.3lg+x.2lg+x.1lg))/3</f>
        <v>94178369.659902766</v>
      </c>
      <c r="N40" s="729">
        <f t="shared" si="47"/>
        <v>89671682.30503796</v>
      </c>
      <c r="O40" s="729">
        <f t="shared" si="47"/>
        <v>6930725.7557132645</v>
      </c>
      <c r="P40" s="729">
        <f t="shared" si="47"/>
        <v>-10774160.438571593</v>
      </c>
      <c r="Q40" s="729">
        <f t="shared" si="47"/>
        <v>-52139192.828577608</v>
      </c>
      <c r="R40" s="729">
        <f t="shared" si="47"/>
        <v>-37938496.217140391</v>
      </c>
      <c r="S40" s="729">
        <f t="shared" si="47"/>
        <v>-28459090.662857518</v>
      </c>
      <c r="T40" s="729">
        <f t="shared" si="47"/>
        <v>-24899707.66800132</v>
      </c>
      <c r="U40" s="729">
        <f t="shared" si="47"/>
        <v>-9455742.8162868414</v>
      </c>
      <c r="V40" s="729">
        <f t="shared" si="47"/>
        <v>-18972019.522574294</v>
      </c>
      <c r="W40" s="729">
        <f t="shared" si="47"/>
        <v>-27309529.642572403</v>
      </c>
      <c r="X40" s="729">
        <f t="shared" si="47"/>
        <v>-1072062.2482859457</v>
      </c>
      <c r="Y40" s="729">
        <f t="shared" si="47"/>
        <v>15646071.747712873</v>
      </c>
      <c r="Z40" s="729">
        <f t="shared" si="47"/>
        <v>95780696.524263784</v>
      </c>
      <c r="AA40" s="729">
        <f t="shared" si="47"/>
        <v>91197342.97334595</v>
      </c>
      <c r="AB40" s="7"/>
      <c r="AC40" s="7"/>
      <c r="AD40" s="7"/>
      <c r="AE40" s="7"/>
      <c r="AF40" s="7"/>
      <c r="AH40" s="7"/>
      <c r="AI40" s="74"/>
      <c r="AO40" s="1039">
        <v>43126</v>
      </c>
      <c r="AP40" s="13">
        <f t="shared" si="11"/>
        <v>3</v>
      </c>
      <c r="AQ40" s="13">
        <f t="shared" si="12"/>
        <v>2</v>
      </c>
      <c r="AR40" s="173">
        <f t="shared" si="13"/>
        <v>43136</v>
      </c>
      <c r="AS40" s="742">
        <f t="shared" si="14"/>
        <v>0.35714285714285715</v>
      </c>
      <c r="AT40" s="758">
        <f t="shared" si="15"/>
        <v>33.618988799277155</v>
      </c>
      <c r="AU40" s="13">
        <f t="shared" si="16"/>
        <v>3</v>
      </c>
      <c r="AV40" s="13">
        <f t="shared" si="17"/>
        <v>2</v>
      </c>
      <c r="AW40" s="173">
        <f t="shared" si="18"/>
        <v>43150</v>
      </c>
      <c r="AX40" s="742">
        <f t="shared" si="19"/>
        <v>0.8571428571428571</v>
      </c>
      <c r="AY40" s="758">
        <f t="shared" si="20"/>
        <v>33.551597377491582</v>
      </c>
      <c r="AZ40" s="735">
        <f t="shared" si="26"/>
        <v>33.585293088384368</v>
      </c>
      <c r="BA40" s="633">
        <f t="shared" si="21"/>
        <v>0.97473545947445006</v>
      </c>
      <c r="BC40" s="11">
        <v>43126</v>
      </c>
      <c r="BD40" s="289">
        <f>[3]!FeuilCaduc*(1-Persistant)+Persistant</f>
        <v>0.80004119947162011</v>
      </c>
      <c r="BE40" s="290">
        <f>[3]!CroissVégét</f>
        <v>2.4946300531446561E-3</v>
      </c>
      <c r="BF40" s="804">
        <f>1+[3]!Salcycl*Ksac</f>
        <v>1.000010299867905</v>
      </c>
      <c r="BH40" s="1037">
        <f t="shared" si="22"/>
        <v>0.14862427260395855</v>
      </c>
      <c r="BI40" s="11">
        <v>44222</v>
      </c>
      <c r="BJ40" s="715">
        <v>1.4488567467527171E-3</v>
      </c>
      <c r="BK40" s="715">
        <v>9.4882164723850658E-3</v>
      </c>
      <c r="BL40" s="715">
        <v>3.8603308426062674E-2</v>
      </c>
      <c r="BM40" s="715">
        <v>9.0327590271903915E-2</v>
      </c>
      <c r="BN40" s="715">
        <v>0.16329538233680843</v>
      </c>
      <c r="BO40" s="716">
        <v>0.2491726055311376</v>
      </c>
      <c r="BP40" s="715">
        <v>0.35026065327736799</v>
      </c>
      <c r="BQ40" s="715">
        <v>0.50412249717240676</v>
      </c>
      <c r="BR40" s="715">
        <v>0.75136166009778649</v>
      </c>
      <c r="BS40" s="715">
        <v>1.0525863622166909</v>
      </c>
      <c r="BT40" s="715">
        <v>1.3675313817347055</v>
      </c>
      <c r="BW40" s="1185">
        <f>'2019'!R\Max</f>
        <v>0</v>
      </c>
      <c r="BX40" s="1185">
        <f>'2020'!R\Max</f>
        <v>0.21364196477821534</v>
      </c>
      <c r="BY40" s="1185">
        <f>'2021'!R\Max</f>
        <v>0.68043309594570511</v>
      </c>
      <c r="BZ40" s="1185">
        <f>'2022'!R\Max</f>
        <v>0.97473545947445006</v>
      </c>
      <c r="CA40" s="1185">
        <f>'2023'!R\Max</f>
        <v>0.97452476086970963</v>
      </c>
      <c r="CB40" s="1185">
        <f>'2024'!R\Max</f>
        <v>0.97430627618914389</v>
      </c>
      <c r="CC40" s="1185">
        <f>'2025'!R\Max</f>
        <v>0.97404574719537029</v>
      </c>
      <c r="CD40" s="1185">
        <f>'2026'!R\Max</f>
        <v>0.97370329832715818</v>
      </c>
      <c r="CE40" s="1186">
        <f>'2027'!R\Max</f>
        <v>0.97507675736410626</v>
      </c>
      <c r="CF40" s="1187">
        <f>'2028'!R\Max</f>
        <v>0.97489689897911846</v>
      </c>
    </row>
    <row r="41" spans="1:84" s="6" customFormat="1" ht="11.25" x14ac:dyDescent="0.2">
      <c r="A41" s="11">
        <v>43127</v>
      </c>
      <c r="B41" s="379">
        <f>'2022'!Maxi_hp</f>
        <v>32.588540192320359</v>
      </c>
      <c r="C41" s="13">
        <f>'2022'!An_max</f>
        <v>2022</v>
      </c>
      <c r="D41" s="1046" t="str">
        <f t="shared" si="7"/>
        <v/>
      </c>
      <c r="E41" s="13"/>
      <c r="F41" s="13">
        <f t="shared" si="23"/>
        <v>3</v>
      </c>
      <c r="G41" s="13">
        <f t="shared" si="24"/>
        <v>4</v>
      </c>
      <c r="H41" s="173">
        <f t="shared" si="8"/>
        <v>43122</v>
      </c>
      <c r="I41" s="742">
        <f t="shared" si="9"/>
        <v>0.35714285714285715</v>
      </c>
      <c r="J41" s="735">
        <f t="shared" si="27"/>
        <v>34.028651785398793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39">
        <v>43127</v>
      </c>
      <c r="AP41" s="13">
        <f t="shared" si="11"/>
        <v>3</v>
      </c>
      <c r="AQ41" s="13">
        <f t="shared" si="12"/>
        <v>2</v>
      </c>
      <c r="AR41" s="173">
        <f t="shared" si="13"/>
        <v>43136</v>
      </c>
      <c r="AS41" s="742">
        <f t="shared" si="14"/>
        <v>0.32142857142857145</v>
      </c>
      <c r="AT41" s="758">
        <f t="shared" si="15"/>
        <v>33.994038817356341</v>
      </c>
      <c r="AU41" s="13">
        <f t="shared" si="16"/>
        <v>3</v>
      </c>
      <c r="AV41" s="13">
        <f t="shared" si="17"/>
        <v>2</v>
      </c>
      <c r="AW41" s="173">
        <f t="shared" si="18"/>
        <v>43150</v>
      </c>
      <c r="AX41" s="742">
        <f t="shared" si="19"/>
        <v>0.8214285714285714</v>
      </c>
      <c r="AY41" s="758">
        <f t="shared" si="20"/>
        <v>33.881844459344372</v>
      </c>
      <c r="AZ41" s="735">
        <f t="shared" si="26"/>
        <v>33.937941638350352</v>
      </c>
      <c r="BA41" s="633">
        <f t="shared" si="21"/>
        <v>0.95767944019173967</v>
      </c>
      <c r="BC41" s="11">
        <v>43127</v>
      </c>
      <c r="BD41" s="289">
        <f>[3]!FeuilCaduc*(1-Persistant)+Persistant</f>
        <v>0.80002216707577067</v>
      </c>
      <c r="BE41" s="290">
        <f>[3]!CroissVégét</f>
        <v>2.6570394167881404E-3</v>
      </c>
      <c r="BF41" s="804">
        <f>1+[3]!Salcycl*Ksac</f>
        <v>1.0000055417689426</v>
      </c>
      <c r="BH41" s="1037">
        <f t="shared" si="22"/>
        <v>0.1466847317981369</v>
      </c>
      <c r="BI41" s="11">
        <v>44223</v>
      </c>
      <c r="BJ41" s="715">
        <v>1.4047538575502566E-3</v>
      </c>
      <c r="BK41" s="715">
        <v>8.8917243647670969E-3</v>
      </c>
      <c r="BL41" s="715">
        <v>3.6902432776565373E-2</v>
      </c>
      <c r="BM41" s="715">
        <v>8.8165308870556319E-2</v>
      </c>
      <c r="BN41" s="715">
        <v>0.16141189706602238</v>
      </c>
      <c r="BO41" s="716">
        <v>0.24877435570499407</v>
      </c>
      <c r="BP41" s="715">
        <v>0.35077623253084855</v>
      </c>
      <c r="BQ41" s="715">
        <v>0.50108237015453005</v>
      </c>
      <c r="BR41" s="715">
        <v>0.74478724374729532</v>
      </c>
      <c r="BS41" s="715">
        <v>1.0446635818764012</v>
      </c>
      <c r="BT41" s="715">
        <v>1.3645826103270071</v>
      </c>
      <c r="BW41" s="1185">
        <f>'2019'!R\Max</f>
        <v>0</v>
      </c>
      <c r="BX41" s="1185">
        <f>'2020'!R\Max</f>
        <v>0.36068852626352854</v>
      </c>
      <c r="BY41" s="1185">
        <f>'2021'!R\Max</f>
        <v>0.16215504874592238</v>
      </c>
      <c r="BZ41" s="1185">
        <f>'2022'!R\Max</f>
        <v>0.95767944019173967</v>
      </c>
      <c r="CA41" s="1185">
        <f>'2023'!R\Max</f>
        <v>0.95733282482748749</v>
      </c>
      <c r="CB41" s="1185">
        <f>'2024'!R\Max</f>
        <v>0.95697393119037</v>
      </c>
      <c r="CC41" s="1185">
        <f>'2025'!R\Max</f>
        <v>0.95655211143323005</v>
      </c>
      <c r="CD41" s="1185">
        <f>'2026'!R\Max</f>
        <v>0.95600820240895601</v>
      </c>
      <c r="CE41" s="1186">
        <f>'2027'!R\Max</f>
        <v>0.9582450148742</v>
      </c>
      <c r="CF41" s="1187">
        <f>'2028'!R\Max</f>
        <v>0.95794694169980821</v>
      </c>
    </row>
    <row r="42" spans="1:84" s="6" customFormat="1" ht="11.25" x14ac:dyDescent="0.2">
      <c r="A42" s="11">
        <v>43128</v>
      </c>
      <c r="B42" s="379">
        <f>'2022'!Maxi_hp</f>
        <v>18.718380052919283</v>
      </c>
      <c r="C42" s="13">
        <f>'2022'!An_max</f>
        <v>2021</v>
      </c>
      <c r="D42" s="1046" t="str">
        <f t="shared" si="7"/>
        <v/>
      </c>
      <c r="E42" s="13"/>
      <c r="F42" s="13">
        <f t="shared" si="23"/>
        <v>3</v>
      </c>
      <c r="G42" s="13">
        <f t="shared" si="24"/>
        <v>4</v>
      </c>
      <c r="H42" s="173">
        <f t="shared" si="8"/>
        <v>43122</v>
      </c>
      <c r="I42" s="742">
        <f t="shared" si="9"/>
        <v>0.42857142857142855</v>
      </c>
      <c r="J42" s="735">
        <f t="shared" si="27"/>
        <v>34.386314285482925</v>
      </c>
      <c r="M42" s="6" t="s">
        <v>229</v>
      </c>
      <c r="AC42" s="7"/>
      <c r="AD42" s="7"/>
      <c r="AE42" s="7"/>
      <c r="AF42" s="7"/>
      <c r="AH42" s="7"/>
      <c r="AI42" s="74"/>
      <c r="AO42" s="1039">
        <v>43128</v>
      </c>
      <c r="AP42" s="13">
        <f t="shared" si="11"/>
        <v>3</v>
      </c>
      <c r="AQ42" s="13">
        <f t="shared" si="12"/>
        <v>2</v>
      </c>
      <c r="AR42" s="173">
        <f t="shared" si="13"/>
        <v>43136</v>
      </c>
      <c r="AS42" s="742">
        <f t="shared" si="14"/>
        <v>0.2857142857142857</v>
      </c>
      <c r="AT42" s="758">
        <f t="shared" si="15"/>
        <v>34.369531718535079</v>
      </c>
      <c r="AU42" s="13">
        <f t="shared" si="16"/>
        <v>3</v>
      </c>
      <c r="AV42" s="13">
        <f t="shared" si="17"/>
        <v>2</v>
      </c>
      <c r="AW42" s="173">
        <f t="shared" si="18"/>
        <v>43150</v>
      </c>
      <c r="AX42" s="742">
        <f t="shared" si="19"/>
        <v>0.7857142857142857</v>
      </c>
      <c r="AY42" s="758">
        <f t="shared" si="20"/>
        <v>34.218532408933548</v>
      </c>
      <c r="AZ42" s="735">
        <f t="shared" si="26"/>
        <v>34.294032063734313</v>
      </c>
      <c r="BA42" s="633">
        <f t="shared" si="21"/>
        <v>0.54435552172050417</v>
      </c>
      <c r="BC42" s="11">
        <v>43128</v>
      </c>
      <c r="BD42" s="289">
        <f>[3]!FeuilCaduc*(1-Persistant)+Persistant</f>
        <v>0.80000945457800687</v>
      </c>
      <c r="BE42" s="290">
        <f>[3]!CroissVégét</f>
        <v>2.826205948480045E-3</v>
      </c>
      <c r="BF42" s="804">
        <f>1+[3]!Salcycl*Ksac</f>
        <v>1.0000023636445017</v>
      </c>
      <c r="BH42" s="1037">
        <f t="shared" si="22"/>
        <v>0.14444139897722455</v>
      </c>
      <c r="BI42" s="11">
        <v>44224</v>
      </c>
      <c r="BJ42" s="715">
        <v>1.360941814653998E-3</v>
      </c>
      <c r="BK42" s="715">
        <v>8.3182242384337891E-3</v>
      </c>
      <c r="BL42" s="715">
        <v>3.5115963182695213E-2</v>
      </c>
      <c r="BM42" s="715">
        <v>8.5781011380065733E-2</v>
      </c>
      <c r="BN42" s="715">
        <v>0.15920403981684247</v>
      </c>
      <c r="BO42" s="716">
        <v>0.24808442132055347</v>
      </c>
      <c r="BP42" s="715">
        <v>0.35122289585289879</v>
      </c>
      <c r="BQ42" s="715">
        <v>0.49825226759443059</v>
      </c>
      <c r="BR42" s="715">
        <v>0.73818943076558474</v>
      </c>
      <c r="BS42" s="715">
        <v>1.0365066219190897</v>
      </c>
      <c r="BT42" s="715">
        <v>1.3612647270857423</v>
      </c>
      <c r="BW42" s="1185">
        <f>'2019'!R\Max</f>
        <v>0</v>
      </c>
      <c r="BX42" s="1185">
        <f>'2020'!R\Max</f>
        <v>0.49172967871299295</v>
      </c>
      <c r="BY42" s="1185">
        <f>'2021'!R\Max</f>
        <v>0.54435552172050417</v>
      </c>
      <c r="BZ42" s="1185">
        <f>'2022'!R\Max</f>
        <v>0.1275367221065179</v>
      </c>
      <c r="CA42" s="1185">
        <f>'2023'!R\Max</f>
        <v>0.12677167107917217</v>
      </c>
      <c r="CB42" s="1185">
        <f>'2024'!R\Max</f>
        <v>0.12598924210322668</v>
      </c>
      <c r="CC42" s="1185">
        <f>'2025'!R\Max</f>
        <v>0.12509382551404388</v>
      </c>
      <c r="CD42" s="1185">
        <f>'2026'!R\Max</f>
        <v>0.12397843146456571</v>
      </c>
      <c r="CE42" s="1186">
        <f>'2027'!R\Max</f>
        <v>0.12881050547287509</v>
      </c>
      <c r="CF42" s="1187">
        <f>'2028'!R\Max</f>
        <v>0.1281362412257363</v>
      </c>
    </row>
    <row r="43" spans="1:84" s="6" customFormat="1" ht="11.25" x14ac:dyDescent="0.2">
      <c r="A43" s="11">
        <v>43129</v>
      </c>
      <c r="B43" s="379">
        <f>'2022'!Maxi_hp</f>
        <v>27.689355662253256</v>
      </c>
      <c r="C43" s="13">
        <f>'2022'!An_max</f>
        <v>2020</v>
      </c>
      <c r="D43" s="1046" t="str">
        <f t="shared" si="7"/>
        <v/>
      </c>
      <c r="E43" s="13"/>
      <c r="F43" s="13">
        <f t="shared" si="23"/>
        <v>3</v>
      </c>
      <c r="G43" s="13">
        <f t="shared" si="24"/>
        <v>4</v>
      </c>
      <c r="H43" s="173">
        <f t="shared" si="8"/>
        <v>43122</v>
      </c>
      <c r="I43" s="742">
        <f t="shared" si="9"/>
        <v>0.5</v>
      </c>
      <c r="J43" s="735">
        <f t="shared" si="27"/>
        <v>34.746512499712118</v>
      </c>
      <c r="L43" s="175">
        <f>M43-28</f>
        <v>43065</v>
      </c>
      <c r="M43" s="175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5">
        <f>AO12</f>
        <v>43487</v>
      </c>
      <c r="AB43" s="175">
        <f>AA43+28</f>
        <v>43515</v>
      </c>
      <c r="AC43" s="7"/>
      <c r="AD43" s="7"/>
      <c r="AE43" s="7"/>
      <c r="AF43" s="7"/>
      <c r="AH43" s="7"/>
      <c r="AI43" s="74"/>
      <c r="AO43" s="1039">
        <v>43129</v>
      </c>
      <c r="AP43" s="13">
        <f t="shared" si="11"/>
        <v>3</v>
      </c>
      <c r="AQ43" s="13">
        <f t="shared" si="12"/>
        <v>2</v>
      </c>
      <c r="AR43" s="173">
        <f t="shared" si="13"/>
        <v>43136</v>
      </c>
      <c r="AS43" s="742">
        <f t="shared" si="14"/>
        <v>0.25</v>
      </c>
      <c r="AT43" s="758">
        <f t="shared" si="15"/>
        <v>34.744514013896698</v>
      </c>
      <c r="AU43" s="13">
        <f t="shared" si="16"/>
        <v>3</v>
      </c>
      <c r="AV43" s="13">
        <f t="shared" si="17"/>
        <v>2</v>
      </c>
      <c r="AW43" s="173">
        <f t="shared" si="18"/>
        <v>43150</v>
      </c>
      <c r="AX43" s="742">
        <f t="shared" si="19"/>
        <v>0.75</v>
      </c>
      <c r="AY43" s="758">
        <f t="shared" si="20"/>
        <v>34.561162111116573</v>
      </c>
      <c r="AZ43" s="735">
        <f t="shared" si="26"/>
        <v>34.652838062506632</v>
      </c>
      <c r="BA43" s="633">
        <f t="shared" si="21"/>
        <v>0.79689596653715011</v>
      </c>
      <c r="BC43" s="11">
        <v>43129</v>
      </c>
      <c r="BD43" s="289">
        <f>[3]!FeuilCaduc*(1-Persistant)+Persistant</f>
        <v>0.80000305326353893</v>
      </c>
      <c r="BE43" s="290">
        <f>[3]!CroissVégét</f>
        <v>3.0024083390505912E-3</v>
      </c>
      <c r="BF43" s="804">
        <f>1+[3]!Salcycl*Ksac</f>
        <v>1.0000007633158847</v>
      </c>
      <c r="BH43" s="1037">
        <f t="shared" si="22"/>
        <v>0.14189454871076593</v>
      </c>
      <c r="BI43" s="11">
        <v>44225</v>
      </c>
      <c r="BJ43" s="715">
        <v>1.317424547917204E-3</v>
      </c>
      <c r="BK43" s="715">
        <v>7.7677568631780314E-3</v>
      </c>
      <c r="BL43" s="715">
        <v>3.3244028171501912E-2</v>
      </c>
      <c r="BM43" s="715">
        <v>8.317491121383834E-2</v>
      </c>
      <c r="BN43" s="715">
        <v>0.15667210054954189</v>
      </c>
      <c r="BO43" s="716">
        <v>0.24710312925072017</v>
      </c>
      <c r="BP43" s="715">
        <v>0.35160105618243231</v>
      </c>
      <c r="BQ43" s="715">
        <v>0.49563296936241685</v>
      </c>
      <c r="BR43" s="715">
        <v>0.73156947644655246</v>
      </c>
      <c r="BS43" s="715">
        <v>1.0281171763492243</v>
      </c>
      <c r="BT43" s="715">
        <v>1.3575795803402757</v>
      </c>
      <c r="BW43" s="1185">
        <f>'2019'!R\Max</f>
        <v>0</v>
      </c>
      <c r="BX43" s="1185">
        <f>'2020'!R\Max</f>
        <v>0.79689596653715011</v>
      </c>
      <c r="BY43" s="1185">
        <f>'2021'!R\Max</f>
        <v>0.4801775967728526</v>
      </c>
      <c r="BZ43" s="1185">
        <f>'2022'!R\Max</f>
        <v>0.19428894470874278</v>
      </c>
      <c r="CA43" s="1185">
        <f>'2023'!R\Max</f>
        <v>0.19311955577672207</v>
      </c>
      <c r="CB43" s="1185">
        <f>'2024'!R\Max</f>
        <v>0.19192434596109731</v>
      </c>
      <c r="CC43" s="1185">
        <f>'2025'!R\Max</f>
        <v>0.19057561624227148</v>
      </c>
      <c r="CD43" s="1185">
        <f>'2026'!R\Max</f>
        <v>0.18892823086869923</v>
      </c>
      <c r="CE43" s="1186">
        <f>'2027'!R\Max</f>
        <v>0.19624292144615241</v>
      </c>
      <c r="CF43" s="1187">
        <f>'2028'!R\Max</f>
        <v>0.19520860376814422</v>
      </c>
    </row>
    <row r="44" spans="1:84" s="6" customFormat="1" ht="11.25" x14ac:dyDescent="0.2">
      <c r="A44" s="11">
        <v>43130</v>
      </c>
      <c r="B44" s="379">
        <f>'2022'!Maxi_hp</f>
        <v>10.667841852164717</v>
      </c>
      <c r="C44" s="13">
        <f>'2022'!An_max</f>
        <v>2020</v>
      </c>
      <c r="D44" s="1046" t="str">
        <f t="shared" si="7"/>
        <v/>
      </c>
      <c r="E44" s="13"/>
      <c r="F44" s="13">
        <f t="shared" si="23"/>
        <v>3</v>
      </c>
      <c r="G44" s="13">
        <f t="shared" si="24"/>
        <v>4</v>
      </c>
      <c r="H44" s="173">
        <f t="shared" si="8"/>
        <v>43122</v>
      </c>
      <c r="I44" s="742">
        <f t="shared" si="9"/>
        <v>0.5714285714285714</v>
      </c>
      <c r="J44" s="735">
        <f t="shared" si="27"/>
        <v>35.108485714016879</v>
      </c>
      <c r="L44" s="763">
        <f>AK13</f>
        <v>294.22399999999999</v>
      </c>
      <c r="M44" s="763">
        <f>M13</f>
        <v>255.458</v>
      </c>
      <c r="N44" s="753">
        <f>O13</f>
        <v>323.05</v>
      </c>
      <c r="O44" s="753">
        <f>Q13</f>
        <v>422.45</v>
      </c>
      <c r="P44" s="753">
        <f>S13</f>
        <v>518.86800000000005</v>
      </c>
      <c r="Q44" s="753">
        <f>U13</f>
        <v>588.44799999999998</v>
      </c>
      <c r="R44" s="753">
        <f>W13</f>
        <v>616.28</v>
      </c>
      <c r="S44" s="753">
        <f>Y13</f>
        <v>618.26800000000003</v>
      </c>
      <c r="T44" s="753">
        <f>AA13</f>
        <v>596.4</v>
      </c>
      <c r="U44" s="753">
        <f>AC13</f>
        <v>560.61599999999999</v>
      </c>
      <c r="V44" s="753">
        <f>AE13</f>
        <v>516.88</v>
      </c>
      <c r="W44" s="753">
        <f>AG13</f>
        <v>449.28800000000001</v>
      </c>
      <c r="X44" s="753">
        <f>AI13</f>
        <v>367.78</v>
      </c>
      <c r="Y44" s="753">
        <f>AK13</f>
        <v>294.22399999999999</v>
      </c>
      <c r="Z44" s="753">
        <f>AM13</f>
        <v>255.458</v>
      </c>
      <c r="AA44" s="761">
        <f>AO13</f>
        <v>323.05</v>
      </c>
      <c r="AB44" s="761">
        <f>Q13</f>
        <v>422.45</v>
      </c>
      <c r="AD44" s="7"/>
      <c r="AE44" s="7"/>
      <c r="AF44" s="7"/>
      <c r="AH44" s="7"/>
      <c r="AI44" s="74"/>
      <c r="AO44" s="1039">
        <v>43130</v>
      </c>
      <c r="AP44" s="13">
        <f t="shared" si="11"/>
        <v>3</v>
      </c>
      <c r="AQ44" s="13">
        <f t="shared" si="12"/>
        <v>2</v>
      </c>
      <c r="AR44" s="173">
        <f t="shared" si="13"/>
        <v>43136</v>
      </c>
      <c r="AS44" s="742">
        <f t="shared" si="14"/>
        <v>0.21428571428571427</v>
      </c>
      <c r="AT44" s="758">
        <f t="shared" si="15"/>
        <v>35.118032215069981</v>
      </c>
      <c r="AU44" s="13">
        <f t="shared" si="16"/>
        <v>3</v>
      </c>
      <c r="AV44" s="13">
        <f t="shared" si="17"/>
        <v>2</v>
      </c>
      <c r="AW44" s="173">
        <f t="shared" si="18"/>
        <v>43150</v>
      </c>
      <c r="AX44" s="742">
        <f t="shared" si="19"/>
        <v>0.7142857142857143</v>
      </c>
      <c r="AY44" s="758">
        <f t="shared" si="20"/>
        <v>34.909234453059199</v>
      </c>
      <c r="AZ44" s="735">
        <f t="shared" si="26"/>
        <v>35.013633334064593</v>
      </c>
      <c r="BA44" s="633">
        <f t="shared" si="21"/>
        <v>0.30385365917122525</v>
      </c>
      <c r="BC44" s="11">
        <v>43130</v>
      </c>
      <c r="BD44" s="289">
        <f>[3]!FeuilCaduc*(1-Persistant)+Persistant</f>
        <v>0.80000291268890711</v>
      </c>
      <c r="BE44" s="290">
        <f>[3]!CroissVégét</f>
        <v>3.1859365650375344E-3</v>
      </c>
      <c r="BF44" s="804">
        <f>1+[3]!Salcycl*Ksac</f>
        <v>1.0000007281722267</v>
      </c>
      <c r="BH44" s="1037">
        <f t="shared" si="22"/>
        <v>0.13891148974623899</v>
      </c>
      <c r="BI44" s="11">
        <v>44226</v>
      </c>
      <c r="BJ44" s="715">
        <v>1.2755497354911829E-3</v>
      </c>
      <c r="BK44" s="715">
        <v>7.2556674123083354E-3</v>
      </c>
      <c r="BL44" s="715">
        <v>3.1343389394028066E-2</v>
      </c>
      <c r="BM44" s="715">
        <v>8.0321167594447865E-2</v>
      </c>
      <c r="BN44" s="715">
        <v>0.15365649771557427</v>
      </c>
      <c r="BO44" s="716">
        <v>0.24550212439458585</v>
      </c>
      <c r="BP44" s="715">
        <v>0.35158522045823459</v>
      </c>
      <c r="BQ44" s="715">
        <v>0.49309774521315652</v>
      </c>
      <c r="BR44" s="715">
        <v>0.72493756628063377</v>
      </c>
      <c r="BS44" s="715">
        <v>1.0193420178033807</v>
      </c>
      <c r="BT44" s="715">
        <v>1.3528064819038572</v>
      </c>
      <c r="BW44" s="1185">
        <f>'2019'!R\Max</f>
        <v>0</v>
      </c>
      <c r="BX44" s="1185">
        <f>'2020'!R\Max</f>
        <v>0.30385365917122525</v>
      </c>
      <c r="BY44" s="1185">
        <f>'2021'!R\Max</f>
        <v>0.20594195283287808</v>
      </c>
      <c r="BZ44" s="1185">
        <f>'2022'!R\Max</f>
        <v>0.17339685435385241</v>
      </c>
      <c r="CA44" s="1185">
        <f>'2023'!R\Max</f>
        <v>0.17234816720449031</v>
      </c>
      <c r="CB44" s="1185">
        <f>'2024'!R\Max</f>
        <v>0.17127642228019294</v>
      </c>
      <c r="CC44" s="1185">
        <f>'2025'!R\Max</f>
        <v>0.1700830862796002</v>
      </c>
      <c r="CD44" s="1185">
        <f>'2026'!R\Max</f>
        <v>0.16865340204376678</v>
      </c>
      <c r="CE44" s="1186">
        <f>'2027'!R\Max</f>
        <v>0.17514980291585702</v>
      </c>
      <c r="CF44" s="1187">
        <f>'2028'!R\Max</f>
        <v>0.17422189745433947</v>
      </c>
    </row>
    <row r="45" spans="1:84" s="6" customFormat="1" ht="11.25" x14ac:dyDescent="0.2">
      <c r="A45" s="11">
        <v>43131</v>
      </c>
      <c r="B45" s="379">
        <f>'2022'!Maxi_hp</f>
        <v>21.848733659114771</v>
      </c>
      <c r="C45" s="13">
        <f>'2022'!An_max</f>
        <v>2020</v>
      </c>
      <c r="D45" s="1046" t="str">
        <f t="shared" si="7"/>
        <v/>
      </c>
      <c r="E45" s="13"/>
      <c r="F45" s="13">
        <f t="shared" si="23"/>
        <v>3</v>
      </c>
      <c r="G45" s="13">
        <f t="shared" si="24"/>
        <v>4</v>
      </c>
      <c r="H45" s="173">
        <f t="shared" si="8"/>
        <v>43122</v>
      </c>
      <c r="I45" s="742">
        <f t="shared" si="9"/>
        <v>0.6428571428571429</v>
      </c>
      <c r="J45" s="735">
        <f t="shared" si="27"/>
        <v>35.47147321421653</v>
      </c>
      <c r="L45" s="743" t="s">
        <v>209</v>
      </c>
      <c r="M45" s="773">
        <f t="shared" ref="M45:AA45" si="48">L43</f>
        <v>43065</v>
      </c>
      <c r="N45" s="774">
        <f t="shared" si="48"/>
        <v>43093</v>
      </c>
      <c r="O45" s="725">
        <f t="shared" si="48"/>
        <v>43122</v>
      </c>
      <c r="P45" s="725">
        <f t="shared" si="48"/>
        <v>43150</v>
      </c>
      <c r="Q45" s="725">
        <f t="shared" si="48"/>
        <v>43178</v>
      </c>
      <c r="R45" s="725">
        <f t="shared" si="48"/>
        <v>43206</v>
      </c>
      <c r="S45" s="725">
        <f t="shared" si="48"/>
        <v>43234</v>
      </c>
      <c r="T45" s="725">
        <f t="shared" si="48"/>
        <v>43262</v>
      </c>
      <c r="U45" s="725">
        <f t="shared" si="48"/>
        <v>43290</v>
      </c>
      <c r="V45" s="725">
        <f t="shared" si="48"/>
        <v>43318</v>
      </c>
      <c r="W45" s="725">
        <f t="shared" si="48"/>
        <v>43346</v>
      </c>
      <c r="X45" s="725">
        <f t="shared" si="48"/>
        <v>43374</v>
      </c>
      <c r="Y45" s="725">
        <f t="shared" si="48"/>
        <v>43402</v>
      </c>
      <c r="Z45" s="725">
        <f t="shared" si="48"/>
        <v>43430</v>
      </c>
      <c r="AA45" s="766">
        <f t="shared" si="48"/>
        <v>43458</v>
      </c>
      <c r="AD45" s="7"/>
      <c r="AE45" s="7"/>
      <c r="AF45" s="7"/>
      <c r="AH45" s="7"/>
      <c r="AI45" s="74"/>
      <c r="AO45" s="1039">
        <v>43131</v>
      </c>
      <c r="AP45" s="13">
        <f t="shared" si="11"/>
        <v>3</v>
      </c>
      <c r="AQ45" s="13">
        <f t="shared" si="12"/>
        <v>2</v>
      </c>
      <c r="AR45" s="173">
        <f t="shared" si="13"/>
        <v>43136</v>
      </c>
      <c r="AS45" s="742">
        <f t="shared" si="14"/>
        <v>0.17857142857142858</v>
      </c>
      <c r="AT45" s="758">
        <f t="shared" si="15"/>
        <v>35.489132831006181</v>
      </c>
      <c r="AU45" s="13">
        <f t="shared" si="16"/>
        <v>3</v>
      </c>
      <c r="AV45" s="13">
        <f t="shared" si="17"/>
        <v>2</v>
      </c>
      <c r="AW45" s="173">
        <f t="shared" si="18"/>
        <v>43150</v>
      </c>
      <c r="AX45" s="742">
        <f t="shared" si="19"/>
        <v>0.6785714285714286</v>
      </c>
      <c r="AY45" s="758">
        <f t="shared" si="20"/>
        <v>35.262250319194777</v>
      </c>
      <c r="AZ45" s="735">
        <f t="shared" si="26"/>
        <v>35.375691575100475</v>
      </c>
      <c r="BA45" s="633">
        <f t="shared" si="21"/>
        <v>0.61595224780114477</v>
      </c>
      <c r="BC45" s="11">
        <v>43131</v>
      </c>
      <c r="BD45" s="289">
        <f>[3]!FeuilCaduc*(1-Persistant)+Persistant</f>
        <v>0.80000893947247598</v>
      </c>
      <c r="BE45" s="290">
        <f>[3]!CroissVégét</f>
        <v>3.3770923278976551E-3</v>
      </c>
      <c r="BF45" s="804">
        <f>1+[3]!Salcycl*Ksac</f>
        <v>1.000002234868119</v>
      </c>
      <c r="BH45" s="1037">
        <f t="shared" si="22"/>
        <v>0.13559588123372576</v>
      </c>
      <c r="BI45" s="11">
        <v>44227</v>
      </c>
      <c r="BJ45" s="715">
        <v>1.2361279414128616E-3</v>
      </c>
      <c r="BK45" s="715">
        <v>6.7693591418498348E-3</v>
      </c>
      <c r="BL45" s="715">
        <v>2.9454098529984731E-2</v>
      </c>
      <c r="BM45" s="715">
        <v>7.7288280979145016E-2</v>
      </c>
      <c r="BN45" s="715">
        <v>0.15026973860217047</v>
      </c>
      <c r="BO45" s="716">
        <v>0.24334734719733048</v>
      </c>
      <c r="BP45" s="715">
        <v>0.35110687309941241</v>
      </c>
      <c r="BQ45" s="715">
        <v>0.49053374975552683</v>
      </c>
      <c r="BR45" s="715">
        <v>0.71832055392689576</v>
      </c>
      <c r="BS45" s="715">
        <v>1.0103255301974114</v>
      </c>
      <c r="BT45" s="715">
        <v>1.3469794740001511</v>
      </c>
      <c r="BW45" s="1185">
        <f>'2019'!R\Max</f>
        <v>0</v>
      </c>
      <c r="BX45" s="1185">
        <f>'2020'!R\Max</f>
        <v>0.61595224780114477</v>
      </c>
      <c r="BY45" s="1185">
        <f>'2021'!R\Max</f>
        <v>0.27631231342455725</v>
      </c>
      <c r="BZ45" s="1185">
        <f>'2022'!R\Max</f>
        <v>0.21471637260202961</v>
      </c>
      <c r="CA45" s="1185">
        <f>'2023'!R\Max</f>
        <v>0.21341114813321274</v>
      </c>
      <c r="CB45" s="1185">
        <f>'2024'!R\Max</f>
        <v>0.21207681566851605</v>
      </c>
      <c r="CC45" s="1185">
        <f>'2025'!R\Max</f>
        <v>0.21060920573489572</v>
      </c>
      <c r="CD45" s="1185">
        <f>'2026'!R\Max</f>
        <v>0.20888275225975175</v>
      </c>
      <c r="CE45" s="1186">
        <f>'2027'!R\Max</f>
        <v>0.21689367644355506</v>
      </c>
      <c r="CF45" s="1187">
        <f>'2028'!R\Max</f>
        <v>0.21574114283833384</v>
      </c>
    </row>
    <row r="46" spans="1:84" s="6" customFormat="1" ht="11.25" x14ac:dyDescent="0.2">
      <c r="A46" s="11">
        <v>43132</v>
      </c>
      <c r="B46" s="379">
        <f>'2022'!Maxi_hp</f>
        <v>19.204267390617314</v>
      </c>
      <c r="C46" s="13">
        <f>'2022'!An_max</f>
        <v>2022</v>
      </c>
      <c r="D46" s="1046" t="str">
        <f t="shared" si="7"/>
        <v/>
      </c>
      <c r="E46" s="13"/>
      <c r="F46" s="13">
        <f t="shared" si="23"/>
        <v>3</v>
      </c>
      <c r="G46" s="13">
        <f t="shared" si="24"/>
        <v>4</v>
      </c>
      <c r="H46" s="173">
        <f t="shared" si="8"/>
        <v>43122</v>
      </c>
      <c r="I46" s="742">
        <f t="shared" si="9"/>
        <v>0.7142857142857143</v>
      </c>
      <c r="J46" s="735">
        <f t="shared" si="27"/>
        <v>35.834714285604839</v>
      </c>
      <c r="L46" s="744" t="s">
        <v>210</v>
      </c>
      <c r="M46" s="765">
        <f t="shared" ref="M46:AA46" si="49">L44</f>
        <v>294.22399999999999</v>
      </c>
      <c r="N46" s="769">
        <f t="shared" si="49"/>
        <v>255.458</v>
      </c>
      <c r="O46" s="731">
        <f t="shared" si="49"/>
        <v>323.05</v>
      </c>
      <c r="P46" s="731">
        <f t="shared" si="49"/>
        <v>422.45</v>
      </c>
      <c r="Q46" s="731">
        <f t="shared" si="49"/>
        <v>518.86800000000005</v>
      </c>
      <c r="R46" s="731">
        <f t="shared" si="49"/>
        <v>588.44799999999998</v>
      </c>
      <c r="S46" s="731">
        <f t="shared" si="49"/>
        <v>616.28</v>
      </c>
      <c r="T46" s="731">
        <f t="shared" si="49"/>
        <v>618.26800000000003</v>
      </c>
      <c r="U46" s="731">
        <f t="shared" si="49"/>
        <v>596.4</v>
      </c>
      <c r="V46" s="731">
        <f t="shared" si="49"/>
        <v>560.61599999999999</v>
      </c>
      <c r="W46" s="731">
        <f t="shared" si="49"/>
        <v>516.88</v>
      </c>
      <c r="X46" s="731">
        <f t="shared" si="49"/>
        <v>449.28800000000001</v>
      </c>
      <c r="Y46" s="731">
        <f t="shared" si="49"/>
        <v>367.78</v>
      </c>
      <c r="Z46" s="731">
        <f t="shared" si="49"/>
        <v>294.22399999999999</v>
      </c>
      <c r="AA46" s="767">
        <f t="shared" si="49"/>
        <v>255.458</v>
      </c>
      <c r="AD46" s="7"/>
      <c r="AE46" s="7"/>
      <c r="AF46" s="7"/>
      <c r="AH46" s="7"/>
      <c r="AI46" s="74"/>
      <c r="AO46" s="1039">
        <v>43132</v>
      </c>
      <c r="AP46" s="13">
        <f t="shared" si="11"/>
        <v>3</v>
      </c>
      <c r="AQ46" s="13">
        <f t="shared" si="12"/>
        <v>2</v>
      </c>
      <c r="AR46" s="173">
        <f t="shared" si="13"/>
        <v>43136</v>
      </c>
      <c r="AS46" s="742">
        <f t="shared" si="14"/>
        <v>0.14285714285714285</v>
      </c>
      <c r="AT46" s="758">
        <f t="shared" si="15"/>
        <v>35.8568623725591</v>
      </c>
      <c r="AU46" s="13">
        <f t="shared" si="16"/>
        <v>3</v>
      </c>
      <c r="AV46" s="13">
        <f t="shared" si="17"/>
        <v>2</v>
      </c>
      <c r="AW46" s="173">
        <f t="shared" si="18"/>
        <v>43150</v>
      </c>
      <c r="AX46" s="742">
        <f t="shared" si="19"/>
        <v>0.6428571428571429</v>
      </c>
      <c r="AY46" s="758">
        <f t="shared" si="20"/>
        <v>35.619710598074434</v>
      </c>
      <c r="AZ46" s="735">
        <f t="shared" si="26"/>
        <v>35.738286485316763</v>
      </c>
      <c r="BA46" s="633">
        <f t="shared" si="21"/>
        <v>0.5359123903586378</v>
      </c>
      <c r="BC46" s="11">
        <v>43132</v>
      </c>
      <c r="BD46" s="289">
        <f>[3]!FeuilCaduc*(1-Persistant)+Persistant</f>
        <v>0.80002099685251504</v>
      </c>
      <c r="BE46" s="290">
        <f>[3]!CroissVégét</f>
        <v>3.5761895087786043E-3</v>
      </c>
      <c r="BF46" s="804">
        <f>1+[3]!Salcycl*Ksac</f>
        <v>1.0000052492131288</v>
      </c>
      <c r="BH46" s="1037">
        <f t="shared" si="22"/>
        <v>0.13194804501855203</v>
      </c>
      <c r="BI46" s="11">
        <v>44228</v>
      </c>
      <c r="BJ46" s="715">
        <v>1.1991620823031701E-3</v>
      </c>
      <c r="BK46" s="715">
        <v>6.3088577541812506E-3</v>
      </c>
      <c r="BL46" s="715">
        <v>2.7576265478345279E-2</v>
      </c>
      <c r="BM46" s="715">
        <v>7.4076478817288349E-2</v>
      </c>
      <c r="BN46" s="715">
        <v>0.14651216881061521</v>
      </c>
      <c r="BO46" s="716">
        <v>0.24063922381181196</v>
      </c>
      <c r="BP46" s="715">
        <v>0.35016650291723878</v>
      </c>
      <c r="BQ46" s="715">
        <v>0.48794169761594625</v>
      </c>
      <c r="BR46" s="715">
        <v>0.71171959391763151</v>
      </c>
      <c r="BS46" s="715">
        <v>1.0010693440683465</v>
      </c>
      <c r="BT46" s="715">
        <v>1.3401005385188605</v>
      </c>
      <c r="BW46" s="1185">
        <f>'2019'!R\Max</f>
        <v>0</v>
      </c>
      <c r="BX46" s="1185">
        <f>'2020'!R\Max</f>
        <v>0.33936370629285884</v>
      </c>
      <c r="BY46" s="1185">
        <f>'2021'!R\Max</f>
        <v>0.25167922397835163</v>
      </c>
      <c r="BZ46" s="1185">
        <f>'2022'!R\Max</f>
        <v>0.5359123903586378</v>
      </c>
      <c r="CA46" s="1185">
        <f>'2023'!R\Max</f>
        <v>0.53374975382824807</v>
      </c>
      <c r="CB46" s="1185">
        <f>'2024'!R\Max</f>
        <v>0.53152800299122349</v>
      </c>
      <c r="CC46" s="1185">
        <f>'2025'!R\Max</f>
        <v>0.52910054940718831</v>
      </c>
      <c r="CD46" s="1185">
        <f>'2026'!R\Max</f>
        <v>0.52627909365307335</v>
      </c>
      <c r="CE46" s="1186">
        <f>'2027'!R\Max</f>
        <v>0.53948437975074648</v>
      </c>
      <c r="CF46" s="1187">
        <f>'2028'!R\Max</f>
        <v>0.53759665976947435</v>
      </c>
    </row>
    <row r="47" spans="1:84" s="6" customFormat="1" ht="11.25" x14ac:dyDescent="0.2">
      <c r="A47" s="11">
        <v>43133</v>
      </c>
      <c r="B47" s="379">
        <f>'2022'!Maxi_hp</f>
        <v>33.054204591173026</v>
      </c>
      <c r="C47" s="13">
        <f>'2022'!An_max</f>
        <v>2021</v>
      </c>
      <c r="D47" s="1046" t="str">
        <f t="shared" si="7"/>
        <v/>
      </c>
      <c r="E47" s="13"/>
      <c r="F47" s="13">
        <f t="shared" si="23"/>
        <v>3</v>
      </c>
      <c r="G47" s="13">
        <f t="shared" si="24"/>
        <v>4</v>
      </c>
      <c r="H47" s="173">
        <f t="shared" si="8"/>
        <v>43122</v>
      </c>
      <c r="I47" s="742">
        <f t="shared" si="9"/>
        <v>0.7857142857142857</v>
      </c>
      <c r="J47" s="735">
        <f t="shared" si="27"/>
        <v>36.197448214186544</v>
      </c>
      <c r="L47" s="744" t="s">
        <v>211</v>
      </c>
      <c r="M47" s="776">
        <f t="shared" ref="M47:AA47" si="50">M43</f>
        <v>43093</v>
      </c>
      <c r="N47" s="726">
        <f t="shared" si="50"/>
        <v>43122</v>
      </c>
      <c r="O47" s="726">
        <f t="shared" si="50"/>
        <v>43150</v>
      </c>
      <c r="P47" s="726">
        <f t="shared" si="50"/>
        <v>43178</v>
      </c>
      <c r="Q47" s="726">
        <f t="shared" si="50"/>
        <v>43206</v>
      </c>
      <c r="R47" s="726">
        <f t="shared" si="50"/>
        <v>43234</v>
      </c>
      <c r="S47" s="726">
        <f t="shared" si="50"/>
        <v>43262</v>
      </c>
      <c r="T47" s="726">
        <f t="shared" si="50"/>
        <v>43290</v>
      </c>
      <c r="U47" s="726">
        <f t="shared" si="50"/>
        <v>43318</v>
      </c>
      <c r="V47" s="726">
        <f t="shared" si="50"/>
        <v>43346</v>
      </c>
      <c r="W47" s="726">
        <f t="shared" si="50"/>
        <v>43374</v>
      </c>
      <c r="X47" s="726">
        <f t="shared" si="50"/>
        <v>43402</v>
      </c>
      <c r="Y47" s="726">
        <f t="shared" si="50"/>
        <v>43430</v>
      </c>
      <c r="Z47" s="768">
        <f t="shared" si="50"/>
        <v>43458</v>
      </c>
      <c r="AA47" s="775">
        <f t="shared" si="50"/>
        <v>43487</v>
      </c>
      <c r="AD47" s="7"/>
      <c r="AE47" s="7"/>
      <c r="AF47" s="7"/>
      <c r="AH47" s="7"/>
      <c r="AI47" s="74"/>
      <c r="AO47" s="1039">
        <v>43133</v>
      </c>
      <c r="AP47" s="13">
        <f t="shared" si="11"/>
        <v>3</v>
      </c>
      <c r="AQ47" s="13">
        <f t="shared" si="12"/>
        <v>2</v>
      </c>
      <c r="AR47" s="173">
        <f t="shared" si="13"/>
        <v>43136</v>
      </c>
      <c r="AS47" s="742">
        <f t="shared" si="14"/>
        <v>0.10714285714285714</v>
      </c>
      <c r="AT47" s="758">
        <f t="shared" si="15"/>
        <v>36.220267349734378</v>
      </c>
      <c r="AU47" s="13">
        <f t="shared" si="16"/>
        <v>3</v>
      </c>
      <c r="AV47" s="13">
        <f t="shared" si="17"/>
        <v>2</v>
      </c>
      <c r="AW47" s="173">
        <f t="shared" si="18"/>
        <v>43150</v>
      </c>
      <c r="AX47" s="742">
        <f t="shared" si="19"/>
        <v>0.6071428571428571</v>
      </c>
      <c r="AY47" s="758">
        <f t="shared" si="20"/>
        <v>35.981116172801038</v>
      </c>
      <c r="AZ47" s="735">
        <f t="shared" si="26"/>
        <v>36.100691761267711</v>
      </c>
      <c r="BA47" s="633">
        <f t="shared" si="21"/>
        <v>0.91316394447436178</v>
      </c>
      <c r="BC47" s="11">
        <v>43133</v>
      </c>
      <c r="BD47" s="289">
        <f>[3]!FeuilCaduc*(1-Persistant)+Persistant</f>
        <v>0.80003890500088692</v>
      </c>
      <c r="BE47" s="290">
        <f>[3]!CroissVégét</f>
        <v>3.7835546392683654E-3</v>
      </c>
      <c r="BF47" s="804">
        <f>1+[3]!Salcycl*Ksac</f>
        <v>1.0000097262502217</v>
      </c>
      <c r="BH47" s="1037">
        <f t="shared" si="22"/>
        <v>0.12796830978163903</v>
      </c>
      <c r="BI47" s="11">
        <v>44229</v>
      </c>
      <c r="BJ47" s="715">
        <v>1.1646547031545578E-3</v>
      </c>
      <c r="BK47" s="715">
        <v>5.8741846912058185E-3</v>
      </c>
      <c r="BL47" s="715">
        <v>2.5709989865981952E-2</v>
      </c>
      <c r="BM47" s="715">
        <v>7.0685986004199425E-2</v>
      </c>
      <c r="BN47" s="715">
        <v>0.14238414314081047</v>
      </c>
      <c r="BO47" s="716">
        <v>0.23737820858848016</v>
      </c>
      <c r="BP47" s="715">
        <v>0.34876462875558167</v>
      </c>
      <c r="BQ47" s="715">
        <v>0.48532229222856516</v>
      </c>
      <c r="BR47" s="715">
        <v>0.70513580605203119</v>
      </c>
      <c r="BS47" s="715">
        <v>0.99157506110595384</v>
      </c>
      <c r="BT47" s="715">
        <v>1.3321717016461803</v>
      </c>
      <c r="BW47" s="1185">
        <f>'2019'!R\Max</f>
        <v>0</v>
      </c>
      <c r="BX47" s="1185">
        <f>'2020'!R\Max</f>
        <v>0.80726830040891673</v>
      </c>
      <c r="BY47" s="1185">
        <f>'2021'!R\Max</f>
        <v>0.91316394447436178</v>
      </c>
      <c r="BZ47" s="1185">
        <f>'2022'!R\Max</f>
        <v>0.1937978675149713</v>
      </c>
      <c r="CA47" s="1185">
        <f>'2023'!R\Max</f>
        <v>0.19260667919966742</v>
      </c>
      <c r="CB47" s="1185">
        <f>'2024'!R\Max</f>
        <v>0.19138682034142557</v>
      </c>
      <c r="CC47" s="1185">
        <f>'2025'!R\Max</f>
        <v>0.19007315395815641</v>
      </c>
      <c r="CD47" s="1185">
        <f>'2026'!R\Max</f>
        <v>0.18857762986106794</v>
      </c>
      <c r="CE47" s="1186">
        <f>'2027'!R\Max</f>
        <v>0.19576321457710072</v>
      </c>
      <c r="CF47" s="1187">
        <f>'2028'!R\Max</f>
        <v>0.19472287813354763</v>
      </c>
    </row>
    <row r="48" spans="1:84" s="6" customFormat="1" ht="11.25" x14ac:dyDescent="0.2">
      <c r="A48" s="11">
        <v>43134</v>
      </c>
      <c r="B48" s="379">
        <f>'2022'!Maxi_hp</f>
        <v>27.412753039742405</v>
      </c>
      <c r="C48" s="13">
        <f>'2022'!An_max</f>
        <v>2020</v>
      </c>
      <c r="D48" s="1046" t="str">
        <f t="shared" si="7"/>
        <v/>
      </c>
      <c r="E48" s="13"/>
      <c r="F48" s="13">
        <f t="shared" si="23"/>
        <v>3</v>
      </c>
      <c r="G48" s="13">
        <f t="shared" si="24"/>
        <v>4</v>
      </c>
      <c r="H48" s="173">
        <f t="shared" si="8"/>
        <v>43122</v>
      </c>
      <c r="I48" s="742">
        <f t="shared" si="9"/>
        <v>0.8571428571428571</v>
      </c>
      <c r="J48" s="735">
        <f t="shared" si="27"/>
        <v>36.558914285602178</v>
      </c>
      <c r="L48" s="744" t="s">
        <v>212</v>
      </c>
      <c r="M48" s="769">
        <f t="shared" ref="M48:AA48" si="51">M44</f>
        <v>255.458</v>
      </c>
      <c r="N48" s="732">
        <f t="shared" si="51"/>
        <v>323.05</v>
      </c>
      <c r="O48" s="732">
        <f t="shared" si="51"/>
        <v>422.45</v>
      </c>
      <c r="P48" s="732">
        <f t="shared" si="51"/>
        <v>518.86800000000005</v>
      </c>
      <c r="Q48" s="732">
        <f t="shared" si="51"/>
        <v>588.44799999999998</v>
      </c>
      <c r="R48" s="732">
        <f t="shared" si="51"/>
        <v>616.28</v>
      </c>
      <c r="S48" s="732">
        <f t="shared" si="51"/>
        <v>618.26800000000003</v>
      </c>
      <c r="T48" s="732">
        <f t="shared" si="51"/>
        <v>596.4</v>
      </c>
      <c r="U48" s="732">
        <f t="shared" si="51"/>
        <v>560.61599999999999</v>
      </c>
      <c r="V48" s="732">
        <f t="shared" si="51"/>
        <v>516.88</v>
      </c>
      <c r="W48" s="732">
        <f t="shared" si="51"/>
        <v>449.28800000000001</v>
      </c>
      <c r="X48" s="732">
        <f t="shared" si="51"/>
        <v>367.78</v>
      </c>
      <c r="Y48" s="732">
        <f t="shared" si="51"/>
        <v>294.22399999999999</v>
      </c>
      <c r="Z48" s="767">
        <f t="shared" si="51"/>
        <v>255.458</v>
      </c>
      <c r="AA48" s="765">
        <f t="shared" si="51"/>
        <v>323.05</v>
      </c>
      <c r="AD48" s="7"/>
      <c r="AE48" s="7"/>
      <c r="AF48" s="7"/>
      <c r="AH48" s="7"/>
      <c r="AI48" s="74"/>
      <c r="AO48" s="1039">
        <v>43134</v>
      </c>
      <c r="AP48" s="13">
        <f t="shared" si="11"/>
        <v>3</v>
      </c>
      <c r="AQ48" s="13">
        <f t="shared" si="12"/>
        <v>2</v>
      </c>
      <c r="AR48" s="173">
        <f t="shared" si="13"/>
        <v>43136</v>
      </c>
      <c r="AS48" s="742">
        <f t="shared" si="14"/>
        <v>7.1428571428571425E-2</v>
      </c>
      <c r="AT48" s="758">
        <f t="shared" si="15"/>
        <v>36.578394273808229</v>
      </c>
      <c r="AU48" s="13">
        <f t="shared" si="16"/>
        <v>3</v>
      </c>
      <c r="AV48" s="13">
        <f t="shared" si="17"/>
        <v>2</v>
      </c>
      <c r="AW48" s="173">
        <f t="shared" si="18"/>
        <v>43150</v>
      </c>
      <c r="AX48" s="742">
        <f t="shared" si="19"/>
        <v>0.5714285714285714</v>
      </c>
      <c r="AY48" s="758">
        <f t="shared" si="20"/>
        <v>36.345967932218421</v>
      </c>
      <c r="AZ48" s="735">
        <f t="shared" si="26"/>
        <v>36.462181103013322</v>
      </c>
      <c r="BA48" s="633">
        <f t="shared" si="21"/>
        <v>0.74982404634861488</v>
      </c>
      <c r="BC48" s="11">
        <v>43134</v>
      </c>
      <c r="BD48" s="289">
        <f>[3]!FeuilCaduc*(1-Persistant)+Persistant</f>
        <v>0.80006244207275168</v>
      </c>
      <c r="BE48" s="290">
        <f>[3]!CroissVégét</f>
        <v>3.9995273885343324E-3</v>
      </c>
      <c r="BF48" s="804">
        <f>1+[3]!Salcycl*Ksac</f>
        <v>1.0000156105181879</v>
      </c>
      <c r="BH48" s="1037">
        <f t="shared" si="22"/>
        <v>0.12365700690400137</v>
      </c>
      <c r="BI48" s="11">
        <v>44230</v>
      </c>
      <c r="BJ48" s="715">
        <v>1.1326080081924454E-3</v>
      </c>
      <c r="BK48" s="715">
        <v>5.4653574576532327E-3</v>
      </c>
      <c r="BL48" s="715">
        <v>2.3855361193969152E-2</v>
      </c>
      <c r="BM48" s="715">
        <v>6.7117022653791977E-2</v>
      </c>
      <c r="BN48" s="715">
        <v>0.13788602097556751</v>
      </c>
      <c r="BO48" s="716">
        <v>0.23356477719252774</v>
      </c>
      <c r="BP48" s="715">
        <v>0.34690179376722791</v>
      </c>
      <c r="BQ48" s="715">
        <v>0.48267622555649947</v>
      </c>
      <c r="BR48" s="715">
        <v>0.69857027570021202</v>
      </c>
      <c r="BS48" s="715">
        <v>0.98184425130160102</v>
      </c>
      <c r="BT48" s="715">
        <v>1.323195020912207</v>
      </c>
      <c r="BW48" s="1185">
        <f>'2019'!R\Max</f>
        <v>0</v>
      </c>
      <c r="BX48" s="1185">
        <f>'2020'!R\Max</f>
        <v>0.74982404634861488</v>
      </c>
      <c r="BY48" s="1185">
        <f>'2021'!R\Max</f>
        <v>0.72265726394340402</v>
      </c>
      <c r="BZ48" s="1185">
        <f>'2022'!R\Max</f>
        <v>0.45482878873412824</v>
      </c>
      <c r="CA48" s="1185">
        <f>'2023'!R\Max</f>
        <v>0.45264872359308234</v>
      </c>
      <c r="CB48" s="1185">
        <f>'2024'!R\Max</f>
        <v>0.45040676192218121</v>
      </c>
      <c r="CC48" s="1185">
        <f>'2025'!R\Max</f>
        <v>0.44800654776441057</v>
      </c>
      <c r="CD48" s="1185">
        <f>'2026'!R\Max</f>
        <v>0.44530395723330485</v>
      </c>
      <c r="CE48" s="1186">
        <f>'2027'!R\Max</f>
        <v>0.45838107863067318</v>
      </c>
      <c r="CF48" s="1187">
        <f>'2028'!R\Max</f>
        <v>0.45650273008169284</v>
      </c>
    </row>
    <row r="49" spans="1:84" s="6" customFormat="1" ht="11.25" x14ac:dyDescent="0.2">
      <c r="A49" s="11">
        <v>43135</v>
      </c>
      <c r="B49" s="379">
        <f>'2022'!Maxi_hp</f>
        <v>16.754733277342279</v>
      </c>
      <c r="C49" s="13">
        <f>'2022'!An_max</f>
        <v>2020</v>
      </c>
      <c r="D49" s="1046" t="str">
        <f t="shared" si="7"/>
        <v/>
      </c>
      <c r="E49" s="13"/>
      <c r="F49" s="13">
        <f t="shared" si="23"/>
        <v>3</v>
      </c>
      <c r="G49" s="13">
        <f t="shared" si="24"/>
        <v>4</v>
      </c>
      <c r="H49" s="173">
        <f t="shared" si="8"/>
        <v>43122</v>
      </c>
      <c r="I49" s="742">
        <f t="shared" si="9"/>
        <v>0.9285714285714286</v>
      </c>
      <c r="J49" s="735">
        <f t="shared" si="27"/>
        <v>36.91835178566938</v>
      </c>
      <c r="L49" s="744" t="s">
        <v>213</v>
      </c>
      <c r="M49" s="771">
        <f t="shared" ref="M49:AA49" si="52">N43</f>
        <v>43122</v>
      </c>
      <c r="N49" s="727">
        <f t="shared" si="52"/>
        <v>43150</v>
      </c>
      <c r="O49" s="727">
        <f t="shared" si="52"/>
        <v>43178</v>
      </c>
      <c r="P49" s="727">
        <f t="shared" si="52"/>
        <v>43206</v>
      </c>
      <c r="Q49" s="727">
        <f t="shared" si="52"/>
        <v>43234</v>
      </c>
      <c r="R49" s="727">
        <f t="shared" si="52"/>
        <v>43262</v>
      </c>
      <c r="S49" s="727">
        <f t="shared" si="52"/>
        <v>43290</v>
      </c>
      <c r="T49" s="727">
        <f t="shared" si="52"/>
        <v>43318</v>
      </c>
      <c r="U49" s="727">
        <f t="shared" si="52"/>
        <v>43346</v>
      </c>
      <c r="V49" s="727">
        <f t="shared" si="52"/>
        <v>43374</v>
      </c>
      <c r="W49" s="727">
        <f t="shared" si="52"/>
        <v>43402</v>
      </c>
      <c r="X49" s="727">
        <f t="shared" si="52"/>
        <v>43430</v>
      </c>
      <c r="Y49" s="727">
        <f t="shared" si="52"/>
        <v>43458</v>
      </c>
      <c r="Z49" s="777">
        <f t="shared" si="52"/>
        <v>43487</v>
      </c>
      <c r="AA49" s="775">
        <f t="shared" si="52"/>
        <v>43515</v>
      </c>
      <c r="AD49" s="7"/>
      <c r="AE49" s="7"/>
      <c r="AF49" s="7"/>
      <c r="AH49" s="7"/>
      <c r="AI49" s="74"/>
      <c r="AO49" s="1039">
        <v>43135</v>
      </c>
      <c r="AP49" s="13">
        <f t="shared" si="11"/>
        <v>3</v>
      </c>
      <c r="AQ49" s="13">
        <f t="shared" si="12"/>
        <v>2</v>
      </c>
      <c r="AR49" s="173">
        <f t="shared" si="13"/>
        <v>43136</v>
      </c>
      <c r="AS49" s="742">
        <f t="shared" si="14"/>
        <v>3.5714285714285712E-2</v>
      </c>
      <c r="AT49" s="758">
        <f t="shared" si="15"/>
        <v>36.930289653635455</v>
      </c>
      <c r="AU49" s="13">
        <f t="shared" si="16"/>
        <v>3</v>
      </c>
      <c r="AV49" s="13">
        <f t="shared" si="17"/>
        <v>2</v>
      </c>
      <c r="AW49" s="173">
        <f t="shared" si="18"/>
        <v>43150</v>
      </c>
      <c r="AX49" s="742">
        <f t="shared" si="19"/>
        <v>0.5357142857142857</v>
      </c>
      <c r="AY49" s="758">
        <f t="shared" si="20"/>
        <v>36.713766759683907</v>
      </c>
      <c r="AZ49" s="735">
        <f t="shared" si="26"/>
        <v>36.822028206659681</v>
      </c>
      <c r="BA49" s="633">
        <f t="shared" si="21"/>
        <v>0.45383210427736309</v>
      </c>
      <c r="BC49" s="11">
        <v>43135</v>
      </c>
      <c r="BD49" s="289">
        <f>[3]!FeuilCaduc*(1-Persistant)+Persistant</f>
        <v>0.80009134596545062</v>
      </c>
      <c r="BE49" s="290">
        <f>[3]!CroissVégét</f>
        <v>4.2244610672662677E-3</v>
      </c>
      <c r="BF49" s="804">
        <f>1+[3]!Salcycl*Ksac</f>
        <v>1.0000228364913626</v>
      </c>
      <c r="BH49" s="1037">
        <f t="shared" si="22"/>
        <v>0.11901446633184336</v>
      </c>
      <c r="BI49" s="11">
        <v>44231</v>
      </c>
      <c r="BJ49" s="715">
        <v>1.1030238917420405E-3</v>
      </c>
      <c r="BK49" s="715">
        <v>5.0823899444092813E-3</v>
      </c>
      <c r="BL49" s="715">
        <v>2.2012458984009317E-2</v>
      </c>
      <c r="BM49" s="715">
        <v>6.3369801871535125E-2</v>
      </c>
      <c r="BN49" s="715">
        <v>0.1330181616655641</v>
      </c>
      <c r="BO49" s="716">
        <v>0.22919941972213845</v>
      </c>
      <c r="BP49" s="715">
        <v>0.34457855969180051</v>
      </c>
      <c r="BQ49" s="715">
        <v>0.48000417781527815</v>
      </c>
      <c r="BR49" s="715">
        <v>0.69202405411047296</v>
      </c>
      <c r="BS49" s="715">
        <v>0.97187845010165297</v>
      </c>
      <c r="BT49" s="715">
        <v>1.3131725722444412</v>
      </c>
      <c r="BW49" s="1185">
        <f>'2019'!R\Max</f>
        <v>0</v>
      </c>
      <c r="BX49" s="1185">
        <f>'2020'!R\Max</f>
        <v>0.45383210427736309</v>
      </c>
      <c r="BY49" s="1185">
        <f>'2021'!R\Max</f>
        <v>0.37952507932004365</v>
      </c>
      <c r="BZ49" s="1185">
        <f>'2022'!R\Max</f>
        <v>0.4064316843248042</v>
      </c>
      <c r="CA49" s="1185">
        <f>'2023'!R\Max</f>
        <v>0.40429802853638985</v>
      </c>
      <c r="CB49" s="1185">
        <f>'2024'!R\Max</f>
        <v>0.40210193789290122</v>
      </c>
      <c r="CC49" s="1185">
        <f>'2025'!R\Max</f>
        <v>0.39977100951718791</v>
      </c>
      <c r="CD49" s="1185">
        <f>'2026'!R\Max</f>
        <v>0.39718219210748779</v>
      </c>
      <c r="CE49" s="1186">
        <f>'2027'!R\Max</f>
        <v>0.40987443321323341</v>
      </c>
      <c r="CF49" s="1187">
        <f>'2028'!R\Max</f>
        <v>0.40805340523297928</v>
      </c>
    </row>
    <row r="50" spans="1:84" s="6" customFormat="1" ht="11.25" x14ac:dyDescent="0.2">
      <c r="A50" s="11">
        <v>43136</v>
      </c>
      <c r="B50" s="379">
        <f>'2022'!Maxi_hp</f>
        <v>35.887391837973411</v>
      </c>
      <c r="C50" s="13">
        <f>'2022'!An_max</f>
        <v>2020</v>
      </c>
      <c r="D50" s="1046" t="str">
        <f t="shared" si="7"/>
        <v/>
      </c>
      <c r="E50" s="1041">
        <f>P$13/10</f>
        <v>37.274999999999999</v>
      </c>
      <c r="F50" s="13">
        <f t="shared" si="23"/>
        <v>5</v>
      </c>
      <c r="G50" s="13">
        <f t="shared" si="24"/>
        <v>4</v>
      </c>
      <c r="H50" s="173">
        <f t="shared" si="8"/>
        <v>43150</v>
      </c>
      <c r="I50" s="742">
        <f t="shared" si="9"/>
        <v>1</v>
      </c>
      <c r="J50" s="735">
        <f t="shared" si="27"/>
        <v>37.274999999999999</v>
      </c>
      <c r="L50" s="744" t="s">
        <v>214</v>
      </c>
      <c r="M50" s="772">
        <f t="shared" ref="M50:AA50" si="53">N44</f>
        <v>323.05</v>
      </c>
      <c r="N50" s="732">
        <f t="shared" si="53"/>
        <v>422.45</v>
      </c>
      <c r="O50" s="732">
        <f t="shared" si="53"/>
        <v>518.86800000000005</v>
      </c>
      <c r="P50" s="732">
        <f t="shared" si="53"/>
        <v>588.44799999999998</v>
      </c>
      <c r="Q50" s="732">
        <f t="shared" si="53"/>
        <v>616.28</v>
      </c>
      <c r="R50" s="732">
        <f t="shared" si="53"/>
        <v>618.26800000000003</v>
      </c>
      <c r="S50" s="732">
        <f t="shared" si="53"/>
        <v>596.4</v>
      </c>
      <c r="T50" s="732">
        <f t="shared" si="53"/>
        <v>560.61599999999999</v>
      </c>
      <c r="U50" s="732">
        <f t="shared" si="53"/>
        <v>516.88</v>
      </c>
      <c r="V50" s="732">
        <f t="shared" si="53"/>
        <v>449.28800000000001</v>
      </c>
      <c r="W50" s="732">
        <f t="shared" si="53"/>
        <v>367.78</v>
      </c>
      <c r="X50" s="732">
        <f t="shared" si="53"/>
        <v>294.22399999999999</v>
      </c>
      <c r="Y50" s="732">
        <f t="shared" si="53"/>
        <v>255.458</v>
      </c>
      <c r="Z50" s="778">
        <f t="shared" si="53"/>
        <v>323.05</v>
      </c>
      <c r="AA50" s="765">
        <f t="shared" si="53"/>
        <v>422.45</v>
      </c>
      <c r="AD50" s="7"/>
      <c r="AE50" s="7"/>
      <c r="AF50" s="7"/>
      <c r="AH50" s="7"/>
      <c r="AI50" s="74"/>
      <c r="AO50" s="1039">
        <v>43136</v>
      </c>
      <c r="AP50" s="13">
        <f t="shared" si="11"/>
        <v>3</v>
      </c>
      <c r="AQ50" s="13">
        <f t="shared" si="12"/>
        <v>4</v>
      </c>
      <c r="AR50" s="173">
        <f t="shared" si="13"/>
        <v>43136</v>
      </c>
      <c r="AS50" s="742">
        <f t="shared" si="14"/>
        <v>0</v>
      </c>
      <c r="AT50" s="758">
        <f t="shared" si="15"/>
        <v>37.275000000186267</v>
      </c>
      <c r="AU50" s="13">
        <f t="shared" si="16"/>
        <v>3</v>
      </c>
      <c r="AV50" s="13">
        <f t="shared" si="17"/>
        <v>2</v>
      </c>
      <c r="AW50" s="173">
        <f t="shared" si="18"/>
        <v>43150</v>
      </c>
      <c r="AX50" s="742">
        <f t="shared" si="19"/>
        <v>0.5</v>
      </c>
      <c r="AY50" s="758">
        <f t="shared" si="20"/>
        <v>37.084013543673791</v>
      </c>
      <c r="AZ50" s="735">
        <f t="shared" si="26"/>
        <v>37.179506771930029</v>
      </c>
      <c r="BA50" s="633">
        <f t="shared" si="21"/>
        <v>0.96277375822866296</v>
      </c>
      <c r="BC50" s="11">
        <v>43136</v>
      </c>
      <c r="BD50" s="289">
        <f>[3]!FeuilCaduc*(1-Persistant)+Persistant</f>
        <v>0.80012531675292231</v>
      </c>
      <c r="BE50" s="290">
        <f>[3]!CroissVégét</f>
        <v>4.4587231488279668E-3</v>
      </c>
      <c r="BF50" s="804">
        <f>1+[3]!Salcycl*Ksac</f>
        <v>1.0000313291882306</v>
      </c>
      <c r="BH50" s="1037">
        <f t="shared" si="22"/>
        <v>0.11404101244149868</v>
      </c>
      <c r="BI50" s="11">
        <v>44232</v>
      </c>
      <c r="BJ50" s="715">
        <v>1.0759039690937848E-3</v>
      </c>
      <c r="BK50" s="715">
        <v>4.725292751835408E-3</v>
      </c>
      <c r="BL50" s="715">
        <v>2.0181352924814513E-2</v>
      </c>
      <c r="BM50" s="715">
        <v>5.9444527527315411E-2</v>
      </c>
      <c r="BN50" s="715">
        <v>0.12778091991413093</v>
      </c>
      <c r="BO50" s="716">
        <v>0.22428263382649563</v>
      </c>
      <c r="BP50" s="715">
        <v>0.3417955011333722</v>
      </c>
      <c r="BQ50" s="715">
        <v>0.47730681719586077</v>
      </c>
      <c r="BR50" s="715">
        <v>0.68549815871589037</v>
      </c>
      <c r="BS50" s="715">
        <v>0.96167915555994155</v>
      </c>
      <c r="BT50" s="715">
        <v>1.302106437020095</v>
      </c>
      <c r="BW50" s="1185">
        <f>'2019'!R\Max</f>
        <v>0</v>
      </c>
      <c r="BX50" s="1185">
        <f>'2020'!R\Max</f>
        <v>0.96277375822866296</v>
      </c>
      <c r="BY50" s="1185">
        <f>'2021'!R\Max</f>
        <v>0.22777768765621542</v>
      </c>
      <c r="BZ50" s="1185">
        <f>'2022'!R\Max</f>
        <v>0.29505355540581879</v>
      </c>
      <c r="CA50" s="1185">
        <f>'2023'!R\Max</f>
        <v>0.29320532210103034</v>
      </c>
      <c r="CB50" s="1185">
        <f>'2024'!R\Max</f>
        <v>0.29130299762542156</v>
      </c>
      <c r="CC50" s="1185">
        <f>'2025'!R\Max</f>
        <v>0.28930132706943656</v>
      </c>
      <c r="CD50" s="1185">
        <f>'2026'!R\Max</f>
        <v>0.28710763969565772</v>
      </c>
      <c r="CE50" s="1186">
        <f>'2027'!R\Max</f>
        <v>0.29800476219095301</v>
      </c>
      <c r="CF50" s="1187">
        <f>'2028'!R\Max</f>
        <v>0.2964425709473823</v>
      </c>
    </row>
    <row r="51" spans="1:84" s="6" customFormat="1" ht="11.25" x14ac:dyDescent="0.2">
      <c r="A51" s="11">
        <v>43137</v>
      </c>
      <c r="B51" s="379">
        <f>'2022'!Maxi_hp</f>
        <v>39.205696557026307</v>
      </c>
      <c r="C51" s="13">
        <f>'2022'!An_max</f>
        <v>2020</v>
      </c>
      <c r="D51" s="1046">
        <f t="shared" si="7"/>
        <v>1.0418668944962122</v>
      </c>
      <c r="E51" s="13"/>
      <c r="F51" s="13">
        <f t="shared" si="23"/>
        <v>5</v>
      </c>
      <c r="G51" s="13">
        <f t="shared" si="24"/>
        <v>4</v>
      </c>
      <c r="H51" s="173">
        <f t="shared" si="8"/>
        <v>43150</v>
      </c>
      <c r="I51" s="742">
        <f t="shared" si="9"/>
        <v>0.9285714285714286</v>
      </c>
      <c r="J51" s="735">
        <f t="shared" si="27"/>
        <v>37.630235459188825</v>
      </c>
      <c r="L51" s="745" t="s">
        <v>215</v>
      </c>
      <c r="M51" s="729">
        <f t="shared" ref="M51:AA51" si="54">x.1ld*x.1ld-x.2ld*x.2ld</f>
        <v>-2412424</v>
      </c>
      <c r="N51" s="729">
        <f t="shared" si="54"/>
        <v>-2500235</v>
      </c>
      <c r="O51" s="729">
        <f t="shared" si="54"/>
        <v>-2415616</v>
      </c>
      <c r="P51" s="729">
        <f t="shared" si="54"/>
        <v>-2417184</v>
      </c>
      <c r="Q51" s="729">
        <f t="shared" si="54"/>
        <v>-2418752</v>
      </c>
      <c r="R51" s="729">
        <f t="shared" si="54"/>
        <v>-2420320</v>
      </c>
      <c r="S51" s="729">
        <f t="shared" si="54"/>
        <v>-2421888</v>
      </c>
      <c r="T51" s="729">
        <f t="shared" si="54"/>
        <v>-2423456</v>
      </c>
      <c r="U51" s="729">
        <f t="shared" si="54"/>
        <v>-2425024</v>
      </c>
      <c r="V51" s="729">
        <f t="shared" si="54"/>
        <v>-2426592</v>
      </c>
      <c r="W51" s="729">
        <f t="shared" si="54"/>
        <v>-2428160</v>
      </c>
      <c r="X51" s="729">
        <f t="shared" si="54"/>
        <v>-2429728</v>
      </c>
      <c r="Y51" s="729">
        <f t="shared" si="54"/>
        <v>-2431296</v>
      </c>
      <c r="Z51" s="729">
        <f t="shared" si="54"/>
        <v>-2432864</v>
      </c>
      <c r="AA51" s="729">
        <f t="shared" si="54"/>
        <v>-2521405</v>
      </c>
      <c r="AC51" s="7"/>
      <c r="AD51" s="7"/>
      <c r="AE51" s="7"/>
      <c r="AF51" s="7"/>
      <c r="AH51" s="7"/>
      <c r="AI51" s="74"/>
      <c r="AO51" s="1039">
        <v>43137</v>
      </c>
      <c r="AP51" s="13">
        <f t="shared" si="11"/>
        <v>3</v>
      </c>
      <c r="AQ51" s="13">
        <f t="shared" si="12"/>
        <v>4</v>
      </c>
      <c r="AR51" s="173">
        <f t="shared" si="13"/>
        <v>43136</v>
      </c>
      <c r="AS51" s="742">
        <f t="shared" si="14"/>
        <v>3.5714285714285712E-2</v>
      </c>
      <c r="AT51" s="758">
        <f t="shared" si="15"/>
        <v>37.61709728981036</v>
      </c>
      <c r="AU51" s="13">
        <f t="shared" si="16"/>
        <v>3</v>
      </c>
      <c r="AV51" s="13">
        <f t="shared" si="17"/>
        <v>2</v>
      </c>
      <c r="AW51" s="173">
        <f t="shared" si="18"/>
        <v>43150</v>
      </c>
      <c r="AX51" s="742">
        <f t="shared" si="19"/>
        <v>0.4642857142857143</v>
      </c>
      <c r="AY51" s="758">
        <f t="shared" si="20"/>
        <v>37.456209167967813</v>
      </c>
      <c r="AZ51" s="735">
        <f t="shared" si="26"/>
        <v>37.536653228889087</v>
      </c>
      <c r="BA51" s="633">
        <f t="shared" si="21"/>
        <v>1.0418668944962122</v>
      </c>
      <c r="BC51" s="11">
        <v>43137</v>
      </c>
      <c r="BD51" s="289">
        <f>[3]!FeuilCaduc*(1-Persistant)+Persistant</f>
        <v>0.80016401975568541</v>
      </c>
      <c r="BE51" s="290">
        <f>[3]!CroissVégét</f>
        <v>4.7026958080162657E-3</v>
      </c>
      <c r="BF51" s="804">
        <f>1+[3]!Salcycl*Ksac</f>
        <v>1.0000410049389212</v>
      </c>
      <c r="BH51" s="1037">
        <f t="shared" si="22"/>
        <v>0.1087369599040926</v>
      </c>
      <c r="BI51" s="11">
        <v>44233</v>
      </c>
      <c r="BJ51" s="715">
        <v>1.0512496073664078E-3</v>
      </c>
      <c r="BK51" s="715">
        <v>4.3940735130759984E-3</v>
      </c>
      <c r="BL51" s="715">
        <v>1.836210301843191E-2</v>
      </c>
      <c r="BM51" s="715">
        <v>5.5341392028143005E-2</v>
      </c>
      <c r="BN51" s="715">
        <v>0.12217464116172999</v>
      </c>
      <c r="BO51" s="716">
        <v>0.21881491782328605</v>
      </c>
      <c r="BP51" s="715">
        <v>0.33855319983735022</v>
      </c>
      <c r="BQ51" s="715">
        <v>0.47458479958665478</v>
      </c>
      <c r="BR51" s="715">
        <v>0.67899357343945732</v>
      </c>
      <c r="BS51" s="715">
        <v>0.95124782548817655</v>
      </c>
      <c r="BT51" s="715">
        <v>1.2899986891156312</v>
      </c>
      <c r="BW51" s="1185">
        <f>'2019'!R\Max</f>
        <v>0</v>
      </c>
      <c r="BX51" s="1185">
        <f>'2020'!R\Max</f>
        <v>1.0418668944962122</v>
      </c>
      <c r="BY51" s="1185">
        <f>'2021'!R\Max</f>
        <v>0.22482595714475456</v>
      </c>
      <c r="BZ51" s="1185">
        <f>'2022'!R\Max</f>
        <v>0.77680943835486993</v>
      </c>
      <c r="CA51" s="1185">
        <f>'2023'!R\Max</f>
        <v>0.77524974907244437</v>
      </c>
      <c r="CB51" s="1185">
        <f>'2024'!R\Max</f>
        <v>0.77362656913509864</v>
      </c>
      <c r="CC51" s="1185">
        <f>'2025'!R\Max</f>
        <v>0.77191236557268628</v>
      </c>
      <c r="CD51" s="1185">
        <f>'2026'!R\Max</f>
        <v>0.77003292084932329</v>
      </c>
      <c r="CE51" s="1186">
        <f>'2027'!R\Max</f>
        <v>0.77923566329621519</v>
      </c>
      <c r="CF51" s="1187">
        <f>'2028'!R\Max</f>
        <v>0.77795544900837488</v>
      </c>
    </row>
    <row r="52" spans="1:84" s="6" customFormat="1" ht="11.25" x14ac:dyDescent="0.2">
      <c r="A52" s="11">
        <v>43138</v>
      </c>
      <c r="B52" s="379">
        <f>'2022'!Maxi_hp</f>
        <v>26.902092201697947</v>
      </c>
      <c r="C52" s="13">
        <f>'2022'!An_max</f>
        <v>2020</v>
      </c>
      <c r="D52" s="1046" t="str">
        <f t="shared" si="7"/>
        <v/>
      </c>
      <c r="E52" s="13"/>
      <c r="F52" s="13">
        <f t="shared" si="23"/>
        <v>5</v>
      </c>
      <c r="G52" s="13">
        <f t="shared" si="24"/>
        <v>4</v>
      </c>
      <c r="H52" s="173">
        <f t="shared" si="8"/>
        <v>43150</v>
      </c>
      <c r="I52" s="742">
        <f t="shared" si="9"/>
        <v>0.8571428571428571</v>
      </c>
      <c r="J52" s="735">
        <f t="shared" si="27"/>
        <v>37.985869387769235</v>
      </c>
      <c r="L52" s="745" t="s">
        <v>216</v>
      </c>
      <c r="M52" s="729">
        <f t="shared" ref="M52:AA52" si="55">x.2ld*x.2ld-x.3ld*x.3ld</f>
        <v>-2500235</v>
      </c>
      <c r="N52" s="729">
        <f t="shared" si="55"/>
        <v>-2415616</v>
      </c>
      <c r="O52" s="729">
        <f t="shared" si="55"/>
        <v>-2417184</v>
      </c>
      <c r="P52" s="729">
        <f t="shared" si="55"/>
        <v>-2418752</v>
      </c>
      <c r="Q52" s="729">
        <f t="shared" si="55"/>
        <v>-2420320</v>
      </c>
      <c r="R52" s="729">
        <f t="shared" si="55"/>
        <v>-2421888</v>
      </c>
      <c r="S52" s="729">
        <f t="shared" si="55"/>
        <v>-2423456</v>
      </c>
      <c r="T52" s="729">
        <f t="shared" si="55"/>
        <v>-2425024</v>
      </c>
      <c r="U52" s="729">
        <f t="shared" si="55"/>
        <v>-2426592</v>
      </c>
      <c r="V52" s="729">
        <f t="shared" si="55"/>
        <v>-2428160</v>
      </c>
      <c r="W52" s="729">
        <f t="shared" si="55"/>
        <v>-2429728</v>
      </c>
      <c r="X52" s="729">
        <f t="shared" si="55"/>
        <v>-2431296</v>
      </c>
      <c r="Y52" s="729">
        <f t="shared" si="55"/>
        <v>-2432864</v>
      </c>
      <c r="Z52" s="729">
        <f t="shared" si="55"/>
        <v>-2521405</v>
      </c>
      <c r="AA52" s="729">
        <f t="shared" si="55"/>
        <v>-2436056</v>
      </c>
      <c r="AC52" s="7"/>
      <c r="AD52" s="7"/>
      <c r="AE52" s="7"/>
      <c r="AF52" s="7"/>
      <c r="AH52" s="7"/>
      <c r="AI52" s="74"/>
      <c r="AO52" s="1039">
        <v>43138</v>
      </c>
      <c r="AP52" s="13">
        <f t="shared" si="11"/>
        <v>3</v>
      </c>
      <c r="AQ52" s="13">
        <f t="shared" si="12"/>
        <v>4</v>
      </c>
      <c r="AR52" s="173">
        <f t="shared" si="13"/>
        <v>43136</v>
      </c>
      <c r="AS52" s="742">
        <f t="shared" si="14"/>
        <v>7.1428571428571425E-2</v>
      </c>
      <c r="AT52" s="758">
        <f t="shared" si="15"/>
        <v>37.961653316453365</v>
      </c>
      <c r="AU52" s="13">
        <f t="shared" si="16"/>
        <v>3</v>
      </c>
      <c r="AV52" s="13">
        <f t="shared" si="17"/>
        <v>2</v>
      </c>
      <c r="AW52" s="173">
        <f t="shared" si="18"/>
        <v>43150</v>
      </c>
      <c r="AX52" s="742">
        <f t="shared" si="19"/>
        <v>0.42857142857142855</v>
      </c>
      <c r="AY52" s="758">
        <f t="shared" si="20"/>
        <v>37.829854520410301</v>
      </c>
      <c r="AZ52" s="735">
        <f t="shared" si="26"/>
        <v>37.895753918431836</v>
      </c>
      <c r="BA52" s="633">
        <f t="shared" si="21"/>
        <v>0.70821314966032967</v>
      </c>
      <c r="BC52" s="11">
        <v>43138</v>
      </c>
      <c r="BD52" s="289">
        <f>[3]!FeuilCaduc*(1-Persistant)+Persistant</f>
        <v>0.80020708920065409</v>
      </c>
      <c r="BE52" s="290">
        <f>[3]!CroissVégét</f>
        <v>4.9567764778191995E-3</v>
      </c>
      <c r="BF52" s="804">
        <f>1+[3]!Salcycl*Ksac</f>
        <v>1.0000517723001634</v>
      </c>
      <c r="BH52" s="1037">
        <f t="shared" si="22"/>
        <v>0.10317660097517439</v>
      </c>
      <c r="BI52" s="11">
        <v>44234</v>
      </c>
      <c r="BJ52" s="715">
        <v>1.0282235219475388E-3</v>
      </c>
      <c r="BK52" s="715">
        <v>4.1026429742145529E-3</v>
      </c>
      <c r="BL52" s="715">
        <v>1.6634901027755319E-2</v>
      </c>
      <c r="BM52" s="715">
        <v>5.1213821633705726E-2</v>
      </c>
      <c r="BN52" s="715">
        <v>0.11625370257420263</v>
      </c>
      <c r="BO52" s="716">
        <v>0.21267556260988565</v>
      </c>
      <c r="BP52" s="715">
        <v>0.33447654205139921</v>
      </c>
      <c r="BQ52" s="715">
        <v>0.47140261646005588</v>
      </c>
      <c r="BR52" s="715">
        <v>0.6722565987551713</v>
      </c>
      <c r="BS52" s="715">
        <v>0.94037190748108856</v>
      </c>
      <c r="BT52" s="715">
        <v>1.2764358868527299</v>
      </c>
      <c r="BW52" s="1185">
        <f>'2019'!R\Max</f>
        <v>0</v>
      </c>
      <c r="BX52" s="1185">
        <f>'2020'!R\Max</f>
        <v>0.70821314966032967</v>
      </c>
      <c r="BY52" s="1185">
        <f>'2021'!R\Max</f>
        <v>0.69437737519999032</v>
      </c>
      <c r="BZ52" s="1185">
        <f>'2022'!R\Max</f>
        <v>0.34455344750150069</v>
      </c>
      <c r="CA52" s="1185">
        <f>'2023'!R\Max</f>
        <v>0.34251929529322817</v>
      </c>
      <c r="CB52" s="1185">
        <f>'2024'!R\Max</f>
        <v>0.34041377794785155</v>
      </c>
      <c r="CC52" s="1185">
        <f>'2025'!R\Max</f>
        <v>0.3382169460061516</v>
      </c>
      <c r="CD52" s="1185">
        <f>'2026'!R\Max</f>
        <v>0.33584544403204575</v>
      </c>
      <c r="CE52" s="1186">
        <f>'2027'!R\Max</f>
        <v>0.3476959609843811</v>
      </c>
      <c r="CF52" s="1187">
        <f>'2028'!R\Max</f>
        <v>0.34603303390531615</v>
      </c>
    </row>
    <row r="53" spans="1:84" s="6" customFormat="1" ht="11.25" x14ac:dyDescent="0.2">
      <c r="A53" s="11">
        <v>43139</v>
      </c>
      <c r="B53" s="379">
        <f>'2022'!Maxi_hp</f>
        <v>38.152331128620446</v>
      </c>
      <c r="C53" s="13">
        <f>'2022'!An_max</f>
        <v>2022</v>
      </c>
      <c r="D53" s="1046">
        <f t="shared" si="7"/>
        <v>0.99505860398648416</v>
      </c>
      <c r="E53" s="13"/>
      <c r="F53" s="13">
        <f t="shared" si="23"/>
        <v>5</v>
      </c>
      <c r="G53" s="13">
        <f t="shared" si="24"/>
        <v>4</v>
      </c>
      <c r="H53" s="173">
        <f t="shared" si="8"/>
        <v>43150</v>
      </c>
      <c r="I53" s="742">
        <f t="shared" si="9"/>
        <v>0.7857142857142857</v>
      </c>
      <c r="J53" s="735">
        <f t="shared" si="27"/>
        <v>38.341793112256397</v>
      </c>
      <c r="L53" s="745" t="s">
        <v>217</v>
      </c>
      <c r="M53" s="729">
        <f t="shared" ref="M53:AA53" si="56">(y.1ld-y.2ld-b.ld*(x.1ld-x.2ld))/D2x12Ld</f>
        <v>6.5179975801569187E-2</v>
      </c>
      <c r="N53" s="729">
        <f t="shared" si="56"/>
        <v>2.1390199637021018E-2</v>
      </c>
      <c r="O53" s="729">
        <f t="shared" si="56"/>
        <v>-1.9017857142854357E-3</v>
      </c>
      <c r="P53" s="729">
        <f t="shared" si="56"/>
        <v>-1.7116071428573989E-2</v>
      </c>
      <c r="Q53" s="729">
        <f t="shared" si="56"/>
        <v>-2.6625000000001051E-2</v>
      </c>
      <c r="R53" s="729">
        <f t="shared" si="56"/>
        <v>-1.648214285714417E-2</v>
      </c>
      <c r="S53" s="729">
        <f t="shared" si="56"/>
        <v>-1.5214285714283871E-2</v>
      </c>
      <c r="T53" s="729">
        <f t="shared" si="56"/>
        <v>-8.8750000000014477E-3</v>
      </c>
      <c r="U53" s="729">
        <f t="shared" si="56"/>
        <v>-5.0714285714290796E-3</v>
      </c>
      <c r="V53" s="729">
        <f t="shared" si="56"/>
        <v>-1.5214285714284579E-2</v>
      </c>
      <c r="W53" s="729">
        <f t="shared" si="56"/>
        <v>-8.8749999999997806E-3</v>
      </c>
      <c r="X53" s="729">
        <f t="shared" si="56"/>
        <v>5.0714285714282886E-3</v>
      </c>
      <c r="Y53" s="729">
        <f t="shared" si="56"/>
        <v>2.2187499999998191E-2</v>
      </c>
      <c r="Z53" s="729">
        <f t="shared" si="56"/>
        <v>6.5179975801564455E-2</v>
      </c>
      <c r="AA53" s="729">
        <f t="shared" si="56"/>
        <v>2.1390199637026007E-2</v>
      </c>
      <c r="AC53" s="7"/>
      <c r="AD53" s="7"/>
      <c r="AE53" s="7"/>
      <c r="AF53" s="7"/>
      <c r="AH53" s="7"/>
      <c r="AI53" s="74"/>
      <c r="AO53" s="1039">
        <v>43139</v>
      </c>
      <c r="AP53" s="13">
        <f t="shared" si="11"/>
        <v>3</v>
      </c>
      <c r="AQ53" s="13">
        <f t="shared" si="12"/>
        <v>4</v>
      </c>
      <c r="AR53" s="173">
        <f t="shared" si="13"/>
        <v>43136</v>
      </c>
      <c r="AS53" s="742">
        <f t="shared" si="14"/>
        <v>0.10714285714285714</v>
      </c>
      <c r="AT53" s="758">
        <f t="shared" si="15"/>
        <v>38.308464317748857</v>
      </c>
      <c r="AU53" s="13">
        <f t="shared" si="16"/>
        <v>3</v>
      </c>
      <c r="AV53" s="13">
        <f t="shared" si="17"/>
        <v>2</v>
      </c>
      <c r="AW53" s="173">
        <f t="shared" si="18"/>
        <v>43150</v>
      </c>
      <c r="AX53" s="742">
        <f t="shared" si="19"/>
        <v>0.39285714285714285</v>
      </c>
      <c r="AY53" s="758">
        <f t="shared" si="20"/>
        <v>38.204450485936832</v>
      </c>
      <c r="AZ53" s="735">
        <f t="shared" si="26"/>
        <v>38.256457401842844</v>
      </c>
      <c r="BA53" s="633">
        <f t="shared" si="21"/>
        <v>0.99505860398648416</v>
      </c>
      <c r="BC53" s="11">
        <v>43139</v>
      </c>
      <c r="BD53" s="289">
        <f>[3]!FeuilCaduc*(1-Persistant)+Persistant</f>
        <v>0.80025413241988708</v>
      </c>
      <c r="BE53" s="290">
        <f>[3]!CroissVégét</f>
        <v>5.2213784245517241E-3</v>
      </c>
      <c r="BF53" s="804">
        <f>1+[3]!Salcycl*Ksac</f>
        <v>1.0000635331049719</v>
      </c>
      <c r="BH53" s="1037">
        <f t="shared" si="22"/>
        <v>9.7557896085696968E-2</v>
      </c>
      <c r="BI53" s="11">
        <v>44235</v>
      </c>
      <c r="BJ53" s="715">
        <v>1.0057026523021225E-3</v>
      </c>
      <c r="BK53" s="715">
        <v>3.8404529833083226E-3</v>
      </c>
      <c r="BL53" s="715">
        <v>1.5044670191990869E-2</v>
      </c>
      <c r="BM53" s="715">
        <v>4.7213955051406881E-2</v>
      </c>
      <c r="BN53" s="715">
        <v>0.1102275962084443</v>
      </c>
      <c r="BO53" s="716">
        <v>0.20608678706063405</v>
      </c>
      <c r="BP53" s="715">
        <v>0.32969800929930299</v>
      </c>
      <c r="BQ53" s="715">
        <v>0.46765581307485848</v>
      </c>
      <c r="BR53" s="715">
        <v>0.6652727554119463</v>
      </c>
      <c r="BS53" s="715">
        <v>0.92912579384157157</v>
      </c>
      <c r="BT53" s="715">
        <v>1.2617333224181442</v>
      </c>
      <c r="BW53" s="1185">
        <f>'2019'!R\Max</f>
        <v>0</v>
      </c>
      <c r="BX53" s="1185">
        <f>'2020'!R\Max</f>
        <v>0.8803118580272481</v>
      </c>
      <c r="BY53" s="1185">
        <f>'2021'!R\Max</f>
        <v>0.11658358967769049</v>
      </c>
      <c r="BZ53" s="1185">
        <f>'2022'!R\Max</f>
        <v>0.99505860398648416</v>
      </c>
      <c r="CA53" s="1185">
        <f>'2023'!R\Max</f>
        <v>0.99501393131401894</v>
      </c>
      <c r="CB53" s="1185">
        <f>'2024'!R\Max</f>
        <v>0.99496700962319184</v>
      </c>
      <c r="CC53" s="1185">
        <f>'2025'!R\Max</f>
        <v>0.99491756272170251</v>
      </c>
      <c r="CD53" s="1185">
        <f>'2026'!R\Max</f>
        <v>0.99486371263636986</v>
      </c>
      <c r="CE53" s="1186">
        <f>'2027'!R\Max</f>
        <v>0.99512539255387245</v>
      </c>
      <c r="CF53" s="1187">
        <f>'2028'!R\Max</f>
        <v>0.99509019751553862</v>
      </c>
    </row>
    <row r="54" spans="1:84" s="6" customFormat="1" ht="11.25" x14ac:dyDescent="0.2">
      <c r="A54" s="11">
        <v>43140</v>
      </c>
      <c r="B54" s="379">
        <f>'2022'!Maxi_hp</f>
        <v>38.847312619802175</v>
      </c>
      <c r="C54" s="13">
        <f>'2022'!An_max</f>
        <v>2022</v>
      </c>
      <c r="D54" s="1046">
        <f t="shared" si="7"/>
        <v>1.0038610536611314</v>
      </c>
      <c r="E54" s="13"/>
      <c r="F54" s="13">
        <f t="shared" si="23"/>
        <v>5</v>
      </c>
      <c r="G54" s="13">
        <f t="shared" si="24"/>
        <v>4</v>
      </c>
      <c r="H54" s="173">
        <f t="shared" si="8"/>
        <v>43150</v>
      </c>
      <c r="I54" s="742">
        <f t="shared" si="9"/>
        <v>0.7142857142857143</v>
      </c>
      <c r="J54" s="735">
        <f t="shared" si="27"/>
        <v>38.697897959208682</v>
      </c>
      <c r="L54" s="745" t="s">
        <v>218</v>
      </c>
      <c r="M54" s="729">
        <f t="shared" ref="M54:AA54" si="57">(y.2ld-y.3ld-(y.1ld-y.2ld)*D2x23Ld/D2x12Ld)/(x.2ld-x.3ld)/(1-(x.2ld+x.3ld)/(x.1ld+x.2ld))</f>
        <v>-5617.1608551115987</v>
      </c>
      <c r="N54" s="729">
        <f t="shared" si="57"/>
        <v>-1841.8253030850776</v>
      </c>
      <c r="O54" s="729">
        <f t="shared" si="57"/>
        <v>167.6208571428331</v>
      </c>
      <c r="P54" s="729">
        <f t="shared" si="57"/>
        <v>1481.0397142859351</v>
      </c>
      <c r="Q54" s="729">
        <f t="shared" si="57"/>
        <v>2302.4590000000908</v>
      </c>
      <c r="R54" s="729">
        <f t="shared" si="57"/>
        <v>1425.710428571542</v>
      </c>
      <c r="S54" s="729">
        <f t="shared" si="57"/>
        <v>1316.0458571426975</v>
      </c>
      <c r="T54" s="729">
        <f t="shared" si="57"/>
        <v>767.36800000012545</v>
      </c>
      <c r="U54" s="729">
        <f t="shared" si="57"/>
        <v>437.94828571432976</v>
      </c>
      <c r="V54" s="729">
        <f t="shared" si="57"/>
        <v>1316.9688571427589</v>
      </c>
      <c r="W54" s="729">
        <f t="shared" si="57"/>
        <v>767.2259999999809</v>
      </c>
      <c r="X54" s="729">
        <f t="shared" si="57"/>
        <v>-442.9892857142612</v>
      </c>
      <c r="Y54" s="729">
        <f t="shared" si="57"/>
        <v>-1929.2119999998429</v>
      </c>
      <c r="Z54" s="729">
        <f t="shared" si="57"/>
        <v>-5664.7422374463331</v>
      </c>
      <c r="AA54" s="729">
        <f t="shared" si="57"/>
        <v>-1857.4401488205365</v>
      </c>
      <c r="AC54" s="7"/>
      <c r="AD54" s="7"/>
      <c r="AE54" s="7"/>
      <c r="AF54" s="7"/>
      <c r="AH54" s="7"/>
      <c r="AI54" s="74"/>
      <c r="AO54" s="1039">
        <v>43140</v>
      </c>
      <c r="AP54" s="13">
        <f t="shared" si="11"/>
        <v>3</v>
      </c>
      <c r="AQ54" s="13">
        <f t="shared" si="12"/>
        <v>4</v>
      </c>
      <c r="AR54" s="173">
        <f t="shared" si="13"/>
        <v>43136</v>
      </c>
      <c r="AS54" s="742">
        <f t="shared" si="14"/>
        <v>0.14285714285714285</v>
      </c>
      <c r="AT54" s="758">
        <f t="shared" si="15"/>
        <v>38.657326530691769</v>
      </c>
      <c r="AU54" s="13">
        <f t="shared" si="16"/>
        <v>3</v>
      </c>
      <c r="AV54" s="13">
        <f t="shared" si="17"/>
        <v>2</v>
      </c>
      <c r="AW54" s="173">
        <f t="shared" si="18"/>
        <v>43150</v>
      </c>
      <c r="AX54" s="742">
        <f t="shared" si="19"/>
        <v>0.35714285714285715</v>
      </c>
      <c r="AY54" s="758">
        <f t="shared" si="20"/>
        <v>38.579497951239219</v>
      </c>
      <c r="AZ54" s="735">
        <f t="shared" si="26"/>
        <v>38.618412240965498</v>
      </c>
      <c r="BA54" s="633">
        <f t="shared" si="21"/>
        <v>1.0038610536611314</v>
      </c>
      <c r="BC54" s="11">
        <v>43140</v>
      </c>
      <c r="BD54" s="289">
        <f>[3]!FeuilCaduc*(1-Persistant)+Persistant</f>
        <v>0.80030473453284146</v>
      </c>
      <c r="BE54" s="290">
        <f>[3]!CroissVégét</f>
        <v>5.4969313417339892E-3</v>
      </c>
      <c r="BF54" s="804">
        <f>1+[3]!Salcycl*Ksac</f>
        <v>1.0000761836332104</v>
      </c>
      <c r="BH54" s="1037">
        <f t="shared" si="22"/>
        <v>9.1881033568583334E-2</v>
      </c>
      <c r="BI54" s="11">
        <v>44236</v>
      </c>
      <c r="BJ54" s="715">
        <v>9.8368833130806424E-4</v>
      </c>
      <c r="BK54" s="715">
        <v>3.6075032308857105E-3</v>
      </c>
      <c r="BL54" s="715">
        <v>1.3591408700330194E-2</v>
      </c>
      <c r="BM54" s="715">
        <v>4.3341855114527109E-2</v>
      </c>
      <c r="BN54" s="715">
        <v>0.10409654198097679</v>
      </c>
      <c r="BO54" s="716">
        <v>0.19904902439607705</v>
      </c>
      <c r="BP54" s="715">
        <v>0.32421823745295653</v>
      </c>
      <c r="BQ54" s="715">
        <v>0.46334515292777012</v>
      </c>
      <c r="BR54" s="715">
        <v>0.65804300181653708</v>
      </c>
      <c r="BS54" s="715">
        <v>0.91751084329183874</v>
      </c>
      <c r="BT54" s="715">
        <v>1.2458929993094117</v>
      </c>
      <c r="BW54" s="1185">
        <f>'2019'!R\Max</f>
        <v>0</v>
      </c>
      <c r="BX54" s="1185">
        <f>'2020'!R\Max</f>
        <v>0.71194941189844885</v>
      </c>
      <c r="BY54" s="1185">
        <f>'2021'!R\Max</f>
        <v>0.40354574734039672</v>
      </c>
      <c r="BZ54" s="1185">
        <f>'2022'!R\Max</f>
        <v>1.0038610536611314</v>
      </c>
      <c r="CA54" s="1185">
        <f>'2023'!R\Max</f>
        <v>1.0038610536611314</v>
      </c>
      <c r="CB54" s="1185">
        <f>'2024'!R\Max</f>
        <v>1.0038610536611314</v>
      </c>
      <c r="CC54" s="1185">
        <f>'2025'!R\Max</f>
        <v>1.0038610536611314</v>
      </c>
      <c r="CD54" s="1185">
        <f>'2026'!R\Max</f>
        <v>1.0038610536611314</v>
      </c>
      <c r="CE54" s="1186">
        <f>'2027'!R\Max</f>
        <v>1.0038610536611314</v>
      </c>
      <c r="CF54" s="1187">
        <f>'2028'!R\Max</f>
        <v>1.0038610536611314</v>
      </c>
    </row>
    <row r="55" spans="1:84" s="6" customFormat="1" ht="11.25" x14ac:dyDescent="0.2">
      <c r="A55" s="11">
        <v>43141</v>
      </c>
      <c r="B55" s="379">
        <f>'2022'!Maxi_hp</f>
        <v>36.596337758972943</v>
      </c>
      <c r="C55" s="13">
        <f>'2022'!An_max</f>
        <v>2022</v>
      </c>
      <c r="D55" s="1046" t="str">
        <f t="shared" si="7"/>
        <v/>
      </c>
      <c r="E55" s="13"/>
      <c r="F55" s="13">
        <f t="shared" si="23"/>
        <v>5</v>
      </c>
      <c r="G55" s="13">
        <f t="shared" si="24"/>
        <v>4</v>
      </c>
      <c r="H55" s="173">
        <f t="shared" si="8"/>
        <v>43150</v>
      </c>
      <c r="I55" s="742">
        <f t="shared" si="9"/>
        <v>0.6428571428571429</v>
      </c>
      <c r="J55" s="735">
        <f t="shared" si="27"/>
        <v>39.054075255080534</v>
      </c>
      <c r="L55" s="745" t="s">
        <v>219</v>
      </c>
      <c r="M55" s="729">
        <f t="shared" ref="M55:AA55" si="58">(y.1ld+y.2ld+y.3ld-a.ld*(x.3ld*x.3ld+x.2ld*x.2ld+x.1ld*x.1ld)-b.ld*(x.3ld+x.2ld+x.1ld))/3</f>
        <v>121020919.74215104</v>
      </c>
      <c r="N55" s="729">
        <f t="shared" si="58"/>
        <v>39648290.294459827</v>
      </c>
      <c r="O55" s="729">
        <f t="shared" si="58"/>
        <v>-3691439.924106624</v>
      </c>
      <c r="P55" s="729">
        <f t="shared" si="58"/>
        <v>-32037642.716969047</v>
      </c>
      <c r="Q55" s="729">
        <f t="shared" si="58"/>
        <v>-49777011.747501962</v>
      </c>
      <c r="R55" s="729">
        <f t="shared" si="58"/>
        <v>-30830477.106931016</v>
      </c>
      <c r="S55" s="729">
        <f t="shared" si="58"/>
        <v>-28459090.662853688</v>
      </c>
      <c r="T55" s="729">
        <f t="shared" si="58"/>
        <v>-16586800.432502719</v>
      </c>
      <c r="U55" s="729">
        <f t="shared" si="58"/>
        <v>-9454205.5242866669</v>
      </c>
      <c r="V55" s="729">
        <f t="shared" si="58"/>
        <v>-28499063.236855026</v>
      </c>
      <c r="W55" s="729">
        <f t="shared" si="58"/>
        <v>-16580639.336499581</v>
      </c>
      <c r="X55" s="729">
        <f t="shared" si="58"/>
        <v>9673768.3382851835</v>
      </c>
      <c r="Y55" s="729">
        <f t="shared" si="58"/>
        <v>41936687.665246584</v>
      </c>
      <c r="Z55" s="729">
        <f t="shared" si="58"/>
        <v>123079867.05653401</v>
      </c>
      <c r="AA55" s="729">
        <f t="shared" si="58"/>
        <v>40323406.239441954</v>
      </c>
      <c r="AB55" s="7"/>
      <c r="AC55" s="7"/>
      <c r="AD55" s="7"/>
      <c r="AE55" s="7"/>
      <c r="AF55" s="7"/>
      <c r="AH55" s="7"/>
      <c r="AI55" s="74"/>
      <c r="AO55" s="1039">
        <v>43141</v>
      </c>
      <c r="AP55" s="13">
        <f t="shared" si="11"/>
        <v>3</v>
      </c>
      <c r="AQ55" s="13">
        <f t="shared" si="12"/>
        <v>4</v>
      </c>
      <c r="AR55" s="173">
        <f t="shared" si="13"/>
        <v>43136</v>
      </c>
      <c r="AS55" s="742">
        <f t="shared" si="14"/>
        <v>0.17857142857142858</v>
      </c>
      <c r="AT55" s="758">
        <f t="shared" si="15"/>
        <v>39.008036192726081</v>
      </c>
      <c r="AU55" s="13">
        <f t="shared" si="16"/>
        <v>3</v>
      </c>
      <c r="AV55" s="13">
        <f t="shared" si="17"/>
        <v>2</v>
      </c>
      <c r="AW55" s="173">
        <f t="shared" si="18"/>
        <v>43150</v>
      </c>
      <c r="AX55" s="742">
        <f t="shared" si="19"/>
        <v>0.32142857142857145</v>
      </c>
      <c r="AY55" s="758">
        <f t="shared" si="20"/>
        <v>38.954497801580672</v>
      </c>
      <c r="AZ55" s="735">
        <f t="shared" si="26"/>
        <v>38.981266997153377</v>
      </c>
      <c r="BA55" s="633">
        <f t="shared" si="21"/>
        <v>0.93706834741176304</v>
      </c>
      <c r="BC55" s="11">
        <v>43141</v>
      </c>
      <c r="BD55" s="289">
        <f>[3]!FeuilCaduc*(1-Persistant)+Persistant</f>
        <v>0.80035846355285278</v>
      </c>
      <c r="BE55" s="290">
        <f>[3]!CroissVégét</f>
        <v>5.7838819630590035E-3</v>
      </c>
      <c r="BF55" s="804">
        <f>1+[3]!Salcycl*Ksac</f>
        <v>1.0000896158882131</v>
      </c>
      <c r="BH55" s="1037">
        <f t="shared" si="22"/>
        <v>8.614617432197616E-2</v>
      </c>
      <c r="BI55" s="11">
        <v>44237</v>
      </c>
      <c r="BJ55" s="715">
        <v>9.6218177418328583E-4</v>
      </c>
      <c r="BK55" s="715">
        <v>3.4037917838001461E-3</v>
      </c>
      <c r="BL55" s="715">
        <v>1.2275105324401169E-2</v>
      </c>
      <c r="BM55" s="715">
        <v>3.9597563300187516E-2</v>
      </c>
      <c r="BN55" s="715">
        <v>9.7860730843778457E-2</v>
      </c>
      <c r="BO55" s="716">
        <v>0.19156267979186095</v>
      </c>
      <c r="BP55" s="715">
        <v>0.31803784615115294</v>
      </c>
      <c r="BQ55" s="715">
        <v>0.45847138702213386</v>
      </c>
      <c r="BR55" s="715">
        <v>0.65056826435913617</v>
      </c>
      <c r="BS55" s="715">
        <v>0.90552836264878622</v>
      </c>
      <c r="BT55" s="715">
        <v>1.22891686022534</v>
      </c>
      <c r="BW55" s="1185">
        <f>'2019'!R\Max</f>
        <v>0</v>
      </c>
      <c r="BX55" s="1185">
        <f>'2020'!R\Max</f>
        <v>0.44768409505558632</v>
      </c>
      <c r="BY55" s="1185">
        <f>'2021'!R\Max</f>
        <v>0.30817940708057806</v>
      </c>
      <c r="BZ55" s="1185">
        <f>'2022'!R\Max</f>
        <v>0.93706834741176304</v>
      </c>
      <c r="CA55" s="1185">
        <f>'2023'!R\Max</f>
        <v>0.93653354451918269</v>
      </c>
      <c r="CB55" s="1185">
        <f>'2024'!R\Max</f>
        <v>0.93596929509639093</v>
      </c>
      <c r="CC55" s="1185">
        <f>'2025'!R\Max</f>
        <v>0.93537640823433665</v>
      </c>
      <c r="CD55" s="1185">
        <f>'2026'!R\Max</f>
        <v>0.93473363331249049</v>
      </c>
      <c r="CE55" s="1186">
        <f>'2027'!R\Max</f>
        <v>0.93783775965038063</v>
      </c>
      <c r="CF55" s="1187">
        <f>'2028'!R\Max</f>
        <v>0.93743208921771337</v>
      </c>
    </row>
    <row r="56" spans="1:84" s="6" customFormat="1" ht="11.25" x14ac:dyDescent="0.2">
      <c r="A56" s="11">
        <v>43142</v>
      </c>
      <c r="B56" s="379">
        <f>'2022'!Maxi_hp</f>
        <v>36.404215155133031</v>
      </c>
      <c r="C56" s="13">
        <f>'2022'!An_max</f>
        <v>2021</v>
      </c>
      <c r="D56" s="1046" t="str">
        <f t="shared" si="7"/>
        <v/>
      </c>
      <c r="E56" s="13"/>
      <c r="F56" s="13">
        <f t="shared" si="23"/>
        <v>5</v>
      </c>
      <c r="G56" s="13">
        <f t="shared" si="24"/>
        <v>4</v>
      </c>
      <c r="H56" s="173">
        <f t="shared" si="8"/>
        <v>43150</v>
      </c>
      <c r="I56" s="742">
        <f t="shared" si="9"/>
        <v>0.5714285714285714</v>
      </c>
      <c r="J56" s="735">
        <f t="shared" si="27"/>
        <v>39.410216326517649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39">
        <v>43142</v>
      </c>
      <c r="AP56" s="13">
        <f t="shared" si="11"/>
        <v>3</v>
      </c>
      <c r="AQ56" s="13">
        <f t="shared" si="12"/>
        <v>4</v>
      </c>
      <c r="AR56" s="173">
        <f t="shared" si="13"/>
        <v>43136</v>
      </c>
      <c r="AS56" s="742">
        <f t="shared" si="14"/>
        <v>0.21428571428571427</v>
      </c>
      <c r="AT56" s="758">
        <f t="shared" si="15"/>
        <v>39.360389541023011</v>
      </c>
      <c r="AU56" s="13">
        <f t="shared" si="16"/>
        <v>3</v>
      </c>
      <c r="AV56" s="13">
        <f t="shared" si="17"/>
        <v>2</v>
      </c>
      <c r="AW56" s="173">
        <f t="shared" si="18"/>
        <v>43150</v>
      </c>
      <c r="AX56" s="742">
        <f t="shared" si="19"/>
        <v>0.2857142857142857</v>
      </c>
      <c r="AY56" s="758">
        <f t="shared" si="20"/>
        <v>39.328950924120313</v>
      </c>
      <c r="AZ56" s="735">
        <f t="shared" si="26"/>
        <v>39.344670232571659</v>
      </c>
      <c r="BA56" s="633">
        <f t="shared" si="21"/>
        <v>0.92372533186624517</v>
      </c>
      <c r="BC56" s="11">
        <v>43142</v>
      </c>
      <c r="BD56" s="289">
        <f>[3]!FeuilCaduc*(1-Persistant)+Persistant</f>
        <v>0.8004148758554156</v>
      </c>
      <c r="BE56" s="290">
        <f>[3]!CroissVégét</f>
        <v>6.0826946947814143E-3</v>
      </c>
      <c r="BF56" s="804">
        <f>1+[3]!Salcycl*Ksac</f>
        <v>1.000103718963854</v>
      </c>
      <c r="BH56" s="1037">
        <f t="shared" si="22"/>
        <v>8.0353451072784549E-2</v>
      </c>
      <c r="BI56" s="11">
        <v>44238</v>
      </c>
      <c r="BJ56" s="715">
        <v>9.4118408480711952E-4</v>
      </c>
      <c r="BK56" s="715">
        <v>3.2293154505590371E-3</v>
      </c>
      <c r="BL56" s="715">
        <v>1.1095741128680755E-2</v>
      </c>
      <c r="BM56" s="715">
        <v>3.5981101320479103E-2</v>
      </c>
      <c r="BN56" s="715">
        <v>9.1520323462064901E-2</v>
      </c>
      <c r="BO56" s="716">
        <v>0.18362812475488616</v>
      </c>
      <c r="BP56" s="715">
        <v>0.31115743002840168</v>
      </c>
      <c r="BQ56" s="715">
        <v>0.45303524682219493</v>
      </c>
      <c r="BR56" s="715">
        <v>0.64284943434450437</v>
      </c>
      <c r="BS56" s="715">
        <v>0.89317960221704362</v>
      </c>
      <c r="BT56" s="715">
        <v>1.2108067728442018</v>
      </c>
      <c r="BW56" s="1185">
        <f>'2019'!R\Max</f>
        <v>0</v>
      </c>
      <c r="BX56" s="1185">
        <f>'2020'!R\Max</f>
        <v>0.22051955105994672</v>
      </c>
      <c r="BY56" s="1185">
        <f>'2021'!R\Max</f>
        <v>0.92372533186624517</v>
      </c>
      <c r="BZ56" s="1185">
        <f>'2022'!R\Max</f>
        <v>0.38563987271597311</v>
      </c>
      <c r="CA56" s="1185">
        <f>'2023'!R\Max</f>
        <v>0.3835102966252803</v>
      </c>
      <c r="CB56" s="1185">
        <f>'2024'!R\Max</f>
        <v>0.38127969649524496</v>
      </c>
      <c r="CC56" s="1185">
        <f>'2025'!R\Max</f>
        <v>0.37895914181133206</v>
      </c>
      <c r="CD56" s="1185">
        <f>'2026'!R\Max</f>
        <v>0.37646881190183756</v>
      </c>
      <c r="CE56" s="1186">
        <f>'2027'!R\Max</f>
        <v>0.38867246385966753</v>
      </c>
      <c r="CF56" s="1187">
        <f>'2028'!R\Max</f>
        <v>0.38706805755445423</v>
      </c>
    </row>
    <row r="57" spans="1:84" s="6" customFormat="1" ht="11.25" x14ac:dyDescent="0.2">
      <c r="A57" s="11">
        <v>43143</v>
      </c>
      <c r="B57" s="379">
        <f>'2022'!Maxi_hp</f>
        <v>28.998434960170048</v>
      </c>
      <c r="C57" s="13">
        <f>'2022'!An_max</f>
        <v>2022</v>
      </c>
      <c r="D57" s="1046" t="str">
        <f t="shared" si="7"/>
        <v/>
      </c>
      <c r="E57" s="13"/>
      <c r="F57" s="13">
        <f t="shared" si="23"/>
        <v>5</v>
      </c>
      <c r="G57" s="13">
        <f t="shared" si="24"/>
        <v>4</v>
      </c>
      <c r="H57" s="173">
        <f t="shared" si="8"/>
        <v>43150</v>
      </c>
      <c r="I57" s="742">
        <f t="shared" si="9"/>
        <v>0.5</v>
      </c>
      <c r="J57" s="735">
        <f t="shared" si="27"/>
        <v>39.766212499998801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39">
        <v>43143</v>
      </c>
      <c r="AP57" s="13">
        <f t="shared" si="11"/>
        <v>3</v>
      </c>
      <c r="AQ57" s="13">
        <f t="shared" si="12"/>
        <v>4</v>
      </c>
      <c r="AR57" s="173">
        <f t="shared" si="13"/>
        <v>43136</v>
      </c>
      <c r="AS57" s="742">
        <f t="shared" si="14"/>
        <v>0.25</v>
      </c>
      <c r="AT57" s="758">
        <f t="shared" si="15"/>
        <v>39.714182812510991</v>
      </c>
      <c r="AU57" s="13">
        <f t="shared" si="16"/>
        <v>3</v>
      </c>
      <c r="AV57" s="13">
        <f t="shared" si="17"/>
        <v>2</v>
      </c>
      <c r="AW57" s="173">
        <f t="shared" si="18"/>
        <v>43150</v>
      </c>
      <c r="AX57" s="742">
        <f t="shared" si="19"/>
        <v>0.25</v>
      </c>
      <c r="AY57" s="758">
        <f t="shared" si="20"/>
        <v>39.702358203590848</v>
      </c>
      <c r="AZ57" s="735">
        <f t="shared" si="26"/>
        <v>39.708270508050916</v>
      </c>
      <c r="BA57" s="633">
        <f t="shared" si="21"/>
        <v>0.72922295428992445</v>
      </c>
      <c r="BC57" s="11">
        <v>43143</v>
      </c>
      <c r="BD57" s="289">
        <f>[3]!FeuilCaduc*(1-Persistant)+Persistant</f>
        <v>0.80047352194340737</v>
      </c>
      <c r="BE57" s="290">
        <f>[3]!CroissVégét</f>
        <v>6.3938522678270975E-3</v>
      </c>
      <c r="BF57" s="804">
        <f>1+[3]!Salcycl*Ksac</f>
        <v>1.0001183804858518</v>
      </c>
      <c r="BH57" s="1037">
        <f t="shared" si="22"/>
        <v>7.4502967639507089E-2</v>
      </c>
      <c r="BI57" s="11">
        <v>44239</v>
      </c>
      <c r="BJ57" s="715">
        <v>9.2069626203456249E-4</v>
      </c>
      <c r="BK57" s="715">
        <v>3.0840701466245571E-3</v>
      </c>
      <c r="BL57" s="715">
        <v>1.005329118079327E-2</v>
      </c>
      <c r="BM57" s="715">
        <v>3.249247271323482E-2</v>
      </c>
      <c r="BN57" s="715">
        <v>8.507544889125368E-2</v>
      </c>
      <c r="BO57" s="716">
        <v>0.17524569149796887</v>
      </c>
      <c r="BP57" s="715">
        <v>0.3035775499414089</v>
      </c>
      <c r="BQ57" s="715">
        <v>0.44703743720408595</v>
      </c>
      <c r="BR57" s="715">
        <v>0.63488736491843334</v>
      </c>
      <c r="BS57" s="715">
        <v>0.88046575117548809</v>
      </c>
      <c r="BT57" s="715">
        <v>1.1915645155930485</v>
      </c>
      <c r="BW57" s="1185">
        <f>'2019'!R\Max</f>
        <v>0</v>
      </c>
      <c r="BX57" s="1185">
        <f>'2020'!R\Max</f>
        <v>0.51513971358421695</v>
      </c>
      <c r="BY57" s="1185">
        <f>'2021'!R\Max</f>
        <v>0.12580644441727726</v>
      </c>
      <c r="BZ57" s="1185">
        <f>'2022'!R\Max</f>
        <v>0.72922295428992445</v>
      </c>
      <c r="CA57" s="1185">
        <f>'2023'!R\Max</f>
        <v>0.7274533505867834</v>
      </c>
      <c r="CB57" s="1185">
        <f>'2024'!R\Max</f>
        <v>0.72558221474068152</v>
      </c>
      <c r="CC57" s="1185">
        <f>'2025'!R\Max</f>
        <v>0.72361914395105553</v>
      </c>
      <c r="CD57" s="1185">
        <f>'2026'!R\Max</f>
        <v>0.72149115654173601</v>
      </c>
      <c r="CE57" s="1186">
        <f>'2027'!R\Max</f>
        <v>0.73166433440567846</v>
      </c>
      <c r="CF57" s="1187">
        <f>'2028'!R\Max</f>
        <v>0.73037527909141398</v>
      </c>
    </row>
    <row r="58" spans="1:84" s="6" customFormat="1" ht="11.25" x14ac:dyDescent="0.2">
      <c r="A58" s="11">
        <v>43144</v>
      </c>
      <c r="B58" s="379">
        <f>'2022'!Maxi_hp</f>
        <v>36.810381507352595</v>
      </c>
      <c r="C58" s="13">
        <f>'2022'!An_max</f>
        <v>2022</v>
      </c>
      <c r="D58" s="1046" t="str">
        <f t="shared" si="7"/>
        <v/>
      </c>
      <c r="E58" s="13"/>
      <c r="F58" s="13">
        <f t="shared" si="23"/>
        <v>5</v>
      </c>
      <c r="G58" s="13">
        <f t="shared" si="24"/>
        <v>4</v>
      </c>
      <c r="H58" s="173">
        <f t="shared" si="8"/>
        <v>43150</v>
      </c>
      <c r="I58" s="742">
        <f t="shared" si="9"/>
        <v>0.42857142857142855</v>
      </c>
      <c r="J58" s="735">
        <f t="shared" si="27"/>
        <v>40.121955102055132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39">
        <v>43144</v>
      </c>
      <c r="AP58" s="13">
        <f t="shared" si="11"/>
        <v>3</v>
      </c>
      <c r="AQ58" s="13">
        <f t="shared" si="12"/>
        <v>4</v>
      </c>
      <c r="AR58" s="173">
        <f t="shared" si="13"/>
        <v>43136</v>
      </c>
      <c r="AS58" s="742">
        <f t="shared" si="14"/>
        <v>0.2857142857142857</v>
      </c>
      <c r="AT58" s="758">
        <f t="shared" si="15"/>
        <v>40.069212245009837</v>
      </c>
      <c r="AU58" s="13">
        <f t="shared" si="16"/>
        <v>3</v>
      </c>
      <c r="AV58" s="13">
        <f t="shared" si="17"/>
        <v>2</v>
      </c>
      <c r="AW58" s="173">
        <f t="shared" si="18"/>
        <v>43150</v>
      </c>
      <c r="AX58" s="742">
        <f t="shared" si="19"/>
        <v>0.21428571428571427</v>
      </c>
      <c r="AY58" s="758">
        <f t="shared" si="20"/>
        <v>40.074220527023343</v>
      </c>
      <c r="AZ58" s="735">
        <f t="shared" si="26"/>
        <v>40.07171638601659</v>
      </c>
      <c r="BA58" s="633">
        <f t="shared" si="21"/>
        <v>0.91746230745039359</v>
      </c>
      <c r="BC58" s="11">
        <v>43144</v>
      </c>
      <c r="BD58" s="289">
        <f>[3]!FeuilCaduc*(1-Persistant)+Persistant</f>
        <v>0.80053395244270398</v>
      </c>
      <c r="BE58" s="290">
        <f>[3]!CroissVégét</f>
        <v>6.7178564099054624E-3</v>
      </c>
      <c r="BF58" s="804">
        <f>1+[3]!Salcycl*Ksac</f>
        <v>1.000133488110676</v>
      </c>
      <c r="BH58" s="1037">
        <f t="shared" si="22"/>
        <v>6.880609854801778E-2</v>
      </c>
      <c r="BI58" s="11">
        <v>44240</v>
      </c>
      <c r="BJ58" s="715">
        <v>8.998575035232075E-4</v>
      </c>
      <c r="BK58" s="715">
        <v>2.9710456152751484E-3</v>
      </c>
      <c r="BL58" s="715">
        <v>9.171096651380049E-3</v>
      </c>
      <c r="BM58" s="715">
        <v>2.9261331226746273E-2</v>
      </c>
      <c r="BN58" s="715">
        <v>7.8758047741726608E-2</v>
      </c>
      <c r="BO58" s="716">
        <v>0.16659119793827493</v>
      </c>
      <c r="BP58" s="715">
        <v>0.295187438842267</v>
      </c>
      <c r="BQ58" s="715">
        <v>0.44007652352629889</v>
      </c>
      <c r="BR58" s="715">
        <v>0.62624246909431258</v>
      </c>
      <c r="BS58" s="715">
        <v>0.86715531162552795</v>
      </c>
      <c r="BT58" s="715">
        <v>1.1712726578942778</v>
      </c>
      <c r="BW58" s="1185">
        <f>'2019'!R\Max</f>
        <v>0</v>
      </c>
      <c r="BX58" s="1185">
        <f>'2020'!R\Max</f>
        <v>0.54308605362253215</v>
      </c>
      <c r="BY58" s="1185">
        <f>'2021'!R\Max</f>
        <v>0.21895965451893554</v>
      </c>
      <c r="BZ58" s="1185">
        <f>'2022'!R\Max</f>
        <v>0.91746230745039359</v>
      </c>
      <c r="CA58" s="1185">
        <f>'2023'!R\Max</f>
        <v>0.91678943071477892</v>
      </c>
      <c r="CB58" s="1185">
        <f>'2024'!R\Max</f>
        <v>0.91607330295377676</v>
      </c>
      <c r="CC58" s="1185">
        <f>'2025'!R\Max</f>
        <v>0.91531706086760589</v>
      </c>
      <c r="CD58" s="1185">
        <f>'2026'!R\Max</f>
        <v>0.91449003172498389</v>
      </c>
      <c r="CE58" s="1186">
        <f>'2027'!R\Max</f>
        <v>0.91836419874602826</v>
      </c>
      <c r="CF58" s="1187">
        <f>'2028'!R\Max</f>
        <v>0.91788846004024227</v>
      </c>
    </row>
    <row r="59" spans="1:84" s="6" customFormat="1" ht="11.25" x14ac:dyDescent="0.2">
      <c r="A59" s="11">
        <v>43145</v>
      </c>
      <c r="B59" s="379">
        <f>'2022'!Maxi_hp</f>
        <v>33.094825571206165</v>
      </c>
      <c r="C59" s="13">
        <f>'2022'!An_max</f>
        <v>2021</v>
      </c>
      <c r="D59" s="1046" t="str">
        <f t="shared" si="7"/>
        <v/>
      </c>
      <c r="E59" s="13"/>
      <c r="F59" s="13">
        <f t="shared" si="23"/>
        <v>5</v>
      </c>
      <c r="G59" s="13">
        <f t="shared" si="24"/>
        <v>4</v>
      </c>
      <c r="H59" s="173">
        <f t="shared" si="8"/>
        <v>43150</v>
      </c>
      <c r="I59" s="742">
        <f t="shared" si="9"/>
        <v>0.35714285714285715</v>
      </c>
      <c r="J59" s="735">
        <f t="shared" si="27"/>
        <v>40.477335459213847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39">
        <v>43145</v>
      </c>
      <c r="AP59" s="13">
        <f t="shared" si="11"/>
        <v>3</v>
      </c>
      <c r="AQ59" s="13">
        <f t="shared" si="12"/>
        <v>4</v>
      </c>
      <c r="AR59" s="173">
        <f t="shared" si="13"/>
        <v>43136</v>
      </c>
      <c r="AS59" s="742">
        <f t="shared" si="14"/>
        <v>0.32142857142857145</v>
      </c>
      <c r="AT59" s="758">
        <f t="shared" si="15"/>
        <v>40.425274075298304</v>
      </c>
      <c r="AU59" s="13">
        <f t="shared" si="16"/>
        <v>3</v>
      </c>
      <c r="AV59" s="13">
        <f t="shared" si="17"/>
        <v>2</v>
      </c>
      <c r="AW59" s="173">
        <f t="shared" si="18"/>
        <v>43150</v>
      </c>
      <c r="AX59" s="742">
        <f t="shared" si="19"/>
        <v>0.17857142857142858</v>
      </c>
      <c r="AY59" s="758">
        <f t="shared" si="20"/>
        <v>40.444038779960408</v>
      </c>
      <c r="AZ59" s="735">
        <f t="shared" si="26"/>
        <v>40.434656427629356</v>
      </c>
      <c r="BA59" s="633">
        <f t="shared" si="21"/>
        <v>0.81761373854643871</v>
      </c>
      <c r="BC59" s="11">
        <v>43145</v>
      </c>
      <c r="BD59" s="289">
        <f>[3]!FeuilCaduc*(1-Persistant)+Persistant</f>
        <v>0.80059572426067438</v>
      </c>
      <c r="BE59" s="290">
        <f>[3]!CroissVégét</f>
        <v>7.0552285378688686E-3</v>
      </c>
      <c r="BF59" s="804">
        <f>1+[3]!Salcycl*Ksac</f>
        <v>1.0001489310651686</v>
      </c>
      <c r="BH59" s="1037">
        <f t="shared" si="22"/>
        <v>6.3395677841403583E-2</v>
      </c>
      <c r="BI59" s="11">
        <v>44241</v>
      </c>
      <c r="BJ59" s="715">
        <v>8.7732625672258286E-4</v>
      </c>
      <c r="BK59" s="715">
        <v>2.8749431980242537E-3</v>
      </c>
      <c r="BL59" s="715">
        <v>8.392546149156084E-3</v>
      </c>
      <c r="BM59" s="715">
        <v>2.6313652591915433E-2</v>
      </c>
      <c r="BN59" s="715">
        <v>7.272784632489912E-2</v>
      </c>
      <c r="BO59" s="716">
        <v>0.15799319429885211</v>
      </c>
      <c r="BP59" s="715">
        <v>0.2863131582292146</v>
      </c>
      <c r="BQ59" s="715">
        <v>0.43228057351200394</v>
      </c>
      <c r="BR59" s="715">
        <v>0.61690666810633321</v>
      </c>
      <c r="BS59" s="715">
        <v>0.85340412879256888</v>
      </c>
      <c r="BT59" s="715">
        <v>1.1506545213724457</v>
      </c>
      <c r="BW59" s="1185">
        <f>'2019'!R\Max</f>
        <v>0</v>
      </c>
      <c r="BX59" s="1185">
        <f>'2020'!R\Max</f>
        <v>0.7311871751425093</v>
      </c>
      <c r="BY59" s="1185">
        <f>'2021'!R\Max</f>
        <v>0.81761373854643871</v>
      </c>
      <c r="BZ59" s="1185">
        <f>'2022'!R\Max</f>
        <v>0.42954512872033745</v>
      </c>
      <c r="CA59" s="1185">
        <f>'2023'!R\Max</f>
        <v>0.42740761656673137</v>
      </c>
      <c r="CB59" s="1185">
        <f>'2024'!R\Max</f>
        <v>0.42514631612845383</v>
      </c>
      <c r="CC59" s="1185">
        <f>'2025'!R\Max</f>
        <v>0.42277222392234015</v>
      </c>
      <c r="CD59" s="1185">
        <f>'2026'!R\Max</f>
        <v>0.42018655571535118</v>
      </c>
      <c r="CE59" s="1186">
        <f>'2027'!R\Max</f>
        <v>0.43236934860865883</v>
      </c>
      <c r="CF59" s="1187">
        <f>'2028'!R\Max</f>
        <v>0.43087545510241726</v>
      </c>
    </row>
    <row r="60" spans="1:84" s="6" customFormat="1" ht="11.25" x14ac:dyDescent="0.2">
      <c r="A60" s="11">
        <v>43146</v>
      </c>
      <c r="B60" s="379">
        <f>'2022'!Maxi_hp</f>
        <v>40.783875694870723</v>
      </c>
      <c r="C60" s="13">
        <f>'2022'!An_max</f>
        <v>2020</v>
      </c>
      <c r="D60" s="1046">
        <f t="shared" si="7"/>
        <v>0.99881541651071959</v>
      </c>
      <c r="E60" s="13"/>
      <c r="F60" s="13">
        <f t="shared" si="23"/>
        <v>5</v>
      </c>
      <c r="G60" s="13">
        <f t="shared" si="24"/>
        <v>4</v>
      </c>
      <c r="H60" s="173">
        <f t="shared" si="8"/>
        <v>43150</v>
      </c>
      <c r="I60" s="742">
        <f t="shared" si="9"/>
        <v>0.2857142857142857</v>
      </c>
      <c r="J60" s="735">
        <f t="shared" si="27"/>
        <v>40.832244898007154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39">
        <v>43146</v>
      </c>
      <c r="AP60" s="13">
        <f t="shared" si="11"/>
        <v>3</v>
      </c>
      <c r="AQ60" s="13">
        <f t="shared" si="12"/>
        <v>4</v>
      </c>
      <c r="AR60" s="173">
        <f t="shared" si="13"/>
        <v>43136</v>
      </c>
      <c r="AS60" s="742">
        <f t="shared" si="14"/>
        <v>0.35714285714285715</v>
      </c>
      <c r="AT60" s="758">
        <f t="shared" si="15"/>
        <v>40.782164540860265</v>
      </c>
      <c r="AU60" s="13">
        <f t="shared" si="16"/>
        <v>3</v>
      </c>
      <c r="AV60" s="13">
        <f t="shared" si="17"/>
        <v>2</v>
      </c>
      <c r="AW60" s="173">
        <f t="shared" si="18"/>
        <v>43150</v>
      </c>
      <c r="AX60" s="742">
        <f t="shared" si="19"/>
        <v>0.14285714285714285</v>
      </c>
      <c r="AY60" s="758">
        <f t="shared" si="20"/>
        <v>40.811313848609906</v>
      </c>
      <c r="AZ60" s="735">
        <f t="shared" si="26"/>
        <v>40.796739194735082</v>
      </c>
      <c r="BA60" s="633">
        <f t="shared" si="21"/>
        <v>0.99881541651071959</v>
      </c>
      <c r="BC60" s="11">
        <v>43146</v>
      </c>
      <c r="BD60" s="289">
        <f>[3]!FeuilCaduc*(1-Persistant)+Persistant</f>
        <v>0.80065840683980449</v>
      </c>
      <c r="BE60" s="290">
        <f>[3]!CroissVégét</f>
        <v>7.4065104705297478E-3</v>
      </c>
      <c r="BF60" s="804">
        <f>1+[3]!Salcycl*Ksac</f>
        <v>1.000164601709951</v>
      </c>
      <c r="BH60" s="1037">
        <f t="shared" si="22"/>
        <v>5.827164386019594E-2</v>
      </c>
      <c r="BI60" s="11">
        <v>44242</v>
      </c>
      <c r="BJ60" s="715">
        <v>8.5310372722419115E-4</v>
      </c>
      <c r="BK60" s="715">
        <v>2.7957611472852286E-3</v>
      </c>
      <c r="BL60" s="715">
        <v>7.7176148812081692E-3</v>
      </c>
      <c r="BM60" s="715">
        <v>2.3649362281460345E-2</v>
      </c>
      <c r="BN60" s="715">
        <v>6.6984786219653342E-2</v>
      </c>
      <c r="BO60" s="716">
        <v>0.14945175019510706</v>
      </c>
      <c r="BP60" s="715">
        <v>0.2769550648368525</v>
      </c>
      <c r="BQ60" s="715">
        <v>0.42365022560989984</v>
      </c>
      <c r="BR60" s="715">
        <v>0.60688077661864925</v>
      </c>
      <c r="BS60" s="715">
        <v>0.839213194679298</v>
      </c>
      <c r="BT60" s="715">
        <v>1.1297113513930339</v>
      </c>
      <c r="BW60" s="1185">
        <f>'2019'!R\Max</f>
        <v>0</v>
      </c>
      <c r="BX60" s="1185">
        <f>'2020'!R\Max</f>
        <v>0.99881541651071959</v>
      </c>
      <c r="BY60" s="1185">
        <f>'2021'!R\Max</f>
        <v>0.95839038463123405</v>
      </c>
      <c r="BZ60" s="1185">
        <f>'2022'!R\Max</f>
        <v>0.56390264174114257</v>
      </c>
      <c r="CA60" s="1185">
        <f>'2023'!R\Max</f>
        <v>0.56179358823020975</v>
      </c>
      <c r="CB60" s="1185">
        <f>'2024'!R\Max</f>
        <v>0.55955092701384779</v>
      </c>
      <c r="CC60" s="1185">
        <f>'2025'!R\Max</f>
        <v>0.55718037932676634</v>
      </c>
      <c r="CD60" s="1185">
        <f>'2026'!R\Max</f>
        <v>0.5545733003499671</v>
      </c>
      <c r="CE60" s="1186">
        <f>'2027'!R\Max</f>
        <v>0.56661573372784557</v>
      </c>
      <c r="CF60" s="1187">
        <f>'2028'!R\Max</f>
        <v>0.56518158102449656</v>
      </c>
    </row>
    <row r="61" spans="1:84" s="6" customFormat="1" ht="11.25" x14ac:dyDescent="0.2">
      <c r="A61" s="11">
        <v>43147</v>
      </c>
      <c r="B61" s="379">
        <f>'2022'!Maxi_hp</f>
        <v>34.426764095706375</v>
      </c>
      <c r="C61" s="13">
        <f>'2022'!An_max</f>
        <v>2021</v>
      </c>
      <c r="D61" s="1046" t="str">
        <f t="shared" si="7"/>
        <v/>
      </c>
      <c r="E61" s="13"/>
      <c r="F61" s="13">
        <f t="shared" si="23"/>
        <v>5</v>
      </c>
      <c r="G61" s="13">
        <f t="shared" si="24"/>
        <v>4</v>
      </c>
      <c r="H61" s="173">
        <f t="shared" si="8"/>
        <v>43150</v>
      </c>
      <c r="I61" s="742">
        <f t="shared" si="9"/>
        <v>0.21428571428571427</v>
      </c>
      <c r="J61" s="735">
        <f t="shared" si="27"/>
        <v>41.186574745036239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39">
        <v>43147</v>
      </c>
      <c r="AP61" s="13">
        <f t="shared" si="11"/>
        <v>3</v>
      </c>
      <c r="AQ61" s="13">
        <f t="shared" si="12"/>
        <v>4</v>
      </c>
      <c r="AR61" s="173">
        <f t="shared" si="13"/>
        <v>43136</v>
      </c>
      <c r="AS61" s="742">
        <f t="shared" si="14"/>
        <v>0.39285714285714285</v>
      </c>
      <c r="AT61" s="758">
        <f t="shared" si="15"/>
        <v>41.139679878856988</v>
      </c>
      <c r="AU61" s="13">
        <f t="shared" si="16"/>
        <v>3</v>
      </c>
      <c r="AV61" s="13">
        <f t="shared" si="17"/>
        <v>2</v>
      </c>
      <c r="AW61" s="173">
        <f t="shared" si="18"/>
        <v>43150</v>
      </c>
      <c r="AX61" s="742">
        <f t="shared" si="19"/>
        <v>0.10714285714285714</v>
      </c>
      <c r="AY61" s="758">
        <f t="shared" si="20"/>
        <v>41.175546618755575</v>
      </c>
      <c r="AZ61" s="735">
        <f t="shared" si="26"/>
        <v>41.157613248806285</v>
      </c>
      <c r="BA61" s="633">
        <f t="shared" si="21"/>
        <v>0.83587344441298683</v>
      </c>
      <c r="BC61" s="11">
        <v>43147</v>
      </c>
      <c r="BD61" s="289">
        <f>[3]!FeuilCaduc*(1-Persistant)+Persistant</f>
        <v>0.80072158843918573</v>
      </c>
      <c r="BE61" s="290">
        <f>[3]!CroissVégét</f>
        <v>7.7722651621059055E-3</v>
      </c>
      <c r="BF61" s="804">
        <f>1+[3]!Salcycl*Ksac</f>
        <v>1.0001803971097964</v>
      </c>
      <c r="BH61" s="1037">
        <f t="shared" si="22"/>
        <v>5.343391767453555E-2</v>
      </c>
      <c r="BI61" s="11">
        <v>44243</v>
      </c>
      <c r="BJ61" s="715">
        <v>8.2719094988321354E-4</v>
      </c>
      <c r="BK61" s="715">
        <v>2.7334978151004022E-3</v>
      </c>
      <c r="BL61" s="715">
        <v>7.1462777105633403E-3</v>
      </c>
      <c r="BM61" s="715">
        <v>2.1268380726955027E-2</v>
      </c>
      <c r="BN61" s="715">
        <v>6.1528788656833519E-2</v>
      </c>
      <c r="BO61" s="716">
        <v>0.14096689413495694</v>
      </c>
      <c r="BP61" s="715">
        <v>0.26711345439540674</v>
      </c>
      <c r="BQ61" s="715">
        <v>0.41418605067060338</v>
      </c>
      <c r="BR61" s="715">
        <v>0.59616553897304359</v>
      </c>
      <c r="BS61" s="715">
        <v>0.82458341748247443</v>
      </c>
      <c r="BT61" s="715">
        <v>1.108444279107796</v>
      </c>
      <c r="BW61" s="1185">
        <f>'2019'!R\Max</f>
        <v>0</v>
      </c>
      <c r="BX61" s="1185">
        <f>'2020'!R\Max</f>
        <v>0.65640843195122112</v>
      </c>
      <c r="BY61" s="1185">
        <f>'2021'!R\Max</f>
        <v>0.83587344441298683</v>
      </c>
      <c r="BZ61" s="1185">
        <f>'2022'!R\Max</f>
        <v>0.23774853903018558</v>
      </c>
      <c r="CA61" s="1185">
        <f>'2023'!R\Max</f>
        <v>0.23634977697014753</v>
      </c>
      <c r="CB61" s="1185">
        <f>'2024'!R\Max</f>
        <v>0.23486543187082187</v>
      </c>
      <c r="CC61" s="1185">
        <f>'2025'!R\Max</f>
        <v>0.23329631270471354</v>
      </c>
      <c r="CD61" s="1185">
        <f>'2026'!R\Max</f>
        <v>0.23156573450206216</v>
      </c>
      <c r="CE61" s="1186">
        <f>'2027'!R\Max</f>
        <v>0.23951438894951846</v>
      </c>
      <c r="CF61" s="1187">
        <f>'2028'!R\Max</f>
        <v>0.23857965428594372</v>
      </c>
    </row>
    <row r="62" spans="1:84" s="6" customFormat="1" ht="11.25" x14ac:dyDescent="0.2">
      <c r="A62" s="11">
        <v>43148</v>
      </c>
      <c r="B62" s="379">
        <f>'2022'!Maxi_hp</f>
        <v>38.684101035723138</v>
      </c>
      <c r="C62" s="13">
        <f>'2022'!An_max</f>
        <v>2021</v>
      </c>
      <c r="D62" s="1046" t="str">
        <f t="shared" si="7"/>
        <v/>
      </c>
      <c r="E62" s="13"/>
      <c r="F62" s="13">
        <f t="shared" si="23"/>
        <v>5</v>
      </c>
      <c r="G62" s="13">
        <f t="shared" si="24"/>
        <v>4</v>
      </c>
      <c r="H62" s="173">
        <f t="shared" si="8"/>
        <v>43150</v>
      </c>
      <c r="I62" s="742">
        <f t="shared" si="9"/>
        <v>0.14285714285714285</v>
      </c>
      <c r="J62" s="735">
        <f t="shared" si="27"/>
        <v>41.54021632645329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39">
        <v>43148</v>
      </c>
      <c r="AP62" s="13">
        <f t="shared" si="11"/>
        <v>3</v>
      </c>
      <c r="AQ62" s="13">
        <f t="shared" si="12"/>
        <v>4</v>
      </c>
      <c r="AR62" s="173">
        <f t="shared" si="13"/>
        <v>43136</v>
      </c>
      <c r="AS62" s="742">
        <f t="shared" si="14"/>
        <v>0.42857142857142855</v>
      </c>
      <c r="AT62" s="758">
        <f t="shared" si="15"/>
        <v>41.497616326542833</v>
      </c>
      <c r="AU62" s="13">
        <f t="shared" si="16"/>
        <v>3</v>
      </c>
      <c r="AV62" s="13">
        <f t="shared" si="17"/>
        <v>2</v>
      </c>
      <c r="AW62" s="173">
        <f t="shared" si="18"/>
        <v>43150</v>
      </c>
      <c r="AX62" s="742">
        <f t="shared" si="19"/>
        <v>7.1428571428571425E-2</v>
      </c>
      <c r="AY62" s="758">
        <f t="shared" si="20"/>
        <v>41.536237976853073</v>
      </c>
      <c r="AZ62" s="735">
        <f t="shared" si="26"/>
        <v>41.516927151697956</v>
      </c>
      <c r="BA62" s="633">
        <f t="shared" si="21"/>
        <v>0.93124457349271572</v>
      </c>
      <c r="BC62" s="11">
        <v>43148</v>
      </c>
      <c r="BD62" s="289">
        <f>[3]!FeuilCaduc*(1-Persistant)+Persistant</f>
        <v>0.800784882377781</v>
      </c>
      <c r="BE62" s="290">
        <f>[3]!CroissVégét</f>
        <v>8.1530774564185747E-3</v>
      </c>
      <c r="BF62" s="804">
        <f>1+[3]!Salcycl*Ksac</f>
        <v>1.0001962205944452</v>
      </c>
      <c r="BH62" s="1037">
        <f t="shared" si="22"/>
        <v>4.8882406654145553E-2</v>
      </c>
      <c r="BI62" s="11">
        <v>44244</v>
      </c>
      <c r="BJ62" s="715">
        <v>7.995887675556493E-4</v>
      </c>
      <c r="BK62" s="715">
        <v>2.6881518645509631E-3</v>
      </c>
      <c r="BL62" s="715">
        <v>6.6785104510201972E-3</v>
      </c>
      <c r="BM62" s="715">
        <v>1.9170626858268296E-2</v>
      </c>
      <c r="BN62" s="715">
        <v>5.6359758096903446E-2</v>
      </c>
      <c r="BO62" s="716">
        <v>0.13253861420061031</v>
      </c>
      <c r="BP62" s="715">
        <v>0.25678855554139557</v>
      </c>
      <c r="BQ62" s="715">
        <v>0.40388854146309072</v>
      </c>
      <c r="BR62" s="715">
        <v>0.58476162049757829</v>
      </c>
      <c r="BS62" s="715">
        <v>0.80951561601216171</v>
      </c>
      <c r="BT62" s="715">
        <v>1.0868543172788387</v>
      </c>
      <c r="BW62" s="1185">
        <f>'2019'!R\Max</f>
        <v>0</v>
      </c>
      <c r="BX62" s="1185">
        <f>'2020'!R\Max</f>
        <v>0.17744041814077618</v>
      </c>
      <c r="BY62" s="1185">
        <f>'2021'!R\Max</f>
        <v>0.93124457349271572</v>
      </c>
      <c r="BZ62" s="1185">
        <f>'2022'!R\Max</f>
        <v>0.26014179712756463</v>
      </c>
      <c r="CA62" s="1185">
        <f>'2023'!R\Max</f>
        <v>0.2586516832703798</v>
      </c>
      <c r="CB62" s="1185">
        <f>'2024'!R\Max</f>
        <v>0.2570662911642515</v>
      </c>
      <c r="CC62" s="1185">
        <f>'2025'!R\Max</f>
        <v>0.25538040873619222</v>
      </c>
      <c r="CD62" s="1185">
        <f>'2026'!R\Max</f>
        <v>0.25350345689239068</v>
      </c>
      <c r="CE62" s="1186">
        <f>'2027'!R\Max</f>
        <v>0.26197808340043932</v>
      </c>
      <c r="CF62" s="1187">
        <f>'2028'!R\Max</f>
        <v>0.26100606397075243</v>
      </c>
    </row>
    <row r="63" spans="1:84" s="6" customFormat="1" ht="11.25" x14ac:dyDescent="0.2">
      <c r="A63" s="11">
        <v>43149</v>
      </c>
      <c r="B63" s="379">
        <f>'2022'!Maxi_hp</f>
        <v>38.693234723420318</v>
      </c>
      <c r="C63" s="13">
        <f>'2022'!An_max</f>
        <v>2020</v>
      </c>
      <c r="D63" s="1046" t="str">
        <f t="shared" si="7"/>
        <v/>
      </c>
      <c r="E63" s="13"/>
      <c r="F63" s="13">
        <f t="shared" si="23"/>
        <v>5</v>
      </c>
      <c r="G63" s="13">
        <f t="shared" si="24"/>
        <v>4</v>
      </c>
      <c r="H63" s="173">
        <f t="shared" si="8"/>
        <v>43150</v>
      </c>
      <c r="I63" s="742">
        <f t="shared" si="9"/>
        <v>7.1428571428571425E-2</v>
      </c>
      <c r="J63" s="735">
        <f t="shared" si="27"/>
        <v>41.893060969312508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39">
        <v>43149</v>
      </c>
      <c r="AP63" s="13">
        <f t="shared" si="11"/>
        <v>3</v>
      </c>
      <c r="AQ63" s="13">
        <f t="shared" si="12"/>
        <v>4</v>
      </c>
      <c r="AR63" s="173">
        <f t="shared" si="13"/>
        <v>43136</v>
      </c>
      <c r="AS63" s="742">
        <f t="shared" si="14"/>
        <v>0.4642857142857143</v>
      </c>
      <c r="AT63" s="758">
        <f t="shared" si="15"/>
        <v>41.855770121288614</v>
      </c>
      <c r="AU63" s="13">
        <f t="shared" si="16"/>
        <v>3</v>
      </c>
      <c r="AV63" s="13">
        <f t="shared" si="17"/>
        <v>2</v>
      </c>
      <c r="AW63" s="173">
        <f t="shared" si="18"/>
        <v>43150</v>
      </c>
      <c r="AX63" s="742">
        <f t="shared" si="19"/>
        <v>3.5714285714285712E-2</v>
      </c>
      <c r="AY63" s="758">
        <f t="shared" si="20"/>
        <v>41.892888808533151</v>
      </c>
      <c r="AZ63" s="735">
        <f t="shared" si="26"/>
        <v>41.874329464910886</v>
      </c>
      <c r="BA63" s="633">
        <f t="shared" si="21"/>
        <v>0.92361918246470165</v>
      </c>
      <c r="BC63" s="11">
        <v>43149</v>
      </c>
      <c r="BD63" s="289">
        <f>[3]!FeuilCaduc*(1-Persistant)+Persistant</f>
        <v>0.80084793317522285</v>
      </c>
      <c r="BE63" s="290">
        <f>[3]!CroissVégét</f>
        <v>8.5495548619151183E-3</v>
      </c>
      <c r="BF63" s="804">
        <f>1+[3]!Salcycl*Ksac</f>
        <v>1.0002119832938057</v>
      </c>
      <c r="BH63" s="1037">
        <f t="shared" si="22"/>
        <v>4.4617008037517197E-2</v>
      </c>
      <c r="BI63" s="11">
        <v>44245</v>
      </c>
      <c r="BJ63" s="715">
        <v>7.7029780982418945E-4</v>
      </c>
      <c r="BK63" s="715">
        <v>2.6597224811298853E-3</v>
      </c>
      <c r="BL63" s="715">
        <v>6.3142911618758561E-3</v>
      </c>
      <c r="BM63" s="715">
        <v>1.7356021642679815E-2</v>
      </c>
      <c r="BN63" s="715">
        <v>5.1477585806699679E-2</v>
      </c>
      <c r="BO63" s="716">
        <v>0.12416685872835265</v>
      </c>
      <c r="BP63" s="715">
        <v>0.24598052372463039</v>
      </c>
      <c r="BQ63" s="715">
        <v>0.39275810218555868</v>
      </c>
      <c r="BR63" s="715">
        <v>0.5726695988072632</v>
      </c>
      <c r="BS63" s="715">
        <v>0.79401051409992029</v>
      </c>
      <c r="BT63" s="715">
        <v>1.0649423560878339</v>
      </c>
      <c r="BW63" s="1185">
        <f>'2019'!R\Max</f>
        <v>0</v>
      </c>
      <c r="BX63" s="1185">
        <f>'2020'!R\Max</f>
        <v>0.92361918246470165</v>
      </c>
      <c r="BY63" s="1185">
        <f>'2021'!R\Max</f>
        <v>0.33368485082017657</v>
      </c>
      <c r="BZ63" s="1185">
        <f>'2022'!R\Max</f>
        <v>0.86587790800680364</v>
      </c>
      <c r="CA63" s="1185">
        <f>'2023'!R\Max</f>
        <v>0.86495626669600856</v>
      </c>
      <c r="CB63" s="1185">
        <f>'2024'!R\Max</f>
        <v>0.86396398877391867</v>
      </c>
      <c r="CC63" s="1185">
        <f>'2025'!R\Max</f>
        <v>0.86289084621505496</v>
      </c>
      <c r="CD63" s="1185">
        <f>'2026'!R\Max</f>
        <v>0.86166973993696871</v>
      </c>
      <c r="CE63" s="1186">
        <f>'2027'!R\Max</f>
        <v>0.86697521379460207</v>
      </c>
      <c r="CF63" s="1187">
        <f>'2028'!R\Max</f>
        <v>0.866395839064527</v>
      </c>
    </row>
    <row r="64" spans="1:84" s="6" customFormat="1" ht="11.25" x14ac:dyDescent="0.2">
      <c r="A64" s="11">
        <v>43150</v>
      </c>
      <c r="B64" s="379">
        <f>'2022'!Maxi_hp</f>
        <v>39.852198656392886</v>
      </c>
      <c r="C64" s="13">
        <f>'2022'!An_max</f>
        <v>2021</v>
      </c>
      <c r="D64" s="1046" t="str">
        <f t="shared" si="7"/>
        <v/>
      </c>
      <c r="E64" s="1041">
        <f>Q$13/10</f>
        <v>42.244999999999997</v>
      </c>
      <c r="F64" s="13">
        <f t="shared" si="23"/>
        <v>5</v>
      </c>
      <c r="G64" s="13">
        <f t="shared" si="24"/>
        <v>6</v>
      </c>
      <c r="H64" s="173">
        <f t="shared" si="8"/>
        <v>43150</v>
      </c>
      <c r="I64" s="742">
        <f t="shared" si="9"/>
        <v>0</v>
      </c>
      <c r="J64" s="735">
        <f t="shared" si="27"/>
        <v>42.245000000018628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39">
        <v>43150</v>
      </c>
      <c r="AP64" s="13">
        <f t="shared" si="11"/>
        <v>3</v>
      </c>
      <c r="AQ64" s="13">
        <f t="shared" si="12"/>
        <v>4</v>
      </c>
      <c r="AR64" s="173">
        <f t="shared" si="13"/>
        <v>43136</v>
      </c>
      <c r="AS64" s="742">
        <f t="shared" si="14"/>
        <v>0.5</v>
      </c>
      <c r="AT64" s="758">
        <f t="shared" si="15"/>
        <v>42.213937500026077</v>
      </c>
      <c r="AU64" s="13">
        <f t="shared" si="16"/>
        <v>3</v>
      </c>
      <c r="AV64" s="13">
        <f t="shared" si="17"/>
        <v>4</v>
      </c>
      <c r="AW64" s="173">
        <f t="shared" si="18"/>
        <v>43150</v>
      </c>
      <c r="AX64" s="742">
        <f t="shared" si="19"/>
        <v>0</v>
      </c>
      <c r="AY64" s="758">
        <f t="shared" si="20"/>
        <v>42.244999999972059</v>
      </c>
      <c r="AZ64" s="735">
        <f t="shared" si="26"/>
        <v>42.229468749999072</v>
      </c>
      <c r="BA64" s="633">
        <f t="shared" si="21"/>
        <v>0.94335894558824274</v>
      </c>
      <c r="BC64" s="11">
        <v>43150</v>
      </c>
      <c r="BD64" s="289">
        <f>[3]!FeuilCaduc*(1-Persistant)+Persistant</f>
        <v>0.80091042252837996</v>
      </c>
      <c r="BE64" s="290">
        <f>[3]!CroissVégét</f>
        <v>8.9623283475330478E-3</v>
      </c>
      <c r="BF64" s="804">
        <f>1+[3]!Salcycl*Ksac</f>
        <v>1.0002276056320949</v>
      </c>
      <c r="BH64" s="1037">
        <f t="shared" si="22"/>
        <v>4.0637612501615399E-2</v>
      </c>
      <c r="BI64" s="11">
        <v>44246</v>
      </c>
      <c r="BJ64" s="715">
        <v>7.3931847173174664E-4</v>
      </c>
      <c r="BK64" s="715">
        <v>2.6482095841401372E-3</v>
      </c>
      <c r="BL64" s="715">
        <v>6.0536014427222864E-3</v>
      </c>
      <c r="BM64" s="715">
        <v>1.5824491624207342E-2</v>
      </c>
      <c r="BN64" s="715">
        <v>4.6882153436782065E-2</v>
      </c>
      <c r="BO64" s="716">
        <v>0.11585153698966789</v>
      </c>
      <c r="BP64" s="715">
        <v>0.23468943511770077</v>
      </c>
      <c r="BQ64" s="715">
        <v>0.38079503798009695</v>
      </c>
      <c r="BR64" s="715">
        <v>0.55988995511019102</v>
      </c>
      <c r="BS64" s="715">
        <v>0.77806873501456209</v>
      </c>
      <c r="BT64" s="715">
        <v>1.0427091589554103</v>
      </c>
      <c r="BW64" s="1185">
        <f>'2019'!R\Max</f>
        <v>0</v>
      </c>
      <c r="BX64" s="1185">
        <f>'2020'!R\Max</f>
        <v>0.79329839495737986</v>
      </c>
      <c r="BY64" s="1185">
        <f>'2021'!R\Max</f>
        <v>0.94335894558824274</v>
      </c>
      <c r="BZ64" s="1185">
        <f>'2022'!R\Max</f>
        <v>0.39125567433528968</v>
      </c>
      <c r="CA64" s="1185">
        <f>'2023'!R\Max</f>
        <v>0.38943899740896198</v>
      </c>
      <c r="CB64" s="1185">
        <f>'2024'!R\Max</f>
        <v>0.38749347247871502</v>
      </c>
      <c r="CC64" s="1185">
        <f>'2025'!R\Max</f>
        <v>0.38539038030562761</v>
      </c>
      <c r="CD64" s="1185">
        <f>'2026'!R\Max</f>
        <v>0.38299039560348586</v>
      </c>
      <c r="CE64" s="1186">
        <f>'2027'!R\Max</f>
        <v>0.39338227605462306</v>
      </c>
      <c r="CF64" s="1187">
        <f>'2028'!R\Max</f>
        <v>0.39225702502134691</v>
      </c>
    </row>
    <row r="65" spans="1:84" s="6" customFormat="1" ht="11.25" x14ac:dyDescent="0.2">
      <c r="A65" s="11">
        <v>43151</v>
      </c>
      <c r="B65" s="379">
        <f>'2022'!Maxi_hp</f>
        <v>42.526823693851945</v>
      </c>
      <c r="C65" s="13">
        <f>'2022'!An_max</f>
        <v>2020</v>
      </c>
      <c r="D65" s="1046">
        <f t="shared" si="7"/>
        <v>0.99837138663673142</v>
      </c>
      <c r="E65" s="13"/>
      <c r="F65" s="13">
        <f t="shared" si="23"/>
        <v>5</v>
      </c>
      <c r="G65" s="13">
        <f t="shared" si="24"/>
        <v>6</v>
      </c>
      <c r="H65" s="173">
        <f t="shared" si="8"/>
        <v>43150</v>
      </c>
      <c r="I65" s="742">
        <f t="shared" si="9"/>
        <v>7.1428571428571425E-2</v>
      </c>
      <c r="J65" s="735">
        <f t="shared" si="27"/>
        <v>42.596196428579944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39">
        <v>43151</v>
      </c>
      <c r="AP65" s="13">
        <f t="shared" si="11"/>
        <v>3</v>
      </c>
      <c r="AQ65" s="13">
        <f t="shared" si="12"/>
        <v>4</v>
      </c>
      <c r="AR65" s="173">
        <f t="shared" si="13"/>
        <v>43136</v>
      </c>
      <c r="AS65" s="742">
        <f t="shared" si="14"/>
        <v>0.5357142857142857</v>
      </c>
      <c r="AT65" s="758">
        <f t="shared" si="15"/>
        <v>42.571914700315595</v>
      </c>
      <c r="AU65" s="13">
        <f t="shared" si="16"/>
        <v>3</v>
      </c>
      <c r="AV65" s="13">
        <f t="shared" si="17"/>
        <v>4</v>
      </c>
      <c r="AW65" s="173">
        <f t="shared" si="18"/>
        <v>43150</v>
      </c>
      <c r="AX65" s="742">
        <f t="shared" si="19"/>
        <v>3.5714285714285712E-2</v>
      </c>
      <c r="AY65" s="758">
        <f t="shared" si="20"/>
        <v>42.595951913280551</v>
      </c>
      <c r="AZ65" s="735">
        <f t="shared" si="26"/>
        <v>42.583933306798073</v>
      </c>
      <c r="BA65" s="633">
        <f t="shared" si="21"/>
        <v>0.99837138663673142</v>
      </c>
      <c r="BC65" s="11">
        <v>43151</v>
      </c>
      <c r="BD65" s="289">
        <f>[3]!FeuilCaduc*(1-Persistant)+Persistant</f>
        <v>0.80097207506499557</v>
      </c>
      <c r="BE65" s="290">
        <f>[3]!CroissVégét</f>
        <v>9.3920531593536197E-3</v>
      </c>
      <c r="BF65" s="804">
        <f>1+[3]!Salcycl*Ksac</f>
        <v>1.0002430187662488</v>
      </c>
      <c r="BH65" s="1037">
        <f t="shared" si="22"/>
        <v>3.6944107731275218E-2</v>
      </c>
      <c r="BI65" s="11">
        <v>44247</v>
      </c>
      <c r="BJ65" s="715">
        <v>7.0665089251005985E-4</v>
      </c>
      <c r="BK65" s="715">
        <v>2.6536140380762313E-3</v>
      </c>
      <c r="BL65" s="715">
        <v>5.8964277282001747E-3</v>
      </c>
      <c r="BM65" s="715">
        <v>1.457597246281098E-2</v>
      </c>
      <c r="BN65" s="715">
        <v>4.2573336598428532E-2</v>
      </c>
      <c r="BO65" s="716">
        <v>0.10759251987153426</v>
      </c>
      <c r="BP65" s="715">
        <v>0.22291528052387458</v>
      </c>
      <c r="BQ65" s="715">
        <v>0.3679995444448767</v>
      </c>
      <c r="BR65" s="715">
        <v>0.5464230655100808</v>
      </c>
      <c r="BS65" s="715">
        <v>0.76169079587293131</v>
      </c>
      <c r="BT65" s="715">
        <v>1.0201553583538583</v>
      </c>
      <c r="BW65" s="1185">
        <f>'2019'!R\Max</f>
        <v>0</v>
      </c>
      <c r="BX65" s="1185">
        <f>'2020'!R\Max</f>
        <v>0.99837138663673142</v>
      </c>
      <c r="BY65" s="1185">
        <f>'2021'!R\Max</f>
        <v>0.86875267395938971</v>
      </c>
      <c r="BZ65" s="1185">
        <f>'2022'!R\Max</f>
        <v>0.67556390031950075</v>
      </c>
      <c r="CA65" s="1185">
        <f>'2023'!R\Max</f>
        <v>0.67395615186586111</v>
      </c>
      <c r="CB65" s="1185">
        <f>'2024'!R\Max</f>
        <v>0.67222261857802168</v>
      </c>
      <c r="CC65" s="1185">
        <f>'2025'!R\Max</f>
        <v>0.6703225382056941</v>
      </c>
      <c r="CD65" s="1185">
        <f>'2026'!R\Max</f>
        <v>0.66811253905312662</v>
      </c>
      <c r="CE65" s="1186">
        <f>'2027'!R\Max</f>
        <v>0.67738887981565865</v>
      </c>
      <c r="CF65" s="1187">
        <f>'2028'!R\Max</f>
        <v>0.67642427869189059</v>
      </c>
    </row>
    <row r="66" spans="1:84" s="6" customFormat="1" ht="11.25" x14ac:dyDescent="0.2">
      <c r="A66" s="11">
        <v>43152</v>
      </c>
      <c r="B66" s="379">
        <f>'2022'!Maxi_hp</f>
        <v>21.52544485018046</v>
      </c>
      <c r="C66" s="13">
        <f>'2022'!An_max</f>
        <v>2022</v>
      </c>
      <c r="D66" s="1046" t="str">
        <f t="shared" si="7"/>
        <v/>
      </c>
      <c r="E66" s="13"/>
      <c r="F66" s="13">
        <f t="shared" si="23"/>
        <v>5</v>
      </c>
      <c r="G66" s="13">
        <f t="shared" si="24"/>
        <v>6</v>
      </c>
      <c r="H66" s="173">
        <f t="shared" si="8"/>
        <v>43150</v>
      </c>
      <c r="I66" s="742">
        <f t="shared" si="9"/>
        <v>0.14285714285714285</v>
      </c>
      <c r="J66" s="735">
        <f t="shared" si="27"/>
        <v>42.946885714280825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39">
        <v>43152</v>
      </c>
      <c r="AP66" s="13">
        <f t="shared" si="11"/>
        <v>3</v>
      </c>
      <c r="AQ66" s="13">
        <f t="shared" si="12"/>
        <v>4</v>
      </c>
      <c r="AR66" s="173">
        <f t="shared" si="13"/>
        <v>43136</v>
      </c>
      <c r="AS66" s="742">
        <f t="shared" si="14"/>
        <v>0.5714285714285714</v>
      </c>
      <c r="AT66" s="758">
        <f t="shared" si="15"/>
        <v>42.929497959105561</v>
      </c>
      <c r="AU66" s="13">
        <f t="shared" si="16"/>
        <v>3</v>
      </c>
      <c r="AV66" s="13">
        <f t="shared" si="17"/>
        <v>4</v>
      </c>
      <c r="AW66" s="173">
        <f t="shared" si="18"/>
        <v>43150</v>
      </c>
      <c r="AX66" s="742">
        <f t="shared" si="19"/>
        <v>7.1428571428571425E-2</v>
      </c>
      <c r="AY66" s="758">
        <f t="shared" si="20"/>
        <v>42.949240306136197</v>
      </c>
      <c r="AZ66" s="735">
        <f t="shared" si="26"/>
        <v>42.939369132620882</v>
      </c>
      <c r="BA66" s="633">
        <f t="shared" si="21"/>
        <v>0.50121084432957508</v>
      </c>
      <c r="BC66" s="11">
        <v>43152</v>
      </c>
      <c r="BD66" s="289">
        <f>[3]!FeuilCaduc*(1-Persistant)+Persistant</f>
        <v>0.80103266381931448</v>
      </c>
      <c r="BE66" s="290">
        <f>[3]!CroissVégét</f>
        <v>9.8394096579268626E-3</v>
      </c>
      <c r="BF66" s="804">
        <f>1+[3]!Salcycl*Ksac</f>
        <v>1.0002581659548286</v>
      </c>
      <c r="BH66" s="1037">
        <f t="shared" si="22"/>
        <v>3.3697140015731798E-2</v>
      </c>
      <c r="BI66" s="11">
        <v>44248</v>
      </c>
      <c r="BJ66" s="715">
        <v>6.7389676665035507E-4</v>
      </c>
      <c r="BK66" s="715">
        <v>2.6763239003631759E-3</v>
      </c>
      <c r="BL66" s="715">
        <v>5.8487160683116249E-3</v>
      </c>
      <c r="BM66" s="715">
        <v>1.3651482014521991E-2</v>
      </c>
      <c r="BN66" s="715">
        <v>3.8741887614365249E-2</v>
      </c>
      <c r="BO66" s="716">
        <v>9.9683667960474856E-2</v>
      </c>
      <c r="BP66" s="715">
        <v>0.21092391322843224</v>
      </c>
      <c r="BQ66" s="715">
        <v>0.35439332958933811</v>
      </c>
      <c r="BR66" s="715">
        <v>0.53204247790251735</v>
      </c>
      <c r="BS66" s="715">
        <v>0.74461728446601994</v>
      </c>
      <c r="BT66" s="715">
        <v>0.9972035376001952</v>
      </c>
      <c r="BW66" s="1185">
        <f>'2019'!R\Max</f>
        <v>0</v>
      </c>
      <c r="BX66" s="1185">
        <f>'2020'!R\Max</f>
        <v>0.413996114633015</v>
      </c>
      <c r="BY66" s="1185">
        <f>'2021'!R\Max</f>
        <v>0.30125539189634304</v>
      </c>
      <c r="BZ66" s="1185">
        <f>'2022'!R\Max</f>
        <v>0.50121084432957508</v>
      </c>
      <c r="CA66" s="1185">
        <f>'2023'!R\Max</f>
        <v>0.49946343445675728</v>
      </c>
      <c r="CB66" s="1185">
        <f>'2024'!R\Max</f>
        <v>0.49758001395613444</v>
      </c>
      <c r="CC66" s="1185">
        <f>'2025'!R\Max</f>
        <v>0.49550092624824998</v>
      </c>
      <c r="CD66" s="1185">
        <f>'2026'!R\Max</f>
        <v>0.49305506457927162</v>
      </c>
      <c r="CE66" s="1186">
        <f>'2027'!R\Max</f>
        <v>0.5031485268579734</v>
      </c>
      <c r="CF66" s="1187">
        <f>'2028'!R\Max</f>
        <v>0.50212359607094703</v>
      </c>
    </row>
    <row r="67" spans="1:84" s="6" customFormat="1" ht="11.25" x14ac:dyDescent="0.2">
      <c r="A67" s="11">
        <v>43153</v>
      </c>
      <c r="B67" s="379">
        <f>'2022'!Maxi_hp</f>
        <v>41.235374874521426</v>
      </c>
      <c r="C67" s="13">
        <f>'2022'!An_max</f>
        <v>2020</v>
      </c>
      <c r="D67" s="1046" t="str">
        <f t="shared" si="7"/>
        <v/>
      </c>
      <c r="E67" s="13"/>
      <c r="F67" s="13">
        <f t="shared" si="23"/>
        <v>5</v>
      </c>
      <c r="G67" s="13">
        <f t="shared" si="24"/>
        <v>6</v>
      </c>
      <c r="H67" s="173">
        <f t="shared" si="8"/>
        <v>43150</v>
      </c>
      <c r="I67" s="742">
        <f t="shared" si="9"/>
        <v>0.21428571428571427</v>
      </c>
      <c r="J67" s="735">
        <f t="shared" si="27"/>
        <v>43.297067857194421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39">
        <v>43153</v>
      </c>
      <c r="AP67" s="13">
        <f t="shared" si="11"/>
        <v>3</v>
      </c>
      <c r="AQ67" s="13">
        <f t="shared" si="12"/>
        <v>4</v>
      </c>
      <c r="AR67" s="173">
        <f t="shared" si="13"/>
        <v>43136</v>
      </c>
      <c r="AS67" s="742">
        <f t="shared" si="14"/>
        <v>0.6071428571428571</v>
      </c>
      <c r="AT67" s="758">
        <f t="shared" si="15"/>
        <v>43.286483514032852</v>
      </c>
      <c r="AU67" s="13">
        <f t="shared" si="16"/>
        <v>3</v>
      </c>
      <c r="AV67" s="13">
        <f t="shared" si="17"/>
        <v>4</v>
      </c>
      <c r="AW67" s="173">
        <f t="shared" si="18"/>
        <v>43150</v>
      </c>
      <c r="AX67" s="742">
        <f t="shared" si="19"/>
        <v>0.10714285714285714</v>
      </c>
      <c r="AY67" s="758">
        <f t="shared" si="20"/>
        <v>43.30453915812874</v>
      </c>
      <c r="AZ67" s="735">
        <f t="shared" si="26"/>
        <v>43.295511336080793</v>
      </c>
      <c r="BA67" s="633">
        <f t="shared" si="21"/>
        <v>0.95238261885370568</v>
      </c>
      <c r="BC67" s="11">
        <v>43153</v>
      </c>
      <c r="BD67" s="289">
        <f>[3]!FeuilCaduc*(1-Persistant)+Persistant</f>
        <v>0.80109201537872954</v>
      </c>
      <c r="BE67" s="290">
        <f>[3]!CroissVégét</f>
        <v>1.0305104176065441E-2</v>
      </c>
      <c r="BF67" s="804">
        <f>1+[3]!Salcycl*Ksac</f>
        <v>1.0002730038446823</v>
      </c>
      <c r="BH67" s="1037">
        <f t="shared" si="22"/>
        <v>3.0822509921120563E-2</v>
      </c>
      <c r="BI67" s="11">
        <v>44249</v>
      </c>
      <c r="BJ67" s="715">
        <v>6.418897498578043E-4</v>
      </c>
      <c r="BK67" s="715">
        <v>2.7024351966042511E-3</v>
      </c>
      <c r="BL67" s="715">
        <v>5.8303694220487381E-3</v>
      </c>
      <c r="BM67" s="715">
        <v>1.2897812011367185E-2</v>
      </c>
      <c r="BN67" s="715">
        <v>3.5333490639787961E-2</v>
      </c>
      <c r="BO67" s="716">
        <v>9.2245353290557455E-2</v>
      </c>
      <c r="BP67" s="715">
        <v>0.19908937699421245</v>
      </c>
      <c r="BQ67" s="715">
        <v>0.34041020316469817</v>
      </c>
      <c r="BR67" s="715">
        <v>0.51699989976557381</v>
      </c>
      <c r="BS67" s="715">
        <v>0.72705825776714383</v>
      </c>
      <c r="BT67" s="715">
        <v>0.97426379894590942</v>
      </c>
      <c r="BW67" s="1185">
        <f>'2019'!R\Max</f>
        <v>0</v>
      </c>
      <c r="BX67" s="1185">
        <f>'2020'!R\Max</f>
        <v>0.95238261885370568</v>
      </c>
      <c r="BY67" s="1185">
        <f>'2021'!R\Max</f>
        <v>0.13376667287508581</v>
      </c>
      <c r="BZ67" s="1185">
        <f>'2022'!R\Max</f>
        <v>0.82574429840123098</v>
      </c>
      <c r="CA67" s="1185">
        <f>'2023'!R\Max</f>
        <v>0.8247865298761391</v>
      </c>
      <c r="CB67" s="1185">
        <f>'2024'!R\Max</f>
        <v>0.82374735354272233</v>
      </c>
      <c r="CC67" s="1185">
        <f>'2025'!R\Max</f>
        <v>0.82258257299745785</v>
      </c>
      <c r="CD67" s="1185">
        <f>'2026'!R\Max</f>
        <v>0.82118406720486914</v>
      </c>
      <c r="CE67" s="1186">
        <f>'2027'!R\Max</f>
        <v>0.82677485099510684</v>
      </c>
      <c r="CF67" s="1187">
        <f>'2028'!R\Max</f>
        <v>0.82623031092304688</v>
      </c>
    </row>
    <row r="68" spans="1:84" s="6" customFormat="1" ht="11.25" x14ac:dyDescent="0.2">
      <c r="A68" s="11">
        <v>43154</v>
      </c>
      <c r="B68" s="379">
        <f>'2022'!Maxi_hp</f>
        <v>41.868249695321026</v>
      </c>
      <c r="C68" s="13">
        <f>'2022'!An_max</f>
        <v>2020</v>
      </c>
      <c r="D68" s="1046" t="str">
        <f t="shared" si="7"/>
        <v/>
      </c>
      <c r="E68" s="13"/>
      <c r="F68" s="13">
        <f t="shared" si="23"/>
        <v>5</v>
      </c>
      <c r="G68" s="13">
        <f t="shared" si="24"/>
        <v>6</v>
      </c>
      <c r="H68" s="173">
        <f t="shared" si="8"/>
        <v>43150</v>
      </c>
      <c r="I68" s="742">
        <f t="shared" si="9"/>
        <v>0.2857142857142857</v>
      </c>
      <c r="J68" s="735">
        <f t="shared" si="27"/>
        <v>43.646742857194376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39">
        <v>43154</v>
      </c>
      <c r="AP68" s="13">
        <f t="shared" si="11"/>
        <v>3</v>
      </c>
      <c r="AQ68" s="13">
        <f t="shared" si="12"/>
        <v>4</v>
      </c>
      <c r="AR68" s="173">
        <f t="shared" si="13"/>
        <v>43136</v>
      </c>
      <c r="AS68" s="742">
        <f t="shared" si="14"/>
        <v>0.6428571428571429</v>
      </c>
      <c r="AT68" s="758">
        <f t="shared" si="15"/>
        <v>43.642667601909487</v>
      </c>
      <c r="AU68" s="13">
        <f t="shared" si="16"/>
        <v>3</v>
      </c>
      <c r="AV68" s="13">
        <f t="shared" si="17"/>
        <v>4</v>
      </c>
      <c r="AW68" s="173">
        <f t="shared" si="18"/>
        <v>43150</v>
      </c>
      <c r="AX68" s="742">
        <f t="shared" si="19"/>
        <v>0.14285714285714285</v>
      </c>
      <c r="AY68" s="758">
        <f t="shared" si="20"/>
        <v>43.661522448941</v>
      </c>
      <c r="AZ68" s="735">
        <f t="shared" si="26"/>
        <v>43.65209502542524</v>
      </c>
      <c r="BA68" s="633">
        <f t="shared" si="21"/>
        <v>0.95925255711079482</v>
      </c>
      <c r="BC68" s="11">
        <v>43154</v>
      </c>
      <c r="BD68" s="289">
        <f>[3]!FeuilCaduc*(1-Persistant)+Persistant</f>
        <v>0.80115001465501567</v>
      </c>
      <c r="BE68" s="290">
        <f>[3]!CroissVégét</f>
        <v>1.0789869896821172E-2</v>
      </c>
      <c r="BF68" s="804">
        <f>1+[3]!Salcycl*Ksac</f>
        <v>1.000287503663754</v>
      </c>
      <c r="BH68" s="1037">
        <f t="shared" si="22"/>
        <v>2.8319983109540793E-2</v>
      </c>
      <c r="BI68" s="11">
        <v>44250</v>
      </c>
      <c r="BJ68" s="715">
        <v>6.1062574789416506E-4</v>
      </c>
      <c r="BK68" s="715">
        <v>2.7319339598584156E-3</v>
      </c>
      <c r="BL68" s="715">
        <v>5.8413554485686973E-3</v>
      </c>
      <c r="BM68" s="715">
        <v>1.2314873081012043E-2</v>
      </c>
      <c r="BN68" s="715">
        <v>3.2347874854347154E-2</v>
      </c>
      <c r="BO68" s="716">
        <v>8.5276918324596301E-2</v>
      </c>
      <c r="BP68" s="715">
        <v>0.18741036541215891</v>
      </c>
      <c r="BQ68" s="715">
        <v>0.32604807892394849</v>
      </c>
      <c r="BR68" s="715">
        <v>0.50129229162457734</v>
      </c>
      <c r="BS68" s="715">
        <v>0.70900950075444946</v>
      </c>
      <c r="BT68" s="715">
        <v>0.95133048560511824</v>
      </c>
      <c r="BW68" s="1185">
        <f>'2019'!R\Max</f>
        <v>0</v>
      </c>
      <c r="BX68" s="1185">
        <f>'2020'!R\Max</f>
        <v>0.95925255711079482</v>
      </c>
      <c r="BY68" s="1185">
        <f>'2021'!R\Max</f>
        <v>0.70789847812098938</v>
      </c>
      <c r="BZ68" s="1185">
        <f>'2022'!R\Max</f>
        <v>0.94929624916884803</v>
      </c>
      <c r="CA68" s="1185">
        <f>'2023'!R\Max</f>
        <v>0.94899298634854501</v>
      </c>
      <c r="CB68" s="1185">
        <f>'2024'!R\Max</f>
        <v>0.94866283753363712</v>
      </c>
      <c r="CC68" s="1185">
        <f>'2025'!R\Max</f>
        <v>0.94828818261709524</v>
      </c>
      <c r="CD68" s="1185">
        <f>'2026'!R\Max</f>
        <v>0.94783072780105548</v>
      </c>
      <c r="CE68" s="1186">
        <f>'2027'!R\Max</f>
        <v>0.94961404363486712</v>
      </c>
      <c r="CF68" s="1187">
        <f>'2028'!R\Max</f>
        <v>0.94944616354147604</v>
      </c>
    </row>
    <row r="69" spans="1:84" s="6" customFormat="1" ht="11.25" x14ac:dyDescent="0.2">
      <c r="A69" s="11">
        <v>43155</v>
      </c>
      <c r="B69" s="379">
        <f>'2022'!Maxi_hp</f>
        <v>42.008924715628446</v>
      </c>
      <c r="C69" s="13">
        <f>'2022'!An_max</f>
        <v>2020</v>
      </c>
      <c r="D69" s="1046" t="str">
        <f t="shared" si="7"/>
        <v/>
      </c>
      <c r="E69" s="13"/>
      <c r="F69" s="13">
        <f t="shared" si="23"/>
        <v>5</v>
      </c>
      <c r="G69" s="13">
        <f t="shared" si="24"/>
        <v>6</v>
      </c>
      <c r="H69" s="173">
        <f t="shared" si="8"/>
        <v>43150</v>
      </c>
      <c r="I69" s="742">
        <f t="shared" si="9"/>
        <v>0.35714285714285715</v>
      </c>
      <c r="J69" s="735">
        <f t="shared" si="27"/>
        <v>43.995910714373785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39">
        <v>43155</v>
      </c>
      <c r="AP69" s="13">
        <f t="shared" si="11"/>
        <v>3</v>
      </c>
      <c r="AQ69" s="13">
        <f t="shared" si="12"/>
        <v>4</v>
      </c>
      <c r="AR69" s="173">
        <f t="shared" si="13"/>
        <v>43136</v>
      </c>
      <c r="AS69" s="742">
        <f t="shared" si="14"/>
        <v>0.6785714285714286</v>
      </c>
      <c r="AT69" s="758">
        <f t="shared" si="15"/>
        <v>43.997846460332426</v>
      </c>
      <c r="AU69" s="13">
        <f t="shared" si="16"/>
        <v>3</v>
      </c>
      <c r="AV69" s="13">
        <f t="shared" si="17"/>
        <v>4</v>
      </c>
      <c r="AW69" s="173">
        <f t="shared" si="18"/>
        <v>43150</v>
      </c>
      <c r="AX69" s="742">
        <f t="shared" si="19"/>
        <v>0.17857142857142858</v>
      </c>
      <c r="AY69" s="758">
        <f t="shared" si="20"/>
        <v>44.019864158197635</v>
      </c>
      <c r="AZ69" s="735">
        <f t="shared" si="26"/>
        <v>44.00885530926503</v>
      </c>
      <c r="BA69" s="633">
        <f t="shared" si="21"/>
        <v>0.95483702993114361</v>
      </c>
      <c r="BC69" s="11">
        <v>43155</v>
      </c>
      <c r="BD69" s="289">
        <f>[3]!FeuilCaduc*(1-Persistant)+Persistant</f>
        <v>0.80120660923865139</v>
      </c>
      <c r="BE69" s="290">
        <f>[3]!CroissVégét</f>
        <v>1.1294467751257744E-2</v>
      </c>
      <c r="BF69" s="804">
        <f>1+[3]!Salcycl*Ksac</f>
        <v>1.0003016523096628</v>
      </c>
      <c r="BH69" s="1037">
        <f t="shared" si="22"/>
        <v>2.618951956566281E-2</v>
      </c>
      <c r="BI69" s="11">
        <v>44251</v>
      </c>
      <c r="BJ69" s="715">
        <v>5.8010423014008929E-4</v>
      </c>
      <c r="BK69" s="715">
        <v>2.764819399969377E-3</v>
      </c>
      <c r="BL69" s="715">
        <v>5.881671607425875E-3</v>
      </c>
      <c r="BM69" s="715">
        <v>1.1902652404051169E-2</v>
      </c>
      <c r="BN69" s="715">
        <v>2.9784993398509079E-2</v>
      </c>
      <c r="BO69" s="716">
        <v>7.8778258583377475E-2</v>
      </c>
      <c r="BP69" s="715">
        <v>0.17588669732374157</v>
      </c>
      <c r="BQ69" s="715">
        <v>0.31130670812283395</v>
      </c>
      <c r="BR69" s="715">
        <v>0.48491933203709636</v>
      </c>
      <c r="BS69" s="715">
        <v>0.69047059036749814</v>
      </c>
      <c r="BT69" s="715">
        <v>0.9284030310208351</v>
      </c>
      <c r="BW69" s="1185">
        <f>'2019'!R\Max</f>
        <v>0</v>
      </c>
      <c r="BX69" s="1185">
        <f>'2020'!R\Max</f>
        <v>0.95483702993114361</v>
      </c>
      <c r="BY69" s="1185">
        <f>'2021'!R\Max</f>
        <v>0.89703787202514118</v>
      </c>
      <c r="BZ69" s="1185">
        <f>'2022'!R\Max</f>
        <v>0.60325645965052865</v>
      </c>
      <c r="CA69" s="1185">
        <f>'2023'!R\Max</f>
        <v>0.60184048048705829</v>
      </c>
      <c r="CB69" s="1185">
        <f>'2024'!R\Max</f>
        <v>0.60030325267200613</v>
      </c>
      <c r="CC69" s="1185">
        <f>'2025'!R\Max</f>
        <v>0.5985477687089128</v>
      </c>
      <c r="CD69" s="1185">
        <f>'2026'!R\Max</f>
        <v>0.59638438147672423</v>
      </c>
      <c r="CE69" s="1186">
        <f>'2027'!R\Max</f>
        <v>0.6047107915023886</v>
      </c>
      <c r="CF69" s="1187">
        <f>'2028'!R\Max</f>
        <v>0.60394162785066507</v>
      </c>
    </row>
    <row r="70" spans="1:84" s="6" customFormat="1" ht="11.25" x14ac:dyDescent="0.2">
      <c r="A70" s="11">
        <v>43156</v>
      </c>
      <c r="B70" s="379">
        <f>'2022'!Maxi_hp</f>
        <v>38.500224990742687</v>
      </c>
      <c r="C70" s="13">
        <f>'2022'!An_max</f>
        <v>2021</v>
      </c>
      <c r="D70" s="1046" t="str">
        <f t="shared" si="7"/>
        <v/>
      </c>
      <c r="E70" s="13"/>
      <c r="F70" s="13">
        <f t="shared" si="23"/>
        <v>5</v>
      </c>
      <c r="G70" s="13">
        <f t="shared" si="24"/>
        <v>6</v>
      </c>
      <c r="H70" s="173">
        <f t="shared" si="8"/>
        <v>43150</v>
      </c>
      <c r="I70" s="742">
        <f t="shared" si="9"/>
        <v>0.42857142857142855</v>
      </c>
      <c r="J70" s="735">
        <f t="shared" si="27"/>
        <v>44.344571428559718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39">
        <v>43156</v>
      </c>
      <c r="AP70" s="13">
        <f t="shared" si="11"/>
        <v>3</v>
      </c>
      <c r="AQ70" s="13">
        <f t="shared" si="12"/>
        <v>4</v>
      </c>
      <c r="AR70" s="173">
        <f t="shared" si="13"/>
        <v>43136</v>
      </c>
      <c r="AS70" s="742">
        <f t="shared" si="14"/>
        <v>0.7142857142857143</v>
      </c>
      <c r="AT70" s="758">
        <f t="shared" si="15"/>
        <v>44.351816326539428</v>
      </c>
      <c r="AU70" s="13">
        <f t="shared" si="16"/>
        <v>3</v>
      </c>
      <c r="AV70" s="13">
        <f t="shared" si="17"/>
        <v>4</v>
      </c>
      <c r="AW70" s="173">
        <f t="shared" si="18"/>
        <v>43150</v>
      </c>
      <c r="AX70" s="742">
        <f t="shared" si="19"/>
        <v>0.21428571428571427</v>
      </c>
      <c r="AY70" s="758">
        <f t="shared" si="20"/>
        <v>44.379238265443455</v>
      </c>
      <c r="AZ70" s="735">
        <f t="shared" si="26"/>
        <v>44.365527295991441</v>
      </c>
      <c r="BA70" s="633">
        <f t="shared" si="21"/>
        <v>0.86820604530517498</v>
      </c>
      <c r="BC70" s="11">
        <v>43156</v>
      </c>
      <c r="BD70" s="289">
        <f>[3]!FeuilCaduc*(1-Persistant)+Persistant</f>
        <v>0.80126181329995483</v>
      </c>
      <c r="BE70" s="290">
        <f>[3]!CroissVégét</f>
        <v>1.1819687335529849E-2</v>
      </c>
      <c r="BF70" s="804">
        <f>1+[3]!Salcycl*Ksac</f>
        <v>1.0003154533249887</v>
      </c>
      <c r="BH70" s="1037">
        <f t="shared" si="22"/>
        <v>2.443108911295748E-2</v>
      </c>
      <c r="BI70" s="11">
        <v>44252</v>
      </c>
      <c r="BJ70" s="715">
        <v>5.5032472445188903E-4</v>
      </c>
      <c r="BK70" s="715">
        <v>2.8010907388448603E-3</v>
      </c>
      <c r="BL70" s="715">
        <v>5.9513158254086507E-3</v>
      </c>
      <c r="BM70" s="715">
        <v>1.166114083905128E-2</v>
      </c>
      <c r="BN70" s="715">
        <v>2.7644810801992263E-2</v>
      </c>
      <c r="BO70" s="716">
        <v>7.2749287643410696E-2</v>
      </c>
      <c r="BP70" s="715">
        <v>0.16451821140413855</v>
      </c>
      <c r="BQ70" s="715">
        <v>0.29618585699510419</v>
      </c>
      <c r="BR70" s="715">
        <v>0.46788071180053692</v>
      </c>
      <c r="BS70" s="715">
        <v>0.67144112212841323</v>
      </c>
      <c r="BT70" s="715">
        <v>0.90548090261492931</v>
      </c>
      <c r="BW70" s="1185">
        <f>'2019'!R\Max</f>
        <v>0</v>
      </c>
      <c r="BX70" s="1185">
        <f>'2020'!R\Max</f>
        <v>0.34197509427551132</v>
      </c>
      <c r="BY70" s="1185">
        <f>'2021'!R\Max</f>
        <v>0.86820604530517498</v>
      </c>
      <c r="BZ70" s="1185">
        <f>'2022'!R\Max</f>
        <v>0.65113255972747208</v>
      </c>
      <c r="CA70" s="1185">
        <f>'2023'!R\Max</f>
        <v>0.64987494564325077</v>
      </c>
      <c r="CB70" s="1185">
        <f>'2024'!R\Max</f>
        <v>0.64850667908017079</v>
      </c>
      <c r="CC70" s="1185">
        <f>'2025'!R\Max</f>
        <v>0.64692399070631046</v>
      </c>
      <c r="CD70" s="1185">
        <f>'2026'!R\Max</f>
        <v>0.64494098707207925</v>
      </c>
      <c r="CE70" s="1186">
        <f>'2027'!R\Max</f>
        <v>0.65239292175577857</v>
      </c>
      <c r="CF70" s="1187">
        <f>'2028'!R\Max</f>
        <v>0.65172637705622494</v>
      </c>
    </row>
    <row r="71" spans="1:84" s="6" customFormat="1" ht="11.25" x14ac:dyDescent="0.2">
      <c r="A71" s="11">
        <v>43157</v>
      </c>
      <c r="B71" s="379">
        <f>'2022'!Maxi_hp</f>
        <v>44.806950383067353</v>
      </c>
      <c r="C71" s="13">
        <f>'2022'!An_max</f>
        <v>2022</v>
      </c>
      <c r="D71" s="1046">
        <f t="shared" si="7"/>
        <v>1.0025557936565526</v>
      </c>
      <c r="E71" s="13"/>
      <c r="F71" s="13">
        <f t="shared" si="23"/>
        <v>5</v>
      </c>
      <c r="G71" s="13">
        <f t="shared" si="24"/>
        <v>6</v>
      </c>
      <c r="H71" s="173">
        <f t="shared" si="8"/>
        <v>43150</v>
      </c>
      <c r="I71" s="742">
        <f t="shared" si="9"/>
        <v>0.5</v>
      </c>
      <c r="J71" s="735">
        <f t="shared" si="27"/>
        <v>44.692725000018257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39">
        <v>43157</v>
      </c>
      <c r="AP71" s="13">
        <f t="shared" si="11"/>
        <v>3</v>
      </c>
      <c r="AQ71" s="13">
        <f t="shared" si="12"/>
        <v>4</v>
      </c>
      <c r="AR71" s="173">
        <f t="shared" si="13"/>
        <v>43136</v>
      </c>
      <c r="AS71" s="742">
        <f t="shared" si="14"/>
        <v>0.75</v>
      </c>
      <c r="AT71" s="758">
        <f t="shared" si="15"/>
        <v>44.704373437329195</v>
      </c>
      <c r="AU71" s="13">
        <f t="shared" si="16"/>
        <v>3</v>
      </c>
      <c r="AV71" s="13">
        <f t="shared" si="17"/>
        <v>4</v>
      </c>
      <c r="AW71" s="173">
        <f t="shared" si="18"/>
        <v>43150</v>
      </c>
      <c r="AX71" s="742">
        <f t="shared" si="19"/>
        <v>0.25</v>
      </c>
      <c r="AY71" s="758">
        <f t="shared" si="20"/>
        <v>44.739318750007079</v>
      </c>
      <c r="AZ71" s="735">
        <f t="shared" si="26"/>
        <v>44.721846093668134</v>
      </c>
      <c r="BA71" s="633">
        <f t="shared" si="21"/>
        <v>1.0025557936565526</v>
      </c>
      <c r="BC71" s="11">
        <v>43157</v>
      </c>
      <c r="BD71" s="289">
        <f>[3]!FeuilCaduc*(1-Persistant)+Persistant</f>
        <v>0.80131571100625376</v>
      </c>
      <c r="BE71" s="290">
        <f>[3]!CroissVégét</f>
        <v>1.236634784666045E-2</v>
      </c>
      <c r="BF71" s="804">
        <f>1+[3]!Salcycl*Ksac</f>
        <v>1.0003289277515635</v>
      </c>
      <c r="BH71" s="1037">
        <f t="shared" si="22"/>
        <v>2.3044670037560944E-2</v>
      </c>
      <c r="BI71" s="11">
        <v>44253</v>
      </c>
      <c r="BJ71" s="715">
        <v>5.2128681442180889E-4</v>
      </c>
      <c r="BK71" s="715">
        <v>2.8407471979542808E-3</v>
      </c>
      <c r="BL71" s="715">
        <v>6.0502863880880879E-3</v>
      </c>
      <c r="BM71" s="715">
        <v>1.1590332291098781E-2</v>
      </c>
      <c r="BN71" s="715">
        <v>2.5927301420223165E-2</v>
      </c>
      <c r="BO71" s="716">
        <v>6.718993540001221E-2</v>
      </c>
      <c r="BP71" s="715">
        <v>0.15330476558979184</v>
      </c>
      <c r="BQ71" s="715">
        <v>0.28068530815936366</v>
      </c>
      <c r="BR71" s="715">
        <v>0.45017613641931725</v>
      </c>
      <c r="BS71" s="715">
        <v>0.65192071196308754</v>
      </c>
      <c r="BT71" s="715">
        <v>0.88256360177689797</v>
      </c>
      <c r="BW71" s="1185">
        <f>'2019'!R\Max</f>
        <v>0</v>
      </c>
      <c r="BX71" s="1185">
        <f>'2020'!R\Max</f>
        <v>0.36581077867649636</v>
      </c>
      <c r="BY71" s="1185">
        <f>'2021'!R\Max</f>
        <v>0.22630668440686702</v>
      </c>
      <c r="BZ71" s="1185">
        <f>'2022'!R\Max</f>
        <v>1.0025557936565526</v>
      </c>
      <c r="CA71" s="1185">
        <f>'2023'!R\Max</f>
        <v>1.0025557936565528</v>
      </c>
      <c r="CB71" s="1185">
        <f>'2024'!R\Max</f>
        <v>1.0025557936565526</v>
      </c>
      <c r="CC71" s="1185">
        <f>'2025'!R\Max</f>
        <v>1.0025557936565526</v>
      </c>
      <c r="CD71" s="1185">
        <f>'2026'!R\Max</f>
        <v>1.0025557936565528</v>
      </c>
      <c r="CE71" s="1186">
        <f>'2027'!R\Max</f>
        <v>1.0025557936565523</v>
      </c>
      <c r="CF71" s="1187">
        <f>'2028'!R\Max</f>
        <v>1.0025557936565523</v>
      </c>
    </row>
    <row r="72" spans="1:84" s="6" customFormat="1" ht="11.25" x14ac:dyDescent="0.2">
      <c r="A72" s="11">
        <v>43158</v>
      </c>
      <c r="B72" s="379">
        <f>'2022'!Maxi_hp</f>
        <v>43.222165638946798</v>
      </c>
      <c r="C72" s="13">
        <f>'2022'!An_max</f>
        <v>2021</v>
      </c>
      <c r="D72" s="1046" t="str">
        <f t="shared" si="7"/>
        <v/>
      </c>
      <c r="E72" s="13"/>
      <c r="F72" s="13">
        <f t="shared" si="23"/>
        <v>5</v>
      </c>
      <c r="G72" s="13">
        <f t="shared" si="24"/>
        <v>6</v>
      </c>
      <c r="H72" s="173">
        <f t="shared" si="8"/>
        <v>43150</v>
      </c>
      <c r="I72" s="742">
        <f t="shared" si="9"/>
        <v>0.5714285714285714</v>
      </c>
      <c r="J72" s="735">
        <f t="shared" si="27"/>
        <v>45.040371428469996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39">
        <v>43158</v>
      </c>
      <c r="AP72" s="13">
        <f t="shared" si="11"/>
        <v>3</v>
      </c>
      <c r="AQ72" s="13">
        <f t="shared" si="12"/>
        <v>4</v>
      </c>
      <c r="AR72" s="173">
        <f t="shared" si="13"/>
        <v>43136</v>
      </c>
      <c r="AS72" s="742">
        <f t="shared" si="14"/>
        <v>0.7857142857142857</v>
      </c>
      <c r="AT72" s="758">
        <f t="shared" si="15"/>
        <v>45.055314030564787</v>
      </c>
      <c r="AU72" s="13">
        <f t="shared" si="16"/>
        <v>3</v>
      </c>
      <c r="AV72" s="13">
        <f t="shared" si="17"/>
        <v>4</v>
      </c>
      <c r="AW72" s="173">
        <f t="shared" si="18"/>
        <v>43150</v>
      </c>
      <c r="AX72" s="742">
        <f t="shared" si="19"/>
        <v>0.2857142857142857</v>
      </c>
      <c r="AY72" s="758">
        <f t="shared" si="20"/>
        <v>45.099779591928908</v>
      </c>
      <c r="AZ72" s="735">
        <f t="shared" si="26"/>
        <v>45.077546811246847</v>
      </c>
      <c r="BA72" s="633">
        <f t="shared" si="21"/>
        <v>0.95963164308245663</v>
      </c>
      <c r="BC72" s="11">
        <v>43158</v>
      </c>
      <c r="BD72" s="289">
        <f>[3]!FeuilCaduc*(1-Persistant)+Persistant</f>
        <v>0.80136845942997015</v>
      </c>
      <c r="BE72" s="290">
        <f>[3]!CroissVégét</f>
        <v>1.2935299036280712E-2</v>
      </c>
      <c r="BF72" s="804">
        <f>1+[3]!Salcycl*Ksac</f>
        <v>1.0003421148574925</v>
      </c>
      <c r="BH72" s="1037">
        <f t="shared" si="22"/>
        <v>2.2071239488736651E-2</v>
      </c>
      <c r="BI72" s="11">
        <v>44254</v>
      </c>
      <c r="BJ72" s="715">
        <v>4.9466776433870643E-4</v>
      </c>
      <c r="BK72" s="715">
        <v>2.8840736487658588E-3</v>
      </c>
      <c r="BL72" s="715">
        <v>6.1766619947674472E-3</v>
      </c>
      <c r="BM72" s="715">
        <v>1.1687681022847047E-2</v>
      </c>
      <c r="BN72" s="715">
        <v>2.4684395496531716E-2</v>
      </c>
      <c r="BO72" s="716">
        <v>6.2334788096765591E-2</v>
      </c>
      <c r="BP72" s="715">
        <v>0.14270186437592511</v>
      </c>
      <c r="BQ72" s="715">
        <v>0.26533017942600623</v>
      </c>
      <c r="BR72" s="715">
        <v>0.43214957873804322</v>
      </c>
      <c r="BS72" s="715">
        <v>0.63199063551059997</v>
      </c>
      <c r="BT72" s="715">
        <v>0.85952582015460821</v>
      </c>
      <c r="BW72" s="1185">
        <f>'2019'!R\Max</f>
        <v>0</v>
      </c>
      <c r="BX72" s="1185">
        <f>'2020'!R\Max</f>
        <v>0.15077469811348532</v>
      </c>
      <c r="BY72" s="1185">
        <f>'2021'!R\Max</f>
        <v>0.95963164308245663</v>
      </c>
      <c r="BZ72" s="1185">
        <f>'2022'!R\Max</f>
        <v>0.52517207608082073</v>
      </c>
      <c r="CA72" s="1185">
        <f>'2023'!R\Max</f>
        <v>0.52398697587265275</v>
      </c>
      <c r="CB72" s="1185">
        <f>'2024'!R\Max</f>
        <v>0.52269589635576386</v>
      </c>
      <c r="CC72" s="1185">
        <f>'2025'!R\Max</f>
        <v>0.52116365705344503</v>
      </c>
      <c r="CD72" s="1185">
        <f>'2026'!R\Max</f>
        <v>0.51918232702852285</v>
      </c>
      <c r="CE72" s="1186">
        <f>'2027'!R\Max</f>
        <v>0.5263097512028756</v>
      </c>
      <c r="CF72" s="1187">
        <f>'2028'!R\Max</f>
        <v>0.52570782745634492</v>
      </c>
    </row>
    <row r="73" spans="1:84" s="6" customFormat="1" ht="11.25" x14ac:dyDescent="0.2">
      <c r="A73" s="11">
        <v>43159</v>
      </c>
      <c r="B73" s="379">
        <f>'2022'!Maxi_hp</f>
        <v>41.02375672593805</v>
      </c>
      <c r="C73" s="13">
        <f>'2022'!An_max</f>
        <v>2022</v>
      </c>
      <c r="D73" s="1046" t="str">
        <f t="shared" si="7"/>
        <v/>
      </c>
      <c r="E73" s="13"/>
      <c r="F73" s="13">
        <f t="shared" si="23"/>
        <v>5</v>
      </c>
      <c r="G73" s="13">
        <f t="shared" si="24"/>
        <v>6</v>
      </c>
      <c r="H73" s="173">
        <f t="shared" si="8"/>
        <v>43150</v>
      </c>
      <c r="I73" s="742">
        <f t="shared" si="9"/>
        <v>0.6428571428571429</v>
      </c>
      <c r="J73" s="735">
        <f t="shared" si="27"/>
        <v>45.387510714187691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39">
        <v>43159</v>
      </c>
      <c r="AP73" s="13">
        <f t="shared" si="11"/>
        <v>3</v>
      </c>
      <c r="AQ73" s="13">
        <f t="shared" si="12"/>
        <v>4</v>
      </c>
      <c r="AR73" s="173">
        <f t="shared" si="13"/>
        <v>43136</v>
      </c>
      <c r="AS73" s="742">
        <f t="shared" si="14"/>
        <v>0.8214285714285714</v>
      </c>
      <c r="AT73" s="758">
        <f t="shared" si="15"/>
        <v>45.404434342868626</v>
      </c>
      <c r="AU73" s="13">
        <f t="shared" si="16"/>
        <v>3</v>
      </c>
      <c r="AV73" s="13">
        <f t="shared" si="17"/>
        <v>4</v>
      </c>
      <c r="AW73" s="173">
        <f t="shared" si="18"/>
        <v>43150</v>
      </c>
      <c r="AX73" s="742">
        <f t="shared" si="19"/>
        <v>0.32142857142857145</v>
      </c>
      <c r="AY73" s="758">
        <f t="shared" si="20"/>
        <v>45.460294770326335</v>
      </c>
      <c r="AZ73" s="735">
        <f t="shared" si="26"/>
        <v>45.432364556597477</v>
      </c>
      <c r="BA73" s="633">
        <f t="shared" si="21"/>
        <v>0.90385562196329983</v>
      </c>
      <c r="BC73" s="11">
        <v>43159</v>
      </c>
      <c r="BD73" s="289">
        <f>[3]!FeuilCaduc*(1-Persistant)+Persistant</f>
        <v>0.80142029092827893</v>
      </c>
      <c r="BE73" s="290">
        <f>[3]!CroissVégét</f>
        <v>1.352742218145603E-2</v>
      </c>
      <c r="BF73" s="804">
        <f>1+[3]!Salcycl*Ksac</f>
        <v>1.0003550727320698</v>
      </c>
      <c r="BH73" s="1037">
        <f t="shared" si="22"/>
        <v>2.1299579916283683E-2</v>
      </c>
      <c r="BI73" s="11">
        <v>44255</v>
      </c>
      <c r="BJ73" s="715">
        <v>4.7132861882391602E-4</v>
      </c>
      <c r="BK73" s="715">
        <v>2.928076213875547E-3</v>
      </c>
      <c r="BL73" s="715">
        <v>6.3070809754919603E-3</v>
      </c>
      <c r="BM73" s="715">
        <v>1.1823574188568175E-2</v>
      </c>
      <c r="BN73" s="715">
        <v>2.368433860749973E-2</v>
      </c>
      <c r="BO73" s="716">
        <v>5.800835181432519E-2</v>
      </c>
      <c r="BP73" s="715">
        <v>0.13282064713873629</v>
      </c>
      <c r="BQ73" s="715">
        <v>0.25052223133305174</v>
      </c>
      <c r="BR73" s="715">
        <v>0.41424099564181582</v>
      </c>
      <c r="BS73" s="715">
        <v>0.61188307734494918</v>
      </c>
      <c r="BT73" s="715">
        <v>0.83628626543840434</v>
      </c>
      <c r="BW73" s="1185">
        <f>'2019'!R\Max</f>
        <v>0</v>
      </c>
      <c r="BX73" s="1185">
        <f>'2020'!R\Max</f>
        <v>0.45129832020029231</v>
      </c>
      <c r="BY73" s="1185">
        <f>'2021'!R\Max</f>
        <v>0.81305249294722948</v>
      </c>
      <c r="BZ73" s="1185">
        <f>'2022'!R\Max</f>
        <v>0.90385562196329983</v>
      </c>
      <c r="CA73" s="1185">
        <f>'2023'!R\Max</f>
        <v>0.90347405079931176</v>
      </c>
      <c r="CB73" s="1185">
        <f>'2024'!R\Max</f>
        <v>0.90305646612178214</v>
      </c>
      <c r="CC73" s="1185">
        <f>'2025'!R\Max</f>
        <v>0.90255187233109135</v>
      </c>
      <c r="CD73" s="1185">
        <f>'2026'!R\Max</f>
        <v>0.90188532157937062</v>
      </c>
      <c r="CE73" s="1186">
        <f>'2027'!R\Max</f>
        <v>0.90421370948055135</v>
      </c>
      <c r="CF73" s="1187">
        <f>'2028'!R\Max</f>
        <v>0.9040243822091687</v>
      </c>
    </row>
    <row r="74" spans="1:84" s="6" customFormat="1" ht="11.25" x14ac:dyDescent="0.2">
      <c r="A74" s="11">
        <v>43160</v>
      </c>
      <c r="B74" s="379">
        <f>'2022'!Maxi_hp</f>
        <v>45.428013886424807</v>
      </c>
      <c r="C74" s="13">
        <f>'2022'!An_max</f>
        <v>2022</v>
      </c>
      <c r="D74" s="1046">
        <f t="shared" si="7"/>
        <v>0.9933063363266722</v>
      </c>
      <c r="E74" s="13"/>
      <c r="F74" s="13">
        <f t="shared" si="23"/>
        <v>5</v>
      </c>
      <c r="G74" s="13">
        <f t="shared" si="24"/>
        <v>6</v>
      </c>
      <c r="H74" s="173">
        <f t="shared" si="8"/>
        <v>43150</v>
      </c>
      <c r="I74" s="742">
        <f t="shared" si="9"/>
        <v>0.7142857142857143</v>
      </c>
      <c r="J74" s="735">
        <f t="shared" si="27"/>
        <v>45.734142857098149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39">
        <v>43160</v>
      </c>
      <c r="AP74" s="13">
        <f t="shared" si="11"/>
        <v>3</v>
      </c>
      <c r="AQ74" s="13">
        <f t="shared" si="12"/>
        <v>4</v>
      </c>
      <c r="AR74" s="173">
        <f t="shared" si="13"/>
        <v>43136</v>
      </c>
      <c r="AS74" s="742">
        <f t="shared" si="14"/>
        <v>0.8571428571428571</v>
      </c>
      <c r="AT74" s="758">
        <f t="shared" si="15"/>
        <v>45.751530612220186</v>
      </c>
      <c r="AU74" s="13">
        <f t="shared" si="16"/>
        <v>3</v>
      </c>
      <c r="AV74" s="13">
        <f t="shared" si="17"/>
        <v>4</v>
      </c>
      <c r="AW74" s="173">
        <f t="shared" si="18"/>
        <v>43150</v>
      </c>
      <c r="AX74" s="742">
        <f t="shared" si="19"/>
        <v>0.35714285714285715</v>
      </c>
      <c r="AY74" s="758">
        <f t="shared" si="20"/>
        <v>45.820538265477595</v>
      </c>
      <c r="AZ74" s="735">
        <f t="shared" si="26"/>
        <v>45.786034438848887</v>
      </c>
      <c r="BA74" s="633">
        <f t="shared" si="21"/>
        <v>0.9933063363266722</v>
      </c>
      <c r="BC74" s="11">
        <v>43160</v>
      </c>
      <c r="BD74" s="289">
        <f>[3]!FeuilCaduc*(1-Persistant)+Persistant</f>
        <v>0.80147151498082458</v>
      </c>
      <c r="BE74" s="290">
        <f>[3]!CroissVégét</f>
        <v>1.4143631071573595E-2</v>
      </c>
      <c r="BF74" s="804">
        <f>1+[3]!Salcycl*Ksac</f>
        <v>1.0003678787452062</v>
      </c>
      <c r="BH74" s="1037">
        <f t="shared" si="22"/>
        <v>2.0729683634534708E-2</v>
      </c>
      <c r="BI74" s="11">
        <v>44256</v>
      </c>
      <c r="BJ74" s="715">
        <v>4.5126916554962779E-4</v>
      </c>
      <c r="BK74" s="715">
        <v>2.9727539879528561E-3</v>
      </c>
      <c r="BL74" s="715">
        <v>6.4415415560641655E-3</v>
      </c>
      <c r="BM74" s="715">
        <v>1.1998008529632325E-2</v>
      </c>
      <c r="BN74" s="715">
        <v>2.2927121953338975E-2</v>
      </c>
      <c r="BO74" s="716">
        <v>5.4210596825818594E-2</v>
      </c>
      <c r="BP74" s="715">
        <v>0.12366103831514108</v>
      </c>
      <c r="BQ74" s="715">
        <v>0.23626132329646829</v>
      </c>
      <c r="BR74" s="715">
        <v>0.39645016749722767</v>
      </c>
      <c r="BS74" s="715">
        <v>0.59159773174244634</v>
      </c>
      <c r="BT74" s="715">
        <v>0.81284453657116151</v>
      </c>
      <c r="BW74" s="1185">
        <f>'2019'!R\Max</f>
        <v>0</v>
      </c>
      <c r="BX74" s="1185">
        <f>'2020'!R\Max</f>
        <v>0.43658854004030556</v>
      </c>
      <c r="BY74" s="1185">
        <f>'2021'!R\Max</f>
        <v>0.89895270194520616</v>
      </c>
      <c r="BZ74" s="1185">
        <f>'2022'!R\Max</f>
        <v>0.9933063363266722</v>
      </c>
      <c r="CA74" s="1185">
        <f>'2023'!R\Max</f>
        <v>0.99327946640897247</v>
      </c>
      <c r="CB74" s="1185">
        <f>'2024'!R\Max</f>
        <v>0.99325002185791744</v>
      </c>
      <c r="CC74" s="1185">
        <f>'2025'!R\Max</f>
        <v>0.99321391762941469</v>
      </c>
      <c r="CD74" s="1185">
        <f>'2026'!R\Max</f>
        <v>0.99316543106569111</v>
      </c>
      <c r="CE74" s="1186">
        <f>'2027'!R\Max</f>
        <v>0.99333111178236422</v>
      </c>
      <c r="CF74" s="1187">
        <f>'2028'!R\Max</f>
        <v>0.99331801313972923</v>
      </c>
    </row>
    <row r="75" spans="1:84" s="6" customFormat="1" ht="11.25" x14ac:dyDescent="0.2">
      <c r="A75" s="11">
        <v>43161</v>
      </c>
      <c r="B75" s="379">
        <f>'2022'!Maxi_hp</f>
        <v>33.203726330911472</v>
      </c>
      <c r="C75" s="13">
        <f>'2022'!An_max</f>
        <v>2020</v>
      </c>
      <c r="D75" s="1046" t="str">
        <f t="shared" si="7"/>
        <v/>
      </c>
      <c r="E75" s="13"/>
      <c r="F75" s="13">
        <f t="shared" si="23"/>
        <v>5</v>
      </c>
      <c r="G75" s="13">
        <f t="shared" si="24"/>
        <v>6</v>
      </c>
      <c r="H75" s="173">
        <f t="shared" si="8"/>
        <v>43150</v>
      </c>
      <c r="I75" s="742">
        <f t="shared" si="9"/>
        <v>0.7857142857142857</v>
      </c>
      <c r="J75" s="735">
        <f t="shared" si="27"/>
        <v>46.08026785712822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39">
        <v>43161</v>
      </c>
      <c r="AP75" s="13">
        <f t="shared" si="11"/>
        <v>3</v>
      </c>
      <c r="AQ75" s="13">
        <f t="shared" si="12"/>
        <v>4</v>
      </c>
      <c r="AR75" s="173">
        <f t="shared" si="13"/>
        <v>43136</v>
      </c>
      <c r="AS75" s="742">
        <f t="shared" si="14"/>
        <v>0.8928571428571429</v>
      </c>
      <c r="AT75" s="758">
        <f t="shared" si="15"/>
        <v>46.096399074852734</v>
      </c>
      <c r="AU75" s="13">
        <f t="shared" si="16"/>
        <v>3</v>
      </c>
      <c r="AV75" s="13">
        <f t="shared" si="17"/>
        <v>4</v>
      </c>
      <c r="AW75" s="173">
        <f t="shared" si="18"/>
        <v>43150</v>
      </c>
      <c r="AX75" s="742">
        <f t="shared" si="19"/>
        <v>0.39285714285714285</v>
      </c>
      <c r="AY75" s="758">
        <f t="shared" si="20"/>
        <v>46.180184056225698</v>
      </c>
      <c r="AZ75" s="735">
        <f t="shared" si="26"/>
        <v>46.13829156553922</v>
      </c>
      <c r="BA75" s="633">
        <f t="shared" si="21"/>
        <v>0.72056278912830019</v>
      </c>
      <c r="BC75" s="11">
        <v>43161</v>
      </c>
      <c r="BD75" s="289">
        <f>[3]!FeuilCaduc*(1-Persistant)+Persistant</f>
        <v>0.80152251947778264</v>
      </c>
      <c r="BE75" s="290">
        <f>[3]!CroissVégét</f>
        <v>1.47848730100967E-2</v>
      </c>
      <c r="BF75" s="804">
        <f>1+[3]!Salcycl*Ksac</f>
        <v>1.0003806298694458</v>
      </c>
      <c r="BH75" s="1037">
        <f t="shared" si="22"/>
        <v>2.0361545188654705E-2</v>
      </c>
      <c r="BI75" s="11">
        <v>44257</v>
      </c>
      <c r="BJ75" s="715">
        <v>4.344892444275003E-4</v>
      </c>
      <c r="BK75" s="715">
        <v>3.0181060041979848E-3</v>
      </c>
      <c r="BL75" s="715">
        <v>6.580041791103072E-3</v>
      </c>
      <c r="BM75" s="715">
        <v>1.2210980794311325E-2</v>
      </c>
      <c r="BN75" s="715">
        <v>2.2412739524774253E-2</v>
      </c>
      <c r="BO75" s="716">
        <v>5.0941502660221162E-2</v>
      </c>
      <c r="BP75" s="715">
        <v>0.11522298085976357</v>
      </c>
      <c r="BQ75" s="715">
        <v>0.22254733959928105</v>
      </c>
      <c r="BR75" s="715">
        <v>0.3787769018103726</v>
      </c>
      <c r="BS75" s="715">
        <v>0.57113432177878154</v>
      </c>
      <c r="BT75" s="715">
        <v>0.7892002657991265</v>
      </c>
      <c r="BW75" s="1185">
        <f>'2019'!R\Max</f>
        <v>0</v>
      </c>
      <c r="BX75" s="1185">
        <f>'2020'!R\Max</f>
        <v>0.72056278912830019</v>
      </c>
      <c r="BY75" s="1185">
        <f>'2021'!R\Max</f>
        <v>0.40495783803744584</v>
      </c>
      <c r="BZ75" s="1185">
        <f>'2022'!R\Max</f>
        <v>0.34058023121220776</v>
      </c>
      <c r="CA75" s="1185">
        <f>'2023'!R\Max</f>
        <v>0.33974936105755871</v>
      </c>
      <c r="CB75" s="1185">
        <f>'2024'!R\Max</f>
        <v>0.33884328498503669</v>
      </c>
      <c r="CC75" s="1185">
        <f>'2025'!R\Max</f>
        <v>0.3377236551935342</v>
      </c>
      <c r="CD75" s="1185">
        <f>'2026'!R\Max</f>
        <v>0.33620956716335987</v>
      </c>
      <c r="CE75" s="1186">
        <f>'2027'!R\Max</f>
        <v>0.34133943790155336</v>
      </c>
      <c r="CF75" s="1187">
        <f>'2028'!R\Max</f>
        <v>0.34093758613225633</v>
      </c>
    </row>
    <row r="76" spans="1:84" s="6" customFormat="1" ht="11.25" x14ac:dyDescent="0.2">
      <c r="A76" s="11">
        <v>43162</v>
      </c>
      <c r="B76" s="379">
        <f>'2022'!Maxi_hp</f>
        <v>41.004251522825243</v>
      </c>
      <c r="C76" s="13">
        <f>'2022'!An_max</f>
        <v>2022</v>
      </c>
      <c r="D76" s="1046" t="str">
        <f t="shared" si="7"/>
        <v/>
      </c>
      <c r="E76" s="13"/>
      <c r="F76" s="13">
        <f t="shared" si="23"/>
        <v>5</v>
      </c>
      <c r="G76" s="13">
        <f t="shared" si="24"/>
        <v>6</v>
      </c>
      <c r="H76" s="173">
        <f t="shared" si="8"/>
        <v>43150</v>
      </c>
      <c r="I76" s="742">
        <f t="shared" si="9"/>
        <v>0.8571428571428571</v>
      </c>
      <c r="J76" s="735">
        <f t="shared" si="27"/>
        <v>46.425885714324458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39">
        <v>43162</v>
      </c>
      <c r="AP76" s="13">
        <f t="shared" si="11"/>
        <v>3</v>
      </c>
      <c r="AQ76" s="13">
        <f t="shared" si="12"/>
        <v>4</v>
      </c>
      <c r="AR76" s="173">
        <f t="shared" si="13"/>
        <v>43136</v>
      </c>
      <c r="AS76" s="742">
        <f t="shared" si="14"/>
        <v>0.9285714285714286</v>
      </c>
      <c r="AT76" s="758">
        <f t="shared" si="15"/>
        <v>46.438835969214729</v>
      </c>
      <c r="AU76" s="13">
        <f t="shared" si="16"/>
        <v>3</v>
      </c>
      <c r="AV76" s="13">
        <f t="shared" si="17"/>
        <v>4</v>
      </c>
      <c r="AW76" s="173">
        <f t="shared" si="18"/>
        <v>43150</v>
      </c>
      <c r="AX76" s="742">
        <f t="shared" si="19"/>
        <v>0.42857142857142855</v>
      </c>
      <c r="AY76" s="758">
        <f t="shared" si="20"/>
        <v>46.538906122584422</v>
      </c>
      <c r="AZ76" s="735">
        <f t="shared" si="26"/>
        <v>46.488871045899572</v>
      </c>
      <c r="BA76" s="633">
        <f t="shared" si="21"/>
        <v>0.88321958519304244</v>
      </c>
      <c r="BC76" s="11">
        <v>43162</v>
      </c>
      <c r="BD76" s="289">
        <f>[3]!FeuilCaduc*(1-Persistant)+Persistant</f>
        <v>0.8015737714562603</v>
      </c>
      <c r="BE76" s="290">
        <f>[3]!CroissVégét</f>
        <v>1.5452129829812465E-2</v>
      </c>
      <c r="BF76" s="804">
        <f>1+[3]!Salcycl*Ksac</f>
        <v>1.0003934428640651</v>
      </c>
      <c r="BH76" s="1037">
        <f t="shared" si="22"/>
        <v>2.0195160608257014E-2</v>
      </c>
      <c r="BI76" s="11">
        <v>44258</v>
      </c>
      <c r="BJ76" s="715">
        <v>4.2098873547612023E-4</v>
      </c>
      <c r="BK76" s="715">
        <v>3.0641312318578622E-3</v>
      </c>
      <c r="BL76" s="715">
        <v>6.7225795491237406E-3</v>
      </c>
      <c r="BM76" s="715">
        <v>1.2462487595247597E-2</v>
      </c>
      <c r="BN76" s="715">
        <v>2.2141187204692141E-2</v>
      </c>
      <c r="BO76" s="716">
        <v>4.8201056146510296E-2</v>
      </c>
      <c r="BP76" s="715">
        <v>0.10750643357540686</v>
      </c>
      <c r="BQ76" s="715">
        <v>0.20938018736814007</v>
      </c>
      <c r="BR76" s="715">
        <v>0.36122103279212353</v>
      </c>
      <c r="BS76" s="715">
        <v>0.55049259998840128</v>
      </c>
      <c r="BT76" s="715">
        <v>0.76535311942230511</v>
      </c>
      <c r="BW76" s="1185">
        <f>'2019'!R\Max</f>
        <v>0</v>
      </c>
      <c r="BX76" s="1185">
        <f>'2020'!R\Max</f>
        <v>0.49726768147346051</v>
      </c>
      <c r="BY76" s="1185">
        <f>'2021'!R\Max</f>
        <v>0.37892242305536827</v>
      </c>
      <c r="BZ76" s="1185">
        <f>'2022'!R\Max</f>
        <v>0.88321958519304244</v>
      </c>
      <c r="CA76" s="1185">
        <f>'2023'!R\Max</f>
        <v>0.8828696637442639</v>
      </c>
      <c r="CB76" s="1185">
        <f>'2024'!R\Max</f>
        <v>0.8824864916127988</v>
      </c>
      <c r="CC76" s="1185">
        <f>'2025'!R\Max</f>
        <v>0.88200416960300421</v>
      </c>
      <c r="CD76" s="1185">
        <f>'2026'!R\Max</f>
        <v>0.88133846128022586</v>
      </c>
      <c r="CE76" s="1186">
        <f>'2027'!R\Max</f>
        <v>0.88353515960265339</v>
      </c>
      <c r="CF76" s="1187">
        <f>'2028'!R\Max</f>
        <v>0.88336825413885001</v>
      </c>
    </row>
    <row r="77" spans="1:84" s="6" customFormat="1" ht="11.25" x14ac:dyDescent="0.2">
      <c r="A77" s="11">
        <v>43163</v>
      </c>
      <c r="B77" s="379">
        <f>'2022'!Maxi_hp</f>
        <v>31.937048727030085</v>
      </c>
      <c r="C77" s="13">
        <f>'2022'!An_max</f>
        <v>2021</v>
      </c>
      <c r="D77" s="1046" t="str">
        <f t="shared" si="7"/>
        <v/>
      </c>
      <c r="E77" s="13"/>
      <c r="F77" s="13">
        <f t="shared" si="23"/>
        <v>5</v>
      </c>
      <c r="G77" s="13">
        <f t="shared" si="24"/>
        <v>6</v>
      </c>
      <c r="H77" s="173">
        <f t="shared" si="8"/>
        <v>43150</v>
      </c>
      <c r="I77" s="742">
        <f t="shared" si="9"/>
        <v>0.9285714285714286</v>
      </c>
      <c r="J77" s="735">
        <f t="shared" si="27"/>
        <v>46.770996428560466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39">
        <v>43163</v>
      </c>
      <c r="AP77" s="13">
        <f t="shared" si="11"/>
        <v>3</v>
      </c>
      <c r="AQ77" s="13">
        <f t="shared" si="12"/>
        <v>4</v>
      </c>
      <c r="AR77" s="173">
        <f t="shared" si="13"/>
        <v>43136</v>
      </c>
      <c r="AS77" s="742">
        <f t="shared" si="14"/>
        <v>0.9642857142857143</v>
      </c>
      <c r="AT77" s="758">
        <f t="shared" si="15"/>
        <v>46.778637531908629</v>
      </c>
      <c r="AU77" s="13">
        <f t="shared" si="16"/>
        <v>3</v>
      </c>
      <c r="AV77" s="13">
        <f t="shared" si="17"/>
        <v>4</v>
      </c>
      <c r="AW77" s="173">
        <f t="shared" si="18"/>
        <v>43150</v>
      </c>
      <c r="AX77" s="742">
        <f t="shared" si="19"/>
        <v>0.4642857142857143</v>
      </c>
      <c r="AY77" s="758">
        <f t="shared" si="20"/>
        <v>46.896378443837499</v>
      </c>
      <c r="AZ77" s="735">
        <f t="shared" si="26"/>
        <v>46.837507987873067</v>
      </c>
      <c r="BA77" s="633">
        <f t="shared" si="21"/>
        <v>0.68283874977544612</v>
      </c>
      <c r="BC77" s="11">
        <v>43163</v>
      </c>
      <c r="BD77" s="289">
        <f>[3]!FeuilCaduc*(1-Persistant)+Persistant</f>
        <v>0.80162581728859983</v>
      </c>
      <c r="BE77" s="290">
        <f>[3]!CroissVégét</f>
        <v>1.6146418920009037E-2</v>
      </c>
      <c r="BF77" s="804">
        <f>1+[3]!Salcycl*Ksac</f>
        <v>1.00040645432215</v>
      </c>
      <c r="BH77" s="1037">
        <f t="shared" si="22"/>
        <v>2.0230526660989186E-2</v>
      </c>
      <c r="BI77" s="11">
        <v>44259</v>
      </c>
      <c r="BJ77" s="715">
        <v>4.10767546687824E-4</v>
      </c>
      <c r="BK77" s="715">
        <v>3.1108285737376142E-3</v>
      </c>
      <c r="BL77" s="715">
        <v>6.8691524976068723E-3</v>
      </c>
      <c r="BM77" s="715">
        <v>1.2752525266904548E-2</v>
      </c>
      <c r="BN77" s="715">
        <v>2.2112461869756555E-2</v>
      </c>
      <c r="BO77" s="716">
        <v>4.5989249457746219E-2</v>
      </c>
      <c r="BP77" s="715">
        <v>0.10051136844335853</v>
      </c>
      <c r="BQ77" s="715">
        <v>0.1967597945495666</v>
      </c>
      <c r="BR77" s="715">
        <v>0.34378242092286004</v>
      </c>
      <c r="BS77" s="715">
        <v>0.52967234902304883</v>
      </c>
      <c r="BT77" s="715">
        <v>0.74130279854368519</v>
      </c>
      <c r="BW77" s="1185">
        <f>'2019'!R\Max</f>
        <v>0</v>
      </c>
      <c r="BX77" s="1185">
        <f>'2020'!R\Max</f>
        <v>0.11428702225379846</v>
      </c>
      <c r="BY77" s="1185">
        <f>'2021'!R\Max</f>
        <v>0.68283874977544612</v>
      </c>
      <c r="BZ77" s="1185">
        <f>'2022'!R\Max</f>
        <v>0.11649157559473698</v>
      </c>
      <c r="CA77" s="1185">
        <f>'2023'!R\Max</f>
        <v>0.11623930742905488</v>
      </c>
      <c r="CB77" s="1185">
        <f>'2024'!R\Max</f>
        <v>0.11596426085317559</v>
      </c>
      <c r="CC77" s="1185">
        <f>'2025'!R\Max</f>
        <v>0.11561498125492797</v>
      </c>
      <c r="CD77" s="1185">
        <f>'2026'!R\Max</f>
        <v>0.11512943886356804</v>
      </c>
      <c r="CE77" s="1186">
        <f>'2027'!R\Max</f>
        <v>0.11671912455419792</v>
      </c>
      <c r="CF77" s="1187">
        <f>'2028'!R\Max</f>
        <v>0.11659867383087207</v>
      </c>
    </row>
    <row r="78" spans="1:84" s="6" customFormat="1" ht="11.25" x14ac:dyDescent="0.2">
      <c r="A78" s="11">
        <v>43164</v>
      </c>
      <c r="B78" s="379">
        <f>'2022'!Maxi_hp</f>
        <v>34.948583246258117</v>
      </c>
      <c r="C78" s="13">
        <f>'2022'!An_max</f>
        <v>2021</v>
      </c>
      <c r="D78" s="1046" t="str">
        <f t="shared" si="7"/>
        <v/>
      </c>
      <c r="E78" s="1041">
        <f>R$13/10</f>
        <v>47.115600000000001</v>
      </c>
      <c r="F78" s="13">
        <f t="shared" si="23"/>
        <v>7</v>
      </c>
      <c r="G78" s="13">
        <f t="shared" si="24"/>
        <v>6</v>
      </c>
      <c r="H78" s="173">
        <f t="shared" si="8"/>
        <v>43178</v>
      </c>
      <c r="I78" s="742">
        <f t="shared" si="9"/>
        <v>1</v>
      </c>
      <c r="J78" s="735">
        <f t="shared" si="27"/>
        <v>47.115599999856201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39">
        <v>43164</v>
      </c>
      <c r="AP78" s="13">
        <f t="shared" si="11"/>
        <v>5</v>
      </c>
      <c r="AQ78" s="13">
        <f t="shared" si="12"/>
        <v>4</v>
      </c>
      <c r="AR78" s="173">
        <f t="shared" si="13"/>
        <v>43192</v>
      </c>
      <c r="AS78" s="742">
        <f t="shared" si="14"/>
        <v>1</v>
      </c>
      <c r="AT78" s="758">
        <f t="shared" si="15"/>
        <v>47.11559999976307</v>
      </c>
      <c r="AU78" s="13">
        <f t="shared" si="16"/>
        <v>3</v>
      </c>
      <c r="AV78" s="13">
        <f t="shared" si="17"/>
        <v>4</v>
      </c>
      <c r="AW78" s="173">
        <f t="shared" si="18"/>
        <v>43150</v>
      </c>
      <c r="AX78" s="742">
        <f t="shared" si="19"/>
        <v>0.5</v>
      </c>
      <c r="AY78" s="758">
        <f t="shared" si="20"/>
        <v>47.252275000279766</v>
      </c>
      <c r="AZ78" s="735">
        <f t="shared" si="26"/>
        <v>47.183937500021415</v>
      </c>
      <c r="BA78" s="633">
        <f t="shared" si="21"/>
        <v>0.74176245758018111</v>
      </c>
      <c r="BC78" s="11">
        <v>43164</v>
      </c>
      <c r="BD78" s="289">
        <f>[3]!FeuilCaduc*(1-Persistant)+Persistant</f>
        <v>0.80167928233149144</v>
      </c>
      <c r="BE78" s="290">
        <f>[3]!CroissVégét</f>
        <v>1.6868794263800321E-2</v>
      </c>
      <c r="BF78" s="804">
        <f>1+[3]!Salcycl*Ksac</f>
        <v>1.0004198205828729</v>
      </c>
      <c r="BH78" s="1037">
        <f t="shared" si="22"/>
        <v>2.0467640106179592E-2</v>
      </c>
      <c r="BI78" s="11">
        <v>44260</v>
      </c>
      <c r="BJ78" s="715">
        <v>4.0382560189679804E-4</v>
      </c>
      <c r="BK78" s="715">
        <v>3.1581968637211938E-3</v>
      </c>
      <c r="BL78" s="715">
        <v>7.0197580880884463E-3</v>
      </c>
      <c r="BM78" s="715">
        <v>1.3081089723054169E-2</v>
      </c>
      <c r="BN78" s="715">
        <v>2.2326560492090995E-2</v>
      </c>
      <c r="BO78" s="716">
        <v>4.4306078155300133E-2</v>
      </c>
      <c r="BP78" s="715">
        <v>9.4237767954026233E-2</v>
      </c>
      <c r="BQ78" s="715">
        <v>0.18468610788684098</v>
      </c>
      <c r="BR78" s="715">
        <v>0.32646095251829466</v>
      </c>
      <c r="BS78" s="715">
        <v>0.50867338231197612</v>
      </c>
      <c r="BT78" s="715">
        <v>0.71704903982078327</v>
      </c>
      <c r="BW78" s="1185">
        <f>'2019'!R\Max</f>
        <v>0</v>
      </c>
      <c r="BX78" s="1185">
        <f>'2020'!R\Max</f>
        <v>0.15883841457692618</v>
      </c>
      <c r="BY78" s="1185">
        <f>'2021'!R\Max</f>
        <v>0.74176245758018111</v>
      </c>
      <c r="BZ78" s="1185">
        <f>'2022'!R\Max</f>
        <v>0.35609335508012863</v>
      </c>
      <c r="CA78" s="1185">
        <f>'2023'!R\Max</f>
        <v>0.35544862547230943</v>
      </c>
      <c r="CB78" s="1185">
        <f>'2024'!R\Max</f>
        <v>0.35474601092627389</v>
      </c>
      <c r="CC78" s="1185">
        <f>'2025'!R\Max</f>
        <v>0.35384156344103251</v>
      </c>
      <c r="CD78" s="1185">
        <f>'2026'!R\Max</f>
        <v>0.35256762437877792</v>
      </c>
      <c r="CE78" s="1186">
        <f>'2027'!R\Max</f>
        <v>0.35667726690898555</v>
      </c>
      <c r="CF78" s="1187">
        <f>'2028'!R\Max</f>
        <v>0.3563682001825294</v>
      </c>
    </row>
    <row r="79" spans="1:84" s="6" customFormat="1" ht="11.25" x14ac:dyDescent="0.2">
      <c r="A79" s="11">
        <v>43165</v>
      </c>
      <c r="B79" s="379">
        <f>'2022'!Maxi_hp</f>
        <v>24.208113232054881</v>
      </c>
      <c r="C79" s="13">
        <f>'2022'!An_max</f>
        <v>2022</v>
      </c>
      <c r="D79" s="1046" t="str">
        <f t="shared" ref="D79:D142" si="59">IF($BA79&gt;$D$11,BA79,"")</f>
        <v/>
      </c>
      <c r="E79" s="13"/>
      <c r="F79" s="13">
        <f t="shared" si="23"/>
        <v>7</v>
      </c>
      <c r="G79" s="13">
        <f t="shared" ref="G79:G142" si="60">INT((MATCH($A79,x.2m)+1)/2)*2</f>
        <v>6</v>
      </c>
      <c r="H79" s="173">
        <f t="shared" ref="H79:H142" si="61">INDEX(x.2m,F79)</f>
        <v>43178</v>
      </c>
      <c r="I79" s="742">
        <f t="shared" ref="I79:I142" si="62">($A79-H79)/(INDEX(x.2m,G79)-H79)</f>
        <v>0.9285714285714286</v>
      </c>
      <c r="J79" s="735">
        <f t="shared" ref="J79:J142" si="63">((1-I79)*(INDEX(a.m,F79)*$A79*$A79+INDEX(b.m,F79)*$A79+INDEX(c.m,F79))+I79*(INDEX(a.m,G79)*$A79*$A79+INDEX(b.m,G79)*$A79+INDEX(c.m,G79)))/10</f>
        <v>47.460873724440383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39">
        <v>43165</v>
      </c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73">
        <f t="shared" ref="AR79:AR142" si="66">INDEX(x.2lg,AP79)</f>
        <v>43192</v>
      </c>
      <c r="AS79" s="742">
        <f t="shared" ref="AS79:AS142" si="67">($A79-AR79)/(INDEX(x.2lg,AQ79)-AR79)</f>
        <v>0.9642857142857143</v>
      </c>
      <c r="AT79" s="758">
        <f t="shared" ref="AT79:AT142" si="68">((1-AS79)*(INDEX(a.lg,AP79)*$A79*$A79+INDEX(b.lg,AP79)*$A79+INDEX(c.lg,AP79))+AS79*(INDEX(a.lg,AQ79)*$A79*$A79+INDEX(b.lg,AQ79)*$A79+INDEX(c.lg,AQ79)))/10</f>
        <v>47.452643973027754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73">
        <f t="shared" ref="AW79:AW142" si="71">INDEX(x.2ld,AU79)</f>
        <v>43150</v>
      </c>
      <c r="AX79" s="742">
        <f t="shared" ref="AX79:AX142" si="72">($A79-AW79)/(INDEX(x.2ld,AV79)-AW79)</f>
        <v>0.5357142857142857</v>
      </c>
      <c r="AY79" s="758">
        <f t="shared" ref="AY79:AY142" si="73">((1-AX79)*(INDEX(a.ld,AU79)*$A79*$A79+INDEX(b.ld,AU79)*$A79+INDEX(c.ld,AU79))+AX79*(INDEX(a.ld,AV79)*$A79*$A79+INDEX(b.ld,AV79)*$A79+INDEX(c.ld,AV79)))/10</f>
        <v>47.606269770444911</v>
      </c>
      <c r="AZ79" s="735">
        <f t="shared" si="26"/>
        <v>47.529456871736329</v>
      </c>
      <c r="BA79" s="633">
        <f t="shared" ref="BA79:BA142" si="74">+B79/J79</f>
        <v>0.51006463497929044</v>
      </c>
      <c r="BC79" s="11">
        <v>43165</v>
      </c>
      <c r="BD79" s="289">
        <f>[3]!FeuilCaduc*(1-Persistant)+Persistant</f>
        <v>0.80173487004988542</v>
      </c>
      <c r="BE79" s="290">
        <f>[3]!CroissVégét</f>
        <v>1.7620347483596571E-2</v>
      </c>
      <c r="BF79" s="804">
        <f>1+[3]!Salcycl*Ksac</f>
        <v>1.0004337175124713</v>
      </c>
      <c r="BH79" s="1037">
        <f t="shared" ref="BH79:BH142" si="75">INDEX($BJ79:$BT79,,$BH$10)*(1-Ratini)+INDEX($BJ79:$BT79,,$BH$10+1)*Ratini</f>
        <v>2.0906496948403078E-2</v>
      </c>
      <c r="BI79" s="11">
        <v>44261</v>
      </c>
      <c r="BJ79" s="715">
        <v>4.0016282864550114E-4</v>
      </c>
      <c r="BK79" s="715">
        <v>3.2062348642797342E-3</v>
      </c>
      <c r="BL79" s="715">
        <v>7.174393541222391E-3</v>
      </c>
      <c r="BM79" s="715">
        <v>1.3448176314214556E-2</v>
      </c>
      <c r="BN79" s="715">
        <v>2.2783479240872106E-2</v>
      </c>
      <c r="BO79" s="716">
        <v>4.3151539232891008E-2</v>
      </c>
      <c r="BP79" s="715">
        <v>8.8685622437149281E-2</v>
      </c>
      <c r="BQ79" s="715">
        <v>0.17315909089606479</v>
      </c>
      <c r="BR79" s="715">
        <v>0.3092565392938747</v>
      </c>
      <c r="BS79" s="715">
        <v>0.4874955447199773</v>
      </c>
      <c r="BT79" s="715">
        <v>0.69259161621415499</v>
      </c>
      <c r="BW79" s="1185">
        <f>'2019'!R\Max</f>
        <v>0</v>
      </c>
      <c r="BX79" s="1185">
        <f>'2020'!R\Max</f>
        <v>0.26911514559467875</v>
      </c>
      <c r="BY79" s="1185">
        <f>'2021'!R\Max</f>
        <v>0.21278085286787915</v>
      </c>
      <c r="BZ79" s="1185">
        <f>'2022'!R\Max</f>
        <v>0.51006463497929044</v>
      </c>
      <c r="CA79" s="1185">
        <f>'2023'!R\Max</f>
        <v>0.50942727558452516</v>
      </c>
      <c r="CB79" s="1185">
        <f>'2024'!R\Max</f>
        <v>0.50873324888169114</v>
      </c>
      <c r="CC79" s="1185">
        <f>'2025'!R\Max</f>
        <v>0.50782782211971855</v>
      </c>
      <c r="CD79" s="1185">
        <f>'2026'!R\Max</f>
        <v>0.50653616279060887</v>
      </c>
      <c r="CE79" s="1186">
        <f>'2027'!R\Max</f>
        <v>0.51064985559920106</v>
      </c>
      <c r="CF79" s="1187">
        <f>'2028'!R\Max</f>
        <v>0.51034014699981201</v>
      </c>
    </row>
    <row r="80" spans="1:84" s="6" customFormat="1" ht="11.25" x14ac:dyDescent="0.2">
      <c r="A80" s="11">
        <v>43166</v>
      </c>
      <c r="B80" s="379">
        <f>'2022'!Maxi_hp</f>
        <v>37.762488842107338</v>
      </c>
      <c r="C80" s="13">
        <f>'2022'!An_max</f>
        <v>2022</v>
      </c>
      <c r="D80" s="1046" t="str">
        <f t="shared" si="59"/>
        <v/>
      </c>
      <c r="E80" s="13"/>
      <c r="F80" s="13">
        <f t="shared" ref="F80:F143" si="76">INT(MATCH($A80,x.2m)/2)*2+1</f>
        <v>7</v>
      </c>
      <c r="G80" s="13">
        <f t="shared" si="60"/>
        <v>6</v>
      </c>
      <c r="H80" s="173">
        <f t="shared" si="61"/>
        <v>43178</v>
      </c>
      <c r="I80" s="742">
        <f t="shared" si="62"/>
        <v>0.8571428571428571</v>
      </c>
      <c r="J80" s="735">
        <f t="shared" si="63"/>
        <v>47.807632653095894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39">
        <v>43166</v>
      </c>
      <c r="AP80" s="13">
        <f t="shared" si="64"/>
        <v>5</v>
      </c>
      <c r="AQ80" s="13">
        <f t="shared" si="65"/>
        <v>4</v>
      </c>
      <c r="AR80" s="173">
        <f t="shared" si="66"/>
        <v>43192</v>
      </c>
      <c r="AS80" s="742">
        <f t="shared" si="67"/>
        <v>0.9285714285714286</v>
      </c>
      <c r="AT80" s="758">
        <f t="shared" si="68"/>
        <v>47.792508928318114</v>
      </c>
      <c r="AU80" s="13">
        <f t="shared" si="69"/>
        <v>3</v>
      </c>
      <c r="AV80" s="13">
        <f t="shared" si="70"/>
        <v>4</v>
      </c>
      <c r="AW80" s="173">
        <f t="shared" si="71"/>
        <v>43150</v>
      </c>
      <c r="AX80" s="742">
        <f t="shared" si="72"/>
        <v>0.5714285714285714</v>
      </c>
      <c r="AY80" s="758">
        <f t="shared" si="73"/>
        <v>47.958036734862254</v>
      </c>
      <c r="AZ80" s="735">
        <f t="shared" ref="AZ80:AZ143" si="77">(AY80+AT80)/2</f>
        <v>47.875272831590181</v>
      </c>
      <c r="BA80" s="633">
        <f t="shared" si="74"/>
        <v>0.78988409897058443</v>
      </c>
      <c r="BC80" s="11">
        <v>43166</v>
      </c>
      <c r="BD80" s="289">
        <f>[3]!FeuilCaduc*(1-Persistant)+Persistant</f>
        <v>0.80179336063445283</v>
      </c>
      <c r="BE80" s="290">
        <f>[3]!CroissVégét</f>
        <v>1.8402208892467707E-2</v>
      </c>
      <c r="BF80" s="804">
        <f>1+[3]!Salcycl*Ksac</f>
        <v>1.0004483401586133</v>
      </c>
      <c r="BH80" s="1037">
        <f t="shared" si="75"/>
        <v>2.1517101452714751E-2</v>
      </c>
      <c r="BI80" s="11">
        <v>44262</v>
      </c>
      <c r="BJ80" s="715">
        <v>3.9852077429095115E-4</v>
      </c>
      <c r="BK80" s="715">
        <v>3.2504110009925844E-3</v>
      </c>
      <c r="BL80" s="715">
        <v>7.3252722600578623E-3</v>
      </c>
      <c r="BM80" s="715">
        <v>1.3834304246353298E-2</v>
      </c>
      <c r="BN80" s="715">
        <v>2.3450576161065089E-2</v>
      </c>
      <c r="BO80" s="716">
        <v>4.2582519646150487E-2</v>
      </c>
      <c r="BP80" s="715">
        <v>8.4138495049434062E-2</v>
      </c>
      <c r="BQ80" s="715">
        <v>0.16269932729602038</v>
      </c>
      <c r="BR80" s="715">
        <v>0.29274771876995209</v>
      </c>
      <c r="BS80" s="715">
        <v>0.4665448965950369</v>
      </c>
      <c r="BT80" s="715">
        <v>0.66805419760673823</v>
      </c>
      <c r="BW80" s="1185">
        <f>'2019'!R\Max</f>
        <v>0</v>
      </c>
      <c r="BX80" s="1185">
        <f>'2020'!R\Max</f>
        <v>0.42230817840683166</v>
      </c>
      <c r="BY80" s="1185">
        <f>'2021'!R\Max</f>
        <v>0.25281299664885515</v>
      </c>
      <c r="BZ80" s="1185">
        <f>'2022'!R\Max</f>
        <v>0.78988409897058443</v>
      </c>
      <c r="CA80" s="1185">
        <f>'2023'!R\Max</f>
        <v>0.78949938698987054</v>
      </c>
      <c r="CB80" s="1185">
        <f>'2024'!R\Max</f>
        <v>0.78908100697942751</v>
      </c>
      <c r="CC80" s="1185">
        <f>'2025'!R\Max</f>
        <v>0.78852882269732838</v>
      </c>
      <c r="CD80" s="1185">
        <f>'2026'!R\Max</f>
        <v>0.78773246255261686</v>
      </c>
      <c r="CE80" s="1186">
        <f>'2027'!R\Max</f>
        <v>0.79024632001748152</v>
      </c>
      <c r="CF80" s="1187">
        <f>'2028'!R\Max</f>
        <v>0.79005467866126666</v>
      </c>
    </row>
    <row r="81" spans="1:84" s="6" customFormat="1" ht="11.25" x14ac:dyDescent="0.2">
      <c r="A81" s="11">
        <v>43167</v>
      </c>
      <c r="B81" s="379">
        <f>'2022'!Maxi_hp</f>
        <v>38.184491330413124</v>
      </c>
      <c r="C81" s="13">
        <f>'2022'!An_max</f>
        <v>2022</v>
      </c>
      <c r="D81" s="1046" t="str">
        <f t="shared" si="59"/>
        <v/>
      </c>
      <c r="E81" s="13"/>
      <c r="F81" s="13">
        <f t="shared" si="76"/>
        <v>7</v>
      </c>
      <c r="G81" s="13">
        <f t="shared" si="60"/>
        <v>6</v>
      </c>
      <c r="H81" s="173">
        <f t="shared" si="61"/>
        <v>43178</v>
      </c>
      <c r="I81" s="742">
        <f t="shared" si="62"/>
        <v>0.7857142857142857</v>
      </c>
      <c r="J81" s="735">
        <f t="shared" si="63"/>
        <v>48.155333418352527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39">
        <v>43167</v>
      </c>
      <c r="AP81" s="13">
        <f t="shared" si="64"/>
        <v>5</v>
      </c>
      <c r="AQ81" s="13">
        <f t="shared" si="65"/>
        <v>4</v>
      </c>
      <c r="AR81" s="173">
        <f t="shared" si="66"/>
        <v>43192</v>
      </c>
      <c r="AS81" s="742">
        <f t="shared" si="67"/>
        <v>0.8928571428571429</v>
      </c>
      <c r="AT81" s="758">
        <f t="shared" si="68"/>
        <v>48.134719419446107</v>
      </c>
      <c r="AU81" s="13">
        <f t="shared" si="69"/>
        <v>3</v>
      </c>
      <c r="AV81" s="13">
        <f t="shared" si="70"/>
        <v>4</v>
      </c>
      <c r="AW81" s="173">
        <f t="shared" si="71"/>
        <v>43150</v>
      </c>
      <c r="AX81" s="742">
        <f t="shared" si="72"/>
        <v>0.6071428571428571</v>
      </c>
      <c r="AY81" s="758">
        <f t="shared" si="73"/>
        <v>48.307249872273374</v>
      </c>
      <c r="AZ81" s="735">
        <f t="shared" si="77"/>
        <v>48.220984645859744</v>
      </c>
      <c r="BA81" s="633">
        <f t="shared" si="74"/>
        <v>0.79294417917705862</v>
      </c>
      <c r="BC81" s="11">
        <v>43167</v>
      </c>
      <c r="BD81" s="289">
        <f>[3]!FeuilCaduc*(1-Persistant)+Persistant</f>
        <v>0.80185560913572951</v>
      </c>
      <c r="BE81" s="290">
        <f>[3]!CroissVégét</f>
        <v>1.9215548548887868E-2</v>
      </c>
      <c r="BF81" s="804">
        <f>1+[3]!Salcycl*Ksac</f>
        <v>1.0004639022839323</v>
      </c>
      <c r="BH81" s="1037">
        <f t="shared" si="75"/>
        <v>2.2138680646582431E-2</v>
      </c>
      <c r="BI81" s="11">
        <v>44263</v>
      </c>
      <c r="BJ81" s="715">
        <v>3.9729742430901806E-4</v>
      </c>
      <c r="BK81" s="715">
        <v>3.2903377906547395E-3</v>
      </c>
      <c r="BL81" s="715">
        <v>7.4664371439937972E-3</v>
      </c>
      <c r="BM81" s="715">
        <v>1.4198395824580176E-2</v>
      </c>
      <c r="BN81" s="715">
        <v>2.4136955424384383E-2</v>
      </c>
      <c r="BO81" s="716">
        <v>4.2304973858139236E-2</v>
      </c>
      <c r="BP81" s="715">
        <v>8.0330421056324514E-2</v>
      </c>
      <c r="BQ81" s="715">
        <v>0.15328517958412446</v>
      </c>
      <c r="BR81" s="715">
        <v>0.2771611817485769</v>
      </c>
      <c r="BS81" s="715">
        <v>0.44608118023217586</v>
      </c>
      <c r="BT81" s="715">
        <v>0.64351455035824356</v>
      </c>
      <c r="BW81" s="1185">
        <f>'2019'!R\Max</f>
        <v>0</v>
      </c>
      <c r="BX81" s="1185">
        <f>'2020'!R\Max</f>
        <v>0.69238087058301467</v>
      </c>
      <c r="BY81" s="1185">
        <f>'2021'!R\Max</f>
        <v>0.38798490935190277</v>
      </c>
      <c r="BZ81" s="1185">
        <f>'2022'!R\Max</f>
        <v>0.79294417917705862</v>
      </c>
      <c r="CA81" s="1185">
        <f>'2023'!R\Max</f>
        <v>0.79259736934708513</v>
      </c>
      <c r="CB81" s="1185">
        <f>'2024'!R\Max</f>
        <v>0.79222148664667535</v>
      </c>
      <c r="CC81" s="1185">
        <f>'2025'!R\Max</f>
        <v>0.79172146772572183</v>
      </c>
      <c r="CD81" s="1185">
        <f>'2026'!R\Max</f>
        <v>0.79099575245612463</v>
      </c>
      <c r="CE81" s="1186">
        <f>'2027'!R\Max</f>
        <v>0.79328202203063225</v>
      </c>
      <c r="CF81" s="1187">
        <f>'2028'!R\Max</f>
        <v>0.79310327388502622</v>
      </c>
    </row>
    <row r="82" spans="1:84" s="6" customFormat="1" ht="11.25" x14ac:dyDescent="0.2">
      <c r="A82" s="11">
        <v>43168</v>
      </c>
      <c r="B82" s="379">
        <f>'2022'!Maxi_hp</f>
        <v>44.80891493400317</v>
      </c>
      <c r="C82" s="13">
        <f>'2022'!An_max</f>
        <v>2021</v>
      </c>
      <c r="D82" s="1046" t="str">
        <f t="shared" si="59"/>
        <v/>
      </c>
      <c r="E82" s="13"/>
      <c r="F82" s="13">
        <f t="shared" si="76"/>
        <v>7</v>
      </c>
      <c r="G82" s="13">
        <f t="shared" si="60"/>
        <v>6</v>
      </c>
      <c r="H82" s="173">
        <f t="shared" si="61"/>
        <v>43178</v>
      </c>
      <c r="I82" s="742">
        <f t="shared" si="62"/>
        <v>0.7142857142857143</v>
      </c>
      <c r="J82" s="735">
        <f t="shared" si="63"/>
        <v>48.503432653059384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39">
        <v>43168</v>
      </c>
      <c r="AP82" s="13">
        <f t="shared" si="64"/>
        <v>5</v>
      </c>
      <c r="AQ82" s="13">
        <f t="shared" si="65"/>
        <v>4</v>
      </c>
      <c r="AR82" s="173">
        <f t="shared" si="66"/>
        <v>43192</v>
      </c>
      <c r="AS82" s="742">
        <f t="shared" si="67"/>
        <v>0.8571428571428571</v>
      </c>
      <c r="AT82" s="758">
        <f t="shared" si="68"/>
        <v>48.478799999505284</v>
      </c>
      <c r="AU82" s="13">
        <f t="shared" si="69"/>
        <v>3</v>
      </c>
      <c r="AV82" s="13">
        <f t="shared" si="70"/>
        <v>4</v>
      </c>
      <c r="AW82" s="173">
        <f t="shared" si="71"/>
        <v>43150</v>
      </c>
      <c r="AX82" s="742">
        <f t="shared" si="72"/>
        <v>0.6428571428571429</v>
      </c>
      <c r="AY82" s="758">
        <f t="shared" si="73"/>
        <v>48.653583163641656</v>
      </c>
      <c r="AZ82" s="735">
        <f t="shared" si="77"/>
        <v>48.56619158157347</v>
      </c>
      <c r="BA82" s="633">
        <f t="shared" si="74"/>
        <v>0.92382976797780969</v>
      </c>
      <c r="BC82" s="11">
        <v>43168</v>
      </c>
      <c r="BD82" s="289">
        <f>[3]!FeuilCaduc*(1-Persistant)+Persistant</f>
        <v>0.80192254314205558</v>
      </c>
      <c r="BE82" s="290">
        <f>[3]!CroissVégét</f>
        <v>2.0061577312061717E-2</v>
      </c>
      <c r="BF82" s="804">
        <f>1+[3]!Salcycl*Ksac</f>
        <v>1.0004806357855138</v>
      </c>
      <c r="BH82" s="1037">
        <f t="shared" si="75"/>
        <v>2.2771223287485938E-2</v>
      </c>
      <c r="BI82" s="11">
        <v>44264</v>
      </c>
      <c r="BJ82" s="715">
        <v>3.9649264170558952E-4</v>
      </c>
      <c r="BK82" s="715">
        <v>3.326013775426245E-3</v>
      </c>
      <c r="BL82" s="715">
        <v>7.5978846278634228E-3</v>
      </c>
      <c r="BM82" s="715">
        <v>1.4540443752181578E-2</v>
      </c>
      <c r="BN82" s="715">
        <v>2.4842604795296857E-2</v>
      </c>
      <c r="BO82" s="716">
        <v>4.23188902501134E-2</v>
      </c>
      <c r="BP82" s="715">
        <v>7.726139670341127E-2</v>
      </c>
      <c r="BQ82" s="715">
        <v>0.14491664820510872</v>
      </c>
      <c r="BR82" s="715">
        <v>0.26249691304013834</v>
      </c>
      <c r="BS82" s="715">
        <v>0.42610433876940917</v>
      </c>
      <c r="BT82" s="715">
        <v>0.61897256083964491</v>
      </c>
      <c r="BW82" s="1185">
        <f>'2019'!R\Max</f>
        <v>0</v>
      </c>
      <c r="BX82" s="1185">
        <f>'2020'!R\Max</f>
        <v>0.74716760107762226</v>
      </c>
      <c r="BY82" s="1185">
        <f>'2021'!R\Max</f>
        <v>0.92382976797780969</v>
      </c>
      <c r="BZ82" s="1185">
        <f>'2022'!R\Max</f>
        <v>0.71719147393707705</v>
      </c>
      <c r="CA82" s="1185">
        <f>'2023'!R\Max</f>
        <v>0.71679912993254602</v>
      </c>
      <c r="CB82" s="1185">
        <f>'2024'!R\Max</f>
        <v>0.71637577535367492</v>
      </c>
      <c r="CC82" s="1185">
        <f>'2025'!R\Max</f>
        <v>0.71580994724442792</v>
      </c>
      <c r="CD82" s="1185">
        <f>'2026'!R\Max</f>
        <v>0.71498623771660619</v>
      </c>
      <c r="CE82" s="1186">
        <f>'2027'!R\Max</f>
        <v>0.71759015730780462</v>
      </c>
      <c r="CF82" s="1187">
        <f>'2028'!R\Max</f>
        <v>0.71737919992888666</v>
      </c>
    </row>
    <row r="83" spans="1:84" s="6" customFormat="1" ht="11.25" x14ac:dyDescent="0.2">
      <c r="A83" s="11">
        <v>43169</v>
      </c>
      <c r="B83" s="379">
        <f>'2022'!Maxi_hp</f>
        <v>45.219822593394703</v>
      </c>
      <c r="C83" s="13">
        <f>'2022'!An_max</f>
        <v>2021</v>
      </c>
      <c r="D83" s="1046" t="str">
        <f t="shared" si="59"/>
        <v/>
      </c>
      <c r="E83" s="13"/>
      <c r="F83" s="13">
        <f t="shared" si="76"/>
        <v>7</v>
      </c>
      <c r="G83" s="13">
        <f t="shared" si="60"/>
        <v>6</v>
      </c>
      <c r="H83" s="173">
        <f t="shared" si="61"/>
        <v>43178</v>
      </c>
      <c r="I83" s="742">
        <f t="shared" si="62"/>
        <v>0.6428571428571429</v>
      </c>
      <c r="J83" s="735">
        <f t="shared" si="63"/>
        <v>48.851386989852685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39">
        <v>43169</v>
      </c>
      <c r="AP83" s="13">
        <f t="shared" si="64"/>
        <v>5</v>
      </c>
      <c r="AQ83" s="13">
        <f t="shared" si="65"/>
        <v>4</v>
      </c>
      <c r="AR83" s="173">
        <f t="shared" si="66"/>
        <v>43192</v>
      </c>
      <c r="AS83" s="742">
        <f t="shared" si="67"/>
        <v>0.8214285714285714</v>
      </c>
      <c r="AT83" s="758">
        <f t="shared" si="68"/>
        <v>48.824275223125838</v>
      </c>
      <c r="AU83" s="13">
        <f t="shared" si="69"/>
        <v>3</v>
      </c>
      <c r="AV83" s="13">
        <f t="shared" si="70"/>
        <v>4</v>
      </c>
      <c r="AW83" s="173">
        <f t="shared" si="71"/>
        <v>43150</v>
      </c>
      <c r="AX83" s="742">
        <f t="shared" si="72"/>
        <v>0.6785714285714286</v>
      </c>
      <c r="AY83" s="758">
        <f t="shared" si="73"/>
        <v>48.996710586942001</v>
      </c>
      <c r="AZ83" s="735">
        <f t="shared" si="77"/>
        <v>48.910492905033919</v>
      </c>
      <c r="BA83" s="633">
        <f t="shared" si="74"/>
        <v>0.92566097668399216</v>
      </c>
      <c r="BC83" s="11">
        <v>43169</v>
      </c>
      <c r="BD83" s="289">
        <f>[3]!FeuilCaduc*(1-Persistant)+Persistant</f>
        <v>0.80199516003194948</v>
      </c>
      <c r="BE83" s="290">
        <f>[3]!CroissVégét</f>
        <v>2.0941547894735235E-2</v>
      </c>
      <c r="BF83" s="804">
        <f>1+[3]!Salcycl*Ksac</f>
        <v>1.0004987900079874</v>
      </c>
      <c r="BH83" s="1037">
        <f t="shared" si="75"/>
        <v>2.3414717077239626E-2</v>
      </c>
      <c r="BI83" s="11">
        <v>44265</v>
      </c>
      <c r="BJ83" s="715">
        <v>3.961062861159666E-4</v>
      </c>
      <c r="BK83" s="715">
        <v>3.3574374908739908E-3</v>
      </c>
      <c r="BL83" s="715">
        <v>7.7196110576032186E-3</v>
      </c>
      <c r="BM83" s="715">
        <v>1.4860440465926649E-2</v>
      </c>
      <c r="BN83" s="715">
        <v>2.5567510784004602E-2</v>
      </c>
      <c r="BO83" s="716">
        <v>4.2624254010516664E-2</v>
      </c>
      <c r="BP83" s="715">
        <v>7.4931414734366861E-2</v>
      </c>
      <c r="BQ83" s="715">
        <v>0.13759373460646065</v>
      </c>
      <c r="BR83" s="715">
        <v>0.24875490911374479</v>
      </c>
      <c r="BS83" s="715">
        <v>0.40661433959930604</v>
      </c>
      <c r="BT83" s="715">
        <v>0.59442815175150554</v>
      </c>
      <c r="BW83" s="1185">
        <f>'2019'!R\Max</f>
        <v>0</v>
      </c>
      <c r="BX83" s="1185">
        <f>'2020'!R\Max</f>
        <v>0.44684865376769561</v>
      </c>
      <c r="BY83" s="1185">
        <f>'2021'!R\Max</f>
        <v>0.92566097668399216</v>
      </c>
      <c r="BZ83" s="1185">
        <f>'2022'!R\Max</f>
        <v>0.57248638859627121</v>
      </c>
      <c r="CA83" s="1185">
        <f>'2023'!R\Max</f>
        <v>0.57204983347404825</v>
      </c>
      <c r="CB83" s="1185">
        <f>'2024'!R\Max</f>
        <v>0.5715813114863264</v>
      </c>
      <c r="CC83" s="1185">
        <f>'2025'!R\Max</f>
        <v>0.5709546693618327</v>
      </c>
      <c r="CD83" s="1185">
        <f>'2026'!R\Max</f>
        <v>0.57004326409011852</v>
      </c>
      <c r="CE83" s="1186">
        <f>'2027'!R\Max</f>
        <v>0.57295274392046858</v>
      </c>
      <c r="CF83" s="1187">
        <f>'2028'!R\Max</f>
        <v>0.5727059439491089</v>
      </c>
    </row>
    <row r="84" spans="1:84" s="6" customFormat="1" ht="11.25" x14ac:dyDescent="0.2">
      <c r="A84" s="11">
        <v>43170</v>
      </c>
      <c r="B84" s="379">
        <f>'2022'!Maxi_hp</f>
        <v>39.829659361090641</v>
      </c>
      <c r="C84" s="13">
        <f>'2022'!An_max</f>
        <v>2021</v>
      </c>
      <c r="D84" s="1046" t="str">
        <f t="shared" si="59"/>
        <v/>
      </c>
      <c r="E84" s="13"/>
      <c r="F84" s="13">
        <f t="shared" si="76"/>
        <v>7</v>
      </c>
      <c r="G84" s="13">
        <f t="shared" si="60"/>
        <v>6</v>
      </c>
      <c r="H84" s="173">
        <f t="shared" si="61"/>
        <v>43178</v>
      </c>
      <c r="I84" s="742">
        <f t="shared" si="62"/>
        <v>0.5714285714285714</v>
      </c>
      <c r="J84" s="735">
        <f t="shared" si="63"/>
        <v>49.198653060942888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39">
        <v>43170</v>
      </c>
      <c r="AP84" s="13">
        <f t="shared" si="64"/>
        <v>5</v>
      </c>
      <c r="AQ84" s="13">
        <f t="shared" si="65"/>
        <v>4</v>
      </c>
      <c r="AR84" s="173">
        <f t="shared" si="66"/>
        <v>43192</v>
      </c>
      <c r="AS84" s="742">
        <f t="shared" si="67"/>
        <v>0.7857142857142857</v>
      </c>
      <c r="AT84" s="758">
        <f t="shared" si="68"/>
        <v>49.170669642889074</v>
      </c>
      <c r="AU84" s="13">
        <f t="shared" si="69"/>
        <v>3</v>
      </c>
      <c r="AV84" s="13">
        <f t="shared" si="70"/>
        <v>4</v>
      </c>
      <c r="AW84" s="173">
        <f t="shared" si="71"/>
        <v>43150</v>
      </c>
      <c r="AX84" s="742">
        <f t="shared" si="72"/>
        <v>0.7142857142857143</v>
      </c>
      <c r="AY84" s="758">
        <f t="shared" si="73"/>
        <v>49.336306122690438</v>
      </c>
      <c r="AZ84" s="735">
        <f t="shared" si="77"/>
        <v>49.253487882789756</v>
      </c>
      <c r="BA84" s="633">
        <f t="shared" si="74"/>
        <v>0.80956808536512626</v>
      </c>
      <c r="BC84" s="11">
        <v>43170</v>
      </c>
      <c r="BD84" s="289">
        <f>[3]!FeuilCaduc*(1-Persistant)+Persistant</f>
        <v>0.8020745238345981</v>
      </c>
      <c r="BE84" s="290">
        <f>[3]!CroissVégét</f>
        <v>2.1856755910064932E-2</v>
      </c>
      <c r="BF84" s="804">
        <f>1+[3]!Salcycl*Ksac</f>
        <v>1.0005186309586496</v>
      </c>
      <c r="BH84" s="1037">
        <f t="shared" si="75"/>
        <v>2.4069148621214734E-2</v>
      </c>
      <c r="BI84" s="11">
        <v>44266</v>
      </c>
      <c r="BJ84" s="715">
        <v>3.961382122522707E-4</v>
      </c>
      <c r="BK84" s="715">
        <v>3.3846074816637501E-3</v>
      </c>
      <c r="BL84" s="715">
        <v>7.8316127261265148E-3</v>
      </c>
      <c r="BM84" s="715">
        <v>1.5158378217474662E-2</v>
      </c>
      <c r="BN84" s="715">
        <v>2.6311658574917862E-2</v>
      </c>
      <c r="BO84" s="716">
        <v>4.3221046056297896E-2</v>
      </c>
      <c r="BP84" s="715">
        <v>7.3340461656000153E-2</v>
      </c>
      <c r="BQ84" s="715">
        <v>0.13131643736851303</v>
      </c>
      <c r="BR84" s="715">
        <v>0.23593517468224448</v>
      </c>
      <c r="BS84" s="715">
        <v>0.3876111725628808</v>
      </c>
      <c r="BT84" s="715">
        <v>0.5698812821255731</v>
      </c>
      <c r="BW84" s="1185">
        <f>'2019'!R\Max</f>
        <v>2.4033165034981204E-2</v>
      </c>
      <c r="BX84" s="1185">
        <f>'2020'!R\Max</f>
        <v>0.68722208891427161</v>
      </c>
      <c r="BY84" s="1185">
        <f>'2021'!R\Max</f>
        <v>0.80956808536512626</v>
      </c>
      <c r="BZ84" s="1185">
        <f>'2022'!R\Max</f>
        <v>0.3975371237240109</v>
      </c>
      <c r="CA84" s="1185">
        <f>'2023'!R\Max</f>
        <v>0.39713956427389524</v>
      </c>
      <c r="CB84" s="1185">
        <f>'2024'!R\Max</f>
        <v>0.39671553099603973</v>
      </c>
      <c r="CC84" s="1185">
        <f>'2025'!R\Max</f>
        <v>0.39615072569062665</v>
      </c>
      <c r="CD84" s="1185">
        <f>'2026'!R\Max</f>
        <v>0.39533372401308164</v>
      </c>
      <c r="CE84" s="1186">
        <f>'2027'!R\Max</f>
        <v>0.3979865411727368</v>
      </c>
      <c r="CF84" s="1187">
        <f>'2028'!R\Max</f>
        <v>0.39774866723782021</v>
      </c>
    </row>
    <row r="85" spans="1:84" s="6" customFormat="1" ht="11.25" x14ac:dyDescent="0.2">
      <c r="A85" s="11">
        <v>43171</v>
      </c>
      <c r="B85" s="379">
        <f>'2022'!Maxi_hp</f>
        <v>46.64301638858592</v>
      </c>
      <c r="C85" s="13">
        <f>'2022'!An_max</f>
        <v>2018</v>
      </c>
      <c r="D85" s="1046" t="str">
        <f t="shared" si="59"/>
        <v/>
      </c>
      <c r="E85" s="13"/>
      <c r="F85" s="13">
        <f t="shared" si="76"/>
        <v>7</v>
      </c>
      <c r="G85" s="13">
        <f t="shared" si="60"/>
        <v>6</v>
      </c>
      <c r="H85" s="173">
        <f t="shared" si="61"/>
        <v>43178</v>
      </c>
      <c r="I85" s="742">
        <f t="shared" si="62"/>
        <v>0.5</v>
      </c>
      <c r="J85" s="735">
        <f t="shared" si="63"/>
        <v>49.544687500130387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39">
        <v>43171</v>
      </c>
      <c r="AP85" s="13">
        <f t="shared" si="64"/>
        <v>5</v>
      </c>
      <c r="AQ85" s="13">
        <f t="shared" si="65"/>
        <v>4</v>
      </c>
      <c r="AR85" s="173">
        <f t="shared" si="66"/>
        <v>43192</v>
      </c>
      <c r="AS85" s="742">
        <f t="shared" si="67"/>
        <v>0.75</v>
      </c>
      <c r="AT85" s="758">
        <f t="shared" si="68"/>
        <v>49.517507812241092</v>
      </c>
      <c r="AU85" s="13">
        <f t="shared" si="69"/>
        <v>3</v>
      </c>
      <c r="AV85" s="13">
        <f t="shared" si="70"/>
        <v>4</v>
      </c>
      <c r="AW85" s="173">
        <f t="shared" si="71"/>
        <v>43150</v>
      </c>
      <c r="AX85" s="742">
        <f t="shared" si="72"/>
        <v>0.75</v>
      </c>
      <c r="AY85" s="758">
        <f t="shared" si="73"/>
        <v>49.672043749957808</v>
      </c>
      <c r="AZ85" s="735">
        <f t="shared" si="77"/>
        <v>49.59477578109945</v>
      </c>
      <c r="BA85" s="633">
        <f t="shared" si="74"/>
        <v>0.94143325434161174</v>
      </c>
      <c r="BC85" s="11">
        <v>43171</v>
      </c>
      <c r="BD85" s="289">
        <f>[3]!FeuilCaduc*(1-Persistant)+Persistant</f>
        <v>0.80216176173468567</v>
      </c>
      <c r="BE85" s="290">
        <f>[3]!CroissVégét</f>
        <v>2.2808540908775418E-2</v>
      </c>
      <c r="BF85" s="804">
        <f>1+[3]!Salcycl*Ksac</f>
        <v>1.0005404404336715</v>
      </c>
      <c r="BH85" s="1037">
        <f t="shared" si="75"/>
        <v>2.4734503387664777E-2</v>
      </c>
      <c r="BI85" s="11">
        <v>44267</v>
      </c>
      <c r="BJ85" s="715">
        <v>3.9658826835270807E-4</v>
      </c>
      <c r="BK85" s="715">
        <v>3.4075223172675621E-3</v>
      </c>
      <c r="BL85" s="715">
        <v>7.9338859092318945E-3</v>
      </c>
      <c r="BM85" s="715">
        <v>1.5434249154848527E-2</v>
      </c>
      <c r="BN85" s="715">
        <v>2.7075031955240296E-2</v>
      </c>
      <c r="BO85" s="716">
        <v>4.4109241954426497E-2</v>
      </c>
      <c r="BP85" s="715">
        <v>7.2488515003687928E-2</v>
      </c>
      <c r="BQ85" s="715">
        <v>0.12608474833525435</v>
      </c>
      <c r="BR85" s="715">
        <v>0.22403771928854757</v>
      </c>
      <c r="BS85" s="715">
        <v>0.36909484814557675</v>
      </c>
      <c r="BT85" s="715">
        <v>0.5453319473293915</v>
      </c>
      <c r="BW85" s="1185">
        <f>'2019'!R\Max</f>
        <v>0.94143325434161174</v>
      </c>
      <c r="BX85" s="1185">
        <f>'2020'!R\Max</f>
        <v>0.84012351750334424</v>
      </c>
      <c r="BY85" s="1185">
        <f>'2021'!R\Max</f>
        <v>0.5833431809469557</v>
      </c>
      <c r="BZ85" s="1185">
        <f>'2022'!R\Max</f>
        <v>0.28789006736061423</v>
      </c>
      <c r="CA85" s="1185">
        <f>'2023'!R\Max</f>
        <v>0.28757487771060919</v>
      </c>
      <c r="CB85" s="1185">
        <f>'2024'!R\Max</f>
        <v>0.28724090586096751</v>
      </c>
      <c r="CC85" s="1185">
        <f>'2025'!R\Max</f>
        <v>0.28680030317717037</v>
      </c>
      <c r="CD85" s="1185">
        <f>'2026'!R\Max</f>
        <v>0.28616957408314114</v>
      </c>
      <c r="CE85" s="1186">
        <f>'2027'!R\Max</f>
        <v>0.28826876799599727</v>
      </c>
      <c r="CF85" s="1187">
        <f>'2028'!R\Max</f>
        <v>0.28806830667301914</v>
      </c>
    </row>
    <row r="86" spans="1:84" s="6" customFormat="1" ht="11.25" x14ac:dyDescent="0.2">
      <c r="A86" s="11">
        <v>43172</v>
      </c>
      <c r="B86" s="379">
        <f>'2022'!Maxi_hp</f>
        <v>40.981762819051319</v>
      </c>
      <c r="C86" s="13">
        <f>'2022'!An_max</f>
        <v>2021</v>
      </c>
      <c r="D86" s="1046" t="str">
        <f t="shared" si="59"/>
        <v/>
      </c>
      <c r="E86" s="13"/>
      <c r="F86" s="13">
        <f t="shared" si="76"/>
        <v>7</v>
      </c>
      <c r="G86" s="13">
        <f t="shared" si="60"/>
        <v>6</v>
      </c>
      <c r="H86" s="173">
        <f t="shared" si="61"/>
        <v>43178</v>
      </c>
      <c r="I86" s="742">
        <f t="shared" si="62"/>
        <v>0.42857142857142855</v>
      </c>
      <c r="J86" s="735">
        <f t="shared" si="63"/>
        <v>49.88894693888723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39">
        <v>43172</v>
      </c>
      <c r="AP86" s="13">
        <f t="shared" si="64"/>
        <v>5</v>
      </c>
      <c r="AQ86" s="13">
        <f t="shared" si="65"/>
        <v>4</v>
      </c>
      <c r="AR86" s="173">
        <f t="shared" si="66"/>
        <v>43192</v>
      </c>
      <c r="AS86" s="742">
        <f t="shared" si="67"/>
        <v>0.7142857142857143</v>
      </c>
      <c r="AT86" s="758">
        <f t="shared" si="68"/>
        <v>49.864314285665749</v>
      </c>
      <c r="AU86" s="13">
        <f t="shared" si="69"/>
        <v>3</v>
      </c>
      <c r="AV86" s="13">
        <f t="shared" si="70"/>
        <v>4</v>
      </c>
      <c r="AW86" s="173">
        <f t="shared" si="71"/>
        <v>43150</v>
      </c>
      <c r="AX86" s="742">
        <f t="shared" si="72"/>
        <v>0.7857142857142857</v>
      </c>
      <c r="AY86" s="758">
        <f t="shared" si="73"/>
        <v>50.003597448889295</v>
      </c>
      <c r="AZ86" s="735">
        <f t="shared" si="77"/>
        <v>49.933955867277518</v>
      </c>
      <c r="BA86" s="633">
        <f t="shared" si="74"/>
        <v>0.82145976881919358</v>
      </c>
      <c r="BC86" s="11">
        <v>43172</v>
      </c>
      <c r="BD86" s="289">
        <f>[3]!FeuilCaduc*(1-Persistant)+Persistant</f>
        <v>0.80225806025979984</v>
      </c>
      <c r="BE86" s="290">
        <f>[3]!CroissVégét</f>
        <v>2.3798287402466985E-2</v>
      </c>
      <c r="BF86" s="804">
        <f>1+[3]!Salcycl*Ksac</f>
        <v>1.00056451506495</v>
      </c>
      <c r="BH86" s="1037">
        <f t="shared" si="75"/>
        <v>2.5376278771563718E-2</v>
      </c>
      <c r="BI86" s="11">
        <v>44268</v>
      </c>
      <c r="BJ86" s="715">
        <v>3.9637494728436332E-4</v>
      </c>
      <c r="BK86" s="715">
        <v>3.4232816126320079E-3</v>
      </c>
      <c r="BL86" s="715">
        <v>8.0194062194629163E-3</v>
      </c>
      <c r="BM86" s="715">
        <v>1.5680180446670539E-2</v>
      </c>
      <c r="BN86" s="715">
        <v>2.7816426594980966E-2</v>
      </c>
      <c r="BO86" s="716">
        <v>4.5211244624689784E-2</v>
      </c>
      <c r="BP86" s="715">
        <v>7.2338970426657281E-2</v>
      </c>
      <c r="BQ86" s="715">
        <v>0.12208881690969392</v>
      </c>
      <c r="BR86" s="715">
        <v>0.21356122091681529</v>
      </c>
      <c r="BS86" s="715">
        <v>0.35173589003226646</v>
      </c>
      <c r="BT86" s="715">
        <v>0.52141446156615656</v>
      </c>
      <c r="BW86" s="1185">
        <f>'2019'!R\Max</f>
        <v>0.4931467702876659</v>
      </c>
      <c r="BX86" s="1185">
        <f>'2020'!R\Max</f>
        <v>0.33778651794981313</v>
      </c>
      <c r="BY86" s="1185">
        <f>'2021'!R\Max</f>
        <v>0.82145976881919358</v>
      </c>
      <c r="BZ86" s="1185">
        <f>'2022'!R\Max</f>
        <v>0.21235908765142422</v>
      </c>
      <c r="CA86" s="1185">
        <f>'2023'!R\Max</f>
        <v>0.21213691282739569</v>
      </c>
      <c r="CB86" s="1185">
        <f>'2024'!R\Max</f>
        <v>0.21190301553430205</v>
      </c>
      <c r="CC86" s="1185">
        <f>'2025'!R\Max</f>
        <v>0.21159883994575293</v>
      </c>
      <c r="CD86" s="1185">
        <f>'2026'!R\Max</f>
        <v>0.21116989302594288</v>
      </c>
      <c r="CE86" s="1186">
        <f>'2027'!R\Max</f>
        <v>0.21264242063837679</v>
      </c>
      <c r="CF86" s="1187">
        <f>'2028'!R\Max</f>
        <v>0.21249244120844946</v>
      </c>
    </row>
    <row r="87" spans="1:84" s="6" customFormat="1" ht="11.25" x14ac:dyDescent="0.2">
      <c r="A87" s="11">
        <v>43173</v>
      </c>
      <c r="B87" s="379">
        <f>'2022'!Maxi_hp</f>
        <v>38.557146236700596</v>
      </c>
      <c r="C87" s="13">
        <f>'2022'!An_max</f>
        <v>2020</v>
      </c>
      <c r="D87" s="1046" t="str">
        <f t="shared" si="59"/>
        <v/>
      </c>
      <c r="E87" s="13"/>
      <c r="F87" s="13">
        <f t="shared" si="76"/>
        <v>7</v>
      </c>
      <c r="G87" s="13">
        <f t="shared" si="60"/>
        <v>6</v>
      </c>
      <c r="H87" s="173">
        <f t="shared" si="61"/>
        <v>43178</v>
      </c>
      <c r="I87" s="742">
        <f t="shared" si="62"/>
        <v>0.35714285714285715</v>
      </c>
      <c r="J87" s="735">
        <f t="shared" si="63"/>
        <v>50.230888010381854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39">
        <v>43173</v>
      </c>
      <c r="AP87" s="13">
        <f t="shared" si="64"/>
        <v>5</v>
      </c>
      <c r="AQ87" s="13">
        <f t="shared" si="65"/>
        <v>4</v>
      </c>
      <c r="AR87" s="173">
        <f t="shared" si="66"/>
        <v>43192</v>
      </c>
      <c r="AS87" s="742">
        <f t="shared" si="67"/>
        <v>0.6785714285714286</v>
      </c>
      <c r="AT87" s="758">
        <f t="shared" si="68"/>
        <v>50.210613615511519</v>
      </c>
      <c r="AU87" s="13">
        <f t="shared" si="69"/>
        <v>3</v>
      </c>
      <c r="AV87" s="13">
        <f t="shared" si="70"/>
        <v>4</v>
      </c>
      <c r="AW87" s="173">
        <f t="shared" si="71"/>
        <v>43150</v>
      </c>
      <c r="AX87" s="742">
        <f t="shared" si="72"/>
        <v>0.8214285714285714</v>
      </c>
      <c r="AY87" s="758">
        <f t="shared" si="73"/>
        <v>50.330641199109543</v>
      </c>
      <c r="AZ87" s="735">
        <f t="shared" si="77"/>
        <v>50.270627407310528</v>
      </c>
      <c r="BA87" s="633">
        <f t="shared" si="74"/>
        <v>0.7675983396656556</v>
      </c>
      <c r="BC87" s="11">
        <v>43173</v>
      </c>
      <c r="BD87" s="289">
        <f>[3]!FeuilCaduc*(1-Persistant)+Persistant</f>
        <v>0.80236466119013272</v>
      </c>
      <c r="BE87" s="290">
        <f>[3]!CroissVégét</f>
        <v>2.4827425868542252E-2</v>
      </c>
      <c r="BF87" s="804">
        <f>1+[3]!Salcycl*Ksac</f>
        <v>1.0005911652975332</v>
      </c>
      <c r="BH87" s="1037">
        <f t="shared" si="75"/>
        <v>2.5953466760855911E-2</v>
      </c>
      <c r="BI87" s="11">
        <v>44269</v>
      </c>
      <c r="BJ87" s="715">
        <v>3.9382046642048553E-4</v>
      </c>
      <c r="BK87" s="715">
        <v>3.431598487881373E-3</v>
      </c>
      <c r="BL87" s="715">
        <v>8.090090174182385E-3</v>
      </c>
      <c r="BM87" s="715">
        <v>1.5898706714181889E-2</v>
      </c>
      <c r="BN87" s="715">
        <v>2.8483876418510103E-2</v>
      </c>
      <c r="BO87" s="716">
        <v>4.6292372846420217E-2</v>
      </c>
      <c r="BP87" s="715">
        <v>7.2436144529012231E-2</v>
      </c>
      <c r="BQ87" s="715">
        <v>0.11880327469187238</v>
      </c>
      <c r="BR87" s="715">
        <v>0.20416141095841742</v>
      </c>
      <c r="BS87" s="715">
        <v>0.33545267732419815</v>
      </c>
      <c r="BT87" s="715">
        <v>0.49825371217141817</v>
      </c>
      <c r="BW87" s="1185">
        <f>'2019'!R\Max</f>
        <v>0.45545552951604312</v>
      </c>
      <c r="BX87" s="1185">
        <f>'2020'!R\Max</f>
        <v>0.7675983396656556</v>
      </c>
      <c r="BY87" s="1185">
        <f>'2021'!R\Max</f>
        <v>0.42699886688045374</v>
      </c>
      <c r="BZ87" s="1185">
        <f>'2022'!R\Max</f>
        <v>0.28584006131164719</v>
      </c>
      <c r="CA87" s="1185">
        <f>'2023'!R\Max</f>
        <v>0.28555198834318407</v>
      </c>
      <c r="CB87" s="1185">
        <f>'2024'!R\Max</f>
        <v>0.28525059107909106</v>
      </c>
      <c r="CC87" s="1185">
        <f>'2025'!R\Max</f>
        <v>0.28486494978584187</v>
      </c>
      <c r="CD87" s="1185">
        <f>'2026'!R\Max</f>
        <v>0.28433040846775665</v>
      </c>
      <c r="CE87" s="1186">
        <f>'2027'!R\Max</f>
        <v>0.28622791127850983</v>
      </c>
      <c r="CF87" s="1187">
        <f>'2028'!R\Max</f>
        <v>0.28602260685013015</v>
      </c>
    </row>
    <row r="88" spans="1:84" s="6" customFormat="1" ht="11.25" x14ac:dyDescent="0.2">
      <c r="A88" s="11">
        <v>43174</v>
      </c>
      <c r="B88" s="379">
        <f>'2022'!Maxi_hp</f>
        <v>34.117673354504483</v>
      </c>
      <c r="C88" s="13">
        <f>'2022'!An_max</f>
        <v>2020</v>
      </c>
      <c r="D88" s="1046" t="str">
        <f t="shared" si="59"/>
        <v/>
      </c>
      <c r="E88" s="13"/>
      <c r="F88" s="13">
        <f t="shared" si="76"/>
        <v>7</v>
      </c>
      <c r="G88" s="13">
        <f t="shared" si="60"/>
        <v>6</v>
      </c>
      <c r="H88" s="173">
        <f t="shared" si="61"/>
        <v>43178</v>
      </c>
      <c r="I88" s="742">
        <f t="shared" si="62"/>
        <v>0.2857142857142857</v>
      </c>
      <c r="J88" s="735">
        <f t="shared" si="63"/>
        <v>50.569967347037583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39">
        <v>43174</v>
      </c>
      <c r="AP88" s="13">
        <f t="shared" si="64"/>
        <v>5</v>
      </c>
      <c r="AQ88" s="13">
        <f t="shared" si="65"/>
        <v>4</v>
      </c>
      <c r="AR88" s="173">
        <f t="shared" si="66"/>
        <v>43192</v>
      </c>
      <c r="AS88" s="742">
        <f t="shared" si="67"/>
        <v>0.6428571428571429</v>
      </c>
      <c r="AT88" s="758">
        <f t="shared" si="68"/>
        <v>50.555930357226842</v>
      </c>
      <c r="AU88" s="13">
        <f t="shared" si="69"/>
        <v>3</v>
      </c>
      <c r="AV88" s="13">
        <f t="shared" si="70"/>
        <v>4</v>
      </c>
      <c r="AW88" s="173">
        <f t="shared" si="71"/>
        <v>43150</v>
      </c>
      <c r="AX88" s="742">
        <f t="shared" si="72"/>
        <v>0.8571428571428571</v>
      </c>
      <c r="AY88" s="758">
        <f t="shared" si="73"/>
        <v>50.652848979910566</v>
      </c>
      <c r="AZ88" s="735">
        <f t="shared" si="77"/>
        <v>50.6043896685687</v>
      </c>
      <c r="BA88" s="633">
        <f t="shared" si="74"/>
        <v>0.67466275230852235</v>
      </c>
      <c r="BC88" s="11">
        <v>43174</v>
      </c>
      <c r="BD88" s="289">
        <f>[3]!FeuilCaduc*(1-Persistant)+Persistant</f>
        <v>0.80248285723113599</v>
      </c>
      <c r="BE88" s="290">
        <f>[3]!CroissVégét</f>
        <v>2.5897433731805454E-2</v>
      </c>
      <c r="BF88" s="804">
        <f>1+[3]!Salcycl*Ksac</f>
        <v>1.0006207143077839</v>
      </c>
      <c r="BH88" s="1037">
        <f t="shared" si="75"/>
        <v>2.6466053720376935E-2</v>
      </c>
      <c r="BI88" s="11">
        <v>44270</v>
      </c>
      <c r="BJ88" s="715">
        <v>3.8892480943081807E-4</v>
      </c>
      <c r="BK88" s="715">
        <v>3.4324718911922653E-3</v>
      </c>
      <c r="BL88" s="715">
        <v>8.1459345793378699E-3</v>
      </c>
      <c r="BM88" s="715">
        <v>1.6089820671971285E-2</v>
      </c>
      <c r="BN88" s="715">
        <v>2.9077366192666258E-2</v>
      </c>
      <c r="BO88" s="716">
        <v>4.7352597683424189E-2</v>
      </c>
      <c r="BP88" s="715">
        <v>7.2779998860615411E-2</v>
      </c>
      <c r="BQ88" s="715">
        <v>0.11622808603304059</v>
      </c>
      <c r="BR88" s="715">
        <v>0.1958382783110359</v>
      </c>
      <c r="BS88" s="715">
        <v>0.32024523109214109</v>
      </c>
      <c r="BT88" s="715">
        <v>0.47584975417443759</v>
      </c>
      <c r="BW88" s="1185">
        <f>'2019'!R\Max</f>
        <v>0.25613364307806263</v>
      </c>
      <c r="BX88" s="1185">
        <f>'2020'!R\Max</f>
        <v>0.67466275230852235</v>
      </c>
      <c r="BY88" s="1185">
        <f>'2021'!R\Max</f>
        <v>0.29574392766033397</v>
      </c>
      <c r="BZ88" s="1185">
        <f>'2022'!R\Max</f>
        <v>0.34701564586793893</v>
      </c>
      <c r="CA88" s="1185">
        <f>'2023'!R\Max</f>
        <v>0.34669884899428449</v>
      </c>
      <c r="CB88" s="1185">
        <f>'2024'!R\Max</f>
        <v>0.34636925333681395</v>
      </c>
      <c r="CC88" s="1185">
        <f>'2025'!R\Max</f>
        <v>0.34595493848948472</v>
      </c>
      <c r="CD88" s="1185">
        <f>'2026'!R\Max</f>
        <v>0.34539155094834123</v>
      </c>
      <c r="CE88" s="1186">
        <f>'2027'!R\Max</f>
        <v>0.34746302849789901</v>
      </c>
      <c r="CF88" s="1187">
        <f>'2028'!R\Max</f>
        <v>0.34722622153902699</v>
      </c>
    </row>
    <row r="89" spans="1:84" s="6" customFormat="1" ht="11.25" x14ac:dyDescent="0.2">
      <c r="A89" s="11">
        <v>43175</v>
      </c>
      <c r="B89" s="379">
        <f>'2022'!Maxi_hp</f>
        <v>53.119225306767447</v>
      </c>
      <c r="C89" s="13">
        <f>'2022'!An_max</f>
        <v>2020</v>
      </c>
      <c r="D89" s="1046">
        <f t="shared" si="59"/>
        <v>1.0434840551308171</v>
      </c>
      <c r="E89" s="13"/>
      <c r="F89" s="13">
        <f t="shared" si="76"/>
        <v>7</v>
      </c>
      <c r="G89" s="13">
        <f t="shared" si="60"/>
        <v>6</v>
      </c>
      <c r="H89" s="173">
        <f t="shared" si="61"/>
        <v>43178</v>
      </c>
      <c r="I89" s="742">
        <f t="shared" si="62"/>
        <v>0.21428571428571427</v>
      </c>
      <c r="J89" s="735">
        <f t="shared" si="63"/>
        <v>50.905641581756726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39">
        <v>43175</v>
      </c>
      <c r="AP89" s="13">
        <f t="shared" si="64"/>
        <v>5</v>
      </c>
      <c r="AQ89" s="13">
        <f t="shared" si="65"/>
        <v>4</v>
      </c>
      <c r="AR89" s="173">
        <f t="shared" si="66"/>
        <v>43192</v>
      </c>
      <c r="AS89" s="742">
        <f t="shared" si="67"/>
        <v>0.6071428571428571</v>
      </c>
      <c r="AT89" s="758">
        <f t="shared" si="68"/>
        <v>50.899789062282068</v>
      </c>
      <c r="AU89" s="13">
        <f t="shared" si="69"/>
        <v>3</v>
      </c>
      <c r="AV89" s="13">
        <f t="shared" si="70"/>
        <v>4</v>
      </c>
      <c r="AW89" s="173">
        <f t="shared" si="71"/>
        <v>43150</v>
      </c>
      <c r="AX89" s="742">
        <f t="shared" si="72"/>
        <v>0.8928571428571429</v>
      </c>
      <c r="AY89" s="758">
        <f t="shared" si="73"/>
        <v>50.96989477023682</v>
      </c>
      <c r="AZ89" s="735">
        <f t="shared" si="77"/>
        <v>50.934841916259444</v>
      </c>
      <c r="BA89" s="633">
        <f t="shared" si="74"/>
        <v>1.0434840551308171</v>
      </c>
      <c r="BC89" s="11">
        <v>43175</v>
      </c>
      <c r="BD89" s="289">
        <f>[3]!FeuilCaduc*(1-Persistant)+Persistant</f>
        <v>0.80261398749019375</v>
      </c>
      <c r="BE89" s="290">
        <f>[3]!CroissVégét</f>
        <v>2.7009836317349309E-2</v>
      </c>
      <c r="BF89" s="804">
        <f>1+[3]!Salcycl*Ksac</f>
        <v>1.0006534968725485</v>
      </c>
      <c r="BH89" s="1037">
        <f t="shared" si="75"/>
        <v>2.6914026816007807E-2</v>
      </c>
      <c r="BI89" s="11">
        <v>44271</v>
      </c>
      <c r="BJ89" s="715">
        <v>3.8168802383894675E-4</v>
      </c>
      <c r="BK89" s="715">
        <v>3.4259009491376122E-3</v>
      </c>
      <c r="BL89" s="715">
        <v>8.1869365162669308E-3</v>
      </c>
      <c r="BM89" s="715">
        <v>1.6253515412988927E-2</v>
      </c>
      <c r="BN89" s="715">
        <v>2.9596881591707275E-2</v>
      </c>
      <c r="BO89" s="716">
        <v>4.8391889129628461E-2</v>
      </c>
      <c r="BP89" s="715">
        <v>7.3370488483336258E-2</v>
      </c>
      <c r="BQ89" s="715">
        <v>0.11436320189177657</v>
      </c>
      <c r="BR89" s="715">
        <v>0.1885917981143751</v>
      </c>
      <c r="BS89" s="715">
        <v>0.30611356884718943</v>
      </c>
      <c r="BT89" s="715">
        <v>0.45420265739836374</v>
      </c>
      <c r="BW89" s="1185">
        <f>'2019'!R\Max</f>
        <v>0.96047951950655353</v>
      </c>
      <c r="BX89" s="1185">
        <f>'2020'!R\Max</f>
        <v>1.0434840551308171</v>
      </c>
      <c r="BY89" s="1185">
        <f>'2021'!R\Max</f>
        <v>0.68952635561792408</v>
      </c>
      <c r="BZ89" s="1185">
        <f>'2022'!R\Max</f>
        <v>0.25126950838618384</v>
      </c>
      <c r="CA89" s="1185">
        <f>'2023'!R\Max</f>
        <v>0.25102807036595937</v>
      </c>
      <c r="CB89" s="1185">
        <f>'2024'!R\Max</f>
        <v>0.25077818989616779</v>
      </c>
      <c r="CC89" s="1185">
        <f>'2025'!R\Max</f>
        <v>0.25047007268153887</v>
      </c>
      <c r="CD89" s="1185">
        <f>'2026'!R\Max</f>
        <v>0.25005999050120986</v>
      </c>
      <c r="CE89" s="1186">
        <f>'2027'!R\Max</f>
        <v>0.25162470774847745</v>
      </c>
      <c r="CF89" s="1187">
        <f>'2028'!R\Max</f>
        <v>0.25143668658496832</v>
      </c>
    </row>
    <row r="90" spans="1:84" s="6" customFormat="1" ht="11.25" x14ac:dyDescent="0.2">
      <c r="A90" s="11">
        <v>43176</v>
      </c>
      <c r="B90" s="379">
        <f>'2022'!Maxi_hp</f>
        <v>33.792366122986927</v>
      </c>
      <c r="C90" s="13">
        <f>'2022'!An_max</f>
        <v>2021</v>
      </c>
      <c r="D90" s="1046" t="str">
        <f t="shared" si="59"/>
        <v/>
      </c>
      <c r="E90" s="13"/>
      <c r="F90" s="13">
        <f t="shared" si="76"/>
        <v>7</v>
      </c>
      <c r="G90" s="13">
        <f t="shared" si="60"/>
        <v>6</v>
      </c>
      <c r="H90" s="173">
        <f t="shared" si="61"/>
        <v>43178</v>
      </c>
      <c r="I90" s="742">
        <f t="shared" si="62"/>
        <v>0.14285714285714285</v>
      </c>
      <c r="J90" s="735">
        <f t="shared" si="63"/>
        <v>51.237367346896121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39">
        <v>43176</v>
      </c>
      <c r="AP90" s="13">
        <f t="shared" si="64"/>
        <v>5</v>
      </c>
      <c r="AQ90" s="13">
        <f t="shared" si="65"/>
        <v>4</v>
      </c>
      <c r="AR90" s="173">
        <f t="shared" si="66"/>
        <v>43192</v>
      </c>
      <c r="AS90" s="742">
        <f t="shared" si="67"/>
        <v>0.5714285714285714</v>
      </c>
      <c r="AT90" s="758">
        <f t="shared" si="68"/>
        <v>51.241714285526953</v>
      </c>
      <c r="AU90" s="13">
        <f t="shared" si="69"/>
        <v>3</v>
      </c>
      <c r="AV90" s="13">
        <f t="shared" si="70"/>
        <v>4</v>
      </c>
      <c r="AW90" s="173">
        <f t="shared" si="71"/>
        <v>43150</v>
      </c>
      <c r="AX90" s="742">
        <f t="shared" si="72"/>
        <v>0.9285714285714286</v>
      </c>
      <c r="AY90" s="758">
        <f t="shared" si="73"/>
        <v>51.281452550968552</v>
      </c>
      <c r="AZ90" s="735">
        <f t="shared" si="77"/>
        <v>51.261583418247753</v>
      </c>
      <c r="BA90" s="633">
        <f t="shared" si="74"/>
        <v>0.65952580846318631</v>
      </c>
      <c r="BC90" s="11">
        <v>43176</v>
      </c>
      <c r="BD90" s="289">
        <f>[3]!FeuilCaduc*(1-Persistant)+Persistant</f>
        <v>0.80275943279824569</v>
      </c>
      <c r="BE90" s="290">
        <f>[3]!CroissVégét</f>
        <v>2.8166207768877807E-2</v>
      </c>
      <c r="BF90" s="804">
        <f>1+[3]!Salcycl*Ksac</f>
        <v>1.0006898581995614</v>
      </c>
      <c r="BH90" s="1037">
        <f t="shared" si="75"/>
        <v>2.7297374253245334E-2</v>
      </c>
      <c r="BI90" s="11">
        <v>44272</v>
      </c>
      <c r="BJ90" s="715">
        <v>3.7211022967858576E-4</v>
      </c>
      <c r="BK90" s="715">
        <v>3.4118849941760245E-3</v>
      </c>
      <c r="BL90" s="715">
        <v>8.213093396477085E-3</v>
      </c>
      <c r="BM90" s="715">
        <v>1.6389784509714962E-2</v>
      </c>
      <c r="BN90" s="715">
        <v>3.0042409470459594E-2</v>
      </c>
      <c r="BO90" s="716">
        <v>4.9410216185644257E-2</v>
      </c>
      <c r="BP90" s="715">
        <v>7.4207561057412871E-2</v>
      </c>
      <c r="BQ90" s="715">
        <v>0.11320855720469189</v>
      </c>
      <c r="BR90" s="715">
        <v>0.1824219277651504</v>
      </c>
      <c r="BS90" s="715">
        <v>0.29305770055811309</v>
      </c>
      <c r="BT90" s="715">
        <v>0.43331250365622354</v>
      </c>
      <c r="BW90" s="1185">
        <f>'2019'!R\Max</f>
        <v>0.33687438246073365</v>
      </c>
      <c r="BX90" s="1185">
        <f>'2020'!R\Max</f>
        <v>0.14662913554524515</v>
      </c>
      <c r="BY90" s="1185">
        <f>'2021'!R\Max</f>
        <v>0.65952580846318631</v>
      </c>
      <c r="BZ90" s="1185">
        <f>'2022'!R\Max</f>
        <v>0.2148799807458899</v>
      </c>
      <c r="CA90" s="1185">
        <f>'2023'!R\Max</f>
        <v>0.21467541087201281</v>
      </c>
      <c r="CB90" s="1185">
        <f>'2024'!R\Max</f>
        <v>0.21446459459738387</v>
      </c>
      <c r="CC90" s="1185">
        <f>'2025'!R\Max</f>
        <v>0.21420974228789491</v>
      </c>
      <c r="CD90" s="1185">
        <f>'2026'!R\Max</f>
        <v>0.21387817272844797</v>
      </c>
      <c r="CE90" s="1186">
        <f>'2027'!R\Max</f>
        <v>0.21519104122485611</v>
      </c>
      <c r="CF90" s="1187">
        <f>'2028'!R\Max</f>
        <v>0.21502638452953077</v>
      </c>
    </row>
    <row r="91" spans="1:84" s="6" customFormat="1" ht="11.25" x14ac:dyDescent="0.2">
      <c r="A91" s="11">
        <v>43177</v>
      </c>
      <c r="B91" s="379">
        <f>'2022'!Maxi_hp</f>
        <v>34.313153622269041</v>
      </c>
      <c r="C91" s="13">
        <f>'2022'!An_max</f>
        <v>2018</v>
      </c>
      <c r="D91" s="1046" t="str">
        <f t="shared" si="59"/>
        <v/>
      </c>
      <c r="E91" s="13"/>
      <c r="F91" s="13">
        <f t="shared" si="76"/>
        <v>7</v>
      </c>
      <c r="G91" s="13">
        <f t="shared" si="60"/>
        <v>6</v>
      </c>
      <c r="H91" s="173">
        <f t="shared" si="61"/>
        <v>43178</v>
      </c>
      <c r="I91" s="742">
        <f t="shared" si="62"/>
        <v>7.1428571428571425E-2</v>
      </c>
      <c r="J91" s="735">
        <f t="shared" si="63"/>
        <v>51.564601275098639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39">
        <v>43177</v>
      </c>
      <c r="AP91" s="13">
        <f t="shared" si="64"/>
        <v>5</v>
      </c>
      <c r="AQ91" s="13">
        <f t="shared" si="65"/>
        <v>4</v>
      </c>
      <c r="AR91" s="173">
        <f t="shared" si="66"/>
        <v>43192</v>
      </c>
      <c r="AS91" s="742">
        <f t="shared" si="67"/>
        <v>0.5357142857142857</v>
      </c>
      <c r="AT91" s="758">
        <f t="shared" si="68"/>
        <v>51.581230580294502</v>
      </c>
      <c r="AU91" s="13">
        <f t="shared" si="69"/>
        <v>3</v>
      </c>
      <c r="AV91" s="13">
        <f t="shared" si="70"/>
        <v>4</v>
      </c>
      <c r="AW91" s="173">
        <f t="shared" si="71"/>
        <v>43150</v>
      </c>
      <c r="AX91" s="742">
        <f t="shared" si="72"/>
        <v>0.9642857142857143</v>
      </c>
      <c r="AY91" s="758">
        <f t="shared" si="73"/>
        <v>51.587196301409435</v>
      </c>
      <c r="AZ91" s="735">
        <f t="shared" si="77"/>
        <v>51.584213440851968</v>
      </c>
      <c r="BA91" s="633">
        <f t="shared" si="74"/>
        <v>0.66544010374883678</v>
      </c>
      <c r="BC91" s="11">
        <v>43177</v>
      </c>
      <c r="BD91" s="289">
        <f>[3]!FeuilCaduc*(1-Persistant)+Persistant</f>
        <v>0.80292061091665823</v>
      </c>
      <c r="BE91" s="290">
        <f>[3]!CroissVégét</f>
        <v>2.9368171926128662E-2</v>
      </c>
      <c r="BF91" s="804">
        <f>1+[3]!Salcycl*Ksac</f>
        <v>1.0007301527291645</v>
      </c>
      <c r="BH91" s="1037">
        <f t="shared" si="75"/>
        <v>2.761608551569026E-2</v>
      </c>
      <c r="BI91" s="11">
        <v>44273</v>
      </c>
      <c r="BJ91" s="715">
        <v>3.6019162814866003E-4</v>
      </c>
      <c r="BK91" s="715">
        <v>3.3904235921305139E-3</v>
      </c>
      <c r="BL91" s="715">
        <v>8.2244030164004747E-3</v>
      </c>
      <c r="BM91" s="715">
        <v>1.6498622115277969E-2</v>
      </c>
      <c r="BN91" s="715">
        <v>3.0413938137377226E-2</v>
      </c>
      <c r="BO91" s="716">
        <v>5.0407546935183838E-2</v>
      </c>
      <c r="BP91" s="715">
        <v>7.5291155927586464E-2</v>
      </c>
      <c r="BQ91" s="715">
        <v>0.11276406825677603</v>
      </c>
      <c r="BR91" s="715">
        <v>0.17732860293146901</v>
      </c>
      <c r="BS91" s="715">
        <v>0.28107762466771707</v>
      </c>
      <c r="BT91" s="715">
        <v>0.41317938394544029</v>
      </c>
      <c r="BW91" s="1185">
        <f>'2019'!R\Max</f>
        <v>0.66544010374883678</v>
      </c>
      <c r="BX91" s="1185">
        <f>'2020'!R\Max</f>
        <v>0.22638394299328343</v>
      </c>
      <c r="BY91" s="1185">
        <f>'2021'!R\Max</f>
        <v>0.51885045739154512</v>
      </c>
      <c r="BZ91" s="1185">
        <f>'2022'!R\Max</f>
        <v>0.28037808157421978</v>
      </c>
      <c r="CA91" s="1185">
        <f>'2023'!R\Max</f>
        <v>0.28011096239444216</v>
      </c>
      <c r="CB91" s="1185">
        <f>'2024'!R\Max</f>
        <v>0.27983661228911799</v>
      </c>
      <c r="CC91" s="1185">
        <f>'2025'!R\Max</f>
        <v>0.27951147761388823</v>
      </c>
      <c r="CD91" s="1185">
        <f>'2026'!R\Max</f>
        <v>0.27909832623188974</v>
      </c>
      <c r="CE91" s="1186">
        <f>'2027'!R\Max</f>
        <v>0.28079451769729874</v>
      </c>
      <c r="CF91" s="1187">
        <f>'2028'!R\Max</f>
        <v>0.28057408147837387</v>
      </c>
    </row>
    <row r="92" spans="1:84" s="6" customFormat="1" ht="11.25" x14ac:dyDescent="0.2">
      <c r="A92" s="11">
        <v>43178</v>
      </c>
      <c r="B92" s="379">
        <f>'2022'!Maxi_hp</f>
        <v>45.384654125633041</v>
      </c>
      <c r="C92" s="13">
        <f>'2022'!An_max</f>
        <v>2020</v>
      </c>
      <c r="D92" s="1046" t="str">
        <f t="shared" si="59"/>
        <v/>
      </c>
      <c r="E92" s="1041">
        <f>S$13/10</f>
        <v>51.886800000000008</v>
      </c>
      <c r="F92" s="13">
        <f t="shared" si="76"/>
        <v>7</v>
      </c>
      <c r="G92" s="13">
        <f t="shared" si="60"/>
        <v>8</v>
      </c>
      <c r="H92" s="173">
        <f t="shared" si="61"/>
        <v>43178</v>
      </c>
      <c r="I92" s="742">
        <f t="shared" si="62"/>
        <v>0</v>
      </c>
      <c r="J92" s="735">
        <f t="shared" si="63"/>
        <v>51.886800000444055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39">
        <v>43178</v>
      </c>
      <c r="AP92" s="13">
        <f t="shared" si="64"/>
        <v>5</v>
      </c>
      <c r="AQ92" s="13">
        <f t="shared" si="65"/>
        <v>4</v>
      </c>
      <c r="AR92" s="173">
        <f t="shared" si="66"/>
        <v>43192</v>
      </c>
      <c r="AS92" s="742">
        <f t="shared" si="67"/>
        <v>0.5</v>
      </c>
      <c r="AT92" s="758">
        <f t="shared" si="68"/>
        <v>51.917862499877813</v>
      </c>
      <c r="AU92" s="13">
        <f t="shared" si="69"/>
        <v>5</v>
      </c>
      <c r="AV92" s="13">
        <f t="shared" si="70"/>
        <v>4</v>
      </c>
      <c r="AW92" s="173">
        <f t="shared" si="71"/>
        <v>43206</v>
      </c>
      <c r="AX92" s="742">
        <f t="shared" si="72"/>
        <v>1</v>
      </c>
      <c r="AY92" s="758">
        <f t="shared" si="73"/>
        <v>51.886800000444055</v>
      </c>
      <c r="AZ92" s="735">
        <f t="shared" si="77"/>
        <v>51.902331250160934</v>
      </c>
      <c r="BA92" s="633">
        <f t="shared" si="74"/>
        <v>0.8746859340958516</v>
      </c>
      <c r="BC92" s="11">
        <v>43178</v>
      </c>
      <c r="BD92" s="289">
        <f>[3]!FeuilCaduc*(1-Persistant)+Persistant</f>
        <v>0.80309897166850319</v>
      </c>
      <c r="BE92" s="290">
        <f>[3]!CroissVégét</f>
        <v>3.0617403154541836E-2</v>
      </c>
      <c r="BF92" s="804">
        <f>1+[3]!Salcycl*Ksac</f>
        <v>1.0007747429171259</v>
      </c>
      <c r="BH92" s="1037">
        <f t="shared" si="75"/>
        <v>2.7870151603622689E-2</v>
      </c>
      <c r="BI92" s="11">
        <v>44274</v>
      </c>
      <c r="BJ92" s="715">
        <v>3.4593251026962378E-4</v>
      </c>
      <c r="BK92" s="715">
        <v>3.3615165696783238E-3</v>
      </c>
      <c r="BL92" s="715">
        <v>8.2208636121751041E-3</v>
      </c>
      <c r="BM92" s="715">
        <v>1.6580023064626172E-2</v>
      </c>
      <c r="BN92" s="715">
        <v>3.0711457627696743E-2</v>
      </c>
      <c r="BO92" s="716">
        <v>5.1383848621634393E-2</v>
      </c>
      <c r="BP92" s="715">
        <v>7.6621203209475353E-2</v>
      </c>
      <c r="BQ92" s="715">
        <v>0.11302963005211329</v>
      </c>
      <c r="BR92" s="715">
        <v>0.17331173356782492</v>
      </c>
      <c r="BS92" s="715">
        <v>0.27017332411019557</v>
      </c>
      <c r="BT92" s="715">
        <v>0.39380339564382627</v>
      </c>
      <c r="BW92" s="1185">
        <f>'2019'!R\Max</f>
        <v>0.27588054162778297</v>
      </c>
      <c r="BX92" s="1185">
        <f>'2020'!R\Max</f>
        <v>0.8746859340958516</v>
      </c>
      <c r="BY92" s="1185">
        <f>'2021'!R\Max</f>
        <v>0.16629432261051588</v>
      </c>
      <c r="BZ92" s="1185">
        <f>'2022'!R\Max</f>
        <v>0.58116600412438624</v>
      </c>
      <c r="CA92" s="1185">
        <f>'2023'!R\Max</f>
        <v>0.58083138772816323</v>
      </c>
      <c r="CB92" s="1185">
        <f>'2024'!R\Max</f>
        <v>0.58048826214734195</v>
      </c>
      <c r="CC92" s="1185">
        <f>'2025'!R\Max</f>
        <v>0.58008903386212729</v>
      </c>
      <c r="CD92" s="1185">
        <f>'2026'!R\Max</f>
        <v>0.57959308867477888</v>
      </c>
      <c r="CE92" s="1186">
        <f>'2027'!R\Max</f>
        <v>0.5816960213192186</v>
      </c>
      <c r="CF92" s="1187">
        <f>'2028'!R\Max</f>
        <v>0.58141554317507582</v>
      </c>
    </row>
    <row r="93" spans="1:84" s="6" customFormat="1" ht="11.25" x14ac:dyDescent="0.2">
      <c r="A93" s="11">
        <v>43179</v>
      </c>
      <c r="B93" s="379">
        <f>'2022'!Maxi_hp</f>
        <v>51.000305055199313</v>
      </c>
      <c r="C93" s="13">
        <f>'2022'!An_max</f>
        <v>2018</v>
      </c>
      <c r="D93" s="1046">
        <f t="shared" si="59"/>
        <v>0.97689265817427795</v>
      </c>
      <c r="E93" s="13"/>
      <c r="F93" s="13">
        <f t="shared" si="76"/>
        <v>7</v>
      </c>
      <c r="G93" s="13">
        <f t="shared" si="60"/>
        <v>8</v>
      </c>
      <c r="H93" s="173">
        <f t="shared" si="61"/>
        <v>43178</v>
      </c>
      <c r="I93" s="742">
        <f t="shared" si="62"/>
        <v>7.1428571428571425E-2</v>
      </c>
      <c r="J93" s="735">
        <f t="shared" si="63"/>
        <v>52.206662245281038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39">
        <v>43179</v>
      </c>
      <c r="AP93" s="13">
        <f t="shared" si="64"/>
        <v>5</v>
      </c>
      <c r="AQ93" s="13">
        <f t="shared" si="65"/>
        <v>4</v>
      </c>
      <c r="AR93" s="173">
        <f t="shared" si="66"/>
        <v>43192</v>
      </c>
      <c r="AS93" s="742">
        <f t="shared" si="67"/>
        <v>0.4642857142857143</v>
      </c>
      <c r="AT93" s="758">
        <f t="shared" si="68"/>
        <v>52.251134597809461</v>
      </c>
      <c r="AU93" s="13">
        <f t="shared" si="69"/>
        <v>5</v>
      </c>
      <c r="AV93" s="13">
        <f t="shared" si="70"/>
        <v>4</v>
      </c>
      <c r="AW93" s="173">
        <f t="shared" si="71"/>
        <v>43206</v>
      </c>
      <c r="AX93" s="742">
        <f t="shared" si="72"/>
        <v>0.9642857142857143</v>
      </c>
      <c r="AY93" s="758">
        <f t="shared" si="73"/>
        <v>52.182430325315465</v>
      </c>
      <c r="AZ93" s="735">
        <f t="shared" si="77"/>
        <v>52.21678246156246</v>
      </c>
      <c r="BA93" s="633">
        <f t="shared" si="74"/>
        <v>0.97689265817427795</v>
      </c>
      <c r="BC93" s="11">
        <v>43179</v>
      </c>
      <c r="BD93" s="289">
        <f>[3]!FeuilCaduc*(1-Persistant)+Persistant</f>
        <v>0.80329599203180646</v>
      </c>
      <c r="BE93" s="290">
        <f>[3]!CroissVégét</f>
        <v>3.1915627119784788E-2</v>
      </c>
      <c r="BF93" s="804">
        <f>1+[3]!Salcycl*Ksac</f>
        <v>1.0008239980079516</v>
      </c>
      <c r="BH93" s="1037">
        <f t="shared" si="75"/>
        <v>2.8059566204092969E-2</v>
      </c>
      <c r="BI93" s="11">
        <v>44275</v>
      </c>
      <c r="BJ93" s="715">
        <v>3.2933327647274516E-4</v>
      </c>
      <c r="BK93" s="715">
        <v>3.3251641522282524E-3</v>
      </c>
      <c r="BL93" s="715">
        <v>8.2024741867292774E-3</v>
      </c>
      <c r="BM93" s="715">
        <v>1.6633983527909312E-2</v>
      </c>
      <c r="BN93" s="715">
        <v>3.0934961003564593E-2</v>
      </c>
      <c r="BO93" s="716">
        <v>5.2339089462178398E-2</v>
      </c>
      <c r="BP93" s="715">
        <v>7.8197625471941604E-2</v>
      </c>
      <c r="BQ93" s="715">
        <v>0.1140051174693076</v>
      </c>
      <c r="BR93" s="715">
        <v>0.17037120558598184</v>
      </c>
      <c r="BS93" s="715">
        <v>0.26034477097122039</v>
      </c>
      <c r="BT93" s="715">
        <v>0.37518465216064628</v>
      </c>
      <c r="BW93" s="1185">
        <f>'2019'!R\Max</f>
        <v>0.97689265817427795</v>
      </c>
      <c r="BX93" s="1185">
        <f>'2020'!R\Max</f>
        <v>0.91631953570348168</v>
      </c>
      <c r="BY93" s="1185">
        <f>'2021'!R\Max</f>
        <v>0.8534157527295827</v>
      </c>
      <c r="BZ93" s="1185">
        <f>'2022'!R\Max</f>
        <v>0.67650732805979619</v>
      </c>
      <c r="CA93" s="1185">
        <f>'2023'!R\Max</f>
        <v>0.67620040854232999</v>
      </c>
      <c r="CB93" s="1185">
        <f>'2024'!R\Max</f>
        <v>0.67588603518051082</v>
      </c>
      <c r="CC93" s="1185">
        <f>'2025'!R\Max</f>
        <v>0.67552668260923698</v>
      </c>
      <c r="CD93" s="1185">
        <f>'2026'!R\Max</f>
        <v>0.67509025316272786</v>
      </c>
      <c r="CE93" s="1186">
        <f>'2027'!R\Max</f>
        <v>0.6769977197622371</v>
      </c>
      <c r="CF93" s="1187">
        <f>'2028'!R\Max</f>
        <v>0.6767382392191259</v>
      </c>
    </row>
    <row r="94" spans="1:84" s="6" customFormat="1" ht="11.25" x14ac:dyDescent="0.2">
      <c r="A94" s="11">
        <v>43180</v>
      </c>
      <c r="B94" s="379">
        <f>'2022'!Maxi_hp</f>
        <v>51.582949818940655</v>
      </c>
      <c r="C94" s="13">
        <f>'2022'!An_max</f>
        <v>2020</v>
      </c>
      <c r="D94" s="1046">
        <f t="shared" si="59"/>
        <v>0.98203351592030297</v>
      </c>
      <c r="E94" s="13"/>
      <c r="F94" s="13">
        <f t="shared" si="76"/>
        <v>7</v>
      </c>
      <c r="G94" s="13">
        <f t="shared" si="60"/>
        <v>8</v>
      </c>
      <c r="H94" s="173">
        <f t="shared" si="61"/>
        <v>43178</v>
      </c>
      <c r="I94" s="742">
        <f t="shared" si="62"/>
        <v>0.14285714285714285</v>
      </c>
      <c r="J94" s="735">
        <f t="shared" si="63"/>
        <v>52.526669388264416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39">
        <v>43180</v>
      </c>
      <c r="AP94" s="13">
        <f t="shared" si="64"/>
        <v>5</v>
      </c>
      <c r="AQ94" s="13">
        <f t="shared" si="65"/>
        <v>4</v>
      </c>
      <c r="AR94" s="173">
        <f t="shared" si="66"/>
        <v>43192</v>
      </c>
      <c r="AS94" s="742">
        <f t="shared" si="67"/>
        <v>0.42857142857142855</v>
      </c>
      <c r="AT94" s="758">
        <f t="shared" si="68"/>
        <v>52.580571428739596</v>
      </c>
      <c r="AU94" s="13">
        <f t="shared" si="69"/>
        <v>5</v>
      </c>
      <c r="AV94" s="13">
        <f t="shared" si="70"/>
        <v>4</v>
      </c>
      <c r="AW94" s="173">
        <f t="shared" si="71"/>
        <v>43206</v>
      </c>
      <c r="AX94" s="742">
        <f t="shared" si="72"/>
        <v>0.9285714285714286</v>
      </c>
      <c r="AY94" s="758">
        <f t="shared" si="73"/>
        <v>52.476335459229141</v>
      </c>
      <c r="AZ94" s="735">
        <f t="shared" si="77"/>
        <v>52.528453443984368</v>
      </c>
      <c r="BA94" s="633">
        <f t="shared" si="74"/>
        <v>0.98203351592030297</v>
      </c>
      <c r="BC94" s="11">
        <v>43180</v>
      </c>
      <c r="BD94" s="289">
        <f>[3]!FeuilCaduc*(1-Persistant)+Persistant</f>
        <v>0.80351317123029775</v>
      </c>
      <c r="BE94" s="290">
        <f>[3]!CroissVégét</f>
        <v>3.3264621499185201E-2</v>
      </c>
      <c r="BF94" s="804">
        <f>1+[3]!Salcycl*Ksac</f>
        <v>1.0008782928075743</v>
      </c>
      <c r="BH94" s="1037">
        <f t="shared" si="75"/>
        <v>2.8180422070599745E-2</v>
      </c>
      <c r="BI94" s="11">
        <v>44276</v>
      </c>
      <c r="BJ94" s="715">
        <v>3.1124792312340076E-4</v>
      </c>
      <c r="BK94" s="715">
        <v>3.2844029939705422E-3</v>
      </c>
      <c r="BL94" s="715">
        <v>8.1686854386420742E-3</v>
      </c>
      <c r="BM94" s="715">
        <v>1.6654336182512244E-2</v>
      </c>
      <c r="BN94" s="715">
        <v>3.1081109795695276E-2</v>
      </c>
      <c r="BO94" s="716">
        <v>5.320836892593013E-2</v>
      </c>
      <c r="BP94" s="715">
        <v>7.9890909500713397E-2</v>
      </c>
      <c r="BQ94" s="715">
        <v>0.11559196542610002</v>
      </c>
      <c r="BR94" s="715">
        <v>0.16867258795819626</v>
      </c>
      <c r="BS94" s="715">
        <v>0.25218777504494294</v>
      </c>
      <c r="BT94" s="715">
        <v>0.35840796456298518</v>
      </c>
      <c r="BW94" s="1185">
        <f>'2019'!R\Max</f>
        <v>0.96916913518499215</v>
      </c>
      <c r="BX94" s="1185">
        <f>'2020'!R\Max</f>
        <v>0.98203351592030297</v>
      </c>
      <c r="BY94" s="1185">
        <f>'2021'!R\Max</f>
        <v>0.95434185835258045</v>
      </c>
      <c r="BZ94" s="1185">
        <f>'2022'!R\Max</f>
        <v>0.93746120189441207</v>
      </c>
      <c r="CA94" s="1185">
        <f>'2023'!R\Max</f>
        <v>0.93737678046418726</v>
      </c>
      <c r="CB94" s="1185">
        <f>'2024'!R\Max</f>
        <v>0.93729027887309857</v>
      </c>
      <c r="CC94" s="1185">
        <f>'2025'!R\Max</f>
        <v>0.93719277142849278</v>
      </c>
      <c r="CD94" s="1185">
        <f>'2026'!R\Max</f>
        <v>0.93707653197925844</v>
      </c>
      <c r="CE94" s="1186">
        <f>'2027'!R\Max</f>
        <v>0.9375961433780049</v>
      </c>
      <c r="CF94" s="1187">
        <f>'2028'!R\Max</f>
        <v>0.93752476289725273</v>
      </c>
    </row>
    <row r="95" spans="1:84" s="6" customFormat="1" ht="11.25" x14ac:dyDescent="0.2">
      <c r="A95" s="11">
        <v>43181</v>
      </c>
      <c r="B95" s="379">
        <f>'2022'!Maxi_hp</f>
        <v>50.061246590023678</v>
      </c>
      <c r="C95" s="13">
        <f>'2022'!An_max</f>
        <v>2020</v>
      </c>
      <c r="D95" s="1046" t="str">
        <f t="shared" si="59"/>
        <v/>
      </c>
      <c r="E95" s="13"/>
      <c r="F95" s="13">
        <f t="shared" si="76"/>
        <v>7</v>
      </c>
      <c r="G95" s="13">
        <f t="shared" si="60"/>
        <v>8</v>
      </c>
      <c r="H95" s="173">
        <f t="shared" si="61"/>
        <v>43178</v>
      </c>
      <c r="I95" s="742">
        <f t="shared" si="62"/>
        <v>0.21428571428571427</v>
      </c>
      <c r="J95" s="735">
        <f t="shared" si="63"/>
        <v>52.8459520409682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39">
        <v>43181</v>
      </c>
      <c r="AP95" s="13">
        <f t="shared" si="64"/>
        <v>5</v>
      </c>
      <c r="AQ95" s="13">
        <f t="shared" si="65"/>
        <v>4</v>
      </c>
      <c r="AR95" s="173">
        <f t="shared" si="66"/>
        <v>43192</v>
      </c>
      <c r="AS95" s="742">
        <f t="shared" si="67"/>
        <v>0.39285714285714285</v>
      </c>
      <c r="AT95" s="758">
        <f t="shared" si="68"/>
        <v>52.905697544783877</v>
      </c>
      <c r="AU95" s="13">
        <f t="shared" si="69"/>
        <v>5</v>
      </c>
      <c r="AV95" s="13">
        <f t="shared" si="70"/>
        <v>4</v>
      </c>
      <c r="AW95" s="173">
        <f t="shared" si="71"/>
        <v>43206</v>
      </c>
      <c r="AX95" s="742">
        <f t="shared" si="72"/>
        <v>0.8928571428571429</v>
      </c>
      <c r="AY95" s="758">
        <f t="shared" si="73"/>
        <v>52.76831163849149</v>
      </c>
      <c r="AZ95" s="735">
        <f t="shared" si="77"/>
        <v>52.83700459163768</v>
      </c>
      <c r="BA95" s="633">
        <f t="shared" si="74"/>
        <v>0.94730522692096242</v>
      </c>
      <c r="BC95" s="11">
        <v>43181</v>
      </c>
      <c r="BD95" s="289">
        <f>[3]!FeuilCaduc*(1-Persistant)+Persistant</f>
        <v>0.80375202585476069</v>
      </c>
      <c r="BE95" s="290">
        <f>[3]!CroissVégét</f>
        <v>3.4666216621534622E-2</v>
      </c>
      <c r="BF95" s="804">
        <f>1+[3]!Salcycl*Ksac</f>
        <v>1.0009380064636901</v>
      </c>
      <c r="BH95" s="1037">
        <f t="shared" si="75"/>
        <v>2.8262775594396453E-2</v>
      </c>
      <c r="BI95" s="11">
        <v>44277</v>
      </c>
      <c r="BJ95" s="715">
        <v>2.929354611407035E-4</v>
      </c>
      <c r="BK95" s="715">
        <v>3.2437705199622304E-3</v>
      </c>
      <c r="BL95" s="715">
        <v>8.1273001156118036E-3</v>
      </c>
      <c r="BM95" s="715">
        <v>1.6660594313474726E-2</v>
      </c>
      <c r="BN95" s="715">
        <v>3.1182613703592335E-2</v>
      </c>
      <c r="BO95" s="716">
        <v>5.3934947477884E-2</v>
      </c>
      <c r="BP95" s="715">
        <v>8.1417739797131655E-2</v>
      </c>
      <c r="BQ95" s="715">
        <v>0.11726991053507065</v>
      </c>
      <c r="BR95" s="715">
        <v>0.16763769408225052</v>
      </c>
      <c r="BS95" s="715">
        <v>0.24529668312866681</v>
      </c>
      <c r="BT95" s="715">
        <v>0.34335018511487525</v>
      </c>
      <c r="BW95" s="1185">
        <f>'2019'!R\Max</f>
        <v>0.94235433016854209</v>
      </c>
      <c r="BX95" s="1185">
        <f>'2020'!R\Max</f>
        <v>0.94730522692096242</v>
      </c>
      <c r="BY95" s="1185">
        <f>'2021'!R\Max</f>
        <v>0.6865999673115244</v>
      </c>
      <c r="BZ95" s="1185">
        <f>'2022'!R\Max</f>
        <v>0.85631170912642141</v>
      </c>
      <c r="CA95" s="1185">
        <f>'2023'!R\Max</f>
        <v>0.8561302706722107</v>
      </c>
      <c r="CB95" s="1185">
        <f>'2024'!R\Max</f>
        <v>0.8559444093512969</v>
      </c>
      <c r="CC95" s="1185">
        <f>'2025'!R\Max</f>
        <v>0.85573717129166949</v>
      </c>
      <c r="CD95" s="1185">
        <f>'2026'!R\Max</f>
        <v>0.85549378352205951</v>
      </c>
      <c r="CE95" s="1186">
        <f>'2027'!R\Max</f>
        <v>0.85660129123910356</v>
      </c>
      <c r="CF95" s="1187">
        <f>'2028'!R\Max</f>
        <v>0.85644809854394144</v>
      </c>
    </row>
    <row r="96" spans="1:84" s="6" customFormat="1" ht="11.25" x14ac:dyDescent="0.2">
      <c r="A96" s="11">
        <v>43182</v>
      </c>
      <c r="B96" s="379">
        <f>'2022'!Maxi_hp</f>
        <v>53.395442827230923</v>
      </c>
      <c r="C96" s="13">
        <f>'2022'!An_max</f>
        <v>2022</v>
      </c>
      <c r="D96" s="1046">
        <f t="shared" si="59"/>
        <v>1.0043601605751804</v>
      </c>
      <c r="E96" s="13"/>
      <c r="F96" s="13">
        <f t="shared" si="76"/>
        <v>7</v>
      </c>
      <c r="G96" s="13">
        <f t="shared" si="60"/>
        <v>8</v>
      </c>
      <c r="H96" s="173">
        <f t="shared" si="61"/>
        <v>43178</v>
      </c>
      <c r="I96" s="742">
        <f t="shared" si="62"/>
        <v>0.2857142857142857</v>
      </c>
      <c r="J96" s="735">
        <f t="shared" si="63"/>
        <v>53.163640816509727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39">
        <v>43182</v>
      </c>
      <c r="AP96" s="13">
        <f t="shared" si="64"/>
        <v>5</v>
      </c>
      <c r="AQ96" s="13">
        <f t="shared" si="65"/>
        <v>4</v>
      </c>
      <c r="AR96" s="173">
        <f t="shared" si="66"/>
        <v>43192</v>
      </c>
      <c r="AS96" s="742">
        <f t="shared" si="67"/>
        <v>0.35714285714285715</v>
      </c>
      <c r="AT96" s="758">
        <f t="shared" si="68"/>
        <v>53.226037499760949</v>
      </c>
      <c r="AU96" s="13">
        <f t="shared" si="69"/>
        <v>5</v>
      </c>
      <c r="AV96" s="13">
        <f t="shared" si="70"/>
        <v>4</v>
      </c>
      <c r="AW96" s="173">
        <f t="shared" si="71"/>
        <v>43206</v>
      </c>
      <c r="AX96" s="742">
        <f t="shared" si="72"/>
        <v>0.8571428571428571</v>
      </c>
      <c r="AY96" s="758">
        <f t="shared" si="73"/>
        <v>53.05815510249564</v>
      </c>
      <c r="AZ96" s="735">
        <f t="shared" si="77"/>
        <v>53.142096301128291</v>
      </c>
      <c r="BA96" s="633">
        <f t="shared" si="74"/>
        <v>1.0043601605751804</v>
      </c>
      <c r="BC96" s="11">
        <v>43182</v>
      </c>
      <c r="BD96" s="289">
        <f>[3]!FeuilCaduc*(1-Persistant)+Persistant</f>
        <v>0.80401408504530669</v>
      </c>
      <c r="BE96" s="290">
        <f>[3]!CroissVégét</f>
        <v>3.6122296026123907E-2</v>
      </c>
      <c r="BF96" s="804">
        <f>1+[3]!Salcycl*Ksac</f>
        <v>1.0010035212613266</v>
      </c>
      <c r="BH96" s="1037">
        <f t="shared" si="75"/>
        <v>2.8306623118855449E-2</v>
      </c>
      <c r="BI96" s="11">
        <v>44278</v>
      </c>
      <c r="BJ96" s="715">
        <v>2.7439583785249775E-4</v>
      </c>
      <c r="BK96" s="715">
        <v>3.2032656929569347E-3</v>
      </c>
      <c r="BL96" s="715">
        <v>8.0783167075067479E-3</v>
      </c>
      <c r="BM96" s="715">
        <v>1.6652754571035926E-2</v>
      </c>
      <c r="BN96" s="715">
        <v>3.1239468993401163E-2</v>
      </c>
      <c r="BO96" s="716">
        <v>5.4518827636543012E-2</v>
      </c>
      <c r="BP96" s="715">
        <v>8.2778113032723255E-2</v>
      </c>
      <c r="BQ96" s="715">
        <v>0.11903890152221831</v>
      </c>
      <c r="BR96" s="715">
        <v>0.16726637700008742</v>
      </c>
      <c r="BS96" s="715">
        <v>0.23967124122294731</v>
      </c>
      <c r="BT96" s="715">
        <v>0.33001096846307304</v>
      </c>
      <c r="BW96" s="1185">
        <f>'2019'!R\Max</f>
        <v>0.89271114871664281</v>
      </c>
      <c r="BX96" s="1185">
        <f>'2020'!R\Max</f>
        <v>0.76043105372132636</v>
      </c>
      <c r="BY96" s="1185">
        <f>'2021'!R\Max</f>
        <v>0.98245971603231541</v>
      </c>
      <c r="BZ96" s="1185">
        <f>'2022'!R\Max</f>
        <v>1.0043601605751804</v>
      </c>
      <c r="CA96" s="1185">
        <f>'2023'!R\Max</f>
        <v>1.0043601605751804</v>
      </c>
      <c r="CB96" s="1185">
        <f>'2024'!R\Max</f>
        <v>1.0043601605751802</v>
      </c>
      <c r="CC96" s="1185">
        <f>'2025'!R\Max</f>
        <v>1.0043601605751804</v>
      </c>
      <c r="CD96" s="1185">
        <f>'2026'!R\Max</f>
        <v>1.0043601605751806</v>
      </c>
      <c r="CE96" s="1186">
        <f>'2027'!R\Max</f>
        <v>1.0043601605751804</v>
      </c>
      <c r="CF96" s="1187">
        <f>'2028'!R\Max</f>
        <v>1.0043601605751804</v>
      </c>
    </row>
    <row r="97" spans="1:84" s="6" customFormat="1" ht="11.25" x14ac:dyDescent="0.2">
      <c r="A97" s="11">
        <v>43183</v>
      </c>
      <c r="B97" s="379">
        <f>'2022'!Maxi_hp</f>
        <v>52.18691136739492</v>
      </c>
      <c r="C97" s="13">
        <f>'2022'!An_max</f>
        <v>2022</v>
      </c>
      <c r="D97" s="1046">
        <f t="shared" si="59"/>
        <v>0.97584176613429596</v>
      </c>
      <c r="E97" s="13"/>
      <c r="F97" s="13">
        <f t="shared" si="76"/>
        <v>7</v>
      </c>
      <c r="G97" s="13">
        <f t="shared" si="60"/>
        <v>8</v>
      </c>
      <c r="H97" s="173">
        <f t="shared" si="61"/>
        <v>43178</v>
      </c>
      <c r="I97" s="742">
        <f t="shared" si="62"/>
        <v>0.35714285714285715</v>
      </c>
      <c r="J97" s="735">
        <f t="shared" si="63"/>
        <v>53.478866326995195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39">
        <v>43183</v>
      </c>
      <c r="AP97" s="13">
        <f t="shared" si="64"/>
        <v>5</v>
      </c>
      <c r="AQ97" s="13">
        <f t="shared" si="65"/>
        <v>4</v>
      </c>
      <c r="AR97" s="173">
        <f t="shared" si="66"/>
        <v>43192</v>
      </c>
      <c r="AS97" s="742">
        <f t="shared" si="67"/>
        <v>0.32142857142857145</v>
      </c>
      <c r="AT97" s="758">
        <f t="shared" si="68"/>
        <v>53.541115847655718</v>
      </c>
      <c r="AU97" s="13">
        <f t="shared" si="69"/>
        <v>5</v>
      </c>
      <c r="AV97" s="13">
        <f t="shared" si="70"/>
        <v>4</v>
      </c>
      <c r="AW97" s="173">
        <f t="shared" si="71"/>
        <v>43206</v>
      </c>
      <c r="AX97" s="742">
        <f t="shared" si="72"/>
        <v>0.8214285714285714</v>
      </c>
      <c r="AY97" s="758">
        <f t="shared" si="73"/>
        <v>53.345662085272906</v>
      </c>
      <c r="AZ97" s="735">
        <f t="shared" si="77"/>
        <v>53.443388966464312</v>
      </c>
      <c r="BA97" s="633">
        <f t="shared" si="74"/>
        <v>0.97584176613429596</v>
      </c>
      <c r="BC97" s="11">
        <v>43183</v>
      </c>
      <c r="BD97" s="289">
        <f>[3]!FeuilCaduc*(1-Persistant)+Persistant</f>
        <v>0.80430088576180425</v>
      </c>
      <c r="BE97" s="290">
        <f>[3]!CroissVégét</f>
        <v>3.7634796931243539E-2</v>
      </c>
      <c r="BF97" s="804">
        <f>1+[3]!Salcycl*Ksac</f>
        <v>1.001075221440451</v>
      </c>
      <c r="BH97" s="1037">
        <f t="shared" si="75"/>
        <v>2.8311960991331455E-2</v>
      </c>
      <c r="BI97" s="11">
        <v>44279</v>
      </c>
      <c r="BJ97" s="715">
        <v>2.5562902469471264E-4</v>
      </c>
      <c r="BK97" s="715">
        <v>3.1628875272171381E-3</v>
      </c>
      <c r="BL97" s="715">
        <v>8.0217337786923481E-3</v>
      </c>
      <c r="BM97" s="715">
        <v>1.6630813637130277E-2</v>
      </c>
      <c r="BN97" s="715">
        <v>3.1251671928275174E-2</v>
      </c>
      <c r="BO97" s="716">
        <v>5.4960011398207526E-2</v>
      </c>
      <c r="BP97" s="715">
        <v>8.3972024398161149E-2</v>
      </c>
      <c r="BQ97" s="715">
        <v>0.12089888469285394</v>
      </c>
      <c r="BR97" s="715">
        <v>0.16755848915256794</v>
      </c>
      <c r="BS97" s="715">
        <v>0.23531120048844084</v>
      </c>
      <c r="BT97" s="715">
        <v>0.31838998356650011</v>
      </c>
      <c r="BW97" s="1185">
        <f>'2019'!R\Max</f>
        <v>0.94091067657158867</v>
      </c>
      <c r="BX97" s="1185">
        <f>'2020'!R\Max</f>
        <v>0.64249326252952887</v>
      </c>
      <c r="BY97" s="1185">
        <f>'2021'!R\Max</f>
        <v>0.97090300816466135</v>
      </c>
      <c r="BZ97" s="1185">
        <f>'2022'!R\Max</f>
        <v>0.97584176613429596</v>
      </c>
      <c r="CA97" s="1185">
        <f>'2023'!R\Max</f>
        <v>0.97580549973687625</v>
      </c>
      <c r="CB97" s="1185">
        <f>'2024'!R\Max</f>
        <v>0.9757683010393009</v>
      </c>
      <c r="CC97" s="1185">
        <f>'2025'!R\Max</f>
        <v>0.97572721338984914</v>
      </c>
      <c r="CD97" s="1185">
        <f>'2026'!R\Max</f>
        <v>0.97567963965768156</v>
      </c>
      <c r="CE97" s="1186">
        <f>'2027'!R\Max</f>
        <v>0.97589891887441149</v>
      </c>
      <c r="CF97" s="1187">
        <f>'2028'!R\Max</f>
        <v>0.97586868902909829</v>
      </c>
    </row>
    <row r="98" spans="1:84" s="6" customFormat="1" ht="11.25" x14ac:dyDescent="0.2">
      <c r="A98" s="11">
        <v>43184</v>
      </c>
      <c r="B98" s="379">
        <f>'2022'!Maxi_hp</f>
        <v>52.042805728748291</v>
      </c>
      <c r="C98" s="13">
        <f>'2022'!An_max</f>
        <v>2020</v>
      </c>
      <c r="D98" s="1046" t="str">
        <f t="shared" si="59"/>
        <v/>
      </c>
      <c r="E98" s="13"/>
      <c r="F98" s="13">
        <f t="shared" si="76"/>
        <v>7</v>
      </c>
      <c r="G98" s="13">
        <f t="shared" si="60"/>
        <v>8</v>
      </c>
      <c r="H98" s="173">
        <f t="shared" si="61"/>
        <v>43178</v>
      </c>
      <c r="I98" s="742">
        <f t="shared" si="62"/>
        <v>0.42857142857142855</v>
      </c>
      <c r="J98" s="735">
        <f t="shared" si="63"/>
        <v>53.790759183466434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39">
        <v>43184</v>
      </c>
      <c r="AP98" s="13">
        <f t="shared" si="64"/>
        <v>5</v>
      </c>
      <c r="AQ98" s="13">
        <f t="shared" si="65"/>
        <v>4</v>
      </c>
      <c r="AR98" s="173">
        <f t="shared" si="66"/>
        <v>43192</v>
      </c>
      <c r="AS98" s="742">
        <f t="shared" si="67"/>
        <v>0.2857142857142857</v>
      </c>
      <c r="AT98" s="758">
        <f t="shared" si="68"/>
        <v>53.850457141867707</v>
      </c>
      <c r="AU98" s="13">
        <f t="shared" si="69"/>
        <v>5</v>
      </c>
      <c r="AV98" s="13">
        <f t="shared" si="70"/>
        <v>4</v>
      </c>
      <c r="AW98" s="173">
        <f t="shared" si="71"/>
        <v>43206</v>
      </c>
      <c r="AX98" s="742">
        <f t="shared" si="72"/>
        <v>0.7857142857142857</v>
      </c>
      <c r="AY98" s="758">
        <f t="shared" si="73"/>
        <v>53.630628826549014</v>
      </c>
      <c r="AZ98" s="735">
        <f t="shared" si="77"/>
        <v>53.740542984208361</v>
      </c>
      <c r="BA98" s="633">
        <f t="shared" si="74"/>
        <v>0.96750457734280482</v>
      </c>
      <c r="BC98" s="11">
        <v>43184</v>
      </c>
      <c r="BD98" s="289">
        <f>[3]!FeuilCaduc*(1-Persistant)+Persistant</f>
        <v>0.80461396816634967</v>
      </c>
      <c r="BE98" s="290">
        <f>[3]!CroissVégét</f>
        <v>3.9205710601738018E-2</v>
      </c>
      <c r="BF98" s="804">
        <f>1+[3]!Salcycl*Ksac</f>
        <v>1.0011534920415874</v>
      </c>
      <c r="BH98" s="1037">
        <f t="shared" si="75"/>
        <v>2.8278785686439052E-2</v>
      </c>
      <c r="BI98" s="11">
        <v>44280</v>
      </c>
      <c r="BJ98" s="715">
        <v>2.3663501794406077E-4</v>
      </c>
      <c r="BK98" s="715">
        <v>3.1226350881108865E-3</v>
      </c>
      <c r="BL98" s="715">
        <v>7.9575499923688064E-3</v>
      </c>
      <c r="BM98" s="715">
        <v>1.6594768270516251E-2</v>
      </c>
      <c r="BN98" s="715">
        <v>3.1219218911320498E-2</v>
      </c>
      <c r="BO98" s="716">
        <v>5.5258500693803059E-2</v>
      </c>
      <c r="BP98" s="715">
        <v>8.4999468135908113E-2</v>
      </c>
      <c r="BQ98" s="715">
        <v>0.12284980363916904</v>
      </c>
      <c r="BR98" s="715">
        <v>0.16851388025355513</v>
      </c>
      <c r="BS98" s="715">
        <v>0.23221631319275726</v>
      </c>
      <c r="BT98" s="715">
        <v>0.30848690819438424</v>
      </c>
      <c r="BW98" s="1185">
        <f>'2019'!R\Max</f>
        <v>0.82807241159588763</v>
      </c>
      <c r="BX98" s="1185">
        <f>'2020'!R\Max</f>
        <v>0.96750457734280482</v>
      </c>
      <c r="BY98" s="1185">
        <f>'2021'!R\Max</f>
        <v>0.5660425790981618</v>
      </c>
      <c r="BZ98" s="1185">
        <f>'2022'!R\Max</f>
        <v>0.76489726856353135</v>
      </c>
      <c r="CA98" s="1185">
        <f>'2023'!R\Max</f>
        <v>0.76461552985804904</v>
      </c>
      <c r="CB98" s="1185">
        <f>'2024'!R\Max</f>
        <v>0.7643264879536491</v>
      </c>
      <c r="CC98" s="1185">
        <f>'2025'!R\Max</f>
        <v>0.76400733355269501</v>
      </c>
      <c r="CD98" s="1185">
        <f>'2026'!R\Max</f>
        <v>0.76363824511693434</v>
      </c>
      <c r="CE98" s="1186">
        <f>'2027'!R\Max</f>
        <v>0.76533715405830172</v>
      </c>
      <c r="CF98" s="1187">
        <f>'2028'!R\Max</f>
        <v>0.76510443005264661</v>
      </c>
    </row>
    <row r="99" spans="1:84" s="6" customFormat="1" ht="11.25" x14ac:dyDescent="0.2">
      <c r="A99" s="11">
        <v>43185</v>
      </c>
      <c r="B99" s="379">
        <f>'2022'!Maxi_hp</f>
        <v>54.406274588280766</v>
      </c>
      <c r="C99" s="13">
        <f>'2022'!An_max</f>
        <v>2020</v>
      </c>
      <c r="D99" s="1046">
        <f t="shared" si="59"/>
        <v>1.0056900814730914</v>
      </c>
      <c r="E99" s="13"/>
      <c r="F99" s="13">
        <f t="shared" si="76"/>
        <v>7</v>
      </c>
      <c r="G99" s="13">
        <f t="shared" si="60"/>
        <v>8</v>
      </c>
      <c r="H99" s="173">
        <f t="shared" si="61"/>
        <v>43178</v>
      </c>
      <c r="I99" s="742">
        <f t="shared" si="62"/>
        <v>0.5</v>
      </c>
      <c r="J99" s="735">
        <f t="shared" si="63"/>
        <v>54.098450000211599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39">
        <v>43185</v>
      </c>
      <c r="AP99" s="13">
        <f t="shared" si="64"/>
        <v>5</v>
      </c>
      <c r="AQ99" s="13">
        <f t="shared" si="65"/>
        <v>4</v>
      </c>
      <c r="AR99" s="173">
        <f t="shared" si="66"/>
        <v>43192</v>
      </c>
      <c r="AS99" s="742">
        <f t="shared" si="67"/>
        <v>0.25</v>
      </c>
      <c r="AT99" s="758">
        <f t="shared" si="68"/>
        <v>54.153585938038304</v>
      </c>
      <c r="AU99" s="13">
        <f t="shared" si="69"/>
        <v>5</v>
      </c>
      <c r="AV99" s="13">
        <f t="shared" si="70"/>
        <v>4</v>
      </c>
      <c r="AW99" s="173">
        <f t="shared" si="71"/>
        <v>43206</v>
      </c>
      <c r="AX99" s="742">
        <f t="shared" si="72"/>
        <v>0.75</v>
      </c>
      <c r="AY99" s="758">
        <f t="shared" si="73"/>
        <v>53.912851562164725</v>
      </c>
      <c r="AZ99" s="735">
        <f t="shared" si="77"/>
        <v>54.033218750101511</v>
      </c>
      <c r="BA99" s="633">
        <f t="shared" si="74"/>
        <v>1.0056900814730914</v>
      </c>
      <c r="BC99" s="11">
        <v>43185</v>
      </c>
      <c r="BD99" s="289">
        <f>[3]!FeuilCaduc*(1-Persistant)+Persistant</f>
        <v>0.80495487113811703</v>
      </c>
      <c r="BE99" s="290">
        <f>[3]!CroissVégét</f>
        <v>4.0837082604545251E-2</v>
      </c>
      <c r="BF99" s="804">
        <f>1+[3]!Salcycl*Ksac</f>
        <v>1.0012387177845292</v>
      </c>
      <c r="BH99" s="1037">
        <f t="shared" si="75"/>
        <v>2.8207093929424568E-2</v>
      </c>
      <c r="BI99" s="11">
        <v>44281</v>
      </c>
      <c r="BJ99" s="715">
        <v>2.1741383945155854E-4</v>
      </c>
      <c r="BK99" s="715">
        <v>3.0825074917189815E-3</v>
      </c>
      <c r="BL99" s="715">
        <v>7.8857641349353372E-3</v>
      </c>
      <c r="BM99" s="715">
        <v>1.654461535196057E-2</v>
      </c>
      <c r="BN99" s="715">
        <v>3.1142106628644757E-2</v>
      </c>
      <c r="BO99" s="716">
        <v>5.5414297845891879E-2</v>
      </c>
      <c r="BP99" s="715">
        <v>8.5860438073142129E-2</v>
      </c>
      <c r="BQ99" s="715">
        <v>0.1248915989482115</v>
      </c>
      <c r="BR99" s="715">
        <v>0.17013239516456274</v>
      </c>
      <c r="BS99" s="715">
        <v>0.2303863286580986</v>
      </c>
      <c r="BT99" s="715">
        <v>0.30030142342545424</v>
      </c>
      <c r="BW99" s="1185">
        <f>'2019'!R\Max</f>
        <v>0.99287015849156091</v>
      </c>
      <c r="BX99" s="1185">
        <f>'2020'!R\Max</f>
        <v>1.0056900814730914</v>
      </c>
      <c r="BY99" s="1185">
        <f>'2021'!R\Max</f>
        <v>0.82264667123920121</v>
      </c>
      <c r="BZ99" s="1185">
        <f>'2022'!R\Max</f>
        <v>0.86981296071870406</v>
      </c>
      <c r="CA99" s="1185">
        <f>'2023'!R\Max</f>
        <v>0.86963246021781915</v>
      </c>
      <c r="CB99" s="1185">
        <f>'2024'!R\Max</f>
        <v>0.86944701460106333</v>
      </c>
      <c r="CC99" s="1185">
        <f>'2025'!R\Max</f>
        <v>0.86924143323940906</v>
      </c>
      <c r="CD99" s="1185">
        <f>'2026'!R\Max</f>
        <v>0.86900269654194939</v>
      </c>
      <c r="CE99" s="1186">
        <f>'2027'!R\Max</f>
        <v>0.87009109525892403</v>
      </c>
      <c r="CF99" s="1187">
        <f>'2028'!R\Max</f>
        <v>0.86994396475229574</v>
      </c>
    </row>
    <row r="100" spans="1:84" s="6" customFormat="1" ht="11.25" x14ac:dyDescent="0.2">
      <c r="A100" s="11">
        <v>43186</v>
      </c>
      <c r="B100" s="379">
        <f>'2022'!Maxi_hp</f>
        <v>53.384217171307384</v>
      </c>
      <c r="C100" s="13">
        <f>'2022'!An_max</f>
        <v>2018</v>
      </c>
      <c r="D100" s="1046">
        <f t="shared" si="59"/>
        <v>0.98130823110202203</v>
      </c>
      <c r="E100" s="13"/>
      <c r="F100" s="13">
        <f t="shared" si="76"/>
        <v>7</v>
      </c>
      <c r="G100" s="13">
        <f t="shared" si="60"/>
        <v>8</v>
      </c>
      <c r="H100" s="173">
        <f t="shared" si="61"/>
        <v>43178</v>
      </c>
      <c r="I100" s="742">
        <f t="shared" si="62"/>
        <v>0.5714285714285714</v>
      </c>
      <c r="J100" s="735">
        <f t="shared" si="63"/>
        <v>54.401069388112852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39">
        <v>43186</v>
      </c>
      <c r="AP100" s="13">
        <f t="shared" si="64"/>
        <v>5</v>
      </c>
      <c r="AQ100" s="13">
        <f t="shared" si="65"/>
        <v>4</v>
      </c>
      <c r="AR100" s="173">
        <f t="shared" si="66"/>
        <v>43192</v>
      </c>
      <c r="AS100" s="742">
        <f t="shared" si="67"/>
        <v>0.21428571428571427</v>
      </c>
      <c r="AT100" s="758">
        <f t="shared" si="68"/>
        <v>54.450026786154396</v>
      </c>
      <c r="AU100" s="13">
        <f t="shared" si="69"/>
        <v>5</v>
      </c>
      <c r="AV100" s="13">
        <f t="shared" si="70"/>
        <v>4</v>
      </c>
      <c r="AW100" s="173">
        <f t="shared" si="71"/>
        <v>43206</v>
      </c>
      <c r="AX100" s="742">
        <f t="shared" si="72"/>
        <v>0.7142857142857143</v>
      </c>
      <c r="AY100" s="758">
        <f t="shared" si="73"/>
        <v>54.192126531100698</v>
      </c>
      <c r="AZ100" s="735">
        <f t="shared" si="77"/>
        <v>54.321076658627547</v>
      </c>
      <c r="BA100" s="633">
        <f t="shared" si="74"/>
        <v>0.98130823110202203</v>
      </c>
      <c r="BC100" s="11">
        <v>43186</v>
      </c>
      <c r="BD100" s="289">
        <f>[3]!FeuilCaduc*(1-Persistant)+Persistant</f>
        <v>0.80532512793722</v>
      </c>
      <c r="BE100" s="290">
        <f>[3]!CroissVégét</f>
        <v>4.2531012940474407E-2</v>
      </c>
      <c r="BF100" s="804">
        <f>1+[3]!Salcycl*Ksac</f>
        <v>1.001331281984305</v>
      </c>
      <c r="BH100" s="1037">
        <f t="shared" si="75"/>
        <v>2.8087114305294838E-2</v>
      </c>
      <c r="BI100" s="11">
        <v>44282</v>
      </c>
      <c r="BJ100" s="715">
        <v>1.9825829160316036E-4</v>
      </c>
      <c r="BK100" s="715">
        <v>3.0435766770599321E-3</v>
      </c>
      <c r="BL100" s="715">
        <v>7.8111786517319169E-3</v>
      </c>
      <c r="BM100" s="715">
        <v>1.6474900548685011E-2</v>
      </c>
      <c r="BN100" s="715">
        <v>3.1009477216002994E-2</v>
      </c>
      <c r="BO100" s="716">
        <v>5.5397232245810432E-2</v>
      </c>
      <c r="BP100" s="715">
        <v>8.6495861865584125E-2</v>
      </c>
      <c r="BQ100" s="715">
        <v>0.12684844169497969</v>
      </c>
      <c r="BR100" s="715">
        <v>0.1722157858744548</v>
      </c>
      <c r="BS100" s="715">
        <v>0.22981432633098617</v>
      </c>
      <c r="BT100" s="715">
        <v>0.29428506271114424</v>
      </c>
      <c r="BW100" s="1185">
        <f>'2019'!R\Max</f>
        <v>0.98130823110202203</v>
      </c>
      <c r="BX100" s="1185">
        <f>'2020'!R\Max</f>
        <v>0.63943288575136159</v>
      </c>
      <c r="BY100" s="1185">
        <f>'2021'!R\Max</f>
        <v>0.73690018390556267</v>
      </c>
      <c r="BZ100" s="1185">
        <f>'2022'!R\Max</f>
        <v>0.91778213294092648</v>
      </c>
      <c r="CA100" s="1185">
        <f>'2023'!R\Max</f>
        <v>0.91766004645523092</v>
      </c>
      <c r="CB100" s="1185">
        <f>'2024'!R\Max</f>
        <v>0.9175344333753026</v>
      </c>
      <c r="CC100" s="1185">
        <f>'2025'!R\Max</f>
        <v>0.91739434816871135</v>
      </c>
      <c r="CD100" s="1185">
        <f>'2026'!R\Max</f>
        <v>0.91723059607689261</v>
      </c>
      <c r="CE100" s="1186">
        <f>'2027'!R\Max</f>
        <v>0.91796738185285254</v>
      </c>
      <c r="CF100" s="1187">
        <f>'2028'!R\Max</f>
        <v>0.9178693923654867</v>
      </c>
    </row>
    <row r="101" spans="1:84" s="6" customFormat="1" ht="11.25" x14ac:dyDescent="0.2">
      <c r="A101" s="11">
        <v>43187</v>
      </c>
      <c r="B101" s="379">
        <f>'2022'!Maxi_hp</f>
        <v>52.671348096668545</v>
      </c>
      <c r="C101" s="13">
        <f>'2022'!An_max</f>
        <v>2021</v>
      </c>
      <c r="D101" s="1046" t="str">
        <f t="shared" si="59"/>
        <v/>
      </c>
      <c r="E101" s="13"/>
      <c r="F101" s="13">
        <f t="shared" si="76"/>
        <v>7</v>
      </c>
      <c r="G101" s="13">
        <f t="shared" si="60"/>
        <v>8</v>
      </c>
      <c r="H101" s="173">
        <f t="shared" si="61"/>
        <v>43178</v>
      </c>
      <c r="I101" s="742">
        <f t="shared" si="62"/>
        <v>0.6428571428571429</v>
      </c>
      <c r="J101" s="735">
        <f t="shared" si="63"/>
        <v>54.697747960473805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39">
        <v>43187</v>
      </c>
      <c r="AP101" s="13">
        <f t="shared" si="64"/>
        <v>5</v>
      </c>
      <c r="AQ101" s="13">
        <f t="shared" si="65"/>
        <v>4</v>
      </c>
      <c r="AR101" s="173">
        <f t="shared" si="66"/>
        <v>43192</v>
      </c>
      <c r="AS101" s="742">
        <f t="shared" si="67"/>
        <v>0.17857142857142858</v>
      </c>
      <c r="AT101" s="758">
        <f t="shared" si="68"/>
        <v>54.739304241238685</v>
      </c>
      <c r="AU101" s="13">
        <f t="shared" si="69"/>
        <v>5</v>
      </c>
      <c r="AV101" s="13">
        <f t="shared" si="70"/>
        <v>4</v>
      </c>
      <c r="AW101" s="173">
        <f t="shared" si="71"/>
        <v>43206</v>
      </c>
      <c r="AX101" s="742">
        <f t="shared" si="72"/>
        <v>0.6785714285714286</v>
      </c>
      <c r="AY101" s="758">
        <f t="shared" si="73"/>
        <v>54.468249968279679</v>
      </c>
      <c r="AZ101" s="735">
        <f t="shared" si="77"/>
        <v>54.603777104759182</v>
      </c>
      <c r="BA101" s="633">
        <f t="shared" si="74"/>
        <v>0.96295277338895935</v>
      </c>
      <c r="BC101" s="11">
        <v>43187</v>
      </c>
      <c r="BD101" s="289">
        <f>[3]!FeuilCaduc*(1-Persistant)+Persistant</f>
        <v>0.80572626203042286</v>
      </c>
      <c r="BE101" s="290">
        <f>[3]!CroissVégét</f>
        <v>4.4289656039802887E-2</v>
      </c>
      <c r="BF101" s="804">
        <f>1+[3]!Salcycl*Ksac</f>
        <v>1.0014315655076058</v>
      </c>
      <c r="BH101" s="1037">
        <f t="shared" si="75"/>
        <v>2.7953312427109245E-2</v>
      </c>
      <c r="BI101" s="11">
        <v>44283</v>
      </c>
      <c r="BJ101" s="715">
        <v>1.8024910785295229E-4</v>
      </c>
      <c r="BK101" s="715">
        <v>3.0087389613752992E-3</v>
      </c>
      <c r="BL101" s="715">
        <v>7.7408083859154498E-3</v>
      </c>
      <c r="BM101" s="715">
        <v>1.6393482295363991E-2</v>
      </c>
      <c r="BN101" s="715">
        <v>3.0862492325030928E-2</v>
      </c>
      <c r="BO101" s="716">
        <v>5.5284833457658812E-2</v>
      </c>
      <c r="BP101" s="715">
        <v>8.6942292166976035E-2</v>
      </c>
      <c r="BQ101" s="715">
        <v>0.12853023875214536</v>
      </c>
      <c r="BR101" s="715">
        <v>0.17426554214115761</v>
      </c>
      <c r="BS101" s="715">
        <v>0.22982994203902057</v>
      </c>
      <c r="BT101" s="715">
        <v>0.28980351782152319</v>
      </c>
      <c r="BW101" s="1185">
        <f>'2019'!R\Max</f>
        <v>0.95346431526283904</v>
      </c>
      <c r="BX101" s="1185">
        <f>'2020'!R\Max</f>
        <v>0.86702027217292998</v>
      </c>
      <c r="BY101" s="1185">
        <f>'2021'!R\Max</f>
        <v>0.96295277338895935</v>
      </c>
      <c r="BZ101" s="1185">
        <f>'2022'!R\Max</f>
        <v>0.77865161657690352</v>
      </c>
      <c r="CA101" s="1185">
        <f>'2023'!R\Max</f>
        <v>0.77836954090018917</v>
      </c>
      <c r="CB101" s="1185">
        <f>'2024'!R\Max</f>
        <v>0.77807910395023328</v>
      </c>
      <c r="CC101" s="1185">
        <f>'2025'!R\Max</f>
        <v>0.77775341704235845</v>
      </c>
      <c r="CD101" s="1185">
        <f>'2026'!R\Max</f>
        <v>0.77737046878023552</v>
      </c>
      <c r="CE101" s="1186">
        <f>'2027'!R\Max</f>
        <v>0.77907339772227802</v>
      </c>
      <c r="CF101" s="1187">
        <f>'2028'!R\Max</f>
        <v>0.77885025552237408</v>
      </c>
    </row>
    <row r="102" spans="1:84" s="6" customFormat="1" ht="11.25" x14ac:dyDescent="0.2">
      <c r="A102" s="11">
        <v>43188</v>
      </c>
      <c r="B102" s="379">
        <f>'2022'!Maxi_hp</f>
        <v>55.509547390631532</v>
      </c>
      <c r="C102" s="13">
        <f>'2022'!An_max</f>
        <v>2021</v>
      </c>
      <c r="D102" s="1046">
        <f t="shared" si="59"/>
        <v>1.0094917928373019</v>
      </c>
      <c r="E102" s="13"/>
      <c r="F102" s="13">
        <f t="shared" si="76"/>
        <v>7</v>
      </c>
      <c r="G102" s="13">
        <f t="shared" si="60"/>
        <v>8</v>
      </c>
      <c r="H102" s="173">
        <f t="shared" si="61"/>
        <v>43178</v>
      </c>
      <c r="I102" s="742">
        <f t="shared" si="62"/>
        <v>0.7142857142857143</v>
      </c>
      <c r="J102" s="735">
        <f t="shared" si="63"/>
        <v>54.987616327830722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39">
        <v>43188</v>
      </c>
      <c r="AP102" s="13">
        <f t="shared" si="64"/>
        <v>5</v>
      </c>
      <c r="AQ102" s="13">
        <f t="shared" si="65"/>
        <v>4</v>
      </c>
      <c r="AR102" s="173">
        <f t="shared" si="66"/>
        <v>43192</v>
      </c>
      <c r="AS102" s="742">
        <f t="shared" si="67"/>
        <v>0.14285714285714285</v>
      </c>
      <c r="AT102" s="758">
        <f t="shared" si="68"/>
        <v>55.020942856956808</v>
      </c>
      <c r="AU102" s="13">
        <f t="shared" si="69"/>
        <v>5</v>
      </c>
      <c r="AV102" s="13">
        <f t="shared" si="70"/>
        <v>4</v>
      </c>
      <c r="AW102" s="173">
        <f t="shared" si="71"/>
        <v>43206</v>
      </c>
      <c r="AX102" s="742">
        <f t="shared" si="72"/>
        <v>0.6428571428571429</v>
      </c>
      <c r="AY102" s="758">
        <f t="shared" si="73"/>
        <v>54.741018112083637</v>
      </c>
      <c r="AZ102" s="735">
        <f t="shared" si="77"/>
        <v>54.880980484520222</v>
      </c>
      <c r="BA102" s="633">
        <f t="shared" si="74"/>
        <v>1.0094917928373019</v>
      </c>
      <c r="BC102" s="11">
        <v>43188</v>
      </c>
      <c r="BD102" s="289">
        <f>[3]!FeuilCaduc*(1-Persistant)+Persistant</f>
        <v>0.8061597830877012</v>
      </c>
      <c r="BE102" s="290">
        <f>[3]!CroissVégét</f>
        <v>4.6115220608575654E-2</v>
      </c>
      <c r="BF102" s="804">
        <f>1+[3]!Salcycl*Ksac</f>
        <v>1.0015399457719254</v>
      </c>
      <c r="BH102" s="1037">
        <f t="shared" si="75"/>
        <v>2.7805682403315327E-2</v>
      </c>
      <c r="BI102" s="11">
        <v>44284</v>
      </c>
      <c r="BJ102" s="715">
        <v>1.6338615695237521E-4</v>
      </c>
      <c r="BK102" s="715">
        <v>2.9779929318805684E-3</v>
      </c>
      <c r="BL102" s="715">
        <v>7.674650608082716E-3</v>
      </c>
      <c r="BM102" s="715">
        <v>1.6300357739790938E-2</v>
      </c>
      <c r="BN102" s="715">
        <v>3.0701145299285613E-2</v>
      </c>
      <c r="BO102" s="716">
        <v>5.5077099922853784E-2</v>
      </c>
      <c r="BP102" s="715">
        <v>8.7199728967846835E-2</v>
      </c>
      <c r="BQ102" s="715">
        <v>0.1299369829937384</v>
      </c>
      <c r="BR102" s="715">
        <v>0.17628160062293624</v>
      </c>
      <c r="BS102" s="715">
        <v>0.23043300641077064</v>
      </c>
      <c r="BT102" s="715">
        <v>0.28685647442052309</v>
      </c>
      <c r="BW102" s="1185">
        <f>'2019'!R\Max</f>
        <v>0.96963960934898408</v>
      </c>
      <c r="BX102" s="1185">
        <f>'2020'!R\Max</f>
        <v>0.92214763402154232</v>
      </c>
      <c r="BY102" s="1185">
        <f>'2021'!R\Max</f>
        <v>1.0094917928373019</v>
      </c>
      <c r="BZ102" s="1185">
        <f>'2022'!R\Max</f>
        <v>0.53968941910096735</v>
      </c>
      <c r="CA102" s="1185">
        <f>'2023'!R\Max</f>
        <v>0.53927943504110154</v>
      </c>
      <c r="CB102" s="1185">
        <f>'2024'!R\Max</f>
        <v>0.53885716827381736</v>
      </c>
      <c r="CC102" s="1185">
        <f>'2025'!R\Max</f>
        <v>0.53838109865644912</v>
      </c>
      <c r="CD102" s="1185">
        <f>'2026'!R\Max</f>
        <v>0.53781824465189132</v>
      </c>
      <c r="CE102" s="1186">
        <f>'2027'!R\Max</f>
        <v>0.5402936833951012</v>
      </c>
      <c r="CF102" s="1187">
        <f>'2028'!R\Max</f>
        <v>0.53997391031062603</v>
      </c>
    </row>
    <row r="103" spans="1:84" s="6" customFormat="1" ht="11.25" x14ac:dyDescent="0.2">
      <c r="A103" s="11">
        <v>43189</v>
      </c>
      <c r="B103" s="379">
        <f>'2022'!Maxi_hp</f>
        <v>54.961612248927921</v>
      </c>
      <c r="C103" s="13">
        <f>'2022'!An_max</f>
        <v>2018</v>
      </c>
      <c r="D103" s="1046">
        <f t="shared" si="59"/>
        <v>0.99442384763812453</v>
      </c>
      <c r="E103" s="13"/>
      <c r="F103" s="13">
        <f t="shared" si="76"/>
        <v>7</v>
      </c>
      <c r="G103" s="13">
        <f t="shared" si="60"/>
        <v>8</v>
      </c>
      <c r="H103" s="173">
        <f t="shared" si="61"/>
        <v>43178</v>
      </c>
      <c r="I103" s="742">
        <f t="shared" si="62"/>
        <v>0.7857142857142857</v>
      </c>
      <c r="J103" s="735">
        <f t="shared" si="63"/>
        <v>55.269805103194493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39">
        <v>43189</v>
      </c>
      <c r="AP103" s="13">
        <f t="shared" si="64"/>
        <v>5</v>
      </c>
      <c r="AQ103" s="13">
        <f t="shared" si="65"/>
        <v>4</v>
      </c>
      <c r="AR103" s="173">
        <f t="shared" si="66"/>
        <v>43192</v>
      </c>
      <c r="AS103" s="742">
        <f t="shared" si="67"/>
        <v>0.10714285714285714</v>
      </c>
      <c r="AT103" s="758">
        <f t="shared" si="68"/>
        <v>55.294467186754844</v>
      </c>
      <c r="AU103" s="13">
        <f t="shared" si="69"/>
        <v>5</v>
      </c>
      <c r="AV103" s="13">
        <f t="shared" si="70"/>
        <v>4</v>
      </c>
      <c r="AW103" s="173">
        <f t="shared" si="71"/>
        <v>43206</v>
      </c>
      <c r="AX103" s="742">
        <f t="shared" si="72"/>
        <v>0.6071428571428571</v>
      </c>
      <c r="AY103" s="758">
        <f t="shared" si="73"/>
        <v>55.010227200255862</v>
      </c>
      <c r="AZ103" s="735">
        <f t="shared" si="77"/>
        <v>55.152347193505349</v>
      </c>
      <c r="BA103" s="633">
        <f t="shared" si="74"/>
        <v>0.99442384763812453</v>
      </c>
      <c r="BC103" s="11">
        <v>43189</v>
      </c>
      <c r="BD103" s="289">
        <f>[3]!FeuilCaduc*(1-Persistant)+Persistant</f>
        <v>0.80662718315483395</v>
      </c>
      <c r="BE103" s="290">
        <f>[3]!CroissVégét</f>
        <v>4.8009969311812332E-2</v>
      </c>
      <c r="BF103" s="804">
        <f>1+[3]!Salcycl*Ksac</f>
        <v>1.0016567957887086</v>
      </c>
      <c r="BH103" s="1037">
        <f t="shared" si="75"/>
        <v>2.764421871069454E-2</v>
      </c>
      <c r="BI103" s="11">
        <v>44285</v>
      </c>
      <c r="BJ103" s="715">
        <v>1.4766931420924514E-4</v>
      </c>
      <c r="BK103" s="715">
        <v>2.9513371611594882E-3</v>
      </c>
      <c r="BL103" s="715">
        <v>7.612702617569066E-3</v>
      </c>
      <c r="BM103" s="715">
        <v>1.6195524301445063E-2</v>
      </c>
      <c r="BN103" s="715">
        <v>3.0525429874980779E-2</v>
      </c>
      <c r="BO103" s="716">
        <v>5.4774031596756145E-2</v>
      </c>
      <c r="BP103" s="715">
        <v>8.7268174403465321E-2</v>
      </c>
      <c r="BQ103" s="715">
        <v>0.13106866909045597</v>
      </c>
      <c r="BR103" s="715">
        <v>0.17826389581581367</v>
      </c>
      <c r="BS103" s="715">
        <v>0.23162334155608905</v>
      </c>
      <c r="BT103" s="715">
        <v>0.28544360175545253</v>
      </c>
      <c r="BW103" s="1185">
        <f>'2019'!R\Max</f>
        <v>0.99442384763812453</v>
      </c>
      <c r="BX103" s="1185">
        <f>'2020'!R\Max</f>
        <v>0.76106183344581757</v>
      </c>
      <c r="BY103" s="1185">
        <f>'2021'!R\Max</f>
        <v>0.95415818195510982</v>
      </c>
      <c r="BZ103" s="1185">
        <f>'2022'!R\Max</f>
        <v>0.12151177339365092</v>
      </c>
      <c r="CA103" s="1185">
        <f>'2023'!R\Max</f>
        <v>0.12137047659794396</v>
      </c>
      <c r="CB103" s="1185">
        <f>'2024'!R\Max</f>
        <v>0.12122491437621682</v>
      </c>
      <c r="CC103" s="1185">
        <f>'2025'!R\Max</f>
        <v>0.12105987673952018</v>
      </c>
      <c r="CD103" s="1185">
        <f>'2026'!R\Max</f>
        <v>0.12086366607603809</v>
      </c>
      <c r="CE103" s="1186">
        <f>'2027'!R\Max</f>
        <v>0.12171698207647474</v>
      </c>
      <c r="CF103" s="1187">
        <f>'2028'!R\Max</f>
        <v>0.12160835695097461</v>
      </c>
    </row>
    <row r="104" spans="1:84" s="6" customFormat="1" ht="11.25" x14ac:dyDescent="0.2">
      <c r="A104" s="11">
        <v>43190</v>
      </c>
      <c r="B104" s="379">
        <f>'2022'!Maxi_hp</f>
        <v>51.391422760958996</v>
      </c>
      <c r="C104" s="13">
        <f>'2022'!An_max</f>
        <v>2021</v>
      </c>
      <c r="D104" s="1046" t="str">
        <f t="shared" si="59"/>
        <v/>
      </c>
      <c r="E104" s="13"/>
      <c r="F104" s="13">
        <f t="shared" si="76"/>
        <v>7</v>
      </c>
      <c r="G104" s="13">
        <f t="shared" si="60"/>
        <v>8</v>
      </c>
      <c r="H104" s="173">
        <f t="shared" si="61"/>
        <v>43178</v>
      </c>
      <c r="I104" s="742">
        <f t="shared" si="62"/>
        <v>0.8571428571428571</v>
      </c>
      <c r="J104" s="735">
        <f t="shared" si="63"/>
        <v>55.543444898671339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39">
        <v>43190</v>
      </c>
      <c r="AP104" s="13">
        <f t="shared" si="64"/>
        <v>5</v>
      </c>
      <c r="AQ104" s="13">
        <f t="shared" si="65"/>
        <v>4</v>
      </c>
      <c r="AR104" s="173">
        <f t="shared" si="66"/>
        <v>43192</v>
      </c>
      <c r="AS104" s="742">
        <f t="shared" si="67"/>
        <v>7.1428571428571425E-2</v>
      </c>
      <c r="AT104" s="758">
        <f t="shared" si="68"/>
        <v>55.559401784996908</v>
      </c>
      <c r="AU104" s="13">
        <f t="shared" si="69"/>
        <v>5</v>
      </c>
      <c r="AV104" s="13">
        <f t="shared" si="70"/>
        <v>4</v>
      </c>
      <c r="AW104" s="173">
        <f t="shared" si="71"/>
        <v>43206</v>
      </c>
      <c r="AX104" s="742">
        <f t="shared" si="72"/>
        <v>0.5714285714285714</v>
      </c>
      <c r="AY104" s="758">
        <f t="shared" si="73"/>
        <v>55.275673469794654</v>
      </c>
      <c r="AZ104" s="735">
        <f t="shared" si="77"/>
        <v>55.417537627395781</v>
      </c>
      <c r="BA104" s="633">
        <f t="shared" si="74"/>
        <v>0.92524730604507999</v>
      </c>
      <c r="BC104" s="11">
        <v>43190</v>
      </c>
      <c r="BD104" s="289">
        <f>[3]!FeuilCaduc*(1-Persistant)+Persistant</f>
        <v>0.80712993300346425</v>
      </c>
      <c r="BE104" s="290">
        <f>[3]!CroissVégét</f>
        <v>4.9976218279140845E-2</v>
      </c>
      <c r="BF104" s="804">
        <f>1+[3]!Salcycl*Ksac</f>
        <v>1.0017824832508662</v>
      </c>
      <c r="BH104" s="1037">
        <f t="shared" si="75"/>
        <v>2.7468916238531701E-2</v>
      </c>
      <c r="BI104" s="11">
        <v>44286</v>
      </c>
      <c r="BJ104" s="715">
        <v>1.3309845781959336E-4</v>
      </c>
      <c r="BK104" s="715">
        <v>2.9287701940432041E-3</v>
      </c>
      <c r="BL104" s="715">
        <v>7.5549617289204169E-3</v>
      </c>
      <c r="BM104" s="715">
        <v>1.6078979708922032E-2</v>
      </c>
      <c r="BN104" s="715">
        <v>3.0335340226852161E-2</v>
      </c>
      <c r="BO104" s="716">
        <v>5.4375630253845335E-2</v>
      </c>
      <c r="BP104" s="715">
        <v>8.7147633358743704E-2</v>
      </c>
      <c r="BQ104" s="715">
        <v>0.13192529438963393</v>
      </c>
      <c r="BR104" s="715">
        <v>0.18021236015963596</v>
      </c>
      <c r="BS104" s="715">
        <v>0.23340075918195119</v>
      </c>
      <c r="BT104" s="715">
        <v>0.28556454773902934</v>
      </c>
      <c r="BW104" s="1185">
        <f>'2019'!R\Max</f>
        <v>0.8841032646157001</v>
      </c>
      <c r="BX104" s="1185">
        <f>'2020'!R\Max</f>
        <v>0.33983886533948843</v>
      </c>
      <c r="BY104" s="1185">
        <f>'2021'!R\Max</f>
        <v>0.92524730604507999</v>
      </c>
      <c r="BZ104" s="1185">
        <f>'2022'!R\Max</f>
        <v>0.3348071190980485</v>
      </c>
      <c r="CA104" s="1185">
        <f>'2023'!R\Max</f>
        <v>0.33443632357238789</v>
      </c>
      <c r="CB104" s="1185">
        <f>'2024'!R\Max</f>
        <v>0.33405391807768098</v>
      </c>
      <c r="CC104" s="1185">
        <f>'2025'!R\Max</f>
        <v>0.3336173125041148</v>
      </c>
      <c r="CD104" s="1185">
        <f>'2026'!R\Max</f>
        <v>0.33555996524746107</v>
      </c>
      <c r="CE104" s="1186">
        <f>'2027'!R\Max</f>
        <v>0.33533691884347711</v>
      </c>
      <c r="CF104" s="1187">
        <f>'2028'!R\Max</f>
        <v>0.33505648589845394</v>
      </c>
    </row>
    <row r="105" spans="1:84" s="6" customFormat="1" ht="11.25" x14ac:dyDescent="0.2">
      <c r="A105" s="11">
        <v>43191</v>
      </c>
      <c r="B105" s="379">
        <f>'2022'!Maxi_hp</f>
        <v>51.899466717873182</v>
      </c>
      <c r="C105" s="13">
        <f>'2022'!An_max</f>
        <v>2021</v>
      </c>
      <c r="D105" s="1046" t="str">
        <f t="shared" si="59"/>
        <v/>
      </c>
      <c r="E105" s="13"/>
      <c r="F105" s="13">
        <f t="shared" si="76"/>
        <v>7</v>
      </c>
      <c r="G105" s="13">
        <f t="shared" si="60"/>
        <v>8</v>
      </c>
      <c r="H105" s="173">
        <f t="shared" si="61"/>
        <v>43178</v>
      </c>
      <c r="I105" s="742">
        <f t="shared" si="62"/>
        <v>0.9285714285714286</v>
      </c>
      <c r="J105" s="735">
        <f t="shared" si="63"/>
        <v>55.807666327192315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39">
        <v>43191</v>
      </c>
      <c r="AP105" s="13">
        <f t="shared" si="64"/>
        <v>5</v>
      </c>
      <c r="AQ105" s="13">
        <f t="shared" si="65"/>
        <v>4</v>
      </c>
      <c r="AR105" s="173">
        <f t="shared" si="66"/>
        <v>43192</v>
      </c>
      <c r="AS105" s="742">
        <f t="shared" si="67"/>
        <v>3.5714285714285712E-2</v>
      </c>
      <c r="AT105" s="758">
        <f t="shared" si="68"/>
        <v>55.815271205248848</v>
      </c>
      <c r="AU105" s="13">
        <f t="shared" si="69"/>
        <v>5</v>
      </c>
      <c r="AV105" s="13">
        <f t="shared" si="70"/>
        <v>4</v>
      </c>
      <c r="AW105" s="173">
        <f t="shared" si="71"/>
        <v>43206</v>
      </c>
      <c r="AX105" s="742">
        <f t="shared" si="72"/>
        <v>0.5357142857142857</v>
      </c>
      <c r="AY105" s="758">
        <f t="shared" si="73"/>
        <v>55.537153157019723</v>
      </c>
      <c r="AZ105" s="735">
        <f t="shared" si="77"/>
        <v>55.676212181134289</v>
      </c>
      <c r="BA105" s="633">
        <f t="shared" si="74"/>
        <v>0.92997020182843837</v>
      </c>
      <c r="BC105" s="11">
        <v>43191</v>
      </c>
      <c r="BD105" s="289">
        <f>[3]!FeuilCaduc*(1-Persistant)+Persistant</f>
        <v>0.80766947865644667</v>
      </c>
      <c r="BE105" s="290">
        <f>[3]!CroissVégét</f>
        <v>5.201633641771132E-2</v>
      </c>
      <c r="BF105" s="804">
        <f>1+[3]!Salcycl*Ksac</f>
        <v>1.0019173696641117</v>
      </c>
      <c r="BH105" s="1037">
        <f t="shared" si="75"/>
        <v>2.7279770332727118E-2</v>
      </c>
      <c r="BI105" s="11">
        <v>44287</v>
      </c>
      <c r="BJ105" s="715">
        <v>1.1967346519921383E-4</v>
      </c>
      <c r="BK105" s="715">
        <v>2.9102905344832852E-3</v>
      </c>
      <c r="BL105" s="715">
        <v>7.501425258349485E-3</v>
      </c>
      <c r="BM105" s="715">
        <v>1.5950722037331142E-2</v>
      </c>
      <c r="BN105" s="715">
        <v>3.0130871013959528E-2</v>
      </c>
      <c r="BO105" s="716">
        <v>5.3881899792780991E-2</v>
      </c>
      <c r="BP105" s="715">
        <v>8.6838114072960673E-2</v>
      </c>
      <c r="BQ105" s="715">
        <v>0.13250685979494556</v>
      </c>
      <c r="BR105" s="715">
        <v>0.182126924143765</v>
      </c>
      <c r="BS105" s="715">
        <v>0.23576505870780806</v>
      </c>
      <c r="BT105" s="715">
        <v>0.28721893403081528</v>
      </c>
      <c r="BW105" s="1185">
        <f>'2019'!R\Max</f>
        <v>0.68351535295847199</v>
      </c>
      <c r="BX105" s="1185">
        <f>'2020'!R\Max</f>
        <v>0.79435317981864895</v>
      </c>
      <c r="BY105" s="1185">
        <f>'2021'!R\Max</f>
        <v>0.92997020182843837</v>
      </c>
      <c r="BZ105" s="1185">
        <f>'2022'!R\Max</f>
        <v>0.62981531098695931</v>
      </c>
      <c r="CA105" s="1185">
        <f>'2023'!R\Max</f>
        <v>0.62942672004737277</v>
      </c>
      <c r="CB105" s="1185">
        <f>'2024'!R\Max</f>
        <v>0.62902519195531836</v>
      </c>
      <c r="CC105" s="1185">
        <f>'2025'!R\Max</f>
        <v>0.6285629214817563</v>
      </c>
      <c r="CD105" s="1185">
        <f>'2026'!R\Max</f>
        <v>0.63059083004341676</v>
      </c>
      <c r="CE105" s="1186">
        <f>'2027'!R\Max</f>
        <v>0.63036064836044947</v>
      </c>
      <c r="CF105" s="1187">
        <f>'2028'!R\Max</f>
        <v>0.63007208465511744</v>
      </c>
    </row>
    <row r="106" spans="1:84" s="6" customFormat="1" ht="11.25" x14ac:dyDescent="0.2">
      <c r="A106" s="11">
        <v>43192</v>
      </c>
      <c r="B106" s="379">
        <f>'2022'!Maxi_hp</f>
        <v>43.794374405786975</v>
      </c>
      <c r="C106" s="13">
        <f>'2022'!An_max</f>
        <v>2021</v>
      </c>
      <c r="D106" s="1046" t="str">
        <f t="shared" si="59"/>
        <v/>
      </c>
      <c r="E106" s="1041">
        <f>T$13/10</f>
        <v>56.061599999999999</v>
      </c>
      <c r="F106" s="13">
        <f t="shared" si="76"/>
        <v>9</v>
      </c>
      <c r="G106" s="13">
        <f t="shared" si="60"/>
        <v>8</v>
      </c>
      <c r="H106" s="173">
        <f t="shared" si="61"/>
        <v>43206</v>
      </c>
      <c r="I106" s="742">
        <f t="shared" si="62"/>
        <v>1</v>
      </c>
      <c r="J106" s="735">
        <f t="shared" si="63"/>
        <v>56.061600001156329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39">
        <v>43192</v>
      </c>
      <c r="AP106" s="13">
        <f t="shared" si="64"/>
        <v>5</v>
      </c>
      <c r="AQ106" s="13">
        <f t="shared" si="65"/>
        <v>6</v>
      </c>
      <c r="AR106" s="173">
        <f t="shared" si="66"/>
        <v>43192</v>
      </c>
      <c r="AS106" s="742">
        <f t="shared" si="67"/>
        <v>0</v>
      </c>
      <c r="AT106" s="758">
        <f t="shared" si="68"/>
        <v>56.061599999666214</v>
      </c>
      <c r="AU106" s="13">
        <f t="shared" si="69"/>
        <v>5</v>
      </c>
      <c r="AV106" s="13">
        <f t="shared" si="70"/>
        <v>4</v>
      </c>
      <c r="AW106" s="173">
        <f t="shared" si="71"/>
        <v>43206</v>
      </c>
      <c r="AX106" s="742">
        <f t="shared" si="72"/>
        <v>0.5</v>
      </c>
      <c r="AY106" s="758">
        <f t="shared" si="73"/>
        <v>55.794462500326333</v>
      </c>
      <c r="AZ106" s="735">
        <f t="shared" si="77"/>
        <v>55.928031249996273</v>
      </c>
      <c r="BA106" s="633">
        <f t="shared" si="74"/>
        <v>0.78118309867866187</v>
      </c>
      <c r="BC106" s="11">
        <v>43192</v>
      </c>
      <c r="BD106" s="289">
        <f>[3]!FeuilCaduc*(1-Persistant)+Persistant</f>
        <v>0.80824723808286036</v>
      </c>
      <c r="BE106" s="290">
        <f>[3]!CroissVégét</f>
        <v>5.4132744516590045E-2</v>
      </c>
      <c r="BF106" s="804">
        <f>1+[3]!Salcycl*Ksac</f>
        <v>1.002061809520715</v>
      </c>
      <c r="BH106" s="1037">
        <f t="shared" si="75"/>
        <v>2.7076776840013604E-2</v>
      </c>
      <c r="BI106" s="11">
        <v>44288</v>
      </c>
      <c r="BJ106" s="715">
        <v>1.0739420931573892E-4</v>
      </c>
      <c r="BK106" s="715">
        <v>2.8958966324358964E-3</v>
      </c>
      <c r="BL106" s="715">
        <v>7.4520905102208167E-3</v>
      </c>
      <c r="BM106" s="715">
        <v>1.5810749745753857E-2</v>
      </c>
      <c r="BN106" s="715">
        <v>2.9912017425604565E-2</v>
      </c>
      <c r="BO106" s="716">
        <v>5.3292846541672385E-2</v>
      </c>
      <c r="BP106" s="715">
        <v>8.6339628744816543E-2</v>
      </c>
      <c r="BQ106" s="715">
        <v>0.13281337064660126</v>
      </c>
      <c r="BR106" s="715">
        <v>0.18400751641345262</v>
      </c>
      <c r="BS106" s="715">
        <v>0.23871602538182135</v>
      </c>
      <c r="BT106" s="715">
        <v>0.29040635111973023</v>
      </c>
      <c r="BW106" s="1185">
        <f>'2019'!R\Max</f>
        <v>0.27789847968732911</v>
      </c>
      <c r="BX106" s="1185">
        <f>'2020'!R\Max</f>
        <v>0.75827099507960904</v>
      </c>
      <c r="BY106" s="1185">
        <f>'2021'!R\Max</f>
        <v>0.78118309867866187</v>
      </c>
      <c r="BZ106" s="1185">
        <f>'2022'!R\Max</f>
        <v>0.33099470550932231</v>
      </c>
      <c r="CA106" s="1185">
        <f>'2023'!R\Max</f>
        <v>0.33062654700622718</v>
      </c>
      <c r="CB106" s="1185">
        <f>'2024'!R\Max</f>
        <v>0.3302461828742872</v>
      </c>
      <c r="CC106" s="1185">
        <f>'2025'!R\Max</f>
        <v>0.32980539580461882</v>
      </c>
      <c r="CD106" s="1185">
        <f>'2026'!R\Max</f>
        <v>0.33171877046678433</v>
      </c>
      <c r="CE106" s="1186">
        <f>'2027'!R\Max</f>
        <v>0.33150297584491373</v>
      </c>
      <c r="CF106" s="1187">
        <f>'2028'!R\Max</f>
        <v>0.3312339373299566</v>
      </c>
    </row>
    <row r="107" spans="1:84" s="6" customFormat="1" ht="11.25" x14ac:dyDescent="0.2">
      <c r="A107" s="11">
        <v>43193</v>
      </c>
      <c r="B107" s="379">
        <f>'2022'!Maxi_hp</f>
        <v>44.063854252234997</v>
      </c>
      <c r="C107" s="13">
        <f>'2022'!An_max</f>
        <v>2021</v>
      </c>
      <c r="D107" s="1046" t="str">
        <f t="shared" si="59"/>
        <v/>
      </c>
      <c r="E107" s="13"/>
      <c r="F107" s="13">
        <f t="shared" si="76"/>
        <v>9</v>
      </c>
      <c r="G107" s="13">
        <f t="shared" si="60"/>
        <v>8</v>
      </c>
      <c r="H107" s="173">
        <f t="shared" si="61"/>
        <v>43206</v>
      </c>
      <c r="I107" s="742">
        <f t="shared" si="62"/>
        <v>0.9285714285714286</v>
      </c>
      <c r="J107" s="735">
        <f t="shared" si="63"/>
        <v>56.305608164572291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39">
        <v>43193</v>
      </c>
      <c r="AP107" s="13">
        <f t="shared" si="64"/>
        <v>5</v>
      </c>
      <c r="AQ107" s="13">
        <f t="shared" si="65"/>
        <v>6</v>
      </c>
      <c r="AR107" s="173">
        <f t="shared" si="66"/>
        <v>43192</v>
      </c>
      <c r="AS107" s="742">
        <f t="shared" si="67"/>
        <v>3.5714285714285712E-2</v>
      </c>
      <c r="AT107" s="758">
        <f t="shared" si="68"/>
        <v>56.299477167667021</v>
      </c>
      <c r="AU107" s="13">
        <f t="shared" si="69"/>
        <v>5</v>
      </c>
      <c r="AV107" s="13">
        <f t="shared" si="70"/>
        <v>4</v>
      </c>
      <c r="AW107" s="173">
        <f t="shared" si="71"/>
        <v>43206</v>
      </c>
      <c r="AX107" s="742">
        <f t="shared" si="72"/>
        <v>0.4642857142857143</v>
      </c>
      <c r="AY107" s="758">
        <f t="shared" si="73"/>
        <v>56.047397735741512</v>
      </c>
      <c r="AZ107" s="735">
        <f t="shared" si="77"/>
        <v>56.173437451704267</v>
      </c>
      <c r="BA107" s="633">
        <f t="shared" si="74"/>
        <v>0.78258375477347475</v>
      </c>
      <c r="BC107" s="11">
        <v>43193</v>
      </c>
      <c r="BD107" s="289">
        <f>[3]!FeuilCaduc*(1-Persistant)+Persistant</f>
        <v>0.80886459805385891</v>
      </c>
      <c r="BE107" s="290">
        <f>[3]!CroissVégét</f>
        <v>5.6327914126217182E-2</v>
      </c>
      <c r="BF107" s="804">
        <f>1+[3]!Salcycl*Ksac</f>
        <v>1.0022161495134647</v>
      </c>
      <c r="BH107" s="1037">
        <f t="shared" si="75"/>
        <v>2.6859932152099104E-2</v>
      </c>
      <c r="BI107" s="11">
        <v>44289</v>
      </c>
      <c r="BJ107" s="715">
        <v>9.6260555020286705E-5</v>
      </c>
      <c r="BK107" s="715">
        <v>2.8855868707380566E-3</v>
      </c>
      <c r="BL107" s="715">
        <v>7.4069547635153849E-3</v>
      </c>
      <c r="BM107" s="715">
        <v>1.5659061714658789E-2</v>
      </c>
      <c r="BN107" s="715">
        <v>2.9678775227166592E-2</v>
      </c>
      <c r="BO107" s="716">
        <v>5.2608479563200222E-2</v>
      </c>
      <c r="BP107" s="715">
        <v>8.5652194137254459E-2</v>
      </c>
      <c r="BQ107" s="715">
        <v>0.13284483760119975</v>
      </c>
      <c r="BR107" s="715">
        <v>0.18585406387574369</v>
      </c>
      <c r="BS107" s="715">
        <v>0.24225342839648592</v>
      </c>
      <c r="BT107" s="715">
        <v>0.29512635340580967</v>
      </c>
      <c r="BW107" s="1185">
        <f>'2019'!R\Max</f>
        <v>0.30048081921804992</v>
      </c>
      <c r="BX107" s="1185">
        <f>'2020'!R\Max</f>
        <v>0.37862344283363825</v>
      </c>
      <c r="BY107" s="1185">
        <f>'2021'!R\Max</f>
        <v>0.78258375477347475</v>
      </c>
      <c r="BZ107" s="1185">
        <f>'2022'!R\Max</f>
        <v>0.61373771634670782</v>
      </c>
      <c r="CA107" s="1185">
        <f>'2023'!R\Max</f>
        <v>0.61334517930340104</v>
      </c>
      <c r="CB107" s="1185">
        <f>'2024'!R\Max</f>
        <v>0.61293890063126444</v>
      </c>
      <c r="CC107" s="1185">
        <f>'2025'!R\Max</f>
        <v>0.61246372758078349</v>
      </c>
      <c r="CD107" s="1185">
        <f>'2026'!R\Max</f>
        <v>0.61449590574310553</v>
      </c>
      <c r="CE107" s="1186">
        <f>'2027'!R\Max</f>
        <v>0.61426909851082201</v>
      </c>
      <c r="CF107" s="1187">
        <f>'2028'!R\Max</f>
        <v>0.61398791011224618</v>
      </c>
    </row>
    <row r="108" spans="1:84" s="6" customFormat="1" ht="11.25" x14ac:dyDescent="0.2">
      <c r="A108" s="11">
        <v>43194</v>
      </c>
      <c r="B108" s="379">
        <f>'2022'!Maxi_hp</f>
        <v>54.48441415561728</v>
      </c>
      <c r="C108" s="13">
        <f>'2022'!An_max</f>
        <v>2020</v>
      </c>
      <c r="D108" s="1046" t="str">
        <f t="shared" si="59"/>
        <v/>
      </c>
      <c r="E108" s="13"/>
      <c r="F108" s="13">
        <f t="shared" si="76"/>
        <v>9</v>
      </c>
      <c r="G108" s="13">
        <f t="shared" si="60"/>
        <v>8</v>
      </c>
      <c r="H108" s="173">
        <f t="shared" si="61"/>
        <v>43206</v>
      </c>
      <c r="I108" s="742">
        <f t="shared" si="62"/>
        <v>0.8571428571428571</v>
      </c>
      <c r="J108" s="735">
        <f t="shared" si="63"/>
        <v>56.54092245027423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39">
        <v>43194</v>
      </c>
      <c r="AP108" s="13">
        <f t="shared" si="64"/>
        <v>5</v>
      </c>
      <c r="AQ108" s="13">
        <f t="shared" si="65"/>
        <v>6</v>
      </c>
      <c r="AR108" s="173">
        <f t="shared" si="66"/>
        <v>43192</v>
      </c>
      <c r="AS108" s="742">
        <f t="shared" si="67"/>
        <v>7.1428571428571425E-2</v>
      </c>
      <c r="AT108" s="758">
        <f t="shared" si="68"/>
        <v>56.530417347220443</v>
      </c>
      <c r="AU108" s="13">
        <f t="shared" si="69"/>
        <v>5</v>
      </c>
      <c r="AV108" s="13">
        <f t="shared" si="70"/>
        <v>4</v>
      </c>
      <c r="AW108" s="173">
        <f t="shared" si="71"/>
        <v>43206</v>
      </c>
      <c r="AX108" s="742">
        <f t="shared" si="72"/>
        <v>0.42857142857142855</v>
      </c>
      <c r="AY108" s="758">
        <f t="shared" si="73"/>
        <v>56.295755101633929</v>
      </c>
      <c r="AZ108" s="735">
        <f t="shared" si="77"/>
        <v>56.41308622442719</v>
      </c>
      <c r="BA108" s="633">
        <f t="shared" si="74"/>
        <v>0.96362796704518616</v>
      </c>
      <c r="BC108" s="11">
        <v>43194</v>
      </c>
      <c r="BD108" s="289">
        <f>[3]!FeuilCaduc*(1-Persistant)+Persistant</f>
        <v>0.80952291114759001</v>
      </c>
      <c r="BE108" s="290">
        <f>[3]!CroissVégét</f>
        <v>5.8604366195922526E-2</v>
      </c>
      <c r="BF108" s="804">
        <f>1+[3]!Salcycl*Ksac</f>
        <v>1.0023807277868975</v>
      </c>
      <c r="BH108" s="1037">
        <f t="shared" si="75"/>
        <v>2.6622718257700205E-2</v>
      </c>
      <c r="BI108" s="11">
        <v>44290</v>
      </c>
      <c r="BJ108" s="715">
        <v>8.645923104780874E-5</v>
      </c>
      <c r="BK108" s="715">
        <v>2.8713938788929613E-3</v>
      </c>
      <c r="BL108" s="715">
        <v>7.3597832939506407E-3</v>
      </c>
      <c r="BM108" s="715">
        <v>1.5501874350631963E-2</v>
      </c>
      <c r="BN108" s="715">
        <v>2.9421421627356319E-2</v>
      </c>
      <c r="BO108" s="716">
        <v>5.1815170738805337E-2</v>
      </c>
      <c r="BP108" s="715">
        <v>8.4730803962007412E-2</v>
      </c>
      <c r="BQ108" s="715">
        <v>0.13249951353144518</v>
      </c>
      <c r="BR108" s="715">
        <v>0.18744347705357603</v>
      </c>
      <c r="BS108" s="715">
        <v>0.24604420108582337</v>
      </c>
      <c r="BT108" s="715">
        <v>0.30098415309730664</v>
      </c>
      <c r="BW108" s="1185">
        <f>'2019'!R\Max</f>
        <v>0.59522404915302163</v>
      </c>
      <c r="BX108" s="1185">
        <f>'2020'!R\Max</f>
        <v>0.96362796704518616</v>
      </c>
      <c r="BY108" s="1185">
        <f>'2021'!R\Max</f>
        <v>0.95670705427644487</v>
      </c>
      <c r="BZ108" s="1185">
        <f>'2022'!R\Max</f>
        <v>0.84700785436486647</v>
      </c>
      <c r="CA108" s="1185">
        <f>'2023'!R\Max</f>
        <v>0.84679491702273424</v>
      </c>
      <c r="CB108" s="1185">
        <f>'2024'!R\Max</f>
        <v>0.84657418898318559</v>
      </c>
      <c r="CC108" s="1185">
        <f>'2025'!R\Max</f>
        <v>0.84631357767584314</v>
      </c>
      <c r="CD108" s="1185">
        <f>'2026'!R\Max</f>
        <v>0.84741184465301334</v>
      </c>
      <c r="CE108" s="1186">
        <f>'2027'!R\Max</f>
        <v>0.84729043517632274</v>
      </c>
      <c r="CF108" s="1187">
        <f>'2028'!R\Max</f>
        <v>0.84714093803454282</v>
      </c>
    </row>
    <row r="109" spans="1:84" s="6" customFormat="1" ht="11.25" x14ac:dyDescent="0.2">
      <c r="A109" s="11">
        <v>43195</v>
      </c>
      <c r="B109" s="379">
        <f>'2022'!Maxi_hp</f>
        <v>58.465341345603605</v>
      </c>
      <c r="C109" s="13">
        <f>'2022'!An_max</f>
        <v>2020</v>
      </c>
      <c r="D109" s="1046">
        <f t="shared" si="59"/>
        <v>1.0299000222896286</v>
      </c>
      <c r="E109" s="13"/>
      <c r="F109" s="13">
        <f t="shared" si="76"/>
        <v>9</v>
      </c>
      <c r="G109" s="13">
        <f t="shared" si="60"/>
        <v>8</v>
      </c>
      <c r="H109" s="173">
        <f t="shared" si="61"/>
        <v>43206</v>
      </c>
      <c r="I109" s="742">
        <f t="shared" si="62"/>
        <v>0.7857142857142857</v>
      </c>
      <c r="J109" s="735">
        <f t="shared" si="63"/>
        <v>56.767977551477294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39">
        <v>43195</v>
      </c>
      <c r="AP109" s="13">
        <f t="shared" si="64"/>
        <v>5</v>
      </c>
      <c r="AQ109" s="13">
        <f t="shared" si="65"/>
        <v>6</v>
      </c>
      <c r="AR109" s="173">
        <f t="shared" si="66"/>
        <v>43192</v>
      </c>
      <c r="AS109" s="742">
        <f t="shared" si="67"/>
        <v>0.10714285714285714</v>
      </c>
      <c r="AT109" s="758">
        <f t="shared" si="68"/>
        <v>56.754583545721005</v>
      </c>
      <c r="AU109" s="13">
        <f t="shared" si="69"/>
        <v>5</v>
      </c>
      <c r="AV109" s="13">
        <f t="shared" si="70"/>
        <v>4</v>
      </c>
      <c r="AW109" s="173">
        <f t="shared" si="71"/>
        <v>43206</v>
      </c>
      <c r="AX109" s="742">
        <f t="shared" si="72"/>
        <v>0.39285714285714285</v>
      </c>
      <c r="AY109" s="758">
        <f t="shared" si="73"/>
        <v>56.539330834868771</v>
      </c>
      <c r="AZ109" s="735">
        <f t="shared" si="77"/>
        <v>56.646957190294884</v>
      </c>
      <c r="BA109" s="633">
        <f t="shared" si="74"/>
        <v>1.0299000222896286</v>
      </c>
      <c r="BC109" s="11">
        <v>43195</v>
      </c>
      <c r="BD109" s="289">
        <f>[3]!FeuilCaduc*(1-Persistant)+Persistant</f>
        <v>0.81022349288880224</v>
      </c>
      <c r="BE109" s="290">
        <f>[3]!CroissVégét</f>
        <v>6.0964669451959982E-2</v>
      </c>
      <c r="BF109" s="804">
        <f>1+[3]!Salcycl*Ksac</f>
        <v>1.0025558732222006</v>
      </c>
      <c r="BH109" s="1037">
        <f t="shared" si="75"/>
        <v>2.6369143506518148E-2</v>
      </c>
      <c r="BI109" s="11">
        <v>44291</v>
      </c>
      <c r="BJ109" s="715">
        <v>7.7138505365559898E-5</v>
      </c>
      <c r="BK109" s="715">
        <v>2.8502971641818269E-3</v>
      </c>
      <c r="BL109" s="715">
        <v>7.3111549613876815E-3</v>
      </c>
      <c r="BM109" s="715">
        <v>1.534540969554055E-2</v>
      </c>
      <c r="BN109" s="715">
        <v>2.9143407871776064E-2</v>
      </c>
      <c r="BO109" s="716">
        <v>5.0977956609624432E-2</v>
      </c>
      <c r="BP109" s="715">
        <v>8.3705118104952528E-2</v>
      </c>
      <c r="BQ109" s="715">
        <v>0.13187622348363784</v>
      </c>
      <c r="BR109" s="715">
        <v>0.18861082036920715</v>
      </c>
      <c r="BS109" s="715">
        <v>0.24949380311068106</v>
      </c>
      <c r="BT109" s="715">
        <v>0.30689697043845759</v>
      </c>
      <c r="BW109" s="1185">
        <f>'2019'!R\Max</f>
        <v>0.88061250462210094</v>
      </c>
      <c r="BX109" s="1185">
        <f>'2020'!R\Max</f>
        <v>1.0299000222896286</v>
      </c>
      <c r="BY109" s="1185">
        <f>'2021'!R\Max</f>
        <v>0.95309179512970299</v>
      </c>
      <c r="BZ109" s="1185">
        <f>'2022'!R\Max</f>
        <v>0.99820683487597406</v>
      </c>
      <c r="CA109" s="1185">
        <f>'2023'!R\Max</f>
        <v>0.99820392081255382</v>
      </c>
      <c r="CB109" s="1185">
        <f>'2024'!R\Max</f>
        <v>0.99820089680510182</v>
      </c>
      <c r="CC109" s="1185">
        <f>'2025'!R\Max</f>
        <v>0.99819729630992582</v>
      </c>
      <c r="CD109" s="1185">
        <f>'2026'!R\Max</f>
        <v>0.99821226830923604</v>
      </c>
      <c r="CE109" s="1186">
        <f>'2027'!R\Max</f>
        <v>0.99821062751136147</v>
      </c>
      <c r="CF109" s="1187">
        <f>'2028'!R\Max</f>
        <v>0.99820862131871069</v>
      </c>
    </row>
    <row r="110" spans="1:84" s="6" customFormat="1" ht="11.25" x14ac:dyDescent="0.2">
      <c r="A110" s="11">
        <v>43196</v>
      </c>
      <c r="B110" s="379">
        <f>'2022'!Maxi_hp</f>
        <v>59.416138633229195</v>
      </c>
      <c r="C110" s="13">
        <f>'2022'!An_max</f>
        <v>2020</v>
      </c>
      <c r="D110" s="1046">
        <f t="shared" si="59"/>
        <v>1.0426223804971275</v>
      </c>
      <c r="E110" s="13"/>
      <c r="F110" s="13">
        <f t="shared" si="76"/>
        <v>9</v>
      </c>
      <c r="G110" s="13">
        <f t="shared" si="60"/>
        <v>8</v>
      </c>
      <c r="H110" s="173">
        <f t="shared" si="61"/>
        <v>43206</v>
      </c>
      <c r="I110" s="742">
        <f t="shared" si="62"/>
        <v>0.7142857142857143</v>
      </c>
      <c r="J110" s="735">
        <f t="shared" si="63"/>
        <v>56.987208163418941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39">
        <v>43196</v>
      </c>
      <c r="AP110" s="13">
        <f t="shared" si="64"/>
        <v>5</v>
      </c>
      <c r="AQ110" s="13">
        <f t="shared" si="65"/>
        <v>6</v>
      </c>
      <c r="AR110" s="173">
        <f t="shared" si="66"/>
        <v>43192</v>
      </c>
      <c r="AS110" s="742">
        <f t="shared" si="67"/>
        <v>0.14285714285714285</v>
      </c>
      <c r="AT110" s="758">
        <f t="shared" si="68"/>
        <v>56.972138775885107</v>
      </c>
      <c r="AU110" s="13">
        <f t="shared" si="69"/>
        <v>5</v>
      </c>
      <c r="AV110" s="13">
        <f t="shared" si="70"/>
        <v>4</v>
      </c>
      <c r="AW110" s="173">
        <f t="shared" si="71"/>
        <v>43206</v>
      </c>
      <c r="AX110" s="742">
        <f t="shared" si="72"/>
        <v>0.35714285714285715</v>
      </c>
      <c r="AY110" s="758">
        <f t="shared" si="73"/>
        <v>56.777921173136143</v>
      </c>
      <c r="AZ110" s="735">
        <f t="shared" si="77"/>
        <v>56.875029974510625</v>
      </c>
      <c r="BA110" s="633">
        <f t="shared" si="74"/>
        <v>1.0426223804971275</v>
      </c>
      <c r="BC110" s="11">
        <v>43196</v>
      </c>
      <c r="BD110" s="289">
        <f>[3]!FeuilCaduc*(1-Persistant)+Persistant</f>
        <v>0.8109676190064915</v>
      </c>
      <c r="BE110" s="290">
        <f>[3]!CroissVégét</f>
        <v>6.3411438498040387E-2</v>
      </c>
      <c r="BF110" s="804">
        <f>1+[3]!Salcycl*Ksac</f>
        <v>1.0027419047516228</v>
      </c>
      <c r="BH110" s="1037">
        <f t="shared" si="75"/>
        <v>2.6099206933945268E-2</v>
      </c>
      <c r="BI110" s="11">
        <v>44292</v>
      </c>
      <c r="BJ110" s="715">
        <v>6.8298365856373668E-5</v>
      </c>
      <c r="BK110" s="715">
        <v>2.8222977903547566E-3</v>
      </c>
      <c r="BL110" s="715">
        <v>7.2610684418217318E-3</v>
      </c>
      <c r="BM110" s="715">
        <v>1.5189664806385873E-2</v>
      </c>
      <c r="BN110" s="715">
        <v>2.8844733493705699E-2</v>
      </c>
      <c r="BO110" s="716">
        <v>5.0096843167258459E-2</v>
      </c>
      <c r="BP110" s="715">
        <v>8.2575149401285755E-2</v>
      </c>
      <c r="BQ110" s="715">
        <v>0.13097500159931932</v>
      </c>
      <c r="BR110" s="715">
        <v>0.18935611985576337</v>
      </c>
      <c r="BS110" s="715">
        <v>0.25260218913446109</v>
      </c>
      <c r="BT110" s="715">
        <v>0.31286461018173356</v>
      </c>
      <c r="BW110" s="1185">
        <f>'2019'!R\Max</f>
        <v>0.31003418790246273</v>
      </c>
      <c r="BX110" s="1185">
        <f>'2020'!R\Max</f>
        <v>1.0426223804971275</v>
      </c>
      <c r="BY110" s="1185">
        <f>'2021'!R\Max</f>
        <v>0.42974611613675273</v>
      </c>
      <c r="BZ110" s="1185">
        <f>'2022'!R\Max</f>
        <v>0.2283768214453627</v>
      </c>
      <c r="CA110" s="1185">
        <f>'2023'!R\Max</f>
        <v>0.22811949453132349</v>
      </c>
      <c r="CB110" s="1185">
        <f>'2024'!R\Max</f>
        <v>0.2278529472937636</v>
      </c>
      <c r="CC110" s="1185">
        <f>'2025'!R\Max</f>
        <v>0.22753414330539243</v>
      </c>
      <c r="CD110" s="1185">
        <f>'2026'!R\Max</f>
        <v>0.22885022845698752</v>
      </c>
      <c r="CE110" s="1186">
        <f>'2027'!R\Max</f>
        <v>0.2287063160469581</v>
      </c>
      <c r="CF110" s="1187">
        <f>'2028'!R\Max</f>
        <v>0.22853190143663363</v>
      </c>
    </row>
    <row r="111" spans="1:84" s="6" customFormat="1" ht="11.25" x14ac:dyDescent="0.2">
      <c r="A111" s="11">
        <v>43197</v>
      </c>
      <c r="B111" s="379">
        <f>'2022'!Maxi_hp</f>
        <v>57.546398916195137</v>
      </c>
      <c r="C111" s="13">
        <f>'2022'!An_max</f>
        <v>2021</v>
      </c>
      <c r="D111" s="1046">
        <f t="shared" si="59"/>
        <v>1.0060726522953785</v>
      </c>
      <c r="E111" s="13"/>
      <c r="F111" s="13">
        <f t="shared" si="76"/>
        <v>9</v>
      </c>
      <c r="G111" s="13">
        <f t="shared" si="60"/>
        <v>8</v>
      </c>
      <c r="H111" s="173">
        <f t="shared" si="61"/>
        <v>43206</v>
      </c>
      <c r="I111" s="742">
        <f t="shared" si="62"/>
        <v>0.6428571428571429</v>
      </c>
      <c r="J111" s="735">
        <f t="shared" si="63"/>
        <v>57.199048980112593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39">
        <v>43197</v>
      </c>
      <c r="AP111" s="13">
        <f t="shared" si="64"/>
        <v>5</v>
      </c>
      <c r="AQ111" s="13">
        <f t="shared" si="65"/>
        <v>6</v>
      </c>
      <c r="AR111" s="173">
        <f t="shared" si="66"/>
        <v>43192</v>
      </c>
      <c r="AS111" s="742">
        <f t="shared" si="67"/>
        <v>0.17857142857142858</v>
      </c>
      <c r="AT111" s="758">
        <f t="shared" si="68"/>
        <v>57.183246046304703</v>
      </c>
      <c r="AU111" s="13">
        <f t="shared" si="69"/>
        <v>5</v>
      </c>
      <c r="AV111" s="13">
        <f t="shared" si="70"/>
        <v>4</v>
      </c>
      <c r="AW111" s="173">
        <f t="shared" si="71"/>
        <v>43206</v>
      </c>
      <c r="AX111" s="742">
        <f t="shared" si="72"/>
        <v>0.32142857142857145</v>
      </c>
      <c r="AY111" s="758">
        <f t="shared" si="73"/>
        <v>57.011322353554093</v>
      </c>
      <c r="AZ111" s="735">
        <f t="shared" si="77"/>
        <v>57.097284199929398</v>
      </c>
      <c r="BA111" s="633">
        <f t="shared" si="74"/>
        <v>1.0060726522953785</v>
      </c>
      <c r="BC111" s="11">
        <v>43197</v>
      </c>
      <c r="BD111" s="289">
        <f>[3]!FeuilCaduc*(1-Persistant)+Persistant</f>
        <v>0.81175652279106436</v>
      </c>
      <c r="BE111" s="290">
        <f>[3]!CroissVégét</f>
        <v>6.5947331619938404E-2</v>
      </c>
      <c r="BF111" s="804">
        <f>1+[3]!Salcycl*Ksac</f>
        <v>1.0029391306977662</v>
      </c>
      <c r="BH111" s="1037">
        <f t="shared" si="75"/>
        <v>2.5812908383160509E-2</v>
      </c>
      <c r="BI111" s="11">
        <v>44293</v>
      </c>
      <c r="BJ111" s="715">
        <v>5.9938798048806253E-5</v>
      </c>
      <c r="BK111" s="715">
        <v>2.787397053480958E-3</v>
      </c>
      <c r="BL111" s="715">
        <v>7.2095225154930609E-3</v>
      </c>
      <c r="BM111" s="715">
        <v>1.5034636916247117E-2</v>
      </c>
      <c r="BN111" s="715">
        <v>2.852539899318933E-2</v>
      </c>
      <c r="BO111" s="716">
        <v>4.9171838777577047E-2</v>
      </c>
      <c r="BP111" s="715">
        <v>8.1340915095842459E-2</v>
      </c>
      <c r="BQ111" s="715">
        <v>0.12979589107875031</v>
      </c>
      <c r="BR111" s="715">
        <v>0.18967941258382404</v>
      </c>
      <c r="BS111" s="715">
        <v>0.25536931949366043</v>
      </c>
      <c r="BT111" s="715">
        <v>0.31888686775468478</v>
      </c>
      <c r="BW111" s="1185">
        <f>'2019'!R\Max</f>
        <v>0.43618482604298131</v>
      </c>
      <c r="BX111" s="1185">
        <f>'2020'!R\Max</f>
        <v>0.55555049724909433</v>
      </c>
      <c r="BY111" s="1185">
        <f>'2021'!R\Max</f>
        <v>1.0060726522953785</v>
      </c>
      <c r="BZ111" s="1185">
        <f>'2022'!R\Max</f>
        <v>0.82889384217535467</v>
      </c>
      <c r="CA111" s="1185">
        <f>'2023'!R\Max</f>
        <v>0.82866843667687651</v>
      </c>
      <c r="CB111" s="1185">
        <f>'2024'!R\Max</f>
        <v>0.82843447026444539</v>
      </c>
      <c r="CC111" s="1185">
        <f>'2025'!R\Max</f>
        <v>0.82815229127333145</v>
      </c>
      <c r="CD111" s="1185">
        <f>'2026'!R\Max</f>
        <v>0.82930069211790458</v>
      </c>
      <c r="CE111" s="1186">
        <f>'2027'!R\Max</f>
        <v>0.82917649772299884</v>
      </c>
      <c r="CF111" s="1187">
        <f>'2028'!R\Max</f>
        <v>0.8290269512419457</v>
      </c>
    </row>
    <row r="112" spans="1:84" s="6" customFormat="1" ht="11.25" x14ac:dyDescent="0.2">
      <c r="A112" s="11">
        <v>43198</v>
      </c>
      <c r="B112" s="379">
        <f>'2022'!Maxi_hp</f>
        <v>58.154414706140663</v>
      </c>
      <c r="C112" s="13">
        <f>'2022'!An_max</f>
        <v>2021</v>
      </c>
      <c r="D112" s="1046">
        <f t="shared" si="59"/>
        <v>1.0130736684610384</v>
      </c>
      <c r="E112" s="13"/>
      <c r="F112" s="13">
        <f t="shared" si="76"/>
        <v>9</v>
      </c>
      <c r="G112" s="13">
        <f t="shared" si="60"/>
        <v>8</v>
      </c>
      <c r="H112" s="173">
        <f t="shared" si="61"/>
        <v>43206</v>
      </c>
      <c r="I112" s="742">
        <f t="shared" si="62"/>
        <v>0.5714285714285714</v>
      </c>
      <c r="J112" s="735">
        <f t="shared" si="63"/>
        <v>57.403934695571664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39">
        <v>43198</v>
      </c>
      <c r="AP112" s="13">
        <f t="shared" si="64"/>
        <v>5</v>
      </c>
      <c r="AQ112" s="13">
        <f t="shared" si="65"/>
        <v>6</v>
      </c>
      <c r="AR112" s="173">
        <f t="shared" si="66"/>
        <v>43192</v>
      </c>
      <c r="AS112" s="742">
        <f t="shared" si="67"/>
        <v>0.21428571428571427</v>
      </c>
      <c r="AT112" s="758">
        <f t="shared" si="68"/>
        <v>57.388068367381173</v>
      </c>
      <c r="AU112" s="13">
        <f t="shared" si="69"/>
        <v>5</v>
      </c>
      <c r="AV112" s="13">
        <f t="shared" si="70"/>
        <v>4</v>
      </c>
      <c r="AW112" s="173">
        <f t="shared" si="71"/>
        <v>43206</v>
      </c>
      <c r="AX112" s="742">
        <f t="shared" si="72"/>
        <v>0.2857142857142857</v>
      </c>
      <c r="AY112" s="758">
        <f t="shared" si="73"/>
        <v>57.239330611803702</v>
      </c>
      <c r="AZ112" s="735">
        <f t="shared" si="77"/>
        <v>57.313699489592437</v>
      </c>
      <c r="BA112" s="633">
        <f t="shared" si="74"/>
        <v>1.0130736684610384</v>
      </c>
      <c r="BC112" s="11">
        <v>43198</v>
      </c>
      <c r="BD112" s="289">
        <f>[3]!FeuilCaduc*(1-Persistant)+Persistant</f>
        <v>0.81259139253103185</v>
      </c>
      <c r="BE112" s="290">
        <f>[3]!CroissVégét</f>
        <v>6.8575048275425571E-2</v>
      </c>
      <c r="BF112" s="804">
        <f>1+[3]!Salcycl*Ksac</f>
        <v>1.003147848132758</v>
      </c>
      <c r="BH112" s="1037">
        <f t="shared" si="75"/>
        <v>2.5510248557466891E-2</v>
      </c>
      <c r="BI112" s="11">
        <v>44294</v>
      </c>
      <c r="BJ112" s="715">
        <v>5.2059783580376797E-5</v>
      </c>
      <c r="BK112" s="715">
        <v>2.7455965040649975E-3</v>
      </c>
      <c r="BL112" s="715">
        <v>7.1565160715159094E-3</v>
      </c>
      <c r="BM112" s="715">
        <v>1.4880323431904522E-2</v>
      </c>
      <c r="BN112" s="715">
        <v>2.8185405903142335E-2</v>
      </c>
      <c r="BO112" s="716">
        <v>4.8202954321423082E-2</v>
      </c>
      <c r="BP112" s="715">
        <v>8.0002437177196406E-2</v>
      </c>
      <c r="BQ112" s="715">
        <v>0.12833894507111776</v>
      </c>
      <c r="BR112" s="715">
        <v>0.18958074801219585</v>
      </c>
      <c r="BS112" s="715">
        <v>0.25779516128763835</v>
      </c>
      <c r="BT112" s="715">
        <v>0.32496352907792075</v>
      </c>
      <c r="BW112" s="1185">
        <f>'2019'!R\Max</f>
        <v>0.60537734378254815</v>
      </c>
      <c r="BX112" s="1185">
        <f>'2020'!R\Max</f>
        <v>0.70392992838854396</v>
      </c>
      <c r="BY112" s="1185">
        <f>'2021'!R\Max</f>
        <v>1.0130736684610384</v>
      </c>
      <c r="BZ112" s="1185">
        <f>'2022'!R\Max</f>
        <v>0.72122470636160907</v>
      </c>
      <c r="CA112" s="1185">
        <f>'2023'!R\Max</f>
        <v>0.72090978379633142</v>
      </c>
      <c r="CB112" s="1185">
        <f>'2024'!R\Max</f>
        <v>0.72058294357808161</v>
      </c>
      <c r="CC112" s="1185">
        <f>'2025'!R\Max</f>
        <v>0.72018665080075983</v>
      </c>
      <c r="CD112" s="1185">
        <f>'2026'!R\Max</f>
        <v>0.72178395233649573</v>
      </c>
      <c r="CE112" s="1186">
        <f>'2027'!R\Max</f>
        <v>0.72161229167295438</v>
      </c>
      <c r="CF112" s="1187">
        <f>'2028'!R\Max</f>
        <v>0.72140720588925922</v>
      </c>
    </row>
    <row r="113" spans="1:84" s="6" customFormat="1" ht="11.25" x14ac:dyDescent="0.2">
      <c r="A113" s="11">
        <v>43199</v>
      </c>
      <c r="B113" s="379">
        <f>'2022'!Maxi_hp</f>
        <v>44.615117230380669</v>
      </c>
      <c r="C113" s="13">
        <f>'2022'!An_max</f>
        <v>2018</v>
      </c>
      <c r="D113" s="1046" t="str">
        <f t="shared" si="59"/>
        <v/>
      </c>
      <c r="E113" s="13"/>
      <c r="F113" s="13">
        <f t="shared" si="76"/>
        <v>9</v>
      </c>
      <c r="G113" s="13">
        <f t="shared" si="60"/>
        <v>8</v>
      </c>
      <c r="H113" s="173">
        <f t="shared" si="61"/>
        <v>43206</v>
      </c>
      <c r="I113" s="742">
        <f t="shared" si="62"/>
        <v>0.5</v>
      </c>
      <c r="J113" s="735">
        <f t="shared" si="63"/>
        <v>57.602300002053383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39">
        <v>43199</v>
      </c>
      <c r="AP113" s="13">
        <f t="shared" si="64"/>
        <v>5</v>
      </c>
      <c r="AQ113" s="13">
        <f t="shared" si="65"/>
        <v>6</v>
      </c>
      <c r="AR113" s="173">
        <f t="shared" si="66"/>
        <v>43192</v>
      </c>
      <c r="AS113" s="742">
        <f t="shared" si="67"/>
        <v>0.25</v>
      </c>
      <c r="AT113" s="758">
        <f t="shared" si="68"/>
        <v>57.586768749915066</v>
      </c>
      <c r="AU113" s="13">
        <f t="shared" si="69"/>
        <v>5</v>
      </c>
      <c r="AV113" s="13">
        <f t="shared" si="70"/>
        <v>4</v>
      </c>
      <c r="AW113" s="173">
        <f t="shared" si="71"/>
        <v>43206</v>
      </c>
      <c r="AX113" s="742">
        <f t="shared" si="72"/>
        <v>0.25</v>
      </c>
      <c r="AY113" s="758">
        <f t="shared" si="73"/>
        <v>57.461742187850177</v>
      </c>
      <c r="AZ113" s="735">
        <f t="shared" si="77"/>
        <v>57.524255468882622</v>
      </c>
      <c r="BA113" s="633">
        <f t="shared" si="74"/>
        <v>0.77453707974838237</v>
      </c>
      <c r="BC113" s="11">
        <v>43199</v>
      </c>
      <c r="BD113" s="289">
        <f>[3]!FeuilCaduc*(1-Persistant)+Persistant</f>
        <v>0.81347336900822631</v>
      </c>
      <c r="BE113" s="290">
        <f>[3]!CroissVégét</f>
        <v>7.1297326250557638E-2</v>
      </c>
      <c r="BF113" s="804">
        <f>1+[3]!Salcycl*Ksac</f>
        <v>1.0033683422520565</v>
      </c>
      <c r="BH113" s="1037">
        <f t="shared" si="75"/>
        <v>2.519122907239502E-2</v>
      </c>
      <c r="BI113" s="11">
        <v>44295</v>
      </c>
      <c r="BJ113" s="715">
        <v>4.4661298660135703E-5</v>
      </c>
      <c r="BK113" s="715">
        <v>2.6968979691377589E-3</v>
      </c>
      <c r="BL113" s="715">
        <v>7.102048112442509E-3</v>
      </c>
      <c r="BM113" s="715">
        <v>1.4726721931326407E-2</v>
      </c>
      <c r="BN113" s="715">
        <v>2.7824756855199775E-2</v>
      </c>
      <c r="BO113" s="716">
        <v>4.7190203334865316E-2</v>
      </c>
      <c r="BP113" s="715">
        <v>7.8559742711016317E-2</v>
      </c>
      <c r="BQ113" s="715">
        <v>0.12660422756357134</v>
      </c>
      <c r="BR113" s="715">
        <v>0.18906018933700924</v>
      </c>
      <c r="BS113" s="715">
        <v>0.25987968946616347</v>
      </c>
      <c r="BT113" s="715">
        <v>0.33109437038035333</v>
      </c>
      <c r="BW113" s="1185">
        <f>'2019'!R\Max</f>
        <v>0.77453707974838237</v>
      </c>
      <c r="BX113" s="1185">
        <f>'2020'!R\Max</f>
        <v>0.74133539174420082</v>
      </c>
      <c r="BY113" s="1185">
        <f>'2021'!R\Max</f>
        <v>0.65453824945094619</v>
      </c>
      <c r="BZ113" s="1185">
        <f>'2022'!R\Max</f>
        <v>0.57922640743427256</v>
      </c>
      <c r="CA113" s="1185">
        <f>'2023'!R\Max</f>
        <v>0.57885085462392505</v>
      </c>
      <c r="CB113" s="1185">
        <f>'2024'!R\Max</f>
        <v>0.57846122646989306</v>
      </c>
      <c r="CC113" s="1185">
        <f>'2025'!R\Max</f>
        <v>0.57798666580629421</v>
      </c>
      <c r="CD113" s="1185">
        <f>'2026'!R\Max</f>
        <v>0.57988251012809966</v>
      </c>
      <c r="CE113" s="1186">
        <f>'2027'!R\Max</f>
        <v>0.57967997336251564</v>
      </c>
      <c r="CF113" s="1187">
        <f>'2028'!R\Max</f>
        <v>0.579439941714738</v>
      </c>
    </row>
    <row r="114" spans="1:84" s="6" customFormat="1" ht="11.25" x14ac:dyDescent="0.2">
      <c r="A114" s="11">
        <v>43200</v>
      </c>
      <c r="B114" s="379">
        <f>'2022'!Maxi_hp</f>
        <v>60.582831847269297</v>
      </c>
      <c r="C114" s="13">
        <f>'2022'!An_max</f>
        <v>2022</v>
      </c>
      <c r="D114" s="1046">
        <f t="shared" si="59"/>
        <v>1.0482441826576601</v>
      </c>
      <c r="E114" s="13"/>
      <c r="F114" s="13">
        <f t="shared" si="76"/>
        <v>9</v>
      </c>
      <c r="G114" s="13">
        <f t="shared" si="60"/>
        <v>8</v>
      </c>
      <c r="H114" s="173">
        <f t="shared" si="61"/>
        <v>43206</v>
      </c>
      <c r="I114" s="742">
        <f t="shared" si="62"/>
        <v>0.42857142857142855</v>
      </c>
      <c r="J114" s="735">
        <f t="shared" si="63"/>
        <v>57.794579592772891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39">
        <v>43200</v>
      </c>
      <c r="AP114" s="13">
        <f t="shared" si="64"/>
        <v>5</v>
      </c>
      <c r="AQ114" s="13">
        <f t="shared" si="65"/>
        <v>6</v>
      </c>
      <c r="AR114" s="173">
        <f t="shared" si="66"/>
        <v>43192</v>
      </c>
      <c r="AS114" s="742">
        <f t="shared" si="67"/>
        <v>0.2857142857142857</v>
      </c>
      <c r="AT114" s="758">
        <f t="shared" si="68"/>
        <v>57.779510203429631</v>
      </c>
      <c r="AU114" s="13">
        <f t="shared" si="69"/>
        <v>5</v>
      </c>
      <c r="AV114" s="13">
        <f t="shared" si="70"/>
        <v>4</v>
      </c>
      <c r="AW114" s="173">
        <f t="shared" si="71"/>
        <v>43206</v>
      </c>
      <c r="AX114" s="742">
        <f t="shared" si="72"/>
        <v>0.21428571428571427</v>
      </c>
      <c r="AY114" s="758">
        <f t="shared" si="73"/>
        <v>57.678353315964344</v>
      </c>
      <c r="AZ114" s="735">
        <f t="shared" si="77"/>
        <v>57.728931759696991</v>
      </c>
      <c r="BA114" s="633">
        <f t="shared" si="74"/>
        <v>1.0482441826576601</v>
      </c>
      <c r="BC114" s="11">
        <v>43200</v>
      </c>
      <c r="BD114" s="289">
        <f>[3]!FeuilCaduc*(1-Persistant)+Persistant</f>
        <v>0.81440354302995865</v>
      </c>
      <c r="BE114" s="290">
        <f>[3]!CroissVégét</f>
        <v>7.4116938463242688E-2</v>
      </c>
      <c r="BF114" s="804">
        <f>1+[3]!Salcycl*Ksac</f>
        <v>1.0036008857574896</v>
      </c>
      <c r="BH114" s="1037">
        <f t="shared" si="75"/>
        <v>2.4832320596466336E-2</v>
      </c>
      <c r="BI114" s="11">
        <v>44296</v>
      </c>
      <c r="BJ114" s="715">
        <v>3.8111701223080749E-5</v>
      </c>
      <c r="BK114" s="715">
        <v>2.6359057239935032E-3</v>
      </c>
      <c r="BL114" s="715">
        <v>7.0272549877729712E-3</v>
      </c>
      <c r="BM114" s="715">
        <v>1.4542575634395911E-2</v>
      </c>
      <c r="BN114" s="715">
        <v>2.7421867229698457E-2</v>
      </c>
      <c r="BO114" s="716">
        <v>4.6153236870416454E-2</v>
      </c>
      <c r="BP114" s="715">
        <v>7.7020170042840674E-2</v>
      </c>
      <c r="BQ114" s="715">
        <v>0.12458071371353438</v>
      </c>
      <c r="BR114" s="715">
        <v>0.18797861413495015</v>
      </c>
      <c r="BS114" s="715">
        <v>0.26130156242404312</v>
      </c>
      <c r="BT114" s="715">
        <v>0.33666427303018143</v>
      </c>
      <c r="BW114" s="1185">
        <f>'2019'!R\Max</f>
        <v>0.60215979969670974</v>
      </c>
      <c r="BX114" s="1185">
        <f>'2020'!R\Max</f>
        <v>0.99260234842929596</v>
      </c>
      <c r="BY114" s="1185">
        <f>'2021'!R\Max</f>
        <v>0.63352634025422427</v>
      </c>
      <c r="BZ114" s="1185">
        <f>'2022'!R\Max</f>
        <v>1.0482441826576601</v>
      </c>
      <c r="CA114" s="1185">
        <f>'2023'!R\Max</f>
        <v>1.0482441826576598</v>
      </c>
      <c r="CB114" s="1185">
        <f>'2024'!R\Max</f>
        <v>1.0482441826576601</v>
      </c>
      <c r="CC114" s="1185">
        <f>'2025'!R\Max</f>
        <v>1.0482441826576601</v>
      </c>
      <c r="CD114" s="1185">
        <f>'2026'!R\Max</f>
        <v>1.0482441826576603</v>
      </c>
      <c r="CE114" s="1186">
        <f>'2027'!R\Max</f>
        <v>1.0482441826576601</v>
      </c>
      <c r="CF114" s="1187">
        <f>'2028'!R\Max</f>
        <v>1.0482441826576601</v>
      </c>
    </row>
    <row r="115" spans="1:84" s="6" customFormat="1" ht="11.25" x14ac:dyDescent="0.2">
      <c r="A115" s="11">
        <v>43201</v>
      </c>
      <c r="B115" s="379">
        <f>'2022'!Maxi_hp</f>
        <v>58.211509097292016</v>
      </c>
      <c r="C115" s="13">
        <f>'2022'!An_max</f>
        <v>2020</v>
      </c>
      <c r="D115" s="1046">
        <f t="shared" si="59"/>
        <v>1.0039719926445854</v>
      </c>
      <c r="E115" s="13"/>
      <c r="F115" s="13">
        <f t="shared" si="76"/>
        <v>9</v>
      </c>
      <c r="G115" s="13">
        <f t="shared" si="60"/>
        <v>8</v>
      </c>
      <c r="H115" s="173">
        <f t="shared" si="61"/>
        <v>43206</v>
      </c>
      <c r="I115" s="742">
        <f t="shared" si="62"/>
        <v>0.35714285714285715</v>
      </c>
      <c r="J115" s="735">
        <f t="shared" si="63"/>
        <v>57.981208164936717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39">
        <v>43201</v>
      </c>
      <c r="AP115" s="13">
        <f t="shared" si="64"/>
        <v>5</v>
      </c>
      <c r="AQ115" s="13">
        <f t="shared" si="65"/>
        <v>6</v>
      </c>
      <c r="AR115" s="173">
        <f t="shared" si="66"/>
        <v>43192</v>
      </c>
      <c r="AS115" s="742">
        <f t="shared" si="67"/>
        <v>0.32142857142857145</v>
      </c>
      <c r="AT115" s="758">
        <f t="shared" si="68"/>
        <v>57.966455738698798</v>
      </c>
      <c r="AU115" s="13">
        <f t="shared" si="69"/>
        <v>5</v>
      </c>
      <c r="AV115" s="13">
        <f t="shared" si="70"/>
        <v>4</v>
      </c>
      <c r="AW115" s="173">
        <f t="shared" si="71"/>
        <v>43206</v>
      </c>
      <c r="AX115" s="742">
        <f t="shared" si="72"/>
        <v>0.17857142857142858</v>
      </c>
      <c r="AY115" s="758">
        <f t="shared" si="73"/>
        <v>57.888960235632418</v>
      </c>
      <c r="AZ115" s="735">
        <f t="shared" si="77"/>
        <v>57.927707987165604</v>
      </c>
      <c r="BA115" s="633">
        <f t="shared" si="74"/>
        <v>1.0039719926445854</v>
      </c>
      <c r="BC115" s="11">
        <v>43201</v>
      </c>
      <c r="BD115" s="289">
        <f>[3]!FeuilCaduc*(1-Persistant)+Persistant</f>
        <v>0.81538295297642405</v>
      </c>
      <c r="BE115" s="290">
        <f>[3]!CroissVégét</f>
        <v>7.7036689395036897E-2</v>
      </c>
      <c r="BF115" s="804">
        <f>1+[3]!Salcycl*Ksac</f>
        <v>1.0038457382441059</v>
      </c>
      <c r="BH115" s="1037">
        <f t="shared" si="75"/>
        <v>2.4443291693244485E-2</v>
      </c>
      <c r="BI115" s="11">
        <v>44297</v>
      </c>
      <c r="BJ115" s="715">
        <v>3.2118420804666814E-5</v>
      </c>
      <c r="BK115" s="715">
        <v>2.5615525977902018E-3</v>
      </c>
      <c r="BL115" s="715">
        <v>6.9273447192109046E-3</v>
      </c>
      <c r="BM115" s="715">
        <v>1.4333338134782143E-2</v>
      </c>
      <c r="BN115" s="715">
        <v>2.6987591507861224E-2</v>
      </c>
      <c r="BO115" s="716">
        <v>4.5122205028635988E-2</v>
      </c>
      <c r="BP115" s="715">
        <v>7.544275039879135E-2</v>
      </c>
      <c r="BQ115" s="715">
        <v>0.12244405137375074</v>
      </c>
      <c r="BR115" s="715">
        <v>0.18653401397936945</v>
      </c>
      <c r="BS115" s="715">
        <v>0.26206754031466883</v>
      </c>
      <c r="BT115" s="715">
        <v>0.34122189306780126</v>
      </c>
      <c r="BW115" s="1185">
        <f>'2019'!R\Max</f>
        <v>0.13236073658539543</v>
      </c>
      <c r="BX115" s="1185">
        <f>'2020'!R\Max</f>
        <v>1.0039719926445854</v>
      </c>
      <c r="BY115" s="1185">
        <f>'2021'!R\Max</f>
        <v>0.13726091772897445</v>
      </c>
      <c r="BZ115" s="1185">
        <f>'2022'!R\Max</f>
        <v>0.83324486506020301</v>
      </c>
      <c r="CA115" s="1185">
        <f>'2023'!R\Max</f>
        <v>0.83303861535672374</v>
      </c>
      <c r="CB115" s="1185">
        <f>'2024'!R\Max</f>
        <v>0.83282459655840879</v>
      </c>
      <c r="CC115" s="1185">
        <f>'2025'!R\Max</f>
        <v>0.83256140462172024</v>
      </c>
      <c r="CD115" s="1185">
        <f>'2026'!R\Max</f>
        <v>0.83359497356757428</v>
      </c>
      <c r="CE115" s="1186">
        <f>'2027'!R\Max</f>
        <v>0.83348587880335945</v>
      </c>
      <c r="CF115" s="1187">
        <f>'2028'!R\Max</f>
        <v>0.83335835625604604</v>
      </c>
    </row>
    <row r="116" spans="1:84" s="6" customFormat="1" ht="11.25" x14ac:dyDescent="0.2">
      <c r="A116" s="11">
        <v>43202</v>
      </c>
      <c r="B116" s="379">
        <f>'2022'!Maxi_hp</f>
        <v>57.589141732142863</v>
      </c>
      <c r="C116" s="13">
        <f>'2022'!An_max</f>
        <v>2020</v>
      </c>
      <c r="D116" s="1046">
        <f t="shared" si="59"/>
        <v>0.99014008183974467</v>
      </c>
      <c r="E116" s="13"/>
      <c r="F116" s="13">
        <f t="shared" si="76"/>
        <v>9</v>
      </c>
      <c r="G116" s="13">
        <f t="shared" si="60"/>
        <v>8</v>
      </c>
      <c r="H116" s="173">
        <f t="shared" si="61"/>
        <v>43206</v>
      </c>
      <c r="I116" s="742">
        <f t="shared" si="62"/>
        <v>0.2857142857142857</v>
      </c>
      <c r="J116" s="735">
        <f t="shared" si="63"/>
        <v>58.162620409365203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39">
        <v>43202</v>
      </c>
      <c r="AP116" s="13">
        <f t="shared" si="64"/>
        <v>5</v>
      </c>
      <c r="AQ116" s="13">
        <f t="shared" si="65"/>
        <v>6</v>
      </c>
      <c r="AR116" s="173">
        <f t="shared" si="66"/>
        <v>43192</v>
      </c>
      <c r="AS116" s="742">
        <f t="shared" si="67"/>
        <v>0.35714285714285715</v>
      </c>
      <c r="AT116" s="758">
        <f t="shared" si="68"/>
        <v>58.147768367667275</v>
      </c>
      <c r="AU116" s="13">
        <f t="shared" si="69"/>
        <v>5</v>
      </c>
      <c r="AV116" s="13">
        <f t="shared" si="70"/>
        <v>4</v>
      </c>
      <c r="AW116" s="173">
        <f t="shared" si="71"/>
        <v>43206</v>
      </c>
      <c r="AX116" s="742">
        <f t="shared" si="72"/>
        <v>0.14285714285714285</v>
      </c>
      <c r="AY116" s="758">
        <f t="shared" si="73"/>
        <v>58.093359183945822</v>
      </c>
      <c r="AZ116" s="735">
        <f t="shared" si="77"/>
        <v>58.120563775806545</v>
      </c>
      <c r="BA116" s="633">
        <f t="shared" si="74"/>
        <v>0.99014008183974467</v>
      </c>
      <c r="BC116" s="11">
        <v>43202</v>
      </c>
      <c r="BD116" s="289">
        <f>[3]!FeuilCaduc*(1-Persistant)+Persistant</f>
        <v>0.81641258234202108</v>
      </c>
      <c r="BE116" s="290">
        <f>[3]!CroissVégét</f>
        <v>8.0059411132293548E-2</v>
      </c>
      <c r="BF116" s="804">
        <f>1+[3]!Salcycl*Ksac</f>
        <v>1.0041031455855052</v>
      </c>
      <c r="BH116" s="1037">
        <f t="shared" si="75"/>
        <v>2.4024152560891954E-2</v>
      </c>
      <c r="BI116" s="11">
        <v>44298</v>
      </c>
      <c r="BJ116" s="715">
        <v>2.6681372735644864E-5</v>
      </c>
      <c r="BK116" s="715">
        <v>2.4738438632209057E-3</v>
      </c>
      <c r="BL116" s="715">
        <v>6.8023257421970795E-3</v>
      </c>
      <c r="BM116" s="715">
        <v>1.4099017614788332E-2</v>
      </c>
      <c r="BN116" s="715">
        <v>2.6521940395167452E-2</v>
      </c>
      <c r="BO116" s="716">
        <v>4.4097111492109521E-2</v>
      </c>
      <c r="BP116" s="715">
        <v>7.3827503601739258E-2</v>
      </c>
      <c r="BQ116" s="715">
        <v>0.12019428226572572</v>
      </c>
      <c r="BR116" s="715">
        <v>0.1847264826875836</v>
      </c>
      <c r="BS116" s="715">
        <v>0.26217775016140499</v>
      </c>
      <c r="BT116" s="715">
        <v>0.34476738025655579</v>
      </c>
      <c r="BW116" s="1185">
        <f>'2019'!R\Max</f>
        <v>0.89175932960651916</v>
      </c>
      <c r="BX116" s="1185">
        <f>'2020'!R\Max</f>
        <v>0.99014008183974467</v>
      </c>
      <c r="BY116" s="1185">
        <f>'2021'!R\Max</f>
        <v>0.76680172695312054</v>
      </c>
      <c r="BZ116" s="1185">
        <f>'2022'!R\Max</f>
        <v>0.72845336647946457</v>
      </c>
      <c r="CA116" s="1185">
        <f>'2023'!R\Max</f>
        <v>0.72816586380287496</v>
      </c>
      <c r="CB116" s="1185">
        <f>'2024'!R\Max</f>
        <v>0.72786783022930113</v>
      </c>
      <c r="CC116" s="1185">
        <f>'2025'!R\Max</f>
        <v>0.7274997937067369</v>
      </c>
      <c r="CD116" s="1185">
        <f>'2026'!R\Max</f>
        <v>0.72893655403445767</v>
      </c>
      <c r="CE116" s="1186">
        <f>'2027'!R\Max</f>
        <v>0.72878533353454977</v>
      </c>
      <c r="CF116" s="1187">
        <f>'2028'!R\Max</f>
        <v>0.72860966971944052</v>
      </c>
    </row>
    <row r="117" spans="1:84" s="6" customFormat="1" ht="11.25" x14ac:dyDescent="0.2">
      <c r="A117" s="11">
        <v>43203</v>
      </c>
      <c r="B117" s="379">
        <f>'2022'!Maxi_hp</f>
        <v>56.994672036100951</v>
      </c>
      <c r="C117" s="13">
        <f>'2022'!An_max</f>
        <v>2018</v>
      </c>
      <c r="D117" s="1046">
        <f t="shared" si="59"/>
        <v>0.97695241261620036</v>
      </c>
      <c r="E117" s="13"/>
      <c r="F117" s="13">
        <f t="shared" si="76"/>
        <v>9</v>
      </c>
      <c r="G117" s="13">
        <f t="shared" si="60"/>
        <v>8</v>
      </c>
      <c r="H117" s="173">
        <f t="shared" si="61"/>
        <v>43206</v>
      </c>
      <c r="I117" s="742">
        <f t="shared" si="62"/>
        <v>0.21428571428571427</v>
      </c>
      <c r="J117" s="735">
        <f t="shared" si="63"/>
        <v>58.339251021934409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39">
        <v>43203</v>
      </c>
      <c r="AP117" s="13">
        <f t="shared" si="64"/>
        <v>5</v>
      </c>
      <c r="AQ117" s="13">
        <f t="shared" si="65"/>
        <v>6</v>
      </c>
      <c r="AR117" s="173">
        <f t="shared" si="66"/>
        <v>43192</v>
      </c>
      <c r="AS117" s="742">
        <f t="shared" si="67"/>
        <v>0.39285714285714285</v>
      </c>
      <c r="AT117" s="758">
        <f t="shared" si="68"/>
        <v>58.323611097357102</v>
      </c>
      <c r="AU117" s="13">
        <f t="shared" si="69"/>
        <v>5</v>
      </c>
      <c r="AV117" s="13">
        <f t="shared" si="70"/>
        <v>4</v>
      </c>
      <c r="AW117" s="173">
        <f t="shared" si="71"/>
        <v>43206</v>
      </c>
      <c r="AX117" s="742">
        <f t="shared" si="72"/>
        <v>0.10714285714285714</v>
      </c>
      <c r="AY117" s="758">
        <f t="shared" si="73"/>
        <v>58.291346396359486</v>
      </c>
      <c r="AZ117" s="735">
        <f t="shared" si="77"/>
        <v>58.307478746858294</v>
      </c>
      <c r="BA117" s="633">
        <f t="shared" si="74"/>
        <v>0.97695241261620036</v>
      </c>
      <c r="BC117" s="11">
        <v>43203</v>
      </c>
      <c r="BD117" s="289">
        <f>[3]!FeuilCaduc*(1-Persistant)+Persistant</f>
        <v>0.81749335725006778</v>
      </c>
      <c r="BE117" s="290">
        <f>[3]!CroissVégét</f>
        <v>8.3187958998136649E-2</v>
      </c>
      <c r="BF117" s="804">
        <f>1+[3]!Salcycl*Ksac</f>
        <v>1.0043733393125169</v>
      </c>
      <c r="BH117" s="1037">
        <f t="shared" si="75"/>
        <v>2.3574915136568005E-2</v>
      </c>
      <c r="BI117" s="11">
        <v>44299</v>
      </c>
      <c r="BJ117" s="715">
        <v>2.1800457056200776E-5</v>
      </c>
      <c r="BK117" s="715">
        <v>2.3727854408895771E-3</v>
      </c>
      <c r="BL117" s="715">
        <v>6.6522076577944416E-3</v>
      </c>
      <c r="BM117" s="715">
        <v>1.3839623559466382E-2</v>
      </c>
      <c r="BN117" s="715">
        <v>2.6024926445880767E-2</v>
      </c>
      <c r="BO117" s="716">
        <v>4.307796101139158E-2</v>
      </c>
      <c r="BP117" s="715">
        <v>7.2174453047740658E-2</v>
      </c>
      <c r="BQ117" s="715">
        <v>0.1178314555034225</v>
      </c>
      <c r="BR117" s="715">
        <v>0.1825561308889358</v>
      </c>
      <c r="BS117" s="715">
        <v>0.26163234503150479</v>
      </c>
      <c r="BT117" s="715">
        <v>0.34730092021955827</v>
      </c>
      <c r="BW117" s="1185">
        <f>'2019'!R\Max</f>
        <v>0.97695241261620036</v>
      </c>
      <c r="BX117" s="1185">
        <f>'2020'!R\Max</f>
        <v>0.76220479000285724</v>
      </c>
      <c r="BY117" s="1185">
        <f>'2021'!R\Max</f>
        <v>0.92992881451963816</v>
      </c>
      <c r="BZ117" s="1185">
        <f>'2022'!R\Max</f>
        <v>0.11242733125931574</v>
      </c>
      <c r="CA117" s="1185">
        <f>'2023'!R\Max</f>
        <v>0.11231546899873743</v>
      </c>
      <c r="CB117" s="1185">
        <f>'2024'!R\Max</f>
        <v>0.11219976090490212</v>
      </c>
      <c r="CC117" s="1185">
        <f>'2025'!R\Max</f>
        <v>0.1120564129869288</v>
      </c>
      <c r="CD117" s="1185">
        <f>'2026'!R\Max</f>
        <v>0.11261417092743536</v>
      </c>
      <c r="CE117" s="1186">
        <f>'2027'!R\Max</f>
        <v>0.11255544338014431</v>
      </c>
      <c r="CF117" s="1187">
        <f>'2028'!R\Max</f>
        <v>0.11248762853424407</v>
      </c>
    </row>
    <row r="118" spans="1:84" s="6" customFormat="1" ht="11.25" x14ac:dyDescent="0.2">
      <c r="A118" s="11">
        <v>43204</v>
      </c>
      <c r="B118" s="379">
        <f>'2022'!Maxi_hp</f>
        <v>57.747438215709053</v>
      </c>
      <c r="C118" s="13">
        <f>'2022'!An_max</f>
        <v>2021</v>
      </c>
      <c r="D118" s="1046">
        <f t="shared" si="59"/>
        <v>0.98694109659758755</v>
      </c>
      <c r="E118" s="13"/>
      <c r="F118" s="13">
        <f t="shared" si="76"/>
        <v>9</v>
      </c>
      <c r="G118" s="13">
        <f t="shared" si="60"/>
        <v>8</v>
      </c>
      <c r="H118" s="173">
        <f t="shared" si="61"/>
        <v>43206</v>
      </c>
      <c r="I118" s="742">
        <f t="shared" si="62"/>
        <v>0.14285714285714285</v>
      </c>
      <c r="J118" s="735">
        <f t="shared" si="63"/>
        <v>58.511534695220845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39">
        <v>43204</v>
      </c>
      <c r="AP118" s="13">
        <f t="shared" si="64"/>
        <v>5</v>
      </c>
      <c r="AQ118" s="13">
        <f t="shared" si="65"/>
        <v>6</v>
      </c>
      <c r="AR118" s="173">
        <f t="shared" si="66"/>
        <v>43192</v>
      </c>
      <c r="AS118" s="742">
        <f t="shared" si="67"/>
        <v>0.42857142857142855</v>
      </c>
      <c r="AT118" s="758">
        <f t="shared" si="68"/>
        <v>58.494146938621995</v>
      </c>
      <c r="AU118" s="13">
        <f t="shared" si="69"/>
        <v>5</v>
      </c>
      <c r="AV118" s="13">
        <f t="shared" si="70"/>
        <v>4</v>
      </c>
      <c r="AW118" s="173">
        <f t="shared" si="71"/>
        <v>43206</v>
      </c>
      <c r="AX118" s="742">
        <f t="shared" si="72"/>
        <v>7.1428571428571425E-2</v>
      </c>
      <c r="AY118" s="758">
        <f t="shared" si="73"/>
        <v>58.48271811269224</v>
      </c>
      <c r="AZ118" s="735">
        <f t="shared" si="77"/>
        <v>58.488432525657117</v>
      </c>
      <c r="BA118" s="633">
        <f t="shared" si="74"/>
        <v>0.98694109659758755</v>
      </c>
      <c r="BC118" s="11">
        <v>43204</v>
      </c>
      <c r="BD118" s="289">
        <f>[3]!FeuilCaduc*(1-Persistant)+Persistant</f>
        <v>0.81862614392166877</v>
      </c>
      <c r="BE118" s="290">
        <f>[3]!CroissVégét</f>
        <v>8.6425206757263798E-2</v>
      </c>
      <c r="BF118" s="804">
        <f>1+[3]!Salcycl*Ksac</f>
        <v>1.0046565359804172</v>
      </c>
      <c r="BH118" s="1037">
        <f t="shared" si="75"/>
        <v>2.3095593192561069E-2</v>
      </c>
      <c r="BI118" s="11">
        <v>44300</v>
      </c>
      <c r="BJ118" s="715">
        <v>1.7475556734881593E-5</v>
      </c>
      <c r="BK118" s="715">
        <v>2.2583839421394126E-3</v>
      </c>
      <c r="BL118" s="715">
        <v>6.4770013131074501E-3</v>
      </c>
      <c r="BM118" s="715">
        <v>1.3555166836802197E-2</v>
      </c>
      <c r="BN118" s="715">
        <v>2.5496564163194665E-2</v>
      </c>
      <c r="BO118" s="716">
        <v>4.2064759385312525E-2</v>
      </c>
      <c r="BP118" s="715">
        <v>7.0483625826224694E-2</v>
      </c>
      <c r="BQ118" s="715">
        <v>0.11535562795392276</v>
      </c>
      <c r="BR118" s="715">
        <v>0.18002308718444893</v>
      </c>
      <c r="BS118" s="715">
        <v>0.26043150613121707</v>
      </c>
      <c r="BT118" s="715">
        <v>0.34882273767274263</v>
      </c>
      <c r="BW118" s="1185">
        <f>'2019'!R\Max</f>
        <v>0.48166558170019735</v>
      </c>
      <c r="BX118" s="1185">
        <f>'2020'!R\Max</f>
        <v>0.35675019107485439</v>
      </c>
      <c r="BY118" s="1185">
        <f>'2021'!R\Max</f>
        <v>0.98694109659758755</v>
      </c>
      <c r="BZ118" s="1185">
        <f>'2022'!R\Max</f>
        <v>0.81055301250629519</v>
      </c>
      <c r="CA118" s="1185">
        <f>'2023'!R\Max</f>
        <v>0.81033992919834541</v>
      </c>
      <c r="CB118" s="1185">
        <f>'2024'!R\Max</f>
        <v>0.81011945339364144</v>
      </c>
      <c r="CC118" s="1185">
        <f>'2025'!R\Max</f>
        <v>0.80984453976971871</v>
      </c>
      <c r="CD118" s="1185">
        <f>'2026'!R\Max</f>
        <v>0.81090646295239155</v>
      </c>
      <c r="CE118" s="1186">
        <f>'2027'!R\Max</f>
        <v>0.81079512137541854</v>
      </c>
      <c r="CF118" s="1187">
        <f>'2028'!R\Max</f>
        <v>0.81066701213454417</v>
      </c>
    </row>
    <row r="119" spans="1:84" s="6" customFormat="1" ht="11.25" x14ac:dyDescent="0.2">
      <c r="A119" s="11">
        <v>43205</v>
      </c>
      <c r="B119" s="379">
        <f>'2022'!Maxi_hp</f>
        <v>58.651705388898215</v>
      </c>
      <c r="C119" s="13">
        <f>'2022'!An_max</f>
        <v>2021</v>
      </c>
      <c r="D119" s="1046">
        <f t="shared" si="59"/>
        <v>0.99951941411154877</v>
      </c>
      <c r="E119" s="13"/>
      <c r="F119" s="13">
        <f t="shared" si="76"/>
        <v>9</v>
      </c>
      <c r="G119" s="13">
        <f t="shared" si="60"/>
        <v>8</v>
      </c>
      <c r="H119" s="173">
        <f t="shared" si="61"/>
        <v>43206</v>
      </c>
      <c r="I119" s="742">
        <f t="shared" si="62"/>
        <v>7.1428571428571425E-2</v>
      </c>
      <c r="J119" s="735">
        <f t="shared" si="63"/>
        <v>58.679906123716918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39">
        <v>43205</v>
      </c>
      <c r="AP119" s="13">
        <f t="shared" si="64"/>
        <v>5</v>
      </c>
      <c r="AQ119" s="13">
        <f t="shared" si="65"/>
        <v>6</v>
      </c>
      <c r="AR119" s="173">
        <f t="shared" si="66"/>
        <v>43192</v>
      </c>
      <c r="AS119" s="742">
        <f t="shared" si="67"/>
        <v>0.4642857142857143</v>
      </c>
      <c r="AT119" s="758">
        <f t="shared" si="68"/>
        <v>58.659538902901112</v>
      </c>
      <c r="AU119" s="13">
        <f t="shared" si="69"/>
        <v>5</v>
      </c>
      <c r="AV119" s="13">
        <f t="shared" si="70"/>
        <v>4</v>
      </c>
      <c r="AW119" s="173">
        <f t="shared" si="71"/>
        <v>43206</v>
      </c>
      <c r="AX119" s="742">
        <f t="shared" si="72"/>
        <v>3.5714285714285712E-2</v>
      </c>
      <c r="AY119" s="758">
        <f t="shared" si="73"/>
        <v>58.667270567414484</v>
      </c>
      <c r="AZ119" s="735">
        <f t="shared" si="77"/>
        <v>58.663404735157798</v>
      </c>
      <c r="BA119" s="633">
        <f t="shared" si="74"/>
        <v>0.99951941411154877</v>
      </c>
      <c r="BC119" s="11">
        <v>43205</v>
      </c>
      <c r="BD119" s="289">
        <f>[3]!FeuilCaduc*(1-Persistant)+Persistant</f>
        <v>0.81981174608120277</v>
      </c>
      <c r="BE119" s="290">
        <f>[3]!CroissVégét</f>
        <v>8.9774041376326802E-2</v>
      </c>
      <c r="BF119" s="804">
        <f>1+[3]!Salcycl*Ksac</f>
        <v>1.0049529365203007</v>
      </c>
      <c r="BH119" s="1037">
        <f t="shared" si="75"/>
        <v>2.2586202432977945E-2</v>
      </c>
      <c r="BI119" s="11">
        <v>44301</v>
      </c>
      <c r="BJ119" s="715">
        <v>1.3706535888095552E-5</v>
      </c>
      <c r="BK119" s="715">
        <v>2.130646711938028E-3</v>
      </c>
      <c r="BL119" s="715">
        <v>6.2767188818589371E-3</v>
      </c>
      <c r="BM119" s="715">
        <v>1.3245659778227949E-2</v>
      </c>
      <c r="BN119" s="715">
        <v>2.4936870099992889E-2</v>
      </c>
      <c r="BO119" s="716">
        <v>4.1057513442305585E-2</v>
      </c>
      <c r="BP119" s="715">
        <v>6.8755052841889458E-2</v>
      </c>
      <c r="BQ119" s="715">
        <v>0.1127668646008721</v>
      </c>
      <c r="BR119" s="715">
        <v>0.17712749931077382</v>
      </c>
      <c r="BS119" s="715">
        <v>0.25857544490701562</v>
      </c>
      <c r="BT119" s="715">
        <v>0.34933309966599618</v>
      </c>
      <c r="BW119" s="1185">
        <f>'2019'!R\Max</f>
        <v>0.73072573355902659</v>
      </c>
      <c r="BX119" s="1185">
        <f>'2020'!R\Max</f>
        <v>0.85961305407046507</v>
      </c>
      <c r="BY119" s="1185">
        <f>'2021'!R\Max</f>
        <v>0.99951941411154877</v>
      </c>
      <c r="BZ119" s="1185">
        <f>'2022'!R\Max</f>
        <v>0.8271076855172641</v>
      </c>
      <c r="CA119" s="1185">
        <f>'2023'!R\Max</f>
        <v>0.82691430256248255</v>
      </c>
      <c r="CB119" s="1185">
        <f>'2024'!R\Max</f>
        <v>0.82671448248210588</v>
      </c>
      <c r="CC119" s="1185">
        <f>'2025'!R\Max</f>
        <v>0.8264640748815002</v>
      </c>
      <c r="CD119" s="1185">
        <f>'2026'!R\Max</f>
        <v>0.82742783013229171</v>
      </c>
      <c r="CE119" s="1186">
        <f>'2027'!R\Max</f>
        <v>0.82732674159945208</v>
      </c>
      <c r="CF119" s="1187">
        <f>'2028'!R\Max</f>
        <v>0.82721083061986345</v>
      </c>
    </row>
    <row r="120" spans="1:84" s="6" customFormat="1" ht="11.25" x14ac:dyDescent="0.2">
      <c r="A120" s="11">
        <v>43206</v>
      </c>
      <c r="B120" s="379">
        <f>'2022'!Maxi_hp</f>
        <v>57.771393300679215</v>
      </c>
      <c r="C120" s="13">
        <f>'2022'!An_max</f>
        <v>2020</v>
      </c>
      <c r="D120" s="1046">
        <f t="shared" si="59"/>
        <v>0.98175868213657191</v>
      </c>
      <c r="E120" s="1041">
        <f>U$13/10</f>
        <v>58.844799999999999</v>
      </c>
      <c r="F120" s="13">
        <f t="shared" si="76"/>
        <v>9</v>
      </c>
      <c r="G120" s="13">
        <f t="shared" si="60"/>
        <v>10</v>
      </c>
      <c r="H120" s="173">
        <f t="shared" si="61"/>
        <v>43206</v>
      </c>
      <c r="I120" s="742">
        <f t="shared" si="62"/>
        <v>0</v>
      </c>
      <c r="J120" s="735">
        <f t="shared" si="63"/>
        <v>58.844800002127883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39">
        <v>43206</v>
      </c>
      <c r="AP120" s="13">
        <f t="shared" si="64"/>
        <v>5</v>
      </c>
      <c r="AQ120" s="13">
        <f t="shared" si="65"/>
        <v>6</v>
      </c>
      <c r="AR120" s="173">
        <f t="shared" si="66"/>
        <v>43192</v>
      </c>
      <c r="AS120" s="742">
        <f t="shared" si="67"/>
        <v>0.5</v>
      </c>
      <c r="AT120" s="758">
        <f t="shared" si="68"/>
        <v>58.819949999824168</v>
      </c>
      <c r="AU120" s="13">
        <f t="shared" si="69"/>
        <v>5</v>
      </c>
      <c r="AV120" s="13">
        <f t="shared" si="70"/>
        <v>6</v>
      </c>
      <c r="AW120" s="173">
        <f t="shared" si="71"/>
        <v>43206</v>
      </c>
      <c r="AX120" s="742">
        <f t="shared" si="72"/>
        <v>0</v>
      </c>
      <c r="AY120" s="758">
        <f t="shared" si="73"/>
        <v>58.844800000637768</v>
      </c>
      <c r="AZ120" s="735">
        <f t="shared" si="77"/>
        <v>58.832375000230968</v>
      </c>
      <c r="BA120" s="633">
        <f t="shared" si="74"/>
        <v>0.98175868213657191</v>
      </c>
      <c r="BC120" s="11">
        <v>43206</v>
      </c>
      <c r="BD120" s="289">
        <f>[3]!FeuilCaduc*(1-Persistant)+Persistant</f>
        <v>0.82105090228302391</v>
      </c>
      <c r="BE120" s="290">
        <f>[3]!CroissVégét</f>
        <v>9.3237357323611589E-2</v>
      </c>
      <c r="BF120" s="804">
        <f>1+[3]!Salcycl*Ksac</f>
        <v>1.005262725570756</v>
      </c>
      <c r="BH120" s="1037">
        <f t="shared" si="75"/>
        <v>2.2046760589916697E-2</v>
      </c>
      <c r="BI120" s="11">
        <v>44302</v>
      </c>
      <c r="BJ120" s="715">
        <v>1.0493237999071393E-5</v>
      </c>
      <c r="BK120" s="715">
        <v>1.989581871709771E-3</v>
      </c>
      <c r="BL120" s="715">
        <v>6.0513739448208054E-3</v>
      </c>
      <c r="BM120" s="715">
        <v>1.2911116258831228E-2</v>
      </c>
      <c r="BN120" s="715">
        <v>2.4345862959039788E-2</v>
      </c>
      <c r="BO120" s="716">
        <v>4.005623102078773E-2</v>
      </c>
      <c r="BP120" s="715">
        <v>6.6988768935013501E-2</v>
      </c>
      <c r="BQ120" s="715">
        <v>0.11006523890534352</v>
      </c>
      <c r="BR120" s="715">
        <v>0.17386953530015792</v>
      </c>
      <c r="BS120" s="715">
        <v>0.25606440514116202</v>
      </c>
      <c r="BT120" s="715">
        <v>0.3488323188168187</v>
      </c>
      <c r="BW120" s="1185">
        <f>'2019'!R\Max</f>
        <v>0.55149736105313951</v>
      </c>
      <c r="BX120" s="1185">
        <f>'2020'!R\Max</f>
        <v>0.98175868213657191</v>
      </c>
      <c r="BY120" s="1185">
        <f>'2021'!R\Max</f>
        <v>0.90573232026263861</v>
      </c>
      <c r="BZ120" s="1185">
        <f>'2022'!R\Max</f>
        <v>0.67467676299529689</v>
      </c>
      <c r="CA120" s="1185">
        <f>'2023'!R\Max</f>
        <v>0.67438812851512397</v>
      </c>
      <c r="CB120" s="1185">
        <f>'2024'!R\Max</f>
        <v>0.67409049245386643</v>
      </c>
      <c r="CC120" s="1185">
        <f>'2025'!R\Max</f>
        <v>0.67371575523541793</v>
      </c>
      <c r="CD120" s="1185">
        <f>'2026'!R\Max</f>
        <v>0.67515555488336609</v>
      </c>
      <c r="CE120" s="1186">
        <f>'2027'!R\Max</f>
        <v>0.67500407948854346</v>
      </c>
      <c r="CF120" s="1187">
        <f>'2028'!R\Max</f>
        <v>0.6748308634717326</v>
      </c>
    </row>
    <row r="121" spans="1:84" s="6" customFormat="1" ht="11.25" x14ac:dyDescent="0.2">
      <c r="A121" s="11">
        <v>43207</v>
      </c>
      <c r="B121" s="379">
        <f>'2022'!Maxi_hp</f>
        <v>58.506000012119351</v>
      </c>
      <c r="C121" s="13">
        <f>'2022'!An_max</f>
        <v>2022</v>
      </c>
      <c r="D121" s="1046">
        <f t="shared" si="59"/>
        <v>0.99154152077015534</v>
      </c>
      <c r="E121" s="13"/>
      <c r="F121" s="13">
        <f t="shared" si="76"/>
        <v>9</v>
      </c>
      <c r="G121" s="13">
        <f t="shared" si="60"/>
        <v>10</v>
      </c>
      <c r="H121" s="173">
        <f t="shared" si="61"/>
        <v>43206</v>
      </c>
      <c r="I121" s="742">
        <f t="shared" si="62"/>
        <v>7.1428571428571425E-2</v>
      </c>
      <c r="J121" s="735">
        <f t="shared" si="63"/>
        <v>59.005093368834686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39">
        <v>43207</v>
      </c>
      <c r="AP121" s="13">
        <f t="shared" si="64"/>
        <v>5</v>
      </c>
      <c r="AQ121" s="13">
        <f t="shared" si="65"/>
        <v>6</v>
      </c>
      <c r="AR121" s="173">
        <f t="shared" si="66"/>
        <v>43192</v>
      </c>
      <c r="AS121" s="742">
        <f t="shared" si="67"/>
        <v>0.5357142857142857</v>
      </c>
      <c r="AT121" s="758">
        <f t="shared" si="68"/>
        <v>58.975543239898983</v>
      </c>
      <c r="AU121" s="13">
        <f t="shared" si="69"/>
        <v>5</v>
      </c>
      <c r="AV121" s="13">
        <f t="shared" si="70"/>
        <v>6</v>
      </c>
      <c r="AW121" s="173">
        <f t="shared" si="71"/>
        <v>43206</v>
      </c>
      <c r="AX121" s="742">
        <f t="shared" si="72"/>
        <v>3.5714285714285712E-2</v>
      </c>
      <c r="AY121" s="758">
        <f t="shared" si="73"/>
        <v>59.015109438795072</v>
      </c>
      <c r="AZ121" s="735">
        <f t="shared" si="77"/>
        <v>58.995326339347031</v>
      </c>
      <c r="BA121" s="633">
        <f t="shared" si="74"/>
        <v>0.99154152077015534</v>
      </c>
      <c r="BC121" s="11">
        <v>43207</v>
      </c>
      <c r="BD121" s="289">
        <f>[3]!FeuilCaduc*(1-Persistant)+Persistant</f>
        <v>0.8223442831464931</v>
      </c>
      <c r="BE121" s="290">
        <f>[3]!CroissVégét</f>
        <v>9.6818050392965163E-2</v>
      </c>
      <c r="BF121" s="804">
        <f>1+[3]!Salcycl*Ksac</f>
        <v>1.0055860707866233</v>
      </c>
      <c r="BH121" s="1037">
        <f t="shared" si="75"/>
        <v>2.147728751992271E-2</v>
      </c>
      <c r="BI121" s="11">
        <v>44303</v>
      </c>
      <c r="BJ121" s="715">
        <v>7.8354841370970947E-6</v>
      </c>
      <c r="BK121" s="715">
        <v>1.8351983621964817E-3</v>
      </c>
      <c r="BL121" s="715">
        <v>5.8009815703244415E-3</v>
      </c>
      <c r="BM121" s="715">
        <v>1.2551551777730275E-2</v>
      </c>
      <c r="BN121" s="715">
        <v>2.3723563693483312E-2</v>
      </c>
      <c r="BO121" s="716">
        <v>3.9060920950059246E-2</v>
      </c>
      <c r="BP121" s="715">
        <v>6.5184813002635511E-2</v>
      </c>
      <c r="BQ121" s="715">
        <v>0.10725083316811632</v>
      </c>
      <c r="BR121" s="715">
        <v>0.17024938464260136</v>
      </c>
      <c r="BS121" s="715">
        <v>0.25289866505039754</v>
      </c>
      <c r="BT121" s="715">
        <v>0.34732075654812666</v>
      </c>
      <c r="BW121" s="1185">
        <f>'2019'!R\Max</f>
        <v>0.59128520295294862</v>
      </c>
      <c r="BX121" s="1185">
        <f>'2020'!R\Max</f>
        <v>0.78424209295298231</v>
      </c>
      <c r="BY121" s="1185">
        <f>'2021'!R\Max</f>
        <v>0.98327728855653029</v>
      </c>
      <c r="BZ121" s="1185">
        <f>'2022'!R\Max</f>
        <v>0.99154152077015534</v>
      </c>
      <c r="CA121" s="1185">
        <f>'2023'!R\Max</f>
        <v>0.99153081191206716</v>
      </c>
      <c r="CB121" s="1185">
        <f>'2024'!R\Max</f>
        <v>0.99151978016257714</v>
      </c>
      <c r="CC121" s="1185">
        <f>'2025'!R\Max</f>
        <v>0.99150580242156627</v>
      </c>
      <c r="CD121" s="1185">
        <f>'2026'!R\Max</f>
        <v>0.99155935713596799</v>
      </c>
      <c r="CE121" s="1186">
        <f>'2027'!R\Max</f>
        <v>0.99155371132708137</v>
      </c>
      <c r="CF121" s="1187">
        <f>'2028'!R\Max</f>
        <v>0.99154726143644034</v>
      </c>
    </row>
    <row r="122" spans="1:84" s="6" customFormat="1" ht="11.25" x14ac:dyDescent="0.2">
      <c r="A122" s="11">
        <v>43208</v>
      </c>
      <c r="B122" s="379">
        <f>'2022'!Maxi_hp</f>
        <v>47.717829043951738</v>
      </c>
      <c r="C122" s="13">
        <f>'2022'!An_max</f>
        <v>2021</v>
      </c>
      <c r="D122" s="1046" t="str">
        <f t="shared" si="59"/>
        <v/>
      </c>
      <c r="E122" s="13"/>
      <c r="F122" s="13">
        <f t="shared" si="76"/>
        <v>9</v>
      </c>
      <c r="G122" s="13">
        <f t="shared" si="60"/>
        <v>10</v>
      </c>
      <c r="H122" s="173">
        <f t="shared" si="61"/>
        <v>43206</v>
      </c>
      <c r="I122" s="742">
        <f t="shared" si="62"/>
        <v>0.14285714285714285</v>
      </c>
      <c r="J122" s="735">
        <f t="shared" si="63"/>
        <v>59.159518368967937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39">
        <v>43208</v>
      </c>
      <c r="AP122" s="13">
        <f t="shared" si="64"/>
        <v>5</v>
      </c>
      <c r="AQ122" s="13">
        <f t="shared" si="65"/>
        <v>6</v>
      </c>
      <c r="AR122" s="173">
        <f t="shared" si="66"/>
        <v>43192</v>
      </c>
      <c r="AS122" s="742">
        <f t="shared" si="67"/>
        <v>0.5714285714285714</v>
      </c>
      <c r="AT122" s="758">
        <f t="shared" si="68"/>
        <v>59.126481632994754</v>
      </c>
      <c r="AU122" s="13">
        <f t="shared" si="69"/>
        <v>5</v>
      </c>
      <c r="AV122" s="13">
        <f t="shared" si="70"/>
        <v>6</v>
      </c>
      <c r="AW122" s="173">
        <f t="shared" si="71"/>
        <v>43206</v>
      </c>
      <c r="AX122" s="742">
        <f t="shared" si="72"/>
        <v>7.1428571428571425E-2</v>
      </c>
      <c r="AY122" s="758">
        <f t="shared" si="73"/>
        <v>59.178282652529234</v>
      </c>
      <c r="AZ122" s="735">
        <f t="shared" si="77"/>
        <v>59.152382142761994</v>
      </c>
      <c r="BA122" s="633">
        <f t="shared" si="74"/>
        <v>0.80659596899257513</v>
      </c>
      <c r="BC122" s="11">
        <v>43208</v>
      </c>
      <c r="BD122" s="289">
        <f>[3]!FeuilCaduc*(1-Persistant)+Persistant</f>
        <v>0.82369248848932741</v>
      </c>
      <c r="BE122" s="290">
        <f>[3]!CroissVégét</f>
        <v>0.10051901103841099</v>
      </c>
      <c r="BF122" s="804">
        <f>1+[3]!Salcycl*Ksac</f>
        <v>1.0059231221223319</v>
      </c>
      <c r="BH122" s="1037">
        <f t="shared" si="75"/>
        <v>2.0849063089488105E-2</v>
      </c>
      <c r="BI122" s="11">
        <v>44304</v>
      </c>
      <c r="BJ122" s="715">
        <v>5.742208017065283E-6</v>
      </c>
      <c r="BK122" s="715">
        <v>1.6748217032856794E-3</v>
      </c>
      <c r="BL122" s="715">
        <v>5.5248765390909522E-3</v>
      </c>
      <c r="BM122" s="715">
        <v>1.2140907505768411E-2</v>
      </c>
      <c r="BN122" s="715">
        <v>2.3040582418354487E-2</v>
      </c>
      <c r="BO122" s="716">
        <v>3.8057766414773514E-2</v>
      </c>
      <c r="BP122" s="715">
        <v>6.3396852592571801E-2</v>
      </c>
      <c r="BQ122" s="715">
        <v>0.10439134323396325</v>
      </c>
      <c r="BR122" s="715">
        <v>0.16630172151504669</v>
      </c>
      <c r="BS122" s="715">
        <v>0.24895613813496936</v>
      </c>
      <c r="BT122" s="715">
        <v>0.34446044636574985</v>
      </c>
      <c r="BW122" s="1185">
        <f>'2019'!R\Max</f>
        <v>0.47106848286902619</v>
      </c>
      <c r="BX122" s="1185">
        <f>'2020'!R\Max</f>
        <v>0.46844061460834607</v>
      </c>
      <c r="BY122" s="1185">
        <f>'2021'!R\Max</f>
        <v>0.80659596899257513</v>
      </c>
      <c r="BZ122" s="1185">
        <f>'2022'!R\Max</f>
        <v>0.64388029322328244</v>
      </c>
      <c r="CA122" s="1185">
        <f>'2023'!R\Max</f>
        <v>0.64359617313288076</v>
      </c>
      <c r="CB122" s="1185">
        <f>'2024'!R\Max</f>
        <v>0.64330432115474068</v>
      </c>
      <c r="CC122" s="1185">
        <f>'2025'!R\Max</f>
        <v>0.64293329646949338</v>
      </c>
      <c r="CD122" s="1185">
        <f>'2026'!R\Max</f>
        <v>0.64435761561488247</v>
      </c>
      <c r="CE122" s="1186">
        <f>'2027'!R\Max</f>
        <v>0.64420646933977499</v>
      </c>
      <c r="CF122" s="1187">
        <f>'2028'!R\Max</f>
        <v>0.64403385114865397</v>
      </c>
    </row>
    <row r="123" spans="1:84" s="6" customFormat="1" ht="11.25" x14ac:dyDescent="0.2">
      <c r="A123" s="11">
        <v>43209</v>
      </c>
      <c r="B123" s="379">
        <f>'2022'!Maxi_hp</f>
        <v>57.424115414132181</v>
      </c>
      <c r="C123" s="13">
        <f>'2022'!An_max</f>
        <v>2021</v>
      </c>
      <c r="D123" s="1046" t="str">
        <f t="shared" si="59"/>
        <v/>
      </c>
      <c r="E123" s="13"/>
      <c r="F123" s="13">
        <f t="shared" si="76"/>
        <v>9</v>
      </c>
      <c r="G123" s="13">
        <f t="shared" si="60"/>
        <v>10</v>
      </c>
      <c r="H123" s="173">
        <f t="shared" si="61"/>
        <v>43206</v>
      </c>
      <c r="I123" s="742">
        <f t="shared" si="62"/>
        <v>0.21428571428571427</v>
      </c>
      <c r="J123" s="735">
        <f t="shared" si="63"/>
        <v>59.30829234692667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39">
        <v>43209</v>
      </c>
      <c r="AP123" s="13">
        <f t="shared" si="64"/>
        <v>5</v>
      </c>
      <c r="AQ123" s="13">
        <f t="shared" si="65"/>
        <v>6</v>
      </c>
      <c r="AR123" s="173">
        <f t="shared" si="66"/>
        <v>43192</v>
      </c>
      <c r="AS123" s="742">
        <f t="shared" si="67"/>
        <v>0.6071428571428571</v>
      </c>
      <c r="AT123" s="758">
        <f t="shared" si="68"/>
        <v>59.272928188421893</v>
      </c>
      <c r="AU123" s="13">
        <f t="shared" si="69"/>
        <v>5</v>
      </c>
      <c r="AV123" s="13">
        <f t="shared" si="70"/>
        <v>6</v>
      </c>
      <c r="AW123" s="173">
        <f t="shared" si="71"/>
        <v>43206</v>
      </c>
      <c r="AX123" s="742">
        <f t="shared" si="72"/>
        <v>0.10714285714285714</v>
      </c>
      <c r="AY123" s="758">
        <f t="shared" si="73"/>
        <v>59.334536990150809</v>
      </c>
      <c r="AZ123" s="735">
        <f t="shared" si="77"/>
        <v>59.303732589286355</v>
      </c>
      <c r="BA123" s="633">
        <f t="shared" si="74"/>
        <v>0.96823080115386051</v>
      </c>
      <c r="BC123" s="11">
        <v>43209</v>
      </c>
      <c r="BD123" s="289">
        <f>[3]!FeuilCaduc*(1-Persistant)+Persistant</f>
        <v>0.82509604435245776</v>
      </c>
      <c r="BE123" s="290">
        <f>[3]!CroissVégét</f>
        <v>0.1043431172076847</v>
      </c>
      <c r="BF123" s="804">
        <f>1+[3]!Salcycl*Ksac</f>
        <v>1.0062740110881143</v>
      </c>
      <c r="BH123" s="1037">
        <f t="shared" si="75"/>
        <v>2.0168629884233003E-2</v>
      </c>
      <c r="BI123" s="11">
        <v>44305</v>
      </c>
      <c r="BJ123" s="715">
        <v>4.0266509594586417E-6</v>
      </c>
      <c r="BK123" s="715">
        <v>1.5164093857459289E-3</v>
      </c>
      <c r="BL123" s="715">
        <v>5.2292977614393915E-3</v>
      </c>
      <c r="BM123" s="715">
        <v>1.1673011044750844E-2</v>
      </c>
      <c r="BN123" s="715">
        <v>2.2306661608449591E-2</v>
      </c>
      <c r="BO123" s="716">
        <v>3.7060400194965572E-2</v>
      </c>
      <c r="BP123" s="715">
        <v>6.166984992616812E-2</v>
      </c>
      <c r="BQ123" s="715">
        <v>0.10158840670546325</v>
      </c>
      <c r="BR123" s="715">
        <v>0.16224935917675595</v>
      </c>
      <c r="BS123" s="715">
        <v>0.24456943631477143</v>
      </c>
      <c r="BT123" s="715">
        <v>0.34064559932881266</v>
      </c>
      <c r="BW123" s="1185">
        <f>'2019'!R\Max</f>
        <v>0.79940730432819096</v>
      </c>
      <c r="BX123" s="1185">
        <f>'2020'!R\Max</f>
        <v>0.71856760598573666</v>
      </c>
      <c r="BY123" s="1185">
        <f>'2021'!R\Max</f>
        <v>0.96823080115386051</v>
      </c>
      <c r="BZ123" s="1185">
        <f>'2022'!R\Max</f>
        <v>0.17197603931282648</v>
      </c>
      <c r="CA123" s="1185">
        <f>'2023'!R\Max</f>
        <v>0.171830968926242</v>
      </c>
      <c r="CB123" s="1185">
        <f>'2024'!R\Max</f>
        <v>0.17168237893979371</v>
      </c>
      <c r="CC123" s="1185">
        <f>'2025'!R\Max</f>
        <v>0.17149303845390593</v>
      </c>
      <c r="CD123" s="1185">
        <f>'2026'!R\Max</f>
        <v>0.17222225803003433</v>
      </c>
      <c r="CE123" s="1186">
        <f>'2027'!R\Max</f>
        <v>0.17214432809429886</v>
      </c>
      <c r="CF123" s="1187">
        <f>'2028'!R\Max</f>
        <v>0.17205524614242357</v>
      </c>
    </row>
    <row r="124" spans="1:84" s="6" customFormat="1" ht="11.25" x14ac:dyDescent="0.2">
      <c r="A124" s="11">
        <v>43210</v>
      </c>
      <c r="B124" s="379">
        <f>'2022'!Maxi_hp</f>
        <v>54.37744314192939</v>
      </c>
      <c r="C124" s="13">
        <f>'2022'!An_max</f>
        <v>2018</v>
      </c>
      <c r="D124" s="1046" t="str">
        <f t="shared" si="59"/>
        <v/>
      </c>
      <c r="E124" s="13"/>
      <c r="F124" s="13">
        <f t="shared" si="76"/>
        <v>9</v>
      </c>
      <c r="G124" s="13">
        <f t="shared" si="60"/>
        <v>10</v>
      </c>
      <c r="H124" s="173">
        <f t="shared" si="61"/>
        <v>43206</v>
      </c>
      <c r="I124" s="742">
        <f t="shared" si="62"/>
        <v>0.2857142857142857</v>
      </c>
      <c r="J124" s="735">
        <f t="shared" si="63"/>
        <v>59.451632653708963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39">
        <v>43210</v>
      </c>
      <c r="AP124" s="13">
        <f t="shared" si="64"/>
        <v>5</v>
      </c>
      <c r="AQ124" s="13">
        <f t="shared" si="65"/>
        <v>6</v>
      </c>
      <c r="AR124" s="173">
        <f t="shared" si="66"/>
        <v>43192</v>
      </c>
      <c r="AS124" s="742">
        <f t="shared" si="67"/>
        <v>0.6428571428571429</v>
      </c>
      <c r="AT124" s="758">
        <f t="shared" si="68"/>
        <v>59.415045918896794</v>
      </c>
      <c r="AU124" s="13">
        <f t="shared" si="69"/>
        <v>5</v>
      </c>
      <c r="AV124" s="13">
        <f t="shared" si="70"/>
        <v>6</v>
      </c>
      <c r="AW124" s="173">
        <f t="shared" si="71"/>
        <v>43206</v>
      </c>
      <c r="AX124" s="742">
        <f t="shared" si="72"/>
        <v>0.14285714285714285</v>
      </c>
      <c r="AY124" s="758">
        <f t="shared" si="73"/>
        <v>59.484089795766138</v>
      </c>
      <c r="AZ124" s="735">
        <f t="shared" si="77"/>
        <v>59.449567857331466</v>
      </c>
      <c r="BA124" s="633">
        <f t="shared" si="74"/>
        <v>0.91465012338121188</v>
      </c>
      <c r="BC124" s="11">
        <v>43210</v>
      </c>
      <c r="BD124" s="289">
        <f>[3]!FeuilCaduc*(1-Persistant)+Persistant</f>
        <v>0.8265553999130506</v>
      </c>
      <c r="BE124" s="290">
        <f>[3]!CroissVégét</f>
        <v>0.10829322666502313</v>
      </c>
      <c r="BF124" s="804">
        <f>1+[3]!Salcycl*Ksac</f>
        <v>1.0066388499782626</v>
      </c>
      <c r="BH124" s="1037">
        <f t="shared" si="75"/>
        <v>1.9436028087661865E-2</v>
      </c>
      <c r="BI124" s="11">
        <v>44306</v>
      </c>
      <c r="BJ124" s="715">
        <v>2.6886561181632284E-6</v>
      </c>
      <c r="BK124" s="715">
        <v>1.3599642312767393E-3</v>
      </c>
      <c r="BL124" s="715">
        <v>4.9142621398097323E-3</v>
      </c>
      <c r="BM124" s="715">
        <v>1.1147902224787792E-2</v>
      </c>
      <c r="BN124" s="715">
        <v>2.1521841536209292E-2</v>
      </c>
      <c r="BO124" s="716">
        <v>3.6068834483801E-2</v>
      </c>
      <c r="BP124" s="715">
        <v>6.0003799579288065E-2</v>
      </c>
      <c r="BQ124" s="715">
        <v>9.8842037053626944E-2</v>
      </c>
      <c r="BR124" s="715">
        <v>0.15809241219355036</v>
      </c>
      <c r="BS124" s="715">
        <v>0.23973883853886621</v>
      </c>
      <c r="BT124" s="715">
        <v>0.33587672097799182</v>
      </c>
      <c r="BW124" s="1185">
        <f>'2019'!R\Max</f>
        <v>0.91465012338121188</v>
      </c>
      <c r="BX124" s="1185">
        <f>'2020'!R\Max</f>
        <v>0.33999088178967196</v>
      </c>
      <c r="BY124" s="1185">
        <f>'2021'!R\Max</f>
        <v>0.77015650510158484</v>
      </c>
      <c r="BZ124" s="1185">
        <f>'2022'!R\Max</f>
        <v>0.17670608600395163</v>
      </c>
      <c r="CA124" s="1185">
        <f>'2023'!R\Max</f>
        <v>0.17656090540293146</v>
      </c>
      <c r="CB124" s="1185">
        <f>'2024'!R\Max</f>
        <v>0.17641251224094007</v>
      </c>
      <c r="CC124" s="1185">
        <f>'2025'!R\Max</f>
        <v>0.1762230199927938</v>
      </c>
      <c r="CD124" s="1185">
        <f>'2026'!R\Max</f>
        <v>0.17695515950800886</v>
      </c>
      <c r="CE124" s="1186">
        <f>'2027'!R\Max</f>
        <v>0.17687646645370483</v>
      </c>
      <c r="CF124" s="1187">
        <f>'2028'!R\Max</f>
        <v>0.17678627729853588</v>
      </c>
    </row>
    <row r="125" spans="1:84" s="6" customFormat="1" ht="11.25" x14ac:dyDescent="0.2">
      <c r="A125" s="11">
        <v>43211</v>
      </c>
      <c r="B125" s="379">
        <f>'2022'!Maxi_hp</f>
        <v>48.591897253026858</v>
      </c>
      <c r="C125" s="13">
        <f>'2022'!An_max</f>
        <v>2021</v>
      </c>
      <c r="D125" s="1046" t="str">
        <f t="shared" si="59"/>
        <v/>
      </c>
      <c r="E125" s="13"/>
      <c r="F125" s="13">
        <f t="shared" si="76"/>
        <v>9</v>
      </c>
      <c r="G125" s="13">
        <f t="shared" si="60"/>
        <v>10</v>
      </c>
      <c r="H125" s="173">
        <f t="shared" si="61"/>
        <v>43206</v>
      </c>
      <c r="I125" s="742">
        <f t="shared" si="62"/>
        <v>0.35714285714285715</v>
      </c>
      <c r="J125" s="735">
        <f t="shared" si="63"/>
        <v>59.58975663334131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39">
        <v>43211</v>
      </c>
      <c r="AP125" s="13">
        <f t="shared" si="64"/>
        <v>5</v>
      </c>
      <c r="AQ125" s="13">
        <f t="shared" si="65"/>
        <v>6</v>
      </c>
      <c r="AR125" s="173">
        <f t="shared" si="66"/>
        <v>43192</v>
      </c>
      <c r="AS125" s="742">
        <f t="shared" si="67"/>
        <v>0.6785714285714286</v>
      </c>
      <c r="AT125" s="758">
        <f t="shared" si="68"/>
        <v>59.5529978312818</v>
      </c>
      <c r="AU125" s="13">
        <f t="shared" si="69"/>
        <v>5</v>
      </c>
      <c r="AV125" s="13">
        <f t="shared" si="70"/>
        <v>6</v>
      </c>
      <c r="AW125" s="173">
        <f t="shared" si="71"/>
        <v>43206</v>
      </c>
      <c r="AX125" s="742">
        <f t="shared" si="72"/>
        <v>0.17857142857142858</v>
      </c>
      <c r="AY125" s="758">
        <f t="shared" si="73"/>
        <v>59.627158419042829</v>
      </c>
      <c r="AZ125" s="735">
        <f t="shared" si="77"/>
        <v>59.590078125162314</v>
      </c>
      <c r="BA125" s="633">
        <f t="shared" si="74"/>
        <v>0.81544043806077582</v>
      </c>
      <c r="BC125" s="11">
        <v>43211</v>
      </c>
      <c r="BD125" s="289">
        <f>[3]!FeuilCaduc*(1-Persistant)+Persistant</f>
        <v>0.8280709242860641</v>
      </c>
      <c r="BE125" s="290">
        <f>[3]!CroissVégét</f>
        <v>0.11237216879596926</v>
      </c>
      <c r="BF125" s="804">
        <f>1+[3]!Salcycl*Ksac</f>
        <v>1.007017731071516</v>
      </c>
      <c r="BH125" s="1037">
        <f t="shared" si="75"/>
        <v>1.865135484261337E-2</v>
      </c>
      <c r="BI125" s="11">
        <v>44307</v>
      </c>
      <c r="BJ125" s="715">
        <v>1.7280523335770238E-6</v>
      </c>
      <c r="BK125" s="715">
        <v>1.2054925886330972E-3</v>
      </c>
      <c r="BL125" s="715">
        <v>4.579801108431405E-3</v>
      </c>
      <c r="BM125" s="715">
        <v>1.0565654822839943E-2</v>
      </c>
      <c r="BN125" s="715">
        <v>2.0686225224795914E-2</v>
      </c>
      <c r="BO125" s="716">
        <v>3.5083182336384924E-2</v>
      </c>
      <c r="BP125" s="715">
        <v>5.8398861190870295E-2</v>
      </c>
      <c r="BQ125" s="715">
        <v>9.6152521959740375E-2</v>
      </c>
      <c r="BR125" s="715">
        <v>0.15383144436230758</v>
      </c>
      <c r="BS125" s="715">
        <v>0.23446532230525202</v>
      </c>
      <c r="BT125" s="715">
        <v>0.33015531612218274</v>
      </c>
      <c r="BW125" s="1185">
        <f>'2019'!R\Max</f>
        <v>0.35742978899828554</v>
      </c>
      <c r="BX125" s="1185">
        <f>'2020'!R\Max</f>
        <v>0.20407304477930241</v>
      </c>
      <c r="BY125" s="1185">
        <f>'2021'!R\Max</f>
        <v>0.81544043806077582</v>
      </c>
      <c r="BZ125" s="1185">
        <f>'2022'!R\Max</f>
        <v>0.16224886251400403</v>
      </c>
      <c r="CA125" s="1185">
        <f>'2023'!R\Max</f>
        <v>0.16211879636135462</v>
      </c>
      <c r="CB125" s="1185">
        <f>'2024'!R\Max</f>
        <v>0.16198613632397837</v>
      </c>
      <c r="CC125" s="1185">
        <f>'2025'!R\Max</f>
        <v>0.16181660125578759</v>
      </c>
      <c r="CD125" s="1185">
        <f>'2026'!R\Max</f>
        <v>0.16247481429440669</v>
      </c>
      <c r="CE125" s="1186">
        <f>'2027'!R\Max</f>
        <v>0.16240361163932501</v>
      </c>
      <c r="CF125" s="1187">
        <f>'2028'!R\Max</f>
        <v>0.16232169676648567</v>
      </c>
    </row>
    <row r="126" spans="1:84" s="6" customFormat="1" ht="11.25" x14ac:dyDescent="0.2">
      <c r="A126" s="11">
        <v>43212</v>
      </c>
      <c r="B126" s="379">
        <f>'2022'!Maxi_hp</f>
        <v>56.763007267600109</v>
      </c>
      <c r="C126" s="13">
        <f>'2022'!An_max</f>
        <v>2021</v>
      </c>
      <c r="D126" s="1046" t="str">
        <f t="shared" si="59"/>
        <v/>
      </c>
      <c r="E126" s="13"/>
      <c r="F126" s="13">
        <f t="shared" si="76"/>
        <v>9</v>
      </c>
      <c r="G126" s="13">
        <f t="shared" si="60"/>
        <v>10</v>
      </c>
      <c r="H126" s="173">
        <f t="shared" si="61"/>
        <v>43206</v>
      </c>
      <c r="I126" s="742">
        <f t="shared" si="62"/>
        <v>0.42857142857142855</v>
      </c>
      <c r="J126" s="735">
        <f t="shared" si="63"/>
        <v>59.722881632723976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39">
        <v>43212</v>
      </c>
      <c r="AP126" s="13">
        <f t="shared" si="64"/>
        <v>5</v>
      </c>
      <c r="AQ126" s="13">
        <f t="shared" si="65"/>
        <v>6</v>
      </c>
      <c r="AR126" s="173">
        <f t="shared" si="66"/>
        <v>43192</v>
      </c>
      <c r="AS126" s="742">
        <f t="shared" si="67"/>
        <v>0.7142857142857143</v>
      </c>
      <c r="AT126" s="758">
        <f t="shared" si="68"/>
        <v>59.686946939038378</v>
      </c>
      <c r="AU126" s="13">
        <f t="shared" si="69"/>
        <v>5</v>
      </c>
      <c r="AV126" s="13">
        <f t="shared" si="70"/>
        <v>6</v>
      </c>
      <c r="AW126" s="173">
        <f t="shared" si="71"/>
        <v>43206</v>
      </c>
      <c r="AX126" s="742">
        <f t="shared" si="72"/>
        <v>0.21428571428571427</v>
      </c>
      <c r="AY126" s="758">
        <f t="shared" si="73"/>
        <v>59.763960203555008</v>
      </c>
      <c r="AZ126" s="735">
        <f t="shared" si="77"/>
        <v>59.725453571296697</v>
      </c>
      <c r="BA126" s="633">
        <f t="shared" si="74"/>
        <v>0.95043986016404702</v>
      </c>
      <c r="BC126" s="11">
        <v>43212</v>
      </c>
      <c r="BD126" s="289">
        <f>[3]!FeuilCaduc*(1-Persistant)+Persistant</f>
        <v>0.82964290321858791</v>
      </c>
      <c r="BE126" s="290">
        <f>[3]!CroissVégét</f>
        <v>0.11658273588973417</v>
      </c>
      <c r="BF126" s="804">
        <f>1+[3]!Salcycl*Ksac</f>
        <v>1.007410725804647</v>
      </c>
      <c r="BH126" s="1037">
        <f t="shared" si="75"/>
        <v>1.7814703029894352E-2</v>
      </c>
      <c r="BI126" s="11">
        <v>44308</v>
      </c>
      <c r="BJ126" s="715">
        <v>1.1446414347746552E-6</v>
      </c>
      <c r="BK126" s="715">
        <v>1.0529992315187768E-3</v>
      </c>
      <c r="BL126" s="715">
        <v>4.2259439207174773E-3</v>
      </c>
      <c r="BM126" s="715">
        <v>9.9263400752782893E-3</v>
      </c>
      <c r="BN126" s="715">
        <v>1.97999110021169E-2</v>
      </c>
      <c r="BO126" s="716">
        <v>3.4103548988482037E-2</v>
      </c>
      <c r="BP126" s="715">
        <v>5.685517938649233E-2</v>
      </c>
      <c r="BQ126" s="715">
        <v>9.3520125923520825E-2</v>
      </c>
      <c r="BR126" s="715">
        <v>0.14946699179576051</v>
      </c>
      <c r="BS126" s="715">
        <v>0.22874984841011065</v>
      </c>
      <c r="BT126" s="715">
        <v>0.3234828985028842</v>
      </c>
      <c r="BW126" s="1185">
        <f>'2019'!R\Max</f>
        <v>0.5510144522474868</v>
      </c>
      <c r="BX126" s="1185">
        <f>'2020'!R\Max</f>
        <v>0.30618271893647858</v>
      </c>
      <c r="BY126" s="1185">
        <f>'2021'!R\Max</f>
        <v>0.95043986016404702</v>
      </c>
      <c r="BZ126" s="1185">
        <f>'2022'!R\Max</f>
        <v>0.50014406267701039</v>
      </c>
      <c r="CA126" s="1185">
        <f>'2023'!R\Max</f>
        <v>0.49986428006105071</v>
      </c>
      <c r="CB126" s="1185">
        <f>'2024'!R\Max</f>
        <v>0.49957940922466432</v>
      </c>
      <c r="CC126" s="1185">
        <f>'2025'!R\Max</f>
        <v>0.49921541676125564</v>
      </c>
      <c r="CD126" s="1185">
        <f>'2026'!R\Max</f>
        <v>0.5006367765986256</v>
      </c>
      <c r="CE126" s="1186">
        <f>'2027'!R\Max</f>
        <v>0.50048207728711502</v>
      </c>
      <c r="CF126" s="1187">
        <f>'2028'!R\Max</f>
        <v>0.50030317553676007</v>
      </c>
    </row>
    <row r="127" spans="1:84" s="6" customFormat="1" ht="11.25" x14ac:dyDescent="0.2">
      <c r="A127" s="11">
        <v>43213</v>
      </c>
      <c r="B127" s="379">
        <f>'2022'!Maxi_hp</f>
        <v>60.533577473745396</v>
      </c>
      <c r="C127" s="13">
        <f>'2022'!An_max</f>
        <v>2021</v>
      </c>
      <c r="D127" s="1046">
        <f t="shared" si="59"/>
        <v>1.0114008104845844</v>
      </c>
      <c r="E127" s="13"/>
      <c r="F127" s="13">
        <f t="shared" si="76"/>
        <v>9</v>
      </c>
      <c r="G127" s="13">
        <f t="shared" si="60"/>
        <v>10</v>
      </c>
      <c r="H127" s="173">
        <f t="shared" si="61"/>
        <v>43206</v>
      </c>
      <c r="I127" s="742">
        <f t="shared" si="62"/>
        <v>0.5</v>
      </c>
      <c r="J127" s="735">
        <f t="shared" si="63"/>
        <v>59.851225000247361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39">
        <v>43213</v>
      </c>
      <c r="AP127" s="13">
        <f t="shared" si="64"/>
        <v>5</v>
      </c>
      <c r="AQ127" s="13">
        <f t="shared" si="65"/>
        <v>6</v>
      </c>
      <c r="AR127" s="173">
        <f t="shared" si="66"/>
        <v>43192</v>
      </c>
      <c r="AS127" s="742">
        <f t="shared" si="67"/>
        <v>0.75</v>
      </c>
      <c r="AT127" s="758">
        <f t="shared" si="68"/>
        <v>59.817056249827147</v>
      </c>
      <c r="AU127" s="13">
        <f t="shared" si="69"/>
        <v>5</v>
      </c>
      <c r="AV127" s="13">
        <f t="shared" si="70"/>
        <v>6</v>
      </c>
      <c r="AW127" s="173">
        <f t="shared" si="71"/>
        <v>43206</v>
      </c>
      <c r="AX127" s="742">
        <f t="shared" si="72"/>
        <v>0.25</v>
      </c>
      <c r="AY127" s="758">
        <f t="shared" si="73"/>
        <v>59.894712500367312</v>
      </c>
      <c r="AZ127" s="735">
        <f t="shared" si="77"/>
        <v>59.855884375097233</v>
      </c>
      <c r="BA127" s="633">
        <f t="shared" si="74"/>
        <v>1.0114008104845844</v>
      </c>
      <c r="BC127" s="11">
        <v>43213</v>
      </c>
      <c r="BD127" s="289">
        <f>[3]!FeuilCaduc*(1-Persistant)+Persistant</f>
        <v>0.83127153568523371</v>
      </c>
      <c r="BE127" s="290">
        <f>[3]!CroissVégét</f>
        <v>0.12092767389780094</v>
      </c>
      <c r="BF127" s="804">
        <f>1+[3]!Salcycl*Ksac</f>
        <v>1.0078178839213083</v>
      </c>
      <c r="BH127" s="1037">
        <f t="shared" si="75"/>
        <v>1.692611083938491E-2</v>
      </c>
      <c r="BI127" s="11">
        <v>44309</v>
      </c>
      <c r="BJ127" s="715">
        <v>9.3820498660730722E-7</v>
      </c>
      <c r="BK127" s="715">
        <v>9.0248475334536477E-4</v>
      </c>
      <c r="BL127" s="715">
        <v>3.8527059193775937E-3</v>
      </c>
      <c r="BM127" s="715">
        <v>9.2299983784582332E-3</v>
      </c>
      <c r="BN127" s="715">
        <v>1.8862936502764462E-2</v>
      </c>
      <c r="BO127" s="716">
        <v>3.3129936141740805E-2</v>
      </c>
      <c r="BP127" s="715">
        <v>5.5372725146470951E-2</v>
      </c>
      <c r="BQ127" s="715">
        <v>9.0944828576436987E-2</v>
      </c>
      <c r="BR127" s="715">
        <v>0.14499914065822217</v>
      </c>
      <c r="BS127" s="715">
        <v>0.22259270581527446</v>
      </c>
      <c r="BT127" s="715">
        <v>0.31586005337243001</v>
      </c>
      <c r="BW127" s="1185">
        <f>'2019'!R\Max</f>
        <v>0.68096672475169939</v>
      </c>
      <c r="BX127" s="1185">
        <f>'2020'!R\Max</f>
        <v>0.13381669226984441</v>
      </c>
      <c r="BY127" s="1185">
        <f>'2021'!R\Max</f>
        <v>1.0114008104845844</v>
      </c>
      <c r="BZ127" s="1185">
        <f>'2022'!R\Max</f>
        <v>0.17073814700838827</v>
      </c>
      <c r="CA127" s="1185">
        <f>'2023'!R\Max</f>
        <v>0.17060707253267607</v>
      </c>
      <c r="CB127" s="1185">
        <f>'2024'!R\Max</f>
        <v>0.17047396669571196</v>
      </c>
      <c r="CC127" s="1185">
        <f>'2025'!R\Max</f>
        <v>0.17030437294203349</v>
      </c>
      <c r="CD127" s="1185">
        <f>'2026'!R\Max</f>
        <v>0.17097284163634666</v>
      </c>
      <c r="CE127" s="1186">
        <f>'2027'!R\Max</f>
        <v>0.17089943645441058</v>
      </c>
      <c r="CF127" s="1187">
        <f>'2028'!R\Max</f>
        <v>0.17081405952944359</v>
      </c>
    </row>
    <row r="128" spans="1:84" s="6" customFormat="1" ht="11.25" x14ac:dyDescent="0.2">
      <c r="A128" s="11">
        <v>43214</v>
      </c>
      <c r="B128" s="379">
        <f>'2022'!Maxi_hp</f>
        <v>61.221202275533329</v>
      </c>
      <c r="C128" s="13">
        <f>'2022'!An_max</f>
        <v>2021</v>
      </c>
      <c r="D128" s="1046">
        <f t="shared" si="59"/>
        <v>1.0207786262365697</v>
      </c>
      <c r="E128" s="13"/>
      <c r="F128" s="13">
        <f t="shared" si="76"/>
        <v>9</v>
      </c>
      <c r="G128" s="13">
        <f t="shared" si="60"/>
        <v>10</v>
      </c>
      <c r="H128" s="173">
        <f t="shared" si="61"/>
        <v>43206</v>
      </c>
      <c r="I128" s="742">
        <f t="shared" si="62"/>
        <v>0.5714285714285714</v>
      </c>
      <c r="J128" s="735">
        <f t="shared" si="63"/>
        <v>59.975004082173108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39">
        <v>43214</v>
      </c>
      <c r="AP128" s="13">
        <f t="shared" si="64"/>
        <v>5</v>
      </c>
      <c r="AQ128" s="13">
        <f t="shared" si="65"/>
        <v>6</v>
      </c>
      <c r="AR128" s="173">
        <f t="shared" si="66"/>
        <v>43192</v>
      </c>
      <c r="AS128" s="742">
        <f t="shared" si="67"/>
        <v>0.7857142857142857</v>
      </c>
      <c r="AT128" s="758">
        <f t="shared" si="68"/>
        <v>59.943488775938746</v>
      </c>
      <c r="AU128" s="13">
        <f t="shared" si="69"/>
        <v>5</v>
      </c>
      <c r="AV128" s="13">
        <f t="shared" si="70"/>
        <v>6</v>
      </c>
      <c r="AW128" s="173">
        <f t="shared" si="71"/>
        <v>43206</v>
      </c>
      <c r="AX128" s="742">
        <f t="shared" si="72"/>
        <v>0.2857142857142857</v>
      </c>
      <c r="AY128" s="758">
        <f t="shared" si="73"/>
        <v>60.019632654104917</v>
      </c>
      <c r="AZ128" s="735">
        <f t="shared" si="77"/>
        <v>59.981560715021828</v>
      </c>
      <c r="BA128" s="633">
        <f t="shared" si="74"/>
        <v>1.0207786262365697</v>
      </c>
      <c r="BC128" s="11">
        <v>43214</v>
      </c>
      <c r="BD128" s="289">
        <f>[3]!FeuilCaduc*(1-Persistant)+Persistant</f>
        <v>0.83295693039693186</v>
      </c>
      <c r="BE128" s="290">
        <f>[3]!CroissVégét</f>
        <v>0.12540967267096395</v>
      </c>
      <c r="BF128" s="804">
        <f>1+[3]!Salcycl*Ksac</f>
        <v>1.0082392325992329</v>
      </c>
      <c r="BH128" s="1037">
        <f t="shared" si="75"/>
        <v>1.6012516606727596E-2</v>
      </c>
      <c r="BI128" s="11">
        <v>44310</v>
      </c>
      <c r="BJ128" s="715">
        <v>1.0942983956626047E-6</v>
      </c>
      <c r="BK128" s="715">
        <v>7.5996058027796571E-4</v>
      </c>
      <c r="BL128" s="715">
        <v>3.477697892877012E-3</v>
      </c>
      <c r="BM128" s="715">
        <v>8.5125705538968855E-3</v>
      </c>
      <c r="BN128" s="715">
        <v>1.7899974471049868E-2</v>
      </c>
      <c r="BO128" s="716">
        <v>3.2140156824553519E-2</v>
      </c>
      <c r="BP128" s="715">
        <v>5.3936657534816489E-2</v>
      </c>
      <c r="BQ128" s="715">
        <v>8.8453143911681867E-2</v>
      </c>
      <c r="BR128" s="715">
        <v>0.14055543904954074</v>
      </c>
      <c r="BS128" s="715">
        <v>0.21617130664505477</v>
      </c>
      <c r="BT128" s="715">
        <v>0.30751334842892031</v>
      </c>
      <c r="BW128" s="1185">
        <f>'2019'!R\Max</f>
        <v>0.8152975658307805</v>
      </c>
      <c r="BX128" s="1185">
        <f>'2020'!R\Max</f>
        <v>0.27774858697443855</v>
      </c>
      <c r="BY128" s="1185">
        <f>'2021'!R\Max</f>
        <v>1.0207786262365697</v>
      </c>
      <c r="BZ128" s="1185">
        <f>'2022'!R\Max</f>
        <v>0.48358725124304147</v>
      </c>
      <c r="CA128" s="1185">
        <f>'2023'!R\Max</f>
        <v>0.48331842353452387</v>
      </c>
      <c r="CB128" s="1185">
        <f>'2024'!R\Max</f>
        <v>0.48304589093198175</v>
      </c>
      <c r="CC128" s="1185">
        <f>'2025'!R\Max</f>
        <v>0.48269973466354282</v>
      </c>
      <c r="CD128" s="1185">
        <f>'2026'!R\Max</f>
        <v>0.48407528029508512</v>
      </c>
      <c r="CE128" s="1186">
        <f>'2027'!R\Max</f>
        <v>0.48392333375132868</v>
      </c>
      <c r="CF128" s="1187">
        <f>'2028'!R\Max</f>
        <v>0.48374545263683272</v>
      </c>
    </row>
    <row r="129" spans="1:84" s="6" customFormat="1" ht="11.25" x14ac:dyDescent="0.2">
      <c r="A129" s="11">
        <v>43215</v>
      </c>
      <c r="B129" s="379">
        <f>'2022'!Maxi_hp</f>
        <v>49.231227193041249</v>
      </c>
      <c r="C129" s="13">
        <f>'2022'!An_max</f>
        <v>2020</v>
      </c>
      <c r="D129" s="1046" t="str">
        <f t="shared" si="59"/>
        <v/>
      </c>
      <c r="E129" s="13"/>
      <c r="F129" s="13">
        <f t="shared" si="76"/>
        <v>9</v>
      </c>
      <c r="G129" s="13">
        <f t="shared" si="60"/>
        <v>10</v>
      </c>
      <c r="H129" s="173">
        <f t="shared" si="61"/>
        <v>43206</v>
      </c>
      <c r="I129" s="742">
        <f t="shared" si="62"/>
        <v>0.6428571428571429</v>
      </c>
      <c r="J129" s="735">
        <f t="shared" si="63"/>
        <v>60.09443622529507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39">
        <v>43215</v>
      </c>
      <c r="AP129" s="13">
        <f t="shared" si="64"/>
        <v>5</v>
      </c>
      <c r="AQ129" s="13">
        <f t="shared" si="65"/>
        <v>6</v>
      </c>
      <c r="AR129" s="173">
        <f t="shared" si="66"/>
        <v>43192</v>
      </c>
      <c r="AS129" s="742">
        <f t="shared" si="67"/>
        <v>0.8214285714285714</v>
      </c>
      <c r="AT129" s="758">
        <f t="shared" si="68"/>
        <v>60.066407524927385</v>
      </c>
      <c r="AU129" s="13">
        <f t="shared" si="69"/>
        <v>5</v>
      </c>
      <c r="AV129" s="13">
        <f t="shared" si="70"/>
        <v>6</v>
      </c>
      <c r="AW129" s="173">
        <f t="shared" si="71"/>
        <v>43206</v>
      </c>
      <c r="AX129" s="742">
        <f t="shared" si="72"/>
        <v>0.32142857142857145</v>
      </c>
      <c r="AY129" s="758">
        <f t="shared" si="73"/>
        <v>60.138938009845354</v>
      </c>
      <c r="AZ129" s="735">
        <f t="shared" si="77"/>
        <v>60.102672767386366</v>
      </c>
      <c r="BA129" s="633">
        <f t="shared" si="74"/>
        <v>0.81923103510735229</v>
      </c>
      <c r="BC129" s="11">
        <v>43215</v>
      </c>
      <c r="BD129" s="289">
        <f>[3]!FeuilCaduc*(1-Persistant)+Persistant</f>
        <v>0.83469910223959143</v>
      </c>
      <c r="BE129" s="290">
        <f>[3]!CroissVégét</f>
        <v>0.13003135568089563</v>
      </c>
      <c r="BF129" s="804">
        <f>1+[3]!Salcycl*Ksac</f>
        <v>1.0086747755598979</v>
      </c>
      <c r="BH129" s="1037">
        <f t="shared" si="75"/>
        <v>1.5097418328636855E-2</v>
      </c>
      <c r="BI129" s="11">
        <v>44311</v>
      </c>
      <c r="BJ129" s="715">
        <v>1.2452311767967242E-6</v>
      </c>
      <c r="BK129" s="715">
        <v>6.3080786263091531E-4</v>
      </c>
      <c r="BL129" s="715">
        <v>3.119740883983169E-3</v>
      </c>
      <c r="BM129" s="715">
        <v>7.805254140586625E-3</v>
      </c>
      <c r="BN129" s="715">
        <v>1.6932585214866631E-2</v>
      </c>
      <c r="BO129" s="716">
        <v>3.111464307577548E-2</v>
      </c>
      <c r="BP129" s="715">
        <v>5.2539668789945509E-2</v>
      </c>
      <c r="BQ129" s="715">
        <v>8.6056108507969908E-2</v>
      </c>
      <c r="BR129" s="715">
        <v>0.1362747549920264</v>
      </c>
      <c r="BS129" s="715">
        <v>0.20980637746969444</v>
      </c>
      <c r="BT129" s="715">
        <v>0.2990566257928679</v>
      </c>
      <c r="BW129" s="1185">
        <f>'2019'!R\Max</f>
        <v>0.62539925952428077</v>
      </c>
      <c r="BX129" s="1185">
        <f>'2020'!R\Max</f>
        <v>0.81923103510735229</v>
      </c>
      <c r="BY129" s="1185">
        <f>'2021'!R\Max</f>
        <v>0.43340983418876278</v>
      </c>
      <c r="BZ129" s="1185">
        <f>'2022'!R\Max</f>
        <v>0.76183446359105567</v>
      </c>
      <c r="CA129" s="1185">
        <f>'2023'!R\Max</f>
        <v>0.76164203215444526</v>
      </c>
      <c r="CB129" s="1185">
        <f>'2024'!R\Max</f>
        <v>0.76144720731807791</v>
      </c>
      <c r="CC129" s="1185">
        <f>'2025'!R\Max</f>
        <v>0.761200808995523</v>
      </c>
      <c r="CD129" s="1185">
        <f>'2026'!R\Max</f>
        <v>0.76218679188027427</v>
      </c>
      <c r="CE129" s="1186">
        <f>'2027'!R\Max</f>
        <v>0.76207758179039287</v>
      </c>
      <c r="CF129" s="1187">
        <f>'2028'!R\Max</f>
        <v>0.76194892717667717</v>
      </c>
    </row>
    <row r="130" spans="1:84" s="6" customFormat="1" ht="11.25" x14ac:dyDescent="0.2">
      <c r="A130" s="11">
        <v>43216</v>
      </c>
      <c r="B130" s="379">
        <f>'2022'!Maxi_hp</f>
        <v>58.799579012279175</v>
      </c>
      <c r="C130" s="13">
        <f>'2022'!An_max</f>
        <v>2022</v>
      </c>
      <c r="D130" s="1046">
        <f t="shared" si="59"/>
        <v>0.97657920808238241</v>
      </c>
      <c r="E130" s="13"/>
      <c r="F130" s="13">
        <f t="shared" si="76"/>
        <v>9</v>
      </c>
      <c r="G130" s="13">
        <f t="shared" si="60"/>
        <v>10</v>
      </c>
      <c r="H130" s="173">
        <f t="shared" si="61"/>
        <v>43206</v>
      </c>
      <c r="I130" s="742">
        <f t="shared" si="62"/>
        <v>0.7142857142857143</v>
      </c>
      <c r="J130" s="735">
        <f t="shared" si="63"/>
        <v>60.209738775555572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39">
        <v>43216</v>
      </c>
      <c r="AP130" s="13">
        <f t="shared" si="64"/>
        <v>5</v>
      </c>
      <c r="AQ130" s="13">
        <f t="shared" si="65"/>
        <v>6</v>
      </c>
      <c r="AR130" s="173">
        <f t="shared" si="66"/>
        <v>43192</v>
      </c>
      <c r="AS130" s="742">
        <f t="shared" si="67"/>
        <v>0.8571428571428571</v>
      </c>
      <c r="AT130" s="758">
        <f t="shared" si="68"/>
        <v>60.185975509775538</v>
      </c>
      <c r="AU130" s="13">
        <f t="shared" si="69"/>
        <v>5</v>
      </c>
      <c r="AV130" s="13">
        <f t="shared" si="70"/>
        <v>6</v>
      </c>
      <c r="AW130" s="173">
        <f t="shared" si="71"/>
        <v>43206</v>
      </c>
      <c r="AX130" s="742">
        <f t="shared" si="72"/>
        <v>0.35714285714285715</v>
      </c>
      <c r="AY130" s="758">
        <f t="shared" si="73"/>
        <v>60.252845918546825</v>
      </c>
      <c r="AZ130" s="735">
        <f t="shared" si="77"/>
        <v>60.219410714161185</v>
      </c>
      <c r="BA130" s="633">
        <f t="shared" si="74"/>
        <v>0.97657920808238241</v>
      </c>
      <c r="BC130" s="11">
        <v>43216</v>
      </c>
      <c r="BD130" s="289">
        <f>[3]!FeuilCaduc*(1-Persistant)+Persistant</f>
        <v>0.83649796866314208</v>
      </c>
      <c r="BE130" s="290">
        <f>[3]!CroissVégét</f>
        <v>0.13479526923661356</v>
      </c>
      <c r="BF130" s="804">
        <f>1+[3]!Salcycl*Ksac</f>
        <v>1.0091244921657856</v>
      </c>
      <c r="BH130" s="1037">
        <f t="shared" si="75"/>
        <v>1.4180827494754586E-2</v>
      </c>
      <c r="BI130" s="11">
        <v>44312</v>
      </c>
      <c r="BJ130" s="715">
        <v>1.3910040634176405E-6</v>
      </c>
      <c r="BK130" s="715">
        <v>5.1501984674473577E-4</v>
      </c>
      <c r="BL130" s="715">
        <v>2.7788286999060993E-3</v>
      </c>
      <c r="BM130" s="715">
        <v>7.1080516577732167E-3</v>
      </c>
      <c r="BN130" s="715">
        <v>1.5960782481372188E-2</v>
      </c>
      <c r="BO130" s="716">
        <v>3.005342641577962E-2</v>
      </c>
      <c r="BP130" s="715">
        <v>5.1181743274886844E-2</v>
      </c>
      <c r="BQ130" s="715">
        <v>8.3753678755822569E-2</v>
      </c>
      <c r="BR130" s="715">
        <v>0.13215701837934268</v>
      </c>
      <c r="BS130" s="715">
        <v>0.20349793168516375</v>
      </c>
      <c r="BT130" s="715">
        <v>0.29049001738612895</v>
      </c>
      <c r="BW130" s="1185">
        <f>'2019'!R\Max</f>
        <v>0.50875903469834083</v>
      </c>
      <c r="BX130" s="1185">
        <f>'2020'!R\Max</f>
        <v>0.80160629702921338</v>
      </c>
      <c r="BY130" s="1185">
        <f>'2021'!R\Max</f>
        <v>0.10223037764402523</v>
      </c>
      <c r="BZ130" s="1185">
        <f>'2022'!R\Max</f>
        <v>0.97657920808238241</v>
      </c>
      <c r="CA130" s="1185">
        <f>'2023'!R\Max</f>
        <v>0.97655523328842342</v>
      </c>
      <c r="CB130" s="1185">
        <f>'2024'!R\Max</f>
        <v>0.97653099266957843</v>
      </c>
      <c r="CC130" s="1185">
        <f>'2025'!R\Max</f>
        <v>0.97650051486636202</v>
      </c>
      <c r="CD130" s="1185">
        <f>'2026'!R\Max</f>
        <v>0.97662325765339697</v>
      </c>
      <c r="CE130" s="1186">
        <f>'2027'!R\Max</f>
        <v>0.97660966021205631</v>
      </c>
      <c r="CF130" s="1187">
        <f>'2028'!R\Max</f>
        <v>0.97659354752909278</v>
      </c>
    </row>
    <row r="131" spans="1:84" s="6" customFormat="1" ht="11.25" x14ac:dyDescent="0.2">
      <c r="A131" s="11">
        <v>43217</v>
      </c>
      <c r="B131" s="379">
        <f>'2022'!Maxi_hp</f>
        <v>45.165843898017897</v>
      </c>
      <c r="C131" s="13">
        <f>'2022'!An_max</f>
        <v>2022</v>
      </c>
      <c r="D131" s="1046" t="str">
        <f t="shared" si="59"/>
        <v/>
      </c>
      <c r="E131" s="13"/>
      <c r="F131" s="13">
        <f t="shared" si="76"/>
        <v>9</v>
      </c>
      <c r="G131" s="13">
        <f t="shared" si="60"/>
        <v>10</v>
      </c>
      <c r="H131" s="173">
        <f t="shared" si="61"/>
        <v>43206</v>
      </c>
      <c r="I131" s="742">
        <f t="shared" si="62"/>
        <v>0.7857142857142857</v>
      </c>
      <c r="J131" s="735">
        <f t="shared" si="63"/>
        <v>60.321129081664346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39">
        <v>43217</v>
      </c>
      <c r="AP131" s="13">
        <f t="shared" si="64"/>
        <v>5</v>
      </c>
      <c r="AQ131" s="13">
        <f t="shared" si="65"/>
        <v>6</v>
      </c>
      <c r="AR131" s="173">
        <f t="shared" si="66"/>
        <v>43192</v>
      </c>
      <c r="AS131" s="742">
        <f t="shared" si="67"/>
        <v>0.8928571428571429</v>
      </c>
      <c r="AT131" s="758">
        <f t="shared" si="68"/>
        <v>60.302355738862289</v>
      </c>
      <c r="AU131" s="13">
        <f t="shared" si="69"/>
        <v>5</v>
      </c>
      <c r="AV131" s="13">
        <f t="shared" si="70"/>
        <v>6</v>
      </c>
      <c r="AW131" s="173">
        <f t="shared" si="71"/>
        <v>43206</v>
      </c>
      <c r="AX131" s="742">
        <f t="shared" si="72"/>
        <v>0.39285714285714285</v>
      </c>
      <c r="AY131" s="758">
        <f t="shared" si="73"/>
        <v>60.36157372451521</v>
      </c>
      <c r="AZ131" s="735">
        <f t="shared" si="77"/>
        <v>60.33196473168875</v>
      </c>
      <c r="BA131" s="633">
        <f t="shared" si="74"/>
        <v>0.74875660627756446</v>
      </c>
      <c r="BC131" s="11">
        <v>43217</v>
      </c>
      <c r="BD131" s="289">
        <f>[3]!FeuilCaduc*(1-Persistant)+Persistant</f>
        <v>0.83835334604543776</v>
      </c>
      <c r="BE131" s="290">
        <f>[3]!CroissVégét</f>
        <v>0.13970387121088346</v>
      </c>
      <c r="BF131" s="804">
        <f>1+[3]!Salcycl*Ksac</f>
        <v>1.0095883365113594</v>
      </c>
      <c r="BH131" s="1037">
        <f t="shared" si="75"/>
        <v>1.3262756448639647E-2</v>
      </c>
      <c r="BI131" s="11">
        <v>44313</v>
      </c>
      <c r="BJ131" s="715">
        <v>1.5316178155405896E-6</v>
      </c>
      <c r="BK131" s="715">
        <v>4.1258947619574591E-4</v>
      </c>
      <c r="BL131" s="715">
        <v>2.4549549325129441E-3</v>
      </c>
      <c r="BM131" s="715">
        <v>6.4209659343330526E-3</v>
      </c>
      <c r="BN131" s="715">
        <v>1.4984581008617584E-2</v>
      </c>
      <c r="BO131" s="716">
        <v>2.8956540379257004E-2</v>
      </c>
      <c r="BP131" s="715">
        <v>4.9862865355131361E-2</v>
      </c>
      <c r="BQ131" s="715">
        <v>8.1545810190449611E-2</v>
      </c>
      <c r="BR131" s="715">
        <v>0.12820215777125862</v>
      </c>
      <c r="BS131" s="715">
        <v>0.19724598650216149</v>
      </c>
      <c r="BT131" s="715">
        <v>0.28181366596523855</v>
      </c>
      <c r="BW131" s="1185">
        <f>'2019'!R\Max</f>
        <v>0.40996213556025979</v>
      </c>
      <c r="BX131" s="1185">
        <f>'2020'!R\Max</f>
        <v>0.32744333791813107</v>
      </c>
      <c r="BY131" s="1185">
        <f>'2021'!R\Max</f>
        <v>0.33029957974802754</v>
      </c>
      <c r="BZ131" s="1185">
        <f>'2022'!R\Max</f>
        <v>0.74875660627756446</v>
      </c>
      <c r="CA131" s="1185">
        <f>'2023'!R\Max</f>
        <v>0.74856113874354935</v>
      </c>
      <c r="CB131" s="1185">
        <f>'2024'!R\Max</f>
        <v>0.74836393219896058</v>
      </c>
      <c r="CC131" s="1185">
        <f>'2025'!R\Max</f>
        <v>0.74811805653840291</v>
      </c>
      <c r="CD131" s="1185">
        <f>'2026'!R\Max</f>
        <v>0.74911550450843079</v>
      </c>
      <c r="CE131" s="1186">
        <f>'2027'!R\Max</f>
        <v>0.74900509060948284</v>
      </c>
      <c r="CF131" s="1187">
        <f>'2028'!R\Max</f>
        <v>0.74887359470074144</v>
      </c>
    </row>
    <row r="132" spans="1:84" s="6" customFormat="1" ht="11.25" x14ac:dyDescent="0.2">
      <c r="A132" s="11">
        <v>43218</v>
      </c>
      <c r="B132" s="379">
        <f>'2022'!Maxi_hp</f>
        <v>40.022734639116834</v>
      </c>
      <c r="C132" s="13">
        <f>'2022'!An_max</f>
        <v>2018</v>
      </c>
      <c r="D132" s="1046" t="str">
        <f t="shared" si="59"/>
        <v/>
      </c>
      <c r="E132" s="13"/>
      <c r="F132" s="13">
        <f t="shared" si="76"/>
        <v>9</v>
      </c>
      <c r="G132" s="13">
        <f t="shared" si="60"/>
        <v>10</v>
      </c>
      <c r="H132" s="173">
        <f t="shared" si="61"/>
        <v>43206</v>
      </c>
      <c r="I132" s="742">
        <f t="shared" si="62"/>
        <v>0.8571428571428571</v>
      </c>
      <c r="J132" s="735">
        <f t="shared" si="63"/>
        <v>60.428824489137959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39">
        <v>43218</v>
      </c>
      <c r="AP132" s="13">
        <f t="shared" si="64"/>
        <v>5</v>
      </c>
      <c r="AQ132" s="13">
        <f t="shared" si="65"/>
        <v>6</v>
      </c>
      <c r="AR132" s="173">
        <f t="shared" si="66"/>
        <v>43192</v>
      </c>
      <c r="AS132" s="742">
        <f t="shared" si="67"/>
        <v>0.9285714285714286</v>
      </c>
      <c r="AT132" s="758">
        <f t="shared" si="68"/>
        <v>60.415711224504875</v>
      </c>
      <c r="AU132" s="13">
        <f t="shared" si="69"/>
        <v>5</v>
      </c>
      <c r="AV132" s="13">
        <f t="shared" si="70"/>
        <v>6</v>
      </c>
      <c r="AW132" s="173">
        <f t="shared" si="71"/>
        <v>43206</v>
      </c>
      <c r="AX132" s="742">
        <f t="shared" si="72"/>
        <v>0.42857142857142855</v>
      </c>
      <c r="AY132" s="758">
        <f t="shared" si="73"/>
        <v>60.465338776154184</v>
      </c>
      <c r="AZ132" s="735">
        <f t="shared" si="77"/>
        <v>60.440525000329529</v>
      </c>
      <c r="BA132" s="633">
        <f t="shared" si="74"/>
        <v>0.66231198401535829</v>
      </c>
      <c r="BC132" s="11">
        <v>43218</v>
      </c>
      <c r="BD132" s="289">
        <f>[3]!FeuilCaduc*(1-Persistant)+Persistant</f>
        <v>0.84026494605930402</v>
      </c>
      <c r="BE132" s="290">
        <f>[3]!CroissVégét</f>
        <v>0.14475951929663808</v>
      </c>
      <c r="BF132" s="804">
        <f>1+[3]!Salcycl*Ksac</f>
        <v>1.0100662365148261</v>
      </c>
      <c r="BH132" s="1037">
        <f t="shared" si="75"/>
        <v>1.2343218391838226E-2</v>
      </c>
      <c r="BI132" s="11">
        <v>44314</v>
      </c>
      <c r="BJ132" s="715">
        <v>1.6670732309264177E-6</v>
      </c>
      <c r="BK132" s="715">
        <v>3.2350936268240839E-4</v>
      </c>
      <c r="BL132" s="715">
        <v>2.1481129213712325E-3</v>
      </c>
      <c r="BM132" s="715">
        <v>5.7440000872888523E-3</v>
      </c>
      <c r="BN132" s="715">
        <v>1.4003996536049014E-2</v>
      </c>
      <c r="BO132" s="716">
        <v>2.7824020594156618E-2</v>
      </c>
      <c r="BP132" s="715">
        <v>4.8583019314294838E-2</v>
      </c>
      <c r="BQ132" s="715">
        <v>7.9432457286730304E-2</v>
      </c>
      <c r="BR132" s="715">
        <v>0.12441010004072134</v>
      </c>
      <c r="BS132" s="715">
        <v>0.19105056282773689</v>
      </c>
      <c r="BT132" s="715">
        <v>0.27302772536855968</v>
      </c>
      <c r="BW132" s="1185">
        <f>'2019'!R\Max</f>
        <v>0.66231198401535829</v>
      </c>
      <c r="BX132" s="1185">
        <f>'2020'!R\Max</f>
        <v>0.34601861148219087</v>
      </c>
      <c r="BY132" s="1185">
        <f>'2021'!R\Max</f>
        <v>0.28078967646475639</v>
      </c>
      <c r="BZ132" s="1185">
        <f>'2022'!R\Max</f>
        <v>0.41909405324497545</v>
      </c>
      <c r="CA132" s="1185">
        <f>'2023'!R\Max</f>
        <v>0.41884242504236857</v>
      </c>
      <c r="CB132" s="1185">
        <f>'2024'!R\Max</f>
        <v>0.4185891489023939</v>
      </c>
      <c r="CC132" s="1185">
        <f>'2025'!R\Max</f>
        <v>0.4182765360536243</v>
      </c>
      <c r="CD132" s="1185">
        <f>'2026'!R\Max</f>
        <v>0.41955326413821076</v>
      </c>
      <c r="CE132" s="1186">
        <f>'2027'!R\Max</f>
        <v>0.4194124238702131</v>
      </c>
      <c r="CF132" s="1187">
        <f>'2028'!R\Max</f>
        <v>0.41924391001961819</v>
      </c>
    </row>
    <row r="133" spans="1:84" s="6" customFormat="1" ht="11.25" x14ac:dyDescent="0.2">
      <c r="A133" s="11">
        <v>43219</v>
      </c>
      <c r="B133" s="379">
        <f>'2022'!Maxi_hp</f>
        <v>47.336974093030854</v>
      </c>
      <c r="C133" s="13">
        <f>'2022'!An_max</f>
        <v>2018</v>
      </c>
      <c r="D133" s="1046" t="str">
        <f t="shared" si="59"/>
        <v/>
      </c>
      <c r="E133" s="13"/>
      <c r="F133" s="13">
        <f t="shared" si="76"/>
        <v>9</v>
      </c>
      <c r="G133" s="13">
        <f t="shared" si="60"/>
        <v>10</v>
      </c>
      <c r="H133" s="173">
        <f t="shared" si="61"/>
        <v>43206</v>
      </c>
      <c r="I133" s="742">
        <f t="shared" si="62"/>
        <v>0.9285714285714286</v>
      </c>
      <c r="J133" s="735">
        <f t="shared" si="63"/>
        <v>60.533042347431184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39">
        <v>43219</v>
      </c>
      <c r="AP133" s="13">
        <f t="shared" si="64"/>
        <v>5</v>
      </c>
      <c r="AQ133" s="13">
        <f t="shared" si="65"/>
        <v>6</v>
      </c>
      <c r="AR133" s="173">
        <f t="shared" si="66"/>
        <v>43192</v>
      </c>
      <c r="AS133" s="742">
        <f t="shared" si="67"/>
        <v>0.9642857142857143</v>
      </c>
      <c r="AT133" s="758">
        <f t="shared" si="68"/>
        <v>60.526204975428321</v>
      </c>
      <c r="AU133" s="13">
        <f t="shared" si="69"/>
        <v>5</v>
      </c>
      <c r="AV133" s="13">
        <f t="shared" si="70"/>
        <v>6</v>
      </c>
      <c r="AW133" s="173">
        <f t="shared" si="71"/>
        <v>43206</v>
      </c>
      <c r="AX133" s="742">
        <f t="shared" si="72"/>
        <v>0.4642857142857143</v>
      </c>
      <c r="AY133" s="758">
        <f t="shared" si="73"/>
        <v>60.564358418381644</v>
      </c>
      <c r="AZ133" s="735">
        <f t="shared" si="77"/>
        <v>60.545281696904979</v>
      </c>
      <c r="BA133" s="633">
        <f t="shared" si="74"/>
        <v>0.78200222981258549</v>
      </c>
      <c r="BC133" s="11">
        <v>43219</v>
      </c>
      <c r="BD133" s="289">
        <f>[3]!FeuilCaduc*(1-Persistant)+Persistant</f>
        <v>0.84223237207459767</v>
      </c>
      <c r="BE133" s="290">
        <f>[3]!CroissVégét</f>
        <v>0.14996445881890225</v>
      </c>
      <c r="BF133" s="804">
        <f>1+[3]!Salcycl*Ksac</f>
        <v>1.0105580930186495</v>
      </c>
      <c r="BH133" s="1037">
        <f t="shared" si="75"/>
        <v>1.1422227387798259E-2</v>
      </c>
      <c r="BI133" s="11">
        <v>44315</v>
      </c>
      <c r="BJ133" s="715">
        <v>1.7973711562077923E-6</v>
      </c>
      <c r="BK133" s="715">
        <v>2.4777175690489606E-4</v>
      </c>
      <c r="BL133" s="715">
        <v>1.8582957167594316E-3</v>
      </c>
      <c r="BM133" s="715">
        <v>5.0771575002439839E-3</v>
      </c>
      <c r="BN133" s="715">
        <v>1.3019045814834627E-2</v>
      </c>
      <c r="BO133" s="716">
        <v>2.6655904860306497E-2</v>
      </c>
      <c r="BP133" s="715">
        <v>4.7342189269243953E-2</v>
      </c>
      <c r="BQ133" s="715">
        <v>7.7413573253315549E-2</v>
      </c>
      <c r="BR133" s="715">
        <v>0.12078077001953373</v>
      </c>
      <c r="BS133" s="715">
        <v>0.18491168514476547</v>
      </c>
      <c r="BT133" s="715">
        <v>0.26413236076037416</v>
      </c>
      <c r="BW133" s="1185">
        <f>'2019'!R\Max</f>
        <v>0.78200222981258549</v>
      </c>
      <c r="BX133" s="1185">
        <f>'2020'!R\Max</f>
        <v>0.57929011521503904</v>
      </c>
      <c r="BY133" s="1185">
        <f>'2021'!R\Max</f>
        <v>0.34523910473548891</v>
      </c>
      <c r="BZ133" s="1185">
        <f>'2022'!R\Max</f>
        <v>0.75037125502001778</v>
      </c>
      <c r="CA133" s="1185">
        <f>'2023'!R\Max</f>
        <v>0.75017782610860795</v>
      </c>
      <c r="CB133" s="1185">
        <f>'2024'!R\Max</f>
        <v>0.74998332023071357</v>
      </c>
      <c r="CC133" s="1185">
        <f>'2025'!R\Max</f>
        <v>0.74974563854421772</v>
      </c>
      <c r="CD133" s="1185">
        <f>'2026'!R\Max</f>
        <v>0.75071936730624411</v>
      </c>
      <c r="CE133" s="1186">
        <f>'2027'!R\Max</f>
        <v>0.75061300694188759</v>
      </c>
      <c r="CF133" s="1187">
        <f>'2028'!R\Max</f>
        <v>0.7504850730760666</v>
      </c>
    </row>
    <row r="134" spans="1:84" s="6" customFormat="1" ht="11.25" x14ac:dyDescent="0.2">
      <c r="A134" s="11">
        <v>43220</v>
      </c>
      <c r="B134" s="379">
        <f>'2022'!Maxi_hp</f>
        <v>57.134227383129591</v>
      </c>
      <c r="C134" s="13">
        <f>'2022'!An_max</f>
        <v>2018</v>
      </c>
      <c r="D134" s="1046" t="str">
        <f t="shared" si="59"/>
        <v/>
      </c>
      <c r="E134" s="1041">
        <f>V$13/10</f>
        <v>60.634</v>
      </c>
      <c r="F134" s="13">
        <f t="shared" si="76"/>
        <v>11</v>
      </c>
      <c r="G134" s="13">
        <f t="shared" si="60"/>
        <v>10</v>
      </c>
      <c r="H134" s="173">
        <f t="shared" si="61"/>
        <v>43234</v>
      </c>
      <c r="I134" s="742">
        <f t="shared" si="62"/>
        <v>1</v>
      </c>
      <c r="J134" s="735">
        <f t="shared" si="63"/>
        <v>60.63399999961257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39">
        <v>43220</v>
      </c>
      <c r="AP134" s="13">
        <f t="shared" si="64"/>
        <v>7</v>
      </c>
      <c r="AQ134" s="13">
        <f t="shared" si="65"/>
        <v>6</v>
      </c>
      <c r="AR134" s="173">
        <f t="shared" si="66"/>
        <v>43248</v>
      </c>
      <c r="AS134" s="742">
        <f t="shared" si="67"/>
        <v>1</v>
      </c>
      <c r="AT134" s="758">
        <f t="shared" si="68"/>
        <v>60.63399999961257</v>
      </c>
      <c r="AU134" s="13">
        <f t="shared" si="69"/>
        <v>5</v>
      </c>
      <c r="AV134" s="13">
        <f t="shared" si="70"/>
        <v>6</v>
      </c>
      <c r="AW134" s="173">
        <f t="shared" si="71"/>
        <v>43206</v>
      </c>
      <c r="AX134" s="742">
        <f t="shared" si="72"/>
        <v>0.5</v>
      </c>
      <c r="AY134" s="758">
        <f t="shared" si="73"/>
        <v>60.658850000612439</v>
      </c>
      <c r="AZ134" s="735">
        <f t="shared" si="77"/>
        <v>60.646425000112501</v>
      </c>
      <c r="BA134" s="633">
        <f t="shared" si="74"/>
        <v>0.94228036058143383</v>
      </c>
      <c r="BC134" s="11">
        <v>43220</v>
      </c>
      <c r="BD134" s="289">
        <f>[3]!FeuilCaduc*(1-Persistant)+Persistant</f>
        <v>0.84425511563046163</v>
      </c>
      <c r="BE134" s="290">
        <f>[3]!CroissVégét</f>
        <v>0.1553208101334605</v>
      </c>
      <c r="BF134" s="804">
        <f>1+[3]!Salcycl*Ksac</f>
        <v>1.0110637789076153</v>
      </c>
      <c r="BH134" s="1037">
        <f t="shared" si="75"/>
        <v>1.049979836582934E-2</v>
      </c>
      <c r="BI134" s="11">
        <v>44316</v>
      </c>
      <c r="BJ134" s="715">
        <v>1.9225124980185886E-6</v>
      </c>
      <c r="BK134" s="715">
        <v>1.85368519446757E-4</v>
      </c>
      <c r="BL134" s="715">
        <v>1.5854960426872748E-3</v>
      </c>
      <c r="BM134" s="715">
        <v>4.420441801840886E-3</v>
      </c>
      <c r="BN134" s="715">
        <v>1.2029746618242222E-2</v>
      </c>
      <c r="BO134" s="716">
        <v>2.5452233228126484E-2</v>
      </c>
      <c r="BP134" s="715">
        <v>4.6140359085375865E-2</v>
      </c>
      <c r="BQ134" s="715">
        <v>7.5489109826981454E-2</v>
      </c>
      <c r="BR134" s="715">
        <v>0.1173140901444325</v>
      </c>
      <c r="BS134" s="715">
        <v>0.17882938139204049</v>
      </c>
      <c r="BT134" s="715">
        <v>0.25512774887585027</v>
      </c>
      <c r="BW134" s="1185">
        <f>'2019'!R\Max</f>
        <v>0.94228036058143383</v>
      </c>
      <c r="BX134" s="1185">
        <f>'2020'!R\Max</f>
        <v>0.93989252995582317</v>
      </c>
      <c r="BY134" s="1185">
        <f>'2021'!R\Max</f>
        <v>0.31902997120351351</v>
      </c>
      <c r="BZ134" s="1185">
        <f>'2022'!R\Max</f>
        <v>0.7123634539333692</v>
      </c>
      <c r="CA134" s="1185">
        <f>'2023'!R\Max</f>
        <v>0.71215132993842079</v>
      </c>
      <c r="CB134" s="1185">
        <f>'2024'!R\Max</f>
        <v>0.71193841360832844</v>
      </c>
      <c r="CC134" s="1185">
        <f>'2025'!R\Max</f>
        <v>0.71168141599334656</v>
      </c>
      <c r="CD134" s="1185">
        <f>'2026'!R\Max</f>
        <v>0.71273802737755876</v>
      </c>
      <c r="CE134" s="1186">
        <f>'2027'!R\Max</f>
        <v>0.7126239499383723</v>
      </c>
      <c r="CF134" s="1187">
        <f>'2028'!R\Max</f>
        <v>0.71248609309747202</v>
      </c>
    </row>
    <row r="135" spans="1:84" s="6" customFormat="1" ht="11.25" x14ac:dyDescent="0.2">
      <c r="A135" s="11">
        <v>43221</v>
      </c>
      <c r="B135" s="379">
        <f>'2022'!Maxi_hp</f>
        <v>55.014185059625483</v>
      </c>
      <c r="C135" s="13">
        <f>'2022'!An_max</f>
        <v>2018</v>
      </c>
      <c r="D135" s="1046" t="str">
        <f t="shared" si="59"/>
        <v/>
      </c>
      <c r="E135" s="13"/>
      <c r="F135" s="13">
        <f t="shared" si="76"/>
        <v>11</v>
      </c>
      <c r="G135" s="13">
        <f t="shared" si="60"/>
        <v>10</v>
      </c>
      <c r="H135" s="173">
        <f t="shared" si="61"/>
        <v>43234</v>
      </c>
      <c r="I135" s="742">
        <f t="shared" si="62"/>
        <v>0.9285714285714286</v>
      </c>
      <c r="J135" s="735">
        <f t="shared" si="63"/>
        <v>60.730900509682087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39">
        <v>43221</v>
      </c>
      <c r="AP135" s="13">
        <f t="shared" si="64"/>
        <v>7</v>
      </c>
      <c r="AQ135" s="13">
        <f t="shared" si="65"/>
        <v>6</v>
      </c>
      <c r="AR135" s="173">
        <f t="shared" si="66"/>
        <v>43248</v>
      </c>
      <c r="AS135" s="742">
        <f t="shared" si="67"/>
        <v>0.9642857142857143</v>
      </c>
      <c r="AT135" s="758">
        <f t="shared" si="68"/>
        <v>60.737982398444522</v>
      </c>
      <c r="AU135" s="13">
        <f t="shared" si="69"/>
        <v>5</v>
      </c>
      <c r="AV135" s="13">
        <f t="shared" si="70"/>
        <v>6</v>
      </c>
      <c r="AW135" s="173">
        <f t="shared" si="71"/>
        <v>43206</v>
      </c>
      <c r="AX135" s="742">
        <f t="shared" si="72"/>
        <v>0.5357142857142857</v>
      </c>
      <c r="AY135" s="758">
        <f t="shared" si="73"/>
        <v>60.749030867618103</v>
      </c>
      <c r="AZ135" s="735">
        <f t="shared" si="77"/>
        <v>60.743506633031316</v>
      </c>
      <c r="BA135" s="633">
        <f t="shared" si="74"/>
        <v>0.90586809347335118</v>
      </c>
      <c r="BC135" s="11">
        <v>43221</v>
      </c>
      <c r="BD135" s="289">
        <f>[3]!FeuilCaduc*(1-Persistant)+Persistant</f>
        <v>0.84633255301595478</v>
      </c>
      <c r="BE135" s="290">
        <f>[3]!CroissVégét</f>
        <v>0.16083055564958049</v>
      </c>
      <c r="BF135" s="804">
        <f>1+[3]!Salcycl*Ksac</f>
        <v>1.0115831382539886</v>
      </c>
      <c r="BH135" s="1037">
        <f t="shared" si="75"/>
        <v>9.5759471250471354E-3</v>
      </c>
      <c r="BI135" s="11">
        <v>44317</v>
      </c>
      <c r="BJ135" s="715">
        <v>2.0424982341200314E-6</v>
      </c>
      <c r="BK135" s="715">
        <v>1.3629109165630012E-4</v>
      </c>
      <c r="BL135" s="715">
        <v>1.3297062599138599E-3</v>
      </c>
      <c r="BM135" s="715">
        <v>3.7738568442133055E-3</v>
      </c>
      <c r="BN135" s="715">
        <v>1.1036117751999086E-2</v>
      </c>
      <c r="BO135" s="716">
        <v>2.4213048077302027E-2</v>
      </c>
      <c r="BP135" s="715">
        <v>4.4977512291825179E-2</v>
      </c>
      <c r="BQ135" s="715">
        <v>7.3659017066863966E-2</v>
      </c>
      <c r="BR135" s="715">
        <v>0.1140099801029814</v>
      </c>
      <c r="BS135" s="715">
        <v>0.1728036828440852</v>
      </c>
      <c r="BT135" s="715">
        <v>0.24601407826561406</v>
      </c>
      <c r="BW135" s="1185">
        <f>'2019'!R\Max</f>
        <v>0.90586809347335118</v>
      </c>
      <c r="BX135" s="1185">
        <f>'2020'!R\Max</f>
        <v>0.69439754353610983</v>
      </c>
      <c r="BY135" s="1185">
        <f>'2021'!R\Max</f>
        <v>0.28012287174814948</v>
      </c>
      <c r="BZ135" s="1185">
        <f>'2022'!R\Max</f>
        <v>0.81091058016749185</v>
      </c>
      <c r="CA135" s="1185">
        <f>'2023'!R\Max</f>
        <v>0.81075079991488674</v>
      </c>
      <c r="CB135" s="1185">
        <f>'2024'!R\Max</f>
        <v>0.81059069375485515</v>
      </c>
      <c r="CC135" s="1185">
        <f>'2025'!R\Max</f>
        <v>0.81040000466435347</v>
      </c>
      <c r="CD135" s="1185">
        <f>'2026'!R\Max</f>
        <v>0.81118556153976284</v>
      </c>
      <c r="CE135" s="1186">
        <f>'2027'!R\Max</f>
        <v>0.81110209184044468</v>
      </c>
      <c r="CF135" s="1187">
        <f>'2028'!R\Max</f>
        <v>0.81100074756731377</v>
      </c>
    </row>
    <row r="136" spans="1:84" s="6" customFormat="1" ht="11.25" x14ac:dyDescent="0.2">
      <c r="A136" s="11">
        <v>43222</v>
      </c>
      <c r="B136" s="379">
        <f>'2022'!Maxi_hp</f>
        <v>52.243655726180137</v>
      </c>
      <c r="C136" s="13">
        <f>'2022'!An_max</f>
        <v>2021</v>
      </c>
      <c r="D136" s="1046" t="str">
        <f t="shared" si="59"/>
        <v/>
      </c>
      <c r="E136" s="13"/>
      <c r="F136" s="13">
        <f t="shared" si="76"/>
        <v>11</v>
      </c>
      <c r="G136" s="13">
        <f t="shared" si="60"/>
        <v>10</v>
      </c>
      <c r="H136" s="173">
        <f t="shared" si="61"/>
        <v>43234</v>
      </c>
      <c r="I136" s="742">
        <f t="shared" si="62"/>
        <v>0.8571428571428571</v>
      </c>
      <c r="J136" s="735">
        <f t="shared" si="63"/>
        <v>60.822946938180493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39">
        <v>43222</v>
      </c>
      <c r="AP136" s="13">
        <f t="shared" si="64"/>
        <v>7</v>
      </c>
      <c r="AQ136" s="13">
        <f t="shared" si="65"/>
        <v>6</v>
      </c>
      <c r="AR136" s="173">
        <f t="shared" si="66"/>
        <v>43248</v>
      </c>
      <c r="AS136" s="742">
        <f t="shared" si="67"/>
        <v>0.9285714285714286</v>
      </c>
      <c r="AT136" s="758">
        <f t="shared" si="68"/>
        <v>60.837002040685299</v>
      </c>
      <c r="AU136" s="13">
        <f t="shared" si="69"/>
        <v>5</v>
      </c>
      <c r="AV136" s="13">
        <f t="shared" si="70"/>
        <v>6</v>
      </c>
      <c r="AW136" s="173">
        <f t="shared" si="71"/>
        <v>43206</v>
      </c>
      <c r="AX136" s="742">
        <f t="shared" si="72"/>
        <v>0.5714285714285714</v>
      </c>
      <c r="AY136" s="758">
        <f t="shared" si="73"/>
        <v>60.835118367522952</v>
      </c>
      <c r="AZ136" s="735">
        <f t="shared" si="77"/>
        <v>60.836060204104129</v>
      </c>
      <c r="BA136" s="633">
        <f t="shared" si="74"/>
        <v>0.85894647260810597</v>
      </c>
      <c r="BC136" s="11">
        <v>43222</v>
      </c>
      <c r="BD136" s="289">
        <f>[3]!FeuilCaduc*(1-Persistant)+Persistant</f>
        <v>0.84846394199985486</v>
      </c>
      <c r="BE136" s="290">
        <f>[3]!CroissVégét</f>
        <v>0.16649552652045066</v>
      </c>
      <c r="BF136" s="804">
        <f>1+[3]!Salcycl*Ksac</f>
        <v>1.0121159854999637</v>
      </c>
      <c r="BH136" s="1037">
        <f t="shared" si="75"/>
        <v>8.6790019047348673E-3</v>
      </c>
      <c r="BI136" s="11">
        <v>44318</v>
      </c>
      <c r="BJ136" s="715">
        <v>2.1391112685884522E-6</v>
      </c>
      <c r="BK136" s="715">
        <v>1.0048977193635226E-4</v>
      </c>
      <c r="BL136" s="715">
        <v>1.099809799117348E-3</v>
      </c>
      <c r="BM136" s="715">
        <v>3.1657178885429386E-3</v>
      </c>
      <c r="BN136" s="715">
        <v>1.0066490721494577E-2</v>
      </c>
      <c r="BO136" s="716">
        <v>2.2953137066006928E-2</v>
      </c>
      <c r="BP136" s="715">
        <v>4.3810753427997451E-2</v>
      </c>
      <c r="BQ136" s="715">
        <v>7.1896275978757779E-2</v>
      </c>
      <c r="BR136" s="715">
        <v>0.11087626239603993</v>
      </c>
      <c r="BS136" s="715">
        <v>0.16696723073852412</v>
      </c>
      <c r="BT136" s="715">
        <v>0.23705097841099543</v>
      </c>
      <c r="BW136" s="1185">
        <f>'2019'!R\Max</f>
        <v>0.53988466809962576</v>
      </c>
      <c r="BX136" s="1185">
        <f>'2020'!R\Max</f>
        <v>0.39751763894860864</v>
      </c>
      <c r="BY136" s="1185">
        <f>'2021'!R\Max</f>
        <v>0.85894647260810597</v>
      </c>
      <c r="BZ136" s="1185">
        <f>'2022'!R\Max</f>
        <v>0.45932560069588474</v>
      </c>
      <c r="CA136" s="1185">
        <f>'2023'!R\Max</f>
        <v>0.45906524056800668</v>
      </c>
      <c r="CB136" s="1185">
        <f>'2024'!R\Max</f>
        <v>0.45880479324199369</v>
      </c>
      <c r="CC136" s="1185">
        <f>'2025'!R\Max</f>
        <v>0.45849883600037944</v>
      </c>
      <c r="CD136" s="1185">
        <f>'2026'!R\Max</f>
        <v>0.45976160212195827</v>
      </c>
      <c r="CE136" s="1186">
        <f>'2027'!R\Max</f>
        <v>0.45962967866513765</v>
      </c>
      <c r="CF136" s="1187">
        <f>'2028'!R\Max</f>
        <v>0.45946889125030171</v>
      </c>
    </row>
    <row r="137" spans="1:84" s="6" customFormat="1" ht="11.25" x14ac:dyDescent="0.2">
      <c r="A137" s="11">
        <v>43223</v>
      </c>
      <c r="B137" s="379">
        <f>'2022'!Maxi_hp</f>
        <v>59.318580235290369</v>
      </c>
      <c r="C137" s="13">
        <f>'2022'!An_max</f>
        <v>2021</v>
      </c>
      <c r="D137" s="1046">
        <f t="shared" si="59"/>
        <v>0.9738669007091979</v>
      </c>
      <c r="E137" s="13"/>
      <c r="F137" s="13">
        <f t="shared" si="76"/>
        <v>11</v>
      </c>
      <c r="G137" s="13">
        <f t="shared" si="60"/>
        <v>10</v>
      </c>
      <c r="H137" s="173">
        <f t="shared" si="61"/>
        <v>43234</v>
      </c>
      <c r="I137" s="742">
        <f t="shared" si="62"/>
        <v>0.7857142857142857</v>
      </c>
      <c r="J137" s="735">
        <f t="shared" si="63"/>
        <v>60.910356633019227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39">
        <v>43223</v>
      </c>
      <c r="AP137" s="13">
        <f t="shared" si="64"/>
        <v>7</v>
      </c>
      <c r="AQ137" s="13">
        <f t="shared" si="65"/>
        <v>6</v>
      </c>
      <c r="AR137" s="173">
        <f t="shared" si="66"/>
        <v>43248</v>
      </c>
      <c r="AS137" s="742">
        <f t="shared" si="67"/>
        <v>0.8928571428571429</v>
      </c>
      <c r="AT137" s="758">
        <f t="shared" si="68"/>
        <v>60.931167602645495</v>
      </c>
      <c r="AU137" s="13">
        <f t="shared" si="69"/>
        <v>5</v>
      </c>
      <c r="AV137" s="13">
        <f t="shared" si="70"/>
        <v>6</v>
      </c>
      <c r="AW137" s="173">
        <f t="shared" si="71"/>
        <v>43206</v>
      </c>
      <c r="AX137" s="742">
        <f t="shared" si="72"/>
        <v>0.6071428571428571</v>
      </c>
      <c r="AY137" s="758">
        <f t="shared" si="73"/>
        <v>60.917329847666302</v>
      </c>
      <c r="AZ137" s="735">
        <f t="shared" si="77"/>
        <v>60.924248725155898</v>
      </c>
      <c r="BA137" s="633">
        <f t="shared" si="74"/>
        <v>0.9738669007091979</v>
      </c>
      <c r="BC137" s="11">
        <v>43223</v>
      </c>
      <c r="BD137" s="289">
        <f>[3]!FeuilCaduc*(1-Persistant)+Persistant</f>
        <v>0.85064841875263586</v>
      </c>
      <c r="BE137" s="290">
        <f>[3]!CroissVégét</f>
        <v>0.1723173890515782</v>
      </c>
      <c r="BF137" s="804">
        <f>1+[3]!Salcycl*Ksac</f>
        <v>1.012662104688159</v>
      </c>
      <c r="BH137" s="1037">
        <f t="shared" si="75"/>
        <v>7.8376054387397764E-3</v>
      </c>
      <c r="BI137" s="11">
        <v>44319</v>
      </c>
      <c r="BJ137" s="715">
        <v>2.2032603454959697E-6</v>
      </c>
      <c r="BK137" s="715">
        <v>7.0663526288577725E-5</v>
      </c>
      <c r="BL137" s="715">
        <v>8.9647081666307583E-4</v>
      </c>
      <c r="BM137" s="715">
        <v>2.6219969707174545E-3</v>
      </c>
      <c r="BN137" s="715">
        <v>9.150180376059365E-3</v>
      </c>
      <c r="BO137" s="716">
        <v>2.1686316906898803E-2</v>
      </c>
      <c r="BP137" s="715">
        <v>4.2586651164598366E-2</v>
      </c>
      <c r="BQ137" s="715">
        <v>7.0133472491529084E-2</v>
      </c>
      <c r="BR137" s="715">
        <v>0.10787849557778448</v>
      </c>
      <c r="BS137" s="715">
        <v>0.161441956095626</v>
      </c>
      <c r="BT137" s="715">
        <v>0.22857572237026966</v>
      </c>
      <c r="BW137" s="1185">
        <f>'2019'!R\Max</f>
        <v>0.40591563235549616</v>
      </c>
      <c r="BX137" s="1185">
        <f>'2020'!R\Max</f>
        <v>0.59610762295486619</v>
      </c>
      <c r="BY137" s="1185">
        <f>'2021'!R\Max</f>
        <v>0.9738669007091979</v>
      </c>
      <c r="BZ137" s="1185">
        <f>'2022'!R\Max</f>
        <v>0.5638594960786899</v>
      </c>
      <c r="CA137" s="1185">
        <f>'2023'!R\Max</f>
        <v>0.56360083147522655</v>
      </c>
      <c r="CB137" s="1185">
        <f>'2024'!R\Max</f>
        <v>0.56334202305664016</v>
      </c>
      <c r="CC137" s="1185">
        <f>'2025'!R\Max</f>
        <v>0.56304115556578904</v>
      </c>
      <c r="CD137" s="1185">
        <f>'2026'!R\Max</f>
        <v>0.56428007109696621</v>
      </c>
      <c r="CE137" s="1186">
        <f>'2027'!R\Max</f>
        <v>0.56415333361944886</v>
      </c>
      <c r="CF137" s="1187">
        <f>'2028'!R\Max</f>
        <v>0.5639983003533946</v>
      </c>
    </row>
    <row r="138" spans="1:84" s="6" customFormat="1" ht="11.25" x14ac:dyDescent="0.2">
      <c r="A138" s="11">
        <v>43224</v>
      </c>
      <c r="B138" s="379">
        <f>'2022'!Maxi_hp</f>
        <v>56.957672371792654</v>
      </c>
      <c r="C138" s="13">
        <f>'2022'!An_max</f>
        <v>2020</v>
      </c>
      <c r="D138" s="1046" t="str">
        <f t="shared" si="59"/>
        <v/>
      </c>
      <c r="E138" s="13"/>
      <c r="F138" s="13">
        <f t="shared" si="76"/>
        <v>11</v>
      </c>
      <c r="G138" s="13">
        <f t="shared" si="60"/>
        <v>10</v>
      </c>
      <c r="H138" s="173">
        <f t="shared" si="61"/>
        <v>43234</v>
      </c>
      <c r="I138" s="742">
        <f t="shared" si="62"/>
        <v>0.7142857142857143</v>
      </c>
      <c r="J138" s="735">
        <f t="shared" si="63"/>
        <v>60.993346939023048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39">
        <v>43224</v>
      </c>
      <c r="AP138" s="13">
        <f t="shared" si="64"/>
        <v>7</v>
      </c>
      <c r="AQ138" s="13">
        <f t="shared" si="65"/>
        <v>6</v>
      </c>
      <c r="AR138" s="173">
        <f t="shared" si="66"/>
        <v>43248</v>
      </c>
      <c r="AS138" s="742">
        <f t="shared" si="67"/>
        <v>0.8571428571428571</v>
      </c>
      <c r="AT138" s="758">
        <f t="shared" si="68"/>
        <v>61.020587755047849</v>
      </c>
      <c r="AU138" s="13">
        <f t="shared" si="69"/>
        <v>5</v>
      </c>
      <c r="AV138" s="13">
        <f t="shared" si="70"/>
        <v>6</v>
      </c>
      <c r="AW138" s="173">
        <f t="shared" si="71"/>
        <v>43206</v>
      </c>
      <c r="AX138" s="742">
        <f t="shared" si="72"/>
        <v>0.6428571428571429</v>
      </c>
      <c r="AY138" s="758">
        <f t="shared" si="73"/>
        <v>60.995882653258739</v>
      </c>
      <c r="AZ138" s="735">
        <f t="shared" si="77"/>
        <v>61.008235204153294</v>
      </c>
      <c r="BA138" s="633">
        <f t="shared" si="74"/>
        <v>0.93383418405838614</v>
      </c>
      <c r="BC138" s="11">
        <v>43224</v>
      </c>
      <c r="BD138" s="289">
        <f>[3]!FeuilCaduc*(1-Persistant)+Persistant</f>
        <v>0.8528849950053663</v>
      </c>
      <c r="BE138" s="290">
        <f>[3]!CroissVégét</f>
        <v>0.17829763088415901</v>
      </c>
      <c r="BF138" s="804">
        <f>1+[3]!Salcycl*Ksac</f>
        <v>1.0132212487513415</v>
      </c>
      <c r="BH138" s="1037">
        <f t="shared" si="75"/>
        <v>7.0517297213742074E-3</v>
      </c>
      <c r="BI138" s="11">
        <v>44320</v>
      </c>
      <c r="BJ138" s="715">
        <v>2.2349690953140256E-6</v>
      </c>
      <c r="BK138" s="715">
        <v>4.6808267842343292E-5</v>
      </c>
      <c r="BL138" s="715">
        <v>7.1967247390355516E-4</v>
      </c>
      <c r="BM138" s="715">
        <v>2.1426541858741671E-3</v>
      </c>
      <c r="BN138" s="715">
        <v>8.2871617045862031E-3</v>
      </c>
      <c r="BO138" s="716">
        <v>2.0412614173155652E-2</v>
      </c>
      <c r="BP138" s="715">
        <v>4.1305265945436792E-2</v>
      </c>
      <c r="BQ138" s="715">
        <v>6.8370626911749027E-2</v>
      </c>
      <c r="BR138" s="715">
        <v>0.10501661009328499</v>
      </c>
      <c r="BS138" s="715">
        <v>0.156227691779006</v>
      </c>
      <c r="BT138" s="715">
        <v>0.2205880498952392</v>
      </c>
      <c r="BW138" s="1185">
        <f>'2019'!R\Max</f>
        <v>0.46254565203179115</v>
      </c>
      <c r="BX138" s="1185">
        <f>'2020'!R\Max</f>
        <v>0.93383418405838614</v>
      </c>
      <c r="BY138" s="1185">
        <f>'2021'!R\Max</f>
        <v>0.8584291584723579</v>
      </c>
      <c r="BZ138" s="1185">
        <f>'2022'!R\Max</f>
        <v>0.28479393484075</v>
      </c>
      <c r="CA138" s="1185">
        <f>'2023'!R\Max</f>
        <v>0.28458401717008841</v>
      </c>
      <c r="CB138" s="1185">
        <f>'2024'!R\Max</f>
        <v>0.28437409949942677</v>
      </c>
      <c r="CC138" s="1185">
        <f>'2025'!R\Max</f>
        <v>0.28413225340073123</v>
      </c>
      <c r="CD138" s="1185">
        <f>'2026'!R\Max</f>
        <v>0.28512472827949464</v>
      </c>
      <c r="CE138" s="1186">
        <f>'2027'!R\Max</f>
        <v>0.2850253935444827</v>
      </c>
      <c r="CF138" s="1187">
        <f>'2028'!R\Max</f>
        <v>0.28490356378511733</v>
      </c>
    </row>
    <row r="139" spans="1:84" s="6" customFormat="1" ht="11.25" x14ac:dyDescent="0.2">
      <c r="A139" s="11">
        <v>43225</v>
      </c>
      <c r="B139" s="379">
        <f>'2022'!Maxi_hp</f>
        <v>61.376169686641241</v>
      </c>
      <c r="C139" s="13">
        <f>'2022'!An_max</f>
        <v>2020</v>
      </c>
      <c r="D139" s="1046">
        <f t="shared" si="59"/>
        <v>1.0049782848028568</v>
      </c>
      <c r="E139" s="13"/>
      <c r="F139" s="13">
        <f t="shared" si="76"/>
        <v>11</v>
      </c>
      <c r="G139" s="13">
        <f t="shared" si="60"/>
        <v>10</v>
      </c>
      <c r="H139" s="173">
        <f t="shared" si="61"/>
        <v>43234</v>
      </c>
      <c r="I139" s="742">
        <f t="shared" si="62"/>
        <v>0.6428571428571429</v>
      </c>
      <c r="J139" s="735">
        <f t="shared" si="63"/>
        <v>61.072135204076766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39">
        <v>43225</v>
      </c>
      <c r="AP139" s="13">
        <f t="shared" si="64"/>
        <v>7</v>
      </c>
      <c r="AQ139" s="13">
        <f t="shared" si="65"/>
        <v>6</v>
      </c>
      <c r="AR139" s="173">
        <f t="shared" si="66"/>
        <v>43248</v>
      </c>
      <c r="AS139" s="742">
        <f t="shared" si="67"/>
        <v>0.8214285714285714</v>
      </c>
      <c r="AT139" s="758">
        <f t="shared" si="68"/>
        <v>61.105371174149752</v>
      </c>
      <c r="AU139" s="13">
        <f t="shared" si="69"/>
        <v>5</v>
      </c>
      <c r="AV139" s="13">
        <f t="shared" si="70"/>
        <v>6</v>
      </c>
      <c r="AW139" s="173">
        <f t="shared" si="71"/>
        <v>43206</v>
      </c>
      <c r="AX139" s="742">
        <f t="shared" si="72"/>
        <v>0.6785714285714286</v>
      </c>
      <c r="AY139" s="758">
        <f t="shared" si="73"/>
        <v>61.070994132876919</v>
      </c>
      <c r="AZ139" s="735">
        <f t="shared" si="77"/>
        <v>61.088182653513336</v>
      </c>
      <c r="BA139" s="633">
        <f t="shared" si="74"/>
        <v>1.0049782848028568</v>
      </c>
      <c r="BC139" s="11">
        <v>43225</v>
      </c>
      <c r="BD139" s="289">
        <f>[3]!FeuilCaduc*(1-Persistant)+Persistant</f>
        <v>0.85517255549152238</v>
      </c>
      <c r="BE139" s="290">
        <f>[3]!CroissVégét</f>
        <v>0.1844375470173118</v>
      </c>
      <c r="BF139" s="804">
        <f>1+[3]!Salcycl*Ksac</f>
        <v>1.0137931388728807</v>
      </c>
      <c r="BH139" s="1037">
        <f t="shared" si="75"/>
        <v>6.3213451778720321E-3</v>
      </c>
      <c r="BI139" s="11">
        <v>44321</v>
      </c>
      <c r="BJ139" s="715">
        <v>2.2342624457559862E-6</v>
      </c>
      <c r="BK139" s="715">
        <v>2.8919686891989247E-5</v>
      </c>
      <c r="BL139" s="715">
        <v>5.6939700496746765E-4</v>
      </c>
      <c r="BM139" s="715">
        <v>1.7276474251601709E-3</v>
      </c>
      <c r="BN139" s="715">
        <v>7.4774082866730712E-3</v>
      </c>
      <c r="BO139" s="716">
        <v>1.9132056852262134E-2</v>
      </c>
      <c r="BP139" s="715">
        <v>3.9966661686007522E-2</v>
      </c>
      <c r="BQ139" s="715">
        <v>6.6607761094374343E-2</v>
      </c>
      <c r="BR139" s="715">
        <v>0.10229053334380922</v>
      </c>
      <c r="BS139" s="715">
        <v>0.15132426253027811</v>
      </c>
      <c r="BT139" s="715">
        <v>0.21308768784950774</v>
      </c>
      <c r="BW139" s="1185">
        <f>'2019'!R\Max</f>
        <v>0.78460070274113369</v>
      </c>
      <c r="BX139" s="1185">
        <f>'2020'!R\Max</f>
        <v>1.0049782848028568</v>
      </c>
      <c r="BY139" s="1185">
        <f>'2021'!R\Max</f>
        <v>0.6087180612299361</v>
      </c>
      <c r="BZ139" s="1185">
        <f>'2022'!R\Max</f>
        <v>0.61712941031080815</v>
      </c>
      <c r="CA139" s="1185">
        <f>'2023'!R\Max</f>
        <v>0.61688100770424925</v>
      </c>
      <c r="CB139" s="1185">
        <f>'2024'!R\Max</f>
        <v>0.61663243922843147</v>
      </c>
      <c r="CC139" s="1185">
        <f>'2025'!R\Max</f>
        <v>0.61634757819292507</v>
      </c>
      <c r="CD139" s="1185">
        <f>'2026'!R\Max</f>
        <v>0.6175069214223271</v>
      </c>
      <c r="CE139" s="1186">
        <f>'2027'!R\Max</f>
        <v>0.61739402449145386</v>
      </c>
      <c r="CF139" s="1187">
        <f>'2028'!R\Max</f>
        <v>0.61725519002450224</v>
      </c>
    </row>
    <row r="140" spans="1:84" s="6" customFormat="1" ht="11.25" x14ac:dyDescent="0.2">
      <c r="A140" s="11">
        <v>43226</v>
      </c>
      <c r="B140" s="379">
        <f>'2022'!Maxi_hp</f>
        <v>58.310376218958538</v>
      </c>
      <c r="C140" s="13">
        <f>'2022'!An_max</f>
        <v>2018</v>
      </c>
      <c r="D140" s="1046" t="str">
        <f t="shared" si="59"/>
        <v/>
      </c>
      <c r="E140" s="13"/>
      <c r="F140" s="13">
        <f t="shared" si="76"/>
        <v>11</v>
      </c>
      <c r="G140" s="13">
        <f t="shared" si="60"/>
        <v>10</v>
      </c>
      <c r="H140" s="173">
        <f t="shared" si="61"/>
        <v>43234</v>
      </c>
      <c r="I140" s="742">
        <f t="shared" si="62"/>
        <v>0.5714285714285714</v>
      </c>
      <c r="J140" s="735">
        <f t="shared" si="63"/>
        <v>61.146938775479796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39">
        <v>43226</v>
      </c>
      <c r="AP140" s="13">
        <f t="shared" si="64"/>
        <v>7</v>
      </c>
      <c r="AQ140" s="13">
        <f t="shared" si="65"/>
        <v>6</v>
      </c>
      <c r="AR140" s="173">
        <f t="shared" si="66"/>
        <v>43248</v>
      </c>
      <c r="AS140" s="742">
        <f t="shared" si="67"/>
        <v>0.7857142857142857</v>
      </c>
      <c r="AT140" s="758">
        <f t="shared" si="68"/>
        <v>61.185626530540844</v>
      </c>
      <c r="AU140" s="13">
        <f t="shared" si="69"/>
        <v>5</v>
      </c>
      <c r="AV140" s="13">
        <f t="shared" si="70"/>
        <v>6</v>
      </c>
      <c r="AW140" s="173">
        <f t="shared" si="71"/>
        <v>43206</v>
      </c>
      <c r="AX140" s="742">
        <f t="shared" si="72"/>
        <v>0.7142857142857143</v>
      </c>
      <c r="AY140" s="758">
        <f t="shared" si="73"/>
        <v>61.142881633394531</v>
      </c>
      <c r="AZ140" s="735">
        <f t="shared" si="77"/>
        <v>61.164254081967684</v>
      </c>
      <c r="BA140" s="633">
        <f t="shared" si="74"/>
        <v>0.95361071848687984</v>
      </c>
      <c r="BC140" s="11">
        <v>43226</v>
      </c>
      <c r="BD140" s="289">
        <f>[3]!FeuilCaduc*(1-Persistant)+Persistant</f>
        <v>0.85750985571843319</v>
      </c>
      <c r="BE140" s="290">
        <f>[3]!CroissVégét</f>
        <v>0.19073822573999455</v>
      </c>
      <c r="BF140" s="804">
        <f>1+[3]!Salcycl*Ksac</f>
        <v>1.0143774639296084</v>
      </c>
      <c r="BH140" s="1037">
        <f t="shared" si="75"/>
        <v>5.6464205436236505E-3</v>
      </c>
      <c r="BI140" s="11">
        <v>44322</v>
      </c>
      <c r="BJ140" s="715">
        <v>2.2011666927855249E-6</v>
      </c>
      <c r="BK140" s="715">
        <v>1.6993237844430991E-5</v>
      </c>
      <c r="BL140" s="715">
        <v>4.4562565882039364E-4</v>
      </c>
      <c r="BM140" s="715">
        <v>1.3769322352475907E-3</v>
      </c>
      <c r="BN140" s="715">
        <v>6.7208921768209147E-3</v>
      </c>
      <c r="BO140" s="716">
        <v>1.7844674362405329E-2</v>
      </c>
      <c r="BP140" s="715">
        <v>3.8570905900148583E-2</v>
      </c>
      <c r="BQ140" s="715">
        <v>6.4844898444377491E-2</v>
      </c>
      <c r="BR140" s="715">
        <v>9.9700189391712865E-2</v>
      </c>
      <c r="BS140" s="715">
        <v>0.14673148429266314</v>
      </c>
      <c r="BT140" s="715">
        <v>0.20607434914803213</v>
      </c>
      <c r="BW140" s="1185">
        <f>'2019'!R\Max</f>
        <v>0.95361071848687984</v>
      </c>
      <c r="BX140" s="1185">
        <f>'2020'!R\Max</f>
        <v>0.85031510721839476</v>
      </c>
      <c r="BY140" s="1185">
        <f>'2021'!R\Max</f>
        <v>0.76577913721048696</v>
      </c>
      <c r="BZ140" s="1185">
        <f>'2022'!R\Max</f>
        <v>0.70585556414067707</v>
      </c>
      <c r="CA140" s="1185">
        <f>'2023'!R\Max</f>
        <v>0.70563808324326982</v>
      </c>
      <c r="CB140" s="1185">
        <f>'2024'!R\Max</f>
        <v>0.70542041720413817</v>
      </c>
      <c r="CC140" s="1185">
        <f>'2025'!R\Max</f>
        <v>0.7051718058672678</v>
      </c>
      <c r="CD140" s="1185">
        <f>'2026'!R\Max</f>
        <v>0.70617325612359128</v>
      </c>
      <c r="CE140" s="1186">
        <f>'2027'!R\Max</f>
        <v>0.70607862263236054</v>
      </c>
      <c r="CF140" s="1187">
        <f>'2028'!R\Max</f>
        <v>0.70596202533447572</v>
      </c>
    </row>
    <row r="141" spans="1:84" s="6" customFormat="1" ht="11.25" x14ac:dyDescent="0.2">
      <c r="A141" s="11">
        <v>43227</v>
      </c>
      <c r="B141" s="379">
        <f>'2022'!Maxi_hp</f>
        <v>58.360511547826988</v>
      </c>
      <c r="C141" s="13">
        <f>'2022'!An_max</f>
        <v>2020</v>
      </c>
      <c r="D141" s="1046" t="str">
        <f t="shared" si="59"/>
        <v/>
      </c>
      <c r="E141" s="13"/>
      <c r="F141" s="13">
        <f t="shared" si="76"/>
        <v>11</v>
      </c>
      <c r="G141" s="13">
        <f t="shared" si="60"/>
        <v>10</v>
      </c>
      <c r="H141" s="173">
        <f t="shared" si="61"/>
        <v>43234</v>
      </c>
      <c r="I141" s="742">
        <f t="shared" si="62"/>
        <v>0.5</v>
      </c>
      <c r="J141" s="735">
        <f t="shared" si="63"/>
        <v>61.217974999360742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39">
        <v>43227</v>
      </c>
      <c r="AP141" s="13">
        <f t="shared" si="64"/>
        <v>7</v>
      </c>
      <c r="AQ141" s="13">
        <f t="shared" si="65"/>
        <v>6</v>
      </c>
      <c r="AR141" s="173">
        <f t="shared" si="66"/>
        <v>43248</v>
      </c>
      <c r="AS141" s="742">
        <f t="shared" si="67"/>
        <v>0.75</v>
      </c>
      <c r="AT141" s="758">
        <f t="shared" si="68"/>
        <v>61.261462500598284</v>
      </c>
      <c r="AU141" s="13">
        <f t="shared" si="69"/>
        <v>5</v>
      </c>
      <c r="AV141" s="13">
        <f t="shared" si="70"/>
        <v>6</v>
      </c>
      <c r="AW141" s="173">
        <f t="shared" si="71"/>
        <v>43206</v>
      </c>
      <c r="AX141" s="742">
        <f t="shared" si="72"/>
        <v>0.75</v>
      </c>
      <c r="AY141" s="758">
        <f t="shared" si="73"/>
        <v>61.211762500554322</v>
      </c>
      <c r="AZ141" s="735">
        <f t="shared" si="77"/>
        <v>61.2366125005763</v>
      </c>
      <c r="BA141" s="633">
        <f t="shared" si="74"/>
        <v>0.95332313014986869</v>
      </c>
      <c r="BC141" s="11">
        <v>43227</v>
      </c>
      <c r="BD141" s="289">
        <f>[3]!FeuilCaduc*(1-Persistant)+Persistant</f>
        <v>0.85989552011524362</v>
      </c>
      <c r="BE141" s="290">
        <f>[3]!CroissVégét</f>
        <v>0.19720053455029921</v>
      </c>
      <c r="BF141" s="804">
        <f>1+[3]!Salcycl*Ksac</f>
        <v>1.0149738800288108</v>
      </c>
      <c r="BH141" s="1037">
        <f t="shared" si="75"/>
        <v>5.0269227433065566E-3</v>
      </c>
      <c r="BI141" s="11">
        <v>44323</v>
      </c>
      <c r="BJ141" s="715">
        <v>2.1357095715940516E-6</v>
      </c>
      <c r="BK141" s="715">
        <v>1.1024126165920554E-5</v>
      </c>
      <c r="BL141" s="715">
        <v>3.4833864131413777E-4</v>
      </c>
      <c r="BM141" s="715">
        <v>1.09046167781524E-3</v>
      </c>
      <c r="BN141" s="715">
        <v>6.0175837885091078E-3</v>
      </c>
      <c r="BO141" s="716">
        <v>1.6550497568575812E-2</v>
      </c>
      <c r="BP141" s="715">
        <v>3.711806982611169E-2</v>
      </c>
      <c r="BQ141" s="715">
        <v>6.3082063917408324E-2</v>
      </c>
      <c r="BR141" s="715">
        <v>9.7245498663840635E-2</v>
      </c>
      <c r="BS141" s="715">
        <v>0.1424491635323735</v>
      </c>
      <c r="BT141" s="715">
        <v>0.19954773169353127</v>
      </c>
      <c r="BW141" s="1185">
        <f>'2019'!R\Max</f>
        <v>0.81991852896666695</v>
      </c>
      <c r="BX141" s="1185">
        <f>'2020'!R\Max</f>
        <v>0.95332313014986869</v>
      </c>
      <c r="BY141" s="1185">
        <f>'2021'!R\Max</f>
        <v>0.44598640477094686</v>
      </c>
      <c r="BZ141" s="1185">
        <f>'2022'!R\Max</f>
        <v>0.78584664364227108</v>
      </c>
      <c r="CA141" s="1185">
        <f>'2023'!R\Max</f>
        <v>0.78567141943668017</v>
      </c>
      <c r="CB141" s="1185">
        <f>'2024'!R\Max</f>
        <v>0.78549601774898892</v>
      </c>
      <c r="CC141" s="1185">
        <f>'2025'!R\Max</f>
        <v>0.78529583721785734</v>
      </c>
      <c r="CD141" s="1185">
        <f>'2026'!R\Max</f>
        <v>0.7860915096396367</v>
      </c>
      <c r="CE141" s="1186">
        <f>'2027'!R\Max</f>
        <v>0.78601887435119744</v>
      </c>
      <c r="CF141" s="1187">
        <f>'2028'!R\Max</f>
        <v>0.78592925123592416</v>
      </c>
    </row>
    <row r="142" spans="1:84" s="6" customFormat="1" ht="11.25" x14ac:dyDescent="0.2">
      <c r="A142" s="11">
        <v>43228</v>
      </c>
      <c r="B142" s="379">
        <f>'2022'!Maxi_hp</f>
        <v>61.177065802959824</v>
      </c>
      <c r="C142" s="13">
        <f>'2022'!An_max</f>
        <v>2021</v>
      </c>
      <c r="D142" s="1046">
        <f t="shared" si="59"/>
        <v>0.99823130283631245</v>
      </c>
      <c r="E142" s="13"/>
      <c r="F142" s="13">
        <f t="shared" si="76"/>
        <v>11</v>
      </c>
      <c r="G142" s="13">
        <f t="shared" si="60"/>
        <v>10</v>
      </c>
      <c r="H142" s="173">
        <f t="shared" si="61"/>
        <v>43234</v>
      </c>
      <c r="I142" s="742">
        <f t="shared" si="62"/>
        <v>0.42857142857142855</v>
      </c>
      <c r="J142" s="735">
        <f t="shared" si="63"/>
        <v>61.285461224402709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39">
        <v>43228</v>
      </c>
      <c r="AP142" s="13">
        <f t="shared" si="64"/>
        <v>7</v>
      </c>
      <c r="AQ142" s="13">
        <f t="shared" si="65"/>
        <v>6</v>
      </c>
      <c r="AR142" s="173">
        <f t="shared" si="66"/>
        <v>43248</v>
      </c>
      <c r="AS142" s="742">
        <f t="shared" si="67"/>
        <v>0.7142857142857143</v>
      </c>
      <c r="AT142" s="758">
        <f t="shared" si="68"/>
        <v>61.332987755004851</v>
      </c>
      <c r="AU142" s="13">
        <f t="shared" si="69"/>
        <v>5</v>
      </c>
      <c r="AV142" s="13">
        <f t="shared" si="70"/>
        <v>6</v>
      </c>
      <c r="AW142" s="173">
        <f t="shared" si="71"/>
        <v>43206</v>
      </c>
      <c r="AX142" s="742">
        <f t="shared" si="72"/>
        <v>0.7857142857142857</v>
      </c>
      <c r="AY142" s="758">
        <f t="shared" si="73"/>
        <v>61.277854082334258</v>
      </c>
      <c r="AZ142" s="735">
        <f t="shared" si="77"/>
        <v>61.305420918669554</v>
      </c>
      <c r="BA142" s="633">
        <f t="shared" si="74"/>
        <v>0.99823130283631245</v>
      </c>
      <c r="BC142" s="11">
        <v>43228</v>
      </c>
      <c r="BD142" s="289">
        <f>[3]!FeuilCaduc*(1-Persistant)+Persistant</f>
        <v>0.86232804060388435</v>
      </c>
      <c r="BE142" s="290">
        <f>[3]!CroissVégét</f>
        <v>0.2038251061465651</v>
      </c>
      <c r="BF142" s="804">
        <f>1+[3]!Salcycl*Ksac</f>
        <v>1.0155820101509712</v>
      </c>
      <c r="BH142" s="1037">
        <f t="shared" si="75"/>
        <v>4.4747878445917152E-3</v>
      </c>
      <c r="BI142" s="11">
        <v>44324</v>
      </c>
      <c r="BJ142" s="715">
        <v>2.0450033687700993E-6</v>
      </c>
      <c r="BK142" s="715">
        <v>1.1035138715794116E-5</v>
      </c>
      <c r="BL142" s="715">
        <v>2.7757647870989342E-4</v>
      </c>
      <c r="BM142" s="715">
        <v>8.680066247977237E-4</v>
      </c>
      <c r="BN142" s="715">
        <v>5.3824807173451974E-3</v>
      </c>
      <c r="BO142" s="716">
        <v>1.5283946786440846E-2</v>
      </c>
      <c r="BP142" s="715">
        <v>3.562100077745705E-2</v>
      </c>
      <c r="BQ142" s="715">
        <v>6.1285803587944762E-2</v>
      </c>
      <c r="BR142" s="715">
        <v>9.4889423676381146E-2</v>
      </c>
      <c r="BS142" s="715">
        <v>0.13846214697276801</v>
      </c>
      <c r="BT142" s="715">
        <v>0.19350798325301891</v>
      </c>
      <c r="BW142" s="1185">
        <f>'2019'!R\Max</f>
        <v>0.54401966739946539</v>
      </c>
      <c r="BX142" s="1185">
        <f>'2020'!R\Max</f>
        <v>0.87921523693168802</v>
      </c>
      <c r="BY142" s="1185">
        <f>'2021'!R\Max</f>
        <v>0.99823130283631245</v>
      </c>
      <c r="BZ142" s="1185">
        <f>'2022'!R\Max</f>
        <v>0.97448494195272206</v>
      </c>
      <c r="CA142" s="1185">
        <f>'2023'!R\Max</f>
        <v>0.97445929565699962</v>
      </c>
      <c r="CB142" s="1185">
        <f>'2024'!R\Max</f>
        <v>0.97443361363622294</v>
      </c>
      <c r="CC142" s="1185">
        <f>'2025'!R\Max</f>
        <v>0.97440425247539209</v>
      </c>
      <c r="CD142" s="1185">
        <f>'2026'!R\Max</f>
        <v>0.97451912260045581</v>
      </c>
      <c r="CE142" s="1186">
        <f>'2027'!R\Max</f>
        <v>0.97450902882062374</v>
      </c>
      <c r="CF142" s="1187">
        <f>'2028'!R\Max</f>
        <v>0.97449656322714473</v>
      </c>
    </row>
    <row r="143" spans="1:84" s="6" customFormat="1" ht="11.25" x14ac:dyDescent="0.2">
      <c r="A143" s="11">
        <v>43229</v>
      </c>
      <c r="B143" s="379">
        <f>'2022'!Maxi_hp</f>
        <v>57.284230576804276</v>
      </c>
      <c r="C143" s="13">
        <f>'2022'!An_max</f>
        <v>2022</v>
      </c>
      <c r="D143" s="1046" t="str">
        <f t="shared" ref="D143:D206" si="78">IF($BA143&gt;$D$11,BA143,"")</f>
        <v/>
      </c>
      <c r="E143" s="13"/>
      <c r="F143" s="13">
        <f t="shared" si="76"/>
        <v>11</v>
      </c>
      <c r="G143" s="13">
        <f t="shared" ref="G143:G206" si="79">INT((MATCH($A143,x.2m)+1)/2)*2</f>
        <v>10</v>
      </c>
      <c r="H143" s="173">
        <f t="shared" ref="H143:H206" si="80">INDEX(x.2m,F143)</f>
        <v>43234</v>
      </c>
      <c r="I143" s="742">
        <f t="shared" ref="I143:I206" si="81">($A143-H143)/(INDEX(x.2m,G143)-H143)</f>
        <v>0.35714285714285715</v>
      </c>
      <c r="J143" s="735">
        <f t="shared" ref="J143:J206" si="82">((1-I143)*(INDEX(a.m,F143)*$A143*$A143+INDEX(b.m,F143)*$A143+INDEX(c.m,F143))+I143*(INDEX(a.m,G143)*$A143*$A143+INDEX(b.m,G143)*$A143+INDEX(c.m,G143)))/10</f>
        <v>61.349614796015828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39">
        <v>43229</v>
      </c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73">
        <f t="shared" ref="AR143:AR206" si="85">INDEX(x.2lg,AP143)</f>
        <v>43248</v>
      </c>
      <c r="AS143" s="742">
        <f t="shared" ref="AS143:AS206" si="86">($A143-AR143)/(INDEX(x.2lg,AQ143)-AR143)</f>
        <v>0.6785714285714286</v>
      </c>
      <c r="AT143" s="758">
        <f t="shared" ref="AT143:AT206" si="87">((1-AS143)*(INDEX(a.lg,AP143)*$A143*$A143+INDEX(b.lg,AP143)*$A143+INDEX(c.lg,AP143))+AS143*(INDEX(a.lg,AQ143)*$A143*$A143+INDEX(b.lg,AQ143)*$A143+INDEX(c.lg,AQ143)))/10</f>
        <v>61.400310969791782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73">
        <f t="shared" ref="AW143:AW206" si="90">INDEX(x.2ld,AU143)</f>
        <v>43206</v>
      </c>
      <c r="AX143" s="742">
        <f t="shared" ref="AX143:AX206" si="91">($A143-AW143)/(INDEX(x.2ld,AV143)-AW143)</f>
        <v>0.8214285714285714</v>
      </c>
      <c r="AY143" s="758">
        <f t="shared" ref="AY143:AY206" si="92">((1-AX143)*(INDEX(a.ld,AU143)*$A143*$A143+INDEX(b.ld,AU143)*$A143+INDEX(c.ld,AU143))+AX143*(INDEX(a.ld,AV143)*$A143*$A143+INDEX(b.ld,AV143)*$A143+INDEX(c.ld,AV143)))/10</f>
        <v>61.341373725102414</v>
      </c>
      <c r="AZ143" s="735">
        <f t="shared" si="77"/>
        <v>61.370842347447095</v>
      </c>
      <c r="BA143" s="633">
        <f t="shared" ref="BA143:BA206" si="93">+B143/J143</f>
        <v>0.93373415248443314</v>
      </c>
      <c r="BC143" s="11">
        <v>43229</v>
      </c>
      <c r="BD143" s="289">
        <f>[3]!FeuilCaduc*(1-Persistant)+Persistant</f>
        <v>0.86480577563855354</v>
      </c>
      <c r="BE143" s="290">
        <f>[3]!CroissVégét</f>
        <v>0.21061232458125589</v>
      </c>
      <c r="BF143" s="804">
        <f>1+[3]!Salcycl*Ksac</f>
        <v>1.0162014439096383</v>
      </c>
      <c r="BH143" s="1037">
        <f t="shared" ref="BH143:BH206" si="94">INDEX($BJ143:$BT143,,$BH$10)*(1-Ratini)+INDEX($BJ143:$BT143,,$BH$10+1)*Ratini</f>
        <v>3.9631731969608317E-3</v>
      </c>
      <c r="BI143" s="11">
        <v>44325</v>
      </c>
      <c r="BJ143" s="715">
        <v>1.943234136645772E-6</v>
      </c>
      <c r="BK143" s="715">
        <v>1.1033275269040912E-5</v>
      </c>
      <c r="BL143" s="715">
        <v>2.1579009933267142E-4</v>
      </c>
      <c r="BM143" s="715">
        <v>6.7375461914790128E-4</v>
      </c>
      <c r="BN143" s="715">
        <v>4.7909976799646089E-3</v>
      </c>
      <c r="BO143" s="716">
        <v>1.4067128254830216E-2</v>
      </c>
      <c r="BP143" s="715">
        <v>3.4094520726156485E-2</v>
      </c>
      <c r="BQ143" s="715">
        <v>5.9429744702736952E-2</v>
      </c>
      <c r="BR143" s="715">
        <v>9.2504945401876856E-2</v>
      </c>
      <c r="BS143" s="715">
        <v>0.13459380861802975</v>
      </c>
      <c r="BT143" s="715">
        <v>0.18772968606196191</v>
      </c>
      <c r="BW143" s="1185">
        <f>'2019'!R\Max</f>
        <v>0.84760258945045197</v>
      </c>
      <c r="BX143" s="1185">
        <f>'2020'!R\Max</f>
        <v>0.87020530923049078</v>
      </c>
      <c r="BY143" s="1185">
        <f>'2021'!R\Max</f>
        <v>0.32869030764028845</v>
      </c>
      <c r="BZ143" s="1185">
        <f>'2022'!R\Max</f>
        <v>0.93373415248443314</v>
      </c>
      <c r="CA143" s="1185">
        <f>'2023'!R\Max</f>
        <v>0.93367119347414951</v>
      </c>
      <c r="CB143" s="1185">
        <f>'2024'!R\Max</f>
        <v>0.93360815317866563</v>
      </c>
      <c r="CC143" s="1185">
        <f>'2025'!R\Max</f>
        <v>0.93353587179912112</v>
      </c>
      <c r="CD143" s="1185">
        <f>'2026'!R\Max</f>
        <v>0.93381433068059538</v>
      </c>
      <c r="CE143" s="1186">
        <f>'2027'!R\Max</f>
        <v>0.93379076490771706</v>
      </c>
      <c r="CF143" s="1187">
        <f>'2028'!R\Max</f>
        <v>0.93376164795812855</v>
      </c>
    </row>
    <row r="144" spans="1:84" s="6" customFormat="1" ht="11.25" x14ac:dyDescent="0.2">
      <c r="A144" s="11">
        <v>43230</v>
      </c>
      <c r="B144" s="379">
        <f>'2022'!Maxi_hp</f>
        <v>58.509584701555575</v>
      </c>
      <c r="C144" s="13">
        <f>'2022'!An_max</f>
        <v>2022</v>
      </c>
      <c r="D144" s="1046" t="str">
        <f t="shared" si="78"/>
        <v/>
      </c>
      <c r="E144" s="13"/>
      <c r="F144" s="13">
        <f t="shared" ref="F144:F207" si="95">INT(MATCH($A144,x.2m)/2)*2+1</f>
        <v>11</v>
      </c>
      <c r="G144" s="13">
        <f t="shared" si="79"/>
        <v>10</v>
      </c>
      <c r="H144" s="173">
        <f t="shared" si="80"/>
        <v>43234</v>
      </c>
      <c r="I144" s="742">
        <f t="shared" si="81"/>
        <v>0.2857142857142857</v>
      </c>
      <c r="J144" s="735">
        <f t="shared" si="82"/>
        <v>61.410653060674669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39">
        <v>43230</v>
      </c>
      <c r="AP144" s="13">
        <f t="shared" si="83"/>
        <v>7</v>
      </c>
      <c r="AQ144" s="13">
        <f t="shared" si="84"/>
        <v>6</v>
      </c>
      <c r="AR144" s="173">
        <f t="shared" si="85"/>
        <v>43248</v>
      </c>
      <c r="AS144" s="742">
        <f t="shared" si="86"/>
        <v>0.6428571428571429</v>
      </c>
      <c r="AT144" s="758">
        <f t="shared" si="87"/>
        <v>61.463540816413499</v>
      </c>
      <c r="AU144" s="13">
        <f t="shared" si="88"/>
        <v>5</v>
      </c>
      <c r="AV144" s="13">
        <f t="shared" si="89"/>
        <v>6</v>
      </c>
      <c r="AW144" s="173">
        <f t="shared" si="90"/>
        <v>43206</v>
      </c>
      <c r="AX144" s="742">
        <f t="shared" si="91"/>
        <v>0.8571428571428571</v>
      </c>
      <c r="AY144" s="758">
        <f t="shared" si="92"/>
        <v>61.402538776184841</v>
      </c>
      <c r="AZ144" s="735">
        <f t="shared" ref="AZ144:AZ207" si="96">(AY144+AT144)/2</f>
        <v>61.43303979629917</v>
      </c>
      <c r="BA144" s="633">
        <f t="shared" si="93"/>
        <v>0.95275952600190073</v>
      </c>
      <c r="BC144" s="11">
        <v>43230</v>
      </c>
      <c r="BD144" s="289">
        <f>[3]!FeuilCaduc*(1-Persistant)+Persistant</f>
        <v>0.86732694975764535</v>
      </c>
      <c r="BE144" s="290">
        <f>[3]!CroissVégét</f>
        <v>0.21756231167469237</v>
      </c>
      <c r="BF144" s="804">
        <f>1+[3]!Salcycl*Ksac</f>
        <v>1.0168317374394114</v>
      </c>
      <c r="BH144" s="1037">
        <f t="shared" si="94"/>
        <v>3.4920532786837408E-3</v>
      </c>
      <c r="BI144" s="11">
        <v>44326</v>
      </c>
      <c r="BJ144" s="715">
        <v>1.8304141135536607E-6</v>
      </c>
      <c r="BK144" s="715">
        <v>1.1018545125962093E-5</v>
      </c>
      <c r="BL144" s="715">
        <v>1.6297272854436923E-4</v>
      </c>
      <c r="BM144" s="715">
        <v>5.0768437785798709E-4</v>
      </c>
      <c r="BN144" s="715">
        <v>4.243108087908184E-3</v>
      </c>
      <c r="BO144" s="716">
        <v>1.2900023076039697E-2</v>
      </c>
      <c r="BP144" s="715">
        <v>3.253868652845017E-2</v>
      </c>
      <c r="BQ144" s="715">
        <v>5.7513974284849466E-2</v>
      </c>
      <c r="BR144" s="715">
        <v>9.0092127324088833E-2</v>
      </c>
      <c r="BS144" s="715">
        <v>0.13084410357509466</v>
      </c>
      <c r="BT144" s="715">
        <v>0.18221269877489144</v>
      </c>
      <c r="BW144" s="1185">
        <f>'2019'!R\Max</f>
        <v>0.67395307524325843</v>
      </c>
      <c r="BX144" s="1185">
        <f>'2020'!R\Max</f>
        <v>0.71664093321362432</v>
      </c>
      <c r="BY144" s="1185">
        <f>'2021'!R\Max</f>
        <v>0.67865911558835945</v>
      </c>
      <c r="BZ144" s="1185">
        <f>'2022'!R\Max</f>
        <v>0.95275952600190073</v>
      </c>
      <c r="CA144" s="1185">
        <f>'2023'!R\Max</f>
        <v>0.95271453229590919</v>
      </c>
      <c r="CB144" s="1185">
        <f>'2024'!R\Max</f>
        <v>0.95266947980750771</v>
      </c>
      <c r="CC144" s="1185">
        <f>'2025'!R\Max</f>
        <v>0.95261757114275425</v>
      </c>
      <c r="CD144" s="1185">
        <f>'2026'!R\Max</f>
        <v>0.95281433134298044</v>
      </c>
      <c r="CE144" s="1186">
        <f>'2027'!R\Max</f>
        <v>0.95279830803044363</v>
      </c>
      <c r="CF144" s="1187">
        <f>'2028'!R\Max</f>
        <v>0.95277850391085905</v>
      </c>
    </row>
    <row r="145" spans="1:84" s="6" customFormat="1" ht="11.25" x14ac:dyDescent="0.2">
      <c r="A145" s="11">
        <v>43231</v>
      </c>
      <c r="B145" s="379">
        <f>'2022'!Maxi_hp</f>
        <v>61.912018368777417</v>
      </c>
      <c r="C145" s="13">
        <f>'2022'!An_max</f>
        <v>2022</v>
      </c>
      <c r="D145" s="1046">
        <f t="shared" si="78"/>
        <v>1.0072105694192106</v>
      </c>
      <c r="E145" s="13"/>
      <c r="F145" s="13">
        <f t="shared" si="95"/>
        <v>11</v>
      </c>
      <c r="G145" s="13">
        <f t="shared" si="79"/>
        <v>10</v>
      </c>
      <c r="H145" s="173">
        <f t="shared" si="80"/>
        <v>43234</v>
      </c>
      <c r="I145" s="742">
        <f t="shared" si="81"/>
        <v>0.21428571428571427</v>
      </c>
      <c r="J145" s="735">
        <f t="shared" si="82"/>
        <v>61.468793367088907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39">
        <v>43231</v>
      </c>
      <c r="AP145" s="13">
        <f t="shared" si="83"/>
        <v>7</v>
      </c>
      <c r="AQ145" s="13">
        <f t="shared" si="84"/>
        <v>6</v>
      </c>
      <c r="AR145" s="173">
        <f t="shared" si="85"/>
        <v>43248</v>
      </c>
      <c r="AS145" s="742">
        <f t="shared" si="86"/>
        <v>0.6071428571428571</v>
      </c>
      <c r="AT145" s="758">
        <f t="shared" si="87"/>
        <v>61.522785969783683</v>
      </c>
      <c r="AU145" s="13">
        <f t="shared" si="88"/>
        <v>5</v>
      </c>
      <c r="AV145" s="13">
        <f t="shared" si="89"/>
        <v>6</v>
      </c>
      <c r="AW145" s="173">
        <f t="shared" si="90"/>
        <v>43206</v>
      </c>
      <c r="AX145" s="742">
        <f t="shared" si="91"/>
        <v>0.8928571428571429</v>
      </c>
      <c r="AY145" s="758">
        <f t="shared" si="92"/>
        <v>61.461566582282217</v>
      </c>
      <c r="AZ145" s="735">
        <f t="shared" si="96"/>
        <v>61.49217627603295</v>
      </c>
      <c r="BA145" s="633">
        <f t="shared" si="93"/>
        <v>1.0072105694192106</v>
      </c>
      <c r="BC145" s="11">
        <v>43231</v>
      </c>
      <c r="BD145" s="289">
        <f>[3]!FeuilCaduc*(1-Persistant)+Persistant</f>
        <v>0.86988965368990123</v>
      </c>
      <c r="BE145" s="290">
        <f>[3]!CroissVégét</f>
        <v>0.22467491379142088</v>
      </c>
      <c r="BF145" s="804">
        <f>1+[3]!Salcycl*Ksac</f>
        <v>1.0174724134224753</v>
      </c>
      <c r="BH145" s="1037">
        <f t="shared" si="94"/>
        <v>3.0614010144136205E-3</v>
      </c>
      <c r="BI145" s="11">
        <v>44327</v>
      </c>
      <c r="BJ145" s="715">
        <v>1.7065561790693901E-6</v>
      </c>
      <c r="BK145" s="715">
        <v>1.0990958221541918E-5</v>
      </c>
      <c r="BL145" s="715">
        <v>1.1911720123307506E-4</v>
      </c>
      <c r="BM145" s="715">
        <v>3.6977339110597096E-4</v>
      </c>
      <c r="BN145" s="715">
        <v>3.7387837168560752E-3</v>
      </c>
      <c r="BO145" s="716">
        <v>1.1782610973742731E-2</v>
      </c>
      <c r="BP145" s="715">
        <v>3.0953557865592261E-2</v>
      </c>
      <c r="BQ145" s="715">
        <v>5.5538583975754258E-2</v>
      </c>
      <c r="BR145" s="715">
        <v>8.7651036441183036E-2</v>
      </c>
      <c r="BS145" s="715">
        <v>0.12721298446879417</v>
      </c>
      <c r="BT145" s="715">
        <v>0.176956872161249</v>
      </c>
      <c r="BW145" s="1185">
        <f>'2019'!R\Max</f>
        <v>0.53438888323989664</v>
      </c>
      <c r="BX145" s="1185">
        <f>'2020'!R\Max</f>
        <v>0.21639934943811995</v>
      </c>
      <c r="BY145" s="1185">
        <f>'2021'!R\Max</f>
        <v>0.44969884515188574</v>
      </c>
      <c r="BZ145" s="1185">
        <f>'2022'!R\Max</f>
        <v>1.0072105694192106</v>
      </c>
      <c r="CA145" s="1185">
        <f>'2023'!R\Max</f>
        <v>1.0072105694192106</v>
      </c>
      <c r="CB145" s="1185">
        <f>'2024'!R\Max</f>
        <v>1.0072105694192106</v>
      </c>
      <c r="CC145" s="1185">
        <f>'2025'!R\Max</f>
        <v>1.0072105694192106</v>
      </c>
      <c r="CD145" s="1185">
        <f>'2026'!R\Max</f>
        <v>1.0072105694192106</v>
      </c>
      <c r="CE145" s="1186">
        <f>'2027'!R\Max</f>
        <v>1.0072105694192104</v>
      </c>
      <c r="CF145" s="1187">
        <f>'2028'!R\Max</f>
        <v>1.0072105694192106</v>
      </c>
    </row>
    <row r="146" spans="1:84" s="6" customFormat="1" ht="11.25" x14ac:dyDescent="0.2">
      <c r="A146" s="11">
        <v>43232</v>
      </c>
      <c r="B146" s="379">
        <f>'2022'!Maxi_hp</f>
        <v>46.954038073013493</v>
      </c>
      <c r="C146" s="13">
        <f>'2022'!An_max</f>
        <v>2022</v>
      </c>
      <c r="D146" s="1046" t="str">
        <f t="shared" si="78"/>
        <v/>
      </c>
      <c r="E146" s="13"/>
      <c r="F146" s="13">
        <f t="shared" si="95"/>
        <v>11</v>
      </c>
      <c r="G146" s="13">
        <f t="shared" si="79"/>
        <v>10</v>
      </c>
      <c r="H146" s="173">
        <f t="shared" si="80"/>
        <v>43234</v>
      </c>
      <c r="I146" s="742">
        <f t="shared" si="81"/>
        <v>0.14285714285714285</v>
      </c>
      <c r="J146" s="735">
        <f t="shared" si="82"/>
        <v>61.524253061094463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39">
        <v>43232</v>
      </c>
      <c r="AP146" s="13">
        <f t="shared" si="83"/>
        <v>7</v>
      </c>
      <c r="AQ146" s="13">
        <f t="shared" si="84"/>
        <v>6</v>
      </c>
      <c r="AR146" s="173">
        <f t="shared" si="85"/>
        <v>43248</v>
      </c>
      <c r="AS146" s="742">
        <f t="shared" si="86"/>
        <v>0.5714285714285714</v>
      </c>
      <c r="AT146" s="758">
        <f t="shared" si="87"/>
        <v>61.578155102740446</v>
      </c>
      <c r="AU146" s="13">
        <f t="shared" si="88"/>
        <v>5</v>
      </c>
      <c r="AV146" s="13">
        <f t="shared" si="89"/>
        <v>6</v>
      </c>
      <c r="AW146" s="173">
        <f t="shared" si="90"/>
        <v>43206</v>
      </c>
      <c r="AX146" s="742">
        <f t="shared" si="91"/>
        <v>0.9285714285714286</v>
      </c>
      <c r="AY146" s="758">
        <f t="shared" si="92"/>
        <v>61.518674490520993</v>
      </c>
      <c r="AZ146" s="735">
        <f t="shared" si="96"/>
        <v>61.548414796630723</v>
      </c>
      <c r="BA146" s="633">
        <f t="shared" si="93"/>
        <v>0.76317932744973693</v>
      </c>
      <c r="BC146" s="11">
        <v>43232</v>
      </c>
      <c r="BD146" s="289">
        <f>[3]!FeuilCaduc*(1-Persistant)+Persistant</f>
        <v>0.8724918450538246</v>
      </c>
      <c r="BE146" s="290">
        <f>[3]!CroissVégét</f>
        <v>0.23194968908707836</v>
      </c>
      <c r="BF146" s="804">
        <f>1+[3]!Salcycl*Ksac</f>
        <v>1.0181229612634561</v>
      </c>
      <c r="BH146" s="1037">
        <f t="shared" si="94"/>
        <v>2.6711876868574284E-3</v>
      </c>
      <c r="BI146" s="11">
        <v>44328</v>
      </c>
      <c r="BJ146" s="715">
        <v>1.5716738783557369E-6</v>
      </c>
      <c r="BK146" s="715">
        <v>1.0950525153380163E-5</v>
      </c>
      <c r="BL146" s="715">
        <v>8.421594219867404E-5</v>
      </c>
      <c r="BM146" s="715">
        <v>2.5999786062497746E-4</v>
      </c>
      <c r="BN146" s="715">
        <v>3.2779946115790537E-3</v>
      </c>
      <c r="BO146" s="716">
        <v>1.0714870185083837E-2</v>
      </c>
      <c r="BP146" s="715">
        <v>2.9339197309380234E-2</v>
      </c>
      <c r="BQ146" s="715">
        <v>5.3503670167223717E-2</v>
      </c>
      <c r="BR146" s="715">
        <v>8.5181743328503562E-2</v>
      </c>
      <c r="BS146" s="715">
        <v>0.12370040118273422</v>
      </c>
      <c r="BT146" s="715">
        <v>0.17196204853406191</v>
      </c>
      <c r="BW146" s="1185">
        <f>'2019'!R\Max</f>
        <v>0.75623024827691576</v>
      </c>
      <c r="BX146" s="1185">
        <f>'2020'!R\Max</f>
        <v>0.15467209276130317</v>
      </c>
      <c r="BY146" s="1185">
        <f>'2021'!R\Max</f>
        <v>0.70703370020551026</v>
      </c>
      <c r="BZ146" s="1185">
        <f>'2022'!R\Max</f>
        <v>0.76317932744973693</v>
      </c>
      <c r="CA146" s="1185">
        <f>'2023'!R\Max</f>
        <v>0.76300732859919396</v>
      </c>
      <c r="CB146" s="1185">
        <f>'2024'!R\Max</f>
        <v>0.76283517797704647</v>
      </c>
      <c r="CC146" s="1185">
        <f>'2025'!R\Max</f>
        <v>0.76263372412091335</v>
      </c>
      <c r="CD146" s="1185">
        <f>'2026'!R\Max</f>
        <v>0.76337156323449806</v>
      </c>
      <c r="CE146" s="1186">
        <f>'2027'!R\Max</f>
        <v>0.76331604059118607</v>
      </c>
      <c r="CF146" s="1187">
        <f>'2028'!R\Max</f>
        <v>0.76324742609362783</v>
      </c>
    </row>
    <row r="147" spans="1:84" s="6" customFormat="1" ht="11.25" x14ac:dyDescent="0.2">
      <c r="A147" s="11">
        <v>43233</v>
      </c>
      <c r="B147" s="379">
        <f>'2022'!Maxi_hp</f>
        <v>60.109259389460362</v>
      </c>
      <c r="C147" s="13">
        <f>'2022'!An_max</f>
        <v>2018</v>
      </c>
      <c r="D147" s="1046">
        <f t="shared" si="78"/>
        <v>0.97616018720502873</v>
      </c>
      <c r="E147" s="13"/>
      <c r="F147" s="13">
        <f t="shared" si="95"/>
        <v>11</v>
      </c>
      <c r="G147" s="13">
        <f t="shared" si="79"/>
        <v>10</v>
      </c>
      <c r="H147" s="173">
        <f t="shared" si="80"/>
        <v>43234</v>
      </c>
      <c r="I147" s="742">
        <f t="shared" si="81"/>
        <v>7.1428571428571425E-2</v>
      </c>
      <c r="J147" s="735">
        <f t="shared" si="82"/>
        <v>61.577249489724636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39">
        <v>43233</v>
      </c>
      <c r="AP147" s="13">
        <f t="shared" si="83"/>
        <v>7</v>
      </c>
      <c r="AQ147" s="13">
        <f t="shared" si="84"/>
        <v>6</v>
      </c>
      <c r="AR147" s="173">
        <f t="shared" si="85"/>
        <v>43248</v>
      </c>
      <c r="AS147" s="742">
        <f t="shared" si="86"/>
        <v>0.5357142857142857</v>
      </c>
      <c r="AT147" s="758">
        <f t="shared" si="87"/>
        <v>61.629756887802593</v>
      </c>
      <c r="AU147" s="13">
        <f t="shared" si="88"/>
        <v>5</v>
      </c>
      <c r="AV147" s="13">
        <f t="shared" si="89"/>
        <v>6</v>
      </c>
      <c r="AW147" s="173">
        <f t="shared" si="90"/>
        <v>43206</v>
      </c>
      <c r="AX147" s="742">
        <f t="shared" si="91"/>
        <v>0.9642857142857143</v>
      </c>
      <c r="AY147" s="758">
        <f t="shared" si="92"/>
        <v>61.57407984776156</v>
      </c>
      <c r="AZ147" s="735">
        <f t="shared" si="96"/>
        <v>61.601918367782076</v>
      </c>
      <c r="BA147" s="633">
        <f t="shared" si="93"/>
        <v>0.97616018720502873</v>
      </c>
      <c r="BC147" s="11">
        <v>43233</v>
      </c>
      <c r="BD147" s="289">
        <f>[3]!FeuilCaduc*(1-Persistant)+Persistant</f>
        <v>0.87513134968609607</v>
      </c>
      <c r="BE147" s="290">
        <f>[3]!CroissVégét</f>
        <v>0.23938589533798257</v>
      </c>
      <c r="BF147" s="804">
        <f>1+[3]!Salcycl*Ksac</f>
        <v>1.018782837421524</v>
      </c>
      <c r="BH147" s="1037">
        <f t="shared" si="94"/>
        <v>2.3213828484956629E-3</v>
      </c>
      <c r="BI147" s="11">
        <v>44329</v>
      </c>
      <c r="BJ147" s="715">
        <v>1.4257814465283199E-6</v>
      </c>
      <c r="BK147" s="715">
        <v>1.0897257209731376E-5</v>
      </c>
      <c r="BL147" s="715">
        <v>5.8260946541745782E-5</v>
      </c>
      <c r="BM147" s="715">
        <v>1.783326380829263E-4</v>
      </c>
      <c r="BN147" s="715">
        <v>2.86070899094896E-3</v>
      </c>
      <c r="BO147" s="716">
        <v>9.6967773529356115E-3</v>
      </c>
      <c r="BP147" s="715">
        <v>2.7695670388050805E-2</v>
      </c>
      <c r="BQ147" s="715">
        <v>5.1409334133843756E-2</v>
      </c>
      <c r="BR147" s="715">
        <v>8.2684322202296504E-2</v>
      </c>
      <c r="BS147" s="715">
        <v>0.12030630060156169</v>
      </c>
      <c r="BT147" s="715">
        <v>0.16722806118055975</v>
      </c>
      <c r="BW147" s="1185">
        <f>'2019'!R\Max</f>
        <v>0.97616018720502873</v>
      </c>
      <c r="BX147" s="1185">
        <f>'2020'!R\Max</f>
        <v>0.37858748461192293</v>
      </c>
      <c r="BY147" s="1185">
        <f>'2021'!R\Max</f>
        <v>0.91500314081689293</v>
      </c>
      <c r="BZ147" s="1185">
        <f>'2022'!R\Max</f>
        <v>0.65849824079156283</v>
      </c>
      <c r="CA147" s="1185">
        <f>'2023'!R\Max</f>
        <v>0.65829100324519518</v>
      </c>
      <c r="CB147" s="1185">
        <f>'2024'!R\Max</f>
        <v>0.65808362863980574</v>
      </c>
      <c r="CC147" s="1185">
        <f>'2025'!R\Max</f>
        <v>0.65783815817865576</v>
      </c>
      <c r="CD147" s="1185">
        <f>'2026'!R\Max</f>
        <v>0.6587202667586719</v>
      </c>
      <c r="CE147" s="1186">
        <f>'2027'!R\Max</f>
        <v>0.65865659775085827</v>
      </c>
      <c r="CF147" s="1187">
        <f>'2028'!R\Max</f>
        <v>0.65857794379578094</v>
      </c>
    </row>
    <row r="148" spans="1:84" s="6" customFormat="1" ht="11.25" x14ac:dyDescent="0.2">
      <c r="A148" s="11">
        <v>43234</v>
      </c>
      <c r="B148" s="379">
        <f>'2022'!Maxi_hp</f>
        <v>59.065123459499134</v>
      </c>
      <c r="C148" s="13">
        <f>'2022'!An_max</f>
        <v>2018</v>
      </c>
      <c r="D148" s="1046" t="str">
        <f t="shared" si="78"/>
        <v/>
      </c>
      <c r="E148" s="1041">
        <f>W$13/10</f>
        <v>61.628</v>
      </c>
      <c r="F148" s="13">
        <f t="shared" si="95"/>
        <v>11</v>
      </c>
      <c r="G148" s="13">
        <f t="shared" si="79"/>
        <v>12</v>
      </c>
      <c r="H148" s="173">
        <f t="shared" si="80"/>
        <v>43234</v>
      </c>
      <c r="I148" s="742">
        <f t="shared" si="81"/>
        <v>0</v>
      </c>
      <c r="J148" s="735">
        <f t="shared" si="82"/>
        <v>61.627999999374154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39">
        <v>43234</v>
      </c>
      <c r="AP148" s="13">
        <f t="shared" si="83"/>
        <v>7</v>
      </c>
      <c r="AQ148" s="13">
        <f t="shared" si="84"/>
        <v>6</v>
      </c>
      <c r="AR148" s="173">
        <f t="shared" si="85"/>
        <v>43248</v>
      </c>
      <c r="AS148" s="742">
        <f t="shared" si="86"/>
        <v>0.5</v>
      </c>
      <c r="AT148" s="758">
        <f t="shared" si="87"/>
        <v>61.677700000628832</v>
      </c>
      <c r="AU148" s="13">
        <f t="shared" si="88"/>
        <v>7</v>
      </c>
      <c r="AV148" s="13">
        <f t="shared" si="89"/>
        <v>6</v>
      </c>
      <c r="AW148" s="173">
        <f t="shared" si="90"/>
        <v>43262</v>
      </c>
      <c r="AX148" s="742">
        <f t="shared" si="91"/>
        <v>1</v>
      </c>
      <c r="AY148" s="758">
        <f t="shared" si="92"/>
        <v>61.628000000491738</v>
      </c>
      <c r="AZ148" s="735">
        <f t="shared" si="96"/>
        <v>61.652850000560285</v>
      </c>
      <c r="BA148" s="633">
        <f t="shared" si="93"/>
        <v>0.95841376419969748</v>
      </c>
      <c r="BC148" s="11">
        <v>43234</v>
      </c>
      <c r="BD148" s="289">
        <f>[3]!FeuilCaduc*(1-Persistant)+Persistant</f>
        <v>0.87780586363088453</v>
      </c>
      <c r="BE148" s="290">
        <f>[3]!CroissVégét</f>
        <v>0.24698247846918731</v>
      </c>
      <c r="BF148" s="804">
        <f>1+[3]!Salcycl*Ksac</f>
        <v>1.0194514659077212</v>
      </c>
      <c r="BH148" s="1037">
        <f t="shared" si="94"/>
        <v>2.011954233314885E-3</v>
      </c>
      <c r="BI148" s="11">
        <v>44330</v>
      </c>
      <c r="BJ148" s="715">
        <v>1.2688938330304195E-6</v>
      </c>
      <c r="BK148" s="715">
        <v>1.0831166397612733E-5</v>
      </c>
      <c r="BL148" s="715">
        <v>4.124376005249279E-5</v>
      </c>
      <c r="BM148" s="715">
        <v>1.2475116346226053E-4</v>
      </c>
      <c r="BN148" s="715">
        <v>2.486893152965121E-3</v>
      </c>
      <c r="BO148" s="716">
        <v>8.7283074182136055E-3</v>
      </c>
      <c r="BP148" s="715">
        <v>2.6023045652348475E-2</v>
      </c>
      <c r="BQ148" s="715">
        <v>4.9255682165848469E-2</v>
      </c>
      <c r="BR148" s="715">
        <v>8.0158850983949648E-2</v>
      </c>
      <c r="BS148" s="715">
        <v>0.11703062635397646</v>
      </c>
      <c r="BT148" s="715">
        <v>0.16275473379382432</v>
      </c>
      <c r="BW148" s="1185">
        <f>'2019'!R\Max</f>
        <v>0.95841376419969748</v>
      </c>
      <c r="BX148" s="1185">
        <f>'2020'!R\Max</f>
        <v>0.60825076570762338</v>
      </c>
      <c r="BY148" s="1185">
        <f>'2021'!R\Max</f>
        <v>0.67151793632558665</v>
      </c>
      <c r="BZ148" s="1185">
        <f>'2022'!R\Max</f>
        <v>0.91514492347736209</v>
      </c>
      <c r="CA148" s="1185">
        <f>'2023'!R\Max</f>
        <v>0.91507599412093121</v>
      </c>
      <c r="CB148" s="1185">
        <f>'2024'!R\Max</f>
        <v>0.91500698942476877</v>
      </c>
      <c r="CC148" s="1185">
        <f>'2025'!R\Max</f>
        <v>0.91492406105971813</v>
      </c>
      <c r="CD148" s="1185">
        <f>'2026'!R\Max</f>
        <v>0.91521566685972344</v>
      </c>
      <c r="CE148" s="1186">
        <f>'2027'!R\Max</f>
        <v>0.91519554734083397</v>
      </c>
      <c r="CF148" s="1187">
        <f>'2028'!R\Max</f>
        <v>0.91517070038864545</v>
      </c>
    </row>
    <row r="149" spans="1:84" s="6" customFormat="1" ht="11.25" x14ac:dyDescent="0.2">
      <c r="A149" s="11">
        <v>43235</v>
      </c>
      <c r="B149" s="379">
        <f>'2022'!Maxi_hp</f>
        <v>59.483162733669118</v>
      </c>
      <c r="C149" s="13">
        <f>'2022'!An_max</f>
        <v>2018</v>
      </c>
      <c r="D149" s="1046" t="str">
        <f t="shared" si="78"/>
        <v/>
      </c>
      <c r="E149" s="13"/>
      <c r="F149" s="13">
        <f t="shared" si="95"/>
        <v>11</v>
      </c>
      <c r="G149" s="13">
        <f t="shared" si="79"/>
        <v>12</v>
      </c>
      <c r="H149" s="173">
        <f t="shared" si="80"/>
        <v>43234</v>
      </c>
      <c r="I149" s="742">
        <f t="shared" si="81"/>
        <v>7.1428571428571425E-2</v>
      </c>
      <c r="J149" s="735">
        <f t="shared" si="82"/>
        <v>61.676178571235923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39">
        <v>43235</v>
      </c>
      <c r="AP149" s="13">
        <f t="shared" si="83"/>
        <v>7</v>
      </c>
      <c r="AQ149" s="13">
        <f t="shared" si="84"/>
        <v>6</v>
      </c>
      <c r="AR149" s="173">
        <f t="shared" si="85"/>
        <v>43248</v>
      </c>
      <c r="AS149" s="742">
        <f t="shared" si="86"/>
        <v>0.4642857142857143</v>
      </c>
      <c r="AT149" s="758">
        <f t="shared" si="87"/>
        <v>61.722093112247862</v>
      </c>
      <c r="AU149" s="13">
        <f t="shared" si="88"/>
        <v>7</v>
      </c>
      <c r="AV149" s="13">
        <f t="shared" si="89"/>
        <v>6</v>
      </c>
      <c r="AW149" s="173">
        <f t="shared" si="90"/>
        <v>43262</v>
      </c>
      <c r="AX149" s="742">
        <f t="shared" si="91"/>
        <v>0.9642857142857143</v>
      </c>
      <c r="AY149" s="758">
        <f t="shared" si="92"/>
        <v>61.679479528591038</v>
      </c>
      <c r="AZ149" s="735">
        <f t="shared" si="96"/>
        <v>61.700786320419454</v>
      </c>
      <c r="BA149" s="633">
        <f t="shared" si="93"/>
        <v>0.9644430655664914</v>
      </c>
      <c r="BC149" s="11">
        <v>43235</v>
      </c>
      <c r="BD149" s="289">
        <f>[3]!FeuilCaduc*(1-Persistant)+Persistant</f>
        <v>0.88051295581758837</v>
      </c>
      <c r="BE149" s="290">
        <f>[3]!CroissVégét</f>
        <v>0.25473806189926657</v>
      </c>
      <c r="BF149" s="804">
        <f>1+[3]!Salcycl*Ksac</f>
        <v>1.0201282389543971</v>
      </c>
      <c r="BH149" s="1037">
        <f t="shared" si="94"/>
        <v>1.742867668520573E-3</v>
      </c>
      <c r="BI149" s="11">
        <v>44331</v>
      </c>
      <c r="BJ149" s="715">
        <v>1.1010267259971863E-6</v>
      </c>
      <c r="BK149" s="715">
        <v>1.0752265470854322E-5</v>
      </c>
      <c r="BL149" s="715">
        <v>3.3155459598807597E-5</v>
      </c>
      <c r="BM149" s="715">
        <v>9.9225403436991536E-5</v>
      </c>
      <c r="BN149" s="715">
        <v>2.1565113797568122E-3</v>
      </c>
      <c r="BO149" s="716">
        <v>7.8094335121186055E-3</v>
      </c>
      <c r="BP149" s="715">
        <v>2.4321394741414464E-2</v>
      </c>
      <c r="BQ149" s="715">
        <v>4.7042825701642518E-2</v>
      </c>
      <c r="BR149" s="715">
        <v>7.7605411363749432E-2</v>
      </c>
      <c r="BS149" s="715">
        <v>0.11387331855504595</v>
      </c>
      <c r="BT149" s="715">
        <v>0.15854187990346982</v>
      </c>
      <c r="BW149" s="1185">
        <f>'2019'!R\Max</f>
        <v>0.9644430655664914</v>
      </c>
      <c r="BX149" s="1185">
        <f>'2020'!R\Max</f>
        <v>0.29561164174856525</v>
      </c>
      <c r="BY149" s="1185">
        <f>'2021'!R\Max</f>
        <v>0.34575820220926623</v>
      </c>
      <c r="BZ149" s="1185">
        <f>'2022'!R\Max</f>
        <v>0.94667573616747769</v>
      </c>
      <c r="CA149" s="1185">
        <f>'2023'!R\Max</f>
        <v>0.94663285831700295</v>
      </c>
      <c r="CB149" s="1185">
        <f>'2024'!R\Max</f>
        <v>0.9465899333236627</v>
      </c>
      <c r="CC149" s="1185">
        <f>'2025'!R\Max</f>
        <v>0.94653740004196729</v>
      </c>
      <c r="CD149" s="1185">
        <f>'2026'!R\Max</f>
        <v>0.94671789268585982</v>
      </c>
      <c r="CE149" s="1186">
        <f>'2027'!R\Max</f>
        <v>0.94670601235144236</v>
      </c>
      <c r="CF149" s="1187">
        <f>'2028'!R\Max</f>
        <v>0.9466913496706264</v>
      </c>
    </row>
    <row r="150" spans="1:84" s="6" customFormat="1" ht="11.25" x14ac:dyDescent="0.2">
      <c r="A150" s="11">
        <v>43236</v>
      </c>
      <c r="B150" s="379">
        <f>'2022'!Maxi_hp</f>
        <v>55.435904399739371</v>
      </c>
      <c r="C150" s="13">
        <f>'2022'!An_max</f>
        <v>2018</v>
      </c>
      <c r="D150" s="1046" t="str">
        <f t="shared" si="78"/>
        <v/>
      </c>
      <c r="E150" s="13"/>
      <c r="F150" s="13">
        <f t="shared" si="95"/>
        <v>11</v>
      </c>
      <c r="G150" s="13">
        <f t="shared" si="79"/>
        <v>12</v>
      </c>
      <c r="H150" s="173">
        <f t="shared" si="80"/>
        <v>43234</v>
      </c>
      <c r="I150" s="742">
        <f t="shared" si="81"/>
        <v>0.14285714285714285</v>
      </c>
      <c r="J150" s="735">
        <f t="shared" si="82"/>
        <v>61.721314285376238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39">
        <v>43236</v>
      </c>
      <c r="AP150" s="13">
        <f t="shared" si="83"/>
        <v>7</v>
      </c>
      <c r="AQ150" s="13">
        <f t="shared" si="84"/>
        <v>6</v>
      </c>
      <c r="AR150" s="173">
        <f t="shared" si="85"/>
        <v>43248</v>
      </c>
      <c r="AS150" s="742">
        <f t="shared" si="86"/>
        <v>0.42857142857142855</v>
      </c>
      <c r="AT150" s="758">
        <f t="shared" si="87"/>
        <v>61.763044898424823</v>
      </c>
      <c r="AU150" s="13">
        <f t="shared" si="88"/>
        <v>7</v>
      </c>
      <c r="AV150" s="13">
        <f t="shared" si="89"/>
        <v>6</v>
      </c>
      <c r="AW150" s="173">
        <f t="shared" si="90"/>
        <v>43262</v>
      </c>
      <c r="AX150" s="742">
        <f t="shared" si="91"/>
        <v>0.9285714285714286</v>
      </c>
      <c r="AY150" s="758">
        <f t="shared" si="92"/>
        <v>61.72743622511625</v>
      </c>
      <c r="AZ150" s="735">
        <f t="shared" si="96"/>
        <v>61.745240561770537</v>
      </c>
      <c r="BA150" s="633">
        <f t="shared" si="93"/>
        <v>0.89816467846787118</v>
      </c>
      <c r="BC150" s="11">
        <v>43236</v>
      </c>
      <c r="BD150" s="289">
        <f>[3]!FeuilCaduc*(1-Persistant)+Persistant</f>
        <v>0.88325007144970769</v>
      </c>
      <c r="BE150" s="290">
        <f>[3]!CroissVégét</f>
        <v>0.2626509368215188</v>
      </c>
      <c r="BF150" s="804">
        <f>1+[3]!Salcycl*Ksac</f>
        <v>1.020812517862427</v>
      </c>
      <c r="BH150" s="1037">
        <f t="shared" si="94"/>
        <v>1.5243174891023893E-3</v>
      </c>
      <c r="BI150" s="11">
        <v>44332</v>
      </c>
      <c r="BJ150" s="715">
        <v>9.3126587963749085E-7</v>
      </c>
      <c r="BK150" s="715">
        <v>1.0604273841926754E-5</v>
      </c>
      <c r="BL150" s="715">
        <v>3.3713838100031833E-5</v>
      </c>
      <c r="BM150" s="715">
        <v>1.0135585181362404E-4</v>
      </c>
      <c r="BN150" s="715">
        <v>1.8824240826712697E-3</v>
      </c>
      <c r="BO150" s="716">
        <v>6.9743239220450004E-3</v>
      </c>
      <c r="BP150" s="715">
        <v>2.2635030780192675E-2</v>
      </c>
      <c r="BQ150" s="715">
        <v>4.4774948120050923E-2</v>
      </c>
      <c r="BR150" s="715">
        <v>7.5026097483520807E-2</v>
      </c>
      <c r="BS150" s="715">
        <v>0.11085847192286413</v>
      </c>
      <c r="BT150" s="715">
        <v>0.15468561802683914</v>
      </c>
      <c r="BW150" s="1185">
        <f>'2019'!R\Max</f>
        <v>0.89816467846787118</v>
      </c>
      <c r="BX150" s="1185">
        <f>'2020'!R\Max</f>
        <v>0.32535309146990193</v>
      </c>
      <c r="BY150" s="1185">
        <f>'2021'!R\Max</f>
        <v>0.21420287885189371</v>
      </c>
      <c r="BZ150" s="1185">
        <f>'2022'!R\Max</f>
        <v>0.88163777424319523</v>
      </c>
      <c r="CA150" s="1185">
        <f>'2023'!R\Max</f>
        <v>0.88155351733848619</v>
      </c>
      <c r="CB150" s="1185">
        <f>'2024'!R\Max</f>
        <v>0.88146918123527984</v>
      </c>
      <c r="CC150" s="1185">
        <f>'2025'!R\Max</f>
        <v>0.88136382798126056</v>
      </c>
      <c r="CD150" s="1185">
        <f>'2026'!R\Max</f>
        <v>0.88171732338308617</v>
      </c>
      <c r="CE150" s="1186">
        <f>'2027'!R\Max</f>
        <v>0.88169512099340674</v>
      </c>
      <c r="CF150" s="1187">
        <f>'2028'!R\Max</f>
        <v>0.88166775201702485</v>
      </c>
    </row>
    <row r="151" spans="1:84" s="6" customFormat="1" ht="11.25" x14ac:dyDescent="0.2">
      <c r="A151" s="11">
        <v>43237</v>
      </c>
      <c r="B151" s="379">
        <f>'2022'!Maxi_hp</f>
        <v>59.551773211807408</v>
      </c>
      <c r="C151" s="13">
        <f>'2022'!An_max</f>
        <v>2022</v>
      </c>
      <c r="D151" s="1046" t="str">
        <f t="shared" si="78"/>
        <v/>
      </c>
      <c r="E151" s="13"/>
      <c r="F151" s="13">
        <f t="shared" si="95"/>
        <v>11</v>
      </c>
      <c r="G151" s="13">
        <f t="shared" si="79"/>
        <v>12</v>
      </c>
      <c r="H151" s="173">
        <f t="shared" si="80"/>
        <v>43234</v>
      </c>
      <c r="I151" s="742">
        <f t="shared" si="81"/>
        <v>0.21428571428571427</v>
      </c>
      <c r="J151" s="735">
        <f t="shared" si="82"/>
        <v>61.763407142540174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39">
        <v>43237</v>
      </c>
      <c r="AP151" s="13">
        <f t="shared" si="83"/>
        <v>7</v>
      </c>
      <c r="AQ151" s="13">
        <f t="shared" si="84"/>
        <v>6</v>
      </c>
      <c r="AR151" s="173">
        <f t="shared" si="85"/>
        <v>43248</v>
      </c>
      <c r="AS151" s="742">
        <f t="shared" si="86"/>
        <v>0.39285714285714285</v>
      </c>
      <c r="AT151" s="758">
        <f t="shared" si="87"/>
        <v>61.80066403065409</v>
      </c>
      <c r="AU151" s="13">
        <f t="shared" si="88"/>
        <v>7</v>
      </c>
      <c r="AV151" s="13">
        <f t="shared" si="89"/>
        <v>6</v>
      </c>
      <c r="AW151" s="173">
        <f t="shared" si="90"/>
        <v>43262</v>
      </c>
      <c r="AX151" s="742">
        <f t="shared" si="91"/>
        <v>0.8928571428571429</v>
      </c>
      <c r="AY151" s="758">
        <f t="shared" si="92"/>
        <v>61.771897258330135</v>
      </c>
      <c r="AZ151" s="735">
        <f t="shared" si="96"/>
        <v>61.786280644492109</v>
      </c>
      <c r="BA151" s="633">
        <f t="shared" si="93"/>
        <v>0.96419184055651808</v>
      </c>
      <c r="BC151" s="11">
        <v>43237</v>
      </c>
      <c r="BD151" s="289">
        <f>[3]!FeuilCaduc*(1-Persistant)+Persistant</f>
        <v>0.88601453612226877</v>
      </c>
      <c r="BE151" s="290">
        <f>[3]!CroissVégét</f>
        <v>0.27071905354146641</v>
      </c>
      <c r="BF151" s="804">
        <f>1+[3]!Salcycl*Ksac</f>
        <v>1.0215036340305672</v>
      </c>
      <c r="BH151" s="1037">
        <f t="shared" si="94"/>
        <v>1.3280765504153475E-3</v>
      </c>
      <c r="BI151" s="11">
        <v>44333</v>
      </c>
      <c r="BJ151" s="715">
        <v>7.7774993118607498E-7</v>
      </c>
      <c r="BK151" s="715">
        <v>1.042777145133636E-5</v>
      </c>
      <c r="BL151" s="715">
        <v>3.4060000181265548E-5</v>
      </c>
      <c r="BM151" s="715">
        <v>1.0293487542779074E-4</v>
      </c>
      <c r="BN151" s="715">
        <v>1.6363992067485158E-3</v>
      </c>
      <c r="BO151" s="716">
        <v>6.2082359812331532E-3</v>
      </c>
      <c r="BP151" s="715">
        <v>2.1006656560432487E-2</v>
      </c>
      <c r="BQ151" s="715">
        <v>4.2479006152877322E-2</v>
      </c>
      <c r="BR151" s="715">
        <v>7.2413128067725693E-2</v>
      </c>
      <c r="BS151" s="715">
        <v>0.10785401365255232</v>
      </c>
      <c r="BT151" s="715">
        <v>0.15092743195787564</v>
      </c>
      <c r="BW151" s="1185">
        <f>'2019'!R\Max</f>
        <v>0.10789055350878379</v>
      </c>
      <c r="BX151" s="1185">
        <f>'2020'!R\Max</f>
        <v>0.47136503420429698</v>
      </c>
      <c r="BY151" s="1185">
        <f>'2021'!R\Max</f>
        <v>0.84812558014722628</v>
      </c>
      <c r="BZ151" s="1185">
        <f>'2022'!R\Max</f>
        <v>0.96419184055651808</v>
      </c>
      <c r="CA151" s="1185">
        <f>'2023'!R\Max</f>
        <v>0.96416543366865204</v>
      </c>
      <c r="CB151" s="1185">
        <f>'2024'!R\Max</f>
        <v>0.96413899993160734</v>
      </c>
      <c r="CC151" s="1185">
        <f>'2025'!R\Max</f>
        <v>0.96410528824683728</v>
      </c>
      <c r="CD151" s="1185">
        <f>'2026'!R\Max</f>
        <v>0.96421581578314319</v>
      </c>
      <c r="CE151" s="1186">
        <f>'2027'!R\Max</f>
        <v>0.96420919473247579</v>
      </c>
      <c r="CF151" s="1187">
        <f>'2028'!R\Max</f>
        <v>0.96420104487552705</v>
      </c>
    </row>
    <row r="152" spans="1:84" s="6" customFormat="1" ht="11.25" x14ac:dyDescent="0.2">
      <c r="A152" s="11">
        <v>43238</v>
      </c>
      <c r="B152" s="379">
        <f>'2022'!Maxi_hp</f>
        <v>60.850795316552379</v>
      </c>
      <c r="C152" s="13">
        <f>'2022'!An_max</f>
        <v>2020</v>
      </c>
      <c r="D152" s="1046">
        <f t="shared" si="78"/>
        <v>0.98460155356250068</v>
      </c>
      <c r="E152" s="13"/>
      <c r="F152" s="13">
        <f t="shared" si="95"/>
        <v>11</v>
      </c>
      <c r="G152" s="13">
        <f t="shared" si="79"/>
        <v>12</v>
      </c>
      <c r="H152" s="173">
        <f t="shared" si="80"/>
        <v>43234</v>
      </c>
      <c r="I152" s="742">
        <f t="shared" si="81"/>
        <v>0.2857142857142857</v>
      </c>
      <c r="J152" s="735">
        <f t="shared" si="82"/>
        <v>61.802457142568059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39">
        <v>43238</v>
      </c>
      <c r="AP152" s="13">
        <f t="shared" si="83"/>
        <v>7</v>
      </c>
      <c r="AQ152" s="13">
        <f t="shared" si="84"/>
        <v>6</v>
      </c>
      <c r="AR152" s="173">
        <f t="shared" si="85"/>
        <v>43248</v>
      </c>
      <c r="AS152" s="742">
        <f t="shared" si="86"/>
        <v>0.35714285714285715</v>
      </c>
      <c r="AT152" s="758">
        <f t="shared" si="87"/>
        <v>61.835059184235114</v>
      </c>
      <c r="AU152" s="13">
        <f t="shared" si="88"/>
        <v>7</v>
      </c>
      <c r="AV152" s="13">
        <f t="shared" si="89"/>
        <v>6</v>
      </c>
      <c r="AW152" s="173">
        <f t="shared" si="90"/>
        <v>43262</v>
      </c>
      <c r="AX152" s="742">
        <f t="shared" si="91"/>
        <v>0.8571428571428571</v>
      </c>
      <c r="AY152" s="758">
        <f t="shared" si="92"/>
        <v>61.812889797027616</v>
      </c>
      <c r="AZ152" s="735">
        <f t="shared" si="96"/>
        <v>61.823974490631365</v>
      </c>
      <c r="BA152" s="633">
        <f t="shared" si="93"/>
        <v>0.98460155356250068</v>
      </c>
      <c r="BC152" s="11">
        <v>43238</v>
      </c>
      <c r="BD152" s="289">
        <f>[3]!FeuilCaduc*(1-Persistant)+Persistant</f>
        <v>0.88880356067956079</v>
      </c>
      <c r="BE152" s="290">
        <f>[3]!CroissVégét</f>
        <v>0.27894001398938062</v>
      </c>
      <c r="BF152" s="804">
        <f>1+[3]!Salcycl*Ksac</f>
        <v>1.0222008901698902</v>
      </c>
      <c r="BH152" s="1037">
        <f t="shared" si="94"/>
        <v>1.1541251040889983E-3</v>
      </c>
      <c r="BI152" s="11">
        <v>44334</v>
      </c>
      <c r="BJ152" s="715">
        <v>6.4046486931201135E-7</v>
      </c>
      <c r="BK152" s="715">
        <v>1.0222793584503775E-5</v>
      </c>
      <c r="BL152" s="715">
        <v>3.4194168592926015E-5</v>
      </c>
      <c r="BM152" s="715">
        <v>1.0396302891148984E-4</v>
      </c>
      <c r="BN152" s="715">
        <v>1.4184118941064634E-3</v>
      </c>
      <c r="BO152" s="716">
        <v>5.5111129137739067E-3</v>
      </c>
      <c r="BP152" s="715">
        <v>1.9436250486097532E-2</v>
      </c>
      <c r="BQ152" s="715">
        <v>4.0155091233578438E-2</v>
      </c>
      <c r="BR152" s="715">
        <v>6.976660328505363E-2</v>
      </c>
      <c r="BS152" s="715">
        <v>0.10485999708065413</v>
      </c>
      <c r="BT152" s="715">
        <v>0.14726728768630126</v>
      </c>
      <c r="BW152" s="1185">
        <f>'2019'!R\Max</f>
        <v>0.68819446708754461</v>
      </c>
      <c r="BX152" s="1185">
        <f>'2020'!R\Max</f>
        <v>0.98460155356250068</v>
      </c>
      <c r="BY152" s="1185">
        <f>'2021'!R\Max</f>
        <v>0.62384231208678242</v>
      </c>
      <c r="BZ152" s="1185">
        <f>'2022'!R\Max</f>
        <v>0.9236006034823927</v>
      </c>
      <c r="CA152" s="1185">
        <f>'2023'!R\Max</f>
        <v>0.92354969572414103</v>
      </c>
      <c r="CB152" s="1185">
        <f>'2024'!R\Max</f>
        <v>0.92349874212843963</v>
      </c>
      <c r="CC152" s="1185">
        <f>'2025'!R\Max</f>
        <v>0.92343242043270057</v>
      </c>
      <c r="CD152" s="1185">
        <f>'2026'!R\Max</f>
        <v>0.92364516388948847</v>
      </c>
      <c r="CE152" s="1186">
        <f>'2027'!R\Max</f>
        <v>0.92363299532666088</v>
      </c>
      <c r="CF152" s="1187">
        <f>'2028'!R\Max</f>
        <v>0.92361804647699097</v>
      </c>
    </row>
    <row r="153" spans="1:84" s="6" customFormat="1" ht="11.25" x14ac:dyDescent="0.2">
      <c r="A153" s="11">
        <v>43239</v>
      </c>
      <c r="B153" s="379">
        <f>'2022'!Maxi_hp</f>
        <v>61.039716032201341</v>
      </c>
      <c r="C153" s="13">
        <f>'2022'!An_max</f>
        <v>2020</v>
      </c>
      <c r="D153" s="1046">
        <f t="shared" si="78"/>
        <v>0.98708331031990892</v>
      </c>
      <c r="E153" s="13"/>
      <c r="F153" s="13">
        <f t="shared" si="95"/>
        <v>11</v>
      </c>
      <c r="G153" s="13">
        <f t="shared" si="79"/>
        <v>12</v>
      </c>
      <c r="H153" s="173">
        <f t="shared" si="80"/>
        <v>43234</v>
      </c>
      <c r="I153" s="742">
        <f t="shared" si="81"/>
        <v>0.35714285714285715</v>
      </c>
      <c r="J153" s="735">
        <f t="shared" si="82"/>
        <v>61.838464285672771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39">
        <v>43239</v>
      </c>
      <c r="AP153" s="13">
        <f t="shared" si="83"/>
        <v>7</v>
      </c>
      <c r="AQ153" s="13">
        <f t="shared" si="84"/>
        <v>6</v>
      </c>
      <c r="AR153" s="173">
        <f t="shared" si="85"/>
        <v>43248</v>
      </c>
      <c r="AS153" s="742">
        <f t="shared" si="86"/>
        <v>0.32142857142857145</v>
      </c>
      <c r="AT153" s="758">
        <f t="shared" si="87"/>
        <v>61.866339030555856</v>
      </c>
      <c r="AU153" s="13">
        <f t="shared" si="88"/>
        <v>7</v>
      </c>
      <c r="AV153" s="13">
        <f t="shared" si="89"/>
        <v>6</v>
      </c>
      <c r="AW153" s="173">
        <f t="shared" si="90"/>
        <v>43262</v>
      </c>
      <c r="AX153" s="742">
        <f t="shared" si="91"/>
        <v>0.8214285714285714</v>
      </c>
      <c r="AY153" s="758">
        <f t="shared" si="92"/>
        <v>61.850441007861605</v>
      </c>
      <c r="AZ153" s="735">
        <f t="shared" si="96"/>
        <v>61.858390019208727</v>
      </c>
      <c r="BA153" s="633">
        <f t="shared" si="93"/>
        <v>0.98708331031990892</v>
      </c>
      <c r="BC153" s="11">
        <v>43239</v>
      </c>
      <c r="BD153" s="289">
        <f>[3]!FeuilCaduc*(1-Persistant)+Persistant</f>
        <v>0.8916142468189302</v>
      </c>
      <c r="BE153" s="290">
        <f>[3]!CroissVégét</f>
        <v>0.28731106552397356</v>
      </c>
      <c r="BF153" s="804">
        <f>1+[3]!Salcycl*Ksac</f>
        <v>1.0229035617047326</v>
      </c>
      <c r="BH153" s="1037">
        <f t="shared" si="94"/>
        <v>1.0024422340241723E-3</v>
      </c>
      <c r="BI153" s="11">
        <v>44335</v>
      </c>
      <c r="BJ153" s="715">
        <v>5.1939584238042411E-7</v>
      </c>
      <c r="BK153" s="715">
        <v>9.9893774027963876E-6</v>
      </c>
      <c r="BL153" s="715">
        <v>3.4116578555202021E-5</v>
      </c>
      <c r="BM153" s="715">
        <v>1.0444089865615255E-4</v>
      </c>
      <c r="BN153" s="715">
        <v>1.2284358172676877E-3</v>
      </c>
      <c r="BO153" s="716">
        <v>4.8828944759577919E-3</v>
      </c>
      <c r="BP153" s="715">
        <v>1.7923788943228873E-2</v>
      </c>
      <c r="BQ153" s="715">
        <v>3.7803298574048613E-2</v>
      </c>
      <c r="BR153" s="715">
        <v>6.7086627685178341E-2</v>
      </c>
      <c r="BS153" s="715">
        <v>0.10187647759189106</v>
      </c>
      <c r="BT153" s="715">
        <v>0.14370514860796382</v>
      </c>
      <c r="BW153" s="1185">
        <f>'2019'!R\Max</f>
        <v>0.44986713436376685</v>
      </c>
      <c r="BX153" s="1185">
        <f>'2020'!R\Max</f>
        <v>0.98708331031990892</v>
      </c>
      <c r="BY153" s="1185">
        <f>'2021'!R\Max</f>
        <v>0.76762637210732432</v>
      </c>
      <c r="BZ153" s="1185">
        <f>'2022'!R\Max</f>
        <v>0.89567318305970012</v>
      </c>
      <c r="CA153" s="1185">
        <f>'2023'!R\Max</f>
        <v>0.89560989074888153</v>
      </c>
      <c r="CB153" s="1185">
        <f>'2024'!R\Max</f>
        <v>0.89554654733350492</v>
      </c>
      <c r="CC153" s="1185">
        <f>'2025'!R\Max</f>
        <v>0.89546240329120741</v>
      </c>
      <c r="CD153" s="1185">
        <f>'2026'!R\Max</f>
        <v>0.89572676865928913</v>
      </c>
      <c r="CE153" s="1186">
        <f>'2027'!R\Max</f>
        <v>0.89571230510304645</v>
      </c>
      <c r="CF153" s="1187">
        <f>'2028'!R\Max</f>
        <v>0.8956945826517676</v>
      </c>
    </row>
    <row r="154" spans="1:84" s="6" customFormat="1" ht="11.25" x14ac:dyDescent="0.2">
      <c r="A154" s="11">
        <v>43240</v>
      </c>
      <c r="B154" s="379">
        <f>'2022'!Maxi_hp</f>
        <v>60.491890433923544</v>
      </c>
      <c r="C154" s="13">
        <f>'2022'!An_max</f>
        <v>2020</v>
      </c>
      <c r="D154" s="1046">
        <f t="shared" si="78"/>
        <v>0.97770314717242801</v>
      </c>
      <c r="E154" s="13"/>
      <c r="F154" s="13">
        <f t="shared" si="95"/>
        <v>11</v>
      </c>
      <c r="G154" s="13">
        <f t="shared" si="79"/>
        <v>12</v>
      </c>
      <c r="H154" s="173">
        <f t="shared" si="80"/>
        <v>43234</v>
      </c>
      <c r="I154" s="742">
        <f t="shared" si="81"/>
        <v>0.42857142857142855</v>
      </c>
      <c r="J154" s="735">
        <f t="shared" si="82"/>
        <v>61.871428571002824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39">
        <v>43240</v>
      </c>
      <c r="AP154" s="13">
        <f t="shared" si="83"/>
        <v>7</v>
      </c>
      <c r="AQ154" s="13">
        <f t="shared" si="84"/>
        <v>6</v>
      </c>
      <c r="AR154" s="173">
        <f t="shared" si="85"/>
        <v>43248</v>
      </c>
      <c r="AS154" s="742">
        <f t="shared" si="86"/>
        <v>0.2857142857142857</v>
      </c>
      <c r="AT154" s="758">
        <f t="shared" si="87"/>
        <v>61.894612245314889</v>
      </c>
      <c r="AU154" s="13">
        <f t="shared" si="88"/>
        <v>7</v>
      </c>
      <c r="AV154" s="13">
        <f t="shared" si="89"/>
        <v>6</v>
      </c>
      <c r="AW154" s="173">
        <f t="shared" si="90"/>
        <v>43262</v>
      </c>
      <c r="AX154" s="742">
        <f t="shared" si="91"/>
        <v>0.7857142857142857</v>
      </c>
      <c r="AY154" s="758">
        <f t="shared" si="92"/>
        <v>61.884578061742445</v>
      </c>
      <c r="AZ154" s="735">
        <f t="shared" si="96"/>
        <v>61.889595153528667</v>
      </c>
      <c r="BA154" s="633">
        <f t="shared" si="93"/>
        <v>0.97770314717242801</v>
      </c>
      <c r="BC154" s="11">
        <v>43240</v>
      </c>
      <c r="BD154" s="289">
        <f>[3]!FeuilCaduc*(1-Persistant)+Persistant</f>
        <v>0.89444359344009583</v>
      </c>
      <c r="BE154" s="290">
        <f>[3]!CroissVégét</f>
        <v>0.29582909613929492</v>
      </c>
      <c r="BF154" s="804">
        <f>1+[3]!Salcycl*Ksac</f>
        <v>1.0236108983600241</v>
      </c>
      <c r="BH154" s="1037">
        <f t="shared" si="94"/>
        <v>8.7300580764467786E-4</v>
      </c>
      <c r="BI154" s="11">
        <v>44336</v>
      </c>
      <c r="BJ154" s="715">
        <v>4.145271229719272E-7</v>
      </c>
      <c r="BK154" s="715">
        <v>9.7275620065373809E-6</v>
      </c>
      <c r="BL154" s="715">
        <v>3.3827478224305648E-5</v>
      </c>
      <c r="BM154" s="715">
        <v>1.0436910402310861E-4</v>
      </c>
      <c r="BN154" s="715">
        <v>1.0664431178383576E-3</v>
      </c>
      <c r="BO154" s="716">
        <v>4.3235168057127356E-3</v>
      </c>
      <c r="BP154" s="715">
        <v>1.6469246175053305E-2</v>
      </c>
      <c r="BQ154" s="715">
        <v>3.5423727230098651E-2</v>
      </c>
      <c r="BR154" s="715">
        <v>6.4373310277110407E-2</v>
      </c>
      <c r="BS154" s="715">
        <v>9.8903512601360502E-2</v>
      </c>
      <c r="BT154" s="715">
        <v>0.1402409753154916</v>
      </c>
      <c r="BW154" s="1185">
        <f>'2019'!R\Max</f>
        <v>0.62099793567117889</v>
      </c>
      <c r="BX154" s="1185">
        <f>'2020'!R\Max</f>
        <v>0.97770314717242801</v>
      </c>
      <c r="BY154" s="1185">
        <f>'2021'!R\Max</f>
        <v>0.96933544102064917</v>
      </c>
      <c r="BZ154" s="1185">
        <f>'2022'!R\Max</f>
        <v>0.86805855609909433</v>
      </c>
      <c r="CA154" s="1185">
        <f>'2023'!R\Max</f>
        <v>0.86798611789179858</v>
      </c>
      <c r="CB154" s="1185">
        <f>'2024'!R\Max</f>
        <v>0.8679136276046403</v>
      </c>
      <c r="CC154" s="1185">
        <f>'2025'!R\Max</f>
        <v>0.86781535762254647</v>
      </c>
      <c r="CD154" s="1185">
        <f>'2026'!R\Max</f>
        <v>0.86811814082631078</v>
      </c>
      <c r="CE154" s="1186">
        <f>'2027'!R\Max</f>
        <v>0.86810224424091098</v>
      </c>
      <c r="CF154" s="1187">
        <f>'2028'!R\Max</f>
        <v>0.86808283228907679</v>
      </c>
    </row>
    <row r="155" spans="1:84" s="6" customFormat="1" ht="11.25" x14ac:dyDescent="0.2">
      <c r="A155" s="11">
        <v>43241</v>
      </c>
      <c r="B155" s="379">
        <f>'2022'!Maxi_hp</f>
        <v>59.791074222210042</v>
      </c>
      <c r="C155" s="13">
        <f>'2022'!An_max</f>
        <v>2020</v>
      </c>
      <c r="D155" s="1046" t="str">
        <f t="shared" si="78"/>
        <v/>
      </c>
      <c r="E155" s="13"/>
      <c r="F155" s="13">
        <f t="shared" si="95"/>
        <v>11</v>
      </c>
      <c r="G155" s="13">
        <f t="shared" si="79"/>
        <v>12</v>
      </c>
      <c r="H155" s="173">
        <f t="shared" si="80"/>
        <v>43234</v>
      </c>
      <c r="I155" s="742">
        <f t="shared" si="81"/>
        <v>0.5</v>
      </c>
      <c r="J155" s="735">
        <f t="shared" si="82"/>
        <v>61.901349999755624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39">
        <v>43241</v>
      </c>
      <c r="AP155" s="13">
        <f t="shared" si="83"/>
        <v>7</v>
      </c>
      <c r="AQ155" s="13">
        <f t="shared" si="84"/>
        <v>6</v>
      </c>
      <c r="AR155" s="173">
        <f t="shared" si="85"/>
        <v>43248</v>
      </c>
      <c r="AS155" s="742">
        <f t="shared" si="86"/>
        <v>0.25</v>
      </c>
      <c r="AT155" s="758">
        <f t="shared" si="87"/>
        <v>61.919987499993297</v>
      </c>
      <c r="AU155" s="13">
        <f t="shared" si="88"/>
        <v>7</v>
      </c>
      <c r="AV155" s="13">
        <f t="shared" si="89"/>
        <v>6</v>
      </c>
      <c r="AW155" s="173">
        <f t="shared" si="90"/>
        <v>43262</v>
      </c>
      <c r="AX155" s="742">
        <f t="shared" si="91"/>
        <v>0.75</v>
      </c>
      <c r="AY155" s="758">
        <f t="shared" si="92"/>
        <v>61.915328125283125</v>
      </c>
      <c r="AZ155" s="735">
        <f t="shared" si="96"/>
        <v>61.917657812638211</v>
      </c>
      <c r="BA155" s="633">
        <f t="shared" si="93"/>
        <v>0.96590905081142964</v>
      </c>
      <c r="BC155" s="11">
        <v>43241</v>
      </c>
      <c r="BD155" s="289">
        <f>[3]!FeuilCaduc*(1-Persistant)+Persistant</f>
        <v>0.89728850373293267</v>
      </c>
      <c r="BE155" s="290">
        <f>[3]!CroissVégét</f>
        <v>0.30449063118118064</v>
      </c>
      <c r="BF155" s="804">
        <f>1+[3]!Salcycl*Ksac</f>
        <v>1.0243221259332331</v>
      </c>
      <c r="BH155" s="1037">
        <f t="shared" si="94"/>
        <v>7.6579242708745921E-4</v>
      </c>
      <c r="BI155" s="11">
        <v>44337</v>
      </c>
      <c r="BJ155" s="715">
        <v>3.2584207236873569E-7</v>
      </c>
      <c r="BK155" s="715">
        <v>9.437388497443972E-6</v>
      </c>
      <c r="BL155" s="715">
        <v>3.332712915679883E-5</v>
      </c>
      <c r="BM155" s="715">
        <v>1.0374829854818418E-4</v>
      </c>
      <c r="BN155" s="715">
        <v>9.3240434511161763E-4</v>
      </c>
      <c r="BO155" s="716">
        <v>3.8329122717455613E-3</v>
      </c>
      <c r="BP155" s="715">
        <v>1.5072594156030385E-2</v>
      </c>
      <c r="BQ155" s="715">
        <v>3.3016480164724207E-2</v>
      </c>
      <c r="BR155" s="715">
        <v>6.1626764603679614E-2</v>
      </c>
      <c r="BS155" s="715">
        <v>9.594116153089452E-2</v>
      </c>
      <c r="BT155" s="715">
        <v>0.13687472538073475</v>
      </c>
      <c r="BW155" s="1185">
        <f>'2019'!R\Max</f>
        <v>0.82091804304362959</v>
      </c>
      <c r="BX155" s="1185">
        <f>'2020'!R\Max</f>
        <v>0.96590905081142964</v>
      </c>
      <c r="BY155" s="1185">
        <f>'2021'!R\Max</f>
        <v>0.76932917575779791</v>
      </c>
      <c r="BZ155" s="1185">
        <f>'2022'!R\Max</f>
        <v>0.95038279562446504</v>
      </c>
      <c r="CA155" s="1185">
        <f>'2023'!R\Max</f>
        <v>0.95035512181427972</v>
      </c>
      <c r="CB155" s="1185">
        <f>'2024'!R\Max</f>
        <v>0.95032742686727545</v>
      </c>
      <c r="CC155" s="1185">
        <f>'2025'!R\Max</f>
        <v>0.9502891081121505</v>
      </c>
      <c r="CD155" s="1185">
        <f>'2026'!R\Max</f>
        <v>0.95040504239331747</v>
      </c>
      <c r="CE155" s="1186">
        <f>'2027'!R\Max</f>
        <v>0.95039917210081148</v>
      </c>
      <c r="CF155" s="1187">
        <f>'2028'!R\Max</f>
        <v>0.95039203585575627</v>
      </c>
    </row>
    <row r="156" spans="1:84" s="6" customFormat="1" ht="11.25" x14ac:dyDescent="0.2">
      <c r="A156" s="11">
        <v>43242</v>
      </c>
      <c r="B156" s="379">
        <f>'2022'!Maxi_hp</f>
        <v>60.114527951171105</v>
      </c>
      <c r="C156" s="13">
        <f>'2022'!An_max</f>
        <v>2018</v>
      </c>
      <c r="D156" s="1046">
        <f t="shared" si="78"/>
        <v>0.97071286128803191</v>
      </c>
      <c r="E156" s="13"/>
      <c r="F156" s="13">
        <f t="shared" si="95"/>
        <v>11</v>
      </c>
      <c r="G156" s="13">
        <f t="shared" si="79"/>
        <v>12</v>
      </c>
      <c r="H156" s="173">
        <f t="shared" si="80"/>
        <v>43234</v>
      </c>
      <c r="I156" s="742">
        <f t="shared" si="81"/>
        <v>0.5714285714285714</v>
      </c>
      <c r="J156" s="735">
        <f t="shared" si="82"/>
        <v>61.928228571532031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39">
        <v>43242</v>
      </c>
      <c r="AP156" s="13">
        <f t="shared" si="83"/>
        <v>7</v>
      </c>
      <c r="AQ156" s="13">
        <f t="shared" si="84"/>
        <v>6</v>
      </c>
      <c r="AR156" s="173">
        <f t="shared" si="85"/>
        <v>43248</v>
      </c>
      <c r="AS156" s="742">
        <f t="shared" si="86"/>
        <v>0.21428571428571427</v>
      </c>
      <c r="AT156" s="758">
        <f t="shared" si="87"/>
        <v>61.942573469531318</v>
      </c>
      <c r="AU156" s="13">
        <f t="shared" si="88"/>
        <v>7</v>
      </c>
      <c r="AV156" s="13">
        <f t="shared" si="89"/>
        <v>6</v>
      </c>
      <c r="AW156" s="173">
        <f t="shared" si="90"/>
        <v>43262</v>
      </c>
      <c r="AX156" s="742">
        <f t="shared" si="91"/>
        <v>0.7142857142857143</v>
      </c>
      <c r="AY156" s="758">
        <f t="shared" si="92"/>
        <v>61.942718368076854</v>
      </c>
      <c r="AZ156" s="735">
        <f t="shared" si="96"/>
        <v>61.942645918804089</v>
      </c>
      <c r="BA156" s="633">
        <f t="shared" si="93"/>
        <v>0.97071286128803191</v>
      </c>
      <c r="BC156" s="11">
        <v>43242</v>
      </c>
      <c r="BD156" s="289">
        <f>[3]!FeuilCaduc*(1-Persistant)+Persistant</f>
        <v>0.90014579298999975</v>
      </c>
      <c r="BE156" s="290">
        <f>[3]!CroissVégét</f>
        <v>0.3132918316722918</v>
      </c>
      <c r="BF156" s="804">
        <f>1+[3]!Salcycl*Ksac</f>
        <v>1.0250364482474998</v>
      </c>
      <c r="BH156" s="1037">
        <f t="shared" si="94"/>
        <v>6.8120406796174651E-4</v>
      </c>
      <c r="BI156" s="11">
        <v>44338</v>
      </c>
      <c r="BJ156" s="715">
        <v>2.5332310507163589E-7</v>
      </c>
      <c r="BK156" s="715">
        <v>9.1189000415870833E-6</v>
      </c>
      <c r="BL156" s="715">
        <v>3.2615806775676063E-5</v>
      </c>
      <c r="BM156" s="715">
        <v>1.0272850328275164E-4</v>
      </c>
      <c r="BN156" s="715">
        <v>8.267848823010096E-4</v>
      </c>
      <c r="BO156" s="716">
        <v>3.4214573987239186E-3</v>
      </c>
      <c r="BP156" s="715">
        <v>1.3777799678171119E-2</v>
      </c>
      <c r="BQ156" s="715">
        <v>3.0674525287167149E-2</v>
      </c>
      <c r="BR156" s="715">
        <v>5.8896940593642956E-2</v>
      </c>
      <c r="BS156" s="715">
        <v>9.3031803459727058E-2</v>
      </c>
      <c r="BT156" s="715">
        <v>0.13368490623235271</v>
      </c>
      <c r="BW156" s="1185">
        <f>'2019'!R\Max</f>
        <v>0.97071286128803191</v>
      </c>
      <c r="BX156" s="1185">
        <f>'2020'!R\Max</f>
        <v>0.87855487045064884</v>
      </c>
      <c r="BY156" s="1185">
        <f>'2021'!R\Max</f>
        <v>0.54845665270052968</v>
      </c>
      <c r="BZ156" s="1185">
        <f>'2022'!R\Max</f>
        <v>0.72267142946793395</v>
      </c>
      <c r="CA156" s="1185">
        <f>'2023'!R\Max</f>
        <v>0.72256277578457773</v>
      </c>
      <c r="CB156" s="1185">
        <f>'2024'!R\Max</f>
        <v>0.72245407228386238</v>
      </c>
      <c r="CC156" s="1185">
        <f>'2025'!R\Max</f>
        <v>0.72230067505628526</v>
      </c>
      <c r="CD156" s="1185">
        <f>'2026'!R\Max</f>
        <v>0.72275754406150139</v>
      </c>
      <c r="CE156" s="1186">
        <f>'2027'!R\Max</f>
        <v>0.72273503151561413</v>
      </c>
      <c r="CF156" s="1187">
        <f>'2028'!R\Max</f>
        <v>0.72270782145733059</v>
      </c>
    </row>
    <row r="157" spans="1:84" s="6" customFormat="1" ht="11.25" x14ac:dyDescent="0.2">
      <c r="A157" s="11">
        <v>43243</v>
      </c>
      <c r="B157" s="379">
        <f>'2022'!Maxi_hp</f>
        <v>59.059449252254765</v>
      </c>
      <c r="C157" s="13">
        <f>'2022'!An_max</f>
        <v>2018</v>
      </c>
      <c r="D157" s="1046" t="str">
        <f t="shared" si="78"/>
        <v/>
      </c>
      <c r="E157" s="13"/>
      <c r="F157" s="13">
        <f t="shared" si="95"/>
        <v>11</v>
      </c>
      <c r="G157" s="13">
        <f t="shared" si="79"/>
        <v>12</v>
      </c>
      <c r="H157" s="173">
        <f t="shared" si="80"/>
        <v>43234</v>
      </c>
      <c r="I157" s="742">
        <f t="shared" si="81"/>
        <v>0.6428571428571429</v>
      </c>
      <c r="J157" s="735">
        <f t="shared" si="82"/>
        <v>61.952064285427333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39">
        <v>43243</v>
      </c>
      <c r="AP157" s="13">
        <f t="shared" si="83"/>
        <v>7</v>
      </c>
      <c r="AQ157" s="13">
        <f t="shared" si="84"/>
        <v>6</v>
      </c>
      <c r="AR157" s="173">
        <f t="shared" si="85"/>
        <v>43248</v>
      </c>
      <c r="AS157" s="742">
        <f t="shared" si="86"/>
        <v>0.17857142857142858</v>
      </c>
      <c r="AT157" s="758">
        <f t="shared" si="87"/>
        <v>61.962478826767097</v>
      </c>
      <c r="AU157" s="13">
        <f t="shared" si="88"/>
        <v>7</v>
      </c>
      <c r="AV157" s="13">
        <f t="shared" si="89"/>
        <v>6</v>
      </c>
      <c r="AW157" s="173">
        <f t="shared" si="90"/>
        <v>43262</v>
      </c>
      <c r="AX157" s="742">
        <f t="shared" si="91"/>
        <v>0.6785714285714286</v>
      </c>
      <c r="AY157" s="758">
        <f t="shared" si="92"/>
        <v>61.966775956962785</v>
      </c>
      <c r="AZ157" s="735">
        <f t="shared" si="96"/>
        <v>61.964627391864937</v>
      </c>
      <c r="BA157" s="633">
        <f t="shared" si="93"/>
        <v>0.95330881922117028</v>
      </c>
      <c r="BC157" s="11">
        <v>43243</v>
      </c>
      <c r="BD157" s="289">
        <f>[3]!FeuilCaduc*(1-Persistant)+Persistant</f>
        <v>0.90301219712333258</v>
      </c>
      <c r="BE157" s="290">
        <f>[3]!CroissVégét</f>
        <v>0.3222284943358365</v>
      </c>
      <c r="BF157" s="804">
        <f>1+[3]!Salcycl*Ksac</f>
        <v>1.0257530492808331</v>
      </c>
      <c r="BH157" s="1037">
        <f t="shared" si="94"/>
        <v>6.0730624128404261E-4</v>
      </c>
      <c r="BI157" s="11">
        <v>44339</v>
      </c>
      <c r="BJ157" s="715">
        <v>1.8990695578254857E-7</v>
      </c>
      <c r="BK157" s="715">
        <v>8.7444052452239233E-6</v>
      </c>
      <c r="BL157" s="715">
        <v>3.1632546795762773E-5</v>
      </c>
      <c r="BM157" s="715">
        <v>1.0148825188202225E-4</v>
      </c>
      <c r="BN157" s="715">
        <v>7.3460184251735892E-4</v>
      </c>
      <c r="BO157" s="716">
        <v>3.0548490813146092E-3</v>
      </c>
      <c r="BP157" s="715">
        <v>1.2572000811434706E-2</v>
      </c>
      <c r="BQ157" s="715">
        <v>2.8430987653493681E-2</v>
      </c>
      <c r="BR157" s="715">
        <v>5.6220333716050092E-2</v>
      </c>
      <c r="BS157" s="715">
        <v>9.0189815369070975E-2</v>
      </c>
      <c r="BT157" s="715">
        <v>0.1306701814732861</v>
      </c>
      <c r="BW157" s="1185">
        <f>'2019'!R\Max</f>
        <v>0.95330881922117028</v>
      </c>
      <c r="BX157" s="1185">
        <f>'2020'!R\Max</f>
        <v>0.9427954332966143</v>
      </c>
      <c r="BY157" s="1185">
        <f>'2021'!R\Max</f>
        <v>0.57439199560985099</v>
      </c>
      <c r="BZ157" s="1185">
        <f>'2022'!R\Max</f>
        <v>0.30047760331059647</v>
      </c>
      <c r="CA157" s="1185">
        <f>'2023'!R\Max</f>
        <v>0.30037261748156213</v>
      </c>
      <c r="CB157" s="1185">
        <f>'2024'!R\Max</f>
        <v>0.30026763159362102</v>
      </c>
      <c r="CC157" s="1185">
        <f>'2025'!R\Max</f>
        <v>0.30011656130594511</v>
      </c>
      <c r="CD157" s="1185">
        <f>'2026'!R\Max</f>
        <v>0.30055986584459049</v>
      </c>
      <c r="CE157" s="1186">
        <f>'2027'!R\Max</f>
        <v>0.30053855879050512</v>
      </c>
      <c r="CF157" s="1187">
        <f>'2028'!R\Max</f>
        <v>0.30051296363811048</v>
      </c>
    </row>
    <row r="158" spans="1:84" s="6" customFormat="1" ht="11.25" x14ac:dyDescent="0.2">
      <c r="A158" s="11">
        <v>43244</v>
      </c>
      <c r="B158" s="379">
        <f>'2022'!Maxi_hp</f>
        <v>26.660992397930677</v>
      </c>
      <c r="C158" s="13">
        <f>'2022'!An_max</f>
        <v>2021</v>
      </c>
      <c r="D158" s="1046" t="str">
        <f t="shared" si="78"/>
        <v/>
      </c>
      <c r="E158" s="13"/>
      <c r="F158" s="13">
        <f t="shared" si="95"/>
        <v>11</v>
      </c>
      <c r="G158" s="13">
        <f t="shared" si="79"/>
        <v>12</v>
      </c>
      <c r="H158" s="173">
        <f t="shared" si="80"/>
        <v>43234</v>
      </c>
      <c r="I158" s="742">
        <f t="shared" si="81"/>
        <v>0.7142857142857143</v>
      </c>
      <c r="J158" s="735">
        <f t="shared" si="82"/>
        <v>61.972857142771986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39">
        <v>43244</v>
      </c>
      <c r="AP158" s="13">
        <f t="shared" si="83"/>
        <v>7</v>
      </c>
      <c r="AQ158" s="13">
        <f t="shared" si="84"/>
        <v>6</v>
      </c>
      <c r="AR158" s="173">
        <f t="shared" si="85"/>
        <v>43248</v>
      </c>
      <c r="AS158" s="742">
        <f t="shared" si="86"/>
        <v>0.14285714285714285</v>
      </c>
      <c r="AT158" s="758">
        <f t="shared" si="87"/>
        <v>61.979812245390249</v>
      </c>
      <c r="AU158" s="13">
        <f t="shared" si="88"/>
        <v>7</v>
      </c>
      <c r="AV158" s="13">
        <f t="shared" si="89"/>
        <v>6</v>
      </c>
      <c r="AW158" s="173">
        <f t="shared" si="90"/>
        <v>43262</v>
      </c>
      <c r="AX158" s="742">
        <f t="shared" si="91"/>
        <v>0.6428571428571429</v>
      </c>
      <c r="AY158" s="758">
        <f t="shared" si="92"/>
        <v>61.98752806162728</v>
      </c>
      <c r="AZ158" s="735">
        <f t="shared" si="96"/>
        <v>61.983670153508768</v>
      </c>
      <c r="BA158" s="633">
        <f t="shared" si="93"/>
        <v>0.43020434472642677</v>
      </c>
      <c r="BC158" s="11">
        <v>43244</v>
      </c>
      <c r="BD158" s="289">
        <f>[3]!FeuilCaduc*(1-Persistant)+Persistant</f>
        <v>0.90588438185823272</v>
      </c>
      <c r="BE158" s="290">
        <f>[3]!CroissVégét</f>
        <v>0.33129605339749552</v>
      </c>
      <c r="BF158" s="804">
        <f>1+[3]!Salcycl*Ksac</f>
        <v>1.0264710954645582</v>
      </c>
      <c r="BH158" s="1037">
        <f t="shared" si="94"/>
        <v>5.4408573829643379E-4</v>
      </c>
      <c r="BI158" s="11">
        <v>44340</v>
      </c>
      <c r="BJ158" s="715">
        <v>1.355839527519479E-7</v>
      </c>
      <c r="BK158" s="715">
        <v>8.3139593476948715E-6</v>
      </c>
      <c r="BL158" s="715">
        <v>3.0377622090931059E-5</v>
      </c>
      <c r="BM158" s="715">
        <v>1.0002743149131052E-4</v>
      </c>
      <c r="BN158" s="715">
        <v>6.5583872125030737E-4</v>
      </c>
      <c r="BO158" s="716">
        <v>2.7330326652017403E-3</v>
      </c>
      <c r="BP158" s="715">
        <v>1.1455084963678972E-2</v>
      </c>
      <c r="BQ158" s="715">
        <v>2.6285724758407528E-2</v>
      </c>
      <c r="BR158" s="715">
        <v>5.3596755268792408E-2</v>
      </c>
      <c r="BS158" s="715">
        <v>8.7414837950539892E-2</v>
      </c>
      <c r="BT158" s="715">
        <v>0.12782986427766332</v>
      </c>
      <c r="BW158" s="1185">
        <f>'2019'!R\Max</f>
        <v>0.17617400382145146</v>
      </c>
      <c r="BX158" s="1185">
        <f>'2020'!R\Max</f>
        <v>0.27174177504089947</v>
      </c>
      <c r="BY158" s="1185">
        <f>'2021'!R\Max</f>
        <v>0.43020434472642677</v>
      </c>
      <c r="BZ158" s="1185">
        <f>'2022'!R\Max</f>
        <v>0.26107914297154938</v>
      </c>
      <c r="CA158" s="1185">
        <f>'2023'!R\Max</f>
        <v>0.26099524072969266</v>
      </c>
      <c r="CB158" s="1185">
        <f>'2024'!R\Max</f>
        <v>0.26091133848783588</v>
      </c>
      <c r="CC158" s="1185">
        <f>'2025'!R\Max</f>
        <v>0.26078819461446068</v>
      </c>
      <c r="CD158" s="1185">
        <f>'2026'!R\Max</f>
        <v>0.2611443600539784</v>
      </c>
      <c r="CE158" s="1186">
        <f>'2027'!R\Max</f>
        <v>0.26112761765239362</v>
      </c>
      <c r="CF158" s="1187">
        <f>'2028'!R\Max</f>
        <v>0.26110763597575315</v>
      </c>
    </row>
    <row r="159" spans="1:84" s="6" customFormat="1" ht="11.25" x14ac:dyDescent="0.2">
      <c r="A159" s="11">
        <v>43245</v>
      </c>
      <c r="B159" s="379">
        <f>'2022'!Maxi_hp</f>
        <v>56.87087566419774</v>
      </c>
      <c r="C159" s="13">
        <f>'2022'!An_max</f>
        <v>2020</v>
      </c>
      <c r="D159" s="1046" t="str">
        <f t="shared" si="78"/>
        <v/>
      </c>
      <c r="E159" s="13"/>
      <c r="F159" s="13">
        <f t="shared" si="95"/>
        <v>11</v>
      </c>
      <c r="G159" s="13">
        <f t="shared" si="79"/>
        <v>12</v>
      </c>
      <c r="H159" s="173">
        <f t="shared" si="80"/>
        <v>43234</v>
      </c>
      <c r="I159" s="742">
        <f t="shared" si="81"/>
        <v>0.7857142857142857</v>
      </c>
      <c r="J159" s="735">
        <f t="shared" si="82"/>
        <v>61.990607142820956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39">
        <v>43245</v>
      </c>
      <c r="AP159" s="13">
        <f t="shared" si="83"/>
        <v>7</v>
      </c>
      <c r="AQ159" s="13">
        <f t="shared" si="84"/>
        <v>6</v>
      </c>
      <c r="AR159" s="173">
        <f t="shared" si="85"/>
        <v>43248</v>
      </c>
      <c r="AS159" s="742">
        <f t="shared" si="86"/>
        <v>0.10714285714285714</v>
      </c>
      <c r="AT159" s="758">
        <f t="shared" si="87"/>
        <v>61.994682397999405</v>
      </c>
      <c r="AU159" s="13">
        <f t="shared" si="88"/>
        <v>7</v>
      </c>
      <c r="AV159" s="13">
        <f t="shared" si="89"/>
        <v>6</v>
      </c>
      <c r="AW159" s="173">
        <f t="shared" si="90"/>
        <v>43262</v>
      </c>
      <c r="AX159" s="742">
        <f t="shared" si="91"/>
        <v>0.6071428571428571</v>
      </c>
      <c r="AY159" s="758">
        <f t="shared" si="92"/>
        <v>62.005001849494874</v>
      </c>
      <c r="AZ159" s="735">
        <f t="shared" si="96"/>
        <v>61.999842123747143</v>
      </c>
      <c r="BA159" s="633">
        <f t="shared" si="93"/>
        <v>0.91741117381173898</v>
      </c>
      <c r="BC159" s="11">
        <v>43245</v>
      </c>
      <c r="BD159" s="289">
        <f>[3]!FeuilCaduc*(1-Persistant)+Persistant</f>
        <v>0.90875895257005612</v>
      </c>
      <c r="BE159" s="290">
        <f>[3]!CroissVégét</f>
        <v>0.34048958423292969</v>
      </c>
      <c r="BF159" s="804">
        <f>1+[3]!Salcycl*Ksac</f>
        <v>1.0271897381425139</v>
      </c>
      <c r="BH159" s="1037">
        <f t="shared" si="94"/>
        <v>4.9153223475699741E-4</v>
      </c>
      <c r="BI159" s="11">
        <v>44341</v>
      </c>
      <c r="BJ159" s="715">
        <v>9.0344913427275905E-8</v>
      </c>
      <c r="BK159" s="715">
        <v>7.8276794518623385E-6</v>
      </c>
      <c r="BL159" s="715">
        <v>2.8851535064374503E-5</v>
      </c>
      <c r="BM159" s="715">
        <v>9.8346575032472034E-5</v>
      </c>
      <c r="BN159" s="715">
        <v>5.9048246191305764E-4</v>
      </c>
      <c r="BO159" s="716">
        <v>2.4559690344439374E-3</v>
      </c>
      <c r="BP159" s="715">
        <v>1.0427012818693614E-2</v>
      </c>
      <c r="BQ159" s="715">
        <v>2.4238768779510575E-2</v>
      </c>
      <c r="BR159" s="715">
        <v>5.1026366885473871E-2</v>
      </c>
      <c r="BS159" s="715">
        <v>8.4707066214409127E-2</v>
      </c>
      <c r="BT159" s="715">
        <v>0.12516405423171367</v>
      </c>
      <c r="BW159" s="1185">
        <f>'2019'!R\Max</f>
        <v>0.32486363275079749</v>
      </c>
      <c r="BX159" s="1185">
        <f>'2020'!R\Max</f>
        <v>0.91741117381173898</v>
      </c>
      <c r="BY159" s="1185">
        <f>'2021'!R\Max</f>
        <v>0.82859287741500265</v>
      </c>
      <c r="BZ159" s="1185">
        <f>'2022'!R\Max</f>
        <v>0.7214259865900442</v>
      </c>
      <c r="CA159" s="1185">
        <f>'2023'!R\Max</f>
        <v>0.7213414182475042</v>
      </c>
      <c r="CB159" s="1185">
        <f>'2024'!R\Max</f>
        <v>0.72125681990064405</v>
      </c>
      <c r="CC159" s="1185">
        <f>'2025'!R\Max</f>
        <v>0.72113019907870501</v>
      </c>
      <c r="CD159" s="1185">
        <f>'2026'!R\Max</f>
        <v>0.72149152179306297</v>
      </c>
      <c r="CE159" s="1186">
        <f>'2027'!R\Max</f>
        <v>0.7214748280217933</v>
      </c>
      <c r="CF159" s="1187">
        <f>'2028'!R\Max</f>
        <v>0.72145504298904006</v>
      </c>
    </row>
    <row r="160" spans="1:84" s="6" customFormat="1" ht="11.25" x14ac:dyDescent="0.2">
      <c r="A160" s="11">
        <v>43246</v>
      </c>
      <c r="B160" s="379">
        <f>'2022'!Maxi_hp</f>
        <v>60.853144099626277</v>
      </c>
      <c r="C160" s="13">
        <f>'2022'!An_max</f>
        <v>2020</v>
      </c>
      <c r="D160" s="1046">
        <f t="shared" si="78"/>
        <v>0.98141820263877821</v>
      </c>
      <c r="E160" s="13"/>
      <c r="F160" s="13">
        <f t="shared" si="95"/>
        <v>11</v>
      </c>
      <c r="G160" s="13">
        <f t="shared" si="79"/>
        <v>12</v>
      </c>
      <c r="H160" s="173">
        <f t="shared" si="80"/>
        <v>43234</v>
      </c>
      <c r="I160" s="742">
        <f t="shared" si="81"/>
        <v>0.8571428571428571</v>
      </c>
      <c r="J160" s="735">
        <f t="shared" si="82"/>
        <v>62.005314284988813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39">
        <v>43246</v>
      </c>
      <c r="AP160" s="13">
        <f t="shared" si="83"/>
        <v>7</v>
      </c>
      <c r="AQ160" s="13">
        <f t="shared" si="84"/>
        <v>6</v>
      </c>
      <c r="AR160" s="173">
        <f t="shared" si="85"/>
        <v>43248</v>
      </c>
      <c r="AS160" s="742">
        <f t="shared" si="86"/>
        <v>7.1428571428571425E-2</v>
      </c>
      <c r="AT160" s="758">
        <f t="shared" si="87"/>
        <v>62.007197959508211</v>
      </c>
      <c r="AU160" s="13">
        <f t="shared" si="88"/>
        <v>7</v>
      </c>
      <c r="AV160" s="13">
        <f t="shared" si="89"/>
        <v>6</v>
      </c>
      <c r="AW160" s="173">
        <f t="shared" si="90"/>
        <v>43262</v>
      </c>
      <c r="AX160" s="742">
        <f t="shared" si="91"/>
        <v>0.5714285714285714</v>
      </c>
      <c r="AY160" s="758">
        <f t="shared" si="92"/>
        <v>62.019224490491411</v>
      </c>
      <c r="AZ160" s="735">
        <f t="shared" si="96"/>
        <v>62.013211224999807</v>
      </c>
      <c r="BA160" s="633">
        <f t="shared" si="93"/>
        <v>0.98141820263877821</v>
      </c>
      <c r="BC160" s="11">
        <v>43246</v>
      </c>
      <c r="BD160" s="289">
        <f>[3]!FeuilCaduc*(1-Persistant)+Persistant</f>
        <v>0.91163246472338955</v>
      </c>
      <c r="BE160" s="290">
        <f>[3]!CroissVégét</f>
        <v>0.34980380891459434</v>
      </c>
      <c r="BF160" s="804">
        <f>1+[3]!Salcycl*Ksac</f>
        <v>1.0279081161808474</v>
      </c>
      <c r="BH160" s="1037">
        <f t="shared" si="94"/>
        <v>4.4963382273831027E-4</v>
      </c>
      <c r="BI160" s="11">
        <v>44342</v>
      </c>
      <c r="BJ160" s="715">
        <v>5.4179304000139995E-8</v>
      </c>
      <c r="BK160" s="715">
        <v>7.2856869452458284E-6</v>
      </c>
      <c r="BL160" s="715">
        <v>2.7054813323529811E-5</v>
      </c>
      <c r="BM160" s="715">
        <v>9.6446233561627346E-5</v>
      </c>
      <c r="BN160" s="715">
        <v>5.385180211147704E-4</v>
      </c>
      <c r="BO160" s="716">
        <v>2.2236121311791429E-3</v>
      </c>
      <c r="BP160" s="715">
        <v>9.4877287644288509E-3</v>
      </c>
      <c r="BQ160" s="715">
        <v>2.2290129079474127E-2</v>
      </c>
      <c r="BR160" s="715">
        <v>4.8509310163247742E-2</v>
      </c>
      <c r="BS160" s="715">
        <v>8.2066672698775642E-2</v>
      </c>
      <c r="BT160" s="715">
        <v>0.12267281552643516</v>
      </c>
      <c r="BW160" s="1185">
        <f>'2019'!R\Max</f>
        <v>0.35265356200628556</v>
      </c>
      <c r="BX160" s="1185">
        <f>'2020'!R\Max</f>
        <v>0.98141820263877821</v>
      </c>
      <c r="BY160" s="1185">
        <f>'2021'!R\Max</f>
        <v>0.87618868027160324</v>
      </c>
      <c r="BZ160" s="1185">
        <f>'2022'!R\Max</f>
        <v>0.53020443802412887</v>
      </c>
      <c r="CA160" s="1185">
        <f>'2023'!R\Max</f>
        <v>0.53010864804678726</v>
      </c>
      <c r="CB160" s="1185">
        <f>'2024'!R\Max</f>
        <v>0.53001284110298008</v>
      </c>
      <c r="CC160" s="1185">
        <f>'2025'!R\Max</f>
        <v>0.5298668697644725</v>
      </c>
      <c r="CD160" s="1185">
        <f>'2026'!R\Max</f>
        <v>0.53027900808468076</v>
      </c>
      <c r="CE160" s="1186">
        <f>'2027'!R\Max</f>
        <v>0.53026011580443133</v>
      </c>
      <c r="CF160" s="1187">
        <f>'2028'!R\Max</f>
        <v>0.53023789871425386</v>
      </c>
    </row>
    <row r="161" spans="1:84" s="6" customFormat="1" ht="11.25" x14ac:dyDescent="0.2">
      <c r="A161" s="11">
        <v>43247</v>
      </c>
      <c r="B161" s="379">
        <f>'2022'!Maxi_hp</f>
        <v>61.029310689463564</v>
      </c>
      <c r="C161" s="13">
        <f>'2022'!An_max</f>
        <v>2021</v>
      </c>
      <c r="D161" s="1046">
        <f t="shared" si="78"/>
        <v>0.98407423411325834</v>
      </c>
      <c r="E161" s="13"/>
      <c r="F161" s="13">
        <f t="shared" si="95"/>
        <v>11</v>
      </c>
      <c r="G161" s="13">
        <f t="shared" si="79"/>
        <v>12</v>
      </c>
      <c r="H161" s="173">
        <f t="shared" si="80"/>
        <v>43234</v>
      </c>
      <c r="I161" s="742">
        <f t="shared" si="81"/>
        <v>0.9285714285714286</v>
      </c>
      <c r="J161" s="735">
        <f t="shared" si="82"/>
        <v>62.01697857119143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39">
        <v>43247</v>
      </c>
      <c r="AP161" s="13">
        <f t="shared" si="83"/>
        <v>7</v>
      </c>
      <c r="AQ161" s="13">
        <f t="shared" si="84"/>
        <v>6</v>
      </c>
      <c r="AR161" s="173">
        <f t="shared" si="85"/>
        <v>43248</v>
      </c>
      <c r="AS161" s="742">
        <f t="shared" si="86"/>
        <v>3.5714285714285712E-2</v>
      </c>
      <c r="AT161" s="758">
        <f t="shared" si="87"/>
        <v>62.017467602901164</v>
      </c>
      <c r="AU161" s="13">
        <f t="shared" si="88"/>
        <v>7</v>
      </c>
      <c r="AV161" s="13">
        <f t="shared" si="89"/>
        <v>6</v>
      </c>
      <c r="AW161" s="173">
        <f t="shared" si="90"/>
        <v>43262</v>
      </c>
      <c r="AX161" s="742">
        <f t="shared" si="91"/>
        <v>0.5357142857142857</v>
      </c>
      <c r="AY161" s="758">
        <f t="shared" si="92"/>
        <v>62.030223151070196</v>
      </c>
      <c r="AZ161" s="735">
        <f t="shared" si="96"/>
        <v>62.023845376985676</v>
      </c>
      <c r="BA161" s="633">
        <f t="shared" si="93"/>
        <v>0.98407423411325834</v>
      </c>
      <c r="BC161" s="11">
        <v>43247</v>
      </c>
      <c r="BD161" s="289">
        <f>[3]!FeuilCaduc*(1-Persistant)+Persistant</f>
        <v>0.91450143486658353</v>
      </c>
      <c r="BE161" s="290">
        <f>[3]!CroissVégét</f>
        <v>0.35923310369654604</v>
      </c>
      <c r="BF161" s="804">
        <f>1+[3]!Salcycl*Ksac</f>
        <v>1.0286253587166458</v>
      </c>
      <c r="BH161" s="1037">
        <f t="shared" si="94"/>
        <v>4.1837715342443548E-4</v>
      </c>
      <c r="BI161" s="11">
        <v>44343</v>
      </c>
      <c r="BJ161" s="715">
        <v>2.7075360920673401E-8</v>
      </c>
      <c r="BK161" s="715">
        <v>6.6881067456284516E-6</v>
      </c>
      <c r="BL161" s="715">
        <v>2.4988006024517316E-5</v>
      </c>
      <c r="BM161" s="715">
        <v>9.4326973316574776E-5</v>
      </c>
      <c r="BN161" s="715">
        <v>4.9992854813730569E-4</v>
      </c>
      <c r="BO161" s="716">
        <v>2.0359095541065257E-3</v>
      </c>
      <c r="BP161" s="715">
        <v>8.6371620764885762E-3</v>
      </c>
      <c r="BQ161" s="715">
        <v>2.0439793507357019E-2</v>
      </c>
      <c r="BR161" s="715">
        <v>4.6045707358173038E-2</v>
      </c>
      <c r="BS161" s="715">
        <v>7.949380836019862E-2</v>
      </c>
      <c r="BT161" s="715">
        <v>0.12035617930104674</v>
      </c>
      <c r="BW161" s="1185">
        <f>'2019'!R\Max</f>
        <v>0.4638424395351799</v>
      </c>
      <c r="BX161" s="1185">
        <f>'2020'!R\Max</f>
        <v>0.97151260881652812</v>
      </c>
      <c r="BY161" s="1185">
        <f>'2021'!R\Max</f>
        <v>0.98407423411325834</v>
      </c>
      <c r="BZ161" s="1185">
        <f>'2022'!R\Max</f>
        <v>0.78981437235299301</v>
      </c>
      <c r="CA161" s="1185">
        <f>'2023'!R\Max</f>
        <v>0.78975618154298366</v>
      </c>
      <c r="CB161" s="1185">
        <f>'2024'!R\Max</f>
        <v>0.78969797074496229</v>
      </c>
      <c r="CC161" s="1185">
        <f>'2025'!R\Max</f>
        <v>0.78960780911432937</v>
      </c>
      <c r="CD161" s="1185">
        <f>'2026'!R\Max</f>
        <v>0.78986028993081481</v>
      </c>
      <c r="CE161" s="1186">
        <f>'2027'!R\Max</f>
        <v>0.78984868194355684</v>
      </c>
      <c r="CF161" s="1187">
        <f>'2028'!R\Max</f>
        <v>0.78983514661707011</v>
      </c>
    </row>
    <row r="162" spans="1:84" s="6" customFormat="1" ht="11.25" x14ac:dyDescent="0.2">
      <c r="A162" s="11">
        <v>43248</v>
      </c>
      <c r="B162" s="379">
        <f>'2022'!Maxi_hp</f>
        <v>60.065997038035896</v>
      </c>
      <c r="C162" s="13">
        <f>'2022'!An_max</f>
        <v>2020</v>
      </c>
      <c r="D162" s="1046" t="str">
        <f t="shared" si="78"/>
        <v/>
      </c>
      <c r="E162" s="1041">
        <f>X$13/10</f>
        <v>62.025599999999997</v>
      </c>
      <c r="F162" s="13">
        <f t="shared" si="95"/>
        <v>13</v>
      </c>
      <c r="G162" s="13">
        <f t="shared" si="79"/>
        <v>12</v>
      </c>
      <c r="H162" s="173">
        <f t="shared" si="80"/>
        <v>43262</v>
      </c>
      <c r="I162" s="742">
        <f t="shared" si="81"/>
        <v>1</v>
      </c>
      <c r="J162" s="735">
        <f t="shared" si="82"/>
        <v>62.02559999972582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39">
        <v>43248</v>
      </c>
      <c r="AP162" s="13">
        <f t="shared" si="83"/>
        <v>7</v>
      </c>
      <c r="AQ162" s="13">
        <f t="shared" si="84"/>
        <v>8</v>
      </c>
      <c r="AR162" s="173">
        <f t="shared" si="85"/>
        <v>43248</v>
      </c>
      <c r="AS162" s="742">
        <f t="shared" si="86"/>
        <v>0</v>
      </c>
      <c r="AT162" s="758">
        <f t="shared" si="87"/>
        <v>62.025600000470874</v>
      </c>
      <c r="AU162" s="13">
        <f t="shared" si="88"/>
        <v>7</v>
      </c>
      <c r="AV162" s="13">
        <f t="shared" si="89"/>
        <v>6</v>
      </c>
      <c r="AW162" s="173">
        <f t="shared" si="90"/>
        <v>43262</v>
      </c>
      <c r="AX162" s="742">
        <f t="shared" si="91"/>
        <v>0.5</v>
      </c>
      <c r="AY162" s="758">
        <f t="shared" si="92"/>
        <v>62.038025000318882</v>
      </c>
      <c r="AZ162" s="735">
        <f t="shared" si="96"/>
        <v>62.031812500394878</v>
      </c>
      <c r="BA162" s="633">
        <f t="shared" si="93"/>
        <v>0.96840654565697737</v>
      </c>
      <c r="BC162" s="11">
        <v>43248</v>
      </c>
      <c r="BD162" s="289">
        <f>[3]!FeuilCaduc*(1-Persistant)+Persistant</f>
        <v>0.91736235212844719</v>
      </c>
      <c r="BE162" s="290">
        <f>[3]!CroissVégét</f>
        <v>0.3687715084596308</v>
      </c>
      <c r="BF162" s="804">
        <f>1+[3]!Salcycl*Ksac</f>
        <v>1.0293405880321118</v>
      </c>
      <c r="BH162" s="1037">
        <f t="shared" si="94"/>
        <v>3.9774757992451254E-4</v>
      </c>
      <c r="BI162" s="11">
        <v>44344</v>
      </c>
      <c r="BJ162" s="715">
        <v>9.0202124149331352E-9</v>
      </c>
      <c r="BK162" s="715">
        <v>6.0350665469279742E-6</v>
      </c>
      <c r="BL162" s="715">
        <v>2.2651680217556774E-5</v>
      </c>
      <c r="BM162" s="715">
        <v>9.1989372767529155E-5</v>
      </c>
      <c r="BN162" s="715">
        <v>4.74695564431909E-4</v>
      </c>
      <c r="BO162" s="716">
        <v>1.8928031570513417E-3</v>
      </c>
      <c r="BP162" s="715">
        <v>7.8752281019757384E-3</v>
      </c>
      <c r="BQ162" s="715">
        <v>1.8687729700742672E-2</v>
      </c>
      <c r="BR162" s="715">
        <v>4.3635662082295662E-2</v>
      </c>
      <c r="BS162" s="715">
        <v>7.6988603467203931E-2</v>
      </c>
      <c r="BT162" s="715">
        <v>0.1182141459906727</v>
      </c>
      <c r="BW162" s="1185">
        <f>'2019'!R\Max</f>
        <v>0.46991002828374656</v>
      </c>
      <c r="BX162" s="1185">
        <f>'2020'!R\Max</f>
        <v>0.96840654565697737</v>
      </c>
      <c r="BY162" s="1185">
        <f>'2021'!R\Max</f>
        <v>0.71194436064110789</v>
      </c>
      <c r="BZ162" s="1185">
        <f>'2022'!R\Max</f>
        <v>0.93190475570715459</v>
      </c>
      <c r="CA162" s="1185">
        <f>'2023'!R\Max</f>
        <v>0.93188453616482003</v>
      </c>
      <c r="CB162" s="1185">
        <f>'2024'!R\Max</f>
        <v>0.93186430847803903</v>
      </c>
      <c r="CC162" s="1185">
        <f>'2025'!R\Max</f>
        <v>0.93183254610919564</v>
      </c>
      <c r="CD162" s="1185">
        <f>'2026'!R\Max</f>
        <v>0.93192112068974275</v>
      </c>
      <c r="CE162" s="1186">
        <f>'2027'!R\Max</f>
        <v>0.93191697317168798</v>
      </c>
      <c r="CF162" s="1187">
        <f>'2028'!R\Max</f>
        <v>0.93191218212017934</v>
      </c>
    </row>
    <row r="163" spans="1:84" s="6" customFormat="1" ht="11.25" x14ac:dyDescent="0.2">
      <c r="A163" s="11">
        <v>43249</v>
      </c>
      <c r="B163" s="379">
        <f>'2022'!Maxi_hp</f>
        <v>63.505407005756894</v>
      </c>
      <c r="C163" s="13">
        <f>'2022'!An_max</f>
        <v>2022</v>
      </c>
      <c r="D163" s="1046">
        <f t="shared" si="78"/>
        <v>1.0237659265557491</v>
      </c>
      <c r="E163" s="13"/>
      <c r="F163" s="13">
        <f t="shared" si="95"/>
        <v>13</v>
      </c>
      <c r="G163" s="13">
        <f t="shared" si="79"/>
        <v>12</v>
      </c>
      <c r="H163" s="173">
        <f t="shared" si="80"/>
        <v>43262</v>
      </c>
      <c r="I163" s="742">
        <f t="shared" si="81"/>
        <v>0.9285714285714286</v>
      </c>
      <c r="J163" s="735">
        <f t="shared" si="82"/>
        <v>62.031178571656348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39">
        <v>43249</v>
      </c>
      <c r="AP163" s="13">
        <f t="shared" si="83"/>
        <v>7</v>
      </c>
      <c r="AQ163" s="13">
        <f t="shared" si="84"/>
        <v>8</v>
      </c>
      <c r="AR163" s="173">
        <f t="shared" si="85"/>
        <v>43248</v>
      </c>
      <c r="AS163" s="742">
        <f t="shared" si="86"/>
        <v>3.5714285714285712E-2</v>
      </c>
      <c r="AT163" s="758">
        <f t="shared" si="87"/>
        <v>62.0309951855535</v>
      </c>
      <c r="AU163" s="13">
        <f t="shared" si="88"/>
        <v>7</v>
      </c>
      <c r="AV163" s="13">
        <f t="shared" si="89"/>
        <v>6</v>
      </c>
      <c r="AW163" s="173">
        <f t="shared" si="90"/>
        <v>43262</v>
      </c>
      <c r="AX163" s="742">
        <f t="shared" si="91"/>
        <v>0.4642857142857143</v>
      </c>
      <c r="AY163" s="758">
        <f t="shared" si="92"/>
        <v>62.042657206633258</v>
      </c>
      <c r="AZ163" s="735">
        <f t="shared" si="96"/>
        <v>62.036826196093379</v>
      </c>
      <c r="BA163" s="633">
        <f t="shared" si="93"/>
        <v>1.0237659265557491</v>
      </c>
      <c r="BC163" s="11">
        <v>43249</v>
      </c>
      <c r="BD163" s="289">
        <f>[3]!FeuilCaduc*(1-Persistant)+Persistant</f>
        <v>0.92021169015808968</v>
      </c>
      <c r="BE163" s="290">
        <f>[3]!CroissVégét</f>
        <v>0.37841273812207477</v>
      </c>
      <c r="BF163" s="804">
        <f>1+[3]!Salcycl*Ksac</f>
        <v>1.0300529225395225</v>
      </c>
      <c r="BH163" s="1037">
        <f t="shared" si="94"/>
        <v>3.8772930007439623E-4</v>
      </c>
      <c r="BI163" s="11">
        <v>44345</v>
      </c>
      <c r="BJ163" s="715">
        <v>0</v>
      </c>
      <c r="BK163" s="715">
        <v>5.3266960648763101E-6</v>
      </c>
      <c r="BL163" s="715">
        <v>2.0046417191677601E-5</v>
      </c>
      <c r="BM163" s="715">
        <v>8.9434019665486197E-5</v>
      </c>
      <c r="BN163" s="715">
        <v>4.6279914310153557E-4</v>
      </c>
      <c r="BO163" s="716">
        <v>1.7942296474698762E-3</v>
      </c>
      <c r="BP163" s="715">
        <v>7.201829443082724E-3</v>
      </c>
      <c r="BQ163" s="715">
        <v>1.7033886387283783E-2</v>
      </c>
      <c r="BR163" s="715">
        <v>4.1279259999490295E-2</v>
      </c>
      <c r="BS163" s="715">
        <v>7.4551168491739983E-2</v>
      </c>
      <c r="BT163" s="715">
        <v>0.11624668767100906</v>
      </c>
      <c r="BW163" s="1185">
        <f>'2019'!R\Max</f>
        <v>0.50572705656311723</v>
      </c>
      <c r="BX163" s="1185">
        <f>'2020'!R\Max</f>
        <v>0.96160502468076947</v>
      </c>
      <c r="BY163" s="1185">
        <f>'2021'!R\Max</f>
        <v>0.53171086839569803</v>
      </c>
      <c r="BZ163" s="1185">
        <f>'2022'!R\Max</f>
        <v>1.0237659265557491</v>
      </c>
      <c r="CA163" s="1185">
        <f>'2023'!R\Max</f>
        <v>1.0237659265557491</v>
      </c>
      <c r="CB163" s="1185">
        <f>'2024'!R\Max</f>
        <v>1.0237659265557491</v>
      </c>
      <c r="CC163" s="1185">
        <f>'2025'!R\Max</f>
        <v>1.0237659265557491</v>
      </c>
      <c r="CD163" s="1185">
        <f>'2026'!R\Max</f>
        <v>1.0237659265557491</v>
      </c>
      <c r="CE163" s="1186">
        <f>'2027'!R\Max</f>
        <v>1.0237659265557491</v>
      </c>
      <c r="CF163" s="1187">
        <f>'2028'!R\Max</f>
        <v>1.0237659265557491</v>
      </c>
    </row>
    <row r="164" spans="1:84" s="6" customFormat="1" ht="11.25" x14ac:dyDescent="0.2">
      <c r="A164" s="11">
        <v>43250</v>
      </c>
      <c r="B164" s="379">
        <f>'2022'!Maxi_hp</f>
        <v>61.091879244383499</v>
      </c>
      <c r="C164" s="13">
        <f>'2022'!An_max</f>
        <v>2018</v>
      </c>
      <c r="D164" s="1046">
        <f t="shared" si="78"/>
        <v>0.98481736823849686</v>
      </c>
      <c r="E164" s="13"/>
      <c r="F164" s="13">
        <f t="shared" si="95"/>
        <v>13</v>
      </c>
      <c r="G164" s="13">
        <f t="shared" si="79"/>
        <v>12</v>
      </c>
      <c r="H164" s="173">
        <f t="shared" si="80"/>
        <v>43262</v>
      </c>
      <c r="I164" s="742">
        <f t="shared" si="81"/>
        <v>0.8571428571428571</v>
      </c>
      <c r="J164" s="735">
        <f t="shared" si="82"/>
        <v>62.033714285173588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39">
        <v>43250</v>
      </c>
      <c r="AP164" s="13">
        <f t="shared" si="83"/>
        <v>7</v>
      </c>
      <c r="AQ164" s="13">
        <f t="shared" si="84"/>
        <v>8</v>
      </c>
      <c r="AR164" s="173">
        <f t="shared" si="85"/>
        <v>43248</v>
      </c>
      <c r="AS164" s="742">
        <f t="shared" si="86"/>
        <v>7.1428571428571425E-2</v>
      </c>
      <c r="AT164" s="758">
        <f t="shared" si="87"/>
        <v>62.033007908665709</v>
      </c>
      <c r="AU164" s="13">
        <f t="shared" si="88"/>
        <v>7</v>
      </c>
      <c r="AV164" s="13">
        <f t="shared" si="89"/>
        <v>6</v>
      </c>
      <c r="AW164" s="173">
        <f t="shared" si="90"/>
        <v>43262</v>
      </c>
      <c r="AX164" s="742">
        <f t="shared" si="91"/>
        <v>0.42857142857142855</v>
      </c>
      <c r="AY164" s="758">
        <f t="shared" si="92"/>
        <v>62.044146938941296</v>
      </c>
      <c r="AZ164" s="735">
        <f t="shared" si="96"/>
        <v>62.038577423803503</v>
      </c>
      <c r="BA164" s="633">
        <f t="shared" si="93"/>
        <v>0.98481736823849686</v>
      </c>
      <c r="BC164" s="11">
        <v>43250</v>
      </c>
      <c r="BD164" s="289">
        <f>[3]!FeuilCaduc*(1-Persistant)+Persistant</f>
        <v>0.92304591944345127</v>
      </c>
      <c r="BE164" s="290">
        <f>[3]!CroissVégét</f>
        <v>0.38815019600224987</v>
      </c>
      <c r="BF164" s="804">
        <f>1+[3]!Salcycl*Ksac</f>
        <v>1.0307614798608629</v>
      </c>
      <c r="BH164" s="1037">
        <f t="shared" si="94"/>
        <v>3.8779436856625798E-4</v>
      </c>
      <c r="BI164" s="11">
        <v>44346</v>
      </c>
      <c r="BJ164" s="715">
        <v>0</v>
      </c>
      <c r="BK164" s="715">
        <v>4.6138276858865785E-6</v>
      </c>
      <c r="BL164" s="715">
        <v>1.736361780648029E-5</v>
      </c>
      <c r="BM164" s="715">
        <v>8.6433649239281481E-5</v>
      </c>
      <c r="BN164" s="715">
        <v>4.6363566871492155E-4</v>
      </c>
      <c r="BO164" s="716">
        <v>1.7393888908124608E-3</v>
      </c>
      <c r="BP164" s="715">
        <v>6.6386532480976887E-3</v>
      </c>
      <c r="BQ164" s="715">
        <v>1.5544169144320366E-2</v>
      </c>
      <c r="BR164" s="715">
        <v>3.9024549675509362E-2</v>
      </c>
      <c r="BS164" s="715">
        <v>7.215779169774901E-2</v>
      </c>
      <c r="BT164" s="715">
        <v>0.11430472923287306</v>
      </c>
      <c r="BW164" s="1185">
        <f>'2019'!R\Max</f>
        <v>0.98481736823849686</v>
      </c>
      <c r="BX164" s="1185">
        <f>'2020'!R\Max</f>
        <v>0.93658359114298428</v>
      </c>
      <c r="BY164" s="1185">
        <f>'2021'!R\Max</f>
        <v>0.87372443894072183</v>
      </c>
      <c r="BZ164" s="1185">
        <f>'2022'!R\Max</f>
        <v>0.79739591437844315</v>
      </c>
      <c r="CA164" s="1185">
        <f>'2023'!R\Max</f>
        <v>0.79735350621814416</v>
      </c>
      <c r="CB164" s="1185">
        <f>'2024'!R\Max</f>
        <v>0.7973110869811656</v>
      </c>
      <c r="CC164" s="1185">
        <f>'2025'!R\Max</f>
        <v>0.79724350832334911</v>
      </c>
      <c r="CD164" s="1185">
        <f>'2026'!R\Max</f>
        <v>0.79743357703735418</v>
      </c>
      <c r="CE164" s="1186">
        <f>'2027'!R\Max</f>
        <v>0.79742381665977802</v>
      </c>
      <c r="CF164" s="1187">
        <f>'2028'!R\Max</f>
        <v>0.79741277667019439</v>
      </c>
    </row>
    <row r="165" spans="1:84" s="6" customFormat="1" ht="11.25" x14ac:dyDescent="0.2">
      <c r="A165" s="11">
        <v>43251</v>
      </c>
      <c r="B165" s="379">
        <f>'2022'!Maxi_hp</f>
        <v>61.846036188985813</v>
      </c>
      <c r="C165" s="13">
        <f>'2022'!An_max</f>
        <v>2018</v>
      </c>
      <c r="D165" s="1046">
        <f t="shared" si="78"/>
        <v>0.99698272969526269</v>
      </c>
      <c r="E165" s="13"/>
      <c r="F165" s="13">
        <f t="shared" si="95"/>
        <v>13</v>
      </c>
      <c r="G165" s="13">
        <f t="shared" si="79"/>
        <v>12</v>
      </c>
      <c r="H165" s="173">
        <f t="shared" si="80"/>
        <v>43262</v>
      </c>
      <c r="I165" s="742">
        <f t="shared" si="81"/>
        <v>0.7857142857142857</v>
      </c>
      <c r="J165" s="735">
        <f t="shared" si="82"/>
        <v>62.033207142805416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39">
        <v>43251</v>
      </c>
      <c r="AP165" s="13">
        <f t="shared" si="83"/>
        <v>7</v>
      </c>
      <c r="AQ165" s="13">
        <f t="shared" si="84"/>
        <v>8</v>
      </c>
      <c r="AR165" s="173">
        <f t="shared" si="85"/>
        <v>43248</v>
      </c>
      <c r="AS165" s="742">
        <f t="shared" si="86"/>
        <v>0.10714285714285714</v>
      </c>
      <c r="AT165" s="758">
        <f t="shared" si="87"/>
        <v>62.031678923126307</v>
      </c>
      <c r="AU165" s="13">
        <f t="shared" si="88"/>
        <v>7</v>
      </c>
      <c r="AV165" s="13">
        <f t="shared" si="89"/>
        <v>6</v>
      </c>
      <c r="AW165" s="173">
        <f t="shared" si="90"/>
        <v>43262</v>
      </c>
      <c r="AX165" s="742">
        <f t="shared" si="91"/>
        <v>0.39285714285714285</v>
      </c>
      <c r="AY165" s="758">
        <f t="shared" si="92"/>
        <v>62.042521365173158</v>
      </c>
      <c r="AZ165" s="735">
        <f t="shared" si="96"/>
        <v>62.037100144149733</v>
      </c>
      <c r="BA165" s="633">
        <f t="shared" si="93"/>
        <v>0.99698272969526269</v>
      </c>
      <c r="BC165" s="11">
        <v>43251</v>
      </c>
      <c r="BD165" s="289">
        <f>[3]!FeuilCaduc*(1-Persistant)+Persistant</f>
        <v>0.92586151993910282</v>
      </c>
      <c r="BE165" s="290">
        <f>[3]!CroissVégét</f>
        <v>0.3979769891015032</v>
      </c>
      <c r="BF165" s="804">
        <f>1+[3]!Salcycl*Ksac</f>
        <v>1.0314653799847757</v>
      </c>
      <c r="BH165" s="1037">
        <f t="shared" si="94"/>
        <v>3.8776831844432585E-4</v>
      </c>
      <c r="BI165" s="11">
        <v>44347</v>
      </c>
      <c r="BJ165" s="715">
        <v>0</v>
      </c>
      <c r="BK165" s="715">
        <v>3.9523973790304461E-6</v>
      </c>
      <c r="BL165" s="715">
        <v>1.4874399778463279E-5</v>
      </c>
      <c r="BM165" s="715">
        <v>8.335656320178895E-5</v>
      </c>
      <c r="BN165" s="715">
        <v>4.6437745101372808E-4</v>
      </c>
      <c r="BO165" s="716">
        <v>1.6942567328488631E-3</v>
      </c>
      <c r="BP165" s="715">
        <v>6.1416185218036556E-3</v>
      </c>
      <c r="BQ165" s="715">
        <v>1.4214339359352204E-2</v>
      </c>
      <c r="BR165" s="715">
        <v>3.6869504492339417E-2</v>
      </c>
      <c r="BS165" s="715">
        <v>6.9784601980414626E-2</v>
      </c>
      <c r="BT165" s="715">
        <v>0.11229282432135995</v>
      </c>
      <c r="BW165" s="1185">
        <f>'2019'!R\Max</f>
        <v>0.99698272969526269</v>
      </c>
      <c r="BX165" s="1185">
        <f>'2020'!R\Max</f>
        <v>0.99007252874653517</v>
      </c>
      <c r="BY165" s="1185">
        <f>'2021'!R\Max</f>
        <v>0.97186541698497153</v>
      </c>
      <c r="BZ165" s="1185">
        <f>'2022'!R\Max</f>
        <v>0.9609964620011765</v>
      </c>
      <c r="CA165" s="1185">
        <f>'2023'!R\Max</f>
        <v>0.96098750296421953</v>
      </c>
      <c r="CB165" s="1185">
        <f>'2024'!R\Max</f>
        <v>0.96097854109569691</v>
      </c>
      <c r="CC165" s="1185">
        <f>'2025'!R\Max</f>
        <v>0.96096420757014811</v>
      </c>
      <c r="CD165" s="1185">
        <f>'2026'!R\Max</f>
        <v>0.9610048727868975</v>
      </c>
      <c r="CE165" s="1186">
        <f>'2027'!R\Max</f>
        <v>0.96100266062377704</v>
      </c>
      <c r="CF165" s="1187">
        <f>'2028'!R\Max</f>
        <v>0.96100018390469166</v>
      </c>
    </row>
    <row r="166" spans="1:84" s="6" customFormat="1" ht="11.25" x14ac:dyDescent="0.2">
      <c r="A166" s="11">
        <v>43252</v>
      </c>
      <c r="B166" s="379">
        <f>'2022'!Maxi_hp</f>
        <v>63.6031019014615</v>
      </c>
      <c r="C166" s="13">
        <f>'2022'!An_max</f>
        <v>2018</v>
      </c>
      <c r="D166" s="1046">
        <f t="shared" si="78"/>
        <v>1.0253660076700846</v>
      </c>
      <c r="E166" s="13"/>
      <c r="F166" s="13">
        <f t="shared" si="95"/>
        <v>13</v>
      </c>
      <c r="G166" s="13">
        <f t="shared" si="79"/>
        <v>12</v>
      </c>
      <c r="H166" s="173">
        <f t="shared" si="80"/>
        <v>43262</v>
      </c>
      <c r="I166" s="742">
        <f t="shared" si="81"/>
        <v>0.7142857142857143</v>
      </c>
      <c r="J166" s="735">
        <f t="shared" si="82"/>
        <v>62.029657142609359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39">
        <v>43252</v>
      </c>
      <c r="AP166" s="13">
        <f t="shared" si="83"/>
        <v>7</v>
      </c>
      <c r="AQ166" s="13">
        <f t="shared" si="84"/>
        <v>8</v>
      </c>
      <c r="AR166" s="173">
        <f t="shared" si="85"/>
        <v>43248</v>
      </c>
      <c r="AS166" s="742">
        <f t="shared" si="86"/>
        <v>0.14285714285714285</v>
      </c>
      <c r="AT166" s="758">
        <f t="shared" si="87"/>
        <v>62.027048979806047</v>
      </c>
      <c r="AU166" s="13">
        <f t="shared" si="88"/>
        <v>7</v>
      </c>
      <c r="AV166" s="13">
        <f t="shared" si="89"/>
        <v>6</v>
      </c>
      <c r="AW166" s="173">
        <f t="shared" si="90"/>
        <v>43262</v>
      </c>
      <c r="AX166" s="742">
        <f t="shared" si="91"/>
        <v>0.35714285714285715</v>
      </c>
      <c r="AY166" s="758">
        <f t="shared" si="92"/>
        <v>62.0378076530993</v>
      </c>
      <c r="AZ166" s="735">
        <f t="shared" si="96"/>
        <v>62.032428316452673</v>
      </c>
      <c r="BA166" s="633">
        <f t="shared" si="93"/>
        <v>1.0253660076700846</v>
      </c>
      <c r="BC166" s="11">
        <v>43252</v>
      </c>
      <c r="BD166" s="289">
        <f>[3]!FeuilCaduc*(1-Persistant)+Persistant</f>
        <v>0.92865499392943418</v>
      </c>
      <c r="BE166" s="290">
        <f>[3]!CroissVégét</f>
        <v>0.4078859452556679</v>
      </c>
      <c r="BF166" s="804">
        <f>1+[3]!Salcycl*Ksac</f>
        <v>1.0321637484823585</v>
      </c>
      <c r="BH166" s="1037">
        <f t="shared" si="94"/>
        <v>3.8765181712549848E-4</v>
      </c>
      <c r="BI166" s="11">
        <v>44348</v>
      </c>
      <c r="BJ166" s="715">
        <v>0</v>
      </c>
      <c r="BK166" s="715">
        <v>3.3423443774728609E-6</v>
      </c>
      <c r="BL166" s="715">
        <v>1.2578534418526988E-5</v>
      </c>
      <c r="BM166" s="715">
        <v>8.0203117295982149E-5</v>
      </c>
      <c r="BN166" s="715">
        <v>4.6502523585160473E-4</v>
      </c>
      <c r="BO166" s="716">
        <v>1.6588200318217161E-3</v>
      </c>
      <c r="BP166" s="715">
        <v>5.7106355994015218E-3</v>
      </c>
      <c r="BQ166" s="715">
        <v>1.3044184142195298E-2</v>
      </c>
      <c r="BR166" s="715">
        <v>3.4814076802951129E-2</v>
      </c>
      <c r="BS166" s="715">
        <v>6.7431741896848946E-2</v>
      </c>
      <c r="BT166" s="715">
        <v>0.11021131573306527</v>
      </c>
      <c r="BW166" s="1185">
        <f>'2019'!R\Max</f>
        <v>1.0253660076700846</v>
      </c>
      <c r="BX166" s="1185">
        <f>'2020'!R\Max</f>
        <v>0.94509133753319463</v>
      </c>
      <c r="BY166" s="1185">
        <f>'2021'!R\Max</f>
        <v>0.57922797909106705</v>
      </c>
      <c r="BZ166" s="1185">
        <f>'2022'!R\Max</f>
        <v>0.99677223549312743</v>
      </c>
      <c r="CA166" s="1185">
        <f>'2023'!R\Max</f>
        <v>0.99677153272829055</v>
      </c>
      <c r="CB166" s="1185">
        <f>'2024'!R\Max</f>
        <v>0.99677082974949094</v>
      </c>
      <c r="CC166" s="1185">
        <f>'2025'!R\Max</f>
        <v>0.99676970248527608</v>
      </c>
      <c r="CD166" s="1185">
        <f>'2026'!R\Max</f>
        <v>0.9967729343391365</v>
      </c>
      <c r="CE166" s="1186">
        <f>'2027'!R\Max</f>
        <v>0.99677274766922974</v>
      </c>
      <c r="CF166" s="1187">
        <f>'2028'!R\Max</f>
        <v>0.99677254068033128</v>
      </c>
    </row>
    <row r="167" spans="1:84" s="6" customFormat="1" ht="11.25" x14ac:dyDescent="0.2">
      <c r="A167" s="11">
        <v>43253</v>
      </c>
      <c r="B167" s="379">
        <f>'2022'!Maxi_hp</f>
        <v>62.818886290602684</v>
      </c>
      <c r="C167" s="13">
        <f>'2022'!An_max</f>
        <v>2018</v>
      </c>
      <c r="D167" s="1046">
        <f t="shared" si="78"/>
        <v>1.0128310655701427</v>
      </c>
      <c r="E167" s="13"/>
      <c r="F167" s="13">
        <f t="shared" si="95"/>
        <v>13</v>
      </c>
      <c r="G167" s="13">
        <f t="shared" si="79"/>
        <v>12</v>
      </c>
      <c r="H167" s="173">
        <f t="shared" si="80"/>
        <v>43262</v>
      </c>
      <c r="I167" s="742">
        <f t="shared" si="81"/>
        <v>0.6428571428571429</v>
      </c>
      <c r="J167" s="735">
        <f t="shared" si="82"/>
        <v>62.023064285889269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39">
        <v>43253</v>
      </c>
      <c r="AP167" s="13">
        <f t="shared" si="83"/>
        <v>7</v>
      </c>
      <c r="AQ167" s="13">
        <f t="shared" si="84"/>
        <v>8</v>
      </c>
      <c r="AR167" s="173">
        <f t="shared" si="85"/>
        <v>43248</v>
      </c>
      <c r="AS167" s="742">
        <f t="shared" si="86"/>
        <v>0.17857142857142858</v>
      </c>
      <c r="AT167" s="758">
        <f t="shared" si="87"/>
        <v>62.019158833340875</v>
      </c>
      <c r="AU167" s="13">
        <f t="shared" si="88"/>
        <v>7</v>
      </c>
      <c r="AV167" s="13">
        <f t="shared" si="89"/>
        <v>6</v>
      </c>
      <c r="AW167" s="173">
        <f t="shared" si="90"/>
        <v>43262</v>
      </c>
      <c r="AX167" s="742">
        <f t="shared" si="91"/>
        <v>0.32142857142857145</v>
      </c>
      <c r="AY167" s="758">
        <f t="shared" si="92"/>
        <v>62.030032971661015</v>
      </c>
      <c r="AZ167" s="735">
        <f t="shared" si="96"/>
        <v>62.024595902500948</v>
      </c>
      <c r="BA167" s="633">
        <f t="shared" si="93"/>
        <v>1.0128310655701427</v>
      </c>
      <c r="BC167" s="11">
        <v>43253</v>
      </c>
      <c r="BD167" s="289">
        <f>[3]!FeuilCaduc*(1-Persistant)+Persistant</f>
        <v>0.93142287904947363</v>
      </c>
      <c r="BE167" s="290">
        <f>[3]!CroissVégét</f>
        <v>0.41786963208449301</v>
      </c>
      <c r="BF167" s="804">
        <f>1+[3]!Salcycl*Ksac</f>
        <v>1.0328557197623685</v>
      </c>
      <c r="BH167" s="1037">
        <f t="shared" si="94"/>
        <v>3.8744553836531044E-4</v>
      </c>
      <c r="BI167" s="11">
        <v>44349</v>
      </c>
      <c r="BJ167" s="715">
        <v>0</v>
      </c>
      <c r="BK167" s="715">
        <v>2.7836012678731944E-6</v>
      </c>
      <c r="BL167" s="715">
        <v>1.0475768024201042E-5</v>
      </c>
      <c r="BM167" s="715">
        <v>7.6973655752547596E-5</v>
      </c>
      <c r="BN167" s="715">
        <v>4.6557977991325137E-4</v>
      </c>
      <c r="BO167" s="716">
        <v>1.6330648181951328E-3</v>
      </c>
      <c r="BP167" s="715">
        <v>5.3456081543997681E-3</v>
      </c>
      <c r="BQ167" s="715">
        <v>1.2033473814181536E-2</v>
      </c>
      <c r="BR167" s="715">
        <v>3.2858201500779179E-2</v>
      </c>
      <c r="BS167" s="715">
        <v>6.5099340303842484E-2</v>
      </c>
      <c r="BT167" s="715">
        <v>0.10806054008098882</v>
      </c>
      <c r="BW167" s="1185">
        <f>'2019'!R\Max</f>
        <v>1.0128310655701427</v>
      </c>
      <c r="BX167" s="1185">
        <f>'2020'!R\Max</f>
        <v>0.46012844671627967</v>
      </c>
      <c r="BY167" s="1185">
        <f>'2021'!R\Max</f>
        <v>0.55268011062365741</v>
      </c>
      <c r="BZ167" s="1185">
        <f>'2022'!R\Max</f>
        <v>0.69123198406586939</v>
      </c>
      <c r="CA167" s="1185">
        <f>'2023'!R\Max</f>
        <v>0.69118913947377081</v>
      </c>
      <c r="CB167" s="1185">
        <f>'2024'!R\Max</f>
        <v>0.69114628815058032</v>
      </c>
      <c r="CC167" s="1185">
        <f>'2025'!R\Max</f>
        <v>0.69107751572983711</v>
      </c>
      <c r="CD167" s="1185">
        <f>'2026'!R\Max</f>
        <v>0.69127716342316625</v>
      </c>
      <c r="CE167" s="1186">
        <f>'2027'!R\Max</f>
        <v>0.69126490412821628</v>
      </c>
      <c r="CF167" s="1187">
        <f>'2028'!R\Max</f>
        <v>0.6912514331232299</v>
      </c>
    </row>
    <row r="168" spans="1:84" s="6" customFormat="1" ht="11.25" x14ac:dyDescent="0.2">
      <c r="A168" s="11">
        <v>43254</v>
      </c>
      <c r="B168" s="379">
        <f>'2022'!Maxi_hp</f>
        <v>60.280374987605988</v>
      </c>
      <c r="C168" s="13">
        <f>'2022'!An_max</f>
        <v>2022</v>
      </c>
      <c r="D168" s="1046">
        <f t="shared" si="78"/>
        <v>0.97205357575176654</v>
      </c>
      <c r="E168" s="13"/>
      <c r="F168" s="13">
        <f t="shared" si="95"/>
        <v>13</v>
      </c>
      <c r="G168" s="13">
        <f t="shared" si="79"/>
        <v>12</v>
      </c>
      <c r="H168" s="173">
        <f t="shared" si="80"/>
        <v>43262</v>
      </c>
      <c r="I168" s="742">
        <f t="shared" si="81"/>
        <v>0.5714285714285714</v>
      </c>
      <c r="J168" s="735">
        <f t="shared" si="82"/>
        <v>62.013428571554165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39">
        <v>43254</v>
      </c>
      <c r="AP168" s="13">
        <f t="shared" si="83"/>
        <v>7</v>
      </c>
      <c r="AQ168" s="13">
        <f t="shared" si="84"/>
        <v>8</v>
      </c>
      <c r="AR168" s="173">
        <f t="shared" si="85"/>
        <v>43248</v>
      </c>
      <c r="AS168" s="742">
        <f t="shared" si="86"/>
        <v>0.21428571428571427</v>
      </c>
      <c r="AT168" s="758">
        <f t="shared" si="87"/>
        <v>62.008049235040588</v>
      </c>
      <c r="AU168" s="13">
        <f t="shared" si="88"/>
        <v>7</v>
      </c>
      <c r="AV168" s="13">
        <f t="shared" si="89"/>
        <v>6</v>
      </c>
      <c r="AW168" s="173">
        <f t="shared" si="90"/>
        <v>43262</v>
      </c>
      <c r="AX168" s="742">
        <f t="shared" si="91"/>
        <v>0.2857142857142857</v>
      </c>
      <c r="AY168" s="758">
        <f t="shared" si="92"/>
        <v>62.019224489959221</v>
      </c>
      <c r="AZ168" s="735">
        <f t="shared" si="96"/>
        <v>62.013636862499908</v>
      </c>
      <c r="BA168" s="633">
        <f t="shared" si="93"/>
        <v>0.97205357575176654</v>
      </c>
      <c r="BC168" s="11">
        <v>43254</v>
      </c>
      <c r="BD168" s="289">
        <f>[3]!FeuilCaduc*(1-Persistant)+Persistant</f>
        <v>0.9341617613823191</v>
      </c>
      <c r="BE168" s="290">
        <f>[3]!CroissVégét</f>
        <v>0.42792037764903684</v>
      </c>
      <c r="BF168" s="804">
        <f>1+[3]!Salcycl*Ksac</f>
        <v>1.0335404403455797</v>
      </c>
      <c r="BH168" s="1037">
        <f t="shared" si="94"/>
        <v>3.8715016109381061E-4</v>
      </c>
      <c r="BI168" s="11">
        <v>44350</v>
      </c>
      <c r="BJ168" s="715">
        <v>0</v>
      </c>
      <c r="BK168" s="715">
        <v>2.2760946741685168E-6</v>
      </c>
      <c r="BL168" s="715">
        <v>8.5658244529852098E-6</v>
      </c>
      <c r="BM168" s="715">
        <v>7.3668510222194857E-5</v>
      </c>
      <c r="BN168" s="715">
        <v>4.6604184952602813E-4</v>
      </c>
      <c r="BO168" s="716">
        <v>1.6169764251023134E-3</v>
      </c>
      <c r="BP168" s="715">
        <v>5.0464340834868622E-3</v>
      </c>
      <c r="BQ168" s="715">
        <v>1.1181964045124258E-2</v>
      </c>
      <c r="BR168" s="715">
        <v>3.1001797335978139E-2</v>
      </c>
      <c r="BS168" s="715">
        <v>6.2787512604937326E-2</v>
      </c>
      <c r="BT168" s="715">
        <v>0.10584082683933883</v>
      </c>
      <c r="BW168" s="1185">
        <f>'2019'!R\Max</f>
        <v>0.66596097768362306</v>
      </c>
      <c r="BX168" s="1185">
        <f>'2020'!R\Max</f>
        <v>0.91400449391286065</v>
      </c>
      <c r="BY168" s="1185">
        <f>'2021'!R\Max</f>
        <v>0.6852167457237559</v>
      </c>
      <c r="BZ168" s="1185">
        <f>'2022'!R\Max</f>
        <v>0.97205357575176654</v>
      </c>
      <c r="CA168" s="1185">
        <f>'2023'!R\Max</f>
        <v>0.97204852248205786</v>
      </c>
      <c r="CB168" s="1185">
        <f>'2024'!R\Max</f>
        <v>0.97204346794864327</v>
      </c>
      <c r="CC168" s="1185">
        <f>'2025'!R\Max</f>
        <v>0.9720353619424601</v>
      </c>
      <c r="CD168" s="1185">
        <f>'2026'!R\Max</f>
        <v>0.97205922233412156</v>
      </c>
      <c r="CE168" s="1186">
        <f>'2027'!R\Max</f>
        <v>0.97205766640923064</v>
      </c>
      <c r="CF168" s="1187">
        <f>'2028'!R\Max</f>
        <v>0.97205597100335583</v>
      </c>
    </row>
    <row r="169" spans="1:84" s="6" customFormat="1" ht="11.25" x14ac:dyDescent="0.2">
      <c r="A169" s="11">
        <v>43255</v>
      </c>
      <c r="B169" s="379">
        <f>'2022'!Maxi_hp</f>
        <v>60.619800166760626</v>
      </c>
      <c r="C169" s="13">
        <f>'2022'!An_max</f>
        <v>2018</v>
      </c>
      <c r="D169" s="1046">
        <f t="shared" si="78"/>
        <v>0.97772688502528582</v>
      </c>
      <c r="E169" s="13"/>
      <c r="F169" s="13">
        <f t="shared" si="95"/>
        <v>13</v>
      </c>
      <c r="G169" s="13">
        <f t="shared" si="79"/>
        <v>12</v>
      </c>
      <c r="H169" s="173">
        <f t="shared" si="80"/>
        <v>43262</v>
      </c>
      <c r="I169" s="742">
        <f t="shared" si="81"/>
        <v>0.5</v>
      </c>
      <c r="J169" s="735">
        <f t="shared" si="82"/>
        <v>62.000750000029804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39">
        <v>43255</v>
      </c>
      <c r="AP169" s="13">
        <f t="shared" si="83"/>
        <v>7</v>
      </c>
      <c r="AQ169" s="13">
        <f t="shared" si="84"/>
        <v>8</v>
      </c>
      <c r="AR169" s="173">
        <f t="shared" si="85"/>
        <v>43248</v>
      </c>
      <c r="AS169" s="742">
        <f t="shared" si="86"/>
        <v>0.25</v>
      </c>
      <c r="AT169" s="758">
        <f t="shared" si="87"/>
        <v>61.993760937917976</v>
      </c>
      <c r="AU169" s="13">
        <f t="shared" si="88"/>
        <v>7</v>
      </c>
      <c r="AV169" s="13">
        <f t="shared" si="89"/>
        <v>6</v>
      </c>
      <c r="AW169" s="173">
        <f t="shared" si="90"/>
        <v>43262</v>
      </c>
      <c r="AX169" s="742">
        <f t="shared" si="91"/>
        <v>0.25</v>
      </c>
      <c r="AY169" s="758">
        <f t="shared" si="92"/>
        <v>62.005409375019369</v>
      </c>
      <c r="AZ169" s="735">
        <f t="shared" si="96"/>
        <v>61.999585156468669</v>
      </c>
      <c r="BA169" s="633">
        <f t="shared" si="93"/>
        <v>0.97772688502528582</v>
      </c>
      <c r="BC169" s="11">
        <v>43255</v>
      </c>
      <c r="BD169" s="289">
        <f>[3]!FeuilCaduc*(1-Persistant)+Persistant</f>
        <v>0.93686828854957138</v>
      </c>
      <c r="BE169" s="290">
        <f>[3]!CroissVégét</f>
        <v>0.43803029270835642</v>
      </c>
      <c r="BF169" s="804">
        <f>1+[3]!Salcycl*Ksac</f>
        <v>1.0342170721373929</v>
      </c>
      <c r="BH169" s="1037">
        <f t="shared" si="94"/>
        <v>3.8676636825357588E-4</v>
      </c>
      <c r="BI169" s="11">
        <v>44351</v>
      </c>
      <c r="BJ169" s="715">
        <v>0</v>
      </c>
      <c r="BK169" s="715">
        <v>1.819745941379442E-6</v>
      </c>
      <c r="BL169" s="715">
        <v>6.8484076957751969E-6</v>
      </c>
      <c r="BM169" s="715">
        <v>7.0287998708434067E-5</v>
      </c>
      <c r="BN169" s="715">
        <v>4.6641221947412082E-4</v>
      </c>
      <c r="BO169" s="716">
        <v>1.6105396188024427E-3</v>
      </c>
      <c r="BP169" s="715">
        <v>4.8130063914376669E-3</v>
      </c>
      <c r="BQ169" s="715">
        <v>1.0489397990362895E-2</v>
      </c>
      <c r="BR169" s="715">
        <v>2.9244768231884995E-2</v>
      </c>
      <c r="BS169" s="715">
        <v>6.049636099789045E-2</v>
      </c>
      <c r="BT169" s="715">
        <v>0.10355249738896001</v>
      </c>
      <c r="BW169" s="1185">
        <f>'2019'!R\Max</f>
        <v>0.97772688502528582</v>
      </c>
      <c r="BX169" s="1185">
        <f>'2020'!R\Max</f>
        <v>0.5201368668860209</v>
      </c>
      <c r="BY169" s="1185">
        <f>'2021'!R\Max</f>
        <v>0.15284216846898804</v>
      </c>
      <c r="BZ169" s="1185">
        <f>'2022'!R\Max</f>
        <v>0.44080054822090931</v>
      </c>
      <c r="CA169" s="1185">
        <f>'2023'!R\Max</f>
        <v>0.44075760195512204</v>
      </c>
      <c r="CB169" s="1185">
        <f>'2024'!R\Max</f>
        <v>0.44071465358155243</v>
      </c>
      <c r="CC169" s="1185">
        <f>'2025'!R\Max</f>
        <v>0.44064600317554958</v>
      </c>
      <c r="CD169" s="1185">
        <f>'2026'!R\Max</f>
        <v>0.44085130279639201</v>
      </c>
      <c r="CE169" s="1186">
        <f>'2027'!R\Max</f>
        <v>0.44083711026302014</v>
      </c>
      <c r="CF169" s="1187">
        <f>'2028'!R\Max</f>
        <v>0.44082176797380268</v>
      </c>
    </row>
    <row r="170" spans="1:84" s="6" customFormat="1" ht="11.25" x14ac:dyDescent="0.2">
      <c r="A170" s="11">
        <v>43256</v>
      </c>
      <c r="B170" s="379">
        <f>'2022'!Maxi_hp</f>
        <v>39.216543124389602</v>
      </c>
      <c r="C170" s="13">
        <f>'2022'!An_max</f>
        <v>2021</v>
      </c>
      <c r="D170" s="1046" t="str">
        <f t="shared" si="78"/>
        <v/>
      </c>
      <c r="E170" s="13"/>
      <c r="F170" s="13">
        <f t="shared" si="95"/>
        <v>13</v>
      </c>
      <c r="G170" s="13">
        <f t="shared" si="79"/>
        <v>12</v>
      </c>
      <c r="H170" s="173">
        <f t="shared" si="80"/>
        <v>43262</v>
      </c>
      <c r="I170" s="742">
        <f t="shared" si="81"/>
        <v>0.42857142857142855</v>
      </c>
      <c r="J170" s="735">
        <f t="shared" si="82"/>
        <v>61.985028571688687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39">
        <v>43256</v>
      </c>
      <c r="AP170" s="13">
        <f t="shared" si="83"/>
        <v>7</v>
      </c>
      <c r="AQ170" s="13">
        <f t="shared" si="84"/>
        <v>8</v>
      </c>
      <c r="AR170" s="173">
        <f t="shared" si="85"/>
        <v>43248</v>
      </c>
      <c r="AS170" s="742">
        <f t="shared" si="86"/>
        <v>0.2857142857142857</v>
      </c>
      <c r="AT170" s="758">
        <f t="shared" si="87"/>
        <v>61.976334694027898</v>
      </c>
      <c r="AU170" s="13">
        <f t="shared" si="88"/>
        <v>7</v>
      </c>
      <c r="AV170" s="13">
        <f t="shared" si="89"/>
        <v>6</v>
      </c>
      <c r="AW170" s="173">
        <f t="shared" si="90"/>
        <v>43262</v>
      </c>
      <c r="AX170" s="742">
        <f t="shared" si="91"/>
        <v>0.21428571428571427</v>
      </c>
      <c r="AY170" s="758">
        <f t="shared" si="92"/>
        <v>61.988614795995616</v>
      </c>
      <c r="AZ170" s="735">
        <f t="shared" si="96"/>
        <v>61.982474745011757</v>
      </c>
      <c r="BA170" s="633">
        <f t="shared" si="93"/>
        <v>0.63267766472082487</v>
      </c>
      <c r="BC170" s="11">
        <v>43256</v>
      </c>
      <c r="BD170" s="289">
        <f>[3]!FeuilCaduc*(1-Persistant)+Persistant</f>
        <v>0.93953918270926895</v>
      </c>
      <c r="BE170" s="290">
        <f>[3]!CroissVégét</f>
        <v>0.44819129444890032</v>
      </c>
      <c r="BF170" s="804">
        <f>1+[3]!Salcycl*Ksac</f>
        <v>1.0348847956773173</v>
      </c>
      <c r="BH170" s="1037">
        <f t="shared" si="94"/>
        <v>3.860534165891084E-4</v>
      </c>
      <c r="BI170" s="11">
        <v>44352</v>
      </c>
      <c r="BJ170" s="715">
        <v>0</v>
      </c>
      <c r="BK170" s="715">
        <v>1.4144718194160917E-6</v>
      </c>
      <c r="BL170" s="715">
        <v>5.3232044502889542E-6</v>
      </c>
      <c r="BM170" s="715">
        <v>6.6832424500579409E-5</v>
      </c>
      <c r="BN170" s="715">
        <v>4.6638948403946606E-4</v>
      </c>
      <c r="BO170" s="716">
        <v>1.6130019105912664E-3</v>
      </c>
      <c r="BP170" s="715">
        <v>4.6440716713001028E-3</v>
      </c>
      <c r="BQ170" s="715">
        <v>9.9545537028023698E-3</v>
      </c>
      <c r="BR170" s="715">
        <v>2.7632247582650444E-2</v>
      </c>
      <c r="BS170" s="715">
        <v>5.8242645417065336E-2</v>
      </c>
      <c r="BT170" s="715">
        <v>0.10110893044552206</v>
      </c>
      <c r="BW170" s="1185">
        <f>'2019'!R\Max</f>
        <v>0.17154616550080065</v>
      </c>
      <c r="BX170" s="1185">
        <f>'2020'!R\Max</f>
        <v>0.60185097406368959</v>
      </c>
      <c r="BY170" s="1185">
        <f>'2021'!R\Max</f>
        <v>0.63267766472082487</v>
      </c>
      <c r="BZ170" s="1185">
        <f>'2022'!R\Max</f>
        <v>0.50941199021200956</v>
      </c>
      <c r="CA170" s="1185">
        <f>'2023'!R\Max</f>
        <v>0.50937065074640286</v>
      </c>
      <c r="CB170" s="1185">
        <f>'2024'!R\Max</f>
        <v>0.5093293084160665</v>
      </c>
      <c r="CC170" s="1185">
        <f>'2025'!R\Max</f>
        <v>0.50926356370652426</v>
      </c>
      <c r="CD170" s="1185">
        <f>'2026'!R\Max</f>
        <v>0.50946342023799107</v>
      </c>
      <c r="CE170" s="1186">
        <f>'2027'!R\Max</f>
        <v>0.50944884779943822</v>
      </c>
      <c r="CF170" s="1187">
        <f>'2028'!R\Max</f>
        <v>0.50943321094536864</v>
      </c>
    </row>
    <row r="171" spans="1:84" s="6" customFormat="1" ht="11.25" x14ac:dyDescent="0.2">
      <c r="A171" s="11">
        <v>43257</v>
      </c>
      <c r="B171" s="379">
        <f>'2022'!Maxi_hp</f>
        <v>54.078564517697089</v>
      </c>
      <c r="C171" s="13">
        <f>'2022'!An_max</f>
        <v>2018</v>
      </c>
      <c r="D171" s="1046" t="str">
        <f t="shared" si="78"/>
        <v/>
      </c>
      <c r="E171" s="13"/>
      <c r="F171" s="13">
        <f t="shared" si="95"/>
        <v>13</v>
      </c>
      <c r="G171" s="13">
        <f t="shared" si="79"/>
        <v>12</v>
      </c>
      <c r="H171" s="173">
        <f t="shared" si="80"/>
        <v>43262</v>
      </c>
      <c r="I171" s="742">
        <f t="shared" si="81"/>
        <v>0.35714285714285715</v>
      </c>
      <c r="J171" s="735">
        <f t="shared" si="82"/>
        <v>61.966264285759202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39">
        <v>43257</v>
      </c>
      <c r="AP171" s="13">
        <f t="shared" si="83"/>
        <v>7</v>
      </c>
      <c r="AQ171" s="13">
        <f t="shared" si="84"/>
        <v>8</v>
      </c>
      <c r="AR171" s="173">
        <f t="shared" si="85"/>
        <v>43248</v>
      </c>
      <c r="AS171" s="742">
        <f t="shared" si="86"/>
        <v>0.32142857142857145</v>
      </c>
      <c r="AT171" s="758">
        <f t="shared" si="87"/>
        <v>61.955811256968545</v>
      </c>
      <c r="AU171" s="13">
        <f t="shared" si="88"/>
        <v>7</v>
      </c>
      <c r="AV171" s="13">
        <f t="shared" si="89"/>
        <v>6</v>
      </c>
      <c r="AW171" s="173">
        <f t="shared" si="90"/>
        <v>43262</v>
      </c>
      <c r="AX171" s="742">
        <f t="shared" si="91"/>
        <v>0.17857142857142858</v>
      </c>
      <c r="AY171" s="758">
        <f t="shared" si="92"/>
        <v>61.968867920538671</v>
      </c>
      <c r="AZ171" s="735">
        <f t="shared" si="96"/>
        <v>61.962339588753608</v>
      </c>
      <c r="BA171" s="633">
        <f t="shared" si="93"/>
        <v>0.87270977427834351</v>
      </c>
      <c r="BC171" s="11">
        <v>43257</v>
      </c>
      <c r="BD171" s="289">
        <f>[3]!FeuilCaduc*(1-Persistant)+Persistant</f>
        <v>0.94217125337466512</v>
      </c>
      <c r="BE171" s="290">
        <f>[3]!CroissVégét</f>
        <v>0.45839513154318023</v>
      </c>
      <c r="BF171" s="804">
        <f>1+[3]!Salcycl*Ksac</f>
        <v>1.0355428133436664</v>
      </c>
      <c r="BH171" s="1037">
        <f t="shared" si="94"/>
        <v>3.8458933262649011E-4</v>
      </c>
      <c r="BI171" s="11">
        <v>44353</v>
      </c>
      <c r="BJ171" s="715">
        <v>0</v>
      </c>
      <c r="BK171" s="715">
        <v>1.0601851468597947E-6</v>
      </c>
      <c r="BL171" s="715">
        <v>3.9898866944016155E-6</v>
      </c>
      <c r="BM171" s="715">
        <v>6.3153992402535444E-5</v>
      </c>
      <c r="BN171" s="715">
        <v>4.6548266925893465E-4</v>
      </c>
      <c r="BO171" s="716">
        <v>1.6139880586172281E-3</v>
      </c>
      <c r="BP171" s="715">
        <v>4.4958888623918888E-3</v>
      </c>
      <c r="BQ171" s="715">
        <v>9.4850734981172038E-3</v>
      </c>
      <c r="BR171" s="715">
        <v>2.6114613206400905E-2</v>
      </c>
      <c r="BS171" s="715">
        <v>5.5984447258662313E-2</v>
      </c>
      <c r="BT171" s="715">
        <v>9.8432696885232596E-2</v>
      </c>
      <c r="BW171" s="1185">
        <f>'2019'!R\Max</f>
        <v>0.87270977427834351</v>
      </c>
      <c r="BX171" s="1185">
        <f>'2020'!R\Max</f>
        <v>0.40028739067634483</v>
      </c>
      <c r="BY171" s="1185">
        <f>'2021'!R\Max</f>
        <v>0.82303308848749734</v>
      </c>
      <c r="BZ171" s="1185">
        <f>'2022'!R\Max</f>
        <v>0.85857671538169578</v>
      </c>
      <c r="CA171" s="1185">
        <f>'2023'!R\Max</f>
        <v>0.85855755820041135</v>
      </c>
      <c r="CB171" s="1185">
        <f>'2024'!R\Max</f>
        <v>0.85853839764198503</v>
      </c>
      <c r="CC171" s="1185">
        <f>'2025'!R\Max</f>
        <v>0.85850809318617893</v>
      </c>
      <c r="CD171" s="1185">
        <f>'2026'!R\Max</f>
        <v>0.85860169840503131</v>
      </c>
      <c r="CE171" s="1186">
        <f>'2027'!R\Max</f>
        <v>0.85859453329426427</v>
      </c>
      <c r="CF171" s="1187">
        <f>'2028'!R\Max</f>
        <v>0.85858690036231</v>
      </c>
    </row>
    <row r="172" spans="1:84" s="6" customFormat="1" ht="11.25" x14ac:dyDescent="0.2">
      <c r="A172" s="11">
        <v>43258</v>
      </c>
      <c r="B172" s="379">
        <f>'2022'!Maxi_hp</f>
        <v>56.44411958910743</v>
      </c>
      <c r="C172" s="13">
        <f>'2022'!An_max</f>
        <v>2021</v>
      </c>
      <c r="D172" s="1046" t="str">
        <f t="shared" si="78"/>
        <v/>
      </c>
      <c r="E172" s="13"/>
      <c r="F172" s="13">
        <f t="shared" si="95"/>
        <v>13</v>
      </c>
      <c r="G172" s="13">
        <f t="shared" si="79"/>
        <v>12</v>
      </c>
      <c r="H172" s="173">
        <f t="shared" si="80"/>
        <v>43262</v>
      </c>
      <c r="I172" s="742">
        <f t="shared" si="81"/>
        <v>0.2857142857142857</v>
      </c>
      <c r="J172" s="735">
        <f t="shared" si="82"/>
        <v>61.944457142959756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39">
        <v>43258</v>
      </c>
      <c r="AP172" s="13">
        <f t="shared" si="83"/>
        <v>7</v>
      </c>
      <c r="AQ172" s="13">
        <f t="shared" si="84"/>
        <v>8</v>
      </c>
      <c r="AR172" s="173">
        <f t="shared" si="85"/>
        <v>43248</v>
      </c>
      <c r="AS172" s="742">
        <f t="shared" si="86"/>
        <v>0.35714285714285715</v>
      </c>
      <c r="AT172" s="758">
        <f t="shared" si="87"/>
        <v>61.932231377863459</v>
      </c>
      <c r="AU172" s="13">
        <f t="shared" si="88"/>
        <v>7</v>
      </c>
      <c r="AV172" s="13">
        <f t="shared" si="89"/>
        <v>6</v>
      </c>
      <c r="AW172" s="173">
        <f t="shared" si="90"/>
        <v>43262</v>
      </c>
      <c r="AX172" s="742">
        <f t="shared" si="91"/>
        <v>0.14285714285714285</v>
      </c>
      <c r="AY172" s="758">
        <f t="shared" si="92"/>
        <v>61.946195918374841</v>
      </c>
      <c r="AZ172" s="735">
        <f t="shared" si="96"/>
        <v>61.93921364811915</v>
      </c>
      <c r="BA172" s="633">
        <f t="shared" si="93"/>
        <v>0.91120533123475012</v>
      </c>
      <c r="BC172" s="11">
        <v>43258</v>
      </c>
      <c r="BD172" s="289">
        <f>[3]!FeuilCaduc*(1-Persistant)+Persistant</f>
        <v>0.94476140996678681</v>
      </c>
      <c r="BE172" s="290">
        <f>[3]!CroissVégét</f>
        <v>0.46863341037883222</v>
      </c>
      <c r="BF172" s="804">
        <f>1+[3]!Salcycl*Ksac</f>
        <v>1.0361903524916967</v>
      </c>
      <c r="BH172" s="1037">
        <f t="shared" si="94"/>
        <v>3.8237606845257393E-4</v>
      </c>
      <c r="BI172" s="11">
        <v>44354</v>
      </c>
      <c r="BJ172" s="715">
        <v>0</v>
      </c>
      <c r="BK172" s="715">
        <v>7.5679553476548167E-7</v>
      </c>
      <c r="BL172" s="715">
        <v>2.8481142595583553E-6</v>
      </c>
      <c r="BM172" s="715">
        <v>5.9253254407383801E-5</v>
      </c>
      <c r="BN172" s="715">
        <v>4.6369407957098051E-4</v>
      </c>
      <c r="BO172" s="716">
        <v>1.613502999512955E-3</v>
      </c>
      <c r="BP172" s="715">
        <v>4.3684266696386569E-3</v>
      </c>
      <c r="BQ172" s="715">
        <v>9.080852576289794E-3</v>
      </c>
      <c r="BR172" s="715">
        <v>2.4691740081628562E-2</v>
      </c>
      <c r="BS172" s="715">
        <v>5.3721878533704547E-2</v>
      </c>
      <c r="BT172" s="715">
        <v>9.5524401787048532E-2</v>
      </c>
      <c r="BW172" s="1185">
        <f>'2019'!R\Max</f>
        <v>0.35203565427274436</v>
      </c>
      <c r="BX172" s="1185">
        <f>'2020'!R\Max</f>
        <v>0.4504178042736896</v>
      </c>
      <c r="BY172" s="1185">
        <f>'2021'!R\Max</f>
        <v>0.91120533123475012</v>
      </c>
      <c r="BZ172" s="1185">
        <f>'2022'!R\Max</f>
        <v>0.47694795929532469</v>
      </c>
      <c r="CA172" s="1185">
        <f>'2023'!R\Max</f>
        <v>0.47691021975524356</v>
      </c>
      <c r="CB172" s="1185">
        <f>'2024'!R\Max</f>
        <v>0.47687247819412032</v>
      </c>
      <c r="CC172" s="1185">
        <f>'2025'!R\Max</f>
        <v>0.47681314085520821</v>
      </c>
      <c r="CD172" s="1185">
        <f>'2026'!R\Max</f>
        <v>0.47699931541055046</v>
      </c>
      <c r="CE172" s="1186">
        <f>'2027'!R\Max</f>
        <v>0.47698442327327101</v>
      </c>
      <c r="CF172" s="1187">
        <f>'2028'!R\Max</f>
        <v>0.47696867316803437</v>
      </c>
    </row>
    <row r="173" spans="1:84" s="6" customFormat="1" ht="11.25" x14ac:dyDescent="0.2">
      <c r="A173" s="11">
        <v>43259</v>
      </c>
      <c r="B173" s="379">
        <f>'2022'!Maxi_hp</f>
        <v>64.215122991320413</v>
      </c>
      <c r="C173" s="13">
        <f>'2022'!An_max</f>
        <v>2018</v>
      </c>
      <c r="D173" s="1046">
        <f t="shared" si="78"/>
        <v>1.0370725195851882</v>
      </c>
      <c r="E173" s="13"/>
      <c r="F173" s="13">
        <f t="shared" si="95"/>
        <v>13</v>
      </c>
      <c r="G173" s="13">
        <f t="shared" si="79"/>
        <v>12</v>
      </c>
      <c r="H173" s="173">
        <f t="shared" si="80"/>
        <v>43262</v>
      </c>
      <c r="I173" s="742">
        <f t="shared" si="81"/>
        <v>0.21428571428571427</v>
      </c>
      <c r="J173" s="735">
        <f t="shared" si="82"/>
        <v>61.91960714281138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39">
        <v>43259</v>
      </c>
      <c r="AP173" s="13">
        <f t="shared" si="83"/>
        <v>7</v>
      </c>
      <c r="AQ173" s="13">
        <f t="shared" si="84"/>
        <v>8</v>
      </c>
      <c r="AR173" s="173">
        <f t="shared" si="85"/>
        <v>43248</v>
      </c>
      <c r="AS173" s="742">
        <f t="shared" si="86"/>
        <v>0.39285714285714285</v>
      </c>
      <c r="AT173" s="758">
        <f t="shared" si="87"/>
        <v>61.905635810536999</v>
      </c>
      <c r="AU173" s="13">
        <f t="shared" si="88"/>
        <v>7</v>
      </c>
      <c r="AV173" s="13">
        <f t="shared" si="89"/>
        <v>6</v>
      </c>
      <c r="AW173" s="173">
        <f t="shared" si="90"/>
        <v>43262</v>
      </c>
      <c r="AX173" s="742">
        <f t="shared" si="91"/>
        <v>0.10714285714285714</v>
      </c>
      <c r="AY173" s="758">
        <f t="shared" si="92"/>
        <v>61.920625956303311</v>
      </c>
      <c r="AZ173" s="735">
        <f t="shared" si="96"/>
        <v>61.913130883420152</v>
      </c>
      <c r="BA173" s="633">
        <f t="shared" si="93"/>
        <v>1.0370725195851882</v>
      </c>
      <c r="BC173" s="11">
        <v>43259</v>
      </c>
      <c r="BD173" s="289">
        <f>[3]!FeuilCaduc*(1-Persistant)+Persistant</f>
        <v>0.94730667401408586</v>
      </c>
      <c r="BE173" s="290">
        <f>[3]!CroissVégét</f>
        <v>0.4788976222853652</v>
      </c>
      <c r="BF173" s="804">
        <f>1+[3]!Salcycl*Ksac</f>
        <v>1.0368266685035215</v>
      </c>
      <c r="BH173" s="1037">
        <f t="shared" si="94"/>
        <v>3.7941557888983583E-4</v>
      </c>
      <c r="BI173" s="11">
        <v>44355</v>
      </c>
      <c r="BJ173" s="715">
        <v>0</v>
      </c>
      <c r="BK173" s="715">
        <v>5.0421005046365187E-7</v>
      </c>
      <c r="BL173" s="715">
        <v>1.897537404185626E-6</v>
      </c>
      <c r="BM173" s="715">
        <v>5.5130745634698986E-5</v>
      </c>
      <c r="BN173" s="715">
        <v>4.6102602708457039E-4</v>
      </c>
      <c r="BO173" s="716">
        <v>1.6115516990276582E-3</v>
      </c>
      <c r="BP173" s="715">
        <v>4.2616527547911778E-3</v>
      </c>
      <c r="BQ173" s="715">
        <v>8.7417828210465086E-3</v>
      </c>
      <c r="BR173" s="715">
        <v>2.3363493900221043E-2</v>
      </c>
      <c r="BS173" s="715">
        <v>5.1455039305454524E-2</v>
      </c>
      <c r="BT173" s="715">
        <v>9.2384639007682526E-2</v>
      </c>
      <c r="BW173" s="1185">
        <f>'2019'!R\Max</f>
        <v>1.0370725195851882</v>
      </c>
      <c r="BX173" s="1185">
        <f>'2020'!R\Max</f>
        <v>0.58017338553288889</v>
      </c>
      <c r="BY173" s="1185">
        <f>'2021'!R\Max</f>
        <v>0.96937590901356363</v>
      </c>
      <c r="BZ173" s="1185">
        <f>'2022'!R\Max</f>
        <v>0.3686835219758644</v>
      </c>
      <c r="CA173" s="1185">
        <f>'2023'!R\Max</f>
        <v>0.36864954615501139</v>
      </c>
      <c r="CB173" s="1185">
        <f>'2024'!R\Max</f>
        <v>0.36861556965242859</v>
      </c>
      <c r="CC173" s="1185">
        <f>'2025'!R\Max</f>
        <v>0.36856246024855616</v>
      </c>
      <c r="CD173" s="1185">
        <f>'2026'!R\Max</f>
        <v>0.36873149683076173</v>
      </c>
      <c r="CE173" s="1186">
        <f>'2027'!R\Max</f>
        <v>0.36871745083406732</v>
      </c>
      <c r="CF173" s="1187">
        <f>'2028'!R\Max</f>
        <v>0.3687027008120361</v>
      </c>
    </row>
    <row r="174" spans="1:84" s="6" customFormat="1" ht="11.25" x14ac:dyDescent="0.2">
      <c r="A174" s="11">
        <v>43260</v>
      </c>
      <c r="B174" s="379">
        <f>'2022'!Maxi_hp</f>
        <v>59.018802460565581</v>
      </c>
      <c r="C174" s="13">
        <f>'2022'!An_max</f>
        <v>2021</v>
      </c>
      <c r="D174" s="1046" t="str">
        <f t="shared" si="78"/>
        <v/>
      </c>
      <c r="E174" s="13"/>
      <c r="F174" s="13">
        <f t="shared" si="95"/>
        <v>13</v>
      </c>
      <c r="G174" s="13">
        <f t="shared" si="79"/>
        <v>12</v>
      </c>
      <c r="H174" s="173">
        <f t="shared" si="80"/>
        <v>43262</v>
      </c>
      <c r="I174" s="742">
        <f t="shared" si="81"/>
        <v>0.14285714285714285</v>
      </c>
      <c r="J174" s="735">
        <f t="shared" si="82"/>
        <v>61.891714286005936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39">
        <v>43260</v>
      </c>
      <c r="AP174" s="13">
        <f t="shared" si="83"/>
        <v>7</v>
      </c>
      <c r="AQ174" s="13">
        <f t="shared" si="84"/>
        <v>8</v>
      </c>
      <c r="AR174" s="173">
        <f t="shared" si="85"/>
        <v>43248</v>
      </c>
      <c r="AS174" s="742">
        <f t="shared" si="86"/>
        <v>0.42857142857142855</v>
      </c>
      <c r="AT174" s="758">
        <f t="shared" si="87"/>
        <v>61.87606530636549</v>
      </c>
      <c r="AU174" s="13">
        <f t="shared" si="88"/>
        <v>7</v>
      </c>
      <c r="AV174" s="13">
        <f t="shared" si="89"/>
        <v>6</v>
      </c>
      <c r="AW174" s="173">
        <f t="shared" si="90"/>
        <v>43262</v>
      </c>
      <c r="AX174" s="742">
        <f t="shared" si="91"/>
        <v>7.1428571428571425E-2</v>
      </c>
      <c r="AY174" s="758">
        <f t="shared" si="92"/>
        <v>61.8921852041302</v>
      </c>
      <c r="AZ174" s="735">
        <f t="shared" si="96"/>
        <v>61.884125255247845</v>
      </c>
      <c r="BA174" s="633">
        <f t="shared" si="93"/>
        <v>0.95358164079662699</v>
      </c>
      <c r="BC174" s="11">
        <v>43260</v>
      </c>
      <c r="BD174" s="289">
        <f>[3]!FeuilCaduc*(1-Persistant)+Persistant</f>
        <v>0.94980419091364054</v>
      </c>
      <c r="BE174" s="290">
        <f>[3]!CroissVégét</f>
        <v>0.48917917157397695</v>
      </c>
      <c r="BF174" s="804">
        <f>1+[3]!Salcycl*Ksac</f>
        <v>1.0374510477284102</v>
      </c>
      <c r="BH174" s="1037">
        <f t="shared" si="94"/>
        <v>3.7570981133281181E-4</v>
      </c>
      <c r="BI174" s="11">
        <v>44356</v>
      </c>
      <c r="BJ174" s="715">
        <v>0</v>
      </c>
      <c r="BK174" s="715">
        <v>3.0233390135374541E-7</v>
      </c>
      <c r="BL174" s="715">
        <v>1.1377993870700445E-6</v>
      </c>
      <c r="BM174" s="715">
        <v>5.078698125715257E-5</v>
      </c>
      <c r="BN174" s="715">
        <v>4.5748081963128913E-4</v>
      </c>
      <c r="BO174" s="716">
        <v>1.6081391321684816E-3</v>
      </c>
      <c r="BP174" s="715">
        <v>4.1755340148967347E-3</v>
      </c>
      <c r="BQ174" s="715">
        <v>8.4677536766664951E-3</v>
      </c>
      <c r="BR174" s="715">
        <v>2.2129732326834579E-2</v>
      </c>
      <c r="BS174" s="715">
        <v>4.9184017593748859E-2</v>
      </c>
      <c r="BT174" s="715">
        <v>8.9013987994537858E-2</v>
      </c>
      <c r="BW174" s="1185">
        <f>'2019'!R\Max</f>
        <v>0.8103592249181687</v>
      </c>
      <c r="BX174" s="1185">
        <f>'2020'!R\Max</f>
        <v>0.69759525115313514</v>
      </c>
      <c r="BY174" s="1185">
        <f>'2021'!R\Max</f>
        <v>0.95358164079662699</v>
      </c>
      <c r="BZ174" s="1185">
        <f>'2022'!R\Max</f>
        <v>0.87289490836430694</v>
      </c>
      <c r="CA174" s="1185">
        <f>'2023'!R\Max</f>
        <v>0.87287916873568216</v>
      </c>
      <c r="CB174" s="1185">
        <f>'2024'!R\Max</f>
        <v>0.87286342654824278</v>
      </c>
      <c r="CC174" s="1185">
        <f>'2025'!R\Max</f>
        <v>0.87283894685355701</v>
      </c>
      <c r="CD174" s="1185">
        <f>'2026'!R\Max</f>
        <v>0.87291782377549876</v>
      </c>
      <c r="CE174" s="1186">
        <f>'2027'!R\Max</f>
        <v>0.87291106089314552</v>
      </c>
      <c r="CF174" s="1187">
        <f>'2028'!R\Max</f>
        <v>0.87290400817941449</v>
      </c>
    </row>
    <row r="175" spans="1:84" s="6" customFormat="1" ht="11.25" x14ac:dyDescent="0.2">
      <c r="A175" s="11">
        <v>43261</v>
      </c>
      <c r="B175" s="379">
        <f>'2022'!Maxi_hp</f>
        <v>62.137218569492155</v>
      </c>
      <c r="C175" s="13">
        <f>'2022'!An_max</f>
        <v>2022</v>
      </c>
      <c r="D175" s="1046">
        <f t="shared" si="78"/>
        <v>1.0044687442388611</v>
      </c>
      <c r="E175" s="13"/>
      <c r="F175" s="13">
        <f t="shared" si="95"/>
        <v>13</v>
      </c>
      <c r="G175" s="13">
        <f t="shared" si="79"/>
        <v>12</v>
      </c>
      <c r="H175" s="173">
        <f t="shared" si="80"/>
        <v>43262</v>
      </c>
      <c r="I175" s="742">
        <f t="shared" si="81"/>
        <v>7.1428571428571425E-2</v>
      </c>
      <c r="J175" s="735">
        <f t="shared" si="82"/>
        <v>61.860778571638676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39">
        <v>43261</v>
      </c>
      <c r="AP175" s="13">
        <f t="shared" si="83"/>
        <v>7</v>
      </c>
      <c r="AQ175" s="13">
        <f t="shared" si="84"/>
        <v>8</v>
      </c>
      <c r="AR175" s="173">
        <f t="shared" si="85"/>
        <v>43248</v>
      </c>
      <c r="AS175" s="742">
        <f t="shared" si="86"/>
        <v>0.4642857142857143</v>
      </c>
      <c r="AT175" s="758">
        <f t="shared" si="87"/>
        <v>61.843560619146693</v>
      </c>
      <c r="AU175" s="13">
        <f t="shared" si="88"/>
        <v>7</v>
      </c>
      <c r="AV175" s="13">
        <f t="shared" si="89"/>
        <v>6</v>
      </c>
      <c r="AW175" s="173">
        <f t="shared" si="90"/>
        <v>43262</v>
      </c>
      <c r="AX175" s="742">
        <f t="shared" si="91"/>
        <v>3.5714285714285712E-2</v>
      </c>
      <c r="AY175" s="758">
        <f t="shared" si="92"/>
        <v>61.86090082860153</v>
      </c>
      <c r="AZ175" s="735">
        <f t="shared" si="96"/>
        <v>61.852230723874115</v>
      </c>
      <c r="BA175" s="633">
        <f t="shared" si="93"/>
        <v>1.0044687442388611</v>
      </c>
      <c r="BC175" s="11">
        <v>43261</v>
      </c>
      <c r="BD175" s="289">
        <f>[3]!FeuilCaduc*(1-Persistant)+Persistant</f>
        <v>0.95225124117029591</v>
      </c>
      <c r="BE175" s="290">
        <f>[3]!CroissVégét</f>
        <v>0.499469404196</v>
      </c>
      <c r="BF175" s="804">
        <f>1+[3]!Salcycl*Ksac</f>
        <v>1.038062810292574</v>
      </c>
      <c r="BH175" s="1037">
        <f t="shared" si="94"/>
        <v>3.7126069558923692E-4</v>
      </c>
      <c r="BI175" s="11">
        <v>44357</v>
      </c>
      <c r="BJ175" s="715">
        <v>0</v>
      </c>
      <c r="BK175" s="715">
        <v>1.5107111870585558E-7</v>
      </c>
      <c r="BL175" s="715">
        <v>5.6853904076867085E-7</v>
      </c>
      <c r="BM175" s="715">
        <v>4.6222453427830526E-5</v>
      </c>
      <c r="BN175" s="715">
        <v>4.5306074882315076E-4</v>
      </c>
      <c r="BO175" s="716">
        <v>1.6032702633617417E-3</v>
      </c>
      <c r="BP175" s="715">
        <v>4.1100368608239712E-3</v>
      </c>
      <c r="BQ175" s="715">
        <v>8.2586530249011882E-3</v>
      </c>
      <c r="BR175" s="715">
        <v>2.0990306258566047E-2</v>
      </c>
      <c r="BS175" s="715">
        <v>4.6908889279985905E-2</v>
      </c>
      <c r="BT175" s="715">
        <v>8.5413010599807437E-2</v>
      </c>
      <c r="BW175" s="1185">
        <f>'2019'!R\Max</f>
        <v>0.38582715072387791</v>
      </c>
      <c r="BX175" s="1185">
        <f>'2020'!R\Max</f>
        <v>0.39981292637263283</v>
      </c>
      <c r="BY175" s="1185">
        <f>'2021'!R\Max</f>
        <v>0.95448317255851578</v>
      </c>
      <c r="BZ175" s="1185">
        <f>'2022'!R\Max</f>
        <v>1.0044687442388611</v>
      </c>
      <c r="CA175" s="1185">
        <f>'2023'!R\Max</f>
        <v>1.0044687442388611</v>
      </c>
      <c r="CB175" s="1185">
        <f>'2024'!R\Max</f>
        <v>1.0044687442388609</v>
      </c>
      <c r="CC175" s="1185">
        <f>'2025'!R\Max</f>
        <v>1.0044687442388611</v>
      </c>
      <c r="CD175" s="1185">
        <f>'2026'!R\Max</f>
        <v>1.0044687442388611</v>
      </c>
      <c r="CE175" s="1186">
        <f>'2027'!R\Max</f>
        <v>1.0044687442388611</v>
      </c>
      <c r="CF175" s="1187">
        <f>'2028'!R\Max</f>
        <v>1.0044687442388611</v>
      </c>
    </row>
    <row r="176" spans="1:84" s="6" customFormat="1" ht="11.25" x14ac:dyDescent="0.2">
      <c r="A176" s="11">
        <v>43262</v>
      </c>
      <c r="B176" s="379">
        <f>'2022'!Maxi_hp</f>
        <v>60.467584204293566</v>
      </c>
      <c r="C176" s="13">
        <f>'2022'!An_max</f>
        <v>2022</v>
      </c>
      <c r="D176" s="1046">
        <f t="shared" si="78"/>
        <v>0.97801575051603851</v>
      </c>
      <c r="E176" s="1041">
        <f>Y$13/10</f>
        <v>61.826800000000006</v>
      </c>
      <c r="F176" s="13">
        <f t="shared" si="95"/>
        <v>13</v>
      </c>
      <c r="G176" s="13">
        <f t="shared" si="79"/>
        <v>14</v>
      </c>
      <c r="H176" s="173">
        <f t="shared" si="80"/>
        <v>43262</v>
      </c>
      <c r="I176" s="742">
        <f t="shared" si="81"/>
        <v>0</v>
      </c>
      <c r="J176" s="735">
        <f t="shared" si="82"/>
        <v>61.826800000295044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39">
        <v>43262</v>
      </c>
      <c r="AP176" s="13">
        <f t="shared" si="83"/>
        <v>7</v>
      </c>
      <c r="AQ176" s="13">
        <f t="shared" si="84"/>
        <v>8</v>
      </c>
      <c r="AR176" s="173">
        <f t="shared" si="85"/>
        <v>43248</v>
      </c>
      <c r="AS176" s="742">
        <f t="shared" si="86"/>
        <v>0.5</v>
      </c>
      <c r="AT176" s="758">
        <f t="shared" si="87"/>
        <v>61.80816249996424</v>
      </c>
      <c r="AU176" s="13">
        <f t="shared" si="88"/>
        <v>7</v>
      </c>
      <c r="AV176" s="13">
        <f t="shared" si="89"/>
        <v>8</v>
      </c>
      <c r="AW176" s="173">
        <f t="shared" si="90"/>
        <v>43262</v>
      </c>
      <c r="AX176" s="742">
        <f t="shared" si="91"/>
        <v>0</v>
      </c>
      <c r="AY176" s="758">
        <f t="shared" si="92"/>
        <v>61.826800000295044</v>
      </c>
      <c r="AZ176" s="735">
        <f t="shared" si="96"/>
        <v>61.817481250129646</v>
      </c>
      <c r="BA176" s="633">
        <f t="shared" si="93"/>
        <v>0.97801575051603851</v>
      </c>
      <c r="BC176" s="11">
        <v>43262</v>
      </c>
      <c r="BD176" s="289">
        <f>[3]!FeuilCaduc*(1-Persistant)+Persistant</f>
        <v>0.95464525103282949</v>
      </c>
      <c r="BE176" s="290">
        <f>[3]!CroissVégét</f>
        <v>0.50975963681802305</v>
      </c>
      <c r="BF176" s="804">
        <f>1+[3]!Salcycl*Ksac</f>
        <v>1.0386613127582074</v>
      </c>
      <c r="BH176" s="1037">
        <f t="shared" si="94"/>
        <v>3.6607013371686264E-4</v>
      </c>
      <c r="BI176" s="11">
        <v>44358</v>
      </c>
      <c r="BJ176" s="715">
        <v>0</v>
      </c>
      <c r="BK176" s="715">
        <v>5.0325241455107841E-8</v>
      </c>
      <c r="BL176" s="715">
        <v>1.8939334499169065E-7</v>
      </c>
      <c r="BM176" s="715">
        <v>4.1437628206894588E-5</v>
      </c>
      <c r="BN176" s="715">
        <v>4.4776807810516521E-4</v>
      </c>
      <c r="BO176" s="716">
        <v>1.5969500265958921E-3</v>
      </c>
      <c r="BP176" s="715">
        <v>4.0651274957387859E-3</v>
      </c>
      <c r="BQ176" s="715">
        <v>8.114368061792613E-3</v>
      </c>
      <c r="BR176" s="715">
        <v>1.9945061084351175E-2</v>
      </c>
      <c r="BS176" s="715">
        <v>4.4629718011514025E-2</v>
      </c>
      <c r="BT176" s="715">
        <v>8.1582247893502949E-2</v>
      </c>
      <c r="BW176" s="1185">
        <f>'2019'!R\Max</f>
        <v>0.5037473950024387</v>
      </c>
      <c r="BX176" s="1185">
        <f>'2020'!R\Max</f>
        <v>0.78964934925862496</v>
      </c>
      <c r="BY176" s="1185">
        <f>'2021'!R\Max</f>
        <v>0.83722327648785833</v>
      </c>
      <c r="BZ176" s="1185">
        <f>'2022'!R\Max</f>
        <v>0.97801575051603851</v>
      </c>
      <c r="CA176" s="1185">
        <f>'2023'!R\Max</f>
        <v>0.97801280012257319</v>
      </c>
      <c r="CB176" s="1185">
        <f>'2024'!R\Max</f>
        <v>0.97800984918001999</v>
      </c>
      <c r="CC176" s="1185">
        <f>'2025'!R\Max</f>
        <v>0.97800529744385989</v>
      </c>
      <c r="CD176" s="1185">
        <f>'2026'!R\Max</f>
        <v>0.97802022618381534</v>
      </c>
      <c r="CE176" s="1186">
        <f>'2027'!R\Max</f>
        <v>0.97801889099853279</v>
      </c>
      <c r="CF176" s="1187">
        <f>'2028'!R\Max</f>
        <v>0.97801751763748745</v>
      </c>
    </row>
    <row r="177" spans="1:84" s="6" customFormat="1" ht="11.25" x14ac:dyDescent="0.2">
      <c r="A177" s="11">
        <v>43263</v>
      </c>
      <c r="B177" s="379">
        <f>'2022'!Maxi_hp</f>
        <v>60.295662422048899</v>
      </c>
      <c r="C177" s="13">
        <f>'2022'!An_max</f>
        <v>2018</v>
      </c>
      <c r="D177" s="1046">
        <f t="shared" si="78"/>
        <v>0.97581936390767621</v>
      </c>
      <c r="E177" s="13"/>
      <c r="F177" s="13">
        <f t="shared" si="95"/>
        <v>13</v>
      </c>
      <c r="G177" s="13">
        <f t="shared" si="79"/>
        <v>14</v>
      </c>
      <c r="H177" s="173">
        <f t="shared" si="80"/>
        <v>43262</v>
      </c>
      <c r="I177" s="742">
        <f t="shared" si="81"/>
        <v>7.1428571428571425E-2</v>
      </c>
      <c r="J177" s="735">
        <f t="shared" si="82"/>
        <v>61.789778571921808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39">
        <v>43263</v>
      </c>
      <c r="AP177" s="13">
        <f t="shared" si="83"/>
        <v>7</v>
      </c>
      <c r="AQ177" s="13">
        <f t="shared" si="84"/>
        <v>8</v>
      </c>
      <c r="AR177" s="173">
        <f t="shared" si="85"/>
        <v>43248</v>
      </c>
      <c r="AS177" s="742">
        <f t="shared" si="86"/>
        <v>0.5357142857142857</v>
      </c>
      <c r="AT177" s="758">
        <f t="shared" si="87"/>
        <v>61.769911703227891</v>
      </c>
      <c r="AU177" s="13">
        <f t="shared" si="88"/>
        <v>7</v>
      </c>
      <c r="AV177" s="13">
        <f t="shared" si="89"/>
        <v>8</v>
      </c>
      <c r="AW177" s="173">
        <f t="shared" si="90"/>
        <v>43262</v>
      </c>
      <c r="AX177" s="742">
        <f t="shared" si="91"/>
        <v>3.5714285714285712E-2</v>
      </c>
      <c r="AY177" s="758">
        <f t="shared" si="92"/>
        <v>61.789167283302447</v>
      </c>
      <c r="AZ177" s="735">
        <f t="shared" si="96"/>
        <v>61.779539493265169</v>
      </c>
      <c r="BA177" s="633">
        <f t="shared" si="93"/>
        <v>0.97581936390767621</v>
      </c>
      <c r="BC177" s="11">
        <v>43263</v>
      </c>
      <c r="BD177" s="289">
        <f>[3]!FeuilCaduc*(1-Persistant)+Persistant</f>
        <v>0.9569838024496844</v>
      </c>
      <c r="BE177" s="290">
        <f>[3]!CroissVégét</f>
        <v>0.52004118610663486</v>
      </c>
      <c r="BF177" s="804">
        <f>1+[3]!Salcycl*Ksac</f>
        <v>1.0392459506124212</v>
      </c>
      <c r="BH177" s="1037">
        <f t="shared" si="94"/>
        <v>3.6013998986233326E-4</v>
      </c>
      <c r="BI177" s="11">
        <v>44359</v>
      </c>
      <c r="BJ177" s="715">
        <v>0</v>
      </c>
      <c r="BK177" s="715">
        <v>0</v>
      </c>
      <c r="BL177" s="715">
        <v>0</v>
      </c>
      <c r="BM177" s="715">
        <v>3.6432942488561844E-5</v>
      </c>
      <c r="BN177" s="715">
        <v>4.4160503081040287E-4</v>
      </c>
      <c r="BO177" s="716">
        <v>1.5891833055731869E-3</v>
      </c>
      <c r="BP177" s="715">
        <v>4.0407721936037066E-3</v>
      </c>
      <c r="BQ177" s="715">
        <v>8.0347861745404606E-3</v>
      </c>
      <c r="BR177" s="715">
        <v>1.899383794449528E-2</v>
      </c>
      <c r="BS177" s="715">
        <v>4.2346555106308553E-2</v>
      </c>
      <c r="BT177" s="715">
        <v>7.7522216976997058E-2</v>
      </c>
      <c r="BW177" s="1185">
        <f>'2019'!R\Max</f>
        <v>0.97581936390767621</v>
      </c>
      <c r="BX177" s="1185">
        <f>'2020'!R\Max</f>
        <v>0.48809052066159847</v>
      </c>
      <c r="BY177" s="1185">
        <f>'2021'!R\Max</f>
        <v>0.67087628061862625</v>
      </c>
      <c r="BZ177" s="1185">
        <f>'2022'!R\Max</f>
        <v>0.80915602559533173</v>
      </c>
      <c r="CA177" s="1185">
        <f>'2023'!R\Max</f>
        <v>0.80913491418650663</v>
      </c>
      <c r="CB177" s="1185">
        <f>'2024'!R\Max</f>
        <v>0.80911379983817633</v>
      </c>
      <c r="CC177" s="1185">
        <f>'2025'!R\Max</f>
        <v>0.8090813011609933</v>
      </c>
      <c r="CD177" s="1185">
        <f>'2026'!R\Max</f>
        <v>0.80918836635462654</v>
      </c>
      <c r="CE177" s="1186">
        <f>'2027'!R\Max</f>
        <v>0.80917869498662665</v>
      </c>
      <c r="CF177" s="1187">
        <f>'2028'!R\Max</f>
        <v>0.80916881466966262</v>
      </c>
    </row>
    <row r="178" spans="1:84" s="6" customFormat="1" ht="11.25" x14ac:dyDescent="0.2">
      <c r="A178" s="11">
        <v>43264</v>
      </c>
      <c r="B178" s="379">
        <f>'2022'!Maxi_hp</f>
        <v>64.172787836056131</v>
      </c>
      <c r="C178" s="13">
        <f>'2022'!An_max</f>
        <v>2018</v>
      </c>
      <c r="D178" s="1046">
        <f t="shared" si="78"/>
        <v>1.039240239061592</v>
      </c>
      <c r="E178" s="13"/>
      <c r="F178" s="13">
        <f t="shared" si="95"/>
        <v>13</v>
      </c>
      <c r="G178" s="13">
        <f t="shared" si="79"/>
        <v>14</v>
      </c>
      <c r="H178" s="173">
        <f t="shared" si="80"/>
        <v>43262</v>
      </c>
      <c r="I178" s="742">
        <f t="shared" si="81"/>
        <v>0.14285714285714285</v>
      </c>
      <c r="J178" s="735">
        <f t="shared" si="82"/>
        <v>61.7497142855078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39">
        <v>43264</v>
      </c>
      <c r="AP178" s="13">
        <f t="shared" si="83"/>
        <v>7</v>
      </c>
      <c r="AQ178" s="13">
        <f t="shared" si="84"/>
        <v>8</v>
      </c>
      <c r="AR178" s="173">
        <f t="shared" si="85"/>
        <v>43248</v>
      </c>
      <c r="AS178" s="742">
        <f t="shared" si="86"/>
        <v>0.5714285714285714</v>
      </c>
      <c r="AT178" s="758">
        <f t="shared" si="87"/>
        <v>61.728848980367182</v>
      </c>
      <c r="AU178" s="13">
        <f t="shared" si="88"/>
        <v>7</v>
      </c>
      <c r="AV178" s="13">
        <f t="shared" si="89"/>
        <v>8</v>
      </c>
      <c r="AW178" s="173">
        <f t="shared" si="90"/>
        <v>43262</v>
      </c>
      <c r="AX178" s="742">
        <f t="shared" si="91"/>
        <v>7.1428571428571425E-2</v>
      </c>
      <c r="AY178" s="758">
        <f t="shared" si="92"/>
        <v>61.747359693662403</v>
      </c>
      <c r="AZ178" s="735">
        <f t="shared" si="96"/>
        <v>61.738104337014789</v>
      </c>
      <c r="BA178" s="633">
        <f t="shared" si="93"/>
        <v>1.039240239061592</v>
      </c>
      <c r="BC178" s="11">
        <v>43264</v>
      </c>
      <c r="BD178" s="289">
        <f>[3]!FeuilCaduc*(1-Persistant)+Persistant</f>
        <v>0.9592646422710025</v>
      </c>
      <c r="BE178" s="290">
        <f>[3]!CroissVégét</f>
        <v>0.53030539801316789</v>
      </c>
      <c r="BF178" s="804">
        <f>1+[3]!Salcycl*Ksac</f>
        <v>1.0398161605677507</v>
      </c>
      <c r="BH178" s="1037">
        <f t="shared" si="94"/>
        <v>3.5399774986014532E-4</v>
      </c>
      <c r="BI178" s="11">
        <v>44360</v>
      </c>
      <c r="BJ178" s="715">
        <v>0</v>
      </c>
      <c r="BK178" s="715">
        <v>0</v>
      </c>
      <c r="BL178" s="715">
        <v>0</v>
      </c>
      <c r="BM178" s="715">
        <v>3.1555565382802416E-5</v>
      </c>
      <c r="BN178" s="715">
        <v>4.3514447179573989E-4</v>
      </c>
      <c r="BO178" s="716">
        <v>1.5808161120381523E-3</v>
      </c>
      <c r="BP178" s="715">
        <v>4.0374802217484733E-3</v>
      </c>
      <c r="BQ178" s="715">
        <v>8.0208417680352126E-3</v>
      </c>
      <c r="BR178" s="715">
        <v>1.8174838419693917E-2</v>
      </c>
      <c r="BS178" s="715">
        <v>4.0203522137216105E-2</v>
      </c>
      <c r="BT178" s="715">
        <v>7.3550710177845938E-2</v>
      </c>
      <c r="BW178" s="1185">
        <f>'2019'!R\Max</f>
        <v>1.039240239061592</v>
      </c>
      <c r="BX178" s="1185">
        <f>'2020'!R\Max</f>
        <v>0.86105982175613272</v>
      </c>
      <c r="BY178" s="1185">
        <f>'2021'!R\Max</f>
        <v>0.93239486983779674</v>
      </c>
      <c r="BZ178" s="1185">
        <f>'2022'!R\Max</f>
        <v>0.89027561518865617</v>
      </c>
      <c r="CA178" s="1185">
        <f>'2023'!R\Max</f>
        <v>0.89026219207964663</v>
      </c>
      <c r="CB178" s="1185">
        <f>'2024'!R\Max</f>
        <v>0.89024876679276221</v>
      </c>
      <c r="CC178" s="1185">
        <f>'2025'!R\Max</f>
        <v>0.89022810525473628</v>
      </c>
      <c r="CD178" s="1185">
        <f>'2026'!R\Max</f>
        <v>0.89029623376977407</v>
      </c>
      <c r="CE178" s="1186">
        <f>'2027'!R\Max</f>
        <v>0.89029006620897166</v>
      </c>
      <c r="CF178" s="1187">
        <f>'2028'!R\Max</f>
        <v>0.8902838076717231</v>
      </c>
    </row>
    <row r="179" spans="1:84" s="6" customFormat="1" ht="11.25" x14ac:dyDescent="0.2">
      <c r="A179" s="11">
        <v>43265</v>
      </c>
      <c r="B179" s="379">
        <f>'2022'!Maxi_hp</f>
        <v>57.550987024107755</v>
      </c>
      <c r="C179" s="13">
        <f>'2022'!An_max</f>
        <v>2021</v>
      </c>
      <c r="D179" s="1046" t="str">
        <f t="shared" si="78"/>
        <v/>
      </c>
      <c r="E179" s="13"/>
      <c r="F179" s="13">
        <f t="shared" si="95"/>
        <v>13</v>
      </c>
      <c r="G179" s="13">
        <f t="shared" si="79"/>
        <v>14</v>
      </c>
      <c r="H179" s="173">
        <f t="shared" si="80"/>
        <v>43262</v>
      </c>
      <c r="I179" s="742">
        <f t="shared" si="81"/>
        <v>0.21428571428571427</v>
      </c>
      <c r="J179" s="735">
        <f t="shared" si="82"/>
        <v>61.706607143208387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39">
        <v>43265</v>
      </c>
      <c r="AP179" s="13">
        <f t="shared" si="83"/>
        <v>7</v>
      </c>
      <c r="AQ179" s="13">
        <f t="shared" si="84"/>
        <v>8</v>
      </c>
      <c r="AR179" s="173">
        <f t="shared" si="85"/>
        <v>43248</v>
      </c>
      <c r="AS179" s="742">
        <f t="shared" si="86"/>
        <v>0.6071428571428571</v>
      </c>
      <c r="AT179" s="758">
        <f t="shared" si="87"/>
        <v>61.685015083210807</v>
      </c>
      <c r="AU179" s="13">
        <f t="shared" si="88"/>
        <v>7</v>
      </c>
      <c r="AV179" s="13">
        <f t="shared" si="89"/>
        <v>8</v>
      </c>
      <c r="AW179" s="173">
        <f t="shared" si="90"/>
        <v>43262</v>
      </c>
      <c r="AX179" s="742">
        <f t="shared" si="91"/>
        <v>0.10714285714285714</v>
      </c>
      <c r="AY179" s="758">
        <f t="shared" si="92"/>
        <v>61.701513074265264</v>
      </c>
      <c r="AZ179" s="735">
        <f t="shared" si="96"/>
        <v>61.693264078738039</v>
      </c>
      <c r="BA179" s="633">
        <f t="shared" si="93"/>
        <v>0.93265518375599088</v>
      </c>
      <c r="BC179" s="11">
        <v>43265</v>
      </c>
      <c r="BD179" s="289">
        <f>[3]!FeuilCaduc*(1-Persistant)+Persistant</f>
        <v>0.96148569062856992</v>
      </c>
      <c r="BE179" s="290">
        <f>[3]!CroissVégét</f>
        <v>0.54054367684881977</v>
      </c>
      <c r="BF179" s="804">
        <f>1+[3]!Salcycl*Ksac</f>
        <v>1.0403714226571426</v>
      </c>
      <c r="BH179" s="1037">
        <f t="shared" si="94"/>
        <v>3.4815059301469478E-4</v>
      </c>
      <c r="BI179" s="11">
        <v>44361</v>
      </c>
      <c r="BJ179" s="715">
        <v>0</v>
      </c>
      <c r="BK179" s="715">
        <v>0</v>
      </c>
      <c r="BL179" s="715">
        <v>0</v>
      </c>
      <c r="BM179" s="715">
        <v>2.7030972270949579E-5</v>
      </c>
      <c r="BN179" s="715">
        <v>4.2896447478017849E-4</v>
      </c>
      <c r="BO179" s="716">
        <v>1.5725771214718824E-3</v>
      </c>
      <c r="BP179" s="715">
        <v>4.0336237691734273E-3</v>
      </c>
      <c r="BQ179" s="715">
        <v>8.0070604289023059E-3</v>
      </c>
      <c r="BR179" s="715">
        <v>1.7440292679336895E-2</v>
      </c>
      <c r="BS179" s="715">
        <v>3.8223961959695872E-2</v>
      </c>
      <c r="BT179" s="715">
        <v>6.9815240700994402E-2</v>
      </c>
      <c r="BW179" s="1185">
        <f>'2019'!R\Max</f>
        <v>0.42047642800403168</v>
      </c>
      <c r="BX179" s="1185">
        <f>'2020'!R\Max</f>
        <v>0.76816968261978291</v>
      </c>
      <c r="BY179" s="1185">
        <f>'2021'!R\Max</f>
        <v>0.93265518375599088</v>
      </c>
      <c r="BZ179" s="1185">
        <f>'2022'!R\Max</f>
        <v>0.8764336198721151</v>
      </c>
      <c r="CA179" s="1185">
        <f>'2023'!R\Max</f>
        <v>0.87641866694442783</v>
      </c>
      <c r="CB179" s="1185">
        <f>'2024'!R\Max</f>
        <v>0.87640371163616271</v>
      </c>
      <c r="CC179" s="1185">
        <f>'2025'!R\Max</f>
        <v>0.87638069109556549</v>
      </c>
      <c r="CD179" s="1185">
        <f>'2026'!R\Max</f>
        <v>0.87645665384760141</v>
      </c>
      <c r="CE179" s="1186">
        <f>'2027'!R\Max</f>
        <v>0.87644976190492585</v>
      </c>
      <c r="CF179" s="1187">
        <f>'2028'!R\Max</f>
        <v>0.87644281498658894</v>
      </c>
    </row>
    <row r="180" spans="1:84" s="6" customFormat="1" ht="11.25" x14ac:dyDescent="0.2">
      <c r="A180" s="11">
        <v>43266</v>
      </c>
      <c r="B180" s="379">
        <f>'2022'!Maxi_hp</f>
        <v>57.678223739034088</v>
      </c>
      <c r="C180" s="13">
        <f>'2022'!An_max</f>
        <v>2022</v>
      </c>
      <c r="D180" s="1046" t="str">
        <f t="shared" si="78"/>
        <v/>
      </c>
      <c r="E180" s="13"/>
      <c r="F180" s="13">
        <f t="shared" si="95"/>
        <v>13</v>
      </c>
      <c r="G180" s="13">
        <f t="shared" si="79"/>
        <v>14</v>
      </c>
      <c r="H180" s="173">
        <f t="shared" si="80"/>
        <v>43262</v>
      </c>
      <c r="I180" s="742">
        <f t="shared" si="81"/>
        <v>0.2857142857142857</v>
      </c>
      <c r="J180" s="735">
        <f t="shared" si="82"/>
        <v>61.66045714292143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39">
        <v>43266</v>
      </c>
      <c r="AP180" s="13">
        <f t="shared" si="83"/>
        <v>7</v>
      </c>
      <c r="AQ180" s="13">
        <f t="shared" si="84"/>
        <v>8</v>
      </c>
      <c r="AR180" s="173">
        <f t="shared" si="85"/>
        <v>43248</v>
      </c>
      <c r="AS180" s="742">
        <f t="shared" si="86"/>
        <v>0.6428571428571429</v>
      </c>
      <c r="AT180" s="758">
        <f t="shared" si="87"/>
        <v>61.638450765716172</v>
      </c>
      <c r="AU180" s="13">
        <f t="shared" si="88"/>
        <v>7</v>
      </c>
      <c r="AV180" s="13">
        <f t="shared" si="89"/>
        <v>8</v>
      </c>
      <c r="AW180" s="173">
        <f t="shared" si="90"/>
        <v>43262</v>
      </c>
      <c r="AX180" s="742">
        <f t="shared" si="91"/>
        <v>0.14285714285714285</v>
      </c>
      <c r="AY180" s="758">
        <f t="shared" si="92"/>
        <v>61.651763264941316</v>
      </c>
      <c r="AZ180" s="735">
        <f t="shared" si="96"/>
        <v>61.645107015328747</v>
      </c>
      <c r="BA180" s="633">
        <f t="shared" si="93"/>
        <v>0.93541673888896071</v>
      </c>
      <c r="BC180" s="11">
        <v>43266</v>
      </c>
      <c r="BD180" s="289">
        <f>[3]!FeuilCaduc*(1-Persistant)+Persistant</f>
        <v>0.96364504843084275</v>
      </c>
      <c r="BE180" s="290">
        <f>[3]!CroissVégét</f>
        <v>0.55074751394309984</v>
      </c>
      <c r="BF180" s="804">
        <f>1+[3]!Salcycl*Ksac</f>
        <v>1.0409112621077106</v>
      </c>
      <c r="BH180" s="1037">
        <f t="shared" si="94"/>
        <v>3.4259834064643082E-4</v>
      </c>
      <c r="BI180" s="11">
        <v>44362</v>
      </c>
      <c r="BJ180" s="715">
        <v>0</v>
      </c>
      <c r="BK180" s="715">
        <v>0</v>
      </c>
      <c r="BL180" s="715">
        <v>0</v>
      </c>
      <c r="BM180" s="715">
        <v>2.2858459258401264E-5</v>
      </c>
      <c r="BN180" s="715">
        <v>4.230649932612892E-4</v>
      </c>
      <c r="BO180" s="716">
        <v>1.5644681128742606E-3</v>
      </c>
      <c r="BP180" s="715">
        <v>4.0292093927393642E-3</v>
      </c>
      <c r="BQ180" s="715">
        <v>7.993452682413367E-3</v>
      </c>
      <c r="BR180" s="715">
        <v>1.6790054402477196E-2</v>
      </c>
      <c r="BS180" s="715">
        <v>3.6407586377233819E-2</v>
      </c>
      <c r="BT180" s="715">
        <v>6.6315395141640379E-2</v>
      </c>
      <c r="BW180" s="1185">
        <f>'2019'!R\Max</f>
        <v>0.32014939553739319</v>
      </c>
      <c r="BX180" s="1185">
        <f>'2020'!R\Max</f>
        <v>0.78476126067470275</v>
      </c>
      <c r="BY180" s="1185">
        <f>'2021'!R\Max</f>
        <v>0.87020070671276584</v>
      </c>
      <c r="BZ180" s="1185">
        <f>'2022'!R\Max</f>
        <v>0.93541673888896071</v>
      </c>
      <c r="CA180" s="1185">
        <f>'2023'!R\Max</f>
        <v>0.93540835999488892</v>
      </c>
      <c r="CB180" s="1185">
        <f>'2024'!R\Max</f>
        <v>0.93539997962372456</v>
      </c>
      <c r="CC180" s="1185">
        <f>'2025'!R\Max</f>
        <v>0.93538707270873833</v>
      </c>
      <c r="CD180" s="1185">
        <f>'2026'!R\Max</f>
        <v>0.93542968386531289</v>
      </c>
      <c r="CE180" s="1186">
        <f>'2027'!R\Max</f>
        <v>0.93542580965297528</v>
      </c>
      <c r="CF180" s="1187">
        <f>'2028'!R\Max</f>
        <v>0.93542193037424715</v>
      </c>
    </row>
    <row r="181" spans="1:84" s="6" customFormat="1" ht="11.25" x14ac:dyDescent="0.2">
      <c r="A181" s="11">
        <v>43267</v>
      </c>
      <c r="B181" s="379">
        <f>'2022'!Maxi_hp</f>
        <v>62.895191551516874</v>
      </c>
      <c r="C181" s="13">
        <f>'2022'!An_max</f>
        <v>2018</v>
      </c>
      <c r="D181" s="1046">
        <f t="shared" si="78"/>
        <v>1.0208391644057639</v>
      </c>
      <c r="E181" s="13"/>
      <c r="F181" s="13">
        <f t="shared" si="95"/>
        <v>13</v>
      </c>
      <c r="G181" s="13">
        <f t="shared" si="79"/>
        <v>14</v>
      </c>
      <c r="H181" s="173">
        <f t="shared" si="80"/>
        <v>43262</v>
      </c>
      <c r="I181" s="742">
        <f t="shared" si="81"/>
        <v>0.35714285714285715</v>
      </c>
      <c r="J181" s="735">
        <f t="shared" si="82"/>
        <v>61.61126428581774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39">
        <v>43267</v>
      </c>
      <c r="AP181" s="13">
        <f t="shared" si="83"/>
        <v>7</v>
      </c>
      <c r="AQ181" s="13">
        <f t="shared" si="84"/>
        <v>8</v>
      </c>
      <c r="AR181" s="173">
        <f t="shared" si="85"/>
        <v>43248</v>
      </c>
      <c r="AS181" s="742">
        <f t="shared" si="86"/>
        <v>0.6785714285714286</v>
      </c>
      <c r="AT181" s="758">
        <f t="shared" si="87"/>
        <v>61.589196779898238</v>
      </c>
      <c r="AU181" s="13">
        <f t="shared" si="88"/>
        <v>7</v>
      </c>
      <c r="AV181" s="13">
        <f t="shared" si="89"/>
        <v>8</v>
      </c>
      <c r="AW181" s="173">
        <f t="shared" si="90"/>
        <v>43262</v>
      </c>
      <c r="AX181" s="742">
        <f t="shared" si="91"/>
        <v>0.17857142857142858</v>
      </c>
      <c r="AY181" s="758">
        <f t="shared" si="92"/>
        <v>61.598246109791624</v>
      </c>
      <c r="AZ181" s="735">
        <f t="shared" si="96"/>
        <v>61.593721444844931</v>
      </c>
      <c r="BA181" s="633">
        <f t="shared" si="93"/>
        <v>1.0208391644057639</v>
      </c>
      <c r="BC181" s="11">
        <v>43267</v>
      </c>
      <c r="BD181" s="289">
        <f>[3]!FeuilCaduc*(1-Persistant)+Persistant</f>
        <v>0.96574100391638185</v>
      </c>
      <c r="BE181" s="290">
        <f>[3]!CroissVégét</f>
        <v>0.56090851568364364</v>
      </c>
      <c r="BF181" s="804">
        <f>1+[3]!Salcycl*Ksac</f>
        <v>1.0414352509790954</v>
      </c>
      <c r="BH181" s="1037">
        <f t="shared" si="94"/>
        <v>3.3734079849424186E-4</v>
      </c>
      <c r="BI181" s="11">
        <v>44363</v>
      </c>
      <c r="BJ181" s="715">
        <v>0</v>
      </c>
      <c r="BK181" s="715">
        <v>0</v>
      </c>
      <c r="BL181" s="715">
        <v>0</v>
      </c>
      <c r="BM181" s="715">
        <v>1.9037316223508046E-5</v>
      </c>
      <c r="BN181" s="715">
        <v>4.1744596280089805E-4</v>
      </c>
      <c r="BO181" s="716">
        <v>1.5564908313988048E-3</v>
      </c>
      <c r="BP181" s="715">
        <v>4.02424361051704E-3</v>
      </c>
      <c r="BQ181" s="715">
        <v>7.9800290108135857E-3</v>
      </c>
      <c r="BR181" s="715">
        <v>1.6223977730679077E-2</v>
      </c>
      <c r="BS181" s="715">
        <v>3.4754105030348793E-2</v>
      </c>
      <c r="BT181" s="715">
        <v>6.3050752185034378E-2</v>
      </c>
      <c r="BW181" s="1185">
        <f>'2019'!R\Max</f>
        <v>1.0208391644057639</v>
      </c>
      <c r="BX181" s="1185">
        <f>'2020'!R\Max</f>
        <v>0.82645963290618818</v>
      </c>
      <c r="BY181" s="1185">
        <f>'2021'!R\Max</f>
        <v>0.88826150114781888</v>
      </c>
      <c r="BZ181" s="1185">
        <f>'2022'!R\Max</f>
        <v>0.903082769339702</v>
      </c>
      <c r="CA181" s="1185">
        <f>'2023'!R\Max</f>
        <v>0.90307057918649569</v>
      </c>
      <c r="CB181" s="1185">
        <f>'2024'!R\Max</f>
        <v>0.9030583869851122</v>
      </c>
      <c r="CC181" s="1185">
        <f>'2025'!R\Max</f>
        <v>0.90303959313010906</v>
      </c>
      <c r="CD181" s="1185">
        <f>'2026'!R\Max</f>
        <v>0.90310162993554099</v>
      </c>
      <c r="CE181" s="1186">
        <f>'2027'!R\Max</f>
        <v>0.90309600502260134</v>
      </c>
      <c r="CF181" s="1187">
        <f>'2028'!R\Max</f>
        <v>0.90309037967353023</v>
      </c>
    </row>
    <row r="182" spans="1:84" s="6" customFormat="1" ht="11.25" x14ac:dyDescent="0.2">
      <c r="A182" s="11">
        <v>43268</v>
      </c>
      <c r="B182" s="379">
        <f>'2022'!Maxi_hp</f>
        <v>61.943350764633465</v>
      </c>
      <c r="C182" s="13">
        <f>'2022'!An_max</f>
        <v>2018</v>
      </c>
      <c r="D182" s="1046">
        <f t="shared" si="78"/>
        <v>1.0062431490901329</v>
      </c>
      <c r="E182" s="13"/>
      <c r="F182" s="13">
        <f t="shared" si="95"/>
        <v>13</v>
      </c>
      <c r="G182" s="13">
        <f t="shared" si="79"/>
        <v>14</v>
      </c>
      <c r="H182" s="173">
        <f t="shared" si="80"/>
        <v>43262</v>
      </c>
      <c r="I182" s="742">
        <f t="shared" si="81"/>
        <v>0.42857142857142855</v>
      </c>
      <c r="J182" s="735">
        <f t="shared" si="82"/>
        <v>61.559028571418345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39">
        <v>43268</v>
      </c>
      <c r="AP182" s="13">
        <f t="shared" si="83"/>
        <v>7</v>
      </c>
      <c r="AQ182" s="13">
        <f t="shared" si="84"/>
        <v>8</v>
      </c>
      <c r="AR182" s="173">
        <f t="shared" si="85"/>
        <v>43248</v>
      </c>
      <c r="AS182" s="742">
        <f t="shared" si="86"/>
        <v>0.7142857142857143</v>
      </c>
      <c r="AT182" s="758">
        <f t="shared" si="87"/>
        <v>61.537293877825142</v>
      </c>
      <c r="AU182" s="13">
        <f t="shared" si="88"/>
        <v>7</v>
      </c>
      <c r="AV182" s="13">
        <f t="shared" si="89"/>
        <v>8</v>
      </c>
      <c r="AW182" s="173">
        <f t="shared" si="90"/>
        <v>43262</v>
      </c>
      <c r="AX182" s="742">
        <f t="shared" si="91"/>
        <v>0.21428571428571427</v>
      </c>
      <c r="AY182" s="758">
        <f t="shared" si="92"/>
        <v>61.54109744904563</v>
      </c>
      <c r="AZ182" s="735">
        <f t="shared" si="96"/>
        <v>61.539195663435386</v>
      </c>
      <c r="BA182" s="633">
        <f t="shared" si="93"/>
        <v>1.0062431490901329</v>
      </c>
      <c r="BC182" s="11">
        <v>43268</v>
      </c>
      <c r="BD182" s="289">
        <f>[3]!FeuilCaduc*(1-Persistant)+Persistant</f>
        <v>0.96777203821575042</v>
      </c>
      <c r="BE182" s="290">
        <f>[3]!CroissVégét</f>
        <v>0.57101843074296321</v>
      </c>
      <c r="BF182" s="804">
        <f>1+[3]!Salcycl*Ksac</f>
        <v>1.0419430095539377</v>
      </c>
      <c r="BH182" s="1037">
        <f t="shared" si="94"/>
        <v>3.3237776059352237E-4</v>
      </c>
      <c r="BI182" s="11">
        <v>44364</v>
      </c>
      <c r="BJ182" s="715">
        <v>0</v>
      </c>
      <c r="BK182" s="715">
        <v>0</v>
      </c>
      <c r="BL182" s="715">
        <v>0</v>
      </c>
      <c r="BM182" s="715">
        <v>1.55668315347849E-5</v>
      </c>
      <c r="BN182" s="715">
        <v>4.1210730469197205E-4</v>
      </c>
      <c r="BO182" s="716">
        <v>1.5486469897983287E-3</v>
      </c>
      <c r="BP182" s="715">
        <v>4.0187328936419275E-3</v>
      </c>
      <c r="BQ182" s="715">
        <v>7.9667998545011817E-3</v>
      </c>
      <c r="BR182" s="715">
        <v>1.5741918402078489E-2</v>
      </c>
      <c r="BS182" s="715">
        <v>3.3263227581849041E-2</v>
      </c>
      <c r="BT182" s="715">
        <v>6.0020885745446777E-2</v>
      </c>
      <c r="BW182" s="1185">
        <f>'2019'!R\Max</f>
        <v>1.0062431490901329</v>
      </c>
      <c r="BX182" s="1185">
        <f>'2020'!R\Max</f>
        <v>0.58366740408269235</v>
      </c>
      <c r="BY182" s="1185">
        <f>'2021'!R\Max</f>
        <v>0.26816518088094821</v>
      </c>
      <c r="BZ182" s="1185">
        <f>'2022'!R\Max</f>
        <v>0.9212592156346201</v>
      </c>
      <c r="CA182" s="1185">
        <f>'2023'!R\Max</f>
        <v>0.92124907290357316</v>
      </c>
      <c r="CB182" s="1185">
        <f>'2024'!R\Max</f>
        <v>0.92123892841013455</v>
      </c>
      <c r="CC182" s="1185">
        <f>'2025'!R\Max</f>
        <v>0.92122327176970809</v>
      </c>
      <c r="CD182" s="1185">
        <f>'2026'!R\Max</f>
        <v>0.92127492704895497</v>
      </c>
      <c r="CE182" s="1186">
        <f>'2027'!R\Max</f>
        <v>0.92127026163488313</v>
      </c>
      <c r="CF182" s="1187">
        <f>'2028'!R\Max</f>
        <v>0.92126559584789536</v>
      </c>
    </row>
    <row r="183" spans="1:84" s="6" customFormat="1" ht="11.25" x14ac:dyDescent="0.2">
      <c r="A183" s="11">
        <v>43269</v>
      </c>
      <c r="B183" s="379">
        <f>'2022'!Maxi_hp</f>
        <v>59.92441332024179</v>
      </c>
      <c r="C183" s="13">
        <f>'2022'!An_max</f>
        <v>2022</v>
      </c>
      <c r="D183" s="1046">
        <f t="shared" si="78"/>
        <v>0.97432129455973149</v>
      </c>
      <c r="E183" s="13"/>
      <c r="F183" s="13">
        <f t="shared" si="95"/>
        <v>13</v>
      </c>
      <c r="G183" s="13">
        <f t="shared" si="79"/>
        <v>14</v>
      </c>
      <c r="H183" s="173">
        <f t="shared" si="80"/>
        <v>43262</v>
      </c>
      <c r="I183" s="742">
        <f t="shared" si="81"/>
        <v>0.5</v>
      </c>
      <c r="J183" s="735">
        <f t="shared" si="82"/>
        <v>61.50374999996275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39">
        <v>43269</v>
      </c>
      <c r="AP183" s="13">
        <f t="shared" si="83"/>
        <v>7</v>
      </c>
      <c r="AQ183" s="13">
        <f t="shared" si="84"/>
        <v>8</v>
      </c>
      <c r="AR183" s="173">
        <f t="shared" si="85"/>
        <v>43248</v>
      </c>
      <c r="AS183" s="742">
        <f t="shared" si="86"/>
        <v>0.75</v>
      </c>
      <c r="AT183" s="758">
        <f t="shared" si="87"/>
        <v>61.482782812975344</v>
      </c>
      <c r="AU183" s="13">
        <f t="shared" si="88"/>
        <v>7</v>
      </c>
      <c r="AV183" s="13">
        <f t="shared" si="89"/>
        <v>8</v>
      </c>
      <c r="AW183" s="173">
        <f t="shared" si="90"/>
        <v>43262</v>
      </c>
      <c r="AX183" s="742">
        <f t="shared" si="91"/>
        <v>0.25</v>
      </c>
      <c r="AY183" s="758">
        <f t="shared" si="92"/>
        <v>61.480453125014904</v>
      </c>
      <c r="AZ183" s="735">
        <f t="shared" si="96"/>
        <v>61.481617968995124</v>
      </c>
      <c r="BA183" s="633">
        <f t="shared" si="93"/>
        <v>0.97432129455973149</v>
      </c>
      <c r="BC183" s="11">
        <v>43269</v>
      </c>
      <c r="BD183" s="289">
        <f>[3]!FeuilCaduc*(1-Persistant)+Persistant</f>
        <v>0.96973682987916232</v>
      </c>
      <c r="BE183" s="290">
        <f>[3]!CroissVégét</f>
        <v>0.5810691763075071</v>
      </c>
      <c r="BF183" s="804">
        <f>1+[3]!Salcycl*Ksac</f>
        <v>1.0424342074697905</v>
      </c>
      <c r="BH183" s="1037">
        <f t="shared" si="94"/>
        <v>3.2770901316518333E-4</v>
      </c>
      <c r="BI183" s="11">
        <v>44365</v>
      </c>
      <c r="BJ183" s="715">
        <v>0</v>
      </c>
      <c r="BK183" s="715">
        <v>0</v>
      </c>
      <c r="BL183" s="715">
        <v>0</v>
      </c>
      <c r="BM183" s="715">
        <v>1.2446296768852633E-5</v>
      </c>
      <c r="BN183" s="715">
        <v>4.0704892963901824E-4</v>
      </c>
      <c r="BO183" s="716">
        <v>1.5409382699205867E-3</v>
      </c>
      <c r="BP183" s="715">
        <v>4.0126836582977075E-3</v>
      </c>
      <c r="BQ183" s="715">
        <v>7.9537756134621697E-3</v>
      </c>
      <c r="BR183" s="715">
        <v>1.5343734885979879E-2</v>
      </c>
      <c r="BS183" s="715">
        <v>3.1934665903251509E-2</v>
      </c>
      <c r="BT183" s="715">
        <v>5.7225368107252796E-2</v>
      </c>
      <c r="BW183" s="1185">
        <f>'2019'!R\Max</f>
        <v>0.93969268734863209</v>
      </c>
      <c r="BX183" s="1185">
        <f>'2020'!R\Max</f>
        <v>0.87996688927229039</v>
      </c>
      <c r="BY183" s="1185">
        <f>'2021'!R\Max</f>
        <v>0.63105794882476896</v>
      </c>
      <c r="BZ183" s="1185">
        <f>'2022'!R\Max</f>
        <v>0.97432129455973149</v>
      </c>
      <c r="CA183" s="1185">
        <f>'2023'!R\Max</f>
        <v>0.97431778368796029</v>
      </c>
      <c r="CB183" s="1185">
        <f>'2024'!R\Max</f>
        <v>0.97431427215164501</v>
      </c>
      <c r="CC183" s="1185">
        <f>'2025'!R\Max</f>
        <v>0.97430884389671135</v>
      </c>
      <c r="CD183" s="1185">
        <f>'2026'!R\Max</f>
        <v>0.97432673996764108</v>
      </c>
      <c r="CE183" s="1186">
        <f>'2027'!R\Max</f>
        <v>0.9743251299443304</v>
      </c>
      <c r="CF183" s="1187">
        <f>'2028'!R\Max</f>
        <v>0.97432351978125409</v>
      </c>
    </row>
    <row r="184" spans="1:84" s="6" customFormat="1" ht="11.25" x14ac:dyDescent="0.2">
      <c r="A184" s="11">
        <v>43270</v>
      </c>
      <c r="B184" s="379">
        <f>'2022'!Maxi_hp</f>
        <v>60.990515225010704</v>
      </c>
      <c r="C184" s="13">
        <f>'2022'!An_max</f>
        <v>2022</v>
      </c>
      <c r="D184" s="1046">
        <f t="shared" si="78"/>
        <v>0.99259646555630399</v>
      </c>
      <c r="E184" s="13"/>
      <c r="F184" s="13">
        <f t="shared" si="95"/>
        <v>13</v>
      </c>
      <c r="G184" s="13">
        <f t="shared" si="79"/>
        <v>14</v>
      </c>
      <c r="H184" s="173">
        <f t="shared" si="80"/>
        <v>43262</v>
      </c>
      <c r="I184" s="742">
        <f t="shared" si="81"/>
        <v>0.5714285714285714</v>
      </c>
      <c r="J184" s="735">
        <f t="shared" si="82"/>
        <v>61.445428571850059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39">
        <v>43270</v>
      </c>
      <c r="AP184" s="13">
        <f t="shared" si="83"/>
        <v>7</v>
      </c>
      <c r="AQ184" s="13">
        <f t="shared" si="84"/>
        <v>8</v>
      </c>
      <c r="AR184" s="173">
        <f t="shared" si="85"/>
        <v>43248</v>
      </c>
      <c r="AS184" s="742">
        <f t="shared" si="86"/>
        <v>0.7857142857142857</v>
      </c>
      <c r="AT184" s="758">
        <f t="shared" si="87"/>
        <v>61.425704337363797</v>
      </c>
      <c r="AU184" s="13">
        <f t="shared" si="88"/>
        <v>7</v>
      </c>
      <c r="AV184" s="13">
        <f t="shared" si="89"/>
        <v>8</v>
      </c>
      <c r="AW184" s="173">
        <f t="shared" si="90"/>
        <v>43262</v>
      </c>
      <c r="AX184" s="742">
        <f t="shared" si="91"/>
        <v>0.2857142857142857</v>
      </c>
      <c r="AY184" s="758">
        <f t="shared" si="92"/>
        <v>61.416448979292603</v>
      </c>
      <c r="AZ184" s="735">
        <f t="shared" si="96"/>
        <v>61.421076658328204</v>
      </c>
      <c r="BA184" s="633">
        <f t="shared" si="93"/>
        <v>0.99259646555630399</v>
      </c>
      <c r="BC184" s="11">
        <v>43270</v>
      </c>
      <c r="BD184" s="289">
        <f>[3]!FeuilCaduc*(1-Persistant)+Persistant</f>
        <v>0.97163425833483785</v>
      </c>
      <c r="BE184" s="290">
        <f>[3]!CroissVégét</f>
        <v>0.5910528631363321</v>
      </c>
      <c r="BF184" s="804">
        <f>1+[3]!Salcycl*Ksac</f>
        <v>1.0429085645837095</v>
      </c>
      <c r="BH184" s="1037">
        <f t="shared" si="94"/>
        <v>3.2385814619378489E-4</v>
      </c>
      <c r="BI184" s="11">
        <v>44366</v>
      </c>
      <c r="BJ184" s="715">
        <v>0</v>
      </c>
      <c r="BK184" s="715">
        <v>0</v>
      </c>
      <c r="BL184" s="715">
        <v>0</v>
      </c>
      <c r="BM184" s="715">
        <v>1.0020547550248292E-5</v>
      </c>
      <c r="BN184" s="715">
        <v>4.0283941345985896E-4</v>
      </c>
      <c r="BO184" s="716">
        <v>1.5342045425942911E-3</v>
      </c>
      <c r="BP184" s="715">
        <v>4.0066429794836135E-3</v>
      </c>
      <c r="BQ184" s="715">
        <v>7.9420088931459205E-3</v>
      </c>
      <c r="BR184" s="715">
        <v>1.5067517053029219E-2</v>
      </c>
      <c r="BS184" s="715">
        <v>3.0911708560564712E-2</v>
      </c>
      <c r="BT184" s="715">
        <v>5.497995147592518E-2</v>
      </c>
      <c r="BW184" s="1185">
        <f>'2019'!R\Max</f>
        <v>0.87164970362555405</v>
      </c>
      <c r="BX184" s="1185">
        <f>'2020'!R\Max</f>
        <v>0.61730931401139788</v>
      </c>
      <c r="BY184" s="1185">
        <f>'2021'!R\Max</f>
        <v>0.56818985504910557</v>
      </c>
      <c r="BZ184" s="1185">
        <f>'2022'!R\Max</f>
        <v>0.99259646555630399</v>
      </c>
      <c r="CA184" s="1185">
        <f>'2023'!R\Max</f>
        <v>0.99259543104386783</v>
      </c>
      <c r="CB184" s="1185">
        <f>'2024'!R\Max</f>
        <v>0.99259439632966828</v>
      </c>
      <c r="CC184" s="1185">
        <f>'2025'!R\Max</f>
        <v>0.99259279333020467</v>
      </c>
      <c r="CD184" s="1185">
        <f>'2026'!R\Max</f>
        <v>0.99259807274870104</v>
      </c>
      <c r="CE184" s="1186">
        <f>'2027'!R\Max</f>
        <v>0.99259759953374826</v>
      </c>
      <c r="CF184" s="1187">
        <f>'2028'!R\Max</f>
        <v>0.99259712627657426</v>
      </c>
    </row>
    <row r="185" spans="1:84" s="6" customFormat="1" ht="11.25" x14ac:dyDescent="0.2">
      <c r="A185" s="11">
        <v>43271</v>
      </c>
      <c r="B185" s="379">
        <f>'2022'!Maxi_hp</f>
        <v>55.931265464438617</v>
      </c>
      <c r="C185" s="13">
        <f>'2022'!An_max</f>
        <v>2020</v>
      </c>
      <c r="D185" s="1046" t="str">
        <f t="shared" si="78"/>
        <v/>
      </c>
      <c r="E185" s="13"/>
      <c r="F185" s="13">
        <f t="shared" si="95"/>
        <v>13</v>
      </c>
      <c r="G185" s="13">
        <f t="shared" si="79"/>
        <v>14</v>
      </c>
      <c r="H185" s="173">
        <f t="shared" si="80"/>
        <v>43262</v>
      </c>
      <c r="I185" s="742">
        <f t="shared" si="81"/>
        <v>0.6428571428571429</v>
      </c>
      <c r="J185" s="735">
        <f t="shared" si="82"/>
        <v>61.384064285829666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39">
        <v>43271</v>
      </c>
      <c r="AP185" s="13">
        <f t="shared" si="83"/>
        <v>7</v>
      </c>
      <c r="AQ185" s="13">
        <f t="shared" si="84"/>
        <v>8</v>
      </c>
      <c r="AR185" s="173">
        <f t="shared" si="85"/>
        <v>43248</v>
      </c>
      <c r="AS185" s="742">
        <f t="shared" si="86"/>
        <v>0.8214285714285714</v>
      </c>
      <c r="AT185" s="758">
        <f t="shared" si="87"/>
        <v>61.366099203005433</v>
      </c>
      <c r="AU185" s="13">
        <f t="shared" si="88"/>
        <v>7</v>
      </c>
      <c r="AV185" s="13">
        <f t="shared" si="89"/>
        <v>8</v>
      </c>
      <c r="AW185" s="173">
        <f t="shared" si="90"/>
        <v>43262</v>
      </c>
      <c r="AX185" s="742">
        <f t="shared" si="91"/>
        <v>0.32142857142857145</v>
      </c>
      <c r="AY185" s="758">
        <f t="shared" si="92"/>
        <v>61.349220854622715</v>
      </c>
      <c r="AZ185" s="735">
        <f t="shared" si="96"/>
        <v>61.357660028814074</v>
      </c>
      <c r="BA185" s="633">
        <f t="shared" si="93"/>
        <v>0.91116914650681069</v>
      </c>
      <c r="BC185" s="11">
        <v>43271</v>
      </c>
      <c r="BD185" s="289">
        <f>[3]!FeuilCaduc*(1-Persistant)+Persistant</f>
        <v>0.97346340625106642</v>
      </c>
      <c r="BE185" s="290">
        <f>[3]!CroissVégét</f>
        <v>0.60096181929049675</v>
      </c>
      <c r="BF185" s="804">
        <f>1+[3]!Salcycl*Ksac</f>
        <v>1.0433658515627666</v>
      </c>
      <c r="BH185" s="1037">
        <f t="shared" si="94"/>
        <v>3.210633128615964E-4</v>
      </c>
      <c r="BI185" s="11">
        <v>44367</v>
      </c>
      <c r="BJ185" s="715">
        <v>0</v>
      </c>
      <c r="BK185" s="715">
        <v>0</v>
      </c>
      <c r="BL185" s="715">
        <v>0</v>
      </c>
      <c r="BM185" s="715">
        <v>8.2883287507876104E-6</v>
      </c>
      <c r="BN185" s="715">
        <v>3.997771595165872E-4</v>
      </c>
      <c r="BO185" s="716">
        <v>1.5291761661028382E-3</v>
      </c>
      <c r="BP185" s="715">
        <v>4.0017482548463778E-3</v>
      </c>
      <c r="BQ185" s="715">
        <v>7.9324543379093674E-3</v>
      </c>
      <c r="BR185" s="715">
        <v>1.4868238425316285E-2</v>
      </c>
      <c r="BS185" s="715">
        <v>3.0177323782635219E-2</v>
      </c>
      <c r="BT185" s="715">
        <v>5.3369837324439784E-2</v>
      </c>
      <c r="BW185" s="1185">
        <f>'2019'!R\Max</f>
        <v>0.40126307861986593</v>
      </c>
      <c r="BX185" s="1185">
        <f>'2020'!R\Max</f>
        <v>0.91116914650681069</v>
      </c>
      <c r="BY185" s="1185">
        <f>'2021'!R\Max</f>
        <v>0.53452396075810626</v>
      </c>
      <c r="BZ185" s="1185">
        <f>'2022'!R\Max</f>
        <v>0.52193680728455927</v>
      </c>
      <c r="CA185" s="1185">
        <f>'2023'!R\Max</f>
        <v>0.52190158050692415</v>
      </c>
      <c r="CB185" s="1185">
        <f>'2024'!R\Max</f>
        <v>0.52186635152122451</v>
      </c>
      <c r="CC185" s="1185">
        <f>'2025'!R\Max</f>
        <v>0.52181164180783746</v>
      </c>
      <c r="CD185" s="1185">
        <f>'2026'!R\Max</f>
        <v>0.52199166247182216</v>
      </c>
      <c r="CE185" s="1186">
        <f>'2027'!R\Max</f>
        <v>0.5219755737488847</v>
      </c>
      <c r="CF185" s="1187">
        <f>'2028'!R\Max</f>
        <v>0.52195948456534857</v>
      </c>
    </row>
    <row r="186" spans="1:84" s="6" customFormat="1" ht="11.25" x14ac:dyDescent="0.2">
      <c r="A186" s="11">
        <v>43272</v>
      </c>
      <c r="B186" s="379">
        <f>'2022'!Maxi_hp</f>
        <v>56.260411269728877</v>
      </c>
      <c r="C186" s="13">
        <f>'2022'!An_max</f>
        <v>2020</v>
      </c>
      <c r="D186" s="1046" t="str">
        <f t="shared" si="78"/>
        <v/>
      </c>
      <c r="E186" s="13"/>
      <c r="F186" s="13">
        <f t="shared" si="95"/>
        <v>13</v>
      </c>
      <c r="G186" s="13">
        <f t="shared" si="79"/>
        <v>14</v>
      </c>
      <c r="H186" s="173">
        <f t="shared" si="80"/>
        <v>43262</v>
      </c>
      <c r="I186" s="742">
        <f t="shared" si="81"/>
        <v>0.7142857142857143</v>
      </c>
      <c r="J186" s="735">
        <f t="shared" si="82"/>
        <v>61.319657143577935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39">
        <v>43272</v>
      </c>
      <c r="AP186" s="13">
        <f t="shared" si="83"/>
        <v>7</v>
      </c>
      <c r="AQ186" s="13">
        <f t="shared" si="84"/>
        <v>8</v>
      </c>
      <c r="AR186" s="173">
        <f t="shared" si="85"/>
        <v>43248</v>
      </c>
      <c r="AS186" s="742">
        <f t="shared" si="86"/>
        <v>0.8571428571428571</v>
      </c>
      <c r="AT186" s="758">
        <f t="shared" si="87"/>
        <v>61.304008163884284</v>
      </c>
      <c r="AU186" s="13">
        <f t="shared" si="88"/>
        <v>7</v>
      </c>
      <c r="AV186" s="13">
        <f t="shared" si="89"/>
        <v>8</v>
      </c>
      <c r="AW186" s="173">
        <f t="shared" si="90"/>
        <v>43262</v>
      </c>
      <c r="AX186" s="742">
        <f t="shared" si="91"/>
        <v>0.35714285714285715</v>
      </c>
      <c r="AY186" s="758">
        <f t="shared" si="92"/>
        <v>61.278904591846675</v>
      </c>
      <c r="AZ186" s="735">
        <f t="shared" si="96"/>
        <v>61.29145637786548</v>
      </c>
      <c r="BA186" s="633">
        <f t="shared" si="93"/>
        <v>0.91749389821272154</v>
      </c>
      <c r="BC186" s="11">
        <v>43272</v>
      </c>
      <c r="BD186" s="289">
        <f>[3]!FeuilCaduc*(1-Persistant)+Persistant</f>
        <v>0.97522356078331529</v>
      </c>
      <c r="BE186" s="290">
        <f>[3]!CroissVégét</f>
        <v>0.61078861238975013</v>
      </c>
      <c r="BF186" s="804">
        <f>1+[3]!Salcycl*Ksac</f>
        <v>1.0438058901958289</v>
      </c>
      <c r="BH186" s="1037">
        <f t="shared" si="94"/>
        <v>3.1932311028738425E-4</v>
      </c>
      <c r="BI186" s="11">
        <v>44368</v>
      </c>
      <c r="BJ186" s="715">
        <v>0</v>
      </c>
      <c r="BK186" s="715">
        <v>0</v>
      </c>
      <c r="BL186" s="715">
        <v>0</v>
      </c>
      <c r="BM186" s="715">
        <v>7.2484369469505818E-6</v>
      </c>
      <c r="BN186" s="715">
        <v>3.9786071473187068E-4</v>
      </c>
      <c r="BO186" s="716">
        <v>1.5258522825715879E-3</v>
      </c>
      <c r="BP186" s="715">
        <v>3.9980030500029844E-3</v>
      </c>
      <c r="BQ186" s="715">
        <v>7.925119119746131E-3</v>
      </c>
      <c r="BR186" s="715">
        <v>1.4745784923048282E-2</v>
      </c>
      <c r="BS186" s="715">
        <v>2.9731048058860194E-2</v>
      </c>
      <c r="BT186" s="715">
        <v>5.2393987020570777E-2</v>
      </c>
      <c r="BW186" s="1185">
        <f>'2019'!R\Max</f>
        <v>0.14874002906424008</v>
      </c>
      <c r="BX186" s="1185">
        <f>'2020'!R\Max</f>
        <v>0.91749389821272154</v>
      </c>
      <c r="BY186" s="1185">
        <f>'2021'!R\Max</f>
        <v>0.57431408904121362</v>
      </c>
      <c r="BZ186" s="1185">
        <f>'2022'!R\Max</f>
        <v>0.34568175884691082</v>
      </c>
      <c r="CA186" s="1185">
        <f>'2023'!R\Max</f>
        <v>0.34564974107091795</v>
      </c>
      <c r="CB186" s="1185">
        <f>'2024'!R\Max</f>
        <v>0.34561772288038789</v>
      </c>
      <c r="CC186" s="1185">
        <f>'2025'!R\Max</f>
        <v>0.34556785288219088</v>
      </c>
      <c r="CD186" s="1185">
        <f>'2026'!R\Max</f>
        <v>0.34573175263216271</v>
      </c>
      <c r="CE186" s="1186">
        <f>'2027'!R\Max</f>
        <v>0.34571714392601588</v>
      </c>
      <c r="CF186" s="1187">
        <f>'2028'!R\Max</f>
        <v>0.34570253513356969</v>
      </c>
    </row>
    <row r="187" spans="1:84" s="6" customFormat="1" ht="11.25" x14ac:dyDescent="0.2">
      <c r="A187" s="11">
        <v>43273</v>
      </c>
      <c r="B187" s="379">
        <f>'2022'!Maxi_hp</f>
        <v>60.180759205917369</v>
      </c>
      <c r="C187" s="13">
        <f>'2022'!An_max</f>
        <v>2020</v>
      </c>
      <c r="D187" s="1046">
        <f t="shared" si="78"/>
        <v>0.98250760279764393</v>
      </c>
      <c r="E187" s="13"/>
      <c r="F187" s="13">
        <f t="shared" si="95"/>
        <v>13</v>
      </c>
      <c r="G187" s="13">
        <f t="shared" si="79"/>
        <v>14</v>
      </c>
      <c r="H187" s="173">
        <f t="shared" si="80"/>
        <v>43262</v>
      </c>
      <c r="I187" s="742">
        <f t="shared" si="81"/>
        <v>0.7857142857142857</v>
      </c>
      <c r="J187" s="735">
        <f t="shared" si="82"/>
        <v>61.252207142779866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39">
        <v>43273</v>
      </c>
      <c r="AP187" s="13">
        <f t="shared" si="83"/>
        <v>7</v>
      </c>
      <c r="AQ187" s="13">
        <f t="shared" si="84"/>
        <v>8</v>
      </c>
      <c r="AR187" s="173">
        <f t="shared" si="85"/>
        <v>43248</v>
      </c>
      <c r="AS187" s="742">
        <f t="shared" si="86"/>
        <v>0.8928571428571429</v>
      </c>
      <c r="AT187" s="758">
        <f t="shared" si="87"/>
        <v>61.239471971256918</v>
      </c>
      <c r="AU187" s="13">
        <f t="shared" si="88"/>
        <v>7</v>
      </c>
      <c r="AV187" s="13">
        <f t="shared" si="89"/>
        <v>8</v>
      </c>
      <c r="AW187" s="173">
        <f t="shared" si="90"/>
        <v>43262</v>
      </c>
      <c r="AX187" s="742">
        <f t="shared" si="91"/>
        <v>0.39285714285714285</v>
      </c>
      <c r="AY187" s="758">
        <f t="shared" si="92"/>
        <v>61.205636033109798</v>
      </c>
      <c r="AZ187" s="735">
        <f t="shared" si="96"/>
        <v>61.222554002183358</v>
      </c>
      <c r="BA187" s="633">
        <f t="shared" si="93"/>
        <v>0.98250760279764393</v>
      </c>
      <c r="BC187" s="11">
        <v>43273</v>
      </c>
      <c r="BD187" s="289">
        <f>[3]!FeuilCaduc*(1-Persistant)+Persistant</f>
        <v>0.97691421369628162</v>
      </c>
      <c r="BE187" s="290">
        <f>[3]!CroissVégét</f>
        <v>0.62052607026992535</v>
      </c>
      <c r="BF187" s="804">
        <f>1+[3]!Salcycl*Ksac</f>
        <v>1.0442285534240705</v>
      </c>
      <c r="BH187" s="1037">
        <f t="shared" si="94"/>
        <v>3.1863622827423043E-4</v>
      </c>
      <c r="BI187" s="11">
        <v>44369</v>
      </c>
      <c r="BJ187" s="715">
        <v>0</v>
      </c>
      <c r="BK187" s="715">
        <v>0</v>
      </c>
      <c r="BL187" s="715">
        <v>0</v>
      </c>
      <c r="BM187" s="715">
        <v>6.8997298550776032E-6</v>
      </c>
      <c r="BN187" s="715">
        <v>3.9708872665126095E-4</v>
      </c>
      <c r="BO187" s="716">
        <v>1.5242321824454992E-3</v>
      </c>
      <c r="BP187" s="715">
        <v>3.9954110262561855E-3</v>
      </c>
      <c r="BQ187" s="715">
        <v>7.9200105950852345E-3</v>
      </c>
      <c r="BR187" s="715">
        <v>1.4700049230522649E-2</v>
      </c>
      <c r="BS187" s="715">
        <v>2.9572443282672636E-2</v>
      </c>
      <c r="BT187" s="715">
        <v>5.2051417877447249E-2</v>
      </c>
      <c r="BW187" s="1185">
        <f>'2019'!R\Max</f>
        <v>0.8188506024501111</v>
      </c>
      <c r="BX187" s="1185">
        <f>'2020'!R\Max</f>
        <v>0.98250760279764393</v>
      </c>
      <c r="BY187" s="1185">
        <f>'2021'!R\Max</f>
        <v>0.72435250235703474</v>
      </c>
      <c r="BZ187" s="1185">
        <f>'2022'!R\Max</f>
        <v>0.73067632913910141</v>
      </c>
      <c r="CA187" s="1185">
        <f>'2023'!R\Max</f>
        <v>0.73064840313871771</v>
      </c>
      <c r="CB187" s="1185">
        <f>'2024'!R\Max</f>
        <v>0.73062047372423689</v>
      </c>
      <c r="CC187" s="1185">
        <f>'2025'!R\Max</f>
        <v>0.73057681654754569</v>
      </c>
      <c r="CD187" s="1185">
        <f>'2026'!R\Max</f>
        <v>0.73072006446281235</v>
      </c>
      <c r="CE187" s="1186">
        <f>'2027'!R\Max</f>
        <v>0.73070732983765097</v>
      </c>
      <c r="CF187" s="1187">
        <f>'2028'!R\Max</f>
        <v>0.73069459450249041</v>
      </c>
    </row>
    <row r="188" spans="1:84" s="6" customFormat="1" ht="11.25" x14ac:dyDescent="0.2">
      <c r="A188" s="11">
        <v>43274</v>
      </c>
      <c r="B188" s="379">
        <f>'2022'!Maxi_hp</f>
        <v>53.862501168142678</v>
      </c>
      <c r="C188" s="13">
        <f>'2022'!An_max</f>
        <v>2018</v>
      </c>
      <c r="D188" s="1046" t="str">
        <f t="shared" si="78"/>
        <v/>
      </c>
      <c r="E188" s="13"/>
      <c r="F188" s="13">
        <f t="shared" si="95"/>
        <v>13</v>
      </c>
      <c r="G188" s="13">
        <f t="shared" si="79"/>
        <v>14</v>
      </c>
      <c r="H188" s="173">
        <f t="shared" si="80"/>
        <v>43262</v>
      </c>
      <c r="I188" s="742">
        <f t="shared" si="81"/>
        <v>0.8571428571428571</v>
      </c>
      <c r="J188" s="735">
        <f t="shared" si="82"/>
        <v>61.181714285910132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39">
        <v>43274</v>
      </c>
      <c r="AP188" s="13">
        <f t="shared" si="83"/>
        <v>7</v>
      </c>
      <c r="AQ188" s="13">
        <f t="shared" si="84"/>
        <v>8</v>
      </c>
      <c r="AR188" s="173">
        <f t="shared" si="85"/>
        <v>43248</v>
      </c>
      <c r="AS188" s="742">
        <f t="shared" si="86"/>
        <v>0.9285714285714286</v>
      </c>
      <c r="AT188" s="758">
        <f t="shared" si="87"/>
        <v>61.172531377524137</v>
      </c>
      <c r="AU188" s="13">
        <f t="shared" si="88"/>
        <v>7</v>
      </c>
      <c r="AV188" s="13">
        <f t="shared" si="89"/>
        <v>8</v>
      </c>
      <c r="AW188" s="173">
        <f t="shared" si="90"/>
        <v>43262</v>
      </c>
      <c r="AX188" s="742">
        <f t="shared" si="91"/>
        <v>0.42857142857142855</v>
      </c>
      <c r="AY188" s="758">
        <f t="shared" si="92"/>
        <v>61.129551020291231</v>
      </c>
      <c r="AZ188" s="735">
        <f t="shared" si="96"/>
        <v>61.151041198907684</v>
      </c>
      <c r="BA188" s="633">
        <f t="shared" si="93"/>
        <v>0.88036927040710533</v>
      </c>
      <c r="BC188" s="11">
        <v>43274</v>
      </c>
      <c r="BD188" s="289">
        <f>[3]!FeuilCaduc*(1-Persistant)+Persistant</f>
        <v>0.97853506035948734</v>
      </c>
      <c r="BE188" s="290">
        <f>[3]!CroissVégét</f>
        <v>0.6301672999323692</v>
      </c>
      <c r="BF188" s="804">
        <f>1+[3]!Salcycl*Ksac</f>
        <v>1.0446337650898718</v>
      </c>
      <c r="BH188" s="1037">
        <f t="shared" si="94"/>
        <v>3.1899820149696421E-4</v>
      </c>
      <c r="BI188" s="11">
        <v>44370</v>
      </c>
      <c r="BJ188" s="715">
        <v>0</v>
      </c>
      <c r="BK188" s="715">
        <v>0</v>
      </c>
      <c r="BL188" s="715">
        <v>0</v>
      </c>
      <c r="BM188" s="715">
        <v>7.24106171852208E-6</v>
      </c>
      <c r="BN188" s="715">
        <v>3.9745589453748245E-4</v>
      </c>
      <c r="BO188" s="716">
        <v>1.5242997396972438E-3</v>
      </c>
      <c r="BP188" s="715">
        <v>3.9939351128784129E-3</v>
      </c>
      <c r="BQ188" s="715">
        <v>7.9170553724501273E-3</v>
      </c>
      <c r="BR188" s="715">
        <v>1.4730781201147828E-2</v>
      </c>
      <c r="BS188" s="715">
        <v>2.9700796947833414E-2</v>
      </c>
      <c r="BT188" s="715">
        <v>5.2340676544755826E-2</v>
      </c>
      <c r="BW188" s="1185">
        <f>'2019'!R\Max</f>
        <v>0.88036927040710533</v>
      </c>
      <c r="BX188" s="1185">
        <f>'2020'!R\Max</f>
        <v>0.73897038950618699</v>
      </c>
      <c r="BY188" s="1185">
        <f>'2021'!R\Max</f>
        <v>0.40527540658858574</v>
      </c>
      <c r="BZ188" s="1185">
        <f>'2022'!R\Max</f>
        <v>0.76106074376318722</v>
      </c>
      <c r="CA188" s="1185">
        <f>'2023'!R\Max</f>
        <v>0.76103488147165943</v>
      </c>
      <c r="CB188" s="1185">
        <f>'2024'!R\Max</f>
        <v>0.76100901578785551</v>
      </c>
      <c r="CC188" s="1185">
        <f>'2025'!R\Max</f>
        <v>0.76096842746549886</v>
      </c>
      <c r="CD188" s="1185">
        <f>'2026'!R\Max</f>
        <v>0.7611013924523935</v>
      </c>
      <c r="CE188" s="1186">
        <f>'2027'!R\Max</f>
        <v>0.76108959487368555</v>
      </c>
      <c r="CF188" s="1187">
        <f>'2028'!R\Max</f>
        <v>0.76107779658903019</v>
      </c>
    </row>
    <row r="189" spans="1:84" s="6" customFormat="1" ht="11.25" x14ac:dyDescent="0.2">
      <c r="A189" s="11">
        <v>43275</v>
      </c>
      <c r="B189" s="379">
        <f>'2022'!Maxi_hp</f>
        <v>60.623696514192886</v>
      </c>
      <c r="C189" s="13">
        <f>'2022'!An_max</f>
        <v>2020</v>
      </c>
      <c r="D189" s="1046">
        <f t="shared" si="78"/>
        <v>0.99207173133464932</v>
      </c>
      <c r="E189" s="13"/>
      <c r="F189" s="13">
        <f t="shared" si="95"/>
        <v>13</v>
      </c>
      <c r="G189" s="13">
        <f t="shared" si="79"/>
        <v>14</v>
      </c>
      <c r="H189" s="173">
        <f t="shared" si="80"/>
        <v>43262</v>
      </c>
      <c r="I189" s="742">
        <f t="shared" si="81"/>
        <v>0.9285714285714286</v>
      </c>
      <c r="J189" s="735">
        <f t="shared" si="82"/>
        <v>61.108178571558426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39">
        <v>43275</v>
      </c>
      <c r="AP189" s="13">
        <f t="shared" si="83"/>
        <v>7</v>
      </c>
      <c r="AQ189" s="13">
        <f t="shared" si="84"/>
        <v>8</v>
      </c>
      <c r="AR189" s="173">
        <f t="shared" si="85"/>
        <v>43248</v>
      </c>
      <c r="AS189" s="742">
        <f t="shared" si="86"/>
        <v>0.9642857142857143</v>
      </c>
      <c r="AT189" s="758">
        <f t="shared" si="87"/>
        <v>61.10322713677639</v>
      </c>
      <c r="AU189" s="13">
        <f t="shared" si="88"/>
        <v>7</v>
      </c>
      <c r="AV189" s="13">
        <f t="shared" si="89"/>
        <v>8</v>
      </c>
      <c r="AW189" s="173">
        <f t="shared" si="90"/>
        <v>43262</v>
      </c>
      <c r="AX189" s="742">
        <f t="shared" si="91"/>
        <v>0.4642857142857143</v>
      </c>
      <c r="AY189" s="758">
        <f t="shared" si="92"/>
        <v>61.050785395336746</v>
      </c>
      <c r="AZ189" s="735">
        <f t="shared" si="96"/>
        <v>61.077006266056571</v>
      </c>
      <c r="BA189" s="633">
        <f t="shared" si="93"/>
        <v>0.99207173133464932</v>
      </c>
      <c r="BC189" s="11">
        <v>43275</v>
      </c>
      <c r="BD189" s="289">
        <f>[3]!FeuilCaduc*(1-Persistant)+Persistant</f>
        <v>0.98008599762377813</v>
      </c>
      <c r="BE189" s="290">
        <f>[3]!CroissVégét</f>
        <v>0.63970570469545396</v>
      </c>
      <c r="BF189" s="804">
        <f>1+[3]!Salcycl*Ksac</f>
        <v>1.0450214994059446</v>
      </c>
      <c r="BH189" s="1037">
        <f t="shared" si="94"/>
        <v>3.2040445459137473E-4</v>
      </c>
      <c r="BI189" s="11">
        <v>44371</v>
      </c>
      <c r="BJ189" s="715">
        <v>0</v>
      </c>
      <c r="BK189" s="715">
        <v>0</v>
      </c>
      <c r="BL189" s="715">
        <v>0</v>
      </c>
      <c r="BM189" s="715">
        <v>8.2713201617492045E-6</v>
      </c>
      <c r="BN189" s="715">
        <v>3.989567715206944E-4</v>
      </c>
      <c r="BO189" s="716">
        <v>1.5260381234698049E-3</v>
      </c>
      <c r="BP189" s="715">
        <v>3.9935362143315315E-3</v>
      </c>
      <c r="BQ189" s="715">
        <v>7.9161760434598872E-3</v>
      </c>
      <c r="BR189" s="715">
        <v>1.4837727116618836E-2</v>
      </c>
      <c r="BS189" s="715">
        <v>3.0115396497421194E-2</v>
      </c>
      <c r="BT189" s="715">
        <v>5.3260316375477477E-2</v>
      </c>
      <c r="BW189" s="1185">
        <f>'2019'!R\Max</f>
        <v>0.72662966837814447</v>
      </c>
      <c r="BX189" s="1185">
        <f>'2020'!R\Max</f>
        <v>0.99207173133464932</v>
      </c>
      <c r="BY189" s="1185">
        <f>'2021'!R\Max</f>
        <v>0.56413347039894968</v>
      </c>
      <c r="BZ189" s="1185">
        <f>'2022'!R\Max</f>
        <v>0.71311559342193731</v>
      </c>
      <c r="CA189" s="1185">
        <f>'2023'!R\Max</f>
        <v>0.71308644207853444</v>
      </c>
      <c r="CB189" s="1185">
        <f>'2024'!R\Max</f>
        <v>0.71305728730247153</v>
      </c>
      <c r="CC189" s="1185">
        <f>'2025'!R\Max</f>
        <v>0.71301134120265675</v>
      </c>
      <c r="CD189" s="1185">
        <f>'2026'!R\Max</f>
        <v>0.71316159813211133</v>
      </c>
      <c r="CE189" s="1186">
        <f>'2027'!R\Max</f>
        <v>0.713148285546363</v>
      </c>
      <c r="CF189" s="1187">
        <f>'2028'!R\Max</f>
        <v>0.7131349722446938</v>
      </c>
    </row>
    <row r="190" spans="1:84" s="6" customFormat="1" ht="11.25" x14ac:dyDescent="0.2">
      <c r="A190" s="11">
        <v>43276</v>
      </c>
      <c r="B190" s="379">
        <f>'2022'!Maxi_hp</f>
        <v>61.35509471330375</v>
      </c>
      <c r="C190" s="13">
        <f>'2022'!An_max</f>
        <v>2020</v>
      </c>
      <c r="D190" s="1046">
        <f t="shared" si="78"/>
        <v>1.0053004462170367</v>
      </c>
      <c r="E190" s="1041">
        <f>Z$13/10</f>
        <v>61.031600000000005</v>
      </c>
      <c r="F190" s="13">
        <f t="shared" si="95"/>
        <v>15</v>
      </c>
      <c r="G190" s="13">
        <f t="shared" si="79"/>
        <v>14</v>
      </c>
      <c r="H190" s="173">
        <f t="shared" si="80"/>
        <v>43290</v>
      </c>
      <c r="I190" s="742">
        <f t="shared" si="81"/>
        <v>1</v>
      </c>
      <c r="J190" s="735">
        <f t="shared" si="82"/>
        <v>61.031599999964236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39">
        <v>43276</v>
      </c>
      <c r="AP190" s="13">
        <f t="shared" si="83"/>
        <v>9</v>
      </c>
      <c r="AQ190" s="13">
        <f t="shared" si="84"/>
        <v>8</v>
      </c>
      <c r="AR190" s="173">
        <f t="shared" si="85"/>
        <v>43304</v>
      </c>
      <c r="AS190" s="742">
        <f t="shared" si="86"/>
        <v>1</v>
      </c>
      <c r="AT190" s="758">
        <f t="shared" si="87"/>
        <v>61.031600000709297</v>
      </c>
      <c r="AU190" s="13">
        <f t="shared" si="88"/>
        <v>7</v>
      </c>
      <c r="AV190" s="13">
        <f t="shared" si="89"/>
        <v>8</v>
      </c>
      <c r="AW190" s="173">
        <f t="shared" si="90"/>
        <v>43262</v>
      </c>
      <c r="AX190" s="742">
        <f t="shared" si="91"/>
        <v>0.5</v>
      </c>
      <c r="AY190" s="758">
        <f t="shared" si="92"/>
        <v>60.969474999699742</v>
      </c>
      <c r="AZ190" s="735">
        <f t="shared" si="96"/>
        <v>61.000537500204516</v>
      </c>
      <c r="BA190" s="633">
        <f t="shared" si="93"/>
        <v>1.0053004462170367</v>
      </c>
      <c r="BC190" s="11">
        <v>43276</v>
      </c>
      <c r="BD190" s="289">
        <f>[3]!FeuilCaduc*(1-Persistant)+Persistant</f>
        <v>0.98156712059481777</v>
      </c>
      <c r="BE190" s="290">
        <f>[3]!CroissVégét</f>
        <v>0.64913499947740572</v>
      </c>
      <c r="BF190" s="804">
        <f>1+[3]!Salcycl*Ksac</f>
        <v>1.0453917801487045</v>
      </c>
      <c r="BH190" s="1037">
        <f t="shared" si="94"/>
        <v>3.2285359188256651E-4</v>
      </c>
      <c r="BI190" s="11">
        <v>44372</v>
      </c>
      <c r="BJ190" s="715">
        <v>0</v>
      </c>
      <c r="BK190" s="715">
        <v>0</v>
      </c>
      <c r="BL190" s="715">
        <v>0</v>
      </c>
      <c r="BM190" s="715">
        <v>9.9894654719968337E-6</v>
      </c>
      <c r="BN190" s="715">
        <v>4.0158987234355296E-4</v>
      </c>
      <c r="BO190" s="716">
        <v>1.5294456942970759E-3</v>
      </c>
      <c r="BP190" s="715">
        <v>3.9942150367998936E-3</v>
      </c>
      <c r="BQ190" s="715">
        <v>7.9173740974271527E-3</v>
      </c>
      <c r="BR190" s="715">
        <v>1.5020780111584749E-2</v>
      </c>
      <c r="BS190" s="715">
        <v>3.0815825562200812E-2</v>
      </c>
      <c r="BT190" s="715">
        <v>5.4809412775772635E-2</v>
      </c>
      <c r="BW190" s="1185">
        <f>'2019'!R\Max</f>
        <v>0.79676709066185436</v>
      </c>
      <c r="BX190" s="1185">
        <f>'2020'!R\Max</f>
        <v>1.0053004462170367</v>
      </c>
      <c r="BY190" s="1185">
        <f>'2021'!R\Max</f>
        <v>0.83290998470843214</v>
      </c>
      <c r="BZ190" s="1185">
        <f>'2022'!R\Max</f>
        <v>0.71427244967411407</v>
      </c>
      <c r="CA190" s="1185">
        <f>'2023'!R\Max</f>
        <v>0.71424332050819461</v>
      </c>
      <c r="CB190" s="1185">
        <f>'2024'!R\Max</f>
        <v>0.71421418789690783</v>
      </c>
      <c r="CC190" s="1185">
        <f>'2025'!R\Max</f>
        <v>0.71416805805942773</v>
      </c>
      <c r="CD190" s="1185">
        <f>'2026'!R\Max</f>
        <v>0.71431862591392503</v>
      </c>
      <c r="CE190" s="1186">
        <f>'2027'!R\Max</f>
        <v>0.71430529960147215</v>
      </c>
      <c r="CF190" s="1187">
        <f>'2028'!R\Max</f>
        <v>0.71429197256786858</v>
      </c>
    </row>
    <row r="191" spans="1:84" s="6" customFormat="1" ht="11.25" x14ac:dyDescent="0.2">
      <c r="A191" s="11">
        <v>43277</v>
      </c>
      <c r="B191" s="379">
        <f>'2022'!Maxi_hp</f>
        <v>61.449694288761741</v>
      </c>
      <c r="C191" s="13">
        <f>'2022'!An_max</f>
        <v>2018</v>
      </c>
      <c r="D191" s="1046">
        <f t="shared" si="78"/>
        <v>1.0081773862470926</v>
      </c>
      <c r="E191" s="13"/>
      <c r="F191" s="13">
        <f t="shared" si="95"/>
        <v>15</v>
      </c>
      <c r="G191" s="13">
        <f t="shared" si="79"/>
        <v>14</v>
      </c>
      <c r="H191" s="173">
        <f t="shared" si="80"/>
        <v>43290</v>
      </c>
      <c r="I191" s="742">
        <f t="shared" si="81"/>
        <v>0.9285714285714286</v>
      </c>
      <c r="J191" s="735">
        <f t="shared" si="82"/>
        <v>60.951272193781506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39">
        <v>43277</v>
      </c>
      <c r="AP191" s="13">
        <f t="shared" si="83"/>
        <v>9</v>
      </c>
      <c r="AQ191" s="13">
        <f t="shared" si="84"/>
        <v>8</v>
      </c>
      <c r="AR191" s="173">
        <f t="shared" si="85"/>
        <v>43304</v>
      </c>
      <c r="AS191" s="742">
        <f t="shared" si="86"/>
        <v>0.9642857142857143</v>
      </c>
      <c r="AT191" s="758">
        <f t="shared" si="87"/>
        <v>60.956699075623021</v>
      </c>
      <c r="AU191" s="13">
        <f t="shared" si="88"/>
        <v>7</v>
      </c>
      <c r="AV191" s="13">
        <f t="shared" si="89"/>
        <v>8</v>
      </c>
      <c r="AW191" s="173">
        <f t="shared" si="90"/>
        <v>43262</v>
      </c>
      <c r="AX191" s="742">
        <f t="shared" si="91"/>
        <v>0.5357142857142857</v>
      </c>
      <c r="AY191" s="758">
        <f t="shared" si="92"/>
        <v>60.885755676110946</v>
      </c>
      <c r="AZ191" s="735">
        <f t="shared" si="96"/>
        <v>60.921227375866984</v>
      </c>
      <c r="BA191" s="633">
        <f t="shared" si="93"/>
        <v>1.0081773862470926</v>
      </c>
      <c r="BC191" s="11">
        <v>43277</v>
      </c>
      <c r="BD191" s="289">
        <f>[3]!FeuilCaduc*(1-Persistant)+Persistant</f>
        <v>0.98297871832830719</v>
      </c>
      <c r="BE191" s="290">
        <f>[3]!CroissVégét</f>
        <v>0.65844922415907026</v>
      </c>
      <c r="BF191" s="804">
        <f>1+[3]!Salcycl*Ksac</f>
        <v>1.0457446795820768</v>
      </c>
      <c r="BH191" s="1037">
        <f t="shared" si="94"/>
        <v>3.2634422458588261E-4</v>
      </c>
      <c r="BI191" s="11">
        <v>44373</v>
      </c>
      <c r="BJ191" s="715">
        <v>0</v>
      </c>
      <c r="BK191" s="715">
        <v>0</v>
      </c>
      <c r="BL191" s="715">
        <v>0</v>
      </c>
      <c r="BM191" s="715">
        <v>1.2394462479888013E-5</v>
      </c>
      <c r="BN191" s="715">
        <v>4.0535371922956914E-4</v>
      </c>
      <c r="BO191" s="716">
        <v>1.5345208237481961E-3</v>
      </c>
      <c r="BP191" s="715">
        <v>3.9959722936138489E-3</v>
      </c>
      <c r="BQ191" s="715">
        <v>7.9206510374405133E-3</v>
      </c>
      <c r="BR191" s="715">
        <v>1.5279833823467308E-2</v>
      </c>
      <c r="BS191" s="715">
        <v>3.1801669660982856E-2</v>
      </c>
      <c r="BT191" s="715">
        <v>5.6987045309583262E-2</v>
      </c>
      <c r="BW191" s="1185">
        <f>'2019'!R\Max</f>
        <v>1.0081773862470926</v>
      </c>
      <c r="BX191" s="1185">
        <f>'2020'!R\Max</f>
        <v>0.90515315745108271</v>
      </c>
      <c r="BY191" s="1185">
        <f>'2021'!R\Max</f>
        <v>0.96150593964874698</v>
      </c>
      <c r="BZ191" s="1185">
        <f>'2022'!R\Max</f>
        <v>0.18791793268915774</v>
      </c>
      <c r="CA191" s="1185">
        <f>'2023'!R\Max</f>
        <v>0.18789913103159281</v>
      </c>
      <c r="CB191" s="1185">
        <f>'2024'!R\Max</f>
        <v>0.18788032937402782</v>
      </c>
      <c r="CC191" s="1185">
        <f>'2025'!R\Max</f>
        <v>0.18785040725928129</v>
      </c>
      <c r="CD191" s="1185">
        <f>'2026'!R\Max</f>
        <v>0.18794788881039856</v>
      </c>
      <c r="CE191" s="1186">
        <f>'2027'!R\Max</f>
        <v>0.18793926373145933</v>
      </c>
      <c r="CF191" s="1187">
        <f>'2028'!R\Max</f>
        <v>0.18793063865252005</v>
      </c>
    </row>
    <row r="192" spans="1:84" s="6" customFormat="1" ht="11.25" x14ac:dyDescent="0.2">
      <c r="A192" s="11">
        <v>43278</v>
      </c>
      <c r="B192" s="379">
        <f>'2022'!Maxi_hp</f>
        <v>60.093655665818403</v>
      </c>
      <c r="C192" s="13">
        <f>'2022'!An_max</f>
        <v>2018</v>
      </c>
      <c r="D192" s="1046">
        <f t="shared" si="78"/>
        <v>0.98729928878688589</v>
      </c>
      <c r="E192" s="13"/>
      <c r="F192" s="13">
        <f t="shared" si="95"/>
        <v>15</v>
      </c>
      <c r="G192" s="13">
        <f t="shared" si="79"/>
        <v>14</v>
      </c>
      <c r="H192" s="173">
        <f t="shared" si="80"/>
        <v>43290</v>
      </c>
      <c r="I192" s="742">
        <f t="shared" si="81"/>
        <v>0.8571428571428571</v>
      </c>
      <c r="J192" s="735">
        <f t="shared" si="82"/>
        <v>60.866706122777281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39">
        <v>43278</v>
      </c>
      <c r="AP192" s="13">
        <f t="shared" si="83"/>
        <v>9</v>
      </c>
      <c r="AQ192" s="13">
        <f t="shared" si="84"/>
        <v>8</v>
      </c>
      <c r="AR192" s="173">
        <f t="shared" si="85"/>
        <v>43304</v>
      </c>
      <c r="AS192" s="742">
        <f t="shared" si="86"/>
        <v>0.9285714285714286</v>
      </c>
      <c r="AT192" s="758">
        <f t="shared" si="87"/>
        <v>60.877664031021837</v>
      </c>
      <c r="AU192" s="13">
        <f t="shared" si="88"/>
        <v>7</v>
      </c>
      <c r="AV192" s="13">
        <f t="shared" si="89"/>
        <v>8</v>
      </c>
      <c r="AW192" s="173">
        <f t="shared" si="90"/>
        <v>43262</v>
      </c>
      <c r="AX192" s="742">
        <f t="shared" si="91"/>
        <v>0.5714285714285714</v>
      </c>
      <c r="AY192" s="758">
        <f t="shared" si="92"/>
        <v>60.799763265198898</v>
      </c>
      <c r="AZ192" s="735">
        <f t="shared" si="96"/>
        <v>60.838713648110371</v>
      </c>
      <c r="BA192" s="633">
        <f t="shared" si="93"/>
        <v>0.98729928878688589</v>
      </c>
      <c r="BC192" s="11">
        <v>43278</v>
      </c>
      <c r="BD192" s="289">
        <f>[3]!FeuilCaduc*(1-Persistant)+Persistant</f>
        <v>0.98432126848009438</v>
      </c>
      <c r="BE192" s="290">
        <f>[3]!CroissVégét</f>
        <v>0.66764275499450454</v>
      </c>
      <c r="BF192" s="804">
        <f>1+[3]!Salcycl*Ksac</f>
        <v>1.0460803171200237</v>
      </c>
      <c r="BH192" s="1037">
        <f t="shared" si="94"/>
        <v>3.3063659780970417E-4</v>
      </c>
      <c r="BI192" s="11">
        <v>44374</v>
      </c>
      <c r="BJ192" s="715">
        <v>0</v>
      </c>
      <c r="BK192" s="715">
        <v>0</v>
      </c>
      <c r="BL192" s="715">
        <v>0</v>
      </c>
      <c r="BM192" s="715">
        <v>1.54852845995088E-5</v>
      </c>
      <c r="BN192" s="715">
        <v>4.0994847823923948E-4</v>
      </c>
      <c r="BO192" s="716">
        <v>1.5405343937597317E-3</v>
      </c>
      <c r="BP192" s="715">
        <v>3.9976807385879304E-3</v>
      </c>
      <c r="BQ192" s="715">
        <v>7.9250657282828232E-3</v>
      </c>
      <c r="BR192" s="715">
        <v>1.5659454273255144E-2</v>
      </c>
      <c r="BS192" s="715">
        <v>3.3088977975522273E-2</v>
      </c>
      <c r="BT192" s="715">
        <v>5.9706465995084522E-2</v>
      </c>
      <c r="BW192" s="1185">
        <f>'2019'!R\Max</f>
        <v>0.98729928878688589</v>
      </c>
      <c r="BX192" s="1185">
        <f>'2020'!R\Max</f>
        <v>0.91106232628525574</v>
      </c>
      <c r="BY192" s="1185">
        <f>'2021'!R\Max</f>
        <v>0.14006582489914557</v>
      </c>
      <c r="BZ192" s="1185">
        <f>'2022'!R\Max</f>
        <v>0.28116839060042065</v>
      </c>
      <c r="CA192" s="1185">
        <f>'2023'!R\Max</f>
        <v>0.28114023073814554</v>
      </c>
      <c r="CB192" s="1185">
        <f>'2024'!R\Max</f>
        <v>0.28111200087650562</v>
      </c>
      <c r="CC192" s="1185">
        <f>'2025'!R\Max</f>
        <v>0.28106699150185266</v>
      </c>
      <c r="CD192" s="1185">
        <f>'2026'!R\Max</f>
        <v>0.28121348975758859</v>
      </c>
      <c r="CE192" s="1186">
        <f>'2027'!R\Max</f>
        <v>0.28120053279890428</v>
      </c>
      <c r="CF192" s="1187">
        <f>'2028'!R\Max</f>
        <v>0.28118757584021992</v>
      </c>
    </row>
    <row r="193" spans="1:84" s="6" customFormat="1" ht="11.25" x14ac:dyDescent="0.2">
      <c r="A193" s="11">
        <v>43279</v>
      </c>
      <c r="B193" s="379">
        <f>'2022'!Maxi_hp</f>
        <v>60.390455526303775</v>
      </c>
      <c r="C193" s="13">
        <f>'2022'!An_max</f>
        <v>2022</v>
      </c>
      <c r="D193" s="1046">
        <f t="shared" si="78"/>
        <v>0.99361988176532789</v>
      </c>
      <c r="E193" s="13"/>
      <c r="F193" s="13">
        <f t="shared" si="95"/>
        <v>15</v>
      </c>
      <c r="G193" s="13">
        <f t="shared" si="79"/>
        <v>14</v>
      </c>
      <c r="H193" s="173">
        <f t="shared" si="80"/>
        <v>43290</v>
      </c>
      <c r="I193" s="742">
        <f t="shared" si="81"/>
        <v>0.7857142857142857</v>
      </c>
      <c r="J193" s="735">
        <f t="shared" si="82"/>
        <v>60.778227805798608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39">
        <v>43279</v>
      </c>
      <c r="AP193" s="13">
        <f t="shared" si="83"/>
        <v>9</v>
      </c>
      <c r="AQ193" s="13">
        <f t="shared" si="84"/>
        <v>8</v>
      </c>
      <c r="AR193" s="173">
        <f t="shared" si="85"/>
        <v>43304</v>
      </c>
      <c r="AS193" s="742">
        <f t="shared" si="86"/>
        <v>0.8928571428571429</v>
      </c>
      <c r="AT193" s="758">
        <f t="shared" si="87"/>
        <v>60.794671461212317</v>
      </c>
      <c r="AU193" s="13">
        <f t="shared" si="88"/>
        <v>7</v>
      </c>
      <c r="AV193" s="13">
        <f t="shared" si="89"/>
        <v>8</v>
      </c>
      <c r="AW193" s="173">
        <f t="shared" si="90"/>
        <v>43262</v>
      </c>
      <c r="AX193" s="742">
        <f t="shared" si="91"/>
        <v>0.6071428571428571</v>
      </c>
      <c r="AY193" s="758">
        <f t="shared" si="92"/>
        <v>60.711633609800728</v>
      </c>
      <c r="AZ193" s="735">
        <f t="shared" si="96"/>
        <v>60.753152535506523</v>
      </c>
      <c r="BA193" s="633">
        <f t="shared" si="93"/>
        <v>0.99361988176532789</v>
      </c>
      <c r="BC193" s="11">
        <v>43279</v>
      </c>
      <c r="BD193" s="289">
        <f>[3]!FeuilCaduc*(1-Persistant)+Persistant</f>
        <v>0.98559543095251079</v>
      </c>
      <c r="BE193" s="290">
        <f>[3]!CroissVégét</f>
        <v>0.67671031405616355</v>
      </c>
      <c r="BF193" s="804">
        <f>1+[3]!Salcycl*Ksac</f>
        <v>1.0463988577381278</v>
      </c>
      <c r="BH193" s="1037">
        <f t="shared" si="94"/>
        <v>3.3520831773456959E-4</v>
      </c>
      <c r="BI193" s="11">
        <v>44375</v>
      </c>
      <c r="BJ193" s="715">
        <v>0</v>
      </c>
      <c r="BK193" s="715">
        <v>0</v>
      </c>
      <c r="BL193" s="715">
        <v>0</v>
      </c>
      <c r="BM193" s="715">
        <v>1.8916972906768318E-5</v>
      </c>
      <c r="BN193" s="715">
        <v>4.1480710178008686E-4</v>
      </c>
      <c r="BO193" s="716">
        <v>1.5466515627263532E-3</v>
      </c>
      <c r="BP193" s="715">
        <v>3.9988045823592649E-3</v>
      </c>
      <c r="BQ193" s="715">
        <v>7.9295837091982943E-3</v>
      </c>
      <c r="BR193" s="715">
        <v>1.6121418773949112E-2</v>
      </c>
      <c r="BS193" s="715">
        <v>3.4534408922947457E-2</v>
      </c>
      <c r="BT193" s="715">
        <v>6.2652180424614068E-2</v>
      </c>
      <c r="BW193" s="1185">
        <f>'2019'!R\Max</f>
        <v>0.81565748676225724</v>
      </c>
      <c r="BX193" s="1185">
        <f>'2020'!R\Max</f>
        <v>0.62082705320304454</v>
      </c>
      <c r="BY193" s="1185">
        <f>'2021'!R\Max</f>
        <v>0.43301821153866449</v>
      </c>
      <c r="BZ193" s="1185">
        <f>'2022'!R\Max</f>
        <v>0.99361988176532789</v>
      </c>
      <c r="CA193" s="1185">
        <f>'2023'!R\Max</f>
        <v>0.99361897407801014</v>
      </c>
      <c r="CB193" s="1185">
        <f>'2024'!R\Max</f>
        <v>0.99361805897147604</v>
      </c>
      <c r="CC193" s="1185">
        <f>'2025'!R\Max</f>
        <v>0.99361660328920809</v>
      </c>
      <c r="CD193" s="1185">
        <f>'2026'!R\Max</f>
        <v>0.9936213426554964</v>
      </c>
      <c r="CE193" s="1186">
        <f>'2027'!R\Max</f>
        <v>0.99362092384904444</v>
      </c>
      <c r="CF193" s="1187">
        <f>'2028'!R\Max</f>
        <v>0.99362050500419918</v>
      </c>
    </row>
    <row r="194" spans="1:84" s="6" customFormat="1" ht="11.25" x14ac:dyDescent="0.2">
      <c r="A194" s="11">
        <v>43280</v>
      </c>
      <c r="B194" s="379">
        <f>'2022'!Maxi_hp</f>
        <v>61.533873329482432</v>
      </c>
      <c r="C194" s="13">
        <f>'2022'!An_max</f>
        <v>2022</v>
      </c>
      <c r="D194" s="1046">
        <f t="shared" si="78"/>
        <v>1.013968753642656</v>
      </c>
      <c r="E194" s="13"/>
      <c r="F194" s="13">
        <f t="shared" si="95"/>
        <v>15</v>
      </c>
      <c r="G194" s="13">
        <f t="shared" si="79"/>
        <v>14</v>
      </c>
      <c r="H194" s="173">
        <f t="shared" si="80"/>
        <v>43290</v>
      </c>
      <c r="I194" s="742">
        <f t="shared" si="81"/>
        <v>0.7142857142857143</v>
      </c>
      <c r="J194" s="735">
        <f t="shared" si="82"/>
        <v>60.686163265311293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39">
        <v>43280</v>
      </c>
      <c r="AP194" s="13">
        <f t="shared" si="83"/>
        <v>9</v>
      </c>
      <c r="AQ194" s="13">
        <f t="shared" si="84"/>
        <v>8</v>
      </c>
      <c r="AR194" s="173">
        <f t="shared" si="85"/>
        <v>43304</v>
      </c>
      <c r="AS194" s="742">
        <f t="shared" si="86"/>
        <v>0.8571428571428571</v>
      </c>
      <c r="AT194" s="758">
        <f t="shared" si="87"/>
        <v>60.707897959330253</v>
      </c>
      <c r="AU194" s="13">
        <f t="shared" si="88"/>
        <v>7</v>
      </c>
      <c r="AV194" s="13">
        <f t="shared" si="89"/>
        <v>8</v>
      </c>
      <c r="AW194" s="173">
        <f t="shared" si="90"/>
        <v>43262</v>
      </c>
      <c r="AX194" s="742">
        <f t="shared" si="91"/>
        <v>0.6428571428571429</v>
      </c>
      <c r="AY194" s="758">
        <f t="shared" si="92"/>
        <v>60.621502550957459</v>
      </c>
      <c r="AZ194" s="735">
        <f t="shared" si="96"/>
        <v>60.664700255143856</v>
      </c>
      <c r="BA194" s="633">
        <f t="shared" si="93"/>
        <v>1.013968753642656</v>
      </c>
      <c r="BC194" s="11">
        <v>43280</v>
      </c>
      <c r="BD194" s="289">
        <f>[3]!FeuilCaduc*(1-Persistant)+Persistant</f>
        <v>0.98680204058609777</v>
      </c>
      <c r="BE194" s="290">
        <f>[3]!CroissVégét</f>
        <v>0.6856469767197082</v>
      </c>
      <c r="BF194" s="804">
        <f>1+[3]!Salcycl*Ksac</f>
        <v>1.0467005101465245</v>
      </c>
      <c r="BH194" s="1037">
        <f t="shared" si="94"/>
        <v>3.400591878029624E-4</v>
      </c>
      <c r="BI194" s="11">
        <v>44376</v>
      </c>
      <c r="BJ194" s="715">
        <v>0</v>
      </c>
      <c r="BK194" s="715">
        <v>0</v>
      </c>
      <c r="BL194" s="715">
        <v>0</v>
      </c>
      <c r="BM194" s="715">
        <v>2.2689044772289746E-5</v>
      </c>
      <c r="BN194" s="715">
        <v>4.199294652882568E-4</v>
      </c>
      <c r="BO194" s="716">
        <v>1.5528731248488521E-3</v>
      </c>
      <c r="BP194" s="715">
        <v>3.9993470808927884E-3</v>
      </c>
      <c r="BQ194" s="715">
        <v>7.9342095521945117E-3</v>
      </c>
      <c r="BR194" s="715">
        <v>1.6665615637544484E-2</v>
      </c>
      <c r="BS194" s="715">
        <v>3.6137753119141719E-2</v>
      </c>
      <c r="BT194" s="715">
        <v>6.5823901447240388E-2</v>
      </c>
      <c r="BW194" s="1185">
        <f>'2019'!R\Max</f>
        <v>0.94750830368321637</v>
      </c>
      <c r="BX194" s="1185">
        <f>'2020'!R\Max</f>
        <v>0.79596315582722799</v>
      </c>
      <c r="BY194" s="1185">
        <f>'2021'!R\Max</f>
        <v>0.63652056737072304</v>
      </c>
      <c r="BZ194" s="1185">
        <f>'2022'!R\Max</f>
        <v>1.013968753642656</v>
      </c>
      <c r="CA194" s="1185">
        <f>'2023'!R\Max</f>
        <v>1.013968753642656</v>
      </c>
      <c r="CB194" s="1185">
        <f>'2024'!R\Max</f>
        <v>1.013968753642656</v>
      </c>
      <c r="CC194" s="1185">
        <f>'2025'!R\Max</f>
        <v>1.013968753642656</v>
      </c>
      <c r="CD194" s="1185">
        <f>'2026'!R\Max</f>
        <v>1.013968753642656</v>
      </c>
      <c r="CE194" s="1186">
        <f>'2027'!R\Max</f>
        <v>1.013968753642656</v>
      </c>
      <c r="CF194" s="1187">
        <f>'2028'!R\Max</f>
        <v>1.013968753642656</v>
      </c>
    </row>
    <row r="195" spans="1:84" s="6" customFormat="1" ht="11.25" x14ac:dyDescent="0.2">
      <c r="A195" s="11">
        <v>43281</v>
      </c>
      <c r="B195" s="379">
        <f>'2022'!Maxi_hp</f>
        <v>46.176742952915681</v>
      </c>
      <c r="C195" s="13">
        <f>'2022'!An_max</f>
        <v>2018</v>
      </c>
      <c r="D195" s="1046" t="str">
        <f t="shared" si="78"/>
        <v/>
      </c>
      <c r="E195" s="13"/>
      <c r="F195" s="13">
        <f t="shared" si="95"/>
        <v>15</v>
      </c>
      <c r="G195" s="13">
        <f t="shared" si="79"/>
        <v>14</v>
      </c>
      <c r="H195" s="173">
        <f t="shared" si="80"/>
        <v>43290</v>
      </c>
      <c r="I195" s="742">
        <f t="shared" si="81"/>
        <v>0.6428571428571429</v>
      </c>
      <c r="J195" s="735">
        <f t="shared" si="82"/>
        <v>60.590838520867486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39">
        <v>43281</v>
      </c>
      <c r="AP195" s="13">
        <f t="shared" si="83"/>
        <v>9</v>
      </c>
      <c r="AQ195" s="13">
        <f t="shared" si="84"/>
        <v>8</v>
      </c>
      <c r="AR195" s="173">
        <f t="shared" si="85"/>
        <v>43304</v>
      </c>
      <c r="AS195" s="742">
        <f t="shared" si="86"/>
        <v>0.8214285714285714</v>
      </c>
      <c r="AT195" s="758">
        <f t="shared" si="87"/>
        <v>60.617520121385212</v>
      </c>
      <c r="AU195" s="13">
        <f t="shared" si="88"/>
        <v>7</v>
      </c>
      <c r="AV195" s="13">
        <f t="shared" si="89"/>
        <v>8</v>
      </c>
      <c r="AW195" s="173">
        <f t="shared" si="90"/>
        <v>43262</v>
      </c>
      <c r="AX195" s="742">
        <f t="shared" si="91"/>
        <v>0.6785714285714286</v>
      </c>
      <c r="AY195" s="758">
        <f t="shared" si="92"/>
        <v>60.529505931319932</v>
      </c>
      <c r="AZ195" s="735">
        <f t="shared" si="96"/>
        <v>60.573513026352572</v>
      </c>
      <c r="BA195" s="633">
        <f t="shared" si="93"/>
        <v>0.76210767304387794</v>
      </c>
      <c r="BC195" s="11">
        <v>43281</v>
      </c>
      <c r="BD195" s="289">
        <f>[3]!FeuilCaduc*(1-Persistant)+Persistant</f>
        <v>0.98794209895328122</v>
      </c>
      <c r="BE195" s="290">
        <f>[3]!CroissVégét</f>
        <v>0.69444817721081942</v>
      </c>
      <c r="BF195" s="804">
        <f>1+[3]!Salcycl*Ksac</f>
        <v>1.0469855247383204</v>
      </c>
      <c r="BH195" s="1037">
        <f t="shared" si="94"/>
        <v>3.4518902745159637E-4</v>
      </c>
      <c r="BI195" s="11">
        <v>44377</v>
      </c>
      <c r="BJ195" s="715">
        <v>0</v>
      </c>
      <c r="BK195" s="715">
        <v>0</v>
      </c>
      <c r="BL195" s="715">
        <v>0</v>
      </c>
      <c r="BM195" s="715">
        <v>2.6801031555003903E-5</v>
      </c>
      <c r="BN195" s="715">
        <v>4.2531546069894173E-4</v>
      </c>
      <c r="BO195" s="716">
        <v>1.5591998923597927E-3</v>
      </c>
      <c r="BP195" s="715">
        <v>3.9993114873937575E-3</v>
      </c>
      <c r="BQ195" s="715">
        <v>7.9389478508867222E-3</v>
      </c>
      <c r="BR195" s="715">
        <v>1.7291935700357683E-2</v>
      </c>
      <c r="BS195" s="715">
        <v>3.7898807352188882E-2</v>
      </c>
      <c r="BT195" s="715">
        <v>6.92213528352605E-2</v>
      </c>
      <c r="BW195" s="1185">
        <f>'2019'!R\Max</f>
        <v>0.76210767304387794</v>
      </c>
      <c r="BX195" s="1185">
        <f>'2020'!R\Max</f>
        <v>0.35593739430833671</v>
      </c>
      <c r="BY195" s="1185">
        <f>'2021'!R\Max</f>
        <v>0.73905631574804564</v>
      </c>
      <c r="BZ195" s="1185">
        <f>'2022'!R\Max</f>
        <v>0.22405409042423033</v>
      </c>
      <c r="CA195" s="1185">
        <f>'2023'!R\Max</f>
        <v>0.22403162240151533</v>
      </c>
      <c r="CB195" s="1185">
        <f>'2024'!R\Max</f>
        <v>0.22400872690734669</v>
      </c>
      <c r="CC195" s="1185">
        <f>'2025'!R\Max</f>
        <v>0.22397245158310169</v>
      </c>
      <c r="CD195" s="1185">
        <f>'2026'!R\Max</f>
        <v>0.22409064083601804</v>
      </c>
      <c r="CE195" s="1186">
        <f>'2027'!R\Max</f>
        <v>0.22408020027206244</v>
      </c>
      <c r="CF195" s="1187">
        <f>'2028'!R\Max</f>
        <v>0.2240697597081068</v>
      </c>
    </row>
    <row r="196" spans="1:84" s="6" customFormat="1" ht="11.25" x14ac:dyDescent="0.2">
      <c r="A196" s="11">
        <v>43282</v>
      </c>
      <c r="B196" s="379">
        <f>'2022'!Maxi_hp</f>
        <v>60.353143786946767</v>
      </c>
      <c r="C196" s="13">
        <f>'2022'!An_max</f>
        <v>2020</v>
      </c>
      <c r="D196" s="1046">
        <f t="shared" si="78"/>
        <v>0.9976949932391671</v>
      </c>
      <c r="E196" s="13"/>
      <c r="F196" s="13">
        <f t="shared" si="95"/>
        <v>15</v>
      </c>
      <c r="G196" s="13">
        <f t="shared" si="79"/>
        <v>14</v>
      </c>
      <c r="H196" s="173">
        <f t="shared" si="80"/>
        <v>43290</v>
      </c>
      <c r="I196" s="742">
        <f t="shared" si="81"/>
        <v>0.5714285714285714</v>
      </c>
      <c r="J196" s="735">
        <f t="shared" si="82"/>
        <v>60.492579591886283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39">
        <v>43282</v>
      </c>
      <c r="AP196" s="13">
        <f t="shared" si="83"/>
        <v>9</v>
      </c>
      <c r="AQ196" s="13">
        <f t="shared" si="84"/>
        <v>8</v>
      </c>
      <c r="AR196" s="173">
        <f t="shared" si="85"/>
        <v>43304</v>
      </c>
      <c r="AS196" s="742">
        <f t="shared" si="86"/>
        <v>0.7857142857142857</v>
      </c>
      <c r="AT196" s="758">
        <f t="shared" si="87"/>
        <v>60.523714541391065</v>
      </c>
      <c r="AU196" s="13">
        <f t="shared" si="88"/>
        <v>7</v>
      </c>
      <c r="AV196" s="13">
        <f t="shared" si="89"/>
        <v>8</v>
      </c>
      <c r="AW196" s="173">
        <f t="shared" si="90"/>
        <v>43262</v>
      </c>
      <c r="AX196" s="742">
        <f t="shared" si="91"/>
        <v>0.7142857142857143</v>
      </c>
      <c r="AY196" s="758">
        <f t="shared" si="92"/>
        <v>60.435779591676372</v>
      </c>
      <c r="AZ196" s="735">
        <f t="shared" si="96"/>
        <v>60.479747066533719</v>
      </c>
      <c r="BA196" s="633">
        <f t="shared" si="93"/>
        <v>0.9976949932391671</v>
      </c>
      <c r="BC196" s="11">
        <v>43282</v>
      </c>
      <c r="BD196" s="289">
        <f>[3]!FeuilCaduc*(1-Persistant)+Persistant</f>
        <v>0.98901676531745952</v>
      </c>
      <c r="BE196" s="290">
        <f>[3]!CroissVégét</f>
        <v>0.70310971225270513</v>
      </c>
      <c r="BF196" s="804">
        <f>1+[3]!Salcycl*Ksac</f>
        <v>1.0472541913293649</v>
      </c>
      <c r="BH196" s="1037">
        <f t="shared" si="94"/>
        <v>3.5059767377249463E-4</v>
      </c>
      <c r="BI196" s="11">
        <v>44378</v>
      </c>
      <c r="BJ196" s="715">
        <v>0</v>
      </c>
      <c r="BK196" s="715">
        <v>0</v>
      </c>
      <c r="BL196" s="715">
        <v>0</v>
      </c>
      <c r="BM196" s="715">
        <v>3.1252480622142919E-5</v>
      </c>
      <c r="BN196" s="715">
        <v>4.3096499801713366E-4</v>
      </c>
      <c r="BO196" s="716">
        <v>1.5656326961445842E-3</v>
      </c>
      <c r="BP196" s="715">
        <v>3.9987010488250485E-3</v>
      </c>
      <c r="BQ196" s="715">
        <v>7.9438032210130856E-3</v>
      </c>
      <c r="BR196" s="715">
        <v>1.8000272808663533E-2</v>
      </c>
      <c r="BS196" s="715">
        <v>3.981737551817096E-2</v>
      </c>
      <c r="BT196" s="715">
        <v>7.2844270628430088E-2</v>
      </c>
      <c r="BW196" s="1185">
        <f>'2019'!R\Max</f>
        <v>0.32698561991207109</v>
      </c>
      <c r="BX196" s="1185">
        <f>'2020'!R\Max</f>
        <v>0.9976949932391671</v>
      </c>
      <c r="BY196" s="1185">
        <f>'2021'!R\Max</f>
        <v>0.92923549694287499</v>
      </c>
      <c r="BZ196" s="1185">
        <f>'2022'!R\Max</f>
        <v>0.71549018118077401</v>
      </c>
      <c r="CA196" s="1185">
        <f>'2023'!R\Max</f>
        <v>0.71546102507159581</v>
      </c>
      <c r="CB196" s="1185">
        <f>'2024'!R\Max</f>
        <v>0.71543114745895864</v>
      </c>
      <c r="CC196" s="1185">
        <f>'2025'!R\Max</f>
        <v>0.7153838590994922</v>
      </c>
      <c r="CD196" s="1185">
        <f>'2026'!R\Max</f>
        <v>0.71553785351294952</v>
      </c>
      <c r="CE196" s="1186">
        <f>'2027'!R\Max</f>
        <v>0.71552425956435339</v>
      </c>
      <c r="CF196" s="1187">
        <f>'2028'!R\Max</f>
        <v>0.7155106648612013</v>
      </c>
    </row>
    <row r="197" spans="1:84" s="6" customFormat="1" ht="11.25" x14ac:dyDescent="0.2">
      <c r="A197" s="11">
        <v>43283</v>
      </c>
      <c r="B197" s="379">
        <f>'2022'!Maxi_hp</f>
        <v>60.73236861929626</v>
      </c>
      <c r="C197" s="13">
        <f>'2022'!An_max</f>
        <v>2022</v>
      </c>
      <c r="D197" s="1046">
        <f t="shared" si="78"/>
        <v>1.0056407759433341</v>
      </c>
      <c r="E197" s="13"/>
      <c r="F197" s="13">
        <f t="shared" si="95"/>
        <v>15</v>
      </c>
      <c r="G197" s="13">
        <f t="shared" si="79"/>
        <v>14</v>
      </c>
      <c r="H197" s="173">
        <f t="shared" si="80"/>
        <v>43290</v>
      </c>
      <c r="I197" s="742">
        <f t="shared" si="81"/>
        <v>0.5</v>
      </c>
      <c r="J197" s="735">
        <f t="shared" si="82"/>
        <v>60.391712500248104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39">
        <v>43283</v>
      </c>
      <c r="AP197" s="13">
        <f t="shared" si="83"/>
        <v>9</v>
      </c>
      <c r="AQ197" s="13">
        <f t="shared" si="84"/>
        <v>8</v>
      </c>
      <c r="AR197" s="173">
        <f t="shared" si="85"/>
        <v>43304</v>
      </c>
      <c r="AS197" s="742">
        <f t="shared" si="86"/>
        <v>0.75</v>
      </c>
      <c r="AT197" s="758">
        <f t="shared" si="87"/>
        <v>60.426657812856135</v>
      </c>
      <c r="AU197" s="13">
        <f t="shared" si="88"/>
        <v>7</v>
      </c>
      <c r="AV197" s="13">
        <f t="shared" si="89"/>
        <v>8</v>
      </c>
      <c r="AW197" s="173">
        <f t="shared" si="90"/>
        <v>43262</v>
      </c>
      <c r="AX197" s="742">
        <f t="shared" si="91"/>
        <v>0.75</v>
      </c>
      <c r="AY197" s="758">
        <f t="shared" si="92"/>
        <v>60.340459374850617</v>
      </c>
      <c r="AZ197" s="735">
        <f t="shared" si="96"/>
        <v>60.38355859385338</v>
      </c>
      <c r="BA197" s="633">
        <f t="shared" si="93"/>
        <v>1.0056407759433341</v>
      </c>
      <c r="BC197" s="11">
        <v>43283</v>
      </c>
      <c r="BD197" s="289">
        <f>[3]!FeuilCaduc*(1-Persistant)+Persistant</f>
        <v>0.99002734682730487</v>
      </c>
      <c r="BE197" s="290">
        <f>[3]!CroissVégét</f>
        <v>0.71162774286802644</v>
      </c>
      <c r="BF197" s="804">
        <f>1+[3]!Salcycl*Ksac</f>
        <v>1.0475068367068263</v>
      </c>
      <c r="BH197" s="1037">
        <f t="shared" si="94"/>
        <v>3.5628498317700298E-4</v>
      </c>
      <c r="BI197" s="11">
        <v>44379</v>
      </c>
      <c r="BJ197" s="715">
        <v>0</v>
      </c>
      <c r="BK197" s="715">
        <v>0</v>
      </c>
      <c r="BL197" s="715">
        <v>0</v>
      </c>
      <c r="BM197" s="715">
        <v>3.6042957369404854E-5</v>
      </c>
      <c r="BN197" s="715">
        <v>4.3687800689200848E-4</v>
      </c>
      <c r="BO197" s="716">
        <v>1.5721723863760667E-3</v>
      </c>
      <c r="BP197" s="715">
        <v>3.9975190024593597E-3</v>
      </c>
      <c r="BQ197" s="715">
        <v>7.948780301019186E-3</v>
      </c>
      <c r="BR197" s="715">
        <v>1.8790524304474081E-2</v>
      </c>
      <c r="BS197" s="715">
        <v>4.189326955726988E-2</v>
      </c>
      <c r="BT197" s="715">
        <v>7.6692404478745493E-2</v>
      </c>
      <c r="BW197" s="1185">
        <f>'2019'!R\Max</f>
        <v>0.48837357861766578</v>
      </c>
      <c r="BX197" s="1185">
        <f>'2020'!R\Max</f>
        <v>0.86049030069060617</v>
      </c>
      <c r="BY197" s="1185">
        <f>'2021'!R\Max</f>
        <v>0.91813473364704823</v>
      </c>
      <c r="BZ197" s="1185">
        <f>'2022'!R\Max</f>
        <v>1.0056407759433341</v>
      </c>
      <c r="CA197" s="1185">
        <f>'2023'!R\Max</f>
        <v>1.0056407759433339</v>
      </c>
      <c r="CB197" s="1185">
        <f>'2024'!R\Max</f>
        <v>1.0056407759433339</v>
      </c>
      <c r="CC197" s="1185">
        <f>'2025'!R\Max</f>
        <v>1.0056407759433341</v>
      </c>
      <c r="CD197" s="1185">
        <f>'2026'!R\Max</f>
        <v>1.0056407759433343</v>
      </c>
      <c r="CE197" s="1186">
        <f>'2027'!R\Max</f>
        <v>1.0056407759433341</v>
      </c>
      <c r="CF197" s="1187">
        <f>'2028'!R\Max</f>
        <v>1.0056407759433339</v>
      </c>
    </row>
    <row r="198" spans="1:84" s="6" customFormat="1" ht="11.25" x14ac:dyDescent="0.2">
      <c r="A198" s="11">
        <v>43284</v>
      </c>
      <c r="B198" s="379">
        <f>'2022'!Maxi_hp</f>
        <v>55.166547577749505</v>
      </c>
      <c r="C198" s="13">
        <f>'2022'!An_max</f>
        <v>2022</v>
      </c>
      <c r="D198" s="1046" t="str">
        <f t="shared" si="78"/>
        <v/>
      </c>
      <c r="E198" s="13"/>
      <c r="F198" s="13">
        <f t="shared" si="95"/>
        <v>15</v>
      </c>
      <c r="G198" s="13">
        <f t="shared" si="79"/>
        <v>14</v>
      </c>
      <c r="H198" s="173">
        <f t="shared" si="80"/>
        <v>43290</v>
      </c>
      <c r="I198" s="742">
        <f t="shared" si="81"/>
        <v>0.42857142857142855</v>
      </c>
      <c r="J198" s="735">
        <f t="shared" si="82"/>
        <v>60.288563265278938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39">
        <v>43284</v>
      </c>
      <c r="AP198" s="13">
        <f t="shared" si="83"/>
        <v>9</v>
      </c>
      <c r="AQ198" s="13">
        <f t="shared" si="84"/>
        <v>8</v>
      </c>
      <c r="AR198" s="173">
        <f t="shared" si="85"/>
        <v>43304</v>
      </c>
      <c r="AS198" s="742">
        <f t="shared" si="86"/>
        <v>0.7142857142857143</v>
      </c>
      <c r="AT198" s="758">
        <f t="shared" si="87"/>
        <v>60.326526530991714</v>
      </c>
      <c r="AU198" s="13">
        <f t="shared" si="88"/>
        <v>7</v>
      </c>
      <c r="AV198" s="13">
        <f t="shared" si="89"/>
        <v>8</v>
      </c>
      <c r="AW198" s="173">
        <f t="shared" si="90"/>
        <v>43262</v>
      </c>
      <c r="AX198" s="742">
        <f t="shared" si="91"/>
        <v>0.7857142857142857</v>
      </c>
      <c r="AY198" s="758">
        <f t="shared" si="92"/>
        <v>60.243681122269479</v>
      </c>
      <c r="AZ198" s="735">
        <f t="shared" si="96"/>
        <v>60.285103826630596</v>
      </c>
      <c r="BA198" s="633">
        <f t="shared" si="93"/>
        <v>0.91504166942921206</v>
      </c>
      <c r="BC198" s="11">
        <v>43284</v>
      </c>
      <c r="BD198" s="289">
        <f>[3]!FeuilCaduc*(1-Persistant)+Persistant</f>
        <v>0.99097528802180368</v>
      </c>
      <c r="BE198" s="290">
        <f>[3]!CroissVégét</f>
        <v>0.71999879440261938</v>
      </c>
      <c r="BF198" s="804">
        <f>1+[3]!Salcycl*Ksac</f>
        <v>1.0477438220054509</v>
      </c>
      <c r="BH198" s="1037">
        <f t="shared" si="94"/>
        <v>3.6174948255580632E-4</v>
      </c>
      <c r="BI198" s="11">
        <v>44380</v>
      </c>
      <c r="BJ198" s="715">
        <v>0</v>
      </c>
      <c r="BK198" s="715">
        <v>4.9731262889537042E-8</v>
      </c>
      <c r="BL198" s="715">
        <v>1.8715797395055678E-7</v>
      </c>
      <c r="BM198" s="715">
        <v>4.0948548328660046E-5</v>
      </c>
      <c r="BN198" s="715">
        <v>4.4248316276146931E-4</v>
      </c>
      <c r="BO198" s="716">
        <v>1.5781015509868516E-3</v>
      </c>
      <c r="BP198" s="715">
        <v>4.0171476246250969E-3</v>
      </c>
      <c r="BQ198" s="715">
        <v>8.0185958297575924E-3</v>
      </c>
      <c r="BR198" s="715">
        <v>1.9709653594380698E-2</v>
      </c>
      <c r="BS198" s="715">
        <v>4.410296254805627E-2</v>
      </c>
      <c r="BT198" s="715">
        <v>8.0619349253005582E-2</v>
      </c>
      <c r="BW198" s="1185">
        <f>'2019'!R\Max</f>
        <v>0.80254558938241927</v>
      </c>
      <c r="BX198" s="1185">
        <f>'2020'!R\Max</f>
        <v>0.32760733393173325</v>
      </c>
      <c r="BY198" s="1185">
        <f>'2021'!R\Max</f>
        <v>0.4638548745292993</v>
      </c>
      <c r="BZ198" s="1185">
        <f>'2022'!R\Max</f>
        <v>0.91504166942921206</v>
      </c>
      <c r="CA198" s="1185">
        <f>'2023'!R\Max</f>
        <v>0.9150304471530869</v>
      </c>
      <c r="CB198" s="1185">
        <f>'2024'!R\Max</f>
        <v>0.91501881653460082</v>
      </c>
      <c r="CC198" s="1185">
        <f>'2025'!R\Max</f>
        <v>0.9150003977952984</v>
      </c>
      <c r="CD198" s="1185">
        <f>'2026'!R\Max</f>
        <v>0.9150600986383387</v>
      </c>
      <c r="CE198" s="1186">
        <f>'2027'!R\Max</f>
        <v>0.91505487532487484</v>
      </c>
      <c r="CF198" s="1187">
        <f>'2028'!R\Max</f>
        <v>0.91504965157959395</v>
      </c>
    </row>
    <row r="199" spans="1:84" s="6" customFormat="1" ht="11.25" x14ac:dyDescent="0.2">
      <c r="A199" s="11">
        <v>43285</v>
      </c>
      <c r="B199" s="379">
        <f>'2022'!Maxi_hp</f>
        <v>58.802223324731905</v>
      </c>
      <c r="C199" s="13">
        <f>'2022'!An_max</f>
        <v>2018</v>
      </c>
      <c r="D199" s="1046">
        <f t="shared" si="78"/>
        <v>0.97704959748849851</v>
      </c>
      <c r="E199" s="13"/>
      <c r="F199" s="13">
        <f t="shared" si="95"/>
        <v>15</v>
      </c>
      <c r="G199" s="13">
        <f t="shared" si="79"/>
        <v>14</v>
      </c>
      <c r="H199" s="173">
        <f t="shared" si="80"/>
        <v>43290</v>
      </c>
      <c r="I199" s="742">
        <f t="shared" si="81"/>
        <v>0.35714285714285715</v>
      </c>
      <c r="J199" s="735">
        <f t="shared" si="82"/>
        <v>60.183457908260493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39">
        <v>43285</v>
      </c>
      <c r="AP199" s="13">
        <f t="shared" si="83"/>
        <v>9</v>
      </c>
      <c r="AQ199" s="13">
        <f t="shared" si="84"/>
        <v>8</v>
      </c>
      <c r="AR199" s="173">
        <f t="shared" si="85"/>
        <v>43304</v>
      </c>
      <c r="AS199" s="742">
        <f t="shared" si="86"/>
        <v>0.6785714285714286</v>
      </c>
      <c r="AT199" s="758">
        <f t="shared" si="87"/>
        <v>60.223497290124314</v>
      </c>
      <c r="AU199" s="13">
        <f t="shared" si="88"/>
        <v>7</v>
      </c>
      <c r="AV199" s="13">
        <f t="shared" si="89"/>
        <v>8</v>
      </c>
      <c r="AW199" s="173">
        <f t="shared" si="90"/>
        <v>43262</v>
      </c>
      <c r="AX199" s="742">
        <f t="shared" si="91"/>
        <v>0.8214285714285714</v>
      </c>
      <c r="AY199" s="758">
        <f t="shared" si="92"/>
        <v>60.145580676111521</v>
      </c>
      <c r="AZ199" s="735">
        <f t="shared" si="96"/>
        <v>60.184538983117918</v>
      </c>
      <c r="BA199" s="633">
        <f t="shared" si="93"/>
        <v>0.97704959748849851</v>
      </c>
      <c r="BC199" s="11">
        <v>43285</v>
      </c>
      <c r="BD199" s="289">
        <f>[3]!FeuilCaduc*(1-Persistant)+Persistant</f>
        <v>0.99186215972658798</v>
      </c>
      <c r="BE199" s="290">
        <f>[3]!CroissVégét</f>
        <v>0.72821975485053358</v>
      </c>
      <c r="BF199" s="804">
        <f>1+[3]!Salcycl*Ksac</f>
        <v>1.047965539931647</v>
      </c>
      <c r="BH199" s="1037">
        <f t="shared" si="94"/>
        <v>3.6647192382069518E-4</v>
      </c>
      <c r="BI199" s="11">
        <v>44381</v>
      </c>
      <c r="BJ199" s="715">
        <v>0</v>
      </c>
      <c r="BK199" s="715">
        <v>1.4912250115248808E-7</v>
      </c>
      <c r="BL199" s="715">
        <v>5.6120563936073105E-7</v>
      </c>
      <c r="BM199" s="715">
        <v>4.5626244934236481E-5</v>
      </c>
      <c r="BN199" s="715">
        <v>4.4721686459523575E-4</v>
      </c>
      <c r="BO199" s="716">
        <v>1.5825901982060599E-3</v>
      </c>
      <c r="BP199" s="715">
        <v>4.0570228231932388E-3</v>
      </c>
      <c r="BQ199" s="715">
        <v>8.1521273276709463E-3</v>
      </c>
      <c r="BR199" s="715">
        <v>2.0719559079512982E-2</v>
      </c>
      <c r="BS199" s="715">
        <v>4.6303826672103005E-2</v>
      </c>
      <c r="BT199" s="715">
        <v>8.4311295770616232E-2</v>
      </c>
      <c r="BW199" s="1185">
        <f>'2019'!R\Max</f>
        <v>0.97704959748849851</v>
      </c>
      <c r="BX199" s="1185">
        <f>'2020'!R\Max</f>
        <v>0.87364807476429296</v>
      </c>
      <c r="BY199" s="1185">
        <f>'2021'!R\Max</f>
        <v>0.56105645248040925</v>
      </c>
      <c r="BZ199" s="1185">
        <f>'2022'!R\Max</f>
        <v>0.77484183185556887</v>
      </c>
      <c r="CA199" s="1185">
        <f>'2023'!R\Max</f>
        <v>0.7748162148096378</v>
      </c>
      <c r="CB199" s="1185">
        <f>'2024'!R\Max</f>
        <v>0.77478950787625334</v>
      </c>
      <c r="CC199" s="1185">
        <f>'2025'!R\Max</f>
        <v>0.77474709849372081</v>
      </c>
      <c r="CD199" s="1185">
        <f>'2026'!R\Max</f>
        <v>0.77488361251383087</v>
      </c>
      <c r="CE199" s="1186">
        <f>'2027'!R\Max</f>
        <v>0.77487186145707287</v>
      </c>
      <c r="CF199" s="1187">
        <f>'2028'!R\Max</f>
        <v>0.77486010964843932</v>
      </c>
    </row>
    <row r="200" spans="1:84" s="6" customFormat="1" ht="11.25" x14ac:dyDescent="0.2">
      <c r="A200" s="11">
        <v>43286</v>
      </c>
      <c r="B200" s="379">
        <f>'2022'!Maxi_hp</f>
        <v>59.857915461970457</v>
      </c>
      <c r="C200" s="13">
        <f>'2022'!An_max</f>
        <v>2022</v>
      </c>
      <c r="D200" s="1046">
        <f t="shared" si="78"/>
        <v>0.99635787409718846</v>
      </c>
      <c r="E200" s="13"/>
      <c r="F200" s="13">
        <f t="shared" si="95"/>
        <v>15</v>
      </c>
      <c r="G200" s="13">
        <f t="shared" si="79"/>
        <v>14</v>
      </c>
      <c r="H200" s="173">
        <f t="shared" si="80"/>
        <v>43290</v>
      </c>
      <c r="I200" s="742">
        <f t="shared" si="81"/>
        <v>0.2857142857142857</v>
      </c>
      <c r="J200" s="735">
        <f t="shared" si="82"/>
        <v>60.076722448957824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39">
        <v>43286</v>
      </c>
      <c r="AP200" s="13">
        <f t="shared" si="83"/>
        <v>9</v>
      </c>
      <c r="AQ200" s="13">
        <f t="shared" si="84"/>
        <v>8</v>
      </c>
      <c r="AR200" s="173">
        <f t="shared" si="85"/>
        <v>43304</v>
      </c>
      <c r="AS200" s="742">
        <f t="shared" si="86"/>
        <v>0.6428571428571429</v>
      </c>
      <c r="AT200" s="758">
        <f t="shared" si="87"/>
        <v>60.117746683582666</v>
      </c>
      <c r="AU200" s="13">
        <f t="shared" si="88"/>
        <v>7</v>
      </c>
      <c r="AV200" s="13">
        <f t="shared" si="89"/>
        <v>8</v>
      </c>
      <c r="AW200" s="173">
        <f t="shared" si="90"/>
        <v>43262</v>
      </c>
      <c r="AX200" s="742">
        <f t="shared" si="91"/>
        <v>0.8571428571428571</v>
      </c>
      <c r="AY200" s="758">
        <f t="shared" si="92"/>
        <v>60.046293877597364</v>
      </c>
      <c r="AZ200" s="735">
        <f t="shared" si="96"/>
        <v>60.082020280590015</v>
      </c>
      <c r="BA200" s="633">
        <f t="shared" si="93"/>
        <v>0.99635787409718846</v>
      </c>
      <c r="BC200" s="11">
        <v>43286</v>
      </c>
      <c r="BD200" s="289">
        <f>[3]!FeuilCaduc*(1-Persistant)+Persistant</f>
        <v>0.9926896474264294</v>
      </c>
      <c r="BE200" s="290">
        <f>[3]!CroissVégét</f>
        <v>0.73628787157048126</v>
      </c>
      <c r="BF200" s="804">
        <f>1+[3]!Salcycl*Ksac</f>
        <v>1.0481724118566074</v>
      </c>
      <c r="BH200" s="1037">
        <f t="shared" si="94"/>
        <v>3.7045366719145695E-4</v>
      </c>
      <c r="BI200" s="11">
        <v>44382</v>
      </c>
      <c r="BJ200" s="715">
        <v>0</v>
      </c>
      <c r="BK200" s="715">
        <v>2.9810427913894042E-7</v>
      </c>
      <c r="BL200" s="715">
        <v>1.1218816830282728E-6</v>
      </c>
      <c r="BM200" s="715">
        <v>5.0076476271815836E-5</v>
      </c>
      <c r="BN200" s="715">
        <v>4.5108070694496592E-4</v>
      </c>
      <c r="BO200" s="716">
        <v>1.5856414203093059E-3</v>
      </c>
      <c r="BP200" s="715">
        <v>4.1171186954469417E-3</v>
      </c>
      <c r="BQ200" s="715">
        <v>8.3492906167848338E-3</v>
      </c>
      <c r="BR200" s="715">
        <v>2.182013949904333E-2</v>
      </c>
      <c r="BS200" s="715">
        <v>4.8495937915960845E-2</v>
      </c>
      <c r="BT200" s="715">
        <v>8.7768690859931817E-2</v>
      </c>
      <c r="BW200" s="1185">
        <f>'2019'!R\Max</f>
        <v>0.95404394632931167</v>
      </c>
      <c r="BX200" s="1185">
        <f>'2020'!R\Max</f>
        <v>0.98061153593117378</v>
      </c>
      <c r="BY200" s="1185">
        <f>'2021'!R\Max</f>
        <v>0.97487337830166199</v>
      </c>
      <c r="BZ200" s="1185">
        <f>'2022'!R\Max</f>
        <v>0.99635787409718846</v>
      </c>
      <c r="CA200" s="1185">
        <f>'2023'!R\Max</f>
        <v>0.99635732752695261</v>
      </c>
      <c r="CB200" s="1185">
        <f>'2024'!R\Max</f>
        <v>0.99635675410178093</v>
      </c>
      <c r="CC200" s="1185">
        <f>'2025'!R\Max</f>
        <v>0.99635583987794352</v>
      </c>
      <c r="CD200" s="1185">
        <f>'2026'!R\Max</f>
        <v>0.99635875434944243</v>
      </c>
      <c r="CE200" s="1186">
        <f>'2027'!R\Max</f>
        <v>0.99635850948382787</v>
      </c>
      <c r="CF200" s="1187">
        <f>'2028'!R\Max</f>
        <v>0.99635826459519505</v>
      </c>
    </row>
    <row r="201" spans="1:84" s="6" customFormat="1" ht="11.25" x14ac:dyDescent="0.2">
      <c r="A201" s="11">
        <v>43287</v>
      </c>
      <c r="B201" s="379">
        <f>'2022'!Maxi_hp</f>
        <v>58.562115804958381</v>
      </c>
      <c r="C201" s="13">
        <f>'2022'!An_max</f>
        <v>2020</v>
      </c>
      <c r="D201" s="1046">
        <f t="shared" si="78"/>
        <v>0.97654497255850969</v>
      </c>
      <c r="E201" s="13"/>
      <c r="F201" s="13">
        <f t="shared" si="95"/>
        <v>15</v>
      </c>
      <c r="G201" s="13">
        <f t="shared" si="79"/>
        <v>14</v>
      </c>
      <c r="H201" s="173">
        <f t="shared" si="80"/>
        <v>43290</v>
      </c>
      <c r="I201" s="742">
        <f t="shared" si="81"/>
        <v>0.21428571428571427</v>
      </c>
      <c r="J201" s="735">
        <f t="shared" si="82"/>
        <v>59.96868290820025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39">
        <v>43287</v>
      </c>
      <c r="AP201" s="13">
        <f t="shared" si="83"/>
        <v>9</v>
      </c>
      <c r="AQ201" s="13">
        <f t="shared" si="84"/>
        <v>8</v>
      </c>
      <c r="AR201" s="173">
        <f t="shared" si="85"/>
        <v>43304</v>
      </c>
      <c r="AS201" s="742">
        <f t="shared" si="86"/>
        <v>0.6071428571428571</v>
      </c>
      <c r="AT201" s="758">
        <f t="shared" si="87"/>
        <v>60.009451307615805</v>
      </c>
      <c r="AU201" s="13">
        <f t="shared" si="88"/>
        <v>7</v>
      </c>
      <c r="AV201" s="13">
        <f t="shared" si="89"/>
        <v>8</v>
      </c>
      <c r="AW201" s="173">
        <f t="shared" si="90"/>
        <v>43262</v>
      </c>
      <c r="AX201" s="742">
        <f t="shared" si="91"/>
        <v>0.8928571428571429</v>
      </c>
      <c r="AY201" s="758">
        <f t="shared" si="92"/>
        <v>59.945956568805762</v>
      </c>
      <c r="AZ201" s="735">
        <f t="shared" si="96"/>
        <v>59.97770393821078</v>
      </c>
      <c r="BA201" s="633">
        <f t="shared" si="93"/>
        <v>0.97654497255850969</v>
      </c>
      <c r="BC201" s="11">
        <v>43287</v>
      </c>
      <c r="BD201" s="289">
        <f>[3]!FeuilCaduc*(1-Persistant)+Persistant</f>
        <v>0.99345953920229579</v>
      </c>
      <c r="BE201" s="290">
        <f>[3]!CroissVégét</f>
        <v>0.74420074649273349</v>
      </c>
      <c r="BF201" s="804">
        <f>1+[3]!Salcycl*Ksac</f>
        <v>1.048364884800574</v>
      </c>
      <c r="BH201" s="1037">
        <f t="shared" si="94"/>
        <v>3.7369605603064358E-4</v>
      </c>
      <c r="BI201" s="11">
        <v>44383</v>
      </c>
      <c r="BJ201" s="715">
        <v>0</v>
      </c>
      <c r="BK201" s="715">
        <v>4.9660930587140454E-7</v>
      </c>
      <c r="BL201" s="715">
        <v>1.8689328629826321E-6</v>
      </c>
      <c r="BM201" s="715">
        <v>5.4299673909008129E-5</v>
      </c>
      <c r="BN201" s="715">
        <v>4.5407626263813366E-4</v>
      </c>
      <c r="BO201" s="716">
        <v>1.5872582664587362E-3</v>
      </c>
      <c r="BP201" s="715">
        <v>4.1974102151983465E-3</v>
      </c>
      <c r="BQ201" s="715">
        <v>8.6100042925491681E-3</v>
      </c>
      <c r="BR201" s="715">
        <v>2.3011299512674006E-2</v>
      </c>
      <c r="BS201" s="715">
        <v>5.0679377234884596E-2</v>
      </c>
      <c r="BT201" s="715">
        <v>9.0991981235988686E-2</v>
      </c>
      <c r="BW201" s="1185">
        <f>'2019'!R\Max</f>
        <v>0.91531525376966327</v>
      </c>
      <c r="BX201" s="1185">
        <f>'2020'!R\Max</f>
        <v>0.97654497255850969</v>
      </c>
      <c r="BY201" s="1185">
        <f>'2021'!R\Max</f>
        <v>0.37811001247918591</v>
      </c>
      <c r="BZ201" s="1185">
        <f>'2022'!R\Max</f>
        <v>0.71043388018370357</v>
      </c>
      <c r="CA201" s="1185">
        <f>'2023'!R\Max</f>
        <v>0.7104018514175432</v>
      </c>
      <c r="CB201" s="1185">
        <f>'2024'!R\Max</f>
        <v>0.71036803305343288</v>
      </c>
      <c r="CC201" s="1185">
        <f>'2025'!R\Max</f>
        <v>0.71031387018106784</v>
      </c>
      <c r="CD201" s="1185">
        <f>'2026'!R\Max</f>
        <v>0.71048457031748502</v>
      </c>
      <c r="CE201" s="1186">
        <f>'2027'!R\Max</f>
        <v>0.71047066853399876</v>
      </c>
      <c r="CF201" s="1187">
        <f>'2028'!R\Max</f>
        <v>0.71045676597914886</v>
      </c>
    </row>
    <row r="202" spans="1:84" s="6" customFormat="1" ht="11.25" x14ac:dyDescent="0.2">
      <c r="A202" s="11">
        <v>43288</v>
      </c>
      <c r="B202" s="379">
        <f>'2022'!Maxi_hp</f>
        <v>59.521491557725845</v>
      </c>
      <c r="C202" s="13">
        <f>'2022'!An_max</f>
        <v>2022</v>
      </c>
      <c r="D202" s="1046">
        <f t="shared" si="78"/>
        <v>0.99435055731229016</v>
      </c>
      <c r="E202" s="13"/>
      <c r="F202" s="13">
        <f t="shared" si="95"/>
        <v>15</v>
      </c>
      <c r="G202" s="13">
        <f t="shared" si="79"/>
        <v>14</v>
      </c>
      <c r="H202" s="173">
        <f t="shared" si="80"/>
        <v>43290</v>
      </c>
      <c r="I202" s="742">
        <f t="shared" si="81"/>
        <v>0.14285714285714285</v>
      </c>
      <c r="J202" s="735">
        <f t="shared" si="82"/>
        <v>59.859665306178591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39">
        <v>43288</v>
      </c>
      <c r="AP202" s="13">
        <f t="shared" si="83"/>
        <v>9</v>
      </c>
      <c r="AQ202" s="13">
        <f t="shared" si="84"/>
        <v>8</v>
      </c>
      <c r="AR202" s="173">
        <f t="shared" si="85"/>
        <v>43304</v>
      </c>
      <c r="AS202" s="742">
        <f t="shared" si="86"/>
        <v>0.5714285714285714</v>
      </c>
      <c r="AT202" s="758">
        <f t="shared" si="87"/>
        <v>59.898787755386103</v>
      </c>
      <c r="AU202" s="13">
        <f t="shared" si="88"/>
        <v>7</v>
      </c>
      <c r="AV202" s="13">
        <f t="shared" si="89"/>
        <v>8</v>
      </c>
      <c r="AW202" s="173">
        <f t="shared" si="90"/>
        <v>43262</v>
      </c>
      <c r="AX202" s="742">
        <f t="shared" si="91"/>
        <v>0.9285714285714286</v>
      </c>
      <c r="AY202" s="758">
        <f t="shared" si="92"/>
        <v>59.844704591615923</v>
      </c>
      <c r="AZ202" s="735">
        <f t="shared" si="96"/>
        <v>59.871746173501009</v>
      </c>
      <c r="BA202" s="633">
        <f t="shared" si="93"/>
        <v>0.99435055731229016</v>
      </c>
      <c r="BC202" s="11">
        <v>43288</v>
      </c>
      <c r="BD202" s="289">
        <f>[3]!FeuilCaduc*(1-Persistant)+Persistant</f>
        <v>0.99417371332411075</v>
      </c>
      <c r="BE202" s="290">
        <f>[3]!CroissVégét</f>
        <v>0.75195632992281269</v>
      </c>
      <c r="BF202" s="804">
        <f>1+[3]!Salcycl*Ksac</f>
        <v>1.0485434283310278</v>
      </c>
      <c r="BH202" s="1037">
        <f t="shared" si="94"/>
        <v>3.7620041249389509E-4</v>
      </c>
      <c r="BI202" s="11">
        <v>44384</v>
      </c>
      <c r="BJ202" s="715">
        <v>0</v>
      </c>
      <c r="BK202" s="715">
        <v>7.4457272785005441E-7</v>
      </c>
      <c r="BL202" s="715">
        <v>2.8021151104243099E-6</v>
      </c>
      <c r="BM202" s="715">
        <v>5.8296270579570169E-5</v>
      </c>
      <c r="BN202" s="715">
        <v>4.5620507766483274E-4</v>
      </c>
      <c r="BO202" s="716">
        <v>1.5874437342100474E-3</v>
      </c>
      <c r="BP202" s="715">
        <v>4.2978733520589747E-3</v>
      </c>
      <c r="BQ202" s="715">
        <v>8.9341900993476619E-3</v>
      </c>
      <c r="BR202" s="715">
        <v>2.4292950240040523E-2</v>
      </c>
      <c r="BS202" s="715">
        <v>5.2854230512162002E-2</v>
      </c>
      <c r="BT202" s="715">
        <v>9.3981612136318657E-2</v>
      </c>
      <c r="BW202" s="1185">
        <f>'2019'!R\Max</f>
        <v>0.8029607806574629</v>
      </c>
      <c r="BX202" s="1185">
        <f>'2020'!R\Max</f>
        <v>0.5424992177323249</v>
      </c>
      <c r="BY202" s="1185">
        <f>'2021'!R\Max</f>
        <v>0.6705439062373153</v>
      </c>
      <c r="BZ202" s="1185">
        <f>'2022'!R\Max</f>
        <v>0.99435055731229016</v>
      </c>
      <c r="CA202" s="1185">
        <f>'2023'!R\Max</f>
        <v>0.99434964674803583</v>
      </c>
      <c r="CB202" s="1185">
        <f>'2024'!R\Max</f>
        <v>0.99434867872038835</v>
      </c>
      <c r="CC202" s="1185">
        <f>'2025'!R\Max</f>
        <v>0.99434712030941197</v>
      </c>
      <c r="CD202" s="1185">
        <f>'2026'!R\Max</f>
        <v>0.99435196709025198</v>
      </c>
      <c r="CE202" s="1186">
        <f>'2027'!R\Max</f>
        <v>0.99435158720989714</v>
      </c>
      <c r="CF202" s="1187">
        <f>'2028'!R\Max</f>
        <v>0.99435120729385729</v>
      </c>
    </row>
    <row r="203" spans="1:84" s="6" customFormat="1" ht="11.25" x14ac:dyDescent="0.2">
      <c r="A203" s="11">
        <v>43289</v>
      </c>
      <c r="B203" s="379">
        <f>'2022'!Maxi_hp</f>
        <v>61.731530922923696</v>
      </c>
      <c r="C203" s="13">
        <f>'2022'!An_max</f>
        <v>2020</v>
      </c>
      <c r="D203" s="1046">
        <f t="shared" si="78"/>
        <v>1.033163772445417</v>
      </c>
      <c r="E203" s="13"/>
      <c r="F203" s="13">
        <f t="shared" si="95"/>
        <v>15</v>
      </c>
      <c r="G203" s="13">
        <f t="shared" si="79"/>
        <v>14</v>
      </c>
      <c r="H203" s="173">
        <f t="shared" si="80"/>
        <v>43290</v>
      </c>
      <c r="I203" s="742">
        <f t="shared" si="81"/>
        <v>7.1428571428571425E-2</v>
      </c>
      <c r="J203" s="735">
        <f t="shared" si="82"/>
        <v>59.749995663136779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39">
        <v>43289</v>
      </c>
      <c r="AP203" s="13">
        <f t="shared" si="83"/>
        <v>9</v>
      </c>
      <c r="AQ203" s="13">
        <f t="shared" si="84"/>
        <v>8</v>
      </c>
      <c r="AR203" s="173">
        <f t="shared" si="85"/>
        <v>43304</v>
      </c>
      <c r="AS203" s="742">
        <f t="shared" si="86"/>
        <v>0.5357142857142857</v>
      </c>
      <c r="AT203" s="758">
        <f t="shared" si="87"/>
        <v>59.785932621406388</v>
      </c>
      <c r="AU203" s="13">
        <f t="shared" si="88"/>
        <v>7</v>
      </c>
      <c r="AV203" s="13">
        <f t="shared" si="89"/>
        <v>8</v>
      </c>
      <c r="AW203" s="173">
        <f t="shared" si="90"/>
        <v>43262</v>
      </c>
      <c r="AX203" s="742">
        <f t="shared" si="91"/>
        <v>0.9642857142857143</v>
      </c>
      <c r="AY203" s="758">
        <f t="shared" si="92"/>
        <v>59.742673788033429</v>
      </c>
      <c r="AZ203" s="735">
        <f t="shared" si="96"/>
        <v>59.764303204719909</v>
      </c>
      <c r="BA203" s="633">
        <f t="shared" si="93"/>
        <v>1.033163772445417</v>
      </c>
      <c r="BC203" s="11">
        <v>43289</v>
      </c>
      <c r="BD203" s="289">
        <f>[3]!FeuilCaduc*(1-Persistant)+Persistant</f>
        <v>0.99483412559225748</v>
      </c>
      <c r="BE203" s="290">
        <f>[3]!CroissVégét</f>
        <v>0.75955291305401751</v>
      </c>
      <c r="BF203" s="804">
        <f>1+[3]!Salcycl*Ksac</f>
        <v>1.0487085313980644</v>
      </c>
      <c r="BH203" s="1037">
        <f t="shared" si="94"/>
        <v>3.7796803318254857E-4</v>
      </c>
      <c r="BI203" s="11">
        <v>44385</v>
      </c>
      <c r="BJ203" s="715">
        <v>0</v>
      </c>
      <c r="BK203" s="715">
        <v>1.0419324218675613E-6</v>
      </c>
      <c r="BL203" s="715">
        <v>3.921194631700312E-6</v>
      </c>
      <c r="BM203" s="715">
        <v>6.2066698868100054E-5</v>
      </c>
      <c r="BN203" s="715">
        <v>4.5746866606732265E-4</v>
      </c>
      <c r="BO203" s="716">
        <v>1.5862007610287392E-3</v>
      </c>
      <c r="BP203" s="715">
        <v>4.4184851907370405E-3</v>
      </c>
      <c r="BQ203" s="715">
        <v>9.3217733060657962E-3</v>
      </c>
      <c r="BR203" s="715">
        <v>2.5665009800291301E-2</v>
      </c>
      <c r="BS203" s="715">
        <v>5.5020588518817422E-2</v>
      </c>
      <c r="BT203" s="715">
        <v>9.6738025957412474E-2</v>
      </c>
      <c r="BW203" s="1185">
        <f>'2019'!R\Max</f>
        <v>0.6469630570310716</v>
      </c>
      <c r="BX203" s="1185">
        <f>'2020'!R\Max</f>
        <v>1.033163772445417</v>
      </c>
      <c r="BY203" s="1185">
        <f>'2021'!R\Max</f>
        <v>0.73117956188576039</v>
      </c>
      <c r="BZ203" s="1185">
        <f>'2022'!R\Max</f>
        <v>1.0173039193298983</v>
      </c>
      <c r="CA203" s="1185">
        <f>'2023'!R\Max</f>
        <v>1.0173039193298983</v>
      </c>
      <c r="CB203" s="1185">
        <f>'2024'!R\Max</f>
        <v>1.0173039193298981</v>
      </c>
      <c r="CC203" s="1185">
        <f>'2025'!R\Max</f>
        <v>1.0173039193298983</v>
      </c>
      <c r="CD203" s="1185">
        <f>'2026'!R\Max</f>
        <v>1.0173039193298983</v>
      </c>
      <c r="CE203" s="1186">
        <f>'2027'!R\Max</f>
        <v>1.0173039193298983</v>
      </c>
      <c r="CF203" s="1187">
        <f>'2028'!R\Max</f>
        <v>1.0173039193298983</v>
      </c>
    </row>
    <row r="204" spans="1:84" s="6" customFormat="1" ht="11.25" x14ac:dyDescent="0.2">
      <c r="A204" s="11">
        <v>43290</v>
      </c>
      <c r="B204" s="379">
        <f>'2022'!Maxi_hp</f>
        <v>60.405360764254944</v>
      </c>
      <c r="C204" s="13">
        <f>'2022'!An_max</f>
        <v>2022</v>
      </c>
      <c r="D204" s="1046">
        <f t="shared" si="78"/>
        <v>1.012833010801764</v>
      </c>
      <c r="E204" s="1041">
        <f>AA$13/10</f>
        <v>59.64</v>
      </c>
      <c r="F204" s="13">
        <f t="shared" si="95"/>
        <v>15</v>
      </c>
      <c r="G204" s="13">
        <f t="shared" si="79"/>
        <v>16</v>
      </c>
      <c r="H204" s="173">
        <f t="shared" si="80"/>
        <v>43290</v>
      </c>
      <c r="I204" s="742">
        <f t="shared" si="81"/>
        <v>0</v>
      </c>
      <c r="J204" s="735">
        <f t="shared" si="82"/>
        <v>59.640000000037254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39">
        <v>43290</v>
      </c>
      <c r="AP204" s="13">
        <f t="shared" si="83"/>
        <v>9</v>
      </c>
      <c r="AQ204" s="13">
        <f t="shared" si="84"/>
        <v>8</v>
      </c>
      <c r="AR204" s="173">
        <f t="shared" si="85"/>
        <v>43304</v>
      </c>
      <c r="AS204" s="742">
        <f t="shared" si="86"/>
        <v>0.5</v>
      </c>
      <c r="AT204" s="758">
        <f t="shared" si="87"/>
        <v>59.671062500495466</v>
      </c>
      <c r="AU204" s="13">
        <f t="shared" si="88"/>
        <v>9</v>
      </c>
      <c r="AV204" s="13">
        <f t="shared" si="89"/>
        <v>8</v>
      </c>
      <c r="AW204" s="173">
        <f t="shared" si="90"/>
        <v>43318</v>
      </c>
      <c r="AX204" s="742">
        <f t="shared" si="91"/>
        <v>1</v>
      </c>
      <c r="AY204" s="758">
        <f t="shared" si="92"/>
        <v>59.639999999850986</v>
      </c>
      <c r="AZ204" s="735">
        <f t="shared" si="96"/>
        <v>59.655531250173226</v>
      </c>
      <c r="BA204" s="633">
        <f t="shared" si="93"/>
        <v>1.012833010801764</v>
      </c>
      <c r="BC204" s="11">
        <v>43290</v>
      </c>
      <c r="BD204" s="289">
        <f>[3]!FeuilCaduc*(1-Persistant)+Persistant</f>
        <v>0.99544279652192258</v>
      </c>
      <c r="BE204" s="290">
        <f>[3]!CroissVégét</f>
        <v>0.76698911930492164</v>
      </c>
      <c r="BF204" s="804">
        <f>1+[3]!Salcycl*Ksac</f>
        <v>1.0488606991304807</v>
      </c>
      <c r="BH204" s="1037">
        <f t="shared" si="94"/>
        <v>3.7900018478475536E-4</v>
      </c>
      <c r="BI204" s="11">
        <v>44386</v>
      </c>
      <c r="BJ204" s="715">
        <v>0</v>
      </c>
      <c r="BK204" s="715">
        <v>1.3886292878016516E-6</v>
      </c>
      <c r="BL204" s="715">
        <v>5.2259490101957696E-6</v>
      </c>
      <c r="BM204" s="715">
        <v>6.5611389892948364E-5</v>
      </c>
      <c r="BN204" s="715">
        <v>4.5786850481563976E-4</v>
      </c>
      <c r="BO204" s="716">
        <v>1.5835322157578869E-3</v>
      </c>
      <c r="BP204" s="715">
        <v>4.5592240502037419E-3</v>
      </c>
      <c r="BQ204" s="715">
        <v>9.7726830813865909E-3</v>
      </c>
      <c r="BR204" s="715">
        <v>2.7127403850926293E-2</v>
      </c>
      <c r="BS204" s="715">
        <v>5.717854687170127E-2</v>
      </c>
      <c r="BT204" s="715">
        <v>9.9261660888310774E-2</v>
      </c>
      <c r="BW204" s="1185">
        <f>'2019'!R\Max</f>
        <v>0.4024980783047995</v>
      </c>
      <c r="BX204" s="1185">
        <f>'2020'!R\Max</f>
        <v>1.0025908035580675</v>
      </c>
      <c r="BY204" s="1185">
        <f>'2021'!R\Max</f>
        <v>0.88479784350741653</v>
      </c>
      <c r="BZ204" s="1185">
        <f>'2022'!R\Max</f>
        <v>1.012833010801764</v>
      </c>
      <c r="CA204" s="1185">
        <f>'2023'!R\Max</f>
        <v>1.012833010801764</v>
      </c>
      <c r="CB204" s="1185">
        <f>'2024'!R\Max</f>
        <v>1.012833010801764</v>
      </c>
      <c r="CC204" s="1185">
        <f>'2025'!R\Max</f>
        <v>1.012833010801764</v>
      </c>
      <c r="CD204" s="1185">
        <f>'2026'!R\Max</f>
        <v>1.012833010801764</v>
      </c>
      <c r="CE204" s="1186">
        <f>'2027'!R\Max</f>
        <v>1.012833010801764</v>
      </c>
      <c r="CF204" s="1187">
        <f>'2028'!R\Max</f>
        <v>1.012833010801764</v>
      </c>
    </row>
    <row r="205" spans="1:84" s="6" customFormat="1" ht="11.25" x14ac:dyDescent="0.2">
      <c r="A205" s="11">
        <v>43291</v>
      </c>
      <c r="B205" s="379">
        <f>'2022'!Maxi_hp</f>
        <v>59.978048580009023</v>
      </c>
      <c r="C205" s="13">
        <f>'2022'!An_max</f>
        <v>2022</v>
      </c>
      <c r="D205" s="1046">
        <f t="shared" si="78"/>
        <v>1.0075441398630591</v>
      </c>
      <c r="E205" s="13"/>
      <c r="F205" s="13">
        <f t="shared" si="95"/>
        <v>15</v>
      </c>
      <c r="G205" s="13">
        <f t="shared" si="79"/>
        <v>16</v>
      </c>
      <c r="H205" s="173">
        <f t="shared" si="80"/>
        <v>43290</v>
      </c>
      <c r="I205" s="742">
        <f t="shared" si="81"/>
        <v>7.1428571428571425E-2</v>
      </c>
      <c r="J205" s="735">
        <f t="shared" si="82"/>
        <v>59.52895382644077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39">
        <v>43291</v>
      </c>
      <c r="AP205" s="13">
        <f t="shared" si="83"/>
        <v>9</v>
      </c>
      <c r="AQ205" s="13">
        <f t="shared" si="84"/>
        <v>8</v>
      </c>
      <c r="AR205" s="173">
        <f t="shared" si="85"/>
        <v>43304</v>
      </c>
      <c r="AS205" s="742">
        <f t="shared" si="86"/>
        <v>0.4642857142857143</v>
      </c>
      <c r="AT205" s="758">
        <f t="shared" si="87"/>
        <v>59.554353986321281</v>
      </c>
      <c r="AU205" s="13">
        <f t="shared" si="88"/>
        <v>9</v>
      </c>
      <c r="AV205" s="13">
        <f t="shared" si="89"/>
        <v>8</v>
      </c>
      <c r="AW205" s="173">
        <f t="shared" si="90"/>
        <v>43318</v>
      </c>
      <c r="AX205" s="742">
        <f t="shared" si="91"/>
        <v>0.9642857142857143</v>
      </c>
      <c r="AY205" s="758">
        <f t="shared" si="92"/>
        <v>59.535795727126036</v>
      </c>
      <c r="AZ205" s="735">
        <f t="shared" si="96"/>
        <v>59.545074856723659</v>
      </c>
      <c r="BA205" s="633">
        <f t="shared" si="93"/>
        <v>1.0075441398630591</v>
      </c>
      <c r="BC205" s="11">
        <v>43291</v>
      </c>
      <c r="BD205" s="289">
        <f>[3]!FeuilCaduc*(1-Persistant)+Persistant</f>
        <v>0.99600179846457615</v>
      </c>
      <c r="BE205" s="290">
        <f>[3]!CroissVégét</f>
        <v>0.77426389460057909</v>
      </c>
      <c r="BF205" s="804">
        <f>1+[3]!Salcycl*Ksac</f>
        <v>1.049000449616144</v>
      </c>
      <c r="BH205" s="1037">
        <f t="shared" si="94"/>
        <v>3.7929809973264453E-4</v>
      </c>
      <c r="BI205" s="11">
        <v>44387</v>
      </c>
      <c r="BJ205" s="715">
        <v>0</v>
      </c>
      <c r="BK205" s="715">
        <v>1.7846075414418691E-6</v>
      </c>
      <c r="BL205" s="715">
        <v>6.716168308354291E-6</v>
      </c>
      <c r="BM205" s="715">
        <v>6.8930771991634063E-5</v>
      </c>
      <c r="BN205" s="715">
        <v>4.5740602870266128E-4</v>
      </c>
      <c r="BO205" s="716">
        <v>1.5794408901536035E-3</v>
      </c>
      <c r="BP205" s="715">
        <v>4.7200696030438825E-3</v>
      </c>
      <c r="BQ205" s="715">
        <v>1.0286852869470724E-2</v>
      </c>
      <c r="BR205" s="715">
        <v>2.8680066127681036E-2</v>
      </c>
      <c r="BS205" s="715">
        <v>5.9328205993846188E-2</v>
      </c>
      <c r="BT205" s="715">
        <v>0.10155294954821614</v>
      </c>
      <c r="BW205" s="1185">
        <f>'2019'!R\Max</f>
        <v>0.97019368289970209</v>
      </c>
      <c r="BX205" s="1185">
        <f>'2020'!R\Max</f>
        <v>0.94368421211364251</v>
      </c>
      <c r="BY205" s="1185">
        <f>'2021'!R\Max</f>
        <v>0.87031174180208681</v>
      </c>
      <c r="BZ205" s="1185">
        <f>'2022'!R\Max</f>
        <v>1.0075441398630591</v>
      </c>
      <c r="CA205" s="1185">
        <f>'2023'!R\Max</f>
        <v>1.0075441398630591</v>
      </c>
      <c r="CB205" s="1185">
        <f>'2024'!R\Max</f>
        <v>1.0075441398630591</v>
      </c>
      <c r="CC205" s="1185">
        <f>'2025'!R\Max</f>
        <v>1.0075441398630591</v>
      </c>
      <c r="CD205" s="1185">
        <f>'2026'!R\Max</f>
        <v>1.0075441398630591</v>
      </c>
      <c r="CE205" s="1186">
        <f>'2027'!R\Max</f>
        <v>1.0075441398630591</v>
      </c>
      <c r="CF205" s="1187">
        <f>'2028'!R\Max</f>
        <v>1.0075441398630591</v>
      </c>
    </row>
    <row r="206" spans="1:84" s="6" customFormat="1" ht="11.25" x14ac:dyDescent="0.2">
      <c r="A206" s="11">
        <v>43292</v>
      </c>
      <c r="B206" s="379">
        <f>'2022'!Maxi_hp</f>
        <v>59.049880258417886</v>
      </c>
      <c r="C206" s="13">
        <f>'2022'!An_max</f>
        <v>2022</v>
      </c>
      <c r="D206" s="1046">
        <f t="shared" si="78"/>
        <v>0.99383823259384929</v>
      </c>
      <c r="E206" s="13"/>
      <c r="F206" s="13">
        <f t="shared" si="95"/>
        <v>15</v>
      </c>
      <c r="G206" s="13">
        <f t="shared" si="79"/>
        <v>16</v>
      </c>
      <c r="H206" s="173">
        <f t="shared" si="80"/>
        <v>43290</v>
      </c>
      <c r="I206" s="742">
        <f t="shared" si="81"/>
        <v>0.14285714285714285</v>
      </c>
      <c r="J206" s="735">
        <f t="shared" si="82"/>
        <v>59.415987755171955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39">
        <v>43292</v>
      </c>
      <c r="AP206" s="13">
        <f t="shared" si="83"/>
        <v>9</v>
      </c>
      <c r="AQ206" s="13">
        <f t="shared" si="84"/>
        <v>8</v>
      </c>
      <c r="AR206" s="173">
        <f t="shared" si="85"/>
        <v>43304</v>
      </c>
      <c r="AS206" s="742">
        <f t="shared" si="86"/>
        <v>0.42857142857142855</v>
      </c>
      <c r="AT206" s="758">
        <f t="shared" si="87"/>
        <v>59.435983673696001</v>
      </c>
      <c r="AU206" s="13">
        <f t="shared" si="88"/>
        <v>9</v>
      </c>
      <c r="AV206" s="13">
        <f t="shared" si="89"/>
        <v>8</v>
      </c>
      <c r="AW206" s="173">
        <f t="shared" si="90"/>
        <v>43318</v>
      </c>
      <c r="AX206" s="742">
        <f t="shared" si="91"/>
        <v>0.9285714285714286</v>
      </c>
      <c r="AY206" s="758">
        <f t="shared" si="92"/>
        <v>59.429137244793978</v>
      </c>
      <c r="AZ206" s="735">
        <f t="shared" si="96"/>
        <v>59.432560459244989</v>
      </c>
      <c r="BA206" s="633">
        <f t="shared" si="93"/>
        <v>0.99383823259384929</v>
      </c>
      <c r="BC206" s="11">
        <v>43292</v>
      </c>
      <c r="BD206" s="289">
        <f>[3]!FeuilCaduc*(1-Persistant)+Persistant</f>
        <v>0.99651324276022013</v>
      </c>
      <c r="BE206" s="290">
        <f>[3]!CroissVégét</f>
        <v>0.78137649671730769</v>
      </c>
      <c r="BF206" s="804">
        <f>1+[3]!Salcycl*Ksac</f>
        <v>1.0491283106900551</v>
      </c>
      <c r="BH206" s="1037">
        <f t="shared" si="94"/>
        <v>3.7927826512433653E-4</v>
      </c>
      <c r="BI206" s="11">
        <v>44388</v>
      </c>
      <c r="BJ206" s="715">
        <v>0</v>
      </c>
      <c r="BK206" s="715">
        <v>2.229815007278782E-6</v>
      </c>
      <c r="BL206" s="715">
        <v>8.3916561695569659E-6</v>
      </c>
      <c r="BM206" s="715">
        <v>7.2170613780522591E-5</v>
      </c>
      <c r="BN206" s="715">
        <v>4.5656585461354961E-4</v>
      </c>
      <c r="BO206" s="716">
        <v>1.5840985614652804E-3</v>
      </c>
      <c r="BP206" s="715">
        <v>4.943825307579904E-3</v>
      </c>
      <c r="BQ206" s="715">
        <v>1.0954601986307268E-2</v>
      </c>
      <c r="BR206" s="715">
        <v>3.0371440053403205E-2</v>
      </c>
      <c r="BS206" s="715">
        <v>6.1510858693670199E-2</v>
      </c>
      <c r="BT206" s="715">
        <v>0.10368877303197772</v>
      </c>
      <c r="BW206" s="1185">
        <f>'2019'!R\Max</f>
        <v>0.97670813628707198</v>
      </c>
      <c r="BX206" s="1185">
        <f>'2020'!R\Max</f>
        <v>0.80550856190022913</v>
      </c>
      <c r="BY206" s="1185">
        <f>'2021'!R\Max</f>
        <v>0.91489689459478596</v>
      </c>
      <c r="BZ206" s="1185">
        <f>'2022'!R\Max</f>
        <v>0.99383823259384929</v>
      </c>
      <c r="CA206" s="1185">
        <f>'2023'!R\Max</f>
        <v>0.99383699002155357</v>
      </c>
      <c r="CB206" s="1185">
        <f>'2024'!R\Max</f>
        <v>0.9938356314628165</v>
      </c>
      <c r="CC206" s="1185">
        <f>'2025'!R\Max</f>
        <v>0.99383340685961452</v>
      </c>
      <c r="CD206" s="1185">
        <f>'2026'!R\Max</f>
        <v>0.9938399469282907</v>
      </c>
      <c r="CE206" s="1186">
        <f>'2027'!R\Max</f>
        <v>0.99383953011890969</v>
      </c>
      <c r="CF206" s="1187">
        <f>'2028'!R\Max</f>
        <v>0.99383911327014784</v>
      </c>
    </row>
    <row r="207" spans="1:84" s="6" customFormat="1" ht="11.25" x14ac:dyDescent="0.2">
      <c r="A207" s="11">
        <v>43293</v>
      </c>
      <c r="B207" s="379">
        <f>'2022'!Maxi_hp</f>
        <v>57.793763813977158</v>
      </c>
      <c r="C207" s="13">
        <f>'2022'!An_max</f>
        <v>2022</v>
      </c>
      <c r="D207" s="1046">
        <f t="shared" ref="D207:D270" si="97">IF($BA207&gt;$D$11,BA207,"")</f>
        <v>0.97457983346957711</v>
      </c>
      <c r="E207" s="13"/>
      <c r="F207" s="13">
        <f t="shared" si="95"/>
        <v>15</v>
      </c>
      <c r="G207" s="13">
        <f t="shared" ref="G207:G270" si="98">INT((MATCH($A207,x.2m)+1)/2)*2</f>
        <v>16</v>
      </c>
      <c r="H207" s="173">
        <f t="shared" ref="H207:H270" si="99">INDEX(x.2m,F207)</f>
        <v>43290</v>
      </c>
      <c r="I207" s="742">
        <f t="shared" ref="I207:I270" si="100">($A207-H207)/(INDEX(x.2m,G207)-H207)</f>
        <v>0.21428571428571427</v>
      </c>
      <c r="J207" s="735">
        <f t="shared" ref="J207:J270" si="101">((1-I207)*(INDEX(a.m,F207)*$A207*$A207+INDEX(b.m,F207)*$A207+INDEX(c.m,F207))+I207*(INDEX(a.m,G207)*$A207*$A207+INDEX(b.m,G207)*$A207+INDEX(c.m,G207)))/10</f>
        <v>59.301210459308436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39">
        <v>43293</v>
      </c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73">
        <f t="shared" ref="AR207:AR270" si="104">INDEX(x.2lg,AP207)</f>
        <v>43304</v>
      </c>
      <c r="AS207" s="742">
        <f t="shared" ref="AS207:AS270" si="105">($A207-AR207)/(INDEX(x.2lg,AQ207)-AR207)</f>
        <v>0.39285714285714285</v>
      </c>
      <c r="AT207" s="758">
        <f t="shared" ref="AT207:AT270" si="106">((1-AS207)*(INDEX(a.lg,AP207)*$A207*$A207+INDEX(b.lg,AP207)*$A207+INDEX(c.lg,AP207))+AS207*(INDEX(a.lg,AQ207)*$A207*$A207+INDEX(b.lg,AQ207)*$A207+INDEX(c.lg,AQ207)))/10</f>
        <v>59.316128157119138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73">
        <f t="shared" ref="AW207:AW270" si="109">INDEX(x.2ld,AU207)</f>
        <v>43318</v>
      </c>
      <c r="AX207" s="742">
        <f t="shared" ref="AX207:AX270" si="110">($A207-AW207)/(INDEX(x.2ld,AV207)-AW207)</f>
        <v>0.8928571428571429</v>
      </c>
      <c r="AY207" s="758">
        <f t="shared" ref="AY207:AY270" si="111">((1-AX207)*(INDEX(a.ld,AU207)*$A207*$A207+INDEX(b.ld,AU207)*$A207+INDEX(c.ld,AU207))+AX207*(INDEX(a.ld,AV207)*$A207*$A207+INDEX(b.ld,AV207)*$A207+INDEX(c.ld,AV207)))/10</f>
        <v>59.320106058687507</v>
      </c>
      <c r="AZ207" s="735">
        <f t="shared" si="96"/>
        <v>59.318117107903319</v>
      </c>
      <c r="BA207" s="633">
        <f t="shared" ref="BA207:BA270" si="112">+B207/J207</f>
        <v>0.97457983346957711</v>
      </c>
      <c r="BC207" s="11">
        <v>43293</v>
      </c>
      <c r="BD207" s="289">
        <f>[3]!FeuilCaduc*(1-Persistant)+Persistant</f>
        <v>0.99697926701252793</v>
      </c>
      <c r="BE207" s="290">
        <f>[3]!CroissVégét</f>
        <v>0.78832648381074411</v>
      </c>
      <c r="BF207" s="804">
        <f>1+[3]!Salcycl*Ksac</f>
        <v>1.0492448167531321</v>
      </c>
      <c r="BH207" s="1037">
        <f t="shared" ref="BH207:BH270" si="113">INDEX($BJ207:$BT207,,$BH$10)*(1-Ratini)+INDEX($BJ207:$BT207,,$BH$10+1)*Ratini</f>
        <v>3.791780344018989E-4</v>
      </c>
      <c r="BI207" s="11">
        <v>44389</v>
      </c>
      <c r="BJ207" s="715">
        <v>0</v>
      </c>
      <c r="BK207" s="715">
        <v>2.7242034113078654E-6</v>
      </c>
      <c r="BL207" s="715">
        <v>1.0252230920056608E-5</v>
      </c>
      <c r="BM207" s="715">
        <v>7.5331153927136351E-5</v>
      </c>
      <c r="BN207" s="715">
        <v>4.5564500897239256E-4</v>
      </c>
      <c r="BO207" s="716">
        <v>1.5982176757711923E-3</v>
      </c>
      <c r="BP207" s="715">
        <v>5.2315409314558419E-3</v>
      </c>
      <c r="BQ207" s="715">
        <v>1.1776697615719929E-2</v>
      </c>
      <c r="BR207" s="715">
        <v>3.2157056993387445E-2</v>
      </c>
      <c r="BS207" s="715">
        <v>6.3710218477202582E-2</v>
      </c>
      <c r="BT207" s="715">
        <v>0.10575469098752059</v>
      </c>
      <c r="BW207" s="1185">
        <f>'2019'!R\Max</f>
        <v>0.95452704397046406</v>
      </c>
      <c r="BX207" s="1185">
        <f>'2020'!R\Max</f>
        <v>0.63529596630136109</v>
      </c>
      <c r="BY207" s="1185">
        <f>'2021'!R\Max</f>
        <v>0.19701623998070344</v>
      </c>
      <c r="BZ207" s="1185">
        <f>'2022'!R\Max</f>
        <v>0.97457983346957711</v>
      </c>
      <c r="CA207" s="1185">
        <f>'2023'!R\Max</f>
        <v>0.97457438411307407</v>
      </c>
      <c r="CB207" s="1185">
        <f>'2024'!R\Max</f>
        <v>0.97456838768920917</v>
      </c>
      <c r="CC207" s="1185">
        <f>'2025'!R\Max</f>
        <v>0.97455856379651751</v>
      </c>
      <c r="CD207" s="1185">
        <f>'2026'!R\Max</f>
        <v>0.97458711616757199</v>
      </c>
      <c r="CE207" s="1186">
        <f>'2027'!R\Max</f>
        <v>0.97458540336009025</v>
      </c>
      <c r="CF207" s="1187">
        <f>'2028'!R\Max</f>
        <v>0.97458369039278681</v>
      </c>
    </row>
    <row r="208" spans="1:84" s="6" customFormat="1" ht="11.25" x14ac:dyDescent="0.2">
      <c r="A208" s="11">
        <v>43294</v>
      </c>
      <c r="B208" s="379">
        <f>'2022'!Maxi_hp</f>
        <v>57.86436059666881</v>
      </c>
      <c r="C208" s="13">
        <f>'2022'!An_max</f>
        <v>2022</v>
      </c>
      <c r="D208" s="1046">
        <f t="shared" si="97"/>
        <v>0.97769069822399102</v>
      </c>
      <c r="E208" s="13"/>
      <c r="F208" s="13">
        <f t="shared" ref="F208:F271" si="114">INT(MATCH($A208,x.2m)/2)*2+1</f>
        <v>15</v>
      </c>
      <c r="G208" s="13">
        <f t="shared" si="98"/>
        <v>16</v>
      </c>
      <c r="H208" s="173">
        <f t="shared" si="99"/>
        <v>43290</v>
      </c>
      <c r="I208" s="742">
        <f t="shared" si="100"/>
        <v>0.2857142857142857</v>
      </c>
      <c r="J208" s="735">
        <f t="shared" si="101"/>
        <v>59.184730612433384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39">
        <v>43294</v>
      </c>
      <c r="AP208" s="13">
        <f t="shared" si="102"/>
        <v>9</v>
      </c>
      <c r="AQ208" s="13">
        <f t="shared" si="103"/>
        <v>8</v>
      </c>
      <c r="AR208" s="173">
        <f t="shared" si="104"/>
        <v>43304</v>
      </c>
      <c r="AS208" s="742">
        <f t="shared" si="105"/>
        <v>0.35714285714285715</v>
      </c>
      <c r="AT208" s="758">
        <f t="shared" si="106"/>
        <v>59.194964030770848</v>
      </c>
      <c r="AU208" s="13">
        <f t="shared" si="107"/>
        <v>9</v>
      </c>
      <c r="AV208" s="13">
        <f t="shared" si="108"/>
        <v>8</v>
      </c>
      <c r="AW208" s="173">
        <f t="shared" si="109"/>
        <v>43318</v>
      </c>
      <c r="AX208" s="742">
        <f t="shared" si="110"/>
        <v>0.8571428571428571</v>
      </c>
      <c r="AY208" s="758">
        <f t="shared" si="111"/>
        <v>59.208783673202355</v>
      </c>
      <c r="AZ208" s="735">
        <f t="shared" ref="AZ208:AZ271" si="115">(AY208+AT208)/2</f>
        <v>59.201873851986605</v>
      </c>
      <c r="BA208" s="633">
        <f t="shared" si="112"/>
        <v>0.97769069822399102</v>
      </c>
      <c r="BC208" s="11">
        <v>43294</v>
      </c>
      <c r="BD208" s="289">
        <f>[3]!FeuilCaduc*(1-Persistant)+Persistant</f>
        <v>0.99740202257665411</v>
      </c>
      <c r="BE208" s="290">
        <f>[3]!CroissVégét</f>
        <v>0.79511370224543498</v>
      </c>
      <c r="BF208" s="804">
        <f>1+[3]!Salcycl*Ksac</f>
        <v>1.0493505056441634</v>
      </c>
      <c r="BH208" s="1037">
        <f t="shared" si="113"/>
        <v>3.7899773788645469E-4</v>
      </c>
      <c r="BI208" s="11">
        <v>44390</v>
      </c>
      <c r="BJ208" s="715">
        <v>0</v>
      </c>
      <c r="BK208" s="715">
        <v>3.2677286738723827E-6</v>
      </c>
      <c r="BL208" s="715">
        <v>1.2297726671058771E-5</v>
      </c>
      <c r="BM208" s="715">
        <v>7.8412633924990877E-5</v>
      </c>
      <c r="BN208" s="715">
        <v>4.5464384445492262E-4</v>
      </c>
      <c r="BO208" s="716">
        <v>1.6217879340357513E-3</v>
      </c>
      <c r="BP208" s="715">
        <v>5.583149306807862E-3</v>
      </c>
      <c r="BQ208" s="715">
        <v>1.2752981062038725E-2</v>
      </c>
      <c r="BR208" s="715">
        <v>3.403687477273503E-2</v>
      </c>
      <c r="BS208" s="715">
        <v>6.5926371325057825E-2</v>
      </c>
      <c r="BT208" s="715">
        <v>0.1077509184970465</v>
      </c>
      <c r="BW208" s="1185">
        <f>'2019'!R\Max</f>
        <v>0.87646609828282784</v>
      </c>
      <c r="BX208" s="1185">
        <f>'2020'!R\Max</f>
        <v>0.70333343366955059</v>
      </c>
      <c r="BY208" s="1185">
        <f>'2021'!R\Max</f>
        <v>0.452379186896811</v>
      </c>
      <c r="BZ208" s="1185">
        <f>'2022'!R\Max</f>
        <v>0.97769069822399102</v>
      </c>
      <c r="CA208" s="1185">
        <f>'2023'!R\Max</f>
        <v>0.97768545468124834</v>
      </c>
      <c r="CB208" s="1185">
        <f>'2024'!R\Max</f>
        <v>0.97767965013859459</v>
      </c>
      <c r="CC208" s="1185">
        <f>'2025'!R\Max</f>
        <v>0.97767015186198425</v>
      </c>
      <c r="CD208" s="1185">
        <f>'2026'!R\Max</f>
        <v>0.97769749531517902</v>
      </c>
      <c r="CE208" s="1186">
        <f>'2027'!R\Max</f>
        <v>0.97769595122935038</v>
      </c>
      <c r="CF208" s="1187">
        <f>'2028'!R\Max</f>
        <v>0.97769440699531263</v>
      </c>
    </row>
    <row r="209" spans="1:84" s="6" customFormat="1" ht="11.25" x14ac:dyDescent="0.2">
      <c r="A209" s="11">
        <v>43295</v>
      </c>
      <c r="B209" s="379">
        <f>'2022'!Maxi_hp</f>
        <v>58.629820417743659</v>
      </c>
      <c r="C209" s="13">
        <f>'2022'!An_max</f>
        <v>2018</v>
      </c>
      <c r="D209" s="1046">
        <f t="shared" si="97"/>
        <v>0.9926043474769477</v>
      </c>
      <c r="E209" s="13"/>
      <c r="F209" s="13">
        <f t="shared" si="114"/>
        <v>15</v>
      </c>
      <c r="G209" s="13">
        <f t="shared" si="98"/>
        <v>16</v>
      </c>
      <c r="H209" s="173">
        <f t="shared" si="99"/>
        <v>43290</v>
      </c>
      <c r="I209" s="742">
        <f t="shared" si="100"/>
        <v>0.35714285714285715</v>
      </c>
      <c r="J209" s="735">
        <f t="shared" si="101"/>
        <v>59.066656887784063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39">
        <v>43295</v>
      </c>
      <c r="AP209" s="13">
        <f t="shared" si="102"/>
        <v>9</v>
      </c>
      <c r="AQ209" s="13">
        <f t="shared" si="103"/>
        <v>8</v>
      </c>
      <c r="AR209" s="173">
        <f t="shared" si="104"/>
        <v>43304</v>
      </c>
      <c r="AS209" s="742">
        <f t="shared" si="105"/>
        <v>0.32142857142857145</v>
      </c>
      <c r="AT209" s="758">
        <f t="shared" si="106"/>
        <v>59.072667889223837</v>
      </c>
      <c r="AU209" s="13">
        <f t="shared" si="107"/>
        <v>9</v>
      </c>
      <c r="AV209" s="13">
        <f t="shared" si="108"/>
        <v>8</v>
      </c>
      <c r="AW209" s="173">
        <f t="shared" si="109"/>
        <v>43318</v>
      </c>
      <c r="AX209" s="742">
        <f t="shared" si="110"/>
        <v>0.8214285714285714</v>
      </c>
      <c r="AY209" s="758">
        <f t="shared" si="111"/>
        <v>59.095251594364107</v>
      </c>
      <c r="AZ209" s="735">
        <f t="shared" si="115"/>
        <v>59.083959741793976</v>
      </c>
      <c r="BA209" s="633">
        <f t="shared" si="112"/>
        <v>0.9926043474769477</v>
      </c>
      <c r="BC209" s="11">
        <v>43295</v>
      </c>
      <c r="BD209" s="289">
        <f>[3]!FeuilCaduc*(1-Persistant)+Persistant</f>
        <v>0.99778366234633942</v>
      </c>
      <c r="BE209" s="290">
        <f>[3]!CroissVégét</f>
        <v>0.80173827384170082</v>
      </c>
      <c r="BF209" s="804">
        <f>1+[3]!Salcycl*Ksac</f>
        <v>1.0494459155865847</v>
      </c>
      <c r="BH209" s="1037">
        <f t="shared" si="113"/>
        <v>3.787377003906774E-4</v>
      </c>
      <c r="BI209" s="11">
        <v>44391</v>
      </c>
      <c r="BJ209" s="715">
        <v>0</v>
      </c>
      <c r="BK209" s="715">
        <v>3.8603512024127703E-6</v>
      </c>
      <c r="BL209" s="715">
        <v>1.4527994420450877E-5</v>
      </c>
      <c r="BM209" s="715">
        <v>8.1415297634864473E-5</v>
      </c>
      <c r="BN209" s="715">
        <v>4.5356270624639889E-4</v>
      </c>
      <c r="BO209" s="716">
        <v>1.6547997047436206E-3</v>
      </c>
      <c r="BP209" s="715">
        <v>5.998588241959933E-3</v>
      </c>
      <c r="BQ209" s="715">
        <v>1.3883305947044998E-2</v>
      </c>
      <c r="BR209" s="715">
        <v>3.6010861851719991E-2</v>
      </c>
      <c r="BS209" s="715">
        <v>6.8159409677342325E-2</v>
      </c>
      <c r="BT209" s="715">
        <v>0.10967767099815917</v>
      </c>
      <c r="BW209" s="1185">
        <f>'2019'!R\Max</f>
        <v>0.9926043474769477</v>
      </c>
      <c r="BX209" s="1185">
        <f>'2020'!R\Max</f>
        <v>0.98054811902157313</v>
      </c>
      <c r="BY209" s="1185">
        <f>'2021'!R\Max</f>
        <v>0.51419251436597613</v>
      </c>
      <c r="BZ209" s="1185">
        <f>'2022'!R\Max</f>
        <v>0.97515195813461608</v>
      </c>
      <c r="CA209" s="1185">
        <f>'2023'!R\Max</f>
        <v>0.97514555533275604</v>
      </c>
      <c r="CB209" s="1185">
        <f>'2024'!R\Max</f>
        <v>0.97513842826635733</v>
      </c>
      <c r="CC209" s="1185">
        <f>'2025'!R\Max</f>
        <v>0.97512679562908677</v>
      </c>
      <c r="CD209" s="1185">
        <f>'2026'!R\Max</f>
        <v>0.97516002699380977</v>
      </c>
      <c r="CE209" s="1186">
        <f>'2027'!R\Max</f>
        <v>0.97515825737918094</v>
      </c>
      <c r="CF209" s="1187">
        <f>'2028'!R\Max</f>
        <v>0.9751564875899732</v>
      </c>
    </row>
    <row r="210" spans="1:84" s="6" customFormat="1" ht="11.25" x14ac:dyDescent="0.2">
      <c r="A210" s="11">
        <v>43296</v>
      </c>
      <c r="B210" s="379">
        <f>'2022'!Maxi_hp</f>
        <v>60.732811241786656</v>
      </c>
      <c r="C210" s="13">
        <f>'2022'!An_max</f>
        <v>2018</v>
      </c>
      <c r="D210" s="1046">
        <f t="shared" si="97"/>
        <v>1.0302934893240994</v>
      </c>
      <c r="E210" s="13"/>
      <c r="F210" s="13">
        <f t="shared" si="114"/>
        <v>15</v>
      </c>
      <c r="G210" s="13">
        <f t="shared" si="98"/>
        <v>16</v>
      </c>
      <c r="H210" s="173">
        <f t="shared" si="99"/>
        <v>43290</v>
      </c>
      <c r="I210" s="742">
        <f t="shared" si="100"/>
        <v>0.42857142857142855</v>
      </c>
      <c r="J210" s="735">
        <f t="shared" si="101"/>
        <v>58.947097959076721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39">
        <v>43296</v>
      </c>
      <c r="AP210" s="13">
        <f t="shared" si="102"/>
        <v>9</v>
      </c>
      <c r="AQ210" s="13">
        <f t="shared" si="103"/>
        <v>8</v>
      </c>
      <c r="AR210" s="173">
        <f t="shared" si="104"/>
        <v>43304</v>
      </c>
      <c r="AS210" s="742">
        <f t="shared" si="105"/>
        <v>0.2857142857142857</v>
      </c>
      <c r="AT210" s="758">
        <f t="shared" si="106"/>
        <v>58.949416326758055</v>
      </c>
      <c r="AU210" s="13">
        <f t="shared" si="107"/>
        <v>9</v>
      </c>
      <c r="AV210" s="13">
        <f t="shared" si="108"/>
        <v>8</v>
      </c>
      <c r="AW210" s="173">
        <f t="shared" si="109"/>
        <v>43318</v>
      </c>
      <c r="AX210" s="742">
        <f t="shared" si="110"/>
        <v>0.7857142857142857</v>
      </c>
      <c r="AY210" s="758">
        <f t="shared" si="111"/>
        <v>58.979591326309105</v>
      </c>
      <c r="AZ210" s="735">
        <f t="shared" si="115"/>
        <v>58.96450382653358</v>
      </c>
      <c r="BA210" s="633">
        <f t="shared" si="112"/>
        <v>1.0302934893240994</v>
      </c>
      <c r="BC210" s="11">
        <v>43296</v>
      </c>
      <c r="BD210" s="289">
        <f>[3]!FeuilCaduc*(1-Persistant)+Persistant</f>
        <v>0.99812632892300646</v>
      </c>
      <c r="BE210" s="290">
        <f>[3]!CroissVégét</f>
        <v>0.80820058265200556</v>
      </c>
      <c r="BF210" s="804">
        <f>1+[3]!Salcycl*Ksac</f>
        <v>1.0495315822307516</v>
      </c>
      <c r="BH210" s="1037">
        <f t="shared" si="113"/>
        <v>3.7839824072949591E-4</v>
      </c>
      <c r="BI210" s="11">
        <v>44392</v>
      </c>
      <c r="BJ210" s="715">
        <v>0</v>
      </c>
      <c r="BK210" s="715">
        <v>4.5020361843398629E-6</v>
      </c>
      <c r="BL210" s="715">
        <v>1.6942903154997439E-5</v>
      </c>
      <c r="BM210" s="715">
        <v>8.4339390829463024E-5</v>
      </c>
      <c r="BN210" s="715">
        <v>4.5240193154376471E-4</v>
      </c>
      <c r="BO210" s="716">
        <v>1.6972440797974316E-3</v>
      </c>
      <c r="BP210" s="715">
        <v>6.4778009004638603E-3</v>
      </c>
      <c r="BQ210" s="715">
        <v>1.5167539125333045E-2</v>
      </c>
      <c r="BR210" s="715">
        <v>3.8078997890219575E-2</v>
      </c>
      <c r="BS210" s="715">
        <v>7.0409432541020722E-2</v>
      </c>
      <c r="BT210" s="715">
        <v>0.11153516387742612</v>
      </c>
      <c r="BW210" s="1185">
        <f>'2019'!R\Max</f>
        <v>1.0302934893240994</v>
      </c>
      <c r="BX210" s="1185">
        <f>'2020'!R\Max</f>
        <v>0.82859044639053958</v>
      </c>
      <c r="BY210" s="1185">
        <f>'2021'!R\Max</f>
        <v>0.46821723854262487</v>
      </c>
      <c r="BZ210" s="1185">
        <f>'2022'!R\Max</f>
        <v>0.9309638066645739</v>
      </c>
      <c r="CA210" s="1185">
        <f>'2023'!R\Max</f>
        <v>0.93094507134574678</v>
      </c>
      <c r="CB210" s="1185">
        <f>'2024'!R\Max</f>
        <v>0.93092411081979021</v>
      </c>
      <c r="CC210" s="1185">
        <f>'2025'!R\Max</f>
        <v>0.93089002347591743</v>
      </c>
      <c r="CD210" s="1185">
        <f>'2026'!R\Max</f>
        <v>0.93098682585495962</v>
      </c>
      <c r="CE210" s="1186">
        <f>'2027'!R\Max</f>
        <v>0.93098195010459617</v>
      </c>
      <c r="CF210" s="1187">
        <f>'2028'!R\Max</f>
        <v>0.93097707388726947</v>
      </c>
    </row>
    <row r="211" spans="1:84" s="6" customFormat="1" ht="11.25" x14ac:dyDescent="0.2">
      <c r="A211" s="11">
        <v>43297</v>
      </c>
      <c r="B211" s="379">
        <f>'2022'!Maxi_hp</f>
        <v>60.019024315602991</v>
      </c>
      <c r="C211" s="13">
        <f>'2022'!An_max</f>
        <v>2018</v>
      </c>
      <c r="D211" s="1046">
        <f t="shared" si="97"/>
        <v>1.0202777431839087</v>
      </c>
      <c r="E211" s="13"/>
      <c r="F211" s="13">
        <f t="shared" si="114"/>
        <v>15</v>
      </c>
      <c r="G211" s="13">
        <f t="shared" si="98"/>
        <v>16</v>
      </c>
      <c r="H211" s="173">
        <f t="shared" si="99"/>
        <v>43290</v>
      </c>
      <c r="I211" s="742">
        <f t="shared" si="100"/>
        <v>0.5</v>
      </c>
      <c r="J211" s="735">
        <f t="shared" si="101"/>
        <v>58.826162499934433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39">
        <v>43297</v>
      </c>
      <c r="AP211" s="13">
        <f t="shared" si="102"/>
        <v>9</v>
      </c>
      <c r="AQ211" s="13">
        <f t="shared" si="103"/>
        <v>8</v>
      </c>
      <c r="AR211" s="173">
        <f t="shared" si="104"/>
        <v>43304</v>
      </c>
      <c r="AS211" s="742">
        <f t="shared" si="105"/>
        <v>0.25</v>
      </c>
      <c r="AT211" s="758">
        <f t="shared" si="106"/>
        <v>58.825385937700048</v>
      </c>
      <c r="AU211" s="13">
        <f t="shared" si="107"/>
        <v>9</v>
      </c>
      <c r="AV211" s="13">
        <f t="shared" si="108"/>
        <v>8</v>
      </c>
      <c r="AW211" s="173">
        <f t="shared" si="109"/>
        <v>43318</v>
      </c>
      <c r="AX211" s="742">
        <f t="shared" si="110"/>
        <v>0.75</v>
      </c>
      <c r="AY211" s="758">
        <f t="shared" si="111"/>
        <v>58.861884374963118</v>
      </c>
      <c r="AZ211" s="735">
        <f t="shared" si="115"/>
        <v>58.843635156331587</v>
      </c>
      <c r="BA211" s="633">
        <f t="shared" si="112"/>
        <v>1.0202777431839087</v>
      </c>
      <c r="BC211" s="11">
        <v>43297</v>
      </c>
      <c r="BD211" s="289">
        <f>[3]!FeuilCaduc*(1-Persistant)+Persistant</f>
        <v>0.99843214324488216</v>
      </c>
      <c r="BE211" s="290">
        <f>[3]!CroissVégét</f>
        <v>0.81450126137468837</v>
      </c>
      <c r="BF211" s="804">
        <f>1+[3]!Salcycl*Ksac</f>
        <v>1.0496080358112205</v>
      </c>
      <c r="BH211" s="1037">
        <f t="shared" si="113"/>
        <v>3.7797967121618362E-4</v>
      </c>
      <c r="BI211" s="11">
        <v>44393</v>
      </c>
      <c r="BJ211" s="715">
        <v>0</v>
      </c>
      <c r="BK211" s="715">
        <v>5.1927538797923321E-6</v>
      </c>
      <c r="BL211" s="715">
        <v>1.9542340952099504E-5</v>
      </c>
      <c r="BM211" s="715">
        <v>8.7185160735120932E-5</v>
      </c>
      <c r="BN211" s="715">
        <v>4.5116184904025873E-4</v>
      </c>
      <c r="BO211" s="716">
        <v>1.7491129303533817E-3</v>
      </c>
      <c r="BP211" s="715">
        <v>7.0207361799304903E-3</v>
      </c>
      <c r="BQ211" s="715">
        <v>1.6605561599198099E-2</v>
      </c>
      <c r="BR211" s="715">
        <v>4.0241274310868186E-2</v>
      </c>
      <c r="BS211" s="715">
        <v>7.2676545594783093E-2</v>
      </c>
      <c r="BT211" s="715">
        <v>0.11332361205982507</v>
      </c>
      <c r="BW211" s="1185">
        <f>'2019'!R\Max</f>
        <v>1.0202777431839087</v>
      </c>
      <c r="BX211" s="1185">
        <f>'2020'!R\Max</f>
        <v>0.36608250151579053</v>
      </c>
      <c r="BY211" s="1185">
        <f>'2021'!R\Max</f>
        <v>0.77871359685764896</v>
      </c>
      <c r="BZ211" s="1185">
        <f>'2022'!R\Max</f>
        <v>0.95489581123804568</v>
      </c>
      <c r="CA211" s="1185">
        <f>'2023'!R\Max</f>
        <v>0.95488193306873959</v>
      </c>
      <c r="CB211" s="1185">
        <f>'2024'!R\Max</f>
        <v>0.95486633315572667</v>
      </c>
      <c r="CC211" s="1185">
        <f>'2025'!R\Max</f>
        <v>0.95484107297869492</v>
      </c>
      <c r="CD211" s="1185">
        <f>'2026'!R\Max</f>
        <v>0.95491248607988199</v>
      </c>
      <c r="CE211" s="1186">
        <f>'2027'!R\Max</f>
        <v>0.95490907134679248</v>
      </c>
      <c r="CF211" s="1187">
        <f>'2028'!R\Max</f>
        <v>0.95490565625894386</v>
      </c>
    </row>
    <row r="212" spans="1:84" s="6" customFormat="1" ht="11.25" x14ac:dyDescent="0.2">
      <c r="A212" s="11">
        <v>43298</v>
      </c>
      <c r="B212" s="379">
        <f>'2022'!Maxi_hp</f>
        <v>58.588907311846619</v>
      </c>
      <c r="C212" s="13">
        <f>'2022'!An_max</f>
        <v>2021</v>
      </c>
      <c r="D212" s="1046">
        <f t="shared" si="97"/>
        <v>0.99804013437364991</v>
      </c>
      <c r="E212" s="13"/>
      <c r="F212" s="13">
        <f t="shared" si="114"/>
        <v>15</v>
      </c>
      <c r="G212" s="13">
        <f t="shared" si="98"/>
        <v>16</v>
      </c>
      <c r="H212" s="173">
        <f t="shared" si="99"/>
        <v>43290</v>
      </c>
      <c r="I212" s="742">
        <f t="shared" si="100"/>
        <v>0.5714285714285714</v>
      </c>
      <c r="J212" s="735">
        <f t="shared" si="101"/>
        <v>58.703959183581176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39">
        <v>43298</v>
      </c>
      <c r="AP212" s="13">
        <f t="shared" si="102"/>
        <v>9</v>
      </c>
      <c r="AQ212" s="13">
        <f t="shared" si="103"/>
        <v>8</v>
      </c>
      <c r="AR212" s="173">
        <f t="shared" si="104"/>
        <v>43304</v>
      </c>
      <c r="AS212" s="742">
        <f t="shared" si="105"/>
        <v>0.21428571428571427</v>
      </c>
      <c r="AT212" s="758">
        <f t="shared" si="106"/>
        <v>58.700753316349747</v>
      </c>
      <c r="AU212" s="13">
        <f t="shared" si="107"/>
        <v>9</v>
      </c>
      <c r="AV212" s="13">
        <f t="shared" si="108"/>
        <v>8</v>
      </c>
      <c r="AW212" s="173">
        <f t="shared" si="109"/>
        <v>43318</v>
      </c>
      <c r="AX212" s="742">
        <f t="shared" si="110"/>
        <v>0.7142857142857143</v>
      </c>
      <c r="AY212" s="758">
        <f t="shared" si="111"/>
        <v>58.742212244841674</v>
      </c>
      <c r="AZ212" s="735">
        <f t="shared" si="115"/>
        <v>58.721482780595707</v>
      </c>
      <c r="BA212" s="633">
        <f t="shared" si="112"/>
        <v>0.99804013437364991</v>
      </c>
      <c r="BC212" s="11">
        <v>43298</v>
      </c>
      <c r="BD212" s="289">
        <f>[3]!FeuilCaduc*(1-Persistant)+Persistant</f>
        <v>0.99870319374883132</v>
      </c>
      <c r="BE212" s="290">
        <f>[3]!CroissVégét</f>
        <v>0.82064117750784105</v>
      </c>
      <c r="BF212" s="804">
        <f>1+[3]!Salcycl*Ksac</f>
        <v>1.0496757984372078</v>
      </c>
      <c r="BH212" s="1037">
        <f t="shared" si="113"/>
        <v>3.8739252229913343E-4</v>
      </c>
      <c r="BI212" s="11">
        <v>44394</v>
      </c>
      <c r="BJ212" s="715">
        <v>8.785378002194484E-9</v>
      </c>
      <c r="BK212" s="715">
        <v>5.877948150687078E-6</v>
      </c>
      <c r="BL212" s="715">
        <v>2.206196084325166E-5</v>
      </c>
      <c r="BM212" s="715">
        <v>8.9594498973171886E-5</v>
      </c>
      <c r="BN212" s="715">
        <v>4.6233722418723123E-4</v>
      </c>
      <c r="BO212" s="716">
        <v>1.843525457439729E-3</v>
      </c>
      <c r="BP212" s="715">
        <v>7.6702024904448263E-3</v>
      </c>
      <c r="BQ212" s="715">
        <v>1.8201208782185674E-2</v>
      </c>
      <c r="BR212" s="715">
        <v>4.2499640599853221E-2</v>
      </c>
      <c r="BS212" s="715">
        <v>7.4984263363986572E-2</v>
      </c>
      <c r="BT212" s="715">
        <v>0.11513653004615655</v>
      </c>
      <c r="BW212" s="1185">
        <f>'2019'!R\Max</f>
        <v>0.89380813751330668</v>
      </c>
      <c r="BX212" s="1185">
        <f>'2020'!R\Max</f>
        <v>0.42436105632249826</v>
      </c>
      <c r="BY212" s="1185">
        <f>'2021'!R\Max</f>
        <v>0.99804013437364991</v>
      </c>
      <c r="BZ212" s="1185">
        <f>'2022'!R\Max</f>
        <v>0.96759037941601544</v>
      </c>
      <c r="CA212" s="1185">
        <f>'2023'!R\Max</f>
        <v>0.96757918398239096</v>
      </c>
      <c r="CB212" s="1185">
        <f>'2024'!R\Max</f>
        <v>0.96756656165541266</v>
      </c>
      <c r="CC212" s="1185">
        <f>'2025'!R\Max</f>
        <v>0.96754630284715171</v>
      </c>
      <c r="CD212" s="1185">
        <f>'2026'!R\Max</f>
        <v>0.96760365293900963</v>
      </c>
      <c r="CE212" s="1186">
        <f>'2027'!R\Max</f>
        <v>0.96760100109269775</v>
      </c>
      <c r="CF212" s="1187">
        <f>'2028'!R\Max</f>
        <v>0.96759834894682739</v>
      </c>
    </row>
    <row r="213" spans="1:84" s="6" customFormat="1" ht="11.25" x14ac:dyDescent="0.2">
      <c r="A213" s="11">
        <v>43299</v>
      </c>
      <c r="B213" s="379">
        <f>'2022'!Maxi_hp</f>
        <v>59.09626552839137</v>
      </c>
      <c r="C213" s="13">
        <f>'2022'!An_max</f>
        <v>2022</v>
      </c>
      <c r="D213" s="1046">
        <f t="shared" si="97"/>
        <v>1.0088027243466917</v>
      </c>
      <c r="E213" s="13"/>
      <c r="F213" s="13">
        <f t="shared" si="114"/>
        <v>15</v>
      </c>
      <c r="G213" s="13">
        <f t="shared" si="98"/>
        <v>16</v>
      </c>
      <c r="H213" s="173">
        <f t="shared" si="99"/>
        <v>43290</v>
      </c>
      <c r="I213" s="742">
        <f t="shared" si="100"/>
        <v>0.6428571428571429</v>
      </c>
      <c r="J213" s="735">
        <f t="shared" si="101"/>
        <v>58.580596683719861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39">
        <v>43299</v>
      </c>
      <c r="AP213" s="13">
        <f t="shared" si="102"/>
        <v>9</v>
      </c>
      <c r="AQ213" s="13">
        <f t="shared" si="103"/>
        <v>8</v>
      </c>
      <c r="AR213" s="173">
        <f t="shared" si="104"/>
        <v>43304</v>
      </c>
      <c r="AS213" s="742">
        <f t="shared" si="105"/>
        <v>0.17857142857142858</v>
      </c>
      <c r="AT213" s="758">
        <f t="shared" si="106"/>
        <v>58.575695057565873</v>
      </c>
      <c r="AU213" s="13">
        <f t="shared" si="107"/>
        <v>9</v>
      </c>
      <c r="AV213" s="13">
        <f t="shared" si="108"/>
        <v>8</v>
      </c>
      <c r="AW213" s="173">
        <f t="shared" si="109"/>
        <v>43318</v>
      </c>
      <c r="AX213" s="742">
        <f t="shared" si="110"/>
        <v>0.6785714285714286</v>
      </c>
      <c r="AY213" s="758">
        <f t="shared" si="111"/>
        <v>58.620656441384924</v>
      </c>
      <c r="AZ213" s="735">
        <f t="shared" si="115"/>
        <v>58.598175749475402</v>
      </c>
      <c r="BA213" s="633">
        <f t="shared" si="112"/>
        <v>1.0088027243466917</v>
      </c>
      <c r="BC213" s="11">
        <v>43299</v>
      </c>
      <c r="BD213" s="289">
        <f>[3]!FeuilCaduc*(1-Persistant)+Persistant</f>
        <v>0.99894152613161069</v>
      </c>
      <c r="BE213" s="290">
        <f>[3]!CroissVégét</f>
        <v>0.82662141934042188</v>
      </c>
      <c r="BF213" s="804">
        <f>1+[3]!Salcycl*Ksac</f>
        <v>1.0497353815329027</v>
      </c>
      <c r="BH213" s="1037">
        <f t="shared" si="113"/>
        <v>4.0712522067047678E-4</v>
      </c>
      <c r="BI213" s="11">
        <v>44395</v>
      </c>
      <c r="BJ213" s="715">
        <v>2.6347189848531909E-8</v>
      </c>
      <c r="BK213" s="715">
        <v>6.5082352427580144E-6</v>
      </c>
      <c r="BL213" s="715">
        <v>2.4315972761844996E-5</v>
      </c>
      <c r="BM213" s="715">
        <v>9.1790121693690295E-5</v>
      </c>
      <c r="BN213" s="715">
        <v>4.8648335315143481E-4</v>
      </c>
      <c r="BO213" s="716">
        <v>1.9811553276664674E-3</v>
      </c>
      <c r="BP213" s="715">
        <v>8.4048722249175003E-3</v>
      </c>
      <c r="BQ213" s="715">
        <v>1.9890080933027552E-2</v>
      </c>
      <c r="BR213" s="715">
        <v>4.4807343363958897E-2</v>
      </c>
      <c r="BS213" s="715">
        <v>7.7355883335603351E-2</v>
      </c>
      <c r="BT213" s="715">
        <v>0.11711929214089885</v>
      </c>
      <c r="BW213" s="1185">
        <f>'2019'!R\Max</f>
        <v>0.53874406542393938</v>
      </c>
      <c r="BX213" s="1185">
        <f>'2020'!R\Max</f>
        <v>0.4499162858572236</v>
      </c>
      <c r="BY213" s="1185">
        <f>'2021'!R\Max</f>
        <v>0.87548305134275894</v>
      </c>
      <c r="BZ213" s="1185">
        <f>'2022'!R\Max</f>
        <v>1.0088027243466917</v>
      </c>
      <c r="CA213" s="1185">
        <f>'2023'!R\Max</f>
        <v>1.0088027243466917</v>
      </c>
      <c r="CB213" s="1185">
        <f>'2024'!R\Max</f>
        <v>1.0088027243466917</v>
      </c>
      <c r="CC213" s="1185">
        <f>'2025'!R\Max</f>
        <v>1.0088027243466917</v>
      </c>
      <c r="CD213" s="1185">
        <f>'2026'!R\Max</f>
        <v>1.0088027243466917</v>
      </c>
      <c r="CE213" s="1186">
        <f>'2027'!R\Max</f>
        <v>1.0088027243466919</v>
      </c>
      <c r="CF213" s="1187">
        <f>'2028'!R\Max</f>
        <v>1.0088027243466919</v>
      </c>
    </row>
    <row r="214" spans="1:84" s="6" customFormat="1" ht="11.25" x14ac:dyDescent="0.2">
      <c r="A214" s="11">
        <v>43300</v>
      </c>
      <c r="B214" s="379">
        <f>'2022'!Maxi_hp</f>
        <v>58.821936669758294</v>
      </c>
      <c r="C214" s="13">
        <f>'2022'!An_max</f>
        <v>2020</v>
      </c>
      <c r="D214" s="1046">
        <f t="shared" si="97"/>
        <v>1.0062568743506515</v>
      </c>
      <c r="E214" s="13"/>
      <c r="F214" s="13">
        <f t="shared" si="114"/>
        <v>15</v>
      </c>
      <c r="G214" s="13">
        <f t="shared" si="98"/>
        <v>16</v>
      </c>
      <c r="H214" s="173">
        <f t="shared" si="99"/>
        <v>43290</v>
      </c>
      <c r="I214" s="742">
        <f t="shared" si="100"/>
        <v>0.7142857142857143</v>
      </c>
      <c r="J214" s="735">
        <f t="shared" si="101"/>
        <v>58.456183673494628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39">
        <v>43300</v>
      </c>
      <c r="AP214" s="13">
        <f t="shared" si="102"/>
        <v>9</v>
      </c>
      <c r="AQ214" s="13">
        <f t="shared" si="103"/>
        <v>8</v>
      </c>
      <c r="AR214" s="173">
        <f t="shared" si="104"/>
        <v>43304</v>
      </c>
      <c r="AS214" s="742">
        <f t="shared" si="105"/>
        <v>0.14285714285714285</v>
      </c>
      <c r="AT214" s="758">
        <f t="shared" si="106"/>
        <v>58.450387755196019</v>
      </c>
      <c r="AU214" s="13">
        <f t="shared" si="107"/>
        <v>9</v>
      </c>
      <c r="AV214" s="13">
        <f t="shared" si="108"/>
        <v>8</v>
      </c>
      <c r="AW214" s="173">
        <f t="shared" si="109"/>
        <v>43318</v>
      </c>
      <c r="AX214" s="742">
        <f t="shared" si="110"/>
        <v>0.6428571428571429</v>
      </c>
      <c r="AY214" s="758">
        <f t="shared" si="111"/>
        <v>58.497298469447664</v>
      </c>
      <c r="AZ214" s="735">
        <f t="shared" si="115"/>
        <v>58.473843112321845</v>
      </c>
      <c r="BA214" s="633">
        <f t="shared" si="112"/>
        <v>1.0062568743506515</v>
      </c>
      <c r="BC214" s="11">
        <v>43300</v>
      </c>
      <c r="BD214" s="289">
        <f>[3]!FeuilCaduc*(1-Persistant)+Persistant</f>
        <v>0.99914913377070502</v>
      </c>
      <c r="BE214" s="290">
        <f>[3]!CroissVégét</f>
        <v>0.83244328187154937</v>
      </c>
      <c r="BF214" s="804">
        <f>1+[3]!Salcycl*Ksac</f>
        <v>1.0497872834426762</v>
      </c>
      <c r="BH214" s="1037">
        <f t="shared" si="113"/>
        <v>4.3716834543265946E-4</v>
      </c>
      <c r="BI214" s="11">
        <v>44396</v>
      </c>
      <c r="BJ214" s="715">
        <v>5.2677257556354654E-8</v>
      </c>
      <c r="BK214" s="715">
        <v>7.083701327885151E-6</v>
      </c>
      <c r="BL214" s="715">
        <v>2.6304755955871859E-5</v>
      </c>
      <c r="BM214" s="715">
        <v>9.3772394818011126E-5</v>
      </c>
      <c r="BN214" s="715">
        <v>5.2358835205649525E-4</v>
      </c>
      <c r="BO214" s="716">
        <v>2.1619655531059548E-3</v>
      </c>
      <c r="BP214" s="715">
        <v>9.2246945761311656E-3</v>
      </c>
      <c r="BQ214" s="715">
        <v>2.1672166007906168E-2</v>
      </c>
      <c r="BR214" s="715">
        <v>4.7164456474817207E-2</v>
      </c>
      <c r="BS214" s="715">
        <v>7.9791487438363756E-2</v>
      </c>
      <c r="BT214" s="715">
        <v>0.11927188098674185</v>
      </c>
      <c r="BW214" s="1185">
        <f>'2019'!R\Max</f>
        <v>0.99609656935685797</v>
      </c>
      <c r="BX214" s="1185">
        <f>'2020'!R\Max</f>
        <v>1.0062568743506515</v>
      </c>
      <c r="BY214" s="1185">
        <f>'2021'!R\Max</f>
        <v>0.95472456639466918</v>
      </c>
      <c r="BZ214" s="1185">
        <f>'2022'!R\Max</f>
        <v>0.60946041854153477</v>
      </c>
      <c r="CA214" s="1185">
        <f>'2023'!R\Max</f>
        <v>0.60935694234040161</v>
      </c>
      <c r="CB214" s="1185">
        <f>'2024'!R\Max</f>
        <v>0.60924010347867608</v>
      </c>
      <c r="CC214" s="1185">
        <f>'2025'!R\Max</f>
        <v>0.60905761202726427</v>
      </c>
      <c r="CD214" s="1185">
        <f>'2026'!R\Max</f>
        <v>0.60958289672575761</v>
      </c>
      <c r="CE214" s="1186">
        <f>'2027'!R\Max</f>
        <v>0.60955890295197968</v>
      </c>
      <c r="CF214" s="1187">
        <f>'2028'!R\Max</f>
        <v>0.6095349076803519</v>
      </c>
    </row>
    <row r="215" spans="1:84" s="6" customFormat="1" ht="11.25" x14ac:dyDescent="0.2">
      <c r="A215" s="11">
        <v>43301</v>
      </c>
      <c r="B215" s="379">
        <f>'2022'!Maxi_hp</f>
        <v>57.966887791855576</v>
      </c>
      <c r="C215" s="13">
        <f>'2022'!An_max</f>
        <v>2020</v>
      </c>
      <c r="D215" s="1046">
        <f t="shared" si="97"/>
        <v>0.99376074295495143</v>
      </c>
      <c r="E215" s="13"/>
      <c r="F215" s="13">
        <f t="shared" si="114"/>
        <v>15</v>
      </c>
      <c r="G215" s="13">
        <f t="shared" si="98"/>
        <v>16</v>
      </c>
      <c r="H215" s="173">
        <f t="shared" si="99"/>
        <v>43290</v>
      </c>
      <c r="I215" s="742">
        <f t="shared" si="100"/>
        <v>0.7857142857142857</v>
      </c>
      <c r="J215" s="735">
        <f t="shared" si="101"/>
        <v>58.330828826555184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39">
        <v>43301</v>
      </c>
      <c r="AP215" s="13">
        <f t="shared" si="102"/>
        <v>9</v>
      </c>
      <c r="AQ215" s="13">
        <f t="shared" si="103"/>
        <v>8</v>
      </c>
      <c r="AR215" s="173">
        <f t="shared" si="104"/>
        <v>43304</v>
      </c>
      <c r="AS215" s="742">
        <f t="shared" si="105"/>
        <v>0.10714285714285714</v>
      </c>
      <c r="AT215" s="758">
        <f t="shared" si="106"/>
        <v>58.32500800401904</v>
      </c>
      <c r="AU215" s="13">
        <f t="shared" si="107"/>
        <v>9</v>
      </c>
      <c r="AV215" s="13">
        <f t="shared" si="108"/>
        <v>8</v>
      </c>
      <c r="AW215" s="173">
        <f t="shared" si="109"/>
        <v>43318</v>
      </c>
      <c r="AX215" s="742">
        <f t="shared" si="110"/>
        <v>0.6071428571428571</v>
      </c>
      <c r="AY215" s="758">
        <f t="shared" si="111"/>
        <v>58.372219833924568</v>
      </c>
      <c r="AZ215" s="735">
        <f t="shared" si="115"/>
        <v>58.348613918971807</v>
      </c>
      <c r="BA215" s="633">
        <f t="shared" si="112"/>
        <v>0.99376074295495143</v>
      </c>
      <c r="BC215" s="11">
        <v>43301</v>
      </c>
      <c r="BD215" s="289">
        <f>[3]!FeuilCaduc*(1-Persistant)+Persistant</f>
        <v>0.99932794885786236</v>
      </c>
      <c r="BE215" s="290">
        <f>[3]!CroissVégét</f>
        <v>0.83810825274241962</v>
      </c>
      <c r="BF215" s="804">
        <f>1+[3]!Salcycl*Ksac</f>
        <v>1.0498319872144657</v>
      </c>
      <c r="BH215" s="1037">
        <f t="shared" si="113"/>
        <v>4.7751343540574357E-4</v>
      </c>
      <c r="BI215" s="11">
        <v>44397</v>
      </c>
      <c r="BJ215" s="715">
        <v>8.7768221352605486E-8</v>
      </c>
      <c r="BK215" s="715">
        <v>7.6044292561232058E-6</v>
      </c>
      <c r="BL215" s="715">
        <v>2.8028671674259126E-5</v>
      </c>
      <c r="BM215" s="715">
        <v>9.5541670684856162E-5</v>
      </c>
      <c r="BN215" s="715">
        <v>5.7364154168717272E-4</v>
      </c>
      <c r="BO215" s="716">
        <v>2.3859232985345038E-3</v>
      </c>
      <c r="BP215" s="715">
        <v>1.0129628048780237E-2</v>
      </c>
      <c r="BQ215" s="715">
        <v>2.3547464299328549E-2</v>
      </c>
      <c r="BR215" s="715">
        <v>4.9571063756993258E-2</v>
      </c>
      <c r="BS215" s="715">
        <v>8.2291168983416235E-2</v>
      </c>
      <c r="BT215" s="715">
        <v>0.12159429900878042</v>
      </c>
      <c r="BW215" s="1185">
        <f>'2019'!R\Max</f>
        <v>0.51217391326334427</v>
      </c>
      <c r="BX215" s="1185">
        <f>'2020'!R\Max</f>
        <v>0.99376074295495143</v>
      </c>
      <c r="BY215" s="1185">
        <f>'2021'!R\Max</f>
        <v>0.86087677473429014</v>
      </c>
      <c r="BZ215" s="1185">
        <f>'2022'!R\Max</f>
        <v>0.7421798396221323</v>
      </c>
      <c r="CA215" s="1185">
        <f>'2023'!R\Max</f>
        <v>0.7420884101853269</v>
      </c>
      <c r="CB215" s="1185">
        <f>'2024'!R\Max</f>
        <v>0.74198523585186293</v>
      </c>
      <c r="CC215" s="1185">
        <f>'2025'!R\Max</f>
        <v>0.74182664515427854</v>
      </c>
      <c r="CD215" s="1185">
        <f>'2026'!R\Max</f>
        <v>0.74228885455276794</v>
      </c>
      <c r="CE215" s="1186">
        <f>'2027'!R\Max</f>
        <v>0.74226747130004378</v>
      </c>
      <c r="CF215" s="1187">
        <f>'2028'!R\Max</f>
        <v>0.7422460859328156</v>
      </c>
    </row>
    <row r="216" spans="1:84" s="6" customFormat="1" ht="11.25" x14ac:dyDescent="0.2">
      <c r="A216" s="11">
        <v>43302</v>
      </c>
      <c r="B216" s="379">
        <f>'2022'!Maxi_hp</f>
        <v>56.512013586305258</v>
      </c>
      <c r="C216" s="13">
        <f>'2022'!An_max</f>
        <v>2022</v>
      </c>
      <c r="D216" s="1046">
        <f t="shared" si="97"/>
        <v>0.9709193767671821</v>
      </c>
      <c r="E216" s="13"/>
      <c r="F216" s="13">
        <f t="shared" si="114"/>
        <v>15</v>
      </c>
      <c r="G216" s="13">
        <f t="shared" si="98"/>
        <v>16</v>
      </c>
      <c r="H216" s="173">
        <f t="shared" si="99"/>
        <v>43290</v>
      </c>
      <c r="I216" s="742">
        <f t="shared" si="100"/>
        <v>0.8571428571428571</v>
      </c>
      <c r="J216" s="735">
        <f t="shared" si="101"/>
        <v>58.204640816285142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39">
        <v>43302</v>
      </c>
      <c r="AP216" s="13">
        <f t="shared" si="102"/>
        <v>9</v>
      </c>
      <c r="AQ216" s="13">
        <f t="shared" si="103"/>
        <v>8</v>
      </c>
      <c r="AR216" s="173">
        <f t="shared" si="104"/>
        <v>43304</v>
      </c>
      <c r="AS216" s="742">
        <f t="shared" si="105"/>
        <v>7.1428571428571425E-2</v>
      </c>
      <c r="AT216" s="758">
        <f t="shared" si="106"/>
        <v>58.199732398294977</v>
      </c>
      <c r="AU216" s="13">
        <f t="shared" si="107"/>
        <v>9</v>
      </c>
      <c r="AV216" s="13">
        <f t="shared" si="108"/>
        <v>8</v>
      </c>
      <c r="AW216" s="173">
        <f t="shared" si="109"/>
        <v>43318</v>
      </c>
      <c r="AX216" s="742">
        <f t="shared" si="110"/>
        <v>0.5714285714285714</v>
      </c>
      <c r="AY216" s="758">
        <f t="shared" si="111"/>
        <v>58.245502040827908</v>
      </c>
      <c r="AZ216" s="735">
        <f t="shared" si="115"/>
        <v>58.222617219561442</v>
      </c>
      <c r="BA216" s="633">
        <f t="shared" si="112"/>
        <v>0.9709193767671821</v>
      </c>
      <c r="BC216" s="11">
        <v>43302</v>
      </c>
      <c r="BD216" s="289">
        <f>[3]!FeuilCaduc*(1-Persistant)+Persistant</f>
        <v>0.9994798342909732</v>
      </c>
      <c r="BE216" s="290">
        <f>[3]!CroissVégét</f>
        <v>0.84361799825853956</v>
      </c>
      <c r="BF216" s="804">
        <f>1+[3]!Salcycl*Ksac</f>
        <v>1.0498699585727433</v>
      </c>
      <c r="BH216" s="1037">
        <f t="shared" si="113"/>
        <v>5.2815305027402177E-4</v>
      </c>
      <c r="BI216" s="11">
        <v>44398</v>
      </c>
      <c r="BJ216" s="715">
        <v>1.316135917077382E-7</v>
      </c>
      <c r="BK216" s="715">
        <v>8.07049823266438E-6</v>
      </c>
      <c r="BL216" s="715">
        <v>2.9488061601525553E-5</v>
      </c>
      <c r="BM216" s="715">
        <v>9.7098286785874505E-5</v>
      </c>
      <c r="BN216" s="715">
        <v>6.3663352434252573E-4</v>
      </c>
      <c r="BO216" s="716">
        <v>2.6530001377069725E-3</v>
      </c>
      <c r="BP216" s="715">
        <v>1.1119640966253182E-2</v>
      </c>
      <c r="BQ216" s="715">
        <v>2.5515988993360657E-2</v>
      </c>
      <c r="BR216" s="715">
        <v>5.2027259285705313E-2</v>
      </c>
      <c r="BS216" s="715">
        <v>8.4855033045606279E-2</v>
      </c>
      <c r="BT216" s="715">
        <v>0.12408656941781238</v>
      </c>
      <c r="BW216" s="1185">
        <f>'2019'!R\Max</f>
        <v>0.7396708202974942</v>
      </c>
      <c r="BX216" s="1185">
        <f>'2020'!R\Max</f>
        <v>0.89285737962063871</v>
      </c>
      <c r="BY216" s="1185">
        <f>'2021'!R\Max</f>
        <v>0.733314960549448</v>
      </c>
      <c r="BZ216" s="1185">
        <f>'2022'!R\Max</f>
        <v>0.9709193767671821</v>
      </c>
      <c r="CA216" s="1185">
        <f>'2023'!R\Max</f>
        <v>0.97090458948288882</v>
      </c>
      <c r="CB216" s="1185">
        <f>'2024'!R\Max</f>
        <v>0.97088792424789327</v>
      </c>
      <c r="CC216" s="1185">
        <f>'2025'!R\Max</f>
        <v>0.97086273670591483</v>
      </c>
      <c r="CD216" s="1185">
        <f>'2026'!R\Max</f>
        <v>0.97093719961446934</v>
      </c>
      <c r="CE216" s="1186">
        <f>'2027'!R\Max</f>
        <v>0.97093368188456475</v>
      </c>
      <c r="CF216" s="1187">
        <f>'2028'!R\Max</f>
        <v>0.97093016356615269</v>
      </c>
    </row>
    <row r="217" spans="1:84" s="6" customFormat="1" ht="11.25" x14ac:dyDescent="0.2">
      <c r="A217" s="11">
        <v>43303</v>
      </c>
      <c r="B217" s="379">
        <f>'2022'!Maxi_hp</f>
        <v>54.98806790169472</v>
      </c>
      <c r="C217" s="13">
        <f>'2022'!An_max</f>
        <v>2021</v>
      </c>
      <c r="D217" s="1046" t="str">
        <f t="shared" si="97"/>
        <v/>
      </c>
      <c r="E217" s="13"/>
      <c r="F217" s="13">
        <f t="shared" si="114"/>
        <v>15</v>
      </c>
      <c r="G217" s="13">
        <f t="shared" si="98"/>
        <v>16</v>
      </c>
      <c r="H217" s="173">
        <f t="shared" si="99"/>
        <v>43290</v>
      </c>
      <c r="I217" s="742">
        <f t="shared" si="100"/>
        <v>0.9285714285714286</v>
      </c>
      <c r="J217" s="735">
        <f t="shared" si="101"/>
        <v>58.077728316161242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39">
        <v>43303</v>
      </c>
      <c r="AP217" s="13">
        <f t="shared" si="102"/>
        <v>9</v>
      </c>
      <c r="AQ217" s="13">
        <f t="shared" si="103"/>
        <v>8</v>
      </c>
      <c r="AR217" s="173">
        <f t="shared" si="104"/>
        <v>43304</v>
      </c>
      <c r="AS217" s="742">
        <f t="shared" si="105"/>
        <v>3.5714285714285712E-2</v>
      </c>
      <c r="AT217" s="758">
        <f t="shared" si="106"/>
        <v>58.074737531831488</v>
      </c>
      <c r="AU217" s="13">
        <f t="shared" si="107"/>
        <v>9</v>
      </c>
      <c r="AV217" s="13">
        <f t="shared" si="108"/>
        <v>8</v>
      </c>
      <c r="AW217" s="173">
        <f t="shared" si="109"/>
        <v>43318</v>
      </c>
      <c r="AX217" s="742">
        <f t="shared" si="110"/>
        <v>0.5357142857142857</v>
      </c>
      <c r="AY217" s="758">
        <f t="shared" si="111"/>
        <v>58.117226594393813</v>
      </c>
      <c r="AZ217" s="735">
        <f t="shared" si="115"/>
        <v>58.09598206311265</v>
      </c>
      <c r="BA217" s="633">
        <f t="shared" si="112"/>
        <v>0.94680128675751318</v>
      </c>
      <c r="BC217" s="11">
        <v>43303</v>
      </c>
      <c r="BD217" s="289">
        <f>[3]!FeuilCaduc*(1-Persistant)+Persistant</f>
        <v>0.99960657636211303</v>
      </c>
      <c r="BE217" s="290">
        <f>[3]!CroissVégét</f>
        <v>0.84897434957309781</v>
      </c>
      <c r="BF217" s="804">
        <f>1+[3]!Salcycl*Ksac</f>
        <v>1.0499016440905282</v>
      </c>
      <c r="BH217" s="1037">
        <f t="shared" si="113"/>
        <v>5.8908083173369078E-4</v>
      </c>
      <c r="BI217" s="11">
        <v>44399</v>
      </c>
      <c r="BJ217" s="715">
        <v>1.8420780136865756E-7</v>
      </c>
      <c r="BK217" s="715">
        <v>8.4819834948208773E-6</v>
      </c>
      <c r="BL217" s="715">
        <v>3.0683246292519959E-5</v>
      </c>
      <c r="BM217" s="715">
        <v>9.8442564501651604E-5</v>
      </c>
      <c r="BN217" s="715">
        <v>7.125562606902819E-4</v>
      </c>
      <c r="BO217" s="716">
        <v>2.9631723096355334E-3</v>
      </c>
      <c r="BP217" s="715">
        <v>1.219471197743343E-2</v>
      </c>
      <c r="BQ217" s="715">
        <v>2.7577766726914119E-2</v>
      </c>
      <c r="BR217" s="715">
        <v>5.453314768472254E-2</v>
      </c>
      <c r="BS217" s="715">
        <v>8.7483196845117517E-2</v>
      </c>
      <c r="BT217" s="715">
        <v>0.1267487372142346</v>
      </c>
      <c r="BW217" s="1185">
        <f>'2019'!R\Max</f>
        <v>0.88775704297555169</v>
      </c>
      <c r="BX217" s="1185">
        <f>'2020'!R\Max</f>
        <v>0.94385621249572627</v>
      </c>
      <c r="BY217" s="1185">
        <f>'2021'!R\Max</f>
        <v>0.94680128675751318</v>
      </c>
      <c r="BZ217" s="1185">
        <f>'2022'!R\Max</f>
        <v>0.8174616525239683</v>
      </c>
      <c r="CA217" s="1185">
        <f>'2023'!R\Max</f>
        <v>0.81737624851104973</v>
      </c>
      <c r="CB217" s="1185">
        <f>'2024'!R\Max</f>
        <v>0.81728022815510293</v>
      </c>
      <c r="CC217" s="1185">
        <f>'2025'!R\Max</f>
        <v>0.81713770708680755</v>
      </c>
      <c r="CD217" s="1185">
        <f>'2026'!R\Max</f>
        <v>0.81756600990174033</v>
      </c>
      <c r="CE217" s="1186">
        <f>'2027'!R\Max</f>
        <v>0.81754520844436585</v>
      </c>
      <c r="CF217" s="1187">
        <f>'2028'!R\Max</f>
        <v>0.81752440398370541</v>
      </c>
    </row>
    <row r="218" spans="1:84" s="6" customFormat="1" ht="11.25" x14ac:dyDescent="0.2">
      <c r="A218" s="11">
        <v>43304</v>
      </c>
      <c r="B218" s="379">
        <f>'2022'!Maxi_hp</f>
        <v>56.499257606465072</v>
      </c>
      <c r="C218" s="13">
        <f>'2022'!An_max</f>
        <v>2018</v>
      </c>
      <c r="D218" s="1046">
        <f t="shared" si="97"/>
        <v>0.97496225391137059</v>
      </c>
      <c r="E218" s="1041">
        <f>AB$13/10</f>
        <v>57.950199999999995</v>
      </c>
      <c r="F218" s="13">
        <f t="shared" si="114"/>
        <v>17</v>
      </c>
      <c r="G218" s="13">
        <f t="shared" si="98"/>
        <v>16</v>
      </c>
      <c r="H218" s="173">
        <f t="shared" si="99"/>
        <v>43318</v>
      </c>
      <c r="I218" s="742">
        <f t="shared" si="100"/>
        <v>1</v>
      </c>
      <c r="J218" s="735">
        <f t="shared" si="101"/>
        <v>57.950199999846518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39">
        <v>43304</v>
      </c>
      <c r="AP218" s="13">
        <f t="shared" si="102"/>
        <v>9</v>
      </c>
      <c r="AQ218" s="13">
        <f t="shared" si="103"/>
        <v>10</v>
      </c>
      <c r="AR218" s="173">
        <f t="shared" si="104"/>
        <v>43304</v>
      </c>
      <c r="AS218" s="742">
        <f t="shared" si="105"/>
        <v>0</v>
      </c>
      <c r="AT218" s="758">
        <f t="shared" si="106"/>
        <v>57.950199999846518</v>
      </c>
      <c r="AU218" s="13">
        <f t="shared" si="107"/>
        <v>9</v>
      </c>
      <c r="AV218" s="13">
        <f t="shared" si="108"/>
        <v>8</v>
      </c>
      <c r="AW218" s="173">
        <f t="shared" si="109"/>
        <v>43318</v>
      </c>
      <c r="AX218" s="742">
        <f t="shared" si="110"/>
        <v>0.5</v>
      </c>
      <c r="AY218" s="758">
        <f t="shared" si="111"/>
        <v>57.987475000135603</v>
      </c>
      <c r="AZ218" s="735">
        <f t="shared" si="115"/>
        <v>57.968837499991061</v>
      </c>
      <c r="BA218" s="633">
        <f t="shared" si="112"/>
        <v>0.97496225391137059</v>
      </c>
      <c r="BC218" s="11">
        <v>43304</v>
      </c>
      <c r="BD218" s="289">
        <f>[3]!FeuilCaduc*(1-Persistant)+Persistant</f>
        <v>0.99970987827148239</v>
      </c>
      <c r="BE218" s="290">
        <f>[3]!CroissVégét</f>
        <v>0.854179289095362</v>
      </c>
      <c r="BF218" s="804">
        <f>1+[3]!Salcycl*Ksac</f>
        <v>1.0499274695678706</v>
      </c>
      <c r="BH218" s="1037">
        <f t="shared" si="113"/>
        <v>6.6029156465331133E-4</v>
      </c>
      <c r="BI218" s="11">
        <v>44400</v>
      </c>
      <c r="BJ218" s="715">
        <v>2.4554625739548376E-7</v>
      </c>
      <c r="BK218" s="715">
        <v>8.838955989198242E-6</v>
      </c>
      <c r="BL218" s="715">
        <v>3.1614523607851649E-5</v>
      </c>
      <c r="BM218" s="715">
        <v>9.9574807839917362E-5</v>
      </c>
      <c r="BN218" s="715">
        <v>8.0140314663666094E-4</v>
      </c>
      <c r="BO218" s="716">
        <v>3.3164209749330636E-3</v>
      </c>
      <c r="BP218" s="715">
        <v>1.3354830563769278E-2</v>
      </c>
      <c r="BQ218" s="715">
        <v>2.9732838145644411E-2</v>
      </c>
      <c r="BR218" s="715">
        <v>5.7088844425476154E-2</v>
      </c>
      <c r="BS218" s="715">
        <v>9.0175790131059641E-2</v>
      </c>
      <c r="BT218" s="715">
        <v>0.12958087019475686</v>
      </c>
      <c r="BW218" s="1185">
        <f>'2019'!R\Max</f>
        <v>0.97496225391137059</v>
      </c>
      <c r="BX218" s="1185">
        <f>'2020'!R\Max</f>
        <v>0.82871731385513725</v>
      </c>
      <c r="BY218" s="1185">
        <f>'2021'!R\Max</f>
        <v>0.80915851816641093</v>
      </c>
      <c r="BZ218" s="1185">
        <f>'2022'!R\Max</f>
        <v>0.72262412412039012</v>
      </c>
      <c r="CA218" s="1185">
        <f>'2023'!R\Max</f>
        <v>0.72249908998606061</v>
      </c>
      <c r="CB218" s="1185">
        <f>'2024'!R\Max</f>
        <v>0.72235891989173873</v>
      </c>
      <c r="CC218" s="1185">
        <f>'2025'!R\Max</f>
        <v>0.72215466006309592</v>
      </c>
      <c r="CD218" s="1185">
        <f>'2026'!R\Max</f>
        <v>0.72277926114822133</v>
      </c>
      <c r="CE218" s="1186">
        <f>'2027'!R\Max</f>
        <v>0.72274796184890666</v>
      </c>
      <c r="CF218" s="1187">
        <f>'2028'!R\Max</f>
        <v>0.72271665841507204</v>
      </c>
    </row>
    <row r="219" spans="1:84" s="6" customFormat="1" ht="11.25" x14ac:dyDescent="0.2">
      <c r="A219" s="11">
        <v>43305</v>
      </c>
      <c r="B219" s="379">
        <f>'2022'!Maxi_hp</f>
        <v>56.928661050654043</v>
      </c>
      <c r="C219" s="13">
        <f>'2022'!An_max</f>
        <v>2022</v>
      </c>
      <c r="D219" s="1046">
        <f t="shared" si="97"/>
        <v>0.98455602299637279</v>
      </c>
      <c r="E219" s="13"/>
      <c r="F219" s="13">
        <f t="shared" si="114"/>
        <v>17</v>
      </c>
      <c r="G219" s="13">
        <f t="shared" si="98"/>
        <v>16</v>
      </c>
      <c r="H219" s="173">
        <f t="shared" si="99"/>
        <v>43318</v>
      </c>
      <c r="I219" s="742">
        <f t="shared" si="100"/>
        <v>0.9285714285714286</v>
      </c>
      <c r="J219" s="735">
        <f t="shared" si="101"/>
        <v>57.821657397817546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39">
        <v>43305</v>
      </c>
      <c r="AP219" s="13">
        <f t="shared" si="102"/>
        <v>9</v>
      </c>
      <c r="AQ219" s="13">
        <f t="shared" si="103"/>
        <v>10</v>
      </c>
      <c r="AR219" s="173">
        <f t="shared" si="104"/>
        <v>43304</v>
      </c>
      <c r="AS219" s="742">
        <f t="shared" si="105"/>
        <v>3.5714285714285712E-2</v>
      </c>
      <c r="AT219" s="758">
        <f t="shared" si="106"/>
        <v>57.825931887707817</v>
      </c>
      <c r="AU219" s="13">
        <f t="shared" si="107"/>
        <v>9</v>
      </c>
      <c r="AV219" s="13">
        <f t="shared" si="108"/>
        <v>8</v>
      </c>
      <c r="AW219" s="173">
        <f t="shared" si="109"/>
        <v>43318</v>
      </c>
      <c r="AX219" s="742">
        <f t="shared" si="110"/>
        <v>0.4642857142857143</v>
      </c>
      <c r="AY219" s="758">
        <f t="shared" si="111"/>
        <v>57.856328762888111</v>
      </c>
      <c r="AZ219" s="735">
        <f t="shared" si="115"/>
        <v>57.841130325297968</v>
      </c>
      <c r="BA219" s="633">
        <f t="shared" si="112"/>
        <v>0.98455602299637279</v>
      </c>
      <c r="BC219" s="11">
        <v>43305</v>
      </c>
      <c r="BD219" s="289">
        <f>[3]!FeuilCaduc*(1-Persistant)+Persistant</f>
        <v>0.99979135448869283</v>
      </c>
      <c r="BE219" s="290">
        <f>[3]!CroissVégét</f>
        <v>0.85923493718111654</v>
      </c>
      <c r="BF219" s="804">
        <f>1+[3]!Salcycl*Ksac</f>
        <v>1.0499478386221732</v>
      </c>
      <c r="BH219" s="1037">
        <f t="shared" si="113"/>
        <v>7.4178004036548129E-4</v>
      </c>
      <c r="BI219" s="11">
        <v>44401</v>
      </c>
      <c r="BJ219" s="715">
        <v>3.1562488351278569E-7</v>
      </c>
      <c r="BK219" s="715">
        <v>9.1414672866426919E-6</v>
      </c>
      <c r="BL219" s="715">
        <v>3.22821150180589E-5</v>
      </c>
      <c r="BM219" s="715">
        <v>1.0049513988747348E-4</v>
      </c>
      <c r="BN219" s="715">
        <v>9.03167631709755E-4</v>
      </c>
      <c r="BO219" s="716">
        <v>3.71272647663315E-3</v>
      </c>
      <c r="BP219" s="715">
        <v>1.4599973969442027E-2</v>
      </c>
      <c r="BQ219" s="715">
        <v>3.1981206816658919E-2</v>
      </c>
      <c r="BR219" s="715">
        <v>5.9694379727903271E-2</v>
      </c>
      <c r="BS219" s="715">
        <v>9.2932805491128534E-2</v>
      </c>
      <c r="BT219" s="715">
        <v>0.13258284585561719</v>
      </c>
      <c r="BW219" s="1185">
        <f>'2019'!R\Max</f>
        <v>0.96957812667578447</v>
      </c>
      <c r="BX219" s="1185">
        <f>'2020'!R\Max</f>
        <v>0.90465656299170361</v>
      </c>
      <c r="BY219" s="1185">
        <f>'2021'!R\Max</f>
        <v>0.51560142618505655</v>
      </c>
      <c r="BZ219" s="1185">
        <f>'2022'!R\Max</f>
        <v>0.98455602299637279</v>
      </c>
      <c r="CA219" s="1185">
        <f>'2023'!R\Max</f>
        <v>0.98454570957065701</v>
      </c>
      <c r="CB219" s="1185">
        <f>'2024'!R\Max</f>
        <v>0.98453418063871034</v>
      </c>
      <c r="CC219" s="1185">
        <f>'2025'!R\Max</f>
        <v>0.98451767850783112</v>
      </c>
      <c r="CD219" s="1185">
        <f>'2026'!R\Max</f>
        <v>0.98456902255913237</v>
      </c>
      <c r="CE219" s="1186">
        <f>'2027'!R\Max</f>
        <v>0.98456636511165208</v>
      </c>
      <c r="CF219" s="1187">
        <f>'2028'!R\Max</f>
        <v>0.98456370702767038</v>
      </c>
    </row>
    <row r="220" spans="1:84" s="6" customFormat="1" ht="11.25" x14ac:dyDescent="0.2">
      <c r="A220" s="11">
        <v>43306</v>
      </c>
      <c r="B220" s="379">
        <f>'2022'!Maxi_hp</f>
        <v>57.091704599474085</v>
      </c>
      <c r="C220" s="13">
        <f>'2022'!An_max</f>
        <v>2018</v>
      </c>
      <c r="D220" s="1046">
        <f t="shared" si="97"/>
        <v>0.98959993517288136</v>
      </c>
      <c r="E220" s="13"/>
      <c r="F220" s="13">
        <f t="shared" si="114"/>
        <v>17</v>
      </c>
      <c r="G220" s="13">
        <f t="shared" si="98"/>
        <v>16</v>
      </c>
      <c r="H220" s="173">
        <f t="shared" si="99"/>
        <v>43318</v>
      </c>
      <c r="I220" s="742">
        <f t="shared" si="100"/>
        <v>0.8571428571428571</v>
      </c>
      <c r="J220" s="735">
        <f t="shared" si="101"/>
        <v>57.691702040684014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39">
        <v>43306</v>
      </c>
      <c r="AP220" s="13">
        <f t="shared" si="102"/>
        <v>9</v>
      </c>
      <c r="AQ220" s="13">
        <f t="shared" si="103"/>
        <v>10</v>
      </c>
      <c r="AR220" s="173">
        <f t="shared" si="104"/>
        <v>43304</v>
      </c>
      <c r="AS220" s="742">
        <f t="shared" si="105"/>
        <v>7.1428571428571425E-2</v>
      </c>
      <c r="AT220" s="758">
        <f t="shared" si="106"/>
        <v>57.701555102132261</v>
      </c>
      <c r="AU220" s="13">
        <f t="shared" si="107"/>
        <v>9</v>
      </c>
      <c r="AV220" s="13">
        <f t="shared" si="108"/>
        <v>8</v>
      </c>
      <c r="AW220" s="173">
        <f t="shared" si="109"/>
        <v>43318</v>
      </c>
      <c r="AX220" s="742">
        <f t="shared" si="110"/>
        <v>0.42857142857142855</v>
      </c>
      <c r="AY220" s="758">
        <f t="shared" si="111"/>
        <v>57.723869387858677</v>
      </c>
      <c r="AZ220" s="735">
        <f t="shared" si="115"/>
        <v>57.712712244995473</v>
      </c>
      <c r="BA220" s="633">
        <f t="shared" si="112"/>
        <v>0.98959993517288136</v>
      </c>
      <c r="BC220" s="11">
        <v>43306</v>
      </c>
      <c r="BD220" s="289">
        <f>[3]!FeuilCaduc*(1-Persistant)+Persistant</f>
        <v>0.99985252597448171</v>
      </c>
      <c r="BE220" s="290">
        <f>[3]!CroissVégét</f>
        <v>0.86414353915538655</v>
      </c>
      <c r="BF220" s="804">
        <f>1+[3]!Salcycl*Ksac</f>
        <v>1.0499631314936204</v>
      </c>
      <c r="BH220" s="1037">
        <f t="shared" si="113"/>
        <v>8.4507988698787517E-4</v>
      </c>
      <c r="BI220" s="11">
        <v>44402</v>
      </c>
      <c r="BJ220" s="715">
        <v>4.0126712922980275E-7</v>
      </c>
      <c r="BK220" s="715">
        <v>9.4163944032981872E-6</v>
      </c>
      <c r="BL220" s="715">
        <v>3.2745396679555874E-5</v>
      </c>
      <c r="BM220" s="715">
        <v>1.010305199123862E-4</v>
      </c>
      <c r="BN220" s="715">
        <v>1.0323294777766772E-3</v>
      </c>
      <c r="BO220" s="716">
        <v>4.1852151057498992E-3</v>
      </c>
      <c r="BP220" s="715">
        <v>1.5942423950121347E-2</v>
      </c>
      <c r="BQ220" s="715">
        <v>3.4290584486564253E-2</v>
      </c>
      <c r="BR220" s="715">
        <v>6.2314121278053941E-2</v>
      </c>
      <c r="BS220" s="715">
        <v>9.5739763149296359E-2</v>
      </c>
      <c r="BT220" s="715">
        <v>0.1357549131207175</v>
      </c>
      <c r="BW220" s="1185">
        <f>'2019'!R\Max</f>
        <v>0.98959993517288136</v>
      </c>
      <c r="BX220" s="1185">
        <f>'2020'!R\Max</f>
        <v>0.90318148349246263</v>
      </c>
      <c r="BY220" s="1185">
        <f>'2021'!R\Max</f>
        <v>0.67441368438420479</v>
      </c>
      <c r="BZ220" s="1185">
        <f>'2022'!R\Max</f>
        <v>0.52751873292144258</v>
      </c>
      <c r="CA220" s="1185">
        <f>'2023'!R\Max</f>
        <v>0.52733579478283521</v>
      </c>
      <c r="CB220" s="1185">
        <f>'2024'!R\Max</f>
        <v>0.5271322069854254</v>
      </c>
      <c r="CC220" s="1185">
        <f>'2025'!R\Max</f>
        <v>0.52684648740754891</v>
      </c>
      <c r="CD220" s="1185">
        <f>'2026'!R\Max</f>
        <v>0.52775418207226155</v>
      </c>
      <c r="CE220" s="1186">
        <f>'2027'!R\Max</f>
        <v>0.5277051513567903</v>
      </c>
      <c r="CF220" s="1187">
        <f>'2028'!R\Max</f>
        <v>0.52765611624702924</v>
      </c>
    </row>
    <row r="221" spans="1:84" s="6" customFormat="1" ht="11.25" x14ac:dyDescent="0.2">
      <c r="A221" s="11">
        <v>43307</v>
      </c>
      <c r="B221" s="379">
        <f>'2022'!Maxi_hp</f>
        <v>56.969060465949205</v>
      </c>
      <c r="C221" s="13">
        <f>'2022'!An_max</f>
        <v>2020</v>
      </c>
      <c r="D221" s="1046">
        <f t="shared" si="97"/>
        <v>0.98972589317378212</v>
      </c>
      <c r="E221" s="13"/>
      <c r="F221" s="13">
        <f t="shared" si="114"/>
        <v>17</v>
      </c>
      <c r="G221" s="13">
        <f t="shared" si="98"/>
        <v>16</v>
      </c>
      <c r="H221" s="173">
        <f t="shared" si="99"/>
        <v>43318</v>
      </c>
      <c r="I221" s="742">
        <f t="shared" si="100"/>
        <v>0.7857142857142857</v>
      </c>
      <c r="J221" s="735">
        <f t="shared" si="101"/>
        <v>57.560442602208681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39">
        <v>43307</v>
      </c>
      <c r="AP221" s="13">
        <f t="shared" si="102"/>
        <v>9</v>
      </c>
      <c r="AQ221" s="13">
        <f t="shared" si="103"/>
        <v>10</v>
      </c>
      <c r="AR221" s="173">
        <f t="shared" si="104"/>
        <v>43304</v>
      </c>
      <c r="AS221" s="742">
        <f t="shared" si="105"/>
        <v>0.10714285714285714</v>
      </c>
      <c r="AT221" s="758">
        <f t="shared" si="106"/>
        <v>57.576960969530056</v>
      </c>
      <c r="AU221" s="13">
        <f t="shared" si="107"/>
        <v>9</v>
      </c>
      <c r="AV221" s="13">
        <f t="shared" si="108"/>
        <v>8</v>
      </c>
      <c r="AW221" s="173">
        <f t="shared" si="109"/>
        <v>43318</v>
      </c>
      <c r="AX221" s="742">
        <f t="shared" si="110"/>
        <v>0.39285714285714285</v>
      </c>
      <c r="AY221" s="758">
        <f t="shared" si="111"/>
        <v>57.590178380041792</v>
      </c>
      <c r="AZ221" s="735">
        <f t="shared" si="115"/>
        <v>57.58356967478592</v>
      </c>
      <c r="BA221" s="633">
        <f t="shared" si="112"/>
        <v>0.98972589317378212</v>
      </c>
      <c r="BC221" s="11">
        <v>43307</v>
      </c>
      <c r="BD221" s="289">
        <f>[3]!FeuilCaduc*(1-Persistant)+Persistant</f>
        <v>0.99989481626753784</v>
      </c>
      <c r="BE221" s="290">
        <f>[3]!CroissVégét</f>
        <v>0.86890745271110437</v>
      </c>
      <c r="BF221" s="804">
        <f>1+[3]!Salcycl*Ksac</f>
        <v>1.0499737040668844</v>
      </c>
      <c r="BH221" s="1037">
        <f t="shared" si="113"/>
        <v>9.6976679594526179E-4</v>
      </c>
      <c r="BI221" s="11">
        <v>44403</v>
      </c>
      <c r="BJ221" s="715">
        <v>5.0246570305656957E-7</v>
      </c>
      <c r="BK221" s="715">
        <v>9.6637653408807319E-6</v>
      </c>
      <c r="BL221" s="715">
        <v>3.300452031163652E-5</v>
      </c>
      <c r="BM221" s="715">
        <v>1.0103656072912283E-4</v>
      </c>
      <c r="BN221" s="715">
        <v>1.1883939304450318E-3</v>
      </c>
      <c r="BO221" s="716">
        <v>4.7237324707273083E-3</v>
      </c>
      <c r="BP221" s="715">
        <v>1.7339548140242293E-2</v>
      </c>
      <c r="BQ221" s="715">
        <v>3.6571068626217916E-2</v>
      </c>
      <c r="BR221" s="715">
        <v>6.4899883277921913E-2</v>
      </c>
      <c r="BS221" s="715">
        <v>9.8555729101588441E-2</v>
      </c>
      <c r="BT221" s="715">
        <v>0.13902095980826593</v>
      </c>
      <c r="BW221" s="1185">
        <f>'2019'!R\Max</f>
        <v>0.39609189803065048</v>
      </c>
      <c r="BX221" s="1185">
        <f>'2020'!R\Max</f>
        <v>0.98972589317378212</v>
      </c>
      <c r="BY221" s="1185">
        <f>'2021'!R\Max</f>
        <v>0.54421420024979117</v>
      </c>
      <c r="BZ221" s="1185">
        <f>'2022'!R\Max</f>
        <v>0.83319414402013858</v>
      </c>
      <c r="CA221" s="1185">
        <f>'2023'!R\Max</f>
        <v>0.83308439840975157</v>
      </c>
      <c r="CB221" s="1185">
        <f>'2024'!R\Max</f>
        <v>0.83296272287797257</v>
      </c>
      <c r="CC221" s="1185">
        <f>'2025'!R\Max</f>
        <v>0.83279509247074357</v>
      </c>
      <c r="CD221" s="1185">
        <f>'2026'!R\Max</f>
        <v>0.83333857823079838</v>
      </c>
      <c r="CE221" s="1186">
        <f>'2027'!R\Max</f>
        <v>0.83330786754561703</v>
      </c>
      <c r="CF221" s="1187">
        <f>'2028'!R\Max</f>
        <v>0.83327714961566779</v>
      </c>
    </row>
    <row r="222" spans="1:84" s="6" customFormat="1" ht="11.25" x14ac:dyDescent="0.2">
      <c r="A222" s="11">
        <v>43308</v>
      </c>
      <c r="B222" s="379">
        <f>'2022'!Maxi_hp</f>
        <v>59.086092502375415</v>
      </c>
      <c r="C222" s="13">
        <f>'2022'!An_max</f>
        <v>2022</v>
      </c>
      <c r="D222" s="1046">
        <f t="shared" si="97"/>
        <v>1.0288727641708302</v>
      </c>
      <c r="E222" s="13"/>
      <c r="F222" s="13">
        <f t="shared" si="114"/>
        <v>17</v>
      </c>
      <c r="G222" s="13">
        <f t="shared" si="98"/>
        <v>16</v>
      </c>
      <c r="H222" s="173">
        <f t="shared" si="99"/>
        <v>43318</v>
      </c>
      <c r="I222" s="742">
        <f t="shared" si="100"/>
        <v>0.7142857142857143</v>
      </c>
      <c r="J222" s="735">
        <f t="shared" si="101"/>
        <v>57.427987755116604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39">
        <v>43308</v>
      </c>
      <c r="AP222" s="13">
        <f t="shared" si="102"/>
        <v>9</v>
      </c>
      <c r="AQ222" s="13">
        <f t="shared" si="103"/>
        <v>10</v>
      </c>
      <c r="AR222" s="173">
        <f t="shared" si="104"/>
        <v>43304</v>
      </c>
      <c r="AS222" s="742">
        <f t="shared" si="105"/>
        <v>0.14285714285714285</v>
      </c>
      <c r="AT222" s="758">
        <f t="shared" si="106"/>
        <v>57.452040816524196</v>
      </c>
      <c r="AU222" s="13">
        <f t="shared" si="107"/>
        <v>9</v>
      </c>
      <c r="AV222" s="13">
        <f t="shared" si="108"/>
        <v>8</v>
      </c>
      <c r="AW222" s="173">
        <f t="shared" si="109"/>
        <v>43318</v>
      </c>
      <c r="AX222" s="742">
        <f t="shared" si="110"/>
        <v>0.35714285714285715</v>
      </c>
      <c r="AY222" s="758">
        <f t="shared" si="111"/>
        <v>57.455337244831028</v>
      </c>
      <c r="AZ222" s="735">
        <f t="shared" si="115"/>
        <v>57.453689030677609</v>
      </c>
      <c r="BA222" s="633">
        <f t="shared" si="112"/>
        <v>1.0288727641708302</v>
      </c>
      <c r="BC222" s="11">
        <v>43308</v>
      </c>
      <c r="BD222" s="289">
        <f>[3]!FeuilCaduc*(1-Persistant)+Persistant</f>
        <v>0.99991954843281095</v>
      </c>
      <c r="BE222" s="290">
        <f>[3]!CroissVégét</f>
        <v>0.87352913572103608</v>
      </c>
      <c r="BF222" s="804">
        <f>1+[3]!Salcycl*Ksac</f>
        <v>1.0499798871082027</v>
      </c>
      <c r="BH222" s="1037">
        <f t="shared" si="113"/>
        <v>1.1158317036272672E-3</v>
      </c>
      <c r="BI222" s="11">
        <v>44404</v>
      </c>
      <c r="BJ222" s="715">
        <v>6.1921450604086991E-7</v>
      </c>
      <c r="BK222" s="715">
        <v>9.8836054608054983E-6</v>
      </c>
      <c r="BL222" s="715">
        <v>3.3059620018646067E-5</v>
      </c>
      <c r="BM222" s="715">
        <v>1.0051357799389225E-4</v>
      </c>
      <c r="BN222" s="715">
        <v>1.3713495656914039E-3</v>
      </c>
      <c r="BO222" s="716">
        <v>5.3282564339613963E-3</v>
      </c>
      <c r="BP222" s="715">
        <v>1.8791363618372612E-2</v>
      </c>
      <c r="BQ222" s="715">
        <v>3.8822761676118089E-2</v>
      </c>
      <c r="BR222" s="715">
        <v>6.7451775829187738E-2</v>
      </c>
      <c r="BS222" s="715">
        <v>0.10138078512486268</v>
      </c>
      <c r="BT222" s="715">
        <v>0.14238101911601839</v>
      </c>
      <c r="BW222" s="1185">
        <f>'2019'!R\Max</f>
        <v>0.18592388474196359</v>
      </c>
      <c r="BX222" s="1185">
        <f>'2020'!R\Max</f>
        <v>0.7185138855959029</v>
      </c>
      <c r="BY222" s="1185">
        <f>'2021'!R\Max</f>
        <v>0.94776802156725015</v>
      </c>
      <c r="BZ222" s="1185">
        <f>'2022'!R\Max</f>
        <v>1.0288727641708302</v>
      </c>
      <c r="CA222" s="1185">
        <f>'2023'!R\Max</f>
        <v>1.0288727641708302</v>
      </c>
      <c r="CB222" s="1185">
        <f>'2024'!R\Max</f>
        <v>1.0288727641708302</v>
      </c>
      <c r="CC222" s="1185">
        <f>'2025'!R\Max</f>
        <v>1.0288727641708302</v>
      </c>
      <c r="CD222" s="1185">
        <f>'2026'!R\Max</f>
        <v>1.0288727641708302</v>
      </c>
      <c r="CE222" s="1186">
        <f>'2027'!R\Max</f>
        <v>1.0288727641708302</v>
      </c>
      <c r="CF222" s="1187">
        <f>'2028'!R\Max</f>
        <v>1.0288727641708302</v>
      </c>
    </row>
    <row r="223" spans="1:84" s="6" customFormat="1" ht="11.25" x14ac:dyDescent="0.2">
      <c r="A223" s="11">
        <v>43309</v>
      </c>
      <c r="B223" s="379">
        <f>'2022'!Maxi_hp</f>
        <v>55.235892081296527</v>
      </c>
      <c r="C223" s="13">
        <f>'2022'!An_max</f>
        <v>2020</v>
      </c>
      <c r="D223" s="1046" t="str">
        <f t="shared" si="97"/>
        <v/>
      </c>
      <c r="E223" s="13"/>
      <c r="F223" s="13">
        <f t="shared" si="114"/>
        <v>17</v>
      </c>
      <c r="G223" s="13">
        <f t="shared" si="98"/>
        <v>16</v>
      </c>
      <c r="H223" s="173">
        <f t="shared" si="99"/>
        <v>43318</v>
      </c>
      <c r="I223" s="742">
        <f t="shared" si="100"/>
        <v>0.6428571428571429</v>
      </c>
      <c r="J223" s="735">
        <f t="shared" si="101"/>
        <v>57.29444617347658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39">
        <v>43309</v>
      </c>
      <c r="AP223" s="13">
        <f t="shared" si="102"/>
        <v>9</v>
      </c>
      <c r="AQ223" s="13">
        <f t="shared" si="103"/>
        <v>10</v>
      </c>
      <c r="AR223" s="173">
        <f t="shared" si="104"/>
        <v>43304</v>
      </c>
      <c r="AS223" s="742">
        <f t="shared" si="105"/>
        <v>0.17857142857142858</v>
      </c>
      <c r="AT223" s="758">
        <f t="shared" si="106"/>
        <v>57.326685969159008</v>
      </c>
      <c r="AU223" s="13">
        <f t="shared" si="107"/>
        <v>9</v>
      </c>
      <c r="AV223" s="13">
        <f t="shared" si="108"/>
        <v>8</v>
      </c>
      <c r="AW223" s="173">
        <f t="shared" si="109"/>
        <v>43318</v>
      </c>
      <c r="AX223" s="742">
        <f t="shared" si="110"/>
        <v>0.32142857142857145</v>
      </c>
      <c r="AY223" s="758">
        <f t="shared" si="111"/>
        <v>57.319427487460374</v>
      </c>
      <c r="AZ223" s="735">
        <f t="shared" si="115"/>
        <v>57.323056728309695</v>
      </c>
      <c r="BA223" s="633">
        <f t="shared" si="112"/>
        <v>0.96407061714241649</v>
      </c>
      <c r="BC223" s="11">
        <v>43309</v>
      </c>
      <c r="BD223" s="289">
        <f>[3]!FeuilCaduc*(1-Persistant)+Persistant</f>
        <v>0.99992794285951137</v>
      </c>
      <c r="BE223" s="290">
        <f>[3]!CroissVégét</f>
        <v>0.8780111344941991</v>
      </c>
      <c r="BF223" s="804">
        <f>1+[3]!Salcycl*Ksac</f>
        <v>1.0499819857148778</v>
      </c>
      <c r="BH223" s="1037">
        <f t="shared" si="113"/>
        <v>1.2832671364401346E-3</v>
      </c>
      <c r="BI223" s="11">
        <v>44405</v>
      </c>
      <c r="BJ223" s="715">
        <v>7.51508583407733E-7</v>
      </c>
      <c r="BK223" s="715">
        <v>1.0075937569730888E-5</v>
      </c>
      <c r="BL223" s="715">
        <v>3.2910812924220129E-5</v>
      </c>
      <c r="BM223" s="715">
        <v>9.9461844114883137E-5</v>
      </c>
      <c r="BN223" s="715">
        <v>1.5811869605410424E-3</v>
      </c>
      <c r="BO223" s="716">
        <v>5.9987695795774001E-3</v>
      </c>
      <c r="BP223" s="715">
        <v>2.0297890209760042E-2</v>
      </c>
      <c r="BQ223" s="715">
        <v>4.1045760929652363E-2</v>
      </c>
      <c r="BR223" s="715">
        <v>6.9969903065513261E-2</v>
      </c>
      <c r="BS223" s="715">
        <v>0.10421501020419385</v>
      </c>
      <c r="BT223" s="715">
        <v>0.14583512777051452</v>
      </c>
      <c r="BW223" s="1185">
        <f>'2019'!R\Max</f>
        <v>0.78659513523240709</v>
      </c>
      <c r="BX223" s="1185">
        <f>'2020'!R\Max</f>
        <v>0.96407061714241649</v>
      </c>
      <c r="BY223" s="1185">
        <f>'2021'!R\Max</f>
        <v>0.43632960798114245</v>
      </c>
      <c r="BZ223" s="1185">
        <f>'2022'!R\Max</f>
        <v>0.82207208794772613</v>
      </c>
      <c r="CA223" s="1185">
        <f>'2023'!R\Max</f>
        <v>0.82194054537833849</v>
      </c>
      <c r="CB223" s="1185">
        <f>'2024'!R\Max</f>
        <v>0.82179613422036291</v>
      </c>
      <c r="CC223" s="1185">
        <f>'2025'!R\Max</f>
        <v>0.82160485032667707</v>
      </c>
      <c r="CD223" s="1185">
        <f>'2026'!R\Max</f>
        <v>0.82225424816466697</v>
      </c>
      <c r="CE223" s="1186">
        <f>'2027'!R\Max</f>
        <v>0.82221367532244893</v>
      </c>
      <c r="CF223" s="1187">
        <f>'2028'!R\Max</f>
        <v>0.82217309071326738</v>
      </c>
    </row>
    <row r="224" spans="1:84" s="6" customFormat="1" ht="11.25" x14ac:dyDescent="0.2">
      <c r="A224" s="11">
        <v>43310</v>
      </c>
      <c r="B224" s="379">
        <f>'2022'!Maxi_hp</f>
        <v>58.807397280234632</v>
      </c>
      <c r="C224" s="13">
        <f>'2022'!An_max</f>
        <v>2018</v>
      </c>
      <c r="D224" s="1046">
        <f t="shared" si="97"/>
        <v>1.0288221285368508</v>
      </c>
      <c r="E224" s="13"/>
      <c r="F224" s="13">
        <f t="shared" si="114"/>
        <v>17</v>
      </c>
      <c r="G224" s="13">
        <f t="shared" si="98"/>
        <v>16</v>
      </c>
      <c r="H224" s="173">
        <f t="shared" si="99"/>
        <v>43318</v>
      </c>
      <c r="I224" s="742">
        <f t="shared" si="100"/>
        <v>0.5714285714285714</v>
      </c>
      <c r="J224" s="735">
        <f t="shared" si="101"/>
        <v>57.159926530612367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39">
        <v>43310</v>
      </c>
      <c r="AP224" s="13">
        <f t="shared" si="102"/>
        <v>9</v>
      </c>
      <c r="AQ224" s="13">
        <f t="shared" si="103"/>
        <v>10</v>
      </c>
      <c r="AR224" s="173">
        <f t="shared" si="104"/>
        <v>43304</v>
      </c>
      <c r="AS224" s="742">
        <f t="shared" si="105"/>
        <v>0.21428571428571427</v>
      </c>
      <c r="AT224" s="758">
        <f t="shared" si="106"/>
        <v>57.200787755062002</v>
      </c>
      <c r="AU224" s="13">
        <f t="shared" si="107"/>
        <v>9</v>
      </c>
      <c r="AV224" s="13">
        <f t="shared" si="108"/>
        <v>8</v>
      </c>
      <c r="AW224" s="173">
        <f t="shared" si="109"/>
        <v>43318</v>
      </c>
      <c r="AX224" s="742">
        <f t="shared" si="110"/>
        <v>0.2857142857142857</v>
      </c>
      <c r="AY224" s="758">
        <f t="shared" si="111"/>
        <v>57.182530612418688</v>
      </c>
      <c r="AZ224" s="735">
        <f t="shared" si="115"/>
        <v>57.191659183740342</v>
      </c>
      <c r="BA224" s="633">
        <f t="shared" si="112"/>
        <v>1.0288221285368508</v>
      </c>
      <c r="BC224" s="11">
        <v>43310</v>
      </c>
      <c r="BD224" s="289">
        <f>[3]!FeuilCaduc*(1-Persistant)+Persistant</f>
        <v>0.99992111588909649</v>
      </c>
      <c r="BE224" s="290">
        <f>[3]!CroissVégét</f>
        <v>0.88235607250226589</v>
      </c>
      <c r="BF224" s="804">
        <f>1+[3]!Salcycl*Ksac</f>
        <v>1.0499802789722741</v>
      </c>
      <c r="BH224" s="1037">
        <f t="shared" si="113"/>
        <v>1.4720671443343358E-3</v>
      </c>
      <c r="BI224" s="11">
        <v>44406</v>
      </c>
      <c r="BJ224" s="715">
        <v>8.9934407618797675E-7</v>
      </c>
      <c r="BK224" s="715">
        <v>1.0240782004946126E-5</v>
      </c>
      <c r="BL224" s="715">
        <v>3.255819980500818E-5</v>
      </c>
      <c r="BM224" s="715">
        <v>9.7881589896810307E-5</v>
      </c>
      <c r="BN224" s="715">
        <v>1.817898609452971E-3</v>
      </c>
      <c r="BO224" s="716">
        <v>6.7352590080384574E-3</v>
      </c>
      <c r="BP224" s="715">
        <v>2.1859150315292279E-2</v>
      </c>
      <c r="BQ224" s="715">
        <v>4.324015862050775E-2</v>
      </c>
      <c r="BR224" s="715">
        <v>7.2454363256142768E-2</v>
      </c>
      <c r="BS224" s="715">
        <v>0.10705848050385854</v>
      </c>
      <c r="BT224" s="715">
        <v>0.14938332573514532</v>
      </c>
      <c r="BW224" s="1185">
        <f>'2019'!R\Max</f>
        <v>1.0288221285368508</v>
      </c>
      <c r="BX224" s="1185">
        <f>'2020'!R\Max</f>
        <v>0.53990767918761651</v>
      </c>
      <c r="BY224" s="1185">
        <f>'2021'!R\Max</f>
        <v>0.95415494054423944</v>
      </c>
      <c r="BZ224" s="1185">
        <f>'2022'!R\Max</f>
        <v>0.4852528172505956</v>
      </c>
      <c r="CA224" s="1185">
        <f>'2023'!R\Max</f>
        <v>0.48501472673513274</v>
      </c>
      <c r="CB224" s="1185">
        <f>'2024'!R\Max</f>
        <v>0.48475498089069702</v>
      </c>
      <c r="CC224" s="1185">
        <f>'2025'!R\Max</f>
        <v>0.48441811289871928</v>
      </c>
      <c r="CD224" s="1185">
        <f>'2026'!R\Max</f>
        <v>0.48559183395578415</v>
      </c>
      <c r="CE224" s="1186">
        <f>'2027'!R\Max</f>
        <v>0.48551446977230939</v>
      </c>
      <c r="CF224" s="1187">
        <f>'2028'!R\Max</f>
        <v>0.48543709669290347</v>
      </c>
    </row>
    <row r="225" spans="1:84" s="6" customFormat="1" ht="11.25" x14ac:dyDescent="0.2">
      <c r="A225" s="11">
        <v>43311</v>
      </c>
      <c r="B225" s="379">
        <f>'2022'!Maxi_hp</f>
        <v>48.678240079056877</v>
      </c>
      <c r="C225" s="13">
        <f>'2022'!An_max</f>
        <v>2020</v>
      </c>
      <c r="D225" s="1046" t="str">
        <f t="shared" si="97"/>
        <v/>
      </c>
      <c r="E225" s="13"/>
      <c r="F225" s="13">
        <f t="shared" si="114"/>
        <v>17</v>
      </c>
      <c r="G225" s="13">
        <f t="shared" si="98"/>
        <v>16</v>
      </c>
      <c r="H225" s="173">
        <f t="shared" si="99"/>
        <v>43318</v>
      </c>
      <c r="I225" s="742">
        <f t="shared" si="100"/>
        <v>0.5</v>
      </c>
      <c r="J225" s="735">
        <f t="shared" si="101"/>
        <v>57.02453749999404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39">
        <v>43311</v>
      </c>
      <c r="AP225" s="13">
        <f t="shared" si="102"/>
        <v>9</v>
      </c>
      <c r="AQ225" s="13">
        <f t="shared" si="103"/>
        <v>10</v>
      </c>
      <c r="AR225" s="173">
        <f t="shared" si="104"/>
        <v>43304</v>
      </c>
      <c r="AS225" s="742">
        <f t="shared" si="105"/>
        <v>0.25</v>
      </c>
      <c r="AT225" s="758">
        <f t="shared" si="106"/>
        <v>57.074237499991433</v>
      </c>
      <c r="AU225" s="13">
        <f t="shared" si="107"/>
        <v>9</v>
      </c>
      <c r="AV225" s="13">
        <f t="shared" si="108"/>
        <v>8</v>
      </c>
      <c r="AW225" s="173">
        <f t="shared" si="109"/>
        <v>43318</v>
      </c>
      <c r="AX225" s="742">
        <f t="shared" si="110"/>
        <v>0.25</v>
      </c>
      <c r="AY225" s="758">
        <f t="shared" si="111"/>
        <v>57.044728125073014</v>
      </c>
      <c r="AZ225" s="735">
        <f t="shared" si="115"/>
        <v>57.059482812532224</v>
      </c>
      <c r="BA225" s="633">
        <f t="shared" si="112"/>
        <v>0.85363673627448478</v>
      </c>
      <c r="BC225" s="11">
        <v>43311</v>
      </c>
      <c r="BD225" s="289">
        <f>[3]!FeuilCaduc*(1-Persistant)+Persistant</f>
        <v>0.99990007924593782</v>
      </c>
      <c r="BE225" s="290">
        <f>[3]!CroissVégét</f>
        <v>0.88656663959603077</v>
      </c>
      <c r="BF225" s="804">
        <f>1+[3]!Salcycl*Ksac</f>
        <v>1.0499750198114846</v>
      </c>
      <c r="BH225" s="1037">
        <f t="shared" si="113"/>
        <v>1.6822272343741504E-3</v>
      </c>
      <c r="BI225" s="11">
        <v>44407</v>
      </c>
      <c r="BJ225" s="715">
        <v>1.0627181728710858E-6</v>
      </c>
      <c r="BK225" s="715">
        <v>1.037815672009434E-5</v>
      </c>
      <c r="BL225" s="715">
        <v>3.2001865725497347E-5</v>
      </c>
      <c r="BM225" s="715">
        <v>9.5773006188793882E-5</v>
      </c>
      <c r="BN225" s="715">
        <v>2.0814788407567866E-3</v>
      </c>
      <c r="BO225" s="716">
        <v>7.5377161309507779E-3</v>
      </c>
      <c r="BP225" s="715">
        <v>2.3475168741125058E-2</v>
      </c>
      <c r="BQ225" s="715">
        <v>4.540604201143638E-2</v>
      </c>
      <c r="BR225" s="715">
        <v>7.4905248911826636E-2</v>
      </c>
      <c r="BS225" s="715">
        <v>0.10991126934178963</v>
      </c>
      <c r="BT225" s="715">
        <v>0.1530256559230817</v>
      </c>
      <c r="BW225" s="1185">
        <f>'2019'!R\Max</f>
        <v>0.40923677115543211</v>
      </c>
      <c r="BX225" s="1185">
        <f>'2020'!R\Max</f>
        <v>0.85363673627448478</v>
      </c>
      <c r="BY225" s="1185">
        <f>'2021'!R\Max</f>
        <v>0.3184489584165327</v>
      </c>
      <c r="BZ225" s="1185">
        <f>'2022'!R\Max</f>
        <v>0.80783639899332993</v>
      </c>
      <c r="CA225" s="1185">
        <f>'2023'!R\Max</f>
        <v>0.80768004096134505</v>
      </c>
      <c r="CB225" s="1185">
        <f>'2024'!R\Max</f>
        <v>0.80751038509324002</v>
      </c>
      <c r="CC225" s="1185">
        <f>'2025'!R\Max</f>
        <v>0.80729472606536379</v>
      </c>
      <c r="CD225" s="1185">
        <f>'2026'!R\Max</f>
        <v>0.80806511845883677</v>
      </c>
      <c r="CE225" s="1186">
        <f>'2027'!R\Max</f>
        <v>0.80801168691452119</v>
      </c>
      <c r="CF225" s="1187">
        <f>'2028'!R\Max</f>
        <v>0.8079582366611211</v>
      </c>
    </row>
    <row r="226" spans="1:84" s="6" customFormat="1" ht="11.25" x14ac:dyDescent="0.2">
      <c r="A226" s="11">
        <v>43312</v>
      </c>
      <c r="B226" s="379">
        <f>'2022'!Maxi_hp</f>
        <v>57.70083398193163</v>
      </c>
      <c r="C226" s="13">
        <f>'2022'!An_max</f>
        <v>2022</v>
      </c>
      <c r="D226" s="1046">
        <f t="shared" si="97"/>
        <v>1.0142814071359794</v>
      </c>
      <c r="E226" s="13"/>
      <c r="F226" s="13">
        <f t="shared" si="114"/>
        <v>17</v>
      </c>
      <c r="G226" s="13">
        <f t="shared" si="98"/>
        <v>16</v>
      </c>
      <c r="H226" s="173">
        <f t="shared" si="99"/>
        <v>43318</v>
      </c>
      <c r="I226" s="742">
        <f t="shared" si="100"/>
        <v>0.42857142857142855</v>
      </c>
      <c r="J226" s="735">
        <f t="shared" si="101"/>
        <v>56.888387755091706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39">
        <v>43312</v>
      </c>
      <c r="AP226" s="13">
        <f t="shared" si="102"/>
        <v>9</v>
      </c>
      <c r="AQ226" s="13">
        <f t="shared" si="103"/>
        <v>10</v>
      </c>
      <c r="AR226" s="173">
        <f t="shared" si="104"/>
        <v>43304</v>
      </c>
      <c r="AS226" s="742">
        <f t="shared" si="105"/>
        <v>0.2857142857142857</v>
      </c>
      <c r="AT226" s="758">
        <f t="shared" si="106"/>
        <v>56.946926530503802</v>
      </c>
      <c r="AU226" s="13">
        <f t="shared" si="107"/>
        <v>9</v>
      </c>
      <c r="AV226" s="13">
        <f t="shared" si="108"/>
        <v>8</v>
      </c>
      <c r="AW226" s="173">
        <f t="shared" si="109"/>
        <v>43318</v>
      </c>
      <c r="AX226" s="742">
        <f t="shared" si="110"/>
        <v>0.21428571428571427</v>
      </c>
      <c r="AY226" s="758">
        <f t="shared" si="111"/>
        <v>56.906101530683898</v>
      </c>
      <c r="AZ226" s="735">
        <f t="shared" si="115"/>
        <v>56.92651403059385</v>
      </c>
      <c r="BA226" s="633">
        <f t="shared" si="112"/>
        <v>1.0142814071359794</v>
      </c>
      <c r="BC226" s="11">
        <v>43312</v>
      </c>
      <c r="BD226" s="289">
        <f>[3]!FeuilCaduc*(1-Persistant)+Persistant</f>
        <v>0.99986574023617636</v>
      </c>
      <c r="BE226" s="290">
        <f>[3]!CroissVégét</f>
        <v>0.89064558172697694</v>
      </c>
      <c r="BF226" s="804">
        <f>1+[3]!Salcycl*Ksac</f>
        <v>1.0499664350590441</v>
      </c>
      <c r="BH226" s="1037">
        <f t="shared" si="113"/>
        <v>1.9409574116645201E-3</v>
      </c>
      <c r="BI226" s="11">
        <v>44408</v>
      </c>
      <c r="BJ226" s="715">
        <v>1.2241177503217779E-6</v>
      </c>
      <c r="BK226" s="715">
        <v>1.0448961685267079E-5</v>
      </c>
      <c r="BL226" s="715">
        <v>3.9788371143465352E-5</v>
      </c>
      <c r="BM226" s="715">
        <v>1.2034900760983191E-4</v>
      </c>
      <c r="BN226" s="715">
        <v>2.3991369273408053E-3</v>
      </c>
      <c r="BO226" s="716">
        <v>8.4203073281422305E-3</v>
      </c>
      <c r="BP226" s="715">
        <v>2.5104757601663013E-2</v>
      </c>
      <c r="BQ226" s="715">
        <v>4.751757260843862E-2</v>
      </c>
      <c r="BR226" s="715">
        <v>7.7330246062042862E-2</v>
      </c>
      <c r="BS226" s="715">
        <v>0.11290090890349831</v>
      </c>
      <c r="BT226" s="715">
        <v>0.1570115272056333</v>
      </c>
      <c r="BW226" s="1185">
        <f>'2019'!R\Max</f>
        <v>0.98769072026043614</v>
      </c>
      <c r="BX226" s="1185">
        <f>'2020'!R\Max</f>
        <v>0.9544405487074793</v>
      </c>
      <c r="BY226" s="1185">
        <f>'2021'!R\Max</f>
        <v>0.21865628231434933</v>
      </c>
      <c r="BZ226" s="1185">
        <f>'2022'!R\Max</f>
        <v>1.0142814071359794</v>
      </c>
      <c r="CA226" s="1185">
        <f>'2023'!R\Max</f>
        <v>1.0142814071359794</v>
      </c>
      <c r="CB226" s="1185">
        <f>'2024'!R\Max</f>
        <v>1.0142814071359794</v>
      </c>
      <c r="CC226" s="1185">
        <f>'2025'!R\Max</f>
        <v>1.0142814071359794</v>
      </c>
      <c r="CD226" s="1185">
        <f>'2026'!R\Max</f>
        <v>1.0142814071359794</v>
      </c>
      <c r="CE226" s="1186">
        <f>'2027'!R\Max</f>
        <v>1.0142814071359794</v>
      </c>
      <c r="CF226" s="1187">
        <f>'2028'!R\Max</f>
        <v>1.0142814071359794</v>
      </c>
    </row>
    <row r="227" spans="1:84" s="6" customFormat="1" ht="11.25" x14ac:dyDescent="0.2">
      <c r="A227" s="11">
        <v>43313</v>
      </c>
      <c r="B227" s="379">
        <f>'2022'!Maxi_hp</f>
        <v>57.353171023524027</v>
      </c>
      <c r="C227" s="13">
        <f>'2022'!An_max</f>
        <v>2022</v>
      </c>
      <c r="D227" s="1046">
        <f t="shared" si="97"/>
        <v>1.0106003214513373</v>
      </c>
      <c r="E227" s="13"/>
      <c r="F227" s="13">
        <f t="shared" si="114"/>
        <v>17</v>
      </c>
      <c r="G227" s="13">
        <f t="shared" si="98"/>
        <v>16</v>
      </c>
      <c r="H227" s="173">
        <f t="shared" si="99"/>
        <v>43318</v>
      </c>
      <c r="I227" s="742">
        <f t="shared" si="100"/>
        <v>0.35714285714285715</v>
      </c>
      <c r="J227" s="735">
        <f t="shared" si="101"/>
        <v>56.751585969375448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39">
        <v>43313</v>
      </c>
      <c r="AP227" s="13">
        <f t="shared" si="102"/>
        <v>9</v>
      </c>
      <c r="AQ227" s="13">
        <f t="shared" si="103"/>
        <v>10</v>
      </c>
      <c r="AR227" s="173">
        <f t="shared" si="104"/>
        <v>43304</v>
      </c>
      <c r="AS227" s="742">
        <f t="shared" si="105"/>
        <v>0.32142857142857145</v>
      </c>
      <c r="AT227" s="758">
        <f t="shared" si="106"/>
        <v>56.818746173328591</v>
      </c>
      <c r="AU227" s="13">
        <f t="shared" si="107"/>
        <v>9</v>
      </c>
      <c r="AV227" s="13">
        <f t="shared" si="108"/>
        <v>8</v>
      </c>
      <c r="AW227" s="173">
        <f t="shared" si="109"/>
        <v>43318</v>
      </c>
      <c r="AX227" s="742">
        <f t="shared" si="110"/>
        <v>0.17857142857142858</v>
      </c>
      <c r="AY227" s="758">
        <f t="shared" si="111"/>
        <v>56.766732334312316</v>
      </c>
      <c r="AZ227" s="735">
        <f t="shared" si="115"/>
        <v>56.792739253820457</v>
      </c>
      <c r="BA227" s="633">
        <f t="shared" si="112"/>
        <v>1.0106003214513373</v>
      </c>
      <c r="BC227" s="11">
        <v>43313</v>
      </c>
      <c r="BD227" s="289">
        <f>[3]!FeuilCaduc*(1-Persistant)+Persistant</f>
        <v>0.99981890267354601</v>
      </c>
      <c r="BE227" s="290">
        <f>[3]!CroissVégét</f>
        <v>0.89459569118431537</v>
      </c>
      <c r="BF227" s="804">
        <f>1+[3]!Salcycl*Ksac</f>
        <v>1.0499547256683865</v>
      </c>
      <c r="BH227" s="1037">
        <f t="shared" si="113"/>
        <v>2.2383691618197512E-3</v>
      </c>
      <c r="BI227" s="11">
        <v>44409</v>
      </c>
      <c r="BJ227" s="715">
        <v>1.3747948656861588E-6</v>
      </c>
      <c r="BK227" s="715">
        <v>1.0507566428556834E-5</v>
      </c>
      <c r="BL227" s="715">
        <v>5.617750909204087E-5</v>
      </c>
      <c r="BM227" s="715">
        <v>1.7195538335671931E-4</v>
      </c>
      <c r="BN227" s="715">
        <v>2.7584087607221818E-3</v>
      </c>
      <c r="BO227" s="716">
        <v>9.3500162672041833E-3</v>
      </c>
      <c r="BP227" s="715">
        <v>2.6705260854628567E-2</v>
      </c>
      <c r="BQ227" s="715">
        <v>4.9570913401662593E-2</v>
      </c>
      <c r="BR227" s="715">
        <v>7.972749393902244E-2</v>
      </c>
      <c r="BS227" s="715">
        <v>0.11600409360035632</v>
      </c>
      <c r="BT227" s="715">
        <v>0.16124791108026099</v>
      </c>
      <c r="BW227" s="1185">
        <f>'2019'!R\Max</f>
        <v>0.81338658368683547</v>
      </c>
      <c r="BX227" s="1185">
        <f>'2020'!R\Max</f>
        <v>0.9487016192706168</v>
      </c>
      <c r="BY227" s="1185">
        <f>'2021'!R\Max</f>
        <v>0.83758222836575469</v>
      </c>
      <c r="BZ227" s="1185">
        <f>'2022'!R\Max</f>
        <v>1.0106003214513373</v>
      </c>
      <c r="CA227" s="1185">
        <f>'2023'!R\Max</f>
        <v>1.0106003214513373</v>
      </c>
      <c r="CB227" s="1185">
        <f>'2024'!R\Max</f>
        <v>1.010600321451337</v>
      </c>
      <c r="CC227" s="1185">
        <f>'2025'!R\Max</f>
        <v>1.0106003214513373</v>
      </c>
      <c r="CD227" s="1185">
        <f>'2026'!R\Max</f>
        <v>1.0106003214513373</v>
      </c>
      <c r="CE227" s="1186">
        <f>'2027'!R\Max</f>
        <v>1.0106003214513373</v>
      </c>
      <c r="CF227" s="1187">
        <f>'2028'!R\Max</f>
        <v>1.0106003214513373</v>
      </c>
    </row>
    <row r="228" spans="1:84" s="6" customFormat="1" ht="11.25" x14ac:dyDescent="0.2">
      <c r="A228" s="11">
        <v>43314</v>
      </c>
      <c r="B228" s="379">
        <f>'2022'!Maxi_hp</f>
        <v>57.607430014049775</v>
      </c>
      <c r="C228" s="13">
        <f>'2022'!An_max</f>
        <v>2022</v>
      </c>
      <c r="D228" s="1046">
        <f t="shared" si="97"/>
        <v>1.0175430984044598</v>
      </c>
      <c r="E228" s="13"/>
      <c r="F228" s="13">
        <f t="shared" si="114"/>
        <v>17</v>
      </c>
      <c r="G228" s="13">
        <f t="shared" si="98"/>
        <v>16</v>
      </c>
      <c r="H228" s="173">
        <f t="shared" si="99"/>
        <v>43318</v>
      </c>
      <c r="I228" s="742">
        <f t="shared" si="100"/>
        <v>0.2857142857142857</v>
      </c>
      <c r="J228" s="735">
        <f t="shared" si="101"/>
        <v>56.614240816315373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39">
        <v>43314</v>
      </c>
      <c r="AP228" s="13">
        <f t="shared" si="102"/>
        <v>9</v>
      </c>
      <c r="AQ228" s="13">
        <f t="shared" si="103"/>
        <v>10</v>
      </c>
      <c r="AR228" s="173">
        <f t="shared" si="104"/>
        <v>43304</v>
      </c>
      <c r="AS228" s="742">
        <f t="shared" si="105"/>
        <v>0.35714285714285715</v>
      </c>
      <c r="AT228" s="758">
        <f t="shared" si="106"/>
        <v>56.689587755301702</v>
      </c>
      <c r="AU228" s="13">
        <f t="shared" si="107"/>
        <v>9</v>
      </c>
      <c r="AV228" s="13">
        <f t="shared" si="108"/>
        <v>8</v>
      </c>
      <c r="AW228" s="173">
        <f t="shared" si="109"/>
        <v>43318</v>
      </c>
      <c r="AX228" s="742">
        <f t="shared" si="110"/>
        <v>0.14285714285714285</v>
      </c>
      <c r="AY228" s="758">
        <f t="shared" si="111"/>
        <v>56.626702040912846</v>
      </c>
      <c r="AZ228" s="735">
        <f t="shared" si="115"/>
        <v>56.658144898107274</v>
      </c>
      <c r="BA228" s="633">
        <f t="shared" si="112"/>
        <v>1.0175430984044598</v>
      </c>
      <c r="BC228" s="11">
        <v>43314</v>
      </c>
      <c r="BD228" s="289">
        <f>[3]!FeuilCaduc*(1-Persistant)+Persistant</f>
        <v>0.99976026848477439</v>
      </c>
      <c r="BE228" s="290">
        <f>[3]!CroissVégét</f>
        <v>0.89841979735358901</v>
      </c>
      <c r="BF228" s="804">
        <f>1+[3]!Salcycl*Ksac</f>
        <v>1.0499400671211936</v>
      </c>
      <c r="BH228" s="1037">
        <f t="shared" si="113"/>
        <v>2.5744562694313571E-3</v>
      </c>
      <c r="BI228" s="11">
        <v>44410</v>
      </c>
      <c r="BJ228" s="715">
        <v>1.5147590300532802E-6</v>
      </c>
      <c r="BK228" s="715">
        <v>1.0553975025188874E-5</v>
      </c>
      <c r="BL228" s="715">
        <v>8.1166239813914348E-5</v>
      </c>
      <c r="BM228" s="715">
        <v>2.5058258752015563E-4</v>
      </c>
      <c r="BN228" s="715">
        <v>3.1592889636557859E-3</v>
      </c>
      <c r="BO228" s="716">
        <v>1.0326853803592172E-2</v>
      </c>
      <c r="BP228" s="715">
        <v>2.8276740277310593E-2</v>
      </c>
      <c r="BQ228" s="715">
        <v>5.1566147814063518E-2</v>
      </c>
      <c r="BR228" s="715">
        <v>8.2097066496721771E-2</v>
      </c>
      <c r="BS228" s="715">
        <v>0.11922085255294219</v>
      </c>
      <c r="BT228" s="715">
        <v>0.16573480633014168</v>
      </c>
      <c r="BW228" s="1185">
        <f>'2019'!R\Max</f>
        <v>0.97667051918662651</v>
      </c>
      <c r="BX228" s="1185">
        <f>'2020'!R\Max</f>
        <v>0.6581946925711174</v>
      </c>
      <c r="BY228" s="1185">
        <f>'2021'!R\Max</f>
        <v>0.80454619848786013</v>
      </c>
      <c r="BZ228" s="1185">
        <f>'2022'!R\Max</f>
        <v>1.0175430984044598</v>
      </c>
      <c r="CA228" s="1185">
        <f>'2023'!R\Max</f>
        <v>1.0175430984044598</v>
      </c>
      <c r="CB228" s="1185">
        <f>'2024'!R\Max</f>
        <v>1.0175430984044598</v>
      </c>
      <c r="CC228" s="1185">
        <f>'2025'!R\Max</f>
        <v>1.0175430984044598</v>
      </c>
      <c r="CD228" s="1185">
        <f>'2026'!R\Max</f>
        <v>1.01754309840446</v>
      </c>
      <c r="CE228" s="1186">
        <f>'2027'!R\Max</f>
        <v>1.0175430984044598</v>
      </c>
      <c r="CF228" s="1187">
        <f>'2028'!R\Max</f>
        <v>1.0175430984044598</v>
      </c>
    </row>
    <row r="229" spans="1:84" s="6" customFormat="1" ht="11.25" x14ac:dyDescent="0.2">
      <c r="A229" s="11">
        <v>43315</v>
      </c>
      <c r="B229" s="379">
        <f>'2022'!Maxi_hp</f>
        <v>57.732742346129783</v>
      </c>
      <c r="C229" s="13">
        <f>'2022'!An_max</f>
        <v>2022</v>
      </c>
      <c r="D229" s="1046">
        <f t="shared" si="97"/>
        <v>1.0222443360490967</v>
      </c>
      <c r="E229" s="13"/>
      <c r="F229" s="13">
        <f t="shared" si="114"/>
        <v>17</v>
      </c>
      <c r="G229" s="13">
        <f t="shared" si="98"/>
        <v>16</v>
      </c>
      <c r="H229" s="173">
        <f t="shared" si="99"/>
        <v>43318</v>
      </c>
      <c r="I229" s="742">
        <f t="shared" si="100"/>
        <v>0.21428571428571427</v>
      </c>
      <c r="J229" s="735">
        <f t="shared" si="101"/>
        <v>56.476460969461392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39">
        <v>43315</v>
      </c>
      <c r="AP229" s="13">
        <f t="shared" si="102"/>
        <v>9</v>
      </c>
      <c r="AQ229" s="13">
        <f t="shared" si="103"/>
        <v>10</v>
      </c>
      <c r="AR229" s="173">
        <f t="shared" si="104"/>
        <v>43304</v>
      </c>
      <c r="AS229" s="742">
        <f t="shared" si="105"/>
        <v>0.39285714285714285</v>
      </c>
      <c r="AT229" s="758">
        <f t="shared" si="106"/>
        <v>56.55934260196851</v>
      </c>
      <c r="AU229" s="13">
        <f t="shared" si="107"/>
        <v>9</v>
      </c>
      <c r="AV229" s="13">
        <f t="shared" si="108"/>
        <v>8</v>
      </c>
      <c r="AW229" s="173">
        <f t="shared" si="109"/>
        <v>43318</v>
      </c>
      <c r="AX229" s="742">
        <f t="shared" si="110"/>
        <v>0.10714285714285714</v>
      </c>
      <c r="AY229" s="758">
        <f t="shared" si="111"/>
        <v>56.48609215565957</v>
      </c>
      <c r="AZ229" s="735">
        <f t="shared" si="115"/>
        <v>56.522717378814036</v>
      </c>
      <c r="BA229" s="633">
        <f t="shared" si="112"/>
        <v>1.0222443360490967</v>
      </c>
      <c r="BC229" s="11">
        <v>43315</v>
      </c>
      <c r="BD229" s="289">
        <f>[3]!FeuilCaduc*(1-Persistant)+Persistant</f>
        <v>0.99969043994158979</v>
      </c>
      <c r="BE229" s="290">
        <f>[3]!CroissVégét</f>
        <v>0.90212075799903491</v>
      </c>
      <c r="BF229" s="804">
        <f>1+[3]!Salcycl*Ksac</f>
        <v>1.0499226099853973</v>
      </c>
      <c r="BH229" s="1037">
        <f t="shared" si="113"/>
        <v>2.9492148746694574E-3</v>
      </c>
      <c r="BI229" s="11">
        <v>44411</v>
      </c>
      <c r="BJ229" s="715">
        <v>1.6440188149393878E-6</v>
      </c>
      <c r="BK229" s="715">
        <v>1.058819060986386E-5</v>
      </c>
      <c r="BL229" s="715">
        <v>1.1475210861026915E-4</v>
      </c>
      <c r="BM229" s="715">
        <v>3.5622291237646903E-4</v>
      </c>
      <c r="BN229" s="715">
        <v>3.6017746446836874E-3</v>
      </c>
      <c r="BO229" s="716">
        <v>1.1350832962620395E-2</v>
      </c>
      <c r="BP229" s="715">
        <v>2.9819253619941675E-2</v>
      </c>
      <c r="BQ229" s="715">
        <v>5.350335261803215E-2</v>
      </c>
      <c r="BR229" s="715">
        <v>8.4439032728956295E-2</v>
      </c>
      <c r="BS229" s="715">
        <v>0.12255121896153286</v>
      </c>
      <c r="BT229" s="715">
        <v>0.17047222402286252</v>
      </c>
      <c r="BW229" s="1185">
        <f>'2019'!R\Max</f>
        <v>1.0070947356472648</v>
      </c>
      <c r="BX229" s="1185">
        <f>'2020'!R\Max</f>
        <v>0.58595609872340271</v>
      </c>
      <c r="BY229" s="1185">
        <f>'2021'!R\Max</f>
        <v>0.71004069023499505</v>
      </c>
      <c r="BZ229" s="1185">
        <f>'2022'!R\Max</f>
        <v>1.0222443360490967</v>
      </c>
      <c r="CA229" s="1185">
        <f>'2023'!R\Max</f>
        <v>1.0222443360490967</v>
      </c>
      <c r="CB229" s="1185">
        <f>'2024'!R\Max</f>
        <v>1.0222443360490967</v>
      </c>
      <c r="CC229" s="1185">
        <f>'2025'!R\Max</f>
        <v>1.0222443360490967</v>
      </c>
      <c r="CD229" s="1185">
        <f>'2026'!R\Max</f>
        <v>1.0222443360490967</v>
      </c>
      <c r="CE229" s="1186">
        <f>'2027'!R\Max</f>
        <v>1.0222443360490967</v>
      </c>
      <c r="CF229" s="1187">
        <f>'2028'!R\Max</f>
        <v>1.0222443360490967</v>
      </c>
    </row>
    <row r="230" spans="1:84" s="6" customFormat="1" ht="11.25" x14ac:dyDescent="0.2">
      <c r="A230" s="11">
        <v>43316</v>
      </c>
      <c r="B230" s="379">
        <f>'2022'!Maxi_hp</f>
        <v>54.940621976631377</v>
      </c>
      <c r="C230" s="13">
        <f>'2022'!An_max</f>
        <v>2018</v>
      </c>
      <c r="D230" s="1046">
        <f t="shared" si="97"/>
        <v>0.97519038099474187</v>
      </c>
      <c r="E230" s="13"/>
      <c r="F230" s="13">
        <f t="shared" si="114"/>
        <v>17</v>
      </c>
      <c r="G230" s="13">
        <f t="shared" si="98"/>
        <v>16</v>
      </c>
      <c r="H230" s="173">
        <f t="shared" si="99"/>
        <v>43318</v>
      </c>
      <c r="I230" s="742">
        <f t="shared" si="100"/>
        <v>0.14285714285714285</v>
      </c>
      <c r="J230" s="735">
        <f t="shared" si="101"/>
        <v>56.338355102097353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39">
        <v>43316</v>
      </c>
      <c r="AP230" s="13">
        <f t="shared" si="102"/>
        <v>9</v>
      </c>
      <c r="AQ230" s="13">
        <f t="shared" si="103"/>
        <v>10</v>
      </c>
      <c r="AR230" s="173">
        <f t="shared" si="104"/>
        <v>43304</v>
      </c>
      <c r="AS230" s="742">
        <f t="shared" si="105"/>
        <v>0.42857142857142855</v>
      </c>
      <c r="AT230" s="758">
        <f t="shared" si="106"/>
        <v>56.427902040683797</v>
      </c>
      <c r="AU230" s="13">
        <f t="shared" si="107"/>
        <v>9</v>
      </c>
      <c r="AV230" s="13">
        <f t="shared" si="108"/>
        <v>8</v>
      </c>
      <c r="AW230" s="173">
        <f t="shared" si="109"/>
        <v>43318</v>
      </c>
      <c r="AX230" s="742">
        <f t="shared" si="110"/>
        <v>7.1428571428571425E-2</v>
      </c>
      <c r="AY230" s="758">
        <f t="shared" si="111"/>
        <v>56.344984184019268</v>
      </c>
      <c r="AZ230" s="735">
        <f t="shared" si="115"/>
        <v>56.386443112351529</v>
      </c>
      <c r="BA230" s="633">
        <f t="shared" si="112"/>
        <v>0.97519038099474187</v>
      </c>
      <c r="BC230" s="11">
        <v>43316</v>
      </c>
      <c r="BD230" s="289">
        <f>[3]!FeuilCaduc*(1-Persistant)+Persistant</f>
        <v>0.99960992246144886</v>
      </c>
      <c r="BE230" s="290">
        <f>[3]!CroissVégét</f>
        <v>0.90570145106838851</v>
      </c>
      <c r="BF230" s="804">
        <f>1+[3]!Salcycl*Ksac</f>
        <v>1.0499024806153623</v>
      </c>
      <c r="BH230" s="1037">
        <f t="shared" si="113"/>
        <v>3.3626433529977567E-3</v>
      </c>
      <c r="BI230" s="11">
        <v>44412</v>
      </c>
      <c r="BJ230" s="715">
        <v>1.7625818854901647E-6</v>
      </c>
      <c r="BK230" s="715">
        <v>1.0610215415008805E-5</v>
      </c>
      <c r="BL230" s="715">
        <v>1.5693321911921005E-4</v>
      </c>
      <c r="BM230" s="715">
        <v>4.8887040442534215E-4</v>
      </c>
      <c r="BN230" s="715">
        <v>4.0858652687090543E-3</v>
      </c>
      <c r="BO230" s="716">
        <v>1.242196879267349E-2</v>
      </c>
      <c r="BP230" s="715">
        <v>3.133285469556546E-2</v>
      </c>
      <c r="BQ230" s="715">
        <v>5.5382598116123498E-2</v>
      </c>
      <c r="BR230" s="715">
        <v>8.6753456756526071E-2</v>
      </c>
      <c r="BS230" s="715">
        <v>0.12599522975536748</v>
      </c>
      <c r="BT230" s="715">
        <v>0.17546018673521568</v>
      </c>
      <c r="BW230" s="1185">
        <f>'2019'!R\Max</f>
        <v>0.97519038099474187</v>
      </c>
      <c r="BX230" s="1185">
        <f>'2020'!R\Max</f>
        <v>0.91690145363980147</v>
      </c>
      <c r="BY230" s="1185">
        <f>'2021'!R\Max</f>
        <v>0.44819946931010729</v>
      </c>
      <c r="BZ230" s="1185">
        <f>'2022'!R\Max</f>
        <v>0.97434726784127534</v>
      </c>
      <c r="CA230" s="1185">
        <f>'2023'!R\Max</f>
        <v>0.97431702306727996</v>
      </c>
      <c r="CB230" s="1185">
        <f>'2024'!R\Max</f>
        <v>0.9742847331813862</v>
      </c>
      <c r="CC230" s="1185">
        <f>'2025'!R\Max</f>
        <v>0.97424613104482771</v>
      </c>
      <c r="CD230" s="1185">
        <f>'2026'!R\Max</f>
        <v>0.97439822735242709</v>
      </c>
      <c r="CE230" s="1186">
        <f>'2027'!R\Max</f>
        <v>0.9743849378966295</v>
      </c>
      <c r="CF230" s="1187">
        <f>'2028'!R\Max</f>
        <v>0.97437163888757616</v>
      </c>
    </row>
    <row r="231" spans="1:84" s="6" customFormat="1" ht="11.25" x14ac:dyDescent="0.2">
      <c r="A231" s="11">
        <v>43317</v>
      </c>
      <c r="B231" s="379">
        <f>'2022'!Maxi_hp</f>
        <v>53.590627988169963</v>
      </c>
      <c r="C231" s="13">
        <f>'2022'!An_max</f>
        <v>2018</v>
      </c>
      <c r="D231" s="1046" t="str">
        <f t="shared" si="97"/>
        <v/>
      </c>
      <c r="E231" s="13"/>
      <c r="F231" s="13">
        <f t="shared" si="114"/>
        <v>17</v>
      </c>
      <c r="G231" s="13">
        <f t="shared" si="98"/>
        <v>16</v>
      </c>
      <c r="H231" s="173">
        <f t="shared" si="99"/>
        <v>43318</v>
      </c>
      <c r="I231" s="742">
        <f t="shared" si="100"/>
        <v>7.1428571428571425E-2</v>
      </c>
      <c r="J231" s="735">
        <f t="shared" si="101"/>
        <v>56.200031887799767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39">
        <v>43317</v>
      </c>
      <c r="AP231" s="13">
        <f t="shared" si="102"/>
        <v>9</v>
      </c>
      <c r="AQ231" s="13">
        <f t="shared" si="103"/>
        <v>10</v>
      </c>
      <c r="AR231" s="173">
        <f t="shared" si="104"/>
        <v>43304</v>
      </c>
      <c r="AS231" s="742">
        <f t="shared" si="105"/>
        <v>0.4642857142857143</v>
      </c>
      <c r="AT231" s="758">
        <f t="shared" si="106"/>
        <v>56.295157397737988</v>
      </c>
      <c r="AU231" s="13">
        <f t="shared" si="107"/>
        <v>9</v>
      </c>
      <c r="AV231" s="13">
        <f t="shared" si="108"/>
        <v>8</v>
      </c>
      <c r="AW231" s="173">
        <f t="shared" si="109"/>
        <v>43318</v>
      </c>
      <c r="AX231" s="742">
        <f t="shared" si="110"/>
        <v>3.5714285714285712E-2</v>
      </c>
      <c r="AY231" s="758">
        <f t="shared" si="111"/>
        <v>56.203459630401007</v>
      </c>
      <c r="AZ231" s="735">
        <f t="shared" si="115"/>
        <v>56.249308514069497</v>
      </c>
      <c r="BA231" s="633">
        <f t="shared" si="112"/>
        <v>0.95356935197404635</v>
      </c>
      <c r="BC231" s="11">
        <v>43317</v>
      </c>
      <c r="BD231" s="289">
        <f>[3]!FeuilCaduc*(1-Persistant)+Persistant</f>
        <v>0.9995191279149005</v>
      </c>
      <c r="BE231" s="290">
        <f>[3]!CroissVégét</f>
        <v>0.90916476701567317</v>
      </c>
      <c r="BF231" s="804">
        <f>1+[3]!Salcycl*Ksac</f>
        <v>1.0498797819787251</v>
      </c>
      <c r="BH231" s="1037">
        <f t="shared" si="113"/>
        <v>3.8147421948814797E-3</v>
      </c>
      <c r="BI231" s="11">
        <v>44413</v>
      </c>
      <c r="BJ231" s="715">
        <v>1.8704550336789068E-6</v>
      </c>
      <c r="BK231" s="715">
        <v>1.0620050808990329E-5</v>
      </c>
      <c r="BL231" s="715">
        <v>2.0770820659396567E-4</v>
      </c>
      <c r="BM231" s="715">
        <v>6.4852078042684693E-4</v>
      </c>
      <c r="BN231" s="715">
        <v>4.6115625275613952E-3</v>
      </c>
      <c r="BO231" s="716">
        <v>1.3540278218388612E-2</v>
      </c>
      <c r="BP231" s="715">
        <v>3.2817593469815685E-2</v>
      </c>
      <c r="BQ231" s="715">
        <v>5.7203948321616932E-2</v>
      </c>
      <c r="BR231" s="715">
        <v>8.9040397914064401E-2</v>
      </c>
      <c r="BS231" s="715">
        <v>0.12955292524150447</v>
      </c>
      <c r="BT231" s="715">
        <v>0.18069872777742688</v>
      </c>
      <c r="BW231" s="1185">
        <f>'2019'!R\Max</f>
        <v>0.95356935197404635</v>
      </c>
      <c r="BX231" s="1185">
        <f>'2020'!R\Max</f>
        <v>0.90204181483944723</v>
      </c>
      <c r="BY231" s="1185">
        <f>'2021'!R\Max</f>
        <v>0.84262309783278466</v>
      </c>
      <c r="BZ231" s="1185">
        <f>'2022'!R\Max</f>
        <v>0.78840810153376861</v>
      </c>
      <c r="CA231" s="1185">
        <f>'2023'!R\Max</f>
        <v>0.78820187376244266</v>
      </c>
      <c r="CB231" s="1185">
        <f>'2024'!R\Max</f>
        <v>0.78798194388577192</v>
      </c>
      <c r="CC231" s="1185">
        <f>'2025'!R\Max</f>
        <v>0.78772036560822623</v>
      </c>
      <c r="CD231" s="1185">
        <f>'2026'!R\Max</f>
        <v>0.78876603027578218</v>
      </c>
      <c r="CE231" s="1186">
        <f>'2027'!R\Max</f>
        <v>0.78867074256134473</v>
      </c>
      <c r="CF231" s="1187">
        <f>'2028'!R\Max</f>
        <v>0.78857540155317585</v>
      </c>
    </row>
    <row r="232" spans="1:84" s="6" customFormat="1" ht="11.25" x14ac:dyDescent="0.2">
      <c r="A232" s="11">
        <v>43318</v>
      </c>
      <c r="B232" s="379">
        <f>'2022'!Maxi_hp</f>
        <v>56.645072121276598</v>
      </c>
      <c r="C232" s="13">
        <f>'2022'!An_max</f>
        <v>2020</v>
      </c>
      <c r="D232" s="1046">
        <f t="shared" si="97"/>
        <v>1.0104076965542073</v>
      </c>
      <c r="E232" s="1041">
        <f>AC$13/10</f>
        <v>56.061599999999999</v>
      </c>
      <c r="F232" s="13">
        <f t="shared" si="114"/>
        <v>17</v>
      </c>
      <c r="G232" s="13">
        <f t="shared" si="98"/>
        <v>18</v>
      </c>
      <c r="H232" s="173">
        <f t="shared" si="99"/>
        <v>43318</v>
      </c>
      <c r="I232" s="742">
        <f t="shared" si="100"/>
        <v>0</v>
      </c>
      <c r="J232" s="735">
        <f t="shared" si="101"/>
        <v>56.061600000131875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39">
        <v>43318</v>
      </c>
      <c r="AP232" s="13">
        <f t="shared" si="102"/>
        <v>9</v>
      </c>
      <c r="AQ232" s="13">
        <f t="shared" si="103"/>
        <v>10</v>
      </c>
      <c r="AR232" s="173">
        <f t="shared" si="104"/>
        <v>43304</v>
      </c>
      <c r="AS232" s="742">
        <f t="shared" si="105"/>
        <v>0.5</v>
      </c>
      <c r="AT232" s="758">
        <f t="shared" si="106"/>
        <v>56.161000000033525</v>
      </c>
      <c r="AU232" s="13">
        <f t="shared" si="107"/>
        <v>9</v>
      </c>
      <c r="AV232" s="13">
        <f t="shared" si="108"/>
        <v>10</v>
      </c>
      <c r="AW232" s="173">
        <f t="shared" si="109"/>
        <v>43318</v>
      </c>
      <c r="AX232" s="742">
        <f t="shared" si="110"/>
        <v>0</v>
      </c>
      <c r="AY232" s="758">
        <f t="shared" si="111"/>
        <v>56.061600000225006</v>
      </c>
      <c r="AZ232" s="735">
        <f t="shared" si="115"/>
        <v>56.111300000129262</v>
      </c>
      <c r="BA232" s="633">
        <f t="shared" si="112"/>
        <v>1.0104076965542073</v>
      </c>
      <c r="BC232" s="11">
        <v>43318</v>
      </c>
      <c r="BD232" s="289">
        <f>[3]!FeuilCaduc*(1-Persistant)+Persistant</f>
        <v>0.99941837837403535</v>
      </c>
      <c r="BE232" s="290">
        <f>[3]!CroissVégét</f>
        <v>0.91251360163473627</v>
      </c>
      <c r="BF232" s="804">
        <f>1+[3]!Salcycl*Ksac</f>
        <v>1.0498545945935089</v>
      </c>
      <c r="BH232" s="1037">
        <f t="shared" si="113"/>
        <v>4.3055138855105238E-3</v>
      </c>
      <c r="BI232" s="11">
        <v>44414</v>
      </c>
      <c r="BJ232" s="715">
        <v>1.9676442115120699E-6</v>
      </c>
      <c r="BK232" s="715">
        <v>1.0617697334368574E-5</v>
      </c>
      <c r="BL232" s="715">
        <v>2.6707621118194177E-4</v>
      </c>
      <c r="BM232" s="715">
        <v>8.3517134344113513E-4</v>
      </c>
      <c r="BN232" s="715">
        <v>5.1788702105801951E-3</v>
      </c>
      <c r="BO232" s="716">
        <v>1.4705779893891078E-2</v>
      </c>
      <c r="BP232" s="715">
        <v>3.4273516150823441E-2</v>
      </c>
      <c r="BQ232" s="715">
        <v>5.8967461139298419E-2</v>
      </c>
      <c r="BR232" s="715">
        <v>9.129991083723131E-2</v>
      </c>
      <c r="BS232" s="715">
        <v>0.13322434875417991</v>
      </c>
      <c r="BT232" s="715">
        <v>0.18618789041808273</v>
      </c>
      <c r="BW232" s="1185">
        <f>'2019'!R\Max</f>
        <v>0.71738713828185252</v>
      </c>
      <c r="BX232" s="1185">
        <f>'2020'!R\Max</f>
        <v>1.0104076965542073</v>
      </c>
      <c r="BY232" s="1185">
        <f>'2021'!R\Max</f>
        <v>0.34356018833637547</v>
      </c>
      <c r="BZ232" s="1185">
        <f>'2022'!R\Max</f>
        <v>0.93813134492350403</v>
      </c>
      <c r="CA232" s="1185">
        <f>'2023'!R\Max</f>
        <v>0.93805832150497304</v>
      </c>
      <c r="CB232" s="1185">
        <f>'2024'!R\Max</f>
        <v>0.93798040500167301</v>
      </c>
      <c r="CC232" s="1185">
        <f>'2025'!R\Max</f>
        <v>0.93788792545616684</v>
      </c>
      <c r="CD232" s="1185">
        <f>'2026'!R\Max</f>
        <v>0.93826183591280576</v>
      </c>
      <c r="CE232" s="1186">
        <f>'2027'!R\Max</f>
        <v>0.93822639978758648</v>
      </c>
      <c r="CF232" s="1187">
        <f>'2028'!R\Max</f>
        <v>0.93819093597608449</v>
      </c>
    </row>
    <row r="233" spans="1:84" s="6" customFormat="1" ht="11.25" x14ac:dyDescent="0.2">
      <c r="A233" s="11">
        <v>43319</v>
      </c>
      <c r="B233" s="379">
        <f>'2022'!Maxi_hp</f>
        <v>55.687322865809392</v>
      </c>
      <c r="C233" s="13">
        <f>'2022'!An_max</f>
        <v>2022</v>
      </c>
      <c r="D233" s="1046">
        <f t="shared" si="97"/>
        <v>0.99577495138774963</v>
      </c>
      <c r="E233" s="13"/>
      <c r="F233" s="13">
        <f t="shared" si="114"/>
        <v>17</v>
      </c>
      <c r="G233" s="13">
        <f t="shared" si="98"/>
        <v>18</v>
      </c>
      <c r="H233" s="173">
        <f t="shared" si="99"/>
        <v>43318</v>
      </c>
      <c r="I233" s="742">
        <f t="shared" si="100"/>
        <v>7.1428571428571425E-2</v>
      </c>
      <c r="J233" s="735">
        <f t="shared" si="101"/>
        <v>55.92360280623793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39">
        <v>43319</v>
      </c>
      <c r="AP233" s="13">
        <f t="shared" si="102"/>
        <v>9</v>
      </c>
      <c r="AQ233" s="13">
        <f t="shared" si="103"/>
        <v>10</v>
      </c>
      <c r="AR233" s="173">
        <f t="shared" si="104"/>
        <v>43304</v>
      </c>
      <c r="AS233" s="742">
        <f t="shared" si="105"/>
        <v>0.5357142857142857</v>
      </c>
      <c r="AT233" s="758">
        <f t="shared" si="106"/>
        <v>56.025321173468342</v>
      </c>
      <c r="AU233" s="13">
        <f t="shared" si="107"/>
        <v>9</v>
      </c>
      <c r="AV233" s="13">
        <f t="shared" si="108"/>
        <v>10</v>
      </c>
      <c r="AW233" s="173">
        <f t="shared" si="109"/>
        <v>43318</v>
      </c>
      <c r="AX233" s="742">
        <f t="shared" si="110"/>
        <v>3.5714285714285712E-2</v>
      </c>
      <c r="AY233" s="758">
        <f t="shared" si="111"/>
        <v>55.920070918469833</v>
      </c>
      <c r="AZ233" s="735">
        <f t="shared" si="115"/>
        <v>55.972696045969087</v>
      </c>
      <c r="BA233" s="633">
        <f t="shared" si="112"/>
        <v>0.99577495138774963</v>
      </c>
      <c r="BC233" s="11">
        <v>43319</v>
      </c>
      <c r="BD233" s="289">
        <f>[3]!FeuilCaduc*(1-Persistant)+Persistant</f>
        <v>0.99930791023380428</v>
      </c>
      <c r="BE233" s="290">
        <f>[3]!CroissVégét</f>
        <v>0.91575084939386342</v>
      </c>
      <c r="BF233" s="804">
        <f>1+[3]!Salcycl*Ksac</f>
        <v>1.049826977558451</v>
      </c>
      <c r="BH233" s="1037">
        <f t="shared" si="113"/>
        <v>4.8349627845061215E-3</v>
      </c>
      <c r="BI233" s="11">
        <v>44415</v>
      </c>
      <c r="BJ233" s="715">
        <v>2.0541545642252245E-6</v>
      </c>
      <c r="BK233" s="715">
        <v>1.0603154746091465E-5</v>
      </c>
      <c r="BL233" s="715">
        <v>3.3503685120322025E-4</v>
      </c>
      <c r="BM233" s="715">
        <v>1.0488208988664116E-3</v>
      </c>
      <c r="BN233" s="715">
        <v>5.7877940751783303E-3</v>
      </c>
      <c r="BO233" s="716">
        <v>1.5918494055965481E-2</v>
      </c>
      <c r="BP233" s="715">
        <v>3.5700665278954213E-2</v>
      </c>
      <c r="BQ233" s="715">
        <v>6.0673188545938631E-2</v>
      </c>
      <c r="BR233" s="715">
        <v>9.3532045549428955E-2</v>
      </c>
      <c r="BS233" s="715">
        <v>0.1370095463034752</v>
      </c>
      <c r="BT233" s="715">
        <v>0.19192772710809888</v>
      </c>
      <c r="BW233" s="1185">
        <f>'2019'!R\Max</f>
        <v>0.75615099284999587</v>
      </c>
      <c r="BX233" s="1185">
        <f>'2020'!R\Max</f>
        <v>0.98977425980853706</v>
      </c>
      <c r="BY233" s="1185">
        <f>'2021'!R\Max</f>
        <v>0.42764127719832801</v>
      </c>
      <c r="BZ233" s="1185">
        <f>'2022'!R\Max</f>
        <v>0.99577495138774963</v>
      </c>
      <c r="CA233" s="1185">
        <f>'2023'!R\Max</f>
        <v>0.99576958680657857</v>
      </c>
      <c r="CB233" s="1185">
        <f>'2024'!R\Max</f>
        <v>0.99576385665432365</v>
      </c>
      <c r="CC233" s="1185">
        <f>'2025'!R\Max</f>
        <v>0.99575705804743797</v>
      </c>
      <c r="CD233" s="1185">
        <f>'2026'!R\Max</f>
        <v>0.99578483258171946</v>
      </c>
      <c r="CE233" s="1186">
        <f>'2027'!R\Max</f>
        <v>0.99578209547847507</v>
      </c>
      <c r="CF233" s="1187">
        <f>'2028'!R\Max</f>
        <v>0.99577935589006561</v>
      </c>
    </row>
    <row r="234" spans="1:84" s="6" customFormat="1" ht="11.25" x14ac:dyDescent="0.2">
      <c r="A234" s="11">
        <v>43320</v>
      </c>
      <c r="B234" s="379">
        <f>'2022'!Maxi_hp</f>
        <v>56.714919727372141</v>
      </c>
      <c r="C234" s="13">
        <f>'2022'!An_max</f>
        <v>2022</v>
      </c>
      <c r="D234" s="1046">
        <f t="shared" si="97"/>
        <v>1.0166461290976145</v>
      </c>
      <c r="E234" s="13"/>
      <c r="F234" s="13">
        <f t="shared" si="114"/>
        <v>17</v>
      </c>
      <c r="G234" s="13">
        <f t="shared" si="98"/>
        <v>18</v>
      </c>
      <c r="H234" s="173">
        <f t="shared" si="99"/>
        <v>43318</v>
      </c>
      <c r="I234" s="742">
        <f t="shared" si="100"/>
        <v>0.14285714285714285</v>
      </c>
      <c r="J234" s="735">
        <f t="shared" si="101"/>
        <v>55.78629387760801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39">
        <v>43320</v>
      </c>
      <c r="AP234" s="13">
        <f t="shared" si="102"/>
        <v>9</v>
      </c>
      <c r="AQ234" s="13">
        <f t="shared" si="103"/>
        <v>10</v>
      </c>
      <c r="AR234" s="173">
        <f t="shared" si="104"/>
        <v>43304</v>
      </c>
      <c r="AS234" s="742">
        <f t="shared" si="105"/>
        <v>0.5714285714285714</v>
      </c>
      <c r="AT234" s="758">
        <f t="shared" si="106"/>
        <v>55.888012244951504</v>
      </c>
      <c r="AU234" s="13">
        <f t="shared" si="107"/>
        <v>9</v>
      </c>
      <c r="AV234" s="13">
        <f t="shared" si="108"/>
        <v>10</v>
      </c>
      <c r="AW234" s="173">
        <f t="shared" si="109"/>
        <v>43318</v>
      </c>
      <c r="AX234" s="742">
        <f t="shared" si="110"/>
        <v>7.1428571428571425E-2</v>
      </c>
      <c r="AY234" s="758">
        <f t="shared" si="111"/>
        <v>55.77933877546873</v>
      </c>
      <c r="AZ234" s="735">
        <f t="shared" si="115"/>
        <v>55.833675510210114</v>
      </c>
      <c r="BA234" s="633">
        <f t="shared" si="112"/>
        <v>1.0166461290976145</v>
      </c>
      <c r="BC234" s="11">
        <v>43320</v>
      </c>
      <c r="BD234" s="289">
        <f>[3]!FeuilCaduc*(1-Persistant)+Persistant</f>
        <v>0.99918787863611658</v>
      </c>
      <c r="BE234" s="290">
        <f>[3]!CroissVégét</f>
        <v>0.91887939725970647</v>
      </c>
      <c r="BF234" s="804">
        <f>1+[3]!Salcycl*Ksac</f>
        <v>1.0497969696590292</v>
      </c>
      <c r="BH234" s="1037">
        <f t="shared" si="113"/>
        <v>5.4288803572466494E-3</v>
      </c>
      <c r="BI234" s="11">
        <v>44416</v>
      </c>
      <c r="BJ234" s="715">
        <v>2.1163621322863687E-6</v>
      </c>
      <c r="BK234" s="715">
        <v>1.6338537738538094E-5</v>
      </c>
      <c r="BL234" s="715">
        <v>4.2845699628008113E-4</v>
      </c>
      <c r="BM234" s="715">
        <v>1.3238830348258261E-3</v>
      </c>
      <c r="BN234" s="715">
        <v>6.4619557186755107E-3</v>
      </c>
      <c r="BO234" s="716">
        <v>1.7157170880041032E-2</v>
      </c>
      <c r="BP234" s="715">
        <v>3.7084880905477659E-2</v>
      </c>
      <c r="BQ234" s="715">
        <v>6.2346612816482211E-2</v>
      </c>
      <c r="BR234" s="715">
        <v>9.5859030623156705E-2</v>
      </c>
      <c r="BS234" s="715">
        <v>0.14107834631015023</v>
      </c>
      <c r="BT234" s="715">
        <v>0.1981349029139384</v>
      </c>
      <c r="BW234" s="1185">
        <f>'2019'!R\Max</f>
        <v>0.97368686183119246</v>
      </c>
      <c r="BX234" s="1185">
        <f>'2020'!R\Max</f>
        <v>0.974404002996763</v>
      </c>
      <c r="BY234" s="1185">
        <f>'2021'!R\Max</f>
        <v>0.71902151926845337</v>
      </c>
      <c r="BZ234" s="1185">
        <f>'2022'!R\Max</f>
        <v>1.0166461290976145</v>
      </c>
      <c r="CA234" s="1185">
        <f>'2023'!R\Max</f>
        <v>1.0166461290976148</v>
      </c>
      <c r="CB234" s="1185">
        <f>'2024'!R\Max</f>
        <v>1.0166461290976148</v>
      </c>
      <c r="CC234" s="1185">
        <f>'2025'!R\Max</f>
        <v>1.0166461290976148</v>
      </c>
      <c r="CD234" s="1185">
        <f>'2026'!R\Max</f>
        <v>1.016646129097615</v>
      </c>
      <c r="CE234" s="1186">
        <f>'2027'!R\Max</f>
        <v>1.0166461290976148</v>
      </c>
      <c r="CF234" s="1187">
        <f>'2028'!R\Max</f>
        <v>1.0166461290976145</v>
      </c>
    </row>
    <row r="235" spans="1:84" s="6" customFormat="1" ht="11.25" x14ac:dyDescent="0.2">
      <c r="A235" s="11">
        <v>43321</v>
      </c>
      <c r="B235" s="379">
        <f>'2022'!Maxi_hp</f>
        <v>54.928479355291955</v>
      </c>
      <c r="C235" s="13">
        <f>'2022'!An_max</f>
        <v>2018</v>
      </c>
      <c r="D235" s="1046">
        <f t="shared" si="97"/>
        <v>0.98704624806852392</v>
      </c>
      <c r="E235" s="13"/>
      <c r="F235" s="13">
        <f t="shared" si="114"/>
        <v>17</v>
      </c>
      <c r="G235" s="13">
        <f t="shared" si="98"/>
        <v>18</v>
      </c>
      <c r="H235" s="173">
        <f t="shared" si="99"/>
        <v>43318</v>
      </c>
      <c r="I235" s="742">
        <f t="shared" si="100"/>
        <v>0.21428571428571427</v>
      </c>
      <c r="J235" s="735">
        <f t="shared" si="101"/>
        <v>55.649347193991503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39">
        <v>43321</v>
      </c>
      <c r="AP235" s="13">
        <f t="shared" si="102"/>
        <v>9</v>
      </c>
      <c r="AQ235" s="13">
        <f t="shared" si="103"/>
        <v>10</v>
      </c>
      <c r="AR235" s="173">
        <f t="shared" si="104"/>
        <v>43304</v>
      </c>
      <c r="AS235" s="742">
        <f t="shared" si="105"/>
        <v>0.6071428571428571</v>
      </c>
      <c r="AT235" s="758">
        <f t="shared" si="106"/>
        <v>55.748964540547298</v>
      </c>
      <c r="AU235" s="13">
        <f t="shared" si="107"/>
        <v>9</v>
      </c>
      <c r="AV235" s="13">
        <f t="shared" si="108"/>
        <v>10</v>
      </c>
      <c r="AW235" s="173">
        <f t="shared" si="109"/>
        <v>43318</v>
      </c>
      <c r="AX235" s="742">
        <f t="shared" si="110"/>
        <v>0.10714285714285714</v>
      </c>
      <c r="AY235" s="758">
        <f t="shared" si="111"/>
        <v>55.639186224381305</v>
      </c>
      <c r="AZ235" s="735">
        <f t="shared" si="115"/>
        <v>55.694075382464305</v>
      </c>
      <c r="BA235" s="633">
        <f t="shared" si="112"/>
        <v>0.98704624806852392</v>
      </c>
      <c r="BC235" s="11">
        <v>43321</v>
      </c>
      <c r="BD235" s="289">
        <f>[3]!FeuilCaduc*(1-Persistant)+Persistant</f>
        <v>0.99905836212559096</v>
      </c>
      <c r="BE235" s="290">
        <f>[3]!CroissVégét</f>
        <v>0.92190211899696306</v>
      </c>
      <c r="BF235" s="804">
        <f>1+[3]!Salcycl*Ksac</f>
        <v>1.0497645905313977</v>
      </c>
      <c r="BH235" s="1037">
        <f t="shared" si="113"/>
        <v>6.0757541488535727E-3</v>
      </c>
      <c r="BI235" s="11">
        <v>44417</v>
      </c>
      <c r="BJ235" s="715">
        <v>2.1474589573036709E-6</v>
      </c>
      <c r="BK235" s="715">
        <v>2.7796126089209904E-5</v>
      </c>
      <c r="BL235" s="715">
        <v>5.4727532161761726E-4</v>
      </c>
      <c r="BM235" s="715">
        <v>1.6605264727382991E-3</v>
      </c>
      <c r="BN235" s="715">
        <v>7.1869029679723162E-3</v>
      </c>
      <c r="BO235" s="716">
        <v>1.8388755957061145E-2</v>
      </c>
      <c r="BP235" s="715">
        <v>3.8413914083446854E-2</v>
      </c>
      <c r="BQ235" s="715">
        <v>6.4019978252670737E-2</v>
      </c>
      <c r="BR235" s="715">
        <v>9.8316436591318654E-2</v>
      </c>
      <c r="BS235" s="715">
        <v>0.14544515289387303</v>
      </c>
      <c r="BT235" s="715">
        <v>0.20480900300354885</v>
      </c>
      <c r="BW235" s="1185">
        <f>'2019'!R\Max</f>
        <v>0.98704624806852392</v>
      </c>
      <c r="BX235" s="1185">
        <f>'2020'!R\Max</f>
        <v>0.93540188166575078</v>
      </c>
      <c r="BY235" s="1185">
        <f>'2021'!R\Max</f>
        <v>0.98145515853943954</v>
      </c>
      <c r="BZ235" s="1185">
        <f>'2022'!R\Max</f>
        <v>0.98603581017666986</v>
      </c>
      <c r="CA235" s="1185">
        <f>'2023'!R\Max</f>
        <v>0.98601795264526082</v>
      </c>
      <c r="CB235" s="1185">
        <f>'2024'!R\Max</f>
        <v>0.98599877368221178</v>
      </c>
      <c r="CC235" s="1185">
        <f>'2025'!R\Max</f>
        <v>0.98597584918590697</v>
      </c>
      <c r="CD235" s="1185">
        <f>'2026'!R\Max</f>
        <v>0.98607054684463635</v>
      </c>
      <c r="CE235" s="1186">
        <f>'2027'!R\Max</f>
        <v>0.98606059603011453</v>
      </c>
      <c r="CF235" s="1187">
        <f>'2028'!R\Max</f>
        <v>0.98605063531755066</v>
      </c>
    </row>
    <row r="236" spans="1:84" s="6" customFormat="1" ht="11.25" x14ac:dyDescent="0.2">
      <c r="A236" s="11">
        <v>43322</v>
      </c>
      <c r="B236" s="379">
        <f>'2022'!Maxi_hp</f>
        <v>53.365205787332016</v>
      </c>
      <c r="C236" s="13">
        <f>'2022'!An_max</f>
        <v>2022</v>
      </c>
      <c r="D236" s="1046" t="str">
        <f t="shared" si="97"/>
        <v/>
      </c>
      <c r="E236" s="13"/>
      <c r="F236" s="13">
        <f t="shared" si="114"/>
        <v>17</v>
      </c>
      <c r="G236" s="13">
        <f t="shared" si="98"/>
        <v>18</v>
      </c>
      <c r="H236" s="173">
        <f t="shared" si="99"/>
        <v>43318</v>
      </c>
      <c r="I236" s="742">
        <f t="shared" si="100"/>
        <v>0.2857142857142857</v>
      </c>
      <c r="J236" s="735">
        <f t="shared" si="101"/>
        <v>55.512436734712011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39">
        <v>43322</v>
      </c>
      <c r="AP236" s="13">
        <f t="shared" si="102"/>
        <v>9</v>
      </c>
      <c r="AQ236" s="13">
        <f t="shared" si="103"/>
        <v>10</v>
      </c>
      <c r="AR236" s="173">
        <f t="shared" si="104"/>
        <v>43304</v>
      </c>
      <c r="AS236" s="742">
        <f t="shared" si="105"/>
        <v>0.6428571428571429</v>
      </c>
      <c r="AT236" s="758">
        <f t="shared" si="106"/>
        <v>55.608069387836643</v>
      </c>
      <c r="AU236" s="13">
        <f t="shared" si="107"/>
        <v>9</v>
      </c>
      <c r="AV236" s="13">
        <f t="shared" si="108"/>
        <v>10</v>
      </c>
      <c r="AW236" s="173">
        <f t="shared" si="109"/>
        <v>43318</v>
      </c>
      <c r="AX236" s="742">
        <f t="shared" si="110"/>
        <v>0.14285714285714285</v>
      </c>
      <c r="AY236" s="758">
        <f t="shared" si="111"/>
        <v>55.499395918207505</v>
      </c>
      <c r="AZ236" s="735">
        <f t="shared" si="115"/>
        <v>55.553732653022074</v>
      </c>
      <c r="BA236" s="633">
        <f t="shared" si="112"/>
        <v>0.96131982176099773</v>
      </c>
      <c r="BC236" s="11">
        <v>43322</v>
      </c>
      <c r="BD236" s="289">
        <f>[3]!FeuilCaduc*(1-Persistant)+Persistant</f>
        <v>0.99891936746561016</v>
      </c>
      <c r="BE236" s="290">
        <f>[3]!CroissVégét</f>
        <v>0.92482186992875737</v>
      </c>
      <c r="BF236" s="804">
        <f>1+[3]!Salcycl*Ksac</f>
        <v>1.0497298418664025</v>
      </c>
      <c r="BH236" s="1037">
        <f t="shared" si="113"/>
        <v>6.7755922326252476E-3</v>
      </c>
      <c r="BI236" s="11">
        <v>44418</v>
      </c>
      <c r="BJ236" s="715">
        <v>2.1474503193829365E-6</v>
      </c>
      <c r="BK236" s="715">
        <v>4.4975310816849908E-5</v>
      </c>
      <c r="BL236" s="715">
        <v>6.914909414969569E-4</v>
      </c>
      <c r="BM236" s="715">
        <v>2.0587503538325954E-3</v>
      </c>
      <c r="BN236" s="715">
        <v>7.9626461442372683E-3</v>
      </c>
      <c r="BO236" s="716">
        <v>1.9613280075098615E-2</v>
      </c>
      <c r="BP236" s="715">
        <v>3.968780003835462E-2</v>
      </c>
      <c r="BQ236" s="715">
        <v>6.5693313122711275E-2</v>
      </c>
      <c r="BR236" s="715">
        <v>0.10090428246107432</v>
      </c>
      <c r="BS236" s="715">
        <v>0.15010999808037478</v>
      </c>
      <c r="BT236" s="715">
        <v>0.21195007984351247</v>
      </c>
      <c r="BW236" s="1185">
        <f>'2019'!R\Max</f>
        <v>0.58005115971410159</v>
      </c>
      <c r="BX236" s="1185">
        <f>'2020'!R\Max</f>
        <v>0.79747753070094707</v>
      </c>
      <c r="BY236" s="1185">
        <f>'2021'!R\Max</f>
        <v>0.93176021135521547</v>
      </c>
      <c r="BZ236" s="1185">
        <f>'2022'!R\Max</f>
        <v>0.96131982176099773</v>
      </c>
      <c r="CA236" s="1185">
        <f>'2023'!R\Max</f>
        <v>0.96127136516089107</v>
      </c>
      <c r="CB236" s="1185">
        <f>'2024'!R\Max</f>
        <v>0.96121907357342773</v>
      </c>
      <c r="CC236" s="1185">
        <f>'2025'!R\Max</f>
        <v>0.96115605896548439</v>
      </c>
      <c r="CD236" s="1185">
        <f>'2026'!R\Max</f>
        <v>0.96141630389152954</v>
      </c>
      <c r="CE236" s="1186">
        <f>'2027'!R\Max</f>
        <v>0.96138828786181085</v>
      </c>
      <c r="CF236" s="1187">
        <f>'2028'!R\Max</f>
        <v>0.9613602438239035</v>
      </c>
    </row>
    <row r="237" spans="1:84" s="6" customFormat="1" ht="11.25" x14ac:dyDescent="0.2">
      <c r="A237" s="11">
        <v>43323</v>
      </c>
      <c r="B237" s="379">
        <f>'2022'!Maxi_hp</f>
        <v>51.137114320029383</v>
      </c>
      <c r="C237" s="13">
        <f>'2022'!An_max</f>
        <v>2021</v>
      </c>
      <c r="D237" s="1046" t="str">
        <f t="shared" si="97"/>
        <v/>
      </c>
      <c r="E237" s="13"/>
      <c r="F237" s="13">
        <f t="shared" si="114"/>
        <v>17</v>
      </c>
      <c r="G237" s="13">
        <f t="shared" si="98"/>
        <v>18</v>
      </c>
      <c r="H237" s="173">
        <f t="shared" si="99"/>
        <v>43318</v>
      </c>
      <c r="I237" s="742">
        <f t="shared" si="100"/>
        <v>0.35714285714285715</v>
      </c>
      <c r="J237" s="735">
        <f t="shared" si="101"/>
        <v>55.375236479525583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39">
        <v>43323</v>
      </c>
      <c r="AP237" s="13">
        <f t="shared" si="102"/>
        <v>9</v>
      </c>
      <c r="AQ237" s="13">
        <f t="shared" si="103"/>
        <v>10</v>
      </c>
      <c r="AR237" s="173">
        <f t="shared" si="104"/>
        <v>43304</v>
      </c>
      <c r="AS237" s="742">
        <f t="shared" si="105"/>
        <v>0.6785714285714286</v>
      </c>
      <c r="AT237" s="758">
        <f t="shared" si="106"/>
        <v>55.465218112118805</v>
      </c>
      <c r="AU237" s="13">
        <f t="shared" si="107"/>
        <v>9</v>
      </c>
      <c r="AV237" s="13">
        <f t="shared" si="108"/>
        <v>10</v>
      </c>
      <c r="AW237" s="173">
        <f t="shared" si="109"/>
        <v>43318</v>
      </c>
      <c r="AX237" s="742">
        <f t="shared" si="110"/>
        <v>0.17857142857142858</v>
      </c>
      <c r="AY237" s="758">
        <f t="shared" si="111"/>
        <v>55.359750510313141</v>
      </c>
      <c r="AZ237" s="735">
        <f t="shared" si="115"/>
        <v>55.412484311215977</v>
      </c>
      <c r="BA237" s="633">
        <f t="shared" si="112"/>
        <v>0.92346538942432865</v>
      </c>
      <c r="BC237" s="11">
        <v>43323</v>
      </c>
      <c r="BD237" s="289">
        <f>[3]!FeuilCaduc*(1-Persistant)+Persistant</f>
        <v>0.99877083454395099</v>
      </c>
      <c r="BE237" s="290">
        <f>[3]!CroissVégét</f>
        <v>0.92764148214144238</v>
      </c>
      <c r="BF237" s="804">
        <f>1+[3]!Salcycl*Ksac</f>
        <v>1.0496927086359877</v>
      </c>
      <c r="BH237" s="1037">
        <f t="shared" si="113"/>
        <v>7.5284048170723419E-3</v>
      </c>
      <c r="BI237" s="11">
        <v>44419</v>
      </c>
      <c r="BJ237" s="715">
        <v>2.1163397325807966E-6</v>
      </c>
      <c r="BK237" s="715">
        <v>6.7875786279410568E-5</v>
      </c>
      <c r="BL237" s="715">
        <v>8.611042323171936E-4</v>
      </c>
      <c r="BM237" s="715">
        <v>2.5185568192971348E-3</v>
      </c>
      <c r="BN237" s="715">
        <v>8.7891974862264171E-3</v>
      </c>
      <c r="BO237" s="716">
        <v>2.0830772095195668E-2</v>
      </c>
      <c r="BP237" s="715">
        <v>4.0906569267423247E-2</v>
      </c>
      <c r="BQ237" s="715">
        <v>6.7366643583953528E-2</v>
      </c>
      <c r="BR237" s="715">
        <v>0.10362259137873847</v>
      </c>
      <c r="BS237" s="715">
        <v>0.15507292494470343</v>
      </c>
      <c r="BT237" s="715">
        <v>0.21955820343449459</v>
      </c>
      <c r="BW237" s="1185">
        <f>'2019'!R\Max</f>
        <v>0.52172044360179914</v>
      </c>
      <c r="BX237" s="1185">
        <f>'2020'!R\Max</f>
        <v>0.78492378220711967</v>
      </c>
      <c r="BY237" s="1185">
        <f>'2021'!R\Max</f>
        <v>0.92346538942432865</v>
      </c>
      <c r="BZ237" s="1185">
        <f>'2022'!R\Max</f>
        <v>0.92229023134305765</v>
      </c>
      <c r="CA237" s="1185">
        <f>'2023'!R\Max</f>
        <v>0.92219661075039305</v>
      </c>
      <c r="CB237" s="1185">
        <f>'2024'!R\Max</f>
        <v>0.92209495349526227</v>
      </c>
      <c r="CC237" s="1185">
        <f>'2025'!R\Max</f>
        <v>0.92197110924049774</v>
      </c>
      <c r="CD237" s="1185">
        <f>'2026'!R\Max</f>
        <v>0.92248062817902832</v>
      </c>
      <c r="CE237" s="1186">
        <f>'2027'!R\Max</f>
        <v>0.92242467799845118</v>
      </c>
      <c r="CF237" s="1187">
        <f>'2028'!R\Max</f>
        <v>0.92236867328280525</v>
      </c>
    </row>
    <row r="238" spans="1:84" s="6" customFormat="1" ht="11.25" x14ac:dyDescent="0.2">
      <c r="A238" s="11">
        <v>43324</v>
      </c>
      <c r="B238" s="379">
        <f>'2022'!Maxi_hp</f>
        <v>51.536068308654343</v>
      </c>
      <c r="C238" s="13">
        <f>'2022'!An_max</f>
        <v>2022</v>
      </c>
      <c r="D238" s="1046" t="str">
        <f t="shared" si="97"/>
        <v/>
      </c>
      <c r="E238" s="13"/>
      <c r="F238" s="13">
        <f t="shared" si="114"/>
        <v>17</v>
      </c>
      <c r="G238" s="13">
        <f t="shared" si="98"/>
        <v>18</v>
      </c>
      <c r="H238" s="173">
        <f t="shared" si="99"/>
        <v>43318</v>
      </c>
      <c r="I238" s="742">
        <f t="shared" si="100"/>
        <v>0.42857142857142855</v>
      </c>
      <c r="J238" s="735">
        <f t="shared" si="101"/>
        <v>55.237420408374497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39">
        <v>43324</v>
      </c>
      <c r="AP238" s="13">
        <f t="shared" si="102"/>
        <v>9</v>
      </c>
      <c r="AQ238" s="13">
        <f t="shared" si="103"/>
        <v>10</v>
      </c>
      <c r="AR238" s="173">
        <f t="shared" si="104"/>
        <v>43304</v>
      </c>
      <c r="AS238" s="742">
        <f t="shared" si="105"/>
        <v>0.7142857142857143</v>
      </c>
      <c r="AT238" s="758">
        <f t="shared" si="106"/>
        <v>55.320302040449214</v>
      </c>
      <c r="AU238" s="13">
        <f t="shared" si="107"/>
        <v>9</v>
      </c>
      <c r="AV238" s="13">
        <f t="shared" si="108"/>
        <v>10</v>
      </c>
      <c r="AW238" s="173">
        <f t="shared" si="109"/>
        <v>43318</v>
      </c>
      <c r="AX238" s="742">
        <f t="shared" si="110"/>
        <v>0.21428571428571427</v>
      </c>
      <c r="AY238" s="758">
        <f t="shared" si="111"/>
        <v>55.220032653185946</v>
      </c>
      <c r="AZ238" s="735">
        <f t="shared" si="115"/>
        <v>55.27016734681758</v>
      </c>
      <c r="BA238" s="633">
        <f t="shared" si="112"/>
        <v>0.93299194509164673</v>
      </c>
      <c r="BC238" s="11">
        <v>43324</v>
      </c>
      <c r="BD238" s="289">
        <f>[3]!FeuilCaduc*(1-Persistant)+Persistant</f>
        <v>0.99861264129868688</v>
      </c>
      <c r="BE238" s="290">
        <f>[3]!CroissVégét</f>
        <v>0.93036376011657451</v>
      </c>
      <c r="BF238" s="804">
        <f>1+[3]!Salcycl*Ksac</f>
        <v>1.0496531603246717</v>
      </c>
      <c r="BH238" s="1037">
        <f t="shared" si="113"/>
        <v>8.3342040813912024E-3</v>
      </c>
      <c r="BI238" s="11">
        <v>44420</v>
      </c>
      <c r="BJ238" s="715">
        <v>2.0541290416693845E-6</v>
      </c>
      <c r="BK238" s="715">
        <v>9.649753238942315E-5</v>
      </c>
      <c r="BL238" s="715">
        <v>1.0561167536508168E-3</v>
      </c>
      <c r="BM238" s="715">
        <v>3.0399508188647742E-3</v>
      </c>
      <c r="BN238" s="715">
        <v>9.6665709925235575E-3</v>
      </c>
      <c r="BO238" s="716">
        <v>2.20412589737864E-2</v>
      </c>
      <c r="BP238" s="715">
        <v>4.2070247712383026E-2</v>
      </c>
      <c r="BQ238" s="715">
        <v>6.9039993685460099E-2</v>
      </c>
      <c r="BR238" s="715">
        <v>0.10647139022821854</v>
      </c>
      <c r="BS238" s="715">
        <v>0.16033398669038595</v>
      </c>
      <c r="BT238" s="715">
        <v>0.22763345986741657</v>
      </c>
      <c r="BW238" s="1185">
        <f>'2019'!R\Max</f>
        <v>0.49530589222858201</v>
      </c>
      <c r="BX238" s="1185">
        <f>'2020'!R\Max</f>
        <v>0.86994405434254318</v>
      </c>
      <c r="BY238" s="1185">
        <f>'2021'!R\Max</f>
        <v>0.89161548033849969</v>
      </c>
      <c r="BZ238" s="1185">
        <f>'2022'!R\Max</f>
        <v>0.93299194509164673</v>
      </c>
      <c r="CA238" s="1185">
        <f>'2023'!R\Max</f>
        <v>0.93291027711715635</v>
      </c>
      <c r="CB238" s="1185">
        <f>'2024'!R\Max</f>
        <v>0.93282090165993714</v>
      </c>
      <c r="CC238" s="1185">
        <f>'2025'!R\Max</f>
        <v>0.93271051932139748</v>
      </c>
      <c r="CD238" s="1185">
        <f>'2026'!R\Max</f>
        <v>0.93316122770927801</v>
      </c>
      <c r="CE238" s="1186">
        <f>'2027'!R\Max</f>
        <v>0.93311095900910201</v>
      </c>
      <c r="CF238" s="1187">
        <f>'2028'!R\Max</f>
        <v>0.93306063896947455</v>
      </c>
    </row>
    <row r="239" spans="1:84" s="6" customFormat="1" ht="11.25" x14ac:dyDescent="0.2">
      <c r="A239" s="11">
        <v>43325</v>
      </c>
      <c r="B239" s="379">
        <f>'2022'!Maxi_hp</f>
        <v>44.585045141201746</v>
      </c>
      <c r="C239" s="13">
        <f>'2022'!An_max</f>
        <v>2018</v>
      </c>
      <c r="D239" s="1046" t="str">
        <f t="shared" si="97"/>
        <v/>
      </c>
      <c r="E239" s="13"/>
      <c r="F239" s="13">
        <f t="shared" si="114"/>
        <v>17</v>
      </c>
      <c r="G239" s="13">
        <f t="shared" si="98"/>
        <v>18</v>
      </c>
      <c r="H239" s="173">
        <f t="shared" si="99"/>
        <v>43318</v>
      </c>
      <c r="I239" s="742">
        <f t="shared" si="100"/>
        <v>0.5</v>
      </c>
      <c r="J239" s="735">
        <f t="shared" si="101"/>
        <v>55.098662500083449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39">
        <v>43325</v>
      </c>
      <c r="AP239" s="13">
        <f t="shared" si="102"/>
        <v>9</v>
      </c>
      <c r="AQ239" s="13">
        <f t="shared" si="103"/>
        <v>10</v>
      </c>
      <c r="AR239" s="173">
        <f t="shared" si="104"/>
        <v>43304</v>
      </c>
      <c r="AS239" s="742">
        <f t="shared" si="105"/>
        <v>0.75</v>
      </c>
      <c r="AT239" s="758">
        <f t="shared" si="106"/>
        <v>55.17321249963716</v>
      </c>
      <c r="AU239" s="13">
        <f t="shared" si="107"/>
        <v>9</v>
      </c>
      <c r="AV239" s="13">
        <f t="shared" si="108"/>
        <v>10</v>
      </c>
      <c r="AW239" s="173">
        <f t="shared" si="109"/>
        <v>43318</v>
      </c>
      <c r="AX239" s="742">
        <f t="shared" si="110"/>
        <v>0.25</v>
      </c>
      <c r="AY239" s="758">
        <f t="shared" si="111"/>
        <v>55.080024999938907</v>
      </c>
      <c r="AZ239" s="735">
        <f t="shared" si="115"/>
        <v>55.126618749788037</v>
      </c>
      <c r="BA239" s="633">
        <f t="shared" si="112"/>
        <v>0.80918561573312642</v>
      </c>
      <c r="BC239" s="11">
        <v>43325</v>
      </c>
      <c r="BD239" s="289">
        <f>[3]!FeuilCaduc*(1-Persistant)+Persistant</f>
        <v>0.9984446085972869</v>
      </c>
      <c r="BE239" s="290">
        <f>[3]!CroissVégét</f>
        <v>0.93299147677206173</v>
      </c>
      <c r="BF239" s="804">
        <f>1+[3]!Salcycl*Ksac</f>
        <v>1.0496111521493217</v>
      </c>
      <c r="BH239" s="1037">
        <f t="shared" si="113"/>
        <v>9.1930040107952461E-3</v>
      </c>
      <c r="BI239" s="11">
        <v>44421</v>
      </c>
      <c r="BJ239" s="715">
        <v>1.9608185188486237E-6</v>
      </c>
      <c r="BK239" s="715">
        <v>1.308407968288424E-4</v>
      </c>
      <c r="BL239" s="715">
        <v>1.2765311692870785E-3</v>
      </c>
      <c r="BM239" s="715">
        <v>3.6229399193606396E-3</v>
      </c>
      <c r="BN239" s="715">
        <v>1.0594782263612055E-2</v>
      </c>
      <c r="BO239" s="716">
        <v>2.3244765784681591E-2</v>
      </c>
      <c r="BP239" s="715">
        <v>4.3178856931324824E-2</v>
      </c>
      <c r="BQ239" s="715">
        <v>7.0713385369030324E-2</v>
      </c>
      <c r="BR239" s="715">
        <v>0.10945070922707661</v>
      </c>
      <c r="BS239" s="715">
        <v>0.1658932457250849</v>
      </c>
      <c r="BT239" s="715">
        <v>0.23617594987469751</v>
      </c>
      <c r="BW239" s="1185">
        <f>'2019'!R\Max</f>
        <v>0.80918561573312642</v>
      </c>
      <c r="BX239" s="1185">
        <f>'2020'!R\Max</f>
        <v>0.60637920418186175</v>
      </c>
      <c r="BY239" s="1185">
        <f>'2021'!R\Max</f>
        <v>0.43391914776966278</v>
      </c>
      <c r="BZ239" s="1185">
        <f>'2022'!R\Max</f>
        <v>0.70250844023247072</v>
      </c>
      <c r="CA239" s="1185">
        <f>'2023'!R\Max</f>
        <v>0.70223616422727275</v>
      </c>
      <c r="CB239" s="1185">
        <f>'2024'!R\Max</f>
        <v>0.70193557846362786</v>
      </c>
      <c r="CC239" s="1185">
        <f>'2025'!R\Max</f>
        <v>0.70155858193269793</v>
      </c>
      <c r="CD239" s="1185">
        <f>'2026'!R\Max</f>
        <v>0.70308325683790518</v>
      </c>
      <c r="CE239" s="1186">
        <f>'2027'!R\Max</f>
        <v>0.70291088925406509</v>
      </c>
      <c r="CF239" s="1187">
        <f>'2028'!R\Max</f>
        <v>0.70273840686495226</v>
      </c>
    </row>
    <row r="240" spans="1:84" s="6" customFormat="1" ht="11.25" x14ac:dyDescent="0.2">
      <c r="A240" s="11">
        <v>43326</v>
      </c>
      <c r="B240" s="379">
        <f>'2022'!Maxi_hp</f>
        <v>56.167943192678834</v>
      </c>
      <c r="C240" s="13">
        <f>'2022'!An_max</f>
        <v>2018</v>
      </c>
      <c r="D240" s="1046">
        <f t="shared" si="97"/>
        <v>1.0220039384120989</v>
      </c>
      <c r="E240" s="13"/>
      <c r="F240" s="13">
        <f t="shared" si="114"/>
        <v>17</v>
      </c>
      <c r="G240" s="13">
        <f t="shared" si="98"/>
        <v>18</v>
      </c>
      <c r="H240" s="173">
        <f t="shared" si="99"/>
        <v>43318</v>
      </c>
      <c r="I240" s="742">
        <f t="shared" si="100"/>
        <v>0.5714285714285714</v>
      </c>
      <c r="J240" s="735">
        <f t="shared" si="101"/>
        <v>54.958636734754386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39">
        <v>43326</v>
      </c>
      <c r="AP240" s="13">
        <f t="shared" si="102"/>
        <v>9</v>
      </c>
      <c r="AQ240" s="13">
        <f t="shared" si="103"/>
        <v>10</v>
      </c>
      <c r="AR240" s="173">
        <f t="shared" si="104"/>
        <v>43304</v>
      </c>
      <c r="AS240" s="742">
        <f t="shared" si="105"/>
        <v>0.7857142857142857</v>
      </c>
      <c r="AT240" s="758">
        <f t="shared" si="106"/>
        <v>55.023840816292378</v>
      </c>
      <c r="AU240" s="13">
        <f t="shared" si="107"/>
        <v>9</v>
      </c>
      <c r="AV240" s="13">
        <f t="shared" si="108"/>
        <v>10</v>
      </c>
      <c r="AW240" s="173">
        <f t="shared" si="109"/>
        <v>43318</v>
      </c>
      <c r="AX240" s="742">
        <f t="shared" si="110"/>
        <v>0.2857142857142857</v>
      </c>
      <c r="AY240" s="758">
        <f t="shared" si="111"/>
        <v>54.939510204004385</v>
      </c>
      <c r="AZ240" s="735">
        <f t="shared" si="115"/>
        <v>54.981675510148378</v>
      </c>
      <c r="BA240" s="633">
        <f t="shared" si="112"/>
        <v>1.0220039384120989</v>
      </c>
      <c r="BC240" s="11">
        <v>43326</v>
      </c>
      <c r="BD240" s="289">
        <f>[3]!FeuilCaduc*(1-Persistant)+Persistant</f>
        <v>0.9982665050048336</v>
      </c>
      <c r="BE240" s="290">
        <f>[3]!CroissVégét</f>
        <v>0.93552736989395957</v>
      </c>
      <c r="BF240" s="804">
        <f>1+[3]!Salcycl*Ksac</f>
        <v>1.0495666262512084</v>
      </c>
      <c r="BH240" s="1037">
        <f t="shared" si="113"/>
        <v>1.0077304543492554E-2</v>
      </c>
      <c r="BI240" s="11">
        <v>44422</v>
      </c>
      <c r="BJ240" s="715">
        <v>1.845153902598174E-6</v>
      </c>
      <c r="BK240" s="715">
        <v>1.7790960913312206E-4</v>
      </c>
      <c r="BL240" s="715">
        <v>1.5216984096246436E-3</v>
      </c>
      <c r="BM240" s="715">
        <v>4.2425708286843887E-3</v>
      </c>
      <c r="BN240" s="715">
        <v>1.1545690310358757E-2</v>
      </c>
      <c r="BO240" s="716">
        <v>2.4428079151172535E-2</v>
      </c>
      <c r="BP240" s="715">
        <v>4.4283750415878557E-2</v>
      </c>
      <c r="BQ240" s="715">
        <v>7.2451557919375478E-2</v>
      </c>
      <c r="BR240" s="715">
        <v>0.11259357298475188</v>
      </c>
      <c r="BS240" s="715">
        <v>0.17163359474376247</v>
      </c>
      <c r="BT240" s="715">
        <v>0.24486184718410628</v>
      </c>
      <c r="BW240" s="1185">
        <f>'2019'!R\Max</f>
        <v>1.0220039384120989</v>
      </c>
      <c r="BX240" s="1185">
        <f>'2020'!R\Max</f>
        <v>0.31486546517170777</v>
      </c>
      <c r="BY240" s="1185">
        <f>'2021'!R\Max</f>
        <v>0.89602450144763712</v>
      </c>
      <c r="BZ240" s="1185">
        <f>'2022'!R\Max</f>
        <v>0.70186544756561686</v>
      </c>
      <c r="CA240" s="1185">
        <f>'2023'!R\Max</f>
        <v>0.70159325630217428</v>
      </c>
      <c r="CB240" s="1185">
        <f>'2024'!R\Max</f>
        <v>0.70128973123949101</v>
      </c>
      <c r="CC240" s="1185">
        <f>'2025'!R\Max</f>
        <v>0.70090265212403424</v>
      </c>
      <c r="CD240" s="1185">
        <f>'2026'!R\Max</f>
        <v>0.70244850644302137</v>
      </c>
      <c r="CE240" s="1186">
        <f>'2027'!R\Max</f>
        <v>0.70227233678201051</v>
      </c>
      <c r="CF240" s="1187">
        <f>'2028'!R\Max</f>
        <v>0.70209604752937027</v>
      </c>
    </row>
    <row r="241" spans="1:84" s="6" customFormat="1" ht="11.25" x14ac:dyDescent="0.2">
      <c r="A241" s="11">
        <v>43327</v>
      </c>
      <c r="B241" s="379">
        <f>'2022'!Maxi_hp</f>
        <v>48.01365532613444</v>
      </c>
      <c r="C241" s="13">
        <f>'2022'!An_max</f>
        <v>2020</v>
      </c>
      <c r="D241" s="1046" t="str">
        <f t="shared" si="97"/>
        <v/>
      </c>
      <c r="E241" s="13"/>
      <c r="F241" s="13">
        <f t="shared" si="114"/>
        <v>17</v>
      </c>
      <c r="G241" s="13">
        <f t="shared" si="98"/>
        <v>18</v>
      </c>
      <c r="H241" s="173">
        <f t="shared" si="99"/>
        <v>43318</v>
      </c>
      <c r="I241" s="742">
        <f t="shared" si="100"/>
        <v>0.6428571428571429</v>
      </c>
      <c r="J241" s="735">
        <f t="shared" si="101"/>
        <v>54.817017092143317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39">
        <v>43327</v>
      </c>
      <c r="AP241" s="13">
        <f t="shared" si="102"/>
        <v>9</v>
      </c>
      <c r="AQ241" s="13">
        <f t="shared" si="103"/>
        <v>10</v>
      </c>
      <c r="AR241" s="173">
        <f t="shared" si="104"/>
        <v>43304</v>
      </c>
      <c r="AS241" s="742">
        <f t="shared" si="105"/>
        <v>0.8214285714285714</v>
      </c>
      <c r="AT241" s="758">
        <f t="shared" si="106"/>
        <v>54.872078316286206</v>
      </c>
      <c r="AU241" s="13">
        <f t="shared" si="107"/>
        <v>9</v>
      </c>
      <c r="AV241" s="13">
        <f t="shared" si="108"/>
        <v>10</v>
      </c>
      <c r="AW241" s="173">
        <f t="shared" si="109"/>
        <v>43318</v>
      </c>
      <c r="AX241" s="742">
        <f t="shared" si="110"/>
        <v>0.32142857142857145</v>
      </c>
      <c r="AY241" s="758">
        <f t="shared" si="111"/>
        <v>54.798270918309164</v>
      </c>
      <c r="AZ241" s="735">
        <f t="shared" si="115"/>
        <v>54.835174617297682</v>
      </c>
      <c r="BA241" s="633">
        <f t="shared" si="112"/>
        <v>0.87588960277475636</v>
      </c>
      <c r="BC241" s="11">
        <v>43327</v>
      </c>
      <c r="BD241" s="289">
        <f>[3]!FeuilCaduc*(1-Persistant)+Persistant</f>
        <v>0.99807805138100247</v>
      </c>
      <c r="BE241" s="290">
        <f>[3]!CroissVégét</f>
        <v>0.93797413894004</v>
      </c>
      <c r="BF241" s="804">
        <f>1+[3]!Salcycl*Ksac</f>
        <v>1.0495195128452506</v>
      </c>
      <c r="BH241" s="1037">
        <f t="shared" si="113"/>
        <v>1.0959937036627301E-2</v>
      </c>
      <c r="BI241" s="11">
        <v>44423</v>
      </c>
      <c r="BJ241" s="715">
        <v>1.724626382813116E-6</v>
      </c>
      <c r="BK241" s="715">
        <v>2.3774372221245337E-4</v>
      </c>
      <c r="BL241" s="715">
        <v>1.7830851514017594E-3</v>
      </c>
      <c r="BM241" s="715">
        <v>4.8716703527682363E-3</v>
      </c>
      <c r="BN241" s="715">
        <v>1.2492127635278859E-2</v>
      </c>
      <c r="BO241" s="716">
        <v>2.5577063825167029E-2</v>
      </c>
      <c r="BP241" s="715">
        <v>4.5426114885550622E-2</v>
      </c>
      <c r="BQ241" s="715">
        <v>7.4280423583847066E-2</v>
      </c>
      <c r="BR241" s="715">
        <v>0.11589242533059196</v>
      </c>
      <c r="BS241" s="715">
        <v>0.17742777811341851</v>
      </c>
      <c r="BT241" s="715">
        <v>0.25344216543630221</v>
      </c>
      <c r="BW241" s="1185">
        <f>'2019'!R\Max</f>
        <v>0.43011682161770787</v>
      </c>
      <c r="BX241" s="1185">
        <f>'2020'!R\Max</f>
        <v>0.87588960277475636</v>
      </c>
      <c r="BY241" s="1185">
        <f>'2021'!R\Max</f>
        <v>0.34061512372145658</v>
      </c>
      <c r="BZ241" s="1185">
        <f>'2022'!R\Max</f>
        <v>0.65718448024449794</v>
      </c>
      <c r="CA241" s="1185">
        <f>'2023'!R\Max</f>
        <v>0.65689082739732507</v>
      </c>
      <c r="CB241" s="1185">
        <f>'2024'!R\Max</f>
        <v>0.65656027831819241</v>
      </c>
      <c r="CC241" s="1185">
        <f>'2025'!R\Max</f>
        <v>0.6561324611321554</v>
      </c>
      <c r="CD241" s="1185">
        <f>'2026'!R\Max</f>
        <v>0.65782033151708785</v>
      </c>
      <c r="CE241" s="1186">
        <f>'2027'!R\Max</f>
        <v>0.65762717067356213</v>
      </c>
      <c r="CF241" s="1187">
        <f>'2028'!R\Max</f>
        <v>0.65743389112932293</v>
      </c>
    </row>
    <row r="242" spans="1:84" s="6" customFormat="1" ht="11.25" x14ac:dyDescent="0.2">
      <c r="A242" s="11">
        <v>43328</v>
      </c>
      <c r="B242" s="379">
        <f>'2022'!Maxi_hp</f>
        <v>56.53449474291795</v>
      </c>
      <c r="C242" s="13">
        <f>'2022'!An_max</f>
        <v>2018</v>
      </c>
      <c r="D242" s="1046">
        <f t="shared" si="97"/>
        <v>1.0340387565417226</v>
      </c>
      <c r="E242" s="13"/>
      <c r="F242" s="13">
        <f t="shared" si="114"/>
        <v>17</v>
      </c>
      <c r="G242" s="13">
        <f t="shared" si="98"/>
        <v>18</v>
      </c>
      <c r="H242" s="173">
        <f t="shared" si="99"/>
        <v>43318</v>
      </c>
      <c r="I242" s="742">
        <f t="shared" si="100"/>
        <v>0.7142857142857143</v>
      </c>
      <c r="J242" s="735">
        <f t="shared" si="101"/>
        <v>54.673477551261229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39">
        <v>43328</v>
      </c>
      <c r="AP242" s="13">
        <f t="shared" si="102"/>
        <v>9</v>
      </c>
      <c r="AQ242" s="13">
        <f t="shared" si="103"/>
        <v>10</v>
      </c>
      <c r="AR242" s="173">
        <f t="shared" si="104"/>
        <v>43304</v>
      </c>
      <c r="AS242" s="742">
        <f t="shared" si="105"/>
        <v>0.8571428571428571</v>
      </c>
      <c r="AT242" s="758">
        <f t="shared" si="106"/>
        <v>54.717816326447895</v>
      </c>
      <c r="AU242" s="13">
        <f t="shared" si="107"/>
        <v>9</v>
      </c>
      <c r="AV242" s="13">
        <f t="shared" si="108"/>
        <v>10</v>
      </c>
      <c r="AW242" s="173">
        <f t="shared" si="109"/>
        <v>43318</v>
      </c>
      <c r="AX242" s="742">
        <f t="shared" si="110"/>
        <v>0.35714285714285715</v>
      </c>
      <c r="AY242" s="758">
        <f t="shared" si="111"/>
        <v>54.656089795833189</v>
      </c>
      <c r="AZ242" s="735">
        <f t="shared" si="115"/>
        <v>54.686953061140542</v>
      </c>
      <c r="BA242" s="633">
        <f t="shared" si="112"/>
        <v>1.0340387565417226</v>
      </c>
      <c r="BC242" s="11">
        <v>43328</v>
      </c>
      <c r="BD242" s="289">
        <f>[3]!FeuilCaduc*(1-Persistant)+Persistant</f>
        <v>0.99787892524986321</v>
      </c>
      <c r="BE242" s="290">
        <f>[3]!CroissVégét</f>
        <v>0.94033444219607754</v>
      </c>
      <c r="BF242" s="804">
        <f>1+[3]!Salcycl*Ksac</f>
        <v>1.0494697313124659</v>
      </c>
      <c r="BH242" s="1037">
        <f t="shared" si="113"/>
        <v>1.1840918477191355E-2</v>
      </c>
      <c r="BI242" s="11">
        <v>44424</v>
      </c>
      <c r="BJ242" s="715">
        <v>1.5992326795384484E-6</v>
      </c>
      <c r="BK242" s="715">
        <v>3.1034434201241128E-4</v>
      </c>
      <c r="BL242" s="715">
        <v>2.0606967465290147E-3</v>
      </c>
      <c r="BM242" s="715">
        <v>5.5102514277427656E-3</v>
      </c>
      <c r="BN242" s="715">
        <v>1.3434112244815557E-2</v>
      </c>
      <c r="BO242" s="716">
        <v>2.6691738662013284E-2</v>
      </c>
      <c r="BP242" s="715">
        <v>4.6605962303702363E-2</v>
      </c>
      <c r="BQ242" s="715">
        <v>7.6200000787240776E-2</v>
      </c>
      <c r="BR242" s="715">
        <v>0.11934730518059114</v>
      </c>
      <c r="BS242" s="715">
        <v>0.18327587405895801</v>
      </c>
      <c r="BT242" s="715">
        <v>0.26191702483687823</v>
      </c>
      <c r="BW242" s="1185">
        <f>'2019'!R\Max</f>
        <v>1.0340387565417226</v>
      </c>
      <c r="BX242" s="1185">
        <f>'2020'!R\Max</f>
        <v>0.93693840937366835</v>
      </c>
      <c r="BY242" s="1185">
        <f>'2021'!R\Max</f>
        <v>0.56787675930600079</v>
      </c>
      <c r="BZ242" s="1185">
        <f>'2022'!R\Max</f>
        <v>0.75791796044082116</v>
      </c>
      <c r="CA242" s="1185">
        <f>'2023'!R\Max</f>
        <v>0.75767740528395489</v>
      </c>
      <c r="CB242" s="1185">
        <f>'2024'!R\Max</f>
        <v>0.75740412852233086</v>
      </c>
      <c r="CC242" s="1185">
        <f>'2025'!R\Max</f>
        <v>0.75704562129891906</v>
      </c>
      <c r="CD242" s="1185">
        <f>'2026'!R\Max</f>
        <v>0.75844210864391848</v>
      </c>
      <c r="CE242" s="1186">
        <f>'2027'!R\Max</f>
        <v>0.75828241384704009</v>
      </c>
      <c r="CF242" s="1187">
        <f>'2028'!R\Max</f>
        <v>0.75812259133418591</v>
      </c>
    </row>
    <row r="243" spans="1:84" s="6" customFormat="1" ht="11.25" x14ac:dyDescent="0.2">
      <c r="A243" s="11">
        <v>43329</v>
      </c>
      <c r="B243" s="379">
        <f>'2022'!Maxi_hp</f>
        <v>53.858600637454124</v>
      </c>
      <c r="C243" s="13">
        <f>'2022'!An_max</f>
        <v>2018</v>
      </c>
      <c r="D243" s="1046">
        <f t="shared" si="97"/>
        <v>0.98772932745407471</v>
      </c>
      <c r="E243" s="13"/>
      <c r="F243" s="13">
        <f t="shared" si="114"/>
        <v>17</v>
      </c>
      <c r="G243" s="13">
        <f t="shared" si="98"/>
        <v>18</v>
      </c>
      <c r="H243" s="173">
        <f t="shared" si="99"/>
        <v>43318</v>
      </c>
      <c r="I243" s="742">
        <f t="shared" si="100"/>
        <v>0.7857142857142857</v>
      </c>
      <c r="J243" s="735">
        <f t="shared" si="101"/>
        <v>54.527692091797611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39">
        <v>43329</v>
      </c>
      <c r="AP243" s="13">
        <f t="shared" si="102"/>
        <v>9</v>
      </c>
      <c r="AQ243" s="13">
        <f t="shared" si="103"/>
        <v>10</v>
      </c>
      <c r="AR243" s="173">
        <f t="shared" si="104"/>
        <v>43304</v>
      </c>
      <c r="AS243" s="742">
        <f t="shared" si="105"/>
        <v>0.8928571428571429</v>
      </c>
      <c r="AT243" s="758">
        <f t="shared" si="106"/>
        <v>54.560946173034608</v>
      </c>
      <c r="AU243" s="13">
        <f t="shared" si="107"/>
        <v>9</v>
      </c>
      <c r="AV243" s="13">
        <f t="shared" si="108"/>
        <v>10</v>
      </c>
      <c r="AW243" s="173">
        <f t="shared" si="109"/>
        <v>43318</v>
      </c>
      <c r="AX243" s="742">
        <f t="shared" si="110"/>
        <v>0.39285714285714285</v>
      </c>
      <c r="AY243" s="758">
        <f t="shared" si="111"/>
        <v>54.51274948933029</v>
      </c>
      <c r="AZ243" s="735">
        <f t="shared" si="115"/>
        <v>54.536847831182449</v>
      </c>
      <c r="BA243" s="633">
        <f t="shared" si="112"/>
        <v>0.98772932745407471</v>
      </c>
      <c r="BC243" s="11">
        <v>43329</v>
      </c>
      <c r="BD243" s="289">
        <f>[3]!FeuilCaduc*(1-Persistant)+Persistant</f>
        <v>0.99766876489160472</v>
      </c>
      <c r="BE243" s="290">
        <f>[3]!CroissVégét</f>
        <v>0.94261089426578282</v>
      </c>
      <c r="BF243" s="804">
        <f>1+[3]!Salcycl*Ksac</f>
        <v>1.0494171912229011</v>
      </c>
      <c r="BH243" s="1037">
        <f t="shared" si="113"/>
        <v>1.2720264677947579E-2</v>
      </c>
      <c r="BI243" s="11">
        <v>44425</v>
      </c>
      <c r="BJ243" s="715">
        <v>1.4689694464784135E-6</v>
      </c>
      <c r="BK243" s="715">
        <v>3.9571316572611492E-4</v>
      </c>
      <c r="BL243" s="715">
        <v>2.3545389402970288E-3</v>
      </c>
      <c r="BM243" s="715">
        <v>6.1583266260746942E-3</v>
      </c>
      <c r="BN243" s="715">
        <v>1.4371660767193904E-2</v>
      </c>
      <c r="BO243" s="716">
        <v>2.777211955962635E-2</v>
      </c>
      <c r="BP243" s="715">
        <v>4.7823304859314519E-2</v>
      </c>
      <c r="BQ243" s="715">
        <v>7.8210309675601969E-2</v>
      </c>
      <c r="BR243" s="715">
        <v>0.12295825422487273</v>
      </c>
      <c r="BS243" s="715">
        <v>0.18917795593145487</v>
      </c>
      <c r="BT243" s="715">
        <v>0.27028653016607473</v>
      </c>
      <c r="BW243" s="1185">
        <f>'2019'!R\Max</f>
        <v>0.98772932745407471</v>
      </c>
      <c r="BX243" s="1185">
        <f>'2020'!R\Max</f>
        <v>0.30869010566699084</v>
      </c>
      <c r="BY243" s="1185">
        <f>'2021'!R\Max</f>
        <v>0.85244901999049072</v>
      </c>
      <c r="BZ243" s="1185">
        <f>'2022'!R\Max</f>
        <v>0.47431745564537037</v>
      </c>
      <c r="CA243" s="1185">
        <f>'2023'!R\Max</f>
        <v>0.47398760613158403</v>
      </c>
      <c r="CB243" s="1185">
        <f>'2024'!R\Max</f>
        <v>0.47361011056358837</v>
      </c>
      <c r="CC243" s="1185">
        <f>'2025'!R\Max</f>
        <v>0.47310967651351854</v>
      </c>
      <c r="CD243" s="1185">
        <f>'2026'!R\Max</f>
        <v>0.47503905485106579</v>
      </c>
      <c r="CE243" s="1186">
        <f>'2027'!R\Max</f>
        <v>0.47481885251357903</v>
      </c>
      <c r="CF243" s="1187">
        <f>'2028'!R\Max</f>
        <v>0.47459858204574668</v>
      </c>
    </row>
    <row r="244" spans="1:84" s="6" customFormat="1" ht="11.25" x14ac:dyDescent="0.2">
      <c r="A244" s="11">
        <v>43330</v>
      </c>
      <c r="B244" s="379">
        <f>'2022'!Maxi_hp</f>
        <v>45.332057361760235</v>
      </c>
      <c r="C244" s="13">
        <f>'2022'!An_max</f>
        <v>2021</v>
      </c>
      <c r="D244" s="1046" t="str">
        <f t="shared" si="97"/>
        <v/>
      </c>
      <c r="E244" s="13"/>
      <c r="F244" s="13">
        <f t="shared" si="114"/>
        <v>17</v>
      </c>
      <c r="G244" s="13">
        <f t="shared" si="98"/>
        <v>18</v>
      </c>
      <c r="H244" s="173">
        <f t="shared" si="99"/>
        <v>43318</v>
      </c>
      <c r="I244" s="742">
        <f t="shared" si="100"/>
        <v>0.8571428571428571</v>
      </c>
      <c r="J244" s="735">
        <f t="shared" si="101"/>
        <v>54.37933469348188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39">
        <v>43330</v>
      </c>
      <c r="AP244" s="13">
        <f t="shared" si="102"/>
        <v>9</v>
      </c>
      <c r="AQ244" s="13">
        <f t="shared" si="103"/>
        <v>10</v>
      </c>
      <c r="AR244" s="173">
        <f t="shared" si="104"/>
        <v>43304</v>
      </c>
      <c r="AS244" s="742">
        <f t="shared" si="105"/>
        <v>0.9285714285714286</v>
      </c>
      <c r="AT244" s="758">
        <f t="shared" si="106"/>
        <v>54.401359183900055</v>
      </c>
      <c r="AU244" s="13">
        <f t="shared" si="107"/>
        <v>9</v>
      </c>
      <c r="AV244" s="13">
        <f t="shared" si="108"/>
        <v>10</v>
      </c>
      <c r="AW244" s="173">
        <f t="shared" si="109"/>
        <v>43318</v>
      </c>
      <c r="AX244" s="742">
        <f t="shared" si="110"/>
        <v>0.42857142857142855</v>
      </c>
      <c r="AY244" s="758">
        <f t="shared" si="111"/>
        <v>54.368032652937941</v>
      </c>
      <c r="AZ244" s="735">
        <f t="shared" si="115"/>
        <v>54.384695918418998</v>
      </c>
      <c r="BA244" s="633">
        <f t="shared" si="112"/>
        <v>0.83362655349282733</v>
      </c>
      <c r="BC244" s="11">
        <v>43330</v>
      </c>
      <c r="BD244" s="289">
        <f>[3]!FeuilCaduc*(1-Persistant)+Persistant</f>
        <v>0.99744717311090825</v>
      </c>
      <c r="BE244" s="290">
        <f>[3]!CroissVégét</f>
        <v>0.94480606387541</v>
      </c>
      <c r="BF244" s="804">
        <f>1+[3]!Salcycl*Ksac</f>
        <v>1.0493617932777271</v>
      </c>
      <c r="BH244" s="1037">
        <f t="shared" si="113"/>
        <v>1.3597990282692382E-2</v>
      </c>
      <c r="BI244" s="11">
        <v>44426</v>
      </c>
      <c r="BJ244" s="715">
        <v>1.3338332861418131E-6</v>
      </c>
      <c r="BK244" s="715">
        <v>4.9385234211607866E-4</v>
      </c>
      <c r="BL244" s="715">
        <v>2.6646178209675606E-3</v>
      </c>
      <c r="BM244" s="715">
        <v>6.8159081271546339E-3</v>
      </c>
      <c r="BN244" s="715">
        <v>1.5304788466409721E-2</v>
      </c>
      <c r="BO244" s="716">
        <v>2.8818219565434053E-2</v>
      </c>
      <c r="BP244" s="715">
        <v>4.9078154851019976E-2</v>
      </c>
      <c r="BQ244" s="715">
        <v>8.0311371835154244E-2</v>
      </c>
      <c r="BR244" s="715">
        <v>0.12672531644409515</v>
      </c>
      <c r="BS244" s="715">
        <v>0.19513409204268323</v>
      </c>
      <c r="BT244" s="715">
        <v>0.27855077110957288</v>
      </c>
      <c r="BW244" s="1185">
        <f>'2019'!R\Max</f>
        <v>0.70054001148888634</v>
      </c>
      <c r="BX244" s="1185">
        <f>'2020'!R\Max</f>
        <v>0.82115253751328365</v>
      </c>
      <c r="BY244" s="1185">
        <f>'2021'!R\Max</f>
        <v>0.83362655349282733</v>
      </c>
      <c r="BZ244" s="1185">
        <f>'2022'!R\Max</f>
        <v>0.63786275445629825</v>
      </c>
      <c r="CA244" s="1185">
        <f>'2023'!R\Max</f>
        <v>0.63755314540016306</v>
      </c>
      <c r="CB244" s="1185">
        <f>'2024'!R\Max</f>
        <v>0.63719601292545447</v>
      </c>
      <c r="CC244" s="1185">
        <f>'2025'!R\Max</f>
        <v>0.63671766058773416</v>
      </c>
      <c r="CD244" s="1185">
        <f>'2026'!R\Max</f>
        <v>0.63853896706792079</v>
      </c>
      <c r="CE244" s="1186">
        <f>'2027'!R\Max</f>
        <v>0.63833289740620869</v>
      </c>
      <c r="CF244" s="1187">
        <f>'2028'!R\Max</f>
        <v>0.63812670308672104</v>
      </c>
    </row>
    <row r="245" spans="1:84" s="6" customFormat="1" ht="11.25" x14ac:dyDescent="0.2">
      <c r="A245" s="11">
        <v>43331</v>
      </c>
      <c r="B245" s="379">
        <f>'2022'!Maxi_hp</f>
        <v>41.817185675969036</v>
      </c>
      <c r="C245" s="13">
        <f>'2022'!An_max</f>
        <v>2021</v>
      </c>
      <c r="D245" s="1046" t="str">
        <f t="shared" si="97"/>
        <v/>
      </c>
      <c r="E245" s="13"/>
      <c r="F245" s="13">
        <f t="shared" si="114"/>
        <v>17</v>
      </c>
      <c r="G245" s="13">
        <f t="shared" si="98"/>
        <v>18</v>
      </c>
      <c r="H245" s="173">
        <f t="shared" si="99"/>
        <v>43318</v>
      </c>
      <c r="I245" s="742">
        <f t="shared" si="100"/>
        <v>0.9285714285714286</v>
      </c>
      <c r="J245" s="735">
        <f t="shared" si="101"/>
        <v>54.228079336934854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39">
        <v>43331</v>
      </c>
      <c r="AP245" s="13">
        <f t="shared" si="102"/>
        <v>9</v>
      </c>
      <c r="AQ245" s="13">
        <f t="shared" si="103"/>
        <v>10</v>
      </c>
      <c r="AR245" s="173">
        <f t="shared" si="104"/>
        <v>43304</v>
      </c>
      <c r="AS245" s="742">
        <f t="shared" si="105"/>
        <v>0.9642857142857143</v>
      </c>
      <c r="AT245" s="758">
        <f t="shared" si="106"/>
        <v>54.238946683511926</v>
      </c>
      <c r="AU245" s="13">
        <f t="shared" si="107"/>
        <v>9</v>
      </c>
      <c r="AV245" s="13">
        <f t="shared" si="108"/>
        <v>10</v>
      </c>
      <c r="AW245" s="173">
        <f t="shared" si="109"/>
        <v>43318</v>
      </c>
      <c r="AX245" s="742">
        <f t="shared" si="110"/>
        <v>0.4642857142857143</v>
      </c>
      <c r="AY245" s="758">
        <f t="shared" si="111"/>
        <v>54.22172193847863</v>
      </c>
      <c r="AZ245" s="735">
        <f t="shared" si="115"/>
        <v>54.230334310995275</v>
      </c>
      <c r="BA245" s="633">
        <f t="shared" si="112"/>
        <v>0.77113528982184076</v>
      </c>
      <c r="BC245" s="11">
        <v>43331</v>
      </c>
      <c r="BD245" s="289">
        <f>[3]!FeuilCaduc*(1-Persistant)+Persistant</f>
        <v>0.99721372064282132</v>
      </c>
      <c r="BE245" s="290">
        <f>[3]!CroissVégét</f>
        <v>0.94692247197428869</v>
      </c>
      <c r="BF245" s="804">
        <f>1+[3]!Salcycl*Ksac</f>
        <v>1.0493034301607054</v>
      </c>
      <c r="BH245" s="1037">
        <f t="shared" si="113"/>
        <v>1.4474108771688294E-2</v>
      </c>
      <c r="BI245" s="11">
        <v>44427</v>
      </c>
      <c r="BJ245" s="715">
        <v>1.1938207650155608E-6</v>
      </c>
      <c r="BK245" s="715">
        <v>6.0476443183915237E-4</v>
      </c>
      <c r="BL245" s="715">
        <v>2.9909397693911855E-3</v>
      </c>
      <c r="BM245" s="715">
        <v>7.4830076879589041E-3</v>
      </c>
      <c r="BN245" s="715">
        <v>1.6233509256412666E-2</v>
      </c>
      <c r="BO245" s="716">
        <v>2.9830048983725481E-2</v>
      </c>
      <c r="BP245" s="715">
        <v>5.0370524571853093E-2</v>
      </c>
      <c r="BQ245" s="715">
        <v>8.2503210012398867E-2</v>
      </c>
      <c r="BR245" s="715">
        <v>0.13064853762768161</v>
      </c>
      <c r="BS245" s="715">
        <v>0.20114434550244309</v>
      </c>
      <c r="BT245" s="715">
        <v>0.28670982259328298</v>
      </c>
      <c r="BW245" s="1185">
        <f>'2019'!R\Max</f>
        <v>0.61243732697618569</v>
      </c>
      <c r="BX245" s="1185">
        <f>'2020'!R\Max</f>
        <v>0.67716679500047738</v>
      </c>
      <c r="BY245" s="1185">
        <f>'2021'!R\Max</f>
        <v>0.77113528982184076</v>
      </c>
      <c r="BZ245" s="1185">
        <f>'2022'!R\Max</f>
        <v>0.66818348319581156</v>
      </c>
      <c r="CA245" s="1185">
        <f>'2023'!R\Max</f>
        <v>0.66788140655750772</v>
      </c>
      <c r="CB245" s="1185">
        <f>'2024'!R\Max</f>
        <v>0.66753062946689545</v>
      </c>
      <c r="CC245" s="1185">
        <f>'2025'!R\Max</f>
        <v>0.66705691095327924</v>
      </c>
      <c r="CD245" s="1185">
        <f>'2026'!R\Max</f>
        <v>0.66884014185862217</v>
      </c>
      <c r="CE245" s="1186">
        <f>'2027'!R\Max</f>
        <v>0.66864065630130276</v>
      </c>
      <c r="CF245" s="1187">
        <f>'2028'!R\Max</f>
        <v>0.6684410381160053</v>
      </c>
    </row>
    <row r="246" spans="1:84" s="6" customFormat="1" ht="11.25" x14ac:dyDescent="0.2">
      <c r="A246" s="11">
        <v>43332</v>
      </c>
      <c r="B246" s="379">
        <f>'2022'!Maxi_hp</f>
        <v>52.962065320582475</v>
      </c>
      <c r="C246" s="13">
        <f>'2022'!An_max</f>
        <v>2022</v>
      </c>
      <c r="D246" s="1046">
        <f t="shared" si="97"/>
        <v>0.97944404146279074</v>
      </c>
      <c r="E246" s="1041">
        <f>AD$13/10</f>
        <v>54.073599999999999</v>
      </c>
      <c r="F246" s="13">
        <f t="shared" si="114"/>
        <v>19</v>
      </c>
      <c r="G246" s="13">
        <f t="shared" si="98"/>
        <v>18</v>
      </c>
      <c r="H246" s="173">
        <f t="shared" si="99"/>
        <v>43346</v>
      </c>
      <c r="I246" s="742">
        <f t="shared" si="100"/>
        <v>1</v>
      </c>
      <c r="J246" s="735">
        <f t="shared" si="101"/>
        <v>54.073600000143053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39">
        <v>43332</v>
      </c>
      <c r="AP246" s="13">
        <f t="shared" si="102"/>
        <v>11</v>
      </c>
      <c r="AQ246" s="13">
        <f t="shared" si="103"/>
        <v>10</v>
      </c>
      <c r="AR246" s="173">
        <f t="shared" si="104"/>
        <v>43360</v>
      </c>
      <c r="AS246" s="742">
        <f t="shared" si="105"/>
        <v>1</v>
      </c>
      <c r="AT246" s="758">
        <f t="shared" si="106"/>
        <v>54.073599999397992</v>
      </c>
      <c r="AU246" s="13">
        <f t="shared" si="107"/>
        <v>9</v>
      </c>
      <c r="AV246" s="13">
        <f t="shared" si="108"/>
        <v>10</v>
      </c>
      <c r="AW246" s="173">
        <f t="shared" si="109"/>
        <v>43318</v>
      </c>
      <c r="AX246" s="742">
        <f t="shared" si="110"/>
        <v>0.5</v>
      </c>
      <c r="AY246" s="758">
        <f t="shared" si="111"/>
        <v>54.073599999770522</v>
      </c>
      <c r="AZ246" s="735">
        <f t="shared" si="115"/>
        <v>54.07359999958426</v>
      </c>
      <c r="BA246" s="633">
        <f t="shared" si="112"/>
        <v>0.97944404146279074</v>
      </c>
      <c r="BC246" s="11">
        <v>43332</v>
      </c>
      <c r="BD246" s="289">
        <f>[3]!FeuilCaduc*(1-Persistant)+Persistant</f>
        <v>0.99696794916354636</v>
      </c>
      <c r="BE246" s="290">
        <f>[3]!CroissVégét</f>
        <v>0.94896259011285922</v>
      </c>
      <c r="BF246" s="804">
        <f>1+[3]!Salcycl*Ksac</f>
        <v>1.0492419872908867</v>
      </c>
      <c r="BH246" s="1037">
        <f t="shared" si="113"/>
        <v>1.5348632467172054E-2</v>
      </c>
      <c r="BI246" s="11">
        <v>44428</v>
      </c>
      <c r="BJ246" s="715">
        <v>1.0489284287383394E-6</v>
      </c>
      <c r="BK246" s="715">
        <v>7.2845236777612844E-4</v>
      </c>
      <c r="BL246" s="715">
        <v>3.3335114086439992E-3</v>
      </c>
      <c r="BM246" s="715">
        <v>8.1596366137562538E-3</v>
      </c>
      <c r="BN246" s="715">
        <v>1.7157835715372556E-2</v>
      </c>
      <c r="BO246" s="716">
        <v>3.0807615483132891E-2</v>
      </c>
      <c r="BP246" s="715">
        <v>5.1700426194206402E-2</v>
      </c>
      <c r="BQ246" s="715">
        <v>8.4785847834554465E-2</v>
      </c>
      <c r="BR246" s="715">
        <v>0.13472796489260208</v>
      </c>
      <c r="BS246" s="715">
        <v>0.20720877405674484</v>
      </c>
      <c r="BT246" s="715">
        <v>0.2947637451193566</v>
      </c>
      <c r="BW246" s="1185">
        <f>'2019'!R\Max</f>
        <v>0.45383830227649402</v>
      </c>
      <c r="BX246" s="1185">
        <f>'2020'!R\Max</f>
        <v>0.96937880445937963</v>
      </c>
      <c r="BY246" s="1185">
        <f>'2021'!R\Max</f>
        <v>0.97461563501990078</v>
      </c>
      <c r="BZ246" s="1185">
        <f>'2022'!R\Max</f>
        <v>0.97944404146279074</v>
      </c>
      <c r="CA246" s="1185">
        <f>'2023'!R\Max</f>
        <v>0.97941605425598066</v>
      </c>
      <c r="CB246" s="1185">
        <f>'2024'!R\Max</f>
        <v>0.97938333750712681</v>
      </c>
      <c r="CC246" s="1185">
        <f>'2025'!R\Max</f>
        <v>0.97933881086255437</v>
      </c>
      <c r="CD246" s="1185">
        <f>'2026'!R\Max</f>
        <v>0.97950430967092672</v>
      </c>
      <c r="CE246" s="1186">
        <f>'2027'!R\Max</f>
        <v>0.97948610532641556</v>
      </c>
      <c r="CF246" s="1187">
        <f>'2028'!R\Max</f>
        <v>0.97946787852966755</v>
      </c>
    </row>
    <row r="247" spans="1:84" s="6" customFormat="1" ht="11.25" x14ac:dyDescent="0.2">
      <c r="A247" s="11">
        <v>43333</v>
      </c>
      <c r="B247" s="379">
        <f>'2022'!Maxi_hp</f>
        <v>53.982802943625828</v>
      </c>
      <c r="C247" s="13">
        <f>'2022'!An_max</f>
        <v>2020</v>
      </c>
      <c r="D247" s="1046">
        <f t="shared" si="97"/>
        <v>1.0012187387995131</v>
      </c>
      <c r="E247" s="13"/>
      <c r="F247" s="13">
        <f t="shared" si="114"/>
        <v>19</v>
      </c>
      <c r="G247" s="13">
        <f t="shared" si="98"/>
        <v>18</v>
      </c>
      <c r="H247" s="173">
        <f t="shared" si="99"/>
        <v>43346</v>
      </c>
      <c r="I247" s="742">
        <f t="shared" si="100"/>
        <v>0.9285714285714286</v>
      </c>
      <c r="J247" s="735">
        <f t="shared" si="101"/>
        <v>53.917092091536951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39">
        <v>43333</v>
      </c>
      <c r="AP247" s="13">
        <f t="shared" si="102"/>
        <v>11</v>
      </c>
      <c r="AQ247" s="13">
        <f t="shared" si="103"/>
        <v>10</v>
      </c>
      <c r="AR247" s="173">
        <f t="shared" si="104"/>
        <v>43360</v>
      </c>
      <c r="AS247" s="742">
        <f t="shared" si="105"/>
        <v>0.9642857142857143</v>
      </c>
      <c r="AT247" s="758">
        <f t="shared" si="106"/>
        <v>53.90616361544069</v>
      </c>
      <c r="AU247" s="13">
        <f t="shared" si="107"/>
        <v>9</v>
      </c>
      <c r="AV247" s="13">
        <f t="shared" si="108"/>
        <v>10</v>
      </c>
      <c r="AW247" s="173">
        <f t="shared" si="109"/>
        <v>43318</v>
      </c>
      <c r="AX247" s="742">
        <f t="shared" si="110"/>
        <v>0.5357142857142857</v>
      </c>
      <c r="AY247" s="758">
        <f t="shared" si="111"/>
        <v>53.923449489248114</v>
      </c>
      <c r="AZ247" s="735">
        <f t="shared" si="115"/>
        <v>53.914806552344402</v>
      </c>
      <c r="BA247" s="633">
        <f t="shared" si="112"/>
        <v>1.0012187387995131</v>
      </c>
      <c r="BC247" s="11">
        <v>43333</v>
      </c>
      <c r="BD247" s="289">
        <f>[3]!FeuilCaduc*(1-Persistant)+Persistant</f>
        <v>0.99670937388049308</v>
      </c>
      <c r="BE247" s="290">
        <f>[3]!CroissVégét</f>
        <v>0.95092883908018766</v>
      </c>
      <c r="BF247" s="804">
        <f>1+[3]!Salcycl*Ksac</f>
        <v>1.0491773434701233</v>
      </c>
      <c r="BH247" s="1037">
        <f t="shared" si="113"/>
        <v>1.6221572538555884E-2</v>
      </c>
      <c r="BI247" s="11">
        <v>44429</v>
      </c>
      <c r="BJ247" s="715">
        <v>8.9915281724802538E-7</v>
      </c>
      <c r="BK247" s="715">
        <v>8.6491941534896325E-4</v>
      </c>
      <c r="BL247" s="715">
        <v>3.6923395536016933E-3</v>
      </c>
      <c r="BM247" s="715">
        <v>8.8458057286569438E-3</v>
      </c>
      <c r="BN247" s="715">
        <v>1.8077779099601288E-2</v>
      </c>
      <c r="BO247" s="716">
        <v>3.1750924203477693E-2</v>
      </c>
      <c r="BP247" s="715">
        <v>5.3067871653712823E-2</v>
      </c>
      <c r="BQ247" s="715">
        <v>8.7159309528237347E-2</v>
      </c>
      <c r="BR247" s="715">
        <v>0.13896364619937074</v>
      </c>
      <c r="BS247" s="715">
        <v>0.2133274299217055</v>
      </c>
      <c r="BT247" s="715">
        <v>0.30271258509608118</v>
      </c>
      <c r="BW247" s="1185">
        <f>'2019'!R\Max</f>
        <v>0.91969474364625037</v>
      </c>
      <c r="BX247" s="1185">
        <f>'2020'!R\Max</f>
        <v>1.0012187387995131</v>
      </c>
      <c r="BY247" s="1185">
        <f>'2021'!R\Max</f>
        <v>0.91165030751682408</v>
      </c>
      <c r="BZ247" s="1185">
        <f>'2022'!R\Max</f>
        <v>0.77761319797674155</v>
      </c>
      <c r="CA247" s="1185">
        <f>'2023'!R\Max</f>
        <v>0.77736734127338714</v>
      </c>
      <c r="CB247" s="1185">
        <f>'2024'!R\Max</f>
        <v>0.77707870889943831</v>
      </c>
      <c r="CC247" s="1185">
        <f>'2025'!R\Max</f>
        <v>0.77668419396992183</v>
      </c>
      <c r="CD247" s="1185">
        <f>'2026'!R\Max</f>
        <v>0.77813711240441419</v>
      </c>
      <c r="CE247" s="1186">
        <f>'2027'!R\Max</f>
        <v>0.77797990988891252</v>
      </c>
      <c r="CF247" s="1187">
        <f>'2028'!R\Max</f>
        <v>0.77782257038688818</v>
      </c>
    </row>
    <row r="248" spans="1:84" s="6" customFormat="1" ht="11.25" x14ac:dyDescent="0.2">
      <c r="A248" s="11">
        <v>43334</v>
      </c>
      <c r="B248" s="379">
        <f>'2022'!Maxi_hp</f>
        <v>55.500972969341134</v>
      </c>
      <c r="C248" s="13">
        <f>'2022'!An_max</f>
        <v>2018</v>
      </c>
      <c r="D248" s="1046">
        <f t="shared" si="97"/>
        <v>1.0323889511314839</v>
      </c>
      <c r="E248" s="13"/>
      <c r="F248" s="13">
        <f t="shared" si="114"/>
        <v>19</v>
      </c>
      <c r="G248" s="13">
        <f t="shared" si="98"/>
        <v>18</v>
      </c>
      <c r="H248" s="173">
        <f t="shared" si="99"/>
        <v>43346</v>
      </c>
      <c r="I248" s="742">
        <f t="shared" si="100"/>
        <v>0.8571428571428571</v>
      </c>
      <c r="J248" s="735">
        <f t="shared" si="101"/>
        <v>53.759751020691226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39">
        <v>43334</v>
      </c>
      <c r="AP248" s="13">
        <f t="shared" si="102"/>
        <v>11</v>
      </c>
      <c r="AQ248" s="13">
        <f t="shared" si="103"/>
        <v>10</v>
      </c>
      <c r="AR248" s="173">
        <f t="shared" si="104"/>
        <v>43360</v>
      </c>
      <c r="AS248" s="742">
        <f t="shared" si="105"/>
        <v>0.9285714285714286</v>
      </c>
      <c r="AT248" s="758">
        <f t="shared" si="106"/>
        <v>53.737491071410474</v>
      </c>
      <c r="AU248" s="13">
        <f t="shared" si="107"/>
        <v>9</v>
      </c>
      <c r="AV248" s="13">
        <f t="shared" si="108"/>
        <v>10</v>
      </c>
      <c r="AW248" s="173">
        <f t="shared" si="109"/>
        <v>43318</v>
      </c>
      <c r="AX248" s="742">
        <f t="shared" si="110"/>
        <v>0.5714285714285714</v>
      </c>
      <c r="AY248" s="758">
        <f t="shared" si="111"/>
        <v>53.771053060942464</v>
      </c>
      <c r="AZ248" s="735">
        <f t="shared" si="115"/>
        <v>53.754272066176469</v>
      </c>
      <c r="BA248" s="633">
        <f t="shared" si="112"/>
        <v>1.0323889511314839</v>
      </c>
      <c r="BC248" s="11">
        <v>43334</v>
      </c>
      <c r="BD248" s="289">
        <f>[3]!FeuilCaduc*(1-Persistant)+Persistant</f>
        <v>0.99643748568313639</v>
      </c>
      <c r="BE248" s="290">
        <f>[3]!CroissVégét</f>
        <v>0.95282358778342446</v>
      </c>
      <c r="BF248" s="804">
        <f>1+[3]!Salcycl*Ksac</f>
        <v>1.049109371420784</v>
      </c>
      <c r="BH248" s="1037">
        <f t="shared" si="113"/>
        <v>1.7070432915480216E-2</v>
      </c>
      <c r="BI248" s="11">
        <v>44430</v>
      </c>
      <c r="BJ248" s="715">
        <v>1.0968201261514745E-6</v>
      </c>
      <c r="BK248" s="715">
        <v>1.009006589193763E-3</v>
      </c>
      <c r="BL248" s="715">
        <v>4.0493906680417425E-3</v>
      </c>
      <c r="BM248" s="715">
        <v>9.5116332877924897E-3</v>
      </c>
      <c r="BN248" s="715">
        <v>1.89727020387002E-2</v>
      </c>
      <c r="BO248" s="716">
        <v>3.267875665458838E-2</v>
      </c>
      <c r="BP248" s="715">
        <v>5.4479859921665312E-2</v>
      </c>
      <c r="BQ248" s="715">
        <v>8.9613002986679138E-2</v>
      </c>
      <c r="BR248" s="715">
        <v>0.14322249729600417</v>
      </c>
      <c r="BS248" s="715">
        <v>0.21919304156563418</v>
      </c>
      <c r="BT248" s="715">
        <v>0.30996829466830172</v>
      </c>
      <c r="BW248" s="1185">
        <f>'2019'!R\Max</f>
        <v>1.0323889511314839</v>
      </c>
      <c r="BX248" s="1185">
        <f>'2020'!R\Max</f>
        <v>0.78803745094799604</v>
      </c>
      <c r="BY248" s="1185">
        <f>'2021'!R\Max</f>
        <v>0.34989664434598822</v>
      </c>
      <c r="BZ248" s="1185">
        <f>'2022'!R\Max</f>
        <v>0.54731271417006444</v>
      </c>
      <c r="CA248" s="1185">
        <f>'2023'!R\Max</f>
        <v>0.54695162196719005</v>
      </c>
      <c r="CB248" s="1185">
        <f>'2024'!R\Max</f>
        <v>0.54652630440214334</v>
      </c>
      <c r="CC248" s="1185">
        <f>'2025'!R\Max</f>
        <v>0.545943347273942</v>
      </c>
      <c r="CD248" s="1185">
        <f>'2026'!R\Max</f>
        <v>0.54807356733172274</v>
      </c>
      <c r="CE248" s="1186">
        <f>'2027'!R\Max</f>
        <v>0.54784692987355821</v>
      </c>
      <c r="CF248" s="1187">
        <f>'2028'!R\Max</f>
        <v>0.54762018944388846</v>
      </c>
    </row>
    <row r="249" spans="1:84" s="6" customFormat="1" ht="11.25" x14ac:dyDescent="0.2">
      <c r="A249" s="11">
        <v>43335</v>
      </c>
      <c r="B249" s="379">
        <f>'2022'!Maxi_hp</f>
        <v>53.062243382697936</v>
      </c>
      <c r="C249" s="13">
        <f>'2022'!An_max</f>
        <v>2018</v>
      </c>
      <c r="D249" s="1046">
        <f t="shared" si="97"/>
        <v>0.98994412676799115</v>
      </c>
      <c r="E249" s="13"/>
      <c r="F249" s="13">
        <f t="shared" si="114"/>
        <v>19</v>
      </c>
      <c r="G249" s="13">
        <f t="shared" si="98"/>
        <v>18</v>
      </c>
      <c r="H249" s="173">
        <f t="shared" si="99"/>
        <v>43346</v>
      </c>
      <c r="I249" s="742">
        <f t="shared" si="100"/>
        <v>0.7857142857142857</v>
      </c>
      <c r="J249" s="735">
        <f t="shared" si="101"/>
        <v>53.601250765472649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39">
        <v>43335</v>
      </c>
      <c r="AP249" s="13">
        <f t="shared" si="102"/>
        <v>11</v>
      </c>
      <c r="AQ249" s="13">
        <f t="shared" si="103"/>
        <v>10</v>
      </c>
      <c r="AR249" s="173">
        <f t="shared" si="104"/>
        <v>43360</v>
      </c>
      <c r="AS249" s="742">
        <f t="shared" si="105"/>
        <v>0.8928571428571429</v>
      </c>
      <c r="AT249" s="758">
        <f t="shared" si="106"/>
        <v>53.567487276718019</v>
      </c>
      <c r="AU249" s="13">
        <f t="shared" si="107"/>
        <v>9</v>
      </c>
      <c r="AV249" s="13">
        <f t="shared" si="108"/>
        <v>10</v>
      </c>
      <c r="AW249" s="173">
        <f t="shared" si="109"/>
        <v>43318</v>
      </c>
      <c r="AX249" s="742">
        <f t="shared" si="110"/>
        <v>0.6071428571428571</v>
      </c>
      <c r="AY249" s="758">
        <f t="shared" si="111"/>
        <v>53.616193366562946</v>
      </c>
      <c r="AZ249" s="735">
        <f t="shared" si="115"/>
        <v>53.591840321640483</v>
      </c>
      <c r="BA249" s="633">
        <f t="shared" si="112"/>
        <v>0.98994412676799115</v>
      </c>
      <c r="BC249" s="11">
        <v>43335</v>
      </c>
      <c r="BD249" s="289">
        <f>[3]!FeuilCaduc*(1-Persistant)+Persistant</f>
        <v>0.996151752843635</v>
      </c>
      <c r="BE249" s="290">
        <f>[3]!CroissVégét</f>
        <v>0.95464915235219705</v>
      </c>
      <c r="BF249" s="804">
        <f>1+[3]!Salcycl*Ksac</f>
        <v>1.0490379382109087</v>
      </c>
      <c r="BH249" s="1037">
        <f t="shared" si="113"/>
        <v>1.7869433054180619E-2</v>
      </c>
      <c r="BI249" s="11">
        <v>44431</v>
      </c>
      <c r="BJ249" s="715">
        <v>1.6556070992989871E-6</v>
      </c>
      <c r="BK249" s="715">
        <v>1.1549546556625218E-3</v>
      </c>
      <c r="BL249" s="715">
        <v>4.3878018513485257E-3</v>
      </c>
      <c r="BM249" s="715">
        <v>1.0122710286920081E-2</v>
      </c>
      <c r="BN249" s="715">
        <v>1.9818995451935689E-2</v>
      </c>
      <c r="BO249" s="716">
        <v>3.3612388128250362E-2</v>
      </c>
      <c r="BP249" s="715">
        <v>5.5950602478829041E-2</v>
      </c>
      <c r="BQ249" s="715">
        <v>9.2121514423424353E-2</v>
      </c>
      <c r="BR249" s="715">
        <v>0.14738236014789169</v>
      </c>
      <c r="BS249" s="715">
        <v>0.22463581953242859</v>
      </c>
      <c r="BT249" s="715">
        <v>0.31631419640614916</v>
      </c>
      <c r="BW249" s="1185">
        <f>'2019'!R\Max</f>
        <v>0.98994412676799115</v>
      </c>
      <c r="BX249" s="1185">
        <f>'2020'!R\Max</f>
        <v>0.62699045478819593</v>
      </c>
      <c r="BY249" s="1185">
        <f>'2021'!R\Max</f>
        <v>0.8042884700559283</v>
      </c>
      <c r="BZ249" s="1185">
        <f>'2022'!R\Max</f>
        <v>0.85524746782535088</v>
      </c>
      <c r="CA249" s="1185">
        <f>'2023'!R\Max</f>
        <v>0.85506200976357583</v>
      </c>
      <c r="CB249" s="1185">
        <f>'2024'!R\Max</f>
        <v>0.85484271600520212</v>
      </c>
      <c r="CC249" s="1185">
        <f>'2025'!R\Max</f>
        <v>0.85454116589834872</v>
      </c>
      <c r="CD249" s="1185">
        <f>'2026'!R\Max</f>
        <v>0.85563345662092727</v>
      </c>
      <c r="CE249" s="1186">
        <f>'2027'!R\Max</f>
        <v>0.85551937322214189</v>
      </c>
      <c r="CF249" s="1187">
        <f>'2028'!R\Max</f>
        <v>0.8554051726452826</v>
      </c>
    </row>
    <row r="250" spans="1:84" s="6" customFormat="1" ht="11.25" x14ac:dyDescent="0.2">
      <c r="A250" s="11">
        <v>43336</v>
      </c>
      <c r="B250" s="379">
        <f>'2022'!Maxi_hp</f>
        <v>53.652701401553543</v>
      </c>
      <c r="C250" s="13">
        <f>'2022'!An_max</f>
        <v>2022</v>
      </c>
      <c r="D250" s="1046">
        <f t="shared" si="97"/>
        <v>1.003956420084732</v>
      </c>
      <c r="E250" s="13"/>
      <c r="F250" s="13">
        <f t="shared" si="114"/>
        <v>19</v>
      </c>
      <c r="G250" s="13">
        <f t="shared" si="98"/>
        <v>18</v>
      </c>
      <c r="H250" s="173">
        <f t="shared" si="99"/>
        <v>43346</v>
      </c>
      <c r="I250" s="742">
        <f t="shared" si="100"/>
        <v>0.7142857142857143</v>
      </c>
      <c r="J250" s="735">
        <f t="shared" si="101"/>
        <v>53.441265306142824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39">
        <v>43336</v>
      </c>
      <c r="AP250" s="13">
        <f t="shared" si="102"/>
        <v>11</v>
      </c>
      <c r="AQ250" s="13">
        <f t="shared" si="103"/>
        <v>10</v>
      </c>
      <c r="AR250" s="173">
        <f t="shared" si="104"/>
        <v>43360</v>
      </c>
      <c r="AS250" s="742">
        <f t="shared" si="105"/>
        <v>0.8571428571428571</v>
      </c>
      <c r="AT250" s="758">
        <f t="shared" si="106"/>
        <v>53.396057142636607</v>
      </c>
      <c r="AU250" s="13">
        <f t="shared" si="107"/>
        <v>9</v>
      </c>
      <c r="AV250" s="13">
        <f t="shared" si="108"/>
        <v>10</v>
      </c>
      <c r="AW250" s="173">
        <f t="shared" si="109"/>
        <v>43318</v>
      </c>
      <c r="AX250" s="742">
        <f t="shared" si="110"/>
        <v>0.6428571428571429</v>
      </c>
      <c r="AY250" s="758">
        <f t="shared" si="111"/>
        <v>53.458653060945551</v>
      </c>
      <c r="AZ250" s="735">
        <f t="shared" si="115"/>
        <v>53.427355101791079</v>
      </c>
      <c r="BA250" s="633">
        <f t="shared" si="112"/>
        <v>1.003956420084732</v>
      </c>
      <c r="BC250" s="11">
        <v>43336</v>
      </c>
      <c r="BD250" s="289">
        <f>[3]!FeuilCaduc*(1-Persistant)+Persistant</f>
        <v>0.99585162226367219</v>
      </c>
      <c r="BE250" s="290">
        <f>[3]!CroissVégét</f>
        <v>0.95640779545152554</v>
      </c>
      <c r="BF250" s="804">
        <f>1+[3]!Salcycl*Ksac</f>
        <v>1.048962905565918</v>
      </c>
      <c r="BH250" s="1037">
        <f t="shared" si="113"/>
        <v>1.8618587612905566E-2</v>
      </c>
      <c r="BI250" s="11">
        <v>44432</v>
      </c>
      <c r="BJ250" s="715">
        <v>2.5755766183922352E-6</v>
      </c>
      <c r="BK250" s="715">
        <v>1.3027668552566792E-3</v>
      </c>
      <c r="BL250" s="715">
        <v>4.7075781013567793E-3</v>
      </c>
      <c r="BM250" s="715">
        <v>1.0679043749894344E-2</v>
      </c>
      <c r="BN250" s="715">
        <v>2.0616675918849598E-2</v>
      </c>
      <c r="BO250" s="716">
        <v>3.4551851432975844E-2</v>
      </c>
      <c r="BP250" s="715">
        <v>5.748015975977102E-2</v>
      </c>
      <c r="BQ250" s="715">
        <v>9.4684938631532795E-2</v>
      </c>
      <c r="BR250" s="715">
        <v>0.15144336147722109</v>
      </c>
      <c r="BS250" s="715">
        <v>0.2296559024004306</v>
      </c>
      <c r="BT250" s="715">
        <v>0.32175041775299645</v>
      </c>
      <c r="BW250" s="1185">
        <f>'2019'!R\Max</f>
        <v>1.0008163059988311</v>
      </c>
      <c r="BX250" s="1185">
        <f>'2020'!R\Max</f>
        <v>0.83992471369380706</v>
      </c>
      <c r="BY250" s="1185">
        <f>'2021'!R\Max</f>
        <v>0.95734953557691771</v>
      </c>
      <c r="BZ250" s="1185">
        <f>'2022'!R\Max</f>
        <v>1.003956420084732</v>
      </c>
      <c r="CA250" s="1185">
        <f>'2023'!R\Max</f>
        <v>1.0039564200847317</v>
      </c>
      <c r="CB250" s="1185">
        <f>'2024'!R\Max</f>
        <v>1.003956420084732</v>
      </c>
      <c r="CC250" s="1185">
        <f>'2025'!R\Max</f>
        <v>1.003956420084732</v>
      </c>
      <c r="CD250" s="1185">
        <f>'2026'!R\Max</f>
        <v>1.003956420084732</v>
      </c>
      <c r="CE250" s="1186">
        <f>'2027'!R\Max</f>
        <v>1.0039564200847322</v>
      </c>
      <c r="CF250" s="1187">
        <f>'2028'!R\Max</f>
        <v>1.003956420084732</v>
      </c>
    </row>
    <row r="251" spans="1:84" s="6" customFormat="1" ht="11.25" x14ac:dyDescent="0.2">
      <c r="A251" s="11">
        <v>43337</v>
      </c>
      <c r="B251" s="379">
        <f>'2022'!Maxi_hp</f>
        <v>51.419146627981888</v>
      </c>
      <c r="C251" s="13">
        <f>'2022'!An_max</f>
        <v>2021</v>
      </c>
      <c r="D251" s="1046" t="str">
        <f t="shared" si="97"/>
        <v/>
      </c>
      <c r="E251" s="13"/>
      <c r="F251" s="13">
        <f t="shared" si="114"/>
        <v>19</v>
      </c>
      <c r="G251" s="13">
        <f t="shared" si="98"/>
        <v>18</v>
      </c>
      <c r="H251" s="173">
        <f t="shared" si="99"/>
        <v>43346</v>
      </c>
      <c r="I251" s="742">
        <f t="shared" si="100"/>
        <v>0.6428571428571429</v>
      </c>
      <c r="J251" s="735">
        <f t="shared" si="101"/>
        <v>53.27946862251099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39">
        <v>43337</v>
      </c>
      <c r="AP251" s="13">
        <f t="shared" si="102"/>
        <v>11</v>
      </c>
      <c r="AQ251" s="13">
        <f t="shared" si="103"/>
        <v>10</v>
      </c>
      <c r="AR251" s="173">
        <f t="shared" si="104"/>
        <v>43360</v>
      </c>
      <c r="AS251" s="742">
        <f t="shared" si="105"/>
        <v>0.8214285714285714</v>
      </c>
      <c r="AT251" s="758">
        <f t="shared" si="106"/>
        <v>53.223105580186733</v>
      </c>
      <c r="AU251" s="13">
        <f t="shared" si="107"/>
        <v>9</v>
      </c>
      <c r="AV251" s="13">
        <f t="shared" si="108"/>
        <v>10</v>
      </c>
      <c r="AW251" s="173">
        <f t="shared" si="109"/>
        <v>43318</v>
      </c>
      <c r="AX251" s="742">
        <f t="shared" si="110"/>
        <v>0.6785714285714286</v>
      </c>
      <c r="AY251" s="758">
        <f t="shared" si="111"/>
        <v>53.298214795427135</v>
      </c>
      <c r="AZ251" s="735">
        <f t="shared" si="115"/>
        <v>53.260660187806934</v>
      </c>
      <c r="BA251" s="633">
        <f t="shared" si="112"/>
        <v>0.96508369841843544</v>
      </c>
      <c r="BC251" s="11">
        <v>43337</v>
      </c>
      <c r="BD251" s="289">
        <f>[3]!FeuilCaduc*(1-Persistant)+Persistant</f>
        <v>0.99553652027151274</v>
      </c>
      <c r="BE251" s="290">
        <f>[3]!CroissVégét</f>
        <v>0.95810172578745478</v>
      </c>
      <c r="BF251" s="804">
        <f>1+[3]!Salcycl*Ksac</f>
        <v>1.0488841300678782</v>
      </c>
      <c r="BH251" s="1037">
        <f t="shared" si="113"/>
        <v>1.931791731590253E-2</v>
      </c>
      <c r="BI251" s="11">
        <v>44433</v>
      </c>
      <c r="BJ251" s="715">
        <v>3.8568068699417163E-6</v>
      </c>
      <c r="BK251" s="715">
        <v>1.4524472559139547E-3</v>
      </c>
      <c r="BL251" s="715">
        <v>5.0087260441371356E-3</v>
      </c>
      <c r="BM251" s="715">
        <v>1.1180643577896138E-2</v>
      </c>
      <c r="BN251" s="715">
        <v>2.1365766887453303E-2</v>
      </c>
      <c r="BO251" s="716">
        <v>3.5497192956091043E-2</v>
      </c>
      <c r="BP251" s="715">
        <v>5.9068616390703294E-2</v>
      </c>
      <c r="BQ251" s="715">
        <v>9.7303408920434403E-2</v>
      </c>
      <c r="BR251" s="715">
        <v>0.15540568313889408</v>
      </c>
      <c r="BS251" s="715">
        <v>0.23425350040357079</v>
      </c>
      <c r="BT251" s="715">
        <v>0.32627717200584255</v>
      </c>
      <c r="BW251" s="1185">
        <f>'2019'!R\Max</f>
        <v>0.73221279976844411</v>
      </c>
      <c r="BX251" s="1185">
        <f>'2020'!R\Max</f>
        <v>0.85685967382664607</v>
      </c>
      <c r="BY251" s="1185">
        <f>'2021'!R\Max</f>
        <v>0.96508369841843544</v>
      </c>
      <c r="BZ251" s="1185">
        <f>'2022'!R\Max</f>
        <v>0.56616057274662135</v>
      </c>
      <c r="CA251" s="1185">
        <f>'2023'!R\Max</f>
        <v>0.56577033263716869</v>
      </c>
      <c r="CB251" s="1185">
        <f>'2024'!R\Max</f>
        <v>0.565308143857981</v>
      </c>
      <c r="CC251" s="1185">
        <f>'2025'!R\Max</f>
        <v>0.56467380079226015</v>
      </c>
      <c r="CD251" s="1185">
        <f>'2026'!R\Max</f>
        <v>0.56695965487855282</v>
      </c>
      <c r="CE251" s="1186">
        <f>'2027'!R\Max</f>
        <v>0.5667261459897831</v>
      </c>
      <c r="CF251" s="1187">
        <f>'2028'!R\Max</f>
        <v>0.56649251842538351</v>
      </c>
    </row>
    <row r="252" spans="1:84" s="6" customFormat="1" ht="11.25" x14ac:dyDescent="0.2">
      <c r="A252" s="11">
        <v>43338</v>
      </c>
      <c r="B252" s="379">
        <f>'2022'!Maxi_hp</f>
        <v>52.553587232779272</v>
      </c>
      <c r="C252" s="13">
        <f>'2022'!An_max</f>
        <v>2020</v>
      </c>
      <c r="D252" s="1046">
        <f t="shared" si="97"/>
        <v>0.98942028044598995</v>
      </c>
      <c r="E252" s="13"/>
      <c r="F252" s="13">
        <f t="shared" si="114"/>
        <v>19</v>
      </c>
      <c r="G252" s="13">
        <f t="shared" si="98"/>
        <v>18</v>
      </c>
      <c r="H252" s="173">
        <f t="shared" si="99"/>
        <v>43346</v>
      </c>
      <c r="I252" s="742">
        <f t="shared" si="100"/>
        <v>0.5714285714285714</v>
      </c>
      <c r="J252" s="735">
        <f t="shared" si="101"/>
        <v>53.115534693800974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39">
        <v>43338</v>
      </c>
      <c r="AP252" s="13">
        <f t="shared" si="102"/>
        <v>11</v>
      </c>
      <c r="AQ252" s="13">
        <f t="shared" si="103"/>
        <v>10</v>
      </c>
      <c r="AR252" s="173">
        <f t="shared" si="104"/>
        <v>43360</v>
      </c>
      <c r="AS252" s="742">
        <f t="shared" si="105"/>
        <v>0.7857142857142857</v>
      </c>
      <c r="AT252" s="758">
        <f t="shared" si="106"/>
        <v>53.048537499883345</v>
      </c>
      <c r="AU252" s="13">
        <f t="shared" si="107"/>
        <v>9</v>
      </c>
      <c r="AV252" s="13">
        <f t="shared" si="108"/>
        <v>10</v>
      </c>
      <c r="AW252" s="173">
        <f t="shared" si="109"/>
        <v>43318</v>
      </c>
      <c r="AX252" s="742">
        <f t="shared" si="110"/>
        <v>0.7142857142857143</v>
      </c>
      <c r="AY252" s="758">
        <f t="shared" si="111"/>
        <v>53.134661224271575</v>
      </c>
      <c r="AZ252" s="735">
        <f t="shared" si="115"/>
        <v>53.09159936207746</v>
      </c>
      <c r="BA252" s="633">
        <f t="shared" si="112"/>
        <v>0.98942028044598995</v>
      </c>
      <c r="BC252" s="11">
        <v>43338</v>
      </c>
      <c r="BD252" s="289">
        <f>[3]!FeuilCaduc*(1-Persistant)+Persistant</f>
        <v>0.99520585298074637</v>
      </c>
      <c r="BE252" s="290">
        <f>[3]!CroissVégét</f>
        <v>0.95973309779026206</v>
      </c>
      <c r="BF252" s="804">
        <f>1+[3]!Salcycl*Ksac</f>
        <v>1.0488014632451865</v>
      </c>
      <c r="BH252" s="1037">
        <f t="shared" si="113"/>
        <v>1.9967430404128916E-2</v>
      </c>
      <c r="BI252" s="11">
        <v>44434</v>
      </c>
      <c r="BJ252" s="715">
        <v>5.499390474030036E-6</v>
      </c>
      <c r="BK252" s="715">
        <v>1.6039994534115315E-3</v>
      </c>
      <c r="BL252" s="715">
        <v>5.2912491708715821E-3</v>
      </c>
      <c r="BM252" s="715">
        <v>1.1627511731528324E-2</v>
      </c>
      <c r="BN252" s="715">
        <v>2.2066278179236169E-2</v>
      </c>
      <c r="BO252" s="716">
        <v>3.6448438904035312E-2</v>
      </c>
      <c r="BP252" s="715">
        <v>6.0716025298097817E-2</v>
      </c>
      <c r="BQ252" s="715">
        <v>9.9977004811724265E-2</v>
      </c>
      <c r="BR252" s="715">
        <v>0.15926941350725474</v>
      </c>
      <c r="BS252" s="715">
        <v>0.23842866897923309</v>
      </c>
      <c r="BT252" s="715">
        <v>0.32989443987298922</v>
      </c>
      <c r="BW252" s="1185">
        <f>'2019'!R\Max</f>
        <v>0.93827279694200905</v>
      </c>
      <c r="BX252" s="1185">
        <f>'2020'!R\Max</f>
        <v>0.98942028044598995</v>
      </c>
      <c r="BY252" s="1185">
        <f>'2021'!R\Max</f>
        <v>0.9661080877275342</v>
      </c>
      <c r="BZ252" s="1185">
        <f>'2022'!R\Max</f>
        <v>0.72636602254329663</v>
      </c>
      <c r="CA252" s="1185">
        <f>'2023'!R\Max</f>
        <v>0.72603991446645577</v>
      </c>
      <c r="CB252" s="1185">
        <f>'2024'!R\Max</f>
        <v>0.72565352774790248</v>
      </c>
      <c r="CC252" s="1185">
        <f>'2025'!R\Max</f>
        <v>0.7251240908711919</v>
      </c>
      <c r="CD252" s="1185">
        <f>'2026'!R\Max</f>
        <v>0.72702876376541981</v>
      </c>
      <c r="CE252" s="1186">
        <f>'2027'!R\Max</f>
        <v>0.72683610150798639</v>
      </c>
      <c r="CF252" s="1187">
        <f>'2028'!R\Max</f>
        <v>0.72664327938607143</v>
      </c>
    </row>
    <row r="253" spans="1:84" s="6" customFormat="1" ht="11.25" x14ac:dyDescent="0.2">
      <c r="A253" s="11">
        <v>43339</v>
      </c>
      <c r="B253" s="379">
        <f>'2022'!Maxi_hp</f>
        <v>48.878387229783151</v>
      </c>
      <c r="C253" s="13">
        <f>'2022'!An_max</f>
        <v>2022</v>
      </c>
      <c r="D253" s="1046" t="str">
        <f t="shared" si="97"/>
        <v/>
      </c>
      <c r="E253" s="13"/>
      <c r="F253" s="13">
        <f t="shared" si="114"/>
        <v>19</v>
      </c>
      <c r="G253" s="13">
        <f t="shared" si="98"/>
        <v>18</v>
      </c>
      <c r="H253" s="173">
        <f t="shared" si="99"/>
        <v>43346</v>
      </c>
      <c r="I253" s="742">
        <f t="shared" si="100"/>
        <v>0.5</v>
      </c>
      <c r="J253" s="735">
        <f t="shared" si="101"/>
        <v>52.949137499742207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39">
        <v>43339</v>
      </c>
      <c r="AP253" s="13">
        <f t="shared" si="102"/>
        <v>11</v>
      </c>
      <c r="AQ253" s="13">
        <f t="shared" si="103"/>
        <v>10</v>
      </c>
      <c r="AR253" s="173">
        <f t="shared" si="104"/>
        <v>43360</v>
      </c>
      <c r="AS253" s="742">
        <f t="shared" si="105"/>
        <v>0.75</v>
      </c>
      <c r="AT253" s="758">
        <f t="shared" si="106"/>
        <v>52.872257812321187</v>
      </c>
      <c r="AU253" s="13">
        <f t="shared" si="107"/>
        <v>9</v>
      </c>
      <c r="AV253" s="13">
        <f t="shared" si="108"/>
        <v>10</v>
      </c>
      <c r="AW253" s="173">
        <f t="shared" si="109"/>
        <v>43318</v>
      </c>
      <c r="AX253" s="742">
        <f t="shared" si="110"/>
        <v>0.75</v>
      </c>
      <c r="AY253" s="758">
        <f t="shared" si="111"/>
        <v>52.967774999374527</v>
      </c>
      <c r="AZ253" s="735">
        <f t="shared" si="115"/>
        <v>52.920016405847861</v>
      </c>
      <c r="BA253" s="633">
        <f t="shared" si="112"/>
        <v>0.92311961134439868</v>
      </c>
      <c r="BC253" s="11">
        <v>43339</v>
      </c>
      <c r="BD253" s="289">
        <f>[3]!FeuilCaduc*(1-Persistant)+Persistant</f>
        <v>0.99485900622949497</v>
      </c>
      <c r="BE253" s="290">
        <f>[3]!CroissVégét</f>
        <v>0.9613040114607565</v>
      </c>
      <c r="BF253" s="804">
        <f>1+[3]!Salcycl*Ksac</f>
        <v>1.0487147515573738</v>
      </c>
      <c r="BH253" s="1037">
        <f t="shared" si="113"/>
        <v>2.056713355061935E-2</v>
      </c>
      <c r="BI253" s="11">
        <v>44435</v>
      </c>
      <c r="BJ253" s="715">
        <v>7.5034358287538203E-6</v>
      </c>
      <c r="BK253" s="715">
        <v>1.7574272250236549E-3</v>
      </c>
      <c r="BL253" s="715">
        <v>5.5551504151011045E-3</v>
      </c>
      <c r="BM253" s="715">
        <v>1.2019648265202409E-2</v>
      </c>
      <c r="BN253" s="715">
        <v>2.2718218132894447E-2</v>
      </c>
      <c r="BO253" s="716">
        <v>3.7405616377060309E-2</v>
      </c>
      <c r="BP253" s="715">
        <v>6.2422442929710255E-2</v>
      </c>
      <c r="BQ253" s="715">
        <v>0.10270580989976813</v>
      </c>
      <c r="BR253" s="715">
        <v>0.16303463962136999</v>
      </c>
      <c r="BS253" s="715">
        <v>0.24218144931197505</v>
      </c>
      <c r="BT253" s="715">
        <v>0.33260216767136602</v>
      </c>
      <c r="BW253" s="1185">
        <f>'2019'!R\Max</f>
        <v>0.54684248790257006</v>
      </c>
      <c r="BX253" s="1185">
        <f>'2020'!R\Max</f>
        <v>0.41438515568165429</v>
      </c>
      <c r="BY253" s="1185">
        <f>'2021'!R\Max</f>
        <v>0.89833302149795646</v>
      </c>
      <c r="BZ253" s="1185">
        <f>'2022'!R\Max</f>
        <v>0.92311961134439868</v>
      </c>
      <c r="CA253" s="1185">
        <f>'2023'!R\Max</f>
        <v>0.92299919045789058</v>
      </c>
      <c r="CB253" s="1185">
        <f>'2024'!R\Max</f>
        <v>0.92285655486070262</v>
      </c>
      <c r="CC253" s="1185">
        <f>'2025'!R\Max</f>
        <v>0.92266162227679505</v>
      </c>
      <c r="CD253" s="1185">
        <f>'2026'!R\Max</f>
        <v>0.92336276144042684</v>
      </c>
      <c r="CE253" s="1186">
        <f>'2027'!R\Max</f>
        <v>0.92329239507247152</v>
      </c>
      <c r="CF253" s="1187">
        <f>'2028'!R\Max</f>
        <v>0.92322194139313141</v>
      </c>
    </row>
    <row r="254" spans="1:84" s="6" customFormat="1" ht="11.25" x14ac:dyDescent="0.2">
      <c r="A254" s="11">
        <v>43340</v>
      </c>
      <c r="B254" s="379">
        <f>'2022'!Maxi_hp</f>
        <v>53.319342181775433</v>
      </c>
      <c r="C254" s="13">
        <f>'2022'!An_max</f>
        <v>2021</v>
      </c>
      <c r="D254" s="1046">
        <f t="shared" si="97"/>
        <v>1.0102196222391799</v>
      </c>
      <c r="E254" s="13"/>
      <c r="F254" s="13">
        <f t="shared" si="114"/>
        <v>19</v>
      </c>
      <c r="G254" s="13">
        <f t="shared" si="98"/>
        <v>18</v>
      </c>
      <c r="H254" s="173">
        <f t="shared" si="99"/>
        <v>43346</v>
      </c>
      <c r="I254" s="742">
        <f t="shared" si="100"/>
        <v>0.42857142857142855</v>
      </c>
      <c r="J254" s="735">
        <f t="shared" si="101"/>
        <v>52.779951020543059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39">
        <v>43340</v>
      </c>
      <c r="AP254" s="13">
        <f t="shared" si="102"/>
        <v>11</v>
      </c>
      <c r="AQ254" s="13">
        <f t="shared" si="103"/>
        <v>10</v>
      </c>
      <c r="AR254" s="173">
        <f t="shared" si="104"/>
        <v>43360</v>
      </c>
      <c r="AS254" s="742">
        <f t="shared" si="105"/>
        <v>0.7142857142857143</v>
      </c>
      <c r="AT254" s="758">
        <f t="shared" si="106"/>
        <v>52.694171428307889</v>
      </c>
      <c r="AU254" s="13">
        <f t="shared" si="107"/>
        <v>9</v>
      </c>
      <c r="AV254" s="13">
        <f t="shared" si="108"/>
        <v>10</v>
      </c>
      <c r="AW254" s="173">
        <f t="shared" si="109"/>
        <v>43318</v>
      </c>
      <c r="AX254" s="742">
        <f t="shared" si="110"/>
        <v>0.7857142857142857</v>
      </c>
      <c r="AY254" s="758">
        <f t="shared" si="111"/>
        <v>52.797338775119613</v>
      </c>
      <c r="AZ254" s="735">
        <f t="shared" si="115"/>
        <v>52.745755101713755</v>
      </c>
      <c r="BA254" s="633">
        <f t="shared" si="112"/>
        <v>1.0102196222391799</v>
      </c>
      <c r="BC254" s="11">
        <v>43340</v>
      </c>
      <c r="BD254" s="289">
        <f>[3]!FeuilCaduc*(1-Persistant)+Persistant</f>
        <v>0.99449534512594595</v>
      </c>
      <c r="BE254" s="290">
        <f>[3]!CroissVégét</f>
        <v>0.96281651236587618</v>
      </c>
      <c r="BF254" s="804">
        <f>1+[3]!Salcycl*Ksac</f>
        <v>1.0486238362814864</v>
      </c>
      <c r="BH254" s="1037">
        <f t="shared" si="113"/>
        <v>2.1110801903223769E-2</v>
      </c>
      <c r="BI254" s="11">
        <v>44436</v>
      </c>
      <c r="BJ254" s="715">
        <v>1.0047764968386828E-5</v>
      </c>
      <c r="BK254" s="715">
        <v>1.9051174703244166E-3</v>
      </c>
      <c r="BL254" s="715">
        <v>5.7944728918528383E-3</v>
      </c>
      <c r="BM254" s="715">
        <v>1.2362996213345622E-2</v>
      </c>
      <c r="BN254" s="715">
        <v>2.3312299691156765E-2</v>
      </c>
      <c r="BO254" s="716">
        <v>3.8355710110825468E-2</v>
      </c>
      <c r="BP254" s="715">
        <v>6.4144871758379421E-2</v>
      </c>
      <c r="BQ254" s="715">
        <v>0.10539260157904602</v>
      </c>
      <c r="BR254" s="715">
        <v>0.1664881923018639</v>
      </c>
      <c r="BS254" s="715">
        <v>0.2451936151506206</v>
      </c>
      <c r="BT254" s="715">
        <v>0.33402322077884378</v>
      </c>
      <c r="BW254" s="1185">
        <f>'2019'!R\Max</f>
        <v>0.62367878693326706</v>
      </c>
      <c r="BX254" s="1185">
        <f>'2020'!R\Max</f>
        <v>0.96262266988209533</v>
      </c>
      <c r="BY254" s="1185">
        <f>'2021'!R\Max</f>
        <v>1.0102196222391799</v>
      </c>
      <c r="BZ254" s="1185">
        <f>'2022'!R\Max</f>
        <v>0.9906258914664392</v>
      </c>
      <c r="CA254" s="1185">
        <f>'2023'!R\Max</f>
        <v>0.99060959876960131</v>
      </c>
      <c r="CB254" s="1185">
        <f>'2024'!R\Max</f>
        <v>0.9905903318924425</v>
      </c>
      <c r="CC254" s="1185">
        <f>'2025'!R\Max</f>
        <v>0.9905641156133751</v>
      </c>
      <c r="CD254" s="1185">
        <f>'2026'!R\Max</f>
        <v>0.99065865611635828</v>
      </c>
      <c r="CE254" s="1186">
        <f>'2027'!R\Max</f>
        <v>0.99064920332855777</v>
      </c>
      <c r="CF254" s="1187">
        <f>'2028'!R\Max</f>
        <v>0.99063973719045828</v>
      </c>
    </row>
    <row r="255" spans="1:84" s="6" customFormat="1" ht="11.25" x14ac:dyDescent="0.2">
      <c r="A255" s="11">
        <v>43341</v>
      </c>
      <c r="B255" s="379">
        <f>'2022'!Maxi_hp</f>
        <v>52.692719517671406</v>
      </c>
      <c r="C255" s="13">
        <f>'2022'!An_max</f>
        <v>2021</v>
      </c>
      <c r="D255" s="1046">
        <f t="shared" si="97"/>
        <v>1.0016170706029754</v>
      </c>
      <c r="E255" s="13"/>
      <c r="F255" s="13">
        <f t="shared" si="114"/>
        <v>19</v>
      </c>
      <c r="G255" s="13">
        <f t="shared" si="98"/>
        <v>18</v>
      </c>
      <c r="H255" s="173">
        <f t="shared" si="99"/>
        <v>43346</v>
      </c>
      <c r="I255" s="742">
        <f t="shared" si="100"/>
        <v>0.35714285714285715</v>
      </c>
      <c r="J255" s="735">
        <f t="shared" si="101"/>
        <v>52.607649234602491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39">
        <v>43341</v>
      </c>
      <c r="AP255" s="13">
        <f t="shared" si="102"/>
        <v>11</v>
      </c>
      <c r="AQ255" s="13">
        <f t="shared" si="103"/>
        <v>10</v>
      </c>
      <c r="AR255" s="173">
        <f t="shared" si="104"/>
        <v>43360</v>
      </c>
      <c r="AS255" s="742">
        <f t="shared" si="105"/>
        <v>0.6785714285714286</v>
      </c>
      <c r="AT255" s="758">
        <f t="shared" si="106"/>
        <v>52.514183258544655</v>
      </c>
      <c r="AU255" s="13">
        <f t="shared" si="107"/>
        <v>9</v>
      </c>
      <c r="AV255" s="13">
        <f t="shared" si="108"/>
        <v>10</v>
      </c>
      <c r="AW255" s="173">
        <f t="shared" si="109"/>
        <v>43318</v>
      </c>
      <c r="AX255" s="742">
        <f t="shared" si="110"/>
        <v>0.8214285714285714</v>
      </c>
      <c r="AY255" s="758">
        <f t="shared" si="111"/>
        <v>52.623135203528889</v>
      </c>
      <c r="AZ255" s="735">
        <f t="shared" si="115"/>
        <v>52.568659231036776</v>
      </c>
      <c r="BA255" s="633">
        <f t="shared" si="112"/>
        <v>1.0016170706029754</v>
      </c>
      <c r="BC255" s="11">
        <v>43341</v>
      </c>
      <c r="BD255" s="289">
        <f>[3]!FeuilCaduc*(1-Persistant)+Persistant</f>
        <v>0.99411421323281979</v>
      </c>
      <c r="BE255" s="290">
        <f>[3]!CroissVégét</f>
        <v>0.96427259177046543</v>
      </c>
      <c r="BF255" s="804">
        <f>1+[3]!Salcycl*Ksac</f>
        <v>1.0485285533082049</v>
      </c>
      <c r="BH255" s="1037">
        <f t="shared" si="113"/>
        <v>2.1625970647859417E-2</v>
      </c>
      <c r="BI255" s="11">
        <v>44437</v>
      </c>
      <c r="BJ255" s="715">
        <v>1.3123815022882718E-5</v>
      </c>
      <c r="BK255" s="715">
        <v>2.0400642113281003E-3</v>
      </c>
      <c r="BL255" s="715">
        <v>6.0098699064944699E-3</v>
      </c>
      <c r="BM255" s="715">
        <v>1.2682532640247915E-2</v>
      </c>
      <c r="BN255" s="715">
        <v>2.3876701824142196E-2</v>
      </c>
      <c r="BO255" s="716">
        <v>3.9311990725849753E-2</v>
      </c>
      <c r="BP255" s="715">
        <v>6.5831994513593867E-2</v>
      </c>
      <c r="BQ255" s="715">
        <v>0.10797268425916878</v>
      </c>
      <c r="BR255" s="715">
        <v>0.16959708531747555</v>
      </c>
      <c r="BS255" s="715">
        <v>0.24758234583302738</v>
      </c>
      <c r="BT255" s="715">
        <v>0.33448152172195483</v>
      </c>
      <c r="BW255" s="1185">
        <f>'2019'!R\Max</f>
        <v>0.96067445168270393</v>
      </c>
      <c r="BX255" s="1185">
        <f>'2020'!R\Max</f>
        <v>0.15454696756404532</v>
      </c>
      <c r="BY255" s="1185">
        <f>'2021'!R\Max</f>
        <v>1.0016170706029754</v>
      </c>
      <c r="BZ255" s="1185">
        <f>'2022'!R\Max</f>
        <v>0.66600394377836825</v>
      </c>
      <c r="CA255" s="1185">
        <f>'2023'!R\Max</f>
        <v>0.6656016478400365</v>
      </c>
      <c r="CB255" s="1185">
        <f>'2024'!R\Max</f>
        <v>0.6651273937770128</v>
      </c>
      <c r="CC255" s="1185">
        <f>'2025'!R\Max</f>
        <v>0.66448603774037107</v>
      </c>
      <c r="CD255" s="1185">
        <f>'2026'!R\Max</f>
        <v>0.66681345729053654</v>
      </c>
      <c r="CE255" s="1186">
        <f>'2027'!R\Max</f>
        <v>0.66658000104351445</v>
      </c>
      <c r="CF255" s="1187">
        <f>'2028'!R\Max</f>
        <v>0.66634636467541086</v>
      </c>
    </row>
    <row r="256" spans="1:84" s="6" customFormat="1" ht="11.25" x14ac:dyDescent="0.2">
      <c r="A256" s="11">
        <v>43342</v>
      </c>
      <c r="B256" s="379">
        <f>'2022'!Maxi_hp</f>
        <v>51.619286910358419</v>
      </c>
      <c r="C256" s="13">
        <f>'2022'!An_max</f>
        <v>2022</v>
      </c>
      <c r="D256" s="1046">
        <f t="shared" si="97"/>
        <v>0.98450143677916213</v>
      </c>
      <c r="E256" s="13"/>
      <c r="F256" s="13">
        <f t="shared" si="114"/>
        <v>19</v>
      </c>
      <c r="G256" s="13">
        <f t="shared" si="98"/>
        <v>18</v>
      </c>
      <c r="H256" s="173">
        <f t="shared" si="99"/>
        <v>43346</v>
      </c>
      <c r="I256" s="742">
        <f t="shared" si="100"/>
        <v>0.2857142857142857</v>
      </c>
      <c r="J256" s="735">
        <f t="shared" si="101"/>
        <v>52.431906122182092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39">
        <v>43342</v>
      </c>
      <c r="AP256" s="13">
        <f t="shared" si="102"/>
        <v>11</v>
      </c>
      <c r="AQ256" s="13">
        <f t="shared" si="103"/>
        <v>10</v>
      </c>
      <c r="AR256" s="173">
        <f t="shared" si="104"/>
        <v>43360</v>
      </c>
      <c r="AS256" s="742">
        <f t="shared" si="105"/>
        <v>0.6428571428571429</v>
      </c>
      <c r="AT256" s="758">
        <f t="shared" si="106"/>
        <v>52.332198214344679</v>
      </c>
      <c r="AU256" s="13">
        <f t="shared" si="107"/>
        <v>9</v>
      </c>
      <c r="AV256" s="13">
        <f t="shared" si="108"/>
        <v>10</v>
      </c>
      <c r="AW256" s="173">
        <f t="shared" si="109"/>
        <v>43318</v>
      </c>
      <c r="AX256" s="742">
        <f t="shared" si="110"/>
        <v>0.8571428571428571</v>
      </c>
      <c r="AY256" s="758">
        <f t="shared" si="111"/>
        <v>52.444946937555713</v>
      </c>
      <c r="AZ256" s="735">
        <f t="shared" si="115"/>
        <v>52.388572575950192</v>
      </c>
      <c r="BA256" s="633">
        <f t="shared" si="112"/>
        <v>0.98450143677916213</v>
      </c>
      <c r="BC256" s="11">
        <v>43342</v>
      </c>
      <c r="BD256" s="289">
        <f>[3]!FeuilCaduc*(1-Persistant)+Persistant</f>
        <v>0.99371493142973943</v>
      </c>
      <c r="BE256" s="290">
        <f>[3]!CroissVégét</f>
        <v>0.96567418689281481</v>
      </c>
      <c r="BF256" s="804">
        <f>1+[3]!Salcycl*Ksac</f>
        <v>1.0484287328574349</v>
      </c>
      <c r="BH256" s="1037">
        <f t="shared" si="113"/>
        <v>2.2112647273329455E-2</v>
      </c>
      <c r="BI256" s="11">
        <v>44438</v>
      </c>
      <c r="BJ256" s="715">
        <v>1.6731798952362916E-5</v>
      </c>
      <c r="BK256" s="715">
        <v>2.1622673686668959E-3</v>
      </c>
      <c r="BL256" s="715">
        <v>6.2013408459137605E-3</v>
      </c>
      <c r="BM256" s="715">
        <v>1.2978260419389629E-2</v>
      </c>
      <c r="BN256" s="715">
        <v>2.4411433182159225E-2</v>
      </c>
      <c r="BO256" s="716">
        <v>4.0274487828461131E-2</v>
      </c>
      <c r="BP256" s="715">
        <v>6.7483850423146891E-2</v>
      </c>
      <c r="BQ256" s="715">
        <v>0.11044610505003688</v>
      </c>
      <c r="BR256" s="715">
        <v>0.17236132429141235</v>
      </c>
      <c r="BS256" s="715">
        <v>0.24934756972583058</v>
      </c>
      <c r="BT256" s="715">
        <v>0.33397688012442633</v>
      </c>
      <c r="BW256" s="1185">
        <f>'2019'!R\Max</f>
        <v>0.95706798368183177</v>
      </c>
      <c r="BX256" s="1185">
        <f>'2020'!R\Max</f>
        <v>0.40809284564865955</v>
      </c>
      <c r="BY256" s="1185">
        <f>'2021'!R\Max</f>
        <v>0.95613722307725479</v>
      </c>
      <c r="BZ256" s="1185">
        <f>'2022'!R\Max</f>
        <v>0.98450143677916213</v>
      </c>
      <c r="CA256" s="1185">
        <f>'2023'!R\Max</f>
        <v>0.98447302173627049</v>
      </c>
      <c r="CB256" s="1185">
        <f>'2024'!R\Max</f>
        <v>0.98443954262588629</v>
      </c>
      <c r="CC256" s="1185">
        <f>'2025'!R\Max</f>
        <v>0.98439439319188549</v>
      </c>
      <c r="CD256" s="1185">
        <f>'2026'!R\Max</f>
        <v>0.9845585832122602</v>
      </c>
      <c r="CE256" s="1186">
        <f>'2027'!R\Max</f>
        <v>0.98454211099434441</v>
      </c>
      <c r="CF256" s="1187">
        <f>'2028'!R\Max</f>
        <v>0.98452561431678232</v>
      </c>
    </row>
    <row r="257" spans="1:84" s="6" customFormat="1" ht="11.25" x14ac:dyDescent="0.2">
      <c r="A257" s="11">
        <v>43343</v>
      </c>
      <c r="B257" s="379">
        <f>'2022'!Maxi_hp</f>
        <v>51.112198719060622</v>
      </c>
      <c r="C257" s="13">
        <f>'2022'!An_max</f>
        <v>2021</v>
      </c>
      <c r="D257" s="1046">
        <f t="shared" si="97"/>
        <v>0.97817904940990441</v>
      </c>
      <c r="E257" s="13"/>
      <c r="F257" s="13">
        <f t="shared" si="114"/>
        <v>19</v>
      </c>
      <c r="G257" s="13">
        <f t="shared" si="98"/>
        <v>18</v>
      </c>
      <c r="H257" s="173">
        <f t="shared" si="99"/>
        <v>43346</v>
      </c>
      <c r="I257" s="742">
        <f t="shared" si="100"/>
        <v>0.21428571428571427</v>
      </c>
      <c r="J257" s="735">
        <f t="shared" si="101"/>
        <v>52.252395663037895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39">
        <v>43343</v>
      </c>
      <c r="AP257" s="13">
        <f t="shared" si="102"/>
        <v>11</v>
      </c>
      <c r="AQ257" s="13">
        <f t="shared" si="103"/>
        <v>10</v>
      </c>
      <c r="AR257" s="173">
        <f t="shared" si="104"/>
        <v>43360</v>
      </c>
      <c r="AS257" s="742">
        <f t="shared" si="105"/>
        <v>0.6071428571428571</v>
      </c>
      <c r="AT257" s="758">
        <f t="shared" si="106"/>
        <v>52.148121205318184</v>
      </c>
      <c r="AU257" s="13">
        <f t="shared" si="107"/>
        <v>9</v>
      </c>
      <c r="AV257" s="13">
        <f t="shared" si="108"/>
        <v>10</v>
      </c>
      <c r="AW257" s="173">
        <f t="shared" si="109"/>
        <v>43318</v>
      </c>
      <c r="AX257" s="742">
        <f t="shared" si="110"/>
        <v>0.8928571428571429</v>
      </c>
      <c r="AY257" s="758">
        <f t="shared" si="111"/>
        <v>52.26255663186312</v>
      </c>
      <c r="AZ257" s="735">
        <f t="shared" si="115"/>
        <v>52.205338918590655</v>
      </c>
      <c r="BA257" s="633">
        <f t="shared" si="112"/>
        <v>0.97817904940990441</v>
      </c>
      <c r="BC257" s="11">
        <v>43343</v>
      </c>
      <c r="BD257" s="289">
        <f>[3]!FeuilCaduc*(1-Persistant)+Persistant</f>
        <v>0.99329679649832814</v>
      </c>
      <c r="BE257" s="290">
        <f>[3]!CroissVégét</f>
        <v>0.9670231812722152</v>
      </c>
      <c r="BF257" s="804">
        <f>1+[3]!Salcycl*Ksac</f>
        <v>1.048324199124582</v>
      </c>
      <c r="BH257" s="1037">
        <f t="shared" si="113"/>
        <v>2.2570838325234783E-2</v>
      </c>
      <c r="BI257" s="11">
        <v>44439</v>
      </c>
      <c r="BJ257" s="715">
        <v>2.0871956008379679E-5</v>
      </c>
      <c r="BK257" s="715">
        <v>2.2717263776579652E-3</v>
      </c>
      <c r="BL257" s="715">
        <v>6.3688841584447408E-3</v>
      </c>
      <c r="BM257" s="715">
        <v>1.3250181560920801E-2</v>
      </c>
      <c r="BN257" s="715">
        <v>2.4916501452213292E-2</v>
      </c>
      <c r="BO257" s="716">
        <v>4.1243231958052913E-2</v>
      </c>
      <c r="BP257" s="715">
        <v>6.9100478263267914E-2</v>
      </c>
      <c r="BQ257" s="715">
        <v>0.11281290797392958</v>
      </c>
      <c r="BR257" s="715">
        <v>0.17478090129720891</v>
      </c>
      <c r="BS257" s="715">
        <v>0.25048918845091622</v>
      </c>
      <c r="BT257" s="715">
        <v>0.33250906207173242</v>
      </c>
      <c r="BW257" s="1185">
        <f>'2019'!R\Max</f>
        <v>0.91103966781465695</v>
      </c>
      <c r="BX257" s="1185">
        <f>'2020'!R\Max</f>
        <v>0.48953822687623338</v>
      </c>
      <c r="BY257" s="1185">
        <f>'2021'!R\Max</f>
        <v>0.97817904940990441</v>
      </c>
      <c r="BZ257" s="1185">
        <f>'2022'!R\Max</f>
        <v>0.41514417227578543</v>
      </c>
      <c r="CA257" s="1185">
        <f>'2023'!R\Max</f>
        <v>0.41468031812519396</v>
      </c>
      <c r="CB257" s="1185">
        <f>'2024'!R\Max</f>
        <v>0.41413606650303741</v>
      </c>
      <c r="CC257" s="1185">
        <f>'2025'!R\Max</f>
        <v>0.4134074116486755</v>
      </c>
      <c r="CD257" s="1185">
        <f>'2026'!R\Max</f>
        <v>0.4160832553268099</v>
      </c>
      <c r="CE257" s="1186">
        <f>'2027'!R\Max</f>
        <v>0.41581166622778032</v>
      </c>
      <c r="CF257" s="1187">
        <f>'2028'!R\Max</f>
        <v>0.41554000652495532</v>
      </c>
    </row>
    <row r="258" spans="1:84" s="6" customFormat="1" ht="11.25" x14ac:dyDescent="0.2">
      <c r="A258" s="11">
        <v>43344</v>
      </c>
      <c r="B258" s="379">
        <f>'2022'!Maxi_hp</f>
        <v>46.151627874383863</v>
      </c>
      <c r="C258" s="13">
        <f>'2022'!An_max</f>
        <v>2022</v>
      </c>
      <c r="D258" s="1046" t="str">
        <f t="shared" si="97"/>
        <v/>
      </c>
      <c r="E258" s="13"/>
      <c r="F258" s="13">
        <f t="shared" si="114"/>
        <v>19</v>
      </c>
      <c r="G258" s="13">
        <f t="shared" si="98"/>
        <v>18</v>
      </c>
      <c r="H258" s="173">
        <f t="shared" si="99"/>
        <v>43346</v>
      </c>
      <c r="I258" s="742">
        <f t="shared" si="100"/>
        <v>0.14285714285714285</v>
      </c>
      <c r="J258" s="735">
        <f t="shared" si="101"/>
        <v>52.068791836606614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39">
        <v>43344</v>
      </c>
      <c r="AP258" s="13">
        <f t="shared" si="102"/>
        <v>11</v>
      </c>
      <c r="AQ258" s="13">
        <f t="shared" si="103"/>
        <v>10</v>
      </c>
      <c r="AR258" s="173">
        <f t="shared" si="104"/>
        <v>43360</v>
      </c>
      <c r="AS258" s="742">
        <f t="shared" si="105"/>
        <v>0.5714285714285714</v>
      </c>
      <c r="AT258" s="758">
        <f t="shared" si="106"/>
        <v>51.961857142671946</v>
      </c>
      <c r="AU258" s="13">
        <f t="shared" si="107"/>
        <v>9</v>
      </c>
      <c r="AV258" s="13">
        <f t="shared" si="108"/>
        <v>10</v>
      </c>
      <c r="AW258" s="173">
        <f t="shared" si="109"/>
        <v>43318</v>
      </c>
      <c r="AX258" s="742">
        <f t="shared" si="110"/>
        <v>0.9285714285714286</v>
      </c>
      <c r="AY258" s="758">
        <f t="shared" si="111"/>
        <v>52.075746937947613</v>
      </c>
      <c r="AZ258" s="735">
        <f t="shared" si="115"/>
        <v>52.018802040309779</v>
      </c>
      <c r="BA258" s="633">
        <f t="shared" si="112"/>
        <v>0.88635872365176083</v>
      </c>
      <c r="BC258" s="11">
        <v>43344</v>
      </c>
      <c r="BD258" s="289">
        <f>[3]!FeuilCaduc*(1-Persistant)+Persistant</f>
        <v>0.99285907948019281</v>
      </c>
      <c r="BE258" s="290">
        <f>[3]!CroissVégét</f>
        <v>0.96832140523745813</v>
      </c>
      <c r="BF258" s="804">
        <f>1+[3]!Salcycl*Ksac</f>
        <v>1.0482147698700481</v>
      </c>
      <c r="BH258" s="1037">
        <f t="shared" si="113"/>
        <v>2.3000549355446265E-2</v>
      </c>
      <c r="BI258" s="11">
        <v>44440</v>
      </c>
      <c r="BJ258" s="715">
        <v>2.5544552671391858E-5</v>
      </c>
      <c r="BK258" s="715">
        <v>2.3684401657649056E-3</v>
      </c>
      <c r="BL258" s="715">
        <v>6.512497311556272E-3</v>
      </c>
      <c r="BM258" s="715">
        <v>1.3498297169496725E-2</v>
      </c>
      <c r="BN258" s="715">
        <v>2.5391913305374238E-2</v>
      </c>
      <c r="BO258" s="716">
        <v>4.2218254597581745E-2</v>
      </c>
      <c r="BP258" s="715">
        <v>7.0681916295579239E-2</v>
      </c>
      <c r="BQ258" s="715">
        <v>0.11507313377602962</v>
      </c>
      <c r="BR258" s="715">
        <v>0.17685579424891934</v>
      </c>
      <c r="BS258" s="715">
        <v>0.25100707578354509</v>
      </c>
      <c r="BT258" s="715">
        <v>0.33007778841063135</v>
      </c>
      <c r="BW258" s="1185">
        <f>'2019'!R\Max</f>
        <v>0.31569352226031788</v>
      </c>
      <c r="BX258" s="1185">
        <f>'2020'!R\Max</f>
        <v>0.88467590460786794</v>
      </c>
      <c r="BY258" s="1185">
        <f>'2021'!R\Max</f>
        <v>0.73006295868932536</v>
      </c>
      <c r="BZ258" s="1185">
        <f>'2022'!R\Max</f>
        <v>0.88635872365176083</v>
      </c>
      <c r="CA258" s="1185">
        <f>'2023'!R\Max</f>
        <v>0.88616130065558563</v>
      </c>
      <c r="CB258" s="1185">
        <f>'2024'!R\Max</f>
        <v>0.88592962356725613</v>
      </c>
      <c r="CC258" s="1185">
        <f>'2025'!R\Max</f>
        <v>0.88561998391407692</v>
      </c>
      <c r="CD258" s="1185">
        <f>'2026'!R\Max</f>
        <v>0.88675946882943346</v>
      </c>
      <c r="CE258" s="1186">
        <f>'2027'!R\Max</f>
        <v>0.88664336156078483</v>
      </c>
      <c r="CF258" s="1187">
        <f>'2028'!R\Max</f>
        <v>0.88652709659114581</v>
      </c>
    </row>
    <row r="259" spans="1:84" s="6" customFormat="1" ht="11.25" x14ac:dyDescent="0.2">
      <c r="A259" s="11">
        <v>43345</v>
      </c>
      <c r="B259" s="379">
        <f>'2022'!Maxi_hp</f>
        <v>43.932172595785929</v>
      </c>
      <c r="C259" s="13">
        <f>'2022'!An_max</f>
        <v>2018</v>
      </c>
      <c r="D259" s="1046" t="str">
        <f t="shared" si="97"/>
        <v/>
      </c>
      <c r="E259" s="13"/>
      <c r="F259" s="13">
        <f t="shared" si="114"/>
        <v>19</v>
      </c>
      <c r="G259" s="13">
        <f t="shared" si="98"/>
        <v>18</v>
      </c>
      <c r="H259" s="173">
        <f t="shared" si="99"/>
        <v>43346</v>
      </c>
      <c r="I259" s="742">
        <f t="shared" si="100"/>
        <v>7.1428571428571425E-2</v>
      </c>
      <c r="J259" s="735">
        <f t="shared" si="101"/>
        <v>51.880768621845974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39">
        <v>43345</v>
      </c>
      <c r="AP259" s="13">
        <f t="shared" si="102"/>
        <v>11</v>
      </c>
      <c r="AQ259" s="13">
        <f t="shared" si="103"/>
        <v>10</v>
      </c>
      <c r="AR259" s="173">
        <f t="shared" si="104"/>
        <v>43360</v>
      </c>
      <c r="AS259" s="742">
        <f t="shared" si="105"/>
        <v>0.5357142857142857</v>
      </c>
      <c r="AT259" s="758">
        <f t="shared" si="106"/>
        <v>51.773310937280101</v>
      </c>
      <c r="AU259" s="13">
        <f t="shared" si="107"/>
        <v>9</v>
      </c>
      <c r="AV259" s="13">
        <f t="shared" si="108"/>
        <v>10</v>
      </c>
      <c r="AW259" s="173">
        <f t="shared" si="109"/>
        <v>43318</v>
      </c>
      <c r="AX259" s="742">
        <f t="shared" si="110"/>
        <v>0.9642857142857143</v>
      </c>
      <c r="AY259" s="758">
        <f t="shared" si="111"/>
        <v>51.88430050946107</v>
      </c>
      <c r="AZ259" s="735">
        <f t="shared" si="115"/>
        <v>51.828805723370586</v>
      </c>
      <c r="BA259" s="633">
        <f t="shared" si="112"/>
        <v>0.84679108970037409</v>
      </c>
      <c r="BC259" s="11">
        <v>43345</v>
      </c>
      <c r="BD259" s="289">
        <f>[3]!FeuilCaduc*(1-Persistant)+Persistant</f>
        <v>0.99240102386264439</v>
      </c>
      <c r="BE259" s="290">
        <f>[3]!CroissVégét</f>
        <v>0.96957063646587138</v>
      </c>
      <c r="BF259" s="804">
        <f>1+[3]!Salcycl*Ksac</f>
        <v>1.0481002559656611</v>
      </c>
      <c r="BH259" s="1037">
        <f t="shared" si="113"/>
        <v>2.3401784871464534E-2</v>
      </c>
      <c r="BI259" s="11">
        <v>44441</v>
      </c>
      <c r="BJ259" s="715">
        <v>3.0749883588294077E-5</v>
      </c>
      <c r="BK259" s="715">
        <v>2.4524071300509286E-3</v>
      </c>
      <c r="BL259" s="715">
        <v>6.6321767495109187E-3</v>
      </c>
      <c r="BM259" s="715">
        <v>1.3722607402047803E-2</v>
      </c>
      <c r="BN259" s="715">
        <v>2.5837674344019641E-2</v>
      </c>
      <c r="BO259" s="716">
        <v>4.3199588183865191E-2</v>
      </c>
      <c r="BP259" s="715">
        <v>7.2228202203717451E-2</v>
      </c>
      <c r="BQ259" s="715">
        <v>0.11722681973438925</v>
      </c>
      <c r="BR259" s="715">
        <v>0.17858596629039133</v>
      </c>
      <c r="BS259" s="715">
        <v>0.25090107654906002</v>
      </c>
      <c r="BT259" s="715">
        <v>0.32668273304668977</v>
      </c>
      <c r="BW259" s="1185">
        <f>'2019'!R\Max</f>
        <v>0.84679108970037409</v>
      </c>
      <c r="BX259" s="1185">
        <f>'2020'!R\Max</f>
        <v>0.83892138737718047</v>
      </c>
      <c r="BY259" s="1185">
        <f>'2021'!R\Max</f>
        <v>0.35241018202854107</v>
      </c>
      <c r="BZ259" s="1185">
        <f>'2022'!R\Max</f>
        <v>0.78694955347262285</v>
      </c>
      <c r="CA259" s="1185">
        <f>'2023'!R\Max</f>
        <v>0.78661339908457528</v>
      </c>
      <c r="CB259" s="1185">
        <f>'2024'!R\Max</f>
        <v>0.7862198053297994</v>
      </c>
      <c r="CC259" s="1185">
        <f>'2025'!R\Max</f>
        <v>0.78569621710593485</v>
      </c>
      <c r="CD259" s="1185">
        <f>'2026'!R\Max</f>
        <v>0.78763727367225422</v>
      </c>
      <c r="CE259" s="1186">
        <f>'2027'!R\Max</f>
        <v>0.78743710394299105</v>
      </c>
      <c r="CF259" s="1187">
        <f>'2028'!R\Max</f>
        <v>0.78723670035995408</v>
      </c>
    </row>
    <row r="260" spans="1:84" s="6" customFormat="1" ht="11.25" x14ac:dyDescent="0.2">
      <c r="A260" s="11">
        <v>43346</v>
      </c>
      <c r="B260" s="379">
        <f>'2022'!Maxi_hp</f>
        <v>53.184089947763461</v>
      </c>
      <c r="C260" s="13">
        <f>'2022'!An_max</f>
        <v>2018</v>
      </c>
      <c r="D260" s="1046">
        <f t="shared" si="97"/>
        <v>1.0289446283058115</v>
      </c>
      <c r="E260" s="1041">
        <f>AE$13/10</f>
        <v>51.688000000000002</v>
      </c>
      <c r="F260" s="13">
        <f t="shared" si="114"/>
        <v>19</v>
      </c>
      <c r="G260" s="13">
        <f t="shared" si="98"/>
        <v>20</v>
      </c>
      <c r="H260" s="173">
        <f t="shared" si="99"/>
        <v>43346</v>
      </c>
      <c r="I260" s="742">
        <f t="shared" si="100"/>
        <v>0</v>
      </c>
      <c r="J260" s="735">
        <f t="shared" si="101"/>
        <v>51.687999999895695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39">
        <v>43346</v>
      </c>
      <c r="AP260" s="13">
        <f t="shared" si="102"/>
        <v>11</v>
      </c>
      <c r="AQ260" s="13">
        <f t="shared" si="103"/>
        <v>10</v>
      </c>
      <c r="AR260" s="173">
        <f t="shared" si="104"/>
        <v>43360</v>
      </c>
      <c r="AS260" s="742">
        <f t="shared" si="105"/>
        <v>0.5</v>
      </c>
      <c r="AT260" s="758">
        <f t="shared" si="106"/>
        <v>51.582387499883772</v>
      </c>
      <c r="AU260" s="13">
        <f t="shared" si="107"/>
        <v>11</v>
      </c>
      <c r="AV260" s="13">
        <f t="shared" si="108"/>
        <v>10</v>
      </c>
      <c r="AW260" s="173">
        <f t="shared" si="109"/>
        <v>43374</v>
      </c>
      <c r="AX260" s="742">
        <f t="shared" si="110"/>
        <v>1</v>
      </c>
      <c r="AY260" s="758">
        <f t="shared" si="111"/>
        <v>51.687999998778103</v>
      </c>
      <c r="AZ260" s="735">
        <f t="shared" si="115"/>
        <v>51.635193749330938</v>
      </c>
      <c r="BA260" s="633">
        <f t="shared" si="112"/>
        <v>1.0289446283058115</v>
      </c>
      <c r="BC260" s="11">
        <v>43346</v>
      </c>
      <c r="BD260" s="289">
        <f>[3]!FeuilCaduc*(1-Persistant)+Persistant</f>
        <v>0.99192184365103486</v>
      </c>
      <c r="BE260" s="290">
        <f>[3]!CroissVégét</f>
        <v>0.97077260062312232</v>
      </c>
      <c r="BF260" s="804">
        <f>1+[3]!Salcycl*Ksac</f>
        <v>1.0479804609127588</v>
      </c>
      <c r="BH260" s="1037">
        <f t="shared" si="113"/>
        <v>2.3774548285535758E-2</v>
      </c>
      <c r="BI260" s="11">
        <v>44442</v>
      </c>
      <c r="BJ260" s="715">
        <v>3.6488272509697811E-5</v>
      </c>
      <c r="BK260" s="715">
        <v>2.5236251146065363E-3</v>
      </c>
      <c r="BL260" s="715">
        <v>6.7279178509540771E-3</v>
      </c>
      <c r="BM260" s="715">
        <v>1.3923111425405846E-2</v>
      </c>
      <c r="BN260" s="715">
        <v>2.625378904880878E-2</v>
      </c>
      <c r="BO260" s="716">
        <v>4.4187266117433593E-2</v>
      </c>
      <c r="BP260" s="715">
        <v>7.3739373029206953E-2</v>
      </c>
      <c r="BQ260" s="715">
        <v>0.11927399946867648</v>
      </c>
      <c r="BR260" s="715">
        <v>0.17997136518265733</v>
      </c>
      <c r="BS260" s="715">
        <v>0.25017100551691374</v>
      </c>
      <c r="BT260" s="715">
        <v>0.32232352123827795</v>
      </c>
      <c r="BW260" s="1185">
        <f>'2019'!R\Max</f>
        <v>1.0289446283058115</v>
      </c>
      <c r="BX260" s="1185">
        <f>'2020'!R\Max</f>
        <v>1.027085358403411</v>
      </c>
      <c r="BY260" s="1185">
        <f>'2021'!R\Max</f>
        <v>0.5844962924211704</v>
      </c>
      <c r="BZ260" s="1185">
        <f>'2022'!R\Max</f>
        <v>0.66321906530997565</v>
      </c>
      <c r="CA260" s="1185">
        <f>'2023'!R\Max</f>
        <v>0.66276175702043505</v>
      </c>
      <c r="CB260" s="1185">
        <f>'2024'!R\Max</f>
        <v>0.66222758759763278</v>
      </c>
      <c r="CC260" s="1185">
        <f>'2025'!R\Max</f>
        <v>0.66152038813689573</v>
      </c>
      <c r="CD260" s="1185">
        <f>'2026'!R\Max</f>
        <v>0.66416382532941542</v>
      </c>
      <c r="CE260" s="1186">
        <f>'2027'!R\Max</f>
        <v>0.66388724708286195</v>
      </c>
      <c r="CF260" s="1187">
        <f>'2028'!R\Max</f>
        <v>0.66361041880561733</v>
      </c>
    </row>
    <row r="261" spans="1:84" s="6" customFormat="1" ht="11.25" x14ac:dyDescent="0.2">
      <c r="A261" s="11">
        <v>43347</v>
      </c>
      <c r="B261" s="379">
        <f>'2022'!Maxi_hp</f>
        <v>52.707977140675048</v>
      </c>
      <c r="C261" s="13">
        <f>'2022'!An_max</f>
        <v>2018</v>
      </c>
      <c r="D261" s="1046">
        <f t="shared" si="97"/>
        <v>1.0236399323601837</v>
      </c>
      <c r="E261" s="13"/>
      <c r="F261" s="13">
        <f t="shared" si="114"/>
        <v>19</v>
      </c>
      <c r="G261" s="13">
        <f t="shared" si="98"/>
        <v>20</v>
      </c>
      <c r="H261" s="173">
        <f t="shared" si="99"/>
        <v>43346</v>
      </c>
      <c r="I261" s="742">
        <f t="shared" si="100"/>
        <v>7.1428571428571425E-2</v>
      </c>
      <c r="J261" s="735">
        <f t="shared" si="101"/>
        <v>51.490739540755747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39">
        <v>43347</v>
      </c>
      <c r="AP261" s="13">
        <f t="shared" si="102"/>
        <v>11</v>
      </c>
      <c r="AQ261" s="13">
        <f t="shared" si="103"/>
        <v>10</v>
      </c>
      <c r="AR261" s="173">
        <f t="shared" si="104"/>
        <v>43360</v>
      </c>
      <c r="AS261" s="742">
        <f t="shared" si="105"/>
        <v>0.4642857142857143</v>
      </c>
      <c r="AT261" s="758">
        <f t="shared" si="106"/>
        <v>51.388991741343794</v>
      </c>
      <c r="AU261" s="13">
        <f t="shared" si="107"/>
        <v>11</v>
      </c>
      <c r="AV261" s="13">
        <f t="shared" si="108"/>
        <v>10</v>
      </c>
      <c r="AW261" s="173">
        <f t="shared" si="109"/>
        <v>43374</v>
      </c>
      <c r="AX261" s="742">
        <f t="shared" si="110"/>
        <v>0.9642857142857143</v>
      </c>
      <c r="AY261" s="758">
        <f t="shared" si="111"/>
        <v>51.487067282805221</v>
      </c>
      <c r="AZ261" s="735">
        <f t="shared" si="115"/>
        <v>51.438029512074507</v>
      </c>
      <c r="BA261" s="633">
        <f t="shared" si="112"/>
        <v>1.0236399323601837</v>
      </c>
      <c r="BC261" s="11">
        <v>43347</v>
      </c>
      <c r="BD261" s="289">
        <f>[3]!FeuilCaduc*(1-Persistant)+Persistant</f>
        <v>0.99142072138988702</v>
      </c>
      <c r="BE261" s="290">
        <f>[3]!CroissVégét</f>
        <v>0.97192897207465079</v>
      </c>
      <c r="BF261" s="804">
        <f>1+[3]!Salcycl*Ksac</f>
        <v>1.0478551803474718</v>
      </c>
      <c r="BH261" s="1037">
        <f t="shared" si="113"/>
        <v>2.4118841863714026E-2</v>
      </c>
      <c r="BI261" s="11">
        <v>44443</v>
      </c>
      <c r="BJ261" s="715">
        <v>4.276007322692751E-5</v>
      </c>
      <c r="BK261" s="715">
        <v>2.582091387969779E-3</v>
      </c>
      <c r="BL261" s="715">
        <v>6.7997148864878364E-3</v>
      </c>
      <c r="BM261" s="715">
        <v>1.409980737389966E-2</v>
      </c>
      <c r="BN261" s="715">
        <v>2.6640260725597546E-2</v>
      </c>
      <c r="BO261" s="716">
        <v>4.5181322772272207E-2</v>
      </c>
      <c r="BP261" s="715">
        <v>7.5215465107154461E-2</v>
      </c>
      <c r="BQ261" s="715">
        <v>0.12121470274864715</v>
      </c>
      <c r="BR261" s="715">
        <v>0.1810119226909809</v>
      </c>
      <c r="BS261" s="715">
        <v>0.24881664629432798</v>
      </c>
      <c r="BT261" s="715">
        <v>0.31699972789023123</v>
      </c>
      <c r="BW261" s="1185">
        <f>'2019'!R\Max</f>
        <v>1.0236399323601837</v>
      </c>
      <c r="BX261" s="1185">
        <f>'2020'!R\Max</f>
        <v>1.0018615373251805</v>
      </c>
      <c r="BY261" s="1185">
        <f>'2021'!R\Max</f>
        <v>0.7435656556555027</v>
      </c>
      <c r="BZ261" s="1185">
        <f>'2022'!R\Max</f>
        <v>1.0131143940679883</v>
      </c>
      <c r="CA261" s="1185">
        <f>'2023'!R\Max</f>
        <v>1.0131143940679883</v>
      </c>
      <c r="CB261" s="1185">
        <f>'2024'!R\Max</f>
        <v>1.0131143940679883</v>
      </c>
      <c r="CC261" s="1185">
        <f>'2025'!R\Max</f>
        <v>1.0131143940679885</v>
      </c>
      <c r="CD261" s="1185">
        <f>'2026'!R\Max</f>
        <v>1.0131143940679885</v>
      </c>
      <c r="CE261" s="1186">
        <f>'2027'!R\Max</f>
        <v>1.0131143940679881</v>
      </c>
      <c r="CF261" s="1187">
        <f>'2028'!R\Max</f>
        <v>1.0131143940679883</v>
      </c>
    </row>
    <row r="262" spans="1:84" s="6" customFormat="1" ht="11.25" x14ac:dyDescent="0.2">
      <c r="A262" s="11">
        <v>43348</v>
      </c>
      <c r="B262" s="379">
        <f>'2022'!Maxi_hp</f>
        <v>52.360214050968047</v>
      </c>
      <c r="C262" s="13">
        <f>'2022'!An_max</f>
        <v>2020</v>
      </c>
      <c r="D262" s="1046">
        <f t="shared" si="97"/>
        <v>1.0208752824597729</v>
      </c>
      <c r="E262" s="13"/>
      <c r="F262" s="13">
        <f t="shared" si="114"/>
        <v>19</v>
      </c>
      <c r="G262" s="13">
        <f t="shared" si="98"/>
        <v>20</v>
      </c>
      <c r="H262" s="173">
        <f t="shared" si="99"/>
        <v>43346</v>
      </c>
      <c r="I262" s="742">
        <f t="shared" si="100"/>
        <v>0.14285714285714285</v>
      </c>
      <c r="J262" s="735">
        <f t="shared" si="101"/>
        <v>51.28953061220902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39">
        <v>43348</v>
      </c>
      <c r="AP262" s="13">
        <f t="shared" si="102"/>
        <v>11</v>
      </c>
      <c r="AQ262" s="13">
        <f t="shared" si="103"/>
        <v>10</v>
      </c>
      <c r="AR262" s="173">
        <f t="shared" si="104"/>
        <v>43360</v>
      </c>
      <c r="AS262" s="742">
        <f t="shared" si="105"/>
        <v>0.42857142857142855</v>
      </c>
      <c r="AT262" s="758">
        <f t="shared" si="106"/>
        <v>51.193028571243794</v>
      </c>
      <c r="AU262" s="13">
        <f t="shared" si="107"/>
        <v>11</v>
      </c>
      <c r="AV262" s="13">
        <f t="shared" si="108"/>
        <v>10</v>
      </c>
      <c r="AW262" s="173">
        <f t="shared" si="109"/>
        <v>43374</v>
      </c>
      <c r="AX262" s="742">
        <f t="shared" si="110"/>
        <v>0.9285714285714286</v>
      </c>
      <c r="AY262" s="758">
        <f t="shared" si="111"/>
        <v>51.281959693080616</v>
      </c>
      <c r="AZ262" s="735">
        <f t="shared" si="115"/>
        <v>51.237494132162205</v>
      </c>
      <c r="BA262" s="633">
        <f t="shared" si="112"/>
        <v>1.0208752824597729</v>
      </c>
      <c r="BC262" s="11">
        <v>43348</v>
      </c>
      <c r="BD262" s="289">
        <f>[3]!FeuilCaduc*(1-Persistant)+Persistant</f>
        <v>0.99089680619752429</v>
      </c>
      <c r="BE262" s="290">
        <f>[3]!CroissVégét</f>
        <v>0.97304137466019458</v>
      </c>
      <c r="BF262" s="804">
        <f>1+[3]!Salcycl*Ksac</f>
        <v>1.0477242015493811</v>
      </c>
      <c r="BH262" s="1037">
        <f t="shared" si="113"/>
        <v>2.4425321751743553E-2</v>
      </c>
      <c r="BI262" s="11">
        <v>44444</v>
      </c>
      <c r="BJ262" s="715">
        <v>4.984573009597928E-5</v>
      </c>
      <c r="BK262" s="715">
        <v>2.6288288748413892E-3</v>
      </c>
      <c r="BL262" s="715">
        <v>6.8521561941871246E-3</v>
      </c>
      <c r="BM262" s="715">
        <v>1.424747731389283E-2</v>
      </c>
      <c r="BN262" s="715">
        <v>2.6986707179151994E-2</v>
      </c>
      <c r="BO262" s="716">
        <v>4.6152928147018685E-2</v>
      </c>
      <c r="BP262" s="715">
        <v>7.6600008995392904E-2</v>
      </c>
      <c r="BQ262" s="715">
        <v>0.12288081080746099</v>
      </c>
      <c r="BR262" s="715">
        <v>0.18151805764270862</v>
      </c>
      <c r="BS262" s="715">
        <v>0.24683137627250312</v>
      </c>
      <c r="BT262" s="715">
        <v>0.31114313674482075</v>
      </c>
      <c r="BW262" s="1185">
        <f>'2019'!R\Max</f>
        <v>0.79557740212011041</v>
      </c>
      <c r="BX262" s="1185">
        <f>'2020'!R\Max</f>
        <v>1.0208752824597729</v>
      </c>
      <c r="BY262" s="1185">
        <f>'2021'!R\Max</f>
        <v>0.8922554922900936</v>
      </c>
      <c r="BZ262" s="1185">
        <f>'2022'!R\Max</f>
        <v>0.87079486456180233</v>
      </c>
      <c r="CA262" s="1185">
        <f>'2023'!R\Max</f>
        <v>0.87055579249960391</v>
      </c>
      <c r="CB262" s="1185">
        <f>'2024'!R\Max</f>
        <v>0.87027750459878439</v>
      </c>
      <c r="CC262" s="1185">
        <f>'2025'!R\Max</f>
        <v>0.86991195854405035</v>
      </c>
      <c r="CD262" s="1185">
        <f>'2026'!R\Max</f>
        <v>0.87129946017326099</v>
      </c>
      <c r="CE262" s="1186">
        <f>'2027'!R\Max</f>
        <v>0.87114980476601533</v>
      </c>
      <c r="CF262" s="1187">
        <f>'2028'!R\Max</f>
        <v>0.87099992089216394</v>
      </c>
    </row>
    <row r="263" spans="1:84" s="6" customFormat="1" ht="11.25" x14ac:dyDescent="0.2">
      <c r="A263" s="11">
        <v>43349</v>
      </c>
      <c r="B263" s="379">
        <f>'2022'!Maxi_hp</f>
        <v>51.253626858987126</v>
      </c>
      <c r="C263" s="13">
        <f>'2022'!An_max</f>
        <v>2018</v>
      </c>
      <c r="D263" s="1046">
        <f t="shared" si="97"/>
        <v>1.0033110832287566</v>
      </c>
      <c r="E263" s="13"/>
      <c r="F263" s="13">
        <f t="shared" si="114"/>
        <v>19</v>
      </c>
      <c r="G263" s="13">
        <f t="shared" si="98"/>
        <v>20</v>
      </c>
      <c r="H263" s="173">
        <f t="shared" si="99"/>
        <v>43346</v>
      </c>
      <c r="I263" s="742">
        <f t="shared" si="100"/>
        <v>0.21428571428571427</v>
      </c>
      <c r="J263" s="735">
        <f t="shared" si="101"/>
        <v>51.084481887758841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39">
        <v>43349</v>
      </c>
      <c r="AP263" s="13">
        <f t="shared" si="102"/>
        <v>11</v>
      </c>
      <c r="AQ263" s="13">
        <f t="shared" si="103"/>
        <v>10</v>
      </c>
      <c r="AR263" s="173">
        <f t="shared" si="104"/>
        <v>43360</v>
      </c>
      <c r="AS263" s="742">
        <f t="shared" si="105"/>
        <v>0.39285714285714285</v>
      </c>
      <c r="AT263" s="758">
        <f t="shared" si="106"/>
        <v>50.994402901934727</v>
      </c>
      <c r="AU263" s="13">
        <f t="shared" si="107"/>
        <v>11</v>
      </c>
      <c r="AV263" s="13">
        <f t="shared" si="108"/>
        <v>10</v>
      </c>
      <c r="AW263" s="173">
        <f t="shared" si="109"/>
        <v>43374</v>
      </c>
      <c r="AX263" s="742">
        <f t="shared" si="110"/>
        <v>0.8928571428571429</v>
      </c>
      <c r="AY263" s="758">
        <f t="shared" si="111"/>
        <v>51.072813073259638</v>
      </c>
      <c r="AZ263" s="735">
        <f t="shared" si="115"/>
        <v>51.033607987597179</v>
      </c>
      <c r="BA263" s="633">
        <f t="shared" si="112"/>
        <v>1.0033110832287566</v>
      </c>
      <c r="BC263" s="11">
        <v>43349</v>
      </c>
      <c r="BD263" s="289">
        <f>[3]!FeuilCaduc*(1-Persistant)+Persistant</f>
        <v>0.99034921188061475</v>
      </c>
      <c r="BE263" s="290">
        <f>[3]!CroissVégét</f>
        <v>0.97411138252345786</v>
      </c>
      <c r="BF263" s="804">
        <f>1+[3]!Salcycl*Ksac</f>
        <v>1.0475873029701537</v>
      </c>
      <c r="BH263" s="1037">
        <f t="shared" si="113"/>
        <v>2.4716522819786032E-2</v>
      </c>
      <c r="BI263" s="11">
        <v>44445</v>
      </c>
      <c r="BJ263" s="715">
        <v>5.7392938748828972E-5</v>
      </c>
      <c r="BK263" s="715">
        <v>2.6690042771434115E-3</v>
      </c>
      <c r="BL263" s="715">
        <v>6.9033029958837783E-3</v>
      </c>
      <c r="BM263" s="715">
        <v>1.4396051034297301E-2</v>
      </c>
      <c r="BN263" s="715">
        <v>2.7313802253240711E-2</v>
      </c>
      <c r="BO263" s="716">
        <v>4.7083298681278439E-2</v>
      </c>
      <c r="BP263" s="715">
        <v>7.7886015566546091E-2</v>
      </c>
      <c r="BQ263" s="715">
        <v>0.12428289970824261</v>
      </c>
      <c r="BR263" s="715">
        <v>0.18162290974658765</v>
      </c>
      <c r="BS263" s="715">
        <v>0.24452268295563012</v>
      </c>
      <c r="BT263" s="715">
        <v>0.30534236695817524</v>
      </c>
      <c r="BW263" s="1185">
        <f>'2019'!R\Max</f>
        <v>1.0033110832287566</v>
      </c>
      <c r="BX263" s="1185">
        <f>'2020'!R\Max</f>
        <v>0.84842512111511148</v>
      </c>
      <c r="BY263" s="1185">
        <f>'2021'!R\Max</f>
        <v>0.97915688908426268</v>
      </c>
      <c r="BZ263" s="1185">
        <f>'2022'!R\Max</f>
        <v>0.95105996149707261</v>
      </c>
      <c r="CA263" s="1185">
        <f>'2023'!R\Max</f>
        <v>0.95095953264775701</v>
      </c>
      <c r="CB263" s="1185">
        <f>'2024'!R\Max</f>
        <v>0.95084295734969004</v>
      </c>
      <c r="CC263" s="1185">
        <f>'2025'!R\Max</f>
        <v>0.95069065453559343</v>
      </c>
      <c r="CD263" s="1185">
        <f>'2026'!R\Max</f>
        <v>0.95127439624026744</v>
      </c>
      <c r="CE263" s="1186">
        <f>'2027'!R\Max</f>
        <v>0.95121035923030106</v>
      </c>
      <c r="CF263" s="1187">
        <f>'2028'!R\Max</f>
        <v>0.95114620684074314</v>
      </c>
    </row>
    <row r="264" spans="1:84" s="6" customFormat="1" ht="11.25" x14ac:dyDescent="0.2">
      <c r="A264" s="11">
        <v>43350</v>
      </c>
      <c r="B264" s="379">
        <f>'2022'!Maxi_hp</f>
        <v>52.759985924745806</v>
      </c>
      <c r="C264" s="13">
        <f>'2022'!An_max</f>
        <v>2018</v>
      </c>
      <c r="D264" s="1046">
        <f t="shared" si="97"/>
        <v>1.0370370099809845</v>
      </c>
      <c r="E264" s="13"/>
      <c r="F264" s="13">
        <f t="shared" si="114"/>
        <v>19</v>
      </c>
      <c r="G264" s="13">
        <f t="shared" si="98"/>
        <v>20</v>
      </c>
      <c r="H264" s="173">
        <f t="shared" si="99"/>
        <v>43346</v>
      </c>
      <c r="I264" s="742">
        <f t="shared" si="100"/>
        <v>0.2857142857142857</v>
      </c>
      <c r="J264" s="735">
        <f t="shared" si="101"/>
        <v>50.875702040482849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39">
        <v>43350</v>
      </c>
      <c r="AP264" s="13">
        <f t="shared" si="102"/>
        <v>11</v>
      </c>
      <c r="AQ264" s="13">
        <f t="shared" si="103"/>
        <v>10</v>
      </c>
      <c r="AR264" s="173">
        <f t="shared" si="104"/>
        <v>43360</v>
      </c>
      <c r="AS264" s="742">
        <f t="shared" si="105"/>
        <v>0.35714285714285715</v>
      </c>
      <c r="AT264" s="758">
        <f t="shared" si="106"/>
        <v>50.793019643000193</v>
      </c>
      <c r="AU264" s="13">
        <f t="shared" si="107"/>
        <v>11</v>
      </c>
      <c r="AV264" s="13">
        <f t="shared" si="108"/>
        <v>10</v>
      </c>
      <c r="AW264" s="173">
        <f t="shared" si="109"/>
        <v>43374</v>
      </c>
      <c r="AX264" s="742">
        <f t="shared" si="110"/>
        <v>0.8571428571428571</v>
      </c>
      <c r="AY264" s="758">
        <f t="shared" si="111"/>
        <v>50.859763264496408</v>
      </c>
      <c r="AZ264" s="735">
        <f t="shared" si="115"/>
        <v>50.8263914537483</v>
      </c>
      <c r="BA264" s="633">
        <f t="shared" si="112"/>
        <v>1.0370370099809845</v>
      </c>
      <c r="BC264" s="11">
        <v>43350</v>
      </c>
      <c r="BD264" s="289">
        <f>[3]!FeuilCaduc*(1-Persistant)+Persistant</f>
        <v>0.98977701519593753</v>
      </c>
      <c r="BE264" s="290">
        <f>[3]!CroissVégét</f>
        <v>0.97514052098953308</v>
      </c>
      <c r="BF264" s="804">
        <f>1+[3]!Salcycl*Ksac</f>
        <v>1.0474442537989843</v>
      </c>
      <c r="BH264" s="1037">
        <f t="shared" si="113"/>
        <v>2.4992449797540346E-2</v>
      </c>
      <c r="BI264" s="11">
        <v>44446</v>
      </c>
      <c r="BJ264" s="715">
        <v>6.5402120617671689E-5</v>
      </c>
      <c r="BK264" s="715">
        <v>2.7026160610041086E-3</v>
      </c>
      <c r="BL264" s="715">
        <v>6.9531571962329376E-3</v>
      </c>
      <c r="BM264" s="715">
        <v>1.4545535275300345E-2</v>
      </c>
      <c r="BN264" s="715">
        <v>2.7621550171597335E-2</v>
      </c>
      <c r="BO264" s="716">
        <v>4.7972447631905682E-2</v>
      </c>
      <c r="BP264" s="715">
        <v>7.9073486070255161E-2</v>
      </c>
      <c r="BQ264" s="715">
        <v>0.12542090495272135</v>
      </c>
      <c r="BR264" s="715">
        <v>0.18132632655580913</v>
      </c>
      <c r="BS264" s="715">
        <v>0.24189039715535479</v>
      </c>
      <c r="BT264" s="715">
        <v>0.29959734344357009</v>
      </c>
      <c r="BW264" s="1185">
        <f>'2019'!R\Max</f>
        <v>1.0370370099809845</v>
      </c>
      <c r="BX264" s="1185">
        <f>'2020'!R\Max</f>
        <v>0.47443718375568361</v>
      </c>
      <c r="BY264" s="1185">
        <f>'2021'!R\Max</f>
        <v>0.81288414772961914</v>
      </c>
      <c r="BZ264" s="1185">
        <f>'2022'!R\Max</f>
        <v>0.74326165234868924</v>
      </c>
      <c r="CA264" s="1185">
        <f>'2023'!R\Max</f>
        <v>0.74284462096614745</v>
      </c>
      <c r="CB264" s="1185">
        <f>'2024'!R\Max</f>
        <v>0.7423628697437018</v>
      </c>
      <c r="CC264" s="1185">
        <f>'2025'!R\Max</f>
        <v>0.74173849682156223</v>
      </c>
      <c r="CD264" s="1185">
        <f>'2026'!R\Max</f>
        <v>0.74416427038826138</v>
      </c>
      <c r="CE264" s="1186">
        <f>'2027'!R\Max</f>
        <v>0.7438926246036619</v>
      </c>
      <c r="CF264" s="1187">
        <f>'2028'!R\Max</f>
        <v>0.74362063411760093</v>
      </c>
    </row>
    <row r="265" spans="1:84" s="6" customFormat="1" ht="11.25" x14ac:dyDescent="0.2">
      <c r="A265" s="11">
        <v>43351</v>
      </c>
      <c r="B265" s="379">
        <f>'2022'!Maxi_hp</f>
        <v>48.227232610216525</v>
      </c>
      <c r="C265" s="13">
        <f>'2022'!An_max</f>
        <v>2020</v>
      </c>
      <c r="D265" s="1046" t="str">
        <f t="shared" si="97"/>
        <v/>
      </c>
      <c r="E265" s="13"/>
      <c r="F265" s="13">
        <f t="shared" si="114"/>
        <v>19</v>
      </c>
      <c r="G265" s="13">
        <f t="shared" si="98"/>
        <v>20</v>
      </c>
      <c r="H265" s="173">
        <f t="shared" si="99"/>
        <v>43346</v>
      </c>
      <c r="I265" s="742">
        <f t="shared" si="100"/>
        <v>0.35714285714285715</v>
      </c>
      <c r="J265" s="735">
        <f t="shared" si="101"/>
        <v>50.663299744469768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39">
        <v>43351</v>
      </c>
      <c r="AP265" s="13">
        <f t="shared" si="102"/>
        <v>11</v>
      </c>
      <c r="AQ265" s="13">
        <f t="shared" si="103"/>
        <v>10</v>
      </c>
      <c r="AR265" s="173">
        <f t="shared" si="104"/>
        <v>43360</v>
      </c>
      <c r="AS265" s="742">
        <f t="shared" si="105"/>
        <v>0.32142857142857145</v>
      </c>
      <c r="AT265" s="758">
        <f t="shared" si="106"/>
        <v>50.588783705327657</v>
      </c>
      <c r="AU265" s="13">
        <f t="shared" si="107"/>
        <v>11</v>
      </c>
      <c r="AV265" s="13">
        <f t="shared" si="108"/>
        <v>10</v>
      </c>
      <c r="AW265" s="173">
        <f t="shared" si="109"/>
        <v>43374</v>
      </c>
      <c r="AX265" s="742">
        <f t="shared" si="110"/>
        <v>0.8214285714285714</v>
      </c>
      <c r="AY265" s="758">
        <f t="shared" si="111"/>
        <v>50.642946109548213</v>
      </c>
      <c r="AZ265" s="735">
        <f t="shared" si="115"/>
        <v>50.615864907437938</v>
      </c>
      <c r="BA265" s="633">
        <f t="shared" si="112"/>
        <v>0.9519165323510308</v>
      </c>
      <c r="BC265" s="11">
        <v>43351</v>
      </c>
      <c r="BD265" s="289">
        <f>[3]!FeuilCaduc*(1-Persistant)+Persistant</f>
        <v>0.98917925432669707</v>
      </c>
      <c r="BE265" s="290">
        <f>[3]!CroissVégét</f>
        <v>0.97613026748322473</v>
      </c>
      <c r="BF265" s="804">
        <f>1+[3]!Salcycl*Ksac</f>
        <v>1.0472948135816742</v>
      </c>
      <c r="BH265" s="1037">
        <f t="shared" si="113"/>
        <v>2.5253106778308266E-2</v>
      </c>
      <c r="BI265" s="11">
        <v>44447</v>
      </c>
      <c r="BJ265" s="715">
        <v>7.3873727155152703E-5</v>
      </c>
      <c r="BK265" s="715">
        <v>2.7296623653779491E-3</v>
      </c>
      <c r="BL265" s="715">
        <v>7.0017206613875466E-3</v>
      </c>
      <c r="BM265" s="715">
        <v>1.4695936919702461E-2</v>
      </c>
      <c r="BN265" s="715">
        <v>2.7909954325510397E-2</v>
      </c>
      <c r="BO265" s="716">
        <v>4.882038664944098E-2</v>
      </c>
      <c r="BP265" s="715">
        <v>8.0162417291739521E-2</v>
      </c>
      <c r="BQ265" s="715">
        <v>0.12629474872132812</v>
      </c>
      <c r="BR265" s="715">
        <v>0.18062813398359137</v>
      </c>
      <c r="BS265" s="715">
        <v>0.23893433053382404</v>
      </c>
      <c r="BT265" s="715">
        <v>0.29390798993929973</v>
      </c>
      <c r="BW265" s="1185">
        <f>'2019'!R\Max</f>
        <v>0.91914562432907077</v>
      </c>
      <c r="BX265" s="1185">
        <f>'2020'!R\Max</f>
        <v>0.9519165323510308</v>
      </c>
      <c r="BY265" s="1185">
        <f>'2021'!R\Max</f>
        <v>0.59237841014725212</v>
      </c>
      <c r="BZ265" s="1185">
        <f>'2022'!R\Max</f>
        <v>0.85143476003652152</v>
      </c>
      <c r="CA265" s="1185">
        <f>'2023'!R\Max</f>
        <v>0.85115509067953077</v>
      </c>
      <c r="CB265" s="1185">
        <f>'2024'!R\Max</f>
        <v>0.85083331675177865</v>
      </c>
      <c r="CC265" s="1185">
        <f>'2025'!R\Max</f>
        <v>0.85041926441792559</v>
      </c>
      <c r="CD265" s="1185">
        <f>'2026'!R\Max</f>
        <v>0.85204708632335291</v>
      </c>
      <c r="CE265" s="1186">
        <f>'2027'!R\Max</f>
        <v>0.85186157249347383</v>
      </c>
      <c r="CF265" s="1187">
        <f>'2028'!R\Max</f>
        <v>0.8516757568737563</v>
      </c>
    </row>
    <row r="266" spans="1:84" s="6" customFormat="1" ht="11.25" x14ac:dyDescent="0.2">
      <c r="A266" s="11">
        <v>43352</v>
      </c>
      <c r="B266" s="379">
        <f>'2022'!Maxi_hp</f>
        <v>49.53769434119436</v>
      </c>
      <c r="C266" s="13">
        <f>'2022'!An_max</f>
        <v>2020</v>
      </c>
      <c r="D266" s="1046">
        <f t="shared" si="97"/>
        <v>0.98196756172366595</v>
      </c>
      <c r="E266" s="13"/>
      <c r="F266" s="13">
        <f t="shared" si="114"/>
        <v>19</v>
      </c>
      <c r="G266" s="13">
        <f t="shared" si="98"/>
        <v>20</v>
      </c>
      <c r="H266" s="173">
        <f t="shared" si="99"/>
        <v>43346</v>
      </c>
      <c r="I266" s="742">
        <f t="shared" si="100"/>
        <v>0.42857142857142855</v>
      </c>
      <c r="J266" s="735">
        <f t="shared" si="101"/>
        <v>50.447383673489092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39">
        <v>43352</v>
      </c>
      <c r="AP266" s="13">
        <f t="shared" si="102"/>
        <v>11</v>
      </c>
      <c r="AQ266" s="13">
        <f t="shared" si="103"/>
        <v>10</v>
      </c>
      <c r="AR266" s="173">
        <f t="shared" si="104"/>
        <v>43360</v>
      </c>
      <c r="AS266" s="742">
        <f t="shared" si="105"/>
        <v>0.2857142857142857</v>
      </c>
      <c r="AT266" s="758">
        <f t="shared" si="106"/>
        <v>50.381599999964237</v>
      </c>
      <c r="AU266" s="13">
        <f t="shared" si="107"/>
        <v>11</v>
      </c>
      <c r="AV266" s="13">
        <f t="shared" si="108"/>
        <v>10</v>
      </c>
      <c r="AW266" s="173">
        <f t="shared" si="109"/>
        <v>43374</v>
      </c>
      <c r="AX266" s="742">
        <f t="shared" si="110"/>
        <v>0.7857142857142857</v>
      </c>
      <c r="AY266" s="758">
        <f t="shared" si="111"/>
        <v>50.422497448138891</v>
      </c>
      <c r="AZ266" s="735">
        <f t="shared" si="115"/>
        <v>50.402048724051568</v>
      </c>
      <c r="BA266" s="633">
        <f t="shared" si="112"/>
        <v>0.98196756172366595</v>
      </c>
      <c r="BC266" s="11">
        <v>43352</v>
      </c>
      <c r="BD266" s="289">
        <f>[3]!FeuilCaduc*(1-Persistant)+Persistant</f>
        <v>0.9885549276398875</v>
      </c>
      <c r="BE266" s="290">
        <f>[3]!CroissVégét</f>
        <v>0.97708205248193514</v>
      </c>
      <c r="BF266" s="804">
        <f>1+[3]!Salcycl*Ksac</f>
        <v>1.0471387319099719</v>
      </c>
      <c r="BH266" s="1037">
        <f t="shared" si="113"/>
        <v>2.549849719218716E-2</v>
      </c>
      <c r="BI266" s="11">
        <v>44448</v>
      </c>
      <c r="BJ266" s="715">
        <v>8.2808240645132901E-5</v>
      </c>
      <c r="BK266" s="715">
        <v>2.7501409904842808E-3</v>
      </c>
      <c r="BL266" s="715">
        <v>7.0489952167685872E-3</v>
      </c>
      <c r="BM266" s="715">
        <v>1.4847262994600501E-2</v>
      </c>
      <c r="BN266" s="715">
        <v>2.8179017239846102E-2</v>
      </c>
      <c r="BO266" s="716">
        <v>4.9627125705467262E-2</v>
      </c>
      <c r="BP266" s="715">
        <v>8.1152801378278266E-2</v>
      </c>
      <c r="BQ266" s="715">
        <v>0.12690433940833706</v>
      </c>
      <c r="BR266" s="715">
        <v>0.17952813559757386</v>
      </c>
      <c r="BS266" s="715">
        <v>0.23565427503730632</v>
      </c>
      <c r="BT266" s="715">
        <v>0.28827422911350281</v>
      </c>
      <c r="BW266" s="1185">
        <f>'2019'!R\Max</f>
        <v>0.93539751158792162</v>
      </c>
      <c r="BX266" s="1185">
        <f>'2020'!R\Max</f>
        <v>0.98196756172366595</v>
      </c>
      <c r="BY266" s="1185">
        <f>'2021'!R\Max</f>
        <v>0.34837665438046711</v>
      </c>
      <c r="BZ266" s="1185">
        <f>'2022'!R\Max</f>
        <v>0.35982799823500966</v>
      </c>
      <c r="CA266" s="1185">
        <f>'2023'!R\Max</f>
        <v>0.35931438289097789</v>
      </c>
      <c r="CB266" s="1185">
        <f>'2024'!R\Max</f>
        <v>0.358727915688559</v>
      </c>
      <c r="CC266" s="1185">
        <f>'2025'!R\Max</f>
        <v>0.35798205206373507</v>
      </c>
      <c r="CD266" s="1185">
        <f>'2026'!R\Max</f>
        <v>0.36097063448580441</v>
      </c>
      <c r="CE266" s="1186">
        <f>'2027'!R\Max</f>
        <v>0.36062142956156334</v>
      </c>
      <c r="CF266" s="1187">
        <f>'2028'!R\Max</f>
        <v>0.3602721599195482</v>
      </c>
    </row>
    <row r="267" spans="1:84" s="6" customFormat="1" ht="11.25" x14ac:dyDescent="0.2">
      <c r="A267" s="11">
        <v>43353</v>
      </c>
      <c r="B267" s="379">
        <f>'2022'!Maxi_hp</f>
        <v>47.822346507728497</v>
      </c>
      <c r="C267" s="13">
        <f>'2022'!An_max</f>
        <v>2022</v>
      </c>
      <c r="D267" s="1046" t="str">
        <f t="shared" si="97"/>
        <v/>
      </c>
      <c r="E267" s="13"/>
      <c r="F267" s="13">
        <f t="shared" si="114"/>
        <v>19</v>
      </c>
      <c r="G267" s="13">
        <f t="shared" si="98"/>
        <v>20</v>
      </c>
      <c r="H267" s="173">
        <f t="shared" si="99"/>
        <v>43346</v>
      </c>
      <c r="I267" s="742">
        <f t="shared" si="100"/>
        <v>0.5</v>
      </c>
      <c r="J267" s="735">
        <f t="shared" si="101"/>
        <v>50.228062499873339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39">
        <v>43353</v>
      </c>
      <c r="AP267" s="13">
        <f t="shared" si="102"/>
        <v>11</v>
      </c>
      <c r="AQ267" s="13">
        <f t="shared" si="103"/>
        <v>10</v>
      </c>
      <c r="AR267" s="173">
        <f t="shared" si="104"/>
        <v>43360</v>
      </c>
      <c r="AS267" s="742">
        <f t="shared" si="105"/>
        <v>0.25</v>
      </c>
      <c r="AT267" s="758">
        <f t="shared" si="106"/>
        <v>50.171373437531294</v>
      </c>
      <c r="AU267" s="13">
        <f t="shared" si="107"/>
        <v>11</v>
      </c>
      <c r="AV267" s="13">
        <f t="shared" si="108"/>
        <v>10</v>
      </c>
      <c r="AW267" s="173">
        <f t="shared" si="109"/>
        <v>43374</v>
      </c>
      <c r="AX267" s="742">
        <f t="shared" si="110"/>
        <v>0.75</v>
      </c>
      <c r="AY267" s="758">
        <f t="shared" si="111"/>
        <v>50.198553124163297</v>
      </c>
      <c r="AZ267" s="735">
        <f t="shared" si="115"/>
        <v>50.184963280847299</v>
      </c>
      <c r="BA267" s="633">
        <f t="shared" si="112"/>
        <v>0.95210414512503028</v>
      </c>
      <c r="BC267" s="11">
        <v>43353</v>
      </c>
      <c r="BD267" s="289">
        <f>[3]!FeuilCaduc*(1-Persistant)+Persistant</f>
        <v>0.98790299278950333</v>
      </c>
      <c r="BE267" s="290">
        <f>[3]!CroissVégét</f>
        <v>0.97799726049726488</v>
      </c>
      <c r="BF267" s="804">
        <f>1+[3]!Salcycl*Ksac</f>
        <v>1.0469757481973758</v>
      </c>
      <c r="BH267" s="1037">
        <f t="shared" si="113"/>
        <v>2.5728623778202831E-2</v>
      </c>
      <c r="BI267" s="11">
        <v>44449</v>
      </c>
      <c r="BJ267" s="715">
        <v>9.2206175010922358E-5</v>
      </c>
      <c r="BK267" s="715">
        <v>2.7640493861314178E-3</v>
      </c>
      <c r="BL267" s="715">
        <v>7.0949826445396115E-3</v>
      </c>
      <c r="BM267" s="715">
        <v>1.4999520672453751E-2</v>
      </c>
      <c r="BN267" s="715">
        <v>2.8428740537899701E-2</v>
      </c>
      <c r="BO267" s="716">
        <v>5.0392673017942508E-2</v>
      </c>
      <c r="BP267" s="715">
        <v>8.2044625662347007E-2</v>
      </c>
      <c r="BQ267" s="715">
        <v>0.12724957115167587</v>
      </c>
      <c r="BR267" s="715">
        <v>0.17802611190644399</v>
      </c>
      <c r="BS267" s="715">
        <v>0.23205000231937994</v>
      </c>
      <c r="BT267" s="715">
        <v>0.28269598265599483</v>
      </c>
      <c r="BW267" s="1185">
        <f>'2019'!R\Max</f>
        <v>0.28974005864869024</v>
      </c>
      <c r="BX267" s="1185">
        <f>'2020'!R\Max</f>
        <v>0.46283828939471372</v>
      </c>
      <c r="BY267" s="1185">
        <f>'2021'!R\Max</f>
        <v>0.68037020492036304</v>
      </c>
      <c r="BZ267" s="1185">
        <f>'2022'!R\Max</f>
        <v>0.95210414512503028</v>
      </c>
      <c r="CA267" s="1185">
        <f>'2023'!R\Max</f>
        <v>0.95200153939608978</v>
      </c>
      <c r="CB267" s="1185">
        <f>'2024'!R\Max</f>
        <v>0.95188474986564353</v>
      </c>
      <c r="CC267" s="1185">
        <f>'2025'!R\Max</f>
        <v>0.95173719293501047</v>
      </c>
      <c r="CD267" s="1185">
        <f>'2026'!R\Max</f>
        <v>0.95233433171088033</v>
      </c>
      <c r="CE267" s="1186">
        <f>'2027'!R\Max</f>
        <v>0.95226363245802803</v>
      </c>
      <c r="CF267" s="1187">
        <f>'2028'!R\Max</f>
        <v>0.95219278934663287</v>
      </c>
    </row>
    <row r="268" spans="1:84" s="6" customFormat="1" ht="11.25" x14ac:dyDescent="0.2">
      <c r="A268" s="11">
        <v>43354</v>
      </c>
      <c r="B268" s="379">
        <f>'2022'!Maxi_hp</f>
        <v>50.258801282332186</v>
      </c>
      <c r="C268" s="13">
        <f>'2022'!An_max</f>
        <v>2022</v>
      </c>
      <c r="D268" s="1046">
        <f t="shared" si="97"/>
        <v>1.0050665759483834</v>
      </c>
      <c r="E268" s="13"/>
      <c r="F268" s="13">
        <f t="shared" si="114"/>
        <v>19</v>
      </c>
      <c r="G268" s="13">
        <f t="shared" si="98"/>
        <v>20</v>
      </c>
      <c r="H268" s="173">
        <f t="shared" si="99"/>
        <v>43346</v>
      </c>
      <c r="I268" s="742">
        <f t="shared" si="100"/>
        <v>0.5714285714285714</v>
      </c>
      <c r="J268" s="735">
        <f t="shared" si="101"/>
        <v>50.00544489792415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39">
        <v>43354</v>
      </c>
      <c r="AP268" s="13">
        <f t="shared" si="102"/>
        <v>11</v>
      </c>
      <c r="AQ268" s="13">
        <f t="shared" si="103"/>
        <v>10</v>
      </c>
      <c r="AR268" s="173">
        <f t="shared" si="104"/>
        <v>43360</v>
      </c>
      <c r="AS268" s="742">
        <f t="shared" si="105"/>
        <v>0.21428571428571427</v>
      </c>
      <c r="AT268" s="758">
        <f t="shared" si="106"/>
        <v>49.958008928836456</v>
      </c>
      <c r="AU268" s="13">
        <f t="shared" si="107"/>
        <v>11</v>
      </c>
      <c r="AV268" s="13">
        <f t="shared" si="108"/>
        <v>10</v>
      </c>
      <c r="AW268" s="173">
        <f t="shared" si="109"/>
        <v>43374</v>
      </c>
      <c r="AX268" s="742">
        <f t="shared" si="110"/>
        <v>0.7142857142857143</v>
      </c>
      <c r="AY268" s="758">
        <f t="shared" si="111"/>
        <v>49.97124897922788</v>
      </c>
      <c r="AZ268" s="735">
        <f t="shared" si="115"/>
        <v>49.964628954032165</v>
      </c>
      <c r="BA268" s="633">
        <f t="shared" si="112"/>
        <v>1.0050665759483834</v>
      </c>
      <c r="BC268" s="11">
        <v>43354</v>
      </c>
      <c r="BD268" s="289">
        <f>[3]!FeuilCaduc*(1-Persistant)+Persistant</f>
        <v>0.98722236622785298</v>
      </c>
      <c r="BE268" s="290">
        <f>[3]!CroissVégét</f>
        <v>0.97887723107993829</v>
      </c>
      <c r="BF268" s="804">
        <f>1+[3]!Salcycl*Ksac</f>
        <v>1.0468055915569632</v>
      </c>
      <c r="BH268" s="1037">
        <f t="shared" si="113"/>
        <v>2.5939646895648108E-2</v>
      </c>
      <c r="BI268" s="11">
        <v>44450</v>
      </c>
      <c r="BJ268" s="715">
        <v>1.0288402806388798E-4</v>
      </c>
      <c r="BK268" s="715">
        <v>2.7742791003349679E-3</v>
      </c>
      <c r="BL268" s="715">
        <v>7.1391287674933274E-3</v>
      </c>
      <c r="BM268" s="715">
        <v>1.514675354395347E-2</v>
      </c>
      <c r="BN268" s="715">
        <v>2.8655817291001678E-2</v>
      </c>
      <c r="BO268" s="716">
        <v>5.1054733343004831E-2</v>
      </c>
      <c r="BP268" s="715">
        <v>8.2713666252632378E-2</v>
      </c>
      <c r="BQ268" s="715">
        <v>0.12723567350536771</v>
      </c>
      <c r="BR268" s="715">
        <v>0.17627984416729189</v>
      </c>
      <c r="BS268" s="715">
        <v>0.22869078706540419</v>
      </c>
      <c r="BT268" s="715">
        <v>0.27821029987465901</v>
      </c>
      <c r="BW268" s="1185">
        <f>'2019'!R\Max</f>
        <v>0.67168633179488313</v>
      </c>
      <c r="BX268" s="1185">
        <f>'2020'!R\Max</f>
        <v>0.8279509578183285</v>
      </c>
      <c r="BY268" s="1185">
        <f>'2021'!R\Max</f>
        <v>0.74823800999977719</v>
      </c>
      <c r="BZ268" s="1185">
        <f>'2022'!R\Max</f>
        <v>1.0050665759483834</v>
      </c>
      <c r="CA268" s="1185">
        <f>'2023'!R\Max</f>
        <v>1.0050665759483837</v>
      </c>
      <c r="CB268" s="1185">
        <f>'2024'!R\Max</f>
        <v>1.0050665759483837</v>
      </c>
      <c r="CC268" s="1185">
        <f>'2025'!R\Max</f>
        <v>1.0050665759483837</v>
      </c>
      <c r="CD268" s="1185">
        <f>'2026'!R\Max</f>
        <v>1.0050665759483837</v>
      </c>
      <c r="CE268" s="1186">
        <f>'2027'!R\Max</f>
        <v>1.0050665759483837</v>
      </c>
      <c r="CF268" s="1187">
        <f>'2028'!R\Max</f>
        <v>1.0050665759483837</v>
      </c>
    </row>
    <row r="269" spans="1:84" s="6" customFormat="1" ht="11.25" x14ac:dyDescent="0.2">
      <c r="A269" s="11">
        <v>43355</v>
      </c>
      <c r="B269" s="379">
        <f>'2022'!Maxi_hp</f>
        <v>50.45491962020855</v>
      </c>
      <c r="C269" s="13">
        <f>'2022'!An_max</f>
        <v>2018</v>
      </c>
      <c r="D269" s="1046">
        <f t="shared" si="97"/>
        <v>1.0135653870932468</v>
      </c>
      <c r="E269" s="13"/>
      <c r="F269" s="13">
        <f t="shared" si="114"/>
        <v>19</v>
      </c>
      <c r="G269" s="13">
        <f t="shared" si="98"/>
        <v>20</v>
      </c>
      <c r="H269" s="173">
        <f t="shared" si="99"/>
        <v>43346</v>
      </c>
      <c r="I269" s="742">
        <f t="shared" si="100"/>
        <v>0.6428571428571429</v>
      </c>
      <c r="J269" s="735">
        <f t="shared" si="101"/>
        <v>49.77963954047965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39">
        <v>43355</v>
      </c>
      <c r="AP269" s="13">
        <f t="shared" si="102"/>
        <v>11</v>
      </c>
      <c r="AQ269" s="13">
        <f t="shared" si="103"/>
        <v>10</v>
      </c>
      <c r="AR269" s="173">
        <f t="shared" si="104"/>
        <v>43360</v>
      </c>
      <c r="AS269" s="742">
        <f t="shared" si="105"/>
        <v>0.17857142857142858</v>
      </c>
      <c r="AT269" s="758">
        <f t="shared" si="106"/>
        <v>49.74141138406204</v>
      </c>
      <c r="AU269" s="13">
        <f t="shared" si="107"/>
        <v>11</v>
      </c>
      <c r="AV269" s="13">
        <f t="shared" si="108"/>
        <v>10</v>
      </c>
      <c r="AW269" s="173">
        <f t="shared" si="109"/>
        <v>43374</v>
      </c>
      <c r="AX269" s="742">
        <f t="shared" si="110"/>
        <v>0.6785714285714286</v>
      </c>
      <c r="AY269" s="758">
        <f t="shared" si="111"/>
        <v>49.740720854267217</v>
      </c>
      <c r="AZ269" s="735">
        <f t="shared" si="115"/>
        <v>49.741066119164628</v>
      </c>
      <c r="BA269" s="633">
        <f t="shared" si="112"/>
        <v>1.0135653870932468</v>
      </c>
      <c r="BC269" s="11">
        <v>43355</v>
      </c>
      <c r="BD269" s="289">
        <f>[3]!FeuilCaduc*(1-Persistant)+Persistant</f>
        <v>0.9865119231838495</v>
      </c>
      <c r="BE269" s="290">
        <f>[3]!CroissVégét</f>
        <v>0.97972325984311226</v>
      </c>
      <c r="BF269" s="804">
        <f>1+[3]!Salcycl*Ksac</f>
        <v>1.0466279807959624</v>
      </c>
      <c r="BH269" s="1037">
        <f t="shared" si="113"/>
        <v>2.6137809028012406E-2</v>
      </c>
      <c r="BI269" s="11">
        <v>44451</v>
      </c>
      <c r="BJ269" s="715">
        <v>1.1466380181892234E-4</v>
      </c>
      <c r="BK269" s="715">
        <v>2.7884625595655369E-3</v>
      </c>
      <c r="BL269" s="715">
        <v>7.1874073149884371E-3</v>
      </c>
      <c r="BM269" s="715">
        <v>1.5283007202245451E-2</v>
      </c>
      <c r="BN269" s="715">
        <v>2.8869559486933483E-2</v>
      </c>
      <c r="BO269" s="716">
        <v>5.1626343978439931E-2</v>
      </c>
      <c r="BP269" s="715">
        <v>8.3202974743112459E-2</v>
      </c>
      <c r="BQ269" s="715">
        <v>0.12695997634799983</v>
      </c>
      <c r="BR269" s="715">
        <v>0.17450289001949751</v>
      </c>
      <c r="BS269" s="715">
        <v>0.22589567305080671</v>
      </c>
      <c r="BT269" s="715">
        <v>0.2751956323444697</v>
      </c>
      <c r="BW269" s="1185">
        <f>'2019'!R\Max</f>
        <v>1.0135653870932468</v>
      </c>
      <c r="BX269" s="1185">
        <f>'2020'!R\Max</f>
        <v>0.93648430056215748</v>
      </c>
      <c r="BY269" s="1185">
        <f>'2021'!R\Max</f>
        <v>0.94618514019199496</v>
      </c>
      <c r="BZ269" s="1185">
        <f>'2022'!R\Max</f>
        <v>0.77681983282302758</v>
      </c>
      <c r="CA269" s="1185">
        <f>'2023'!R\Max</f>
        <v>0.77642783982892227</v>
      </c>
      <c r="CB269" s="1185">
        <f>'2024'!R\Max</f>
        <v>0.7759870195662163</v>
      </c>
      <c r="CC269" s="1185">
        <f>'2025'!R\Max</f>
        <v>0.77544109138981976</v>
      </c>
      <c r="CD269" s="1185">
        <f>'2026'!R\Max</f>
        <v>0.77772216603784128</v>
      </c>
      <c r="CE269" s="1186">
        <f>'2027'!R\Max</f>
        <v>0.77744115257194979</v>
      </c>
      <c r="CF269" s="1187">
        <f>'2028'!R\Max</f>
        <v>0.77715970208544694</v>
      </c>
    </row>
    <row r="270" spans="1:84" s="6" customFormat="1" ht="11.25" x14ac:dyDescent="0.2">
      <c r="A270" s="11">
        <v>43356</v>
      </c>
      <c r="B270" s="379">
        <f>'2022'!Maxi_hp</f>
        <v>48.157798418886934</v>
      </c>
      <c r="C270" s="13">
        <f>'2022'!An_max</f>
        <v>2020</v>
      </c>
      <c r="D270" s="1046">
        <f t="shared" si="97"/>
        <v>0.97188828544944772</v>
      </c>
      <c r="E270" s="13"/>
      <c r="F270" s="13">
        <f t="shared" si="114"/>
        <v>19</v>
      </c>
      <c r="G270" s="13">
        <f t="shared" si="98"/>
        <v>20</v>
      </c>
      <c r="H270" s="173">
        <f t="shared" si="99"/>
        <v>43346</v>
      </c>
      <c r="I270" s="742">
        <f t="shared" si="100"/>
        <v>0.7142857142857143</v>
      </c>
      <c r="J270" s="735">
        <f t="shared" si="101"/>
        <v>49.550755102080956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39">
        <v>43356</v>
      </c>
      <c r="AP270" s="13">
        <f t="shared" si="102"/>
        <v>11</v>
      </c>
      <c r="AQ270" s="13">
        <f t="shared" si="103"/>
        <v>10</v>
      </c>
      <c r="AR270" s="173">
        <f t="shared" si="104"/>
        <v>43360</v>
      </c>
      <c r="AS270" s="742">
        <f t="shared" si="105"/>
        <v>0.14285714285714285</v>
      </c>
      <c r="AT270" s="758">
        <f t="shared" si="106"/>
        <v>49.521485713922559</v>
      </c>
      <c r="AU270" s="13">
        <f t="shared" si="107"/>
        <v>11</v>
      </c>
      <c r="AV270" s="13">
        <f t="shared" si="108"/>
        <v>10</v>
      </c>
      <c r="AW270" s="173">
        <f t="shared" si="109"/>
        <v>43374</v>
      </c>
      <c r="AX270" s="742">
        <f t="shared" si="110"/>
        <v>0.6428571428571429</v>
      </c>
      <c r="AY270" s="758">
        <f t="shared" si="111"/>
        <v>49.507104591586234</v>
      </c>
      <c r="AZ270" s="735">
        <f t="shared" si="115"/>
        <v>49.5142951527544</v>
      </c>
      <c r="BA270" s="633">
        <f t="shared" si="112"/>
        <v>0.97188828544944772</v>
      </c>
      <c r="BC270" s="11">
        <v>43356</v>
      </c>
      <c r="BD270" s="289">
        <f>[3]!FeuilCaduc*(1-Persistant)+Persistant</f>
        <v>0.98577049816296836</v>
      </c>
      <c r="BE270" s="290">
        <f>[3]!CroissVégét</f>
        <v>0.98053659949953242</v>
      </c>
      <c r="BF270" s="804">
        <f>1+[3]!Salcycl*Ksac</f>
        <v>1.0464426245407421</v>
      </c>
      <c r="BH270" s="1037">
        <f t="shared" si="113"/>
        <v>2.6323112146658917E-2</v>
      </c>
      <c r="BI270" s="11">
        <v>44452</v>
      </c>
      <c r="BJ270" s="715">
        <v>1.2754655485162249E-4</v>
      </c>
      <c r="BK270" s="715">
        <v>2.8066031291561506E-3</v>
      </c>
      <c r="BL270" s="715">
        <v>7.2398234836482406E-3</v>
      </c>
      <c r="BM270" s="715">
        <v>1.540828121526326E-2</v>
      </c>
      <c r="BN270" s="715">
        <v>2.9069969701912286E-2</v>
      </c>
      <c r="BO270" s="716">
        <v>5.2107473072033346E-2</v>
      </c>
      <c r="BP270" s="715">
        <v>8.3512465737554178E-2</v>
      </c>
      <c r="BQ270" s="715">
        <v>0.12642232729691968</v>
      </c>
      <c r="BR270" s="715">
        <v>0.17269520666570548</v>
      </c>
      <c r="BS270" s="715">
        <v>0.22366497118818401</v>
      </c>
      <c r="BT270" s="715">
        <v>0.27365286456769972</v>
      </c>
      <c r="BW270" s="1185">
        <f>'2019'!R\Max</f>
        <v>0.88864593946025094</v>
      </c>
      <c r="BX270" s="1185">
        <f>'2020'!R\Max</f>
        <v>0.97188828544944772</v>
      </c>
      <c r="BY270" s="1185">
        <f>'2021'!R\Max</f>
        <v>0.76700649169162138</v>
      </c>
      <c r="BZ270" s="1185">
        <f>'2022'!R\Max</f>
        <v>0.24558496689002965</v>
      </c>
      <c r="CA270" s="1185">
        <f>'2023'!R\Max</f>
        <v>0.24519655448880751</v>
      </c>
      <c r="CB270" s="1185">
        <f>'2024'!R\Max</f>
        <v>0.24476302911295703</v>
      </c>
      <c r="CC270" s="1185">
        <f>'2025'!R\Max</f>
        <v>0.24423232615938864</v>
      </c>
      <c r="CD270" s="1185">
        <f>'2026'!R\Max</f>
        <v>0.2464927099312936</v>
      </c>
      <c r="CE270" s="1186">
        <f>'2027'!R\Max</f>
        <v>0.24620778542589869</v>
      </c>
      <c r="CF270" s="1187">
        <f>'2028'!R\Max</f>
        <v>0.24592286092050381</v>
      </c>
    </row>
    <row r="271" spans="1:84" s="6" customFormat="1" ht="11.25" x14ac:dyDescent="0.2">
      <c r="A271" s="11">
        <v>43357</v>
      </c>
      <c r="B271" s="379">
        <f>'2022'!Maxi_hp</f>
        <v>47.866073313841895</v>
      </c>
      <c r="C271" s="13">
        <f>'2022'!An_max</f>
        <v>2020</v>
      </c>
      <c r="D271" s="1046">
        <f t="shared" ref="D271:D334" si="116">IF($BA271&gt;$D$11,BA271,"")</f>
        <v>0.97054218700240791</v>
      </c>
      <c r="E271" s="13"/>
      <c r="F271" s="13">
        <f t="shared" si="114"/>
        <v>19</v>
      </c>
      <c r="G271" s="13">
        <f t="shared" ref="G271:G334" si="117">INT((MATCH($A271,x.2m)+1)/2)*2</f>
        <v>20</v>
      </c>
      <c r="H271" s="173">
        <f t="shared" ref="H271:H334" si="118">INDEX(x.2m,F271)</f>
        <v>43346</v>
      </c>
      <c r="I271" s="742">
        <f t="shared" ref="I271:I334" si="119">($A271-H271)/(INDEX(x.2m,G271)-H271)</f>
        <v>0.7857142857142857</v>
      </c>
      <c r="J271" s="735">
        <f t="shared" ref="J271:J334" si="120">((1-I271)*(INDEX(a.m,F271)*$A271*$A271+INDEX(b.m,F271)*$A271+INDEX(c.m,F271))+I271*(INDEX(a.m,G271)*$A271*$A271+INDEX(b.m,G271)*$A271+INDEX(c.m,G271)))/10</f>
        <v>49.318900254794528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39">
        <v>43357</v>
      </c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73">
        <f t="shared" ref="AR271:AR334" si="123">INDEX(x.2lg,AP271)</f>
        <v>43360</v>
      </c>
      <c r="AS271" s="742">
        <f t="shared" ref="AS271:AS334" si="124">($A271-AR271)/(INDEX(x.2lg,AQ271)-AR271)</f>
        <v>0.10714285714285714</v>
      </c>
      <c r="AT271" s="758">
        <f t="shared" ref="AT271:AT334" si="125">((1-AS271)*(INDEX(a.lg,AP271)*$A271*$A271+INDEX(b.lg,AP271)*$A271+INDEX(c.lg,AP271))+AS271*(INDEX(a.lg,AQ271)*$A271*$A271+INDEX(b.lg,AQ271)*$A271+INDEX(c.lg,AQ271)))/10</f>
        <v>49.298136830622596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73">
        <f t="shared" ref="AW271:AW334" si="128">INDEX(x.2ld,AU271)</f>
        <v>43374</v>
      </c>
      <c r="AX271" s="742">
        <f t="shared" ref="AX271:AX334" si="129">($A271-AW271)/(INDEX(x.2ld,AV271)-AW271)</f>
        <v>0.6071428571428571</v>
      </c>
      <c r="AY271" s="758">
        <f t="shared" ref="AY271:AY334" si="130">((1-AX271)*(INDEX(a.ld,AU271)*$A271*$A271+INDEX(b.ld,AU271)*$A271+INDEX(c.ld,AU271))+AX271*(INDEX(a.ld,AV271)*$A271*$A271+INDEX(b.ld,AV271)*$A271+INDEX(c.ld,AV271)))/10</f>
        <v>49.270536032671643</v>
      </c>
      <c r="AZ271" s="735">
        <f t="shared" si="115"/>
        <v>49.28433643164712</v>
      </c>
      <c r="BA271" s="633">
        <f t="shared" ref="BA271:BA334" si="131">+B271/J271</f>
        <v>0.97054218700240791</v>
      </c>
      <c r="BC271" s="11">
        <v>43357</v>
      </c>
      <c r="BD271" s="289">
        <f>[3]!FeuilCaduc*(1-Persistant)+Persistant</f>
        <v>0.98499688601861646</v>
      </c>
      <c r="BE271" s="290">
        <f>[3]!CroissVégét</f>
        <v>0.98131846090840358</v>
      </c>
      <c r="BF271" s="804">
        <f>1+[3]!Salcycl*Ksac</f>
        <v>1.0462492215046542</v>
      </c>
      <c r="BH271" s="1037">
        <f t="shared" ref="BH271:BH334" si="132">INDEX($BJ271:$BT271,,$BH$10)*(1-Ratini)+INDEX($BJ271:$BT271,,$BH$10+1)*Ratini</f>
        <v>2.6495557565469601E-2</v>
      </c>
      <c r="BI271" s="11">
        <v>44453</v>
      </c>
      <c r="BJ271" s="715">
        <v>1.4153341992518813E-4</v>
      </c>
      <c r="BK271" s="715">
        <v>2.8287044197910049E-3</v>
      </c>
      <c r="BL271" s="715">
        <v>7.296382746189563E-3</v>
      </c>
      <c r="BM271" s="715">
        <v>1.5522574572378591E-2</v>
      </c>
      <c r="BN271" s="715">
        <v>2.9257049834812952E-2</v>
      </c>
      <c r="BO271" s="716">
        <v>5.2498083684429132E-2</v>
      </c>
      <c r="BP271" s="715">
        <v>8.3642043305276789E-2</v>
      </c>
      <c r="BQ271" s="715">
        <v>0.12562255794815383</v>
      </c>
      <c r="BR271" s="715">
        <v>0.17085674812743154</v>
      </c>
      <c r="BS271" s="715">
        <v>0.22199902424196954</v>
      </c>
      <c r="BT271" s="715">
        <v>0.27358296724373438</v>
      </c>
      <c r="BW271" s="1185">
        <f>'2019'!R\Max</f>
        <v>0.79995397065851681</v>
      </c>
      <c r="BX271" s="1185">
        <f>'2020'!R\Max</f>
        <v>0.97054218700240791</v>
      </c>
      <c r="BY271" s="1185">
        <f>'2021'!R\Max</f>
        <v>0.49121651650703113</v>
      </c>
      <c r="BZ271" s="1185">
        <f>'2022'!R\Max</f>
        <v>0.83058337278899219</v>
      </c>
      <c r="CA271" s="1185">
        <f>'2023'!R\Max</f>
        <v>0.83026707847278791</v>
      </c>
      <c r="CB271" s="1185">
        <f>'2024'!R\Max</f>
        <v>0.8299149177763081</v>
      </c>
      <c r="CC271" s="1185">
        <f>'2025'!R\Max</f>
        <v>0.82948623112800857</v>
      </c>
      <c r="CD271" s="1185">
        <f>'2026'!R\Max</f>
        <v>0.83132795242879698</v>
      </c>
      <c r="CE271" s="1186">
        <f>'2027'!R\Max</f>
        <v>0.83109331794513586</v>
      </c>
      <c r="CF271" s="1187">
        <f>'2028'!R\Max</f>
        <v>0.83085826567398857</v>
      </c>
    </row>
    <row r="272" spans="1:84" s="6" customFormat="1" ht="11.25" x14ac:dyDescent="0.2">
      <c r="A272" s="11">
        <v>43358</v>
      </c>
      <c r="B272" s="379">
        <f>'2022'!Maxi_hp</f>
        <v>49.308768016515323</v>
      </c>
      <c r="C272" s="13">
        <f>'2022'!An_max</f>
        <v>2020</v>
      </c>
      <c r="D272" s="1046">
        <f t="shared" si="116"/>
        <v>1.0045754930942619</v>
      </c>
      <c r="E272" s="13"/>
      <c r="F272" s="13">
        <f t="shared" ref="F272:F335" si="133">INT(MATCH($A272,x.2m)/2)*2+1</f>
        <v>19</v>
      </c>
      <c r="G272" s="13">
        <f t="shared" si="117"/>
        <v>20</v>
      </c>
      <c r="H272" s="173">
        <f t="shared" si="118"/>
        <v>43346</v>
      </c>
      <c r="I272" s="742">
        <f t="shared" si="119"/>
        <v>0.8571428571428571</v>
      </c>
      <c r="J272" s="735">
        <f t="shared" si="120"/>
        <v>49.084183673081654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39">
        <v>43358</v>
      </c>
      <c r="AP272" s="13">
        <f t="shared" si="121"/>
        <v>11</v>
      </c>
      <c r="AQ272" s="13">
        <f t="shared" si="122"/>
        <v>10</v>
      </c>
      <c r="AR272" s="173">
        <f t="shared" si="123"/>
        <v>43360</v>
      </c>
      <c r="AS272" s="742">
        <f t="shared" si="124"/>
        <v>7.1428571428571425E-2</v>
      </c>
      <c r="AT272" s="758">
        <f t="shared" si="125"/>
        <v>49.071269642747936</v>
      </c>
      <c r="AU272" s="13">
        <f t="shared" si="126"/>
        <v>11</v>
      </c>
      <c r="AV272" s="13">
        <f t="shared" si="127"/>
        <v>10</v>
      </c>
      <c r="AW272" s="173">
        <f t="shared" si="128"/>
        <v>43374</v>
      </c>
      <c r="AX272" s="742">
        <f t="shared" si="129"/>
        <v>0.5714285714285714</v>
      </c>
      <c r="AY272" s="758">
        <f t="shared" si="130"/>
        <v>49.031151020500275</v>
      </c>
      <c r="AZ272" s="735">
        <f t="shared" ref="AZ272:AZ335" si="134">(AY272+AT272)/2</f>
        <v>49.051210331624105</v>
      </c>
      <c r="BA272" s="633">
        <f t="shared" si="131"/>
        <v>1.0045754930942619</v>
      </c>
      <c r="BC272" s="11">
        <v>43358</v>
      </c>
      <c r="BD272" s="289">
        <f>[3]!FeuilCaduc*(1-Persistant)+Persistant</f>
        <v>0.98418984363898465</v>
      </c>
      <c r="BE272" s="290">
        <f>[3]!CroissVégét</f>
        <v>0.98207001412819972</v>
      </c>
      <c r="BF272" s="804">
        <f>1+[3]!Salcycl*Ksac</f>
        <v>1.0460474609097461</v>
      </c>
      <c r="BH272" s="1037">
        <f t="shared" si="132"/>
        <v>2.6655145917379278E-2</v>
      </c>
      <c r="BI272" s="11">
        <v>44454</v>
      </c>
      <c r="BJ272" s="715">
        <v>1.5662560592025353E-4</v>
      </c>
      <c r="BK272" s="715">
        <v>2.8547702943890418E-3</v>
      </c>
      <c r="BL272" s="715">
        <v>7.3570908584842786E-3</v>
      </c>
      <c r="BM272" s="715">
        <v>1.5625885664572115E-2</v>
      </c>
      <c r="BN272" s="715">
        <v>2.9430801082786881E-2</v>
      </c>
      <c r="BO272" s="716">
        <v>5.2798133628063876E-2</v>
      </c>
      <c r="BP272" s="715">
        <v>8.3591600662055648E-2</v>
      </c>
      <c r="BQ272" s="715">
        <v>0.12456048341216645</v>
      </c>
      <c r="BR272" s="715">
        <v>0.16898746518780974</v>
      </c>
      <c r="BS272" s="715">
        <v>0.22089820781838232</v>
      </c>
      <c r="BT272" s="715">
        <v>0.27498699985555281</v>
      </c>
      <c r="BW272" s="1185">
        <f>'2019'!R\Max</f>
        <v>0.83114510248018403</v>
      </c>
      <c r="BX272" s="1185">
        <f>'2020'!R\Max</f>
        <v>1.0045754930942619</v>
      </c>
      <c r="BY272" s="1185">
        <f>'2021'!R\Max</f>
        <v>0.60473356457254235</v>
      </c>
      <c r="BZ272" s="1185">
        <f>'2022'!R\Max</f>
        <v>0.93343624719011242</v>
      </c>
      <c r="CA272" s="1185">
        <f>'2023'!R\Max</f>
        <v>0.93329757905191024</v>
      </c>
      <c r="CB272" s="1185">
        <f>'2024'!R\Max</f>
        <v>0.9331438551310447</v>
      </c>
      <c r="CC272" s="1185">
        <f>'2025'!R\Max</f>
        <v>0.93295817350085986</v>
      </c>
      <c r="CD272" s="1185">
        <f>'2026'!R\Max</f>
        <v>0.9337660537432052</v>
      </c>
      <c r="CE272" s="1186">
        <f>'2027'!R\Max</f>
        <v>0.93366157076253864</v>
      </c>
      <c r="CF272" s="1187">
        <f>'2028'!R\Max</f>
        <v>0.93355686371736368</v>
      </c>
    </row>
    <row r="273" spans="1:84" s="6" customFormat="1" ht="11.25" x14ac:dyDescent="0.2">
      <c r="A273" s="11">
        <v>43359</v>
      </c>
      <c r="B273" s="379">
        <f>'2022'!Maxi_hp</f>
        <v>44.025352482191991</v>
      </c>
      <c r="C273" s="13">
        <f>'2022'!An_max</f>
        <v>2018</v>
      </c>
      <c r="D273" s="1046" t="str">
        <f t="shared" si="116"/>
        <v/>
      </c>
      <c r="E273" s="13"/>
      <c r="F273" s="13">
        <f t="shared" si="133"/>
        <v>19</v>
      </c>
      <c r="G273" s="13">
        <f t="shared" si="117"/>
        <v>20</v>
      </c>
      <c r="H273" s="173">
        <f t="shared" si="118"/>
        <v>43346</v>
      </c>
      <c r="I273" s="742">
        <f t="shared" si="119"/>
        <v>0.9285714285714286</v>
      </c>
      <c r="J273" s="735">
        <f t="shared" si="120"/>
        <v>48.846714030206201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39">
        <v>43359</v>
      </c>
      <c r="AP273" s="13">
        <f t="shared" si="121"/>
        <v>11</v>
      </c>
      <c r="AQ273" s="13">
        <f t="shared" si="122"/>
        <v>10</v>
      </c>
      <c r="AR273" s="173">
        <f t="shared" si="123"/>
        <v>43360</v>
      </c>
      <c r="AS273" s="742">
        <f t="shared" si="124"/>
        <v>3.5714285714285712E-2</v>
      </c>
      <c r="AT273" s="758">
        <f t="shared" si="125"/>
        <v>48.840789062849112</v>
      </c>
      <c r="AU273" s="13">
        <f t="shared" si="126"/>
        <v>11</v>
      </c>
      <c r="AV273" s="13">
        <f t="shared" si="127"/>
        <v>10</v>
      </c>
      <c r="AW273" s="173">
        <f t="shared" si="128"/>
        <v>43374</v>
      </c>
      <c r="AX273" s="742">
        <f t="shared" si="129"/>
        <v>0.5357142857142857</v>
      </c>
      <c r="AY273" s="758">
        <f t="shared" si="130"/>
        <v>48.789085394929032</v>
      </c>
      <c r="AZ273" s="735">
        <f t="shared" si="134"/>
        <v>48.814937228889072</v>
      </c>
      <c r="BA273" s="633">
        <f t="shared" si="131"/>
        <v>0.90129609240382602</v>
      </c>
      <c r="BC273" s="11">
        <v>43359</v>
      </c>
      <c r="BD273" s="289">
        <f>[3]!FeuilCaduc*(1-Persistant)+Persistant</f>
        <v>0.98334809228712805</v>
      </c>
      <c r="BE273" s="290">
        <f>[3]!CroissVégét</f>
        <v>0.98279238947199099</v>
      </c>
      <c r="BF273" s="804">
        <f>1+[3]!Salcycl*Ksac</f>
        <v>1.0458370230717819</v>
      </c>
      <c r="BH273" s="1037">
        <f t="shared" si="132"/>
        <v>2.68018771311598E-2</v>
      </c>
      <c r="BI273" s="11">
        <v>44455</v>
      </c>
      <c r="BJ273" s="715">
        <v>1.7282439976561986E-4</v>
      </c>
      <c r="BK273" s="715">
        <v>2.8848048750139974E-3</v>
      </c>
      <c r="BL273" s="715">
        <v>7.4219538666892909E-3</v>
      </c>
      <c r="BM273" s="715">
        <v>1.5718212264750436E-2</v>
      </c>
      <c r="BN273" s="715">
        <v>2.9591223917157145E-2</v>
      </c>
      <c r="BO273" s="716">
        <v>5.3007575306596152E-2</v>
      </c>
      <c r="BP273" s="715">
        <v>8.3361019851831031E-2</v>
      </c>
      <c r="BQ273" s="715">
        <v>0.12323590185085906</v>
      </c>
      <c r="BR273" s="715">
        <v>0.16708730533604468</v>
      </c>
      <c r="BS273" s="715">
        <v>0.22036293135755655</v>
      </c>
      <c r="BT273" s="715">
        <v>0.27786611325882077</v>
      </c>
      <c r="BW273" s="1185">
        <f>'2019'!R\Max</f>
        <v>0.90129609240382602</v>
      </c>
      <c r="BX273" s="1185">
        <f>'2020'!R\Max</f>
        <v>0.8291506617357669</v>
      </c>
      <c r="BY273" s="1185">
        <f>'2021'!R\Max</f>
        <v>0.47031450678775066</v>
      </c>
      <c r="BZ273" s="1185">
        <f>'2022'!R\Max</f>
        <v>0.55675465393799684</v>
      </c>
      <c r="CA273" s="1185">
        <f>'2023'!R\Max</f>
        <v>0.55621004968373311</v>
      </c>
      <c r="CB273" s="1185">
        <f>'2024'!R\Max</f>
        <v>0.55561018002474516</v>
      </c>
      <c r="CC273" s="1185">
        <f>'2025'!R\Max</f>
        <v>0.55489289850744805</v>
      </c>
      <c r="CD273" s="1185">
        <f>'2026'!R\Max</f>
        <v>0.5580679145887546</v>
      </c>
      <c r="CE273" s="1186">
        <f>'2027'!R\Max</f>
        <v>0.55764898455094047</v>
      </c>
      <c r="CF273" s="1187">
        <f>'2028'!R\Max</f>
        <v>0.55722968669646356</v>
      </c>
    </row>
    <row r="274" spans="1:84" s="6" customFormat="1" ht="11.25" x14ac:dyDescent="0.2">
      <c r="A274" s="11">
        <v>43360</v>
      </c>
      <c r="B274" s="379">
        <f>'2022'!Maxi_hp</f>
        <v>50.210233541506341</v>
      </c>
      <c r="C274" s="13">
        <f>'2022'!An_max</f>
        <v>2022</v>
      </c>
      <c r="D274" s="1046">
        <f t="shared" si="116"/>
        <v>1.0329920945130591</v>
      </c>
      <c r="E274" s="1041">
        <f>AF$13/10</f>
        <v>48.6066</v>
      </c>
      <c r="F274" s="13">
        <f t="shared" si="133"/>
        <v>21</v>
      </c>
      <c r="G274" s="13">
        <f t="shared" si="117"/>
        <v>20</v>
      </c>
      <c r="H274" s="173">
        <f t="shared" si="118"/>
        <v>43374</v>
      </c>
      <c r="I274" s="742">
        <f t="shared" si="119"/>
        <v>1</v>
      </c>
      <c r="J274" s="735">
        <f t="shared" si="120"/>
        <v>48.606600000336769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39">
        <v>43360</v>
      </c>
      <c r="AP274" s="13">
        <f t="shared" si="121"/>
        <v>11</v>
      </c>
      <c r="AQ274" s="13">
        <f t="shared" si="122"/>
        <v>12</v>
      </c>
      <c r="AR274" s="173">
        <f t="shared" si="123"/>
        <v>43360</v>
      </c>
      <c r="AS274" s="742">
        <f t="shared" si="124"/>
        <v>0</v>
      </c>
      <c r="AT274" s="758">
        <f t="shared" si="125"/>
        <v>48.606599999964239</v>
      </c>
      <c r="AU274" s="13">
        <f t="shared" si="126"/>
        <v>11</v>
      </c>
      <c r="AV274" s="13">
        <f t="shared" si="127"/>
        <v>10</v>
      </c>
      <c r="AW274" s="173">
        <f t="shared" si="128"/>
        <v>43374</v>
      </c>
      <c r="AX274" s="742">
        <f t="shared" si="129"/>
        <v>0.5</v>
      </c>
      <c r="AY274" s="758">
        <f t="shared" si="130"/>
        <v>48.544474999979137</v>
      </c>
      <c r="AZ274" s="735">
        <f t="shared" si="134"/>
        <v>48.575537499971688</v>
      </c>
      <c r="BA274" s="633">
        <f t="shared" si="131"/>
        <v>1.0329920945130591</v>
      </c>
      <c r="BC274" s="11">
        <v>43360</v>
      </c>
      <c r="BD274" s="289">
        <f>[3]!FeuilCaduc*(1-Persistant)+Persistant</f>
        <v>0.98247032062508133</v>
      </c>
      <c r="BE274" s="290">
        <f>[3]!CroissVégét</f>
        <v>0.98348667856218763</v>
      </c>
      <c r="BF274" s="804">
        <f>1+[3]!Salcycl*Ksac</f>
        <v>1.0456175801562704</v>
      </c>
      <c r="BH274" s="1037">
        <f t="shared" si="132"/>
        <v>2.6935750408577479E-2</v>
      </c>
      <c r="BI274" s="11">
        <v>44456</v>
      </c>
      <c r="BJ274" s="715">
        <v>1.9013116837164669E-4</v>
      </c>
      <c r="BK274" s="715">
        <v>2.918812549824647E-3</v>
      </c>
      <c r="BL274" s="715">
        <v>7.4909781144799244E-3</v>
      </c>
      <c r="BM274" s="715">
        <v>1.57995515082822E-2</v>
      </c>
      <c r="BN274" s="715">
        <v>2.9738318059725599E-2</v>
      </c>
      <c r="BO274" s="716">
        <v>5.3126355555075812E-2</v>
      </c>
      <c r="BP274" s="715">
        <v>8.2950171429571201E-2</v>
      </c>
      <c r="BQ274" s="715">
        <v>0.12164859401625522</v>
      </c>
      <c r="BR274" s="715">
        <v>0.16515621271412925</v>
      </c>
      <c r="BS274" s="715">
        <v>0.22039363912866863</v>
      </c>
      <c r="BT274" s="715">
        <v>0.28222155227479656</v>
      </c>
      <c r="BW274" s="1185">
        <f>'2019'!R\Max</f>
        <v>0.88800630448541007</v>
      </c>
      <c r="BX274" s="1185">
        <f>'2020'!R\Max</f>
        <v>0.85192840716147833</v>
      </c>
      <c r="BY274" s="1185">
        <f>'2021'!R\Max</f>
        <v>0.78753122198442227</v>
      </c>
      <c r="BZ274" s="1185">
        <f>'2022'!R\Max</f>
        <v>1.0329920945130591</v>
      </c>
      <c r="CA274" s="1185">
        <f>'2023'!R\Max</f>
        <v>1.0329920945130593</v>
      </c>
      <c r="CB274" s="1185">
        <f>'2024'!R\Max</f>
        <v>1.0329920945130595</v>
      </c>
      <c r="CC274" s="1185">
        <f>'2025'!R\Max</f>
        <v>1.0329920945130593</v>
      </c>
      <c r="CD274" s="1185">
        <f>'2026'!R\Max</f>
        <v>1.0329920945130591</v>
      </c>
      <c r="CE274" s="1186">
        <f>'2027'!R\Max</f>
        <v>1.0329920945130595</v>
      </c>
      <c r="CF274" s="1187">
        <f>'2028'!R\Max</f>
        <v>1.0329920945130593</v>
      </c>
    </row>
    <row r="275" spans="1:84" s="6" customFormat="1" ht="11.25" x14ac:dyDescent="0.2">
      <c r="A275" s="11">
        <v>43361</v>
      </c>
      <c r="B275" s="379">
        <f>'2022'!Maxi_hp</f>
        <v>49.42043976058256</v>
      </c>
      <c r="C275" s="13">
        <f>'2022'!An_max</f>
        <v>2022</v>
      </c>
      <c r="D275" s="1046">
        <f t="shared" si="116"/>
        <v>1.0218602561464745</v>
      </c>
      <c r="E275" s="13"/>
      <c r="F275" s="13">
        <f t="shared" si="133"/>
        <v>21</v>
      </c>
      <c r="G275" s="13">
        <f t="shared" si="117"/>
        <v>20</v>
      </c>
      <c r="H275" s="173">
        <f t="shared" si="118"/>
        <v>43374</v>
      </c>
      <c r="I275" s="742">
        <f t="shared" si="119"/>
        <v>0.9285714285714286</v>
      </c>
      <c r="J275" s="735">
        <f t="shared" si="120"/>
        <v>48.363207653218083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39">
        <v>43361</v>
      </c>
      <c r="AP275" s="13">
        <f t="shared" si="121"/>
        <v>11</v>
      </c>
      <c r="AQ275" s="13">
        <f t="shared" si="122"/>
        <v>12</v>
      </c>
      <c r="AR275" s="173">
        <f t="shared" si="123"/>
        <v>43360</v>
      </c>
      <c r="AS275" s="742">
        <f t="shared" si="124"/>
        <v>3.5714285714285712E-2</v>
      </c>
      <c r="AT275" s="758">
        <f t="shared" si="125"/>
        <v>48.367722130271645</v>
      </c>
      <c r="AU275" s="13">
        <f t="shared" si="126"/>
        <v>11</v>
      </c>
      <c r="AV275" s="13">
        <f t="shared" si="127"/>
        <v>10</v>
      </c>
      <c r="AW275" s="173">
        <f t="shared" si="128"/>
        <v>43374</v>
      </c>
      <c r="AX275" s="742">
        <f t="shared" si="129"/>
        <v>0.4642857142857143</v>
      </c>
      <c r="AY275" s="758">
        <f t="shared" si="130"/>
        <v>48.29745567593325</v>
      </c>
      <c r="AZ275" s="735">
        <f t="shared" si="134"/>
        <v>48.332588903102447</v>
      </c>
      <c r="BA275" s="633">
        <f t="shared" si="131"/>
        <v>1.0218602561464745</v>
      </c>
      <c r="BC275" s="11">
        <v>43361</v>
      </c>
      <c r="BD275" s="289">
        <f>[3]!FeuilCaduc*(1-Persistant)+Persistant</f>
        <v>0.98155518844534817</v>
      </c>
      <c r="BE275" s="290">
        <f>[3]!CroissVégét</f>
        <v>0.98415393538190332</v>
      </c>
      <c r="BF275" s="804">
        <f>1+[3]!Salcycl*Ksac</f>
        <v>1.0453887971113371</v>
      </c>
      <c r="BH275" s="1037">
        <f t="shared" si="132"/>
        <v>2.7056764200735387E-2</v>
      </c>
      <c r="BI275" s="11">
        <v>44457</v>
      </c>
      <c r="BJ275" s="715">
        <v>2.085473605588608E-4</v>
      </c>
      <c r="BK275" s="715">
        <v>2.9567979799378866E-3</v>
      </c>
      <c r="BL275" s="715">
        <v>7.5641702500585878E-3</v>
      </c>
      <c r="BM275" s="715">
        <v>1.5869899873056367E-2</v>
      </c>
      <c r="BN275" s="715">
        <v>2.9872082458180016E-2</v>
      </c>
      <c r="BO275" s="716">
        <v>5.315441547849669E-2</v>
      </c>
      <c r="BP275" s="715">
        <v>8.2358914141576089E-2</v>
      </c>
      <c r="BQ275" s="715">
        <v>0.11979832278537415</v>
      </c>
      <c r="BR275" s="715">
        <v>0.16319412805840278</v>
      </c>
      <c r="BS275" s="715">
        <v>0.2209908112183348</v>
      </c>
      <c r="BT275" s="715">
        <v>0.28805465827487559</v>
      </c>
      <c r="BW275" s="1185">
        <f>'2019'!R\Max</f>
        <v>0.60059462189063084</v>
      </c>
      <c r="BX275" s="1185">
        <f>'2020'!R\Max</f>
        <v>0.9146128771876052</v>
      </c>
      <c r="BY275" s="1185">
        <f>'2021'!R\Max</f>
        <v>0.17682965557816538</v>
      </c>
      <c r="BZ275" s="1185">
        <f>'2022'!R\Max</f>
        <v>1.0218602561464745</v>
      </c>
      <c r="CA275" s="1185">
        <f>'2023'!R\Max</f>
        <v>1.0218602561464745</v>
      </c>
      <c r="CB275" s="1185">
        <f>'2024'!R\Max</f>
        <v>1.0218602561464742</v>
      </c>
      <c r="CC275" s="1185">
        <f>'2025'!R\Max</f>
        <v>1.0218602561464745</v>
      </c>
      <c r="CD275" s="1185">
        <f>'2026'!R\Max</f>
        <v>1.0218602561464745</v>
      </c>
      <c r="CE275" s="1186">
        <f>'2027'!R\Max</f>
        <v>1.0218602561464745</v>
      </c>
      <c r="CF275" s="1187">
        <f>'2028'!R\Max</f>
        <v>1.0218602561464742</v>
      </c>
    </row>
    <row r="276" spans="1:84" s="6" customFormat="1" ht="11.25" x14ac:dyDescent="0.2">
      <c r="A276" s="11">
        <v>43362</v>
      </c>
      <c r="B276" s="379">
        <f>'2022'!Maxi_hp</f>
        <v>47.650088972377581</v>
      </c>
      <c r="C276" s="13">
        <f>'2022'!An_max</f>
        <v>2022</v>
      </c>
      <c r="D276" s="1046">
        <f t="shared" si="116"/>
        <v>0.99031742507644449</v>
      </c>
      <c r="E276" s="13"/>
      <c r="F276" s="13">
        <f t="shared" si="133"/>
        <v>21</v>
      </c>
      <c r="G276" s="13">
        <f t="shared" si="117"/>
        <v>20</v>
      </c>
      <c r="H276" s="173">
        <f t="shared" si="118"/>
        <v>43374</v>
      </c>
      <c r="I276" s="742">
        <f t="shared" si="119"/>
        <v>0.8571428571428571</v>
      </c>
      <c r="J276" s="735">
        <f t="shared" si="120"/>
        <v>48.115975510275788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39">
        <v>43362</v>
      </c>
      <c r="AP276" s="13">
        <f t="shared" si="121"/>
        <v>11</v>
      </c>
      <c r="AQ276" s="13">
        <f t="shared" si="122"/>
        <v>12</v>
      </c>
      <c r="AR276" s="173">
        <f t="shared" si="123"/>
        <v>43360</v>
      </c>
      <c r="AS276" s="742">
        <f t="shared" si="124"/>
        <v>7.1428571428571425E-2</v>
      </c>
      <c r="AT276" s="758">
        <f t="shared" si="125"/>
        <v>48.123437754992793</v>
      </c>
      <c r="AU276" s="13">
        <f t="shared" si="126"/>
        <v>11</v>
      </c>
      <c r="AV276" s="13">
        <f t="shared" si="127"/>
        <v>10</v>
      </c>
      <c r="AW276" s="173">
        <f t="shared" si="128"/>
        <v>43374</v>
      </c>
      <c r="AX276" s="742">
        <f t="shared" si="129"/>
        <v>0.42857142857142855</v>
      </c>
      <c r="AY276" s="758">
        <f t="shared" si="130"/>
        <v>48.048163265309157</v>
      </c>
      <c r="AZ276" s="735">
        <f t="shared" si="134"/>
        <v>48.085800510150975</v>
      </c>
      <c r="BA276" s="633">
        <f t="shared" si="131"/>
        <v>0.99031742507644449</v>
      </c>
      <c r="BC276" s="11">
        <v>43362</v>
      </c>
      <c r="BD276" s="289">
        <f>[3]!FeuilCaduc*(1-Persistant)+Persistant</f>
        <v>0.98060133112518399</v>
      </c>
      <c r="BE276" s="290">
        <f>[3]!CroissVégét</f>
        <v>0.98479517732042654</v>
      </c>
      <c r="BF276" s="804">
        <f>1+[3]!Salcycl*Ksac</f>
        <v>1.0451503327812959</v>
      </c>
      <c r="BH276" s="1037">
        <f t="shared" si="132"/>
        <v>2.7131842479211146E-2</v>
      </c>
      <c r="BI276" s="11">
        <v>44458</v>
      </c>
      <c r="BJ276" s="715">
        <v>2.2703747265224344E-4</v>
      </c>
      <c r="BK276" s="715">
        <v>2.9959859051271287E-3</v>
      </c>
      <c r="BL276" s="715">
        <v>7.6348042418572975E-3</v>
      </c>
      <c r="BM276" s="715">
        <v>1.5921710489519764E-2</v>
      </c>
      <c r="BN276" s="715">
        <v>2.995301634299484E-2</v>
      </c>
      <c r="BO276" s="716">
        <v>5.3017302549190064E-2</v>
      </c>
      <c r="BP276" s="715">
        <v>8.1552022984710718E-2</v>
      </c>
      <c r="BQ276" s="715">
        <v>0.11786720822805154</v>
      </c>
      <c r="BR276" s="715">
        <v>0.16167922149474162</v>
      </c>
      <c r="BS276" s="715">
        <v>0.22279798363726788</v>
      </c>
      <c r="BT276" s="715">
        <v>0.29597516289543535</v>
      </c>
      <c r="BW276" s="1185">
        <f>'2019'!R\Max</f>
        <v>0.75376672227808783</v>
      </c>
      <c r="BX276" s="1185">
        <f>'2020'!R\Max</f>
        <v>0.46747355245587863</v>
      </c>
      <c r="BY276" s="1185">
        <f>'2021'!R\Max</f>
        <v>0.75043356273270589</v>
      </c>
      <c r="BZ276" s="1185">
        <f>'2022'!R\Max</f>
        <v>0.99031742507644449</v>
      </c>
      <c r="CA276" s="1185">
        <f>'2023'!R\Max</f>
        <v>0.99029726908020543</v>
      </c>
      <c r="CB276" s="1185">
        <f>'2024'!R\Max</f>
        <v>0.99027528058119685</v>
      </c>
      <c r="CC276" s="1185">
        <f>'2025'!R\Max</f>
        <v>0.9902494621356901</v>
      </c>
      <c r="CD276" s="1185">
        <f>'2026'!R\Max</f>
        <v>0.99036741442258525</v>
      </c>
      <c r="CE276" s="1186">
        <f>'2027'!R\Max</f>
        <v>0.99035124442043809</v>
      </c>
      <c r="CF276" s="1187">
        <f>'2028'!R\Max</f>
        <v>0.99033503651605337</v>
      </c>
    </row>
    <row r="277" spans="1:84" s="6" customFormat="1" ht="11.25" x14ac:dyDescent="0.2">
      <c r="A277" s="11">
        <v>43363</v>
      </c>
      <c r="B277" s="379">
        <f>'2022'!Maxi_hp</f>
        <v>48.889969383535792</v>
      </c>
      <c r="C277" s="13">
        <f>'2022'!An_max</f>
        <v>2018</v>
      </c>
      <c r="D277" s="1046">
        <f t="shared" si="116"/>
        <v>1.0214111746858425</v>
      </c>
      <c r="E277" s="13"/>
      <c r="F277" s="13">
        <f t="shared" si="133"/>
        <v>21</v>
      </c>
      <c r="G277" s="13">
        <f t="shared" si="117"/>
        <v>20</v>
      </c>
      <c r="H277" s="173">
        <f t="shared" si="118"/>
        <v>43374</v>
      </c>
      <c r="I277" s="742">
        <f t="shared" si="119"/>
        <v>0.7857142857142857</v>
      </c>
      <c r="J277" s="735">
        <f t="shared" si="120"/>
        <v>47.865120918197292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39">
        <v>43363</v>
      </c>
      <c r="AP277" s="13">
        <f t="shared" si="121"/>
        <v>11</v>
      </c>
      <c r="AQ277" s="13">
        <f t="shared" si="122"/>
        <v>12</v>
      </c>
      <c r="AR277" s="173">
        <f t="shared" si="123"/>
        <v>43360</v>
      </c>
      <c r="AS277" s="742">
        <f t="shared" si="124"/>
        <v>0.10714285714285714</v>
      </c>
      <c r="AT277" s="758">
        <f t="shared" si="125"/>
        <v>47.874045727215716</v>
      </c>
      <c r="AU277" s="13">
        <f t="shared" si="126"/>
        <v>11</v>
      </c>
      <c r="AV277" s="13">
        <f t="shared" si="127"/>
        <v>10</v>
      </c>
      <c r="AW277" s="173">
        <f t="shared" si="128"/>
        <v>43374</v>
      </c>
      <c r="AX277" s="742">
        <f t="shared" si="129"/>
        <v>0.39285714285714285</v>
      </c>
      <c r="AY277" s="758">
        <f t="shared" si="130"/>
        <v>47.796733609566999</v>
      </c>
      <c r="AZ277" s="735">
        <f t="shared" si="134"/>
        <v>47.835389668391358</v>
      </c>
      <c r="BA277" s="633">
        <f t="shared" si="131"/>
        <v>1.0214111746858425</v>
      </c>
      <c r="BC277" s="11">
        <v>43363</v>
      </c>
      <c r="BD277" s="289">
        <f>[3]!FeuilCaduc*(1-Persistant)+Persistant</f>
        <v>0.97960736481078747</v>
      </c>
      <c r="BE277" s="290">
        <f>[3]!CroissVégét</f>
        <v>0.98541138621054403</v>
      </c>
      <c r="BF277" s="804">
        <f>1+[3]!Salcycl*Ksac</f>
        <v>1.0449018412026969</v>
      </c>
      <c r="BH277" s="1037">
        <f t="shared" si="132"/>
        <v>2.7170328974433357E-2</v>
      </c>
      <c r="BI277" s="11">
        <v>44459</v>
      </c>
      <c r="BJ277" s="715">
        <v>2.453212159516421E-4</v>
      </c>
      <c r="BK277" s="715">
        <v>3.0353494288132762E-3</v>
      </c>
      <c r="BL277" s="715">
        <v>7.6982709102745772E-3</v>
      </c>
      <c r="BM277" s="715">
        <v>1.5960204161473448E-2</v>
      </c>
      <c r="BN277" s="715">
        <v>2.9991501032100291E-2</v>
      </c>
      <c r="BO277" s="716">
        <v>5.2743841748903147E-2</v>
      </c>
      <c r="BP277" s="715">
        <v>8.0585994316880627E-2</v>
      </c>
      <c r="BQ277" s="715">
        <v>0.11602384132814697</v>
      </c>
      <c r="BR277" s="715">
        <v>0.16080197603155122</v>
      </c>
      <c r="BS277" s="715">
        <v>0.22582267369601616</v>
      </c>
      <c r="BT277" s="715">
        <v>0.30555144514062188</v>
      </c>
      <c r="BW277" s="1185">
        <f>'2019'!R\Max</f>
        <v>1.0214111746858425</v>
      </c>
      <c r="BX277" s="1185">
        <f>'2020'!R\Max</f>
        <v>0.65916829912828456</v>
      </c>
      <c r="BY277" s="1185">
        <f>'2021'!R\Max</f>
        <v>0.65915628649665003</v>
      </c>
      <c r="BZ277" s="1185">
        <f>'2022'!R\Max</f>
        <v>0.99556086905513497</v>
      </c>
      <c r="CA277" s="1185">
        <f>'2023'!R\Max</f>
        <v>0.99555176692246294</v>
      </c>
      <c r="CB277" s="1185">
        <f>'2024'!R\Max</f>
        <v>0.99554183567915788</v>
      </c>
      <c r="CC277" s="1185">
        <f>'2025'!R\Max</f>
        <v>0.99553017609048422</v>
      </c>
      <c r="CD277" s="1185">
        <f>'2026'!R\Max</f>
        <v>0.99558361205394652</v>
      </c>
      <c r="CE277" s="1186">
        <f>'2027'!R\Max</f>
        <v>0.99557622910290366</v>
      </c>
      <c r="CF277" s="1187">
        <f>'2028'!R\Max</f>
        <v>0.99556882887895792</v>
      </c>
    </row>
    <row r="278" spans="1:84" s="6" customFormat="1" ht="11.25" x14ac:dyDescent="0.2">
      <c r="A278" s="11">
        <v>43364</v>
      </c>
      <c r="B278" s="379">
        <f>'2022'!Maxi_hp</f>
        <v>49.24639747322302</v>
      </c>
      <c r="C278" s="13">
        <f>'2022'!An_max</f>
        <v>2022</v>
      </c>
      <c r="D278" s="1046">
        <f t="shared" si="116"/>
        <v>1.0343521668497802</v>
      </c>
      <c r="E278" s="13"/>
      <c r="F278" s="13">
        <f t="shared" si="133"/>
        <v>21</v>
      </c>
      <c r="G278" s="13">
        <f t="shared" si="117"/>
        <v>20</v>
      </c>
      <c r="H278" s="173">
        <f t="shared" si="118"/>
        <v>43374</v>
      </c>
      <c r="I278" s="742">
        <f t="shared" si="119"/>
        <v>0.7142857142857143</v>
      </c>
      <c r="J278" s="735">
        <f t="shared" si="120"/>
        <v>47.610861224574705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39">
        <v>43364</v>
      </c>
      <c r="AP278" s="13">
        <f t="shared" si="121"/>
        <v>11</v>
      </c>
      <c r="AQ278" s="13">
        <f t="shared" si="122"/>
        <v>12</v>
      </c>
      <c r="AR278" s="173">
        <f t="shared" si="123"/>
        <v>43360</v>
      </c>
      <c r="AS278" s="742">
        <f t="shared" si="124"/>
        <v>0.14285714285714285</v>
      </c>
      <c r="AT278" s="758">
        <f t="shared" si="125"/>
        <v>47.61984489795951</v>
      </c>
      <c r="AU278" s="13">
        <f t="shared" si="126"/>
        <v>11</v>
      </c>
      <c r="AV278" s="13">
        <f t="shared" si="127"/>
        <v>10</v>
      </c>
      <c r="AW278" s="173">
        <f t="shared" si="128"/>
        <v>43374</v>
      </c>
      <c r="AX278" s="742">
        <f t="shared" si="129"/>
        <v>0.35714285714285715</v>
      </c>
      <c r="AY278" s="758">
        <f t="shared" si="130"/>
        <v>47.543302550659106</v>
      </c>
      <c r="AZ278" s="735">
        <f t="shared" si="134"/>
        <v>47.581573724309308</v>
      </c>
      <c r="BA278" s="633">
        <f t="shared" si="131"/>
        <v>1.0343521668497802</v>
      </c>
      <c r="BC278" s="11">
        <v>43364</v>
      </c>
      <c r="BD278" s="289">
        <f>[3]!FeuilCaduc*(1-Persistant)+Persistant</f>
        <v>0.97857189232993147</v>
      </c>
      <c r="BE278" s="290">
        <f>[3]!CroissVégét</f>
        <v>0.98600350935571934</v>
      </c>
      <c r="BF278" s="804">
        <f>1+[3]!Salcycl*Ksac</f>
        <v>1.0446429730824829</v>
      </c>
      <c r="BH278" s="1037">
        <f t="shared" si="132"/>
        <v>2.7172196899303985E-2</v>
      </c>
      <c r="BI278" s="11">
        <v>44460</v>
      </c>
      <c r="BJ278" s="715">
        <v>2.633990534007235E-4</v>
      </c>
      <c r="BK278" s="715">
        <v>3.0748904863834789E-3</v>
      </c>
      <c r="BL278" s="715">
        <v>7.754567235718577E-3</v>
      </c>
      <c r="BM278" s="715">
        <v>1.5985372900894041E-2</v>
      </c>
      <c r="BN278" s="715">
        <v>2.9987505007369464E-2</v>
      </c>
      <c r="BO278" s="716">
        <v>5.2333911856571241E-2</v>
      </c>
      <c r="BP278" s="715">
        <v>7.9460668156482825E-2</v>
      </c>
      <c r="BQ278" s="715">
        <v>0.11426825648743646</v>
      </c>
      <c r="BR278" s="715">
        <v>0.16056295063511483</v>
      </c>
      <c r="BS278" s="715">
        <v>0.23006609196250283</v>
      </c>
      <c r="BT278" s="715">
        <v>0.31678533240637557</v>
      </c>
      <c r="BW278" s="1185">
        <f>'2019'!R\Max</f>
        <v>0.67636491108805519</v>
      </c>
      <c r="BX278" s="1185">
        <f>'2020'!R\Max</f>
        <v>0.76006233532915735</v>
      </c>
      <c r="BY278" s="1185">
        <f>'2021'!R\Max</f>
        <v>0.23907651614688641</v>
      </c>
      <c r="BZ278" s="1185">
        <f>'2022'!R\Max</f>
        <v>1.0343521668497802</v>
      </c>
      <c r="CA278" s="1185">
        <f>'2023'!R\Max</f>
        <v>1.0343521668497802</v>
      </c>
      <c r="CB278" s="1185">
        <f>'2024'!R\Max</f>
        <v>1.0343521668497802</v>
      </c>
      <c r="CC278" s="1185">
        <f>'2025'!R\Max</f>
        <v>1.0343521668497802</v>
      </c>
      <c r="CD278" s="1185">
        <f>'2026'!R\Max</f>
        <v>1.0343521668497799</v>
      </c>
      <c r="CE278" s="1186">
        <f>'2027'!R\Max</f>
        <v>1.0343521668497797</v>
      </c>
      <c r="CF278" s="1187">
        <f>'2028'!R\Max</f>
        <v>1.0343521668497802</v>
      </c>
    </row>
    <row r="279" spans="1:84" s="6" customFormat="1" ht="11.25" x14ac:dyDescent="0.2">
      <c r="A279" s="11">
        <v>43365</v>
      </c>
      <c r="B279" s="379">
        <f>'2022'!Maxi_hp</f>
        <v>47.958368246020818</v>
      </c>
      <c r="C279" s="13">
        <f>'2022'!An_max</f>
        <v>2022</v>
      </c>
      <c r="D279" s="1046">
        <f t="shared" si="116"/>
        <v>1.0127753085273887</v>
      </c>
      <c r="E279" s="13"/>
      <c r="F279" s="13">
        <f t="shared" si="133"/>
        <v>21</v>
      </c>
      <c r="G279" s="13">
        <f t="shared" si="117"/>
        <v>20</v>
      </c>
      <c r="H279" s="173">
        <f t="shared" si="118"/>
        <v>43374</v>
      </c>
      <c r="I279" s="742">
        <f t="shared" si="119"/>
        <v>0.6428571428571429</v>
      </c>
      <c r="J279" s="735">
        <f t="shared" si="120"/>
        <v>47.353413775217319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39">
        <v>43365</v>
      </c>
      <c r="AP279" s="13">
        <f t="shared" si="121"/>
        <v>11</v>
      </c>
      <c r="AQ279" s="13">
        <f t="shared" si="122"/>
        <v>12</v>
      </c>
      <c r="AR279" s="173">
        <f t="shared" si="123"/>
        <v>43360</v>
      </c>
      <c r="AS279" s="742">
        <f t="shared" si="124"/>
        <v>0.17857142857142858</v>
      </c>
      <c r="AT279" s="758">
        <f t="shared" si="125"/>
        <v>47.361134120245694</v>
      </c>
      <c r="AU279" s="13">
        <f t="shared" si="126"/>
        <v>11</v>
      </c>
      <c r="AV279" s="13">
        <f t="shared" si="127"/>
        <v>10</v>
      </c>
      <c r="AW279" s="173">
        <f t="shared" si="128"/>
        <v>43374</v>
      </c>
      <c r="AX279" s="742">
        <f t="shared" si="129"/>
        <v>0.32142857142857145</v>
      </c>
      <c r="AY279" s="758">
        <f t="shared" si="130"/>
        <v>47.288005931169856</v>
      </c>
      <c r="AZ279" s="735">
        <f t="shared" si="134"/>
        <v>47.324570025707771</v>
      </c>
      <c r="BA279" s="633">
        <f t="shared" si="131"/>
        <v>1.0127753085273887</v>
      </c>
      <c r="BC279" s="11">
        <v>43365</v>
      </c>
      <c r="BD279" s="289">
        <f>[3]!FeuilCaduc*(1-Persistant)+Persistant</f>
        <v>0.97749350982277661</v>
      </c>
      <c r="BE279" s="290">
        <f>[3]!CroissVégét</f>
        <v>0.98657246054533965</v>
      </c>
      <c r="BF279" s="804">
        <f>1+[3]!Salcycl*Ksac</f>
        <v>1.0443733774556943</v>
      </c>
      <c r="BH279" s="1037">
        <f t="shared" si="132"/>
        <v>2.713741826422968E-2</v>
      </c>
      <c r="BI279" s="11">
        <v>44461</v>
      </c>
      <c r="BJ279" s="715">
        <v>2.8127145923263096E-4</v>
      </c>
      <c r="BK279" s="715">
        <v>3.1146111980185605E-3</v>
      </c>
      <c r="BL279" s="715">
        <v>7.8036901173998002E-3</v>
      </c>
      <c r="BM279" s="715">
        <v>1.5997208586443698E-2</v>
      </c>
      <c r="BN279" s="715">
        <v>2.9940995279107027E-2</v>
      </c>
      <c r="BO279" s="716">
        <v>5.1787384571556072E-2</v>
      </c>
      <c r="BP279" s="715">
        <v>7.8175876662341798E-2</v>
      </c>
      <c r="BQ279" s="715">
        <v>0.11260049818426079</v>
      </c>
      <c r="BR279" s="715">
        <v>0.16096275491296674</v>
      </c>
      <c r="BS279" s="715">
        <v>0.2355295454495504</v>
      </c>
      <c r="BT279" s="715">
        <v>0.3296787873307967</v>
      </c>
      <c r="BW279" s="1185">
        <f>'2019'!R\Max</f>
        <v>0.27612786531418215</v>
      </c>
      <c r="BX279" s="1185">
        <f>'2020'!R\Max</f>
        <v>0.51317610504796185</v>
      </c>
      <c r="BY279" s="1185">
        <f>'2021'!R\Max</f>
        <v>0.95316504773962341</v>
      </c>
      <c r="BZ279" s="1185">
        <f>'2022'!R\Max</f>
        <v>1.0127753085273887</v>
      </c>
      <c r="CA279" s="1185">
        <f>'2023'!R\Max</f>
        <v>1.0127753085273887</v>
      </c>
      <c r="CB279" s="1185">
        <f>'2024'!R\Max</f>
        <v>1.0127753085273887</v>
      </c>
      <c r="CC279" s="1185">
        <f>'2025'!R\Max</f>
        <v>1.0127753085273883</v>
      </c>
      <c r="CD279" s="1185">
        <f>'2026'!R\Max</f>
        <v>1.0127753085273883</v>
      </c>
      <c r="CE279" s="1186">
        <f>'2027'!R\Max</f>
        <v>1.0127753085273887</v>
      </c>
      <c r="CF279" s="1187">
        <f>'2028'!R\Max</f>
        <v>1.0127753085273885</v>
      </c>
    </row>
    <row r="280" spans="1:84" s="6" customFormat="1" ht="11.25" x14ac:dyDescent="0.2">
      <c r="A280" s="11">
        <v>43366</v>
      </c>
      <c r="B280" s="379">
        <f>'2022'!Maxi_hp</f>
        <v>41.960409852229127</v>
      </c>
      <c r="C280" s="13">
        <f>'2022'!An_max</f>
        <v>2021</v>
      </c>
      <c r="D280" s="1046" t="str">
        <f t="shared" si="116"/>
        <v/>
      </c>
      <c r="E280" s="13"/>
      <c r="F280" s="13">
        <f t="shared" si="133"/>
        <v>21</v>
      </c>
      <c r="G280" s="13">
        <f t="shared" si="117"/>
        <v>20</v>
      </c>
      <c r="H280" s="173">
        <f t="shared" si="118"/>
        <v>43374</v>
      </c>
      <c r="I280" s="742">
        <f t="shared" si="119"/>
        <v>0.5714285714285714</v>
      </c>
      <c r="J280" s="735">
        <f t="shared" si="120"/>
        <v>47.092995918542144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39">
        <v>43366</v>
      </c>
      <c r="AP280" s="13">
        <f t="shared" si="121"/>
        <v>11</v>
      </c>
      <c r="AQ280" s="13">
        <f t="shared" si="122"/>
        <v>12</v>
      </c>
      <c r="AR280" s="173">
        <f t="shared" si="123"/>
        <v>43360</v>
      </c>
      <c r="AS280" s="742">
        <f t="shared" si="124"/>
        <v>0.21428571428571427</v>
      </c>
      <c r="AT280" s="758">
        <f t="shared" si="125"/>
        <v>47.098212245151601</v>
      </c>
      <c r="AU280" s="13">
        <f t="shared" si="126"/>
        <v>11</v>
      </c>
      <c r="AV280" s="13">
        <f t="shared" si="127"/>
        <v>10</v>
      </c>
      <c r="AW280" s="173">
        <f t="shared" si="128"/>
        <v>43374</v>
      </c>
      <c r="AX280" s="742">
        <f t="shared" si="129"/>
        <v>0.2857142857142857</v>
      </c>
      <c r="AY280" s="758">
        <f t="shared" si="130"/>
        <v>47.030979591714484</v>
      </c>
      <c r="AZ280" s="735">
        <f t="shared" si="134"/>
        <v>47.064595918433042</v>
      </c>
      <c r="BA280" s="633">
        <f t="shared" si="131"/>
        <v>0.89101168939875963</v>
      </c>
      <c r="BC280" s="11">
        <v>43366</v>
      </c>
      <c r="BD280" s="289">
        <f>[3]!FeuilCaduc*(1-Persistant)+Persistant</f>
        <v>0.97637081407171811</v>
      </c>
      <c r="BE280" s="290">
        <f>[3]!CroissVégét</f>
        <v>0.98711912105647015</v>
      </c>
      <c r="BF280" s="804">
        <f>1+[3]!Salcycl*Ksac</f>
        <v>1.0440927035179295</v>
      </c>
      <c r="BH280" s="1037">
        <f t="shared" si="132"/>
        <v>2.7066107529276965E-2</v>
      </c>
      <c r="BI280" s="11">
        <v>44462</v>
      </c>
      <c r="BJ280" s="715">
        <v>2.9894051034498251E-4</v>
      </c>
      <c r="BK280" s="715">
        <v>3.154530630576676E-3</v>
      </c>
      <c r="BL280" s="715">
        <v>7.8456780349571223E-3</v>
      </c>
      <c r="BM280" s="715">
        <v>1.5995787884769998E-2</v>
      </c>
      <c r="BN280" s="715">
        <v>2.9852095818579352E-2</v>
      </c>
      <c r="BO280" s="716">
        <v>5.1104395498360759E-2</v>
      </c>
      <c r="BP280" s="715">
        <v>7.6731850990052392E-2</v>
      </c>
      <c r="BQ280" s="715">
        <v>0.11102121032485672</v>
      </c>
      <c r="BR280" s="715">
        <v>0.16200291079674398</v>
      </c>
      <c r="BS280" s="715">
        <v>0.24221572763655441</v>
      </c>
      <c r="BT280" s="715">
        <v>0.34423574224360748</v>
      </c>
      <c r="BW280" s="1185">
        <f>'2019'!R\Max</f>
        <v>0.83848924674442582</v>
      </c>
      <c r="BX280" s="1185">
        <f>'2020'!R\Max</f>
        <v>0.50793173729312679</v>
      </c>
      <c r="BY280" s="1185">
        <f>'2021'!R\Max</f>
        <v>0.89101168939875963</v>
      </c>
      <c r="BZ280" s="1185">
        <f>'2022'!R\Max</f>
        <v>0.76515815809955812</v>
      </c>
      <c r="CA280" s="1185">
        <f>'2023'!R\Max</f>
        <v>0.7648133009878304</v>
      </c>
      <c r="CB280" s="1185">
        <f>'2024'!R\Max</f>
        <v>0.7644299985683729</v>
      </c>
      <c r="CC280" s="1185">
        <f>'2025'!R\Max</f>
        <v>0.76396669499344694</v>
      </c>
      <c r="CD280" s="1185">
        <f>'2026'!R\Max</f>
        <v>0.76603013394198671</v>
      </c>
      <c r="CE280" s="1186">
        <f>'2027'!R\Max</f>
        <v>0.7657454884398992</v>
      </c>
      <c r="CF280" s="1187">
        <f>'2028'!R\Max</f>
        <v>0.76546042104206835</v>
      </c>
    </row>
    <row r="281" spans="1:84" s="6" customFormat="1" ht="11.25" x14ac:dyDescent="0.2">
      <c r="A281" s="11">
        <v>43367</v>
      </c>
      <c r="B281" s="379">
        <f>'2022'!Maxi_hp</f>
        <v>41.038887067631343</v>
      </c>
      <c r="C281" s="13">
        <f>'2022'!An_max</f>
        <v>2021</v>
      </c>
      <c r="D281" s="1046" t="str">
        <f t="shared" si="116"/>
        <v/>
      </c>
      <c r="E281" s="13"/>
      <c r="F281" s="13">
        <f t="shared" si="133"/>
        <v>21</v>
      </c>
      <c r="G281" s="13">
        <f t="shared" si="117"/>
        <v>20</v>
      </c>
      <c r="H281" s="173">
        <f t="shared" si="118"/>
        <v>43374</v>
      </c>
      <c r="I281" s="742">
        <f t="shared" si="119"/>
        <v>0.5</v>
      </c>
      <c r="J281" s="735">
        <f t="shared" si="120"/>
        <v>46.829824999719861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39">
        <v>43367</v>
      </c>
      <c r="AP281" s="13">
        <f t="shared" si="121"/>
        <v>11</v>
      </c>
      <c r="AQ281" s="13">
        <f t="shared" si="122"/>
        <v>12</v>
      </c>
      <c r="AR281" s="173">
        <f t="shared" si="123"/>
        <v>43360</v>
      </c>
      <c r="AS281" s="742">
        <f t="shared" si="124"/>
        <v>0.25</v>
      </c>
      <c r="AT281" s="758">
        <f t="shared" si="125"/>
        <v>46.831378125346966</v>
      </c>
      <c r="AU281" s="13">
        <f t="shared" si="126"/>
        <v>11</v>
      </c>
      <c r="AV281" s="13">
        <f t="shared" si="127"/>
        <v>10</v>
      </c>
      <c r="AW281" s="173">
        <f t="shared" si="128"/>
        <v>43374</v>
      </c>
      <c r="AX281" s="742">
        <f t="shared" si="129"/>
        <v>0.25</v>
      </c>
      <c r="AY281" s="758">
        <f t="shared" si="130"/>
        <v>46.772359375050293</v>
      </c>
      <c r="AZ281" s="735">
        <f t="shared" si="134"/>
        <v>46.801868750198629</v>
      </c>
      <c r="BA281" s="633">
        <f t="shared" si="131"/>
        <v>0.87634081630407201</v>
      </c>
      <c r="BC281" s="11">
        <v>43367</v>
      </c>
      <c r="BD281" s="289">
        <f>[3]!FeuilCaduc*(1-Persistant)+Persistant</f>
        <v>0.97520241050221512</v>
      </c>
      <c r="BE281" s="290">
        <f>[3]!CroissVégét</f>
        <v>0.98764434064074225</v>
      </c>
      <c r="BF281" s="804">
        <f>1+[3]!Salcycl*Ksac</f>
        <v>1.0438006026255537</v>
      </c>
      <c r="BH281" s="1037">
        <f t="shared" si="132"/>
        <v>2.6958303260418679E-2</v>
      </c>
      <c r="BI281" s="11">
        <v>44463</v>
      </c>
      <c r="BJ281" s="715">
        <v>3.1640782599142705E-4</v>
      </c>
      <c r="BK281" s="715">
        <v>3.1946603505711556E-3</v>
      </c>
      <c r="BL281" s="715">
        <v>7.8805490078941078E-3</v>
      </c>
      <c r="BM281" s="715">
        <v>1.5981144152854999E-2</v>
      </c>
      <c r="BN281" s="715">
        <v>2.9720846502668794E-2</v>
      </c>
      <c r="BO281" s="716">
        <v>5.0284920152820267E-2</v>
      </c>
      <c r="BP281" s="715">
        <v>7.5128577768595134E-2</v>
      </c>
      <c r="BQ281" s="715">
        <v>0.10953072145245581</v>
      </c>
      <c r="BR281" s="715">
        <v>0.16368459133057017</v>
      </c>
      <c r="BS281" s="715">
        <v>0.2501269348591228</v>
      </c>
      <c r="BT281" s="715">
        <v>0.36045965778779737</v>
      </c>
      <c r="BW281" s="1185">
        <f>'2019'!R\Max</f>
        <v>0.68600763212342286</v>
      </c>
      <c r="BX281" s="1185">
        <f>'2020'!R\Max</f>
        <v>0.85454806129614702</v>
      </c>
      <c r="BY281" s="1185">
        <f>'2021'!R\Max</f>
        <v>0.87634081630407201</v>
      </c>
      <c r="BZ281" s="1185">
        <f>'2022'!R\Max</f>
        <v>0.51551249543339095</v>
      </c>
      <c r="CA281" s="1185">
        <f>'2023'!R\Max</f>
        <v>0.51504603127649107</v>
      </c>
      <c r="CB281" s="1185">
        <f>'2024'!R\Max</f>
        <v>0.51452093937666565</v>
      </c>
      <c r="CC281" s="1185">
        <f>'2025'!R\Max</f>
        <v>0.51387379196071981</v>
      </c>
      <c r="CD281" s="1185">
        <f>'2026'!R\Max</f>
        <v>0.51669256143296383</v>
      </c>
      <c r="CE281" s="1186">
        <f>'2027'!R\Max</f>
        <v>0.51630726812335781</v>
      </c>
      <c r="CF281" s="1187">
        <f>'2028'!R\Max</f>
        <v>0.51592171679782306</v>
      </c>
    </row>
    <row r="282" spans="1:84" s="6" customFormat="1" ht="11.25" x14ac:dyDescent="0.2">
      <c r="A282" s="11">
        <v>43368</v>
      </c>
      <c r="B282" s="379">
        <f>'2022'!Maxi_hp</f>
        <v>36.599123491462763</v>
      </c>
      <c r="C282" s="13">
        <f>'2022'!An_max</f>
        <v>2022</v>
      </c>
      <c r="D282" s="1046" t="str">
        <f t="shared" si="116"/>
        <v/>
      </c>
      <c r="E282" s="13"/>
      <c r="F282" s="13">
        <f t="shared" si="133"/>
        <v>21</v>
      </c>
      <c r="G282" s="13">
        <f t="shared" si="117"/>
        <v>20</v>
      </c>
      <c r="H282" s="173">
        <f t="shared" si="118"/>
        <v>43374</v>
      </c>
      <c r="I282" s="742">
        <f t="shared" si="119"/>
        <v>0.42857142857142855</v>
      </c>
      <c r="J282" s="735">
        <f t="shared" si="120"/>
        <v>46.564118367220672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39">
        <v>43368</v>
      </c>
      <c r="AP282" s="13">
        <f t="shared" si="121"/>
        <v>11</v>
      </c>
      <c r="AQ282" s="13">
        <f t="shared" si="122"/>
        <v>12</v>
      </c>
      <c r="AR282" s="173">
        <f t="shared" si="123"/>
        <v>43360</v>
      </c>
      <c r="AS282" s="742">
        <f t="shared" si="124"/>
        <v>0.2857142857142857</v>
      </c>
      <c r="AT282" s="758">
        <f t="shared" si="125"/>
        <v>46.560930612057987</v>
      </c>
      <c r="AU282" s="13">
        <f t="shared" si="126"/>
        <v>11</v>
      </c>
      <c r="AV282" s="13">
        <f t="shared" si="127"/>
        <v>10</v>
      </c>
      <c r="AW282" s="173">
        <f t="shared" si="128"/>
        <v>43374</v>
      </c>
      <c r="AX282" s="742">
        <f t="shared" si="129"/>
        <v>0.21428571428571427</v>
      </c>
      <c r="AY282" s="758">
        <f t="shared" si="130"/>
        <v>46.512281122471066</v>
      </c>
      <c r="AZ282" s="735">
        <f t="shared" si="134"/>
        <v>46.536605867264527</v>
      </c>
      <c r="BA282" s="633">
        <f t="shared" si="131"/>
        <v>0.78599412540852742</v>
      </c>
      <c r="BC282" s="11">
        <v>43368</v>
      </c>
      <c r="BD282" s="289">
        <f>[3]!FeuilCaduc*(1-Persistant)+Persistant</f>
        <v>0.97398692181773572</v>
      </c>
      <c r="BE282" s="290">
        <f>[3]!CroissVégét</f>
        <v>0.98814893849517882</v>
      </c>
      <c r="BF282" s="804">
        <f>1+[3]!Salcycl*Ksac</f>
        <v>1.043496730454434</v>
      </c>
      <c r="BH282" s="1037">
        <f t="shared" si="132"/>
        <v>2.6785111880405752E-2</v>
      </c>
      <c r="BI282" s="11">
        <v>44464</v>
      </c>
      <c r="BJ282" s="715">
        <v>3.3246467842812415E-4</v>
      </c>
      <c r="BK282" s="715">
        <v>3.2306461294946114E-3</v>
      </c>
      <c r="BL282" s="715">
        <v>7.9008092506050297E-3</v>
      </c>
      <c r="BM282" s="715">
        <v>1.5934530212888903E-2</v>
      </c>
      <c r="BN282" s="715">
        <v>2.9515800282237117E-2</v>
      </c>
      <c r="BO282" s="716">
        <v>4.9383374505842653E-2</v>
      </c>
      <c r="BP282" s="715">
        <v>7.3638189327622214E-2</v>
      </c>
      <c r="BQ282" s="715">
        <v>0.10862916462762251</v>
      </c>
      <c r="BR282" s="715">
        <v>0.16656436749335274</v>
      </c>
      <c r="BS282" s="715">
        <v>0.25965494613427453</v>
      </c>
      <c r="BT282" s="715">
        <v>0.37847185624323965</v>
      </c>
      <c r="BW282" s="1185">
        <f>'2019'!R\Max</f>
        <v>0.41316129334746599</v>
      </c>
      <c r="BX282" s="1185">
        <f>'2020'!R\Max</f>
        <v>0.53028746466390908</v>
      </c>
      <c r="BY282" s="1185">
        <f>'2021'!R\Max</f>
        <v>0.6770235983981211</v>
      </c>
      <c r="BZ282" s="1185">
        <f>'2022'!R\Max</f>
        <v>0.78599412540852742</v>
      </c>
      <c r="CA282" s="1185">
        <f>'2023'!R\Max</f>
        <v>0.785685920518158</v>
      </c>
      <c r="CB282" s="1185">
        <f>'2024'!R\Max</f>
        <v>0.78533274889325977</v>
      </c>
      <c r="CC282" s="1185">
        <f>'2025'!R\Max</f>
        <v>0.78488623740316876</v>
      </c>
      <c r="CD282" s="1185">
        <f>'2026'!R\Max</f>
        <v>0.78676705652028511</v>
      </c>
      <c r="CE282" s="1186">
        <f>'2027'!R\Max</f>
        <v>0.78651577020553476</v>
      </c>
      <c r="CF282" s="1187">
        <f>'2028'!R\Max</f>
        <v>0.78626411701112098</v>
      </c>
    </row>
    <row r="283" spans="1:84" s="6" customFormat="1" ht="11.25" x14ac:dyDescent="0.2">
      <c r="A283" s="11">
        <v>43369</v>
      </c>
      <c r="B283" s="379">
        <f>'2022'!Maxi_hp</f>
        <v>39.791402666859739</v>
      </c>
      <c r="C283" s="13">
        <f>'2022'!An_max</f>
        <v>2018</v>
      </c>
      <c r="D283" s="1046" t="str">
        <f t="shared" si="116"/>
        <v/>
      </c>
      <c r="E283" s="13"/>
      <c r="F283" s="13">
        <f t="shared" si="133"/>
        <v>21</v>
      </c>
      <c r="G283" s="13">
        <f t="shared" si="117"/>
        <v>20</v>
      </c>
      <c r="H283" s="173">
        <f t="shared" si="118"/>
        <v>43374</v>
      </c>
      <c r="I283" s="742">
        <f t="shared" si="119"/>
        <v>0.35714285714285715</v>
      </c>
      <c r="J283" s="735">
        <f t="shared" si="120"/>
        <v>46.29609336714659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39">
        <v>43369</v>
      </c>
      <c r="AP283" s="13">
        <f t="shared" si="121"/>
        <v>11</v>
      </c>
      <c r="AQ283" s="13">
        <f t="shared" si="122"/>
        <v>12</v>
      </c>
      <c r="AR283" s="173">
        <f t="shared" si="123"/>
        <v>43360</v>
      </c>
      <c r="AS283" s="742">
        <f t="shared" si="124"/>
        <v>0.32142857142857145</v>
      </c>
      <c r="AT283" s="758">
        <f t="shared" si="125"/>
        <v>46.287168558911489</v>
      </c>
      <c r="AU283" s="13">
        <f t="shared" si="126"/>
        <v>11</v>
      </c>
      <c r="AV283" s="13">
        <f t="shared" si="127"/>
        <v>10</v>
      </c>
      <c r="AW283" s="173">
        <f t="shared" si="128"/>
        <v>43374</v>
      </c>
      <c r="AX283" s="742">
        <f t="shared" si="129"/>
        <v>0.17857142857142858</v>
      </c>
      <c r="AY283" s="758">
        <f t="shared" si="130"/>
        <v>46.250880676155376</v>
      </c>
      <c r="AZ283" s="735">
        <f t="shared" si="134"/>
        <v>46.269024617533432</v>
      </c>
      <c r="BA283" s="633">
        <f t="shared" si="131"/>
        <v>0.85949806501593895</v>
      </c>
      <c r="BC283" s="11">
        <v>43369</v>
      </c>
      <c r="BD283" s="289">
        <f>[3]!FeuilCaduc*(1-Persistant)+Persistant</f>
        <v>0.97272299722331523</v>
      </c>
      <c r="BE283" s="290">
        <f>[3]!CroissVégét</f>
        <v>0.98863370421593466</v>
      </c>
      <c r="BF283" s="804">
        <f>1+[3]!Salcycl*Ksac</f>
        <v>1.0431807493058287</v>
      </c>
      <c r="BH283" s="1037">
        <f t="shared" si="132"/>
        <v>2.6550278497057694E-2</v>
      </c>
      <c r="BI283" s="11">
        <v>44465</v>
      </c>
      <c r="BJ283" s="715">
        <v>3.4629049921728353E-4</v>
      </c>
      <c r="BK283" s="715">
        <v>3.2595745889806254E-3</v>
      </c>
      <c r="BL283" s="715">
        <v>7.9069928442034657E-3</v>
      </c>
      <c r="BM283" s="715">
        <v>1.5861879183762962E-2</v>
      </c>
      <c r="BN283" s="715">
        <v>2.9240151623982476E-2</v>
      </c>
      <c r="BO283" s="716">
        <v>4.8462133010207194E-2</v>
      </c>
      <c r="BP283" s="715">
        <v>7.2385391372976116E-2</v>
      </c>
      <c r="BQ283" s="715">
        <v>0.10841208523118212</v>
      </c>
      <c r="BR283" s="715">
        <v>0.17048483539239156</v>
      </c>
      <c r="BS283" s="715">
        <v>0.27022979813628417</v>
      </c>
      <c r="BT283" s="715">
        <v>0.39723326127308933</v>
      </c>
      <c r="BW283" s="1185">
        <f>'2019'!R\Max</f>
        <v>0.85949806501593895</v>
      </c>
      <c r="BX283" s="1185">
        <f>'2020'!R\Max</f>
        <v>0.41354422212188968</v>
      </c>
      <c r="BY283" s="1185">
        <f>'2021'!R\Max</f>
        <v>0.83609820177278704</v>
      </c>
      <c r="BZ283" s="1185">
        <f>'2022'!R\Max</f>
        <v>0.82303489434743726</v>
      </c>
      <c r="CA283" s="1185">
        <f>'2023'!R\Max</f>
        <v>0.82277048927591878</v>
      </c>
      <c r="CB283" s="1185">
        <f>'2024'!R\Max</f>
        <v>0.82246195463974781</v>
      </c>
      <c r="CC283" s="1185">
        <f>'2025'!R\Max</f>
        <v>0.82206194211632722</v>
      </c>
      <c r="CD283" s="1185">
        <f>'2026'!R\Max</f>
        <v>0.82368938492318744</v>
      </c>
      <c r="CE283" s="1186">
        <f>'2027'!R\Max</f>
        <v>0.82347797902090547</v>
      </c>
      <c r="CF283" s="1187">
        <f>'2028'!R\Max</f>
        <v>0.82326625039827717</v>
      </c>
    </row>
    <row r="284" spans="1:84" s="6" customFormat="1" ht="11.25" x14ac:dyDescent="0.2">
      <c r="A284" s="11">
        <v>43370</v>
      </c>
      <c r="B284" s="379">
        <f>'2022'!Maxi_hp</f>
        <v>40.257199501289676</v>
      </c>
      <c r="C284" s="13">
        <f>'2022'!An_max</f>
        <v>2018</v>
      </c>
      <c r="D284" s="1046" t="str">
        <f t="shared" si="116"/>
        <v/>
      </c>
      <c r="E284" s="13"/>
      <c r="F284" s="13">
        <f t="shared" si="133"/>
        <v>21</v>
      </c>
      <c r="G284" s="13">
        <f t="shared" si="117"/>
        <v>20</v>
      </c>
      <c r="H284" s="173">
        <f t="shared" si="118"/>
        <v>43374</v>
      </c>
      <c r="I284" s="742">
        <f t="shared" si="119"/>
        <v>0.2857142857142857</v>
      </c>
      <c r="J284" s="735">
        <f t="shared" si="120"/>
        <v>46.0259673469833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39">
        <v>43370</v>
      </c>
      <c r="AP284" s="13">
        <f t="shared" si="121"/>
        <v>11</v>
      </c>
      <c r="AQ284" s="13">
        <f t="shared" si="122"/>
        <v>12</v>
      </c>
      <c r="AR284" s="173">
        <f t="shared" si="123"/>
        <v>43360</v>
      </c>
      <c r="AS284" s="742">
        <f t="shared" si="124"/>
        <v>0.35714285714285715</v>
      </c>
      <c r="AT284" s="758">
        <f t="shared" si="125"/>
        <v>46.010390816154953</v>
      </c>
      <c r="AU284" s="13">
        <f t="shared" si="126"/>
        <v>11</v>
      </c>
      <c r="AV284" s="13">
        <f t="shared" si="127"/>
        <v>10</v>
      </c>
      <c r="AW284" s="173">
        <f t="shared" si="128"/>
        <v>43374</v>
      </c>
      <c r="AX284" s="742">
        <f t="shared" si="129"/>
        <v>0.14285714285714285</v>
      </c>
      <c r="AY284" s="758">
        <f t="shared" si="130"/>
        <v>45.988293877403649</v>
      </c>
      <c r="AZ284" s="735">
        <f t="shared" si="134"/>
        <v>45.999342346779301</v>
      </c>
      <c r="BA284" s="633">
        <f t="shared" si="131"/>
        <v>0.87466275717349529</v>
      </c>
      <c r="BC284" s="11">
        <v>43370</v>
      </c>
      <c r="BD284" s="289">
        <f>[3]!FeuilCaduc*(1-Persistant)+Persistant</f>
        <v>0.97140932218387765</v>
      </c>
      <c r="BE284" s="290">
        <f>[3]!CroissVégét</f>
        <v>0.98909939873407315</v>
      </c>
      <c r="BF284" s="804">
        <f>1+[3]!Salcycl*Ksac</f>
        <v>1.0428523305459694</v>
      </c>
      <c r="BH284" s="1037">
        <f t="shared" si="132"/>
        <v>2.6253688472228687E-2</v>
      </c>
      <c r="BI284" s="11">
        <v>44466</v>
      </c>
      <c r="BJ284" s="715">
        <v>3.5788299477740451E-4</v>
      </c>
      <c r="BK284" s="715">
        <v>3.2814352365601526E-3</v>
      </c>
      <c r="BL284" s="715">
        <v>7.899074593183366E-3</v>
      </c>
      <c r="BM284" s="715">
        <v>1.5763138705322886E-2</v>
      </c>
      <c r="BN284" s="715">
        <v>2.8893770216701666E-2</v>
      </c>
      <c r="BO284" s="716">
        <v>4.7521069647537766E-2</v>
      </c>
      <c r="BP284" s="715">
        <v>7.1370314676093297E-2</v>
      </c>
      <c r="BQ284" s="715">
        <v>0.10888014963157525</v>
      </c>
      <c r="BR284" s="715">
        <v>0.17544722131947463</v>
      </c>
      <c r="BS284" s="715">
        <v>0.28185295418755046</v>
      </c>
      <c r="BT284" s="715">
        <v>0.41674526555459696</v>
      </c>
      <c r="BW284" s="1185">
        <f>'2019'!R\Max</f>
        <v>0.87466275717349529</v>
      </c>
      <c r="BX284" s="1185">
        <f>'2020'!R\Max</f>
        <v>0.34543474450034467</v>
      </c>
      <c r="BY284" s="1185">
        <f>'2021'!R\Max</f>
        <v>0.54806834695685958</v>
      </c>
      <c r="BZ284" s="1185">
        <f>'2022'!R\Max</f>
        <v>0.35366636288895248</v>
      </c>
      <c r="CA284" s="1185">
        <f>'2023'!R\Max</f>
        <v>0.35325118356934826</v>
      </c>
      <c r="CB284" s="1185">
        <f>'2024'!R\Max</f>
        <v>0.35275846332840499</v>
      </c>
      <c r="CC284" s="1185">
        <f>'2025'!R\Max</f>
        <v>0.3521051520582209</v>
      </c>
      <c r="CD284" s="1185">
        <f>'2026'!R\Max</f>
        <v>0.35467794212779125</v>
      </c>
      <c r="CE284" s="1186">
        <f>'2027'!R\Max</f>
        <v>0.35435383340678511</v>
      </c>
      <c r="CF284" s="1187">
        <f>'2028'!R\Max</f>
        <v>0.35402967427661303</v>
      </c>
    </row>
    <row r="285" spans="1:84" s="6" customFormat="1" ht="11.25" x14ac:dyDescent="0.2">
      <c r="A285" s="11">
        <v>43371</v>
      </c>
      <c r="B285" s="379">
        <f>'2022'!Maxi_hp</f>
        <v>31.058972746779887</v>
      </c>
      <c r="C285" s="13">
        <f>'2022'!An_max</f>
        <v>2021</v>
      </c>
      <c r="D285" s="1046" t="str">
        <f t="shared" si="116"/>
        <v/>
      </c>
      <c r="E285" s="13"/>
      <c r="F285" s="13">
        <f t="shared" si="133"/>
        <v>21</v>
      </c>
      <c r="G285" s="13">
        <f t="shared" si="117"/>
        <v>20</v>
      </c>
      <c r="H285" s="173">
        <f t="shared" si="118"/>
        <v>43374</v>
      </c>
      <c r="I285" s="742">
        <f t="shared" si="119"/>
        <v>0.21428571428571427</v>
      </c>
      <c r="J285" s="735">
        <f t="shared" si="120"/>
        <v>45.753957652992433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39">
        <v>43371</v>
      </c>
      <c r="AP285" s="13">
        <f t="shared" si="121"/>
        <v>11</v>
      </c>
      <c r="AQ285" s="13">
        <f t="shared" si="122"/>
        <v>12</v>
      </c>
      <c r="AR285" s="173">
        <f t="shared" si="123"/>
        <v>43360</v>
      </c>
      <c r="AS285" s="742">
        <f t="shared" si="124"/>
        <v>0.39285714285714285</v>
      </c>
      <c r="AT285" s="758">
        <f t="shared" si="125"/>
        <v>45.730896237515012</v>
      </c>
      <c r="AU285" s="13">
        <f t="shared" si="126"/>
        <v>11</v>
      </c>
      <c r="AV285" s="13">
        <f t="shared" si="127"/>
        <v>10</v>
      </c>
      <c r="AW285" s="173">
        <f t="shared" si="128"/>
        <v>43374</v>
      </c>
      <c r="AX285" s="742">
        <f t="shared" si="129"/>
        <v>0.10714285714285714</v>
      </c>
      <c r="AY285" s="758">
        <f t="shared" si="130"/>
        <v>45.724656568979846</v>
      </c>
      <c r="AZ285" s="735">
        <f t="shared" si="134"/>
        <v>45.727776403247432</v>
      </c>
      <c r="BA285" s="633">
        <f t="shared" si="131"/>
        <v>0.67882592763532323</v>
      </c>
      <c r="BC285" s="11">
        <v>43371</v>
      </c>
      <c r="BD285" s="289">
        <f>[3]!FeuilCaduc*(1-Persistant)+Persistant</f>
        <v>0.9700446286554737</v>
      </c>
      <c r="BE285" s="290">
        <f>[3]!CroissVégét</f>
        <v>0.98954675523264646</v>
      </c>
      <c r="BF285" s="804">
        <f>1+[3]!Salcycl*Ksac</f>
        <v>1.0425111571638683</v>
      </c>
      <c r="BH285" s="1037">
        <f t="shared" si="132"/>
        <v>2.5895222148530524E-2</v>
      </c>
      <c r="BI285" s="11">
        <v>44467</v>
      </c>
      <c r="BJ285" s="715">
        <v>3.6723958983590093E-4</v>
      </c>
      <c r="BK285" s="715">
        <v>3.2962167550496316E-3</v>
      </c>
      <c r="BL285" s="715">
        <v>7.8770278878727597E-3</v>
      </c>
      <c r="BM285" s="715">
        <v>1.5638254178433786E-2</v>
      </c>
      <c r="BN285" s="715">
        <v>2.8476520030260466E-2</v>
      </c>
      <c r="BO285" s="716">
        <v>4.6560060587197728E-2</v>
      </c>
      <c r="BP285" s="715">
        <v>7.0593119023428783E-2</v>
      </c>
      <c r="BQ285" s="715">
        <v>0.11003409258860497</v>
      </c>
      <c r="BR285" s="715">
        <v>0.18145283650597765</v>
      </c>
      <c r="BS285" s="715">
        <v>0.29452593334204252</v>
      </c>
      <c r="BT285" s="715">
        <v>0.43700925150256481</v>
      </c>
      <c r="BW285" s="1185">
        <f>'2019'!R\Max</f>
        <v>0.63351161148738233</v>
      </c>
      <c r="BX285" s="1185">
        <f>'2020'!R\Max</f>
        <v>0.32485538593789415</v>
      </c>
      <c r="BY285" s="1185">
        <f>'2021'!R\Max</f>
        <v>0.67882592763532323</v>
      </c>
      <c r="BZ285" s="1185">
        <f>'2022'!R\Max</f>
        <v>0.35746276983460001</v>
      </c>
      <c r="CA285" s="1185">
        <f>'2023'!R\Max</f>
        <v>0.35704048799397442</v>
      </c>
      <c r="CB285" s="1185">
        <f>'2024'!R\Max</f>
        <v>0.35652981063264061</v>
      </c>
      <c r="CC285" s="1185">
        <f>'2025'!R\Max</f>
        <v>0.35583642032134549</v>
      </c>
      <c r="CD285" s="1185">
        <f>'2026'!R\Max</f>
        <v>0.35846676663675764</v>
      </c>
      <c r="CE285" s="1186">
        <f>'2027'!R\Max</f>
        <v>0.35814919428955211</v>
      </c>
      <c r="CF285" s="1187">
        <f>'2028'!R\Max</f>
        <v>0.35783157045539127</v>
      </c>
    </row>
    <row r="286" spans="1:84" s="6" customFormat="1" ht="11.25" x14ac:dyDescent="0.2">
      <c r="A286" s="11">
        <v>43372</v>
      </c>
      <c r="B286" s="379">
        <f>'2022'!Maxi_hp</f>
        <v>45.479306908151436</v>
      </c>
      <c r="C286" s="13">
        <f>'2022'!An_max</f>
        <v>2018</v>
      </c>
      <c r="D286" s="1046">
        <f t="shared" si="116"/>
        <v>0.99997856820711983</v>
      </c>
      <c r="E286" s="13"/>
      <c r="F286" s="13">
        <f t="shared" si="133"/>
        <v>21</v>
      </c>
      <c r="G286" s="13">
        <f t="shared" si="117"/>
        <v>20</v>
      </c>
      <c r="H286" s="173">
        <f t="shared" si="118"/>
        <v>43374</v>
      </c>
      <c r="I286" s="742">
        <f t="shared" si="119"/>
        <v>0.14285714285714285</v>
      </c>
      <c r="J286" s="735">
        <f t="shared" si="120"/>
        <v>45.480281632127507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39">
        <v>43372</v>
      </c>
      <c r="AP286" s="13">
        <f t="shared" si="121"/>
        <v>11</v>
      </c>
      <c r="AQ286" s="13">
        <f t="shared" si="122"/>
        <v>12</v>
      </c>
      <c r="AR286" s="173">
        <f t="shared" si="123"/>
        <v>43360</v>
      </c>
      <c r="AS286" s="742">
        <f t="shared" si="124"/>
        <v>0.42857142857142855</v>
      </c>
      <c r="AT286" s="758">
        <f t="shared" si="125"/>
        <v>45.448983673412087</v>
      </c>
      <c r="AU286" s="13">
        <f t="shared" si="126"/>
        <v>11</v>
      </c>
      <c r="AV286" s="13">
        <f t="shared" si="127"/>
        <v>10</v>
      </c>
      <c r="AW286" s="173">
        <f t="shared" si="128"/>
        <v>43374</v>
      </c>
      <c r="AX286" s="742">
        <f t="shared" si="129"/>
        <v>7.1428571428571425E-2</v>
      </c>
      <c r="AY286" s="758">
        <f t="shared" si="130"/>
        <v>45.460104591971529</v>
      </c>
      <c r="AZ286" s="735">
        <f t="shared" si="134"/>
        <v>45.454544132691808</v>
      </c>
      <c r="BA286" s="633">
        <f t="shared" si="131"/>
        <v>0.99997856820711983</v>
      </c>
      <c r="BC286" s="11">
        <v>43372</v>
      </c>
      <c r="BD286" s="289">
        <f>[3]!FeuilCaduc*(1-Persistant)+Persistant</f>
        <v>0.96862770572008172</v>
      </c>
      <c r="BE286" s="290">
        <f>[3]!CroissVégét</f>
        <v>0.98997648004446692</v>
      </c>
      <c r="BF286" s="804">
        <f>1+[3]!Salcycl*Ksac</f>
        <v>1.0421569264300203</v>
      </c>
      <c r="BH286" s="1037">
        <f t="shared" si="132"/>
        <v>2.5474755531377763E-2</v>
      </c>
      <c r="BI286" s="11">
        <v>44468</v>
      </c>
      <c r="BJ286" s="715">
        <v>3.7435745219203254E-4</v>
      </c>
      <c r="BK286" s="715">
        <v>3.3039070811348545E-3</v>
      </c>
      <c r="BL286" s="715">
        <v>7.8408248609975716E-3</v>
      </c>
      <c r="BM286" s="715">
        <v>1.5487169054092705E-2</v>
      </c>
      <c r="BN286" s="715">
        <v>2.798826009652533E-2</v>
      </c>
      <c r="BO286" s="716">
        <v>4.5578984404167355E-2</v>
      </c>
      <c r="BP286" s="715">
        <v>7.0053990600066063E-2</v>
      </c>
      <c r="BQ286" s="715">
        <v>0.11187470972644428</v>
      </c>
      <c r="BR286" s="715">
        <v>0.18850306571464573</v>
      </c>
      <c r="BS286" s="715">
        <v>0.30825029898132006</v>
      </c>
      <c r="BT286" s="715">
        <v>0.45802658323506779</v>
      </c>
      <c r="BW286" s="1185">
        <f>'2019'!R\Max</f>
        <v>0.99997856820711983</v>
      </c>
      <c r="BX286" s="1185">
        <f>'2020'!R\Max</f>
        <v>0.58119890880908254</v>
      </c>
      <c r="BY286" s="1185">
        <f>'2021'!R\Max</f>
        <v>0.60226639973701934</v>
      </c>
      <c r="BZ286" s="1185">
        <f>'2022'!R\Max</f>
        <v>0.51030288566954152</v>
      </c>
      <c r="CA286" s="1185">
        <f>'2023'!R\Max</f>
        <v>0.50983274282991231</v>
      </c>
      <c r="CB286" s="1185">
        <f>'2024'!R\Max</f>
        <v>0.50925330146912839</v>
      </c>
      <c r="CC286" s="1185">
        <f>'2025'!R\Max</f>
        <v>0.50844830820091258</v>
      </c>
      <c r="CD286" s="1185">
        <f>'2026'!R\Max</f>
        <v>0.51138700225764877</v>
      </c>
      <c r="CE286" s="1186">
        <f>'2027'!R\Max</f>
        <v>0.51104975771842964</v>
      </c>
      <c r="CF286" s="1187">
        <f>'2028'!R\Max</f>
        <v>0.51071232048459037</v>
      </c>
    </row>
    <row r="287" spans="1:84" s="6" customFormat="1" ht="11.25" x14ac:dyDescent="0.2">
      <c r="A287" s="11">
        <v>43373</v>
      </c>
      <c r="B287" s="379">
        <f>'2022'!Maxi_hp</f>
        <v>37.731180167005817</v>
      </c>
      <c r="C287" s="13">
        <f>'2022'!An_max</f>
        <v>2020</v>
      </c>
      <c r="D287" s="1046" t="str">
        <f t="shared" si="116"/>
        <v/>
      </c>
      <c r="E287" s="13"/>
      <c r="F287" s="13">
        <f t="shared" si="133"/>
        <v>21</v>
      </c>
      <c r="G287" s="13">
        <f t="shared" si="117"/>
        <v>20</v>
      </c>
      <c r="H287" s="173">
        <f t="shared" si="118"/>
        <v>43374</v>
      </c>
      <c r="I287" s="742">
        <f t="shared" si="119"/>
        <v>7.1428571428571425E-2</v>
      </c>
      <c r="J287" s="735">
        <f t="shared" si="120"/>
        <v>45.20515663214028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39">
        <v>43373</v>
      </c>
      <c r="AP287" s="13">
        <f t="shared" si="121"/>
        <v>11</v>
      </c>
      <c r="AQ287" s="13">
        <f t="shared" si="122"/>
        <v>12</v>
      </c>
      <c r="AR287" s="173">
        <f t="shared" si="123"/>
        <v>43360</v>
      </c>
      <c r="AS287" s="742">
        <f t="shared" si="124"/>
        <v>0.4642857142857143</v>
      </c>
      <c r="AT287" s="758">
        <f t="shared" si="125"/>
        <v>45.164951977040616</v>
      </c>
      <c r="AU287" s="13">
        <f t="shared" si="126"/>
        <v>11</v>
      </c>
      <c r="AV287" s="13">
        <f t="shared" si="127"/>
        <v>10</v>
      </c>
      <c r="AW287" s="173">
        <f t="shared" si="128"/>
        <v>43374</v>
      </c>
      <c r="AX287" s="742">
        <f t="shared" si="129"/>
        <v>3.5714285714285712E-2</v>
      </c>
      <c r="AY287" s="758">
        <f t="shared" si="130"/>
        <v>45.194773788690306</v>
      </c>
      <c r="AZ287" s="735">
        <f t="shared" si="134"/>
        <v>45.179862882865464</v>
      </c>
      <c r="BA287" s="633">
        <f t="shared" si="131"/>
        <v>0.83466540054369454</v>
      </c>
      <c r="BC287" s="11">
        <v>43373</v>
      </c>
      <c r="BD287" s="289">
        <f>[3]!FeuilCaduc*(1-Persistant)+Persistant</f>
        <v>0.96715741054763371</v>
      </c>
      <c r="BE287" s="290">
        <f>[3]!CroissVégét</f>
        <v>0.99038925353008489</v>
      </c>
      <c r="BF287" s="804">
        <f>1+[3]!Salcycl*Ksac</f>
        <v>1.0417893526369084</v>
      </c>
      <c r="BH287" s="1037">
        <f t="shared" si="132"/>
        <v>2.4992160971769723E-2</v>
      </c>
      <c r="BI287" s="11">
        <v>44469</v>
      </c>
      <c r="BJ287" s="715">
        <v>3.7923351748919161E-4</v>
      </c>
      <c r="BK287" s="715">
        <v>3.3044934840444594E-3</v>
      </c>
      <c r="BL287" s="715">
        <v>7.7904365444638095E-3</v>
      </c>
      <c r="BM287" s="715">
        <v>1.530982512298045E-2</v>
      </c>
      <c r="BN287" s="715">
        <v>2.7428845291106823E-2</v>
      </c>
      <c r="BO287" s="716">
        <v>4.4577722298273843E-2</v>
      </c>
      <c r="BP287" s="715">
        <v>6.975313937534823E-2</v>
      </c>
      <c r="BQ287" s="715">
        <v>0.11440285000965056</v>
      </c>
      <c r="BR287" s="715">
        <v>0.19659935583604188</v>
      </c>
      <c r="BS287" s="715">
        <v>0.32302764741788204</v>
      </c>
      <c r="BT287" s="715">
        <v>0.47979859854989299</v>
      </c>
      <c r="BW287" s="1185">
        <f>'2019'!R\Max</f>
        <v>0.50385594501728026</v>
      </c>
      <c r="BX287" s="1185">
        <f>'2020'!R\Max</f>
        <v>0.83466540054369454</v>
      </c>
      <c r="BY287" s="1185">
        <f>'2021'!R\Max</f>
        <v>0.36300280097539689</v>
      </c>
      <c r="BZ287" s="1185">
        <f>'2022'!R\Max</f>
        <v>0.7101138210974548</v>
      </c>
      <c r="CA287" s="1185">
        <f>'2023'!R\Max</f>
        <v>0.70971348173705617</v>
      </c>
      <c r="CB287" s="1185">
        <f>'2024'!R\Max</f>
        <v>0.70921100301135931</v>
      </c>
      <c r="CC287" s="1185">
        <f>'2025'!R\Max</f>
        <v>0.70849797707354223</v>
      </c>
      <c r="CD287" s="1185">
        <f>'2026'!R\Max</f>
        <v>0.71100493588761915</v>
      </c>
      <c r="CE287" s="1186">
        <f>'2027'!R\Max</f>
        <v>0.71073327414107856</v>
      </c>
      <c r="CF287" s="1187">
        <f>'2028'!R\Max</f>
        <v>0.71046131683872493</v>
      </c>
    </row>
    <row r="288" spans="1:84" s="6" customFormat="1" ht="11.25" x14ac:dyDescent="0.2">
      <c r="A288" s="11">
        <v>43374</v>
      </c>
      <c r="B288" s="379">
        <f>'2022'!Maxi_hp</f>
        <v>44.215885035477228</v>
      </c>
      <c r="C288" s="13">
        <f>'2022'!An_max</f>
        <v>2020</v>
      </c>
      <c r="D288" s="1046">
        <f t="shared" si="116"/>
        <v>0.98413233906976105</v>
      </c>
      <c r="E288" s="1041">
        <f>AG$13/10</f>
        <v>44.928800000000003</v>
      </c>
      <c r="F288" s="13">
        <f t="shared" si="133"/>
        <v>21</v>
      </c>
      <c r="G288" s="13">
        <f t="shared" si="117"/>
        <v>22</v>
      </c>
      <c r="H288" s="173">
        <f t="shared" si="118"/>
        <v>43374</v>
      </c>
      <c r="I288" s="742">
        <f t="shared" si="119"/>
        <v>0</v>
      </c>
      <c r="J288" s="735">
        <f t="shared" si="120"/>
        <v>44.92879999987781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39">
        <v>43374</v>
      </c>
      <c r="AP288" s="13">
        <f t="shared" si="121"/>
        <v>11</v>
      </c>
      <c r="AQ288" s="13">
        <f t="shared" si="122"/>
        <v>12</v>
      </c>
      <c r="AR288" s="173">
        <f t="shared" si="123"/>
        <v>43360</v>
      </c>
      <c r="AS288" s="742">
        <f t="shared" si="124"/>
        <v>0.5</v>
      </c>
      <c r="AT288" s="758">
        <f t="shared" si="125"/>
        <v>44.879099999961909</v>
      </c>
      <c r="AU288" s="13">
        <f t="shared" si="126"/>
        <v>11</v>
      </c>
      <c r="AV288" s="13">
        <f t="shared" si="127"/>
        <v>12</v>
      </c>
      <c r="AW288" s="173">
        <f t="shared" si="128"/>
        <v>43374</v>
      </c>
      <c r="AX288" s="742">
        <f t="shared" si="129"/>
        <v>0</v>
      </c>
      <c r="AY288" s="758">
        <f t="shared" si="130"/>
        <v>44.928800000622871</v>
      </c>
      <c r="AZ288" s="735">
        <f t="shared" si="134"/>
        <v>44.90395000029239</v>
      </c>
      <c r="BA288" s="633">
        <f t="shared" si="131"/>
        <v>0.98413233906976105</v>
      </c>
      <c r="BC288" s="11">
        <v>43374</v>
      </c>
      <c r="BD288" s="289">
        <f>[3]!FeuilCaduc*(1-Persistant)+Persistant</f>
        <v>0.96563267960259114</v>
      </c>
      <c r="BE288" s="290">
        <f>[3]!CroissVégét</f>
        <v>0.99078573093558142</v>
      </c>
      <c r="BF288" s="804">
        <f>1+[3]!Salcycl*Ksac</f>
        <v>1.0414081699006479</v>
      </c>
      <c r="BH288" s="1037">
        <f t="shared" si="132"/>
        <v>2.4447307848746162E-2</v>
      </c>
      <c r="BI288" s="11">
        <v>44470</v>
      </c>
      <c r="BJ288" s="715">
        <v>3.8186451398264783E-4</v>
      </c>
      <c r="BK288" s="715">
        <v>3.2979626441820421E-3</v>
      </c>
      <c r="BL288" s="715">
        <v>7.7258330260405834E-3</v>
      </c>
      <c r="BM288" s="715">
        <v>1.5106162804816279E-2</v>
      </c>
      <c r="BN288" s="715">
        <v>2.6798127114744212E-2</v>
      </c>
      <c r="BO288" s="716">
        <v>4.3556158312830974E-2</v>
      </c>
      <c r="BP288" s="715">
        <v>6.9690796487607259E-2</v>
      </c>
      <c r="BQ288" s="715">
        <v>0.11761940821777034</v>
      </c>
      <c r="BR288" s="715">
        <v>0.20574320448268577</v>
      </c>
      <c r="BS288" s="715">
        <v>0.33885959649479624</v>
      </c>
      <c r="BT288" s="715">
        <v>0.50232660089549264</v>
      </c>
      <c r="BW288" s="1185">
        <f>'2019'!R\Max</f>
        <v>0.86474315177400718</v>
      </c>
      <c r="BX288" s="1185">
        <f>'2020'!R\Max</f>
        <v>0.98413233906976105</v>
      </c>
      <c r="BY288" s="1185">
        <f>'2021'!R\Max</f>
        <v>0.74417973480711042</v>
      </c>
      <c r="BZ288" s="1185">
        <f>'2022'!R\Max</f>
        <v>0.837744441717859</v>
      </c>
      <c r="CA288" s="1185">
        <f>'2023'!R\Max</f>
        <v>0.83746868374911709</v>
      </c>
      <c r="CB288" s="1185">
        <f>'2024'!R\Max</f>
        <v>0.8371167877798078</v>
      </c>
      <c r="CC288" s="1185">
        <f>'2025'!R\Max</f>
        <v>0.8366080859694538</v>
      </c>
      <c r="CD288" s="1185">
        <f>'2026'!R\Max</f>
        <v>0.83833512061837612</v>
      </c>
      <c r="CE288" s="1186">
        <f>'2027'!R\Max</f>
        <v>0.83815919575586895</v>
      </c>
      <c r="CF288" s="1187">
        <f>'2028'!R\Max</f>
        <v>0.83798302475417341</v>
      </c>
    </row>
    <row r="289" spans="1:84" s="6" customFormat="1" ht="11.25" x14ac:dyDescent="0.2">
      <c r="A289" s="11">
        <v>43375</v>
      </c>
      <c r="B289" s="379">
        <f>'2022'!Maxi_hp</f>
        <v>42.630714957104409</v>
      </c>
      <c r="C289" s="13">
        <f>'2022'!An_max</f>
        <v>2022</v>
      </c>
      <c r="D289" s="1046" t="str">
        <f t="shared" si="116"/>
        <v/>
      </c>
      <c r="E289" s="13"/>
      <c r="F289" s="13">
        <f t="shared" si="133"/>
        <v>21</v>
      </c>
      <c r="G289" s="13">
        <f t="shared" si="117"/>
        <v>22</v>
      </c>
      <c r="H289" s="173">
        <f t="shared" si="118"/>
        <v>43374</v>
      </c>
      <c r="I289" s="742">
        <f t="shared" si="119"/>
        <v>7.1428571428571425E-2</v>
      </c>
      <c r="J289" s="735">
        <f t="shared" si="120"/>
        <v>44.649943877488219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39">
        <v>43375</v>
      </c>
      <c r="AP289" s="13">
        <f t="shared" si="121"/>
        <v>11</v>
      </c>
      <c r="AQ289" s="13">
        <f t="shared" si="122"/>
        <v>12</v>
      </c>
      <c r="AR289" s="173">
        <f t="shared" si="123"/>
        <v>43360</v>
      </c>
      <c r="AS289" s="742">
        <f t="shared" si="124"/>
        <v>0.5357142857142857</v>
      </c>
      <c r="AT289" s="758">
        <f t="shared" si="125"/>
        <v>44.591726594424109</v>
      </c>
      <c r="AU289" s="13">
        <f t="shared" si="126"/>
        <v>11</v>
      </c>
      <c r="AV289" s="13">
        <f t="shared" si="127"/>
        <v>12</v>
      </c>
      <c r="AW289" s="173">
        <f t="shared" si="128"/>
        <v>43374</v>
      </c>
      <c r="AX289" s="742">
        <f t="shared" si="129"/>
        <v>3.5714285714285712E-2</v>
      </c>
      <c r="AY289" s="758">
        <f t="shared" si="130"/>
        <v>44.660317666156757</v>
      </c>
      <c r="AZ289" s="735">
        <f t="shared" si="134"/>
        <v>44.626022130290437</v>
      </c>
      <c r="BA289" s="633">
        <f t="shared" si="131"/>
        <v>0.95477645109870179</v>
      </c>
      <c r="BC289" s="11">
        <v>43375</v>
      </c>
      <c r="BD289" s="289">
        <f>[3]!FeuilCaduc*(1-Persistant)+Persistant</f>
        <v>0.96405254000676222</v>
      </c>
      <c r="BE289" s="290">
        <f>[3]!CroissVégét</f>
        <v>0.99116654322989417</v>
      </c>
      <c r="BF289" s="804">
        <f>1+[3]!Salcycl*Ksac</f>
        <v>1.0410131350016905</v>
      </c>
      <c r="BH289" s="1037">
        <f t="shared" si="132"/>
        <v>2.3840063252175074E-2</v>
      </c>
      <c r="BI289" s="11">
        <v>44471</v>
      </c>
      <c r="BJ289" s="715">
        <v>3.8224698731223537E-4</v>
      </c>
      <c r="BK289" s="715">
        <v>3.284300731801611E-3</v>
      </c>
      <c r="BL289" s="715">
        <v>7.6469836061457443E-3</v>
      </c>
      <c r="BM289" s="715">
        <v>1.4876121437914891E-2</v>
      </c>
      <c r="BN289" s="715">
        <v>2.6095954475054851E-2</v>
      </c>
      <c r="BO289" s="716">
        <v>4.2514179553871455E-2</v>
      </c>
      <c r="BP289" s="715">
        <v>6.9867211629807344E-2</v>
      </c>
      <c r="BQ289" s="715">
        <v>0.12152531742141551</v>
      </c>
      <c r="BR289" s="715">
        <v>0.21593614858568932</v>
      </c>
      <c r="BS289" s="715">
        <v>0.35574777418942349</v>
      </c>
      <c r="BT289" s="715">
        <v>0.52561185134802557</v>
      </c>
      <c r="BW289" s="1185">
        <f>'2019'!R\Max</f>
        <v>0.51214365273225271</v>
      </c>
      <c r="BX289" s="1185">
        <f>'2020'!R\Max</f>
        <v>0.1860172381813468</v>
      </c>
      <c r="BY289" s="1185">
        <f>'2021'!R\Max</f>
        <v>0.88649540064149313</v>
      </c>
      <c r="BZ289" s="1185">
        <f>'2022'!R\Max</f>
        <v>0.95477645109870179</v>
      </c>
      <c r="CA289" s="1185">
        <f>'2023'!R\Max</f>
        <v>0.9546843210799556</v>
      </c>
      <c r="CB289" s="1185">
        <f>'2024'!R\Max</f>
        <v>0.95456498390933464</v>
      </c>
      <c r="CC289" s="1185">
        <f>'2025'!R\Max</f>
        <v>0.95438965078026006</v>
      </c>
      <c r="CD289" s="1185">
        <f>'2026'!R\Max</f>
        <v>0.9549658908052121</v>
      </c>
      <c r="CE289" s="1186">
        <f>'2027'!R\Max</f>
        <v>0.95491093990947362</v>
      </c>
      <c r="CF289" s="1187">
        <f>'2028'!R\Max</f>
        <v>0.95485589693243011</v>
      </c>
    </row>
    <row r="290" spans="1:84" s="6" customFormat="1" ht="11.25" x14ac:dyDescent="0.2">
      <c r="A290" s="11">
        <v>43376</v>
      </c>
      <c r="B290" s="379">
        <f>'2022'!Maxi_hp</f>
        <v>37.910091301325672</v>
      </c>
      <c r="C290" s="13">
        <f>'2022'!An_max</f>
        <v>2022</v>
      </c>
      <c r="D290" s="1046" t="str">
        <f t="shared" si="116"/>
        <v/>
      </c>
      <c r="E290" s="13"/>
      <c r="F290" s="13">
        <f t="shared" si="133"/>
        <v>21</v>
      </c>
      <c r="G290" s="13">
        <f t="shared" si="117"/>
        <v>22</v>
      </c>
      <c r="H290" s="173">
        <f t="shared" si="118"/>
        <v>43374</v>
      </c>
      <c r="I290" s="742">
        <f t="shared" si="119"/>
        <v>0.14285714285714285</v>
      </c>
      <c r="J290" s="735">
        <f t="shared" si="120"/>
        <v>44.367465306099831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39">
        <v>43376</v>
      </c>
      <c r="AP290" s="13">
        <f t="shared" si="121"/>
        <v>11</v>
      </c>
      <c r="AQ290" s="13">
        <f t="shared" si="122"/>
        <v>12</v>
      </c>
      <c r="AR290" s="173">
        <f t="shared" si="123"/>
        <v>43360</v>
      </c>
      <c r="AS290" s="742">
        <f t="shared" si="124"/>
        <v>0.5714285714285714</v>
      </c>
      <c r="AT290" s="758">
        <f t="shared" si="125"/>
        <v>44.303130612309488</v>
      </c>
      <c r="AU290" s="13">
        <f t="shared" si="126"/>
        <v>11</v>
      </c>
      <c r="AV290" s="13">
        <f t="shared" si="127"/>
        <v>12</v>
      </c>
      <c r="AW290" s="173">
        <f t="shared" si="128"/>
        <v>43374</v>
      </c>
      <c r="AX290" s="742">
        <f t="shared" si="129"/>
        <v>7.1428571428571425E-2</v>
      </c>
      <c r="AY290" s="758">
        <f t="shared" si="130"/>
        <v>44.387569898327015</v>
      </c>
      <c r="AZ290" s="735">
        <f t="shared" si="134"/>
        <v>44.345350255318252</v>
      </c>
      <c r="BA290" s="633">
        <f t="shared" si="131"/>
        <v>0.85445699996104196</v>
      </c>
      <c r="BC290" s="11">
        <v>43376</v>
      </c>
      <c r="BD290" s="289">
        <f>[3]!FeuilCaduc*(1-Persistant)+Persistant</f>
        <v>0.9624161209651827</v>
      </c>
      <c r="BE290" s="290">
        <f>[3]!CroissVégét</f>
        <v>0.99153229792147035</v>
      </c>
      <c r="BF290" s="804">
        <f>1+[3]!Salcycl*Ksac</f>
        <v>1.0406040302412958</v>
      </c>
      <c r="BH290" s="1037">
        <f t="shared" si="132"/>
        <v>2.3209822903240064E-2</v>
      </c>
      <c r="BI290" s="11">
        <v>44472</v>
      </c>
      <c r="BJ290" s="715">
        <v>3.8199513810294899E-4</v>
      </c>
      <c r="BK290" s="715">
        <v>3.2637689634421475E-3</v>
      </c>
      <c r="BL290" s="715">
        <v>7.5520055686532977E-3</v>
      </c>
      <c r="BM290" s="715">
        <v>1.4617188146730662E-2</v>
      </c>
      <c r="BN290" s="715">
        <v>2.537226993048252E-2</v>
      </c>
      <c r="BO290" s="716">
        <v>4.1677952155535318E-2</v>
      </c>
      <c r="BP290" s="715">
        <v>7.0722033149825794E-2</v>
      </c>
      <c r="BQ290" s="715">
        <v>0.12662812896178727</v>
      </c>
      <c r="BR290" s="715">
        <v>0.22751172911007339</v>
      </c>
      <c r="BS290" s="715">
        <v>0.37377253396375654</v>
      </c>
      <c r="BT290" s="715">
        <v>0.54953516811756675</v>
      </c>
      <c r="BW290" s="1185">
        <f>'2019'!R\Max</f>
        <v>0.70269368118635589</v>
      </c>
      <c r="BX290" s="1185">
        <f>'2020'!R\Max</f>
        <v>0.11056960778217935</v>
      </c>
      <c r="BY290" s="1185">
        <f>'2021'!R\Max</f>
        <v>0.13164253885827859</v>
      </c>
      <c r="BZ290" s="1185">
        <f>'2022'!R\Max</f>
        <v>0.85445699996104196</v>
      </c>
      <c r="CA290" s="1185">
        <f>'2023'!R\Max</f>
        <v>0.85417396173115623</v>
      </c>
      <c r="CB290" s="1185">
        <f>'2024'!R\Max</f>
        <v>0.85380397389193596</v>
      </c>
      <c r="CC290" s="1185">
        <f>'2025'!R\Max</f>
        <v>0.85325533272380938</v>
      </c>
      <c r="CD290" s="1185">
        <f>'2026'!R\Max</f>
        <v>0.85501676603719001</v>
      </c>
      <c r="CE290" s="1186">
        <f>'2027'!R\Max</f>
        <v>0.85485874682129326</v>
      </c>
      <c r="CF290" s="1187">
        <f>'2028'!R\Max</f>
        <v>0.85470050376825557</v>
      </c>
    </row>
    <row r="291" spans="1:84" s="6" customFormat="1" ht="11.25" x14ac:dyDescent="0.2">
      <c r="A291" s="11">
        <v>43377</v>
      </c>
      <c r="B291" s="379">
        <f>'2022'!Maxi_hp</f>
        <v>45.267692249825423</v>
      </c>
      <c r="C291" s="13">
        <f>'2022'!An_max</f>
        <v>2022</v>
      </c>
      <c r="D291" s="1046">
        <f t="shared" si="116"/>
        <v>1.0269021069326252</v>
      </c>
      <c r="E291" s="13"/>
      <c r="F291" s="13">
        <f t="shared" si="133"/>
        <v>21</v>
      </c>
      <c r="G291" s="13">
        <f t="shared" si="117"/>
        <v>22</v>
      </c>
      <c r="H291" s="173">
        <f t="shared" si="118"/>
        <v>43374</v>
      </c>
      <c r="I291" s="742">
        <f t="shared" si="119"/>
        <v>0.21428571428571427</v>
      </c>
      <c r="J291" s="735">
        <f t="shared" si="120"/>
        <v>44.081798979886038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39">
        <v>43377</v>
      </c>
      <c r="AP291" s="13">
        <f t="shared" si="121"/>
        <v>11</v>
      </c>
      <c r="AQ291" s="13">
        <f t="shared" si="122"/>
        <v>12</v>
      </c>
      <c r="AR291" s="173">
        <f t="shared" si="123"/>
        <v>43360</v>
      </c>
      <c r="AS291" s="742">
        <f t="shared" si="124"/>
        <v>0.6071428571428571</v>
      </c>
      <c r="AT291" s="758">
        <f t="shared" si="125"/>
        <v>44.013610905782215</v>
      </c>
      <c r="AU291" s="13">
        <f t="shared" si="126"/>
        <v>11</v>
      </c>
      <c r="AV291" s="13">
        <f t="shared" si="127"/>
        <v>12</v>
      </c>
      <c r="AW291" s="173">
        <f t="shared" si="128"/>
        <v>43374</v>
      </c>
      <c r="AX291" s="742">
        <f t="shared" si="129"/>
        <v>0.10714285714285714</v>
      </c>
      <c r="AY291" s="758">
        <f t="shared" si="130"/>
        <v>44.110855548788926</v>
      </c>
      <c r="AZ291" s="735">
        <f t="shared" si="134"/>
        <v>44.062233227285574</v>
      </c>
      <c r="BA291" s="633">
        <f t="shared" si="131"/>
        <v>1.0269021069326252</v>
      </c>
      <c r="BC291" s="11">
        <v>43377</v>
      </c>
      <c r="BD291" s="289">
        <f>[3]!FeuilCaduc*(1-Persistant)+Persistant</f>
        <v>0.96072266515787474</v>
      </c>
      <c r="BE291" s="290">
        <f>[3]!CroissVégét</f>
        <v>0.99188357985413123</v>
      </c>
      <c r="BF291" s="804">
        <f>1+[3]!Salcycl*Ksac</f>
        <v>1.0401806662894686</v>
      </c>
      <c r="BH291" s="1037">
        <f t="shared" si="132"/>
        <v>2.2589782291609142E-2</v>
      </c>
      <c r="BI291" s="11">
        <v>44473</v>
      </c>
      <c r="BJ291" s="715">
        <v>3.8215088135296863E-4</v>
      </c>
      <c r="BK291" s="715">
        <v>3.2391500493616551E-3</v>
      </c>
      <c r="BL291" s="715">
        <v>7.4476378506689849E-3</v>
      </c>
      <c r="BM291" s="715">
        <v>1.4336885377488269E-2</v>
      </c>
      <c r="BN291" s="715">
        <v>2.4666729922201661E-2</v>
      </c>
      <c r="BO291" s="716">
        <v>4.1122539096395218E-2</v>
      </c>
      <c r="BP291" s="715">
        <v>7.2291471217348247E-2</v>
      </c>
      <c r="BQ291" s="715">
        <v>0.13274610575887519</v>
      </c>
      <c r="BR291" s="715">
        <v>0.23999090923506383</v>
      </c>
      <c r="BS291" s="715">
        <v>0.39228872071759469</v>
      </c>
      <c r="BT291" s="715">
        <v>0.5734855771169175</v>
      </c>
      <c r="BW291" s="1185">
        <f>'2019'!R\Max</f>
        <v>0.30826524090629037</v>
      </c>
      <c r="BX291" s="1185">
        <f>'2020'!R\Max</f>
        <v>0.48224366443785099</v>
      </c>
      <c r="BY291" s="1185">
        <f>'2021'!R\Max</f>
        <v>0.6591223060543806</v>
      </c>
      <c r="BZ291" s="1185">
        <f>'2022'!R\Max</f>
        <v>1.0269021069326252</v>
      </c>
      <c r="CA291" s="1185">
        <f>'2023'!R\Max</f>
        <v>1.0269021069326252</v>
      </c>
      <c r="CB291" s="1185">
        <f>'2024'!R\Max</f>
        <v>1.026902106932625</v>
      </c>
      <c r="CC291" s="1185">
        <f>'2025'!R\Max</f>
        <v>1.0269021069326252</v>
      </c>
      <c r="CD291" s="1185">
        <f>'2026'!R\Max</f>
        <v>1.0269021069326252</v>
      </c>
      <c r="CE291" s="1186">
        <f>'2027'!R\Max</f>
        <v>1.0269021069326252</v>
      </c>
      <c r="CF291" s="1187">
        <f>'2028'!R\Max</f>
        <v>1.0269021069326254</v>
      </c>
    </row>
    <row r="292" spans="1:84" s="6" customFormat="1" ht="11.25" x14ac:dyDescent="0.2">
      <c r="A292" s="11">
        <v>43378</v>
      </c>
      <c r="B292" s="379">
        <f>'2022'!Maxi_hp</f>
        <v>44.920703887087058</v>
      </c>
      <c r="C292" s="13">
        <f>'2022'!An_max</f>
        <v>2022</v>
      </c>
      <c r="D292" s="1046">
        <f t="shared" si="116"/>
        <v>1.0257418885232878</v>
      </c>
      <c r="E292" s="13"/>
      <c r="F292" s="13">
        <f t="shared" si="133"/>
        <v>21</v>
      </c>
      <c r="G292" s="13">
        <f t="shared" si="117"/>
        <v>22</v>
      </c>
      <c r="H292" s="173">
        <f t="shared" si="118"/>
        <v>43374</v>
      </c>
      <c r="I292" s="742">
        <f t="shared" si="119"/>
        <v>0.2857142857142857</v>
      </c>
      <c r="J292" s="735">
        <f t="shared" si="120"/>
        <v>43.793379591582507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39">
        <v>43378</v>
      </c>
      <c r="AP292" s="13">
        <f t="shared" si="121"/>
        <v>11</v>
      </c>
      <c r="AQ292" s="13">
        <f t="shared" si="122"/>
        <v>12</v>
      </c>
      <c r="AR292" s="173">
        <f t="shared" si="123"/>
        <v>43360</v>
      </c>
      <c r="AS292" s="742">
        <f t="shared" si="124"/>
        <v>0.6428571428571429</v>
      </c>
      <c r="AT292" s="758">
        <f t="shared" si="125"/>
        <v>43.723466326485926</v>
      </c>
      <c r="AU292" s="13">
        <f t="shared" si="126"/>
        <v>11</v>
      </c>
      <c r="AV292" s="13">
        <f t="shared" si="127"/>
        <v>12</v>
      </c>
      <c r="AW292" s="173">
        <f t="shared" si="128"/>
        <v>43374</v>
      </c>
      <c r="AX292" s="742">
        <f t="shared" si="129"/>
        <v>0.14285714285714285</v>
      </c>
      <c r="AY292" s="758">
        <f t="shared" si="130"/>
        <v>43.830473469836377</v>
      </c>
      <c r="AZ292" s="735">
        <f t="shared" si="134"/>
        <v>43.776969898161155</v>
      </c>
      <c r="BA292" s="633">
        <f t="shared" si="131"/>
        <v>1.0257418885232878</v>
      </c>
      <c r="BC292" s="11">
        <v>43378</v>
      </c>
      <c r="BD292" s="289">
        <f>[3]!FeuilCaduc*(1-Persistant)+Persistant</f>
        <v>0.95897153999715545</v>
      </c>
      <c r="BE292" s="290">
        <f>[3]!CroissVégét</f>
        <v>0.99222095198209459</v>
      </c>
      <c r="BF292" s="804">
        <f>1+[3]!Salcycl*Ksac</f>
        <v>1.0397428849992889</v>
      </c>
      <c r="BH292" s="1037">
        <f t="shared" si="132"/>
        <v>2.1979915872559097E-2</v>
      </c>
      <c r="BI292" s="11">
        <v>44474</v>
      </c>
      <c r="BJ292" s="715">
        <v>3.8271439345847038E-4</v>
      </c>
      <c r="BK292" s="715">
        <v>3.2104337150396798E-3</v>
      </c>
      <c r="BL292" s="715">
        <v>7.3338556660512977E-3</v>
      </c>
      <c r="BM292" s="715">
        <v>1.4035158602931332E-2</v>
      </c>
      <c r="BN292" s="715">
        <v>2.397931619931621E-2</v>
      </c>
      <c r="BO292" s="716">
        <v>4.0848295050917707E-2</v>
      </c>
      <c r="BP292" s="715">
        <v>7.4576538040916296E-2</v>
      </c>
      <c r="BQ292" s="715">
        <v>0.13988074755000135</v>
      </c>
      <c r="BR292" s="715">
        <v>0.25337505994240783</v>
      </c>
      <c r="BS292" s="715">
        <v>0.41129707441896779</v>
      </c>
      <c r="BT292" s="715">
        <v>0.59746306304740993</v>
      </c>
      <c r="BW292" s="1185">
        <f>'2019'!R\Max</f>
        <v>0.87809911778286187</v>
      </c>
      <c r="BX292" s="1185">
        <f>'2020'!R\Max</f>
        <v>0.46839303374377128</v>
      </c>
      <c r="BY292" s="1185">
        <f>'2021'!R\Max</f>
        <v>0.27368440990359161</v>
      </c>
      <c r="BZ292" s="1185">
        <f>'2022'!R\Max</f>
        <v>1.0257418885232878</v>
      </c>
      <c r="CA292" s="1185">
        <f>'2023'!R\Max</f>
        <v>1.0257418885232881</v>
      </c>
      <c r="CB292" s="1185">
        <f>'2024'!R\Max</f>
        <v>1.0257418885232878</v>
      </c>
      <c r="CC292" s="1185">
        <f>'2025'!R\Max</f>
        <v>1.0257418885232881</v>
      </c>
      <c r="CD292" s="1185">
        <f>'2026'!R\Max</f>
        <v>1.0257418885232881</v>
      </c>
      <c r="CE292" s="1186">
        <f>'2027'!R\Max</f>
        <v>1.0257418885232878</v>
      </c>
      <c r="CF292" s="1187">
        <f>'2028'!R\Max</f>
        <v>1.0257418885232881</v>
      </c>
    </row>
    <row r="293" spans="1:84" s="6" customFormat="1" ht="11.25" x14ac:dyDescent="0.2">
      <c r="A293" s="11">
        <v>43379</v>
      </c>
      <c r="B293" s="379">
        <f>'2022'!Maxi_hp</f>
        <v>37.456299477721394</v>
      </c>
      <c r="C293" s="13">
        <f>'2022'!An_max</f>
        <v>2021</v>
      </c>
      <c r="D293" s="1046" t="str">
        <f t="shared" si="116"/>
        <v/>
      </c>
      <c r="E293" s="13"/>
      <c r="F293" s="13">
        <f t="shared" si="133"/>
        <v>21</v>
      </c>
      <c r="G293" s="13">
        <f t="shared" si="117"/>
        <v>22</v>
      </c>
      <c r="H293" s="173">
        <f t="shared" si="118"/>
        <v>43374</v>
      </c>
      <c r="I293" s="742">
        <f t="shared" si="119"/>
        <v>0.35714285714285715</v>
      </c>
      <c r="J293" s="735">
        <f t="shared" si="120"/>
        <v>43.502641836507244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39">
        <v>43379</v>
      </c>
      <c r="AP293" s="13">
        <f t="shared" si="121"/>
        <v>11</v>
      </c>
      <c r="AQ293" s="13">
        <f t="shared" si="122"/>
        <v>12</v>
      </c>
      <c r="AR293" s="173">
        <f t="shared" si="123"/>
        <v>43360</v>
      </c>
      <c r="AS293" s="742">
        <f t="shared" si="124"/>
        <v>0.6785714285714286</v>
      </c>
      <c r="AT293" s="758">
        <f t="shared" si="125"/>
        <v>43.432995727229198</v>
      </c>
      <c r="AU293" s="13">
        <f t="shared" si="126"/>
        <v>11</v>
      </c>
      <c r="AV293" s="13">
        <f t="shared" si="127"/>
        <v>12</v>
      </c>
      <c r="AW293" s="173">
        <f t="shared" si="128"/>
        <v>43374</v>
      </c>
      <c r="AX293" s="742">
        <f t="shared" si="129"/>
        <v>0.17857142857142858</v>
      </c>
      <c r="AY293" s="758">
        <f t="shared" si="130"/>
        <v>43.546722513237697</v>
      </c>
      <c r="AZ293" s="735">
        <f t="shared" si="134"/>
        <v>43.489859120233447</v>
      </c>
      <c r="BA293" s="633">
        <f t="shared" si="131"/>
        <v>0.86101206493367988</v>
      </c>
      <c r="BC293" s="11">
        <v>43379</v>
      </c>
      <c r="BD293" s="289">
        <f>[3]!FeuilCaduc*(1-Persistant)+Persistant</f>
        <v>0.95716224864798471</v>
      </c>
      <c r="BE293" s="290">
        <f>[3]!CroissVégét</f>
        <v>0.99254495612417293</v>
      </c>
      <c r="BF293" s="804">
        <f>1+[3]!Salcycl*Ksac</f>
        <v>1.0392905621619961</v>
      </c>
      <c r="BH293" s="1037">
        <f t="shared" si="132"/>
        <v>2.1380201354969385E-2</v>
      </c>
      <c r="BI293" s="11">
        <v>44475</v>
      </c>
      <c r="BJ293" s="715">
        <v>3.8368586932251473E-4</v>
      </c>
      <c r="BK293" s="715">
        <v>3.177609615183782E-3</v>
      </c>
      <c r="BL293" s="715">
        <v>7.2106342781295225E-3</v>
      </c>
      <c r="BM293" s="715">
        <v>1.3711953593492135E-2</v>
      </c>
      <c r="BN293" s="715">
        <v>2.3310014508426555E-2</v>
      </c>
      <c r="BO293" s="716">
        <v>4.0855589989431444E-2</v>
      </c>
      <c r="BP293" s="715">
        <v>7.7578271466634111E-2</v>
      </c>
      <c r="BQ293" s="715">
        <v>0.1480335732990998</v>
      </c>
      <c r="BR293" s="715">
        <v>0.26766553834727308</v>
      </c>
      <c r="BS293" s="715">
        <v>0.43079827593513759</v>
      </c>
      <c r="BT293" s="715">
        <v>0.62146750663010897</v>
      </c>
      <c r="BW293" s="1185">
        <f>'2019'!R\Max</f>
        <v>0.47546524417933878</v>
      </c>
      <c r="BX293" s="1185">
        <f>'2020'!R\Max</f>
        <v>0.77724843179802727</v>
      </c>
      <c r="BY293" s="1185">
        <f>'2021'!R\Max</f>
        <v>0.86101206493367988</v>
      </c>
      <c r="BZ293" s="1185">
        <f>'2022'!R\Max</f>
        <v>0.36588226655433109</v>
      </c>
      <c r="CA293" s="1185">
        <f>'2023'!R\Max</f>
        <v>0.3652055653428235</v>
      </c>
      <c r="CB293" s="1185">
        <f>'2024'!R\Max</f>
        <v>0.3643239240053982</v>
      </c>
      <c r="CC293" s="1185">
        <f>'2025'!R\Max</f>
        <v>0.36302421399055895</v>
      </c>
      <c r="CD293" s="1185">
        <f>'2026'!R\Max</f>
        <v>0.36710867839821959</v>
      </c>
      <c r="CE293" s="1186">
        <f>'2027'!R\Max</f>
        <v>0.36678562290027211</v>
      </c>
      <c r="CF293" s="1187">
        <f>'2028'!R\Max</f>
        <v>0.36646250692007637</v>
      </c>
    </row>
    <row r="294" spans="1:84" s="6" customFormat="1" ht="11.25" x14ac:dyDescent="0.2">
      <c r="A294" s="11">
        <v>43380</v>
      </c>
      <c r="B294" s="379">
        <f>'2022'!Maxi_hp</f>
        <v>42.329866448649689</v>
      </c>
      <c r="C294" s="13">
        <f>'2022'!An_max</f>
        <v>2021</v>
      </c>
      <c r="D294" s="1046">
        <f t="shared" si="116"/>
        <v>0.97963079046935342</v>
      </c>
      <c r="E294" s="13"/>
      <c r="F294" s="13">
        <f t="shared" si="133"/>
        <v>21</v>
      </c>
      <c r="G294" s="13">
        <f t="shared" si="117"/>
        <v>22</v>
      </c>
      <c r="H294" s="173">
        <f t="shared" si="118"/>
        <v>43374</v>
      </c>
      <c r="I294" s="742">
        <f t="shared" si="119"/>
        <v>0.42857142857142855</v>
      </c>
      <c r="J294" s="735">
        <f t="shared" si="120"/>
        <v>43.210020408167161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39">
        <v>43380</v>
      </c>
      <c r="AP294" s="13">
        <f t="shared" si="121"/>
        <v>11</v>
      </c>
      <c r="AQ294" s="13">
        <f t="shared" si="122"/>
        <v>12</v>
      </c>
      <c r="AR294" s="173">
        <f t="shared" si="123"/>
        <v>43360</v>
      </c>
      <c r="AS294" s="742">
        <f t="shared" si="124"/>
        <v>0.7142857142857143</v>
      </c>
      <c r="AT294" s="758">
        <f t="shared" si="125"/>
        <v>43.142497959101043</v>
      </c>
      <c r="AU294" s="13">
        <f t="shared" si="126"/>
        <v>11</v>
      </c>
      <c r="AV294" s="13">
        <f t="shared" si="127"/>
        <v>12</v>
      </c>
      <c r="AW294" s="173">
        <f t="shared" si="128"/>
        <v>43374</v>
      </c>
      <c r="AX294" s="742">
        <f t="shared" si="129"/>
        <v>0.21428571428571427</v>
      </c>
      <c r="AY294" s="758">
        <f t="shared" si="130"/>
        <v>43.259901530747968</v>
      </c>
      <c r="AZ294" s="735">
        <f t="shared" si="134"/>
        <v>43.201199744924509</v>
      </c>
      <c r="BA294" s="633">
        <f t="shared" si="131"/>
        <v>0.97963079046935342</v>
      </c>
      <c r="BC294" s="11">
        <v>43380</v>
      </c>
      <c r="BD294" s="289">
        <f>[3]!FeuilCaduc*(1-Persistant)+Persistant</f>
        <v>0.95529444070762437</v>
      </c>
      <c r="BE294" s="290">
        <f>[3]!CroissVégét</f>
        <v>0.9928561136972186</v>
      </c>
      <c r="BF294" s="804">
        <f>1+[3]!Salcycl*Ksac</f>
        <v>1.0388236101769062</v>
      </c>
      <c r="BH294" s="1037">
        <f t="shared" si="132"/>
        <v>2.0790619584753315E-2</v>
      </c>
      <c r="BI294" s="11">
        <v>44476</v>
      </c>
      <c r="BJ294" s="715">
        <v>3.8506551791431682E-4</v>
      </c>
      <c r="BK294" s="715">
        <v>3.1406673786541963E-3</v>
      </c>
      <c r="BL294" s="715">
        <v>7.0779491024054392E-3</v>
      </c>
      <c r="BM294" s="715">
        <v>1.3367216650334661E-2</v>
      </c>
      <c r="BN294" s="715">
        <v>2.2658814389076368E-2</v>
      </c>
      <c r="BO294" s="716">
        <v>4.1144806091514753E-2</v>
      </c>
      <c r="BP294" s="715">
        <v>8.1297727152080251E-2</v>
      </c>
      <c r="BQ294" s="715">
        <v>0.1572061101231669</v>
      </c>
      <c r="BR294" s="715">
        <v>0.28286367792733152</v>
      </c>
      <c r="BS294" s="715">
        <v>0.45079294186679086</v>
      </c>
      <c r="BT294" s="715">
        <v>0.6454986846142764</v>
      </c>
      <c r="BW294" s="1185">
        <f>'2019'!R\Max</f>
        <v>0.76469224179452921</v>
      </c>
      <c r="BX294" s="1185">
        <f>'2020'!R\Max</f>
        <v>0.1800310365828533</v>
      </c>
      <c r="BY294" s="1185">
        <f>'2021'!R\Max</f>
        <v>0.97963079046935342</v>
      </c>
      <c r="BZ294" s="1185">
        <f>'2022'!R\Max</f>
        <v>0.78233035689963659</v>
      </c>
      <c r="CA294" s="1185">
        <f>'2023'!R\Max</f>
        <v>0.78178383979247568</v>
      </c>
      <c r="CB294" s="1185">
        <f>'2024'!R\Max</f>
        <v>0.78107450980858995</v>
      </c>
      <c r="CC294" s="1185">
        <f>'2025'!R\Max</f>
        <v>0.78003249268879515</v>
      </c>
      <c r="CD294" s="1185">
        <f>'2026'!R\Max</f>
        <v>0.78329771166939643</v>
      </c>
      <c r="CE294" s="1186">
        <f>'2027'!R\Max</f>
        <v>0.78304769168139721</v>
      </c>
      <c r="CF294" s="1187">
        <f>'2028'!R\Max</f>
        <v>0.78279731531975594</v>
      </c>
    </row>
    <row r="295" spans="1:84" s="6" customFormat="1" ht="11.25" x14ac:dyDescent="0.2">
      <c r="A295" s="11">
        <v>43381</v>
      </c>
      <c r="B295" s="379">
        <f>'2022'!Maxi_hp</f>
        <v>42.692090541725008</v>
      </c>
      <c r="C295" s="13">
        <f>'2022'!An_max</f>
        <v>2021</v>
      </c>
      <c r="D295" s="1046">
        <f t="shared" si="116"/>
        <v>0.99478377017715458</v>
      </c>
      <c r="E295" s="13"/>
      <c r="F295" s="13">
        <f t="shared" si="133"/>
        <v>21</v>
      </c>
      <c r="G295" s="13">
        <f t="shared" si="117"/>
        <v>22</v>
      </c>
      <c r="H295" s="173">
        <f t="shared" si="118"/>
        <v>43374</v>
      </c>
      <c r="I295" s="742">
        <f t="shared" si="119"/>
        <v>0.5</v>
      </c>
      <c r="J295" s="735">
        <f t="shared" si="120"/>
        <v>42.915949999990701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39">
        <v>43381</v>
      </c>
      <c r="AP295" s="13">
        <f t="shared" si="121"/>
        <v>11</v>
      </c>
      <c r="AQ295" s="13">
        <f t="shared" si="122"/>
        <v>12</v>
      </c>
      <c r="AR295" s="173">
        <f t="shared" si="123"/>
        <v>43360</v>
      </c>
      <c r="AS295" s="742">
        <f t="shared" si="124"/>
        <v>0.75</v>
      </c>
      <c r="AT295" s="758">
        <f t="shared" si="125"/>
        <v>42.852271875157022</v>
      </c>
      <c r="AU295" s="13">
        <f t="shared" si="126"/>
        <v>11</v>
      </c>
      <c r="AV295" s="13">
        <f t="shared" si="127"/>
        <v>12</v>
      </c>
      <c r="AW295" s="173">
        <f t="shared" si="128"/>
        <v>43374</v>
      </c>
      <c r="AX295" s="742">
        <f t="shared" si="129"/>
        <v>0.25</v>
      </c>
      <c r="AY295" s="758">
        <f t="shared" si="130"/>
        <v>42.970309375226499</v>
      </c>
      <c r="AZ295" s="735">
        <f t="shared" si="134"/>
        <v>42.911290625191761</v>
      </c>
      <c r="BA295" s="633">
        <f t="shared" si="131"/>
        <v>0.99478377017715458</v>
      </c>
      <c r="BC295" s="11">
        <v>43381</v>
      </c>
      <c r="BD295" s="289">
        <f>[3]!FeuilCaduc*(1-Persistant)+Persistant</f>
        <v>0.9533679224406586</v>
      </c>
      <c r="BE295" s="290">
        <f>[3]!CroissVégét</f>
        <v>0.99315492642894099</v>
      </c>
      <c r="BF295" s="804">
        <f>1+[3]!Salcycl*Ksac</f>
        <v>1.0383419806101646</v>
      </c>
      <c r="BH295" s="1037">
        <f t="shared" si="132"/>
        <v>2.0211154428491869E-2</v>
      </c>
      <c r="BI295" s="11">
        <v>44477</v>
      </c>
      <c r="BJ295" s="715">
        <v>3.8685355783213264E-4</v>
      </c>
      <c r="BK295" s="715">
        <v>3.0995966534184097E-3</v>
      </c>
      <c r="BL295" s="715">
        <v>6.9357758093230564E-3</v>
      </c>
      <c r="BM295" s="715">
        <v>1.3000894838527143E-2</v>
      </c>
      <c r="BN295" s="715">
        <v>2.2025708969420538E-2</v>
      </c>
      <c r="BO295" s="716">
        <v>4.1716334659772043E-2</v>
      </c>
      <c r="BP295" s="715">
        <v>8.573597074095482E-2</v>
      </c>
      <c r="BQ295" s="715">
        <v>0.16739988222010338</v>
      </c>
      <c r="BR295" s="715">
        <v>0.29897077875434797</v>
      </c>
      <c r="BS295" s="715">
        <v>0.47128161938625612</v>
      </c>
      <c r="BT295" s="715">
        <v>0.6695562697916394</v>
      </c>
      <c r="BW295" s="1185">
        <f>'2019'!R\Max</f>
        <v>0.96217312815656719</v>
      </c>
      <c r="BX295" s="1185">
        <f>'2020'!R\Max</f>
        <v>0.70211099801134347</v>
      </c>
      <c r="BY295" s="1185">
        <f>'2021'!R\Max</f>
        <v>0.99478377017715458</v>
      </c>
      <c r="BZ295" s="1185">
        <f>'2022'!R\Max</f>
        <v>0.37857991643835964</v>
      </c>
      <c r="CA295" s="1185">
        <f>'2023'!R\Max</f>
        <v>0.37774907670275903</v>
      </c>
      <c r="CB295" s="1185">
        <f>'2024'!R\Max</f>
        <v>0.37668331804658994</v>
      </c>
      <c r="CC295" s="1185">
        <f>'2025'!R\Max</f>
        <v>0.37513960388061152</v>
      </c>
      <c r="CD295" s="1185">
        <f>'2026'!R\Max</f>
        <v>0.38003350416725901</v>
      </c>
      <c r="CE295" s="1186">
        <f>'2027'!R\Max</f>
        <v>0.37966228324528595</v>
      </c>
      <c r="CF295" s="1187">
        <f>'2028'!R\Max</f>
        <v>0.37929096843019011</v>
      </c>
    </row>
    <row r="296" spans="1:84" s="6" customFormat="1" ht="11.25" x14ac:dyDescent="0.2">
      <c r="A296" s="11">
        <v>43382</v>
      </c>
      <c r="B296" s="379">
        <f>'2022'!Maxi_hp</f>
        <v>42.727093613485302</v>
      </c>
      <c r="C296" s="13">
        <f>'2022'!An_max</f>
        <v>2022</v>
      </c>
      <c r="D296" s="1046">
        <f t="shared" si="116"/>
        <v>1.0024924014672847</v>
      </c>
      <c r="E296" s="13"/>
      <c r="F296" s="13">
        <f t="shared" si="133"/>
        <v>21</v>
      </c>
      <c r="G296" s="13">
        <f t="shared" si="117"/>
        <v>22</v>
      </c>
      <c r="H296" s="173">
        <f t="shared" si="118"/>
        <v>43374</v>
      </c>
      <c r="I296" s="742">
        <f t="shared" si="119"/>
        <v>0.5714285714285714</v>
      </c>
      <c r="J296" s="735">
        <f t="shared" si="120"/>
        <v>42.620865306259034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39">
        <v>43382</v>
      </c>
      <c r="AP296" s="13">
        <f t="shared" si="121"/>
        <v>11</v>
      </c>
      <c r="AQ296" s="13">
        <f t="shared" si="122"/>
        <v>12</v>
      </c>
      <c r="AR296" s="173">
        <f t="shared" si="123"/>
        <v>43360</v>
      </c>
      <c r="AS296" s="742">
        <f t="shared" si="124"/>
        <v>0.7857142857142857</v>
      </c>
      <c r="AT296" s="758">
        <f t="shared" si="125"/>
        <v>42.562616326500262</v>
      </c>
      <c r="AU296" s="13">
        <f t="shared" si="126"/>
        <v>11</v>
      </c>
      <c r="AV296" s="13">
        <f t="shared" si="127"/>
        <v>12</v>
      </c>
      <c r="AW296" s="173">
        <f t="shared" si="128"/>
        <v>43374</v>
      </c>
      <c r="AX296" s="742">
        <f t="shared" si="129"/>
        <v>0.2857142857142857</v>
      </c>
      <c r="AY296" s="758">
        <f t="shared" si="130"/>
        <v>42.678244898175549</v>
      </c>
      <c r="AZ296" s="735">
        <f t="shared" si="134"/>
        <v>42.620430612337906</v>
      </c>
      <c r="BA296" s="633">
        <f t="shared" si="131"/>
        <v>1.0024924014672847</v>
      </c>
      <c r="BC296" s="11">
        <v>43382</v>
      </c>
      <c r="BD296" s="289">
        <f>[3]!FeuilCaduc*(1-Persistant)+Persistant</f>
        <v>0.95138266646623926</v>
      </c>
      <c r="BE296" s="290">
        <f>[3]!CroissVégét</f>
        <v>0.9934418770502661</v>
      </c>
      <c r="BF296" s="804">
        <f>1+[3]!Salcycl*Ksac</f>
        <v>1.0378456666165599</v>
      </c>
      <c r="BH296" s="1037">
        <f t="shared" si="132"/>
        <v>1.9797290148919004E-2</v>
      </c>
      <c r="BI296" s="11">
        <v>44478</v>
      </c>
      <c r="BJ296" s="715">
        <v>3.905996279414265E-4</v>
      </c>
      <c r="BK296" s="715">
        <v>3.0547605554006843E-3</v>
      </c>
      <c r="BL296" s="715">
        <v>6.7898490946764999E-3</v>
      </c>
      <c r="BM296" s="715">
        <v>1.2652661829497267E-2</v>
      </c>
      <c r="BN296" s="715">
        <v>2.1595327736677713E-2</v>
      </c>
      <c r="BO296" s="716">
        <v>4.2854978886224047E-2</v>
      </c>
      <c r="BP296" s="715">
        <v>9.115132108508596E-2</v>
      </c>
      <c r="BQ296" s="715">
        <v>0.17863732434920246</v>
      </c>
      <c r="BR296" s="715">
        <v>0.31576880215642578</v>
      </c>
      <c r="BS296" s="715">
        <v>0.49201346556908387</v>
      </c>
      <c r="BT296" s="715">
        <v>0.69356446657716397</v>
      </c>
      <c r="BW296" s="1185">
        <f>'2019'!R\Max</f>
        <v>0.22539360256008598</v>
      </c>
      <c r="BX296" s="1185">
        <f>'2020'!R\Max</f>
        <v>0.79238825636916321</v>
      </c>
      <c r="BY296" s="1185">
        <f>'2021'!R\Max</f>
        <v>0.33312220402720366</v>
      </c>
      <c r="BZ296" s="1185">
        <f>'2022'!R\Max</f>
        <v>1.0024924014672847</v>
      </c>
      <c r="CA296" s="1185">
        <f>'2023'!R\Max</f>
        <v>1.0024924014672847</v>
      </c>
      <c r="CB296" s="1185">
        <f>'2024'!R\Max</f>
        <v>1.0024924014672847</v>
      </c>
      <c r="CC296" s="1185">
        <f>'2025'!R\Max</f>
        <v>1.0024924014672847</v>
      </c>
      <c r="CD296" s="1185">
        <f>'2026'!R\Max</f>
        <v>1.0024924014672847</v>
      </c>
      <c r="CE296" s="1186">
        <f>'2027'!R\Max</f>
        <v>1.0024924014672847</v>
      </c>
      <c r="CF296" s="1187">
        <f>'2028'!R\Max</f>
        <v>1.0024924014672847</v>
      </c>
    </row>
    <row r="297" spans="1:84" s="6" customFormat="1" ht="11.25" x14ac:dyDescent="0.2">
      <c r="A297" s="11">
        <v>43383</v>
      </c>
      <c r="B297" s="379">
        <f>'2022'!Maxi_hp</f>
        <v>37.259576820741849</v>
      </c>
      <c r="C297" s="13">
        <f>'2022'!An_max</f>
        <v>2022</v>
      </c>
      <c r="D297" s="1046" t="str">
        <f t="shared" si="116"/>
        <v/>
      </c>
      <c r="E297" s="13"/>
      <c r="F297" s="13">
        <f t="shared" si="133"/>
        <v>21</v>
      </c>
      <c r="G297" s="13">
        <f t="shared" si="117"/>
        <v>22</v>
      </c>
      <c r="H297" s="173">
        <f t="shared" si="118"/>
        <v>43374</v>
      </c>
      <c r="I297" s="742">
        <f t="shared" si="119"/>
        <v>0.6428571428571429</v>
      </c>
      <c r="J297" s="735">
        <f t="shared" si="120"/>
        <v>42.325201020237422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39">
        <v>43383</v>
      </c>
      <c r="AP297" s="13">
        <f t="shared" si="121"/>
        <v>11</v>
      </c>
      <c r="AQ297" s="13">
        <f t="shared" si="122"/>
        <v>12</v>
      </c>
      <c r="AR297" s="173">
        <f t="shared" si="123"/>
        <v>43360</v>
      </c>
      <c r="AS297" s="742">
        <f t="shared" si="124"/>
        <v>0.8214285714285714</v>
      </c>
      <c r="AT297" s="758">
        <f t="shared" si="125"/>
        <v>42.273830165808825</v>
      </c>
      <c r="AU297" s="13">
        <f t="shared" si="126"/>
        <v>11</v>
      </c>
      <c r="AV297" s="13">
        <f t="shared" si="127"/>
        <v>12</v>
      </c>
      <c r="AW297" s="173">
        <f t="shared" si="128"/>
        <v>43374</v>
      </c>
      <c r="AX297" s="742">
        <f t="shared" si="129"/>
        <v>0.32142857142857145</v>
      </c>
      <c r="AY297" s="758">
        <f t="shared" si="130"/>
        <v>42.384006951862418</v>
      </c>
      <c r="AZ297" s="735">
        <f t="shared" si="134"/>
        <v>42.328918558835625</v>
      </c>
      <c r="BA297" s="633">
        <f t="shared" si="131"/>
        <v>0.88031659443097532</v>
      </c>
      <c r="BC297" s="11">
        <v>43383</v>
      </c>
      <c r="BD297" s="289">
        <f>[3]!FeuilCaduc*(1-Persistant)+Persistant</f>
        <v>0.94933882079623833</v>
      </c>
      <c r="BE297" s="290">
        <f>[3]!CroissVégét</f>
        <v>0.99371742996744827</v>
      </c>
      <c r="BF297" s="804">
        <f>1+[3]!Salcycl*Ksac</f>
        <v>1.0373347051990596</v>
      </c>
      <c r="BH297" s="1037">
        <f t="shared" si="132"/>
        <v>1.9578282504254255E-2</v>
      </c>
      <c r="BI297" s="11">
        <v>44479</v>
      </c>
      <c r="BJ297" s="715">
        <v>3.9752415779374688E-4</v>
      </c>
      <c r="BK297" s="715">
        <v>3.0105336188001827E-3</v>
      </c>
      <c r="BL297" s="715">
        <v>6.6476869543037019E-3</v>
      </c>
      <c r="BM297" s="715">
        <v>1.2341376302355232E-2</v>
      </c>
      <c r="BN297" s="715">
        <v>2.1399543007719006E-2</v>
      </c>
      <c r="BO297" s="716">
        <v>4.4506528827972298E-2</v>
      </c>
      <c r="BP297" s="715">
        <v>9.7270822418472846E-2</v>
      </c>
      <c r="BQ297" s="715">
        <v>0.19041614228455703</v>
      </c>
      <c r="BR297" s="715">
        <v>0.33269867214100013</v>
      </c>
      <c r="BS297" s="715">
        <v>0.51259539890585126</v>
      </c>
      <c r="BT297" s="715">
        <v>0.71740275744125892</v>
      </c>
      <c r="BW297" s="1185">
        <f>'2019'!R\Max</f>
        <v>0.82729275955691162</v>
      </c>
      <c r="BX297" s="1185">
        <f>'2020'!R\Max</f>
        <v>0.67081687194548545</v>
      </c>
      <c r="BY297" s="1185">
        <f>'2021'!R\Max</f>
        <v>0.56167830267274632</v>
      </c>
      <c r="BZ297" s="1185">
        <f>'2022'!R\Max</f>
        <v>0.88031659443097532</v>
      </c>
      <c r="CA297" s="1185">
        <f>'2023'!R\Max</f>
        <v>0.87986503209399347</v>
      </c>
      <c r="CB297" s="1185">
        <f>'2024'!R\Max</f>
        <v>0.87929615820377494</v>
      </c>
      <c r="CC297" s="1185">
        <f>'2025'!R\Max</f>
        <v>0.87848843459571124</v>
      </c>
      <c r="CD297" s="1185">
        <f>'2026'!R\Max</f>
        <v>0.88109335533347743</v>
      </c>
      <c r="CE297" s="1186">
        <f>'2027'!R\Max</f>
        <v>0.88089757252441758</v>
      </c>
      <c r="CF297" s="1187">
        <f>'2028'!R\Max</f>
        <v>0.88070136386613818</v>
      </c>
    </row>
    <row r="298" spans="1:84" s="6" customFormat="1" ht="11.25" x14ac:dyDescent="0.2">
      <c r="A298" s="11">
        <v>43384</v>
      </c>
      <c r="B298" s="379">
        <f>'2022'!Maxi_hp</f>
        <v>42.840909894173365</v>
      </c>
      <c r="C298" s="13">
        <f>'2022'!An_max</f>
        <v>2018</v>
      </c>
      <c r="D298" s="1046">
        <f t="shared" si="116"/>
        <v>1.0193083464219479</v>
      </c>
      <c r="E298" s="13"/>
      <c r="F298" s="13">
        <f t="shared" si="133"/>
        <v>21</v>
      </c>
      <c r="G298" s="13">
        <f t="shared" si="117"/>
        <v>22</v>
      </c>
      <c r="H298" s="173">
        <f t="shared" si="118"/>
        <v>43374</v>
      </c>
      <c r="I298" s="742">
        <f t="shared" si="119"/>
        <v>0.7142857142857143</v>
      </c>
      <c r="J298" s="735">
        <f t="shared" si="120"/>
        <v>42.029391836686827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39">
        <v>43384</v>
      </c>
      <c r="AP298" s="13">
        <f t="shared" si="121"/>
        <v>11</v>
      </c>
      <c r="AQ298" s="13">
        <f t="shared" si="122"/>
        <v>12</v>
      </c>
      <c r="AR298" s="173">
        <f t="shared" si="123"/>
        <v>43360</v>
      </c>
      <c r="AS298" s="742">
        <f t="shared" si="124"/>
        <v>0.8571428571428571</v>
      </c>
      <c r="AT298" s="758">
        <f t="shared" si="125"/>
        <v>41.986212244915905</v>
      </c>
      <c r="AU298" s="13">
        <f t="shared" si="126"/>
        <v>11</v>
      </c>
      <c r="AV298" s="13">
        <f t="shared" si="127"/>
        <v>12</v>
      </c>
      <c r="AW298" s="173">
        <f t="shared" si="128"/>
        <v>43374</v>
      </c>
      <c r="AX298" s="742">
        <f t="shared" si="129"/>
        <v>0.35714285714285715</v>
      </c>
      <c r="AY298" s="758">
        <f t="shared" si="130"/>
        <v>42.087894387995554</v>
      </c>
      <c r="AZ298" s="735">
        <f t="shared" si="134"/>
        <v>42.037053316455726</v>
      </c>
      <c r="BA298" s="633">
        <f t="shared" si="131"/>
        <v>1.0193083464219479</v>
      </c>
      <c r="BC298" s="11">
        <v>43384</v>
      </c>
      <c r="BD298" s="289">
        <f>[3]!FeuilCaduc*(1-Persistant)+Persistant</f>
        <v>0.94723671712584379</v>
      </c>
      <c r="BE298" s="290">
        <f>[3]!CroissVégét</f>
        <v>0.99398203191418089</v>
      </c>
      <c r="BF298" s="804">
        <f>1+[3]!Salcycl*Ksac</f>
        <v>1.0368091792814609</v>
      </c>
      <c r="BH298" s="1037">
        <f t="shared" si="132"/>
        <v>1.9554413860531202E-2</v>
      </c>
      <c r="BI298" s="11">
        <v>44480</v>
      </c>
      <c r="BJ298" s="715">
        <v>4.0763171552871575E-4</v>
      </c>
      <c r="BK298" s="715">
        <v>2.9669132815031973E-3</v>
      </c>
      <c r="BL298" s="715">
        <v>6.5092873121376203E-3</v>
      </c>
      <c r="BM298" s="715">
        <v>1.2067081064439256E-2</v>
      </c>
      <c r="BN298" s="715">
        <v>2.1438697436604117E-2</v>
      </c>
      <c r="BO298" s="716">
        <v>4.6671745706156668E-2</v>
      </c>
      <c r="BP298" s="715">
        <v>0.10409549770768819</v>
      </c>
      <c r="BQ298" s="715">
        <v>0.20273702781636588</v>
      </c>
      <c r="BR298" s="715">
        <v>0.34976030680626141</v>
      </c>
      <c r="BS298" s="715">
        <v>0.5330267154662709</v>
      </c>
      <c r="BT298" s="715">
        <v>0.74107019681305653</v>
      </c>
      <c r="BW298" s="1185">
        <f>'2019'!R\Max</f>
        <v>1.0193083464219479</v>
      </c>
      <c r="BX298" s="1185">
        <f>'2020'!R\Max</f>
        <v>0.36852167621195425</v>
      </c>
      <c r="BY298" s="1185">
        <f>'2021'!R\Max</f>
        <v>0.98536193955351692</v>
      </c>
      <c r="BZ298" s="1185">
        <f>'2022'!R\Max</f>
        <v>0.63662757814530813</v>
      </c>
      <c r="CA298" s="1185">
        <f>'2023'!R\Max</f>
        <v>0.63554399094700287</v>
      </c>
      <c r="CB298" s="1185">
        <f>'2024'!R\Max</f>
        <v>0.63419858598743861</v>
      </c>
      <c r="CC298" s="1185">
        <f>'2025'!R\Max</f>
        <v>0.63232180510613656</v>
      </c>
      <c r="CD298" s="1185">
        <f>'2026'!R\Max</f>
        <v>0.63849959321712835</v>
      </c>
      <c r="CE298" s="1186">
        <f>'2027'!R\Max</f>
        <v>0.63802647243837118</v>
      </c>
      <c r="CF298" s="1187">
        <f>'2028'!R\Max</f>
        <v>0.63755269413693216</v>
      </c>
    </row>
    <row r="299" spans="1:84" s="6" customFormat="1" ht="11.25" x14ac:dyDescent="0.2">
      <c r="A299" s="11">
        <v>43385</v>
      </c>
      <c r="B299" s="379">
        <f>'2022'!Maxi_hp</f>
        <v>40.800834584500151</v>
      </c>
      <c r="C299" s="13">
        <f>'2022'!An_max</f>
        <v>2021</v>
      </c>
      <c r="D299" s="1046">
        <f t="shared" si="116"/>
        <v>0.97764315148160386</v>
      </c>
      <c r="E299" s="13"/>
      <c r="F299" s="13">
        <f t="shared" si="133"/>
        <v>21</v>
      </c>
      <c r="G299" s="13">
        <f t="shared" si="117"/>
        <v>22</v>
      </c>
      <c r="H299" s="173">
        <f t="shared" si="118"/>
        <v>43374</v>
      </c>
      <c r="I299" s="742">
        <f t="shared" si="119"/>
        <v>0.7857142857142857</v>
      </c>
      <c r="J299" s="735">
        <f t="shared" si="120"/>
        <v>41.733872448926874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39">
        <v>43385</v>
      </c>
      <c r="AP299" s="13">
        <f t="shared" si="121"/>
        <v>11</v>
      </c>
      <c r="AQ299" s="13">
        <f t="shared" si="122"/>
        <v>12</v>
      </c>
      <c r="AR299" s="173">
        <f t="shared" si="123"/>
        <v>43360</v>
      </c>
      <c r="AS299" s="742">
        <f t="shared" si="124"/>
        <v>0.8928571428571429</v>
      </c>
      <c r="AT299" s="758">
        <f t="shared" si="125"/>
        <v>41.700061415819384</v>
      </c>
      <c r="AU299" s="13">
        <f t="shared" si="126"/>
        <v>11</v>
      </c>
      <c r="AV299" s="13">
        <f t="shared" si="127"/>
        <v>12</v>
      </c>
      <c r="AW299" s="173">
        <f t="shared" si="128"/>
        <v>43374</v>
      </c>
      <c r="AX299" s="742">
        <f t="shared" si="129"/>
        <v>0.39285714285714285</v>
      </c>
      <c r="AY299" s="758">
        <f t="shared" si="130"/>
        <v>41.790206058895485</v>
      </c>
      <c r="AZ299" s="735">
        <f t="shared" si="134"/>
        <v>41.745133737357435</v>
      </c>
      <c r="BA299" s="633">
        <f t="shared" si="131"/>
        <v>0.97764315148160386</v>
      </c>
      <c r="BC299" s="11">
        <v>43385</v>
      </c>
      <c r="BD299" s="289">
        <f>[3]!FeuilCaduc*(1-Persistant)+Persistant</f>
        <v>0.9450768782819946</v>
      </c>
      <c r="BE299" s="290">
        <f>[3]!CroissVégét</f>
        <v>0.99423611258398381</v>
      </c>
      <c r="BF299" s="804">
        <f>1+[3]!Salcycl*Ksac</f>
        <v>1.0362692195704986</v>
      </c>
      <c r="BH299" s="1037">
        <f t="shared" si="132"/>
        <v>1.9725968733740201E-2</v>
      </c>
      <c r="BI299" s="11">
        <v>44481</v>
      </c>
      <c r="BJ299" s="715">
        <v>4.2092685851262499E-4</v>
      </c>
      <c r="BK299" s="715">
        <v>2.9238971857153315E-3</v>
      </c>
      <c r="BL299" s="715">
        <v>6.3746487526067201E-3</v>
      </c>
      <c r="BM299" s="715">
        <v>1.1829820533026151E-2</v>
      </c>
      <c r="BN299" s="715">
        <v>2.1713135963252042E-2</v>
      </c>
      <c r="BO299" s="716">
        <v>4.9351386617022173E-2</v>
      </c>
      <c r="BP299" s="715">
        <v>0.11162634745001945</v>
      </c>
      <c r="BQ299" s="715">
        <v>0.21560062470890148</v>
      </c>
      <c r="BR299" s="715">
        <v>0.36695355155745202</v>
      </c>
      <c r="BS299" s="715">
        <v>0.55330662136838171</v>
      </c>
      <c r="BT299" s="715">
        <v>0.76456573524131421</v>
      </c>
      <c r="BW299" s="1185">
        <f>'2019'!R\Max</f>
        <v>0.41205164503391556</v>
      </c>
      <c r="BX299" s="1185">
        <f>'2020'!R\Max</f>
        <v>0.33709126818723895</v>
      </c>
      <c r="BY299" s="1185">
        <f>'2021'!R\Max</f>
        <v>0.97764315148160386</v>
      </c>
      <c r="BZ299" s="1185">
        <f>'2022'!R\Max</f>
        <v>0.61008785999665538</v>
      </c>
      <c r="CA299" s="1185">
        <f>'2023'!R\Max</f>
        <v>0.60887324065544457</v>
      </c>
      <c r="CB299" s="1185">
        <f>'2024'!R\Max</f>
        <v>0.60738435631382093</v>
      </c>
      <c r="CC299" s="1185">
        <f>'2025'!R\Max</f>
        <v>0.60533980764676321</v>
      </c>
      <c r="CD299" s="1185">
        <f>'2026'!R\Max</f>
        <v>0.61219727381280109</v>
      </c>
      <c r="CE299" s="1186">
        <f>'2027'!R\Max</f>
        <v>0.61166167056487664</v>
      </c>
      <c r="CF299" s="1187">
        <f>'2028'!R\Max</f>
        <v>0.61112531160146322</v>
      </c>
    </row>
    <row r="300" spans="1:84" s="6" customFormat="1" ht="11.25" x14ac:dyDescent="0.2">
      <c r="A300" s="11">
        <v>43386</v>
      </c>
      <c r="B300" s="379">
        <f>'2022'!Maxi_hp</f>
        <v>40.05086474432693</v>
      </c>
      <c r="C300" s="13">
        <f>'2022'!An_max</f>
        <v>2021</v>
      </c>
      <c r="D300" s="1046" t="str">
        <f t="shared" si="116"/>
        <v/>
      </c>
      <c r="E300" s="13"/>
      <c r="F300" s="13">
        <f t="shared" si="133"/>
        <v>21</v>
      </c>
      <c r="G300" s="13">
        <f t="shared" si="117"/>
        <v>22</v>
      </c>
      <c r="H300" s="173">
        <f t="shared" si="118"/>
        <v>43374</v>
      </c>
      <c r="I300" s="742">
        <f t="shared" si="119"/>
        <v>0.8571428571428571</v>
      </c>
      <c r="J300" s="735">
        <f t="shared" si="120"/>
        <v>41.439077551025129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39">
        <v>43386</v>
      </c>
      <c r="AP300" s="13">
        <f t="shared" si="121"/>
        <v>11</v>
      </c>
      <c r="AQ300" s="13">
        <f t="shared" si="122"/>
        <v>12</v>
      </c>
      <c r="AR300" s="173">
        <f t="shared" si="123"/>
        <v>43360</v>
      </c>
      <c r="AS300" s="742">
        <f t="shared" si="124"/>
        <v>0.9285714285714286</v>
      </c>
      <c r="AT300" s="758">
        <f t="shared" si="125"/>
        <v>41.415676530598589</v>
      </c>
      <c r="AU300" s="13">
        <f t="shared" si="126"/>
        <v>11</v>
      </c>
      <c r="AV300" s="13">
        <f t="shared" si="127"/>
        <v>12</v>
      </c>
      <c r="AW300" s="173">
        <f t="shared" si="128"/>
        <v>43374</v>
      </c>
      <c r="AX300" s="742">
        <f t="shared" si="129"/>
        <v>0.42857142857142855</v>
      </c>
      <c r="AY300" s="758">
        <f t="shared" si="130"/>
        <v>41.49124081645693</v>
      </c>
      <c r="AZ300" s="735">
        <f t="shared" si="134"/>
        <v>41.453458673527763</v>
      </c>
      <c r="BA300" s="633">
        <f t="shared" si="131"/>
        <v>0.96649991050141371</v>
      </c>
      <c r="BC300" s="11">
        <v>43386</v>
      </c>
      <c r="BD300" s="289">
        <f>[3]!FeuilCaduc*(1-Persistant)+Persistant</f>
        <v>0.94286002473988373</v>
      </c>
      <c r="BE300" s="290">
        <f>[3]!CroissVégét</f>
        <v>0.99448008524317211</v>
      </c>
      <c r="BF300" s="804">
        <f>1+[3]!Salcycl*Ksac</f>
        <v>1.0357150061849709</v>
      </c>
      <c r="BH300" s="1037">
        <f t="shared" si="132"/>
        <v>2.0093231653824341E-2</v>
      </c>
      <c r="BI300" s="11">
        <v>44482</v>
      </c>
      <c r="BJ300" s="715">
        <v>4.3741409861705317E-4</v>
      </c>
      <c r="BK300" s="715">
        <v>2.8814831708408564E-3</v>
      </c>
      <c r="BL300" s="715">
        <v>6.2437704779105558E-3</v>
      </c>
      <c r="BM300" s="715">
        <v>1.1629640327401641E-2</v>
      </c>
      <c r="BN300" s="715">
        <v>2.2223203242544898E-2</v>
      </c>
      <c r="BO300" s="716">
        <v>5.2546198934680301E-2</v>
      </c>
      <c r="BP300" s="715">
        <v>0.1198643420336187</v>
      </c>
      <c r="BQ300" s="715">
        <v>0.22900752290914442</v>
      </c>
      <c r="BR300" s="715">
        <v>0.38427817786125412</v>
      </c>
      <c r="BS300" s="715">
        <v>0.57343423466311938</v>
      </c>
      <c r="BT300" s="715">
        <v>0.787888221538526</v>
      </c>
      <c r="BW300" s="1185">
        <f>'2019'!R\Max</f>
        <v>0.9656746076597299</v>
      </c>
      <c r="BX300" s="1185">
        <f>'2020'!R\Max</f>
        <v>0.56451833412505048</v>
      </c>
      <c r="BY300" s="1185">
        <f>'2021'!R\Max</f>
        <v>0.96649991050141371</v>
      </c>
      <c r="BZ300" s="1185">
        <f>'2022'!R\Max</f>
        <v>0.63209958501631414</v>
      </c>
      <c r="CA300" s="1185">
        <f>'2023'!R\Max</f>
        <v>0.63080908146654824</v>
      </c>
      <c r="CB300" s="1185">
        <f>'2024'!R\Max</f>
        <v>0.62924680663129917</v>
      </c>
      <c r="CC300" s="1185">
        <f>'2025'!R\Max</f>
        <v>0.62713484215233439</v>
      </c>
      <c r="CD300" s="1185">
        <f>'2026'!R\Max</f>
        <v>0.6343568298491109</v>
      </c>
      <c r="CE300" s="1186">
        <f>'2027'!R\Max</f>
        <v>0.63377988956258702</v>
      </c>
      <c r="CF300" s="1187">
        <f>'2028'!R\Max</f>
        <v>0.633201987905882</v>
      </c>
    </row>
    <row r="301" spans="1:84" s="6" customFormat="1" ht="11.25" x14ac:dyDescent="0.2">
      <c r="A301" s="11">
        <v>43387</v>
      </c>
      <c r="B301" s="379">
        <f>'2022'!Maxi_hp</f>
        <v>42.197658918664054</v>
      </c>
      <c r="C301" s="13">
        <f>'2022'!An_max</f>
        <v>2021</v>
      </c>
      <c r="D301" s="1046">
        <f t="shared" si="116"/>
        <v>1.0255731141765125</v>
      </c>
      <c r="E301" s="13"/>
      <c r="F301" s="13">
        <f t="shared" si="133"/>
        <v>21</v>
      </c>
      <c r="G301" s="13">
        <f t="shared" si="117"/>
        <v>22</v>
      </c>
      <c r="H301" s="173">
        <f t="shared" si="118"/>
        <v>43374</v>
      </c>
      <c r="I301" s="742">
        <f t="shared" si="119"/>
        <v>0.9285714285714286</v>
      </c>
      <c r="J301" s="735">
        <f t="shared" si="120"/>
        <v>41.145441836730292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39">
        <v>43387</v>
      </c>
      <c r="AP301" s="13">
        <f t="shared" si="121"/>
        <v>11</v>
      </c>
      <c r="AQ301" s="13">
        <f t="shared" si="122"/>
        <v>12</v>
      </c>
      <c r="AR301" s="173">
        <f t="shared" si="123"/>
        <v>43360</v>
      </c>
      <c r="AS301" s="742">
        <f t="shared" si="124"/>
        <v>0.9642857142857143</v>
      </c>
      <c r="AT301" s="758">
        <f t="shared" si="125"/>
        <v>41.133356441342869</v>
      </c>
      <c r="AU301" s="13">
        <f t="shared" si="126"/>
        <v>11</v>
      </c>
      <c r="AV301" s="13">
        <f t="shared" si="127"/>
        <v>12</v>
      </c>
      <c r="AW301" s="173">
        <f t="shared" si="128"/>
        <v>43374</v>
      </c>
      <c r="AX301" s="742">
        <f t="shared" si="129"/>
        <v>0.4642857142857143</v>
      </c>
      <c r="AY301" s="758">
        <f t="shared" si="130"/>
        <v>41.191297512794179</v>
      </c>
      <c r="AZ301" s="735">
        <f t="shared" si="134"/>
        <v>41.162326977068524</v>
      </c>
      <c r="BA301" s="633">
        <f t="shared" si="131"/>
        <v>1.0255731141765125</v>
      </c>
      <c r="BC301" s="11">
        <v>43387</v>
      </c>
      <c r="BD301" s="289">
        <f>[3]!FeuilCaduc*(1-Persistant)+Persistant</f>
        <v>0.9405870801235594</v>
      </c>
      <c r="BE301" s="290">
        <f>[3]!CroissVégét</f>
        <v>0.99471434732473374</v>
      </c>
      <c r="BF301" s="804">
        <f>1+[3]!Salcycl*Ksac</f>
        <v>1.0351467700308898</v>
      </c>
      <c r="BH301" s="1037">
        <f t="shared" si="132"/>
        <v>2.065648502886237E-2</v>
      </c>
      <c r="BI301" s="11">
        <v>44483</v>
      </c>
      <c r="BJ301" s="715">
        <v>4.5709786750147886E-4</v>
      </c>
      <c r="BK301" s="715">
        <v>2.8396692663899895E-3</v>
      </c>
      <c r="BL301" s="715">
        <v>6.1166522653562155E-3</v>
      </c>
      <c r="BM301" s="715">
        <v>1.1466586861043383E-2</v>
      </c>
      <c r="BN301" s="715">
        <v>2.2969241073637389E-2</v>
      </c>
      <c r="BO301" s="716">
        <v>5.6256914714337615E-2</v>
      </c>
      <c r="BP301" s="715">
        <v>0.1288104140987123</v>
      </c>
      <c r="BQ301" s="715">
        <v>0.24295825275746974</v>
      </c>
      <c r="BR301" s="715">
        <v>0.4017338820036776</v>
      </c>
      <c r="BS301" s="715">
        <v>0.59340858722416867</v>
      </c>
      <c r="BT301" s="715">
        <v>0.81103640493233209</v>
      </c>
      <c r="BW301" s="1185">
        <f>'2019'!R\Max</f>
        <v>0.36199230343647054</v>
      </c>
      <c r="BX301" s="1185">
        <f>'2020'!R\Max</f>
        <v>0.61842553151446411</v>
      </c>
      <c r="BY301" s="1185">
        <f>'2021'!R\Max</f>
        <v>1.0255731141765125</v>
      </c>
      <c r="BZ301" s="1185">
        <f>'2022'!R\Max</f>
        <v>0.39529320136156515</v>
      </c>
      <c r="CA301" s="1185">
        <f>'2023'!R\Max</f>
        <v>0.39385800579818708</v>
      </c>
      <c r="CB301" s="1185">
        <f>'2024'!R\Max</f>
        <v>0.39214808290534403</v>
      </c>
      <c r="CC301" s="1185">
        <f>'2025'!R\Max</f>
        <v>0.38988351636288693</v>
      </c>
      <c r="CD301" s="1185">
        <f>'2026'!R\Max</f>
        <v>0.39783710347658979</v>
      </c>
      <c r="CE301" s="1186">
        <f>'2027'!R\Max</f>
        <v>0.3971802133265861</v>
      </c>
      <c r="CF301" s="1187">
        <f>'2028'!R\Max</f>
        <v>0.39652296935330972</v>
      </c>
    </row>
    <row r="302" spans="1:84" s="6" customFormat="1" ht="11.25" x14ac:dyDescent="0.2">
      <c r="A302" s="11">
        <v>43388</v>
      </c>
      <c r="B302" s="379">
        <f>'2022'!Maxi_hp</f>
        <v>41.80115775263846</v>
      </c>
      <c r="C302" s="13">
        <f>'2022'!An_max</f>
        <v>2022</v>
      </c>
      <c r="D302" s="1046">
        <f t="shared" si="116"/>
        <v>1.0231989932940342</v>
      </c>
      <c r="E302" s="1041">
        <f>AH$13/10</f>
        <v>40.853400000000001</v>
      </c>
      <c r="F302" s="13">
        <f t="shared" si="133"/>
        <v>23</v>
      </c>
      <c r="G302" s="13">
        <f t="shared" si="117"/>
        <v>22</v>
      </c>
      <c r="H302" s="173">
        <f t="shared" si="118"/>
        <v>43402</v>
      </c>
      <c r="I302" s="742">
        <f t="shared" si="119"/>
        <v>1</v>
      </c>
      <c r="J302" s="735">
        <f t="shared" si="120"/>
        <v>40.853399999999965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39">
        <v>43388</v>
      </c>
      <c r="AP302" s="13">
        <f t="shared" si="121"/>
        <v>13</v>
      </c>
      <c r="AQ302" s="13">
        <f t="shared" si="122"/>
        <v>12</v>
      </c>
      <c r="AR302" s="173">
        <f t="shared" si="123"/>
        <v>43416</v>
      </c>
      <c r="AS302" s="742">
        <f t="shared" si="124"/>
        <v>1</v>
      </c>
      <c r="AT302" s="758">
        <f t="shared" si="125"/>
        <v>40.853399999975224</v>
      </c>
      <c r="AU302" s="13">
        <f t="shared" si="126"/>
        <v>11</v>
      </c>
      <c r="AV302" s="13">
        <f t="shared" si="127"/>
        <v>12</v>
      </c>
      <c r="AW302" s="173">
        <f t="shared" si="128"/>
        <v>43374</v>
      </c>
      <c r="AX302" s="742">
        <f t="shared" si="129"/>
        <v>0.5</v>
      </c>
      <c r="AY302" s="758">
        <f t="shared" si="130"/>
        <v>40.890675000101325</v>
      </c>
      <c r="AZ302" s="735">
        <f t="shared" si="134"/>
        <v>40.872037500038275</v>
      </c>
      <c r="BA302" s="633">
        <f t="shared" si="131"/>
        <v>1.0231989932940342</v>
      </c>
      <c r="BC302" s="11">
        <v>43388</v>
      </c>
      <c r="BD302" s="289">
        <f>[3]!FeuilCaduc*(1-Persistant)+Persistant</f>
        <v>0.93825917561333938</v>
      </c>
      <c r="BE302" s="290">
        <f>[3]!CroissVégét</f>
        <v>0.99493928100346574</v>
      </c>
      <c r="BF302" s="804">
        <f>1+[3]!Salcycl*Ksac</f>
        <v>1.0345647939033349</v>
      </c>
      <c r="BH302" s="1037">
        <f t="shared" si="132"/>
        <v>2.141600700905948E-2</v>
      </c>
      <c r="BI302" s="11">
        <v>44484</v>
      </c>
      <c r="BJ302" s="715">
        <v>4.7998248189186338E-4</v>
      </c>
      <c r="BK302" s="715">
        <v>2.7984536848568629E-3</v>
      </c>
      <c r="BL302" s="715">
        <v>5.9932944246305474E-3</v>
      </c>
      <c r="BM302" s="715">
        <v>1.1340706933685272E-2</v>
      </c>
      <c r="BN302" s="715">
        <v>2.3951585829055703E-2</v>
      </c>
      <c r="BO302" s="716">
        <v>6.0484245095062499E-2</v>
      </c>
      <c r="BP302" s="715">
        <v>0.13846545089777365</v>
      </c>
      <c r="BQ302" s="715">
        <v>0.25745327919631084</v>
      </c>
      <c r="BR302" s="715">
        <v>0.41932028384445669</v>
      </c>
      <c r="BS302" s="715">
        <v>0.61322862663249944</v>
      </c>
      <c r="BT302" s="715">
        <v>0.83400893720954905</v>
      </c>
      <c r="BW302" s="1185">
        <f>'2019'!R\Max</f>
        <v>0.86654843293105532</v>
      </c>
      <c r="BX302" s="1185">
        <f>'2020'!R\Max</f>
        <v>0.36690248745222809</v>
      </c>
      <c r="BY302" s="1185">
        <f>'2021'!R\Max</f>
        <v>0.84776478284915691</v>
      </c>
      <c r="BZ302" s="1185">
        <f>'2022'!R\Max</f>
        <v>1.0231989932940342</v>
      </c>
      <c r="CA302" s="1185">
        <f>'2023'!R\Max</f>
        <v>1.0231989932940342</v>
      </c>
      <c r="CB302" s="1185">
        <f>'2024'!R\Max</f>
        <v>1.0231989932940342</v>
      </c>
      <c r="CC302" s="1185">
        <f>'2025'!R\Max</f>
        <v>1.0231989932940344</v>
      </c>
      <c r="CD302" s="1185">
        <f>'2026'!R\Max</f>
        <v>1.0231989932940344</v>
      </c>
      <c r="CE302" s="1186">
        <f>'2027'!R\Max</f>
        <v>1.0231989932940344</v>
      </c>
      <c r="CF302" s="1187">
        <f>'2028'!R\Max</f>
        <v>1.0231989932940342</v>
      </c>
    </row>
    <row r="303" spans="1:84" s="6" customFormat="1" ht="11.25" x14ac:dyDescent="0.2">
      <c r="A303" s="11">
        <v>43389</v>
      </c>
      <c r="B303" s="379">
        <f>'2022'!Maxi_hp</f>
        <v>39.40385171327874</v>
      </c>
      <c r="C303" s="13">
        <f>'2022'!An_max</f>
        <v>2018</v>
      </c>
      <c r="D303" s="1046">
        <f t="shared" si="116"/>
        <v>0.97145718878922316</v>
      </c>
      <c r="E303" s="13"/>
      <c r="F303" s="13">
        <f t="shared" si="133"/>
        <v>23</v>
      </c>
      <c r="G303" s="13">
        <f t="shared" si="117"/>
        <v>22</v>
      </c>
      <c r="H303" s="173">
        <f t="shared" si="118"/>
        <v>43402</v>
      </c>
      <c r="I303" s="742">
        <f t="shared" si="119"/>
        <v>0.9285714285714286</v>
      </c>
      <c r="J303" s="735">
        <f t="shared" si="120"/>
        <v>40.561593622452655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39">
        <v>43389</v>
      </c>
      <c r="AP303" s="13">
        <f t="shared" si="121"/>
        <v>13</v>
      </c>
      <c r="AQ303" s="13">
        <f t="shared" si="122"/>
        <v>12</v>
      </c>
      <c r="AR303" s="173">
        <f t="shared" si="123"/>
        <v>43416</v>
      </c>
      <c r="AS303" s="742">
        <f t="shared" si="124"/>
        <v>0.9642857142857143</v>
      </c>
      <c r="AT303" s="758">
        <f t="shared" si="125"/>
        <v>40.573805803584399</v>
      </c>
      <c r="AU303" s="13">
        <f t="shared" si="126"/>
        <v>11</v>
      </c>
      <c r="AV303" s="13">
        <f t="shared" si="127"/>
        <v>12</v>
      </c>
      <c r="AW303" s="173">
        <f t="shared" si="128"/>
        <v>43374</v>
      </c>
      <c r="AX303" s="742">
        <f t="shared" si="129"/>
        <v>0.5357142857142857</v>
      </c>
      <c r="AY303" s="758">
        <f t="shared" si="130"/>
        <v>40.58967213033965</v>
      </c>
      <c r="AZ303" s="735">
        <f t="shared" si="134"/>
        <v>40.581738966962021</v>
      </c>
      <c r="BA303" s="633">
        <f t="shared" si="131"/>
        <v>0.97145718878922316</v>
      </c>
      <c r="BC303" s="11">
        <v>43389</v>
      </c>
      <c r="BD303" s="289">
        <f>[3]!FeuilCaduc*(1-Persistant)+Persistant</f>
        <v>0.9358776531903088</v>
      </c>
      <c r="BE303" s="290">
        <f>[3]!CroissVégét</f>
        <v>0.99515525375273173</v>
      </c>
      <c r="BF303" s="804">
        <f>1+[3]!Salcycl*Ksac</f>
        <v>1.0339694132975772</v>
      </c>
      <c r="BH303" s="1037">
        <f t="shared" si="132"/>
        <v>2.237206935081263E-2</v>
      </c>
      <c r="BI303" s="11">
        <v>44485</v>
      </c>
      <c r="BJ303" s="715">
        <v>5.0607210886076273E-4</v>
      </c>
      <c r="BK303" s="715">
        <v>2.7578348146088862E-3</v>
      </c>
      <c r="BL303" s="715">
        <v>5.8736977550975025E-3</v>
      </c>
      <c r="BM303" s="715">
        <v>1.1252047323428258E-2</v>
      </c>
      <c r="BN303" s="715">
        <v>2.5170565883877935E-2</v>
      </c>
      <c r="BO303" s="716">
        <v>6.5228874702724579E-2</v>
      </c>
      <c r="BP303" s="715">
        <v>0.14883028665607675</v>
      </c>
      <c r="BQ303" s="715">
        <v>0.27249299597956511</v>
      </c>
      <c r="BR303" s="715">
        <v>0.43703692557273915</v>
      </c>
      <c r="BS303" s="715">
        <v>0.63289321806288734</v>
      </c>
      <c r="BT303" s="715">
        <v>0.8568043748629669</v>
      </c>
      <c r="BW303" s="1185">
        <f>'2019'!R\Max</f>
        <v>0.97145718878922316</v>
      </c>
      <c r="BX303" s="1185">
        <f>'2020'!R\Max</f>
        <v>0.36840531943185428</v>
      </c>
      <c r="BY303" s="1185">
        <f>'2021'!R\Max</f>
        <v>0.90951239100069448</v>
      </c>
      <c r="BZ303" s="1185">
        <f>'2022'!R\Max</f>
        <v>0.91991127187467869</v>
      </c>
      <c r="CA303" s="1185">
        <f>'2023'!R\Max</f>
        <v>0.9193943699864211</v>
      </c>
      <c r="CB303" s="1185">
        <f>'2024'!R\Max</f>
        <v>0.91878963363864874</v>
      </c>
      <c r="CC303" s="1185">
        <f>'2025'!R\Max</f>
        <v>0.91800877946716564</v>
      </c>
      <c r="CD303" s="1185">
        <f>'2026'!R\Max</f>
        <v>0.92083932486515807</v>
      </c>
      <c r="CE303" s="1186">
        <f>'2027'!R\Max</f>
        <v>0.92059607692737155</v>
      </c>
      <c r="CF303" s="1187">
        <f>'2028'!R\Max</f>
        <v>0.92035181830167789</v>
      </c>
    </row>
    <row r="304" spans="1:84" s="6" customFormat="1" ht="11.25" x14ac:dyDescent="0.2">
      <c r="A304" s="11">
        <v>43390</v>
      </c>
      <c r="B304" s="379">
        <f>'2022'!Maxi_hp</f>
        <v>38.717430776256577</v>
      </c>
      <c r="C304" s="13">
        <f>'2022'!An_max</f>
        <v>2021</v>
      </c>
      <c r="D304" s="1046" t="str">
        <f t="shared" si="116"/>
        <v/>
      </c>
      <c r="E304" s="13"/>
      <c r="F304" s="13">
        <f t="shared" si="133"/>
        <v>23</v>
      </c>
      <c r="G304" s="13">
        <f t="shared" si="117"/>
        <v>22</v>
      </c>
      <c r="H304" s="173">
        <f t="shared" si="118"/>
        <v>43402</v>
      </c>
      <c r="I304" s="742">
        <f t="shared" si="119"/>
        <v>0.8571428571428571</v>
      </c>
      <c r="J304" s="735">
        <f t="shared" si="120"/>
        <v>40.268591836708531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39">
        <v>43390</v>
      </c>
      <c r="AP304" s="13">
        <f t="shared" si="121"/>
        <v>13</v>
      </c>
      <c r="AQ304" s="13">
        <f t="shared" si="122"/>
        <v>12</v>
      </c>
      <c r="AR304" s="173">
        <f t="shared" si="123"/>
        <v>43416</v>
      </c>
      <c r="AS304" s="742">
        <f t="shared" si="124"/>
        <v>0.9285714285714286</v>
      </c>
      <c r="AT304" s="758">
        <f t="shared" si="125"/>
        <v>40.292499999991357</v>
      </c>
      <c r="AU304" s="13">
        <f t="shared" si="126"/>
        <v>11</v>
      </c>
      <c r="AV304" s="13">
        <f t="shared" si="127"/>
        <v>12</v>
      </c>
      <c r="AW304" s="173">
        <f t="shared" si="128"/>
        <v>43374</v>
      </c>
      <c r="AX304" s="742">
        <f t="shared" si="129"/>
        <v>0.5714285714285714</v>
      </c>
      <c r="AY304" s="758">
        <f t="shared" si="130"/>
        <v>40.288587755363963</v>
      </c>
      <c r="AZ304" s="735">
        <f t="shared" si="134"/>
        <v>40.290543877677663</v>
      </c>
      <c r="BA304" s="633">
        <f t="shared" si="131"/>
        <v>0.96147962991251346</v>
      </c>
      <c r="BC304" s="11">
        <v>43390</v>
      </c>
      <c r="BD304" s="289">
        <f>[3]!FeuilCaduc*(1-Persistant)+Persistant</f>
        <v>0.93344406765650922</v>
      </c>
      <c r="BE304" s="290">
        <f>[3]!CroissVégét</f>
        <v>0.99536261888322142</v>
      </c>
      <c r="BF304" s="804">
        <f>1+[3]!Salcycl*Ksac</f>
        <v>1.0333610169141274</v>
      </c>
      <c r="BH304" s="1037">
        <f t="shared" si="132"/>
        <v>2.373008195766968E-2</v>
      </c>
      <c r="BI304" s="11">
        <v>44486</v>
      </c>
      <c r="BJ304" s="715">
        <v>5.3453412388599145E-4</v>
      </c>
      <c r="BK304" s="715">
        <v>2.7207183640619772E-3</v>
      </c>
      <c r="BL304" s="715">
        <v>5.7805532794697424E-3</v>
      </c>
      <c r="BM304" s="715">
        <v>1.1326544901506351E-2</v>
      </c>
      <c r="BN304" s="715">
        <v>2.6851591552159642E-2</v>
      </c>
      <c r="BO304" s="716">
        <v>7.0661874718660103E-2</v>
      </c>
      <c r="BP304" s="715">
        <v>0.15979765053039979</v>
      </c>
      <c r="BQ304" s="715">
        <v>0.28768732448643691</v>
      </c>
      <c r="BR304" s="715">
        <v>0.45445569725137502</v>
      </c>
      <c r="BS304" s="715">
        <v>0.65217529943871377</v>
      </c>
      <c r="BT304" s="715">
        <v>0.87949971983692254</v>
      </c>
      <c r="BW304" s="1185">
        <f>'2019'!R\Max</f>
        <v>0.45339439923912411</v>
      </c>
      <c r="BX304" s="1185">
        <f>'2020'!R\Max</f>
        <v>0.26045263405861502</v>
      </c>
      <c r="BY304" s="1185">
        <f>'2021'!R\Max</f>
        <v>0.96147962991251346</v>
      </c>
      <c r="BZ304" s="1185">
        <f>'2022'!R\Max</f>
        <v>0.50542876643769408</v>
      </c>
      <c r="CA304" s="1185">
        <f>'2023'!R\Max</f>
        <v>0.50355440786298178</v>
      </c>
      <c r="CB304" s="1185">
        <f>'2024'!R\Max</f>
        <v>0.50140238468287346</v>
      </c>
      <c r="CC304" s="1185">
        <f>'2025'!R\Max</f>
        <v>0.49869312121752535</v>
      </c>
      <c r="CD304" s="1185">
        <f>'2026'!R\Max</f>
        <v>0.50886794795699442</v>
      </c>
      <c r="CE304" s="1186">
        <f>'2027'!R\Max</f>
        <v>0.50795271531388053</v>
      </c>
      <c r="CF304" s="1187">
        <f>'2028'!R\Max</f>
        <v>0.50703607829126618</v>
      </c>
    </row>
    <row r="305" spans="1:84" s="6" customFormat="1" ht="11.25" x14ac:dyDescent="0.2">
      <c r="A305" s="11">
        <v>43391</v>
      </c>
      <c r="B305" s="379">
        <f>'2022'!Maxi_hp</f>
        <v>39.005969343907886</v>
      </c>
      <c r="C305" s="13">
        <f>'2022'!An_max</f>
        <v>2022</v>
      </c>
      <c r="D305" s="1046">
        <f t="shared" si="116"/>
        <v>0.97576590146726816</v>
      </c>
      <c r="E305" s="13"/>
      <c r="F305" s="13">
        <f t="shared" si="133"/>
        <v>23</v>
      </c>
      <c r="G305" s="13">
        <f t="shared" si="117"/>
        <v>22</v>
      </c>
      <c r="H305" s="173">
        <f t="shared" si="118"/>
        <v>43402</v>
      </c>
      <c r="I305" s="742">
        <f t="shared" si="119"/>
        <v>0.7857142857142857</v>
      </c>
      <c r="J305" s="735">
        <f t="shared" si="120"/>
        <v>39.974720663280252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39">
        <v>43391</v>
      </c>
      <c r="AP305" s="13">
        <f t="shared" si="121"/>
        <v>13</v>
      </c>
      <c r="AQ305" s="13">
        <f t="shared" si="122"/>
        <v>12</v>
      </c>
      <c r="AR305" s="173">
        <f t="shared" si="123"/>
        <v>43416</v>
      </c>
      <c r="AS305" s="742">
        <f t="shared" si="124"/>
        <v>0.8928571428571429</v>
      </c>
      <c r="AT305" s="758">
        <f t="shared" si="125"/>
        <v>40.009672767872686</v>
      </c>
      <c r="AU305" s="13">
        <f t="shared" si="126"/>
        <v>11</v>
      </c>
      <c r="AV305" s="13">
        <f t="shared" si="127"/>
        <v>12</v>
      </c>
      <c r="AW305" s="173">
        <f t="shared" si="128"/>
        <v>43374</v>
      </c>
      <c r="AX305" s="742">
        <f t="shared" si="129"/>
        <v>0.6071428571428571</v>
      </c>
      <c r="AY305" s="758">
        <f t="shared" si="130"/>
        <v>39.987720727128909</v>
      </c>
      <c r="AZ305" s="735">
        <f t="shared" si="134"/>
        <v>39.998696747500802</v>
      </c>
      <c r="BA305" s="633">
        <f t="shared" si="131"/>
        <v>0.97576590146726816</v>
      </c>
      <c r="BC305" s="11">
        <v>43391</v>
      </c>
      <c r="BD305" s="289">
        <f>[3]!FeuilCaduc*(1-Persistant)+Persistant</f>
        <v>0.93096018737847663</v>
      </c>
      <c r="BE305" s="290">
        <f>[3]!CroissVégét</f>
        <v>0.99556171606410238</v>
      </c>
      <c r="BF305" s="804">
        <f>1+[3]!Salcycl*Ksac</f>
        <v>1.0327400468446191</v>
      </c>
      <c r="BH305" s="1037">
        <f t="shared" si="132"/>
        <v>2.545076969624005E-2</v>
      </c>
      <c r="BI305" s="11">
        <v>44487</v>
      </c>
      <c r="BJ305" s="715">
        <v>5.6374074079874761E-4</v>
      </c>
      <c r="BK305" s="715">
        <v>2.6868298070108708E-3</v>
      </c>
      <c r="BL305" s="715">
        <v>5.7157623351660573E-3</v>
      </c>
      <c r="BM305" s="715">
        <v>1.1566904247723553E-2</v>
      </c>
      <c r="BN305" s="715">
        <v>2.8944822965877113E-2</v>
      </c>
      <c r="BO305" s="716">
        <v>7.6556093793530594E-2</v>
      </c>
      <c r="BP305" s="715">
        <v>0.17092531289073065</v>
      </c>
      <c r="BQ305" s="715">
        <v>0.3025254172175324</v>
      </c>
      <c r="BR305" s="715">
        <v>0.47124080340564117</v>
      </c>
      <c r="BS305" s="715">
        <v>0.67099390400846259</v>
      </c>
      <c r="BT305" s="715">
        <v>0.90221478361069318</v>
      </c>
      <c r="BW305" s="1185">
        <f>'2019'!R\Max</f>
        <v>0.36530506314308397</v>
      </c>
      <c r="BX305" s="1185">
        <f>'2020'!R\Max</f>
        <v>0.96937026637511825</v>
      </c>
      <c r="BY305" s="1185">
        <f>'2021'!R\Max</f>
        <v>0.85626546126800274</v>
      </c>
      <c r="BZ305" s="1185">
        <f>'2022'!R\Max</f>
        <v>0.97576590146726816</v>
      </c>
      <c r="CA305" s="1185">
        <f>'2023'!R\Max</f>
        <v>0.97557647067935149</v>
      </c>
      <c r="CB305" s="1185">
        <f>'2024'!R\Max</f>
        <v>0.97535972214388034</v>
      </c>
      <c r="CC305" s="1185">
        <f>'2025'!R\Max</f>
        <v>0.97508874901547471</v>
      </c>
      <c r="CD305" s="1185">
        <f>'2026'!R\Max</f>
        <v>0.97611467234744176</v>
      </c>
      <c r="CE305" s="1186">
        <f>'2027'!R\Max</f>
        <v>0.97602126074064788</v>
      </c>
      <c r="CF305" s="1187">
        <f>'2028'!R\Max</f>
        <v>0.97592734128309178</v>
      </c>
    </row>
    <row r="306" spans="1:84" s="6" customFormat="1" ht="11.25" x14ac:dyDescent="0.2">
      <c r="A306" s="11">
        <v>43392</v>
      </c>
      <c r="B306" s="379">
        <f>'2022'!Maxi_hp</f>
        <v>39.339930108632885</v>
      </c>
      <c r="C306" s="13">
        <f>'2022'!An_max</f>
        <v>2020</v>
      </c>
      <c r="D306" s="1046">
        <f t="shared" si="116"/>
        <v>0.99142204163628356</v>
      </c>
      <c r="E306" s="13"/>
      <c r="F306" s="13">
        <f t="shared" si="133"/>
        <v>23</v>
      </c>
      <c r="G306" s="13">
        <f t="shared" si="117"/>
        <v>22</v>
      </c>
      <c r="H306" s="173">
        <f t="shared" si="118"/>
        <v>43402</v>
      </c>
      <c r="I306" s="742">
        <f t="shared" si="119"/>
        <v>0.7142857142857143</v>
      </c>
      <c r="J306" s="735">
        <f t="shared" si="120"/>
        <v>39.680306122410443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39">
        <v>43392</v>
      </c>
      <c r="AP306" s="13">
        <f t="shared" si="121"/>
        <v>13</v>
      </c>
      <c r="AQ306" s="13">
        <f t="shared" si="122"/>
        <v>12</v>
      </c>
      <c r="AR306" s="173">
        <f t="shared" si="123"/>
        <v>43416</v>
      </c>
      <c r="AS306" s="742">
        <f t="shared" si="124"/>
        <v>0.8571428571428571</v>
      </c>
      <c r="AT306" s="758">
        <f t="shared" si="125"/>
        <v>39.725514285712102</v>
      </c>
      <c r="AU306" s="13">
        <f t="shared" si="126"/>
        <v>11</v>
      </c>
      <c r="AV306" s="13">
        <f t="shared" si="127"/>
        <v>12</v>
      </c>
      <c r="AW306" s="173">
        <f t="shared" si="128"/>
        <v>43374</v>
      </c>
      <c r="AX306" s="742">
        <f t="shared" si="129"/>
        <v>0.6428571428571429</v>
      </c>
      <c r="AY306" s="758">
        <f t="shared" si="130"/>
        <v>39.687369898001535</v>
      </c>
      <c r="AZ306" s="735">
        <f t="shared" si="134"/>
        <v>39.706442091856815</v>
      </c>
      <c r="BA306" s="633">
        <f t="shared" si="131"/>
        <v>0.99142204163628356</v>
      </c>
      <c r="BC306" s="11">
        <v>43392</v>
      </c>
      <c r="BD306" s="289">
        <f>[3]!FeuilCaduc*(1-Persistant)+Persistant</f>
        <v>0.92842799371149387</v>
      </c>
      <c r="BE306" s="290">
        <f>[3]!CroissVégét</f>
        <v>0.99575287182696259</v>
      </c>
      <c r="BF306" s="804">
        <f>1+[3]!Salcycl*Ksac</f>
        <v>1.0321069984278735</v>
      </c>
      <c r="BH306" s="1037">
        <f t="shared" si="132"/>
        <v>2.7534611982498656E-2</v>
      </c>
      <c r="BI306" s="11">
        <v>44488</v>
      </c>
      <c r="BJ306" s="715">
        <v>5.9369184542785221E-4</v>
      </c>
      <c r="BK306" s="715">
        <v>2.6561718365280566E-3</v>
      </c>
      <c r="BL306" s="715">
        <v>5.6793626996905888E-3</v>
      </c>
      <c r="BM306" s="715">
        <v>1.197335643131613E-2</v>
      </c>
      <c r="BN306" s="715">
        <v>3.1450802040655472E-2</v>
      </c>
      <c r="BO306" s="716">
        <v>8.2912014744102799E-2</v>
      </c>
      <c r="BP306" s="715">
        <v>0.18221309218873172</v>
      </c>
      <c r="BQ306" s="715">
        <v>0.3170060979939473</v>
      </c>
      <c r="BR306" s="715">
        <v>0.48739042980044034</v>
      </c>
      <c r="BS306" s="715">
        <v>0.68934721534498156</v>
      </c>
      <c r="BT306" s="715">
        <v>0.92494814304582762</v>
      </c>
      <c r="BW306" s="1185">
        <f>'2019'!R\Max</f>
        <v>0.71522166838212586</v>
      </c>
      <c r="BX306" s="1185">
        <f>'2020'!R\Max</f>
        <v>0.99142204163628356</v>
      </c>
      <c r="BY306" s="1185">
        <f>'2021'!R\Max</f>
        <v>0.73837002371495819</v>
      </c>
      <c r="BZ306" s="1185">
        <f>'2022'!R\Max</f>
        <v>0.43536098766793924</v>
      </c>
      <c r="CA306" s="1185">
        <f>'2023'!R\Max</f>
        <v>0.43328684269406692</v>
      </c>
      <c r="CB306" s="1185">
        <f>'2024'!R\Max</f>
        <v>0.43096059316493313</v>
      </c>
      <c r="CC306" s="1185">
        <f>'2025'!R\Max</f>
        <v>0.42812985672284415</v>
      </c>
      <c r="CD306" s="1185">
        <f>'2026'!R\Max</f>
        <v>0.4392847886706045</v>
      </c>
      <c r="CE306" s="1186">
        <f>'2027'!R\Max</f>
        <v>0.43821527655132925</v>
      </c>
      <c r="CF306" s="1187">
        <f>'2028'!R\Max</f>
        <v>0.43714446463845136</v>
      </c>
    </row>
    <row r="307" spans="1:84" s="6" customFormat="1" ht="11.25" x14ac:dyDescent="0.2">
      <c r="A307" s="11">
        <v>43393</v>
      </c>
      <c r="B307" s="379">
        <f>'2022'!Maxi_hp</f>
        <v>36.661931071686425</v>
      </c>
      <c r="C307" s="13">
        <f>'2022'!An_max</f>
        <v>2020</v>
      </c>
      <c r="D307" s="1046" t="str">
        <f t="shared" si="116"/>
        <v/>
      </c>
      <c r="E307" s="13"/>
      <c r="F307" s="13">
        <f t="shared" si="133"/>
        <v>23</v>
      </c>
      <c r="G307" s="13">
        <f t="shared" si="117"/>
        <v>22</v>
      </c>
      <c r="H307" s="173">
        <f t="shared" si="118"/>
        <v>43402</v>
      </c>
      <c r="I307" s="742">
        <f t="shared" si="119"/>
        <v>0.6428571428571429</v>
      </c>
      <c r="J307" s="735">
        <f t="shared" si="120"/>
        <v>39.385674234674767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39">
        <v>43393</v>
      </c>
      <c r="AP307" s="13">
        <f t="shared" si="121"/>
        <v>13</v>
      </c>
      <c r="AQ307" s="13">
        <f t="shared" si="122"/>
        <v>12</v>
      </c>
      <c r="AR307" s="173">
        <f t="shared" si="123"/>
        <v>43416</v>
      </c>
      <c r="AS307" s="742">
        <f t="shared" si="124"/>
        <v>0.8214285714285714</v>
      </c>
      <c r="AT307" s="758">
        <f t="shared" si="125"/>
        <v>39.440214732165416</v>
      </c>
      <c r="AU307" s="13">
        <f t="shared" si="126"/>
        <v>11</v>
      </c>
      <c r="AV307" s="13">
        <f t="shared" si="127"/>
        <v>12</v>
      </c>
      <c r="AW307" s="173">
        <f t="shared" si="128"/>
        <v>43374</v>
      </c>
      <c r="AX307" s="742">
        <f t="shared" si="129"/>
        <v>0.6785714285714286</v>
      </c>
      <c r="AY307" s="758">
        <f t="shared" si="130"/>
        <v>39.38783411998967</v>
      </c>
      <c r="AZ307" s="735">
        <f t="shared" si="134"/>
        <v>39.414024426077546</v>
      </c>
      <c r="BA307" s="633">
        <f t="shared" si="131"/>
        <v>0.93084431799340928</v>
      </c>
      <c r="BC307" s="11">
        <v>43393</v>
      </c>
      <c r="BD307" s="289">
        <f>[3]!FeuilCaduc*(1-Persistant)+Persistant</f>
        <v>0.92584967907216797</v>
      </c>
      <c r="BE307" s="290">
        <f>[3]!CroissVégét</f>
        <v>0.99593640005294937</v>
      </c>
      <c r="BF307" s="804">
        <f>1+[3]!Salcycl*Ksac</f>
        <v>1.031462419768042</v>
      </c>
      <c r="BH307" s="1037">
        <f t="shared" si="132"/>
        <v>2.9982063996626271E-2</v>
      </c>
      <c r="BI307" s="11">
        <v>44489</v>
      </c>
      <c r="BJ307" s="715">
        <v>6.2438716406504281E-4</v>
      </c>
      <c r="BK307" s="715">
        <v>2.6287471467663745E-3</v>
      </c>
      <c r="BL307" s="715">
        <v>5.6713911223710955E-3</v>
      </c>
      <c r="BM307" s="715">
        <v>1.2546123794943928E-2</v>
      </c>
      <c r="BN307" s="715">
        <v>3.4370042553231638E-2</v>
      </c>
      <c r="BO307" s="716">
        <v>8.9730073664563703E-2</v>
      </c>
      <c r="BP307" s="715">
        <v>0.19366075174814712</v>
      </c>
      <c r="BQ307" s="715">
        <v>0.33112814376595978</v>
      </c>
      <c r="BR307" s="715">
        <v>0.50290272014477344</v>
      </c>
      <c r="BS307" s="715">
        <v>0.70723335865366821</v>
      </c>
      <c r="BT307" s="715">
        <v>0.94769827779588367</v>
      </c>
      <c r="BW307" s="1185">
        <f>'2019'!R\Max</f>
        <v>0.36992204320833005</v>
      </c>
      <c r="BX307" s="1185">
        <f>'2020'!R\Max</f>
        <v>0.93084431799340928</v>
      </c>
      <c r="BY307" s="1185">
        <f>'2021'!R\Max</f>
        <v>0.76784272862788372</v>
      </c>
      <c r="BZ307" s="1185">
        <f>'2022'!R\Max</f>
        <v>0.34016656161241882</v>
      </c>
      <c r="CA307" s="1185">
        <f>'2023'!R\Max</f>
        <v>0.33817559706024292</v>
      </c>
      <c r="CB307" s="1185">
        <f>'2024'!R\Max</f>
        <v>0.33596922206345825</v>
      </c>
      <c r="CC307" s="1185">
        <f>'2025'!R\Max</f>
        <v>0.33333109927800536</v>
      </c>
      <c r="CD307" s="1185">
        <f>'2026'!R\Max</f>
        <v>0.34400067437127901</v>
      </c>
      <c r="CE307" s="1186">
        <f>'2027'!R\Max</f>
        <v>0.34294196255205861</v>
      </c>
      <c r="CF307" s="1187">
        <f>'2028'!R\Max</f>
        <v>0.34188280726940939</v>
      </c>
    </row>
    <row r="308" spans="1:84" s="6" customFormat="1" ht="11.25" x14ac:dyDescent="0.2">
      <c r="A308" s="11">
        <v>43394</v>
      </c>
      <c r="B308" s="379">
        <f>'2022'!Maxi_hp</f>
        <v>22.202361362008595</v>
      </c>
      <c r="C308" s="13">
        <f>'2022'!An_max</f>
        <v>2018</v>
      </c>
      <c r="D308" s="1046" t="str">
        <f t="shared" si="116"/>
        <v/>
      </c>
      <c r="E308" s="13"/>
      <c r="F308" s="13">
        <f t="shared" si="133"/>
        <v>23</v>
      </c>
      <c r="G308" s="13">
        <f t="shared" si="117"/>
        <v>22</v>
      </c>
      <c r="H308" s="173">
        <f t="shared" si="118"/>
        <v>43402</v>
      </c>
      <c r="I308" s="742">
        <f t="shared" si="119"/>
        <v>0.5714285714285714</v>
      </c>
      <c r="J308" s="735">
        <f t="shared" si="120"/>
        <v>39.091151020305865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39">
        <v>43394</v>
      </c>
      <c r="AP308" s="13">
        <f t="shared" si="121"/>
        <v>13</v>
      </c>
      <c r="AQ308" s="13">
        <f t="shared" si="122"/>
        <v>12</v>
      </c>
      <c r="AR308" s="173">
        <f t="shared" si="123"/>
        <v>43416</v>
      </c>
      <c r="AS308" s="742">
        <f t="shared" si="124"/>
        <v>0.7857142857142857</v>
      </c>
      <c r="AT308" s="758">
        <f t="shared" si="125"/>
        <v>39.153964285723802</v>
      </c>
      <c r="AU308" s="13">
        <f t="shared" si="126"/>
        <v>11</v>
      </c>
      <c r="AV308" s="13">
        <f t="shared" si="127"/>
        <v>12</v>
      </c>
      <c r="AW308" s="173">
        <f t="shared" si="128"/>
        <v>43374</v>
      </c>
      <c r="AX308" s="742">
        <f t="shared" si="129"/>
        <v>0.7142857142857143</v>
      </c>
      <c r="AY308" s="758">
        <f t="shared" si="130"/>
        <v>39.089412245207598</v>
      </c>
      <c r="AZ308" s="735">
        <f t="shared" si="134"/>
        <v>39.1216882654657</v>
      </c>
      <c r="BA308" s="633">
        <f t="shared" si="131"/>
        <v>0.56796386861250514</v>
      </c>
      <c r="BC308" s="11">
        <v>43394</v>
      </c>
      <c r="BD308" s="289">
        <f>[3]!FeuilCaduc*(1-Persistant)+Persistant</f>
        <v>0.92322764363766141</v>
      </c>
      <c r="BE308" s="290">
        <f>[3]!CroissVégét</f>
        <v>0.99611260244351996</v>
      </c>
      <c r="BF308" s="804">
        <f>1+[3]!Salcycl*Ksac</f>
        <v>1.0308069109094153</v>
      </c>
      <c r="BH308" s="1037">
        <f t="shared" si="132"/>
        <v>3.2793552745048013E-2</v>
      </c>
      <c r="BI308" s="11">
        <v>44490</v>
      </c>
      <c r="BJ308" s="715">
        <v>6.5582625562728505E-4</v>
      </c>
      <c r="BK308" s="715">
        <v>2.6045583971938875E-3</v>
      </c>
      <c r="BL308" s="715">
        <v>5.6918830140315641E-3</v>
      </c>
      <c r="BM308" s="715">
        <v>1.3285418147721072E-2</v>
      </c>
      <c r="BN308" s="715">
        <v>3.7703025667201212E-2</v>
      </c>
      <c r="BO308" s="716">
        <v>9.7010654956341494E-2</v>
      </c>
      <c r="BP308" s="715">
        <v>0.20526799812741642</v>
      </c>
      <c r="BQ308" s="715">
        <v>0.34489028864038307</v>
      </c>
      <c r="BR308" s="715">
        <v>0.51777578315419948</v>
      </c>
      <c r="BS308" s="715">
        <v>0.72465040598729724</v>
      </c>
      <c r="BT308" s="715">
        <v>0.97046357027846675</v>
      </c>
      <c r="BW308" s="1185">
        <f>'2019'!R\Max</f>
        <v>0.56796386861250514</v>
      </c>
      <c r="BX308" s="1185">
        <f>'2020'!R\Max</f>
        <v>0.15087025022753092</v>
      </c>
      <c r="BY308" s="1185">
        <f>'2021'!R\Max</f>
        <v>0.21933818757650889</v>
      </c>
      <c r="BZ308" s="1185">
        <f>'2022'!R\Max</f>
        <v>0.46692569133325762</v>
      </c>
      <c r="CA308" s="1185">
        <f>'2023'!R\Max</f>
        <v>0.46461108301765636</v>
      </c>
      <c r="CB308" s="1185">
        <f>'2024'!R\Max</f>
        <v>0.46206492213630673</v>
      </c>
      <c r="CC308" s="1185">
        <f>'2025'!R\Max</f>
        <v>0.45905828516187303</v>
      </c>
      <c r="CD308" s="1185">
        <f>'2026'!R\Max</f>
        <v>0.47143933904763657</v>
      </c>
      <c r="CE308" s="1186">
        <f>'2027'!R\Max</f>
        <v>0.47018008686503715</v>
      </c>
      <c r="CF308" s="1187">
        <f>'2028'!R\Max</f>
        <v>0.46891864205699202</v>
      </c>
    </row>
    <row r="309" spans="1:84" s="6" customFormat="1" ht="11.25" x14ac:dyDescent="0.2">
      <c r="A309" s="11">
        <v>43395</v>
      </c>
      <c r="B309" s="379">
        <f>'2022'!Maxi_hp</f>
        <v>38.476732251780895</v>
      </c>
      <c r="C309" s="13">
        <f>'2022'!An_max</f>
        <v>2022</v>
      </c>
      <c r="D309" s="1046">
        <f t="shared" si="116"/>
        <v>0.99174344067063902</v>
      </c>
      <c r="E309" s="13"/>
      <c r="F309" s="13">
        <f t="shared" si="133"/>
        <v>23</v>
      </c>
      <c r="G309" s="13">
        <f t="shared" si="117"/>
        <v>22</v>
      </c>
      <c r="H309" s="173">
        <f t="shared" si="118"/>
        <v>43402</v>
      </c>
      <c r="I309" s="742">
        <f t="shared" si="119"/>
        <v>0.5</v>
      </c>
      <c r="J309" s="735">
        <f t="shared" si="120"/>
        <v>38.797062500118045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39">
        <v>43395</v>
      </c>
      <c r="AP309" s="13">
        <f t="shared" si="121"/>
        <v>13</v>
      </c>
      <c r="AQ309" s="13">
        <f t="shared" si="122"/>
        <v>12</v>
      </c>
      <c r="AR309" s="173">
        <f t="shared" si="123"/>
        <v>43416</v>
      </c>
      <c r="AS309" s="742">
        <f t="shared" si="124"/>
        <v>0.75</v>
      </c>
      <c r="AT309" s="758">
        <f t="shared" si="125"/>
        <v>38.866953124979048</v>
      </c>
      <c r="AU309" s="13">
        <f t="shared" si="126"/>
        <v>11</v>
      </c>
      <c r="AV309" s="13">
        <f t="shared" si="127"/>
        <v>12</v>
      </c>
      <c r="AW309" s="173">
        <f t="shared" si="128"/>
        <v>43374</v>
      </c>
      <c r="AX309" s="742">
        <f t="shared" si="129"/>
        <v>0.75</v>
      </c>
      <c r="AY309" s="758">
        <f t="shared" si="130"/>
        <v>38.792403125250715</v>
      </c>
      <c r="AZ309" s="735">
        <f t="shared" si="134"/>
        <v>38.829678125114881</v>
      </c>
      <c r="BA309" s="633">
        <f t="shared" si="131"/>
        <v>0.99174344067063902</v>
      </c>
      <c r="BC309" s="11">
        <v>43395</v>
      </c>
      <c r="BD309" s="289">
        <f>[3]!FeuilCaduc*(1-Persistant)+Persistant</f>
        <v>0.92056449066099522</v>
      </c>
      <c r="BE309" s="290">
        <f>[3]!CroissVégét</f>
        <v>0.99628176897521181</v>
      </c>
      <c r="BF309" s="804">
        <f>1+[3]!Salcycl*Ksac</f>
        <v>1.0301411226652488</v>
      </c>
      <c r="BH309" s="1037">
        <f t="shared" si="132"/>
        <v>3.5969473122387692E-2</v>
      </c>
      <c r="BI309" s="11">
        <v>44491</v>
      </c>
      <c r="BJ309" s="715">
        <v>6.8800850381708532E-4</v>
      </c>
      <c r="BK309" s="715">
        <v>2.5836081768181602E-3</v>
      </c>
      <c r="BL309" s="715">
        <v>5.7408721366425291E-3</v>
      </c>
      <c r="BM309" s="715">
        <v>1.4191438958205032E-2</v>
      </c>
      <c r="BN309" s="715">
        <v>4.1450195458670541E-2</v>
      </c>
      <c r="BO309" s="716">
        <v>0.10475408635767131</v>
      </c>
      <c r="BP309" s="715">
        <v>0.2170344794816961</v>
      </c>
      <c r="BQ309" s="715">
        <v>0.35829122790683271</v>
      </c>
      <c r="BR309" s="715">
        <v>0.53200769961156447</v>
      </c>
      <c r="BS309" s="715">
        <v>0.74159638145835927</v>
      </c>
      <c r="BT309" s="715">
        <v>0.99324230564391269</v>
      </c>
      <c r="BW309" s="1185">
        <f>'2019'!R\Max</f>
        <v>9.6388978112923629E-2</v>
      </c>
      <c r="BX309" s="1185">
        <f>'2020'!R\Max</f>
        <v>0.67921078222230546</v>
      </c>
      <c r="BY309" s="1185">
        <f>'2021'!R\Max</f>
        <v>0.45640204843133741</v>
      </c>
      <c r="BZ309" s="1185">
        <f>'2022'!R\Max</f>
        <v>0.99174344067063902</v>
      </c>
      <c r="CA309" s="1185">
        <f>'2023'!R\Max</f>
        <v>0.99166364071011348</v>
      </c>
      <c r="CB309" s="1185">
        <f>'2024'!R\Max</f>
        <v>0.99157575117353425</v>
      </c>
      <c r="CC309" s="1185">
        <f>'2025'!R\Max</f>
        <v>0.99147227886313682</v>
      </c>
      <c r="CD309" s="1185">
        <f>'2026'!R\Max</f>
        <v>0.99189925111213129</v>
      </c>
      <c r="CE309" s="1186">
        <f>'2027'!R\Max</f>
        <v>0.99185557593975349</v>
      </c>
      <c r="CF309" s="1187">
        <f>'2028'!R\Max</f>
        <v>0.99181157065805603</v>
      </c>
    </row>
    <row r="310" spans="1:84" s="6" customFormat="1" ht="11.25" x14ac:dyDescent="0.2">
      <c r="A310" s="11">
        <v>43396</v>
      </c>
      <c r="B310" s="379">
        <f>'2022'!Maxi_hp</f>
        <v>34.945512770955865</v>
      </c>
      <c r="C310" s="13">
        <f>'2022'!An_max</f>
        <v>2021</v>
      </c>
      <c r="D310" s="1046" t="str">
        <f t="shared" si="116"/>
        <v/>
      </c>
      <c r="E310" s="13"/>
      <c r="F310" s="13">
        <f t="shared" si="133"/>
        <v>23</v>
      </c>
      <c r="G310" s="13">
        <f t="shared" si="117"/>
        <v>22</v>
      </c>
      <c r="H310" s="173">
        <f t="shared" si="118"/>
        <v>43402</v>
      </c>
      <c r="I310" s="742">
        <f t="shared" si="119"/>
        <v>0.42857142857142855</v>
      </c>
      <c r="J310" s="735">
        <f t="shared" si="120"/>
        <v>38.503734693811353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39">
        <v>43396</v>
      </c>
      <c r="AP310" s="13">
        <f t="shared" si="121"/>
        <v>13</v>
      </c>
      <c r="AQ310" s="13">
        <f t="shared" si="122"/>
        <v>12</v>
      </c>
      <c r="AR310" s="173">
        <f t="shared" si="123"/>
        <v>43416</v>
      </c>
      <c r="AS310" s="742">
        <f t="shared" si="124"/>
        <v>0.7142857142857143</v>
      </c>
      <c r="AT310" s="758">
        <f t="shared" si="125"/>
        <v>38.579371428569516</v>
      </c>
      <c r="AU310" s="13">
        <f t="shared" si="126"/>
        <v>11</v>
      </c>
      <c r="AV310" s="13">
        <f t="shared" si="127"/>
        <v>12</v>
      </c>
      <c r="AW310" s="173">
        <f t="shared" si="128"/>
        <v>43374</v>
      </c>
      <c r="AX310" s="742">
        <f t="shared" si="129"/>
        <v>0.7857142857142857</v>
      </c>
      <c r="AY310" s="758">
        <f t="shared" si="130"/>
        <v>38.497105612379627</v>
      </c>
      <c r="AZ310" s="735">
        <f t="shared" si="134"/>
        <v>38.538238520474572</v>
      </c>
      <c r="BA310" s="633">
        <f t="shared" si="131"/>
        <v>0.90758761582087788</v>
      </c>
      <c r="BC310" s="11">
        <v>43396</v>
      </c>
      <c r="BD310" s="289">
        <f>[3]!FeuilCaduc*(1-Persistant)+Persistant</f>
        <v>0.91786302040318457</v>
      </c>
      <c r="BE310" s="290">
        <f>[3]!CroissVégét</f>
        <v>0.99644417833885535</v>
      </c>
      <c r="BF310" s="804">
        <f>1+[3]!Salcycl*Ksac</f>
        <v>1.0294657551007962</v>
      </c>
      <c r="BH310" s="1037">
        <f t="shared" si="132"/>
        <v>3.9582192711423804E-2</v>
      </c>
      <c r="BI310" s="11">
        <v>44492</v>
      </c>
      <c r="BJ310" s="715">
        <v>7.2011726136809973E-4</v>
      </c>
      <c r="BK310" s="715">
        <v>2.5794316065075821E-3</v>
      </c>
      <c r="BL310" s="715">
        <v>5.8963803273251285E-3</v>
      </c>
      <c r="BM310" s="715">
        <v>1.5413505825540019E-2</v>
      </c>
      <c r="BN310" s="715">
        <v>4.5664553545990944E-2</v>
      </c>
      <c r="BO310" s="716">
        <v>0.11284269869095759</v>
      </c>
      <c r="BP310" s="715">
        <v>0.22859419823924826</v>
      </c>
      <c r="BQ310" s="715">
        <v>0.37090521930349585</v>
      </c>
      <c r="BR310" s="715">
        <v>0.54534877262981551</v>
      </c>
      <c r="BS310" s="715">
        <v>0.75786112215268286</v>
      </c>
      <c r="BT310" s="715">
        <v>1.0156284370815103</v>
      </c>
      <c r="BW310" s="1185">
        <f>'2019'!R\Max</f>
        <v>0.41331911266601346</v>
      </c>
      <c r="BX310" s="1185">
        <f>'2020'!R\Max</f>
        <v>0.21912597909008263</v>
      </c>
      <c r="BY310" s="1185">
        <f>'2021'!R\Max</f>
        <v>0.90758761582087788</v>
      </c>
      <c r="BZ310" s="1185">
        <f>'2022'!R\Max</f>
        <v>0.58163919646642548</v>
      </c>
      <c r="CA310" s="1185">
        <f>'2023'!R\Max</f>
        <v>0.57919125875436883</v>
      </c>
      <c r="CB310" s="1185">
        <f>'2024'!R\Max</f>
        <v>0.5765404763343307</v>
      </c>
      <c r="CC310" s="1185">
        <f>'2025'!R\Max</f>
        <v>0.57349250466917678</v>
      </c>
      <c r="CD310" s="1185">
        <f>'2026'!R\Max</f>
        <v>0.58655652838194627</v>
      </c>
      <c r="CE310" s="1186">
        <f>'2027'!R\Max</f>
        <v>0.58515395455995611</v>
      </c>
      <c r="CF310" s="1187">
        <f>'2028'!R\Max</f>
        <v>0.58374671074674489</v>
      </c>
    </row>
    <row r="311" spans="1:84" s="6" customFormat="1" ht="11.25" x14ac:dyDescent="0.2">
      <c r="A311" s="11">
        <v>43397</v>
      </c>
      <c r="B311" s="379">
        <f>'2022'!Maxi_hp</f>
        <v>39.130239680184168</v>
      </c>
      <c r="C311" s="13">
        <f>'2022'!An_max</f>
        <v>2021</v>
      </c>
      <c r="D311" s="1046">
        <f t="shared" si="116"/>
        <v>1.0240437096506543</v>
      </c>
      <c r="E311" s="13"/>
      <c r="F311" s="13">
        <f t="shared" si="133"/>
        <v>23</v>
      </c>
      <c r="G311" s="13">
        <f t="shared" si="117"/>
        <v>22</v>
      </c>
      <c r="H311" s="173">
        <f t="shared" si="118"/>
        <v>43402</v>
      </c>
      <c r="I311" s="742">
        <f t="shared" si="119"/>
        <v>0.35714285714285715</v>
      </c>
      <c r="J311" s="735">
        <f t="shared" si="120"/>
        <v>38.21149362221383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39">
        <v>43397</v>
      </c>
      <c r="AP311" s="13">
        <f t="shared" si="121"/>
        <v>13</v>
      </c>
      <c r="AQ311" s="13">
        <f t="shared" si="122"/>
        <v>12</v>
      </c>
      <c r="AR311" s="173">
        <f t="shared" si="123"/>
        <v>43416</v>
      </c>
      <c r="AS311" s="742">
        <f t="shared" si="124"/>
        <v>0.6785714285714286</v>
      </c>
      <c r="AT311" s="758">
        <f t="shared" si="125"/>
        <v>38.291409374993862</v>
      </c>
      <c r="AU311" s="13">
        <f t="shared" si="126"/>
        <v>11</v>
      </c>
      <c r="AV311" s="13">
        <f t="shared" si="127"/>
        <v>12</v>
      </c>
      <c r="AW311" s="173">
        <f t="shared" si="128"/>
        <v>43374</v>
      </c>
      <c r="AX311" s="742">
        <f t="shared" si="129"/>
        <v>0.8214285714285714</v>
      </c>
      <c r="AY311" s="758">
        <f t="shared" si="130"/>
        <v>38.203818558728592</v>
      </c>
      <c r="AZ311" s="735">
        <f t="shared" si="134"/>
        <v>38.247613966861223</v>
      </c>
      <c r="BA311" s="633">
        <f t="shared" si="131"/>
        <v>1.0240437096506543</v>
      </c>
      <c r="BC311" s="11">
        <v>43397</v>
      </c>
      <c r="BD311" s="289">
        <f>[3]!FeuilCaduc*(1-Persistant)+Persistant</f>
        <v>0.91512622269448374</v>
      </c>
      <c r="BE311" s="290">
        <f>[3]!CroissVégét</f>
        <v>0.99660009836364072</v>
      </c>
      <c r="BF311" s="804">
        <f>1+[3]!Salcycl*Ksac</f>
        <v>1.0287815556736208</v>
      </c>
      <c r="BH311" s="1037">
        <f t="shared" si="132"/>
        <v>4.3475993773620811E-2</v>
      </c>
      <c r="BI311" s="11">
        <v>44493</v>
      </c>
      <c r="BJ311" s="715">
        <v>7.5059857791427535E-4</v>
      </c>
      <c r="BK311" s="715">
        <v>2.5917039961964438E-3</v>
      </c>
      <c r="BL311" s="715">
        <v>6.152812465768826E-3</v>
      </c>
      <c r="BM311" s="715">
        <v>1.6912166952958354E-2</v>
      </c>
      <c r="BN311" s="715">
        <v>5.0161122371343264E-2</v>
      </c>
      <c r="BO311" s="716">
        <v>0.12099147420249813</v>
      </c>
      <c r="BP311" s="715">
        <v>0.23968993413658574</v>
      </c>
      <c r="BQ311" s="715">
        <v>0.38271389221796581</v>
      </c>
      <c r="BR311" s="715">
        <v>0.55802441730631025</v>
      </c>
      <c r="BS311" s="715">
        <v>0.77370486470474098</v>
      </c>
      <c r="BT311" s="715">
        <v>1.0377080238909755</v>
      </c>
      <c r="BW311" s="1185">
        <f>'2019'!R\Max</f>
        <v>0.48490613567841029</v>
      </c>
      <c r="BX311" s="1185">
        <f>'2020'!R\Max</f>
        <v>0.29452334711659434</v>
      </c>
      <c r="BY311" s="1185">
        <f>'2021'!R\Max</f>
        <v>1.0240437096506543</v>
      </c>
      <c r="BZ311" s="1185">
        <f>'2022'!R\Max</f>
        <v>0.84573806696842813</v>
      </c>
      <c r="CA311" s="1185">
        <f>'2023'!R\Max</f>
        <v>0.84438139434742332</v>
      </c>
      <c r="CB311" s="1185">
        <f>'2024'!R\Max</f>
        <v>0.84291482484695879</v>
      </c>
      <c r="CC311" s="1185">
        <f>'2025'!R\Max</f>
        <v>0.84123879810976243</v>
      </c>
      <c r="CD311" s="1185">
        <f>'2026'!R\Max</f>
        <v>0.84848465237715232</v>
      </c>
      <c r="CE311" s="1186">
        <f>'2027'!R\Max</f>
        <v>0.84769562013239041</v>
      </c>
      <c r="CF311" s="1187">
        <f>'2028'!R\Max</f>
        <v>0.84690124913244014</v>
      </c>
    </row>
    <row r="312" spans="1:84" s="6" customFormat="1" ht="11.25" x14ac:dyDescent="0.2">
      <c r="A312" s="11">
        <v>43398</v>
      </c>
      <c r="B312" s="379">
        <f>'2022'!Maxi_hp</f>
        <v>36.653360755544639</v>
      </c>
      <c r="C312" s="13">
        <f>'2022'!An_max</f>
        <v>2021</v>
      </c>
      <c r="D312" s="1046" t="str">
        <f t="shared" si="116"/>
        <v/>
      </c>
      <c r="E312" s="13"/>
      <c r="F312" s="13">
        <f t="shared" si="133"/>
        <v>23</v>
      </c>
      <c r="G312" s="13">
        <f t="shared" si="117"/>
        <v>22</v>
      </c>
      <c r="H312" s="173">
        <f t="shared" si="118"/>
        <v>43402</v>
      </c>
      <c r="I312" s="742">
        <f t="shared" si="119"/>
        <v>0.2857142857142857</v>
      </c>
      <c r="J312" s="735">
        <f t="shared" si="120"/>
        <v>37.92066530615557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39">
        <v>43398</v>
      </c>
      <c r="AP312" s="13">
        <f t="shared" si="121"/>
        <v>13</v>
      </c>
      <c r="AQ312" s="13">
        <f t="shared" si="122"/>
        <v>12</v>
      </c>
      <c r="AR312" s="173">
        <f t="shared" si="123"/>
        <v>43416</v>
      </c>
      <c r="AS312" s="742">
        <f t="shared" si="124"/>
        <v>0.6428571428571429</v>
      </c>
      <c r="AT312" s="758">
        <f t="shared" si="125"/>
        <v>38.003257142803967</v>
      </c>
      <c r="AU312" s="13">
        <f t="shared" si="126"/>
        <v>11</v>
      </c>
      <c r="AV312" s="13">
        <f t="shared" si="127"/>
        <v>12</v>
      </c>
      <c r="AW312" s="173">
        <f t="shared" si="128"/>
        <v>43374</v>
      </c>
      <c r="AX312" s="742">
        <f t="shared" si="129"/>
        <v>0.8571428571428571</v>
      </c>
      <c r="AY312" s="758">
        <f t="shared" si="130"/>
        <v>37.912840816325378</v>
      </c>
      <c r="AZ312" s="735">
        <f t="shared" si="134"/>
        <v>37.958048979564673</v>
      </c>
      <c r="BA312" s="633">
        <f t="shared" si="131"/>
        <v>0.96658010769644354</v>
      </c>
      <c r="BC312" s="11">
        <v>43398</v>
      </c>
      <c r="BD312" s="289">
        <f>[3]!FeuilCaduc*(1-Persistant)+Persistant</f>
        <v>0.91235726814858187</v>
      </c>
      <c r="BE312" s="290">
        <f>[3]!CroissVégét</f>
        <v>0.99674978642645717</v>
      </c>
      <c r="BF312" s="804">
        <f>1+[3]!Salcycl*Ksac</f>
        <v>1.0280893170371455</v>
      </c>
      <c r="BH312" s="1037">
        <f t="shared" si="132"/>
        <v>4.7651594467898177E-2</v>
      </c>
      <c r="BI312" s="11">
        <v>44494</v>
      </c>
      <c r="BJ312" s="715">
        <v>7.7945588813223927E-4</v>
      </c>
      <c r="BK312" s="715">
        <v>2.6204667749688947E-3</v>
      </c>
      <c r="BL312" s="715">
        <v>6.5103519536848578E-3</v>
      </c>
      <c r="BM312" s="715">
        <v>1.8687928833146475E-2</v>
      </c>
      <c r="BN312" s="715">
        <v>5.4940673362176291E-2</v>
      </c>
      <c r="BO312" s="716">
        <v>0.12920141882353661</v>
      </c>
      <c r="BP312" s="715">
        <v>0.25032286563203004</v>
      </c>
      <c r="BQ312" s="715">
        <v>0.39371901478173016</v>
      </c>
      <c r="BR312" s="715">
        <v>0.57003788290318258</v>
      </c>
      <c r="BS312" s="715">
        <v>0.78913278805127973</v>
      </c>
      <c r="BT312" s="715">
        <v>1.0594883664195243</v>
      </c>
      <c r="BW312" s="1185">
        <f>'2019'!R\Max</f>
        <v>0.77307000092534472</v>
      </c>
      <c r="BX312" s="1185">
        <f>'2020'!R\Max</f>
        <v>0.92622032633105011</v>
      </c>
      <c r="BY312" s="1185">
        <f>'2021'!R\Max</f>
        <v>0.96658010769644354</v>
      </c>
      <c r="BZ312" s="1185">
        <f>'2022'!R\Max</f>
        <v>0.66004976483510736</v>
      </c>
      <c r="CA312" s="1185">
        <f>'2023'!R\Max</f>
        <v>0.65766103898069939</v>
      </c>
      <c r="CB312" s="1185">
        <f>'2024'!R\Max</f>
        <v>0.65510549021983289</v>
      </c>
      <c r="CC312" s="1185">
        <f>'2025'!R\Max</f>
        <v>0.65222955567285978</v>
      </c>
      <c r="CD312" s="1185">
        <f>'2026'!R\Max</f>
        <v>0.66499164163437174</v>
      </c>
      <c r="CE312" s="1186">
        <f>'2027'!R\Max</f>
        <v>0.66355277458146633</v>
      </c>
      <c r="CF312" s="1187">
        <f>'2028'!R\Max</f>
        <v>0.66210709015933744</v>
      </c>
    </row>
    <row r="313" spans="1:84" s="6" customFormat="1" ht="11.25" x14ac:dyDescent="0.2">
      <c r="A313" s="11">
        <v>43399</v>
      </c>
      <c r="B313" s="379">
        <f>'2022'!Maxi_hp</f>
        <v>37.378397618671073</v>
      </c>
      <c r="C313" s="13">
        <f>'2022'!An_max</f>
        <v>2018</v>
      </c>
      <c r="D313" s="1046">
        <f t="shared" si="116"/>
        <v>0.99327218854529808</v>
      </c>
      <c r="E313" s="13"/>
      <c r="F313" s="13">
        <f t="shared" si="133"/>
        <v>23</v>
      </c>
      <c r="G313" s="13">
        <f t="shared" si="117"/>
        <v>22</v>
      </c>
      <c r="H313" s="173">
        <f t="shared" si="118"/>
        <v>43402</v>
      </c>
      <c r="I313" s="742">
        <f t="shared" si="119"/>
        <v>0.21428571428571427</v>
      </c>
      <c r="J313" s="735">
        <f t="shared" si="120"/>
        <v>37.631575765162417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39">
        <v>43399</v>
      </c>
      <c r="AP313" s="13">
        <f t="shared" si="121"/>
        <v>13</v>
      </c>
      <c r="AQ313" s="13">
        <f t="shared" si="122"/>
        <v>12</v>
      </c>
      <c r="AR313" s="173">
        <f t="shared" si="123"/>
        <v>43416</v>
      </c>
      <c r="AS313" s="742">
        <f t="shared" si="124"/>
        <v>0.6071428571428571</v>
      </c>
      <c r="AT313" s="758">
        <f t="shared" si="125"/>
        <v>37.715104910749609</v>
      </c>
      <c r="AU313" s="13">
        <f t="shared" si="126"/>
        <v>11</v>
      </c>
      <c r="AV313" s="13">
        <f t="shared" si="127"/>
        <v>12</v>
      </c>
      <c r="AW313" s="173">
        <f t="shared" si="128"/>
        <v>43374</v>
      </c>
      <c r="AX313" s="742">
        <f t="shared" si="129"/>
        <v>0.8928571428571429</v>
      </c>
      <c r="AY313" s="758">
        <f t="shared" si="130"/>
        <v>37.624471237177829</v>
      </c>
      <c r="AZ313" s="735">
        <f t="shared" si="134"/>
        <v>37.669788073963716</v>
      </c>
      <c r="BA313" s="633">
        <f t="shared" si="131"/>
        <v>0.99327218854529808</v>
      </c>
      <c r="BC313" s="11">
        <v>43399</v>
      </c>
      <c r="BD313" s="289">
        <f>[3]!FeuilCaduc*(1-Persistant)+Persistant</f>
        <v>0.90955949806510361</v>
      </c>
      <c r="BE313" s="290">
        <f>[3]!CroissVégét</f>
        <v>0.99689348984691617</v>
      </c>
      <c r="BF313" s="804">
        <f>1+[3]!Salcycl*Ksac</f>
        <v>1.0273898745162759</v>
      </c>
      <c r="BH313" s="1037">
        <f t="shared" si="132"/>
        <v>5.2109411741207104E-2</v>
      </c>
      <c r="BI313" s="11">
        <v>44495</v>
      </c>
      <c r="BJ313" s="715">
        <v>8.0668675762485644E-4</v>
      </c>
      <c r="BK313" s="715">
        <v>2.6657405883723645E-3</v>
      </c>
      <c r="BL313" s="715">
        <v>6.9691376534463077E-3</v>
      </c>
      <c r="BM313" s="715">
        <v>2.0741185685095594E-2</v>
      </c>
      <c r="BN313" s="715">
        <v>6.0003629185224616E-2</v>
      </c>
      <c r="BO313" s="716">
        <v>0.13747264374474807</v>
      </c>
      <c r="BP313" s="715">
        <v>0.26049231616306678</v>
      </c>
      <c r="BQ313" s="715">
        <v>0.40391931550518756</v>
      </c>
      <c r="BR313" s="715">
        <v>0.58138794399254212</v>
      </c>
      <c r="BS313" s="715">
        <v>0.80414386005320015</v>
      </c>
      <c r="BT313" s="715">
        <v>1.0809684531093231</v>
      </c>
      <c r="BW313" s="1185">
        <f>'2019'!R\Max</f>
        <v>0.99327218854529808</v>
      </c>
      <c r="BX313" s="1185">
        <f>'2020'!R\Max</f>
        <v>0.73245184816921549</v>
      </c>
      <c r="BY313" s="1185">
        <f>'2021'!R\Max</f>
        <v>0.7760886101002531</v>
      </c>
      <c r="BZ313" s="1185">
        <f>'2022'!R\Max</f>
        <v>0.45531279427133747</v>
      </c>
      <c r="CA313" s="1185">
        <f>'2023'!R\Max</f>
        <v>0.45262347498320488</v>
      </c>
      <c r="CB313" s="1185">
        <f>'2024'!R\Max</f>
        <v>0.44977520818795363</v>
      </c>
      <c r="CC313" s="1185">
        <f>'2025'!R\Max</f>
        <v>0.44661623219727176</v>
      </c>
      <c r="CD313" s="1185">
        <f>'2026'!R\Max</f>
        <v>0.46100447012686091</v>
      </c>
      <c r="CE313" s="1186">
        <f>'2027'!R\Max</f>
        <v>0.45932452070749713</v>
      </c>
      <c r="CF313" s="1187">
        <f>'2028'!R\Max</f>
        <v>0.45764088739636938</v>
      </c>
    </row>
    <row r="314" spans="1:84" s="6" customFormat="1" ht="11.25" x14ac:dyDescent="0.2">
      <c r="A314" s="11">
        <v>43400</v>
      </c>
      <c r="B314" s="379">
        <f>'2022'!Maxi_hp</f>
        <v>34.064654173647206</v>
      </c>
      <c r="C314" s="13">
        <f>'2022'!An_max</f>
        <v>2021</v>
      </c>
      <c r="D314" s="1046" t="str">
        <f t="shared" si="116"/>
        <v/>
      </c>
      <c r="E314" s="13"/>
      <c r="F314" s="13">
        <f t="shared" si="133"/>
        <v>23</v>
      </c>
      <c r="G314" s="13">
        <f t="shared" si="117"/>
        <v>22</v>
      </c>
      <c r="H314" s="173">
        <f t="shared" si="118"/>
        <v>43402</v>
      </c>
      <c r="I314" s="742">
        <f t="shared" si="119"/>
        <v>0.14285714285714285</v>
      </c>
      <c r="J314" s="735">
        <f t="shared" si="120"/>
        <v>37.344551020462163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39">
        <v>43400</v>
      </c>
      <c r="AP314" s="13">
        <f t="shared" si="121"/>
        <v>13</v>
      </c>
      <c r="AQ314" s="13">
        <f t="shared" si="122"/>
        <v>12</v>
      </c>
      <c r="AR314" s="173">
        <f t="shared" si="123"/>
        <v>43416</v>
      </c>
      <c r="AS314" s="742">
        <f t="shared" si="124"/>
        <v>0.5714285714285714</v>
      </c>
      <c r="AT314" s="758">
        <f t="shared" si="125"/>
        <v>37.427142857068347</v>
      </c>
      <c r="AU314" s="13">
        <f t="shared" si="126"/>
        <v>11</v>
      </c>
      <c r="AV314" s="13">
        <f t="shared" si="127"/>
        <v>12</v>
      </c>
      <c r="AW314" s="173">
        <f t="shared" si="128"/>
        <v>43374</v>
      </c>
      <c r="AX314" s="742">
        <f t="shared" si="129"/>
        <v>0.9285714285714286</v>
      </c>
      <c r="AY314" s="758">
        <f t="shared" si="130"/>
        <v>37.339008673679615</v>
      </c>
      <c r="AZ314" s="735">
        <f t="shared" si="134"/>
        <v>37.383075765373981</v>
      </c>
      <c r="BA314" s="633">
        <f t="shared" si="131"/>
        <v>0.91217201018114247</v>
      </c>
      <c r="BC314" s="11">
        <v>43400</v>
      </c>
      <c r="BD314" s="289">
        <f>[3]!FeuilCaduc*(1-Persistant)+Persistant</f>
        <v>0.90673641306712205</v>
      </c>
      <c r="BE314" s="290">
        <f>[3]!CroissVégét</f>
        <v>0.99703144626847073</v>
      </c>
      <c r="BF314" s="804">
        <f>1+[3]!Salcycl*Ksac</f>
        <v>1.0266841032667804</v>
      </c>
      <c r="BH314" s="1037">
        <f t="shared" si="132"/>
        <v>5.6849856420416678E-2</v>
      </c>
      <c r="BI314" s="11">
        <v>44496</v>
      </c>
      <c r="BJ314" s="715">
        <v>8.3228859169950497E-4</v>
      </c>
      <c r="BK314" s="715">
        <v>2.7275465265793209E-3</v>
      </c>
      <c r="BL314" s="715">
        <v>7.5293104645783411E-3</v>
      </c>
      <c r="BM314" s="715">
        <v>2.3072334347749721E-2</v>
      </c>
      <c r="BN314" s="715">
        <v>6.5350404187598521E-2</v>
      </c>
      <c r="BO314" s="716">
        <v>0.14580523179946633</v>
      </c>
      <c r="BP314" s="715">
        <v>0.27019755455426947</v>
      </c>
      <c r="BQ314" s="715">
        <v>0.41331345578962619</v>
      </c>
      <c r="BR314" s="715">
        <v>0.59207330923863122</v>
      </c>
      <c r="BS314" s="715">
        <v>0.81873697845387772</v>
      </c>
      <c r="BT314" s="715">
        <v>1.1021471828955693</v>
      </c>
      <c r="BW314" s="1185">
        <f>'2019'!R\Max</f>
        <v>0.75184507967714742</v>
      </c>
      <c r="BX314" s="1185">
        <f>'2020'!R\Max</f>
        <v>0.66628183264657681</v>
      </c>
      <c r="BY314" s="1185">
        <f>'2021'!R\Max</f>
        <v>0.91217201018114247</v>
      </c>
      <c r="BZ314" s="1185">
        <f>'2022'!R\Max</f>
        <v>0.46440655689889471</v>
      </c>
      <c r="CA314" s="1185">
        <f>'2023'!R\Max</f>
        <v>0.46166528014495839</v>
      </c>
      <c r="CB314" s="1185">
        <f>'2024'!R\Max</f>
        <v>0.45877527169187188</v>
      </c>
      <c r="CC314" s="1185">
        <f>'2025'!R\Max</f>
        <v>0.45559607162799881</v>
      </c>
      <c r="CD314" s="1185">
        <f>'2026'!R\Max</f>
        <v>0.47030112242684607</v>
      </c>
      <c r="CE314" s="1186">
        <f>'2027'!R\Max</f>
        <v>0.46854357584949574</v>
      </c>
      <c r="CF314" s="1187">
        <f>'2028'!R\Max</f>
        <v>0.46678177483877192</v>
      </c>
    </row>
    <row r="315" spans="1:84" s="6" customFormat="1" ht="11.25" x14ac:dyDescent="0.2">
      <c r="A315" s="11">
        <v>43401</v>
      </c>
      <c r="B315" s="379">
        <f>'2022'!Maxi_hp</f>
        <v>36.268866308329294</v>
      </c>
      <c r="C315" s="13">
        <f>'2022'!An_max</f>
        <v>2021</v>
      </c>
      <c r="D315" s="1046">
        <f t="shared" si="116"/>
        <v>0.97865481508191388</v>
      </c>
      <c r="E315" s="13"/>
      <c r="F315" s="13">
        <f t="shared" si="133"/>
        <v>23</v>
      </c>
      <c r="G315" s="13">
        <f t="shared" si="117"/>
        <v>22</v>
      </c>
      <c r="H315" s="173">
        <f t="shared" si="118"/>
        <v>43402</v>
      </c>
      <c r="I315" s="742">
        <f t="shared" si="119"/>
        <v>7.1428571428571425E-2</v>
      </c>
      <c r="J315" s="735">
        <f t="shared" si="120"/>
        <v>37.059917091700584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39">
        <v>43401</v>
      </c>
      <c r="AP315" s="13">
        <f t="shared" si="121"/>
        <v>13</v>
      </c>
      <c r="AQ315" s="13">
        <f t="shared" si="122"/>
        <v>12</v>
      </c>
      <c r="AR315" s="173">
        <f t="shared" si="123"/>
        <v>43416</v>
      </c>
      <c r="AS315" s="742">
        <f t="shared" si="124"/>
        <v>0.5357142857142857</v>
      </c>
      <c r="AT315" s="758">
        <f t="shared" si="125"/>
        <v>37.139561160734488</v>
      </c>
      <c r="AU315" s="13">
        <f t="shared" si="126"/>
        <v>11</v>
      </c>
      <c r="AV315" s="13">
        <f t="shared" si="127"/>
        <v>12</v>
      </c>
      <c r="AW315" s="173">
        <f t="shared" si="128"/>
        <v>43374</v>
      </c>
      <c r="AX315" s="742">
        <f t="shared" si="129"/>
        <v>0.9642857142857143</v>
      </c>
      <c r="AY315" s="758">
        <f t="shared" si="130"/>
        <v>37.056751977199959</v>
      </c>
      <c r="AZ315" s="735">
        <f t="shared" si="134"/>
        <v>37.098156568967227</v>
      </c>
      <c r="BA315" s="633">
        <f t="shared" si="131"/>
        <v>0.97865481508191388</v>
      </c>
      <c r="BC315" s="11">
        <v>43401</v>
      </c>
      <c r="BD315" s="289">
        <f>[3]!FeuilCaduc*(1-Persistant)+Persistant</f>
        <v>0.90389166053146663</v>
      </c>
      <c r="BE315" s="290">
        <f>[3]!CroissVégét</f>
        <v>0.99716388402603495</v>
      </c>
      <c r="BF315" s="804">
        <f>1+[3]!Salcycl*Ksac</f>
        <v>1.0259729151328667</v>
      </c>
      <c r="BH315" s="1037">
        <f t="shared" si="132"/>
        <v>6.1873330645713397E-2</v>
      </c>
      <c r="BI315" s="11">
        <v>44497</v>
      </c>
      <c r="BJ315" s="715">
        <v>8.5625865066325118E-4</v>
      </c>
      <c r="BK315" s="715">
        <v>2.8059059723914612E-3</v>
      </c>
      <c r="BL315" s="715">
        <v>8.1910123927566216E-3</v>
      </c>
      <c r="BM315" s="715">
        <v>2.5681771735118184E-2</v>
      </c>
      <c r="BN315" s="715">
        <v>7.0981401824719209E-2</v>
      </c>
      <c r="BO315" s="716">
        <v>0.15419923697449475</v>
      </c>
      <c r="BP315" s="715">
        <v>0.27943779939781521</v>
      </c>
      <c r="BQ315" s="715">
        <v>0.42190003746846394</v>
      </c>
      <c r="BR315" s="715">
        <v>0.60209262765165561</v>
      </c>
      <c r="BS315" s="715">
        <v>0.8329109748979463</v>
      </c>
      <c r="BT315" s="715">
        <v>1.1230233682171502</v>
      </c>
      <c r="BW315" s="1185">
        <f>'2019'!R\Max</f>
        <v>0.30835717272324792</v>
      </c>
      <c r="BX315" s="1185">
        <f>'2020'!R\Max</f>
        <v>0.61598581644947215</v>
      </c>
      <c r="BY315" s="1185">
        <f>'2021'!R\Max</f>
        <v>0.97865481508191388</v>
      </c>
      <c r="BZ315" s="1185">
        <f>'2022'!R\Max</f>
        <v>0.51240797208127409</v>
      </c>
      <c r="CA315" s="1185">
        <f>'2023'!R\Max</f>
        <v>0.50962052743590425</v>
      </c>
      <c r="CB315" s="1185">
        <f>'2024'!R\Max</f>
        <v>0.50669058573385883</v>
      </c>
      <c r="CC315" s="1185">
        <f>'2025'!R\Max</f>
        <v>0.50348687274510306</v>
      </c>
      <c r="CD315" s="1185">
        <f>'2026'!R\Max</f>
        <v>0.51849144260110769</v>
      </c>
      <c r="CE315" s="1186">
        <f>'2027'!R\Max</f>
        <v>0.51666043432287734</v>
      </c>
      <c r="CF315" s="1187">
        <f>'2028'!R\Max</f>
        <v>0.51482351880893651</v>
      </c>
    </row>
    <row r="316" spans="1:84" s="6" customFormat="1" ht="11.25" x14ac:dyDescent="0.2">
      <c r="A316" s="11">
        <v>43402</v>
      </c>
      <c r="B316" s="379">
        <f>'2022'!Maxi_hp</f>
        <v>30.826089408528631</v>
      </c>
      <c r="C316" s="13">
        <f>'2022'!An_max</f>
        <v>2022</v>
      </c>
      <c r="D316" s="1046" t="str">
        <f t="shared" si="116"/>
        <v/>
      </c>
      <c r="E316" s="1041">
        <f>AI$13/10</f>
        <v>36.777999999999999</v>
      </c>
      <c r="F316" s="13">
        <f t="shared" si="133"/>
        <v>23</v>
      </c>
      <c r="G316" s="13">
        <f t="shared" si="117"/>
        <v>24</v>
      </c>
      <c r="H316" s="173">
        <f t="shared" si="118"/>
        <v>43402</v>
      </c>
      <c r="I316" s="742">
        <f t="shared" si="119"/>
        <v>0</v>
      </c>
      <c r="J316" s="735">
        <f t="shared" si="120"/>
        <v>36.778000000119206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39">
        <v>43402</v>
      </c>
      <c r="AP316" s="13">
        <f t="shared" si="121"/>
        <v>13</v>
      </c>
      <c r="AQ316" s="13">
        <f t="shared" si="122"/>
        <v>12</v>
      </c>
      <c r="AR316" s="173">
        <f t="shared" si="123"/>
        <v>43416</v>
      </c>
      <c r="AS316" s="742">
        <f t="shared" si="124"/>
        <v>0.5</v>
      </c>
      <c r="AT316" s="758">
        <f t="shared" si="125"/>
        <v>36.852550000022163</v>
      </c>
      <c r="AU316" s="13">
        <f t="shared" si="126"/>
        <v>13</v>
      </c>
      <c r="AV316" s="13">
        <f t="shared" si="127"/>
        <v>12</v>
      </c>
      <c r="AW316" s="173">
        <f t="shared" si="128"/>
        <v>43430</v>
      </c>
      <c r="AX316" s="742">
        <f t="shared" si="129"/>
        <v>1</v>
      </c>
      <c r="AY316" s="758">
        <f t="shared" si="130"/>
        <v>36.777999999932945</v>
      </c>
      <c r="AZ316" s="735">
        <f t="shared" si="134"/>
        <v>36.815274999977554</v>
      </c>
      <c r="BA316" s="633">
        <f t="shared" si="131"/>
        <v>0.83816655088446124</v>
      </c>
      <c r="BC316" s="11">
        <v>43402</v>
      </c>
      <c r="BD316" s="289">
        <f>[3]!FeuilCaduc*(1-Persistant)+Persistant</f>
        <v>0.90102902088032577</v>
      </c>
      <c r="BE316" s="290">
        <f>[3]!CroissVégét</f>
        <v>0.99729102250050727</v>
      </c>
      <c r="BF316" s="804">
        <f>1+[3]!Salcycl*Ksac</f>
        <v>1.0252572552200814</v>
      </c>
      <c r="BH316" s="1037">
        <f t="shared" si="132"/>
        <v>6.7180225303849414E-2</v>
      </c>
      <c r="BI316" s="11">
        <v>44498</v>
      </c>
      <c r="BJ316" s="715">
        <v>8.7859406511561506E-4</v>
      </c>
      <c r="BK316" s="715">
        <v>2.9008404492358547E-3</v>
      </c>
      <c r="BL316" s="715">
        <v>8.9543856187852423E-3</v>
      </c>
      <c r="BM316" s="715">
        <v>2.8569892291328162E-2</v>
      </c>
      <c r="BN316" s="715">
        <v>7.6897012088079642E-2</v>
      </c>
      <c r="BO316" s="716">
        <v>0.16265468392051277</v>
      </c>
      <c r="BP316" s="715">
        <v>0.2882122234332245</v>
      </c>
      <c r="BQ316" s="715">
        <v>0.42967761034727725</v>
      </c>
      <c r="BR316" s="715">
        <v>0.61144449483986751</v>
      </c>
      <c r="BS316" s="715">
        <v>0.84666461894766143</v>
      </c>
      <c r="BT316" s="715">
        <v>1.1435957380240531</v>
      </c>
      <c r="BW316" s="1185">
        <f>'2019'!R\Max</f>
        <v>0.79120952749263695</v>
      </c>
      <c r="BX316" s="1185">
        <f>'2020'!R\Max</f>
        <v>0.33247751476680915</v>
      </c>
      <c r="BY316" s="1185">
        <f>'2021'!R\Max</f>
        <v>0.53718225997474078</v>
      </c>
      <c r="BZ316" s="1185">
        <f>'2022'!R\Max</f>
        <v>0.83816655088446124</v>
      </c>
      <c r="CA316" s="1185">
        <f>'2023'!R\Max</f>
        <v>0.83663640846713305</v>
      </c>
      <c r="CB316" s="1185">
        <f>'2024'!R\Max</f>
        <v>0.83502141688226139</v>
      </c>
      <c r="CC316" s="1185">
        <f>'2025'!R\Max</f>
        <v>0.83325206854424527</v>
      </c>
      <c r="CD316" s="1185">
        <f>'2026'!R\Max</f>
        <v>0.84152368271630074</v>
      </c>
      <c r="CE316" s="1186">
        <f>'2027'!R\Max</f>
        <v>0.84050858631261882</v>
      </c>
      <c r="CF316" s="1187">
        <f>'2028'!R\Max</f>
        <v>0.83948506907277709</v>
      </c>
    </row>
    <row r="317" spans="1:84" s="6" customFormat="1" ht="11.25" x14ac:dyDescent="0.2">
      <c r="A317" s="11">
        <v>43403</v>
      </c>
      <c r="B317" s="379">
        <f>'2022'!Maxi_hp</f>
        <v>31.493556755699309</v>
      </c>
      <c r="C317" s="13">
        <f>'2022'!An_max</f>
        <v>2020</v>
      </c>
      <c r="D317" s="1046" t="str">
        <f t="shared" si="116"/>
        <v/>
      </c>
      <c r="E317" s="13"/>
      <c r="F317" s="13">
        <f t="shared" si="133"/>
        <v>23</v>
      </c>
      <c r="G317" s="13">
        <f t="shared" si="117"/>
        <v>24</v>
      </c>
      <c r="H317" s="173">
        <f t="shared" si="118"/>
        <v>43402</v>
      </c>
      <c r="I317" s="742">
        <f t="shared" si="119"/>
        <v>7.1428571428571425E-2</v>
      </c>
      <c r="J317" s="735">
        <f t="shared" si="120"/>
        <v>36.498546173410226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39">
        <v>43403</v>
      </c>
      <c r="AP317" s="13">
        <f t="shared" si="121"/>
        <v>13</v>
      </c>
      <c r="AQ317" s="13">
        <f t="shared" si="122"/>
        <v>12</v>
      </c>
      <c r="AR317" s="173">
        <f t="shared" si="123"/>
        <v>43416</v>
      </c>
      <c r="AS317" s="742">
        <f t="shared" si="124"/>
        <v>0.4642857142857143</v>
      </c>
      <c r="AT317" s="758">
        <f t="shared" si="125"/>
        <v>36.566299553438355</v>
      </c>
      <c r="AU317" s="13">
        <f t="shared" si="126"/>
        <v>13</v>
      </c>
      <c r="AV317" s="13">
        <f t="shared" si="127"/>
        <v>12</v>
      </c>
      <c r="AW317" s="173">
        <f t="shared" si="128"/>
        <v>43430</v>
      </c>
      <c r="AX317" s="742">
        <f t="shared" si="129"/>
        <v>0.9642857142857143</v>
      </c>
      <c r="AY317" s="758">
        <f t="shared" si="130"/>
        <v>36.499956664609321</v>
      </c>
      <c r="AZ317" s="735">
        <f t="shared" si="134"/>
        <v>36.533128109023835</v>
      </c>
      <c r="BA317" s="633">
        <f t="shared" si="131"/>
        <v>0.86287154030926494</v>
      </c>
      <c r="BC317" s="11">
        <v>43403</v>
      </c>
      <c r="BD317" s="289">
        <f>[3]!FeuilCaduc*(1-Persistant)+Persistant</f>
        <v>0.8981523928128603</v>
      </c>
      <c r="BE317" s="290">
        <f>[3]!CroissVégét</f>
        <v>0.99741307246059263</v>
      </c>
      <c r="BF317" s="804">
        <f>1+[3]!Salcycl*Ksac</f>
        <v>1.0245380982032151</v>
      </c>
      <c r="BH317" s="1037">
        <f t="shared" si="132"/>
        <v>7.2770917461515566E-2</v>
      </c>
      <c r="BI317" s="11">
        <v>44499</v>
      </c>
      <c r="BJ317" s="715">
        <v>8.9929185124317977E-4</v>
      </c>
      <c r="BK317" s="715">
        <v>3.0123714691672205E-3</v>
      </c>
      <c r="BL317" s="715">
        <v>9.819571567591447E-3</v>
      </c>
      <c r="BM317" s="715">
        <v>3.1737085445728182E-2</v>
      </c>
      <c r="BN317" s="715">
        <v>8.3097608933148895E-2</v>
      </c>
      <c r="BO317" s="716">
        <v>0.17117156746280296</v>
      </c>
      <c r="BP317" s="715">
        <v>0.29651995792769936</v>
      </c>
      <c r="BQ317" s="715">
        <v>0.43664467974474924</v>
      </c>
      <c r="BR317" s="715">
        <v>0.62012745926296486</v>
      </c>
      <c r="BS317" s="715">
        <v>0.85999662210108774</v>
      </c>
      <c r="BT317" s="715">
        <v>1.1638629407872292</v>
      </c>
      <c r="BW317" s="1185">
        <f>'2019'!R\Max</f>
        <v>0.56639852612293007</v>
      </c>
      <c r="BX317" s="1185">
        <f>'2020'!R\Max</f>
        <v>0.86287154030926494</v>
      </c>
      <c r="BY317" s="1185">
        <f>'2021'!R\Max</f>
        <v>0.36835598020269295</v>
      </c>
      <c r="BZ317" s="1185">
        <f>'2022'!R\Max</f>
        <v>0.75161511314753604</v>
      </c>
      <c r="CA317" s="1185">
        <f>'2023'!R\Max</f>
        <v>0.74950465330001059</v>
      </c>
      <c r="CB317" s="1185">
        <f>'2024'!R\Max</f>
        <v>0.74728782434767194</v>
      </c>
      <c r="CC317" s="1185">
        <f>'2025'!R\Max</f>
        <v>0.74487658629587628</v>
      </c>
      <c r="CD317" s="1185">
        <f>'2026'!R\Max</f>
        <v>0.7563424670227672</v>
      </c>
      <c r="CE317" s="1186">
        <f>'2027'!R\Max</f>
        <v>0.75489608211501213</v>
      </c>
      <c r="CF317" s="1187">
        <f>'2028'!R\Max</f>
        <v>0.75343927158884438</v>
      </c>
    </row>
    <row r="318" spans="1:84" s="6" customFormat="1" ht="11.25" x14ac:dyDescent="0.2">
      <c r="A318" s="11">
        <v>43404</v>
      </c>
      <c r="B318" s="379">
        <f>'2022'!Maxi_hp</f>
        <v>35.545081569193108</v>
      </c>
      <c r="C318" s="13">
        <f>'2022'!An_max</f>
        <v>2020</v>
      </c>
      <c r="D318" s="1046">
        <f t="shared" si="116"/>
        <v>0.98133871381464599</v>
      </c>
      <c r="E318" s="13"/>
      <c r="F318" s="13">
        <f t="shared" si="133"/>
        <v>23</v>
      </c>
      <c r="G318" s="13">
        <f t="shared" si="117"/>
        <v>24</v>
      </c>
      <c r="H318" s="173">
        <f t="shared" si="118"/>
        <v>43402</v>
      </c>
      <c r="I318" s="742">
        <f t="shared" si="119"/>
        <v>0.14285714285714285</v>
      </c>
      <c r="J318" s="735">
        <f t="shared" si="120"/>
        <v>36.221012244613043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39">
        <v>43404</v>
      </c>
      <c r="AP318" s="13">
        <f t="shared" si="121"/>
        <v>13</v>
      </c>
      <c r="AQ318" s="13">
        <f t="shared" si="122"/>
        <v>12</v>
      </c>
      <c r="AR318" s="173">
        <f t="shared" si="123"/>
        <v>43416</v>
      </c>
      <c r="AS318" s="742">
        <f t="shared" si="124"/>
        <v>0.42857142857142855</v>
      </c>
      <c r="AT318" s="758">
        <f t="shared" si="125"/>
        <v>36.280999999965672</v>
      </c>
      <c r="AU318" s="13">
        <f t="shared" si="126"/>
        <v>13</v>
      </c>
      <c r="AV318" s="13">
        <f t="shared" si="127"/>
        <v>12</v>
      </c>
      <c r="AW318" s="173">
        <f t="shared" si="128"/>
        <v>43430</v>
      </c>
      <c r="AX318" s="742">
        <f t="shared" si="129"/>
        <v>0.9285714285714286</v>
      </c>
      <c r="AY318" s="758">
        <f t="shared" si="130"/>
        <v>36.219871173519643</v>
      </c>
      <c r="AZ318" s="735">
        <f t="shared" si="134"/>
        <v>36.250435586742654</v>
      </c>
      <c r="BA318" s="633">
        <f t="shared" si="131"/>
        <v>0.98133871381464599</v>
      </c>
      <c r="BC318" s="11">
        <v>43404</v>
      </c>
      <c r="BD318" s="289">
        <f>[3]!FeuilCaduc*(1-Persistant)+Persistant</f>
        <v>0.89526577756520931</v>
      </c>
      <c r="BE318" s="290">
        <f>[3]!CroissVégét</f>
        <v>0.99753023639231442</v>
      </c>
      <c r="BF318" s="804">
        <f>1+[3]!Salcycl*Ksac</f>
        <v>1.0238164443913023</v>
      </c>
      <c r="BH318" s="1037">
        <f t="shared" si="132"/>
        <v>7.8515931512748355E-2</v>
      </c>
      <c r="BI318" s="11">
        <v>44500</v>
      </c>
      <c r="BJ318" s="715">
        <v>9.1966112415840622E-4</v>
      </c>
      <c r="BK318" s="715">
        <v>3.1554675917962022E-3</v>
      </c>
      <c r="BL318" s="715">
        <v>1.0842004156779186E-2</v>
      </c>
      <c r="BM318" s="715">
        <v>3.5158286910079523E-2</v>
      </c>
      <c r="BN318" s="715">
        <v>8.9427440303256264E-2</v>
      </c>
      <c r="BO318" s="716">
        <v>0.17942892401733182</v>
      </c>
      <c r="BP318" s="715">
        <v>0.30404189415166777</v>
      </c>
      <c r="BQ318" s="715">
        <v>0.44267525460894736</v>
      </c>
      <c r="BR318" s="715">
        <v>0.62814877875354214</v>
      </c>
      <c r="BS318" s="715">
        <v>0.87275440618890343</v>
      </c>
      <c r="BT318" s="715">
        <v>1.1831180911656733</v>
      </c>
      <c r="BW318" s="1185">
        <f>'2019'!R\Max</f>
        <v>0.38345853006622588</v>
      </c>
      <c r="BX318" s="1185">
        <f>'2020'!R\Max</f>
        <v>0.98133871381464599</v>
      </c>
      <c r="BY318" s="1185">
        <f>'2021'!R\Max</f>
        <v>0.57242263705421936</v>
      </c>
      <c r="BZ318" s="1185">
        <f>'2022'!R\Max</f>
        <v>0.73672288666753916</v>
      </c>
      <c r="CA318" s="1185">
        <f>'2023'!R\Max</f>
        <v>0.73453322548198907</v>
      </c>
      <c r="CB318" s="1185">
        <f>'2024'!R\Max</f>
        <v>0.73223797679038671</v>
      </c>
      <c r="CC318" s="1185">
        <f>'2025'!R\Max</f>
        <v>0.72975020592839868</v>
      </c>
      <c r="CD318" s="1185">
        <f>'2026'!R\Max</f>
        <v>0.74171632064574344</v>
      </c>
      <c r="CE318" s="1186">
        <f>'2027'!R\Max</f>
        <v>0.74017294887232332</v>
      </c>
      <c r="CF318" s="1187">
        <f>'2028'!R\Max</f>
        <v>0.73861852187752564</v>
      </c>
    </row>
    <row r="319" spans="1:84" s="6" customFormat="1" ht="11.25" x14ac:dyDescent="0.2">
      <c r="A319" s="11">
        <v>43405</v>
      </c>
      <c r="B319" s="379">
        <f>'2022'!Maxi_hp</f>
        <v>28.832623963315033</v>
      </c>
      <c r="C319" s="13">
        <f>'2022'!An_max</f>
        <v>2020</v>
      </c>
      <c r="D319" s="1046" t="str">
        <f t="shared" si="116"/>
        <v/>
      </c>
      <c r="E319" s="13"/>
      <c r="F319" s="13">
        <f t="shared" si="133"/>
        <v>23</v>
      </c>
      <c r="G319" s="13">
        <f t="shared" si="117"/>
        <v>24</v>
      </c>
      <c r="H319" s="173">
        <f t="shared" si="118"/>
        <v>43402</v>
      </c>
      <c r="I319" s="742">
        <f t="shared" si="119"/>
        <v>0.21428571428571427</v>
      </c>
      <c r="J319" s="735">
        <f t="shared" si="120"/>
        <v>35.94528954086293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39">
        <v>43405</v>
      </c>
      <c r="AP319" s="13">
        <f t="shared" si="121"/>
        <v>13</v>
      </c>
      <c r="AQ319" s="13">
        <f t="shared" si="122"/>
        <v>12</v>
      </c>
      <c r="AR319" s="173">
        <f t="shared" si="123"/>
        <v>43416</v>
      </c>
      <c r="AS319" s="742">
        <f t="shared" si="124"/>
        <v>0.39285714285714285</v>
      </c>
      <c r="AT319" s="758">
        <f t="shared" si="125"/>
        <v>35.996841517835023</v>
      </c>
      <c r="AU319" s="13">
        <f t="shared" si="126"/>
        <v>13</v>
      </c>
      <c r="AV319" s="13">
        <f t="shared" si="127"/>
        <v>12</v>
      </c>
      <c r="AW319" s="173">
        <f t="shared" si="128"/>
        <v>43430</v>
      </c>
      <c r="AX319" s="742">
        <f t="shared" si="129"/>
        <v>0.8928571428571429</v>
      </c>
      <c r="AY319" s="758">
        <f t="shared" si="130"/>
        <v>35.938110299667876</v>
      </c>
      <c r="AZ319" s="735">
        <f t="shared" si="134"/>
        <v>35.967475908751453</v>
      </c>
      <c r="BA319" s="633">
        <f t="shared" si="131"/>
        <v>0.80212523898403554</v>
      </c>
      <c r="BC319" s="11">
        <v>43405</v>
      </c>
      <c r="BD319" s="289">
        <f>[3]!FeuilCaduc*(1-Persistant)+Persistant</f>
        <v>0.89237326229624314</v>
      </c>
      <c r="BE319" s="290">
        <f>[3]!CroissVégét</f>
        <v>0.99764270881659778</v>
      </c>
      <c r="BF319" s="804">
        <f>1+[3]!Salcycl*Ksac</f>
        <v>1.0230933155740607</v>
      </c>
      <c r="BH319" s="1037">
        <f t="shared" si="132"/>
        <v>8.4208821238441992E-2</v>
      </c>
      <c r="BI319" s="11">
        <v>44501</v>
      </c>
      <c r="BJ319" s="715">
        <v>9.4054313681133175E-4</v>
      </c>
      <c r="BK319" s="715">
        <v>3.3272434453515132E-3</v>
      </c>
      <c r="BL319" s="715">
        <v>1.199904880374766E-2</v>
      </c>
      <c r="BM319" s="715">
        <v>3.8707048289348692E-2</v>
      </c>
      <c r="BN319" s="715">
        <v>9.5659927498194061E-2</v>
      </c>
      <c r="BO319" s="716">
        <v>0.18725460051491327</v>
      </c>
      <c r="BP319" s="715">
        <v>0.31088544957903586</v>
      </c>
      <c r="BQ319" s="715">
        <v>0.44816076136347438</v>
      </c>
      <c r="BR319" s="715">
        <v>0.63593754578195461</v>
      </c>
      <c r="BS319" s="715">
        <v>0.88516381158876589</v>
      </c>
      <c r="BT319" s="715">
        <v>1.2012795810622958</v>
      </c>
      <c r="BW319" s="1185">
        <f>'2019'!R\Max</f>
        <v>0.20481147889085299</v>
      </c>
      <c r="BX319" s="1185">
        <f>'2020'!R\Max</f>
        <v>0.80212523898403554</v>
      </c>
      <c r="BY319" s="1185">
        <f>'2021'!R\Max</f>
        <v>0.44863338235926503</v>
      </c>
      <c r="BZ319" s="1185">
        <f>'2022'!R\Max</f>
        <v>0.79962799011633667</v>
      </c>
      <c r="CA319" s="1185">
        <f>'2023'!R\Max</f>
        <v>0.7978238865673053</v>
      </c>
      <c r="CB319" s="1185">
        <f>'2024'!R\Max</f>
        <v>0.7959313944461438</v>
      </c>
      <c r="CC319" s="1185">
        <f>'2025'!R\Max</f>
        <v>0.79387965677392269</v>
      </c>
      <c r="CD319" s="1185">
        <f>'2026'!R\Max</f>
        <v>0.80379976750722115</v>
      </c>
      <c r="CE319" s="1186">
        <f>'2027'!R\Max</f>
        <v>0.80250016448301409</v>
      </c>
      <c r="CF319" s="1187">
        <f>'2028'!R\Max</f>
        <v>0.8011896973363466</v>
      </c>
    </row>
    <row r="320" spans="1:84" s="6" customFormat="1" ht="11.25" x14ac:dyDescent="0.2">
      <c r="A320" s="11">
        <v>43406</v>
      </c>
      <c r="B320" s="379">
        <f>'2022'!Maxi_hp</f>
        <v>32.061506207065662</v>
      </c>
      <c r="C320" s="13">
        <f>'2022'!An_max</f>
        <v>2020</v>
      </c>
      <c r="D320" s="1046" t="str">
        <f t="shared" si="116"/>
        <v/>
      </c>
      <c r="E320" s="13"/>
      <c r="F320" s="13">
        <f t="shared" si="133"/>
        <v>23</v>
      </c>
      <c r="G320" s="13">
        <f t="shared" si="117"/>
        <v>24</v>
      </c>
      <c r="H320" s="173">
        <f t="shared" si="118"/>
        <v>43402</v>
      </c>
      <c r="I320" s="742">
        <f t="shared" si="119"/>
        <v>0.2857142857142857</v>
      </c>
      <c r="J320" s="735">
        <f t="shared" si="120"/>
        <v>35.671269387698601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39">
        <v>43406</v>
      </c>
      <c r="AP320" s="13">
        <f t="shared" si="121"/>
        <v>13</v>
      </c>
      <c r="AQ320" s="13">
        <f t="shared" si="122"/>
        <v>12</v>
      </c>
      <c r="AR320" s="173">
        <f t="shared" si="123"/>
        <v>43416</v>
      </c>
      <c r="AS320" s="742">
        <f t="shared" si="124"/>
        <v>0.35714285714285715</v>
      </c>
      <c r="AT320" s="758">
        <f t="shared" si="125"/>
        <v>35.714014285806165</v>
      </c>
      <c r="AU320" s="13">
        <f t="shared" si="126"/>
        <v>13</v>
      </c>
      <c r="AV320" s="13">
        <f t="shared" si="127"/>
        <v>12</v>
      </c>
      <c r="AW320" s="173">
        <f t="shared" si="128"/>
        <v>43430</v>
      </c>
      <c r="AX320" s="742">
        <f t="shared" si="129"/>
        <v>0.8571428571428571</v>
      </c>
      <c r="AY320" s="758">
        <f t="shared" si="130"/>
        <v>35.655040816377316</v>
      </c>
      <c r="AZ320" s="735">
        <f t="shared" si="134"/>
        <v>35.68452755109174</v>
      </c>
      <c r="BA320" s="633">
        <f t="shared" si="131"/>
        <v>0.89880474559512646</v>
      </c>
      <c r="BC320" s="11">
        <v>43406</v>
      </c>
      <c r="BD320" s="289">
        <f>[3]!FeuilCaduc*(1-Persistant)+Persistant</f>
        <v>0.88947900270464697</v>
      </c>
      <c r="BE320" s="290">
        <f>[3]!CroissVégét</f>
        <v>0.99775067659530603</v>
      </c>
      <c r="BF320" s="804">
        <f>1+[3]!Salcycl*Ksac</f>
        <v>1.0223697506761618</v>
      </c>
      <c r="BH320" s="1037">
        <f t="shared" si="132"/>
        <v>8.9849426763490489E-2</v>
      </c>
      <c r="BI320" s="11">
        <v>44502</v>
      </c>
      <c r="BJ320" s="715">
        <v>9.6193772805125432E-4</v>
      </c>
      <c r="BK320" s="715">
        <v>3.527736734704634E-3</v>
      </c>
      <c r="BL320" s="715">
        <v>1.3290885324243247E-2</v>
      </c>
      <c r="BM320" s="715">
        <v>4.2383511434922173E-2</v>
      </c>
      <c r="BN320" s="715">
        <v>0.10179483470950464</v>
      </c>
      <c r="BO320" s="716">
        <v>0.19464779666926535</v>
      </c>
      <c r="BP320" s="715">
        <v>0.31704935882847995</v>
      </c>
      <c r="BQ320" s="715">
        <v>0.45310000080840279</v>
      </c>
      <c r="BR320" s="715">
        <v>0.64349283200879015</v>
      </c>
      <c r="BS320" s="715">
        <v>0.89722350867465928</v>
      </c>
      <c r="BT320" s="715">
        <v>1.2183447165190884</v>
      </c>
      <c r="BW320" s="1185">
        <f>'2019'!R\Max</f>
        <v>0.16551506007927866</v>
      </c>
      <c r="BX320" s="1185">
        <f>'2020'!R\Max</f>
        <v>0.89880474559512646</v>
      </c>
      <c r="BY320" s="1185">
        <f>'2021'!R\Max</f>
        <v>0.78236228345260672</v>
      </c>
      <c r="BZ320" s="1185">
        <f>'2022'!R\Max</f>
        <v>0.89786371354569405</v>
      </c>
      <c r="CA320" s="1185">
        <f>'2023'!R\Max</f>
        <v>0.89683558905292293</v>
      </c>
      <c r="CB320" s="1185">
        <f>'2024'!R\Max</f>
        <v>0.89575430808438727</v>
      </c>
      <c r="CC320" s="1185">
        <f>'2025'!R\Max</f>
        <v>0.89457851139076761</v>
      </c>
      <c r="CD320" s="1185">
        <f>'2026'!R\Max</f>
        <v>0.90026877342519995</v>
      </c>
      <c r="CE320" s="1186">
        <f>'2027'!R\Max</f>
        <v>0.89951468383814992</v>
      </c>
      <c r="CF320" s="1187">
        <f>'2028'!R\Max</f>
        <v>0.89875293496681075</v>
      </c>
    </row>
    <row r="321" spans="1:84" s="6" customFormat="1" ht="11.25" x14ac:dyDescent="0.2">
      <c r="A321" s="11">
        <v>43407</v>
      </c>
      <c r="B321" s="379">
        <f>'2022'!Maxi_hp</f>
        <v>28.049300463393088</v>
      </c>
      <c r="C321" s="13">
        <f>'2022'!An_max</f>
        <v>2020</v>
      </c>
      <c r="D321" s="1046" t="str">
        <f t="shared" si="116"/>
        <v/>
      </c>
      <c r="E321" s="13"/>
      <c r="F321" s="13">
        <f t="shared" si="133"/>
        <v>23</v>
      </c>
      <c r="G321" s="13">
        <f t="shared" si="117"/>
        <v>24</v>
      </c>
      <c r="H321" s="173">
        <f t="shared" si="118"/>
        <v>43402</v>
      </c>
      <c r="I321" s="742">
        <f t="shared" si="119"/>
        <v>0.35714285714285715</v>
      </c>
      <c r="J321" s="735">
        <f t="shared" si="120"/>
        <v>35.398843112202094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39">
        <v>43407</v>
      </c>
      <c r="AP321" s="13">
        <f t="shared" si="121"/>
        <v>13</v>
      </c>
      <c r="AQ321" s="13">
        <f t="shared" si="122"/>
        <v>12</v>
      </c>
      <c r="AR321" s="173">
        <f t="shared" si="123"/>
        <v>43416</v>
      </c>
      <c r="AS321" s="742">
        <f t="shared" si="124"/>
        <v>0.32142857142857145</v>
      </c>
      <c r="AT321" s="758">
        <f t="shared" si="125"/>
        <v>35.432708481966152</v>
      </c>
      <c r="AU321" s="13">
        <f t="shared" si="126"/>
        <v>13</v>
      </c>
      <c r="AV321" s="13">
        <f t="shared" si="127"/>
        <v>12</v>
      </c>
      <c r="AW321" s="173">
        <f t="shared" si="128"/>
        <v>43430</v>
      </c>
      <c r="AX321" s="742">
        <f t="shared" si="129"/>
        <v>0.8214285714285714</v>
      </c>
      <c r="AY321" s="758">
        <f t="shared" si="130"/>
        <v>35.371029496079842</v>
      </c>
      <c r="AZ321" s="735">
        <f t="shared" si="134"/>
        <v>35.401868989023001</v>
      </c>
      <c r="BA321" s="633">
        <f t="shared" si="131"/>
        <v>0.79237901573468106</v>
      </c>
      <c r="BC321" s="11">
        <v>43407</v>
      </c>
      <c r="BD321" s="289">
        <f>[3]!FeuilCaduc*(1-Persistant)+Persistant</f>
        <v>0.88658720499030574</v>
      </c>
      <c r="BE321" s="290">
        <f>[3]!CroissVégét</f>
        <v>0.99785431922609247</v>
      </c>
      <c r="BF321" s="804">
        <f>1+[3]!Salcycl*Ksac</f>
        <v>1.0216468012475763</v>
      </c>
      <c r="BH321" s="1037">
        <f t="shared" si="132"/>
        <v>9.543756771543184E-2</v>
      </c>
      <c r="BI321" s="11">
        <v>44503</v>
      </c>
      <c r="BJ321" s="715">
        <v>9.8384465872819482E-4</v>
      </c>
      <c r="BK321" s="715">
        <v>3.7569843791061056E-3</v>
      </c>
      <c r="BL321" s="715">
        <v>1.4717688550224638E-2</v>
      </c>
      <c r="BM321" s="715">
        <v>4.6187804505068902E-2</v>
      </c>
      <c r="BN321" s="715">
        <v>0.10783190391900019</v>
      </c>
      <c r="BO321" s="716">
        <v>0.20160768614851915</v>
      </c>
      <c r="BP321" s="715">
        <v>0.32253233567588685</v>
      </c>
      <c r="BQ321" s="715">
        <v>0.4574917573933891</v>
      </c>
      <c r="BR321" s="715">
        <v>0.65081368286260266</v>
      </c>
      <c r="BS321" s="715">
        <v>0.90893212567864934</v>
      </c>
      <c r="BT321" s="715">
        <v>1.2343107449890238</v>
      </c>
      <c r="BW321" s="1185">
        <f>'2019'!R\Max</f>
        <v>0.3299190340736361</v>
      </c>
      <c r="BX321" s="1185">
        <f>'2020'!R\Max</f>
        <v>0.79237901573468106</v>
      </c>
      <c r="BY321" s="1185">
        <f>'2021'!R\Max</f>
        <v>0.57950956328515713</v>
      </c>
      <c r="BZ321" s="1185">
        <f>'2022'!R\Max</f>
        <v>0.27816990672846292</v>
      </c>
      <c r="CA321" s="1185">
        <f>'2023'!R\Max</f>
        <v>0.27599662121813928</v>
      </c>
      <c r="CB321" s="1185">
        <f>'2024'!R\Max</f>
        <v>0.27373899651787759</v>
      </c>
      <c r="CC321" s="1185">
        <f>'2025'!R\Max</f>
        <v>0.27131347486578539</v>
      </c>
      <c r="CD321" s="1185">
        <f>'2026'!R\Max</f>
        <v>0.28344626556341374</v>
      </c>
      <c r="CE321" s="1186">
        <f>'2027'!R\Max</f>
        <v>0.28176090571713575</v>
      </c>
      <c r="CF321" s="1187">
        <f>'2028'!R\Max</f>
        <v>0.28007554587085765</v>
      </c>
    </row>
    <row r="322" spans="1:84" s="6" customFormat="1" ht="11.25" x14ac:dyDescent="0.2">
      <c r="A322" s="11">
        <v>43408</v>
      </c>
      <c r="B322" s="379">
        <f>'2022'!Maxi_hp</f>
        <v>18.973893501694523</v>
      </c>
      <c r="C322" s="13">
        <f>'2022'!An_max</f>
        <v>2018</v>
      </c>
      <c r="D322" s="1046" t="str">
        <f t="shared" si="116"/>
        <v/>
      </c>
      <c r="E322" s="13"/>
      <c r="F322" s="13">
        <f t="shared" si="133"/>
        <v>23</v>
      </c>
      <c r="G322" s="13">
        <f t="shared" si="117"/>
        <v>24</v>
      </c>
      <c r="H322" s="173">
        <f t="shared" si="118"/>
        <v>43402</v>
      </c>
      <c r="I322" s="742">
        <f t="shared" si="119"/>
        <v>0.42857142857142855</v>
      </c>
      <c r="J322" s="735">
        <f t="shared" si="120"/>
        <v>35.127902040790232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39">
        <v>43408</v>
      </c>
      <c r="AP322" s="13">
        <f t="shared" si="121"/>
        <v>13</v>
      </c>
      <c r="AQ322" s="13">
        <f t="shared" si="122"/>
        <v>12</v>
      </c>
      <c r="AR322" s="173">
        <f t="shared" si="123"/>
        <v>43416</v>
      </c>
      <c r="AS322" s="742">
        <f t="shared" si="124"/>
        <v>0.2857142857142857</v>
      </c>
      <c r="AT322" s="758">
        <f t="shared" si="125"/>
        <v>35.153114285512956</v>
      </c>
      <c r="AU322" s="13">
        <f t="shared" si="126"/>
        <v>13</v>
      </c>
      <c r="AV322" s="13">
        <f t="shared" si="127"/>
        <v>12</v>
      </c>
      <c r="AW322" s="173">
        <f t="shared" si="128"/>
        <v>43430</v>
      </c>
      <c r="AX322" s="742">
        <f t="shared" si="129"/>
        <v>0.7857142857142857</v>
      </c>
      <c r="AY322" s="758">
        <f t="shared" si="130"/>
        <v>35.086443112085441</v>
      </c>
      <c r="AZ322" s="735">
        <f t="shared" si="134"/>
        <v>35.119778698799195</v>
      </c>
      <c r="BA322" s="633">
        <f t="shared" si="131"/>
        <v>0.54013739504460567</v>
      </c>
      <c r="BC322" s="11">
        <v>43408</v>
      </c>
      <c r="BD322" s="289">
        <f>[3]!FeuilCaduc*(1-Persistant)+Persistant</f>
        <v>0.88370210727942844</v>
      </c>
      <c r="BE322" s="290">
        <f>[3]!CroissVégét</f>
        <v>0.99795380912643716</v>
      </c>
      <c r="BF322" s="804">
        <f>1+[3]!Salcycl*Ksac</f>
        <v>1.0209255268198572</v>
      </c>
      <c r="BH322" s="1037">
        <f t="shared" si="132"/>
        <v>0.10097304375462528</v>
      </c>
      <c r="BI322" s="11">
        <v>44504</v>
      </c>
      <c r="BJ322" s="715">
        <v>1.0062636071537661E-3</v>
      </c>
      <c r="BK322" s="715">
        <v>4.0150222495180616E-3</v>
      </c>
      <c r="BL322" s="715">
        <v>1.6279627100078155E-2</v>
      </c>
      <c r="BM322" s="715">
        <v>5.0120040821135449E-2</v>
      </c>
      <c r="BN322" s="715">
        <v>0.11377085585021923</v>
      </c>
      <c r="BO322" s="716">
        <v>0.20813342062038442</v>
      </c>
      <c r="BP322" s="715">
        <v>0.32733307936339118</v>
      </c>
      <c r="BQ322" s="715">
        <v>0.46133480428686524</v>
      </c>
      <c r="BR322" s="715">
        <v>0.65789911975074888</v>
      </c>
      <c r="BS322" s="715">
        <v>0.92028825200933972</v>
      </c>
      <c r="BT322" s="715">
        <v>1.2491748655702095</v>
      </c>
      <c r="BW322" s="1185">
        <f>'2019'!R\Max</f>
        <v>0.54013739504460567</v>
      </c>
      <c r="BX322" s="1185">
        <f>'2020'!R\Max</f>
        <v>0.16273551401986489</v>
      </c>
      <c r="BY322" s="1185">
        <f>'2021'!R\Max</f>
        <v>0.44823868929381011</v>
      </c>
      <c r="BZ322" s="1185">
        <f>'2022'!R\Max</f>
        <v>0.39252159383483032</v>
      </c>
      <c r="CA322" s="1185">
        <f>'2023'!R\Max</f>
        <v>0.3899093151471909</v>
      </c>
      <c r="CB322" s="1185">
        <f>'2024'!R\Max</f>
        <v>0.38718247719333321</v>
      </c>
      <c r="CC322" s="1185">
        <f>'2025'!R\Max</f>
        <v>0.38423230057895502</v>
      </c>
      <c r="CD322" s="1185">
        <f>'2026'!R\Max</f>
        <v>0.39892630226652026</v>
      </c>
      <c r="CE322" s="1186">
        <f>'2027'!R\Max</f>
        <v>0.39686984386537938</v>
      </c>
      <c r="CF322" s="1187">
        <f>'2028'!R\Max</f>
        <v>0.39480984327837304</v>
      </c>
    </row>
    <row r="323" spans="1:84" s="6" customFormat="1" ht="11.25" x14ac:dyDescent="0.2">
      <c r="A323" s="11">
        <v>43409</v>
      </c>
      <c r="B323" s="379">
        <f>'2022'!Maxi_hp</f>
        <v>34.083177611383562</v>
      </c>
      <c r="C323" s="13">
        <f>'2022'!An_max</f>
        <v>2022</v>
      </c>
      <c r="D323" s="1046">
        <f t="shared" si="116"/>
        <v>0.97776256860367738</v>
      </c>
      <c r="E323" s="13"/>
      <c r="F323" s="13">
        <f t="shared" si="133"/>
        <v>23</v>
      </c>
      <c r="G323" s="13">
        <f t="shared" si="117"/>
        <v>24</v>
      </c>
      <c r="H323" s="173">
        <f t="shared" si="118"/>
        <v>43402</v>
      </c>
      <c r="I323" s="742">
        <f t="shared" si="119"/>
        <v>0.5</v>
      </c>
      <c r="J323" s="735">
        <f t="shared" si="120"/>
        <v>34.85833750013262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39">
        <v>43409</v>
      </c>
      <c r="AP323" s="13">
        <f t="shared" si="121"/>
        <v>13</v>
      </c>
      <c r="AQ323" s="13">
        <f t="shared" si="122"/>
        <v>12</v>
      </c>
      <c r="AR323" s="173">
        <f t="shared" si="123"/>
        <v>43416</v>
      </c>
      <c r="AS323" s="742">
        <f t="shared" si="124"/>
        <v>0.25</v>
      </c>
      <c r="AT323" s="758">
        <f t="shared" si="125"/>
        <v>34.875421875034228</v>
      </c>
      <c r="AU323" s="13">
        <f t="shared" si="126"/>
        <v>13</v>
      </c>
      <c r="AV323" s="13">
        <f t="shared" si="127"/>
        <v>12</v>
      </c>
      <c r="AW323" s="173">
        <f t="shared" si="128"/>
        <v>43430</v>
      </c>
      <c r="AX323" s="742">
        <f t="shared" si="129"/>
        <v>0.75</v>
      </c>
      <c r="AY323" s="758">
        <f t="shared" si="130"/>
        <v>34.801648437511176</v>
      </c>
      <c r="AZ323" s="735">
        <f t="shared" si="134"/>
        <v>34.838535156272698</v>
      </c>
      <c r="BA323" s="633">
        <f t="shared" si="131"/>
        <v>0.97776256860367738</v>
      </c>
      <c r="BC323" s="11">
        <v>43409</v>
      </c>
      <c r="BD323" s="289">
        <f>[3]!FeuilCaduc*(1-Persistant)+Persistant</f>
        <v>0.88082796063835156</v>
      </c>
      <c r="BE323" s="290">
        <f>[3]!CroissVégét</f>
        <v>0.99804931190721602</v>
      </c>
      <c r="BF323" s="804">
        <f>1+[3]!Salcycl*Ksac</f>
        <v>1.0202069901595878</v>
      </c>
      <c r="BH323" s="1037">
        <f t="shared" si="132"/>
        <v>0.10645563510359664</v>
      </c>
      <c r="BI323" s="11">
        <v>44505</v>
      </c>
      <c r="BJ323" s="715">
        <v>1.0291941645536613E-3</v>
      </c>
      <c r="BK323" s="715">
        <v>4.3018849059140536E-3</v>
      </c>
      <c r="BL323" s="715">
        <v>1.7976862148702262E-2</v>
      </c>
      <c r="BM323" s="715">
        <v>5.4180317723333239E-2</v>
      </c>
      <c r="BN323" s="715">
        <v>0.11961139091894424</v>
      </c>
      <c r="BO323" s="716">
        <v>0.2142241337955825</v>
      </c>
      <c r="BP323" s="715">
        <v>0.3314502809056693</v>
      </c>
      <c r="BQ323" s="715">
        <v>0.46462790844135898</v>
      </c>
      <c r="BR323" s="715">
        <v>0.66474814226471191</v>
      </c>
      <c r="BS323" s="715">
        <v>0.93129044156261798</v>
      </c>
      <c r="BT323" s="715">
        <v>1.2629342392295717</v>
      </c>
      <c r="BW323" s="1185">
        <f>'2019'!R\Max</f>
        <v>0.41135762898247485</v>
      </c>
      <c r="BX323" s="1185">
        <f>'2020'!R\Max</f>
        <v>0.39874559642548435</v>
      </c>
      <c r="BY323" s="1185">
        <f>'2021'!R\Max</f>
        <v>0.27726262446478517</v>
      </c>
      <c r="BZ323" s="1185">
        <f>'2022'!R\Max</f>
        <v>0.97776256860367738</v>
      </c>
      <c r="CA323" s="1185">
        <f>'2023'!R\Max</f>
        <v>0.97752575735942815</v>
      </c>
      <c r="CB323" s="1185">
        <f>'2024'!R\Max</f>
        <v>0.97727435830000198</v>
      </c>
      <c r="CC323" s="1185">
        <f>'2025'!R\Max</f>
        <v>0.97699666821539466</v>
      </c>
      <c r="CD323" s="1185">
        <f>'2026'!R\Max</f>
        <v>0.97833790596744086</v>
      </c>
      <c r="CE323" s="1186">
        <f>'2027'!R\Max</f>
        <v>0.97815392506389065</v>
      </c>
      <c r="CF323" s="1187">
        <f>'2028'!R\Max</f>
        <v>0.9779677598243125</v>
      </c>
    </row>
    <row r="324" spans="1:84" s="6" customFormat="1" ht="11.25" x14ac:dyDescent="0.2">
      <c r="A324" s="11">
        <v>43410</v>
      </c>
      <c r="B324" s="379">
        <f>'2022'!Maxi_hp</f>
        <v>35.292571273233243</v>
      </c>
      <c r="C324" s="13">
        <f>'2022'!An_max</f>
        <v>2022</v>
      </c>
      <c r="D324" s="1046">
        <f t="shared" si="116"/>
        <v>1.0203101945035624</v>
      </c>
      <c r="E324" s="13"/>
      <c r="F324" s="13">
        <f t="shared" si="133"/>
        <v>23</v>
      </c>
      <c r="G324" s="13">
        <f t="shared" si="117"/>
        <v>24</v>
      </c>
      <c r="H324" s="173">
        <f t="shared" si="118"/>
        <v>43402</v>
      </c>
      <c r="I324" s="742">
        <f t="shared" si="119"/>
        <v>0.5714285714285714</v>
      </c>
      <c r="J324" s="735">
        <f t="shared" si="120"/>
        <v>34.590040816366674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39">
        <v>43410</v>
      </c>
      <c r="AP324" s="13">
        <f t="shared" si="121"/>
        <v>13</v>
      </c>
      <c r="AQ324" s="13">
        <f t="shared" si="122"/>
        <v>12</v>
      </c>
      <c r="AR324" s="173">
        <f t="shared" si="123"/>
        <v>43416</v>
      </c>
      <c r="AS324" s="742">
        <f t="shared" si="124"/>
        <v>0.21428571428571427</v>
      </c>
      <c r="AT324" s="758">
        <f t="shared" si="125"/>
        <v>34.599821428557121</v>
      </c>
      <c r="AU324" s="13">
        <f t="shared" si="126"/>
        <v>13</v>
      </c>
      <c r="AV324" s="13">
        <f t="shared" si="127"/>
        <v>12</v>
      </c>
      <c r="AW324" s="173">
        <f t="shared" si="128"/>
        <v>43430</v>
      </c>
      <c r="AX324" s="742">
        <f t="shared" si="129"/>
        <v>0.7142857142857143</v>
      </c>
      <c r="AY324" s="758">
        <f t="shared" si="130"/>
        <v>34.517012244862102</v>
      </c>
      <c r="AZ324" s="735">
        <f t="shared" si="134"/>
        <v>34.558416836709611</v>
      </c>
      <c r="BA324" s="633">
        <f t="shared" si="131"/>
        <v>1.0203101945035624</v>
      </c>
      <c r="BC324" s="11">
        <v>43410</v>
      </c>
      <c r="BD324" s="289">
        <f>[3]!FeuilCaduc*(1-Persistant)+Persistant</f>
        <v>0.87796900980541837</v>
      </c>
      <c r="BE324" s="290">
        <f>[3]!CroissVégét</f>
        <v>0.99814098663615436</v>
      </c>
      <c r="BF324" s="804">
        <f>1+[3]!Salcycl*Ksac</f>
        <v>1.0194922524513546</v>
      </c>
      <c r="BH324" s="1037">
        <f t="shared" si="132"/>
        <v>0.11169143181481647</v>
      </c>
      <c r="BI324" s="11">
        <v>44506</v>
      </c>
      <c r="BJ324" s="715">
        <v>1.0537371795517328E-3</v>
      </c>
      <c r="BK324" s="715">
        <v>4.6279378084915848E-3</v>
      </c>
      <c r="BL324" s="715">
        <v>1.9765557634706013E-2</v>
      </c>
      <c r="BM324" s="715">
        <v>5.8219795238025146E-2</v>
      </c>
      <c r="BN324" s="715">
        <v>0.12514825673917107</v>
      </c>
      <c r="BO324" s="716">
        <v>0.21966175121542345</v>
      </c>
      <c r="BP324" s="715">
        <v>0.33475350746322591</v>
      </c>
      <c r="BQ324" s="715">
        <v>0.46747289142953136</v>
      </c>
      <c r="BR324" s="715">
        <v>0.67137487833751408</v>
      </c>
      <c r="BS324" s="715">
        <v>0.94186573348823854</v>
      </c>
      <c r="BT324" s="715">
        <v>1.2752792106319564</v>
      </c>
      <c r="BW324" s="1185">
        <f>'2019'!R\Max</f>
        <v>0.41280181838320296</v>
      </c>
      <c r="BX324" s="1185">
        <f>'2020'!R\Max</f>
        <v>0.62823739645246801</v>
      </c>
      <c r="BY324" s="1185">
        <f>'2021'!R\Max</f>
        <v>0.62633195367434069</v>
      </c>
      <c r="BZ324" s="1185">
        <f>'2022'!R\Max</f>
        <v>1.0203101945035624</v>
      </c>
      <c r="CA324" s="1185">
        <f>'2023'!R\Max</f>
        <v>1.0203101945035624</v>
      </c>
      <c r="CB324" s="1185">
        <f>'2024'!R\Max</f>
        <v>1.0203101945035624</v>
      </c>
      <c r="CC324" s="1185">
        <f>'2025'!R\Max</f>
        <v>1.0203101945035624</v>
      </c>
      <c r="CD324" s="1185">
        <f>'2026'!R\Max</f>
        <v>1.0203101945035624</v>
      </c>
      <c r="CE324" s="1186">
        <f>'2027'!R\Max</f>
        <v>1.0203101945035624</v>
      </c>
      <c r="CF324" s="1187">
        <f>'2028'!R\Max</f>
        <v>1.0203101945035626</v>
      </c>
    </row>
    <row r="325" spans="1:84" s="6" customFormat="1" ht="11.25" x14ac:dyDescent="0.2">
      <c r="A325" s="11">
        <v>43411</v>
      </c>
      <c r="B325" s="379">
        <f>'2022'!Maxi_hp</f>
        <v>35.409981593380152</v>
      </c>
      <c r="C325" s="13">
        <f>'2022'!An_max</f>
        <v>2022</v>
      </c>
      <c r="D325" s="1046">
        <f t="shared" si="116"/>
        <v>1.0316720956581413</v>
      </c>
      <c r="E325" s="13"/>
      <c r="F325" s="13">
        <f t="shared" si="133"/>
        <v>23</v>
      </c>
      <c r="G325" s="13">
        <f t="shared" si="117"/>
        <v>24</v>
      </c>
      <c r="H325" s="173">
        <f t="shared" si="118"/>
        <v>43402</v>
      </c>
      <c r="I325" s="742">
        <f t="shared" si="119"/>
        <v>0.6428571428571429</v>
      </c>
      <c r="J325" s="735">
        <f t="shared" si="120"/>
        <v>34.322903316281739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39">
        <v>43411</v>
      </c>
      <c r="AP325" s="13">
        <f t="shared" si="121"/>
        <v>13</v>
      </c>
      <c r="AQ325" s="13">
        <f t="shared" si="122"/>
        <v>12</v>
      </c>
      <c r="AR325" s="173">
        <f t="shared" si="123"/>
        <v>43416</v>
      </c>
      <c r="AS325" s="742">
        <f t="shared" si="124"/>
        <v>0.17857142857142858</v>
      </c>
      <c r="AT325" s="758">
        <f t="shared" si="125"/>
        <v>34.326503124932898</v>
      </c>
      <c r="AU325" s="13">
        <f t="shared" si="126"/>
        <v>13</v>
      </c>
      <c r="AV325" s="13">
        <f t="shared" si="127"/>
        <v>12</v>
      </c>
      <c r="AW325" s="173">
        <f t="shared" si="128"/>
        <v>43430</v>
      </c>
      <c r="AX325" s="742">
        <f t="shared" si="129"/>
        <v>0.6785714285714286</v>
      </c>
      <c r="AY325" s="758">
        <f t="shared" si="130"/>
        <v>34.232901307567957</v>
      </c>
      <c r="AZ325" s="735">
        <f t="shared" si="134"/>
        <v>34.279702216250428</v>
      </c>
      <c r="BA325" s="633">
        <f t="shared" si="131"/>
        <v>1.0316720956581413</v>
      </c>
      <c r="BC325" s="11">
        <v>43411</v>
      </c>
      <c r="BD325" s="289">
        <f>[3]!FeuilCaduc*(1-Persistant)+Persistant</f>
        <v>0.8751294737737112</v>
      </c>
      <c r="BE325" s="290">
        <f>[3]!CroissVégét</f>
        <v>0.99822898609149657</v>
      </c>
      <c r="BF325" s="804">
        <f>1+[3]!Salcycl*Ksac</f>
        <v>1.0187823684434278</v>
      </c>
      <c r="BH325" s="1037">
        <f t="shared" si="132"/>
        <v>0.11660739903534624</v>
      </c>
      <c r="BI325" s="11">
        <v>44507</v>
      </c>
      <c r="BJ325" s="715">
        <v>1.0807152361735298E-3</v>
      </c>
      <c r="BK325" s="715">
        <v>4.9795986199569868E-3</v>
      </c>
      <c r="BL325" s="715">
        <v>2.1567257053782159E-2</v>
      </c>
      <c r="BM325" s="715">
        <v>6.2088147780467215E-2</v>
      </c>
      <c r="BN325" s="715">
        <v>0.13032786966448426</v>
      </c>
      <c r="BO325" s="716">
        <v>0.22456386200723863</v>
      </c>
      <c r="BP325" s="715">
        <v>0.33760945914737128</v>
      </c>
      <c r="BQ325" s="715">
        <v>0.47029609446867426</v>
      </c>
      <c r="BR325" s="715">
        <v>0.67802786927363035</v>
      </c>
      <c r="BS325" s="715">
        <v>0.95222221077619851</v>
      </c>
      <c r="BT325" s="715">
        <v>1.2866136601161189</v>
      </c>
      <c r="BW325" s="1185">
        <f>'2019'!R\Max</f>
        <v>0.13760941939973445</v>
      </c>
      <c r="BX325" s="1185">
        <f>'2020'!R\Max</f>
        <v>0.51295654034091565</v>
      </c>
      <c r="BY325" s="1185">
        <f>'2021'!R\Max</f>
        <v>0.42660168062616916</v>
      </c>
      <c r="BZ325" s="1185">
        <f>'2022'!R\Max</f>
        <v>1.0316720956581413</v>
      </c>
      <c r="CA325" s="1185">
        <f>'2023'!R\Max</f>
        <v>1.0316720956581411</v>
      </c>
      <c r="CB325" s="1185">
        <f>'2024'!R\Max</f>
        <v>1.0316720956581411</v>
      </c>
      <c r="CC325" s="1185">
        <f>'2025'!R\Max</f>
        <v>1.0316720956581411</v>
      </c>
      <c r="CD325" s="1185">
        <f>'2026'!R\Max</f>
        <v>1.0316720956581413</v>
      </c>
      <c r="CE325" s="1186">
        <f>'2027'!R\Max</f>
        <v>1.0316720956581411</v>
      </c>
      <c r="CF325" s="1187">
        <f>'2028'!R\Max</f>
        <v>1.0316720956581413</v>
      </c>
    </row>
    <row r="326" spans="1:84" s="6" customFormat="1" ht="11.25" x14ac:dyDescent="0.2">
      <c r="A326" s="11">
        <v>43412</v>
      </c>
      <c r="B326" s="379">
        <f>'2022'!Maxi_hp</f>
        <v>29.721733914268235</v>
      </c>
      <c r="C326" s="13">
        <f>'2022'!An_max</f>
        <v>2021</v>
      </c>
      <c r="D326" s="1046" t="str">
        <f t="shared" si="116"/>
        <v/>
      </c>
      <c r="E326" s="13"/>
      <c r="F326" s="13">
        <f t="shared" si="133"/>
        <v>23</v>
      </c>
      <c r="G326" s="13">
        <f t="shared" si="117"/>
        <v>24</v>
      </c>
      <c r="H326" s="173">
        <f t="shared" si="118"/>
        <v>43402</v>
      </c>
      <c r="I326" s="742">
        <f t="shared" si="119"/>
        <v>0.7142857142857143</v>
      </c>
      <c r="J326" s="735">
        <f t="shared" si="120"/>
        <v>34.056816326507501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39">
        <v>43412</v>
      </c>
      <c r="AP326" s="13">
        <f t="shared" si="121"/>
        <v>13</v>
      </c>
      <c r="AQ326" s="13">
        <f t="shared" si="122"/>
        <v>12</v>
      </c>
      <c r="AR326" s="173">
        <f t="shared" si="123"/>
        <v>43416</v>
      </c>
      <c r="AS326" s="742">
        <f t="shared" si="124"/>
        <v>0.14285714285714285</v>
      </c>
      <c r="AT326" s="758">
        <f t="shared" si="125"/>
        <v>34.055657142716726</v>
      </c>
      <c r="AU326" s="13">
        <f t="shared" si="126"/>
        <v>13</v>
      </c>
      <c r="AV326" s="13">
        <f t="shared" si="127"/>
        <v>12</v>
      </c>
      <c r="AW326" s="173">
        <f t="shared" si="128"/>
        <v>43430</v>
      </c>
      <c r="AX326" s="742">
        <f t="shared" si="129"/>
        <v>0.6428571428571429</v>
      </c>
      <c r="AY326" s="758">
        <f t="shared" si="130"/>
        <v>33.949682398020691</v>
      </c>
      <c r="AZ326" s="735">
        <f t="shared" si="134"/>
        <v>34.002669770368712</v>
      </c>
      <c r="BA326" s="633">
        <f t="shared" si="131"/>
        <v>0.87271028593282995</v>
      </c>
      <c r="BC326" s="11">
        <v>43412</v>
      </c>
      <c r="BD326" s="289">
        <f>[3]!FeuilCaduc*(1-Persistant)+Persistant</f>
        <v>0.87231352635968007</v>
      </c>
      <c r="BE326" s="290">
        <f>[3]!CroissVégét</f>
        <v>0.99831345700622864</v>
      </c>
      <c r="BF326" s="804">
        <f>1+[3]!Salcycl*Ksac</f>
        <v>1.0180783815899199</v>
      </c>
      <c r="BH326" s="1037">
        <f t="shared" si="132"/>
        <v>0.12120290476506809</v>
      </c>
      <c r="BI326" s="11">
        <v>44508</v>
      </c>
      <c r="BJ326" s="715">
        <v>1.1101302222176008E-3</v>
      </c>
      <c r="BK326" s="715">
        <v>5.3568917446081615E-3</v>
      </c>
      <c r="BL326" s="715">
        <v>2.3381926696427132E-2</v>
      </c>
      <c r="BM326" s="715">
        <v>6.5785015410713743E-2</v>
      </c>
      <c r="BN326" s="715">
        <v>0.13514952922732523</v>
      </c>
      <c r="BO326" s="716">
        <v>0.22892944084047911</v>
      </c>
      <c r="BP326" s="715">
        <v>0.34001716623661937</v>
      </c>
      <c r="BQ326" s="715">
        <v>0.4730970129650931</v>
      </c>
      <c r="BR326" s="715">
        <v>0.68470642074598365</v>
      </c>
      <c r="BS326" s="715">
        <v>0.96235852916141362</v>
      </c>
      <c r="BT326" s="715">
        <v>1.2969348370993521</v>
      </c>
      <c r="BW326" s="1185">
        <f>'2019'!R\Max</f>
        <v>0.49977808332660606</v>
      </c>
      <c r="BX326" s="1185">
        <f>'2020'!R\Max</f>
        <v>0.13232446994284408</v>
      </c>
      <c r="BY326" s="1185">
        <f>'2021'!R\Max</f>
        <v>0.87271028593282995</v>
      </c>
      <c r="BZ326" s="1185">
        <f>'2022'!R\Max</f>
        <v>0.66575543658965608</v>
      </c>
      <c r="CA326" s="1185">
        <f>'2023'!R\Max</f>
        <v>0.66343568154939569</v>
      </c>
      <c r="CB326" s="1185">
        <f>'2024'!R\Max</f>
        <v>0.66094221634175365</v>
      </c>
      <c r="CC326" s="1185">
        <f>'2025'!R\Max</f>
        <v>0.6581159428337261</v>
      </c>
      <c r="CD326" s="1185">
        <f>'2026'!R\Max</f>
        <v>0.67163353866137943</v>
      </c>
      <c r="CE326" s="1186">
        <f>'2027'!R\Max</f>
        <v>0.66971480899386104</v>
      </c>
      <c r="CF326" s="1187">
        <f>'2028'!R\Max</f>
        <v>0.66778358178146768</v>
      </c>
    </row>
    <row r="327" spans="1:84" s="6" customFormat="1" ht="11.25" x14ac:dyDescent="0.2">
      <c r="A327" s="11">
        <v>43413</v>
      </c>
      <c r="B327" s="379">
        <f>'2022'!Maxi_hp</f>
        <v>28.934926580180637</v>
      </c>
      <c r="C327" s="13">
        <f>'2022'!An_max</f>
        <v>2020</v>
      </c>
      <c r="D327" s="1046" t="str">
        <f t="shared" si="116"/>
        <v/>
      </c>
      <c r="E327" s="13"/>
      <c r="F327" s="13">
        <f t="shared" si="133"/>
        <v>23</v>
      </c>
      <c r="G327" s="13">
        <f t="shared" si="117"/>
        <v>24</v>
      </c>
      <c r="H327" s="173">
        <f t="shared" si="118"/>
        <v>43402</v>
      </c>
      <c r="I327" s="742">
        <f t="shared" si="119"/>
        <v>0.7857142857142857</v>
      </c>
      <c r="J327" s="735">
        <f t="shared" si="120"/>
        <v>33.791671173447483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39">
        <v>43413</v>
      </c>
      <c r="AP327" s="13">
        <f t="shared" si="121"/>
        <v>13</v>
      </c>
      <c r="AQ327" s="13">
        <f t="shared" si="122"/>
        <v>12</v>
      </c>
      <c r="AR327" s="173">
        <f t="shared" si="123"/>
        <v>43416</v>
      </c>
      <c r="AS327" s="742">
        <f t="shared" si="124"/>
        <v>0.10714285714285714</v>
      </c>
      <c r="AT327" s="758">
        <f t="shared" si="125"/>
        <v>33.787473660486285</v>
      </c>
      <c r="AU327" s="13">
        <f t="shared" si="126"/>
        <v>13</v>
      </c>
      <c r="AV327" s="13">
        <f t="shared" si="127"/>
        <v>12</v>
      </c>
      <c r="AW327" s="173">
        <f t="shared" si="128"/>
        <v>43430</v>
      </c>
      <c r="AX327" s="742">
        <f t="shared" si="129"/>
        <v>0.6071428571428571</v>
      </c>
      <c r="AY327" s="758">
        <f t="shared" si="130"/>
        <v>33.667722289018073</v>
      </c>
      <c r="AZ327" s="735">
        <f t="shared" si="134"/>
        <v>33.727597974752179</v>
      </c>
      <c r="BA327" s="633">
        <f t="shared" si="131"/>
        <v>0.85627391529889363</v>
      </c>
      <c r="BC327" s="11">
        <v>43413</v>
      </c>
      <c r="BD327" s="289">
        <f>[3]!FeuilCaduc*(1-Persistant)+Persistant</f>
        <v>0.86952527689382553</v>
      </c>
      <c r="BE327" s="290">
        <f>[3]!CroissVégét</f>
        <v>0.99839454030316765</v>
      </c>
      <c r="BF327" s="804">
        <f>1+[3]!Salcycl*Ksac</f>
        <v>1.0173813192234564</v>
      </c>
      <c r="BH327" s="1037">
        <f t="shared" si="132"/>
        <v>0.12547731164896636</v>
      </c>
      <c r="BI327" s="11">
        <v>44509</v>
      </c>
      <c r="BJ327" s="715">
        <v>1.1419838349082171E-3</v>
      </c>
      <c r="BK327" s="715">
        <v>5.7598393261561708E-3</v>
      </c>
      <c r="BL327" s="715">
        <v>2.5209525830343166E-2</v>
      </c>
      <c r="BM327" s="715">
        <v>6.9310030820896304E-2</v>
      </c>
      <c r="BN327" s="715">
        <v>0.13961253011184127</v>
      </c>
      <c r="BO327" s="716">
        <v>0.23275746556749255</v>
      </c>
      <c r="BP327" s="715">
        <v>0.34197566639095511</v>
      </c>
      <c r="BQ327" s="715">
        <v>0.47587513358633043</v>
      </c>
      <c r="BR327" s="715">
        <v>0.69140981420957059</v>
      </c>
      <c r="BS327" s="715">
        <v>0.97227331655814764</v>
      </c>
      <c r="BT327" s="715">
        <v>1.30623999068694</v>
      </c>
      <c r="BW327" s="1185">
        <f>'2019'!R\Max</f>
        <v>0.59309076857442078</v>
      </c>
      <c r="BX327" s="1185">
        <f>'2020'!R\Max</f>
        <v>0.85627391529889363</v>
      </c>
      <c r="BY327" s="1185">
        <f>'2021'!R\Max</f>
        <v>0.63184562643096243</v>
      </c>
      <c r="BZ327" s="1185">
        <f>'2022'!R\Max</f>
        <v>0.39415281350917558</v>
      </c>
      <c r="CA327" s="1185">
        <f>'2023'!R\Max</f>
        <v>0.39170108048581448</v>
      </c>
      <c r="CB327" s="1185">
        <f>'2024'!R\Max</f>
        <v>0.38905810309275429</v>
      </c>
      <c r="CC327" s="1185">
        <f>'2025'!R\Max</f>
        <v>0.38603862111206128</v>
      </c>
      <c r="CD327" s="1185">
        <f>'2026'!R\Max</f>
        <v>0.40047149548710687</v>
      </c>
      <c r="CE327" s="1186">
        <f>'2027'!R\Max</f>
        <v>0.3983920752591868</v>
      </c>
      <c r="CF327" s="1187">
        <f>'2028'!R\Max</f>
        <v>0.39630897903610585</v>
      </c>
    </row>
    <row r="328" spans="1:84" s="6" customFormat="1" ht="11.25" x14ac:dyDescent="0.2">
      <c r="A328" s="11">
        <v>43414</v>
      </c>
      <c r="B328" s="379">
        <f>'2022'!Maxi_hp</f>
        <v>23.492007073605752</v>
      </c>
      <c r="C328" s="13">
        <f>'2022'!An_max</f>
        <v>2022</v>
      </c>
      <c r="D328" s="1046" t="str">
        <f t="shared" si="116"/>
        <v/>
      </c>
      <c r="E328" s="13"/>
      <c r="F328" s="13">
        <f t="shared" si="133"/>
        <v>23</v>
      </c>
      <c r="G328" s="13">
        <f t="shared" si="117"/>
        <v>24</v>
      </c>
      <c r="H328" s="173">
        <f t="shared" si="118"/>
        <v>43402</v>
      </c>
      <c r="I328" s="742">
        <f t="shared" si="119"/>
        <v>0.8571428571428571</v>
      </c>
      <c r="J328" s="735">
        <f t="shared" si="120"/>
        <v>33.527359183531786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39">
        <v>43414</v>
      </c>
      <c r="AP328" s="13">
        <f t="shared" si="121"/>
        <v>13</v>
      </c>
      <c r="AQ328" s="13">
        <f t="shared" si="122"/>
        <v>12</v>
      </c>
      <c r="AR328" s="173">
        <f t="shared" si="123"/>
        <v>43416</v>
      </c>
      <c r="AS328" s="742">
        <f t="shared" si="124"/>
        <v>7.1428571428571425E-2</v>
      </c>
      <c r="AT328" s="758">
        <f t="shared" si="125"/>
        <v>33.522142857324802</v>
      </c>
      <c r="AU328" s="13">
        <f t="shared" si="126"/>
        <v>13</v>
      </c>
      <c r="AV328" s="13">
        <f t="shared" si="127"/>
        <v>12</v>
      </c>
      <c r="AW328" s="173">
        <f t="shared" si="128"/>
        <v>43430</v>
      </c>
      <c r="AX328" s="742">
        <f t="shared" si="129"/>
        <v>0.5714285714285714</v>
      </c>
      <c r="AY328" s="758">
        <f t="shared" si="130"/>
        <v>33.387387754768135</v>
      </c>
      <c r="AZ328" s="735">
        <f t="shared" si="134"/>
        <v>33.454765306046468</v>
      </c>
      <c r="BA328" s="633">
        <f t="shared" si="131"/>
        <v>0.70068170132363805</v>
      </c>
      <c r="BC328" s="11">
        <v>43414</v>
      </c>
      <c r="BD328" s="289">
        <f>[3]!FeuilCaduc*(1-Persistant)+Persistant</f>
        <v>0.86676875116955832</v>
      </c>
      <c r="BE328" s="290">
        <f>[3]!CroissVégét</f>
        <v>0.99847237132123801</v>
      </c>
      <c r="BF328" s="804">
        <f>1+[3]!Salcycl*Ksac</f>
        <v>1.0166921877923896</v>
      </c>
      <c r="BH328" s="1037">
        <f t="shared" si="132"/>
        <v>0.12942997995109201</v>
      </c>
      <c r="BI328" s="11">
        <v>44510</v>
      </c>
      <c r="BJ328" s="715">
        <v>1.1762775587071922E-3</v>
      </c>
      <c r="BK328" s="715">
        <v>6.1884610152667463E-3</v>
      </c>
      <c r="BL328" s="715">
        <v>2.7050006595295811E-2</v>
      </c>
      <c r="BM328" s="715">
        <v>7.2662820936991376E-2</v>
      </c>
      <c r="BN328" s="715">
        <v>0.14371616547318083</v>
      </c>
      <c r="BO328" s="716">
        <v>0.23604692217326922</v>
      </c>
      <c r="BP328" s="715">
        <v>0.3434840087683747</v>
      </c>
      <c r="BQ328" s="715">
        <v>0.47862993446287277</v>
      </c>
      <c r="BR328" s="715">
        <v>0.69813730668466178</v>
      </c>
      <c r="BS328" s="715">
        <v>0.98196517511268533</v>
      </c>
      <c r="BT328" s="715">
        <v>1.3145263789892201</v>
      </c>
      <c r="BW328" s="1185">
        <f>'2019'!R\Max</f>
        <v>0.58816575689816464</v>
      </c>
      <c r="BX328" s="1185">
        <f>'2020'!R\Max</f>
        <v>0.68040359901074476</v>
      </c>
      <c r="BY328" s="1185">
        <f>'2021'!R\Max</f>
        <v>0.19664033349092719</v>
      </c>
      <c r="BZ328" s="1185">
        <f>'2022'!R\Max</f>
        <v>0.70068170132363805</v>
      </c>
      <c r="CA328" s="1185">
        <f>'2023'!R\Max</f>
        <v>0.69854712009322451</v>
      </c>
      <c r="CB328" s="1185">
        <f>'2024'!R\Max</f>
        <v>0.69620795683367709</v>
      </c>
      <c r="CC328" s="1185">
        <f>'2025'!R\Max</f>
        <v>0.69347290000040929</v>
      </c>
      <c r="CD328" s="1185">
        <f>'2026'!R\Max</f>
        <v>0.70615059837210314</v>
      </c>
      <c r="CE328" s="1186">
        <f>'2027'!R\Max</f>
        <v>0.70435606007622287</v>
      </c>
      <c r="CF328" s="1187">
        <f>'2028'!R\Max</f>
        <v>0.70254882370297678</v>
      </c>
    </row>
    <row r="329" spans="1:84" s="6" customFormat="1" ht="11.25" x14ac:dyDescent="0.2">
      <c r="A329" s="11">
        <v>43415</v>
      </c>
      <c r="B329" s="379">
        <f>'2022'!Maxi_hp</f>
        <v>32.162208991726168</v>
      </c>
      <c r="C329" s="13">
        <f>'2022'!An_max</f>
        <v>2022</v>
      </c>
      <c r="D329" s="1046" t="str">
        <f t="shared" si="116"/>
        <v/>
      </c>
      <c r="E329" s="13"/>
      <c r="F329" s="13">
        <f t="shared" si="133"/>
        <v>23</v>
      </c>
      <c r="G329" s="13">
        <f t="shared" si="117"/>
        <v>24</v>
      </c>
      <c r="H329" s="173">
        <f t="shared" si="118"/>
        <v>43402</v>
      </c>
      <c r="I329" s="742">
        <f t="shared" si="119"/>
        <v>0.9285714285714286</v>
      </c>
      <c r="J329" s="735">
        <f t="shared" si="120"/>
        <v>33.26377168374934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39">
        <v>43415</v>
      </c>
      <c r="AP329" s="13">
        <f t="shared" si="121"/>
        <v>13</v>
      </c>
      <c r="AQ329" s="13">
        <f t="shared" si="122"/>
        <v>12</v>
      </c>
      <c r="AR329" s="173">
        <f t="shared" si="123"/>
        <v>43416</v>
      </c>
      <c r="AS329" s="742">
        <f t="shared" si="124"/>
        <v>3.5714285714285712E-2</v>
      </c>
      <c r="AT329" s="758">
        <f t="shared" si="125"/>
        <v>33.259854910427904</v>
      </c>
      <c r="AU329" s="13">
        <f t="shared" si="126"/>
        <v>13</v>
      </c>
      <c r="AV329" s="13">
        <f t="shared" si="127"/>
        <v>12</v>
      </c>
      <c r="AW329" s="173">
        <f t="shared" si="128"/>
        <v>43430</v>
      </c>
      <c r="AX329" s="742">
        <f t="shared" si="129"/>
        <v>0.5357142857142857</v>
      </c>
      <c r="AY329" s="758">
        <f t="shared" si="130"/>
        <v>33.109045567503202</v>
      </c>
      <c r="AZ329" s="735">
        <f t="shared" si="134"/>
        <v>33.184450238965553</v>
      </c>
      <c r="BA329" s="633">
        <f t="shared" si="131"/>
        <v>0.96688401115495481</v>
      </c>
      <c r="BC329" s="11">
        <v>43415</v>
      </c>
      <c r="BD329" s="289">
        <f>[3]!FeuilCaduc*(1-Persistant)+Persistant</f>
        <v>0.86404787278515471</v>
      </c>
      <c r="BE329" s="290">
        <f>[3]!CroissVégét</f>
        <v>0.99854708003323223</v>
      </c>
      <c r="BF329" s="804">
        <f>1+[3]!Salcycl*Ksac</f>
        <v>1.0160119681962887</v>
      </c>
      <c r="BH329" s="1037">
        <f t="shared" si="132"/>
        <v>0.13306027052741329</v>
      </c>
      <c r="BI329" s="11">
        <v>44511</v>
      </c>
      <c r="BJ329" s="715">
        <v>1.2130126431154466E-3</v>
      </c>
      <c r="BK329" s="715">
        <v>6.6427737370515711E-3</v>
      </c>
      <c r="BL329" s="715">
        <v>2.890331389775332E-2</v>
      </c>
      <c r="BM329" s="715">
        <v>7.5843008519980798E-2</v>
      </c>
      <c r="BN329" s="715">
        <v>0.14745973025554771</v>
      </c>
      <c r="BO329" s="716">
        <v>0.23879680972309331</v>
      </c>
      <c r="BP329" s="715">
        <v>0.34454125813831926</v>
      </c>
      <c r="BQ329" s="715">
        <v>0.48136088538552596</v>
      </c>
      <c r="BR329" s="715">
        <v>0.70488813053372623</v>
      </c>
      <c r="BS329" s="715">
        <v>0.9914326832471887</v>
      </c>
      <c r="BT329" s="715">
        <v>1.321791278426786</v>
      </c>
      <c r="BW329" s="1185">
        <f>'2019'!R\Max</f>
        <v>0.78531511903542839</v>
      </c>
      <c r="BX329" s="1185">
        <f>'2020'!R\Max</f>
        <v>0.42110896422956995</v>
      </c>
      <c r="BY329" s="1185">
        <f>'2021'!R\Max</f>
        <v>0.36330702919670399</v>
      </c>
      <c r="BZ329" s="1185">
        <f>'2022'!R\Max</f>
        <v>0.96688401115495481</v>
      </c>
      <c r="CA329" s="1185">
        <f>'2023'!R\Max</f>
        <v>0.96656090245787529</v>
      </c>
      <c r="CB329" s="1185">
        <f>'2024'!R\Max</f>
        <v>0.9662008769266951</v>
      </c>
      <c r="CC329" s="1185">
        <f>'2025'!R\Max</f>
        <v>0.96576979392751616</v>
      </c>
      <c r="CD329" s="1185">
        <f>'2026'!R\Max</f>
        <v>0.96770689842871838</v>
      </c>
      <c r="CE329" s="1186">
        <f>'2027'!R\Max</f>
        <v>0.96743767114259793</v>
      </c>
      <c r="CF329" s="1187">
        <f>'2028'!R\Max</f>
        <v>0.96716532144266754</v>
      </c>
    </row>
    <row r="330" spans="1:84" s="6" customFormat="1" ht="11.25" x14ac:dyDescent="0.2">
      <c r="A330" s="11">
        <v>43416</v>
      </c>
      <c r="B330" s="379">
        <f>'2022'!Maxi_hp</f>
        <v>33.228636444643307</v>
      </c>
      <c r="C330" s="13">
        <f>'2022'!An_max</f>
        <v>2020</v>
      </c>
      <c r="D330" s="1046">
        <f t="shared" si="116"/>
        <v>1.0069039673132552</v>
      </c>
      <c r="E330" s="1041">
        <f>AJ$13/10</f>
        <v>33.000799999999998</v>
      </c>
      <c r="F330" s="13">
        <f t="shared" si="133"/>
        <v>25</v>
      </c>
      <c r="G330" s="13">
        <f t="shared" si="117"/>
        <v>24</v>
      </c>
      <c r="H330" s="173">
        <f t="shared" si="118"/>
        <v>43430</v>
      </c>
      <c r="I330" s="742">
        <f t="shared" si="119"/>
        <v>1</v>
      </c>
      <c r="J330" s="735">
        <f t="shared" si="120"/>
        <v>33.000800000131129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39">
        <v>43416</v>
      </c>
      <c r="AP330" s="13">
        <f t="shared" si="121"/>
        <v>13</v>
      </c>
      <c r="AQ330" s="13">
        <f t="shared" si="122"/>
        <v>14</v>
      </c>
      <c r="AR330" s="173">
        <f t="shared" si="123"/>
        <v>43416</v>
      </c>
      <c r="AS330" s="742">
        <f t="shared" si="124"/>
        <v>0</v>
      </c>
      <c r="AT330" s="758">
        <f t="shared" si="125"/>
        <v>33.000800000131129</v>
      </c>
      <c r="AU330" s="13">
        <f t="shared" si="126"/>
        <v>13</v>
      </c>
      <c r="AV330" s="13">
        <f t="shared" si="127"/>
        <v>12</v>
      </c>
      <c r="AW330" s="173">
        <f t="shared" si="128"/>
        <v>43430</v>
      </c>
      <c r="AX330" s="742">
        <f t="shared" si="129"/>
        <v>0.5</v>
      </c>
      <c r="AY330" s="758">
        <f t="shared" si="130"/>
        <v>32.83306249957532</v>
      </c>
      <c r="AZ330" s="735">
        <f t="shared" si="134"/>
        <v>32.916931249853221</v>
      </c>
      <c r="BA330" s="633">
        <f t="shared" si="131"/>
        <v>1.0069039673132552</v>
      </c>
      <c r="BC330" s="11">
        <v>43416</v>
      </c>
      <c r="BD330" s="289">
        <f>[3]!FeuilCaduc*(1-Persistant)+Persistant</f>
        <v>0.86136644501136117</v>
      </c>
      <c r="BE330" s="290">
        <f>[3]!CroissVégét</f>
        <v>0.99861879125535868</v>
      </c>
      <c r="BF330" s="804">
        <f>1+[3]!Salcycl*Ksac</f>
        <v>1.0153416112528404</v>
      </c>
      <c r="BH330" s="1037">
        <f t="shared" si="132"/>
        <v>0.13636754780027321</v>
      </c>
      <c r="BI330" s="11">
        <v>44512</v>
      </c>
      <c r="BJ330" s="715">
        <v>1.2521900804892147E-3</v>
      </c>
      <c r="BK330" s="715">
        <v>7.1227914586354845E-3</v>
      </c>
      <c r="BL330" s="715">
        <v>3.0769385305857502E-2</v>
      </c>
      <c r="BM330" s="715">
        <v>7.8850213767908864E-2</v>
      </c>
      <c r="BN330" s="715">
        <v>0.15084252451204072</v>
      </c>
      <c r="BO330" s="716">
        <v>0.24100614531314341</v>
      </c>
      <c r="BP330" s="715">
        <v>0.34514649899941774</v>
      </c>
      <c r="BQ330" s="715">
        <v>0.48406744800879686</v>
      </c>
      <c r="BR330" s="715">
        <v>0.71166149324710304</v>
      </c>
      <c r="BS330" s="715">
        <v>1.0006743977158523</v>
      </c>
      <c r="BT330" s="715">
        <v>1.3280319930521689</v>
      </c>
      <c r="BW330" s="1185">
        <f>'2019'!R\Max</f>
        <v>0.55771321004328278</v>
      </c>
      <c r="BX330" s="1185">
        <f>'2020'!R\Max</f>
        <v>1.0069039673132552</v>
      </c>
      <c r="BY330" s="1185">
        <f>'2021'!R\Max</f>
        <v>0.34533613850478212</v>
      </c>
      <c r="BZ330" s="1185">
        <f>'2022'!R\Max</f>
        <v>0.96658293664175221</v>
      </c>
      <c r="CA330" s="1185">
        <f>'2023'!R\Max</f>
        <v>0.96626043688978469</v>
      </c>
      <c r="CB330" s="1185">
        <f>'2024'!R\Max</f>
        <v>0.96589671024091495</v>
      </c>
      <c r="CC330" s="1185">
        <f>'2025'!R\Max</f>
        <v>0.96545305066665421</v>
      </c>
      <c r="CD330" s="1185">
        <f>'2026'!R\Max</f>
        <v>0.96740578859845117</v>
      </c>
      <c r="CE330" s="1186">
        <f>'2027'!R\Max</f>
        <v>0.96713634032823514</v>
      </c>
      <c r="CF330" s="1187">
        <f>'2028'!R\Max</f>
        <v>0.96686379398915101</v>
      </c>
    </row>
    <row r="331" spans="1:84" s="6" customFormat="1" ht="11.25" x14ac:dyDescent="0.2">
      <c r="A331" s="11">
        <v>43417</v>
      </c>
      <c r="B331" s="379">
        <f>'2022'!Maxi_hp</f>
        <v>32.07432066777686</v>
      </c>
      <c r="C331" s="13">
        <f>'2022'!An_max</f>
        <v>2022</v>
      </c>
      <c r="D331" s="1046">
        <f t="shared" si="116"/>
        <v>0.97973757040447906</v>
      </c>
      <c r="E331" s="13"/>
      <c r="F331" s="13">
        <f t="shared" si="133"/>
        <v>25</v>
      </c>
      <c r="G331" s="13">
        <f t="shared" si="117"/>
        <v>24</v>
      </c>
      <c r="H331" s="173">
        <f t="shared" si="118"/>
        <v>43430</v>
      </c>
      <c r="I331" s="742">
        <f t="shared" si="119"/>
        <v>0.9285714285714286</v>
      </c>
      <c r="J331" s="735">
        <f t="shared" si="120"/>
        <v>32.73766530616475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39">
        <v>43417</v>
      </c>
      <c r="AP331" s="13">
        <f t="shared" si="121"/>
        <v>13</v>
      </c>
      <c r="AQ331" s="13">
        <f t="shared" si="122"/>
        <v>14</v>
      </c>
      <c r="AR331" s="173">
        <f t="shared" si="123"/>
        <v>43416</v>
      </c>
      <c r="AS331" s="742">
        <f t="shared" si="124"/>
        <v>3.5714285714285712E-2</v>
      </c>
      <c r="AT331" s="758">
        <f t="shared" si="125"/>
        <v>32.740152292399273</v>
      </c>
      <c r="AU331" s="13">
        <f t="shared" si="126"/>
        <v>13</v>
      </c>
      <c r="AV331" s="13">
        <f t="shared" si="127"/>
        <v>12</v>
      </c>
      <c r="AW331" s="173">
        <f t="shared" si="128"/>
        <v>43430</v>
      </c>
      <c r="AX331" s="742">
        <f t="shared" si="129"/>
        <v>0.4642857142857143</v>
      </c>
      <c r="AY331" s="758">
        <f t="shared" si="130"/>
        <v>32.559805325265714</v>
      </c>
      <c r="AZ331" s="735">
        <f t="shared" si="134"/>
        <v>32.649978808832493</v>
      </c>
      <c r="BA331" s="633">
        <f t="shared" si="131"/>
        <v>0.97973757040447906</v>
      </c>
      <c r="BC331" s="11">
        <v>43417</v>
      </c>
      <c r="BD331" s="289">
        <f>[3]!FeuilCaduc*(1-Persistant)+Persistant</f>
        <v>0.8587281333137079</v>
      </c>
      <c r="BE331" s="290">
        <f>[3]!CroissVégét</f>
        <v>0.99868762484886009</v>
      </c>
      <c r="BF331" s="804">
        <f>1+[3]!Salcycl*Ksac</f>
        <v>1.014682033328427</v>
      </c>
      <c r="BH331" s="1037">
        <f t="shared" si="132"/>
        <v>0.13935118273084299</v>
      </c>
      <c r="BI331" s="11">
        <v>44513</v>
      </c>
      <c r="BJ331" s="715">
        <v>1.2938105838380201E-3</v>
      </c>
      <c r="BK331" s="715">
        <v>7.6285249566275483E-3</v>
      </c>
      <c r="BL331" s="715">
        <v>3.2648150943974691E-2</v>
      </c>
      <c r="BM331" s="715">
        <v>8.1684055916813561E-2</v>
      </c>
      <c r="BN331" s="715">
        <v>0.15386385672226835</v>
      </c>
      <c r="BO331" s="716">
        <v>0.24267396901744118</v>
      </c>
      <c r="BP331" s="715">
        <v>0.34529883969191583</v>
      </c>
      <c r="BQ331" s="715">
        <v>0.48674907604686685</v>
      </c>
      <c r="BR331" s="715">
        <v>0.71845657721786615</v>
      </c>
      <c r="BS331" s="715">
        <v>1.0096888556458607</v>
      </c>
      <c r="BT331" s="715">
        <v>1.333245863851183</v>
      </c>
      <c r="BW331" s="1185">
        <f>'2019'!R\Max</f>
        <v>0.44269086448214984</v>
      </c>
      <c r="BX331" s="1185">
        <f>'2020'!R\Max</f>
        <v>0.93896512205794047</v>
      </c>
      <c r="BY331" s="1185">
        <f>'2021'!R\Max</f>
        <v>0.17509408016234482</v>
      </c>
      <c r="BZ331" s="1185">
        <f>'2022'!R\Max</f>
        <v>0.97973757040447906</v>
      </c>
      <c r="CA331" s="1185">
        <f>'2023'!R\Max</f>
        <v>0.97954128847076005</v>
      </c>
      <c r="CB331" s="1185">
        <f>'2024'!R\Max</f>
        <v>0.9793168975445774</v>
      </c>
      <c r="CC331" s="1185">
        <f>'2025'!R\Max</f>
        <v>0.97903767328863733</v>
      </c>
      <c r="CD331" s="1185">
        <f>'2026'!R\Max</f>
        <v>0.98023811239470993</v>
      </c>
      <c r="CE331" s="1186">
        <f>'2027'!R\Max</f>
        <v>0.98007424909983976</v>
      </c>
      <c r="CF331" s="1187">
        <f>'2028'!R\Max</f>
        <v>0.97990848487586946</v>
      </c>
    </row>
    <row r="332" spans="1:84" s="6" customFormat="1" ht="11.25" x14ac:dyDescent="0.2">
      <c r="A332" s="11">
        <v>43418</v>
      </c>
      <c r="B332" s="379">
        <f>'2022'!Maxi_hp</f>
        <v>18.993319038472997</v>
      </c>
      <c r="C332" s="13">
        <f>'2022'!An_max</f>
        <v>2020</v>
      </c>
      <c r="D332" s="1046" t="str">
        <f t="shared" si="116"/>
        <v/>
      </c>
      <c r="E332" s="13"/>
      <c r="F332" s="13">
        <f t="shared" si="133"/>
        <v>25</v>
      </c>
      <c r="G332" s="13">
        <f t="shared" si="117"/>
        <v>24</v>
      </c>
      <c r="H332" s="173">
        <f t="shared" si="118"/>
        <v>43430</v>
      </c>
      <c r="I332" s="742">
        <f t="shared" si="119"/>
        <v>0.8571428571428571</v>
      </c>
      <c r="J332" s="735">
        <f t="shared" si="120"/>
        <v>32.473951020357866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39">
        <v>43418</v>
      </c>
      <c r="AP332" s="13">
        <f t="shared" si="121"/>
        <v>13</v>
      </c>
      <c r="AQ332" s="13">
        <f t="shared" si="122"/>
        <v>14</v>
      </c>
      <c r="AR332" s="173">
        <f t="shared" si="123"/>
        <v>43416</v>
      </c>
      <c r="AS332" s="742">
        <f t="shared" si="124"/>
        <v>7.1428571428571425E-2</v>
      </c>
      <c r="AT332" s="758">
        <f t="shared" si="125"/>
        <v>32.47356610507039</v>
      </c>
      <c r="AU332" s="13">
        <f t="shared" si="126"/>
        <v>13</v>
      </c>
      <c r="AV332" s="13">
        <f t="shared" si="127"/>
        <v>12</v>
      </c>
      <c r="AW332" s="173">
        <f t="shared" si="128"/>
        <v>43430</v>
      </c>
      <c r="AX332" s="742">
        <f t="shared" si="129"/>
        <v>0.42857142857142855</v>
      </c>
      <c r="AY332" s="758">
        <f t="shared" si="130"/>
        <v>32.289640816753469</v>
      </c>
      <c r="AZ332" s="735">
        <f t="shared" si="134"/>
        <v>32.381603460911933</v>
      </c>
      <c r="BA332" s="633">
        <f t="shared" si="131"/>
        <v>0.58487860089972166</v>
      </c>
      <c r="BC332" s="11">
        <v>43418</v>
      </c>
      <c r="BD332" s="289">
        <f>[3]!FeuilCaduc*(1-Persistant)+Persistant</f>
        <v>0.85613644865397354</v>
      </c>
      <c r="BE332" s="290">
        <f>[3]!CroissVégét</f>
        <v>0.99875369591398344</v>
      </c>
      <c r="BF332" s="804">
        <f>1+[3]!Salcycl*Ksac</f>
        <v>1.0140341121634935</v>
      </c>
      <c r="BH332" s="1037">
        <f t="shared" si="132"/>
        <v>0.14190901944271558</v>
      </c>
      <c r="BI332" s="11">
        <v>44514</v>
      </c>
      <c r="BJ332" s="715">
        <v>1.3370814725118486E-3</v>
      </c>
      <c r="BK332" s="715">
        <v>8.1723872348183103E-3</v>
      </c>
      <c r="BL332" s="715">
        <v>3.4500302110951869E-2</v>
      </c>
      <c r="BM332" s="715">
        <v>8.4277079133448493E-2</v>
      </c>
      <c r="BN332" s="715">
        <v>0.15641283829776212</v>
      </c>
      <c r="BO332" s="716">
        <v>0.24373494869129894</v>
      </c>
      <c r="BP332" s="715">
        <v>0.34506517597614028</v>
      </c>
      <c r="BQ332" s="715">
        <v>0.489516795254691</v>
      </c>
      <c r="BR332" s="715">
        <v>0.72524732538375891</v>
      </c>
      <c r="BS332" s="715">
        <v>1.0183343515359651</v>
      </c>
      <c r="BT332" s="715">
        <v>1.3373987235692268</v>
      </c>
      <c r="BW332" s="1185">
        <f>'2019'!R\Max</f>
        <v>0.17844089884924252</v>
      </c>
      <c r="BX332" s="1185">
        <f>'2020'!R\Max</f>
        <v>0.58487860089972166</v>
      </c>
      <c r="BY332" s="1185">
        <f>'2021'!R\Max</f>
        <v>0.15258661332026163</v>
      </c>
      <c r="BZ332" s="1185">
        <f>'2022'!R\Max</f>
        <v>0.41187300995691606</v>
      </c>
      <c r="CA332" s="1185">
        <f>'2023'!R\Max</f>
        <v>0.40950975378751919</v>
      </c>
      <c r="CB332" s="1185">
        <f>'2024'!R\Max</f>
        <v>0.40680261849443983</v>
      </c>
      <c r="CC332" s="1185">
        <f>'2025'!R\Max</f>
        <v>0.40341523661779644</v>
      </c>
      <c r="CD332" s="1185">
        <f>'2026'!R\Max</f>
        <v>0.41800421140514438</v>
      </c>
      <c r="CE332" s="1186">
        <f>'2027'!R\Max</f>
        <v>0.41598019911531797</v>
      </c>
      <c r="CF332" s="1187">
        <f>'2028'!R\Max</f>
        <v>0.41395215809855701</v>
      </c>
    </row>
    <row r="333" spans="1:84" s="6" customFormat="1" ht="11.25" x14ac:dyDescent="0.2">
      <c r="A333" s="11">
        <v>43419</v>
      </c>
      <c r="B333" s="379">
        <f>'2022'!Maxi_hp</f>
        <v>31.702886154707713</v>
      </c>
      <c r="C333" s="13">
        <f>'2022'!An_max</f>
        <v>2020</v>
      </c>
      <c r="D333" s="1046">
        <f t="shared" si="116"/>
        <v>0.98425320596738453</v>
      </c>
      <c r="E333" s="13"/>
      <c r="F333" s="13">
        <f t="shared" si="133"/>
        <v>25</v>
      </c>
      <c r="G333" s="13">
        <f t="shared" si="117"/>
        <v>24</v>
      </c>
      <c r="H333" s="173">
        <f t="shared" si="118"/>
        <v>43430</v>
      </c>
      <c r="I333" s="742">
        <f t="shared" si="119"/>
        <v>0.7857142857142857</v>
      </c>
      <c r="J333" s="735">
        <f t="shared" si="120"/>
        <v>32.210091836630767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39">
        <v>43419</v>
      </c>
      <c r="AP333" s="13">
        <f t="shared" si="121"/>
        <v>13</v>
      </c>
      <c r="AQ333" s="13">
        <f t="shared" si="122"/>
        <v>14</v>
      </c>
      <c r="AR333" s="173">
        <f t="shared" si="123"/>
        <v>43416</v>
      </c>
      <c r="AS333" s="742">
        <f t="shared" si="124"/>
        <v>0.10714285714285714</v>
      </c>
      <c r="AT333" s="758">
        <f t="shared" si="125"/>
        <v>32.201951841544357</v>
      </c>
      <c r="AU333" s="13">
        <f t="shared" si="126"/>
        <v>13</v>
      </c>
      <c r="AV333" s="13">
        <f t="shared" si="127"/>
        <v>12</v>
      </c>
      <c r="AW333" s="173">
        <f t="shared" si="128"/>
        <v>43430</v>
      </c>
      <c r="AX333" s="742">
        <f t="shared" si="129"/>
        <v>0.39285714285714285</v>
      </c>
      <c r="AY333" s="758">
        <f t="shared" si="130"/>
        <v>32.022935745778632</v>
      </c>
      <c r="AZ333" s="735">
        <f t="shared" si="134"/>
        <v>32.112443793661498</v>
      </c>
      <c r="BA333" s="633">
        <f t="shared" si="131"/>
        <v>0.98425320596738453</v>
      </c>
      <c r="BC333" s="11">
        <v>43419</v>
      </c>
      <c r="BD333" s="289">
        <f>[3]!FeuilCaduc*(1-Persistant)+Persistant</f>
        <v>0.85359473168955746</v>
      </c>
      <c r="BE333" s="290">
        <f>[3]!CroissVégét</f>
        <v>0.99881711497657366</v>
      </c>
      <c r="BF333" s="804">
        <f>1+[3]!Salcycl*Ksac</f>
        <v>1.0133986829223893</v>
      </c>
      <c r="BH333" s="1037">
        <f t="shared" si="132"/>
        <v>0.14417103633042055</v>
      </c>
      <c r="BI333" s="11">
        <v>44515</v>
      </c>
      <c r="BJ333" s="715">
        <v>1.3806809812413536E-3</v>
      </c>
      <c r="BK333" s="715">
        <v>8.7393493563943294E-3</v>
      </c>
      <c r="BL333" s="715">
        <v>3.627004604564224E-2</v>
      </c>
      <c r="BM333" s="715">
        <v>8.6654444484052087E-2</v>
      </c>
      <c r="BN333" s="715">
        <v>0.15864582626153859</v>
      </c>
      <c r="BO333" s="716">
        <v>0.24451117873521724</v>
      </c>
      <c r="BP333" s="715">
        <v>0.34476507775634313</v>
      </c>
      <c r="BQ333" s="715">
        <v>0.49249546088749452</v>
      </c>
      <c r="BR333" s="715">
        <v>0.73202403181602893</v>
      </c>
      <c r="BS333" s="715">
        <v>1.0267614725098662</v>
      </c>
      <c r="BT333" s="715">
        <v>1.3411981375134079</v>
      </c>
      <c r="BW333" s="1185">
        <f>'2019'!R\Max</f>
        <v>0.61304974574602433</v>
      </c>
      <c r="BX333" s="1185">
        <f>'2020'!R\Max</f>
        <v>0.98425320596738453</v>
      </c>
      <c r="BY333" s="1185">
        <f>'2021'!R\Max</f>
        <v>0.2154301003106672</v>
      </c>
      <c r="BZ333" s="1185">
        <f>'2022'!R\Max</f>
        <v>0.45512764188975824</v>
      </c>
      <c r="CA333" s="1185">
        <f>'2023'!R\Max</f>
        <v>0.45272079634184409</v>
      </c>
      <c r="CB333" s="1185">
        <f>'2024'!R\Max</f>
        <v>0.44992227161627563</v>
      </c>
      <c r="CC333" s="1185">
        <f>'2025'!R\Max</f>
        <v>0.44634881205535509</v>
      </c>
      <c r="CD333" s="1185">
        <f>'2026'!R\Max</f>
        <v>0.46133685871240787</v>
      </c>
      <c r="CE333" s="1186">
        <f>'2027'!R\Max</f>
        <v>0.45929259007181267</v>
      </c>
      <c r="CF333" s="1187">
        <f>'2028'!R\Max</f>
        <v>0.45724283758216944</v>
      </c>
    </row>
    <row r="334" spans="1:84" s="6" customFormat="1" ht="11.25" x14ac:dyDescent="0.2">
      <c r="A334" s="11">
        <v>43420</v>
      </c>
      <c r="B334" s="379">
        <f>'2022'!Maxi_hp</f>
        <v>31.396638682128184</v>
      </c>
      <c r="C334" s="13">
        <f>'2022'!An_max</f>
        <v>2022</v>
      </c>
      <c r="D334" s="1046">
        <f t="shared" si="116"/>
        <v>0.98278736698523528</v>
      </c>
      <c r="E334" s="13"/>
      <c r="F334" s="13">
        <f t="shared" si="133"/>
        <v>25</v>
      </c>
      <c r="G334" s="13">
        <f t="shared" si="117"/>
        <v>24</v>
      </c>
      <c r="H334" s="173">
        <f t="shared" si="118"/>
        <v>43430</v>
      </c>
      <c r="I334" s="742">
        <f t="shared" si="119"/>
        <v>0.7142857142857143</v>
      </c>
      <c r="J334" s="735">
        <f t="shared" si="120"/>
        <v>31.946522449143231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39">
        <v>43420</v>
      </c>
      <c r="AP334" s="13">
        <f t="shared" si="121"/>
        <v>13</v>
      </c>
      <c r="AQ334" s="13">
        <f t="shared" si="122"/>
        <v>14</v>
      </c>
      <c r="AR334" s="173">
        <f t="shared" si="123"/>
        <v>43416</v>
      </c>
      <c r="AS334" s="742">
        <f t="shared" si="124"/>
        <v>0.14285714285714285</v>
      </c>
      <c r="AT334" s="758">
        <f t="shared" si="125"/>
        <v>31.926219904635634</v>
      </c>
      <c r="AU334" s="13">
        <f t="shared" si="126"/>
        <v>13</v>
      </c>
      <c r="AV334" s="13">
        <f t="shared" si="127"/>
        <v>12</v>
      </c>
      <c r="AW334" s="173">
        <f t="shared" si="128"/>
        <v>43430</v>
      </c>
      <c r="AX334" s="742">
        <f t="shared" si="129"/>
        <v>0.35714285714285715</v>
      </c>
      <c r="AY334" s="758">
        <f t="shared" si="130"/>
        <v>31.760056887088076</v>
      </c>
      <c r="AZ334" s="735">
        <f t="shared" si="134"/>
        <v>31.843138395861857</v>
      </c>
      <c r="BA334" s="633">
        <f t="shared" si="131"/>
        <v>0.98278736698523528</v>
      </c>
      <c r="BC334" s="11">
        <v>43420</v>
      </c>
      <c r="BD334" s="289">
        <f>[3]!FeuilCaduc*(1-Persistant)+Persistant</f>
        <v>0.85110613798280521</v>
      </c>
      <c r="BE334" s="290">
        <f>[3]!CroissVégét</f>
        <v>0.9988779881675528</v>
      </c>
      <c r="BF334" s="804">
        <f>1+[3]!Salcycl*Ksac</f>
        <v>1.0127765344957014</v>
      </c>
      <c r="BH334" s="1037">
        <f t="shared" si="132"/>
        <v>0.1461366780778785</v>
      </c>
      <c r="BI334" s="11">
        <v>44516</v>
      </c>
      <c r="BJ334" s="715">
        <v>1.4246065482545198E-3</v>
      </c>
      <c r="BK334" s="715">
        <v>9.3294077196461201E-3</v>
      </c>
      <c r="BL334" s="715">
        <v>3.7957186651693134E-2</v>
      </c>
      <c r="BM334" s="715">
        <v>8.8815734804572929E-2</v>
      </c>
      <c r="BN334" s="715">
        <v>0.16056223052978405</v>
      </c>
      <c r="BO334" s="716">
        <v>0.24500208614888264</v>
      </c>
      <c r="BP334" s="715">
        <v>0.34439817557753905</v>
      </c>
      <c r="BQ334" s="715">
        <v>0.49568476124631355</v>
      </c>
      <c r="BR334" s="715">
        <v>0.73878576572993804</v>
      </c>
      <c r="BS334" s="715">
        <v>1.0349687279837274</v>
      </c>
      <c r="BT334" s="715">
        <v>1.3446423642152663</v>
      </c>
      <c r="BW334" s="1185">
        <f>'2019'!R\Max</f>
        <v>0.61118137947741624</v>
      </c>
      <c r="BX334" s="1185">
        <f>'2020'!R\Max</f>
        <v>0.72520975446891767</v>
      </c>
      <c r="BY334" s="1185">
        <f>'2021'!R\Max</f>
        <v>0.28213797989191775</v>
      </c>
      <c r="BZ334" s="1185">
        <f>'2022'!R\Max</f>
        <v>0.98278736698523528</v>
      </c>
      <c r="CA334" s="1185">
        <f>'2023'!R\Max</f>
        <v>0.98262290356263282</v>
      </c>
      <c r="CB334" s="1185">
        <f>'2024'!R\Max</f>
        <v>0.98242680383153003</v>
      </c>
      <c r="CC334" s="1185">
        <f>'2025'!R\Max</f>
        <v>0.98216812600336589</v>
      </c>
      <c r="CD334" s="1185">
        <f>'2026'!R\Max</f>
        <v>0.98320175743742555</v>
      </c>
      <c r="CE334" s="1186">
        <f>'2027'!R\Max</f>
        <v>0.98306686944207378</v>
      </c>
      <c r="CF334" s="1187">
        <f>'2028'!R\Max</f>
        <v>0.98293046440487031</v>
      </c>
    </row>
    <row r="335" spans="1:84" s="6" customFormat="1" ht="11.25" x14ac:dyDescent="0.2">
      <c r="A335" s="11">
        <v>43421</v>
      </c>
      <c r="B335" s="379">
        <f>'2022'!Maxi_hp</f>
        <v>19.304439918384041</v>
      </c>
      <c r="C335" s="13">
        <f>'2022'!An_max</f>
        <v>2020</v>
      </c>
      <c r="D335" s="1046" t="str">
        <f t="shared" ref="D335:D380" si="135">IF($BA335&gt;$D$11,BA335,"")</f>
        <v/>
      </c>
      <c r="E335" s="13"/>
      <c r="F335" s="13">
        <f t="shared" si="133"/>
        <v>25</v>
      </c>
      <c r="G335" s="13">
        <f t="shared" ref="G335:G380" si="136">INT((MATCH($A335,x.2m)+1)/2)*2</f>
        <v>24</v>
      </c>
      <c r="H335" s="173">
        <f t="shared" ref="H335:H380" si="137">INDEX(x.2m,F335)</f>
        <v>43430</v>
      </c>
      <c r="I335" s="742">
        <f t="shared" ref="I335:I380" si="138">($A335-H335)/(INDEX(x.2m,G335)-H335)</f>
        <v>0.6428571428571429</v>
      </c>
      <c r="J335" s="735">
        <f t="shared" ref="J335:J380" si="139">((1-I335)*(INDEX(a.m,F335)*$A335*$A335+INDEX(b.m,F335)*$A335+INDEX(c.m,F335))+I335*(INDEX(a.m,G335)*$A335*$A335+INDEX(b.m,G335)*$A335+INDEX(c.m,G335)))/10</f>
        <v>31.683677551456327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39">
        <v>43421</v>
      </c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73">
        <f t="shared" ref="AR335:AR380" si="142">INDEX(x.2lg,AP335)</f>
        <v>43416</v>
      </c>
      <c r="AS335" s="742">
        <f t="shared" ref="AS335:AS380" si="143">($A335-AR335)/(INDEX(x.2lg,AQ335)-AR335)</f>
        <v>0.17857142857142858</v>
      </c>
      <c r="AT335" s="758">
        <f t="shared" ref="AT335:AT380" si="144">((1-AS335)*(INDEX(a.lg,AP335)*$A335*$A335+INDEX(b.lg,AP335)*$A335+INDEX(c.lg,AP335))+AS335*(INDEX(a.lg,AQ335)*$A335*$A335+INDEX(b.lg,AQ335)*$A335+INDEX(c.lg,AQ335)))/10</f>
        <v>31.647280698535702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73">
        <f t="shared" ref="AW335:AW380" si="147">INDEX(x.2ld,AU335)</f>
        <v>43430</v>
      </c>
      <c r="AX335" s="742">
        <f t="shared" ref="AX335:AX380" si="148">($A335-AW335)/(INDEX(x.2ld,AV335)-AW335)</f>
        <v>0.32142857142857145</v>
      </c>
      <c r="AY335" s="758">
        <f t="shared" ref="AY335:AY380" si="149">((1-AX335)*(INDEX(a.ld,AU335)*$A335*$A335+INDEX(b.ld,AU335)*$A335+INDEX(c.ld,AU335))+AX335*(INDEX(a.ld,AV335)*$A335*$A335+INDEX(b.ld,AV335)*$A335+INDEX(c.ld,AV335)))/10</f>
        <v>31.501371013745665</v>
      </c>
      <c r="AZ335" s="735">
        <f t="shared" si="134"/>
        <v>31.574325856140682</v>
      </c>
      <c r="BA335" s="633">
        <f t="shared" ref="BA335:BA380" si="150">+B335/J335</f>
        <v>0.60928659203251867</v>
      </c>
      <c r="BC335" s="11">
        <v>43421</v>
      </c>
      <c r="BD335" s="289">
        <f>[3]!FeuilCaduc*(1-Persistant)+Persistant</f>
        <v>0.84867362432465421</v>
      </c>
      <c r="BE335" s="290">
        <f>[3]!CroissVégét</f>
        <v>0.99893641739554129</v>
      </c>
      <c r="BF335" s="804">
        <f>1+[3]!Salcycl*Ksac</f>
        <v>1.0121684060811635</v>
      </c>
      <c r="BH335" s="1037">
        <f t="shared" ref="BH335:BH380" si="151">INDEX($BJ335:$BT335,,$BH$10)*(1-Ratini)+INDEX($BJ335:$BT335,,$BH$10+1)*Ratini</f>
        <v>0.14780540566802297</v>
      </c>
      <c r="BI335" s="11">
        <v>44517</v>
      </c>
      <c r="BJ335" s="715">
        <v>1.4688554284299344E-3</v>
      </c>
      <c r="BK335" s="715">
        <v>9.9425547837994309E-3</v>
      </c>
      <c r="BL335" s="715">
        <v>3.9561528275239191E-2</v>
      </c>
      <c r="BM335" s="715">
        <v>9.076054218885099E-2</v>
      </c>
      <c r="BN335" s="715">
        <v>0.16216147908968656</v>
      </c>
      <c r="BO335" s="716">
        <v>0.24520711869359246</v>
      </c>
      <c r="BP335" s="715">
        <v>0.34396410665568627</v>
      </c>
      <c r="BQ335" s="715">
        <v>0.4990843567046177</v>
      </c>
      <c r="BR335" s="715">
        <v>0.74553157338474074</v>
      </c>
      <c r="BS335" s="715">
        <v>1.0429546154257894</v>
      </c>
      <c r="BT335" s="715">
        <v>1.3477296781330192</v>
      </c>
      <c r="BW335" s="1185">
        <f>'2019'!R\Max</f>
        <v>0.29480143694324046</v>
      </c>
      <c r="BX335" s="1185">
        <f>'2020'!R\Max</f>
        <v>0.60928659203251867</v>
      </c>
      <c r="BY335" s="1185">
        <f>'2021'!R\Max</f>
        <v>0.10467753298908068</v>
      </c>
      <c r="BZ335" s="1185">
        <f>'2022'!R\Max</f>
        <v>0.42789581887089279</v>
      </c>
      <c r="CA335" s="1185">
        <f>'2023'!R\Max</f>
        <v>0.42553131821217133</v>
      </c>
      <c r="CB335" s="1185">
        <f>'2024'!R\Max</f>
        <v>0.42270610305958778</v>
      </c>
      <c r="CC335" s="1185">
        <f>'2025'!R\Max</f>
        <v>0.41896811559623326</v>
      </c>
      <c r="CD335" s="1185">
        <f>'2026'!R\Max</f>
        <v>0.43392675409254977</v>
      </c>
      <c r="CE335" s="1186">
        <f>'2027'!R\Max</f>
        <v>0.43195199429700176</v>
      </c>
      <c r="CF335" s="1187">
        <f>'2028'!R\Max</f>
        <v>0.4299729304818663</v>
      </c>
    </row>
    <row r="336" spans="1:84" s="6" customFormat="1" ht="11.25" x14ac:dyDescent="0.2">
      <c r="A336" s="11">
        <v>43422</v>
      </c>
      <c r="B336" s="379">
        <f>'2022'!Maxi_hp</f>
        <v>28.981060402104621</v>
      </c>
      <c r="C336" s="13">
        <f>'2022'!An_max</f>
        <v>2020</v>
      </c>
      <c r="D336" s="1046" t="str">
        <f t="shared" si="135"/>
        <v/>
      </c>
      <c r="E336" s="13"/>
      <c r="F336" s="13">
        <f t="shared" ref="F336:F380" si="152">INT(MATCH($A336,x.2m)/2)*2+1</f>
        <v>25</v>
      </c>
      <c r="G336" s="13">
        <f t="shared" si="136"/>
        <v>24</v>
      </c>
      <c r="H336" s="173">
        <f t="shared" si="137"/>
        <v>43430</v>
      </c>
      <c r="I336" s="742">
        <f t="shared" si="138"/>
        <v>0.5714285714285714</v>
      </c>
      <c r="J336" s="735">
        <f t="shared" si="139"/>
        <v>31.421991836811817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39">
        <v>43422</v>
      </c>
      <c r="AP336" s="13">
        <f t="shared" si="140"/>
        <v>13</v>
      </c>
      <c r="AQ336" s="13">
        <f t="shared" si="141"/>
        <v>14</v>
      </c>
      <c r="AR336" s="173">
        <f t="shared" si="142"/>
        <v>43416</v>
      </c>
      <c r="AS336" s="742">
        <f t="shared" si="143"/>
        <v>0.21428571428571427</v>
      </c>
      <c r="AT336" s="758">
        <f t="shared" si="144"/>
        <v>31.366044624588852</v>
      </c>
      <c r="AU336" s="13">
        <f t="shared" si="145"/>
        <v>13</v>
      </c>
      <c r="AV336" s="13">
        <f t="shared" si="146"/>
        <v>12</v>
      </c>
      <c r="AW336" s="173">
        <f t="shared" si="147"/>
        <v>43430</v>
      </c>
      <c r="AX336" s="742">
        <f t="shared" si="148"/>
        <v>0.2857142857142857</v>
      </c>
      <c r="AY336" s="758">
        <f t="shared" si="149"/>
        <v>31.247244897857307</v>
      </c>
      <c r="AZ336" s="735">
        <f t="shared" ref="AZ336:AZ380" si="153">(AY336+AT336)/2</f>
        <v>31.30664476122308</v>
      </c>
      <c r="BA336" s="633">
        <f t="shared" si="150"/>
        <v>0.92231773697275388</v>
      </c>
      <c r="BC336" s="11">
        <v>43422</v>
      </c>
      <c r="BD336" s="289">
        <f>[3]!FeuilCaduc*(1-Persistant)+Persistant</f>
        <v>0.84629993626838529</v>
      </c>
      <c r="BE336" s="290">
        <f>[3]!CroissVégét</f>
        <v>0.99899250051286803</v>
      </c>
      <c r="BF336" s="804">
        <f>1+[3]!Salcycl*Ksac</f>
        <v>1.0115749840670962</v>
      </c>
      <c r="BH336" s="1037">
        <f t="shared" si="151"/>
        <v>0.14917669909026238</v>
      </c>
      <c r="BI336" s="11">
        <v>44518</v>
      </c>
      <c r="BJ336" s="715">
        <v>1.5134246904451633E-3</v>
      </c>
      <c r="BK336" s="715">
        <v>1.0578778860667944E-2</v>
      </c>
      <c r="BL336" s="715">
        <v>4.1082876467790026E-2</v>
      </c>
      <c r="BM336" s="715">
        <v>9.2488469969770046E-2</v>
      </c>
      <c r="BN336" s="715">
        <v>0.16344302088968282</v>
      </c>
      <c r="BO336" s="716">
        <v>0.24512574747618338</v>
      </c>
      <c r="BP336" s="715">
        <v>0.34346251544411449</v>
      </c>
      <c r="BQ336" s="715">
        <v>0.50269387774257113</v>
      </c>
      <c r="BR336" s="715">
        <v>0.75226047817723385</v>
      </c>
      <c r="BS336" s="715">
        <v>1.0507176222983416</v>
      </c>
      <c r="BT336" s="715">
        <v>1.3504583727604651</v>
      </c>
      <c r="BW336" s="1185">
        <f>'2019'!R\Max</f>
        <v>0.3219228133272366</v>
      </c>
      <c r="BX336" s="1185">
        <f>'2020'!R\Max</f>
        <v>0.92231773697275388</v>
      </c>
      <c r="BY336" s="1185">
        <f>'2021'!R\Max</f>
        <v>0.63500055582565484</v>
      </c>
      <c r="BZ336" s="1185">
        <f>'2022'!R\Max</f>
        <v>0.49716711479084807</v>
      </c>
      <c r="CA336" s="1185">
        <f>'2023'!R\Max</f>
        <v>0.49474809869132508</v>
      </c>
      <c r="CB336" s="1185">
        <f>'2024'!R\Max</f>
        <v>0.49181376354303746</v>
      </c>
      <c r="CC336" s="1185">
        <f>'2025'!R\Max</f>
        <v>0.48785764759922706</v>
      </c>
      <c r="CD336" s="1185">
        <f>'2026'!R\Max</f>
        <v>0.50327205420007914</v>
      </c>
      <c r="CE336" s="1186">
        <f>'2027'!R\Max</f>
        <v>0.50128333948909221</v>
      </c>
      <c r="CF336" s="1187">
        <f>'2028'!R\Max</f>
        <v>0.49928813596044669</v>
      </c>
    </row>
    <row r="337" spans="1:84" s="6" customFormat="1" ht="11.25" x14ac:dyDescent="0.2">
      <c r="A337" s="11">
        <v>43423</v>
      </c>
      <c r="B337" s="379">
        <f>'2022'!Maxi_hp</f>
        <v>31.083466174894443</v>
      </c>
      <c r="C337" s="13">
        <f>'2022'!An_max</f>
        <v>2020</v>
      </c>
      <c r="D337" s="1046">
        <f t="shared" si="135"/>
        <v>0.99748302172271119</v>
      </c>
      <c r="E337" s="13"/>
      <c r="F337" s="13">
        <f t="shared" si="152"/>
        <v>25</v>
      </c>
      <c r="G337" s="13">
        <f t="shared" si="136"/>
        <v>24</v>
      </c>
      <c r="H337" s="173">
        <f t="shared" si="137"/>
        <v>43430</v>
      </c>
      <c r="I337" s="742">
        <f t="shared" si="138"/>
        <v>0.5</v>
      </c>
      <c r="J337" s="735">
        <f t="shared" si="139"/>
        <v>31.16190000027418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39">
        <v>43423</v>
      </c>
      <c r="AP337" s="13">
        <f t="shared" si="140"/>
        <v>13</v>
      </c>
      <c r="AQ337" s="13">
        <f t="shared" si="141"/>
        <v>14</v>
      </c>
      <c r="AR337" s="173">
        <f t="shared" si="142"/>
        <v>43416</v>
      </c>
      <c r="AS337" s="742">
        <f t="shared" si="143"/>
        <v>0.25</v>
      </c>
      <c r="AT337" s="758">
        <f t="shared" si="144"/>
        <v>31.083422088483349</v>
      </c>
      <c r="AU337" s="13">
        <f t="shared" si="145"/>
        <v>13</v>
      </c>
      <c r="AV337" s="13">
        <f t="shared" si="146"/>
        <v>12</v>
      </c>
      <c r="AW337" s="173">
        <f t="shared" si="147"/>
        <v>43430</v>
      </c>
      <c r="AX337" s="742">
        <f t="shared" si="148"/>
        <v>0.25</v>
      </c>
      <c r="AY337" s="758">
        <f t="shared" si="149"/>
        <v>30.998045312659816</v>
      </c>
      <c r="AZ337" s="735">
        <f t="shared" si="153"/>
        <v>31.040733700571582</v>
      </c>
      <c r="BA337" s="633">
        <f t="shared" si="150"/>
        <v>0.99748302172271119</v>
      </c>
      <c r="BC337" s="11">
        <v>43423</v>
      </c>
      <c r="BD337" s="289">
        <f>[3]!FeuilCaduc*(1-Persistant)+Persistant</f>
        <v>0.84398759695987169</v>
      </c>
      <c r="BE337" s="290">
        <f>[3]!CroissVégét</f>
        <v>0.99904633147520905</v>
      </c>
      <c r="BF337" s="804">
        <f>1+[3]!Salcycl*Ksac</f>
        <v>1.0109968992399678</v>
      </c>
      <c r="BH337" s="1037">
        <f t="shared" si="151"/>
        <v>0.15025006004860608</v>
      </c>
      <c r="BI337" s="11">
        <v>44519</v>
      </c>
      <c r="BJ337" s="715">
        <v>1.558311213932416E-3</v>
      </c>
      <c r="BK337" s="715">
        <v>1.1238063906362998E-2</v>
      </c>
      <c r="BL337" s="715">
        <v>4.2521038749324162E-2</v>
      </c>
      <c r="BM337" s="715">
        <v>9.3999134700840578E-2</v>
      </c>
      <c r="BN337" s="715">
        <v>0.16440632873042851</v>
      </c>
      <c r="BO337" s="716">
        <v>0.24475746953399968</v>
      </c>
      <c r="BP337" s="715">
        <v>0.34289305420139471</v>
      </c>
      <c r="BQ337" s="715">
        <v>0.50651292298348394</v>
      </c>
      <c r="BR337" s="715">
        <v>0.75897148073861842</v>
      </c>
      <c r="BS337" s="715">
        <v>1.058256228004292</v>
      </c>
      <c r="BT337" s="715">
        <v>1.352826763741642</v>
      </c>
      <c r="BW337" s="1185">
        <f>'2019'!R\Max</f>
        <v>0.46636592421148426</v>
      </c>
      <c r="BX337" s="1185">
        <f>'2020'!R\Max</f>
        <v>0.99748302172271119</v>
      </c>
      <c r="BY337" s="1185">
        <f>'2021'!R\Max</f>
        <v>0.94777050333393698</v>
      </c>
      <c r="BZ337" s="1185">
        <f>'2022'!R\Max</f>
        <v>0.20853860339822761</v>
      </c>
      <c r="CA337" s="1185">
        <f>'2023'!R\Max</f>
        <v>0.20711081653713045</v>
      </c>
      <c r="CB337" s="1185">
        <f>'2024'!R\Max</f>
        <v>0.20536333046452276</v>
      </c>
      <c r="CC337" s="1185">
        <f>'2025'!R\Max</f>
        <v>0.20298280458644008</v>
      </c>
      <c r="CD337" s="1185">
        <f>'2026'!R\Max</f>
        <v>0.21213232580945868</v>
      </c>
      <c r="CE337" s="1186">
        <f>'2027'!R\Max</f>
        <v>0.21096328704026671</v>
      </c>
      <c r="CF337" s="1187">
        <f>'2028'!R\Max</f>
        <v>0.20979424827107473</v>
      </c>
    </row>
    <row r="338" spans="1:84" s="6" customFormat="1" ht="11.25" x14ac:dyDescent="0.2">
      <c r="A338" s="11">
        <v>43424</v>
      </c>
      <c r="B338" s="379">
        <f>'2022'!Maxi_hp</f>
        <v>30.262737933685557</v>
      </c>
      <c r="C338" s="13">
        <f>'2022'!An_max</f>
        <v>2018</v>
      </c>
      <c r="D338" s="1046">
        <f t="shared" si="135"/>
        <v>0.97925504179852707</v>
      </c>
      <c r="E338" s="13"/>
      <c r="F338" s="13">
        <f t="shared" si="152"/>
        <v>25</v>
      </c>
      <c r="G338" s="13">
        <f t="shared" si="136"/>
        <v>24</v>
      </c>
      <c r="H338" s="173">
        <f t="shared" si="137"/>
        <v>43430</v>
      </c>
      <c r="I338" s="742">
        <f t="shared" si="138"/>
        <v>0.42857142857142855</v>
      </c>
      <c r="J338" s="735">
        <f t="shared" si="139"/>
        <v>30.903836735018661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39">
        <v>43424</v>
      </c>
      <c r="AP338" s="13">
        <f t="shared" si="140"/>
        <v>13</v>
      </c>
      <c r="AQ338" s="13">
        <f t="shared" si="141"/>
        <v>14</v>
      </c>
      <c r="AR338" s="173">
        <f t="shared" si="142"/>
        <v>43416</v>
      </c>
      <c r="AS338" s="742">
        <f t="shared" si="143"/>
        <v>0.2857142857142857</v>
      </c>
      <c r="AT338" s="758">
        <f t="shared" si="144"/>
        <v>30.800323491756405</v>
      </c>
      <c r="AU338" s="13">
        <f t="shared" si="145"/>
        <v>13</v>
      </c>
      <c r="AV338" s="13">
        <f t="shared" si="146"/>
        <v>12</v>
      </c>
      <c r="AW338" s="173">
        <f t="shared" si="147"/>
        <v>43430</v>
      </c>
      <c r="AX338" s="742">
        <f t="shared" si="148"/>
        <v>0.21428571428571427</v>
      </c>
      <c r="AY338" s="758">
        <f t="shared" si="149"/>
        <v>30.754139030671546</v>
      </c>
      <c r="AZ338" s="735">
        <f t="shared" si="153"/>
        <v>30.777231261213977</v>
      </c>
      <c r="BA338" s="633">
        <f t="shared" si="150"/>
        <v>0.97925504179852707</v>
      </c>
      <c r="BC338" s="11">
        <v>43424</v>
      </c>
      <c r="BD338" s="289">
        <f>[3]!FeuilCaduc*(1-Persistant)+Persistant</f>
        <v>0.84173889734056495</v>
      </c>
      <c r="BE338" s="290">
        <f>[3]!CroissVégét</f>
        <v>0.99909800049508712</v>
      </c>
      <c r="BF338" s="804">
        <f>1+[3]!Salcycl*Ksac</f>
        <v>1.0104347243351413</v>
      </c>
      <c r="BH338" s="1037">
        <f t="shared" si="151"/>
        <v>0.15099260637141501</v>
      </c>
      <c r="BI338" s="11">
        <v>44520</v>
      </c>
      <c r="BJ338" s="715">
        <v>1.6026225092401047E-3</v>
      </c>
      <c r="BK338" s="715">
        <v>1.1915649200018259E-2</v>
      </c>
      <c r="BL338" s="715">
        <v>4.3849783059299444E-2</v>
      </c>
      <c r="BM338" s="715">
        <v>9.5265017063483226E-2</v>
      </c>
      <c r="BN338" s="715">
        <v>0.1650171708093523</v>
      </c>
      <c r="BO338" s="716">
        <v>0.24409703354500983</v>
      </c>
      <c r="BP338" s="715">
        <v>0.34238574146460904</v>
      </c>
      <c r="BQ338" s="715">
        <v>0.51059434777550894</v>
      </c>
      <c r="BR338" s="715">
        <v>0.76567598823372973</v>
      </c>
      <c r="BS338" s="715">
        <v>1.0653823187081986</v>
      </c>
      <c r="BT338" s="715">
        <v>1.3546370805997945</v>
      </c>
      <c r="BW338" s="1185">
        <f>'2019'!R\Max</f>
        <v>0.97925504179852707</v>
      </c>
      <c r="BX338" s="1185">
        <f>'2020'!R\Max</f>
        <v>0.16247327696194078</v>
      </c>
      <c r="BY338" s="1185">
        <f>'2021'!R\Max</f>
        <v>0.81014846853080047</v>
      </c>
      <c r="BZ338" s="1185">
        <f>'2022'!R\Max</f>
        <v>0.70663519017674969</v>
      </c>
      <c r="CA338" s="1185">
        <f>'2023'!R\Max</f>
        <v>0.70460370222998747</v>
      </c>
      <c r="CB338" s="1185">
        <f>'2024'!R\Max</f>
        <v>0.70206428672586318</v>
      </c>
      <c r="CC338" s="1185">
        <f>'2025'!R\Max</f>
        <v>0.69851357761149457</v>
      </c>
      <c r="CD338" s="1185">
        <f>'2026'!R\Max</f>
        <v>0.71161879164861175</v>
      </c>
      <c r="CE338" s="1186">
        <f>'2027'!R\Max</f>
        <v>0.71001794588700484</v>
      </c>
      <c r="CF338" s="1187">
        <f>'2028'!R\Max</f>
        <v>0.70840675019157351</v>
      </c>
    </row>
    <row r="339" spans="1:84" s="6" customFormat="1" ht="11.25" x14ac:dyDescent="0.2">
      <c r="A339" s="11">
        <v>43425</v>
      </c>
      <c r="B339" s="379">
        <f>'2022'!Maxi_hp</f>
        <v>27.490335001003508</v>
      </c>
      <c r="C339" s="13">
        <f>'2022'!An_max</f>
        <v>2018</v>
      </c>
      <c r="D339" s="1046" t="str">
        <f t="shared" si="135"/>
        <v/>
      </c>
      <c r="E339" s="13"/>
      <c r="F339" s="13">
        <f>INT(MATCH($A339,x.2m)/2)*2+1</f>
        <v>25</v>
      </c>
      <c r="G339" s="13">
        <f>INT((MATCH($A339,x.2m)+1)/2)*2</f>
        <v>24</v>
      </c>
      <c r="H339" s="173">
        <f t="shared" si="137"/>
        <v>43430</v>
      </c>
      <c r="I339" s="742">
        <f t="shared" si="138"/>
        <v>0.35714285714285715</v>
      </c>
      <c r="J339" s="735">
        <f t="shared" si="139"/>
        <v>30.648236735111901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39">
        <v>43425</v>
      </c>
      <c r="AP339" s="13">
        <f t="shared" si="140"/>
        <v>13</v>
      </c>
      <c r="AQ339" s="13">
        <f t="shared" si="141"/>
        <v>14</v>
      </c>
      <c r="AR339" s="173">
        <f t="shared" si="142"/>
        <v>43416</v>
      </c>
      <c r="AS339" s="742">
        <f t="shared" si="143"/>
        <v>0.32142857142857145</v>
      </c>
      <c r="AT339" s="758">
        <f t="shared" si="144"/>
        <v>30.517659238559595</v>
      </c>
      <c r="AU339" s="13">
        <f t="shared" si="145"/>
        <v>13</v>
      </c>
      <c r="AV339" s="13">
        <f t="shared" si="146"/>
        <v>12</v>
      </c>
      <c r="AW339" s="173">
        <f t="shared" si="147"/>
        <v>43430</v>
      </c>
      <c r="AX339" s="742">
        <f t="shared" si="148"/>
        <v>0.17857142857142858</v>
      </c>
      <c r="AY339" s="758">
        <f t="shared" si="149"/>
        <v>30.515892824184682</v>
      </c>
      <c r="AZ339" s="735">
        <f t="shared" si="153"/>
        <v>30.516776031372139</v>
      </c>
      <c r="BA339" s="633">
        <f t="shared" si="150"/>
        <v>0.89696302069833045</v>
      </c>
      <c r="BC339" s="11">
        <v>43425</v>
      </c>
      <c r="BD339" s="289">
        <f>[3]!FeuilCaduc*(1-Persistant)+Persistant</f>
        <v>0.83955588778867762</v>
      </c>
      <c r="BE339" s="290">
        <f>[3]!CroissVégét</f>
        <v>0.99914759418945731</v>
      </c>
      <c r="BF339" s="804">
        <f>1+[3]!Salcycl*Ksac</f>
        <v>1.0098889719471693</v>
      </c>
      <c r="BH339" s="1037">
        <f t="shared" si="151"/>
        <v>0.15159865915433696</v>
      </c>
      <c r="BI339" s="11">
        <v>44521</v>
      </c>
      <c r="BJ339" s="715">
        <v>1.6452465604588561E-3</v>
      </c>
      <c r="BK339" s="715">
        <v>1.260111281611543E-2</v>
      </c>
      <c r="BL339" s="715">
        <v>4.5113144692952453E-2</v>
      </c>
      <c r="BM339" s="715">
        <v>9.6435527459306628E-2</v>
      </c>
      <c r="BN339" s="715">
        <v>0.16548117057575351</v>
      </c>
      <c r="BO339" s="716">
        <v>0.24336244735190882</v>
      </c>
      <c r="BP339" s="715">
        <v>0.34207023062436664</v>
      </c>
      <c r="BQ339" s="715">
        <v>0.51483407287074612</v>
      </c>
      <c r="BR339" s="715">
        <v>0.77235773083107417</v>
      </c>
      <c r="BS339" s="715">
        <v>1.0721661004944218</v>
      </c>
      <c r="BT339" s="715">
        <v>1.3561960934394808</v>
      </c>
      <c r="BW339" s="1185">
        <f>'2019'!R\Max</f>
        <v>0.89696302069833045</v>
      </c>
      <c r="BX339" s="1185">
        <f>'2020'!R\Max</f>
        <v>0.76936773417738502</v>
      </c>
      <c r="BY339" s="1185">
        <f>'2021'!R\Max</f>
        <v>0.4254181403758005</v>
      </c>
      <c r="BZ339" s="1185">
        <f>'2022'!R\Max</f>
        <v>0.11335043384303982</v>
      </c>
      <c r="CA339" s="1185">
        <f>'2023'!R\Max</f>
        <v>0.112561079725326</v>
      </c>
      <c r="CB339" s="1185">
        <f>'2024'!R\Max</f>
        <v>0.11157294238372108</v>
      </c>
      <c r="CC339" s="1185">
        <f>'2025'!R\Max</f>
        <v>0.11019137098430244</v>
      </c>
      <c r="CD339" s="1185">
        <f>'2026'!R\Max</f>
        <v>0.11528899085271345</v>
      </c>
      <c r="CE339" s="1186">
        <f>'2027'!R\Max</f>
        <v>0.11466618377025288</v>
      </c>
      <c r="CF339" s="1187">
        <f>'2028'!R\Max</f>
        <v>0.11404337668779234</v>
      </c>
    </row>
    <row r="340" spans="1:84" s="6" customFormat="1" ht="11.25" x14ac:dyDescent="0.2">
      <c r="A340" s="11">
        <v>43426</v>
      </c>
      <c r="B340" s="379">
        <f>'2022'!Maxi_hp</f>
        <v>31.520653340989391</v>
      </c>
      <c r="C340" s="13">
        <f>'2022'!An_max</f>
        <v>2020</v>
      </c>
      <c r="D340" s="1046">
        <f t="shared" si="135"/>
        <v>1.0370159188860821</v>
      </c>
      <c r="E340" s="13"/>
      <c r="F340" s="13">
        <f t="shared" si="152"/>
        <v>25</v>
      </c>
      <c r="G340" s="13">
        <f t="shared" si="136"/>
        <v>24</v>
      </c>
      <c r="H340" s="173">
        <f t="shared" si="137"/>
        <v>43430</v>
      </c>
      <c r="I340" s="742">
        <f t="shared" si="138"/>
        <v>0.2857142857142857</v>
      </c>
      <c r="J340" s="735">
        <f t="shared" si="139"/>
        <v>30.39553469424801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39">
        <v>43426</v>
      </c>
      <c r="AP340" s="13">
        <f t="shared" si="140"/>
        <v>13</v>
      </c>
      <c r="AQ340" s="13">
        <f t="shared" si="141"/>
        <v>14</v>
      </c>
      <c r="AR340" s="173">
        <f t="shared" si="142"/>
        <v>43416</v>
      </c>
      <c r="AS340" s="742">
        <f t="shared" si="143"/>
        <v>0.35714285714285715</v>
      </c>
      <c r="AT340" s="758">
        <f t="shared" si="144"/>
        <v>30.236339731501147</v>
      </c>
      <c r="AU340" s="13">
        <f t="shared" si="145"/>
        <v>13</v>
      </c>
      <c r="AV340" s="13">
        <f t="shared" si="146"/>
        <v>12</v>
      </c>
      <c r="AW340" s="173">
        <f t="shared" si="147"/>
        <v>43430</v>
      </c>
      <c r="AX340" s="742">
        <f t="shared" si="148"/>
        <v>0.14285714285714285</v>
      </c>
      <c r="AY340" s="758">
        <f t="shared" si="149"/>
        <v>30.283673468578076</v>
      </c>
      <c r="AZ340" s="735">
        <f t="shared" si="153"/>
        <v>30.26000660003961</v>
      </c>
      <c r="BA340" s="633">
        <f t="shared" si="150"/>
        <v>1.0370159188860821</v>
      </c>
      <c r="BC340" s="11">
        <v>43426</v>
      </c>
      <c r="BD340" s="289">
        <f>[3]!FeuilCaduc*(1-Persistant)+Persistant</f>
        <v>0.8374403712526679</v>
      </c>
      <c r="BE340" s="290">
        <f>[3]!CroissVégét</f>
        <v>0.99919519572159454</v>
      </c>
      <c r="BF340" s="804">
        <f>1+[3]!Salcycl*Ksac</f>
        <v>1.009360092813167</v>
      </c>
      <c r="BH340" s="1037">
        <f t="shared" si="151"/>
        <v>0.15206792497250141</v>
      </c>
      <c r="BI340" s="11">
        <v>44522</v>
      </c>
      <c r="BJ340" s="715">
        <v>1.6861780095127005E-3</v>
      </c>
      <c r="BK340" s="715">
        <v>1.3294411720945113E-2</v>
      </c>
      <c r="BL340" s="715">
        <v>4.6310955049616985E-2</v>
      </c>
      <c r="BM340" s="715">
        <v>9.751042840655133E-2</v>
      </c>
      <c r="BN340" s="715">
        <v>0.16579802052595835</v>
      </c>
      <c r="BO340" s="716">
        <v>0.24255345915772125</v>
      </c>
      <c r="BP340" s="715">
        <v>0.34194638261919963</v>
      </c>
      <c r="BQ340" s="715">
        <v>0.51923151572693327</v>
      </c>
      <c r="BR340" s="715">
        <v>0.77901559299286716</v>
      </c>
      <c r="BS340" s="715">
        <v>1.0786058956061835</v>
      </c>
      <c r="BT340" s="715">
        <v>1.3575022252180498</v>
      </c>
      <c r="BW340" s="1185">
        <f>'2019'!R\Max</f>
        <v>0.42470458397887773</v>
      </c>
      <c r="BX340" s="1185">
        <f>'2020'!R\Max</f>
        <v>1.0370159188860821</v>
      </c>
      <c r="BY340" s="1185">
        <f>'2021'!R\Max</f>
        <v>0.47060871969507762</v>
      </c>
      <c r="BZ340" s="1185">
        <f>'2022'!R\Max</f>
        <v>0.35022531855440803</v>
      </c>
      <c r="CA340" s="1185">
        <f>'2023'!R\Max</f>
        <v>0.34795227974589682</v>
      </c>
      <c r="CB340" s="1185">
        <f>'2024'!R\Max</f>
        <v>0.3450775545159695</v>
      </c>
      <c r="CC340" s="1185">
        <f>'2025'!R\Max</f>
        <v>0.3410109714649418</v>
      </c>
      <c r="CD340" s="1185">
        <f>'2026'!R\Max</f>
        <v>0.35571875168998873</v>
      </c>
      <c r="CE340" s="1186">
        <f>'2027'!R\Max</f>
        <v>0.35396844031784536</v>
      </c>
      <c r="CF340" s="1187">
        <f>'2028'!R\Max</f>
        <v>0.35221660044282616</v>
      </c>
    </row>
    <row r="341" spans="1:84" s="6" customFormat="1" ht="11.25" x14ac:dyDescent="0.2">
      <c r="A341" s="11">
        <v>43427</v>
      </c>
      <c r="B341" s="379">
        <f>'2022'!Maxi_hp</f>
        <v>31.418721073336016</v>
      </c>
      <c r="C341" s="13">
        <f>'2022'!An_max</f>
        <v>2020</v>
      </c>
      <c r="D341" s="1046">
        <f t="shared" si="135"/>
        <v>1.0422128570357796</v>
      </c>
      <c r="E341" s="13"/>
      <c r="F341" s="13">
        <f t="shared" si="152"/>
        <v>25</v>
      </c>
      <c r="G341" s="13">
        <f t="shared" si="136"/>
        <v>24</v>
      </c>
      <c r="H341" s="173">
        <f t="shared" si="137"/>
        <v>43430</v>
      </c>
      <c r="I341" s="742">
        <f t="shared" si="138"/>
        <v>0.21428571428571427</v>
      </c>
      <c r="J341" s="735">
        <f t="shared" si="139"/>
        <v>30.146165307052435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39">
        <v>43427</v>
      </c>
      <c r="AP341" s="13">
        <f t="shared" si="140"/>
        <v>13</v>
      </c>
      <c r="AQ341" s="13">
        <f t="shared" si="141"/>
        <v>14</v>
      </c>
      <c r="AR341" s="173">
        <f t="shared" si="142"/>
        <v>43416</v>
      </c>
      <c r="AS341" s="742">
        <f t="shared" si="143"/>
        <v>0.39285714285714285</v>
      </c>
      <c r="AT341" s="758">
        <f t="shared" si="144"/>
        <v>29.957275374439952</v>
      </c>
      <c r="AU341" s="13">
        <f t="shared" si="145"/>
        <v>13</v>
      </c>
      <c r="AV341" s="13">
        <f t="shared" si="146"/>
        <v>12</v>
      </c>
      <c r="AW341" s="173">
        <f t="shared" si="147"/>
        <v>43430</v>
      </c>
      <c r="AX341" s="742">
        <f t="shared" si="148"/>
        <v>0.10714285714285714</v>
      </c>
      <c r="AY341" s="758">
        <f t="shared" si="149"/>
        <v>30.057847735664939</v>
      </c>
      <c r="AZ341" s="735">
        <f t="shared" si="153"/>
        <v>30.007561555052447</v>
      </c>
      <c r="BA341" s="633">
        <f t="shared" si="150"/>
        <v>1.0422128570357796</v>
      </c>
      <c r="BC341" s="11">
        <v>43427</v>
      </c>
      <c r="BD341" s="289">
        <f>[3]!FeuilCaduc*(1-Persistant)+Persistant</f>
        <v>0.83539389791934549</v>
      </c>
      <c r="BE341" s="290">
        <f>[3]!CroissVégét</f>
        <v>0.99924088493749397</v>
      </c>
      <c r="BF341" s="804">
        <f>1+[3]!Salcycl*Ksac</f>
        <v>1.0088484744798363</v>
      </c>
      <c r="BH341" s="1037">
        <f t="shared" si="151"/>
        <v>0.15239917584687515</v>
      </c>
      <c r="BI341" s="11">
        <v>44523</v>
      </c>
      <c r="BJ341" s="715">
        <v>1.7254007977199643E-3</v>
      </c>
      <c r="BK341" s="715">
        <v>1.399541229592275E-2</v>
      </c>
      <c r="BL341" s="715">
        <v>4.7442753144334229E-2</v>
      </c>
      <c r="BM341" s="715">
        <v>9.8488876320177193E-2</v>
      </c>
      <c r="BN341" s="715">
        <v>0.16596639594324242</v>
      </c>
      <c r="BO341" s="716">
        <v>0.24166832520637704</v>
      </c>
      <c r="BP341" s="715">
        <v>0.34201190988870955</v>
      </c>
      <c r="BQ341" s="715">
        <v>0.52378280107408226</v>
      </c>
      <c r="BR341" s="715">
        <v>0.78564354912956369</v>
      </c>
      <c r="BS341" s="715">
        <v>1.0846932925009964</v>
      </c>
      <c r="BT341" s="715">
        <v>1.3585454709763465</v>
      </c>
      <c r="BW341" s="1185">
        <f>'2019'!R\Max</f>
        <v>0.32441558394520248</v>
      </c>
      <c r="BX341" s="1185">
        <f>'2020'!R\Max</f>
        <v>1.0422128570357796</v>
      </c>
      <c r="BY341" s="1185">
        <f>'2021'!R\Max</f>
        <v>0.34416185205207067</v>
      </c>
      <c r="BZ341" s="1185">
        <f>'2022'!R\Max</f>
        <v>0.48465032677585634</v>
      </c>
      <c r="CA341" s="1185">
        <f>'2023'!R\Max</f>
        <v>0.4821136548068311</v>
      </c>
      <c r="CB341" s="1185">
        <f>'2024'!R\Max</f>
        <v>0.47887157561006743</v>
      </c>
      <c r="CC341" s="1185">
        <f>'2025'!R\Max</f>
        <v>0.47422832757944006</v>
      </c>
      <c r="CD341" s="1185">
        <f>'2026'!R\Max</f>
        <v>0.49066052492945228</v>
      </c>
      <c r="CE341" s="1186">
        <f>'2027'!R\Max</f>
        <v>0.48876526527840719</v>
      </c>
      <c r="CF341" s="1187">
        <f>'2028'!R\Max</f>
        <v>0.48686447603846322</v>
      </c>
    </row>
    <row r="342" spans="1:84" s="6" customFormat="1" ht="11.25" x14ac:dyDescent="0.2">
      <c r="A342" s="11">
        <v>43428</v>
      </c>
      <c r="B342" s="379">
        <f>'2022'!Maxi_hp</f>
        <v>29.328916242000091</v>
      </c>
      <c r="C342" s="13">
        <f>'2022'!An_max</f>
        <v>2020</v>
      </c>
      <c r="D342" s="1046">
        <f t="shared" si="135"/>
        <v>0.98088173060164141</v>
      </c>
      <c r="E342" s="13"/>
      <c r="F342" s="13">
        <f t="shared" si="152"/>
        <v>25</v>
      </c>
      <c r="G342" s="13">
        <f t="shared" si="136"/>
        <v>24</v>
      </c>
      <c r="H342" s="173">
        <f t="shared" si="137"/>
        <v>43430</v>
      </c>
      <c r="I342" s="742">
        <f t="shared" si="138"/>
        <v>0.14285714285714285</v>
      </c>
      <c r="J342" s="735">
        <f t="shared" si="139"/>
        <v>29.900563265675949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39">
        <v>43428</v>
      </c>
      <c r="AP342" s="13">
        <f t="shared" si="140"/>
        <v>13</v>
      </c>
      <c r="AQ342" s="13">
        <f t="shared" si="141"/>
        <v>14</v>
      </c>
      <c r="AR342" s="173">
        <f t="shared" si="142"/>
        <v>43416</v>
      </c>
      <c r="AS342" s="742">
        <f t="shared" si="143"/>
        <v>0.42857142857142855</v>
      </c>
      <c r="AT342" s="758">
        <f t="shared" si="144"/>
        <v>29.681376570250308</v>
      </c>
      <c r="AU342" s="13">
        <f t="shared" si="145"/>
        <v>13</v>
      </c>
      <c r="AV342" s="13">
        <f t="shared" si="146"/>
        <v>12</v>
      </c>
      <c r="AW342" s="173">
        <f t="shared" si="147"/>
        <v>43430</v>
      </c>
      <c r="AX342" s="742">
        <f t="shared" si="148"/>
        <v>7.1428571428571425E-2</v>
      </c>
      <c r="AY342" s="758">
        <f t="shared" si="149"/>
        <v>29.838782397764067</v>
      </c>
      <c r="AZ342" s="735">
        <f t="shared" si="153"/>
        <v>29.760079484007186</v>
      </c>
      <c r="BA342" s="633">
        <f t="shared" si="150"/>
        <v>0.98088173060164141</v>
      </c>
      <c r="BC342" s="11">
        <v>43428</v>
      </c>
      <c r="BD342" s="289">
        <f>[3]!FeuilCaduc*(1-Persistant)+Persistant</f>
        <v>0.83341776144677304</v>
      </c>
      <c r="BE342" s="290">
        <f>[3]!CroissVégét</f>
        <v>0.99928473849698995</v>
      </c>
      <c r="BF342" s="804">
        <f>1+[3]!Salcycl*Ksac</f>
        <v>1.0083544403616933</v>
      </c>
      <c r="BH342" s="1037">
        <f t="shared" si="151"/>
        <v>0.1525918266276092</v>
      </c>
      <c r="BI342" s="11">
        <v>44524</v>
      </c>
      <c r="BJ342" s="715">
        <v>1.762905293618512E-3</v>
      </c>
      <c r="BK342" s="715">
        <v>1.4704020677579446E-2</v>
      </c>
      <c r="BL342" s="715">
        <v>4.8508256040756786E-2</v>
      </c>
      <c r="BM342" s="715">
        <v>9.9370425285935149E-2</v>
      </c>
      <c r="BN342" s="715">
        <v>0.16598567663732766</v>
      </c>
      <c r="BO342" s="716">
        <v>0.24070633601421987</v>
      </c>
      <c r="BP342" s="715">
        <v>0.34226591515968635</v>
      </c>
      <c r="BQ342" s="715">
        <v>0.5284860923873399</v>
      </c>
      <c r="BR342" s="715">
        <v>0.79223867255387093</v>
      </c>
      <c r="BS342" s="715">
        <v>1.0904242763175267</v>
      </c>
      <c r="BT342" s="715">
        <v>1.3593214693564366</v>
      </c>
      <c r="BW342" s="1185">
        <f>'2019'!R\Max</f>
        <v>0.405928231120879</v>
      </c>
      <c r="BX342" s="1185">
        <f>'2020'!R\Max</f>
        <v>0.98088173060164141</v>
      </c>
      <c r="BY342" s="1185">
        <f>'2021'!R\Max</f>
        <v>3.6855454355791586E-2</v>
      </c>
      <c r="BZ342" s="1185">
        <f>'2022'!R\Max</f>
        <v>0.51204060207158431</v>
      </c>
      <c r="CA342" s="1185">
        <f>'2023'!R\Max</f>
        <v>0.50945647460848875</v>
      </c>
      <c r="CB342" s="1185">
        <f>'2024'!R\Max</f>
        <v>0.50613190575593958</v>
      </c>
      <c r="CC342" s="1185">
        <f>'2025'!R\Max</f>
        <v>0.50133541175395768</v>
      </c>
      <c r="CD342" s="1185">
        <f>'2026'!R\Max</f>
        <v>0.51805878075524836</v>
      </c>
      <c r="CE342" s="1186">
        <f>'2027'!R\Max</f>
        <v>0.51617865070106661</v>
      </c>
      <c r="CF342" s="1187">
        <f>'2028'!R\Max</f>
        <v>0.51429229590322989</v>
      </c>
    </row>
    <row r="343" spans="1:84" s="6" customFormat="1" ht="11.25" x14ac:dyDescent="0.2">
      <c r="A343" s="11">
        <v>43429</v>
      </c>
      <c r="B343" s="379">
        <f>'2022'!Maxi_hp</f>
        <v>27.79857439619018</v>
      </c>
      <c r="C343" s="13">
        <f>'2022'!An_max</f>
        <v>2020</v>
      </c>
      <c r="D343" s="1046" t="str">
        <f t="shared" si="135"/>
        <v/>
      </c>
      <c r="E343" s="13"/>
      <c r="F343" s="13">
        <f t="shared" si="152"/>
        <v>25</v>
      </c>
      <c r="G343" s="13">
        <f t="shared" si="136"/>
        <v>24</v>
      </c>
      <c r="H343" s="173">
        <f t="shared" si="137"/>
        <v>43430</v>
      </c>
      <c r="I343" s="742">
        <f t="shared" si="138"/>
        <v>7.1428571428571425E-2</v>
      </c>
      <c r="J343" s="735">
        <f t="shared" si="139"/>
        <v>29.659163265555566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39">
        <v>43429</v>
      </c>
      <c r="AP343" s="13">
        <f t="shared" si="140"/>
        <v>13</v>
      </c>
      <c r="AQ343" s="13">
        <f t="shared" si="141"/>
        <v>14</v>
      </c>
      <c r="AR343" s="173">
        <f t="shared" si="142"/>
        <v>43416</v>
      </c>
      <c r="AS343" s="742">
        <f t="shared" si="143"/>
        <v>0.4642857142857143</v>
      </c>
      <c r="AT343" s="758">
        <f t="shared" si="144"/>
        <v>29.409553723050543</v>
      </c>
      <c r="AU343" s="13">
        <f t="shared" si="145"/>
        <v>13</v>
      </c>
      <c r="AV343" s="13">
        <f t="shared" si="146"/>
        <v>12</v>
      </c>
      <c r="AW343" s="173">
        <f t="shared" si="147"/>
        <v>43430</v>
      </c>
      <c r="AX343" s="742">
        <f t="shared" si="148"/>
        <v>3.5714285714285712E-2</v>
      </c>
      <c r="AY343" s="758">
        <f t="shared" si="149"/>
        <v>29.626844228431583</v>
      </c>
      <c r="AZ343" s="735">
        <f t="shared" si="153"/>
        <v>29.518198975741065</v>
      </c>
      <c r="BA343" s="633">
        <f t="shared" si="150"/>
        <v>0.93726765476468554</v>
      </c>
      <c r="BC343" s="11">
        <v>43429</v>
      </c>
      <c r="BD343" s="289">
        <f>[3]!FeuilCaduc*(1-Persistant)+Persistant</f>
        <v>0.83151299677976409</v>
      </c>
      <c r="BE343" s="290">
        <f>[3]!CroissVégét</f>
        <v>0.99932682999978462</v>
      </c>
      <c r="BF343" s="804">
        <f>1+[3]!Salcycl*Ksac</f>
        <v>1.007878249194941</v>
      </c>
      <c r="BH343" s="1037">
        <f t="shared" si="151"/>
        <v>0.1526460953629315</v>
      </c>
      <c r="BI343" s="11">
        <v>44525</v>
      </c>
      <c r="BJ343" s="715">
        <v>1.7986909181393312E-3</v>
      </c>
      <c r="BK343" s="715">
        <v>1.5420212151770684E-2</v>
      </c>
      <c r="BL343" s="715">
        <v>4.9507432768854436E-2</v>
      </c>
      <c r="BM343" s="715">
        <v>0.10015514825723296</v>
      </c>
      <c r="BN343" s="715">
        <v>0.16585611717141924</v>
      </c>
      <c r="BO343" s="716">
        <v>0.23966803471996714</v>
      </c>
      <c r="BP343" s="715">
        <v>0.34270922221248956</v>
      </c>
      <c r="BQ343" s="715">
        <v>0.53334220326915527</v>
      </c>
      <c r="BR343" s="715">
        <v>0.79880205518066816</v>
      </c>
      <c r="BS343" s="715">
        <v>1.0958004376504848</v>
      </c>
      <c r="BT343" s="715">
        <v>1.3598328621984976</v>
      </c>
      <c r="BW343" s="1185">
        <f>'2019'!R\Max</f>
        <v>0.43420789135083232</v>
      </c>
      <c r="BX343" s="1185">
        <f>'2020'!R\Max</f>
        <v>0.93726765476468554</v>
      </c>
      <c r="BY343" s="1185">
        <f>'2021'!R\Max</f>
        <v>0.7242039974058363</v>
      </c>
      <c r="BZ343" s="1185">
        <f>'2022'!R\Max</f>
        <v>0.15042525453945646</v>
      </c>
      <c r="CA343" s="1185">
        <f>'2023'!R\Max</f>
        <v>0.14930617382005101</v>
      </c>
      <c r="CB343" s="1185">
        <f>'2024'!R\Max</f>
        <v>0.14786761251338076</v>
      </c>
      <c r="CC343" s="1185">
        <f>'2025'!R\Max</f>
        <v>0.14579723950260015</v>
      </c>
      <c r="CD343" s="1185">
        <f>'2026'!R\Max</f>
        <v>0.15300662971353521</v>
      </c>
      <c r="CE343" s="1186">
        <f>'2027'!R\Max</f>
        <v>0.15220499402007118</v>
      </c>
      <c r="CF343" s="1187">
        <f>'2028'!R\Max</f>
        <v>0.15140335832660712</v>
      </c>
    </row>
    <row r="344" spans="1:84" s="6" customFormat="1" ht="11.25" x14ac:dyDescent="0.2">
      <c r="A344" s="11">
        <v>43430</v>
      </c>
      <c r="B344" s="379">
        <f>'2022'!Maxi_hp</f>
        <v>28.034337428546774</v>
      </c>
      <c r="C344" s="13">
        <f>'2022'!An_max</f>
        <v>2020</v>
      </c>
      <c r="D344" s="1046" t="str">
        <f t="shared" si="135"/>
        <v/>
      </c>
      <c r="E344" s="1041">
        <f>AK$13/10</f>
        <v>29.4224</v>
      </c>
      <c r="F344" s="13">
        <f t="shared" si="152"/>
        <v>25</v>
      </c>
      <c r="G344" s="13">
        <f t="shared" si="136"/>
        <v>26</v>
      </c>
      <c r="H344" s="173">
        <f t="shared" si="137"/>
        <v>43430</v>
      </c>
      <c r="I344" s="742">
        <f t="shared" si="138"/>
        <v>0</v>
      </c>
      <c r="J344" s="735">
        <f t="shared" si="139"/>
        <v>29.422400000691415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39">
        <v>43430</v>
      </c>
      <c r="AP344" s="13">
        <f t="shared" si="140"/>
        <v>13</v>
      </c>
      <c r="AQ344" s="13">
        <f t="shared" si="141"/>
        <v>14</v>
      </c>
      <c r="AR344" s="173">
        <f t="shared" si="142"/>
        <v>43416</v>
      </c>
      <c r="AS344" s="742">
        <f t="shared" si="143"/>
        <v>0.5</v>
      </c>
      <c r="AT344" s="758">
        <f t="shared" si="144"/>
        <v>29.142717234231533</v>
      </c>
      <c r="AU344" s="13">
        <f t="shared" si="145"/>
        <v>13</v>
      </c>
      <c r="AV344" s="13">
        <f t="shared" si="146"/>
        <v>14</v>
      </c>
      <c r="AW344" s="173">
        <f t="shared" si="147"/>
        <v>43430</v>
      </c>
      <c r="AX344" s="742">
        <f t="shared" si="148"/>
        <v>0</v>
      </c>
      <c r="AY344" s="758">
        <f t="shared" si="149"/>
        <v>29.422399999946357</v>
      </c>
      <c r="AZ344" s="735">
        <f t="shared" si="153"/>
        <v>29.282558617088945</v>
      </c>
      <c r="BA344" s="633">
        <f t="shared" si="150"/>
        <v>0.95282293177606103</v>
      </c>
      <c r="BC344" s="11">
        <v>43430</v>
      </c>
      <c r="BD344" s="289">
        <f>[3]!FeuilCaduc*(1-Persistant)+Persistant</f>
        <v>0.82968037955327611</v>
      </c>
      <c r="BE344" s="290">
        <f>[3]!CroissVégét</f>
        <v>0.99936723010658135</v>
      </c>
      <c r="BF344" s="804">
        <f>1+[3]!Salcycl*Ksac</f>
        <v>1.007420094888319</v>
      </c>
      <c r="BH344" s="1037">
        <f t="shared" si="151"/>
        <v>0.15256222268768224</v>
      </c>
      <c r="BI344" s="11">
        <v>44526</v>
      </c>
      <c r="BJ344" s="715">
        <v>1.8327576681574E-3</v>
      </c>
      <c r="BK344" s="715">
        <v>1.6143966660631583E-2</v>
      </c>
      <c r="BL344" s="715">
        <v>5.0440271498552611E-2</v>
      </c>
      <c r="BM344" s="715">
        <v>0.10084314030148658</v>
      </c>
      <c r="BN344" s="715">
        <v>0.16557799481427141</v>
      </c>
      <c r="BO344" s="716">
        <v>0.23855396700619014</v>
      </c>
      <c r="BP344" s="715">
        <v>0.34334262493113082</v>
      </c>
      <c r="BQ344" s="715">
        <v>0.53835195939869485</v>
      </c>
      <c r="BR344" s="715">
        <v>0.80533484447695414</v>
      </c>
      <c r="BS344" s="715">
        <v>1.1008234647080581</v>
      </c>
      <c r="BT344" s="715">
        <v>1.3600823314786215</v>
      </c>
      <c r="BW344" s="1185">
        <f>'2019'!R\Max</f>
        <v>0.81115985333092733</v>
      </c>
      <c r="BX344" s="1185">
        <f>'2020'!R\Max</f>
        <v>0.95282293177606103</v>
      </c>
      <c r="BY344" s="1185">
        <f>'2021'!R\Max</f>
        <v>0.27474983843112738</v>
      </c>
      <c r="BZ344" s="1185">
        <f>'2022'!R\Max</f>
        <v>0.54027709005522706</v>
      </c>
      <c r="CA344" s="1185">
        <f>'2023'!R\Max</f>
        <v>0.53759437845293823</v>
      </c>
      <c r="CB344" s="1185">
        <f>'2024'!R\Max</f>
        <v>0.53411469800456657</v>
      </c>
      <c r="CC344" s="1185">
        <f>'2025'!R\Max</f>
        <v>0.52904914656477398</v>
      </c>
      <c r="CD344" s="1185">
        <f>'2026'!R\Max</f>
        <v>0.54630312426908445</v>
      </c>
      <c r="CE344" s="1186">
        <f>'2027'!R\Max</f>
        <v>0.54445866711846891</v>
      </c>
      <c r="CF344" s="1187">
        <f>'2028'!R\Max</f>
        <v>0.5426073978750372</v>
      </c>
    </row>
    <row r="345" spans="1:84" s="6" customFormat="1" ht="11.25" x14ac:dyDescent="0.2">
      <c r="A345" s="11">
        <v>43431</v>
      </c>
      <c r="B345" s="379">
        <f>'2022'!Maxi_hp</f>
        <v>23.110543581605093</v>
      </c>
      <c r="C345" s="13">
        <f>'2022'!An_max</f>
        <v>2020</v>
      </c>
      <c r="D345" s="1046" t="str">
        <f t="shared" si="135"/>
        <v/>
      </c>
      <c r="E345" s="13"/>
      <c r="F345" s="13">
        <f t="shared" si="152"/>
        <v>25</v>
      </c>
      <c r="G345" s="13">
        <f t="shared" si="136"/>
        <v>26</v>
      </c>
      <c r="H345" s="173">
        <f t="shared" si="137"/>
        <v>43430</v>
      </c>
      <c r="I345" s="742">
        <f t="shared" si="138"/>
        <v>7.1428571428571425E-2</v>
      </c>
      <c r="J345" s="735">
        <f t="shared" si="139"/>
        <v>29.186089541443756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39">
        <v>43431</v>
      </c>
      <c r="AP345" s="13">
        <f t="shared" si="140"/>
        <v>13</v>
      </c>
      <c r="AQ345" s="13">
        <f t="shared" si="141"/>
        <v>14</v>
      </c>
      <c r="AR345" s="173">
        <f t="shared" si="142"/>
        <v>43416</v>
      </c>
      <c r="AS345" s="742">
        <f t="shared" si="143"/>
        <v>0.5357142857142857</v>
      </c>
      <c r="AT345" s="758">
        <f t="shared" si="144"/>
        <v>28.881777510632368</v>
      </c>
      <c r="AU345" s="13">
        <f t="shared" si="145"/>
        <v>13</v>
      </c>
      <c r="AV345" s="13">
        <f t="shared" si="146"/>
        <v>14</v>
      </c>
      <c r="AW345" s="173">
        <f t="shared" si="147"/>
        <v>43430</v>
      </c>
      <c r="AX345" s="742">
        <f t="shared" si="148"/>
        <v>3.5714285714285712E-2</v>
      </c>
      <c r="AY345" s="758">
        <f t="shared" si="149"/>
        <v>29.21989804700549</v>
      </c>
      <c r="AZ345" s="735">
        <f t="shared" si="153"/>
        <v>29.050837778818931</v>
      </c>
      <c r="BA345" s="633">
        <f t="shared" si="150"/>
        <v>0.79183419035251401</v>
      </c>
      <c r="BC345" s="11">
        <v>43431</v>
      </c>
      <c r="BD345" s="289">
        <f>[3]!FeuilCaduc*(1-Persistant)+Persistant</f>
        <v>0.82792042707648716</v>
      </c>
      <c r="BE345" s="290">
        <f>[3]!CroissVégét</f>
        <v>0.9994060066555025</v>
      </c>
      <c r="BF345" s="804">
        <f>1+[3]!Salcycl*Ksac</f>
        <v>1.0069801067691218</v>
      </c>
      <c r="BH345" s="1037">
        <f t="shared" si="151"/>
        <v>0.15234046902703513</v>
      </c>
      <c r="BI345" s="11">
        <v>44527</v>
      </c>
      <c r="BJ345" s="715">
        <v>1.865106081393584E-3</v>
      </c>
      <c r="BK345" s="715">
        <v>1.687526896268822E-2</v>
      </c>
      <c r="BL345" s="715">
        <v>5.130677817769716E-2</v>
      </c>
      <c r="BM345" s="715">
        <v>0.10143451663324964</v>
      </c>
      <c r="BN345" s="715">
        <v>0.16515160653517777</v>
      </c>
      <c r="BO345" s="716">
        <v>0.23736467965332142</v>
      </c>
      <c r="BP345" s="715">
        <v>0.34416689143103252</v>
      </c>
      <c r="BQ345" s="715">
        <v>0.54351620196722528</v>
      </c>
      <c r="BR345" s="715">
        <v>0.81183824318781583</v>
      </c>
      <c r="BS345" s="715">
        <v>1.1054951364879453</v>
      </c>
      <c r="BT345" s="715">
        <v>1.3600725945530463</v>
      </c>
      <c r="BW345" s="1185">
        <f>'2019'!R\Max</f>
        <v>0.78396589352949875</v>
      </c>
      <c r="BX345" s="1185">
        <f>'2020'!R\Max</f>
        <v>0.79183419035251401</v>
      </c>
      <c r="BY345" s="1185">
        <f>'2021'!R\Max</f>
        <v>0.50973512736849191</v>
      </c>
      <c r="BZ345" s="1185">
        <f>'2022'!R\Max</f>
        <v>0.61679243051391686</v>
      </c>
      <c r="CA345" s="1185">
        <f>'2023'!R\Max</f>
        <v>0.61417245263810016</v>
      </c>
      <c r="CB345" s="1185">
        <f>'2024'!R\Max</f>
        <v>0.61076194713797383</v>
      </c>
      <c r="CC345" s="1185">
        <f>'2025'!R\Max</f>
        <v>0.60577492478358974</v>
      </c>
      <c r="CD345" s="1185">
        <f>'2026'!R\Max</f>
        <v>0.62255318802585036</v>
      </c>
      <c r="CE345" s="1186">
        <f>'2027'!R\Max</f>
        <v>0.62081157931458775</v>
      </c>
      <c r="CF345" s="1187">
        <f>'2028'!R\Max</f>
        <v>0.61906158765763908</v>
      </c>
    </row>
    <row r="346" spans="1:84" s="6" customFormat="1" ht="11.25" x14ac:dyDescent="0.2">
      <c r="A346" s="11">
        <v>43432</v>
      </c>
      <c r="B346" s="379">
        <f>'2022'!Maxi_hp</f>
        <v>17.324015395081876</v>
      </c>
      <c r="C346" s="13">
        <f>'2022'!An_max</f>
        <v>2020</v>
      </c>
      <c r="D346" s="1046" t="str">
        <f t="shared" si="135"/>
        <v/>
      </c>
      <c r="E346" s="13"/>
      <c r="F346" s="13">
        <f t="shared" si="152"/>
        <v>25</v>
      </c>
      <c r="G346" s="13">
        <f t="shared" si="136"/>
        <v>26</v>
      </c>
      <c r="H346" s="173">
        <f t="shared" si="137"/>
        <v>43430</v>
      </c>
      <c r="I346" s="742">
        <f t="shared" si="138"/>
        <v>0.14285714285714285</v>
      </c>
      <c r="J346" s="735">
        <f t="shared" si="139"/>
        <v>28.946844899015769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39">
        <v>43432</v>
      </c>
      <c r="AP346" s="13">
        <f t="shared" si="140"/>
        <v>13</v>
      </c>
      <c r="AQ346" s="13">
        <f t="shared" si="141"/>
        <v>14</v>
      </c>
      <c r="AR346" s="173">
        <f t="shared" si="142"/>
        <v>43416</v>
      </c>
      <c r="AS346" s="742">
        <f t="shared" si="143"/>
        <v>0.5714285714285714</v>
      </c>
      <c r="AT346" s="758">
        <f t="shared" si="144"/>
        <v>28.627644950470756</v>
      </c>
      <c r="AU346" s="13">
        <f t="shared" si="145"/>
        <v>13</v>
      </c>
      <c r="AV346" s="13">
        <f t="shared" si="146"/>
        <v>14</v>
      </c>
      <c r="AW346" s="173">
        <f t="shared" si="147"/>
        <v>43430</v>
      </c>
      <c r="AX346" s="742">
        <f t="shared" si="148"/>
        <v>7.1428571428571425E-2</v>
      </c>
      <c r="AY346" s="758">
        <f t="shared" si="149"/>
        <v>29.014156365022064</v>
      </c>
      <c r="AZ346" s="735">
        <f t="shared" si="153"/>
        <v>28.82090065774641</v>
      </c>
      <c r="BA346" s="633">
        <f t="shared" si="150"/>
        <v>0.59847681001223441</v>
      </c>
      <c r="BC346" s="11">
        <v>43432</v>
      </c>
      <c r="BD346" s="289">
        <f>[3]!FeuilCaduc*(1-Persistant)+Persistant</f>
        <v>0.8262334008779274</v>
      </c>
      <c r="BE346" s="290">
        <f>[3]!CroissVégét</f>
        <v>0.99944322477397196</v>
      </c>
      <c r="BF346" s="804">
        <f>1+[3]!Salcycl*Ksac</f>
        <v>1.0065583502194819</v>
      </c>
      <c r="BH346" s="1037">
        <f t="shared" si="151"/>
        <v>0.15197364265006283</v>
      </c>
      <c r="BI346" s="11">
        <v>44528</v>
      </c>
      <c r="BJ346" s="715">
        <v>1.895529853482297E-3</v>
      </c>
      <c r="BK346" s="715">
        <v>1.7588541317776613E-2</v>
      </c>
      <c r="BL346" s="715">
        <v>5.207074968061514E-2</v>
      </c>
      <c r="BM346" s="715">
        <v>0.1018942725075522</v>
      </c>
      <c r="BN346" s="715">
        <v>0.164576760105836</v>
      </c>
      <c r="BO346" s="716">
        <v>0.23612175449371403</v>
      </c>
      <c r="BP346" s="715">
        <v>0.3451377477593649</v>
      </c>
      <c r="BQ346" s="715">
        <v>0.54861330231647454</v>
      </c>
      <c r="BR346" s="715">
        <v>0.81801043289068009</v>
      </c>
      <c r="BS346" s="715">
        <v>1.1094784580295469</v>
      </c>
      <c r="BT346" s="715">
        <v>1.3595010392063545</v>
      </c>
      <c r="BW346" s="1185">
        <f>'2019'!R\Max</f>
        <v>0.27315094354707881</v>
      </c>
      <c r="BX346" s="1185">
        <f>'2020'!R\Max</f>
        <v>0.59847681001223441</v>
      </c>
      <c r="BY346" s="1185">
        <f>'2021'!R\Max</f>
        <v>0.21281506041758699</v>
      </c>
      <c r="BZ346" s="1185">
        <f>'2022'!R\Max</f>
        <v>0.34794744788801935</v>
      </c>
      <c r="CA346" s="1185">
        <f>'2023'!R\Max</f>
        <v>0.34537193923890203</v>
      </c>
      <c r="CB346" s="1185">
        <f>'2024'!R\Max</f>
        <v>0.34204199646201788</v>
      </c>
      <c r="CC346" s="1185">
        <f>'2025'!R\Max</f>
        <v>0.33721864776252031</v>
      </c>
      <c r="CD346" s="1185">
        <f>'2026'!R\Max</f>
        <v>0.35355982762496363</v>
      </c>
      <c r="CE346" s="1186">
        <f>'2027'!R\Max</f>
        <v>0.35187448289542789</v>
      </c>
      <c r="CF346" s="1187">
        <f>'2028'!R\Max</f>
        <v>0.35018777233154569</v>
      </c>
    </row>
    <row r="347" spans="1:84" s="6" customFormat="1" ht="11.25" x14ac:dyDescent="0.2">
      <c r="A347" s="11">
        <v>43433</v>
      </c>
      <c r="B347" s="379">
        <f>'2022'!Maxi_hp</f>
        <v>14.807733331286865</v>
      </c>
      <c r="C347" s="13">
        <f>'2022'!An_max</f>
        <v>2018</v>
      </c>
      <c r="D347" s="1046" t="str">
        <f t="shared" si="135"/>
        <v/>
      </c>
      <c r="E347" s="13"/>
      <c r="F347" s="13">
        <f t="shared" si="152"/>
        <v>25</v>
      </c>
      <c r="G347" s="13">
        <f t="shared" si="136"/>
        <v>26</v>
      </c>
      <c r="H347" s="173">
        <f t="shared" si="137"/>
        <v>43430</v>
      </c>
      <c r="I347" s="742">
        <f t="shared" si="138"/>
        <v>0.21428571428571427</v>
      </c>
      <c r="J347" s="735">
        <f t="shared" si="139"/>
        <v>28.70629617414836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39">
        <v>43433</v>
      </c>
      <c r="AP347" s="13">
        <f t="shared" si="140"/>
        <v>13</v>
      </c>
      <c r="AQ347" s="13">
        <f t="shared" si="141"/>
        <v>14</v>
      </c>
      <c r="AR347" s="173">
        <f t="shared" si="142"/>
        <v>43416</v>
      </c>
      <c r="AS347" s="742">
        <f t="shared" si="143"/>
        <v>0.6071428571428571</v>
      </c>
      <c r="AT347" s="758">
        <f t="shared" si="144"/>
        <v>28.381229961942882</v>
      </c>
      <c r="AU347" s="13">
        <f t="shared" si="145"/>
        <v>13</v>
      </c>
      <c r="AV347" s="13">
        <f t="shared" si="146"/>
        <v>14</v>
      </c>
      <c r="AW347" s="173">
        <f t="shared" si="147"/>
        <v>43430</v>
      </c>
      <c r="AX347" s="742">
        <f t="shared" si="148"/>
        <v>0.10714285714285714</v>
      </c>
      <c r="AY347" s="758">
        <f t="shared" si="149"/>
        <v>28.806096224247348</v>
      </c>
      <c r="AZ347" s="735">
        <f t="shared" si="153"/>
        <v>28.593663093095117</v>
      </c>
      <c r="BA347" s="633">
        <f t="shared" si="150"/>
        <v>0.51583573308987407</v>
      </c>
      <c r="BC347" s="11">
        <v>43433</v>
      </c>
      <c r="BD347" s="289">
        <f>[3]!FeuilCaduc*(1-Persistant)+Persistant</f>
        <v>0.8246193107798383</v>
      </c>
      <c r="BE347" s="290">
        <f>[3]!CroissVégét</f>
        <v>0.9994789469862303</v>
      </c>
      <c r="BF347" s="804">
        <f>1+[3]!Salcycl*Ksac</f>
        <v>1.0061548276949595</v>
      </c>
      <c r="BH347" s="1037">
        <f t="shared" si="151"/>
        <v>0.15156395337770717</v>
      </c>
      <c r="BI347" s="11">
        <v>44529</v>
      </c>
      <c r="BJ347" s="715">
        <v>1.9248265295768255E-3</v>
      </c>
      <c r="BK347" s="715">
        <v>1.8271318521252369E-2</v>
      </c>
      <c r="BL347" s="715">
        <v>5.2771592454309124E-2</v>
      </c>
      <c r="BM347" s="715">
        <v>0.1022898766313366</v>
      </c>
      <c r="BN347" s="715">
        <v>0.16396440839525417</v>
      </c>
      <c r="BO347" s="716">
        <v>0.2348903860751968</v>
      </c>
      <c r="BP347" s="715">
        <v>0.34618789392636695</v>
      </c>
      <c r="BQ347" s="715">
        <v>0.55353207587220998</v>
      </c>
      <c r="BR347" s="715">
        <v>0.82387794663922209</v>
      </c>
      <c r="BS347" s="715">
        <v>1.1129160254377586</v>
      </c>
      <c r="BT347" s="715">
        <v>1.3584020235418481</v>
      </c>
      <c r="BW347" s="1185">
        <f>'2019'!R\Max</f>
        <v>0.51583573308987407</v>
      </c>
      <c r="BX347" s="1185">
        <f>'2020'!R\Max</f>
        <v>0.28668917828548546</v>
      </c>
      <c r="BY347" s="1185">
        <f>'2021'!R\Max</f>
        <v>0.29524796486530058</v>
      </c>
      <c r="BZ347" s="1185">
        <f>'2022'!R\Max</f>
        <v>0.39082117454192572</v>
      </c>
      <c r="CA347" s="1185">
        <f>'2023'!R\Max</f>
        <v>0.38804262638925091</v>
      </c>
      <c r="CB347" s="1185">
        <f>'2024'!R\Max</f>
        <v>0.38444909626483381</v>
      </c>
      <c r="CC347" s="1185">
        <f>'2025'!R\Max</f>
        <v>0.37924058783603115</v>
      </c>
      <c r="CD347" s="1185">
        <f>'2026'!R\Max</f>
        <v>0.39675826325140662</v>
      </c>
      <c r="CE347" s="1186">
        <f>'2027'!R\Max</f>
        <v>0.39499690968018303</v>
      </c>
      <c r="CF347" s="1187">
        <f>'2028'!R\Max</f>
        <v>0.39323301059183785</v>
      </c>
    </row>
    <row r="348" spans="1:84" s="6" customFormat="1" ht="11.25" x14ac:dyDescent="0.2">
      <c r="A348" s="11">
        <v>43434</v>
      </c>
      <c r="B348" s="379">
        <f>'2022'!Maxi_hp</f>
        <v>27.039927040267969</v>
      </c>
      <c r="C348" s="13">
        <f>'2022'!An_max</f>
        <v>2020</v>
      </c>
      <c r="D348" s="1046" t="str">
        <f t="shared" si="135"/>
        <v/>
      </c>
      <c r="E348" s="13"/>
      <c r="F348" s="13">
        <f t="shared" si="152"/>
        <v>25</v>
      </c>
      <c r="G348" s="13">
        <f t="shared" si="136"/>
        <v>26</v>
      </c>
      <c r="H348" s="173">
        <f t="shared" si="137"/>
        <v>43430</v>
      </c>
      <c r="I348" s="742">
        <f t="shared" si="138"/>
        <v>0.2857142857142857</v>
      </c>
      <c r="J348" s="735">
        <f t="shared" si="139"/>
        <v>28.466073470509478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39">
        <v>43434</v>
      </c>
      <c r="AP348" s="13">
        <f t="shared" si="140"/>
        <v>13</v>
      </c>
      <c r="AQ348" s="13">
        <f t="shared" si="141"/>
        <v>14</v>
      </c>
      <c r="AR348" s="173">
        <f t="shared" si="142"/>
        <v>43416</v>
      </c>
      <c r="AS348" s="742">
        <f t="shared" si="143"/>
        <v>0.6428571428571429</v>
      </c>
      <c r="AT348" s="758">
        <f t="shared" si="144"/>
        <v>28.143442946033815</v>
      </c>
      <c r="AU348" s="13">
        <f t="shared" si="145"/>
        <v>13</v>
      </c>
      <c r="AV348" s="13">
        <f t="shared" si="146"/>
        <v>14</v>
      </c>
      <c r="AW348" s="173">
        <f t="shared" si="147"/>
        <v>43430</v>
      </c>
      <c r="AX348" s="742">
        <f t="shared" si="148"/>
        <v>0.14285714285714285</v>
      </c>
      <c r="AY348" s="758">
        <f t="shared" si="149"/>
        <v>28.596638889823641</v>
      </c>
      <c r="AZ348" s="735">
        <f t="shared" si="153"/>
        <v>28.370040917928726</v>
      </c>
      <c r="BA348" s="633">
        <f t="shared" si="150"/>
        <v>0.94990013527088724</v>
      </c>
      <c r="BC348" s="11">
        <v>43434</v>
      </c>
      <c r="BD348" s="289">
        <f>[3]!FeuilCaduc*(1-Persistant)+Persistant</f>
        <v>0.82307792045804407</v>
      </c>
      <c r="BE348" s="290">
        <f>[3]!CroissVégét</f>
        <v>0.99951323331664843</v>
      </c>
      <c r="BF348" s="804">
        <f>1+[3]!Salcycl*Ksac</f>
        <v>1.0057694801145109</v>
      </c>
      <c r="BH348" s="1037">
        <f t="shared" si="151"/>
        <v>0.1511117276163326</v>
      </c>
      <c r="BI348" s="11">
        <v>44530</v>
      </c>
      <c r="BJ348" s="715">
        <v>1.952998213225773E-3</v>
      </c>
      <c r="BK348" s="715">
        <v>1.8923592759687455E-2</v>
      </c>
      <c r="BL348" s="715">
        <v>5.3409360189056336E-2</v>
      </c>
      <c r="BM348" s="715">
        <v>0.10262150246165433</v>
      </c>
      <c r="BN348" s="715">
        <v>0.16331491630145809</v>
      </c>
      <c r="BO348" s="716">
        <v>0.23367113563039232</v>
      </c>
      <c r="BP348" s="715">
        <v>0.34731802025244896</v>
      </c>
      <c r="BQ348" s="715">
        <v>0.55827336066018474</v>
      </c>
      <c r="BR348" s="715">
        <v>0.82944209891367349</v>
      </c>
      <c r="BS348" s="715">
        <v>1.1158098178911429</v>
      </c>
      <c r="BT348" s="715">
        <v>1.3567782912163544</v>
      </c>
      <c r="BW348" s="1185">
        <f>'2019'!R\Max</f>
        <v>0.50787447141316533</v>
      </c>
      <c r="BX348" s="1185">
        <f>'2020'!R\Max</f>
        <v>0.94990013527088724</v>
      </c>
      <c r="BY348" s="1185">
        <f>'2021'!R\Max</f>
        <v>0.8567918185274962</v>
      </c>
      <c r="BZ348" s="1185">
        <f>'2022'!R\Max</f>
        <v>0.17519771792968583</v>
      </c>
      <c r="CA348" s="1185">
        <f>'2023'!R\Max</f>
        <v>0.17371436631383194</v>
      </c>
      <c r="CB348" s="1185">
        <f>'2024'!R\Max</f>
        <v>0.17180423020161448</v>
      </c>
      <c r="CC348" s="1185">
        <f>'2025'!R\Max</f>
        <v>0.16905078081224087</v>
      </c>
      <c r="CD348" s="1185">
        <f>'2026'!R\Max</f>
        <v>0.17832323728955718</v>
      </c>
      <c r="CE348" s="1186">
        <f>'2027'!R\Max</f>
        <v>0.17740492780862407</v>
      </c>
      <c r="CF348" s="1187">
        <f>'2028'!R\Max</f>
        <v>0.17648661832769097</v>
      </c>
    </row>
    <row r="349" spans="1:84" s="6" customFormat="1" ht="11.25" x14ac:dyDescent="0.2">
      <c r="A349" s="11">
        <v>43435</v>
      </c>
      <c r="B349" s="379">
        <f>'2022'!Maxi_hp</f>
        <v>27.868335200452961</v>
      </c>
      <c r="C349" s="13">
        <f>'2022'!An_max</f>
        <v>2020</v>
      </c>
      <c r="D349" s="1046">
        <f t="shared" si="135"/>
        <v>0.98726533415538442</v>
      </c>
      <c r="E349" s="13"/>
      <c r="F349" s="13">
        <f t="shared" si="152"/>
        <v>25</v>
      </c>
      <c r="G349" s="13">
        <f t="shared" si="136"/>
        <v>26</v>
      </c>
      <c r="H349" s="173">
        <f t="shared" si="137"/>
        <v>43430</v>
      </c>
      <c r="I349" s="742">
        <f t="shared" si="138"/>
        <v>0.35714285714285715</v>
      </c>
      <c r="J349" s="735">
        <f t="shared" si="139"/>
        <v>28.227806888706983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39">
        <v>43435</v>
      </c>
      <c r="AP349" s="13">
        <f t="shared" si="140"/>
        <v>13</v>
      </c>
      <c r="AQ349" s="13">
        <f t="shared" si="141"/>
        <v>14</v>
      </c>
      <c r="AR349" s="173">
        <f t="shared" si="142"/>
        <v>43416</v>
      </c>
      <c r="AS349" s="742">
        <f t="shared" si="143"/>
        <v>0.6785714285714286</v>
      </c>
      <c r="AT349" s="758">
        <f t="shared" si="144"/>
        <v>27.915194304879485</v>
      </c>
      <c r="AU349" s="13">
        <f t="shared" si="145"/>
        <v>13</v>
      </c>
      <c r="AV349" s="13">
        <f t="shared" si="146"/>
        <v>14</v>
      </c>
      <c r="AW349" s="173">
        <f t="shared" si="147"/>
        <v>43430</v>
      </c>
      <c r="AX349" s="742">
        <f t="shared" si="148"/>
        <v>0.17857142857142858</v>
      </c>
      <c r="AY349" s="758">
        <f t="shared" si="149"/>
        <v>28.386705629713834</v>
      </c>
      <c r="AZ349" s="735">
        <f t="shared" si="153"/>
        <v>28.150949967296661</v>
      </c>
      <c r="BA349" s="633">
        <f t="shared" si="150"/>
        <v>0.98726533415538442</v>
      </c>
      <c r="BC349" s="11">
        <v>43435</v>
      </c>
      <c r="BD349" s="289">
        <f>[3]!FeuilCaduc*(1-Persistant)+Persistant</f>
        <v>0.82160875443216697</v>
      </c>
      <c r="BE349" s="290">
        <f>[3]!CroissVégét</f>
        <v>0.99954614138899944</v>
      </c>
      <c r="BF349" s="804">
        <f>1+[3]!Salcycl*Ksac</f>
        <v>1.0054021886080418</v>
      </c>
      <c r="BH349" s="1037">
        <f t="shared" si="151"/>
        <v>0.15061729206286578</v>
      </c>
      <c r="BI349" s="11">
        <v>44531</v>
      </c>
      <c r="BJ349" s="715">
        <v>1.9800473552954467E-3</v>
      </c>
      <c r="BK349" s="715">
        <v>1.9545364788506284E-2</v>
      </c>
      <c r="BL349" s="715">
        <v>5.3984118329711429E-2</v>
      </c>
      <c r="BM349" s="715">
        <v>0.102889332632084</v>
      </c>
      <c r="BN349" s="715">
        <v>0.16262864677676842</v>
      </c>
      <c r="BO349" s="716">
        <v>0.23246455239789285</v>
      </c>
      <c r="BP349" s="715">
        <v>0.34852881732017232</v>
      </c>
      <c r="BQ349" s="715">
        <v>0.562838051372066</v>
      </c>
      <c r="BR349" s="715">
        <v>0.83470428016829723</v>
      </c>
      <c r="BS349" s="715">
        <v>1.1181618926015868</v>
      </c>
      <c r="BT349" s="715">
        <v>1.3546326236787583</v>
      </c>
      <c r="BW349" s="1185">
        <f>'2019'!R\Max</f>
        <v>0.48096189818341267</v>
      </c>
      <c r="BX349" s="1185">
        <f>'2020'!R\Max</f>
        <v>0.98726533415538442</v>
      </c>
      <c r="BY349" s="1185">
        <f>'2021'!R\Max</f>
        <v>0.16454332804982386</v>
      </c>
      <c r="BZ349" s="1185">
        <f>'2022'!R\Max</f>
        <v>0.13111569550822702</v>
      </c>
      <c r="CA349" s="1185">
        <f>'2023'!R\Max</f>
        <v>0.12997424101542573</v>
      </c>
      <c r="CB349" s="1185">
        <f>'2024'!R\Max</f>
        <v>0.12850808493888516</v>
      </c>
      <c r="CC349" s="1185">
        <f>'2025'!R\Max</f>
        <v>0.12640042296195239</v>
      </c>
      <c r="CD349" s="1185">
        <f>'2026'!R\Max</f>
        <v>0.1334801061504948</v>
      </c>
      <c r="CE349" s="1186">
        <f>'2027'!R\Max</f>
        <v>0.13279329261418835</v>
      </c>
      <c r="CF349" s="1187">
        <f>'2028'!R\Max</f>
        <v>0.13210647907788189</v>
      </c>
    </row>
    <row r="350" spans="1:84" s="6" customFormat="1" ht="11.25" x14ac:dyDescent="0.2">
      <c r="A350" s="11">
        <v>43436</v>
      </c>
      <c r="B350" s="379">
        <f>'2022'!Maxi_hp</f>
        <v>10.826785026069079</v>
      </c>
      <c r="C350" s="13">
        <f>'2022'!An_max</f>
        <v>2021</v>
      </c>
      <c r="D350" s="1046" t="str">
        <f t="shared" si="135"/>
        <v/>
      </c>
      <c r="E350" s="13"/>
      <c r="F350" s="13">
        <f t="shared" si="152"/>
        <v>25</v>
      </c>
      <c r="G350" s="13">
        <f t="shared" si="136"/>
        <v>26</v>
      </c>
      <c r="H350" s="173">
        <f t="shared" si="137"/>
        <v>43430</v>
      </c>
      <c r="I350" s="742">
        <f t="shared" si="138"/>
        <v>0.42857142857142855</v>
      </c>
      <c r="J350" s="735">
        <f t="shared" si="139"/>
        <v>27.993126532009672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39">
        <v>43436</v>
      </c>
      <c r="AP350" s="13">
        <f t="shared" si="140"/>
        <v>13</v>
      </c>
      <c r="AQ350" s="13">
        <f t="shared" si="141"/>
        <v>14</v>
      </c>
      <c r="AR350" s="173">
        <f t="shared" si="142"/>
        <v>43416</v>
      </c>
      <c r="AS350" s="742">
        <f t="shared" si="143"/>
        <v>0.7142857142857143</v>
      </c>
      <c r="AT350" s="758">
        <f t="shared" si="144"/>
        <v>27.697394443729092</v>
      </c>
      <c r="AU350" s="13">
        <f t="shared" si="145"/>
        <v>13</v>
      </c>
      <c r="AV350" s="13">
        <f t="shared" si="146"/>
        <v>14</v>
      </c>
      <c r="AW350" s="173">
        <f t="shared" si="147"/>
        <v>43430</v>
      </c>
      <c r="AX350" s="742">
        <f t="shared" si="148"/>
        <v>0.21428571428571427</v>
      </c>
      <c r="AY350" s="758">
        <f t="shared" si="149"/>
        <v>28.177217711827588</v>
      </c>
      <c r="AZ350" s="735">
        <f t="shared" si="153"/>
        <v>27.937306077778338</v>
      </c>
      <c r="BA350" s="633">
        <f t="shared" si="150"/>
        <v>0.38676583745259147</v>
      </c>
      <c r="BC350" s="11">
        <v>43436</v>
      </c>
      <c r="BD350" s="289">
        <f>[3]!FeuilCaduc*(1-Persistant)+Persistant</f>
        <v>0.82021110642007999</v>
      </c>
      <c r="BE350" s="290">
        <f>[3]!CroissVégét</f>
        <v>0.99957772652184329</v>
      </c>
      <c r="BF350" s="804">
        <f>1+[3]!Salcycl*Ksac</f>
        <v>1.0050527766050199</v>
      </c>
      <c r="BH350" s="1037">
        <f t="shared" si="151"/>
        <v>0.15008097287548633</v>
      </c>
      <c r="BI350" s="11">
        <v>44532</v>
      </c>
      <c r="BJ350" s="715">
        <v>2.005976731147341E-3</v>
      </c>
      <c r="BK350" s="715">
        <v>2.0136643301553198E-2</v>
      </c>
      <c r="BL350" s="715">
        <v>5.4495942780047602E-2</v>
      </c>
      <c r="BM350" s="715">
        <v>0.10309355765700236</v>
      </c>
      <c r="BN350" s="715">
        <v>0.16190596011587197</v>
      </c>
      <c r="BO350" s="716">
        <v>0.23127117396224697</v>
      </c>
      <c r="BP350" s="715">
        <v>0.34982097775658211</v>
      </c>
      <c r="BQ350" s="715">
        <v>0.56722709585233999</v>
      </c>
      <c r="BR350" s="715">
        <v>0.83966595079293005</v>
      </c>
      <c r="BS350" s="715">
        <v>1.1199743738875849</v>
      </c>
      <c r="BT350" s="715">
        <v>1.3519678297436875</v>
      </c>
      <c r="BW350" s="1185">
        <f>'2019'!R\Max</f>
        <v>0.16510760041634742</v>
      </c>
      <c r="BX350" s="1185">
        <f>'2020'!R\Max</f>
        <v>0.17562251218070879</v>
      </c>
      <c r="BY350" s="1185">
        <f>'2021'!R\Max</f>
        <v>0.38676583745259147</v>
      </c>
      <c r="BZ350" s="1185">
        <f>'2022'!R\Max</f>
        <v>0.23067976265778731</v>
      </c>
      <c r="CA350" s="1185">
        <f>'2023'!R\Max</f>
        <v>0.22861446819865777</v>
      </c>
      <c r="CB350" s="1185">
        <f>'2024'!R\Max</f>
        <v>0.2259703579352858</v>
      </c>
      <c r="CC350" s="1185">
        <f>'2025'!R\Max</f>
        <v>0.22218285566440071</v>
      </c>
      <c r="CD350" s="1185">
        <f>'2026'!R\Max</f>
        <v>0.23488751639578592</v>
      </c>
      <c r="CE350" s="1186">
        <f>'2027'!R\Max</f>
        <v>0.2336790825795497</v>
      </c>
      <c r="CF350" s="1187">
        <f>'2028'!R\Max</f>
        <v>0.23247064876331339</v>
      </c>
    </row>
    <row r="351" spans="1:84" s="6" customFormat="1" ht="11.25" x14ac:dyDescent="0.2">
      <c r="A351" s="11">
        <v>43437</v>
      </c>
      <c r="B351" s="379">
        <f>'2022'!Maxi_hp</f>
        <v>17.956998625515752</v>
      </c>
      <c r="C351" s="13">
        <f>'2022'!An_max</f>
        <v>2021</v>
      </c>
      <c r="D351" s="1046" t="str">
        <f t="shared" si="135"/>
        <v/>
      </c>
      <c r="E351" s="13"/>
      <c r="F351" s="13">
        <f t="shared" si="152"/>
        <v>25</v>
      </c>
      <c r="G351" s="13">
        <f t="shared" si="136"/>
        <v>26</v>
      </c>
      <c r="H351" s="173">
        <f t="shared" si="137"/>
        <v>43430</v>
      </c>
      <c r="I351" s="742">
        <f t="shared" si="138"/>
        <v>0.5</v>
      </c>
      <c r="J351" s="735">
        <f t="shared" si="139"/>
        <v>27.763662501983344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39">
        <v>43437</v>
      </c>
      <c r="AP351" s="13">
        <f t="shared" si="140"/>
        <v>13</v>
      </c>
      <c r="AQ351" s="13">
        <f t="shared" si="141"/>
        <v>14</v>
      </c>
      <c r="AR351" s="173">
        <f t="shared" si="142"/>
        <v>43416</v>
      </c>
      <c r="AS351" s="742">
        <f t="shared" si="143"/>
        <v>0.75</v>
      </c>
      <c r="AT351" s="758">
        <f t="shared" si="144"/>
        <v>27.490953764738514</v>
      </c>
      <c r="AU351" s="13">
        <f t="shared" si="145"/>
        <v>13</v>
      </c>
      <c r="AV351" s="13">
        <f t="shared" si="146"/>
        <v>14</v>
      </c>
      <c r="AW351" s="173">
        <f t="shared" si="147"/>
        <v>43430</v>
      </c>
      <c r="AX351" s="742">
        <f t="shared" si="148"/>
        <v>0.25</v>
      </c>
      <c r="AY351" s="758">
        <f t="shared" si="149"/>
        <v>27.969096402078868</v>
      </c>
      <c r="AZ351" s="735">
        <f t="shared" si="153"/>
        <v>27.730025083408691</v>
      </c>
      <c r="BA351" s="633">
        <f t="shared" si="150"/>
        <v>0.64678061204039505</v>
      </c>
      <c r="BC351" s="11">
        <v>43437</v>
      </c>
      <c r="BD351" s="289">
        <f>[3]!FeuilCaduc*(1-Persistant)+Persistant</f>
        <v>0.81888404898018519</v>
      </c>
      <c r="BE351" s="290">
        <f>[3]!CroissVégét</f>
        <v>0.99960804182016849</v>
      </c>
      <c r="BF351" s="804">
        <f>1+[3]!Salcycl*Ksac</f>
        <v>1.0047210122450463</v>
      </c>
      <c r="BH351" s="1037">
        <f t="shared" si="151"/>
        <v>0.14950309484232369</v>
      </c>
      <c r="BI351" s="11">
        <v>44533</v>
      </c>
      <c r="BJ351" s="715">
        <v>2.0307894177902189E-3</v>
      </c>
      <c r="BK351" s="715">
        <v>2.0697444300418102E-2</v>
      </c>
      <c r="BL351" s="715">
        <v>5.4944918606401952E-2</v>
      </c>
      <c r="BM351" s="715">
        <v>0.10323437463450841</v>
      </c>
      <c r="BN351" s="715">
        <v>0.16114721324173628</v>
      </c>
      <c r="BO351" s="716">
        <v>0.23009152659085805</v>
      </c>
      <c r="BP351" s="715">
        <v>0.35119519801097843</v>
      </c>
      <c r="BQ351" s="715">
        <v>0.57144149157791779</v>
      </c>
      <c r="BR351" s="715">
        <v>0.84432863506366784</v>
      </c>
      <c r="BS351" s="715">
        <v>1.121249442232874</v>
      </c>
      <c r="BT351" s="715">
        <v>1.3487867351473304</v>
      </c>
      <c r="BW351" s="1185">
        <f>'2019'!R\Max</f>
        <v>0.19335476827470713</v>
      </c>
      <c r="BX351" s="1185">
        <f>'2020'!R\Max</f>
        <v>4.2933641254376535E-2</v>
      </c>
      <c r="BY351" s="1185">
        <f>'2021'!R\Max</f>
        <v>0.64678061204039505</v>
      </c>
      <c r="BZ351" s="1185">
        <f>'2022'!R\Max</f>
        <v>0.431811836984132</v>
      </c>
      <c r="CA351" s="1185">
        <f>'2023'!R\Max</f>
        <v>0.42860931164933702</v>
      </c>
      <c r="CB351" s="1185">
        <f>'2024'!R\Max</f>
        <v>0.42450871226075232</v>
      </c>
      <c r="CC351" s="1185">
        <f>'2025'!R\Max</f>
        <v>0.4186274793713744</v>
      </c>
      <c r="CD351" s="1185">
        <f>'2026'!R\Max</f>
        <v>0.43819789704596573</v>
      </c>
      <c r="CE351" s="1186">
        <f>'2027'!R\Max</f>
        <v>0.43638924232493514</v>
      </c>
      <c r="CF351" s="1187">
        <f>'2028'!R\Max</f>
        <v>0.43457687555559543</v>
      </c>
    </row>
    <row r="352" spans="1:84" s="6" customFormat="1" ht="11.25" x14ac:dyDescent="0.2">
      <c r="A352" s="11">
        <v>43438</v>
      </c>
      <c r="B352" s="379">
        <f>'2022'!Maxi_hp</f>
        <v>23.797511851297955</v>
      </c>
      <c r="C352" s="13">
        <f>'2022'!An_max</f>
        <v>2022</v>
      </c>
      <c r="D352" s="1046" t="str">
        <f t="shared" si="135"/>
        <v/>
      </c>
      <c r="E352" s="13"/>
      <c r="F352" s="13">
        <f t="shared" si="152"/>
        <v>25</v>
      </c>
      <c r="G352" s="13">
        <f t="shared" si="136"/>
        <v>26</v>
      </c>
      <c r="H352" s="173">
        <f t="shared" si="137"/>
        <v>43430</v>
      </c>
      <c r="I352" s="742">
        <f t="shared" si="138"/>
        <v>0.5714285714285714</v>
      </c>
      <c r="J352" s="735">
        <f t="shared" si="139"/>
        <v>27.541044899608409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39">
        <v>43438</v>
      </c>
      <c r="AP352" s="13">
        <f t="shared" si="140"/>
        <v>13</v>
      </c>
      <c r="AQ352" s="13">
        <f t="shared" si="141"/>
        <v>14</v>
      </c>
      <c r="AR352" s="173">
        <f t="shared" si="142"/>
        <v>43416</v>
      </c>
      <c r="AS352" s="742">
        <f t="shared" si="143"/>
        <v>0.7857142857142857</v>
      </c>
      <c r="AT352" s="758">
        <f t="shared" si="144"/>
        <v>27.296782673496221</v>
      </c>
      <c r="AU352" s="13">
        <f t="shared" si="145"/>
        <v>13</v>
      </c>
      <c r="AV352" s="13">
        <f t="shared" si="146"/>
        <v>14</v>
      </c>
      <c r="AW352" s="173">
        <f t="shared" si="147"/>
        <v>43430</v>
      </c>
      <c r="AX352" s="742">
        <f t="shared" si="148"/>
        <v>0.2857142857142857</v>
      </c>
      <c r="AY352" s="758">
        <f t="shared" si="149"/>
        <v>27.763262967552457</v>
      </c>
      <c r="AZ352" s="735">
        <f t="shared" si="153"/>
        <v>27.530022820524337</v>
      </c>
      <c r="BA352" s="633">
        <f t="shared" si="150"/>
        <v>0.86407440015597659</v>
      </c>
      <c r="BC352" s="11">
        <v>43438</v>
      </c>
      <c r="BD352" s="289">
        <f>[3]!FeuilCaduc*(1-Persistant)+Persistant</f>
        <v>0.81762644435550791</v>
      </c>
      <c r="BE352" s="290">
        <f>[3]!CroissVégét</f>
        <v>0.99963713826343847</v>
      </c>
      <c r="BF352" s="804">
        <f>1+[3]!Salcycl*Ksac</f>
        <v>1.004406611088877</v>
      </c>
      <c r="BH352" s="1037">
        <f t="shared" si="151"/>
        <v>0.14890278709349328</v>
      </c>
      <c r="BI352" s="11">
        <v>44534</v>
      </c>
      <c r="BJ352" s="715">
        <v>2.0540113703622666E-3</v>
      </c>
      <c r="BK352" s="715">
        <v>2.1213013221315122E-2</v>
      </c>
      <c r="BL352" s="715">
        <v>5.5323621507297492E-2</v>
      </c>
      <c r="BM352" s="715">
        <v>0.10331179235024741</v>
      </c>
      <c r="BN352" s="715">
        <v>0.16037634716502694</v>
      </c>
      <c r="BO352" s="716">
        <v>0.22895504694763075</v>
      </c>
      <c r="BP352" s="715">
        <v>0.35257487726229392</v>
      </c>
      <c r="BQ352" s="715">
        <v>0.5752986844523349</v>
      </c>
      <c r="BR352" s="715">
        <v>0.84848012654431293</v>
      </c>
      <c r="BS352" s="715">
        <v>1.1218906992251123</v>
      </c>
      <c r="BT352" s="715">
        <v>1.3451353441589466</v>
      </c>
      <c r="BW352" s="1185">
        <f>'2019'!R\Max</f>
        <v>0.25661182261034277</v>
      </c>
      <c r="BX352" s="1185">
        <f>'2020'!R\Max</f>
        <v>0.5421712430182194</v>
      </c>
      <c r="BY352" s="1185">
        <f>'2021'!R\Max</f>
        <v>0.21406581026679466</v>
      </c>
      <c r="BZ352" s="1185">
        <f>'2022'!R\Max</f>
        <v>0.86407440015597659</v>
      </c>
      <c r="CA352" s="1185">
        <f>'2023'!R\Max</f>
        <v>0.86248980424082111</v>
      </c>
      <c r="CB352" s="1185">
        <f>'2024'!R\Max</f>
        <v>0.86044267310240463</v>
      </c>
      <c r="CC352" s="1185">
        <f>'2025'!R\Max</f>
        <v>0.85746694528552803</v>
      </c>
      <c r="CD352" s="1185">
        <f>'2026'!R\Max</f>
        <v>0.86713396202125415</v>
      </c>
      <c r="CE352" s="1186">
        <f>'2027'!R\Max</f>
        <v>0.8662838208525675</v>
      </c>
      <c r="CF352" s="1187">
        <f>'2028'!R\Max</f>
        <v>0.86542651756117872</v>
      </c>
    </row>
    <row r="353" spans="1:84" s="6" customFormat="1" ht="11.25" x14ac:dyDescent="0.2">
      <c r="A353" s="11">
        <v>43439</v>
      </c>
      <c r="B353" s="379">
        <f>'2022'!Maxi_hp</f>
        <v>28.332410903227842</v>
      </c>
      <c r="C353" s="13">
        <f>'2022'!An_max</f>
        <v>2022</v>
      </c>
      <c r="D353" s="1046">
        <f t="shared" si="135"/>
        <v>1.0367954994143609</v>
      </c>
      <c r="E353" s="13"/>
      <c r="F353" s="13">
        <f t="shared" si="152"/>
        <v>25</v>
      </c>
      <c r="G353" s="13">
        <f t="shared" si="136"/>
        <v>26</v>
      </c>
      <c r="H353" s="173">
        <f t="shared" si="137"/>
        <v>43430</v>
      </c>
      <c r="I353" s="742">
        <f t="shared" si="138"/>
        <v>0.6428571428571429</v>
      </c>
      <c r="J353" s="735">
        <f t="shared" si="139"/>
        <v>27.326903829377677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39">
        <v>43439</v>
      </c>
      <c r="AP353" s="13">
        <f t="shared" si="140"/>
        <v>13</v>
      </c>
      <c r="AQ353" s="13">
        <f t="shared" si="141"/>
        <v>14</v>
      </c>
      <c r="AR353" s="173">
        <f t="shared" si="142"/>
        <v>43416</v>
      </c>
      <c r="AS353" s="742">
        <f t="shared" si="143"/>
        <v>0.8214285714285714</v>
      </c>
      <c r="AT353" s="758">
        <f t="shared" si="144"/>
        <v>27.115791567548047</v>
      </c>
      <c r="AU353" s="13">
        <f t="shared" si="145"/>
        <v>13</v>
      </c>
      <c r="AV353" s="13">
        <f t="shared" si="146"/>
        <v>14</v>
      </c>
      <c r="AW353" s="173">
        <f t="shared" si="147"/>
        <v>43430</v>
      </c>
      <c r="AX353" s="742">
        <f t="shared" si="148"/>
        <v>0.32142857142857145</v>
      </c>
      <c r="AY353" s="758">
        <f t="shared" si="149"/>
        <v>27.560638677195776</v>
      </c>
      <c r="AZ353" s="735">
        <f t="shared" si="153"/>
        <v>27.338215122371913</v>
      </c>
      <c r="BA353" s="633">
        <f t="shared" si="150"/>
        <v>1.0367954994143609</v>
      </c>
      <c r="BC353" s="11">
        <v>43439</v>
      </c>
      <c r="BD353" s="289">
        <f>[3]!FeuilCaduc*(1-Persistant)+Persistant</f>
        <v>0.81643695642479197</v>
      </c>
      <c r="BE353" s="290">
        <f>[3]!CroissVégét</f>
        <v>0.99966506479017636</v>
      </c>
      <c r="BF353" s="804">
        <f>1+[3]!Salcycl*Ksac</f>
        <v>1.0041092391061979</v>
      </c>
      <c r="BH353" s="1037">
        <f t="shared" si="151"/>
        <v>0.14831284453893379</v>
      </c>
      <c r="BI353" s="11">
        <v>44535</v>
      </c>
      <c r="BJ353" s="715">
        <v>2.0765371310942234E-3</v>
      </c>
      <c r="BK353" s="715">
        <v>2.1688127179391004E-2</v>
      </c>
      <c r="BL353" s="715">
        <v>5.5658245206212778E-2</v>
      </c>
      <c r="BM353" s="715">
        <v>0.1033532230393898</v>
      </c>
      <c r="BN353" s="715">
        <v>0.15962751141500262</v>
      </c>
      <c r="BO353" s="716">
        <v>0.22786702871870101</v>
      </c>
      <c r="BP353" s="715">
        <v>0.35383009715653313</v>
      </c>
      <c r="BQ353" s="715">
        <v>0.57874634650873547</v>
      </c>
      <c r="BR353" s="715">
        <v>0.85210958617084998</v>
      </c>
      <c r="BS353" s="715">
        <v>1.1220873599835712</v>
      </c>
      <c r="BT353" s="715">
        <v>1.3412129960230501</v>
      </c>
      <c r="BW353" s="1185">
        <f>'2019'!R\Max</f>
        <v>0.40838494606981246</v>
      </c>
      <c r="BX353" s="1185">
        <f>'2020'!R\Max</f>
        <v>0.28355601951340481</v>
      </c>
      <c r="BY353" s="1185">
        <f>'2021'!R\Max</f>
        <v>0.25924037207020839</v>
      </c>
      <c r="BZ353" s="1185">
        <f>'2022'!R\Max</f>
        <v>1.0367954994143609</v>
      </c>
      <c r="CA353" s="1185">
        <f>'2023'!R\Max</f>
        <v>1.0367954994143609</v>
      </c>
      <c r="CB353" s="1185">
        <f>'2024'!R\Max</f>
        <v>1.0367954994143609</v>
      </c>
      <c r="CC353" s="1185">
        <f>'2025'!R\Max</f>
        <v>1.0367954994143609</v>
      </c>
      <c r="CD353" s="1185">
        <f>'2026'!R\Max</f>
        <v>1.0367954994143609</v>
      </c>
      <c r="CE353" s="1186">
        <f>'2027'!R\Max</f>
        <v>1.0367954994143609</v>
      </c>
      <c r="CF353" s="1187">
        <f>'2028'!R\Max</f>
        <v>1.0367954994143609</v>
      </c>
    </row>
    <row r="354" spans="1:84" s="6" customFormat="1" ht="11.25" x14ac:dyDescent="0.2">
      <c r="A354" s="11">
        <v>43440</v>
      </c>
      <c r="B354" s="379">
        <f>'2022'!Maxi_hp</f>
        <v>24.344380996305986</v>
      </c>
      <c r="C354" s="13">
        <f>'2022'!An_max</f>
        <v>2020</v>
      </c>
      <c r="D354" s="1046" t="str">
        <f t="shared" si="135"/>
        <v/>
      </c>
      <c r="E354" s="13"/>
      <c r="F354" s="13">
        <f t="shared" si="152"/>
        <v>25</v>
      </c>
      <c r="G354" s="13">
        <f t="shared" si="136"/>
        <v>26</v>
      </c>
      <c r="H354" s="173">
        <f t="shared" si="137"/>
        <v>43430</v>
      </c>
      <c r="I354" s="742">
        <f t="shared" si="138"/>
        <v>0.7142857142857143</v>
      </c>
      <c r="J354" s="735">
        <f t="shared" si="139"/>
        <v>27.122869389929939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39">
        <v>43440</v>
      </c>
      <c r="AP354" s="13">
        <f t="shared" si="140"/>
        <v>13</v>
      </c>
      <c r="AQ354" s="13">
        <f t="shared" si="141"/>
        <v>14</v>
      </c>
      <c r="AR354" s="173">
        <f t="shared" si="142"/>
        <v>43416</v>
      </c>
      <c r="AS354" s="742">
        <f t="shared" si="143"/>
        <v>0.8571428571428571</v>
      </c>
      <c r="AT354" s="758">
        <f t="shared" si="144"/>
        <v>26.948890858462882</v>
      </c>
      <c r="AU354" s="13">
        <f t="shared" si="145"/>
        <v>13</v>
      </c>
      <c r="AV354" s="13">
        <f t="shared" si="146"/>
        <v>14</v>
      </c>
      <c r="AW354" s="173">
        <f t="shared" si="147"/>
        <v>43430</v>
      </c>
      <c r="AX354" s="742">
        <f t="shared" si="148"/>
        <v>0.35714285714285715</v>
      </c>
      <c r="AY354" s="758">
        <f t="shared" si="149"/>
        <v>27.362144798200042</v>
      </c>
      <c r="AZ354" s="735">
        <f t="shared" si="153"/>
        <v>27.155517828331462</v>
      </c>
      <c r="BA354" s="633">
        <f t="shared" si="150"/>
        <v>0.897559201658231</v>
      </c>
      <c r="BC354" s="11">
        <v>43440</v>
      </c>
      <c r="BD354" s="289">
        <f>[3]!FeuilCaduc*(1-Persistant)+Persistant</f>
        <v>0.81531406365785486</v>
      </c>
      <c r="BE354" s="290">
        <f>[3]!CroissVégét</f>
        <v>0.9996918683792223</v>
      </c>
      <c r="BF354" s="804">
        <f>1+[3]!Salcycl*Ksac</f>
        <v>1.0038285159144638</v>
      </c>
      <c r="BH354" s="1037">
        <f t="shared" si="151"/>
        <v>0.14773358647674936</v>
      </c>
      <c r="BI354" s="11">
        <v>44536</v>
      </c>
      <c r="BJ354" s="715">
        <v>2.0983705818442048E-3</v>
      </c>
      <c r="BK354" s="715">
        <v>2.2122819750573182E-2</v>
      </c>
      <c r="BL354" s="715">
        <v>5.594889596535392E-2</v>
      </c>
      <c r="BM354" s="715">
        <v>0.10335887779647011</v>
      </c>
      <c r="BN354" s="715">
        <v>0.15890105252058723</v>
      </c>
      <c r="BO354" s="716">
        <v>0.22682796841083722</v>
      </c>
      <c r="BP354" s="715">
        <v>0.35496156169612464</v>
      </c>
      <c r="BQ354" s="715">
        <v>0.58178558758064991</v>
      </c>
      <c r="BR354" s="715">
        <v>0.8552186793564297</v>
      </c>
      <c r="BS354" s="715">
        <v>1.121841715725689</v>
      </c>
      <c r="BT354" s="715">
        <v>1.3370225220222676</v>
      </c>
      <c r="BW354" s="1185">
        <f>'2019'!R\Max</f>
        <v>0.78798253979231991</v>
      </c>
      <c r="BX354" s="1185">
        <f>'2020'!R\Max</f>
        <v>0.897559201658231</v>
      </c>
      <c r="BY354" s="1185">
        <f>'2021'!R\Max</f>
        <v>0.44935688393357925</v>
      </c>
      <c r="BZ354" s="1185">
        <f>'2022'!R\Max</f>
        <v>0.65472832782421397</v>
      </c>
      <c r="CA354" s="1185">
        <f>'2023'!R\Max</f>
        <v>0.65153487695466183</v>
      </c>
      <c r="CB354" s="1185">
        <f>'2024'!R\Max</f>
        <v>0.64746778549052941</v>
      </c>
      <c r="CC354" s="1185">
        <f>'2025'!R\Max</f>
        <v>0.64165913151242748</v>
      </c>
      <c r="CD354" s="1185">
        <f>'2026'!R\Max</f>
        <v>0.66078371601805441</v>
      </c>
      <c r="CE354" s="1186">
        <f>'2027'!R\Max</f>
        <v>0.65912744700057813</v>
      </c>
      <c r="CF354" s="1187">
        <f>'2028'!R\Max</f>
        <v>0.65746229092991693</v>
      </c>
    </row>
    <row r="355" spans="1:84" s="6" customFormat="1" ht="11.25" x14ac:dyDescent="0.2">
      <c r="A355" s="11">
        <v>43441</v>
      </c>
      <c r="B355" s="379">
        <f>'2022'!Maxi_hp</f>
        <v>20.865678044403491</v>
      </c>
      <c r="C355" s="13">
        <f>'2022'!An_max</f>
        <v>2022</v>
      </c>
      <c r="D355" s="1046" t="str">
        <f t="shared" si="135"/>
        <v/>
      </c>
      <c r="E355" s="13"/>
      <c r="F355" s="13">
        <f t="shared" si="152"/>
        <v>25</v>
      </c>
      <c r="G355" s="13">
        <f t="shared" si="136"/>
        <v>26</v>
      </c>
      <c r="H355" s="173">
        <f t="shared" si="137"/>
        <v>43430</v>
      </c>
      <c r="I355" s="742">
        <f t="shared" si="138"/>
        <v>0.7857142857142857</v>
      </c>
      <c r="J355" s="735">
        <f t="shared" si="139"/>
        <v>26.930571685279055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39">
        <v>43441</v>
      </c>
      <c r="AP355" s="13">
        <f t="shared" si="140"/>
        <v>13</v>
      </c>
      <c r="AQ355" s="13">
        <f t="shared" si="141"/>
        <v>14</v>
      </c>
      <c r="AR355" s="173">
        <f t="shared" si="142"/>
        <v>43416</v>
      </c>
      <c r="AS355" s="742">
        <f t="shared" si="143"/>
        <v>0.8928571428571429</v>
      </c>
      <c r="AT355" s="758">
        <f t="shared" si="144"/>
        <v>26.79699094085289</v>
      </c>
      <c r="AU355" s="13">
        <f t="shared" si="145"/>
        <v>13</v>
      </c>
      <c r="AV355" s="13">
        <f t="shared" si="146"/>
        <v>14</v>
      </c>
      <c r="AW355" s="173">
        <f t="shared" si="147"/>
        <v>43430</v>
      </c>
      <c r="AX355" s="742">
        <f t="shared" si="148"/>
        <v>0.39285714285714285</v>
      </c>
      <c r="AY355" s="758">
        <f t="shared" si="149"/>
        <v>27.168702596851762</v>
      </c>
      <c r="AZ355" s="735">
        <f t="shared" si="153"/>
        <v>26.982846768852326</v>
      </c>
      <c r="BA355" s="633">
        <f t="shared" si="150"/>
        <v>0.77479521371650673</v>
      </c>
      <c r="BC355" s="11">
        <v>43441</v>
      </c>
      <c r="BD355" s="289">
        <f>[3]!FeuilCaduc*(1-Persistant)+Persistant</f>
        <v>0.81425607296546376</v>
      </c>
      <c r="BE355" s="290">
        <f>[3]!CroissVégét</f>
        <v>0.99971759412779237</v>
      </c>
      <c r="BF355" s="804">
        <f>1+[3]!Salcycl*Ksac</f>
        <v>1.0035640182413659</v>
      </c>
      <c r="BH355" s="1037">
        <f t="shared" si="151"/>
        <v>0.14716532702550753</v>
      </c>
      <c r="BI355" s="11">
        <v>44537</v>
      </c>
      <c r="BJ355" s="715">
        <v>2.1195158056014629E-3</v>
      </c>
      <c r="BK355" s="715">
        <v>2.2517129299104304E-2</v>
      </c>
      <c r="BL355" s="715">
        <v>5.6195683729413824E-2</v>
      </c>
      <c r="BM355" s="715">
        <v>0.10332896877276274</v>
      </c>
      <c r="BN355" s="715">
        <v>0.15819731026172873</v>
      </c>
      <c r="BO355" s="716">
        <v>0.22583835238312855</v>
      </c>
      <c r="BP355" s="715">
        <v>0.35596998778934125</v>
      </c>
      <c r="BQ355" s="715">
        <v>0.58441755450956312</v>
      </c>
      <c r="BR355" s="715">
        <v>0.85780911227926482</v>
      </c>
      <c r="BS355" s="715">
        <v>1.1211560681604371</v>
      </c>
      <c r="BT355" s="715">
        <v>1.3325667259605638</v>
      </c>
      <c r="BW355" s="1185">
        <f>'2019'!R\Max</f>
        <v>0.66262319477349552</v>
      </c>
      <c r="BX355" s="1185">
        <f>'2020'!R\Max</f>
        <v>0.5891052496467406</v>
      </c>
      <c r="BY355" s="1185">
        <f>'2021'!R\Max</f>
        <v>0.27050175711818492</v>
      </c>
      <c r="BZ355" s="1185">
        <f>'2022'!R\Max</f>
        <v>0.77479521371650673</v>
      </c>
      <c r="CA355" s="1185">
        <f>'2023'!R\Max</f>
        <v>0.77227232710920812</v>
      </c>
      <c r="CB355" s="1185">
        <f>'2024'!R\Max</f>
        <v>0.76905845075168444</v>
      </c>
      <c r="CC355" s="1185">
        <f>'2025'!R\Max</f>
        <v>0.76446300049363003</v>
      </c>
      <c r="CD355" s="1185">
        <f>'2026'!R\Max</f>
        <v>0.77950186906627872</v>
      </c>
      <c r="CE355" s="1186">
        <f>'2027'!R\Max</f>
        <v>0.77822868079078866</v>
      </c>
      <c r="CF355" s="1187">
        <f>'2028'!R\Max</f>
        <v>0.77694639069006655</v>
      </c>
    </row>
    <row r="356" spans="1:84" s="6" customFormat="1" ht="11.25" x14ac:dyDescent="0.2">
      <c r="A356" s="11">
        <v>43442</v>
      </c>
      <c r="B356" s="379">
        <f>'2022'!Maxi_hp</f>
        <v>18.164839905008368</v>
      </c>
      <c r="C356" s="13">
        <f>'2022'!An_max</f>
        <v>2018</v>
      </c>
      <c r="D356" s="1046" t="str">
        <f t="shared" si="135"/>
        <v/>
      </c>
      <c r="E356" s="13"/>
      <c r="F356" s="13">
        <f t="shared" si="152"/>
        <v>25</v>
      </c>
      <c r="G356" s="13">
        <f t="shared" si="136"/>
        <v>26</v>
      </c>
      <c r="H356" s="173">
        <f t="shared" si="137"/>
        <v>43430</v>
      </c>
      <c r="I356" s="742">
        <f t="shared" si="138"/>
        <v>0.8571428571428571</v>
      </c>
      <c r="J356" s="735">
        <f t="shared" si="139"/>
        <v>26.751640818321277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39">
        <v>43442</v>
      </c>
      <c r="AP356" s="13">
        <f t="shared" si="140"/>
        <v>13</v>
      </c>
      <c r="AQ356" s="13">
        <f t="shared" si="141"/>
        <v>14</v>
      </c>
      <c r="AR356" s="173">
        <f t="shared" si="142"/>
        <v>43416</v>
      </c>
      <c r="AS356" s="742">
        <f t="shared" si="143"/>
        <v>0.9285714285714286</v>
      </c>
      <c r="AT356" s="758">
        <f t="shared" si="144"/>
        <v>26.661002225721518</v>
      </c>
      <c r="AU356" s="13">
        <f t="shared" si="145"/>
        <v>13</v>
      </c>
      <c r="AV356" s="13">
        <f t="shared" si="146"/>
        <v>14</v>
      </c>
      <c r="AW356" s="173">
        <f t="shared" si="147"/>
        <v>43430</v>
      </c>
      <c r="AX356" s="742">
        <f t="shared" si="148"/>
        <v>0.42857142857142855</v>
      </c>
      <c r="AY356" s="758">
        <f t="shared" si="149"/>
        <v>26.981233341566149</v>
      </c>
      <c r="AZ356" s="735">
        <f t="shared" si="153"/>
        <v>26.821117783643835</v>
      </c>
      <c r="BA356" s="633">
        <f t="shared" si="150"/>
        <v>0.6790177854274978</v>
      </c>
      <c r="BC356" s="11">
        <v>43442</v>
      </c>
      <c r="BD356" s="289">
        <f>[3]!FeuilCaduc*(1-Persistant)+Persistant</f>
        <v>0.81326113432799818</v>
      </c>
      <c r="BE356" s="290">
        <f>[3]!CroissVégét</f>
        <v>0.99974228532646048</v>
      </c>
      <c r="BF356" s="804">
        <f>1+[3]!Salcycl*Ksac</f>
        <v>1.0033152835819996</v>
      </c>
      <c r="BH356" s="1037">
        <f t="shared" si="151"/>
        <v>0.1466083753605045</v>
      </c>
      <c r="BI356" s="11">
        <v>44538</v>
      </c>
      <c r="BJ356" s="715">
        <v>2.139977072254903E-3</v>
      </c>
      <c r="BK356" s="715">
        <v>2.2871098138538319E-2</v>
      </c>
      <c r="BL356" s="715">
        <v>5.6398721215964086E-2</v>
      </c>
      <c r="BM356" s="715">
        <v>0.10326370844176069</v>
      </c>
      <c r="BN356" s="715">
        <v>0.15751661814997556</v>
      </c>
      <c r="BO356" s="716">
        <v>0.22489865788680152</v>
      </c>
      <c r="BP356" s="715">
        <v>0.35685610270787088</v>
      </c>
      <c r="BQ356" s="715">
        <v>0.58664342270168646</v>
      </c>
      <c r="BR356" s="715">
        <v>0.85988262113643577</v>
      </c>
      <c r="BS356" s="715">
        <v>1.1200327203935199</v>
      </c>
      <c r="BT356" s="715">
        <v>1.3278483787144602</v>
      </c>
      <c r="BW356" s="1185">
        <f>'2019'!R\Max</f>
        <v>0.6790177854274978</v>
      </c>
      <c r="BX356" s="1185">
        <f>'2020'!R\Max</f>
        <v>9.9846406972007973E-2</v>
      </c>
      <c r="BY356" s="1185">
        <f>'2021'!R\Max</f>
        <v>0.33743894357164428</v>
      </c>
      <c r="BZ356" s="1185">
        <f>'2022'!R\Max</f>
        <v>0.18702665410559738</v>
      </c>
      <c r="CA356" s="1185">
        <f>'2023'!R\Max</f>
        <v>0.18509057913608296</v>
      </c>
      <c r="CB356" s="1185">
        <f>'2024'!R\Max</f>
        <v>0.18267185985840562</v>
      </c>
      <c r="CC356" s="1185">
        <f>'2025'!R\Max</f>
        <v>0.17930042841582905</v>
      </c>
      <c r="CD356" s="1185">
        <f>'2026'!R\Max</f>
        <v>0.19067524879706751</v>
      </c>
      <c r="CE356" s="1186">
        <f>'2027'!R\Max</f>
        <v>0.18968662189006591</v>
      </c>
      <c r="CF356" s="1187">
        <f>'2028'!R\Max</f>
        <v>0.18869799498306428</v>
      </c>
    </row>
    <row r="357" spans="1:84" s="6" customFormat="1" ht="11.25" x14ac:dyDescent="0.2">
      <c r="A357" s="11">
        <v>43443</v>
      </c>
      <c r="B357" s="379">
        <f>'2022'!Maxi_hp</f>
        <v>10.143572329853523</v>
      </c>
      <c r="C357" s="13">
        <f>'2022'!An_max</f>
        <v>2022</v>
      </c>
      <c r="D357" s="1046" t="str">
        <f t="shared" si="135"/>
        <v/>
      </c>
      <c r="E357" s="13"/>
      <c r="F357" s="13">
        <f t="shared" si="152"/>
        <v>25</v>
      </c>
      <c r="G357" s="13">
        <f t="shared" si="136"/>
        <v>26</v>
      </c>
      <c r="H357" s="173">
        <f t="shared" si="137"/>
        <v>43430</v>
      </c>
      <c r="I357" s="742">
        <f t="shared" si="138"/>
        <v>0.9285714285714286</v>
      </c>
      <c r="J357" s="735">
        <f t="shared" si="139"/>
        <v>26.587706888812995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39">
        <v>43443</v>
      </c>
      <c r="AP357" s="13">
        <f t="shared" si="140"/>
        <v>13</v>
      </c>
      <c r="AQ357" s="13">
        <f t="shared" si="141"/>
        <v>14</v>
      </c>
      <c r="AR357" s="173">
        <f t="shared" si="142"/>
        <v>43416</v>
      </c>
      <c r="AS357" s="742">
        <f t="shared" si="143"/>
        <v>0.9642857142857143</v>
      </c>
      <c r="AT357" s="758">
        <f t="shared" si="144"/>
        <v>26.541835111053661</v>
      </c>
      <c r="AU357" s="13">
        <f t="shared" si="145"/>
        <v>13</v>
      </c>
      <c r="AV357" s="13">
        <f t="shared" si="146"/>
        <v>14</v>
      </c>
      <c r="AW357" s="173">
        <f t="shared" si="147"/>
        <v>43430</v>
      </c>
      <c r="AX357" s="742">
        <f t="shared" si="148"/>
        <v>0.4642857142857143</v>
      </c>
      <c r="AY357" s="758">
        <f t="shared" si="149"/>
        <v>26.800658299374795</v>
      </c>
      <c r="AZ357" s="735">
        <f t="shared" si="153"/>
        <v>26.67124670521423</v>
      </c>
      <c r="BA357" s="633">
        <f t="shared" si="150"/>
        <v>0.38151362102316233</v>
      </c>
      <c r="BC357" s="11">
        <v>43443</v>
      </c>
      <c r="BD357" s="289">
        <f>[3]!FeuilCaduc*(1-Persistant)+Persistant</f>
        <v>0.81232725608220924</v>
      </c>
      <c r="BE357" s="290">
        <f>[3]!CroissVégét</f>
        <v>0.99976598353118062</v>
      </c>
      <c r="BF357" s="804">
        <f>1+[3]!Salcycl*Ksac</f>
        <v>1.0030818140205524</v>
      </c>
      <c r="BH357" s="1037">
        <f t="shared" si="151"/>
        <v>0.14606303594990108</v>
      </c>
      <c r="BI357" s="11">
        <v>44539</v>
      </c>
      <c r="BJ357" s="715">
        <v>2.1597588243603828E-3</v>
      </c>
      <c r="BK357" s="715">
        <v>2.3184771692727493E-2</v>
      </c>
      <c r="BL357" s="715">
        <v>5.6558123005807662E-2</v>
      </c>
      <c r="BM357" s="715">
        <v>0.10316330886457131</v>
      </c>
      <c r="BN357" s="715">
        <v>0.15685930390891176</v>
      </c>
      <c r="BO357" s="716">
        <v>0.22400935410483516</v>
      </c>
      <c r="BP357" s="715">
        <v>0.35762064154412687</v>
      </c>
      <c r="BQ357" s="715">
        <v>0.58846438768432685</v>
      </c>
      <c r="BR357" s="715">
        <v>0.86144096139707482</v>
      </c>
      <c r="BS357" s="715">
        <v>1.1184739678316715</v>
      </c>
      <c r="BT357" s="715">
        <v>1.3228702127831042</v>
      </c>
      <c r="BW357" s="1185">
        <f>'2019'!R\Max</f>
        <v>0.32228188329797819</v>
      </c>
      <c r="BX357" s="1185">
        <f>'2020'!R\Max</f>
        <v>0.33770738709179576</v>
      </c>
      <c r="BY357" s="1185">
        <f>'2021'!R\Max</f>
        <v>0.36348808659702375</v>
      </c>
      <c r="BZ357" s="1185">
        <f>'2022'!R\Max</f>
        <v>0.38151362102316233</v>
      </c>
      <c r="CA357" s="1185">
        <f>'2023'!R\Max</f>
        <v>0.37799305143265111</v>
      </c>
      <c r="CB357" s="1185">
        <f>'2024'!R\Max</f>
        <v>0.3735979106169019</v>
      </c>
      <c r="CC357" s="1185">
        <f>'2025'!R\Max</f>
        <v>0.36747318678318369</v>
      </c>
      <c r="CD357" s="1185">
        <f>'2026'!R\Max</f>
        <v>0.38806521955948753</v>
      </c>
      <c r="CE357" s="1186">
        <f>'2027'!R\Max</f>
        <v>0.38630571387967999</v>
      </c>
      <c r="CF357" s="1187">
        <f>'2028'!R\Max</f>
        <v>0.38454387613814844</v>
      </c>
    </row>
    <row r="358" spans="1:84" s="6" customFormat="1" ht="11.25" x14ac:dyDescent="0.2">
      <c r="A358" s="11">
        <v>43444</v>
      </c>
      <c r="B358" s="379">
        <f>'2022'!Maxi_hp</f>
        <v>19.483808473016875</v>
      </c>
      <c r="C358" s="13">
        <f>'2022'!An_max</f>
        <v>2018</v>
      </c>
      <c r="D358" s="1046" t="str">
        <f t="shared" si="135"/>
        <v/>
      </c>
      <c r="E358" s="1041">
        <f>AL$13/10</f>
        <v>26.4404</v>
      </c>
      <c r="F358" s="13">
        <f t="shared" si="152"/>
        <v>27</v>
      </c>
      <c r="G358" s="13">
        <f t="shared" si="136"/>
        <v>26</v>
      </c>
      <c r="H358" s="173">
        <f t="shared" si="137"/>
        <v>43458</v>
      </c>
      <c r="I358" s="742">
        <f t="shared" si="138"/>
        <v>1</v>
      </c>
      <c r="J358" s="735">
        <f t="shared" si="139"/>
        <v>26.440400002896787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39">
        <v>43444</v>
      </c>
      <c r="AP358" s="13">
        <f t="shared" si="140"/>
        <v>15</v>
      </c>
      <c r="AQ358" s="13">
        <f t="shared" si="141"/>
        <v>14</v>
      </c>
      <c r="AR358" s="173">
        <f t="shared" si="142"/>
        <v>43473</v>
      </c>
      <c r="AS358" s="742">
        <f t="shared" si="143"/>
        <v>1</v>
      </c>
      <c r="AT358" s="758">
        <f t="shared" si="144"/>
        <v>26.440400002896787</v>
      </c>
      <c r="AU358" s="13">
        <f t="shared" si="145"/>
        <v>13</v>
      </c>
      <c r="AV358" s="13">
        <f t="shared" si="146"/>
        <v>14</v>
      </c>
      <c r="AW358" s="173">
        <f t="shared" si="147"/>
        <v>43430</v>
      </c>
      <c r="AX358" s="742">
        <f t="shared" si="148"/>
        <v>0.5</v>
      </c>
      <c r="AY358" s="758">
        <f t="shared" si="149"/>
        <v>26.627898736670613</v>
      </c>
      <c r="AZ358" s="735">
        <f t="shared" si="153"/>
        <v>26.534149369783698</v>
      </c>
      <c r="BA358" s="633">
        <f t="shared" si="150"/>
        <v>0.73689537491423152</v>
      </c>
      <c r="BC358" s="11">
        <v>43444</v>
      </c>
      <c r="BD358" s="289">
        <f>[3]!FeuilCaduc*(1-Persistant)+Persistant</f>
        <v>0.81145232074151274</v>
      </c>
      <c r="BE358" s="290">
        <f>[3]!CroissVégét</f>
        <v>0.9997887286324697</v>
      </c>
      <c r="BF358" s="804">
        <f>1+[3]!Salcycl*Ksac</f>
        <v>1.0028630801853782</v>
      </c>
      <c r="BH358" s="1037">
        <f t="shared" si="151"/>
        <v>0.14552960878909305</v>
      </c>
      <c r="BI358" s="11">
        <v>44540</v>
      </c>
      <c r="BJ358" s="715">
        <v>2.1788656628820781E-3</v>
      </c>
      <c r="BK358" s="715">
        <v>2.3458197656530996E-2</v>
      </c>
      <c r="BL358" s="715">
        <v>5.6674004632649537E-2</v>
      </c>
      <c r="BM358" s="715">
        <v>0.10302798095406643</v>
      </c>
      <c r="BN358" s="715">
        <v>0.15622568995269581</v>
      </c>
      <c r="BO358" s="716">
        <v>0.22317090318886854</v>
      </c>
      <c r="BP358" s="715">
        <v>0.35826434466424711</v>
      </c>
      <c r="BQ358" s="715">
        <v>0.58988165665515924</v>
      </c>
      <c r="BR358" s="715">
        <v>0.8624858970451571</v>
      </c>
      <c r="BS358" s="715">
        <v>1.1164820890734422</v>
      </c>
      <c r="BT358" s="715">
        <v>1.317634916822336</v>
      </c>
      <c r="BW358" s="1185">
        <f>'2019'!R\Max</f>
        <v>0.73689537491423152</v>
      </c>
      <c r="BX358" s="1185">
        <f>'2020'!R\Max</f>
        <v>0.35170728797342704</v>
      </c>
      <c r="BY358" s="1185">
        <f>'2021'!R\Max</f>
        <v>0.10659127162160341</v>
      </c>
      <c r="BZ358" s="1185">
        <f>'2022'!R\Max</f>
        <v>0.64761315532496699</v>
      </c>
      <c r="CA358" s="1185">
        <f>'2023'!R\Max</f>
        <v>0.64414062877418554</v>
      </c>
      <c r="CB358" s="1185">
        <f>'2024'!R\Max</f>
        <v>0.63978127073737989</v>
      </c>
      <c r="CC358" s="1185">
        <f>'2025'!R\Max</f>
        <v>0.63365748310171954</v>
      </c>
      <c r="CD358" s="1185">
        <f>'2026'!R\Max</f>
        <v>0.6539521311302765</v>
      </c>
      <c r="CE358" s="1186">
        <f>'2027'!R\Max</f>
        <v>0.65226969971605442</v>
      </c>
      <c r="CF358" s="1187">
        <f>'2028'!R\Max</f>
        <v>0.65057835730760138</v>
      </c>
    </row>
    <row r="359" spans="1:84" s="6" customFormat="1" ht="11.25" x14ac:dyDescent="0.2">
      <c r="A359" s="11">
        <v>43445</v>
      </c>
      <c r="B359" s="379">
        <f>'2022'!Maxi_hp</f>
        <v>16.447360617108369</v>
      </c>
      <c r="C359" s="13">
        <f>'2022'!An_max</f>
        <v>2021</v>
      </c>
      <c r="D359" s="1046" t="str">
        <f t="shared" si="135"/>
        <v/>
      </c>
      <c r="E359" s="13"/>
      <c r="F359" s="13">
        <f t="shared" si="152"/>
        <v>27</v>
      </c>
      <c r="G359" s="13">
        <f t="shared" si="136"/>
        <v>26</v>
      </c>
      <c r="H359" s="173">
        <f t="shared" si="137"/>
        <v>43458</v>
      </c>
      <c r="I359" s="742">
        <f t="shared" si="138"/>
        <v>0.9285714285714286</v>
      </c>
      <c r="J359" s="735">
        <f t="shared" si="139"/>
        <v>26.30486898869276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39">
        <v>43445</v>
      </c>
      <c r="AP359" s="13">
        <f t="shared" si="140"/>
        <v>15</v>
      </c>
      <c r="AQ359" s="13">
        <f t="shared" si="141"/>
        <v>14</v>
      </c>
      <c r="AR359" s="173">
        <f t="shared" si="142"/>
        <v>43473</v>
      </c>
      <c r="AS359" s="742">
        <f t="shared" si="143"/>
        <v>0.96551724137931039</v>
      </c>
      <c r="AT359" s="758">
        <f t="shared" si="144"/>
        <v>26.353441330584985</v>
      </c>
      <c r="AU359" s="13">
        <f t="shared" si="145"/>
        <v>13</v>
      </c>
      <c r="AV359" s="13">
        <f t="shared" si="146"/>
        <v>14</v>
      </c>
      <c r="AW359" s="173">
        <f t="shared" si="147"/>
        <v>43430</v>
      </c>
      <c r="AX359" s="742">
        <f t="shared" si="148"/>
        <v>0.5357142857142857</v>
      </c>
      <c r="AY359" s="758">
        <f t="shared" si="149"/>
        <v>26.463875921469715</v>
      </c>
      <c r="AZ359" s="735">
        <f t="shared" si="153"/>
        <v>26.40865862602735</v>
      </c>
      <c r="BA359" s="633">
        <f t="shared" si="150"/>
        <v>0.62525917251967023</v>
      </c>
      <c r="BC359" s="11">
        <v>43445</v>
      </c>
      <c r="BD359" s="289">
        <f>[3]!FeuilCaduc*(1-Persistant)+Persistant</f>
        <v>0.81063410122249158</v>
      </c>
      <c r="BE359" s="290">
        <f>[3]!CroissVégét</f>
        <v>0.99981055892185233</v>
      </c>
      <c r="BF359" s="804">
        <f>1+[3]!Salcycl*Ksac</f>
        <v>1.0026585253056228</v>
      </c>
      <c r="BH359" s="1037">
        <f t="shared" si="151"/>
        <v>0.14500838963738741</v>
      </c>
      <c r="BI359" s="11">
        <v>44541</v>
      </c>
      <c r="BJ359" s="715">
        <v>2.1973023329673268E-3</v>
      </c>
      <c r="BK359" s="715">
        <v>2.3691425156880684E-2</v>
      </c>
      <c r="BL359" s="715">
        <v>5.6746481673651816E-2</v>
      </c>
      <c r="BM359" s="715">
        <v>0.1028579337406543</v>
      </c>
      <c r="BN359" s="715">
        <v>0.15561609386707725</v>
      </c>
      <c r="BO359" s="716">
        <v>0.22238376129964602</v>
      </c>
      <c r="BP359" s="715">
        <v>0.35878795516669126</v>
      </c>
      <c r="BQ359" s="715">
        <v>0.5908964400407003</v>
      </c>
      <c r="BR359" s="715">
        <v>0.86301918983578463</v>
      </c>
      <c r="BS359" s="715">
        <v>1.1140593368175757</v>
      </c>
      <c r="BT359" s="715">
        <v>1.3121451301996405</v>
      </c>
      <c r="BW359" s="1185">
        <f>'2019'!R\Max</f>
        <v>7.9542012606538828E-2</v>
      </c>
      <c r="BX359" s="1185">
        <f>'2020'!R\Max</f>
        <v>0.20075270015048399</v>
      </c>
      <c r="BY359" s="1185">
        <f>'2021'!R\Max</f>
        <v>0.62525917251967023</v>
      </c>
      <c r="BZ359" s="1185">
        <f>'2022'!R\Max</f>
        <v>0.62002116177622379</v>
      </c>
      <c r="CA359" s="1185">
        <f>'2023'!R\Max</f>
        <v>0.61638748831703094</v>
      </c>
      <c r="CB359" s="1185">
        <f>'2024'!R\Max</f>
        <v>0.61184537888192037</v>
      </c>
      <c r="CC359" s="1185">
        <f>'2025'!R\Max</f>
        <v>0.60549793796221418</v>
      </c>
      <c r="CD359" s="1185">
        <f>'2026'!R\Max</f>
        <v>0.62661672468838403</v>
      </c>
      <c r="CE359" s="1186">
        <f>'2027'!R\Max</f>
        <v>0.62487506009640681</v>
      </c>
      <c r="CF359" s="1187">
        <f>'2028'!R\Max</f>
        <v>0.62312487147360507</v>
      </c>
    </row>
    <row r="360" spans="1:84" s="6" customFormat="1" ht="11.25" x14ac:dyDescent="0.2">
      <c r="A360" s="11">
        <v>43446</v>
      </c>
      <c r="B360" s="379">
        <f>'2022'!Maxi_hp</f>
        <v>25.134038937177625</v>
      </c>
      <c r="C360" s="13">
        <f>'2022'!An_max</f>
        <v>2021</v>
      </c>
      <c r="D360" s="1046" t="str">
        <f t="shared" si="135"/>
        <v/>
      </c>
      <c r="E360" s="13"/>
      <c r="F360" s="13">
        <f t="shared" si="152"/>
        <v>27</v>
      </c>
      <c r="G360" s="13">
        <f t="shared" si="136"/>
        <v>26</v>
      </c>
      <c r="H360" s="173">
        <f t="shared" si="137"/>
        <v>43458</v>
      </c>
      <c r="I360" s="742">
        <f t="shared" si="138"/>
        <v>0.8571428571428571</v>
      </c>
      <c r="J360" s="735">
        <f t="shared" si="139"/>
        <v>26.175916257500649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39">
        <v>43446</v>
      </c>
      <c r="AP360" s="13">
        <f t="shared" si="140"/>
        <v>15</v>
      </c>
      <c r="AQ360" s="13">
        <f t="shared" si="141"/>
        <v>14</v>
      </c>
      <c r="AR360" s="173">
        <f t="shared" si="142"/>
        <v>43473</v>
      </c>
      <c r="AS360" s="742">
        <f t="shared" si="143"/>
        <v>0.93103448275862066</v>
      </c>
      <c r="AT360" s="758">
        <f t="shared" si="144"/>
        <v>26.277063122597234</v>
      </c>
      <c r="AU360" s="13">
        <f t="shared" si="145"/>
        <v>13</v>
      </c>
      <c r="AV360" s="13">
        <f t="shared" si="146"/>
        <v>14</v>
      </c>
      <c r="AW360" s="173">
        <f t="shared" si="147"/>
        <v>43430</v>
      </c>
      <c r="AX360" s="742">
        <f t="shared" si="148"/>
        <v>0.5714285714285714</v>
      </c>
      <c r="AY360" s="758">
        <f t="shared" si="149"/>
        <v>26.309511121468887</v>
      </c>
      <c r="AZ360" s="735">
        <f t="shared" si="153"/>
        <v>26.29328712203306</v>
      </c>
      <c r="BA360" s="633">
        <f t="shared" si="150"/>
        <v>0.96019710217309096</v>
      </c>
      <c r="BC360" s="11">
        <v>43446</v>
      </c>
      <c r="BD360" s="289">
        <f>[3]!FeuilCaduc*(1-Persistant)+Persistant</f>
        <v>0.80987027734864592</v>
      </c>
      <c r="BE360" s="290">
        <f>[3]!CroissVégét</f>
        <v>0.99983151115568181</v>
      </c>
      <c r="BF360" s="804">
        <f>1+[3]!Salcycl*Ksac</f>
        <v>1.0024675693371614</v>
      </c>
      <c r="BH360" s="1037">
        <f t="shared" si="151"/>
        <v>0.14449967025313171</v>
      </c>
      <c r="BI360" s="11">
        <v>44542</v>
      </c>
      <c r="BJ360" s="715">
        <v>2.2150737096988679E-3</v>
      </c>
      <c r="BK360" s="715">
        <v>2.3884503913605536E-2</v>
      </c>
      <c r="BL360" s="715">
        <v>5.6775668839394285E-2</v>
      </c>
      <c r="BM360" s="715">
        <v>0.10265337363696284</v>
      </c>
      <c r="BN360" s="715">
        <v>0.15503082888875147</v>
      </c>
      <c r="BO360" s="716">
        <v>0.22164837964508921</v>
      </c>
      <c r="BP360" s="715">
        <v>0.35919221633707393</v>
      </c>
      <c r="BQ360" s="715">
        <v>0.59150994304859361</v>
      </c>
      <c r="BR360" s="715">
        <v>0.86304258854240135</v>
      </c>
      <c r="BS360" s="715">
        <v>1.1112079287595835</v>
      </c>
      <c r="BT360" s="715">
        <v>1.3064034375350966</v>
      </c>
      <c r="BW360" s="1185">
        <f>'2019'!R\Max</f>
        <v>0.23003712814580082</v>
      </c>
      <c r="BX360" s="1185">
        <f>'2020'!R\Max</f>
        <v>0.32607175512939296</v>
      </c>
      <c r="BY360" s="1185">
        <f>'2021'!R\Max</f>
        <v>0.96019710217309096</v>
      </c>
      <c r="BZ360" s="1185">
        <f>'2022'!R\Max</f>
        <v>0.28422182917234418</v>
      </c>
      <c r="CA360" s="1185">
        <f>'2023'!R\Max</f>
        <v>0.28109887398230665</v>
      </c>
      <c r="CB360" s="1185">
        <f>'2024'!R\Max</f>
        <v>0.27725215647541807</v>
      </c>
      <c r="CC360" s="1185">
        <f>'2025'!R\Max</f>
        <v>0.27197734469307577</v>
      </c>
      <c r="CD360" s="1185">
        <f>'2026'!R\Max</f>
        <v>0.28993868376887622</v>
      </c>
      <c r="CE360" s="1186">
        <f>'2027'!R\Max</f>
        <v>0.28842612144048935</v>
      </c>
      <c r="CF360" s="1187">
        <f>'2028'!R\Max</f>
        <v>0.28691355911210253</v>
      </c>
    </row>
    <row r="361" spans="1:84" s="6" customFormat="1" ht="11.25" x14ac:dyDescent="0.2">
      <c r="A361" s="11">
        <v>43447</v>
      </c>
      <c r="B361" s="379">
        <f>'2022'!Maxi_hp</f>
        <v>25.832835378767957</v>
      </c>
      <c r="C361" s="13">
        <f>'2022'!An_max</f>
        <v>2021</v>
      </c>
      <c r="D361" s="1046">
        <f t="shared" si="135"/>
        <v>0.99148647620650221</v>
      </c>
      <c r="E361" s="13"/>
      <c r="F361" s="13">
        <f t="shared" si="152"/>
        <v>27</v>
      </c>
      <c r="G361" s="13">
        <f t="shared" si="136"/>
        <v>26</v>
      </c>
      <c r="H361" s="173">
        <f t="shared" si="137"/>
        <v>43458</v>
      </c>
      <c r="I361" s="742">
        <f t="shared" si="138"/>
        <v>0.7857142857142857</v>
      </c>
      <c r="J361" s="735">
        <f t="shared" si="139"/>
        <v>26.054652280892647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39">
        <v>43447</v>
      </c>
      <c r="AP361" s="13">
        <f t="shared" si="140"/>
        <v>15</v>
      </c>
      <c r="AQ361" s="13">
        <f t="shared" si="141"/>
        <v>14</v>
      </c>
      <c r="AR361" s="173">
        <f t="shared" si="142"/>
        <v>43473</v>
      </c>
      <c r="AS361" s="742">
        <f t="shared" si="143"/>
        <v>0.89655172413793105</v>
      </c>
      <c r="AT361" s="758">
        <f t="shared" si="144"/>
        <v>26.211215167569701</v>
      </c>
      <c r="AU361" s="13">
        <f t="shared" si="145"/>
        <v>13</v>
      </c>
      <c r="AV361" s="13">
        <f t="shared" si="146"/>
        <v>14</v>
      </c>
      <c r="AW361" s="173">
        <f t="shared" si="147"/>
        <v>43430</v>
      </c>
      <c r="AX361" s="742">
        <f t="shared" si="148"/>
        <v>0.6071428571428571</v>
      </c>
      <c r="AY361" s="758">
        <f t="shared" si="149"/>
        <v>26.165725603566635</v>
      </c>
      <c r="AZ361" s="735">
        <f t="shared" si="153"/>
        <v>26.188470385568166</v>
      </c>
      <c r="BA361" s="633">
        <f t="shared" si="150"/>
        <v>0.99148647620650221</v>
      </c>
      <c r="BC361" s="11">
        <v>43447</v>
      </c>
      <c r="BD361" s="289">
        <f>[3]!FeuilCaduc*(1-Persistant)+Persistant</f>
        <v>0.80915845250192853</v>
      </c>
      <c r="BE361" s="290">
        <f>[3]!CroissVégét</f>
        <v>0.99985162061643362</v>
      </c>
      <c r="BF361" s="804">
        <f>1+[3]!Salcycl*Ksac</f>
        <v>1.0022896131254821</v>
      </c>
      <c r="BH361" s="1037">
        <f t="shared" si="151"/>
        <v>0.14403802574768554</v>
      </c>
      <c r="BI361" s="11">
        <v>44543</v>
      </c>
      <c r="BJ361" s="715">
        <v>2.2314048464410637E-3</v>
      </c>
      <c r="BK361" s="715">
        <v>2.4056176705031265E-2</v>
      </c>
      <c r="BL361" s="715">
        <v>5.6799155376182665E-2</v>
      </c>
      <c r="BM361" s="715">
        <v>0.10246367961498162</v>
      </c>
      <c r="BN361" s="715">
        <v>0.15450074454719095</v>
      </c>
      <c r="BO361" s="716">
        <v>0.22098225846716446</v>
      </c>
      <c r="BP361" s="715">
        <v>0.35952793974445524</v>
      </c>
      <c r="BQ361" s="715">
        <v>0.59198026862491515</v>
      </c>
      <c r="BR361" s="715">
        <v>0.86294758347337774</v>
      </c>
      <c r="BS361" s="715">
        <v>1.1085019238634908</v>
      </c>
      <c r="BT361" s="715">
        <v>1.3010872654394132</v>
      </c>
      <c r="BW361" s="1185">
        <f>'2019'!R\Max</f>
        <v>8.8092354810858267E-2</v>
      </c>
      <c r="BX361" s="1185">
        <f>'2020'!R\Max</f>
        <v>0.40051873825233486</v>
      </c>
      <c r="BY361" s="1185">
        <f>'2021'!R\Max</f>
        <v>0.99148647620650221</v>
      </c>
      <c r="BZ361" s="1185">
        <f>'2022'!R\Max</f>
        <v>0.26747142700278426</v>
      </c>
      <c r="CA361" s="1185">
        <f>'2023'!R\Max</f>
        <v>0.26449959631036407</v>
      </c>
      <c r="CB361" s="1185">
        <f>'2024'!R\Max</f>
        <v>0.26085022393961849</v>
      </c>
      <c r="CC361" s="1185">
        <f>'2025'!R\Max</f>
        <v>0.25586407814912732</v>
      </c>
      <c r="CD361" s="1185">
        <f>'2026'!R\Max</f>
        <v>0.27288430924773677</v>
      </c>
      <c r="CE361" s="1186">
        <f>'2027'!R\Max</f>
        <v>0.27145826838002823</v>
      </c>
      <c r="CF361" s="1187">
        <f>'2028'!R\Max</f>
        <v>0.27003222751231964</v>
      </c>
    </row>
    <row r="362" spans="1:84" s="6" customFormat="1" ht="11.25" x14ac:dyDescent="0.2">
      <c r="A362" s="11">
        <v>43448</v>
      </c>
      <c r="B362" s="379">
        <f>'2022'!Maxi_hp</f>
        <v>25.956270173874294</v>
      </c>
      <c r="C362" s="13">
        <f>'2022'!An_max</f>
        <v>2021</v>
      </c>
      <c r="D362" s="1046">
        <f t="shared" si="135"/>
        <v>1.0005428475200633</v>
      </c>
      <c r="E362" s="13"/>
      <c r="F362" s="13">
        <f t="shared" si="152"/>
        <v>27</v>
      </c>
      <c r="G362" s="13">
        <f t="shared" si="136"/>
        <v>26</v>
      </c>
      <c r="H362" s="173">
        <f t="shared" si="137"/>
        <v>43458</v>
      </c>
      <c r="I362" s="742">
        <f t="shared" si="138"/>
        <v>0.7142857142857143</v>
      </c>
      <c r="J362" s="735">
        <f t="shared" si="139"/>
        <v>25.942187521713116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39">
        <v>43448</v>
      </c>
      <c r="AP362" s="13">
        <f t="shared" si="140"/>
        <v>15</v>
      </c>
      <c r="AQ362" s="13">
        <f t="shared" si="141"/>
        <v>14</v>
      </c>
      <c r="AR362" s="173">
        <f t="shared" si="142"/>
        <v>43473</v>
      </c>
      <c r="AS362" s="742">
        <f t="shared" si="143"/>
        <v>0.86206896551724133</v>
      </c>
      <c r="AT362" s="758">
        <f t="shared" si="144"/>
        <v>26.155847250695889</v>
      </c>
      <c r="AU362" s="13">
        <f t="shared" si="145"/>
        <v>13</v>
      </c>
      <c r="AV362" s="13">
        <f t="shared" si="146"/>
        <v>14</v>
      </c>
      <c r="AW362" s="173">
        <f t="shared" si="147"/>
        <v>43430</v>
      </c>
      <c r="AX362" s="742">
        <f t="shared" si="148"/>
        <v>0.6428571428571429</v>
      </c>
      <c r="AY362" s="758">
        <f t="shared" si="149"/>
        <v>26.033440635991951</v>
      </c>
      <c r="AZ362" s="735">
        <f t="shared" si="153"/>
        <v>26.094643943343918</v>
      </c>
      <c r="BA362" s="633">
        <f t="shared" si="150"/>
        <v>1.0005428475200633</v>
      </c>
      <c r="BC362" s="11">
        <v>43448</v>
      </c>
      <c r="BD362" s="289">
        <f>[3]!FeuilCaduc*(1-Persistant)+Persistant</f>
        <v>0.80849617029323162</v>
      </c>
      <c r="BE362" s="290">
        <f>[3]!CroissVégét</f>
        <v>0.99987092117157228</v>
      </c>
      <c r="BF362" s="804">
        <f>1+[3]!Salcycl*Ksac</f>
        <v>1.0021240425733078</v>
      </c>
      <c r="BH362" s="1037">
        <f t="shared" si="151"/>
        <v>0.14362374741646136</v>
      </c>
      <c r="BI362" s="11">
        <v>44544</v>
      </c>
      <c r="BJ362" s="715">
        <v>2.2463006800321761E-3</v>
      </c>
      <c r="BK362" s="715">
        <v>2.4206495644175121E-2</v>
      </c>
      <c r="BL362" s="715">
        <v>5.6817058999158926E-2</v>
      </c>
      <c r="BM362" s="715">
        <v>0.10228906044541754</v>
      </c>
      <c r="BN362" s="715">
        <v>0.15402615290621149</v>
      </c>
      <c r="BO362" s="716">
        <v>0.22038584558312213</v>
      </c>
      <c r="BP362" s="715">
        <v>0.35979587139453195</v>
      </c>
      <c r="BQ362" s="715">
        <v>0.59230863739344042</v>
      </c>
      <c r="BR362" s="715">
        <v>0.86273594285204658</v>
      </c>
      <c r="BS362" s="715">
        <v>1.105943556470123</v>
      </c>
      <c r="BT362" s="715">
        <v>1.2961992071513897</v>
      </c>
      <c r="BW362" s="1185">
        <f>'2019'!R\Max</f>
        <v>0.53633118351473308</v>
      </c>
      <c r="BX362" s="1185">
        <f>'2020'!R\Max</f>
        <v>0.43152629605695031</v>
      </c>
      <c r="BY362" s="1185">
        <f>'2021'!R\Max</f>
        <v>1.0005428475200633</v>
      </c>
      <c r="BZ362" s="1185">
        <f>'2022'!R\Max</f>
        <v>0.63813892555621166</v>
      </c>
      <c r="CA362" s="1185">
        <f>'2023'!R\Max</f>
        <v>0.63445528711191002</v>
      </c>
      <c r="CB362" s="1185">
        <f>'2024'!R\Max</f>
        <v>0.62988845512964675</v>
      </c>
      <c r="CC362" s="1185">
        <f>'2025'!R\Max</f>
        <v>0.62356820873008001</v>
      </c>
      <c r="CD362" s="1185">
        <f>'2026'!R\Max</f>
        <v>0.64471724489533488</v>
      </c>
      <c r="CE362" s="1186">
        <f>'2027'!R\Max</f>
        <v>0.64300314967355665</v>
      </c>
      <c r="CF362" s="1187">
        <f>'2028'!R\Max</f>
        <v>0.64128015434357999</v>
      </c>
    </row>
    <row r="363" spans="1:84" s="6" customFormat="1" ht="11.25" x14ac:dyDescent="0.2">
      <c r="A363" s="11">
        <v>43449</v>
      </c>
      <c r="B363" s="379">
        <f>'2022'!Maxi_hp</f>
        <v>25.992364486751338</v>
      </c>
      <c r="C363" s="13">
        <f>'2022'!An_max</f>
        <v>2018</v>
      </c>
      <c r="D363" s="1046">
        <f t="shared" si="135"/>
        <v>1.0059107664859583</v>
      </c>
      <c r="E363" s="13"/>
      <c r="F363" s="13">
        <f t="shared" si="152"/>
        <v>27</v>
      </c>
      <c r="G363" s="13">
        <f t="shared" si="136"/>
        <v>26</v>
      </c>
      <c r="H363" s="173">
        <f t="shared" si="137"/>
        <v>43458</v>
      </c>
      <c r="I363" s="742">
        <f t="shared" si="138"/>
        <v>0.6428571428571429</v>
      </c>
      <c r="J363" s="735">
        <f t="shared" si="139"/>
        <v>25.839632453237261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39">
        <v>43449</v>
      </c>
      <c r="AP363" s="13">
        <f t="shared" si="140"/>
        <v>15</v>
      </c>
      <c r="AQ363" s="13">
        <f t="shared" si="141"/>
        <v>14</v>
      </c>
      <c r="AR363" s="173">
        <f t="shared" si="142"/>
        <v>43473</v>
      </c>
      <c r="AS363" s="742">
        <f t="shared" si="143"/>
        <v>0.82758620689655171</v>
      </c>
      <c r="AT363" s="758">
        <f t="shared" si="144"/>
        <v>26.11090917150522</v>
      </c>
      <c r="AU363" s="13">
        <f t="shared" si="145"/>
        <v>13</v>
      </c>
      <c r="AV363" s="13">
        <f t="shared" si="146"/>
        <v>14</v>
      </c>
      <c r="AW363" s="173">
        <f t="shared" si="147"/>
        <v>43430</v>
      </c>
      <c r="AX363" s="742">
        <f t="shared" si="148"/>
        <v>0.6785714285714286</v>
      </c>
      <c r="AY363" s="758">
        <f t="shared" si="149"/>
        <v>25.913577487186661</v>
      </c>
      <c r="AZ363" s="735">
        <f t="shared" si="153"/>
        <v>26.012243329345942</v>
      </c>
      <c r="BA363" s="633">
        <f t="shared" si="150"/>
        <v>1.0059107664859583</v>
      </c>
      <c r="BC363" s="11">
        <v>43449</v>
      </c>
      <c r="BD363" s="289">
        <f>[3]!FeuilCaduc*(1-Persistant)+Persistant</f>
        <v>0.80788093112473136</v>
      </c>
      <c r="BE363" s="290">
        <f>[3]!CroissVégét</f>
        <v>0.99988944533008528</v>
      </c>
      <c r="BF363" s="804">
        <f>1+[3]!Salcycl*Ksac</f>
        <v>1.0019702327811828</v>
      </c>
      <c r="BH363" s="1037">
        <f t="shared" si="151"/>
        <v>0.14325712625276429</v>
      </c>
      <c r="BI363" s="11">
        <v>44545</v>
      </c>
      <c r="BJ363" s="715">
        <v>2.2597661665039936E-3</v>
      </c>
      <c r="BK363" s="715">
        <v>2.4335512550496805E-2</v>
      </c>
      <c r="BL363" s="715">
        <v>5.6829497096900473E-2</v>
      </c>
      <c r="BM363" s="715">
        <v>0.10212972436676854</v>
      </c>
      <c r="BN363" s="715">
        <v>0.15360736578542958</v>
      </c>
      <c r="BO363" s="716">
        <v>0.21985958846302159</v>
      </c>
      <c r="BP363" s="715">
        <v>0.35999675421861366</v>
      </c>
      <c r="BQ363" s="715">
        <v>0.59249626183716098</v>
      </c>
      <c r="BR363" s="715">
        <v>0.86240942367685403</v>
      </c>
      <c r="BS363" s="715">
        <v>1.1035350485131192</v>
      </c>
      <c r="BT363" s="715">
        <v>1.2917418436815051</v>
      </c>
      <c r="BW363" s="1185">
        <f>'2019'!R\Max</f>
        <v>1.0059107664859583</v>
      </c>
      <c r="BX363" s="1185">
        <f>'2020'!R\Max</f>
        <v>0.11637471923193571</v>
      </c>
      <c r="BY363" s="1185">
        <f>'2021'!R\Max</f>
        <v>0.95835415905255072</v>
      </c>
      <c r="BZ363" s="1185">
        <f>'2022'!R\Max</f>
        <v>0.3013249620361414</v>
      </c>
      <c r="CA363" s="1185">
        <f>'2023'!R\Max</f>
        <v>0.29795614571589529</v>
      </c>
      <c r="CB363" s="1185">
        <f>'2024'!R\Max</f>
        <v>0.29383914367730862</v>
      </c>
      <c r="CC363" s="1185">
        <f>'2025'!R\Max</f>
        <v>0.28824605366405942</v>
      </c>
      <c r="CD363" s="1185">
        <f>'2026'!R\Max</f>
        <v>0.30740962268204641</v>
      </c>
      <c r="CE363" s="1186">
        <f>'2027'!R\Max</f>
        <v>0.30581786707689246</v>
      </c>
      <c r="CF363" s="1187">
        <f>'2028'!R\Max</f>
        <v>0.30422590387795018</v>
      </c>
    </row>
    <row r="364" spans="1:84" s="6" customFormat="1" ht="11.25" x14ac:dyDescent="0.2">
      <c r="A364" s="11">
        <v>43450</v>
      </c>
      <c r="B364" s="379">
        <f>'2022'!Maxi_hp</f>
        <v>25.444176400080966</v>
      </c>
      <c r="C364" s="13">
        <f>'2022'!An_max</f>
        <v>2021</v>
      </c>
      <c r="D364" s="1046">
        <f t="shared" si="135"/>
        <v>0.98819636536399214</v>
      </c>
      <c r="E364" s="13"/>
      <c r="F364" s="13">
        <f t="shared" si="152"/>
        <v>27</v>
      </c>
      <c r="G364" s="13">
        <f t="shared" si="136"/>
        <v>26</v>
      </c>
      <c r="H364" s="173">
        <f t="shared" si="137"/>
        <v>43458</v>
      </c>
      <c r="I364" s="742">
        <f t="shared" si="138"/>
        <v>0.5714285714285714</v>
      </c>
      <c r="J364" s="735">
        <f t="shared" si="139"/>
        <v>25.748097535967826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39">
        <v>43450</v>
      </c>
      <c r="AP364" s="13">
        <f t="shared" si="140"/>
        <v>15</v>
      </c>
      <c r="AQ364" s="13">
        <f t="shared" si="141"/>
        <v>14</v>
      </c>
      <c r="AR364" s="173">
        <f t="shared" si="142"/>
        <v>43473</v>
      </c>
      <c r="AS364" s="742">
        <f t="shared" si="143"/>
        <v>0.7931034482758621</v>
      </c>
      <c r="AT364" s="758">
        <f t="shared" si="144"/>
        <v>26.076350712724796</v>
      </c>
      <c r="AU364" s="13">
        <f t="shared" si="145"/>
        <v>13</v>
      </c>
      <c r="AV364" s="13">
        <f t="shared" si="146"/>
        <v>14</v>
      </c>
      <c r="AW364" s="173">
        <f t="shared" si="147"/>
        <v>43430</v>
      </c>
      <c r="AX364" s="742">
        <f t="shared" si="148"/>
        <v>0.7142857142857143</v>
      </c>
      <c r="AY364" s="758">
        <f t="shared" si="149"/>
        <v>25.807057420270787</v>
      </c>
      <c r="AZ364" s="735">
        <f t="shared" si="153"/>
        <v>25.941704066497792</v>
      </c>
      <c r="BA364" s="633">
        <f t="shared" si="150"/>
        <v>0.98819636536399214</v>
      </c>
      <c r="BC364" s="11">
        <v>43450</v>
      </c>
      <c r="BD364" s="289">
        <f>[3]!FeuilCaduc*(1-Persistant)+Persistant</f>
        <v>0.80731020851983559</v>
      </c>
      <c r="BE364" s="290">
        <f>[3]!CroissVégét</f>
        <v>0.9999072242967757</v>
      </c>
      <c r="BF364" s="804">
        <f>1+[3]!Salcycl*Ksac</f>
        <v>1.0018275521299589</v>
      </c>
      <c r="BH364" s="1037">
        <f t="shared" si="151"/>
        <v>0.14293845389499005</v>
      </c>
      <c r="BI364" s="11">
        <v>44546</v>
      </c>
      <c r="BJ364" s="715">
        <v>2.2718062506108892E-3</v>
      </c>
      <c r="BK364" s="715">
        <v>2.4443278499186184E-2</v>
      </c>
      <c r="BL364" s="715">
        <v>5.6836586600137587E-2</v>
      </c>
      <c r="BM364" s="715">
        <v>0.10198587937175591</v>
      </c>
      <c r="BN364" s="715">
        <v>0.15324469587375045</v>
      </c>
      <c r="BO364" s="716">
        <v>0.21940393562127325</v>
      </c>
      <c r="BP364" s="715">
        <v>0.36013132656760494</v>
      </c>
      <c r="BQ364" s="715">
        <v>0.59254434318824079</v>
      </c>
      <c r="BR364" s="715">
        <v>0.86196976906663714</v>
      </c>
      <c r="BS364" s="715">
        <v>1.1012786122982077</v>
      </c>
      <c r="BT364" s="715">
        <v>1.2877177523761405</v>
      </c>
      <c r="BW364" s="1185">
        <f>'2019'!R\Max</f>
        <v>0.5471621881173605</v>
      </c>
      <c r="BX364" s="1185">
        <f>'2020'!R\Max</f>
        <v>8.8025706311194774E-2</v>
      </c>
      <c r="BY364" s="1185">
        <f>'2021'!R\Max</f>
        <v>0.98819636536399214</v>
      </c>
      <c r="BZ364" s="1185">
        <f>'2022'!R\Max</f>
        <v>0.21679417239696963</v>
      </c>
      <c r="CA364" s="1185">
        <f>'2023'!R\Max</f>
        <v>0.21432328876402826</v>
      </c>
      <c r="CB364" s="1185">
        <f>'2024'!R\Max</f>
        <v>0.21131083425187996</v>
      </c>
      <c r="CC364" s="1185">
        <f>'2025'!R\Max</f>
        <v>0.20723013954853345</v>
      </c>
      <c r="CD364" s="1185">
        <f>'2026'!R\Max</f>
        <v>0.22124535557387473</v>
      </c>
      <c r="CE364" s="1186">
        <f>'2027'!R\Max</f>
        <v>0.22008373535509057</v>
      </c>
      <c r="CF364" s="1187">
        <f>'2028'!R\Max</f>
        <v>0.21892211513630641</v>
      </c>
    </row>
    <row r="365" spans="1:84" s="6" customFormat="1" ht="11.25" x14ac:dyDescent="0.2">
      <c r="A365" s="11">
        <v>43451</v>
      </c>
      <c r="B365" s="379">
        <f>'2022'!Maxi_hp</f>
        <v>25.822433356414916</v>
      </c>
      <c r="C365" s="13">
        <f>'2022'!An_max</f>
        <v>2021</v>
      </c>
      <c r="D365" s="1046">
        <f t="shared" si="135"/>
        <v>1.0059894015248256</v>
      </c>
      <c r="E365" s="13"/>
      <c r="F365" s="13">
        <f t="shared" si="152"/>
        <v>27</v>
      </c>
      <c r="G365" s="13">
        <f t="shared" si="136"/>
        <v>26</v>
      </c>
      <c r="H365" s="173">
        <f t="shared" si="137"/>
        <v>43458</v>
      </c>
      <c r="I365" s="742">
        <f t="shared" si="138"/>
        <v>0.5</v>
      </c>
      <c r="J365" s="735">
        <f t="shared" si="139"/>
        <v>25.66869324594736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39">
        <v>43451</v>
      </c>
      <c r="AP365" s="13">
        <f t="shared" si="140"/>
        <v>15</v>
      </c>
      <c r="AQ365" s="13">
        <f t="shared" si="141"/>
        <v>14</v>
      </c>
      <c r="AR365" s="173">
        <f t="shared" si="142"/>
        <v>43473</v>
      </c>
      <c r="AS365" s="742">
        <f t="shared" si="143"/>
        <v>0.75862068965517238</v>
      </c>
      <c r="AT365" s="758">
        <f t="shared" si="144"/>
        <v>26.052121668488816</v>
      </c>
      <c r="AU365" s="13">
        <f t="shared" si="145"/>
        <v>13</v>
      </c>
      <c r="AV365" s="13">
        <f t="shared" si="146"/>
        <v>14</v>
      </c>
      <c r="AW365" s="173">
        <f t="shared" si="147"/>
        <v>43430</v>
      </c>
      <c r="AX365" s="742">
        <f t="shared" si="148"/>
        <v>0.75</v>
      </c>
      <c r="AY365" s="758">
        <f t="shared" si="149"/>
        <v>25.714801704324781</v>
      </c>
      <c r="AZ365" s="735">
        <f t="shared" si="153"/>
        <v>25.883461686406797</v>
      </c>
      <c r="BA365" s="633">
        <f t="shared" si="150"/>
        <v>1.0059894015248256</v>
      </c>
      <c r="BC365" s="11">
        <v>43451</v>
      </c>
      <c r="BD365" s="289">
        <f>[3]!FeuilCaduc*(1-Persistant)+Persistant</f>
        <v>0.80678146510036286</v>
      </c>
      <c r="BE365" s="290">
        <f>[3]!CroissVégét</f>
        <v>0.99992428802440059</v>
      </c>
      <c r="BF365" s="804">
        <f>1+[3]!Salcycl*Ksac</f>
        <v>1.0016953662750907</v>
      </c>
      <c r="BH365" s="1037">
        <f t="shared" si="151"/>
        <v>0.14266802357718081</v>
      </c>
      <c r="BI365" s="11">
        <v>44547</v>
      </c>
      <c r="BJ365" s="715">
        <v>2.282425835411711E-3</v>
      </c>
      <c r="BK365" s="715">
        <v>2.4529843371019808E-2</v>
      </c>
      <c r="BL365" s="715">
        <v>5.6838443851801319E-2</v>
      </c>
      <c r="BM365" s="715">
        <v>0.10185773349614927</v>
      </c>
      <c r="BN365" s="715">
        <v>0.15293845784645713</v>
      </c>
      <c r="BO365" s="716">
        <v>0.21901933801333331</v>
      </c>
      <c r="BP365" s="715">
        <v>0.36020032071441421</v>
      </c>
      <c r="BQ365" s="715">
        <v>0.592454068331841</v>
      </c>
      <c r="BR365" s="715">
        <v>0.86141870562609013</v>
      </c>
      <c r="BS365" s="715">
        <v>1.0991764533083339</v>
      </c>
      <c r="BT365" s="715">
        <v>1.2841295155120782</v>
      </c>
      <c r="BW365" s="1185">
        <f>'2019'!R\Max</f>
        <v>0.28323382225907345</v>
      </c>
      <c r="BX365" s="1185">
        <f>'2020'!R\Max</f>
        <v>0.63671406710827838</v>
      </c>
      <c r="BY365" s="1185">
        <f>'2021'!R\Max</f>
        <v>1.0059894015248256</v>
      </c>
      <c r="BZ365" s="1185">
        <f>'2022'!R\Max</f>
        <v>0.12122973331951244</v>
      </c>
      <c r="CA365" s="1185">
        <f>'2023'!R\Max</f>
        <v>0.11984010669718149</v>
      </c>
      <c r="CB365" s="1185">
        <f>'2024'!R\Max</f>
        <v>0.11814889290020475</v>
      </c>
      <c r="CC365" s="1185">
        <f>'2025'!R\Max</f>
        <v>0.11586284852899757</v>
      </c>
      <c r="CD365" s="1185">
        <f>'2026'!R\Max</f>
        <v>0.12372720258236845</v>
      </c>
      <c r="CE365" s="1186">
        <f>'2027'!R\Max</f>
        <v>0.12307677680582196</v>
      </c>
      <c r="CF365" s="1187">
        <f>'2028'!R\Max</f>
        <v>0.12242635102927545</v>
      </c>
    </row>
    <row r="366" spans="1:84" s="6" customFormat="1" ht="11.25" x14ac:dyDescent="0.2">
      <c r="A366" s="11">
        <v>43452</v>
      </c>
      <c r="B366" s="379">
        <f>'2022'!Maxi_hp</f>
        <v>24.301759677464336</v>
      </c>
      <c r="C366" s="13">
        <f>'2022'!An_max</f>
        <v>2021</v>
      </c>
      <c r="D366" s="1046" t="str">
        <f t="shared" si="135"/>
        <v/>
      </c>
      <c r="E366" s="13"/>
      <c r="F366" s="13">
        <f t="shared" si="152"/>
        <v>27</v>
      </c>
      <c r="G366" s="13">
        <f t="shared" si="136"/>
        <v>26</v>
      </c>
      <c r="H366" s="173">
        <f t="shared" si="137"/>
        <v>43458</v>
      </c>
      <c r="I366" s="742">
        <f t="shared" si="138"/>
        <v>0.42857142857142855</v>
      </c>
      <c r="J366" s="735">
        <f t="shared" si="139"/>
        <v>25.602530049000467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39">
        <v>43452</v>
      </c>
      <c r="AP366" s="13">
        <f t="shared" si="140"/>
        <v>15</v>
      </c>
      <c r="AQ366" s="13">
        <f t="shared" si="141"/>
        <v>14</v>
      </c>
      <c r="AR366" s="173">
        <f t="shared" si="142"/>
        <v>43473</v>
      </c>
      <c r="AS366" s="742">
        <f t="shared" si="143"/>
        <v>0.72413793103448276</v>
      </c>
      <c r="AT366" s="758">
        <f t="shared" si="144"/>
        <v>26.038171826765456</v>
      </c>
      <c r="AU366" s="13">
        <f t="shared" si="145"/>
        <v>13</v>
      </c>
      <c r="AV366" s="13">
        <f t="shared" si="146"/>
        <v>14</v>
      </c>
      <c r="AW366" s="173">
        <f t="shared" si="147"/>
        <v>43430</v>
      </c>
      <c r="AX366" s="742">
        <f t="shared" si="148"/>
        <v>0.7857142857142857</v>
      </c>
      <c r="AY366" s="758">
        <f t="shared" si="149"/>
        <v>25.637731608429124</v>
      </c>
      <c r="AZ366" s="735">
        <f t="shared" si="153"/>
        <v>25.837951717597292</v>
      </c>
      <c r="BA366" s="633">
        <f t="shared" si="150"/>
        <v>0.94919367855260406</v>
      </c>
      <c r="BC366" s="11">
        <v>43452</v>
      </c>
      <c r="BD366" s="289">
        <f>[3]!FeuilCaduc*(1-Persistant)+Persistant</f>
        <v>0.80629216809548476</v>
      </c>
      <c r="BE366" s="290">
        <f>[3]!CroissVégét</f>
        <v>0.99994066526373915</v>
      </c>
      <c r="BF366" s="804">
        <f>1+[3]!Salcycl*Ksac</f>
        <v>1.0015730420238711</v>
      </c>
      <c r="BH366" s="1037">
        <f t="shared" si="151"/>
        <v>0.14247295742645125</v>
      </c>
      <c r="BI366" s="11">
        <v>44548</v>
      </c>
      <c r="BJ366" s="715">
        <v>2.290641836472563E-3</v>
      </c>
      <c r="BK366" s="715">
        <v>2.4588360780386693E-2</v>
      </c>
      <c r="BL366" s="715">
        <v>5.6836411797629688E-2</v>
      </c>
      <c r="BM366" s="715">
        <v>0.10175951646971308</v>
      </c>
      <c r="BN366" s="715">
        <v>0.15271901836823792</v>
      </c>
      <c r="BO366" s="716">
        <v>0.21874437174976377</v>
      </c>
      <c r="BP366" s="715">
        <v>0.36020948408332987</v>
      </c>
      <c r="BQ366" s="715">
        <v>0.59226089827806971</v>
      </c>
      <c r="BR366" s="715">
        <v>0.86084447123058028</v>
      </c>
      <c r="BS366" s="715">
        <v>1.0974636908508133</v>
      </c>
      <c r="BT366" s="715">
        <v>1.2813492515919409</v>
      </c>
      <c r="BW366" s="1185">
        <f>'2019'!R\Max</f>
        <v>0.57925972081710353</v>
      </c>
      <c r="BX366" s="1185">
        <f>'2020'!R\Max</f>
        <v>0.39514587001822221</v>
      </c>
      <c r="BY366" s="1185">
        <f>'2021'!R\Max</f>
        <v>0.94919367855260406</v>
      </c>
      <c r="BZ366" s="1185">
        <f>'2022'!R\Max</f>
        <v>0.83776141741080434</v>
      </c>
      <c r="CA366" s="1185">
        <f>'2023'!R\Max</f>
        <v>0.83553017144643971</v>
      </c>
      <c r="CB366" s="1185">
        <f>'2024'!R\Max</f>
        <v>0.83276385712024503</v>
      </c>
      <c r="CC366" s="1185">
        <f>'2025'!R\Max</f>
        <v>0.82893257560911182</v>
      </c>
      <c r="CD366" s="1185">
        <f>'2026'!R\Max</f>
        <v>0.84166769499451299</v>
      </c>
      <c r="CE366" s="1186">
        <f>'2027'!R\Max</f>
        <v>0.84066354809064281</v>
      </c>
      <c r="CF366" s="1187">
        <f>'2028'!R\Max</f>
        <v>0.8396511507066815</v>
      </c>
    </row>
    <row r="367" spans="1:84" s="6" customFormat="1" ht="11.25" x14ac:dyDescent="0.2">
      <c r="A367" s="11">
        <v>43453</v>
      </c>
      <c r="B367" s="379">
        <f>'2022'!Maxi_hp</f>
        <v>25.50206749437104</v>
      </c>
      <c r="C367" s="13">
        <f>'2022'!An_max</f>
        <v>2021</v>
      </c>
      <c r="D367" s="1046">
        <f t="shared" si="135"/>
        <v>0.99809590810918325</v>
      </c>
      <c r="E367" s="13"/>
      <c r="F367" s="13">
        <f t="shared" si="152"/>
        <v>27</v>
      </c>
      <c r="G367" s="13">
        <f t="shared" si="136"/>
        <v>26</v>
      </c>
      <c r="H367" s="173">
        <f t="shared" si="137"/>
        <v>43458</v>
      </c>
      <c r="I367" s="742">
        <f t="shared" si="138"/>
        <v>0.35714285714285715</v>
      </c>
      <c r="J367" s="735">
        <f t="shared" si="139"/>
        <v>25.550718410100256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39">
        <v>43453</v>
      </c>
      <c r="AP367" s="13">
        <f t="shared" si="140"/>
        <v>15</v>
      </c>
      <c r="AQ367" s="13">
        <f t="shared" si="141"/>
        <v>14</v>
      </c>
      <c r="AR367" s="173">
        <f t="shared" si="142"/>
        <v>43473</v>
      </c>
      <c r="AS367" s="742">
        <f t="shared" si="143"/>
        <v>0.68965517241379315</v>
      </c>
      <c r="AT367" s="758">
        <f t="shared" si="144"/>
        <v>26.034450981329229</v>
      </c>
      <c r="AU367" s="13">
        <f t="shared" si="145"/>
        <v>13</v>
      </c>
      <c r="AV367" s="13">
        <f t="shared" si="146"/>
        <v>14</v>
      </c>
      <c r="AW367" s="173">
        <f t="shared" si="147"/>
        <v>43430</v>
      </c>
      <c r="AX367" s="742">
        <f t="shared" si="148"/>
        <v>0.8214285714285714</v>
      </c>
      <c r="AY367" s="758">
        <f t="shared" si="149"/>
        <v>25.576768398577613</v>
      </c>
      <c r="AZ367" s="735">
        <f t="shared" si="153"/>
        <v>25.805609689953421</v>
      </c>
      <c r="BA367" s="633">
        <f t="shared" si="150"/>
        <v>0.99809590810918325</v>
      </c>
      <c r="BC367" s="11">
        <v>43453</v>
      </c>
      <c r="BD367" s="289">
        <f>[3]!FeuilCaduc*(1-Persistant)+Persistant</f>
        <v>0.80583980427281687</v>
      </c>
      <c r="BE367" s="290">
        <f>[3]!CroissVégét</f>
        <v>0.99995638361167161</v>
      </c>
      <c r="BF367" s="804">
        <f>1+[3]!Salcycl*Ksac</f>
        <v>1.0014599510682043</v>
      </c>
      <c r="BH367" s="1037">
        <f t="shared" si="151"/>
        <v>0.14233474325848711</v>
      </c>
      <c r="BI367" s="11">
        <v>44549</v>
      </c>
      <c r="BJ367" s="715">
        <v>2.2969363601652161E-3</v>
      </c>
      <c r="BK367" s="715">
        <v>2.4633664767082182E-2</v>
      </c>
      <c r="BL367" s="715">
        <v>5.683813013684838E-2</v>
      </c>
      <c r="BM367" s="715">
        <v>0.10169163777860034</v>
      </c>
      <c r="BN367" s="715">
        <v>0.15256310337309598</v>
      </c>
      <c r="BO367" s="716">
        <v>0.21855056641622583</v>
      </c>
      <c r="BP367" s="715">
        <v>0.36023691059706242</v>
      </c>
      <c r="BQ367" s="715">
        <v>0.59214976949932219</v>
      </c>
      <c r="BR367" s="715">
        <v>0.86046278354217731</v>
      </c>
      <c r="BS367" s="715">
        <v>1.0962413540886979</v>
      </c>
      <c r="BT367" s="715">
        <v>1.2793365427705112</v>
      </c>
      <c r="BW367" s="1185">
        <f>'2019'!R\Max</f>
        <v>0.50640058939888766</v>
      </c>
      <c r="BX367" s="1185">
        <f>'2020'!R\Max</f>
        <v>0.36360755900223751</v>
      </c>
      <c r="BY367" s="1185">
        <f>'2021'!R\Max</f>
        <v>0.99809590810918325</v>
      </c>
      <c r="BZ367" s="1185">
        <f>'2022'!R\Max</f>
        <v>0.74831301132654393</v>
      </c>
      <c r="CA367" s="1185">
        <f>'2023'!R\Max</f>
        <v>0.74521619941115569</v>
      </c>
      <c r="CB367" s="1185">
        <f>'2024'!R\Max</f>
        <v>0.74139289168365885</v>
      </c>
      <c r="CC367" s="1185">
        <f>'2025'!R\Max</f>
        <v>0.73612665088131213</v>
      </c>
      <c r="CD367" s="1185">
        <f>'2026'!R\Max</f>
        <v>0.75375016273024276</v>
      </c>
      <c r="CE367" s="1186">
        <f>'2027'!R\Max</f>
        <v>0.7523512478146227</v>
      </c>
      <c r="CF367" s="1187">
        <f>'2028'!R\Max</f>
        <v>0.75094270407041719</v>
      </c>
    </row>
    <row r="368" spans="1:84" s="6" customFormat="1" ht="11.25" x14ac:dyDescent="0.2">
      <c r="A368" s="11">
        <v>43454</v>
      </c>
      <c r="B368" s="379">
        <f>'2022'!Maxi_hp</f>
        <v>25.974540677970943</v>
      </c>
      <c r="C368" s="13">
        <f>'2022'!An_max</f>
        <v>2021</v>
      </c>
      <c r="D368" s="1046">
        <f t="shared" si="135"/>
        <v>1.0180357932084565</v>
      </c>
      <c r="E368" s="13"/>
      <c r="F368" s="13">
        <f t="shared" si="152"/>
        <v>27</v>
      </c>
      <c r="G368" s="13">
        <f t="shared" si="136"/>
        <v>26</v>
      </c>
      <c r="H368" s="173">
        <f t="shared" si="137"/>
        <v>43458</v>
      </c>
      <c r="I368" s="742">
        <f t="shared" si="138"/>
        <v>0.2857142857142857</v>
      </c>
      <c r="J368" s="735">
        <f t="shared" si="139"/>
        <v>25.51436879847731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39">
        <v>43454</v>
      </c>
      <c r="AP368" s="13">
        <f t="shared" si="140"/>
        <v>15</v>
      </c>
      <c r="AQ368" s="13">
        <f t="shared" si="141"/>
        <v>14</v>
      </c>
      <c r="AR368" s="173">
        <f t="shared" si="142"/>
        <v>43473</v>
      </c>
      <c r="AS368" s="742">
        <f t="shared" si="143"/>
        <v>0.65517241379310343</v>
      </c>
      <c r="AT368" s="758">
        <f t="shared" si="144"/>
        <v>26.040908918915125</v>
      </c>
      <c r="AU368" s="13">
        <f t="shared" si="145"/>
        <v>13</v>
      </c>
      <c r="AV368" s="13">
        <f t="shared" si="146"/>
        <v>14</v>
      </c>
      <c r="AW368" s="173">
        <f t="shared" si="147"/>
        <v>43430</v>
      </c>
      <c r="AX368" s="742">
        <f t="shared" si="148"/>
        <v>0.8571428571428571</v>
      </c>
      <c r="AY368" s="758">
        <f t="shared" si="149"/>
        <v>25.53283334204129</v>
      </c>
      <c r="AZ368" s="735">
        <f t="shared" si="153"/>
        <v>25.786871130478207</v>
      </c>
      <c r="BA368" s="633">
        <f t="shared" si="150"/>
        <v>1.0180357932084565</v>
      </c>
      <c r="BC368" s="11">
        <v>43454</v>
      </c>
      <c r="BD368" s="289">
        <f>[3]!FeuilCaduc*(1-Persistant)+Persistant</f>
        <v>0.80542189418879484</v>
      </c>
      <c r="BE368" s="290">
        <f>[3]!CroissVégét</f>
        <v>0.99997146955734828</v>
      </c>
      <c r="BF368" s="804">
        <f>1+[3]!Salcycl*Ksac</f>
        <v>1.0013554735471988</v>
      </c>
      <c r="BH368" s="1037">
        <f t="shared" si="151"/>
        <v>0.14225369121987447</v>
      </c>
      <c r="BI368" s="11">
        <v>44550</v>
      </c>
      <c r="BJ368" s="715">
        <v>2.3013136450580822E-3</v>
      </c>
      <c r="BK368" s="715">
        <v>2.4665802784043303E-2</v>
      </c>
      <c r="BL368" s="715">
        <v>5.6843717602792471E-2</v>
      </c>
      <c r="BM368" s="715">
        <v>0.10165431623300715</v>
      </c>
      <c r="BN368" s="715">
        <v>0.1524710459935944</v>
      </c>
      <c r="BO368" s="716">
        <v>0.21843839657724298</v>
      </c>
      <c r="BP368" s="715">
        <v>0.36028335129423167</v>
      </c>
      <c r="BQ368" s="715">
        <v>0.59212193058124019</v>
      </c>
      <c r="BR368" s="715">
        <v>0.86027547669930948</v>
      </c>
      <c r="BS368" s="715">
        <v>1.0955118459155324</v>
      </c>
      <c r="BT368" s="715">
        <v>1.2780942459788898</v>
      </c>
      <c r="BW368" s="1185">
        <f>'2019'!R\Max</f>
        <v>0.28879841752415814</v>
      </c>
      <c r="BX368" s="1185">
        <f>'2020'!R\Max</f>
        <v>0.3966040448112535</v>
      </c>
      <c r="BY368" s="1185">
        <f>'2021'!R\Max</f>
        <v>1.0180357932084565</v>
      </c>
      <c r="BZ368" s="1185">
        <f>'2022'!R\Max</f>
        <v>0.16515427616228859</v>
      </c>
      <c r="CA368" s="1185">
        <f>'2023'!R\Max</f>
        <v>0.16324373884684837</v>
      </c>
      <c r="CB368" s="1185">
        <f>'2024'!R\Max</f>
        <v>0.16092533628816497</v>
      </c>
      <c r="CC368" s="1185">
        <f>'2025'!R\Max</f>
        <v>0.15780265731963747</v>
      </c>
      <c r="CD368" s="1185">
        <f>'2026'!R\Max</f>
        <v>0.16857625506611829</v>
      </c>
      <c r="CE368" s="1186">
        <f>'2027'!R\Max</f>
        <v>0.16768772797580159</v>
      </c>
      <c r="CF368" s="1187">
        <f>'2028'!R\Max</f>
        <v>0.16679920088548489</v>
      </c>
    </row>
    <row r="369" spans="1:84" s="6" customFormat="1" ht="11.25" x14ac:dyDescent="0.2">
      <c r="A369" s="11">
        <v>43455</v>
      </c>
      <c r="B369" s="379">
        <f>'2022'!Maxi_hp</f>
        <v>22.295003218801163</v>
      </c>
      <c r="C369" s="13">
        <f>'2022'!An_max</f>
        <v>2018</v>
      </c>
      <c r="D369" s="1046" t="str">
        <f t="shared" si="135"/>
        <v/>
      </c>
      <c r="E369" s="13"/>
      <c r="F369" s="13">
        <f t="shared" si="152"/>
        <v>27</v>
      </c>
      <c r="G369" s="13">
        <f t="shared" si="136"/>
        <v>26</v>
      </c>
      <c r="H369" s="173">
        <f t="shared" si="137"/>
        <v>43458</v>
      </c>
      <c r="I369" s="742">
        <f t="shared" si="138"/>
        <v>0.21428571428571427</v>
      </c>
      <c r="J369" s="735">
        <f t="shared" si="139"/>
        <v>25.494591685171638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39">
        <v>43455</v>
      </c>
      <c r="AP369" s="13">
        <f t="shared" si="140"/>
        <v>15</v>
      </c>
      <c r="AQ369" s="13">
        <f t="shared" si="141"/>
        <v>14</v>
      </c>
      <c r="AR369" s="173">
        <f t="shared" si="142"/>
        <v>43473</v>
      </c>
      <c r="AS369" s="742">
        <f t="shared" si="143"/>
        <v>0.62068965517241381</v>
      </c>
      <c r="AT369" s="758">
        <f t="shared" si="144"/>
        <v>26.057495432732434</v>
      </c>
      <c r="AU369" s="13">
        <f t="shared" si="145"/>
        <v>13</v>
      </c>
      <c r="AV369" s="13">
        <f t="shared" si="146"/>
        <v>14</v>
      </c>
      <c r="AW369" s="173">
        <f t="shared" si="147"/>
        <v>43430</v>
      </c>
      <c r="AX369" s="742">
        <f t="shared" si="148"/>
        <v>0.8928571428571429</v>
      </c>
      <c r="AY369" s="758">
        <f t="shared" si="149"/>
        <v>25.506847707421652</v>
      </c>
      <c r="AZ369" s="735">
        <f t="shared" si="153"/>
        <v>25.782171570077043</v>
      </c>
      <c r="BA369" s="633">
        <f t="shared" si="150"/>
        <v>0.87449932495951899</v>
      </c>
      <c r="BC369" s="11">
        <v>43455</v>
      </c>
      <c r="BD369" s="289">
        <f>[3]!FeuilCaduc*(1-Persistant)+Persistant</f>
        <v>0.80503600566304356</v>
      </c>
      <c r="BE369" s="290">
        <f>[3]!CroissVégét</f>
        <v>0.99998594852652212</v>
      </c>
      <c r="BF369" s="804">
        <f>1+[3]!Salcycl*Ksac</f>
        <v>1.001259001415761</v>
      </c>
      <c r="BH369" s="1037">
        <f t="shared" si="151"/>
        <v>0.1422301183679221</v>
      </c>
      <c r="BI369" s="11">
        <v>44551</v>
      </c>
      <c r="BJ369" s="715">
        <v>2.3037776753996489E-3</v>
      </c>
      <c r="BK369" s="715">
        <v>2.4684820509519975E-2</v>
      </c>
      <c r="BL369" s="715">
        <v>5.6853293246144777E-2</v>
      </c>
      <c r="BM369" s="715">
        <v>0.10164777425580529</v>
      </c>
      <c r="BN369" s="715">
        <v>0.15244318710301485</v>
      </c>
      <c r="BO369" s="716">
        <v>0.21840834661813474</v>
      </c>
      <c r="BP369" s="715">
        <v>0.36034955851517042</v>
      </c>
      <c r="BQ369" s="715">
        <v>0.5921786389529049</v>
      </c>
      <c r="BR369" s="715">
        <v>0.86028440714086207</v>
      </c>
      <c r="BS369" s="715">
        <v>1.0952776292234518</v>
      </c>
      <c r="BT369" s="715">
        <v>1.2776253133247968</v>
      </c>
      <c r="BW369" s="1185">
        <f>'2019'!R\Max</f>
        <v>0.87449932495951899</v>
      </c>
      <c r="BX369" s="1185">
        <f>'2020'!R\Max</f>
        <v>0.32564167698734925</v>
      </c>
      <c r="BY369" s="1185">
        <f>'2021'!R\Max</f>
        <v>0.74638505253853171</v>
      </c>
      <c r="BZ369" s="1185">
        <f>'2022'!R\Max</f>
        <v>0.85952780363311709</v>
      </c>
      <c r="CA369" s="1185">
        <f>'2023'!R\Max</f>
        <v>0.85753281344961596</v>
      </c>
      <c r="CB369" s="1185">
        <f>'2024'!R\Max</f>
        <v>0.85506195343961955</v>
      </c>
      <c r="CC369" s="1185">
        <f>'2025'!R\Max</f>
        <v>0.85164413584532284</v>
      </c>
      <c r="CD369" s="1185">
        <f>'2026'!R\Max</f>
        <v>0.86300872254456251</v>
      </c>
      <c r="CE369" s="1186">
        <f>'2027'!R\Max</f>
        <v>0.86211617650429306</v>
      </c>
      <c r="CF369" s="1187">
        <f>'2028'!R\Max</f>
        <v>0.86121599272375426</v>
      </c>
    </row>
    <row r="370" spans="1:84" s="6" customFormat="1" ht="11.25" x14ac:dyDescent="0.2">
      <c r="A370" s="11">
        <v>43456</v>
      </c>
      <c r="B370" s="379">
        <f>'2022'!Maxi_hp</f>
        <v>25.041210642089073</v>
      </c>
      <c r="C370" s="13">
        <f>'2022'!An_max</f>
        <v>2021</v>
      </c>
      <c r="D370" s="1046">
        <f t="shared" si="135"/>
        <v>0.98229726633904768</v>
      </c>
      <c r="E370" s="13"/>
      <c r="F370" s="13">
        <f t="shared" si="152"/>
        <v>27</v>
      </c>
      <c r="G370" s="13">
        <f t="shared" si="136"/>
        <v>26</v>
      </c>
      <c r="H370" s="173">
        <f t="shared" si="137"/>
        <v>43458</v>
      </c>
      <c r="I370" s="742">
        <f t="shared" si="138"/>
        <v>0.14285714285714285</v>
      </c>
      <c r="J370" s="735">
        <f t="shared" si="139"/>
        <v>25.492497536327157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39">
        <v>43456</v>
      </c>
      <c r="AP370" s="13">
        <f t="shared" si="140"/>
        <v>15</v>
      </c>
      <c r="AQ370" s="13">
        <f t="shared" si="141"/>
        <v>14</v>
      </c>
      <c r="AR370" s="173">
        <f t="shared" si="142"/>
        <v>43473</v>
      </c>
      <c r="AS370" s="742">
        <f t="shared" si="143"/>
        <v>0.58620689655172409</v>
      </c>
      <c r="AT370" s="758">
        <f t="shared" si="144"/>
        <v>26.084160310749347</v>
      </c>
      <c r="AU370" s="13">
        <f t="shared" si="145"/>
        <v>13</v>
      </c>
      <c r="AV370" s="13">
        <f t="shared" si="146"/>
        <v>14</v>
      </c>
      <c r="AW370" s="173">
        <f t="shared" si="147"/>
        <v>43430</v>
      </c>
      <c r="AX370" s="742">
        <f t="shared" si="148"/>
        <v>0.9285714285714286</v>
      </c>
      <c r="AY370" s="758">
        <f t="shared" si="149"/>
        <v>25.499732759328825</v>
      </c>
      <c r="AZ370" s="735">
        <f t="shared" si="153"/>
        <v>25.791946535039088</v>
      </c>
      <c r="BA370" s="633">
        <f t="shared" si="150"/>
        <v>0.98229726633904768</v>
      </c>
      <c r="BC370" s="11">
        <v>43456</v>
      </c>
      <c r="BD370" s="289">
        <f>[3]!FeuilCaduc*(1-Persistant)+Persistant</f>
        <v>0.80467976638976668</v>
      </c>
      <c r="BE370" s="290">
        <f>[3]!CroissVégét</f>
        <v>0.99999984492411664</v>
      </c>
      <c r="BF370" s="804">
        <f>1+[3]!Salcycl*Ksac</f>
        <v>1.0011699415974418</v>
      </c>
      <c r="BH370" s="1037">
        <f t="shared" si="151"/>
        <v>0.14226434977826319</v>
      </c>
      <c r="BI370" s="11">
        <v>44552</v>
      </c>
      <c r="BJ370" s="717">
        <v>2.3043321399522083E-3</v>
      </c>
      <c r="BK370" s="717">
        <v>2.4690761559346505E-2</v>
      </c>
      <c r="BL370" s="717">
        <v>5.6866976483089832E-2</v>
      </c>
      <c r="BM370" s="717">
        <v>0.10167223846008729</v>
      </c>
      <c r="BN370" s="717">
        <v>0.15247987655635503</v>
      </c>
      <c r="BO370" s="718">
        <v>0.21846091231814821</v>
      </c>
      <c r="BP370" s="717">
        <v>0.36043628609260137</v>
      </c>
      <c r="BQ370" s="717">
        <v>0.5923211622821255</v>
      </c>
      <c r="BR370" s="717">
        <v>0.86049145715874031</v>
      </c>
      <c r="BS370" s="717">
        <v>1.0955412365268389</v>
      </c>
      <c r="BT370" s="717">
        <v>1.2779328073834704</v>
      </c>
      <c r="BW370" s="1185">
        <f>'2019'!R\Max</f>
        <v>0.34050784299120451</v>
      </c>
      <c r="BX370" s="1185">
        <f>'2020'!R\Max</f>
        <v>0.41455570392846847</v>
      </c>
      <c r="BY370" s="1185">
        <f>'2021'!R\Max</f>
        <v>0.98229726633904768</v>
      </c>
      <c r="BZ370" s="1185">
        <f>'2022'!R\Max</f>
        <v>0.84003683045607658</v>
      </c>
      <c r="CA370" s="1185">
        <f>'2023'!R\Max</f>
        <v>0.8378175320671305</v>
      </c>
      <c r="CB370" s="1185">
        <f>'2024'!R\Max</f>
        <v>0.83507082591107362</v>
      </c>
      <c r="CC370" s="1185">
        <f>'2025'!R\Max</f>
        <v>0.83127509088201512</v>
      </c>
      <c r="CD370" s="1185">
        <f>'2026'!R\Max</f>
        <v>0.84391258169783112</v>
      </c>
      <c r="CE370" s="1186">
        <f>'2027'!R\Max</f>
        <v>0.84291838363188076</v>
      </c>
      <c r="CF370" s="1187">
        <f>'2028'!R\Max</f>
        <v>0.84191596922929779</v>
      </c>
    </row>
    <row r="371" spans="1:84" s="6" customFormat="1" ht="11.25" x14ac:dyDescent="0.2">
      <c r="A371" s="11">
        <v>43457</v>
      </c>
      <c r="B371" s="379">
        <f>'2022'!Maxi_hp</f>
        <v>22.181600514114333</v>
      </c>
      <c r="C371" s="13">
        <f>'2022'!An_max</f>
        <v>2020</v>
      </c>
      <c r="D371" s="1046" t="str">
        <f t="shared" si="135"/>
        <v/>
      </c>
      <c r="E371" s="13"/>
      <c r="F371" s="13">
        <f t="shared" si="152"/>
        <v>27</v>
      </c>
      <c r="G371" s="13">
        <f t="shared" si="136"/>
        <v>26</v>
      </c>
      <c r="H371" s="173">
        <f t="shared" si="137"/>
        <v>43458</v>
      </c>
      <c r="I371" s="742">
        <f t="shared" si="138"/>
        <v>7.1428571428571425E-2</v>
      </c>
      <c r="J371" s="735">
        <f t="shared" si="139"/>
        <v>25.509196819045712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39">
        <v>43457</v>
      </c>
      <c r="AP371" s="13">
        <f t="shared" si="140"/>
        <v>15</v>
      </c>
      <c r="AQ371" s="13">
        <f t="shared" si="141"/>
        <v>14</v>
      </c>
      <c r="AR371" s="173">
        <f t="shared" si="142"/>
        <v>43473</v>
      </c>
      <c r="AS371" s="742">
        <f t="shared" si="143"/>
        <v>0.55172413793103448</v>
      </c>
      <c r="AT371" s="758">
        <f t="shared" si="144"/>
        <v>26.120853346688996</v>
      </c>
      <c r="AU371" s="13">
        <f t="shared" si="145"/>
        <v>13</v>
      </c>
      <c r="AV371" s="13">
        <f t="shared" si="146"/>
        <v>14</v>
      </c>
      <c r="AW371" s="173">
        <f t="shared" si="147"/>
        <v>43430</v>
      </c>
      <c r="AX371" s="742">
        <f t="shared" si="148"/>
        <v>0.9642857142857143</v>
      </c>
      <c r="AY371" s="758">
        <f t="shared" si="149"/>
        <v>25.512409767801209</v>
      </c>
      <c r="AZ371" s="735">
        <f t="shared" si="153"/>
        <v>25.816631557245103</v>
      </c>
      <c r="BA371" s="633">
        <f t="shared" si="150"/>
        <v>0.86955307418981831</v>
      </c>
      <c r="BC371" s="11">
        <v>43457</v>
      </c>
      <c r="BD371" s="289">
        <f>[3]!FeuilCaduc*(1-Persistant)+Persistant</f>
        <v>0.8043508756081631</v>
      </c>
      <c r="BE371" s="290">
        <f>[3]!CroissVégét</f>
        <v>0.99999984492411664</v>
      </c>
      <c r="BF371" s="804">
        <f>1+[3]!Salcycl*Ksac</f>
        <v>1.0010877189020408</v>
      </c>
      <c r="BH371" s="1037">
        <f t="shared" si="151"/>
        <v>0.14235681803639022</v>
      </c>
      <c r="BI371" s="11">
        <v>44553</v>
      </c>
      <c r="BJ371" s="715">
        <v>2.3029819824346653E-3</v>
      </c>
      <c r="BK371" s="715">
        <v>2.4683684258303192E-2</v>
      </c>
      <c r="BL371" s="715">
        <v>5.6884926457093726E-2</v>
      </c>
      <c r="BM371" s="715">
        <v>0.10172801053175114</v>
      </c>
      <c r="BN371" s="715">
        <v>0.15258157988167353</v>
      </c>
      <c r="BO371" s="716">
        <v>0.21859675349754942</v>
      </c>
      <c r="BP371" s="715">
        <v>0.36054453871751735</v>
      </c>
      <c r="BQ371" s="715">
        <v>0.59255118938757656</v>
      </c>
      <c r="BR371" s="715">
        <v>0.86089913342468327</v>
      </c>
      <c r="BS371" s="715">
        <v>1.0963060372518396</v>
      </c>
      <c r="BT371" s="715">
        <v>1.2790208004300581</v>
      </c>
      <c r="BW371" s="1185">
        <f>'2019'!R\Max</f>
        <v>0.35470119590226407</v>
      </c>
      <c r="BX371" s="1185">
        <f>'2020'!R\Max</f>
        <v>0.86955307418981831</v>
      </c>
      <c r="BY371" s="1185">
        <f>'2021'!R\Max</f>
        <v>0.4041456223627734</v>
      </c>
      <c r="BZ371" s="1185">
        <f>'2022'!R\Max</f>
        <v>0.84546980887350343</v>
      </c>
      <c r="CA371" s="1185">
        <f>'2023'!R\Max</f>
        <v>0.84331459033050105</v>
      </c>
      <c r="CB371" s="1185">
        <f>'2024'!R\Max</f>
        <v>0.84064584688408595</v>
      </c>
      <c r="CC371" s="1185">
        <f>'2025'!R\Max</f>
        <v>0.836955495809242</v>
      </c>
      <c r="CD371" s="1185">
        <f>'2026'!R\Max</f>
        <v>0.84923424976329032</v>
      </c>
      <c r="CE371" s="1186">
        <f>'2027'!R\Max</f>
        <v>0.84826838460160414</v>
      </c>
      <c r="CF371" s="1187">
        <f>'2028'!R\Max</f>
        <v>0.84729446314896628</v>
      </c>
    </row>
    <row r="372" spans="1:84" s="6" customFormat="1" ht="11.25" x14ac:dyDescent="0.2">
      <c r="A372" s="11">
        <v>43458</v>
      </c>
      <c r="B372" s="379">
        <f>'2022'!Maxi_hp</f>
        <v>22.944010562809719</v>
      </c>
      <c r="C372" s="13">
        <f>'2022'!An_max</f>
        <v>2022</v>
      </c>
      <c r="D372" s="1046" t="str">
        <f t="shared" si="135"/>
        <v/>
      </c>
      <c r="E372" s="1041">
        <f>AM$13/10</f>
        <v>25.5458</v>
      </c>
      <c r="F372" s="13">
        <f t="shared" si="152"/>
        <v>27</v>
      </c>
      <c r="G372" s="13">
        <f t="shared" si="136"/>
        <v>28</v>
      </c>
      <c r="H372" s="173">
        <f t="shared" si="137"/>
        <v>43458</v>
      </c>
      <c r="I372" s="742">
        <f t="shared" si="138"/>
        <v>0</v>
      </c>
      <c r="J372" s="735">
        <f t="shared" si="139"/>
        <v>25.545799994468688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39">
        <v>43458</v>
      </c>
      <c r="AP372" s="13">
        <f t="shared" si="140"/>
        <v>15</v>
      </c>
      <c r="AQ372" s="13">
        <f t="shared" si="141"/>
        <v>14</v>
      </c>
      <c r="AR372" s="173">
        <f t="shared" si="142"/>
        <v>43473</v>
      </c>
      <c r="AS372" s="742">
        <f t="shared" si="143"/>
        <v>0.51724137931034486</v>
      </c>
      <c r="AT372" s="758">
        <f t="shared" si="144"/>
        <v>26.167524326310076</v>
      </c>
      <c r="AU372" s="13">
        <f t="shared" si="145"/>
        <v>15</v>
      </c>
      <c r="AV372" s="13">
        <f t="shared" si="146"/>
        <v>14</v>
      </c>
      <c r="AW372" s="173">
        <f t="shared" si="147"/>
        <v>43487</v>
      </c>
      <c r="AX372" s="742">
        <f t="shared" si="148"/>
        <v>1</v>
      </c>
      <c r="AY372" s="758">
        <f t="shared" si="149"/>
        <v>25.545800000429153</v>
      </c>
      <c r="AZ372" s="735">
        <f t="shared" si="153"/>
        <v>25.856662163369613</v>
      </c>
      <c r="BA372" s="633">
        <f t="shared" si="150"/>
        <v>0.89815196892552507</v>
      </c>
      <c r="BC372" s="11">
        <v>43458</v>
      </c>
      <c r="BD372" s="289">
        <f>[3]!FeuilCaduc*(1-Persistant)+Persistant</f>
        <v>0.8040471147634275</v>
      </c>
      <c r="BE372" s="290">
        <f>[3]!CroissVégét</f>
        <v>0.99999984492411664</v>
      </c>
      <c r="BF372" s="804">
        <f>1+[3]!Salcycl*Ksac</f>
        <v>1.0010117786908568</v>
      </c>
      <c r="BH372" s="1037">
        <f t="shared" si="151"/>
        <v>0.14250755035327797</v>
      </c>
      <c r="BI372" s="11">
        <v>44554</v>
      </c>
      <c r="BJ372" s="715">
        <v>2.2997250461194167E-3</v>
      </c>
      <c r="BK372" s="715">
        <v>2.4663572236931053E-2</v>
      </c>
      <c r="BL372" s="715">
        <v>5.6907136704868501E-2</v>
      </c>
      <c r="BM372" s="715">
        <v>0.10181510051220102</v>
      </c>
      <c r="BN372" s="715">
        <v>0.15274832861088847</v>
      </c>
      <c r="BO372" s="716">
        <v>0.21881590632960657</v>
      </c>
      <c r="BP372" s="715">
        <v>0.36067427039082445</v>
      </c>
      <c r="BQ372" s="715">
        <v>0.59286869222335747</v>
      </c>
      <c r="BR372" s="715">
        <v>0.86150746223689056</v>
      </c>
      <c r="BS372" s="715">
        <v>1.0975722890329909</v>
      </c>
      <c r="BT372" s="715">
        <v>1.2808897716319601</v>
      </c>
      <c r="BW372" s="1185">
        <f>'2019'!R\Max</f>
        <v>0.50591167956475469</v>
      </c>
      <c r="BX372" s="1185">
        <f>'2020'!R\Max</f>
        <v>0.53837588140259451</v>
      </c>
      <c r="BY372" s="1185">
        <f>'2021'!R\Max</f>
        <v>0.62063326245141348</v>
      </c>
      <c r="BZ372" s="1185">
        <f>'2022'!R\Max</f>
        <v>0.89815196892552507</v>
      </c>
      <c r="CA372" s="1185">
        <f>'2023'!R\Max</f>
        <v>0.89664543436891941</v>
      </c>
      <c r="CB372" s="1185">
        <f>'2024'!R\Max</f>
        <v>0.89477517017797037</v>
      </c>
      <c r="CC372" s="1185">
        <f>'2025'!R\Max</f>
        <v>0.89218037187896704</v>
      </c>
      <c r="CD372" s="1185">
        <f>'2026'!R\Max</f>
        <v>0.90077924296798562</v>
      </c>
      <c r="CE372" s="1186">
        <f>'2027'!R\Max</f>
        <v>0.90010544261950765</v>
      </c>
      <c r="CF372" s="1187">
        <f>'2028'!R\Max</f>
        <v>0.89942549743890243</v>
      </c>
    </row>
    <row r="373" spans="1:84" s="6" customFormat="1" ht="11.25" x14ac:dyDescent="0.2">
      <c r="A373" s="11">
        <v>43459</v>
      </c>
      <c r="B373" s="379">
        <f>'2022'!Maxi_hp</f>
        <v>15.402591944038759</v>
      </c>
      <c r="C373" s="13">
        <f>'2022'!An_max</f>
        <v>2018</v>
      </c>
      <c r="D373" s="1046" t="str">
        <f t="shared" si="135"/>
        <v/>
      </c>
      <c r="E373" s="13"/>
      <c r="F373" s="13">
        <f t="shared" si="152"/>
        <v>27</v>
      </c>
      <c r="G373" s="13">
        <f t="shared" si="136"/>
        <v>28</v>
      </c>
      <c r="H373" s="173">
        <f t="shared" si="137"/>
        <v>43458</v>
      </c>
      <c r="I373" s="742">
        <f t="shared" si="138"/>
        <v>6.6666666666666666E-2</v>
      </c>
      <c r="J373" s="735">
        <f t="shared" si="139"/>
        <v>25.603535781999433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39">
        <v>43459</v>
      </c>
      <c r="AP373" s="13">
        <f t="shared" si="140"/>
        <v>15</v>
      </c>
      <c r="AQ373" s="13">
        <f t="shared" si="141"/>
        <v>14</v>
      </c>
      <c r="AR373" s="173">
        <f t="shared" si="142"/>
        <v>43473</v>
      </c>
      <c r="AS373" s="742">
        <f t="shared" si="143"/>
        <v>0.48275862068965519</v>
      </c>
      <c r="AT373" s="758">
        <f t="shared" si="144"/>
        <v>26.224123044568916</v>
      </c>
      <c r="AU373" s="13">
        <f t="shared" si="145"/>
        <v>15</v>
      </c>
      <c r="AV373" s="13">
        <f t="shared" si="146"/>
        <v>14</v>
      </c>
      <c r="AW373" s="173">
        <f t="shared" si="147"/>
        <v>43487</v>
      </c>
      <c r="AX373" s="742">
        <f t="shared" si="148"/>
        <v>0.96551724137931039</v>
      </c>
      <c r="AY373" s="758">
        <f t="shared" si="149"/>
        <v>25.600599907775383</v>
      </c>
      <c r="AZ373" s="735">
        <f t="shared" si="153"/>
        <v>25.912361476172151</v>
      </c>
      <c r="BA373" s="633">
        <f t="shared" si="150"/>
        <v>0.60158065960825424</v>
      </c>
      <c r="BC373" s="11">
        <v>43459</v>
      </c>
      <c r="BD373" s="289">
        <f>[3]!FeuilCaduc*(1-Persistant)+Persistant</f>
        <v>0.80376635709992073</v>
      </c>
      <c r="BE373" s="290">
        <f>[3]!CroissVégét</f>
        <v>0.99999984492411664</v>
      </c>
      <c r="BF373" s="804">
        <f>1+[3]!Salcycl*Ksac</f>
        <v>1.0009415892749802</v>
      </c>
      <c r="BH373" s="1037">
        <f t="shared" si="151"/>
        <v>0.14271624041915884</v>
      </c>
      <c r="BI373" s="11">
        <v>44555</v>
      </c>
      <c r="BJ373" s="715">
        <v>2.2945532749045617E-3</v>
      </c>
      <c r="BK373" s="715">
        <v>2.4630347204368346E-2</v>
      </c>
      <c r="BL373" s="715">
        <v>5.6933464126763984E-2</v>
      </c>
      <c r="BM373" s="715">
        <v>0.10193327828494045</v>
      </c>
      <c r="BN373" s="715">
        <v>0.15297979725921568</v>
      </c>
      <c r="BO373" s="716">
        <v>0.21911789375954374</v>
      </c>
      <c r="BP373" s="715">
        <v>0.36082456811662572</v>
      </c>
      <c r="BQ373" s="715">
        <v>0.5932722270691575</v>
      </c>
      <c r="BR373" s="715">
        <v>0.86231442611184173</v>
      </c>
      <c r="BS373" s="715">
        <v>1.0993376903516374</v>
      </c>
      <c r="BT373" s="715">
        <v>1.2835372491338033</v>
      </c>
      <c r="BW373" s="1185">
        <f>'2019'!R\Max</f>
        <v>0.60158065960825424</v>
      </c>
      <c r="BX373" s="1185">
        <f>'2020'!R\Max</f>
        <v>0.48506124645270599</v>
      </c>
      <c r="BY373" s="1185">
        <f>'2021'!R\Max</f>
        <v>0.50849159138725475</v>
      </c>
      <c r="BZ373" s="1185">
        <f>'2022'!R\Max</f>
        <v>0.49589295455420823</v>
      </c>
      <c r="CA373" s="1185">
        <f>'2023'!R\Max</f>
        <v>0.4918181859589526</v>
      </c>
      <c r="CB373" s="1185">
        <f>'2024'!R\Max</f>
        <v>0.48682887547704534</v>
      </c>
      <c r="CC373" s="1185">
        <f>'2025'!R\Max</f>
        <v>0.480031287088166</v>
      </c>
      <c r="CD373" s="1185">
        <f>'2026'!R\Max</f>
        <v>0.5031381664735759</v>
      </c>
      <c r="CE373" s="1186">
        <f>'2027'!R\Max</f>
        <v>0.50126203913070611</v>
      </c>
      <c r="CF373" s="1187">
        <f>'2028'!R\Max</f>
        <v>0.49938014565954109</v>
      </c>
    </row>
    <row r="374" spans="1:84" s="6" customFormat="1" ht="11.25" x14ac:dyDescent="0.2">
      <c r="A374" s="11">
        <v>43460</v>
      </c>
      <c r="B374" s="379">
        <f>'2022'!Maxi_hp</f>
        <v>21.950785142907936</v>
      </c>
      <c r="C374" s="13">
        <f>'2022'!An_max</f>
        <v>2022</v>
      </c>
      <c r="D374" s="1046" t="str">
        <f t="shared" si="135"/>
        <v/>
      </c>
      <c r="E374" s="13"/>
      <c r="F374" s="13">
        <f t="shared" si="152"/>
        <v>27</v>
      </c>
      <c r="G374" s="13">
        <f t="shared" si="136"/>
        <v>28</v>
      </c>
      <c r="H374" s="173">
        <f t="shared" si="137"/>
        <v>43458</v>
      </c>
      <c r="I374" s="742">
        <f t="shared" si="138"/>
        <v>0.13333333333333333</v>
      </c>
      <c r="J374" s="735">
        <f t="shared" si="139"/>
        <v>25.682065591414773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39">
        <v>43460</v>
      </c>
      <c r="AP374" s="13">
        <f t="shared" si="140"/>
        <v>15</v>
      </c>
      <c r="AQ374" s="13">
        <f t="shared" si="141"/>
        <v>14</v>
      </c>
      <c r="AR374" s="173">
        <f t="shared" si="142"/>
        <v>43473</v>
      </c>
      <c r="AS374" s="742">
        <f t="shared" si="143"/>
        <v>0.44827586206896552</v>
      </c>
      <c r="AT374" s="758">
        <f t="shared" si="144"/>
        <v>26.290599287121459</v>
      </c>
      <c r="AU374" s="13">
        <f t="shared" si="145"/>
        <v>15</v>
      </c>
      <c r="AV374" s="13">
        <f t="shared" si="146"/>
        <v>14</v>
      </c>
      <c r="AW374" s="173">
        <f t="shared" si="147"/>
        <v>43487</v>
      </c>
      <c r="AX374" s="742">
        <f t="shared" si="148"/>
        <v>0.93103448275862066</v>
      </c>
      <c r="AY374" s="758">
        <f t="shared" si="149"/>
        <v>25.67628777124758</v>
      </c>
      <c r="AZ374" s="735">
        <f t="shared" si="153"/>
        <v>25.98344352918452</v>
      </c>
      <c r="BA374" s="633">
        <f t="shared" si="150"/>
        <v>0.85471260342259381</v>
      </c>
      <c r="BC374" s="11">
        <v>43460</v>
      </c>
      <c r="BD374" s="289">
        <f>[3]!FeuilCaduc*(1-Persistant)+Persistant</f>
        <v>0.80350657613850163</v>
      </c>
      <c r="BE374" s="290">
        <f>[3]!CroissVégét</f>
        <v>0.99999984492411664</v>
      </c>
      <c r="BF374" s="804">
        <f>1+[3]!Salcycl*Ksac</f>
        <v>1.0008766440346255</v>
      </c>
      <c r="BH374" s="1037">
        <f t="shared" si="151"/>
        <v>0.14298258992175797</v>
      </c>
      <c r="BI374" s="11">
        <v>44556</v>
      </c>
      <c r="BJ374" s="715">
        <v>2.2874583180508604E-3</v>
      </c>
      <c r="BK374" s="715">
        <v>2.4583928813355083E-2</v>
      </c>
      <c r="BL374" s="715">
        <v>5.6963765988224155E-2</v>
      </c>
      <c r="BM374" s="715">
        <v>0.10208231791310143</v>
      </c>
      <c r="BN374" s="715">
        <v>0.15327566930017858</v>
      </c>
      <c r="BO374" s="716">
        <v>0.21950225009708621</v>
      </c>
      <c r="BP374" s="715">
        <v>0.36099452039112978</v>
      </c>
      <c r="BQ374" s="715">
        <v>0.59376036042121172</v>
      </c>
      <c r="BR374" s="715">
        <v>0.86331803335619361</v>
      </c>
      <c r="BS374" s="715">
        <v>1.1016000091289935</v>
      </c>
      <c r="BT374" s="715">
        <v>1.2869608712533998</v>
      </c>
      <c r="BW374" s="1185">
        <f>'2019'!R\Max</f>
        <v>0.25673763615981621</v>
      </c>
      <c r="BX374" s="1185">
        <f>'2020'!R\Max</f>
        <v>0.15521388037988482</v>
      </c>
      <c r="BY374" s="1185">
        <f>'2021'!R\Max</f>
        <v>0.52088690224687328</v>
      </c>
      <c r="BZ374" s="1185">
        <f>'2022'!R\Max</f>
        <v>0.85471260342259381</v>
      </c>
      <c r="CA374" s="1185">
        <f>'2023'!R\Max</f>
        <v>0.85268669056180546</v>
      </c>
      <c r="CB374" s="1185">
        <f>'2024'!R\Max</f>
        <v>0.85017030921292158</v>
      </c>
      <c r="CC374" s="1185">
        <f>'2025'!R\Max</f>
        <v>0.84667733744046247</v>
      </c>
      <c r="CD374" s="1185">
        <f>'2026'!R\Max</f>
        <v>0.85826264735324231</v>
      </c>
      <c r="CE374" s="1186">
        <f>'2027'!R\Max</f>
        <v>0.85734914856869937</v>
      </c>
      <c r="CF374" s="1187">
        <f>'2028'!R\Max</f>
        <v>0.85642794028424729</v>
      </c>
    </row>
    <row r="375" spans="1:84" s="6" customFormat="1" ht="11.25" x14ac:dyDescent="0.2">
      <c r="A375" s="11">
        <v>43461</v>
      </c>
      <c r="B375" s="379">
        <f>'2022'!Maxi_hp</f>
        <v>24.49923801757005</v>
      </c>
      <c r="C375" s="13">
        <f>'2022'!An_max</f>
        <v>2018</v>
      </c>
      <c r="D375" s="1046" t="str">
        <f t="shared" si="135"/>
        <v/>
      </c>
      <c r="E375" s="13"/>
      <c r="F375" s="13">
        <f t="shared" si="152"/>
        <v>27</v>
      </c>
      <c r="G375" s="13">
        <f t="shared" si="136"/>
        <v>28</v>
      </c>
      <c r="H375" s="173">
        <f t="shared" si="137"/>
        <v>43458</v>
      </c>
      <c r="I375" s="742">
        <f t="shared" si="138"/>
        <v>0.2</v>
      </c>
      <c r="J375" s="735">
        <f t="shared" si="139"/>
        <v>25.780148962736131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39">
        <v>43461</v>
      </c>
      <c r="AP375" s="13">
        <f t="shared" si="140"/>
        <v>15</v>
      </c>
      <c r="AQ375" s="13">
        <f t="shared" si="141"/>
        <v>14</v>
      </c>
      <c r="AR375" s="173">
        <f t="shared" si="142"/>
        <v>43473</v>
      </c>
      <c r="AS375" s="742">
        <f t="shared" si="143"/>
        <v>0.41379310344827586</v>
      </c>
      <c r="AT375" s="758">
        <f t="shared" si="144"/>
        <v>26.366902847485299</v>
      </c>
      <c r="AU375" s="13">
        <f t="shared" si="145"/>
        <v>15</v>
      </c>
      <c r="AV375" s="13">
        <f t="shared" si="146"/>
        <v>14</v>
      </c>
      <c r="AW375" s="173">
        <f t="shared" si="147"/>
        <v>43487</v>
      </c>
      <c r="AX375" s="742">
        <f t="shared" si="148"/>
        <v>0.89655172413793105</v>
      </c>
      <c r="AY375" s="758">
        <f t="shared" si="149"/>
        <v>25.771957593950731</v>
      </c>
      <c r="AZ375" s="735">
        <f t="shared" si="153"/>
        <v>26.069430220718015</v>
      </c>
      <c r="BA375" s="633">
        <f t="shared" si="150"/>
        <v>0.95031405958834558</v>
      </c>
      <c r="BC375" s="11">
        <v>43461</v>
      </c>
      <c r="BD375" s="289">
        <f>[3]!FeuilCaduc*(1-Persistant)+Persistant</f>
        <v>0.80326585300069508</v>
      </c>
      <c r="BE375" s="290">
        <f>[3]!CroissVégét</f>
        <v>0.99999984492411664</v>
      </c>
      <c r="BF375" s="804">
        <f>1+[3]!Salcycl*Ksac</f>
        <v>1.0008164632501737</v>
      </c>
      <c r="BH375" s="1037">
        <f t="shared" si="151"/>
        <v>0.1433251746221107</v>
      </c>
      <c r="BI375" s="11">
        <v>44557</v>
      </c>
      <c r="BJ375" s="715">
        <v>2.2779526341848914E-3</v>
      </c>
      <c r="BK375" s="715">
        <v>2.4509409915728315E-2</v>
      </c>
      <c r="BL375" s="715">
        <v>5.6990358279473151E-2</v>
      </c>
      <c r="BM375" s="715">
        <v>0.1022618026964594</v>
      </c>
      <c r="BN375" s="715">
        <v>0.15365930019190838</v>
      </c>
      <c r="BO375" s="716">
        <v>0.21999753410512785</v>
      </c>
      <c r="BP375" s="715">
        <v>0.36110566373632419</v>
      </c>
      <c r="BQ375" s="715">
        <v>0.59414747497681697</v>
      </c>
      <c r="BR375" s="715">
        <v>0.86430183273996031</v>
      </c>
      <c r="BS375" s="715">
        <v>1.104258127285989</v>
      </c>
      <c r="BT375" s="715">
        <v>1.2912016794227485</v>
      </c>
      <c r="BW375" s="1185">
        <f>'2019'!R\Max</f>
        <v>0.95031405958834558</v>
      </c>
      <c r="BX375" s="1185">
        <f>'2020'!R\Max</f>
        <v>0.69578594791011439</v>
      </c>
      <c r="BY375" s="1185">
        <f>'2021'!R\Max</f>
        <v>0.36922651286043778</v>
      </c>
      <c r="BZ375" s="1185">
        <f>'2022'!R\Max</f>
        <v>0.28272393832905768</v>
      </c>
      <c r="CA375" s="1185">
        <f>'2023'!R\Max</f>
        <v>0.27951337635203261</v>
      </c>
      <c r="CB375" s="1185">
        <f>'2024'!R\Max</f>
        <v>0.27559892628015048</v>
      </c>
      <c r="CC375" s="1185">
        <f>'2025'!R\Max</f>
        <v>0.27029664369599837</v>
      </c>
      <c r="CD375" s="1185">
        <f>'2026'!R\Max</f>
        <v>0.28850777557587498</v>
      </c>
      <c r="CE375" s="1186">
        <f>'2027'!R\Max</f>
        <v>0.28699841525778813</v>
      </c>
      <c r="CF375" s="1187">
        <f>'2028'!R\Max</f>
        <v>0.28548905493970134</v>
      </c>
    </row>
    <row r="376" spans="1:84" s="6" customFormat="1" ht="11.25" x14ac:dyDescent="0.2">
      <c r="A376" s="11">
        <v>43462</v>
      </c>
      <c r="B376" s="379">
        <f>'2022'!Maxi_hp</f>
        <v>23.956772054277653</v>
      </c>
      <c r="C376" s="13">
        <f>'2022'!An_max</f>
        <v>2022</v>
      </c>
      <c r="D376" s="1046" t="str">
        <f t="shared" si="135"/>
        <v/>
      </c>
      <c r="E376" s="13"/>
      <c r="F376" s="13">
        <f t="shared" si="152"/>
        <v>27</v>
      </c>
      <c r="G376" s="13">
        <f t="shared" si="136"/>
        <v>28</v>
      </c>
      <c r="H376" s="173">
        <f t="shared" si="137"/>
        <v>43458</v>
      </c>
      <c r="I376" s="742">
        <f t="shared" si="138"/>
        <v>0.26666666666666666</v>
      </c>
      <c r="J376" s="735">
        <f t="shared" si="139"/>
        <v>25.89654543936253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39">
        <v>43462</v>
      </c>
      <c r="AP376" s="13">
        <f t="shared" si="140"/>
        <v>15</v>
      </c>
      <c r="AQ376" s="13">
        <f t="shared" si="141"/>
        <v>14</v>
      </c>
      <c r="AR376" s="173">
        <f t="shared" si="142"/>
        <v>43473</v>
      </c>
      <c r="AS376" s="742">
        <f t="shared" si="143"/>
        <v>0.37931034482758619</v>
      </c>
      <c r="AT376" s="758">
        <f t="shared" si="144"/>
        <v>26.452983516814378</v>
      </c>
      <c r="AU376" s="13">
        <f t="shared" si="145"/>
        <v>15</v>
      </c>
      <c r="AV376" s="13">
        <f t="shared" si="146"/>
        <v>14</v>
      </c>
      <c r="AW376" s="173">
        <f t="shared" si="147"/>
        <v>43487</v>
      </c>
      <c r="AX376" s="742">
        <f t="shared" si="148"/>
        <v>0.86206896551724133</v>
      </c>
      <c r="AY376" s="758">
        <f t="shared" si="149"/>
        <v>25.886703383254591</v>
      </c>
      <c r="AZ376" s="735">
        <f t="shared" si="153"/>
        <v>26.169843450034485</v>
      </c>
      <c r="BA376" s="633">
        <f t="shared" si="150"/>
        <v>0.92509528386220818</v>
      </c>
      <c r="BC376" s="11">
        <v>43462</v>
      </c>
      <c r="BD376" s="289">
        <f>[3]!FeuilCaduc*(1-Persistant)+Persistant</f>
        <v>0.80304238255323301</v>
      </c>
      <c r="BE376" s="290">
        <f>[3]!CroissVégét</f>
        <v>0.99999984492411664</v>
      </c>
      <c r="BF376" s="804">
        <f>1+[3]!Salcycl*Ksac</f>
        <v>1.0007605956383083</v>
      </c>
      <c r="BH376" s="1037">
        <f t="shared" si="151"/>
        <v>0.14371682797492127</v>
      </c>
      <c r="BI376" s="11">
        <v>44558</v>
      </c>
      <c r="BJ376" s="715">
        <v>2.2670175921439381E-3</v>
      </c>
      <c r="BK376" s="715">
        <v>2.4413603444274044E-2</v>
      </c>
      <c r="BL376" s="715">
        <v>5.7011858829039835E-2</v>
      </c>
      <c r="BM376" s="715">
        <v>0.10245745124083679</v>
      </c>
      <c r="BN376" s="715">
        <v>0.15410028067514311</v>
      </c>
      <c r="BO376" s="716">
        <v>0.22056510192746767</v>
      </c>
      <c r="BP376" s="715">
        <v>0.36115195767839287</v>
      </c>
      <c r="BQ376" s="715">
        <v>0.59439753934469364</v>
      </c>
      <c r="BR376" s="715">
        <v>0.86517683293347425</v>
      </c>
      <c r="BS376" s="715">
        <v>1.107076212401658</v>
      </c>
      <c r="BT376" s="715">
        <v>1.2958869495178105</v>
      </c>
      <c r="BW376" s="1185">
        <f>'2019'!R\Max</f>
        <v>0.19223818468869777</v>
      </c>
      <c r="BX376" s="1185">
        <f>'2020'!R\Max</f>
        <v>0.25671193953557864</v>
      </c>
      <c r="BY376" s="1185">
        <f>'2021'!R\Max</f>
        <v>0.14894333698409187</v>
      </c>
      <c r="BZ376" s="1185">
        <f>'2022'!R\Max</f>
        <v>0.92509528386220818</v>
      </c>
      <c r="CA376" s="1185">
        <f>'2023'!R\Max</f>
        <v>0.92398100937115013</v>
      </c>
      <c r="CB376" s="1185">
        <f>'2024'!R\Max</f>
        <v>0.92258845581567739</v>
      </c>
      <c r="CC376" s="1185">
        <f>'2025'!R\Max</f>
        <v>0.92064042181842753</v>
      </c>
      <c r="CD376" s="1185">
        <f>'2026'!R\Max</f>
        <v>0.92705282625497709</v>
      </c>
      <c r="CE376" s="1186">
        <f>'2027'!R\Max</f>
        <v>0.92654744001735223</v>
      </c>
      <c r="CF376" s="1187">
        <f>'2028'!R\Max</f>
        <v>0.9260372849092583</v>
      </c>
    </row>
    <row r="377" spans="1:84" s="6" customFormat="1" ht="11.25" x14ac:dyDescent="0.2">
      <c r="A377" s="11">
        <v>43463</v>
      </c>
      <c r="B377" s="379">
        <f>'2022'!Maxi_hp</f>
        <v>25.350843824112598</v>
      </c>
      <c r="C377" s="13">
        <f>'2022'!An_max</f>
        <v>2018</v>
      </c>
      <c r="D377" s="1046">
        <f t="shared" si="135"/>
        <v>0.97390816924090728</v>
      </c>
      <c r="E377" s="13"/>
      <c r="F377" s="13">
        <f t="shared" si="152"/>
        <v>27</v>
      </c>
      <c r="G377" s="13">
        <f t="shared" si="136"/>
        <v>28</v>
      </c>
      <c r="H377" s="173">
        <f t="shared" si="137"/>
        <v>43458</v>
      </c>
      <c r="I377" s="742">
        <f t="shared" si="138"/>
        <v>0.33333333333333331</v>
      </c>
      <c r="J377" s="735">
        <f t="shared" si="139"/>
        <v>26.030014558633173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39">
        <v>43463</v>
      </c>
      <c r="AP377" s="13">
        <f t="shared" si="140"/>
        <v>15</v>
      </c>
      <c r="AQ377" s="13">
        <f t="shared" si="141"/>
        <v>14</v>
      </c>
      <c r="AR377" s="173">
        <f t="shared" si="142"/>
        <v>43473</v>
      </c>
      <c r="AS377" s="742">
        <f t="shared" si="143"/>
        <v>0.34482758620689657</v>
      </c>
      <c r="AT377" s="758">
        <f t="shared" si="144"/>
        <v>26.548791082563071</v>
      </c>
      <c r="AU377" s="13">
        <f t="shared" si="145"/>
        <v>15</v>
      </c>
      <c r="AV377" s="13">
        <f t="shared" si="146"/>
        <v>14</v>
      </c>
      <c r="AW377" s="173">
        <f t="shared" si="147"/>
        <v>43487</v>
      </c>
      <c r="AX377" s="742">
        <f t="shared" si="148"/>
        <v>0.82758620689655171</v>
      </c>
      <c r="AY377" s="758">
        <f t="shared" si="149"/>
        <v>26.019619137434098</v>
      </c>
      <c r="AZ377" s="735">
        <f t="shared" si="153"/>
        <v>26.284205109998585</v>
      </c>
      <c r="BA377" s="633">
        <f t="shared" si="150"/>
        <v>0.97390816924090728</v>
      </c>
      <c r="BC377" s="11">
        <v>43463</v>
      </c>
      <c r="BD377" s="289">
        <f>[3]!FeuilCaduc*(1-Persistant)+Persistant</f>
        <v>0.80283447835743404</v>
      </c>
      <c r="BE377" s="290">
        <f>[3]!CroissVégét</f>
        <v>0.99999984492411664</v>
      </c>
      <c r="BF377" s="804">
        <f>1+[3]!Salcycl*Ksac</f>
        <v>1.0007086195893584</v>
      </c>
      <c r="BH377" s="1037">
        <f t="shared" si="151"/>
        <v>0.14415725828639525</v>
      </c>
      <c r="BI377" s="11">
        <v>44559</v>
      </c>
      <c r="BJ377" s="715">
        <v>2.2546448839085857E-3</v>
      </c>
      <c r="BK377" s="715">
        <v>2.4296414120621265E-2</v>
      </c>
      <c r="BL377" s="715">
        <v>5.7028114058778195E-2</v>
      </c>
      <c r="BM377" s="715">
        <v>0.10266902773219716</v>
      </c>
      <c r="BN377" s="715">
        <v>0.15459830499322871</v>
      </c>
      <c r="BO377" s="716">
        <v>0.22120450020196608</v>
      </c>
      <c r="BP377" s="715">
        <v>0.36113238441413514</v>
      </c>
      <c r="BQ377" s="715">
        <v>0.59450885220533245</v>
      </c>
      <c r="BR377" s="715">
        <v>0.86594069841422772</v>
      </c>
      <c r="BS377" s="715">
        <v>1.1100517413596263</v>
      </c>
      <c r="BT377" s="715">
        <v>1.3010141237585278</v>
      </c>
      <c r="BW377" s="1185">
        <f>'2019'!R\Max</f>
        <v>0.97390816924090728</v>
      </c>
      <c r="BX377" s="1185">
        <f>'2020'!R\Max</f>
        <v>0.31657619565891232</v>
      </c>
      <c r="BY377" s="1185">
        <f>'2021'!R\Max</f>
        <v>0.22395468512280439</v>
      </c>
      <c r="BZ377" s="1185">
        <f>'2022'!R\Max</f>
        <v>0.46090421834961931</v>
      </c>
      <c r="CA377" s="1185">
        <f>'2023'!R\Max</f>
        <v>0.45697857507429779</v>
      </c>
      <c r="CB377" s="1185">
        <f>'2024'!R\Max</f>
        <v>0.45214220267046867</v>
      </c>
      <c r="CC377" s="1185">
        <f>'2025'!R\Max</f>
        <v>0.44550506940409218</v>
      </c>
      <c r="CD377" s="1185">
        <f>'2026'!R\Max</f>
        <v>0.46797084744159401</v>
      </c>
      <c r="CE377" s="1186">
        <f>'2027'!R\Max</f>
        <v>0.4661226372379893</v>
      </c>
      <c r="CF377" s="1187">
        <f>'2028'!R\Max</f>
        <v>0.46426977636454353</v>
      </c>
    </row>
    <row r="378" spans="1:84" s="6" customFormat="1" ht="11.25" x14ac:dyDescent="0.2">
      <c r="A378" s="11">
        <v>43464</v>
      </c>
      <c r="B378" s="379">
        <f>'2022'!Maxi_hp</f>
        <v>26.258304943114872</v>
      </c>
      <c r="C378" s="13">
        <f>'2022'!An_max</f>
        <v>2018</v>
      </c>
      <c r="D378" s="1046">
        <f t="shared" si="135"/>
        <v>1.0030172324848812</v>
      </c>
      <c r="E378" s="13"/>
      <c r="F378" s="13">
        <f t="shared" si="152"/>
        <v>27</v>
      </c>
      <c r="G378" s="13">
        <f t="shared" si="136"/>
        <v>28</v>
      </c>
      <c r="H378" s="173">
        <f t="shared" si="137"/>
        <v>43458</v>
      </c>
      <c r="I378" s="742">
        <f t="shared" si="138"/>
        <v>0.4</v>
      </c>
      <c r="J378" s="735">
        <f t="shared" si="139"/>
        <v>26.179315860867501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39">
        <v>43464</v>
      </c>
      <c r="AP378" s="13">
        <f t="shared" si="140"/>
        <v>15</v>
      </c>
      <c r="AQ378" s="13">
        <f t="shared" si="141"/>
        <v>14</v>
      </c>
      <c r="AR378" s="173">
        <f t="shared" si="142"/>
        <v>43473</v>
      </c>
      <c r="AS378" s="742">
        <f t="shared" si="143"/>
        <v>0.31034482758620691</v>
      </c>
      <c r="AT378" s="758">
        <f t="shared" si="144"/>
        <v>26.654275335988096</v>
      </c>
      <c r="AU378" s="13">
        <f t="shared" si="145"/>
        <v>15</v>
      </c>
      <c r="AV378" s="13">
        <f t="shared" si="146"/>
        <v>14</v>
      </c>
      <c r="AW378" s="173">
        <f t="shared" si="147"/>
        <v>43487</v>
      </c>
      <c r="AX378" s="742">
        <f t="shared" si="148"/>
        <v>0.7931034482758621</v>
      </c>
      <c r="AY378" s="758">
        <f t="shared" si="149"/>
        <v>26.169798866839244</v>
      </c>
      <c r="AZ378" s="735">
        <f t="shared" si="153"/>
        <v>26.41203710141367</v>
      </c>
      <c r="BA378" s="633">
        <f t="shared" si="150"/>
        <v>1.0030172324848812</v>
      </c>
      <c r="BC378" s="11">
        <v>43464</v>
      </c>
      <c r="BD378" s="289">
        <f>[3]!FeuilCaduc*(1-Persistant)+Persistant</f>
        <v>0.8026405764187875</v>
      </c>
      <c r="BE378" s="290">
        <f>[3]!CroissVégét</f>
        <v>0.99999984492411664</v>
      </c>
      <c r="BF378" s="804">
        <f>1+[3]!Salcycl*Ksac</f>
        <v>1.0006601441046969</v>
      </c>
      <c r="BH378" s="1037">
        <f t="shared" si="151"/>
        <v>0.14464617537872845</v>
      </c>
      <c r="BI378" s="11">
        <v>44560</v>
      </c>
      <c r="BJ378" s="715">
        <v>2.2408261643675374E-3</v>
      </c>
      <c r="BK378" s="715">
        <v>2.4157745404765431E-2</v>
      </c>
      <c r="BL378" s="715">
        <v>5.7038969725249661E-2</v>
      </c>
      <c r="BM378" s="715">
        <v>0.10289629627040779</v>
      </c>
      <c r="BN378" s="715">
        <v>0.15515306930868705</v>
      </c>
      <c r="BO378" s="716">
        <v>0.22191527791294091</v>
      </c>
      <c r="BP378" s="715">
        <v>0.36104591933887303</v>
      </c>
      <c r="BQ378" s="715">
        <v>0.5944796959815466</v>
      </c>
      <c r="BR378" s="715">
        <v>0.86659107450135164</v>
      </c>
      <c r="BS378" s="715">
        <v>1.1131821812643308</v>
      </c>
      <c r="BT378" s="715">
        <v>1.3065806463457699</v>
      </c>
      <c r="BW378" s="1185">
        <f>'2019'!R\Max</f>
        <v>1.0030172324848812</v>
      </c>
      <c r="BX378" s="1185">
        <f>'2020'!R\Max</f>
        <v>0.2323775885287287</v>
      </c>
      <c r="BY378" s="1185">
        <f>'2021'!R\Max</f>
        <v>0.67382124260558118</v>
      </c>
      <c r="BZ378" s="1185">
        <f>'2022'!R\Max</f>
        <v>0.62919449874635547</v>
      </c>
      <c r="CA378" s="1185">
        <f>'2023'!R\Max</f>
        <v>0.62554204809773273</v>
      </c>
      <c r="CB378" s="1185">
        <f>'2024'!R\Max</f>
        <v>0.62100354515178369</v>
      </c>
      <c r="CC378" s="1185">
        <f>'2025'!R\Max</f>
        <v>0.61470673142467169</v>
      </c>
      <c r="CD378" s="1185">
        <f>'2026'!R\Max</f>
        <v>0.63574994387185146</v>
      </c>
      <c r="CE378" s="1186">
        <f>'2027'!R\Max</f>
        <v>0.63403501647050442</v>
      </c>
      <c r="CF378" s="1187">
        <f>'2028'!R\Max</f>
        <v>0.63231150651431856</v>
      </c>
    </row>
    <row r="379" spans="1:84" s="6" customFormat="1" ht="11.25" x14ac:dyDescent="0.2">
      <c r="A379" s="11">
        <v>43465</v>
      </c>
      <c r="B379" s="379">
        <f>'2022'!Maxi_hp</f>
        <v>25.860373589041732</v>
      </c>
      <c r="C379" s="13">
        <f>'2022'!An_max</f>
        <v>2021</v>
      </c>
      <c r="D379" s="1046">
        <f t="shared" si="135"/>
        <v>0.98167135603912337</v>
      </c>
      <c r="E379" s="13"/>
      <c r="F379" s="13">
        <f t="shared" si="152"/>
        <v>27</v>
      </c>
      <c r="G379" s="13">
        <f t="shared" si="136"/>
        <v>28</v>
      </c>
      <c r="H379" s="173">
        <f t="shared" si="137"/>
        <v>43458</v>
      </c>
      <c r="I379" s="742">
        <f t="shared" si="138"/>
        <v>0.46666666666666667</v>
      </c>
      <c r="J379" s="735">
        <f t="shared" si="139"/>
        <v>26.343208885490895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39">
        <v>43465</v>
      </c>
      <c r="AP379" s="13">
        <f t="shared" si="140"/>
        <v>15</v>
      </c>
      <c r="AQ379" s="13">
        <f t="shared" si="141"/>
        <v>14</v>
      </c>
      <c r="AR379" s="173">
        <f t="shared" si="142"/>
        <v>43473</v>
      </c>
      <c r="AS379" s="742">
        <f t="shared" si="143"/>
        <v>0.27586206896551724</v>
      </c>
      <c r="AT379" s="758">
        <f t="shared" si="144"/>
        <v>26.769386069682138</v>
      </c>
      <c r="AU379" s="13">
        <f t="shared" si="145"/>
        <v>15</v>
      </c>
      <c r="AV379" s="13">
        <f t="shared" si="146"/>
        <v>14</v>
      </c>
      <c r="AW379" s="173">
        <f t="shared" si="147"/>
        <v>43487</v>
      </c>
      <c r="AX379" s="742">
        <f t="shared" si="148"/>
        <v>0.75862068965517238</v>
      </c>
      <c r="AY379" s="758">
        <f t="shared" si="149"/>
        <v>26.336336574703456</v>
      </c>
      <c r="AZ379" s="735">
        <f t="shared" si="153"/>
        <v>26.552861322192797</v>
      </c>
      <c r="BA379" s="633">
        <f t="shared" si="150"/>
        <v>0.98167135603912337</v>
      </c>
      <c r="BC379" s="11">
        <v>43465</v>
      </c>
      <c r="BD379" s="289">
        <f>[3]!FeuilCaduc*(1-Persistant)+Persistant</f>
        <v>0.80245923774287642</v>
      </c>
      <c r="BE379" s="290">
        <f>[3]!CroissVégét</f>
        <v>0.99999984492411664</v>
      </c>
      <c r="BF379" s="804">
        <f>1+[3]!Salcycl*Ksac</f>
        <v>1.000614809435719</v>
      </c>
      <c r="BH379" s="1037">
        <f t="shared" si="151"/>
        <v>0.14518328942147557</v>
      </c>
      <c r="BI379" s="11">
        <v>44561</v>
      </c>
      <c r="BJ379" s="715">
        <v>2.2255530889569108E-3</v>
      </c>
      <c r="BK379" s="715">
        <v>2.3997500051749818E-2</v>
      </c>
      <c r="BL379" s="715">
        <v>5.7044271082196368E-2</v>
      </c>
      <c r="BM379" s="715">
        <v>0.10313902051622878</v>
      </c>
      <c r="BN379" s="715">
        <v>0.15576427032932313</v>
      </c>
      <c r="BO379" s="716">
        <v>0.22269698467437615</v>
      </c>
      <c r="BP379" s="715">
        <v>0.36089153290836973</v>
      </c>
      <c r="BQ379" s="715">
        <v>0.59430834068248195</v>
      </c>
      <c r="BR379" s="715">
        <v>0.86712559063916161</v>
      </c>
      <c r="BS379" s="715">
        <v>1.1164649860164273</v>
      </c>
      <c r="BT379" s="715">
        <v>1.3125839528949228</v>
      </c>
      <c r="BW379" s="1185">
        <f>'2019'!R\Max</f>
        <v>0.79670725383516605</v>
      </c>
      <c r="BX379" s="1185">
        <f>'2020'!R\Max</f>
        <v>0.42047675748523089</v>
      </c>
      <c r="BY379" s="1185">
        <f>'2021'!R\Max</f>
        <v>0.98167135603912337</v>
      </c>
      <c r="BZ379" s="1185">
        <f>'2022'!R\Max</f>
        <v>0.53667244887222709</v>
      </c>
      <c r="CA379" s="1185">
        <f>'2023'!R\Max</f>
        <v>0.53283700297275771</v>
      </c>
      <c r="CB379" s="1185">
        <f>'2024'!R\Max</f>
        <v>0.52807238663652811</v>
      </c>
      <c r="CC379" s="1185">
        <f>'2025'!R\Max</f>
        <v>0.52146696622862532</v>
      </c>
      <c r="CD379" s="1185">
        <f>'2026'!R\Max</f>
        <v>0.54361996076327457</v>
      </c>
      <c r="CE379" s="1186">
        <f>'2027'!R\Max</f>
        <v>0.54179110364348615</v>
      </c>
      <c r="CF379" s="1187">
        <f>'2028'!R\Max</f>
        <v>0.53995563084713971</v>
      </c>
    </row>
    <row r="380" spans="1:84" s="6" customFormat="1" ht="12" customHeight="1" thickBot="1" x14ac:dyDescent="0.25">
      <c r="A380" s="11">
        <v>43466</v>
      </c>
      <c r="B380" s="380">
        <f>'2022'!Maxi_hp</f>
        <v>16.851465220813907</v>
      </c>
      <c r="C380" s="14">
        <f>'2022'!An_max</f>
        <v>2020</v>
      </c>
      <c r="D380" s="1047" t="str">
        <f t="shared" si="135"/>
        <v/>
      </c>
      <c r="E380" s="14"/>
      <c r="F380" s="14">
        <f t="shared" si="152"/>
        <v>27</v>
      </c>
      <c r="G380" s="14">
        <f t="shared" si="136"/>
        <v>28</v>
      </c>
      <c r="H380" s="737">
        <f t="shared" si="137"/>
        <v>43458</v>
      </c>
      <c r="I380" s="738">
        <f t="shared" si="138"/>
        <v>0.53333333333333333</v>
      </c>
      <c r="J380" s="736">
        <f t="shared" si="139"/>
        <v>26.520453176895778</v>
      </c>
      <c r="M380" s="794" t="s">
        <v>242</v>
      </c>
      <c r="N380" s="795">
        <f>$AZ22*10</f>
        <v>280.89803003712461</v>
      </c>
      <c r="O380" s="795">
        <f>$AZ36*10</f>
        <v>322.23643685178831</v>
      </c>
      <c r="P380" s="795">
        <f>$AZ50*10</f>
        <v>371.79506771930028</v>
      </c>
      <c r="Q380" s="795">
        <f>$AZ64*10</f>
        <v>422.29468749999069</v>
      </c>
      <c r="R380" s="795">
        <f>$AZ78*10</f>
        <v>471.83937500021415</v>
      </c>
      <c r="S380" s="795">
        <f>$AZ92*10</f>
        <v>519.02331250160933</v>
      </c>
      <c r="T380" s="795">
        <f>$AZ106*10</f>
        <v>559.28031249996275</v>
      </c>
      <c r="U380" s="795">
        <f>$AZ120*10</f>
        <v>588.32375000230968</v>
      </c>
      <c r="V380" s="795">
        <f>$AZ134*10</f>
        <v>606.46425000112504</v>
      </c>
      <c r="W380" s="795">
        <f>$AZ148*10</f>
        <v>616.52850000560284</v>
      </c>
      <c r="X380" s="795">
        <f>$AZ162*10</f>
        <v>620.31812500394881</v>
      </c>
      <c r="Y380" s="795">
        <f>$AZ176*10</f>
        <v>618.1748125012964</v>
      </c>
      <c r="Z380" s="795">
        <f>$AZ190*10</f>
        <v>610.00537500204518</v>
      </c>
      <c r="AA380" s="795">
        <f>$AZ204*10</f>
        <v>596.55531250173226</v>
      </c>
      <c r="AB380" s="795">
        <f>$AZ218*10</f>
        <v>579.68837499991059</v>
      </c>
      <c r="AC380" s="795">
        <f>$AZ232*10</f>
        <v>561.11300000129268</v>
      </c>
      <c r="AD380" s="795">
        <f>$AZ246*10</f>
        <v>540.73599999584258</v>
      </c>
      <c r="AE380" s="795">
        <f>$AZ260*10</f>
        <v>516.35193749330938</v>
      </c>
      <c r="AF380" s="795">
        <f>$AZ274*10</f>
        <v>485.75537499971688</v>
      </c>
      <c r="AG380" s="795">
        <f>$AZ288*10</f>
        <v>449.03950000292389</v>
      </c>
      <c r="AH380" s="795">
        <f>$AZ302*10</f>
        <v>408.72037500038277</v>
      </c>
      <c r="AI380" s="795">
        <f>$AZ316*10</f>
        <v>368.15274999977555</v>
      </c>
      <c r="AJ380" s="795">
        <f>$AZ330*10</f>
        <v>329.16931249853224</v>
      </c>
      <c r="AK380" s="795">
        <f>$AZ344*10</f>
        <v>292.82558617088944</v>
      </c>
      <c r="AL380" s="795">
        <f>$AZ358*10</f>
        <v>265.341493697837</v>
      </c>
      <c r="AM380" s="795">
        <f>$AZ372*10</f>
        <v>258.56662163369612</v>
      </c>
      <c r="AO380" s="1039">
        <v>43466</v>
      </c>
      <c r="AP380" s="14">
        <f t="shared" si="140"/>
        <v>15</v>
      </c>
      <c r="AQ380" s="14">
        <f t="shared" si="141"/>
        <v>14</v>
      </c>
      <c r="AR380" s="737">
        <f t="shared" si="142"/>
        <v>43473</v>
      </c>
      <c r="AS380" s="738">
        <f t="shared" si="143"/>
        <v>0.2413793103448276</v>
      </c>
      <c r="AT380" s="759">
        <f t="shared" si="144"/>
        <v>26.894073071510626</v>
      </c>
      <c r="AU380" s="14">
        <f t="shared" si="145"/>
        <v>15</v>
      </c>
      <c r="AV380" s="14">
        <f t="shared" si="146"/>
        <v>14</v>
      </c>
      <c r="AW380" s="737">
        <f t="shared" si="147"/>
        <v>43487</v>
      </c>
      <c r="AX380" s="738">
        <f t="shared" si="148"/>
        <v>0.72413793103448276</v>
      </c>
      <c r="AY380" s="759">
        <f t="shared" si="149"/>
        <v>26.518326266058558</v>
      </c>
      <c r="AZ380" s="736">
        <f t="shared" si="153"/>
        <v>26.706199668784592</v>
      </c>
      <c r="BA380" s="633">
        <f t="shared" si="150"/>
        <v>0.63541392405370556</v>
      </c>
      <c r="BC380" s="11">
        <v>43466</v>
      </c>
      <c r="BD380" s="291">
        <f>[3]!FeuilCaduc*(1-Persistant)+Persistant</f>
        <v>0.80228914971430698</v>
      </c>
      <c r="BE380" s="292">
        <f>[3]!CroissVégét</f>
        <v>0.99999984492411664</v>
      </c>
      <c r="BF380" s="805">
        <f>1+[3]!Salcycl*Ksac</f>
        <v>1.0005722874285767</v>
      </c>
      <c r="BH380" s="1038">
        <f t="shared" si="151"/>
        <v>0.14576830976117008</v>
      </c>
      <c r="BI380" s="11">
        <v>44562</v>
      </c>
      <c r="BJ380" s="810">
        <v>2.2088173512709712E-3</v>
      </c>
      <c r="BK380" s="719">
        <v>2.3815580668039901E-2</v>
      </c>
      <c r="BL380" s="719">
        <v>5.7043863042312667E-2</v>
      </c>
      <c r="BM380" s="719">
        <v>0.10339696333704998</v>
      </c>
      <c r="BN380" s="719">
        <v>0.15643160393245872</v>
      </c>
      <c r="BO380" s="720">
        <v>0.22354916901044591</v>
      </c>
      <c r="BP380" s="719">
        <v>0.3606681924962955</v>
      </c>
      <c r="BQ380" s="719">
        <v>0.59399304774030548</v>
      </c>
      <c r="BR380" s="719">
        <v>0.86754186367008357</v>
      </c>
      <c r="BS380" s="719">
        <v>1.1198975928747088</v>
      </c>
      <c r="BT380" s="719">
        <v>1.3190214598537768</v>
      </c>
      <c r="BW380" s="1189">
        <f>'2019'!R\Max</f>
        <v>0</v>
      </c>
      <c r="BX380" s="1189">
        <f>'2020'!R\Max</f>
        <v>0.63541392405370556</v>
      </c>
      <c r="BY380" s="1189">
        <f>'2021'!R\Max</f>
        <v>0</v>
      </c>
      <c r="BZ380" s="1189">
        <f>'2022'!R\Max</f>
        <v>0</v>
      </c>
      <c r="CA380" s="1189">
        <f>'2023'!R\Max</f>
        <v>0</v>
      </c>
      <c r="CB380" s="1189">
        <f>'2024'!R\Max</f>
        <v>0.6383146204980823</v>
      </c>
      <c r="CC380" s="1189">
        <f>'2025'!R\Max</f>
        <v>0</v>
      </c>
      <c r="CD380" s="1189">
        <f>'2026'!R\Max</f>
        <v>0</v>
      </c>
      <c r="CE380" s="1190">
        <f>'2027'!R\Max</f>
        <v>0</v>
      </c>
      <c r="CF380" s="1188">
        <f>'2028'!R\Max</f>
        <v>0.6504211283938115</v>
      </c>
    </row>
    <row r="381" spans="1:84" ht="12" customHeight="1" x14ac:dyDescent="0.25">
      <c r="B381" s="625" t="s">
        <v>167</v>
      </c>
      <c r="M381" s="136" t="s">
        <v>243</v>
      </c>
      <c r="N381" s="796">
        <f t="shared" ref="N381:AM381" si="154">1-N3/N380*Ajust_M</f>
        <v>2.1005132611525701E-3</v>
      </c>
      <c r="O381" s="796">
        <f t="shared" si="154"/>
        <v>-2.5247397723240361E-3</v>
      </c>
      <c r="P381" s="796">
        <f t="shared" si="154"/>
        <v>-2.5684371946017581E-3</v>
      </c>
      <c r="Q381" s="796">
        <f t="shared" si="154"/>
        <v>-3.6778227291645038E-4</v>
      </c>
      <c r="R381" s="796">
        <f t="shared" si="154"/>
        <v>1.4483212644426091E-3</v>
      </c>
      <c r="S381" s="796">
        <f t="shared" si="154"/>
        <v>2.9923993367608759E-4</v>
      </c>
      <c r="T381" s="796">
        <f t="shared" si="154"/>
        <v>-2.3882254929854518E-3</v>
      </c>
      <c r="U381" s="796">
        <f t="shared" si="154"/>
        <v>-2.1119323788942879E-4</v>
      </c>
      <c r="V381" s="796">
        <f t="shared" si="154"/>
        <v>2.0487605184438262E-4</v>
      </c>
      <c r="W381" s="796">
        <f t="shared" si="154"/>
        <v>4.0306329001904562E-4</v>
      </c>
      <c r="X381" s="796">
        <f t="shared" si="154"/>
        <v>1.0015023170317772E-4</v>
      </c>
      <c r="Y381" s="796">
        <f t="shared" si="154"/>
        <v>-1.5074619156107971E-4</v>
      </c>
      <c r="Z381" s="796">
        <f t="shared" si="154"/>
        <v>-5.092168211695558E-4</v>
      </c>
      <c r="AA381" s="796">
        <f t="shared" si="154"/>
        <v>2.6034887038550725E-4</v>
      </c>
      <c r="AB381" s="796">
        <f t="shared" si="154"/>
        <v>3.2150894851146194E-4</v>
      </c>
      <c r="AC381" s="796">
        <f t="shared" si="154"/>
        <v>8.857395948614899E-4</v>
      </c>
      <c r="AD381" s="796">
        <f t="shared" si="154"/>
        <v>-7.6885164901341341E-12</v>
      </c>
      <c r="AE381" s="796">
        <f t="shared" si="154"/>
        <v>-1.0226794330514544E-3</v>
      </c>
      <c r="AF381" s="796">
        <f t="shared" si="154"/>
        <v>-6.3946796323821609E-4</v>
      </c>
      <c r="AG381" s="796">
        <f t="shared" si="154"/>
        <v>-5.5340342458620739E-4</v>
      </c>
      <c r="AH381" s="796">
        <f t="shared" si="154"/>
        <v>4.5599635296533769E-4</v>
      </c>
      <c r="AI381" s="796">
        <f t="shared" si="154"/>
        <v>1.0124873432992842E-3</v>
      </c>
      <c r="AJ381" s="796">
        <f t="shared" si="154"/>
        <v>-2.5478909169929231E-3</v>
      </c>
      <c r="AK381" s="796">
        <f t="shared" si="154"/>
        <v>-4.7755862026839235E-3</v>
      </c>
      <c r="AL381" s="796">
        <f t="shared" si="154"/>
        <v>3.5331590426055381E-3</v>
      </c>
      <c r="AM381" s="796">
        <f t="shared" si="154"/>
        <v>1.2022517113983944E-2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5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59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36" priority="20" stopIfTrue="1" operator="lessThan">
      <formula>0.01</formula>
    </cfRule>
    <cfRule type="cellIs" dxfId="35" priority="21" stopIfTrue="1" operator="greaterThan">
      <formula>0.05</formula>
    </cfRule>
  </conditionalFormatting>
  <conditionalFormatting sqref="A9:J9 A7:J7">
    <cfRule type="cellIs" dxfId="34" priority="50" stopIfTrue="1" operator="lessThan">
      <formula>0.01</formula>
    </cfRule>
    <cfRule type="cellIs" dxfId="33" priority="51" stopIfTrue="1" operator="greaterThan">
      <formula>0.05</formula>
    </cfRule>
  </conditionalFormatting>
  <conditionalFormatting sqref="N381:AM381">
    <cfRule type="cellIs" dxfId="32" priority="1" stopIfTrue="1" operator="notBetween">
      <formula>-0.01</formula>
      <formula>0.01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tabSelected="1" zoomScaleNormal="100" workbookViewId="0">
      <pane ySplit="7" topLeftCell="A17" activePane="bottomLeft" state="frozen"/>
      <selection activeCell="B15" sqref="B15:B380"/>
      <selection pane="bottomLeft" activeCell="AB5" sqref="AB5:AC5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6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60" t="s">
        <v>24</v>
      </c>
      <c r="I1" s="1260"/>
      <c r="J1" s="1260"/>
      <c r="K1" s="1260"/>
      <c r="L1" s="15"/>
      <c r="M1" s="34"/>
      <c r="N1" s="537"/>
      <c r="O1" s="538"/>
      <c r="P1" s="539" t="s">
        <v>4</v>
      </c>
      <c r="Q1" s="417">
        <v>7.0000000000000001E-3</v>
      </c>
      <c r="R1" s="540"/>
      <c r="S1" s="541" t="s">
        <v>105</v>
      </c>
      <c r="T1" s="808">
        <f>PertePVan/365.25</f>
        <v>1.9164955509924711E-5</v>
      </c>
      <c r="U1" s="538"/>
      <c r="V1" s="542"/>
      <c r="W1" s="208"/>
      <c r="X1" s="543"/>
      <c r="Y1" s="535" t="s">
        <v>165</v>
      </c>
      <c r="Z1" s="1253">
        <v>0.08</v>
      </c>
      <c r="AA1" s="1254"/>
      <c r="AB1" s="619"/>
      <c r="AC1" s="620"/>
      <c r="AE1" s="535" t="s">
        <v>246</v>
      </c>
      <c r="AF1" s="806">
        <v>0.05</v>
      </c>
      <c r="AG1" s="538"/>
      <c r="AH1" s="208"/>
      <c r="AI1" s="208"/>
      <c r="AJ1" s="208"/>
      <c r="AK1" s="208"/>
      <c r="AL1" s="535" t="s">
        <v>123</v>
      </c>
      <c r="AM1" s="637">
        <v>0.7</v>
      </c>
      <c r="AN1" s="618"/>
      <c r="AO1" s="208"/>
      <c r="AP1" s="208"/>
      <c r="AQ1" s="208"/>
      <c r="AR1" s="535" t="s">
        <v>104</v>
      </c>
      <c r="AS1" s="367">
        <v>0.8</v>
      </c>
      <c r="AT1" s="638" t="s">
        <v>54</v>
      </c>
      <c r="AU1" s="536"/>
    </row>
    <row r="2" spans="1:78" s="532" customFormat="1" ht="18" customHeight="1" thickBot="1" x14ac:dyDescent="0.35">
      <c r="A2" s="83" t="s">
        <v>132</v>
      </c>
      <c r="B2" s="1214" t="str">
        <f>Station</f>
        <v>Noueilles salle des fêtes</v>
      </c>
      <c r="C2" s="1215"/>
      <c r="D2" s="1215"/>
      <c r="E2" s="1215"/>
      <c r="F2" s="1216"/>
      <c r="G2" s="807" t="s">
        <v>369</v>
      </c>
      <c r="K2" s="81"/>
      <c r="L2" s="533"/>
      <c r="M2" s="38"/>
      <c r="U2" s="35"/>
      <c r="V2" s="35"/>
      <c r="W2" s="35">
        <f>+U5/Recap!L38</f>
        <v>8.9444273534914145E-2</v>
      </c>
      <c r="X2" s="534"/>
      <c r="AA2" s="536"/>
      <c r="AB2" s="536"/>
      <c r="AC2" s="536"/>
      <c r="AD2" s="536"/>
      <c r="AE2" s="535" t="s">
        <v>166</v>
      </c>
      <c r="AF2" s="643">
        <v>3</v>
      </c>
      <c r="AG2" s="644">
        <f>+Tau_i*365</f>
        <v>1095</v>
      </c>
      <c r="AH2" s="542"/>
      <c r="AI2" s="239"/>
      <c r="AJ2" s="543"/>
      <c r="AL2" s="635" t="s">
        <v>197</v>
      </c>
      <c r="AM2" s="1262">
        <v>0.4</v>
      </c>
      <c r="AN2" s="1263"/>
      <c r="AS2" s="209" t="s">
        <v>124</v>
      </c>
      <c r="AT2" s="639">
        <f>H_i</f>
        <v>-1.2010628157667154</v>
      </c>
      <c r="AU2" s="636"/>
      <c r="AY2" s="646"/>
      <c r="AZ2" s="646"/>
      <c r="BB2" s="534"/>
      <c r="BE2" s="31"/>
      <c r="BF2" s="29"/>
      <c r="BH2" s="534"/>
      <c r="BI2" s="534"/>
      <c r="BJ2" s="534"/>
      <c r="BK2" s="70"/>
      <c r="BL2" s="70"/>
      <c r="BM2" s="534"/>
      <c r="BN2" s="534"/>
      <c r="BO2" s="534"/>
      <c r="BP2" s="534"/>
      <c r="BQ2" s="70"/>
      <c r="BR2" s="70"/>
      <c r="BS2" s="534"/>
      <c r="BT2" s="534"/>
      <c r="BU2" s="534"/>
      <c r="BW2" s="31"/>
      <c r="BX2" s="29"/>
      <c r="BZ2" s="534"/>
    </row>
    <row r="3" spans="1:78" s="80" customFormat="1" ht="12.75" customHeight="1" x14ac:dyDescent="0.25">
      <c r="A3" s="1257">
        <f>'2019'!An</f>
        <v>2019</v>
      </c>
      <c r="B3" s="1258"/>
      <c r="C3" s="1258"/>
      <c r="D3" s="1258"/>
      <c r="E3" s="1258"/>
      <c r="F3" s="1259"/>
      <c r="G3" s="1257">
        <f>'2020'!An</f>
        <v>2020</v>
      </c>
      <c r="H3" s="1258"/>
      <c r="I3" s="1258"/>
      <c r="J3" s="1258"/>
      <c r="K3" s="1258"/>
      <c r="L3" s="1259"/>
      <c r="M3" s="1257">
        <f>'2021'!An</f>
        <v>2021</v>
      </c>
      <c r="N3" s="1258"/>
      <c r="O3" s="1258"/>
      <c r="P3" s="1258"/>
      <c r="Q3" s="1258"/>
      <c r="R3" s="1259"/>
      <c r="S3" s="1257">
        <f>'2022'!An</f>
        <v>2022</v>
      </c>
      <c r="T3" s="1258"/>
      <c r="U3" s="1258"/>
      <c r="V3" s="1258"/>
      <c r="W3" s="1258"/>
      <c r="X3" s="1259"/>
      <c r="Y3" s="1257">
        <f>'2023'!An</f>
        <v>2023</v>
      </c>
      <c r="Z3" s="1258"/>
      <c r="AA3" s="1258"/>
      <c r="AB3" s="1258"/>
      <c r="AC3" s="1258"/>
      <c r="AD3" s="1259"/>
      <c r="AE3" s="1257">
        <f>'2024'!An</f>
        <v>2024</v>
      </c>
      <c r="AF3" s="1258"/>
      <c r="AG3" s="1258"/>
      <c r="AH3" s="1258"/>
      <c r="AI3" s="1258"/>
      <c r="AJ3" s="1259"/>
      <c r="AK3" s="1257">
        <f>'2025'!An</f>
        <v>2025</v>
      </c>
      <c r="AL3" s="1258"/>
      <c r="AM3" s="1265"/>
      <c r="AN3" s="1265"/>
      <c r="AO3" s="1258"/>
      <c r="AP3" s="1259"/>
      <c r="AQ3" s="1257">
        <f>'2026'!An</f>
        <v>2026</v>
      </c>
      <c r="AR3" s="1258"/>
      <c r="AS3" s="1258"/>
      <c r="AT3" s="1258"/>
      <c r="AU3" s="1258"/>
      <c r="AV3" s="1259"/>
      <c r="AW3" s="1257">
        <f>'2027'!An</f>
        <v>2027</v>
      </c>
      <c r="AX3" s="1258"/>
      <c r="AY3" s="1258"/>
      <c r="AZ3" s="1258"/>
      <c r="BA3" s="1258"/>
      <c r="BB3" s="1259"/>
      <c r="BC3" s="1257">
        <f>'2028'!An</f>
        <v>2028</v>
      </c>
      <c r="BD3" s="1258"/>
      <c r="BE3" s="1258"/>
      <c r="BF3" s="1258"/>
      <c r="BG3" s="1258"/>
      <c r="BH3" s="1259"/>
      <c r="BI3" s="1266" t="e">
        <v>#NAME?</v>
      </c>
      <c r="BJ3" s="1267"/>
      <c r="BK3" s="1267"/>
      <c r="BL3" s="1267"/>
      <c r="BM3" s="1267"/>
      <c r="BN3" s="1268"/>
      <c r="BO3" s="1266" t="e">
        <v>#NAME?</v>
      </c>
      <c r="BP3" s="1267"/>
      <c r="BQ3" s="1267"/>
      <c r="BR3" s="1267"/>
      <c r="BS3" s="1267"/>
      <c r="BT3" s="1268"/>
      <c r="BU3" s="1266" t="e">
        <v>#NAME?</v>
      </c>
      <c r="BV3" s="1267"/>
      <c r="BW3" s="1267"/>
      <c r="BX3" s="1267"/>
      <c r="BY3" s="1267"/>
      <c r="BZ3" s="1268"/>
    </row>
    <row r="4" spans="1:78" s="426" customFormat="1" ht="15" customHeight="1" x14ac:dyDescent="0.25">
      <c r="A4" s="213" t="s">
        <v>77</v>
      </c>
      <c r="B4" s="440" t="s">
        <v>135</v>
      </c>
      <c r="C4" s="441" t="s">
        <v>135</v>
      </c>
      <c r="D4" s="442" t="s">
        <v>80</v>
      </c>
      <c r="E4" s="575" t="s">
        <v>80</v>
      </c>
      <c r="F4" s="430"/>
      <c r="G4" s="357" t="s">
        <v>92</v>
      </c>
      <c r="H4" s="440" t="s">
        <v>135</v>
      </c>
      <c r="I4" s="441" t="s">
        <v>135</v>
      </c>
      <c r="J4" s="442" t="s">
        <v>80</v>
      </c>
      <c r="K4" s="575" t="s">
        <v>80</v>
      </c>
      <c r="L4" s="430"/>
      <c r="M4" s="357" t="s">
        <v>92</v>
      </c>
      <c r="N4" s="440" t="s">
        <v>135</v>
      </c>
      <c r="O4" s="441" t="s">
        <v>135</v>
      </c>
      <c r="P4" s="442" t="s">
        <v>80</v>
      </c>
      <c r="Q4" s="575" t="s">
        <v>80</v>
      </c>
      <c r="R4" s="430"/>
      <c r="S4" s="357" t="s">
        <v>92</v>
      </c>
      <c r="T4" s="440" t="s">
        <v>135</v>
      </c>
      <c r="U4" s="441" t="s">
        <v>135</v>
      </c>
      <c r="V4" s="442" t="s">
        <v>80</v>
      </c>
      <c r="W4" s="575" t="s">
        <v>80</v>
      </c>
      <c r="X4" s="430"/>
      <c r="Y4" s="357" t="s">
        <v>92</v>
      </c>
      <c r="Z4" s="440" t="s">
        <v>135</v>
      </c>
      <c r="AA4" s="441" t="s">
        <v>135</v>
      </c>
      <c r="AB4" s="442" t="s">
        <v>80</v>
      </c>
      <c r="AC4" s="575" t="s">
        <v>80</v>
      </c>
      <c r="AD4" s="430"/>
      <c r="AE4" s="357" t="s">
        <v>92</v>
      </c>
      <c r="AF4" s="440" t="s">
        <v>135</v>
      </c>
      <c r="AG4" s="441" t="s">
        <v>135</v>
      </c>
      <c r="AH4" s="442" t="s">
        <v>80</v>
      </c>
      <c r="AI4" s="575" t="s">
        <v>80</v>
      </c>
      <c r="AJ4" s="430"/>
      <c r="AK4" s="357" t="s">
        <v>92</v>
      </c>
      <c r="AL4" s="440" t="s">
        <v>135</v>
      </c>
      <c r="AM4" s="441" t="s">
        <v>135</v>
      </c>
      <c r="AN4" s="442" t="s">
        <v>80</v>
      </c>
      <c r="AO4" s="575" t="s">
        <v>80</v>
      </c>
      <c r="AP4" s="430"/>
      <c r="AQ4" s="357" t="s">
        <v>92</v>
      </c>
      <c r="AR4" s="440" t="s">
        <v>135</v>
      </c>
      <c r="AS4" s="441" t="s">
        <v>135</v>
      </c>
      <c r="AT4" s="442" t="s">
        <v>80</v>
      </c>
      <c r="AU4" s="575" t="s">
        <v>80</v>
      </c>
      <c r="AV4" s="430"/>
      <c r="AW4" s="357" t="s">
        <v>92</v>
      </c>
      <c r="AX4" s="440" t="s">
        <v>135</v>
      </c>
      <c r="AY4" s="441" t="s">
        <v>135</v>
      </c>
      <c r="AZ4" s="442" t="s">
        <v>80</v>
      </c>
      <c r="BA4" s="575" t="s">
        <v>80</v>
      </c>
      <c r="BB4" s="430"/>
      <c r="BC4" s="357" t="s">
        <v>92</v>
      </c>
      <c r="BD4" s="440" t="s">
        <v>135</v>
      </c>
      <c r="BE4" s="441" t="s">
        <v>135</v>
      </c>
      <c r="BF4" s="442" t="s">
        <v>80</v>
      </c>
      <c r="BG4" s="575" t="s">
        <v>80</v>
      </c>
      <c r="BH4" s="430"/>
      <c r="BI4" s="357" t="s">
        <v>92</v>
      </c>
      <c r="BJ4" s="440" t="s">
        <v>135</v>
      </c>
      <c r="BK4" s="441" t="s">
        <v>135</v>
      </c>
      <c r="BL4" s="442" t="s">
        <v>80</v>
      </c>
      <c r="BM4" s="575" t="s">
        <v>80</v>
      </c>
      <c r="BN4" s="430"/>
      <c r="BO4" s="357" t="s">
        <v>92</v>
      </c>
      <c r="BP4" s="440" t="s">
        <v>135</v>
      </c>
      <c r="BQ4" s="441" t="s">
        <v>135</v>
      </c>
      <c r="BR4" s="442" t="s">
        <v>80</v>
      </c>
      <c r="BS4" s="575" t="s">
        <v>80</v>
      </c>
      <c r="BT4" s="430"/>
      <c r="BU4" s="357" t="s">
        <v>92</v>
      </c>
      <c r="BV4" s="440" t="s">
        <v>135</v>
      </c>
      <c r="BW4" s="441" t="s">
        <v>135</v>
      </c>
      <c r="BX4" s="442" t="s">
        <v>80</v>
      </c>
      <c r="BY4" s="575" t="s">
        <v>80</v>
      </c>
      <c r="BZ4" s="430"/>
    </row>
    <row r="5" spans="1:78" s="426" customFormat="1" ht="15" customHeight="1" x14ac:dyDescent="0.25">
      <c r="A5" s="213" t="s">
        <v>16</v>
      </c>
      <c r="B5" s="431" t="s">
        <v>135</v>
      </c>
      <c r="C5" s="437" t="s">
        <v>135</v>
      </c>
      <c r="D5" s="438" t="s">
        <v>135</v>
      </c>
      <c r="E5" s="439" t="s">
        <v>135</v>
      </c>
      <c r="F5" s="187"/>
      <c r="G5" s="357" t="s">
        <v>93</v>
      </c>
      <c r="H5" s="431" t="s">
        <v>135</v>
      </c>
      <c r="I5" s="437" t="s">
        <v>135</v>
      </c>
      <c r="J5" s="438" t="s">
        <v>135</v>
      </c>
      <c r="K5" s="439" t="s">
        <v>135</v>
      </c>
      <c r="L5" s="187"/>
      <c r="M5" s="357" t="s">
        <v>93</v>
      </c>
      <c r="N5" s="431">
        <v>44501</v>
      </c>
      <c r="O5" s="437" t="s">
        <v>357</v>
      </c>
      <c r="P5" s="1181">
        <v>0.14000000000000001</v>
      </c>
      <c r="Q5" s="1182">
        <v>1</v>
      </c>
      <c r="R5" s="187"/>
      <c r="S5" s="357" t="s">
        <v>93</v>
      </c>
      <c r="T5" s="431">
        <v>44683</v>
      </c>
      <c r="U5" s="437">
        <v>7.0000000000000001E-3</v>
      </c>
      <c r="V5" s="437">
        <v>7.0000000000000007E-2</v>
      </c>
      <c r="W5" s="439">
        <v>3</v>
      </c>
      <c r="X5" s="187"/>
      <c r="Y5" s="357" t="s">
        <v>93</v>
      </c>
      <c r="Z5" s="431">
        <v>45046</v>
      </c>
      <c r="AA5" s="437" t="s">
        <v>135</v>
      </c>
      <c r="AB5" s="438">
        <f>AVERAGE(V10,P10,J10)</f>
        <v>9.6666666666666679E-2</v>
      </c>
      <c r="AC5" s="439">
        <f>AVERAGE(W10,Q10,K10)</f>
        <v>2.3333333333333335</v>
      </c>
      <c r="AD5" s="187"/>
      <c r="AE5" s="357" t="s">
        <v>93</v>
      </c>
      <c r="AF5" s="431" t="s">
        <v>135</v>
      </c>
      <c r="AG5" s="437" t="s">
        <v>135</v>
      </c>
      <c r="AH5" s="438" t="s">
        <v>135</v>
      </c>
      <c r="AI5" s="439" t="s">
        <v>135</v>
      </c>
      <c r="AJ5" s="187"/>
      <c r="AK5" s="357" t="s">
        <v>93</v>
      </c>
      <c r="AL5" s="431" t="s">
        <v>135</v>
      </c>
      <c r="AM5" s="437" t="s">
        <v>135</v>
      </c>
      <c r="AN5" s="438" t="s">
        <v>135</v>
      </c>
      <c r="AO5" s="439" t="s">
        <v>135</v>
      </c>
      <c r="AP5" s="187"/>
      <c r="AQ5" s="357" t="s">
        <v>93</v>
      </c>
      <c r="AR5" s="431" t="s">
        <v>135</v>
      </c>
      <c r="AS5" s="437" t="s">
        <v>135</v>
      </c>
      <c r="AT5" s="438" t="s">
        <v>135</v>
      </c>
      <c r="AU5" s="439" t="s">
        <v>135</v>
      </c>
      <c r="AV5" s="187"/>
      <c r="AW5" s="357" t="s">
        <v>93</v>
      </c>
      <c r="AX5" s="431" t="s">
        <v>135</v>
      </c>
      <c r="AY5" s="437" t="s">
        <v>135</v>
      </c>
      <c r="AZ5" s="438" t="s">
        <v>135</v>
      </c>
      <c r="BA5" s="439" t="s">
        <v>135</v>
      </c>
      <c r="BB5" s="187"/>
      <c r="BC5" s="357" t="s">
        <v>93</v>
      </c>
      <c r="BD5" s="431" t="s">
        <v>135</v>
      </c>
      <c r="BE5" s="437" t="s">
        <v>135</v>
      </c>
      <c r="BF5" s="438" t="s">
        <v>135</v>
      </c>
      <c r="BG5" s="439" t="s">
        <v>135</v>
      </c>
      <c r="BH5" s="187"/>
      <c r="BI5" s="357" t="s">
        <v>93</v>
      </c>
      <c r="BJ5" s="431" t="s">
        <v>135</v>
      </c>
      <c r="BK5" s="437" t="s">
        <v>135</v>
      </c>
      <c r="BL5" s="438" t="s">
        <v>135</v>
      </c>
      <c r="BM5" s="439" t="s">
        <v>135</v>
      </c>
      <c r="BN5" s="187"/>
      <c r="BO5" s="357" t="s">
        <v>93</v>
      </c>
      <c r="BP5" s="431" t="s">
        <v>135</v>
      </c>
      <c r="BQ5" s="437" t="s">
        <v>135</v>
      </c>
      <c r="BR5" s="438" t="s">
        <v>135</v>
      </c>
      <c r="BS5" s="439" t="s">
        <v>135</v>
      </c>
      <c r="BT5" s="187"/>
      <c r="BU5" s="357" t="s">
        <v>93</v>
      </c>
      <c r="BV5" s="431" t="s">
        <v>135</v>
      </c>
      <c r="BW5" s="437" t="s">
        <v>135</v>
      </c>
      <c r="BX5" s="438" t="s">
        <v>135</v>
      </c>
      <c r="BY5" s="439" t="s">
        <v>135</v>
      </c>
      <c r="BZ5" s="187"/>
    </row>
    <row r="6" spans="1:78" s="426" customFormat="1" ht="15" customHeight="1" x14ac:dyDescent="0.25">
      <c r="A6" s="213" t="s">
        <v>18</v>
      </c>
      <c r="B6" s="418">
        <v>43586</v>
      </c>
      <c r="C6" s="432" t="s">
        <v>135</v>
      </c>
      <c r="D6" s="1264" t="s">
        <v>135</v>
      </c>
      <c r="E6" s="1264"/>
      <c r="F6" s="188"/>
      <c r="G6" s="357" t="s">
        <v>94</v>
      </c>
      <c r="H6" s="418" t="s">
        <v>135</v>
      </c>
      <c r="I6" s="432" t="s">
        <v>135</v>
      </c>
      <c r="J6" s="1264" t="s">
        <v>135</v>
      </c>
      <c r="K6" s="1264"/>
      <c r="L6" s="188"/>
      <c r="M6" s="357" t="s">
        <v>94</v>
      </c>
      <c r="N6" s="418" t="s">
        <v>135</v>
      </c>
      <c r="O6" s="432" t="s">
        <v>135</v>
      </c>
      <c r="P6" s="1264" t="s">
        <v>135</v>
      </c>
      <c r="Q6" s="1264"/>
      <c r="R6" s="188"/>
      <c r="S6" s="357" t="s">
        <v>94</v>
      </c>
      <c r="T6" s="418" t="s">
        <v>135</v>
      </c>
      <c r="U6" s="432" t="s">
        <v>135</v>
      </c>
      <c r="V6" s="1264" t="s">
        <v>135</v>
      </c>
      <c r="W6" s="1264"/>
      <c r="X6" s="188"/>
      <c r="Y6" s="357" t="s">
        <v>94</v>
      </c>
      <c r="Z6" s="418" t="s">
        <v>135</v>
      </c>
      <c r="AA6" s="432" t="s">
        <v>135</v>
      </c>
      <c r="AB6" s="1264" t="s">
        <v>135</v>
      </c>
      <c r="AC6" s="1264"/>
      <c r="AD6" s="188"/>
      <c r="AE6" s="357" t="s">
        <v>94</v>
      </c>
      <c r="AF6" s="418" t="s">
        <v>135</v>
      </c>
      <c r="AG6" s="432" t="s">
        <v>135</v>
      </c>
      <c r="AH6" s="1264" t="s">
        <v>135</v>
      </c>
      <c r="AI6" s="1264"/>
      <c r="AJ6" s="188"/>
      <c r="AK6" s="357" t="s">
        <v>94</v>
      </c>
      <c r="AL6" s="418" t="s">
        <v>135</v>
      </c>
      <c r="AM6" s="432" t="s">
        <v>135</v>
      </c>
      <c r="AN6" s="1264" t="s">
        <v>135</v>
      </c>
      <c r="AO6" s="1264"/>
      <c r="AP6" s="188"/>
      <c r="AQ6" s="357" t="s">
        <v>94</v>
      </c>
      <c r="AR6" s="418" t="s">
        <v>135</v>
      </c>
      <c r="AS6" s="432" t="s">
        <v>135</v>
      </c>
      <c r="AT6" s="1264" t="s">
        <v>135</v>
      </c>
      <c r="AU6" s="1264"/>
      <c r="AV6" s="188"/>
      <c r="AW6" s="357" t="s">
        <v>94</v>
      </c>
      <c r="AX6" s="418" t="s">
        <v>135</v>
      </c>
      <c r="AY6" s="432" t="s">
        <v>135</v>
      </c>
      <c r="AZ6" s="1264" t="s">
        <v>135</v>
      </c>
      <c r="BA6" s="1264"/>
      <c r="BB6" s="188"/>
      <c r="BC6" s="357" t="s">
        <v>94</v>
      </c>
      <c r="BD6" s="418" t="s">
        <v>135</v>
      </c>
      <c r="BE6" s="432" t="s">
        <v>135</v>
      </c>
      <c r="BF6" s="1264" t="s">
        <v>135</v>
      </c>
      <c r="BG6" s="1264"/>
      <c r="BH6" s="188"/>
      <c r="BI6" s="357" t="s">
        <v>94</v>
      </c>
      <c r="BJ6" s="418" t="s">
        <v>135</v>
      </c>
      <c r="BK6" s="432" t="s">
        <v>135</v>
      </c>
      <c r="BL6" s="1264" t="s">
        <v>135</v>
      </c>
      <c r="BM6" s="1264"/>
      <c r="BN6" s="188"/>
      <c r="BO6" s="357" t="s">
        <v>94</v>
      </c>
      <c r="BP6" s="418" t="s">
        <v>135</v>
      </c>
      <c r="BQ6" s="432" t="s">
        <v>135</v>
      </c>
      <c r="BR6" s="1264" t="s">
        <v>135</v>
      </c>
      <c r="BS6" s="1264"/>
      <c r="BT6" s="188"/>
      <c r="BU6" s="357" t="s">
        <v>94</v>
      </c>
      <c r="BV6" s="418" t="s">
        <v>135</v>
      </c>
      <c r="BW6" s="432" t="s">
        <v>135</v>
      </c>
      <c r="BX6" s="1264" t="s">
        <v>135</v>
      </c>
      <c r="BY6" s="1264"/>
      <c r="BZ6" s="188"/>
    </row>
    <row r="7" spans="1:78" ht="15.75" x14ac:dyDescent="0.25">
      <c r="A7" s="816" t="s">
        <v>251</v>
      </c>
      <c r="B7" s="429"/>
      <c r="C7" s="429"/>
      <c r="D7" s="220"/>
      <c r="E7" s="1255">
        <f>'2019'!Dépas_env</f>
        <v>3.9240239061592019E-2</v>
      </c>
      <c r="F7" s="1256"/>
      <c r="G7" s="816" t="s">
        <v>250</v>
      </c>
      <c r="H7" s="429"/>
      <c r="I7" s="429"/>
      <c r="J7" s="220"/>
      <c r="K7" s="1255">
        <f>'2020'!Dépas_env</f>
        <v>4.3484055130817101E-2</v>
      </c>
      <c r="L7" s="1256"/>
      <c r="M7" s="816" t="s">
        <v>250</v>
      </c>
      <c r="N7" s="429"/>
      <c r="O7" s="429"/>
      <c r="P7" s="220"/>
      <c r="Q7" s="1255">
        <f>'2021'!Dépas_env</f>
        <v>4.3887979774112962E-2</v>
      </c>
      <c r="R7" s="1256"/>
      <c r="S7" s="816" t="s">
        <v>250</v>
      </c>
      <c r="T7" s="429"/>
      <c r="U7" s="429"/>
      <c r="V7" s="220"/>
      <c r="W7" s="1255">
        <f>'2022'!Dépas_env</f>
        <v>4.8244182657660062E-2</v>
      </c>
      <c r="X7" s="1256"/>
      <c r="Y7" s="816" t="s">
        <v>250</v>
      </c>
      <c r="Z7" s="429"/>
      <c r="AA7" s="429"/>
      <c r="AB7" s="220"/>
      <c r="AC7" s="1255">
        <f>'2023'!Dépas_env</f>
        <v>4.824418265765984E-2</v>
      </c>
      <c r="AD7" s="1256"/>
      <c r="AE7" s="816" t="s">
        <v>250</v>
      </c>
      <c r="AF7" s="429"/>
      <c r="AG7" s="429"/>
      <c r="AH7" s="220"/>
      <c r="AI7" s="1255">
        <f>'2024'!Dépas_env</f>
        <v>4.8244182657660062E-2</v>
      </c>
      <c r="AJ7" s="1256"/>
      <c r="AK7" s="816" t="s">
        <v>250</v>
      </c>
      <c r="AL7" s="429"/>
      <c r="AM7" s="429"/>
      <c r="AN7" s="220"/>
      <c r="AO7" s="1255">
        <f>'2025'!Dépas_env</f>
        <v>4.8244182657660062E-2</v>
      </c>
      <c r="AP7" s="1256"/>
      <c r="AQ7" s="816" t="s">
        <v>250</v>
      </c>
      <c r="AR7" s="429"/>
      <c r="AS7" s="429"/>
      <c r="AT7" s="220"/>
      <c r="AU7" s="1255">
        <f>'2026'!Dépas_env</f>
        <v>4.8244182657660284E-2</v>
      </c>
      <c r="AV7" s="1256"/>
      <c r="AW7" s="816" t="s">
        <v>250</v>
      </c>
      <c r="AX7" s="429"/>
      <c r="AY7" s="429"/>
      <c r="AZ7" s="220"/>
      <c r="BA7" s="1255">
        <f>'2027'!Dépas_env</f>
        <v>4.8244182657660062E-2</v>
      </c>
      <c r="BB7" s="1256"/>
      <c r="BC7" s="816" t="s">
        <v>250</v>
      </c>
      <c r="BD7" s="429"/>
      <c r="BE7" s="429"/>
      <c r="BF7" s="220"/>
      <c r="BG7" s="1255">
        <f>'2028'!Dépas_env</f>
        <v>4.8244182657660062E-2</v>
      </c>
      <c r="BH7" s="1256"/>
      <c r="BI7" s="816" t="s">
        <v>250</v>
      </c>
      <c r="BJ7" s="429"/>
      <c r="BK7" s="429"/>
      <c r="BL7" s="220"/>
      <c r="BM7" s="1255"/>
      <c r="BN7" s="1256"/>
      <c r="BO7" s="816" t="s">
        <v>250</v>
      </c>
      <c r="BP7" s="429"/>
      <c r="BQ7" s="429"/>
      <c r="BR7" s="220"/>
      <c r="BS7" s="1255"/>
      <c r="BT7" s="1256"/>
      <c r="BU7" s="816" t="s">
        <v>250</v>
      </c>
      <c r="BV7" s="429"/>
      <c r="BW7" s="429"/>
      <c r="BX7" s="220"/>
      <c r="BY7" s="1255"/>
      <c r="BZ7" s="1256"/>
    </row>
    <row r="8" spans="1:78" ht="15.75" x14ac:dyDescent="0.25">
      <c r="A8" s="425" t="s">
        <v>134</v>
      </c>
      <c r="E8" s="645" t="s">
        <v>194</v>
      </c>
    </row>
    <row r="9" spans="1:78" s="28" customFormat="1" ht="15" customHeight="1" x14ac:dyDescent="0.25">
      <c r="A9" s="444" t="s">
        <v>77</v>
      </c>
      <c r="B9" s="578">
        <f>IF(B4="D",T0,IF(YEAR(B4)=A3,B4, "err."))</f>
        <v>43475</v>
      </c>
      <c r="C9" s="579">
        <f>IF(B9&gt;T0,IF(C4="D",0,C4),0)</f>
        <v>0</v>
      </c>
      <c r="D9" s="580" t="s">
        <v>80</v>
      </c>
      <c r="E9" s="461" t="s">
        <v>80</v>
      </c>
      <c r="F9" s="1196">
        <f>IF(C5="I",T0,B10)</f>
        <v>43475</v>
      </c>
      <c r="G9" s="445" t="s">
        <v>92</v>
      </c>
      <c r="H9" s="578">
        <f>IF(H4="D",B9,IF(YEAR(H4)=G3,H4, "err."))</f>
        <v>43475</v>
      </c>
      <c r="I9" s="579">
        <f>IF(YEAR(H9)=G3,IF(I4="D",C9,I4),C9)</f>
        <v>0</v>
      </c>
      <c r="J9" s="581" t="s">
        <v>80</v>
      </c>
      <c r="K9" s="449" t="s">
        <v>80</v>
      </c>
      <c r="L9" s="1196">
        <f>IF(I5="I",F9,IF(YEAR(H10)=G3,H10,F9))</f>
        <v>43475</v>
      </c>
      <c r="M9" s="447" t="s">
        <v>92</v>
      </c>
      <c r="N9" s="578">
        <f>IF(N4="D",H9,IF(YEAR(N4)=M3,N4, "err."))</f>
        <v>43475</v>
      </c>
      <c r="O9" s="579">
        <f>IF(YEAR(N9)=M3,IF(O4="D",I9,O4),I9)</f>
        <v>0</v>
      </c>
      <c r="P9" s="581" t="s">
        <v>80</v>
      </c>
      <c r="Q9" s="449" t="s">
        <v>80</v>
      </c>
      <c r="R9" s="1196">
        <f>IF(O5="I",L9,IF(YEAR(N10)=M3,N10,L9))</f>
        <v>43475</v>
      </c>
      <c r="S9" s="445" t="s">
        <v>92</v>
      </c>
      <c r="T9" s="578">
        <f>IF(T4="D",N9,IF(YEAR(T4)=S3,T4, "err."))</f>
        <v>43475</v>
      </c>
      <c r="U9" s="579">
        <f>IF(YEAR(T9)=S3,IF(U4="D",O9,U4),O9)</f>
        <v>0</v>
      </c>
      <c r="V9" s="581" t="s">
        <v>80</v>
      </c>
      <c r="W9" s="449" t="s">
        <v>80</v>
      </c>
      <c r="X9" s="1196">
        <f>IF(U5="I",R9,IF(YEAR(T10)=S3,T10,R9))</f>
        <v>44683</v>
      </c>
      <c r="Y9" s="445" t="s">
        <v>92</v>
      </c>
      <c r="Z9" s="578">
        <f>IF(Z4="D",T9,IF(YEAR(Z4)=Y3,Z4, "err."))</f>
        <v>43475</v>
      </c>
      <c r="AA9" s="579">
        <f>IF(YEAR(Z9)=Y3,IF(AA4="D",U9,AA4),U9)</f>
        <v>0</v>
      </c>
      <c r="AB9" s="581" t="s">
        <v>80</v>
      </c>
      <c r="AC9" s="449" t="s">
        <v>80</v>
      </c>
      <c r="AD9" s="1196">
        <f>IF(AA5="I",X9,IF(YEAR(Z10)=Y3,Z10,X9))</f>
        <v>45046</v>
      </c>
      <c r="AE9" s="445" t="s">
        <v>92</v>
      </c>
      <c r="AF9" s="578">
        <f>IF(AF4="D",Z9,IF(YEAR(AF4)=AE3,AF4, "err."))</f>
        <v>43475</v>
      </c>
      <c r="AG9" s="579">
        <f>IF(YEAR(AF9)=AE3,IF(AG4="D",AA9,AG4),AA9)</f>
        <v>0</v>
      </c>
      <c r="AH9" s="581" t="s">
        <v>80</v>
      </c>
      <c r="AI9" s="449" t="s">
        <v>80</v>
      </c>
      <c r="AJ9" s="1196">
        <f>IF(AG5="I",AD9,IF(YEAR(AF10)=AE3,AF10,AD9))</f>
        <v>45046</v>
      </c>
      <c r="AK9" s="445" t="s">
        <v>92</v>
      </c>
      <c r="AL9" s="594">
        <f>IF(AL4="D",AF9,AL4)</f>
        <v>43475</v>
      </c>
      <c r="AM9" s="595">
        <f>IF(AM4="D",AG9,AM4)</f>
        <v>0</v>
      </c>
      <c r="AN9" s="581" t="s">
        <v>80</v>
      </c>
      <c r="AO9" s="596" t="s">
        <v>80</v>
      </c>
      <c r="AP9" s="1196">
        <f>IF(AM5="I",AJ9,IF(YEAR(AL10)=AK3,AL10,AJ9))</f>
        <v>45777</v>
      </c>
      <c r="AQ9" s="445" t="s">
        <v>92</v>
      </c>
      <c r="AR9" s="578">
        <f>IF(AR4="D",AL9,AR4)</f>
        <v>43475</v>
      </c>
      <c r="AS9" s="579">
        <f>IF(AS4="D",AM9,AS4)</f>
        <v>0</v>
      </c>
      <c r="AT9" s="581" t="s">
        <v>80</v>
      </c>
      <c r="AU9" s="449" t="s">
        <v>80</v>
      </c>
      <c r="AV9" s="1196">
        <f>IF(AS5="I",AP9,IF(YEAR(AR10)=AQ3,AR10,AP9))</f>
        <v>45777</v>
      </c>
      <c r="AW9" s="445" t="s">
        <v>92</v>
      </c>
      <c r="AX9" s="578">
        <f>IF(AX4="D",AR9,AX4)</f>
        <v>43475</v>
      </c>
      <c r="AY9" s="579">
        <f>IF(AY4="D",AS9,AY4)</f>
        <v>0</v>
      </c>
      <c r="AZ9" s="581" t="s">
        <v>80</v>
      </c>
      <c r="BA9" s="449" t="s">
        <v>80</v>
      </c>
      <c r="BB9" s="1196">
        <f>IF(AY5="I",AV9,IF(YEAR(AX10)=AW3,AX10,AV9))</f>
        <v>46507</v>
      </c>
      <c r="BC9" s="445" t="s">
        <v>92</v>
      </c>
      <c r="BD9" s="578">
        <f>IF(BD4="D",AX9,BD4)</f>
        <v>43475</v>
      </c>
      <c r="BE9" s="579">
        <f>IF(BE4="D",AY9,BE4)</f>
        <v>0</v>
      </c>
      <c r="BF9" s="581" t="s">
        <v>80</v>
      </c>
      <c r="BG9" s="449" t="s">
        <v>80</v>
      </c>
      <c r="BH9" s="1196">
        <f>IF(BE5="I",BB9,IF(YEAR(BD10)=BC3,BD10,BB9))</f>
        <v>46507</v>
      </c>
      <c r="BI9" s="445" t="s">
        <v>92</v>
      </c>
      <c r="BJ9" s="578">
        <f>IF(BJ4="D",BD9,BJ4)</f>
        <v>43475</v>
      </c>
      <c r="BK9" s="579">
        <f>IF(BK4="D",BE9,BK4)</f>
        <v>0</v>
      </c>
      <c r="BL9" s="581" t="s">
        <v>80</v>
      </c>
      <c r="BM9" s="449" t="s">
        <v>80</v>
      </c>
      <c r="BN9" s="1196" t="e">
        <f>IF(BK5="I",BH9,IF(YEAR(BJ10)=BI3,BJ10,BH9))</f>
        <v>#NAME?</v>
      </c>
      <c r="BO9" s="445" t="s">
        <v>92</v>
      </c>
      <c r="BP9" s="578">
        <f>IF(BP4="D",BJ9,BP4)</f>
        <v>43475</v>
      </c>
      <c r="BQ9" s="579">
        <f>IF(BQ4="D",BK9,BQ4)</f>
        <v>0</v>
      </c>
      <c r="BR9" s="581" t="s">
        <v>80</v>
      </c>
      <c r="BS9" s="449" t="s">
        <v>80</v>
      </c>
      <c r="BT9" s="1196" t="e">
        <f>IF(BQ5="I",BN9,IF(YEAR(BP10)=BO3,BP10,BN9))</f>
        <v>#NAME?</v>
      </c>
      <c r="BU9" s="445" t="s">
        <v>92</v>
      </c>
      <c r="BV9" s="578">
        <f>IF(BV4="D",BP9,BV4)</f>
        <v>43475</v>
      </c>
      <c r="BW9" s="579">
        <f>IF(BW4="D",BQ9,BW4)</f>
        <v>0</v>
      </c>
      <c r="BX9" s="581" t="s">
        <v>80</v>
      </c>
      <c r="BY9" s="449" t="s">
        <v>80</v>
      </c>
      <c r="BZ9" s="1196" t="e">
        <f>IF(BW5="I",BT9,IF(YEAR(BV10)=BU3,BV10,BT9))</f>
        <v>#NAME?</v>
      </c>
    </row>
    <row r="10" spans="1:78" s="448" customFormat="1" ht="15" customHeight="1" x14ac:dyDescent="0.25">
      <c r="A10" s="462" t="s">
        <v>16</v>
      </c>
      <c r="B10" s="576">
        <f>IF(B5="D",T0,IF(YEAR(B5)=A3,B5, "err."))</f>
        <v>43475</v>
      </c>
      <c r="C10" s="582">
        <f>IF(B10&gt;T0,IF(C5="D",0,C5),0)</f>
        <v>0</v>
      </c>
      <c r="D10" s="583">
        <f>IF(YEAR(B10)=A3,IF(D5="D",Salim_i,D5),Salim_i)</f>
        <v>0.08</v>
      </c>
      <c r="E10" s="584">
        <f>IF(E5="D",Tau_i,IF(YEAR(B10)=A3,E5,Tau_i))</f>
        <v>3</v>
      </c>
      <c r="F10" s="1197">
        <f>C10</f>
        <v>0</v>
      </c>
      <c r="G10" s="447" t="s">
        <v>93</v>
      </c>
      <c r="H10" s="576">
        <f>IF(H5="D",IF(AND(G3&gt;=YEAR(F9)+Inter_net,G3&gt;Amaj),DATE(G3,4,30),B10),IF(YEAR(H5)=G3,H5,"err."))</f>
        <v>43475</v>
      </c>
      <c r="I10" s="582">
        <f>IF(G3=YEAR(H10),IF(I5="D",F10,I5),C13)</f>
        <v>0</v>
      </c>
      <c r="J10" s="583">
        <f>IF(G3=YEAR(H10),IF(J5="D",D10,J5),D10)</f>
        <v>0.08</v>
      </c>
      <c r="K10" s="584">
        <f>IF(G3=YEAR(H10),IF(K5="D",E10,K5),E10)</f>
        <v>3</v>
      </c>
      <c r="L10" s="1197">
        <f>IF(I5="I",F10,IF(I5="D",F10,I5))</f>
        <v>0</v>
      </c>
      <c r="M10" s="447" t="s">
        <v>93</v>
      </c>
      <c r="N10" s="576">
        <f>IF(N5="D",IF(AND(M3&gt;=YEAR(L9)+Inter_net,M3&gt;Amaj),DATE(M3,4,30),H10),IF(YEAR(N5)=M3,N5,"err."))</f>
        <v>44501</v>
      </c>
      <c r="O10" s="582" t="str">
        <f>IF(M3=YEAR(N10),IF(O5="D",L10,O5),I13)</f>
        <v>I</v>
      </c>
      <c r="P10" s="583">
        <f>IF(M3=YEAR(N10),IF(P5="D",J10,P5),J10)</f>
        <v>0.14000000000000001</v>
      </c>
      <c r="Q10" s="584">
        <f>IF(M3=YEAR(N10),IF(Q5="D",K10,Q5),K10)</f>
        <v>1</v>
      </c>
      <c r="R10" s="1197">
        <f>IF(O5="I",L10,IF(O5="D",L10,O5))</f>
        <v>0</v>
      </c>
      <c r="S10" s="447" t="s">
        <v>93</v>
      </c>
      <c r="T10" s="576">
        <f>IF(T5="D",IF(AND(S3&gt;=YEAR(R9)+Inter_net,S3&gt;Amaj),DATE(S3,4,30),N10),IF(YEAR(T5)=S3,T5,"err."))</f>
        <v>44683</v>
      </c>
      <c r="U10" s="582">
        <f>IF(S3=YEAR(T10),IF(U5="D",R10,U5),O13)</f>
        <v>7.0000000000000001E-3</v>
      </c>
      <c r="V10" s="583">
        <f>IF(S3=YEAR(T10),IF(V5="D",P10,V5),P10)</f>
        <v>7.0000000000000007E-2</v>
      </c>
      <c r="W10" s="584">
        <f>IF(S3=YEAR(T10),IF(W5="D",Q10,W5),Q10)</f>
        <v>3</v>
      </c>
      <c r="X10" s="1197">
        <f>IF(U5="I",R10,IF(U5="D",R10,U5))</f>
        <v>7.0000000000000001E-3</v>
      </c>
      <c r="Y10" s="447" t="s">
        <v>93</v>
      </c>
      <c r="Z10" s="576">
        <f>IF(Z5="D",IF(AND(Y3&gt;=YEAR(X9)+Inter_net,Y3&gt;Amaj),DATE(Y3,4,30),T10),IF(YEAR(Z5)=Y3,Z5,"err."))</f>
        <v>45046</v>
      </c>
      <c r="AA10" s="582">
        <f>IF(Y3=YEAR(Z10),IF(AA5="D",X10,AA5),U13)</f>
        <v>7.0000000000000001E-3</v>
      </c>
      <c r="AB10" s="583">
        <f>IF(Y3=YEAR(Z10),IF(AB5="D",V10,AB5),V10)</f>
        <v>9.6666666666666679E-2</v>
      </c>
      <c r="AC10" s="584">
        <f>IF(Y3=YEAR(Z10),IF(AC5="D",W10,AC5),W10)</f>
        <v>2.3333333333333335</v>
      </c>
      <c r="AD10" s="1197">
        <f>IF(AA5="I",X10,IF(AA5="D",X10,AA5))</f>
        <v>7.0000000000000001E-3</v>
      </c>
      <c r="AE10" s="447" t="s">
        <v>93</v>
      </c>
      <c r="AF10" s="576">
        <f>IF(AF5="D",IF(AND(AE3&gt;=YEAR(AD9)+Inter_net,AE3&gt;Amaj),DATE(AE3,4,30),Z10),IF(YEAR(AF5)=AE3,AF5,"err."))</f>
        <v>45046</v>
      </c>
      <c r="AG10" s="582">
        <f>IF(AE3=YEAR(AF10),IF(AG5="D",AD10,AG5),AA13)</f>
        <v>7.0000000000000001E-3</v>
      </c>
      <c r="AH10" s="583">
        <f>IF(AE3=YEAR(AF10),IF(AH5="D",AB10,AH5),AB10)</f>
        <v>9.6666666666666679E-2</v>
      </c>
      <c r="AI10" s="584">
        <f>IF(AE3=YEAR(AF10),IF(AI5="D",AC10,AI5),AC10)</f>
        <v>2.3333333333333335</v>
      </c>
      <c r="AJ10" s="1197">
        <f>IF(AG5="I",AD10,IF(AG5="D",AD10,AG5))</f>
        <v>7.0000000000000001E-3</v>
      </c>
      <c r="AK10" s="447" t="s">
        <v>93</v>
      </c>
      <c r="AL10" s="576">
        <f>IF(AL5="D",IF(AND(AK3&gt;=YEAR(AJ9)+Inter_net,AK3&gt;Amaj),DATE(AK3,4,30),AF10),IF(YEAR(AL5)=AK3,AL5,"err."))</f>
        <v>45777</v>
      </c>
      <c r="AM10" s="582">
        <f>IF(AK3=YEAR(AL10),IF(AM5="D",AJ10,AM5),AG13)</f>
        <v>7.0000000000000001E-3</v>
      </c>
      <c r="AN10" s="583">
        <f>IF(AN5="D",AH10,AN5)</f>
        <v>9.6666666666666679E-2</v>
      </c>
      <c r="AO10" s="584">
        <f>IF(AO5="D",AI10,AO5)</f>
        <v>2.3333333333333335</v>
      </c>
      <c r="AP10" s="1197">
        <f>IF(AM5="I",AJ10,IF(AM5="D",AJ10,AM5))</f>
        <v>7.0000000000000001E-3</v>
      </c>
      <c r="AQ10" s="447" t="s">
        <v>93</v>
      </c>
      <c r="AR10" s="576">
        <f>IF(AR5="D",IF(AND(AQ3&gt;=YEAR(AP9)+Inter_net,AQ3&gt;Amaj),DATE(AQ3,4,30),AL10),IF(YEAR(AR5)=AQ3,AR5,"err."))</f>
        <v>45777</v>
      </c>
      <c r="AS10" s="582">
        <f>IF(AQ3=YEAR(AR10),IF(AS5="D",AP10,AS5),AM13)</f>
        <v>7.0000000000000001E-3</v>
      </c>
      <c r="AT10" s="583">
        <f>IF(AT5="D",AN10,AT5)</f>
        <v>9.6666666666666679E-2</v>
      </c>
      <c r="AU10" s="584">
        <f>IF(AU5="D",AO10,AU5)</f>
        <v>2.3333333333333335</v>
      </c>
      <c r="AV10" s="1197">
        <f>IF(AS5="I",AP10,IF(AS5="D",AP10,AS5))</f>
        <v>7.0000000000000001E-3</v>
      </c>
      <c r="AW10" s="447" t="s">
        <v>93</v>
      </c>
      <c r="AX10" s="576">
        <f>IF(AX5="D",IF(AND(AW3&gt;=YEAR(AV9)+Inter_net,AW3&gt;Amaj),DATE(AW3,4,30),AR10),IF(YEAR(AX5)=AW3,AX5,"err."))</f>
        <v>46507</v>
      </c>
      <c r="AY10" s="582">
        <f>IF(AW3=YEAR(AX10),IF(AY5="D",AV10,AY5),AS13)</f>
        <v>7.0000000000000001E-3</v>
      </c>
      <c r="AZ10" s="583">
        <f>IF(AZ5="D",AT10,AZ5)</f>
        <v>9.6666666666666679E-2</v>
      </c>
      <c r="BA10" s="584">
        <f>IF(BA5="D",AU10,BA5)</f>
        <v>2.3333333333333335</v>
      </c>
      <c r="BB10" s="1197">
        <f>IF(AY5="I",AV10,IF(AY5="D",AV10,AY5))</f>
        <v>7.0000000000000001E-3</v>
      </c>
      <c r="BC10" s="447" t="s">
        <v>93</v>
      </c>
      <c r="BD10" s="576">
        <f>IF(BD5="D",IF(AND(BC3&gt;=YEAR(BB9)+Inter_net,BC3&gt;Amaj),DATE(BC3,4,30),AX10),IF(YEAR(BD5)=BC3,BD5,"err."))</f>
        <v>46507</v>
      </c>
      <c r="BE10" s="582">
        <f>IF(BC3=YEAR(BD10),IF(BE5="D",BB10,BE5),AY13)</f>
        <v>7.0000000000000001E-3</v>
      </c>
      <c r="BF10" s="583">
        <f>IF(BF5="D",AZ10,BF5)</f>
        <v>9.6666666666666679E-2</v>
      </c>
      <c r="BG10" s="584">
        <f>IF(BG5="D",BA10,BG5)</f>
        <v>2.3333333333333335</v>
      </c>
      <c r="BH10" s="1197">
        <f>IF(BE5="I",BB10,IF(BE5="D",BB10,BE5))</f>
        <v>7.0000000000000001E-3</v>
      </c>
      <c r="BI10" s="447" t="s">
        <v>93</v>
      </c>
      <c r="BJ10" s="576" t="e">
        <f>IF(BJ5="D",IF(AND(BI3&gt;=YEAR(BH9)+Inter_net,BI3&gt;Amaj),DATE(BI3,4,30),BD10),IF(YEAR(BJ5)=BI3,BJ5,"err."))</f>
        <v>#NAME?</v>
      </c>
      <c r="BK10" s="582" t="e">
        <f>IF(BI3=YEAR(BJ10),IF(BK5="D",BH10,BK5),BE13)</f>
        <v>#NAME?</v>
      </c>
      <c r="BL10" s="583">
        <f>IF(BL5="D",BF10,BL5)</f>
        <v>9.6666666666666679E-2</v>
      </c>
      <c r="BM10" s="584">
        <f>IF(BM5="D",BG10,BM5)</f>
        <v>2.3333333333333335</v>
      </c>
      <c r="BN10" s="1197">
        <f>IF(BK5="I",BH10,IF(BK5="D",BH10,BK5))</f>
        <v>7.0000000000000001E-3</v>
      </c>
      <c r="BO10" s="447" t="s">
        <v>93</v>
      </c>
      <c r="BP10" s="576" t="e">
        <f>IF(BP5="D",IF(AND(BO3&gt;=YEAR(BN9)+Inter_net,BO3&gt;Amaj),DATE(BO3,4,30),BJ10),IF(YEAR(BP5)=BO3,BP5,"err."))</f>
        <v>#NAME?</v>
      </c>
      <c r="BQ10" s="582" t="e">
        <f>IF(BO3=YEAR(BP10),IF(BQ5="D",BN10,BQ5),BK13)</f>
        <v>#NAME?</v>
      </c>
      <c r="BR10" s="583">
        <f>IF(BR5="D",BL10,BR5)</f>
        <v>9.6666666666666679E-2</v>
      </c>
      <c r="BS10" s="584">
        <f>IF(BS5="D",BM10,BS5)</f>
        <v>2.3333333333333335</v>
      </c>
      <c r="BT10" s="1197">
        <f>IF(BQ5="I",BN10,IF(BQ5="D",BN10,BQ5))</f>
        <v>7.0000000000000001E-3</v>
      </c>
      <c r="BU10" s="447" t="s">
        <v>93</v>
      </c>
      <c r="BV10" s="576" t="e">
        <f>IF(BV5="D",IF(AND(BU3&gt;=YEAR(BT9)+Inter_net,BU3&gt;Amaj),DATE(BU3,4,30),BP10),IF(YEAR(BV5)=BU3,BV5,"err."))</f>
        <v>#NAME?</v>
      </c>
      <c r="BW10" s="582" t="e">
        <f>IF(BU3=YEAR(BV10),IF(BW5="D",BT10,BW5),BQ13)</f>
        <v>#NAME?</v>
      </c>
      <c r="BX10" s="583">
        <f>IF(BX5="D",BR10,BX5)</f>
        <v>9.6666666666666679E-2</v>
      </c>
      <c r="BY10" s="584">
        <f>IF(BY5="D",BS10,BY5)</f>
        <v>2.3333333333333335</v>
      </c>
      <c r="BZ10" s="1197">
        <f>IF(BW5="I",BT10,IF(BW5="D",BT10,BW5))</f>
        <v>7.0000000000000001E-3</v>
      </c>
    </row>
    <row r="11" spans="1:78" s="448" customFormat="1" ht="15" customHeight="1" x14ac:dyDescent="0.25">
      <c r="A11" s="446" t="s">
        <v>18</v>
      </c>
      <c r="B11" s="577">
        <f>IF(B6="D",DATE(A3,1,1),IF(YEAR(B6)=A3,B6, "err."))</f>
        <v>43586</v>
      </c>
      <c r="C11" s="585">
        <f>IF(C6="D",D_i,C6)</f>
        <v>0.7</v>
      </c>
      <c r="D11" s="1261">
        <f>IF(D6="D",IF(B11&gt;DATE(A3,1,1),H_i,H_i+PousHi),D6)</f>
        <v>-1.2010628157667154</v>
      </c>
      <c r="E11" s="1261"/>
      <c r="F11" s="188"/>
      <c r="G11" s="447" t="s">
        <v>94</v>
      </c>
      <c r="H11" s="577">
        <f>IF(H6="D",IF(AND(G3&gt;=YEAR(B11)+Inter_tai,G3&gt;Amaj),DATE(G3,3,31),B11),IF(YEAR(H6)=G3,H6,"err."))</f>
        <v>43586</v>
      </c>
      <c r="I11" s="585">
        <f>IF(I6="D",IF(G3=YEAR(H11),D_i,C11),I6)</f>
        <v>0.7</v>
      </c>
      <c r="J11" s="1261">
        <f>IF(J6="D",IF(G3=YEAR(H11),H_i,D16+E16),J6)</f>
        <v>-0.46539510005690088</v>
      </c>
      <c r="K11" s="1261"/>
      <c r="L11" s="188"/>
      <c r="M11" s="447" t="s">
        <v>94</v>
      </c>
      <c r="N11" s="577">
        <f>IF(N6="D",IF(AND(M3&gt;=YEAR(H11)+Inter_tai,M3&gt;Amaj),DATE(M3,3,31),H11),IF(YEAR(N6)=M3,N6,"err."))</f>
        <v>43586</v>
      </c>
      <c r="O11" s="585">
        <f>IF(O6="D",IF(M3=YEAR(N11),D_i,I11),O6)</f>
        <v>0.7</v>
      </c>
      <c r="P11" s="1261">
        <f>IF(P6="D",IF(M3=YEAR(N11),H_i,J16+K16),P6)</f>
        <v>-6.5395162087254211E-2</v>
      </c>
      <c r="Q11" s="1261"/>
      <c r="R11" s="188"/>
      <c r="S11" s="447" t="s">
        <v>94</v>
      </c>
      <c r="T11" s="577">
        <f>IF(T6="D",IF(AND(S3&gt;=YEAR(N11)+Inter_tai,S3&gt;Amaj),DATE(S3,3,31),N11),IF(YEAR(T6)=S3,T6,"err."))</f>
        <v>43586</v>
      </c>
      <c r="U11" s="585">
        <f>IF(U6="D",IF(S3=YEAR(T11),D_i,O11),U6)</f>
        <v>0.7</v>
      </c>
      <c r="V11" s="1261">
        <f>IF(V6="D",IF(S3=YEAR(T11),H_i,P16+Q16),V6)</f>
        <v>0.33460477588239246</v>
      </c>
      <c r="W11" s="1261"/>
      <c r="X11" s="188"/>
      <c r="Y11" s="447" t="s">
        <v>94</v>
      </c>
      <c r="Z11" s="577">
        <f>IF(Z6="D",IF(AND(Y3&gt;=YEAR(T11)+Inter_tai,Y3&gt;Amaj),DATE(Y3,3,31),T11),IF(YEAR(Z6)=Y3,Z6,"err."))</f>
        <v>43586</v>
      </c>
      <c r="AA11" s="585">
        <f>IF(AA6="D",IF(Y3=YEAR(Z11),D_i,U11),AA6)</f>
        <v>0.7</v>
      </c>
      <c r="AB11" s="1261">
        <f>IF(AB6="D",IF(Y3=YEAR(Z11),H_i,V16+W16),AB6)</f>
        <v>0.73460471385203907</v>
      </c>
      <c r="AC11" s="1261"/>
      <c r="AD11" s="188"/>
      <c r="AE11" s="447" t="s">
        <v>94</v>
      </c>
      <c r="AF11" s="577">
        <f>IF(AF6="D",IF(AND(AE3&gt;=YEAR(Z11)+Inter_tai,AE3&gt;Amaj),DATE(AE3,3,31),Z11),IF(YEAR(AF6)=AE3,AF6,"err."))</f>
        <v>43586</v>
      </c>
      <c r="AG11" s="585">
        <f>IF(AG6="D",IF(AE3=YEAR(AF11),D_i,AA11),AG6)</f>
        <v>0.7</v>
      </c>
      <c r="AH11" s="1261">
        <f>IF(AH6="D",IF(AE3=YEAR(AF11),H_i,AB16+AC16),AH6)</f>
        <v>1.1346046518216857</v>
      </c>
      <c r="AI11" s="1261"/>
      <c r="AJ11" s="188"/>
      <c r="AK11" s="447" t="s">
        <v>94</v>
      </c>
      <c r="AL11" s="577">
        <f>IF(AL6="D",IF(AND(AK3&gt;=YEAR(AF11)+Inter_tai,AK3&gt;Amaj),DATE(AK3,3,31),AF11),IF(YEAR(AL6)=AK3,AL6,"err."))</f>
        <v>43586</v>
      </c>
      <c r="AM11" s="585">
        <f>IF(AM6="D",IF(AK3=YEAR(AL11),D_i,AG11),AM6)</f>
        <v>0.7</v>
      </c>
      <c r="AN11" s="1261">
        <f>IF(AN6="D",IF(AK3=YEAR(AL11),H_i,AH16+PousHi),AN6)</f>
        <v>1.5346045897913325</v>
      </c>
      <c r="AO11" s="1261"/>
      <c r="AP11" s="188"/>
      <c r="AQ11" s="447" t="s">
        <v>94</v>
      </c>
      <c r="AR11" s="577">
        <f>IF(AR6="D",IF(AND(AQ3&gt;=YEAR(AL11)+Inter_tai,AQ3&gt;Amaj),DATE(AQ3,3,31),AL11),IF(YEAR(AR6)=AQ3,AR6,"err."))</f>
        <v>46112</v>
      </c>
      <c r="AS11" s="585">
        <f>IF(AS6="D",IF(AQ3=YEAR(AR11),D_i,AM11),AS6)</f>
        <v>0.7</v>
      </c>
      <c r="AT11" s="1261">
        <f>IF(AT6="D",IF(AQ3=YEAR(AR11),H_i,AN16+PousHi),AT6)</f>
        <v>-1.2010628157667154</v>
      </c>
      <c r="AU11" s="1261"/>
      <c r="AV11" s="188"/>
      <c r="AW11" s="447" t="s">
        <v>94</v>
      </c>
      <c r="AX11" s="577">
        <f>IF(AX6="D",IF(AND(AW3&gt;=YEAR(AR11)+Inter_tai,AW3&gt;Amaj),DATE(AW3,3,31),AR11),IF(YEAR(AX6)=AW3,AX6,"err."))</f>
        <v>46112</v>
      </c>
      <c r="AY11" s="585">
        <f>IF(AY6="D",IF(AW3=YEAR(AX11),D_i,AS11),AY6)</f>
        <v>0.7</v>
      </c>
      <c r="AZ11" s="1261">
        <f>IF(AZ6="D",IF(AW3=YEAR(AX11),H_i,AT16+PousHi),AZ6)</f>
        <v>-0.42105336510872493</v>
      </c>
      <c r="BA11" s="1261"/>
      <c r="BB11" s="188"/>
      <c r="BC11" s="447" t="s">
        <v>94</v>
      </c>
      <c r="BD11" s="577">
        <f>IF(BD6="D",IF(AND(BC3&gt;=YEAR(AX11)+Inter_tai,BC3&gt;Amaj),DATE(BC3,3,31),AX11),IF(YEAR(BD6)=BC3,BD6,"err."))</f>
        <v>46112</v>
      </c>
      <c r="BE11" s="585">
        <f>IF(BE6="D",IF(BC3=YEAR(BD11),D_i,AY11),BE6)</f>
        <v>0.7</v>
      </c>
      <c r="BF11" s="1261">
        <f>IF(BF6="D",IF(BC3=YEAR(BD11),H_i,AZ16+PousHi),BF6)</f>
        <v>-2.1053427139078262E-2</v>
      </c>
      <c r="BG11" s="1261"/>
      <c r="BH11" s="188"/>
      <c r="BI11" s="447" t="s">
        <v>94</v>
      </c>
      <c r="BJ11" s="577" t="e">
        <f>IF(BJ6="D",IF(AND(BI3&gt;=YEAR(BD11)+Inter_tai,BI3&gt;Amaj),DATE(BI3,3,31),BD11),IF(YEAR(BJ6)=BI3,BJ6,"err."))</f>
        <v>#NAME?</v>
      </c>
      <c r="BK11" s="585" t="e">
        <f>IF(BK6="D",IF(BI3=YEAR(BJ11),D_i,BE11),BK6)</f>
        <v>#NAME?</v>
      </c>
      <c r="BL11" s="1261" t="e">
        <f>IF(BL6="D",IF(BI3=YEAR(BJ11),H_i,BF16+PousHi),BL6)</f>
        <v>#NAME?</v>
      </c>
      <c r="BM11" s="1261"/>
      <c r="BN11" s="188"/>
      <c r="BO11" s="447" t="s">
        <v>94</v>
      </c>
      <c r="BP11" s="577" t="e">
        <f>IF(BP6="D",IF(AND(BO3&gt;=YEAR(BJ11)+Inter_tai,BO3&gt;Amaj),DATE(BO3,3,31),BJ11),IF(YEAR(BP6)=BO3,BP6,"err."))</f>
        <v>#NAME?</v>
      </c>
      <c r="BQ11" s="585" t="e">
        <f>IF(BQ6="D",IF(BO3=YEAR(BP11),D_i,BK11),BQ6)</f>
        <v>#NAME?</v>
      </c>
      <c r="BR11" s="1261" t="e">
        <f>IF(BR6="D",IF(BO3=YEAR(BP11),H_i,BL16+PousHi),BR6)</f>
        <v>#NAME?</v>
      </c>
      <c r="BS11" s="1261"/>
      <c r="BT11" s="188"/>
      <c r="BU11" s="447" t="s">
        <v>94</v>
      </c>
      <c r="BV11" s="577" t="e">
        <f>IF(BV6="D",IF(AND(BU3&gt;=YEAR(BP11)+Inter_tai,BU3&gt;Amaj),DATE(BU3,3,31),BP11),IF(YEAR(BV6)=BU3,BV6,"err."))</f>
        <v>#NAME?</v>
      </c>
      <c r="BW11" s="585" t="e">
        <f>IF(BW6="D",IF(BU3=YEAR(BV11),D_i,BQ11),BW6)</f>
        <v>#NAME?</v>
      </c>
      <c r="BX11" s="1261" t="e">
        <f>IF(BX6="D",IF(BU3=YEAR(BV11),H_i,BR16+PousHi),BX6)</f>
        <v>#NAME?</v>
      </c>
      <c r="BY11" s="1261"/>
      <c r="BZ11" s="188"/>
    </row>
    <row r="12" spans="1:78" x14ac:dyDescent="0.25">
      <c r="A12" s="8" t="s">
        <v>164</v>
      </c>
      <c r="B12" s="443"/>
      <c r="C12" s="453"/>
      <c r="D12" s="401"/>
      <c r="E12" s="454"/>
      <c r="H12" s="443"/>
      <c r="L12" s="464"/>
      <c r="M12" s="454"/>
      <c r="AL12" s="454"/>
      <c r="AM12" s="453"/>
      <c r="AN12" s="401"/>
      <c r="AO12" s="454"/>
    </row>
    <row r="13" spans="1:78" s="407" customFormat="1" ht="15" customHeight="1" x14ac:dyDescent="0.25">
      <c r="A13" s="458" t="s">
        <v>16</v>
      </c>
      <c r="B13" s="586">
        <f>+'2019'!Tnet</f>
        <v>43475</v>
      </c>
      <c r="C13" s="587">
        <f>+'2019'!Resal</f>
        <v>0</v>
      </c>
      <c r="D13" s="588">
        <f>+'2019'!Salim</f>
        <v>0.08</v>
      </c>
      <c r="E13" s="589">
        <f>+'2019'!Tau_j/365</f>
        <v>3</v>
      </c>
      <c r="F13" s="463"/>
      <c r="G13" s="465" t="s">
        <v>93</v>
      </c>
      <c r="H13" s="586">
        <f>+'2020'!Tnet</f>
        <v>43475</v>
      </c>
      <c r="I13" s="587">
        <f>+'2020'!Resal</f>
        <v>0</v>
      </c>
      <c r="J13" s="588">
        <f>+'2020'!Salim</f>
        <v>0.08</v>
      </c>
      <c r="K13" s="589">
        <f>+'2020'!Tau_j/365</f>
        <v>3</v>
      </c>
      <c r="L13" s="466"/>
      <c r="M13" s="447" t="s">
        <v>93</v>
      </c>
      <c r="N13" s="586">
        <f>+'2021'!Tnet</f>
        <v>44501</v>
      </c>
      <c r="O13" s="587">
        <f>+'2021'!Resal</f>
        <v>4.8655452349655841E-2</v>
      </c>
      <c r="P13" s="588">
        <f>+'2021'!Salim</f>
        <v>0.14000000000000001</v>
      </c>
      <c r="Q13" s="589">
        <f>+'2021'!Tau_j/365</f>
        <v>1</v>
      </c>
      <c r="R13" s="466"/>
      <c r="S13" s="447" t="s">
        <v>93</v>
      </c>
      <c r="T13" s="586">
        <f>+'2022'!Tnet</f>
        <v>44683</v>
      </c>
      <c r="U13" s="587">
        <f>+'2022'!Resal</f>
        <v>7.0000000000000001E-3</v>
      </c>
      <c r="V13" s="588">
        <f>+'2022'!Salim</f>
        <v>7.0000000000000007E-2</v>
      </c>
      <c r="W13" s="589">
        <f>+'2022'!Tau_j/365</f>
        <v>3</v>
      </c>
      <c r="X13" s="466"/>
      <c r="Y13" s="447" t="s">
        <v>93</v>
      </c>
      <c r="Z13" s="586">
        <f>+'2023'!Tnet</f>
        <v>45046</v>
      </c>
      <c r="AA13" s="587">
        <f>+'2023'!Resal</f>
        <v>7.0000000000000001E-3</v>
      </c>
      <c r="AB13" s="588">
        <f>+'2023'!Salim</f>
        <v>9.6666666666666679E-2</v>
      </c>
      <c r="AC13" s="589">
        <f>+'2023'!Tau_j/365</f>
        <v>2.3333333333333335</v>
      </c>
      <c r="AD13" s="466"/>
      <c r="AE13" s="447" t="s">
        <v>93</v>
      </c>
      <c r="AF13" s="586">
        <f>+'2024'!Tnet</f>
        <v>45046</v>
      </c>
      <c r="AG13" s="587">
        <f>+'2024'!Resal</f>
        <v>7.0000000000000001E-3</v>
      </c>
      <c r="AH13" s="588">
        <f>+'2024'!Salim</f>
        <v>9.6666666666666679E-2</v>
      </c>
      <c r="AI13" s="589">
        <f>+'2024'!Tau_j/365</f>
        <v>2.3333333333333335</v>
      </c>
      <c r="AJ13" s="466"/>
      <c r="AK13" s="447" t="s">
        <v>93</v>
      </c>
      <c r="AL13" s="586">
        <f>+'2025'!Tnet</f>
        <v>45777</v>
      </c>
      <c r="AM13" s="587">
        <f>+'2025'!Resal</f>
        <v>7.0000000000000001E-3</v>
      </c>
      <c r="AN13" s="588">
        <f>+'2025'!Salim</f>
        <v>9.6666666666666679E-2</v>
      </c>
      <c r="AO13" s="589">
        <f>+'2025'!Tau_j/365</f>
        <v>2.3333333333333335</v>
      </c>
      <c r="AP13" s="463"/>
      <c r="AQ13" s="447" t="s">
        <v>93</v>
      </c>
      <c r="AR13" s="586">
        <f>+'2026'!Tnet</f>
        <v>45777</v>
      </c>
      <c r="AS13" s="587">
        <f>+'2026'!Resal</f>
        <v>7.0000000000000001E-3</v>
      </c>
      <c r="AT13" s="588">
        <f>+'2026'!Salim</f>
        <v>9.6666666666666679E-2</v>
      </c>
      <c r="AU13" s="589">
        <f>+'2026'!Tau_j/365</f>
        <v>2.3333333333333335</v>
      </c>
      <c r="AV13" s="463"/>
      <c r="AW13" s="447" t="s">
        <v>93</v>
      </c>
      <c r="AX13" s="586">
        <f>+'2027'!Tnet</f>
        <v>46507</v>
      </c>
      <c r="AY13" s="587">
        <f>+'2027'!Resal</f>
        <v>7.0000000000000001E-3</v>
      </c>
      <c r="AZ13" s="588">
        <f>+'2027'!Salim</f>
        <v>9.6666666666666679E-2</v>
      </c>
      <c r="BA13" s="589">
        <f>+'2027'!Tau_j/365</f>
        <v>2.3333333333333335</v>
      </c>
      <c r="BB13" s="463"/>
      <c r="BC13" s="447" t="s">
        <v>93</v>
      </c>
      <c r="BD13" s="586">
        <f>+'2028'!Tnet</f>
        <v>46507</v>
      </c>
      <c r="BE13" s="587">
        <f>+'2028'!Resal</f>
        <v>7.0000000000000001E-3</v>
      </c>
      <c r="BF13" s="588">
        <f>+'2028'!Salim</f>
        <v>9.6666666666666679E-2</v>
      </c>
      <c r="BG13" s="589">
        <f>+'2028'!Tau_j/365</f>
        <v>2.3333333333333335</v>
      </c>
      <c r="BH13" s="463"/>
      <c r="BI13" s="447" t="s">
        <v>93</v>
      </c>
      <c r="BJ13" s="586">
        <f>+'2019'!Tnet</f>
        <v>43475</v>
      </c>
      <c r="BK13" s="587">
        <f>+'2019'!Resal</f>
        <v>0</v>
      </c>
      <c r="BL13" s="588">
        <f>+'2019'!Salim</f>
        <v>0.08</v>
      </c>
      <c r="BM13" s="589">
        <f>+'2019'!Tau_j/365</f>
        <v>3</v>
      </c>
      <c r="BN13" s="463"/>
      <c r="BO13" s="447" t="s">
        <v>93</v>
      </c>
      <c r="BP13" s="586">
        <f>+'2019'!Tnet</f>
        <v>43475</v>
      </c>
      <c r="BQ13" s="587">
        <f>+'2019'!Resal</f>
        <v>0</v>
      </c>
      <c r="BR13" s="588">
        <f>+'2019'!Salim</f>
        <v>0.08</v>
      </c>
      <c r="BS13" s="589">
        <f>+'2019'!Tau_j/365</f>
        <v>3</v>
      </c>
      <c r="BT13" s="463"/>
      <c r="BU13" s="447" t="s">
        <v>93</v>
      </c>
      <c r="BV13" s="586">
        <f>+'2019'!Tnet</f>
        <v>43475</v>
      </c>
      <c r="BW13" s="587">
        <f>+'2019'!Resal</f>
        <v>0</v>
      </c>
      <c r="BX13" s="588">
        <f>+'2019'!Salim</f>
        <v>0.08</v>
      </c>
      <c r="BY13" s="589">
        <f>+'2019'!Tau_j/365</f>
        <v>3</v>
      </c>
      <c r="BZ13" s="463"/>
    </row>
    <row r="14" spans="1:78" s="457" customFormat="1" ht="12.75" customHeight="1" x14ac:dyDescent="0.25">
      <c r="A14" s="475"/>
      <c r="B14" s="476" t="s">
        <v>2</v>
      </c>
      <c r="C14" s="476" t="s">
        <v>129</v>
      </c>
      <c r="D14" s="476" t="s">
        <v>130</v>
      </c>
      <c r="E14" s="476" t="s">
        <v>131</v>
      </c>
      <c r="F14" s="477"/>
      <c r="G14" s="478"/>
      <c r="H14" s="479" t="s">
        <v>2</v>
      </c>
      <c r="I14" s="479" t="s">
        <v>129</v>
      </c>
      <c r="J14" s="479" t="s">
        <v>130</v>
      </c>
      <c r="K14" s="479" t="s">
        <v>131</v>
      </c>
      <c r="L14" s="480"/>
      <c r="M14" s="481"/>
      <c r="N14" s="479" t="s">
        <v>2</v>
      </c>
      <c r="O14" s="479" t="s">
        <v>129</v>
      </c>
      <c r="P14" s="479" t="s">
        <v>130</v>
      </c>
      <c r="Q14" s="479" t="s">
        <v>131</v>
      </c>
      <c r="R14" s="477"/>
      <c r="S14" s="478"/>
      <c r="T14" s="479" t="s">
        <v>2</v>
      </c>
      <c r="U14" s="479" t="s">
        <v>129</v>
      </c>
      <c r="V14" s="479" t="s">
        <v>130</v>
      </c>
      <c r="W14" s="479" t="s">
        <v>131</v>
      </c>
      <c r="X14" s="477"/>
      <c r="Y14" s="478"/>
      <c r="Z14" s="479" t="s">
        <v>2</v>
      </c>
      <c r="AA14" s="479" t="s">
        <v>129</v>
      </c>
      <c r="AB14" s="479" t="s">
        <v>130</v>
      </c>
      <c r="AC14" s="479" t="s">
        <v>131</v>
      </c>
      <c r="AD14" s="477"/>
      <c r="AE14" s="478"/>
      <c r="AF14" s="479" t="s">
        <v>2</v>
      </c>
      <c r="AG14" s="479" t="s">
        <v>129</v>
      </c>
      <c r="AH14" s="479" t="s">
        <v>130</v>
      </c>
      <c r="AI14" s="479" t="s">
        <v>131</v>
      </c>
      <c r="AJ14" s="477"/>
      <c r="AK14" s="478"/>
      <c r="AL14" s="479" t="s">
        <v>2</v>
      </c>
      <c r="AM14" s="479" t="s">
        <v>129</v>
      </c>
      <c r="AN14" s="479" t="s">
        <v>130</v>
      </c>
      <c r="AO14" s="479" t="s">
        <v>131</v>
      </c>
      <c r="AP14" s="477"/>
      <c r="AQ14" s="478"/>
      <c r="AR14" s="479" t="s">
        <v>2</v>
      </c>
      <c r="AS14" s="479" t="s">
        <v>129</v>
      </c>
      <c r="AT14" s="479" t="s">
        <v>130</v>
      </c>
      <c r="AU14" s="479" t="s">
        <v>131</v>
      </c>
      <c r="AV14" s="477"/>
      <c r="AW14" s="478"/>
      <c r="AX14" s="479" t="s">
        <v>2</v>
      </c>
      <c r="AY14" s="479" t="s">
        <v>129</v>
      </c>
      <c r="AZ14" s="479" t="s">
        <v>130</v>
      </c>
      <c r="BA14" s="479" t="s">
        <v>131</v>
      </c>
      <c r="BB14" s="477"/>
      <c r="BC14" s="478"/>
      <c r="BD14" s="479" t="s">
        <v>2</v>
      </c>
      <c r="BE14" s="479" t="s">
        <v>129</v>
      </c>
      <c r="BF14" s="479" t="s">
        <v>130</v>
      </c>
      <c r="BG14" s="479" t="s">
        <v>131</v>
      </c>
      <c r="BH14" s="477"/>
      <c r="BI14" s="478"/>
      <c r="BJ14" s="479" t="s">
        <v>2</v>
      </c>
      <c r="BK14" s="479" t="s">
        <v>129</v>
      </c>
      <c r="BL14" s="479" t="s">
        <v>130</v>
      </c>
      <c r="BM14" s="479" t="s">
        <v>131</v>
      </c>
      <c r="BN14" s="477"/>
      <c r="BO14" s="478"/>
      <c r="BP14" s="479" t="s">
        <v>2</v>
      </c>
      <c r="BQ14" s="479" t="s">
        <v>129</v>
      </c>
      <c r="BR14" s="479" t="s">
        <v>130</v>
      </c>
      <c r="BS14" s="479" t="s">
        <v>131</v>
      </c>
      <c r="BT14" s="477"/>
      <c r="BU14" s="478"/>
      <c r="BV14" s="479" t="s">
        <v>2</v>
      </c>
      <c r="BW14" s="479" t="s">
        <v>129</v>
      </c>
      <c r="BX14" s="479" t="s">
        <v>130</v>
      </c>
      <c r="BY14" s="479" t="s">
        <v>131</v>
      </c>
      <c r="BZ14" s="477"/>
    </row>
    <row r="15" spans="1:78" s="460" customFormat="1" ht="15" customHeight="1" x14ac:dyDescent="0.25">
      <c r="A15" s="482" t="s">
        <v>125</v>
      </c>
      <c r="B15" s="590">
        <f>B11</f>
        <v>43586</v>
      </c>
      <c r="C15" s="591">
        <f>'2019'!Dd</f>
        <v>0.7</v>
      </c>
      <c r="D15" s="591">
        <f>'2019'!Df</f>
        <v>0.7</v>
      </c>
      <c r="E15" s="591">
        <f>'2019'!PousD</f>
        <v>0</v>
      </c>
      <c r="F15" s="467"/>
      <c r="G15" s="483" t="s">
        <v>128</v>
      </c>
      <c r="H15" s="590">
        <f>H11</f>
        <v>43586</v>
      </c>
      <c r="I15" s="591">
        <f>'2020'!Dd</f>
        <v>0.7</v>
      </c>
      <c r="J15" s="591">
        <f>'2020'!Df</f>
        <v>0.7</v>
      </c>
      <c r="K15" s="591">
        <f>'2020'!PousD</f>
        <v>0</v>
      </c>
      <c r="L15" s="467"/>
      <c r="M15" s="483" t="s">
        <v>128</v>
      </c>
      <c r="N15" s="590">
        <f>N11</f>
        <v>43586</v>
      </c>
      <c r="O15" s="591">
        <f>'2021'!Dd</f>
        <v>0.7</v>
      </c>
      <c r="P15" s="591">
        <f>'2021'!Df</f>
        <v>0.7</v>
      </c>
      <c r="Q15" s="591">
        <f>'2021'!PousD</f>
        <v>0</v>
      </c>
      <c r="R15" s="467"/>
      <c r="S15" s="484" t="s">
        <v>128</v>
      </c>
      <c r="T15" s="590">
        <f>T11</f>
        <v>43586</v>
      </c>
      <c r="U15" s="591">
        <f>'2022'!Dd</f>
        <v>0.7</v>
      </c>
      <c r="V15" s="591">
        <f>'2022'!Df</f>
        <v>0.7</v>
      </c>
      <c r="W15" s="591">
        <f>'2022'!PousD</f>
        <v>0</v>
      </c>
      <c r="X15" s="467"/>
      <c r="Y15" s="484" t="s">
        <v>128</v>
      </c>
      <c r="Z15" s="590">
        <f>Z11</f>
        <v>43586</v>
      </c>
      <c r="AA15" s="591">
        <f>'2023'!Dd</f>
        <v>0.7</v>
      </c>
      <c r="AB15" s="591">
        <f>'2023'!Df</f>
        <v>0.7</v>
      </c>
      <c r="AC15" s="591">
        <f>'2023'!PousD</f>
        <v>0</v>
      </c>
      <c r="AD15" s="467"/>
      <c r="AE15" s="484" t="s">
        <v>128</v>
      </c>
      <c r="AF15" s="590">
        <f>AF11</f>
        <v>43586</v>
      </c>
      <c r="AG15" s="591">
        <f>'2024'!Dd</f>
        <v>0.7</v>
      </c>
      <c r="AH15" s="591">
        <f>'2024'!Df</f>
        <v>0.7</v>
      </c>
      <c r="AI15" s="591">
        <f>'2024'!PousD</f>
        <v>0</v>
      </c>
      <c r="AJ15" s="467"/>
      <c r="AK15" s="484" t="s">
        <v>128</v>
      </c>
      <c r="AL15" s="590">
        <f>AL11</f>
        <v>43586</v>
      </c>
      <c r="AM15" s="591">
        <f>'2025'!Dd</f>
        <v>0.7</v>
      </c>
      <c r="AN15" s="591">
        <f>'2025'!Df</f>
        <v>0.7</v>
      </c>
      <c r="AO15" s="591">
        <f>'2025'!PousD</f>
        <v>0</v>
      </c>
      <c r="AP15" s="467"/>
      <c r="AQ15" s="484" t="s">
        <v>128</v>
      </c>
      <c r="AR15" s="590">
        <f>AR11</f>
        <v>46112</v>
      </c>
      <c r="AS15" s="591">
        <f>'2026'!Dd</f>
        <v>0.7</v>
      </c>
      <c r="AT15" s="591">
        <f>'2026'!Df</f>
        <v>0.7</v>
      </c>
      <c r="AU15" s="591">
        <f>'2026'!PousD</f>
        <v>0</v>
      </c>
      <c r="AV15" s="467"/>
      <c r="AW15" s="484" t="s">
        <v>128</v>
      </c>
      <c r="AX15" s="590">
        <f>AX11</f>
        <v>46112</v>
      </c>
      <c r="AY15" s="591">
        <f>'2027'!Dd</f>
        <v>0.7</v>
      </c>
      <c r="AZ15" s="591">
        <f>'2027'!Df</f>
        <v>0.7</v>
      </c>
      <c r="BA15" s="591">
        <f>'2027'!PousD</f>
        <v>0</v>
      </c>
      <c r="BB15" s="467"/>
      <c r="BC15" s="484" t="s">
        <v>128</v>
      </c>
      <c r="BD15" s="590">
        <f>BD11</f>
        <v>46112</v>
      </c>
      <c r="BE15" s="591">
        <f>'2028'!Dd</f>
        <v>0.7</v>
      </c>
      <c r="BF15" s="591">
        <f>'2028'!Df</f>
        <v>0.7</v>
      </c>
      <c r="BG15" s="591">
        <f>'2028'!PousD</f>
        <v>0</v>
      </c>
      <c r="BH15" s="467"/>
      <c r="BI15" s="484" t="s">
        <v>128</v>
      </c>
      <c r="BJ15" s="590" t="e">
        <f>BJ11</f>
        <v>#NAME?</v>
      </c>
      <c r="BK15" s="591">
        <f>'2019'!Dd</f>
        <v>0.7</v>
      </c>
      <c r="BL15" s="591">
        <f>'2019'!Df</f>
        <v>0.7</v>
      </c>
      <c r="BM15" s="591">
        <f>'2019'!PousD</f>
        <v>0</v>
      </c>
      <c r="BN15" s="467"/>
      <c r="BO15" s="484" t="s">
        <v>128</v>
      </c>
      <c r="BP15" s="590" t="e">
        <f>BP11</f>
        <v>#NAME?</v>
      </c>
      <c r="BQ15" s="591">
        <f>'2019'!Dd</f>
        <v>0.7</v>
      </c>
      <c r="BR15" s="591">
        <f>'2019'!Df</f>
        <v>0.7</v>
      </c>
      <c r="BS15" s="591">
        <f>'2019'!PousD</f>
        <v>0</v>
      </c>
      <c r="BT15" s="467"/>
      <c r="BU15" s="484" t="s">
        <v>128</v>
      </c>
      <c r="BV15" s="590" t="e">
        <f>BV11</f>
        <v>#NAME?</v>
      </c>
      <c r="BW15" s="591">
        <f>'2019'!Dd</f>
        <v>0.7</v>
      </c>
      <c r="BX15" s="591">
        <f>'2019'!Df</f>
        <v>0.7</v>
      </c>
      <c r="BY15" s="591">
        <f>'2019'!PousD</f>
        <v>0</v>
      </c>
      <c r="BZ15" s="467"/>
    </row>
    <row r="16" spans="1:78" s="460" customFormat="1" ht="15" customHeight="1" x14ac:dyDescent="0.25">
      <c r="A16" s="472" t="s">
        <v>126</v>
      </c>
      <c r="B16" s="592"/>
      <c r="C16" s="593">
        <f>'2019'!Hdd</f>
        <v>-1.2010628157667154</v>
      </c>
      <c r="D16" s="593">
        <f>'2019'!Hdf</f>
        <v>-0.8653951000569009</v>
      </c>
      <c r="E16" s="593">
        <f>'2019'!PousH</f>
        <v>0.4</v>
      </c>
      <c r="F16" s="459"/>
      <c r="G16" s="473" t="s">
        <v>127</v>
      </c>
      <c r="H16" s="592"/>
      <c r="I16" s="593">
        <f>'2020'!Hdd</f>
        <v>-0.8653951000569009</v>
      </c>
      <c r="J16" s="593">
        <f>'2020'!Hdf</f>
        <v>-0.46539516208725423</v>
      </c>
      <c r="K16" s="593">
        <f>'2020'!PousH</f>
        <v>0.4</v>
      </c>
      <c r="L16" s="459"/>
      <c r="M16" s="473" t="s">
        <v>127</v>
      </c>
      <c r="N16" s="592"/>
      <c r="O16" s="593">
        <f>'2021'!Hdd</f>
        <v>-0.46539516208725423</v>
      </c>
      <c r="P16" s="593">
        <f>'2021'!Hdf</f>
        <v>-6.5395224117607564E-2</v>
      </c>
      <c r="Q16" s="593">
        <f>'2021'!PousH</f>
        <v>0.4</v>
      </c>
      <c r="R16" s="459"/>
      <c r="S16" s="474" t="s">
        <v>127</v>
      </c>
      <c r="T16" s="592"/>
      <c r="U16" s="593">
        <f>'2022'!Hdd</f>
        <v>-6.5395224117607564E-2</v>
      </c>
      <c r="V16" s="593">
        <f>'2022'!Hdf</f>
        <v>0.3346047138520391</v>
      </c>
      <c r="W16" s="593">
        <f>'2022'!PousH</f>
        <v>0.4</v>
      </c>
      <c r="X16" s="459"/>
      <c r="Y16" s="474" t="s">
        <v>127</v>
      </c>
      <c r="Z16" s="592"/>
      <c r="AA16" s="593">
        <f>'2023'!Hdd</f>
        <v>0.3346047138520391</v>
      </c>
      <c r="AB16" s="593">
        <f>'2023'!Hdf</f>
        <v>0.73460465182168577</v>
      </c>
      <c r="AC16" s="593">
        <f>'2023'!PousH</f>
        <v>0.39999999999999997</v>
      </c>
      <c r="AD16" s="459"/>
      <c r="AE16" s="474" t="s">
        <v>127</v>
      </c>
      <c r="AF16" s="592"/>
      <c r="AG16" s="593">
        <f>'2024'!Hdd</f>
        <v>0.73460465182168577</v>
      </c>
      <c r="AH16" s="593">
        <f>'2024'!Hdf</f>
        <v>1.1346045897913324</v>
      </c>
      <c r="AI16" s="593">
        <f>'2024'!PousH</f>
        <v>0.39999999999999991</v>
      </c>
      <c r="AJ16" s="459"/>
      <c r="AK16" s="474" t="s">
        <v>127</v>
      </c>
      <c r="AL16" s="592"/>
      <c r="AM16" s="593">
        <f>'2025'!Hdd</f>
        <v>1.1346045897913324</v>
      </c>
      <c r="AN16" s="593">
        <f>'2025'!Hdf</f>
        <v>1.5346045277609792</v>
      </c>
      <c r="AO16" s="593">
        <f>'2025'!PousH</f>
        <v>0.40000000000000013</v>
      </c>
      <c r="AP16" s="459"/>
      <c r="AQ16" s="474" t="s">
        <v>127</v>
      </c>
      <c r="AR16" s="592"/>
      <c r="AS16" s="593">
        <f>'2026'!Hdd</f>
        <v>1.5346045277609792</v>
      </c>
      <c r="AT16" s="593">
        <f>'2026'!Hdf</f>
        <v>-0.82105336510872495</v>
      </c>
      <c r="AU16" s="593">
        <f>'2026'!PousH</f>
        <v>0.40000000000000013</v>
      </c>
      <c r="AV16" s="459"/>
      <c r="AW16" s="474" t="s">
        <v>127</v>
      </c>
      <c r="AX16" s="592"/>
      <c r="AY16" s="593">
        <f>'2027'!Hdd</f>
        <v>-0.82105336510872495</v>
      </c>
      <c r="AZ16" s="593">
        <f>'2027'!Hdf</f>
        <v>-0.42105342713907828</v>
      </c>
      <c r="BA16" s="593">
        <f>'2027'!PousH</f>
        <v>0.4</v>
      </c>
      <c r="BB16" s="459"/>
      <c r="BC16" s="474" t="s">
        <v>127</v>
      </c>
      <c r="BD16" s="592"/>
      <c r="BE16" s="593">
        <f>'2028'!Hdd</f>
        <v>-0.42105342713907828</v>
      </c>
      <c r="BF16" s="593">
        <f>'2028'!Hdf</f>
        <v>-2.1053489169431616E-2</v>
      </c>
      <c r="BG16" s="593">
        <f>'2028'!PousH</f>
        <v>0.4</v>
      </c>
      <c r="BH16" s="459"/>
      <c r="BI16" s="474" t="s">
        <v>127</v>
      </c>
      <c r="BJ16" s="592"/>
      <c r="BK16" s="593">
        <f>'2019'!Hdd</f>
        <v>-1.2010628157667154</v>
      </c>
      <c r="BL16" s="593">
        <f>'2019'!Hdf</f>
        <v>-0.8653951000569009</v>
      </c>
      <c r="BM16" s="593">
        <f>'2019'!PousH</f>
        <v>0.4</v>
      </c>
      <c r="BN16" s="459"/>
      <c r="BO16" s="474" t="s">
        <v>127</v>
      </c>
      <c r="BP16" s="592"/>
      <c r="BQ16" s="593">
        <f>'2019'!Hdd</f>
        <v>-1.2010628157667154</v>
      </c>
      <c r="BR16" s="593">
        <f>'2019'!Hdf</f>
        <v>-0.8653951000569009</v>
      </c>
      <c r="BS16" s="593">
        <f>'2019'!PousH</f>
        <v>0.4</v>
      </c>
      <c r="BT16" s="459"/>
      <c r="BU16" s="474" t="s">
        <v>127</v>
      </c>
      <c r="BV16" s="592"/>
      <c r="BW16" s="593">
        <f>'2019'!Hdd</f>
        <v>-1.2010628157667154</v>
      </c>
      <c r="BX16" s="593">
        <f>'2019'!Hdf</f>
        <v>-0.8653951000569009</v>
      </c>
      <c r="BY16" s="593">
        <f>'2019'!PousH</f>
        <v>0.4</v>
      </c>
      <c r="BZ16" s="459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7" t="s">
        <v>64</v>
      </c>
      <c r="C19" s="428" t="s">
        <v>65</v>
      </c>
      <c r="D19" s="428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8" t="s">
        <v>2</v>
      </c>
      <c r="AF19" s="427" t="s">
        <v>64</v>
      </c>
      <c r="AG19" s="428" t="s">
        <v>65</v>
      </c>
      <c r="AH19" s="428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'2019'!A29</f>
        <v>43480</v>
      </c>
      <c r="B20" s="91">
        <f>'2019'!L29</f>
        <v>9.582018650222679E-5</v>
      </c>
      <c r="C20" s="48">
        <f>'2019'!O29</f>
        <v>3.6452219727168634E-4</v>
      </c>
      <c r="D20" s="66">
        <f>'2019'!P29</f>
        <v>4.7028966839982786E-6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59">
        <f>'2024'!A29</f>
        <v>45306</v>
      </c>
      <c r="AF20" s="91">
        <f>'2024'!L29</f>
        <v>3.4482482219520993E-2</v>
      </c>
      <c r="AG20" s="48">
        <f>'2024'!O29</f>
        <v>3.0594902650015687E-2</v>
      </c>
      <c r="AH20" s="66">
        <f>'2024'!P29</f>
        <v>2.7823788869943238E-2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'2019'!A60</f>
        <v>43511</v>
      </c>
      <c r="B21" s="91">
        <f>'2019'!L60</f>
        <v>6.8970044558791521E-4</v>
      </c>
      <c r="C21" s="48">
        <f>'2019'!O60</f>
        <v>2.5877976843507633E-3</v>
      </c>
      <c r="D21" s="66">
        <f>'2019'!P60</f>
        <v>1.5859929117834243E-5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59">
        <f>'2024'!A60</f>
        <v>45337</v>
      </c>
      <c r="AF21" s="91">
        <f>'2024'!L60</f>
        <v>3.5055938961864208E-2</v>
      </c>
      <c r="AG21" s="48">
        <f>'2024'!O60</f>
        <v>3.2957338923580083E-2</v>
      </c>
      <c r="AH21" s="66">
        <f>'2024'!P60</f>
        <v>2.2881158608859694E-2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'2019'!A88</f>
        <v>43539</v>
      </c>
      <c r="B22" s="91">
        <f>'2019'!L88</f>
        <v>1.2258052388639529E-3</v>
      </c>
      <c r="C22" s="48">
        <f>'2019'!O88</f>
        <v>4.5445976009037565E-3</v>
      </c>
      <c r="D22" s="66">
        <f>'2019'!P88</f>
        <v>1.3450159808923985E-5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59">
        <f>'2024'!A88</f>
        <v>45365</v>
      </c>
      <c r="AF22" s="91">
        <f>'2024'!L88</f>
        <v>3.5573607134199214E-2</v>
      </c>
      <c r="AG22" s="48">
        <f>'2024'!O88</f>
        <v>3.5034319691393902E-2</v>
      </c>
      <c r="AH22" s="66">
        <f>'2024'!P88</f>
        <v>3.9818363006257967E-3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'2019'!A119</f>
        <v>43570</v>
      </c>
      <c r="B23" s="91">
        <f>'2019'!L119</f>
        <v>1.8190143578251661E-3</v>
      </c>
      <c r="C23" s="48">
        <f>'2019'!O119</f>
        <v>6.6810101947648035E-3</v>
      </c>
      <c r="D23" s="66">
        <f>'2019'!P119</f>
        <v>3.6951793024949215E-5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59">
        <f>'2024'!A119</f>
        <v>45396</v>
      </c>
      <c r="AF23" s="91">
        <f>'2024'!L119</f>
        <v>3.6146415816898148E-2</v>
      </c>
      <c r="AG23" s="48">
        <f>'2024'!O119</f>
        <v>3.7400725798541562E-2</v>
      </c>
      <c r="AH23" s="66">
        <f>'2024'!P119</f>
        <v>3.5041805444211475E-3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'2019'!A149</f>
        <v>43600</v>
      </c>
      <c r="B24" s="91">
        <f>'2019'!L149</f>
        <v>2.3927522325282169E-3</v>
      </c>
      <c r="C24" s="48">
        <f>'2019'!O149</f>
        <v>8.8041602455888185E-3</v>
      </c>
      <c r="D24" s="66">
        <f>'2019'!P149</f>
        <v>6.9504641507113852E-6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59">
        <f>'2024'!A149</f>
        <v>45426</v>
      </c>
      <c r="AF24" s="91">
        <f>'2024'!L149</f>
        <v>3.6700422870597382E-2</v>
      </c>
      <c r="AG24" s="48">
        <f>'2024'!O149</f>
        <v>4.0064598355919002E-2</v>
      </c>
      <c r="AH24" s="66">
        <f>'2024'!P149</f>
        <v>1.7879255490073542E-3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'2019'!A180</f>
        <v>43631</v>
      </c>
      <c r="B25" s="91">
        <f>'2019'!L180</f>
        <v>2.9852682582942602E-3</v>
      </c>
      <c r="C25" s="48">
        <f>'2019'!O180</f>
        <v>1.1057204540880043E-2</v>
      </c>
      <c r="D25" s="66">
        <f>'2019'!P180</f>
        <v>6.145641091044001E-6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59">
        <f>'2024'!A180</f>
        <v>45457</v>
      </c>
      <c r="AF25" s="91">
        <f>'2024'!L180</f>
        <v>3.727256229554643E-2</v>
      </c>
      <c r="AG25" s="48">
        <f>'2024'!O180</f>
        <v>4.3016243758813445E-2</v>
      </c>
      <c r="AH25" s="66">
        <f>'2024'!P180</f>
        <v>3.5203257774216775E-4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'2019'!A210</f>
        <v>43661</v>
      </c>
      <c r="B26" s="91">
        <f>'2019'!L210</f>
        <v>3.5583357895988543E-3</v>
      </c>
      <c r="C26" s="48">
        <f>'2019'!O210</f>
        <v>1.3116592733920476E-2</v>
      </c>
      <c r="D26" s="66">
        <f>'2019'!P210</f>
        <v>1.558115863680492E-5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59">
        <f>'2024'!A210</f>
        <v>45487</v>
      </c>
      <c r="AF26" s="91">
        <f>'2024'!L210</f>
        <v>3.7825922058927985E-2</v>
      </c>
      <c r="AG26" s="48">
        <f>'2024'!O210</f>
        <v>4.5382818020329944E-2</v>
      </c>
      <c r="AH26" s="66">
        <f>'2024'!P210</f>
        <v>7.0431337361610618E-4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'2019'!A241</f>
        <v>43692</v>
      </c>
      <c r="B27" s="91">
        <f>'2019'!L241</f>
        <v>4.1501595319651807E-3</v>
      </c>
      <c r="C27" s="48">
        <f>'2019'!O241</f>
        <v>1.5093978201197737E-2</v>
      </c>
      <c r="D27" s="66">
        <f>'2019'!P241</f>
        <v>3.4054722801946021E-4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59">
        <f>'2024'!A241</f>
        <v>45518</v>
      </c>
      <c r="AF27" s="91">
        <f>'2024'!L241</f>
        <v>3.8397393008073988E-2</v>
      </c>
      <c r="AG27" s="48">
        <f>'2024'!O241</f>
        <v>4.7386548099999162E-2</v>
      </c>
      <c r="AH27" s="66">
        <f>'2024'!P241</f>
        <v>4.3169054463866215E-3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'2019'!A272</f>
        <v>43723</v>
      </c>
      <c r="B28" s="91">
        <f>'2019'!L272</f>
        <v>4.7416317682127396E-3</v>
      </c>
      <c r="C28" s="48">
        <f>'2019'!O272</f>
        <v>1.6960020634721788E-2</v>
      </c>
      <c r="D28" s="66">
        <f>'2019'!P272</f>
        <v>7.2678208527289447E-4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59">
        <f>'2024'!A272</f>
        <v>45549</v>
      </c>
      <c r="AF28" s="91">
        <f>'2024'!L272</f>
        <v>3.8968524539381599E-2</v>
      </c>
      <c r="AG28" s="48">
        <f>'2024'!O272</f>
        <v>4.9155999505255094E-2</v>
      </c>
      <c r="AH28" s="66">
        <f>'2024'!P272</f>
        <v>7.8518048402277801E-3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'2019'!A302</f>
        <v>43753</v>
      </c>
      <c r="B29" s="91">
        <f>'2019'!L302</f>
        <v>5.3136897709028519E-3</v>
      </c>
      <c r="C29" s="48">
        <f>'2019'!O302</f>
        <v>1.8557286764087931E-2</v>
      </c>
      <c r="D29" s="66">
        <f>'2019'!P302</f>
        <v>1.0676742305442378E-3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59">
        <f>'2024'!A302</f>
        <v>45579</v>
      </c>
      <c r="AF29" s="91">
        <f>'2024'!L302</f>
        <v>3.9520909491794654E-2</v>
      </c>
      <c r="AG29" s="48">
        <f>'2024'!O302</f>
        <v>5.0395161197419096E-2</v>
      </c>
      <c r="AH29" s="66">
        <f>'2024'!P302</f>
        <v>1.9218285454722355E-2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'2019'!A333</f>
        <v>43784</v>
      </c>
      <c r="B30" s="91">
        <f>'2019'!L333</f>
        <v>5.9044709432928277E-3</v>
      </c>
      <c r="C30" s="48">
        <f>'2019'!O333</f>
        <v>1.9933224305138202E-2</v>
      </c>
      <c r="D30" s="66">
        <f>'2019'!P333</f>
        <v>4.3395140129956393E-3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59">
        <f>'2024'!A333</f>
        <v>45610</v>
      </c>
      <c r="AF30" s="91">
        <f>'2024'!L333</f>
        <v>4.0091373724901236E-2</v>
      </c>
      <c r="AG30" s="48">
        <f>'2024'!O333</f>
        <v>5.1101242294782127E-2</v>
      </c>
      <c r="AH30" s="66">
        <f>'2024'!P333</f>
        <v>3.6798515963092929E-2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'2019'!A363</f>
        <v>43814</v>
      </c>
      <c r="B31" s="92">
        <f>'2019'!L363</f>
        <v>6.4758605653119083E-3</v>
      </c>
      <c r="C31" s="49">
        <f>'2019'!O363</f>
        <v>2.1342091426952814E-2</v>
      </c>
      <c r="D31" s="67">
        <f>'2019'!P363</f>
        <v>3.7946770303079755E-3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0">
        <f>'2024'!A363</f>
        <v>45640</v>
      </c>
      <c r="AF31" s="92">
        <f>'2024'!L363</f>
        <v>4.0643113282226029E-2</v>
      </c>
      <c r="AG31" s="49">
        <f>'2024'!O363</f>
        <v>5.2128598602789893E-2</v>
      </c>
      <c r="AH31" s="67">
        <f>'2024'!P363</f>
        <v>4.8853624613074235E-2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'2020'!A29</f>
        <v>43845</v>
      </c>
      <c r="B32" s="91">
        <f>'2020'!L29</f>
        <v>7.0659514812688728E-3</v>
      </c>
      <c r="C32" s="48">
        <f>'2020'!O29</f>
        <v>2.2942304068100796E-2</v>
      </c>
      <c r="D32" s="66">
        <f>'2020'!P29</f>
        <v>3.8389751605295112E-3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59">
        <f>'2025'!A29</f>
        <v>45672</v>
      </c>
      <c r="AF32" s="91">
        <f>'2025'!L29</f>
        <v>4.1231285932615047E-2</v>
      </c>
      <c r="AG32" s="48">
        <f>'2025'!O29</f>
        <v>5.3680834000662564E-2</v>
      </c>
      <c r="AH32" s="66">
        <f>'2025'!P29</f>
        <v>3.7219015077419801E-2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'2020'!A60</f>
        <v>43876</v>
      </c>
      <c r="B33" s="91">
        <f>'2020'!L60</f>
        <v>7.6556919202970253E-3</v>
      </c>
      <c r="C33" s="48">
        <f>'2020'!O60</f>
        <v>2.4535465974844302E-2</v>
      </c>
      <c r="D33" s="66">
        <f>'2020'!P60</f>
        <v>2.4778235988752828E-3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59">
        <f>'2025'!A60</f>
        <v>45703</v>
      </c>
      <c r="AF33" s="91">
        <f>'2025'!L60</f>
        <v>4.1800734309578313E-2</v>
      </c>
      <c r="AG33" s="48">
        <f>'2025'!O60</f>
        <v>5.5218183144911163E-2</v>
      </c>
      <c r="AH33" s="66">
        <f>'2025'!P60</f>
        <v>2.9507676324750515E-2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'2020'!A88</f>
        <v>43904</v>
      </c>
      <c r="B34" s="91">
        <f>'2020'!L88</f>
        <v>8.1880596346886048E-3</v>
      </c>
      <c r="C34" s="48">
        <f>'2020'!O88</f>
        <v>2.5947917874809778E-2</v>
      </c>
      <c r="D34" s="66">
        <f>'2020'!P88</f>
        <v>5.2591515495806738E-4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59">
        <f>'2025'!A88</f>
        <v>45731</v>
      </c>
      <c r="AF34" s="91">
        <f>'2025'!L88</f>
        <v>4.231478406917677E-2</v>
      </c>
      <c r="AG34" s="48">
        <f>'2025'!O88</f>
        <v>5.6585023855959239E-2</v>
      </c>
      <c r="AH34" s="66">
        <f>'2025'!P88</f>
        <v>5.2598240197193943E-3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'2020'!A119</f>
        <v>43935</v>
      </c>
      <c r="B35" s="91">
        <f>'2020'!L119</f>
        <v>8.7771336119754073E-3</v>
      </c>
      <c r="C35" s="48">
        <f>'2020'!O119</f>
        <v>2.7576968338846201E-2</v>
      </c>
      <c r="D35" s="66">
        <f>'2020'!P119</f>
        <v>4.4883884240132742E-4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59">
        <f>'2025'!A119</f>
        <v>45762</v>
      </c>
      <c r="AF35" s="91">
        <f>'2025'!L119</f>
        <v>4.2883588916322823E-2</v>
      </c>
      <c r="AG35" s="48">
        <f>'2025'!O119</f>
        <v>5.827107522563757E-2</v>
      </c>
      <c r="AH35" s="66">
        <f>'2025'!P119</f>
        <v>4.7241655387795737E-3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'2020'!A149</f>
        <v>43965</v>
      </c>
      <c r="B36" s="91">
        <f>'2020'!L149</f>
        <v>9.3468720751386236E-3</v>
      </c>
      <c r="C36" s="48">
        <f>'2020'!O149</f>
        <v>2.9442409674719113E-2</v>
      </c>
      <c r="D36" s="66">
        <f>'2020'!P149</f>
        <v>1.5744757196057727E-4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59">
        <f>'2025'!A149</f>
        <v>45792</v>
      </c>
      <c r="AF36" s="91">
        <f>'2025'!L149</f>
        <v>4.3433723554667347E-2</v>
      </c>
      <c r="AG36" s="48">
        <f>'2025'!O149</f>
        <v>8.7378373319264568E-3</v>
      </c>
      <c r="AH36" s="66">
        <f>'2025'!P149</f>
        <v>2.5140500854719775E-3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'2020'!A180</f>
        <v>43996</v>
      </c>
      <c r="B37" s="91">
        <f>'2020'!L180</f>
        <v>9.9352577906436368E-3</v>
      </c>
      <c r="C37" s="48">
        <f>'2020'!O180</f>
        <v>3.1528093363251679E-2</v>
      </c>
      <c r="D37" s="66">
        <f>'2020'!P180</f>
        <v>4.7806770136226922E-5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59">
        <f>'2025'!A180</f>
        <v>45823</v>
      </c>
      <c r="AF37" s="91">
        <f>'2025'!L180</f>
        <v>4.4001863822061615E-2</v>
      </c>
      <c r="AG37" s="48">
        <f>'2025'!O180</f>
        <v>1.2193843738397426E-2</v>
      </c>
      <c r="AH37" s="66">
        <f>'2025'!P180</f>
        <v>5.0149917088884494E-4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'2020'!A210</f>
        <v>44026</v>
      </c>
      <c r="B38" s="91">
        <f>'2020'!L210</f>
        <v>1.0504330583237631E-2</v>
      </c>
      <c r="C38" s="48">
        <f>'2020'!O210</f>
        <v>3.3199196752008171E-2</v>
      </c>
      <c r="D38" s="66">
        <f>'2020'!P210</f>
        <v>6.8698684793817773E-5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59">
        <f>'2025'!A210</f>
        <v>45853</v>
      </c>
      <c r="AF38" s="91">
        <f>'2025'!L210</f>
        <v>4.4551355694537942E-2</v>
      </c>
      <c r="AG38" s="48">
        <f>'2025'!O210</f>
        <v>1.5380817618081702E-2</v>
      </c>
      <c r="AH38" s="66">
        <f>'2025'!P210</f>
        <v>1.0751052833410538E-3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'2020'!A241</f>
        <v>44057</v>
      </c>
      <c r="B39" s="91">
        <f>'2020'!L241</f>
        <v>1.1092028841111712E-2</v>
      </c>
      <c r="C39" s="48">
        <f>'2020'!O241</f>
        <v>3.4615781648954687E-2</v>
      </c>
      <c r="D39" s="66">
        <f>'2020'!P241</f>
        <v>9.4092027696604985E-4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59">
        <f>'2025'!A241</f>
        <v>45884</v>
      </c>
      <c r="AF39" s="91">
        <f>'2025'!L241</f>
        <v>4.5118832158661748E-2</v>
      </c>
      <c r="AG39" s="48">
        <f>'2025'!O241</f>
        <v>1.8457293805814099E-2</v>
      </c>
      <c r="AH39" s="66">
        <f>'2025'!P241</f>
        <v>5.6408209043641369E-3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'2020'!A272</f>
        <v>44088</v>
      </c>
      <c r="B40" s="91">
        <f>'2020'!L272</f>
        <v>1.167937804314545E-2</v>
      </c>
      <c r="C40" s="48">
        <f>'2020'!O272</f>
        <v>3.5874122038491801E-2</v>
      </c>
      <c r="D40" s="66">
        <f>'2020'!P272</f>
        <v>1.907502083305165E-3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59">
        <f>'2025'!A272</f>
        <v>45915</v>
      </c>
      <c r="AF40" s="91">
        <f>'2025'!L272</f>
        <v>4.568597157742027E-2</v>
      </c>
      <c r="AG40" s="48">
        <f>'2025'!O272</f>
        <v>2.1353097305197598E-2</v>
      </c>
      <c r="AH40" s="66">
        <f>'2025'!P272</f>
        <v>9.9219075815812092E-3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'2020'!A302</f>
        <v>44118</v>
      </c>
      <c r="B41" s="91">
        <f>'2020'!L302</f>
        <v>1.2247448344346323E-2</v>
      </c>
      <c r="C41" s="48">
        <f>'2020'!O302</f>
        <v>3.6758215106107654E-2</v>
      </c>
      <c r="D41" s="66">
        <f>'2020'!P302</f>
        <v>3.1820217652621108E-3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59">
        <f>'2025'!A302</f>
        <v>45945</v>
      </c>
      <c r="AF41" s="91">
        <f>'2025'!L302</f>
        <v>4.6234495452691426E-2</v>
      </c>
      <c r="AG41" s="48">
        <f>'2025'!O302</f>
        <v>2.3849203783054818E-2</v>
      </c>
      <c r="AH41" s="66">
        <f>'2025'!P302</f>
        <v>2.6104770766196498E-2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'2020'!A333</f>
        <v>44149</v>
      </c>
      <c r="B42" s="91">
        <f>'2020'!L333</f>
        <v>1.2834111299789841E-2</v>
      </c>
      <c r="C42" s="48">
        <f>'2020'!O333</f>
        <v>3.7264123056462609E-2</v>
      </c>
      <c r="D42" s="66">
        <f>'2020'!P333</f>
        <v>1.0073784744345608E-2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59">
        <f>'2025'!A333</f>
        <v>45976</v>
      </c>
      <c r="AF42" s="91">
        <f>'2025'!L333</f>
        <v>4.6800972237550198E-2</v>
      </c>
      <c r="AG42" s="48">
        <f>'2025'!O333</f>
        <v>2.6027852383934947E-2</v>
      </c>
      <c r="AH42" s="66">
        <f>'2025'!P333</f>
        <v>4.666426492603766E-2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'2020'!A363</f>
        <v>44179</v>
      </c>
      <c r="B43" s="92">
        <f>'2020'!L363</f>
        <v>1.3401517879467306E-2</v>
      </c>
      <c r="C43" s="49">
        <f>'2020'!O363</f>
        <v>3.8014451838984706E-2</v>
      </c>
      <c r="D43" s="67">
        <f>'2020'!P363</f>
        <v>9.0145742497820015E-3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0">
        <f>'2025'!A363</f>
        <v>46006</v>
      </c>
      <c r="AF43" s="92">
        <f>'2025'!L363</f>
        <v>4.7348855228935394E-2</v>
      </c>
      <c r="AG43" s="49">
        <f>'2025'!O363</f>
        <v>2.819602000563811E-2</v>
      </c>
      <c r="AH43" s="67">
        <f>'2025'!P363</f>
        <v>6.7171855825528468E-2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'2021'!A29</f>
        <v>44211</v>
      </c>
      <c r="B44" s="91">
        <f>'2021'!L29</f>
        <v>1.4006392094822129E-2</v>
      </c>
      <c r="C44" s="48">
        <f>'2021'!O29</f>
        <v>3.9157319649336199E-2</v>
      </c>
      <c r="D44" s="66">
        <f>'2021'!P29</f>
        <v>8.7537095039180567E-3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59">
        <f>'2026'!A29</f>
        <v>46037</v>
      </c>
      <c r="AF44" s="91">
        <f>'2026'!L29</f>
        <v>4.791467015410189E-2</v>
      </c>
      <c r="AG44" s="48">
        <f>'2026'!O29</f>
        <v>3.0594902650015687E-2</v>
      </c>
      <c r="AH44" s="66">
        <f>'2026'!P29</f>
        <v>5.0786487842637007E-2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'2021'!A60</f>
        <v>44242</v>
      </c>
      <c r="B45" s="91">
        <f>'2021'!L60</f>
        <v>1.4592010348191908E-2</v>
      </c>
      <c r="C45" s="48">
        <f>'2021'!O60</f>
        <v>4.029794367695836E-2</v>
      </c>
      <c r="D45" s="66">
        <f>'2021'!P60</f>
        <v>6.552794298040422E-3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59">
        <f>'2026'!A60</f>
        <v>46068</v>
      </c>
      <c r="AF45" s="91">
        <f>'2026'!L60</f>
        <v>4.8480149020752927E-2</v>
      </c>
      <c r="AG45" s="48">
        <f>'2026'!O60</f>
        <v>3.2957338923580083E-2</v>
      </c>
      <c r="AH45" s="66">
        <f>'2026'!P60</f>
        <v>3.6756378751062899E-2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'2021'!A88</f>
        <v>44270</v>
      </c>
      <c r="B46" s="91">
        <f>'2021'!L88</f>
        <v>1.512065690254083E-2</v>
      </c>
      <c r="C46" s="48">
        <f>'2021'!O88</f>
        <v>4.1319453206186102E-2</v>
      </c>
      <c r="D46" s="66">
        <f>'2021'!P88</f>
        <v>1.2567284689757145E-3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59">
        <f>'2026'!A88</f>
        <v>46096</v>
      </c>
      <c r="AF46" s="91">
        <f>'2026'!L88</f>
        <v>4.8990615442678798E-2</v>
      </c>
      <c r="AG46" s="48">
        <f>'2026'!O88</f>
        <v>3.5034319691393902E-2</v>
      </c>
      <c r="AH46" s="66">
        <f>'2026'!P88</f>
        <v>6.9972816596002019E-3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'2021'!A119</f>
        <v>44301</v>
      </c>
      <c r="B47" s="91">
        <f>'2021'!L119</f>
        <v>1.5705613352623771E-2</v>
      </c>
      <c r="C47" s="48">
        <f>'2021'!O119</f>
        <v>4.258412399433132E-2</v>
      </c>
      <c r="D47" s="66">
        <f>'2021'!P119</f>
        <v>1.016393339446559E-3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59">
        <f>'2026'!A119</f>
        <v>46127</v>
      </c>
      <c r="AF47" s="91">
        <f>'2026'!L119</f>
        <v>4.9555455265429815E-2</v>
      </c>
      <c r="AG47" s="48">
        <f>'2026'!O119</f>
        <v>3.7400725798541562E-2</v>
      </c>
      <c r="AH47" s="66">
        <f>'2026'!P119</f>
        <v>1.6381137569223399E-5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'2021'!A149</f>
        <v>44331</v>
      </c>
      <c r="B48" s="91">
        <f>'2021'!L149</f>
        <v>1.6271369440547967E-2</v>
      </c>
      <c r="C48" s="48">
        <f>'2021'!O149</f>
        <v>4.4264482895966031E-2</v>
      </c>
      <c r="D48" s="66">
        <f>'2021'!P149</f>
        <v>3.6081985779873668E-4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59">
        <f>'2026'!A149</f>
        <v>46157</v>
      </c>
      <c r="AF48" s="91">
        <f>'2026'!L149</f>
        <v>5.0101755025656391E-2</v>
      </c>
      <c r="AG48" s="48">
        <f>'2026'!O149</f>
        <v>4.0064598355919002E-2</v>
      </c>
      <c r="AH48" s="66">
        <f>'2026'!P149</f>
        <v>1.515522997417484E-5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'2021'!A180</f>
        <v>44362</v>
      </c>
      <c r="B49" s="91">
        <f>'2021'!L180</f>
        <v>1.6855642439682406E-2</v>
      </c>
      <c r="C49" s="48">
        <f>'2021'!O180</f>
        <v>4.6229970771561692E-2</v>
      </c>
      <c r="D49" s="66">
        <f>'2021'!P180</f>
        <v>9.2758859515440546E-5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59">
        <f>'2026'!A180</f>
        <v>46188</v>
      </c>
      <c r="AF49" s="91">
        <f>'2026'!L180</f>
        <v>5.0665934901307774E-2</v>
      </c>
      <c r="AG49" s="48">
        <f>'2026'!O180</f>
        <v>4.3016243758813445E-2</v>
      </c>
      <c r="AH49" s="66">
        <f>'2026'!P180</f>
        <v>7.8928617655328231E-6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'2021'!A210</f>
        <v>44392</v>
      </c>
      <c r="B50" s="91">
        <f>'2021'!L210</f>
        <v>1.7420737509961648E-2</v>
      </c>
      <c r="C50" s="48">
        <f>'2021'!O210</f>
        <v>4.7622213987629732E-2</v>
      </c>
      <c r="D50" s="66">
        <f>'2021'!P210</f>
        <v>1.2181621095083063E-4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59">
        <f>'2026'!A210</f>
        <v>46218</v>
      </c>
      <c r="AF50" s="91">
        <f>'2026'!L210</f>
        <v>5.1211596376258051E-2</v>
      </c>
      <c r="AG50" s="48">
        <f>'2026'!O210</f>
        <v>4.5382818020329944E-2</v>
      </c>
      <c r="AH50" s="66">
        <f>'2026'!P210</f>
        <v>2.1469467714832302E-5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'2021'!A241</f>
        <v>44423</v>
      </c>
      <c r="B51" s="91">
        <f>'2021'!L241</f>
        <v>1.8004327856677271E-2</v>
      </c>
      <c r="C51" s="48">
        <f>'2021'!O241</f>
        <v>4.8636040542862122E-2</v>
      </c>
      <c r="D51" s="66">
        <f>'2021'!P241</f>
        <v>1.5412933259126395E-3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59">
        <f>'2026'!A241</f>
        <v>46249</v>
      </c>
      <c r="AF51" s="91">
        <f>'2026'!L241</f>
        <v>5.1775117075878119E-2</v>
      </c>
      <c r="AG51" s="48">
        <f>'2026'!O241</f>
        <v>4.7386548099999162E-2</v>
      </c>
      <c r="AH51" s="66">
        <f>'2026'!P241</f>
        <v>4.0710119485642027E-4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'2021'!A272</f>
        <v>44454</v>
      </c>
      <c r="B52" s="91">
        <f>'2021'!L272</f>
        <v>1.8587571587393881E-2</v>
      </c>
      <c r="C52" s="48">
        <f>'2021'!O272</f>
        <v>4.9457938673882776E-2</v>
      </c>
      <c r="D52" s="66">
        <f>'2021'!P272</f>
        <v>3.0882220813374353E-3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59">
        <f>'2026'!A272</f>
        <v>46280</v>
      </c>
      <c r="AF52" s="91">
        <f>'2026'!L272</f>
        <v>5.2338303079608517E-2</v>
      </c>
      <c r="AG52" s="48">
        <f>'2026'!O272</f>
        <v>4.9155999505255094E-2</v>
      </c>
      <c r="AH52" s="66">
        <f>'2026'!P272</f>
        <v>8.5767003857235369E-4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'2021'!A302</f>
        <v>44484</v>
      </c>
      <c r="B53" s="91">
        <f>'2021'!L302</f>
        <v>1.9151671173524898E-2</v>
      </c>
      <c r="C53" s="48">
        <f>'2021'!O302</f>
        <v>4.9829841820692479E-2</v>
      </c>
      <c r="D53" s="66">
        <f>'2021'!P302</f>
        <v>5.296369299979984E-3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59">
        <f>'2026'!A302</f>
        <v>46310</v>
      </c>
      <c r="AF53" s="91">
        <f>'2026'!L302</f>
        <v>5.2883003305067899E-2</v>
      </c>
      <c r="AG53" s="48">
        <f>'2026'!O302</f>
        <v>5.0395161197419096E-2</v>
      </c>
      <c r="AH53" s="66">
        <f>'2026'!P302</f>
        <v>1.3020588618236136E-3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'2021'!A333</f>
        <v>44515</v>
      </c>
      <c r="B54" s="91">
        <f>'2021'!L333</f>
        <v>1.9734233454398509E-2</v>
      </c>
      <c r="C54" s="48">
        <f>'2021'!O333</f>
        <v>5.2790710974056833E-2</v>
      </c>
      <c r="D54" s="66">
        <f>'2021'!P333</f>
        <v>1.5808055475695578E-2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59">
        <f>'2026'!A333</f>
        <v>46341</v>
      </c>
      <c r="AF54" s="91">
        <f>'2026'!L333</f>
        <v>5.3445531293986326E-2</v>
      </c>
      <c r="AG54" s="48">
        <f>'2026'!O333</f>
        <v>5.1101242294782127E-2</v>
      </c>
      <c r="AH54" s="66">
        <f>'2026'!P333</f>
        <v>4.9751828937990615E-3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'2021'!A363</f>
        <v>44545</v>
      </c>
      <c r="B55" s="92">
        <f>'2021'!L363</f>
        <v>2.0297673958306839E-2</v>
      </c>
      <c r="C55" s="49">
        <f>'2021'!O363</f>
        <v>5.9145334653995546E-2</v>
      </c>
      <c r="D55" s="67">
        <f>'2021'!P363</f>
        <v>1.4234471469256025E-2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0">
        <f>'2026'!A363</f>
        <v>46371</v>
      </c>
      <c r="AF55" s="92">
        <f>'2026'!L363</f>
        <v>5.3989595103032695E-2</v>
      </c>
      <c r="AG55" s="49">
        <f>'2026'!O363</f>
        <v>5.2128598602789893E-2</v>
      </c>
      <c r="AH55" s="67">
        <f>'2026'!P363</f>
        <v>4.3733253674489731E-3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'2022'!A29</f>
        <v>44576</v>
      </c>
      <c r="B56" s="91">
        <f>'2022'!L29</f>
        <v>2.0879555585529341E-2</v>
      </c>
      <c r="C56" s="48">
        <f>'2022'!O29</f>
        <v>6.5632546133743863E-2</v>
      </c>
      <c r="D56" s="66">
        <f>'2022'!P29</f>
        <v>1.3668443847306595E-2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59">
        <f>'2027'!A29</f>
        <v>46402</v>
      </c>
      <c r="AF56" s="91">
        <f>'2027'!L29</f>
        <v>5.4551465845949942E-2</v>
      </c>
      <c r="AG56" s="48">
        <f>'2027'!O29</f>
        <v>5.3630313639658943E-2</v>
      </c>
      <c r="AH56" s="66">
        <f>'2027'!P29</f>
        <v>4.3837948640059873E-3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'2022'!A60</f>
        <v>44607</v>
      </c>
      <c r="B57" s="91">
        <f>'2022'!L60</f>
        <v>2.1461091611624794E-2</v>
      </c>
      <c r="C57" s="48">
        <f>'2022'!O60</f>
        <v>7.1690084451559638E-2</v>
      </c>
      <c r="D57" s="66">
        <f>'2022'!P60</f>
        <v>1.0627764997205563E-2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59">
        <f>'2027'!A60</f>
        <v>46433</v>
      </c>
      <c r="AF57" s="91">
        <f>'2027'!L60</f>
        <v>5.511300287294818E-2</v>
      </c>
      <c r="AG57" s="48">
        <f>'2027'!O60</f>
        <v>5.5169468372731276E-2</v>
      </c>
      <c r="AH57" s="66">
        <f>'2027'!P60</f>
        <v>2.9295518455873496E-3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'2022'!A88</f>
        <v>44635</v>
      </c>
      <c r="B58" s="91">
        <f>'2022'!L88</f>
        <v>2.1986053076975542E-2</v>
      </c>
      <c r="C58" s="48">
        <f>'2022'!O88</f>
        <v>7.677104139230892E-2</v>
      </c>
      <c r="D58" s="66">
        <f>'2022'!P88</f>
        <v>1.9875417829933618E-3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59">
        <f>'2027'!A88</f>
        <v>46461</v>
      </c>
      <c r="AF58" s="91">
        <f>'2027'!L88</f>
        <v>5.5619910935929107E-2</v>
      </c>
      <c r="AG58" s="48">
        <f>'2027'!O88</f>
        <v>5.6537863126866733E-2</v>
      </c>
      <c r="AH58" s="66">
        <f>'2027'!P88</f>
        <v>6.0692899318828103E-4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'2022'!A119</f>
        <v>44666</v>
      </c>
      <c r="B59" s="91">
        <f>'2022'!L119</f>
        <v>2.25669319130819E-2</v>
      </c>
      <c r="C59" s="48">
        <f>'2022'!O119</f>
        <v>8.2281226352000997E-2</v>
      </c>
      <c r="D59" s="66">
        <f>'2022'!P119</f>
        <v>1.5839478364917908E-3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59">
        <f>'2027'!A119</f>
        <v>46492</v>
      </c>
      <c r="AF59" s="91">
        <f>'2027'!L119</f>
        <v>5.6180813373673977E-2</v>
      </c>
      <c r="AG59" s="48">
        <f>'2027'!O119</f>
        <v>5.8225403358589438E-2</v>
      </c>
      <c r="AH59" s="66">
        <f>'2027'!P119</f>
        <v>5.1175472984962692E-4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'2022'!A149</f>
        <v>44696</v>
      </c>
      <c r="B60" s="91">
        <f>'2022'!L149</f>
        <v>2.3128744228899434E-2</v>
      </c>
      <c r="C60" s="48">
        <f>'2022'!O149</f>
        <v>7.8993863448831043E-3</v>
      </c>
      <c r="D60" s="66">
        <f>'2022'!P149</f>
        <v>5.9984079558445251E-4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59">
        <f>'2027'!A149</f>
        <v>46522</v>
      </c>
      <c r="AF60" s="91">
        <f>'2027'!L149</f>
        <v>5.6723304987948309E-2</v>
      </c>
      <c r="AG60" s="48">
        <f>'2027'!O149</f>
        <v>8.7378373319264568E-3</v>
      </c>
      <c r="AH60" s="66">
        <f>'2027'!P149</f>
        <v>1.7999227544281785E-4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'2022'!A180</f>
        <v>44727</v>
      </c>
      <c r="B61" s="91">
        <f>'2022'!L180</f>
        <v>2.3708944378256658E-2</v>
      </c>
      <c r="C61" s="48">
        <f>'2022'!O180</f>
        <v>9.8692127500720067E-3</v>
      </c>
      <c r="D61" s="66">
        <f>'2022'!P180</f>
        <v>1.5789385776617511E-4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59">
        <f>'2027'!A180</f>
        <v>46553</v>
      </c>
      <c r="AF61" s="91">
        <f>'2027'!L180</f>
        <v>5.7283552078952304E-2</v>
      </c>
      <c r="AG61" s="48">
        <f>'2027'!O180</f>
        <v>1.2193843738397426E-2</v>
      </c>
      <c r="AH61" s="66">
        <f>'2027'!P180</f>
        <v>5.2789904990540473E-5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'2022'!A210</f>
        <v>44757</v>
      </c>
      <c r="B62" s="91">
        <f>'2022'!L210</f>
        <v>2.4270100284250695E-2</v>
      </c>
      <c r="C62" s="48">
        <f>'2022'!O210</f>
        <v>1.166749468183772E-2</v>
      </c>
      <c r="D62" s="66">
        <f>'2022'!P210</f>
        <v>2.722010548398556E-4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59">
        <f>'2027'!A210</f>
        <v>46583</v>
      </c>
      <c r="AF62" s="91">
        <f>'2027'!L210</f>
        <v>5.7825409857308885E-2</v>
      </c>
      <c r="AG62" s="48">
        <f>'2027'!O210</f>
        <v>1.5380817618081702E-2</v>
      </c>
      <c r="AH62" s="66">
        <f>'2027'!P210</f>
        <v>7.4586993871845155E-5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'2022'!A241</f>
        <v>44788</v>
      </c>
      <c r="B63" s="91">
        <f>'2022'!L241</f>
        <v>2.4849622539822036E-2</v>
      </c>
      <c r="C63" s="48">
        <f>'2022'!O241</f>
        <v>1.3392387980598709E-2</v>
      </c>
      <c r="D63" s="66">
        <f>'2022'!P241</f>
        <v>2.3820330391920177E-3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59">
        <f>'2027'!A241</f>
        <v>46614</v>
      </c>
      <c r="AF63" s="91">
        <f>'2027'!L241</f>
        <v>5.8385002367265404E-2</v>
      </c>
      <c r="AG63" s="48">
        <f>'2027'!O241</f>
        <v>1.8457293805814099E-2</v>
      </c>
      <c r="AH63" s="66">
        <f>'2027'!P241</f>
        <v>1.0074742438030103E-3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'2022'!A272</f>
        <v>44819</v>
      </c>
      <c r="B64" s="91">
        <f>'2022'!L272</f>
        <v>2.5428800595584944E-2</v>
      </c>
      <c r="C64" s="48">
        <f>'2022'!O272</f>
        <v>1.5019411281769042E-2</v>
      </c>
      <c r="D64" s="66">
        <f>'2022'!P272</f>
        <v>4.5761007812206364E-3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59">
        <f>'2027'!A272</f>
        <v>46645</v>
      </c>
      <c r="AF64" s="91">
        <f>'2027'!L272</f>
        <v>5.8944262514430079E-2</v>
      </c>
      <c r="AG64" s="48">
        <f>'2027'!O272</f>
        <v>2.1353097305197598E-2</v>
      </c>
      <c r="AH64" s="66">
        <f>'2027'!P272</f>
        <v>2.0383900366046249E-3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'2022'!A302</f>
        <v>44849</v>
      </c>
      <c r="B65" s="91">
        <f>'2022'!L302</f>
        <v>2.5988967956750764E-2</v>
      </c>
      <c r="C65" s="48">
        <f>'2022'!O302</f>
        <v>1.641025496337371E-2</v>
      </c>
      <c r="D65" s="66">
        <f>'2022'!P302</f>
        <v>9.405249879235229E-3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59">
        <f>'2027'!A302</f>
        <v>46675</v>
      </c>
      <c r="AF65" s="91">
        <f>'2027'!L302</f>
        <v>5.948516574397289E-2</v>
      </c>
      <c r="AG65" s="48">
        <f>'2027'!O302</f>
        <v>2.3849203783054818E-2</v>
      </c>
      <c r="AH65" s="66">
        <f>'2027'!P302</f>
        <v>3.416406396541487E-3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'2022'!A333</f>
        <v>44880</v>
      </c>
      <c r="B66" s="91">
        <f>'2022'!L333</f>
        <v>2.6567469312920755E-2</v>
      </c>
      <c r="C66" s="48">
        <f>'2022'!O333</f>
        <v>1.7605948404287516E-2</v>
      </c>
      <c r="D66" s="66">
        <f>'2022'!P333</f>
        <v>2.2344992114784436E-2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59">
        <f>'2027'!A333</f>
        <v>46706</v>
      </c>
      <c r="AF66" s="91">
        <f>'2027'!L333</f>
        <v>6.0043772463214795E-2</v>
      </c>
      <c r="AG66" s="48">
        <f>'2027'!O333</f>
        <v>2.6027852383934947E-2</v>
      </c>
      <c r="AH66" s="66">
        <f>'2027'!P333</f>
        <v>1.070945362514903E-2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'2022'!A363</f>
        <v>44910</v>
      </c>
      <c r="B67" s="92">
        <f>'2022'!L363</f>
        <v>2.7126982186193804E-2</v>
      </c>
      <c r="C67" s="49">
        <f>'2022'!O363</f>
        <v>1.8832461144333668E-2</v>
      </c>
      <c r="D67" s="67">
        <f>'2022'!P363</f>
        <v>2.4323284359004948E-2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0">
        <f>'2027'!A363</f>
        <v>46736</v>
      </c>
      <c r="AF67" s="92">
        <f>'2027'!L363</f>
        <v>6.0584043712675451E-2</v>
      </c>
      <c r="AG67" s="49">
        <f>'2027'!O363</f>
        <v>2.819602000563811E-2</v>
      </c>
      <c r="AH67" s="67">
        <f>'2027'!P363</f>
        <v>9.5932225869229983E-3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'2023'!A29</f>
        <v>44941</v>
      </c>
      <c r="B68" s="91">
        <f>'2023'!L29</f>
        <v>2.7704807633412654E-2</v>
      </c>
      <c r="C68" s="48">
        <f>'2023'!O29</f>
        <v>2.0227955417776763E-2</v>
      </c>
      <c r="D68" s="66">
        <f>'2023'!P29</f>
        <v>2.0554959619109303E-2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59">
        <f>'2028'!A29</f>
        <v>46767</v>
      </c>
      <c r="AF68" s="91">
        <f>'2028'!L29</f>
        <v>6.1141997767446221E-2</v>
      </c>
      <c r="AG68" s="48">
        <f>'2028'!O29</f>
        <v>3.0594902650015687E-2</v>
      </c>
      <c r="AH68" s="66">
        <f>'2028'!P29</f>
        <v>9.2985292073945267E-3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'2023'!A60</f>
        <v>44972</v>
      </c>
      <c r="B69" s="91">
        <f>'2023'!L60</f>
        <v>2.8282289888620471E-2</v>
      </c>
      <c r="C69" s="48">
        <f>'2023'!O60</f>
        <v>2.1617689813281531E-2</v>
      </c>
      <c r="D69" s="66">
        <f>'2023'!P60</f>
        <v>1.6580789998634191E-2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59">
        <f>'2028'!A60</f>
        <v>46798</v>
      </c>
      <c r="AF69" s="91">
        <f>'2028'!L60</f>
        <v>6.1699620432564495E-2</v>
      </c>
      <c r="AG69" s="48">
        <f>'2028'!O60</f>
        <v>3.2957338923580083E-2</v>
      </c>
      <c r="AH69" s="66">
        <f>'2028'!P60</f>
        <v>7.0045225447524879E-3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'2023'!A88</f>
        <v>45000</v>
      </c>
      <c r="B70" s="91">
        <f>'2023'!L88</f>
        <v>2.8803591952988539E-2</v>
      </c>
      <c r="C70" s="48">
        <f>'2023'!O88</f>
        <v>2.284988581848562E-2</v>
      </c>
      <c r="D70" s="66">
        <f>'2023'!P88</f>
        <v>2.9650128841587115E-3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59">
        <f>'2028'!A88</f>
        <v>46826</v>
      </c>
      <c r="AF70" s="91">
        <f>'2028'!L88</f>
        <v>6.2202994941206291E-2</v>
      </c>
      <c r="AG70" s="48">
        <f>'2028'!O88</f>
        <v>3.5034319691393902E-2</v>
      </c>
      <c r="AH70" s="66">
        <f>'2028'!P88</f>
        <v>1.3377423072059281E-3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'2023'!A119</f>
        <v>45031</v>
      </c>
      <c r="B71" s="91">
        <f>'2023'!L119</f>
        <v>2.938042159934684E-2</v>
      </c>
      <c r="C71" s="48">
        <f>'2023'!O119</f>
        <v>2.4271856924571095E-2</v>
      </c>
      <c r="D71" s="66">
        <f>'2023'!P119</f>
        <v>2.529041853643184E-3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59">
        <f>'2028'!A119</f>
        <v>46857</v>
      </c>
      <c r="AF71" s="91">
        <f>'2028'!L119</f>
        <v>6.2759987440665466E-2</v>
      </c>
      <c r="AG71" s="48">
        <f>'2028'!O119</f>
        <v>3.7400725798541562E-2</v>
      </c>
      <c r="AH71" s="66">
        <f>'2028'!P119</f>
        <v>1.079309226894858E-3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'2023'!A149</f>
        <v>45061</v>
      </c>
      <c r="B72" s="91">
        <f>'2023'!L149</f>
        <v>2.9938317634301326E-2</v>
      </c>
      <c r="C72" s="48">
        <f>'2023'!O149</f>
        <v>8.7378373319264568E-3</v>
      </c>
      <c r="D72" s="66">
        <f>'2023'!P149</f>
        <v>1.1938831722959036E-3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59">
        <f>'2028'!A149</f>
        <v>46887</v>
      </c>
      <c r="AF72" s="91">
        <f>'2028'!L149</f>
        <v>6.3298697454808317E-2</v>
      </c>
      <c r="AG72" s="48">
        <f>'2028'!O149</f>
        <v>4.0064598355919002E-2</v>
      </c>
      <c r="AH72" s="66">
        <f>'2028'!P149</f>
        <v>3.8336456128097745E-4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'2023'!A180</f>
        <v>45092</v>
      </c>
      <c r="B73" s="91">
        <f>'2023'!L180</f>
        <v>3.0514473324899427E-2</v>
      </c>
      <c r="C73" s="48">
        <f>'2023'!O180</f>
        <v>1.2193843738397426E-2</v>
      </c>
      <c r="D73" s="66">
        <f>'2023'!P180</f>
        <v>2.5496321775417139E-4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59">
        <f>'2028'!A180</f>
        <v>46918</v>
      </c>
      <c r="AF73" s="91">
        <f>'2028'!L180</f>
        <v>6.3855039175817252E-2</v>
      </c>
      <c r="AG73" s="48">
        <f>'2028'!O180</f>
        <v>4.3016243758813445E-2</v>
      </c>
      <c r="AH73" s="66">
        <f>'2028'!P180</f>
        <v>9.7741994369754124E-5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'2023'!A210</f>
        <v>45122</v>
      </c>
      <c r="B74" s="91">
        <f>'2023'!L210</f>
        <v>3.1071717525731568E-2</v>
      </c>
      <c r="C74" s="48">
        <f>'2023'!O210</f>
        <v>1.5380817618081702E-2</v>
      </c>
      <c r="D74" s="66">
        <f>'2023'!P210</f>
        <v>4.7618784330381002E-4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59">
        <f>'2028'!A210</f>
        <v>46948</v>
      </c>
      <c r="AF74" s="91">
        <f>'2028'!L210</f>
        <v>6.4393119772385266E-2</v>
      </c>
      <c r="AG74" s="48">
        <f>'2028'!O210</f>
        <v>4.5382818020329944E-2</v>
      </c>
      <c r="AH74" s="66">
        <f>'2028'!P210</f>
        <v>1.2770452002885802E-4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'2023'!A241</f>
        <v>45153</v>
      </c>
      <c r="B75" s="91">
        <f>'2023'!L241</f>
        <v>3.1647200048005364E-2</v>
      </c>
      <c r="C75" s="48">
        <f>'2023'!O241</f>
        <v>1.8457293805814099E-2</v>
      </c>
      <c r="D75" s="66">
        <f>'2023'!P241</f>
        <v>3.2927623794717343E-3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59">
        <f>'2028'!A241</f>
        <v>46979</v>
      </c>
      <c r="AF75" s="91">
        <f>'2028'!L241</f>
        <v>6.494881147529985E-2</v>
      </c>
      <c r="AG75" s="48">
        <f>'2028'!O241</f>
        <v>4.7386548099999162E-2</v>
      </c>
      <c r="AH75" s="66">
        <f>'2028'!P241</f>
        <v>1.6078472927495999E-3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'2023'!A272</f>
        <v>45184</v>
      </c>
      <c r="B76" s="91">
        <f>'2023'!L272</f>
        <v>3.2222340769818447E-2</v>
      </c>
      <c r="C76" s="48">
        <f>'2023'!O272</f>
        <v>2.1353097305197598E-2</v>
      </c>
      <c r="D76" s="66">
        <f>'2023'!P272</f>
        <v>6.1320534029130225E-3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59">
        <f>'2028'!A272</f>
        <v>47010</v>
      </c>
      <c r="AF76" s="91">
        <f>'2028'!L272</f>
        <v>6.550417313225676E-2</v>
      </c>
      <c r="AG76" s="48">
        <f>'2028'!O272</f>
        <v>4.9155999505255094E-2</v>
      </c>
      <c r="AH76" s="66">
        <f>'2028'!P272</f>
        <v>3.2191100346368952E-3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'2023'!A302</f>
        <v>45214</v>
      </c>
      <c r="B77" s="91">
        <f>'2023'!L302</f>
        <v>3.277860331676985E-2</v>
      </c>
      <c r="C77" s="48">
        <f>'2023'!O302</f>
        <v>2.3849203783054818E-2</v>
      </c>
      <c r="D77" s="66">
        <f>'2023'!P302</f>
        <v>1.3918454599503367E-2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59">
        <f>'2028'!A302</f>
        <v>47040</v>
      </c>
      <c r="AF77" s="91">
        <f>'2028'!L302</f>
        <v>6.6041305833979158E-2</v>
      </c>
      <c r="AG77" s="48">
        <f>'2028'!O302</f>
        <v>5.0395161197419096E-2</v>
      </c>
      <c r="AH77" s="66">
        <f>'2028'!P302</f>
        <v>5.5307539312593615E-3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'2023'!A333</f>
        <v>45245</v>
      </c>
      <c r="B78" s="91">
        <f>'2023'!L333</f>
        <v>3.3353072056127031E-2</v>
      </c>
      <c r="C78" s="48">
        <f>'2023'!O333</f>
        <v>2.6027852383934947E-2</v>
      </c>
      <c r="D78" s="66">
        <f>'2023'!P333</f>
        <v>2.9040160565141446E-2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59">
        <f>'2028'!A333</f>
        <v>47071</v>
      </c>
      <c r="AF78" s="91">
        <f>'2028'!L333</f>
        <v>6.6596018617928299E-2</v>
      </c>
      <c r="AG78" s="48">
        <f>'2028'!O333</f>
        <v>5.1101242294782127E-2</v>
      </c>
      <c r="AH78" s="66">
        <f>'2028'!P333</f>
        <v>1.6443724356498993E-2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'2023'!A363</f>
        <v>45275</v>
      </c>
      <c r="B79" s="92">
        <f>'2023'!L363</f>
        <v>3.390868467748942E-2</v>
      </c>
      <c r="C79" s="49">
        <f>'2023'!O363</f>
        <v>2.819602000563811E-2</v>
      </c>
      <c r="D79" s="67">
        <f>'2023'!P363</f>
        <v>3.5364447542802491E-2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0">
        <f>'2028'!A363</f>
        <v>47101</v>
      </c>
      <c r="AF79" s="92">
        <f>'2028'!L363</f>
        <v>6.7132523744974915E-2</v>
      </c>
      <c r="AG79" s="49">
        <f>'2028'!O363</f>
        <v>5.2128598602789893E-2</v>
      </c>
      <c r="AH79" s="67">
        <f>'2028'!P363</f>
        <v>1.4813119806397025E-2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  <mergeCell ref="AN6:AO6"/>
    <mergeCell ref="AT6:AU6"/>
    <mergeCell ref="AZ11:BA11"/>
    <mergeCell ref="AO7:AP7"/>
    <mergeCell ref="BA7:BB7"/>
    <mergeCell ref="AT11:AU11"/>
    <mergeCell ref="AN11:AO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H11:AI11"/>
    <mergeCell ref="E7:F7"/>
    <mergeCell ref="AI7:AJ7"/>
    <mergeCell ref="V11:W11"/>
    <mergeCell ref="P11:Q11"/>
    <mergeCell ref="J11:K11"/>
    <mergeCell ref="D11:E11"/>
    <mergeCell ref="B2:F2"/>
    <mergeCell ref="A3:F3"/>
    <mergeCell ref="G3:L3"/>
    <mergeCell ref="Q7:R7"/>
    <mergeCell ref="AB11:AC11"/>
    <mergeCell ref="Z1:AA1"/>
    <mergeCell ref="W7:X7"/>
    <mergeCell ref="K7:L7"/>
    <mergeCell ref="M3:R3"/>
    <mergeCell ref="H1:K1"/>
  </mergeCells>
  <conditionalFormatting sqref="B5 H5 N5 T5 Z5 AF5 AL5 AR5 AX5 BD5 BJ5 BP5 BV5">
    <cfRule type="expression" dxfId="31" priority="132" stopIfTrue="1">
      <formula>AND(B5="D",C5&lt;&gt;"D")</formula>
    </cfRule>
    <cfRule type="expression" dxfId="30" priority="992" stopIfTrue="1">
      <formula>YEAR(B5)&lt;&gt;A3</formula>
    </cfRule>
  </conditionalFormatting>
  <conditionalFormatting sqref="B4 H4 N4 T4 Z4 AF4 AL4 AR4 AX4 BD4 BJ4 BP4 BV4">
    <cfRule type="expression" dxfId="29" priority="133" stopIfTrue="1">
      <formula>YEAR(B4)&lt;&gt;A3</formula>
    </cfRule>
    <cfRule type="expression" dxfId="28" priority="149" stopIfTrue="1">
      <formula>AND(B4="D",C4&lt;&gt;"D")</formula>
    </cfRule>
  </conditionalFormatting>
  <conditionalFormatting sqref="B6 H6 N6 T6 Z6 AF6 AL6 AR6 AX6 BD6 BJ6 BP6 BV6">
    <cfRule type="expression" dxfId="27" priority="154" stopIfTrue="1">
      <formula>YEAR(B6)&lt;&gt;A3</formula>
    </cfRule>
  </conditionalFormatting>
  <conditionalFormatting sqref="C4:BY6">
    <cfRule type="cellIs" dxfId="26" priority="1162" stopIfTrue="1" operator="equal">
      <formula>"D"</formula>
    </cfRule>
  </conditionalFormatting>
  <conditionalFormatting sqref="N6 Z6 AL6 AR6 BD6 BJ6 BP6 BV6 AF6 AX6 B6 H6 T6">
    <cfRule type="expression" dxfId="25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24" priority="4" stopIfTrue="1">
      <formula>B6&lt;&gt;"D"</formula>
    </cfRule>
  </conditionalFormatting>
  <conditionalFormatting sqref="E7 K7 Q7 W7 AC7 AI7 AO7 AU7 BA7 BG7 BM7 BS7 BY7">
    <cfRule type="cellIs" dxfId="23" priority="5" stopIfTrue="1" operator="lessThan">
      <formula>0.01</formula>
    </cfRule>
    <cfRule type="cellIs" dxfId="22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1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0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7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1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3">
        <f>YEAR(E6)</f>
        <v>2019</v>
      </c>
      <c r="K1" s="1274"/>
      <c r="L1" s="113" t="str">
        <f>"Calcul pertes et enveloppes en "&amp;TEXT(An,0)</f>
        <v>Calcul pertes et enveloppes en 2019</v>
      </c>
      <c r="M1" s="242"/>
      <c r="N1" s="242"/>
      <c r="O1" s="456"/>
      <c r="P1" s="456"/>
      <c r="Q1" s="456"/>
      <c r="R1" s="456"/>
      <c r="S1" s="456"/>
      <c r="T1" s="456"/>
      <c r="U1" s="456"/>
      <c r="V1" s="456"/>
      <c r="W1" s="454"/>
      <c r="X1" s="485" t="str">
        <f>"Prévision sans nettoyage ni taille végétation en "&amp;TEXT(An,0)</f>
        <v>Prévision sans nettoyage ni taille végétation en 2019</v>
      </c>
      <c r="Y1" s="486"/>
      <c r="Z1" s="487"/>
      <c r="AA1" s="488"/>
      <c r="AB1" s="489"/>
      <c r="AC1" s="490"/>
      <c r="AD1" s="490"/>
      <c r="AE1" s="490"/>
      <c r="AF1" s="456"/>
      <c r="AG1" s="456"/>
      <c r="AH1" s="456"/>
      <c r="AI1" s="490"/>
      <c r="AL1" s="817" t="s">
        <v>265</v>
      </c>
    </row>
    <row r="2" spans="1:40" s="6" customFormat="1" ht="16.5" thickBot="1" x14ac:dyDescent="0.3"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96"/>
      <c r="AD2" s="496"/>
      <c r="AE2" s="496"/>
      <c r="AF2" s="460"/>
      <c r="AG2" s="497"/>
      <c r="AH2" s="498"/>
      <c r="AI2" s="496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78">
        <v>44926</v>
      </c>
      <c r="F3" s="1279"/>
      <c r="G3" s="605">
        <f>YEAR(Tmaj)</f>
        <v>2022</v>
      </c>
      <c r="H3" s="563"/>
      <c r="I3" s="563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165</v>
      </c>
      <c r="V3" s="622">
        <f>Salim_i</f>
        <v>0.08</v>
      </c>
      <c r="W3" s="448"/>
      <c r="X3" s="500" t="s">
        <v>96</v>
      </c>
      <c r="Y3" s="501"/>
      <c r="Z3" s="502"/>
      <c r="AA3" s="496"/>
      <c r="AB3" s="496"/>
      <c r="AC3" s="503"/>
      <c r="AD3" s="493"/>
      <c r="AE3" s="503"/>
      <c r="AF3" s="493"/>
      <c r="AG3" s="497"/>
      <c r="AH3" s="498"/>
      <c r="AI3" s="503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thickBot="1" x14ac:dyDescent="0.3">
      <c r="D4" s="105" t="s">
        <v>133</v>
      </c>
      <c r="E4" s="1280" t="s">
        <v>334</v>
      </c>
      <c r="F4" s="1281"/>
      <c r="G4" s="1281"/>
      <c r="H4" s="1281"/>
      <c r="I4" s="1282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0.8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503"/>
      <c r="AD4" s="503"/>
      <c r="AE4" s="503"/>
      <c r="AF4" s="493"/>
      <c r="AG4" s="497"/>
      <c r="AH4" s="498"/>
      <c r="AI4" s="503"/>
      <c r="AJ4" s="821">
        <f>AL12-AJ12</f>
        <v>-1.4928542681474255E-2</v>
      </c>
      <c r="AK4" s="822">
        <f>AM12-AK12</f>
        <v>0.79347940794409144</v>
      </c>
      <c r="AL4" s="821"/>
      <c r="AM4" s="822"/>
      <c r="AN4" s="820" t="s">
        <v>267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78">
        <v>43475</v>
      </c>
      <c r="F5" s="1279"/>
      <c r="G5" s="558"/>
      <c r="H5" s="558"/>
      <c r="I5" s="558"/>
      <c r="J5" s="19"/>
      <c r="K5" s="192"/>
      <c r="L5" s="504"/>
      <c r="M5" s="503"/>
      <c r="N5" s="503"/>
      <c r="O5" s="426"/>
      <c r="P5" s="506"/>
      <c r="Q5" s="506"/>
      <c r="R5" s="493"/>
      <c r="S5" s="497"/>
      <c r="T5" s="497"/>
      <c r="U5" s="493"/>
      <c r="V5" s="505"/>
      <c r="W5" s="506"/>
      <c r="X5" s="507"/>
      <c r="Y5" s="508"/>
      <c r="Z5" s="235">
        <f>Wh_Psa_s-Wh_Psa</f>
        <v>-1.4928542681474255E-2</v>
      </c>
      <c r="AA5" s="236">
        <f>Wh_Pvg_s-Wh_Pvg</f>
        <v>0.79507472943753799</v>
      </c>
      <c r="AB5" s="512" t="s">
        <v>6</v>
      </c>
      <c r="AC5" s="493"/>
      <c r="AD5" s="503"/>
      <c r="AE5" s="506"/>
      <c r="AF5" s="493"/>
      <c r="AG5" s="497"/>
      <c r="AH5" s="498"/>
      <c r="AI5" s="506"/>
      <c r="AJ5" s="514">
        <f>SUMIF(AJ15:AJ380,"VRAI",Wh)</f>
        <v>0</v>
      </c>
      <c r="AK5" s="514">
        <f>SUMIF(AK15:AK380,"VRAI",Wh)</f>
        <v>1895.9750000000001</v>
      </c>
      <c r="AL5" s="514">
        <f>SUMIF(AJ15:AJ380,"VRAI",Wh_s)</f>
        <v>0</v>
      </c>
      <c r="AM5" s="514">
        <f>SUMIF(AK15:AK380,"VRAI",Wh_s)</f>
        <v>1895.9750000000001</v>
      </c>
      <c r="AN5" s="820" t="s">
        <v>263</v>
      </c>
    </row>
    <row r="6" spans="1:40" s="6" customFormat="1" ht="16.5" customHeight="1" thickBot="1" x14ac:dyDescent="0.3">
      <c r="A6" s="35"/>
      <c r="B6" s="178"/>
      <c r="C6" s="178"/>
      <c r="D6" s="106" t="s">
        <v>11</v>
      </c>
      <c r="E6" s="1278">
        <v>43522</v>
      </c>
      <c r="F6" s="1279"/>
      <c r="G6" s="574"/>
      <c r="H6" s="555"/>
      <c r="I6" s="555"/>
      <c r="J6" s="35"/>
      <c r="K6" s="193"/>
      <c r="L6" s="154" t="s">
        <v>83</v>
      </c>
      <c r="M6" s="41"/>
      <c r="N6" s="41"/>
      <c r="O6" s="506"/>
      <c r="P6" s="496"/>
      <c r="Q6" s="496"/>
      <c r="R6" s="513"/>
      <c r="S6" s="497"/>
      <c r="T6" s="497"/>
      <c r="U6" s="513"/>
      <c r="V6" s="498"/>
      <c r="W6" s="460"/>
      <c r="X6" s="495"/>
      <c r="Y6" s="496"/>
      <c r="Z6" s="460"/>
      <c r="AA6" s="460"/>
      <c r="AB6" s="514"/>
      <c r="AC6" s="498"/>
      <c r="AD6" s="513"/>
      <c r="AE6" s="513"/>
      <c r="AF6" s="498"/>
      <c r="AG6" s="497"/>
      <c r="AH6" s="497"/>
      <c r="AI6" s="498"/>
      <c r="AJ6" s="514">
        <f>SUMIF(AJ15:AJ380,"FAUX",Wh)</f>
        <v>10045.735000000006</v>
      </c>
      <c r="AK6" s="514">
        <f>SUMIF(AK15:AK380,"FAUX",Wh)</f>
        <v>8149.759999999992</v>
      </c>
      <c r="AL6" s="514">
        <f>SUMIF(AJ15:AJ380,"FAUX",Wh_s)</f>
        <v>10044.946077858784</v>
      </c>
      <c r="AM6" s="514">
        <f>SUMIF(AK15:AK380,"FAUX",Wh_s)</f>
        <v>8148.9710778587914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AND(YEAR(Tnet)=An,Resal_2019="I")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496"/>
      <c r="P7" s="247"/>
      <c r="Q7" s="247"/>
      <c r="R7" s="515"/>
      <c r="S7" s="515"/>
      <c r="T7" s="515"/>
      <c r="U7" s="247"/>
      <c r="V7" s="426"/>
      <c r="W7" s="516"/>
      <c r="X7" s="517"/>
      <c r="Y7" s="247"/>
      <c r="Z7" s="516"/>
      <c r="AA7" s="516"/>
      <c r="AB7" s="247"/>
      <c r="AC7" s="496"/>
      <c r="AD7" s="247"/>
      <c r="AE7" s="247"/>
      <c r="AF7" s="491"/>
      <c r="AG7" s="491"/>
      <c r="AH7" s="491"/>
      <c r="AI7" s="491"/>
      <c r="AJ7" s="514">
        <f>SUMIF(AJ15:AJ380,"VRAI",Wh_pvt)</f>
        <v>0</v>
      </c>
      <c r="AK7" s="514">
        <f>SUMIF(AK15:AK380,"VRAI",Wh_sa)</f>
        <v>1910.6387546051305</v>
      </c>
      <c r="AL7" s="514">
        <f>SUMIF(AJ15:AJ380,"VRAI",Wh_pvt_s)</f>
        <v>0</v>
      </c>
      <c r="AM7" s="514">
        <f>SUMIF(AK15:AK380,"VRAI",Wh_sa_s)</f>
        <v>1910.6387546051305</v>
      </c>
      <c r="AN7" s="820" t="s">
        <v>255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19" t="b">
        <f>AND(YEAR(Tnet)=An,Tnet&gt;T0,Resal_2019&lt;&gt;"I")</f>
        <v>0</v>
      </c>
      <c r="F8" s="320" t="b">
        <f>AND(YEAR(Ttai)=An,Ttai&gt;DATE(An,1,1))</f>
        <v>1</v>
      </c>
      <c r="H8" s="179" t="s">
        <v>76</v>
      </c>
      <c r="I8" s="98"/>
      <c r="J8" s="158"/>
      <c r="K8" s="191"/>
      <c r="L8" s="114"/>
      <c r="M8" s="114"/>
      <c r="N8" s="114"/>
      <c r="O8" s="518" t="s">
        <v>95</v>
      </c>
      <c r="P8" s="496"/>
      <c r="Q8" s="496"/>
      <c r="R8" s="496"/>
      <c r="S8" s="496"/>
      <c r="T8" s="496"/>
      <c r="U8" s="496"/>
      <c r="W8" s="402"/>
      <c r="X8" s="1271" t="s">
        <v>102</v>
      </c>
      <c r="Y8" s="1272"/>
      <c r="Z8" s="496"/>
      <c r="AA8" s="496"/>
      <c r="AB8" s="460"/>
      <c r="AC8" s="518" t="s">
        <v>95</v>
      </c>
      <c r="AD8" s="460"/>
      <c r="AE8" s="460"/>
      <c r="AF8" s="460"/>
      <c r="AG8" s="460"/>
      <c r="AH8" s="460"/>
      <c r="AI8" s="460"/>
      <c r="AJ8" s="514">
        <f>SUMIF(AJ15:AJ380,"FAUX",Wh_pvt)</f>
        <v>10081.493964163456</v>
      </c>
      <c r="AK8" s="514">
        <f>SUMIF(AK15:AK380,"FAUX",Wh_sa)</f>
        <v>8301.0299266425736</v>
      </c>
      <c r="AL8" s="514">
        <f>SUMIF(AJ15:AJ380,"FAUX",Wh_pvt_s)</f>
        <v>10080.700759738371</v>
      </c>
      <c r="AM8" s="514">
        <f>SUMIF(AK15:AK380,"FAUX",Wh_sa_s)</f>
        <v>8300.2217215026794</v>
      </c>
      <c r="AN8" s="820" t="s">
        <v>256</v>
      </c>
    </row>
    <row r="9" spans="1:40" s="19" customFormat="1" ht="15" customHeight="1" x14ac:dyDescent="0.25">
      <c r="A9" s="183"/>
      <c r="D9" s="73">
        <f>SUM(D$15:D$380)</f>
        <v>10081.493964163456</v>
      </c>
      <c r="E9" s="73">
        <f>SUM(E$15:E$380)</f>
        <v>10211.668681247713</v>
      </c>
      <c r="F9" s="73">
        <f>SUM(F$15:F$380)</f>
        <v>10214.933669134727</v>
      </c>
      <c r="H9" s="1275">
        <f>+SUM(Wh)</f>
        <v>10045.735000000006</v>
      </c>
      <c r="I9" s="1276"/>
      <c r="J9" s="1277"/>
      <c r="K9" s="191"/>
      <c r="L9" s="114"/>
      <c r="M9" s="114"/>
      <c r="N9" s="114"/>
      <c r="O9" s="324">
        <f>MAX(T0,Tnet_2019)</f>
        <v>43475</v>
      </c>
      <c r="P9" s="243" t="s">
        <v>112</v>
      </c>
      <c r="Q9" s="244"/>
      <c r="R9" s="244"/>
      <c r="S9" s="244"/>
      <c r="T9" s="244"/>
      <c r="U9" s="244"/>
      <c r="V9" s="460"/>
      <c r="W9" s="519"/>
      <c r="X9" s="1269">
        <f>+SUM(Wh_s)</f>
        <v>10044.946077858784</v>
      </c>
      <c r="Y9" s="1270"/>
      <c r="Z9" s="514">
        <f>SUM(Z$15:Z$380)</f>
        <v>10080.700759738371</v>
      </c>
      <c r="AA9" s="514">
        <f>SUM(AA$15:AA$380)</f>
        <v>10210.860476107802</v>
      </c>
      <c r="AB9" s="514">
        <f>F9</f>
        <v>10214.933669134727</v>
      </c>
      <c r="AC9" s="324">
        <f>IF(An_Tnet,Tnet,T0)</f>
        <v>43475</v>
      </c>
      <c r="AD9" s="314" t="s">
        <v>103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1910.6749296690805</v>
      </c>
      <c r="AL9" s="514">
        <f>SUMIF(AJ15:AJ380,"VRAI",Wh_sa_s)</f>
        <v>0</v>
      </c>
      <c r="AM9" s="514">
        <f>SUMIF(AK15:AK380,"VRAI",Wh_hp)</f>
        <v>1910.6749296690805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114"/>
      <c r="M10" s="114"/>
      <c r="N10" s="114"/>
      <c r="O10" s="317">
        <f>IF(Inflex,Salim_i*(1-EXP((T0-Tnet)/Tau_j)),IF(Acti_net,Resal_2019,0))</f>
        <v>0</v>
      </c>
      <c r="P10" s="419" t="b">
        <f>NOT(Acti_tai)</f>
        <v>0</v>
      </c>
      <c r="Q10" s="256">
        <f>IF(Acti_tai,0,Dens-Dd)</f>
        <v>0</v>
      </c>
      <c r="R10" s="259"/>
      <c r="S10" s="260"/>
      <c r="T10" s="262"/>
      <c r="U10" s="265">
        <f>IF(Acti_tai,PousHi,Htf_2019-H_i)</f>
        <v>0.4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IF(OR(Inflex,GainD),Salim_i*(1-EXP((T0-Tnet)/Tau_ij)),IF(Acti_net,Salim_i*(1-EXP((T0-Tnet)/Tau_ij)),0))</f>
        <v>0</v>
      </c>
      <c r="AD10" s="426"/>
      <c r="AE10" s="426"/>
      <c r="AF10" s="259"/>
      <c r="AG10" s="260"/>
      <c r="AH10" s="261"/>
      <c r="AI10" s="426"/>
      <c r="AJ10" s="514">
        <f>SUMIF(AJ15:AJ380,"FAUX",Wh_sa)</f>
        <v>10211.668681247713</v>
      </c>
      <c r="AK10" s="514">
        <f>SUMIF(AK15:AK380,"FAUX",Wh_hp)</f>
        <v>8304.2587394656566</v>
      </c>
      <c r="AL10" s="514">
        <f>SUMIF(AJ15:AJ380,"FAUX",Wh_sa_s)</f>
        <v>10210.860476107802</v>
      </c>
      <c r="AM10" s="514">
        <f>SUMIF(AK15:AK380,"FAUX",Wh_hp)</f>
        <v>8304.2587394656566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217">
        <f>D$9-Prod_an</f>
        <v>35.758964163449491</v>
      </c>
      <c r="E11" s="218">
        <f>(E$9-D$9)*Prod_an/D$9</f>
        <v>129.71298858848573</v>
      </c>
      <c r="F11" s="219">
        <f>(F$9-E$9)*Prod_an/E$9</f>
        <v>3.2119337313975511</v>
      </c>
      <c r="G11" s="185" t="s">
        <v>6</v>
      </c>
      <c r="K11" s="194"/>
      <c r="L11" s="182">
        <f>Tvie_2019</f>
        <v>43475</v>
      </c>
      <c r="M11" s="831"/>
      <c r="N11" s="831"/>
      <c r="O11" s="317">
        <f>Salim_2019</f>
        <v>0.08</v>
      </c>
      <c r="P11" s="255">
        <f>Ttai_2019</f>
        <v>43586</v>
      </c>
      <c r="Q11" s="271">
        <f>Dens_2019</f>
        <v>0.7</v>
      </c>
      <c r="R11" s="522"/>
      <c r="S11" s="246"/>
      <c r="T11" s="523"/>
      <c r="U11" s="265">
        <f>Htf_2019</f>
        <v>-1.2010628157667154</v>
      </c>
      <c r="V11" s="426"/>
      <c r="W11" s="517"/>
      <c r="X11" s="524" t="s">
        <v>43</v>
      </c>
      <c r="Y11" s="50">
        <f>Z$9-Prod_an_s</f>
        <v>35.754681879587224</v>
      </c>
      <c r="Z11" s="51">
        <f>(AA$9-Z$9)*Prod_an_s/Z$9</f>
        <v>129.69806004580425</v>
      </c>
      <c r="AA11" s="186">
        <f>(AB$9-AA$9)*Prod_an_s/AA$9</f>
        <v>4.0070084608350891</v>
      </c>
      <c r="AB11" s="525" t="s">
        <v>6</v>
      </c>
      <c r="AC11" s="471"/>
      <c r="AD11" s="255"/>
      <c r="AE11" s="271">
        <f>IF(Acti_tai,IF(GainD,Di,Dd)+PousD*Croi_tai,"NA")</f>
        <v>0.7</v>
      </c>
      <c r="AF11" s="246"/>
      <c r="AG11" s="246"/>
      <c r="AH11" s="246"/>
      <c r="AI11" s="265">
        <f>IF(Acti_tai,IF(GainD,H_i,Hdd)+PousH*Croi_tai,"NA")</f>
        <v>-1.1367305935068832</v>
      </c>
      <c r="AJ11" s="821">
        <f>IF($AJ7=0,0,($AJ9-$AJ7)*$AJ5/$AJ7)</f>
        <v>0</v>
      </c>
      <c r="AK11" s="822">
        <f>IF($AK7=0,0,($AK9-$AK7)*$AK5/$AK7)</f>
        <v>3.5897427866558314E-2</v>
      </c>
      <c r="AL11" s="821">
        <f>IF($AL7=0,0,($AL9-$AL7)*$AL5/$AL7)</f>
        <v>0</v>
      </c>
      <c r="AM11" s="822">
        <f>IF($AM7=0,0,($AM9-$AM7)*$AM5/$AM7)</f>
        <v>3.5897427866558314E-2</v>
      </c>
      <c r="AN11" s="820" t="s">
        <v>268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0" t="s">
        <v>17</v>
      </c>
      <c r="G12" s="109">
        <f>G383-1</f>
        <v>3.9240239061592019E-2</v>
      </c>
      <c r="I12" s="102"/>
      <c r="J12" s="99"/>
      <c r="K12" s="191"/>
      <c r="L12" s="204">
        <f>Pspv_2019</f>
        <v>0</v>
      </c>
      <c r="M12" s="212"/>
      <c r="N12" s="212"/>
      <c r="O12" s="526">
        <f>Tau_2019*365</f>
        <v>1095</v>
      </c>
      <c r="P12" s="527">
        <f>INDEX(Croivg,MIN(MAX(Ttai-$A$15,0)+1,366))</f>
        <v>0.16083055564958049</v>
      </c>
      <c r="Q12" s="295">
        <f>D_i</f>
        <v>0.7</v>
      </c>
      <c r="R12" s="277"/>
      <c r="S12" s="278"/>
      <c r="T12" s="528"/>
      <c r="U12" s="296">
        <f>H_i</f>
        <v>-1.2010628157667154</v>
      </c>
      <c r="V12" s="516"/>
      <c r="W12" s="503"/>
      <c r="X12" s="504"/>
      <c r="Y12" s="503"/>
      <c r="Z12" s="426"/>
      <c r="AA12" s="426"/>
      <c r="AB12" s="503"/>
      <c r="AC12" s="317" t="b">
        <f>NOT(An_Tnet)</f>
        <v>0</v>
      </c>
      <c r="AD12" s="426"/>
      <c r="AE12" s="295">
        <f>D_i</f>
        <v>0.7</v>
      </c>
      <c r="AF12" s="203"/>
      <c r="AG12" s="203"/>
      <c r="AH12" s="203"/>
      <c r="AI12" s="296">
        <f>H_i</f>
        <v>-1.2010628157667154</v>
      </c>
      <c r="AJ12" s="821">
        <f>IF($AJ8=0,0,($AJ10-$AJ8)*$AJ6/$AJ8)</f>
        <v>129.71298858848573</v>
      </c>
      <c r="AK12" s="822">
        <f>IF($AK8=0,0,($AK10-$AK8)*$AK6/$AK8)</f>
        <v>3.1699740665423373</v>
      </c>
      <c r="AL12" s="821">
        <f>IF($AL8=0,0,($AL10-$AL8)*$AL6/$AL8)</f>
        <v>129.69806004580425</v>
      </c>
      <c r="AM12" s="822">
        <f>IF($AM8=0,0,($AM10-$AM8)*$AM6/$AM8)</f>
        <v>3.9634534744864287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202</v>
      </c>
      <c r="V13" s="124" t="s">
        <v>41</v>
      </c>
      <c r="W13" s="825" t="s">
        <v>46</v>
      </c>
      <c r="X13" s="258"/>
      <c r="Y13" s="124" t="s">
        <v>119</v>
      </c>
      <c r="Z13" s="124" t="s">
        <v>120</v>
      </c>
      <c r="AA13" s="124" t="s">
        <v>121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206</v>
      </c>
      <c r="AJ13" s="73">
        <f>+AJ11+AJ12</f>
        <v>129.71298858848573</v>
      </c>
      <c r="AK13" s="73">
        <f>+AK11+AK12</f>
        <v>3.2058714944088957</v>
      </c>
      <c r="AL13" s="73">
        <f>+AL11+AL12</f>
        <v>129.69806004580425</v>
      </c>
      <c r="AM13" s="73">
        <f>+AM11+AM12</f>
        <v>3.9993509023529872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387" t="s">
        <v>188</v>
      </c>
      <c r="C14" s="387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207</v>
      </c>
      <c r="V14" s="45" t="str">
        <f>"Enveloppe "&amp; TEXT(An,0)</f>
        <v>Enveloppe 2019</v>
      </c>
      <c r="W14" s="433"/>
      <c r="X14" s="155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88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56">
        <f>DATE(An,1,1)</f>
        <v>43466</v>
      </c>
      <c r="B15" s="610"/>
      <c r="C15" s="840"/>
      <c r="D15" s="391"/>
      <c r="E15" s="383"/>
      <c r="F15" s="383"/>
      <c r="G15" s="110"/>
      <c r="I15" s="378">
        <f t="shared" ref="I15:I78" si="0">Wh_hp</f>
        <v>0</v>
      </c>
      <c r="J15" s="84">
        <v>2018</v>
      </c>
      <c r="K15" s="197">
        <f t="shared" ref="K15:K78" si="1">t</f>
        <v>43466</v>
      </c>
      <c r="L15" s="435">
        <f t="shared" ref="L15:L78" si="2">IF(t&lt;T0,0,IF(t&lt;Tvie,1-EXP((T0-t)*PertePVj),1-EXP((T0-t)*PertePVj)+Pspv))</f>
        <v>0</v>
      </c>
      <c r="M15" s="842"/>
      <c r="N15" s="842"/>
      <c r="O15" s="323">
        <f t="shared" ref="O15:O78" si="3">IF(t&lt;T0,0,IF(t&lt;Tnet,Salim_i*(1-EXP((T0-t)/Tau_ij)),Resal+(Salim-Resal)*(1-EXP((Tnet-t)/(Tau_j)))))*Salcycl</f>
        <v>0</v>
      </c>
      <c r="P15" s="301">
        <f>(INDEX(Models!$BJ15:$BT15,,T15)*(1-R15)+INDEX(Models!$BJ15:$BT15,,T15+1)*R15-ERP_i)*Q15*Ramure*Pc/MaxiM</f>
        <v>9.6669413030882533E-9</v>
      </c>
      <c r="Q15" s="302">
        <f>IF(OR(t&lt;Ttai,Notai),Dd+PousD*Croivg,Dens+PousD*(Croivg-Croi_tai))</f>
        <v>0.7</v>
      </c>
      <c r="R15" s="303">
        <f t="shared" ref="R15:R78" si="4">(Hp_vg-S15)/(INDEX(Echel_vg,T15+1)-S15)</f>
        <v>0.79893814063186808</v>
      </c>
      <c r="S15" s="798">
        <f>INDEX(Echel_vg,T15)</f>
        <v>-2</v>
      </c>
      <c r="T15" s="248">
        <f>MIN(MATCH(Hp_vg,Echel_vg),10)</f>
        <v>4</v>
      </c>
      <c r="U15" s="249">
        <f>IF(OR(t&lt;Ttai,Notai),Hdd+PousH*Croivg,Hdtf+PousH*(Croivg-Croi_tai))</f>
        <v>-1.2010618593681319</v>
      </c>
      <c r="V15" s="381">
        <f t="shared" ref="V15:V78" si="5">MaxiM*(1-Ppv)*(1-Pvg)*(1-Psa)</f>
        <v>26.520452921517521</v>
      </c>
      <c r="W15" s="58"/>
      <c r="X15" s="156">
        <f t="shared" ref="X15:X78" si="6">t</f>
        <v>43466</v>
      </c>
      <c r="Y15" s="383">
        <f t="shared" ref="Y15:Y78" si="7">Wh_pvt_s*(1-Ppv)</f>
        <v>0</v>
      </c>
      <c r="Z15" s="383">
        <f t="shared" ref="Z15:Z78" si="8">Wh_sa_s*(1-Psa_s)</f>
        <v>0</v>
      </c>
      <c r="AA15" s="384">
        <f t="shared" ref="AA15:AA78" si="9">Wh_hp*(1-Pvg_s*MEDIAN((-Sdif+Wh/Env_an)/Csdif,0,1))</f>
        <v>0</v>
      </c>
      <c r="AB15" s="197">
        <f t="shared" ref="AB15:AB78" si="10">t</f>
        <v>43466</v>
      </c>
      <c r="AC15" s="452">
        <f t="shared" ref="AC15:AC78" si="11">IF(t&lt;T0,0,IF(OR(t&lt;Tnet,NoTnet),Salim_i*(1-EXP((T0-t)/Tau_ij)),Resal_s+(Salim-Resal_s)*(1-EXP((Tnet_s-t)/Tau_j))))*Salcycl</f>
        <v>0</v>
      </c>
      <c r="AD15" s="301">
        <f>(INDEX(Models!$BJ15:$BT15,,AH15)*(1-AF15)+INDEX(Models!$BJ15:$BT15,,AH15+1)*AF15-ERP_i)*AE15*Ramure*Pc/MaxiM</f>
        <v>9.6669413030882533E-9</v>
      </c>
      <c r="AE15" s="302">
        <f t="shared" ref="AE15:AE78" si="12">Dd+PousD*Croivg</f>
        <v>0.7</v>
      </c>
      <c r="AF15" s="303">
        <f t="shared" ref="AF15:AF78" si="13">(Hp_vg_s-AG15)/(INDEX(Echel_vg,AH15+1)-AG15)</f>
        <v>0.79893814063186808</v>
      </c>
      <c r="AG15" s="798">
        <f>INDEX(Echel_vg,AH15)</f>
        <v>-2</v>
      </c>
      <c r="AH15" s="248">
        <f t="shared" ref="AH15:AH78" si="14">MIN(MATCH(Hp_vg_s,Echel_vg),10)</f>
        <v>4</v>
      </c>
      <c r="AI15" s="223">
        <f t="shared" ref="AI15:AI78" si="15">Hdd+PousH*Croivg</f>
        <v>-1.2010618593681319</v>
      </c>
      <c r="AJ15" s="264" t="b">
        <f t="shared" ref="AJ15:AJ78" si="16">t&lt;Tnet</f>
        <v>1</v>
      </c>
      <c r="AK15" s="264" t="b">
        <f t="shared" ref="AK15:AK78" si="17">t&lt;Ttai</f>
        <v>1</v>
      </c>
      <c r="AL15" s="264"/>
      <c r="AM15" s="264"/>
      <c r="AN15" s="75"/>
    </row>
    <row r="16" spans="1:40" s="6" customFormat="1" ht="11.25" customHeight="1" x14ac:dyDescent="0.2">
      <c r="A16" s="56">
        <f t="shared" ref="A16:A79" si="18">A15+1</f>
        <v>43467</v>
      </c>
      <c r="B16" s="607"/>
      <c r="C16" s="388"/>
      <c r="D16" s="391"/>
      <c r="E16" s="383"/>
      <c r="F16" s="383"/>
      <c r="G16" s="110"/>
      <c r="I16" s="379">
        <f t="shared" si="0"/>
        <v>0</v>
      </c>
      <c r="J16" s="85">
        <v>2018</v>
      </c>
      <c r="K16" s="197">
        <f t="shared" si="1"/>
        <v>43467</v>
      </c>
      <c r="L16" s="435">
        <f t="shared" si="2"/>
        <v>0</v>
      </c>
      <c r="M16" s="842"/>
      <c r="N16" s="842"/>
      <c r="O16" s="323">
        <f t="shared" si="3"/>
        <v>0</v>
      </c>
      <c r="P16" s="169">
        <f>(INDEX(Models!$BJ16:$BT16,,T16)*(1-R16)+INDEX(Models!$BJ16:$BT16,,T16+1)*R16-ERP_i)*Q16*Ramure*Pc/MaxiM</f>
        <v>2.4626643516926819E-7</v>
      </c>
      <c r="Q16" s="304">
        <f t="shared" ref="Q16:Q78" si="19">IF(OR(t&lt;Ttai,Notai),Dd+PousD*Croivg,Dens+PousD*(Croivg-Croi_tai))</f>
        <v>0.7</v>
      </c>
      <c r="R16" s="177">
        <f t="shared" si="4"/>
        <v>0.79896151232306356</v>
      </c>
      <c r="S16" s="799">
        <f t="shared" ref="S16:S79" si="20">INDEX(Echel_vg,T16)</f>
        <v>-2</v>
      </c>
      <c r="T16" s="176">
        <f t="shared" ref="T16:T78" si="21">MIN(MATCH(Hp_vg,Echel_vg),10)</f>
        <v>4</v>
      </c>
      <c r="U16" s="250">
        <f t="shared" ref="U16:U78" si="22">IF(OR(t&lt;Ttai,Notai),Hdd+PousH*Croivg,Hdtf+PousH*(Croivg-Croi_tai))</f>
        <v>-1.2010384876769364</v>
      </c>
      <c r="V16" s="382">
        <f t="shared" si="5"/>
        <v>26.709801697970352</v>
      </c>
      <c r="W16" s="58"/>
      <c r="X16" s="157">
        <f t="shared" si="6"/>
        <v>43467</v>
      </c>
      <c r="Y16" s="383">
        <f t="shared" si="7"/>
        <v>0</v>
      </c>
      <c r="Z16" s="383">
        <f t="shared" si="8"/>
        <v>0</v>
      </c>
      <c r="AA16" s="384">
        <f t="shared" si="9"/>
        <v>0</v>
      </c>
      <c r="AB16" s="197">
        <f t="shared" si="10"/>
        <v>43467</v>
      </c>
      <c r="AC16" s="424">
        <f t="shared" si="11"/>
        <v>0</v>
      </c>
      <c r="AD16" s="169">
        <f>(INDEX(Models!$BJ16:$BT16,,AH16)*(1-AF16)+INDEX(Models!$BJ16:$BT16,,AH16+1)*AF16-ERP_i)*AE16*Ramure*Pc/MaxiM</f>
        <v>2.4626643516926819E-7</v>
      </c>
      <c r="AE16" s="304">
        <f t="shared" si="12"/>
        <v>0.7</v>
      </c>
      <c r="AF16" s="177">
        <f t="shared" si="13"/>
        <v>0.79896151232306356</v>
      </c>
      <c r="AG16" s="799">
        <f t="shared" ref="AG16:AG78" si="23">INDEX(Echel_vg,AH16)</f>
        <v>-2</v>
      </c>
      <c r="AH16" s="176">
        <f t="shared" si="14"/>
        <v>4</v>
      </c>
      <c r="AI16" s="224">
        <f t="shared" si="15"/>
        <v>-1.2010384876769364</v>
      </c>
      <c r="AJ16" s="264" t="b">
        <f t="shared" si="16"/>
        <v>1</v>
      </c>
      <c r="AK16" s="264" t="b">
        <f t="shared" si="17"/>
        <v>1</v>
      </c>
      <c r="AL16" s="264"/>
      <c r="AM16" s="264"/>
      <c r="AN16" s="75"/>
    </row>
    <row r="17" spans="1:40" s="6" customFormat="1" ht="11.25" customHeight="1" x14ac:dyDescent="0.2">
      <c r="A17" s="56">
        <f t="shared" si="18"/>
        <v>43468</v>
      </c>
      <c r="B17" s="607"/>
      <c r="C17" s="388"/>
      <c r="D17" s="391"/>
      <c r="E17" s="383"/>
      <c r="F17" s="383"/>
      <c r="G17" s="110"/>
      <c r="I17" s="379">
        <f t="shared" si="0"/>
        <v>0</v>
      </c>
      <c r="J17" s="85">
        <v>2018</v>
      </c>
      <c r="K17" s="197">
        <f t="shared" si="1"/>
        <v>43468</v>
      </c>
      <c r="L17" s="435">
        <f t="shared" si="2"/>
        <v>0</v>
      </c>
      <c r="M17" s="842"/>
      <c r="N17" s="842"/>
      <c r="O17" s="323">
        <f t="shared" si="3"/>
        <v>0</v>
      </c>
      <c r="P17" s="169">
        <f>(INDEX(Models!$BJ17:$BT17,,T17)*(1-R17)+INDEX(Models!$BJ17:$BT17,,T17+1)*R17-ERP_i)*Q17*Ramure*Pc/MaxiM</f>
        <v>4.938192831428394E-7</v>
      </c>
      <c r="Q17" s="304">
        <f t="shared" si="19"/>
        <v>0.7</v>
      </c>
      <c r="R17" s="177">
        <f t="shared" si="4"/>
        <v>0.79898586159945517</v>
      </c>
      <c r="S17" s="799">
        <f t="shared" si="20"/>
        <v>-2</v>
      </c>
      <c r="T17" s="176">
        <f t="shared" si="21"/>
        <v>4</v>
      </c>
      <c r="U17" s="250">
        <f t="shared" si="22"/>
        <v>-1.2010141384005448</v>
      </c>
      <c r="V17" s="382">
        <f t="shared" si="5"/>
        <v>26.910020427071125</v>
      </c>
      <c r="W17" s="58"/>
      <c r="X17" s="157">
        <f t="shared" si="6"/>
        <v>43468</v>
      </c>
      <c r="Y17" s="383">
        <f t="shared" si="7"/>
        <v>0</v>
      </c>
      <c r="Z17" s="383">
        <f t="shared" si="8"/>
        <v>0</v>
      </c>
      <c r="AA17" s="384">
        <f t="shared" si="9"/>
        <v>0</v>
      </c>
      <c r="AB17" s="197">
        <f t="shared" si="10"/>
        <v>43468</v>
      </c>
      <c r="AC17" s="424">
        <f t="shared" si="11"/>
        <v>0</v>
      </c>
      <c r="AD17" s="169">
        <f>(INDEX(Models!$BJ17:$BT17,,AH17)*(1-AF17)+INDEX(Models!$BJ17:$BT17,,AH17+1)*AF17-ERP_i)*AE17*Ramure*Pc/MaxiM</f>
        <v>4.938192831428394E-7</v>
      </c>
      <c r="AE17" s="304">
        <f t="shared" si="12"/>
        <v>0.7</v>
      </c>
      <c r="AF17" s="177">
        <f t="shared" si="13"/>
        <v>0.79898586159945517</v>
      </c>
      <c r="AG17" s="799">
        <f t="shared" si="23"/>
        <v>-2</v>
      </c>
      <c r="AH17" s="176">
        <f t="shared" si="14"/>
        <v>4</v>
      </c>
      <c r="AI17" s="224">
        <f t="shared" si="15"/>
        <v>-1.2010141384005448</v>
      </c>
      <c r="AJ17" s="264" t="b">
        <f t="shared" si="16"/>
        <v>1</v>
      </c>
      <c r="AK17" s="264" t="b">
        <f t="shared" si="17"/>
        <v>1</v>
      </c>
      <c r="AL17" s="264"/>
      <c r="AM17" s="264"/>
      <c r="AN17" s="75"/>
    </row>
    <row r="18" spans="1:40" s="6" customFormat="1" ht="11.25" customHeight="1" x14ac:dyDescent="0.2">
      <c r="A18" s="56">
        <f t="shared" si="18"/>
        <v>43469</v>
      </c>
      <c r="B18" s="607"/>
      <c r="C18" s="388"/>
      <c r="D18" s="391"/>
      <c r="E18" s="383"/>
      <c r="F18" s="383"/>
      <c r="G18" s="110"/>
      <c r="I18" s="379">
        <f t="shared" si="0"/>
        <v>0</v>
      </c>
      <c r="J18" s="85">
        <v>2018</v>
      </c>
      <c r="K18" s="197">
        <f t="shared" si="1"/>
        <v>43469</v>
      </c>
      <c r="L18" s="435">
        <f t="shared" si="2"/>
        <v>0</v>
      </c>
      <c r="M18" s="842"/>
      <c r="N18" s="842"/>
      <c r="O18" s="323">
        <f t="shared" si="3"/>
        <v>0</v>
      </c>
      <c r="P18" s="169">
        <f>(INDEX(Models!$BJ18:$BT18,,T18)*(1-R18)+INDEX(Models!$BJ18:$BT18,,T18+1)*R18-ERP_i)*Q18*Ramure*Pc/MaxiM</f>
        <v>7.5333189023342609E-7</v>
      </c>
      <c r="Q18" s="304">
        <f t="shared" si="19"/>
        <v>0.7</v>
      </c>
      <c r="R18" s="177">
        <f t="shared" si="4"/>
        <v>0.7990112292244913</v>
      </c>
      <c r="S18" s="799">
        <f t="shared" si="20"/>
        <v>-2</v>
      </c>
      <c r="T18" s="176">
        <f t="shared" si="21"/>
        <v>4</v>
      </c>
      <c r="U18" s="250">
        <f t="shared" si="22"/>
        <v>-1.2009887707755087</v>
      </c>
      <c r="V18" s="382">
        <f t="shared" si="5"/>
        <v>27.119868611702831</v>
      </c>
      <c r="W18" s="58"/>
      <c r="X18" s="157">
        <f t="shared" si="6"/>
        <v>43469</v>
      </c>
      <c r="Y18" s="383">
        <f t="shared" si="7"/>
        <v>0</v>
      </c>
      <c r="Z18" s="383">
        <f t="shared" si="8"/>
        <v>0</v>
      </c>
      <c r="AA18" s="384">
        <f t="shared" si="9"/>
        <v>0</v>
      </c>
      <c r="AB18" s="197">
        <f t="shared" si="10"/>
        <v>43469</v>
      </c>
      <c r="AC18" s="424">
        <f t="shared" si="11"/>
        <v>0</v>
      </c>
      <c r="AD18" s="169">
        <f>(INDEX(Models!$BJ18:$BT18,,AH18)*(1-AF18)+INDEX(Models!$BJ18:$BT18,,AH18+1)*AF18-ERP_i)*AE18*Ramure*Pc/MaxiM</f>
        <v>7.5333189023342609E-7</v>
      </c>
      <c r="AE18" s="304">
        <f t="shared" si="12"/>
        <v>0.7</v>
      </c>
      <c r="AF18" s="177">
        <f t="shared" si="13"/>
        <v>0.7990112292244913</v>
      </c>
      <c r="AG18" s="799">
        <f t="shared" si="23"/>
        <v>-2</v>
      </c>
      <c r="AH18" s="176">
        <f t="shared" si="14"/>
        <v>4</v>
      </c>
      <c r="AI18" s="224">
        <f t="shared" si="15"/>
        <v>-1.2009887707755087</v>
      </c>
      <c r="AJ18" s="264" t="b">
        <f t="shared" si="16"/>
        <v>1</v>
      </c>
      <c r="AK18" s="264" t="b">
        <f t="shared" si="17"/>
        <v>1</v>
      </c>
      <c r="AL18" s="264"/>
      <c r="AM18" s="264"/>
      <c r="AN18" s="75"/>
    </row>
    <row r="19" spans="1:40" s="6" customFormat="1" ht="11.25" customHeight="1" x14ac:dyDescent="0.2">
      <c r="A19" s="56">
        <f t="shared" si="18"/>
        <v>43470</v>
      </c>
      <c r="B19" s="607"/>
      <c r="C19" s="388"/>
      <c r="D19" s="391"/>
      <c r="E19" s="383"/>
      <c r="F19" s="383"/>
      <c r="G19" s="110"/>
      <c r="I19" s="379">
        <f t="shared" si="0"/>
        <v>0</v>
      </c>
      <c r="J19" s="85">
        <v>2018</v>
      </c>
      <c r="K19" s="197">
        <f t="shared" si="1"/>
        <v>43470</v>
      </c>
      <c r="L19" s="435">
        <f t="shared" si="2"/>
        <v>0</v>
      </c>
      <c r="M19" s="842"/>
      <c r="N19" s="842"/>
      <c r="O19" s="323">
        <f t="shared" si="3"/>
        <v>0</v>
      </c>
      <c r="P19" s="169">
        <f>(INDEX(Models!$BJ19:$BT19,,T19)*(1-R19)+INDEX(Models!$BJ19:$BT19,,T19+1)*R19-ERP_i)*Q19*Ramure*Pc/MaxiM</f>
        <v>1.0259004228352463E-6</v>
      </c>
      <c r="Q19" s="304">
        <f t="shared" si="19"/>
        <v>0.7</v>
      </c>
      <c r="R19" s="177">
        <f t="shared" si="4"/>
        <v>0.79903765765054069</v>
      </c>
      <c r="S19" s="799">
        <f t="shared" si="20"/>
        <v>-2</v>
      </c>
      <c r="T19" s="176">
        <f t="shared" si="21"/>
        <v>4</v>
      </c>
      <c r="U19" s="250">
        <f t="shared" si="22"/>
        <v>-1.2009623423494593</v>
      </c>
      <c r="V19" s="382">
        <f t="shared" si="5"/>
        <v>27.338105746674181</v>
      </c>
      <c r="W19" s="58"/>
      <c r="X19" s="157">
        <f t="shared" si="6"/>
        <v>43470</v>
      </c>
      <c r="Y19" s="383">
        <f t="shared" si="7"/>
        <v>0</v>
      </c>
      <c r="Z19" s="383">
        <f t="shared" si="8"/>
        <v>0</v>
      </c>
      <c r="AA19" s="384">
        <f t="shared" si="9"/>
        <v>0</v>
      </c>
      <c r="AB19" s="197">
        <f t="shared" si="10"/>
        <v>43470</v>
      </c>
      <c r="AC19" s="424">
        <f t="shared" si="11"/>
        <v>0</v>
      </c>
      <c r="AD19" s="169">
        <f>(INDEX(Models!$BJ19:$BT19,,AH19)*(1-AF19)+INDEX(Models!$BJ19:$BT19,,AH19+1)*AF19-ERP_i)*AE19*Ramure*Pc/MaxiM</f>
        <v>1.0259004228352463E-6</v>
      </c>
      <c r="AE19" s="304">
        <f t="shared" si="12"/>
        <v>0.7</v>
      </c>
      <c r="AF19" s="177">
        <f t="shared" si="13"/>
        <v>0.79903765765054069</v>
      </c>
      <c r="AG19" s="799">
        <f t="shared" si="23"/>
        <v>-2</v>
      </c>
      <c r="AH19" s="176">
        <f t="shared" si="14"/>
        <v>4</v>
      </c>
      <c r="AI19" s="224">
        <f t="shared" si="15"/>
        <v>-1.2009623423494593</v>
      </c>
      <c r="AJ19" s="264" t="b">
        <f t="shared" si="16"/>
        <v>1</v>
      </c>
      <c r="AK19" s="264" t="b">
        <f t="shared" si="17"/>
        <v>1</v>
      </c>
      <c r="AL19" s="264"/>
      <c r="AM19" s="264"/>
      <c r="AN19" s="75"/>
    </row>
    <row r="20" spans="1:40" s="6" customFormat="1" ht="11.25" customHeight="1" x14ac:dyDescent="0.2">
      <c r="A20" s="56">
        <f t="shared" si="18"/>
        <v>43471</v>
      </c>
      <c r="B20" s="607"/>
      <c r="C20" s="388"/>
      <c r="D20" s="391"/>
      <c r="E20" s="383"/>
      <c r="F20" s="383"/>
      <c r="G20" s="110"/>
      <c r="I20" s="379">
        <f t="shared" si="0"/>
        <v>0</v>
      </c>
      <c r="J20" s="85">
        <v>2018</v>
      </c>
      <c r="K20" s="197">
        <f t="shared" si="1"/>
        <v>43471</v>
      </c>
      <c r="L20" s="435">
        <f t="shared" si="2"/>
        <v>0</v>
      </c>
      <c r="M20" s="842"/>
      <c r="N20" s="842"/>
      <c r="O20" s="323">
        <f t="shared" si="3"/>
        <v>0</v>
      </c>
      <c r="P20" s="169">
        <f>(INDEX(Models!$BJ20:$BT20,,T20)*(1-R20)+INDEX(Models!$BJ20:$BT20,,T20+1)*R20-ERP_i)*Q20*Ramure*Pc/MaxiM</f>
        <v>1.3127155568060396E-6</v>
      </c>
      <c r="Q20" s="304">
        <f t="shared" si="19"/>
        <v>0.7</v>
      </c>
      <c r="R20" s="177">
        <f t="shared" si="4"/>
        <v>0.79906519108794116</v>
      </c>
      <c r="S20" s="799">
        <f t="shared" si="20"/>
        <v>-2</v>
      </c>
      <c r="T20" s="176">
        <f t="shared" si="21"/>
        <v>4</v>
      </c>
      <c r="U20" s="250">
        <f t="shared" si="22"/>
        <v>-1.2009348089120588</v>
      </c>
      <c r="V20" s="382">
        <f t="shared" si="5"/>
        <v>27.563491328286897</v>
      </c>
      <c r="W20" s="58"/>
      <c r="X20" s="157">
        <f t="shared" si="6"/>
        <v>43471</v>
      </c>
      <c r="Y20" s="383">
        <f t="shared" si="7"/>
        <v>0</v>
      </c>
      <c r="Z20" s="383">
        <f t="shared" si="8"/>
        <v>0</v>
      </c>
      <c r="AA20" s="384">
        <f t="shared" si="9"/>
        <v>0</v>
      </c>
      <c r="AB20" s="197">
        <f t="shared" si="10"/>
        <v>43471</v>
      </c>
      <c r="AC20" s="424">
        <f t="shared" si="11"/>
        <v>0</v>
      </c>
      <c r="AD20" s="169">
        <f>(INDEX(Models!$BJ20:$BT20,,AH20)*(1-AF20)+INDEX(Models!$BJ20:$BT20,,AH20+1)*AF20-ERP_i)*AE20*Ramure*Pc/MaxiM</f>
        <v>1.3127155568060396E-6</v>
      </c>
      <c r="AE20" s="304">
        <f t="shared" si="12"/>
        <v>0.7</v>
      </c>
      <c r="AF20" s="177">
        <f t="shared" si="13"/>
        <v>0.79906519108794116</v>
      </c>
      <c r="AG20" s="799">
        <f t="shared" si="23"/>
        <v>-2</v>
      </c>
      <c r="AH20" s="176">
        <f t="shared" si="14"/>
        <v>4</v>
      </c>
      <c r="AI20" s="224">
        <f t="shared" si="15"/>
        <v>-1.2009348089120588</v>
      </c>
      <c r="AJ20" s="264" t="b">
        <f t="shared" si="16"/>
        <v>1</v>
      </c>
      <c r="AK20" s="264" t="b">
        <f t="shared" si="17"/>
        <v>1</v>
      </c>
      <c r="AL20" s="264"/>
      <c r="AM20" s="264"/>
      <c r="AN20" s="75"/>
    </row>
    <row r="21" spans="1:40" s="6" customFormat="1" ht="11.25" customHeight="1" x14ac:dyDescent="0.2">
      <c r="A21" s="56">
        <f t="shared" si="18"/>
        <v>43472</v>
      </c>
      <c r="B21" s="607"/>
      <c r="C21" s="388"/>
      <c r="D21" s="391"/>
      <c r="E21" s="383"/>
      <c r="F21" s="383"/>
      <c r="G21" s="110"/>
      <c r="I21" s="379">
        <f t="shared" si="0"/>
        <v>0</v>
      </c>
      <c r="J21" s="85">
        <v>2018</v>
      </c>
      <c r="K21" s="197">
        <f t="shared" si="1"/>
        <v>43472</v>
      </c>
      <c r="L21" s="435">
        <f t="shared" si="2"/>
        <v>0</v>
      </c>
      <c r="M21" s="842"/>
      <c r="N21" s="842"/>
      <c r="O21" s="323">
        <f t="shared" si="3"/>
        <v>0</v>
      </c>
      <c r="P21" s="169">
        <f>(INDEX(Models!$BJ21:$BT21,,T21)*(1-R21)+INDEX(Models!$BJ21:$BT21,,T21+1)*R21-ERP_i)*Q21*Ramure*Pc/MaxiM</f>
        <v>1.6150678986476713E-6</v>
      </c>
      <c r="Q21" s="304">
        <f t="shared" si="19"/>
        <v>0.7</v>
      </c>
      <c r="R21" s="177">
        <f t="shared" si="4"/>
        <v>0.79909387557679179</v>
      </c>
      <c r="S21" s="799">
        <f t="shared" si="20"/>
        <v>-2</v>
      </c>
      <c r="T21" s="176">
        <f t="shared" si="21"/>
        <v>4</v>
      </c>
      <c r="U21" s="250">
        <f t="shared" si="22"/>
        <v>-1.2009061244232082</v>
      </c>
      <c r="V21" s="382">
        <f t="shared" si="5"/>
        <v>27.794784841443711</v>
      </c>
      <c r="W21" s="58"/>
      <c r="X21" s="157">
        <f t="shared" si="6"/>
        <v>43472</v>
      </c>
      <c r="Y21" s="383">
        <f t="shared" si="7"/>
        <v>0</v>
      </c>
      <c r="Z21" s="383">
        <f t="shared" si="8"/>
        <v>0</v>
      </c>
      <c r="AA21" s="384">
        <f t="shared" si="9"/>
        <v>0</v>
      </c>
      <c r="AB21" s="197">
        <f t="shared" si="10"/>
        <v>43472</v>
      </c>
      <c r="AC21" s="424">
        <f t="shared" si="11"/>
        <v>0</v>
      </c>
      <c r="AD21" s="169">
        <f>(INDEX(Models!$BJ21:$BT21,,AH21)*(1-AF21)+INDEX(Models!$BJ21:$BT21,,AH21+1)*AF21-ERP_i)*AE21*Ramure*Pc/MaxiM</f>
        <v>1.6150678986476713E-6</v>
      </c>
      <c r="AE21" s="304">
        <f t="shared" si="12"/>
        <v>0.7</v>
      </c>
      <c r="AF21" s="177">
        <f t="shared" si="13"/>
        <v>0.79909387557679179</v>
      </c>
      <c r="AG21" s="799">
        <f t="shared" si="23"/>
        <v>-2</v>
      </c>
      <c r="AH21" s="176">
        <f t="shared" si="14"/>
        <v>4</v>
      </c>
      <c r="AI21" s="224">
        <f t="shared" si="15"/>
        <v>-1.2009061244232082</v>
      </c>
      <c r="AJ21" s="264" t="b">
        <f t="shared" si="16"/>
        <v>1</v>
      </c>
      <c r="AK21" s="264" t="b">
        <f t="shared" si="17"/>
        <v>1</v>
      </c>
      <c r="AL21" s="264"/>
      <c r="AM21" s="264"/>
      <c r="AN21" s="75"/>
    </row>
    <row r="22" spans="1:40" s="6" customFormat="1" ht="11.25" customHeight="1" x14ac:dyDescent="0.2">
      <c r="A22" s="56">
        <f t="shared" si="18"/>
        <v>43473</v>
      </c>
      <c r="B22" s="607"/>
      <c r="C22" s="388"/>
      <c r="D22" s="391"/>
      <c r="E22" s="383"/>
      <c r="F22" s="383"/>
      <c r="G22" s="110"/>
      <c r="I22" s="379">
        <f t="shared" si="0"/>
        <v>0</v>
      </c>
      <c r="J22" s="85">
        <v>2018</v>
      </c>
      <c r="K22" s="197">
        <f t="shared" si="1"/>
        <v>43473</v>
      </c>
      <c r="L22" s="435">
        <f t="shared" si="2"/>
        <v>0</v>
      </c>
      <c r="M22" s="842"/>
      <c r="N22" s="842"/>
      <c r="O22" s="323">
        <f t="shared" si="3"/>
        <v>0</v>
      </c>
      <c r="P22" s="169">
        <f>(INDEX(Models!$BJ22:$BT22,,T22)*(1-R22)+INDEX(Models!$BJ22:$BT22,,T22+1)*R22-ERP_i)*Q22*Ramure*Pc/MaxiM</f>
        <v>1.9343541733011517E-6</v>
      </c>
      <c r="Q22" s="304">
        <f t="shared" si="19"/>
        <v>0.7</v>
      </c>
      <c r="R22" s="177">
        <f t="shared" si="4"/>
        <v>0.79912375906158939</v>
      </c>
      <c r="S22" s="799">
        <f t="shared" si="20"/>
        <v>-2</v>
      </c>
      <c r="T22" s="176">
        <f t="shared" si="21"/>
        <v>4</v>
      </c>
      <c r="U22" s="250">
        <f t="shared" si="22"/>
        <v>-1.2008762409384106</v>
      </c>
      <c r="V22" s="382">
        <f t="shared" si="5"/>
        <v>28.030745778338147</v>
      </c>
      <c r="W22" s="58"/>
      <c r="X22" s="157">
        <f t="shared" si="6"/>
        <v>43473</v>
      </c>
      <c r="Y22" s="383">
        <f t="shared" si="7"/>
        <v>0</v>
      </c>
      <c r="Z22" s="383">
        <f t="shared" si="8"/>
        <v>0</v>
      </c>
      <c r="AA22" s="384">
        <f t="shared" si="9"/>
        <v>0</v>
      </c>
      <c r="AB22" s="197">
        <f t="shared" si="10"/>
        <v>43473</v>
      </c>
      <c r="AC22" s="424">
        <f t="shared" si="11"/>
        <v>0</v>
      </c>
      <c r="AD22" s="169">
        <f>(INDEX(Models!$BJ22:$BT22,,AH22)*(1-AF22)+INDEX(Models!$BJ22:$BT22,,AH22+1)*AF22-ERP_i)*AE22*Ramure*Pc/MaxiM</f>
        <v>1.9343541733011517E-6</v>
      </c>
      <c r="AE22" s="304">
        <f t="shared" si="12"/>
        <v>0.7</v>
      </c>
      <c r="AF22" s="177">
        <f t="shared" si="13"/>
        <v>0.79912375906158939</v>
      </c>
      <c r="AG22" s="799">
        <f t="shared" si="23"/>
        <v>-2</v>
      </c>
      <c r="AH22" s="176">
        <f t="shared" si="14"/>
        <v>4</v>
      </c>
      <c r="AI22" s="224">
        <f t="shared" si="15"/>
        <v>-1.2008762409384106</v>
      </c>
      <c r="AJ22" s="264" t="b">
        <f t="shared" si="16"/>
        <v>1</v>
      </c>
      <c r="AK22" s="264" t="b">
        <f t="shared" si="17"/>
        <v>1</v>
      </c>
      <c r="AL22" s="264"/>
      <c r="AM22" s="264"/>
      <c r="AN22" s="75"/>
    </row>
    <row r="23" spans="1:40" s="6" customFormat="1" ht="11.25" customHeight="1" x14ac:dyDescent="0.2">
      <c r="A23" s="56">
        <f t="shared" si="18"/>
        <v>43474</v>
      </c>
      <c r="B23" s="607"/>
      <c r="C23" s="388"/>
      <c r="D23" s="391"/>
      <c r="E23" s="383"/>
      <c r="F23" s="383"/>
      <c r="G23" s="110"/>
      <c r="I23" s="379">
        <f t="shared" si="0"/>
        <v>0</v>
      </c>
      <c r="J23" s="85">
        <v>2018</v>
      </c>
      <c r="K23" s="197">
        <f t="shared" si="1"/>
        <v>43474</v>
      </c>
      <c r="L23" s="435">
        <f t="shared" si="2"/>
        <v>0</v>
      </c>
      <c r="M23" s="842"/>
      <c r="N23" s="842"/>
      <c r="O23" s="323">
        <f t="shared" si="3"/>
        <v>0</v>
      </c>
      <c r="P23" s="169">
        <f>(INDEX(Models!$BJ23:$BT23,,T23)*(1-R23)+INDEX(Models!$BJ23:$BT23,,T23+1)*R23-ERP_i)*Q23*Ramure*Pc/MaxiM</f>
        <v>2.2715916601840389E-6</v>
      </c>
      <c r="Q23" s="304">
        <f t="shared" si="19"/>
        <v>0.7</v>
      </c>
      <c r="R23" s="177">
        <f t="shared" si="4"/>
        <v>0.79915489146881757</v>
      </c>
      <c r="S23" s="799">
        <f t="shared" si="20"/>
        <v>-2</v>
      </c>
      <c r="T23" s="176">
        <f t="shared" si="21"/>
        <v>4</v>
      </c>
      <c r="U23" s="250">
        <f t="shared" si="22"/>
        <v>-1.2008451085311824</v>
      </c>
      <c r="V23" s="382">
        <f t="shared" si="5"/>
        <v>28.276264320162365</v>
      </c>
      <c r="W23" s="58"/>
      <c r="X23" s="157">
        <f t="shared" si="6"/>
        <v>43474</v>
      </c>
      <c r="Y23" s="383">
        <f t="shared" si="7"/>
        <v>0</v>
      </c>
      <c r="Z23" s="383">
        <f t="shared" si="8"/>
        <v>0</v>
      </c>
      <c r="AA23" s="384">
        <f t="shared" si="9"/>
        <v>0</v>
      </c>
      <c r="AB23" s="197">
        <f t="shared" si="10"/>
        <v>43474</v>
      </c>
      <c r="AC23" s="424">
        <f t="shared" si="11"/>
        <v>0</v>
      </c>
      <c r="AD23" s="169">
        <f>(INDEX(Models!$BJ23:$BT23,,AH23)*(1-AF23)+INDEX(Models!$BJ23:$BT23,,AH23+1)*AF23-ERP_i)*AE23*Ramure*Pc/MaxiM</f>
        <v>2.2715916601840389E-6</v>
      </c>
      <c r="AE23" s="304">
        <f t="shared" si="12"/>
        <v>0.7</v>
      </c>
      <c r="AF23" s="177">
        <f t="shared" si="13"/>
        <v>0.79915489146881757</v>
      </c>
      <c r="AG23" s="799">
        <f t="shared" si="23"/>
        <v>-2</v>
      </c>
      <c r="AH23" s="176">
        <f t="shared" si="14"/>
        <v>4</v>
      </c>
      <c r="AI23" s="224">
        <f t="shared" si="15"/>
        <v>-1.2008451085311824</v>
      </c>
      <c r="AJ23" s="264" t="b">
        <f t="shared" si="16"/>
        <v>1</v>
      </c>
      <c r="AK23" s="264" t="b">
        <f t="shared" si="17"/>
        <v>1</v>
      </c>
      <c r="AL23" s="264"/>
      <c r="AM23" s="264"/>
      <c r="AN23" s="75"/>
    </row>
    <row r="24" spans="1:40" s="6" customFormat="1" ht="11.25" customHeight="1" x14ac:dyDescent="0.2">
      <c r="A24" s="56">
        <f t="shared" si="18"/>
        <v>43475</v>
      </c>
      <c r="B24" s="607"/>
      <c r="C24" s="388"/>
      <c r="D24" s="391"/>
      <c r="E24" s="383"/>
      <c r="F24" s="383"/>
      <c r="G24" s="110"/>
      <c r="I24" s="379">
        <f t="shared" si="0"/>
        <v>0</v>
      </c>
      <c r="J24" s="85">
        <v>2018</v>
      </c>
      <c r="K24" s="197">
        <f t="shared" si="1"/>
        <v>43475</v>
      </c>
      <c r="L24" s="435">
        <f t="shared" si="2"/>
        <v>0</v>
      </c>
      <c r="M24" s="842"/>
      <c r="N24" s="842"/>
      <c r="O24" s="323">
        <f t="shared" si="3"/>
        <v>0</v>
      </c>
      <c r="P24" s="169">
        <f>(INDEX(Models!$BJ24:$BT24,,T24)*(1-R24)+INDEX(Models!$BJ24:$BT24,,T24+1)*R24-ERP_i)*Q24*Ramure*Pc/MaxiM</f>
        <v>2.6273386126231889E-6</v>
      </c>
      <c r="Q24" s="304">
        <f t="shared" si="19"/>
        <v>0.7</v>
      </c>
      <c r="R24" s="177">
        <f t="shared" si="4"/>
        <v>0.79918732478759313</v>
      </c>
      <c r="S24" s="799">
        <f t="shared" si="20"/>
        <v>-2</v>
      </c>
      <c r="T24" s="176">
        <f t="shared" si="21"/>
        <v>4</v>
      </c>
      <c r="U24" s="250">
        <f t="shared" si="22"/>
        <v>-1.2008126752124069</v>
      </c>
      <c r="V24" s="382">
        <f t="shared" si="5"/>
        <v>28.53618906605239</v>
      </c>
      <c r="W24" s="58"/>
      <c r="X24" s="157">
        <f t="shared" si="6"/>
        <v>43475</v>
      </c>
      <c r="Y24" s="383">
        <f t="shared" si="7"/>
        <v>0</v>
      </c>
      <c r="Z24" s="383">
        <f t="shared" si="8"/>
        <v>0</v>
      </c>
      <c r="AA24" s="384">
        <f t="shared" si="9"/>
        <v>0</v>
      </c>
      <c r="AB24" s="197">
        <f t="shared" si="10"/>
        <v>43475</v>
      </c>
      <c r="AC24" s="424">
        <f t="shared" si="11"/>
        <v>0</v>
      </c>
      <c r="AD24" s="169">
        <f>(INDEX(Models!$BJ24:$BT24,,AH24)*(1-AF24)+INDEX(Models!$BJ24:$BT24,,AH24+1)*AF24-ERP_i)*AE24*Ramure*Pc/MaxiM</f>
        <v>2.6273386126231889E-6</v>
      </c>
      <c r="AE24" s="304">
        <f t="shared" si="12"/>
        <v>0.7</v>
      </c>
      <c r="AF24" s="177">
        <f t="shared" si="13"/>
        <v>0.79918732478759313</v>
      </c>
      <c r="AG24" s="799">
        <f t="shared" si="23"/>
        <v>-2</v>
      </c>
      <c r="AH24" s="176">
        <f t="shared" si="14"/>
        <v>4</v>
      </c>
      <c r="AI24" s="224">
        <f t="shared" si="15"/>
        <v>-1.2008126752124069</v>
      </c>
      <c r="AJ24" s="264" t="b">
        <f t="shared" si="16"/>
        <v>0</v>
      </c>
      <c r="AK24" s="264" t="b">
        <f t="shared" si="17"/>
        <v>1</v>
      </c>
      <c r="AL24" s="264"/>
      <c r="AM24" s="264"/>
      <c r="AN24" s="75"/>
    </row>
    <row r="25" spans="1:40" s="6" customFormat="1" ht="11.25" customHeight="1" x14ac:dyDescent="0.2">
      <c r="A25" s="56">
        <f t="shared" si="18"/>
        <v>43476</v>
      </c>
      <c r="B25" s="607"/>
      <c r="C25" s="388"/>
      <c r="D25" s="391"/>
      <c r="E25" s="383"/>
      <c r="F25" s="383"/>
      <c r="G25" s="110"/>
      <c r="I25" s="379">
        <f t="shared" si="0"/>
        <v>0</v>
      </c>
      <c r="J25" s="85">
        <v>2018</v>
      </c>
      <c r="K25" s="197">
        <f t="shared" si="1"/>
        <v>43476</v>
      </c>
      <c r="L25" s="435">
        <f t="shared" si="2"/>
        <v>1.9164771863366958E-5</v>
      </c>
      <c r="M25" s="842"/>
      <c r="N25" s="842"/>
      <c r="O25" s="323">
        <f t="shared" si="3"/>
        <v>7.3044375343596103E-5</v>
      </c>
      <c r="P25" s="169">
        <f>(INDEX(Models!$BJ25:$BT25,,T25)*(1-R25)+INDEX(Models!$BJ25:$BT25,,T25+1)*R25-ERP_i)*Q25*Ramure*Pc/MaxiM</f>
        <v>3.0015978205331906E-6</v>
      </c>
      <c r="Q25" s="304">
        <f t="shared" si="19"/>
        <v>0.7</v>
      </c>
      <c r="R25" s="177">
        <f t="shared" si="4"/>
        <v>0.7992211131534861</v>
      </c>
      <c r="S25" s="799">
        <f t="shared" si="20"/>
        <v>-2</v>
      </c>
      <c r="T25" s="176">
        <f t="shared" si="21"/>
        <v>4</v>
      </c>
      <c r="U25" s="250">
        <f t="shared" si="22"/>
        <v>-1.2007788868465139</v>
      </c>
      <c r="V25" s="382">
        <f t="shared" si="5"/>
        <v>28.806560725073229</v>
      </c>
      <c r="W25" s="58"/>
      <c r="X25" s="157">
        <f t="shared" si="6"/>
        <v>43476</v>
      </c>
      <c r="Y25" s="383">
        <f t="shared" si="7"/>
        <v>0</v>
      </c>
      <c r="Z25" s="383">
        <f t="shared" si="8"/>
        <v>0</v>
      </c>
      <c r="AA25" s="384">
        <f t="shared" si="9"/>
        <v>0</v>
      </c>
      <c r="AB25" s="197">
        <f t="shared" si="10"/>
        <v>43476</v>
      </c>
      <c r="AC25" s="424">
        <f t="shared" si="11"/>
        <v>7.3044375343596103E-5</v>
      </c>
      <c r="AD25" s="169">
        <f>(INDEX(Models!$BJ25:$BT25,,AH25)*(1-AF25)+INDEX(Models!$BJ25:$BT25,,AH25+1)*AF25-ERP_i)*AE25*Ramure*Pc/MaxiM</f>
        <v>3.0015978205331906E-6</v>
      </c>
      <c r="AE25" s="304">
        <f t="shared" si="12"/>
        <v>0.7</v>
      </c>
      <c r="AF25" s="177">
        <f t="shared" si="13"/>
        <v>0.7992211131534861</v>
      </c>
      <c r="AG25" s="799">
        <f t="shared" si="23"/>
        <v>-2</v>
      </c>
      <c r="AH25" s="176">
        <f t="shared" si="14"/>
        <v>4</v>
      </c>
      <c r="AI25" s="224">
        <f t="shared" si="15"/>
        <v>-1.2007788868465139</v>
      </c>
      <c r="AJ25" s="264" t="b">
        <f t="shared" si="16"/>
        <v>0</v>
      </c>
      <c r="AK25" s="264" t="b">
        <f t="shared" si="17"/>
        <v>1</v>
      </c>
      <c r="AL25" s="264"/>
      <c r="AM25" s="264"/>
      <c r="AN25" s="75"/>
    </row>
    <row r="26" spans="1:40" s="6" customFormat="1" ht="11.25" customHeight="1" x14ac:dyDescent="0.2">
      <c r="A26" s="56">
        <f t="shared" si="18"/>
        <v>43477</v>
      </c>
      <c r="B26" s="607"/>
      <c r="C26" s="388"/>
      <c r="D26" s="391"/>
      <c r="E26" s="383"/>
      <c r="F26" s="383"/>
      <c r="G26" s="110"/>
      <c r="I26" s="379">
        <f t="shared" si="0"/>
        <v>0</v>
      </c>
      <c r="J26" s="85">
        <v>2018</v>
      </c>
      <c r="K26" s="197">
        <f t="shared" si="1"/>
        <v>43477</v>
      </c>
      <c r="L26" s="435">
        <f t="shared" si="2"/>
        <v>3.8329176438200996E-5</v>
      </c>
      <c r="M26" s="842"/>
      <c r="N26" s="842"/>
      <c r="O26" s="323">
        <f t="shared" si="3"/>
        <v>1.4601847345210544E-4</v>
      </c>
      <c r="P26" s="169">
        <f>(INDEX(Models!$BJ26:$BT26,,T26)*(1-R26)+INDEX(Models!$BJ26:$BT26,,T26+1)*R26-ERP_i)*Q26*Ramure*Pc/MaxiM</f>
        <v>3.395259285416284E-6</v>
      </c>
      <c r="Q26" s="304">
        <f t="shared" si="19"/>
        <v>0.7</v>
      </c>
      <c r="R26" s="177">
        <f t="shared" si="4"/>
        <v>0.79925631293562294</v>
      </c>
      <c r="S26" s="799">
        <f t="shared" si="20"/>
        <v>-2</v>
      </c>
      <c r="T26" s="176">
        <f t="shared" si="21"/>
        <v>4</v>
      </c>
      <c r="U26" s="250">
        <f t="shared" si="22"/>
        <v>-1.2007436870643771</v>
      </c>
      <c r="V26" s="382">
        <f t="shared" si="5"/>
        <v>29.088682461974265</v>
      </c>
      <c r="W26" s="58"/>
      <c r="X26" s="157">
        <f t="shared" si="6"/>
        <v>43477</v>
      </c>
      <c r="Y26" s="383">
        <f t="shared" si="7"/>
        <v>0</v>
      </c>
      <c r="Z26" s="383">
        <f t="shared" si="8"/>
        <v>0</v>
      </c>
      <c r="AA26" s="384">
        <f t="shared" si="9"/>
        <v>0</v>
      </c>
      <c r="AB26" s="197">
        <f t="shared" si="10"/>
        <v>43477</v>
      </c>
      <c r="AC26" s="424">
        <f t="shared" si="11"/>
        <v>1.4601847345210544E-4</v>
      </c>
      <c r="AD26" s="169">
        <f>(INDEX(Models!$BJ26:$BT26,,AH26)*(1-AF26)+INDEX(Models!$BJ26:$BT26,,AH26+1)*AF26-ERP_i)*AE26*Ramure*Pc/MaxiM</f>
        <v>3.395259285416284E-6</v>
      </c>
      <c r="AE26" s="304">
        <f t="shared" si="12"/>
        <v>0.7</v>
      </c>
      <c r="AF26" s="177">
        <f t="shared" si="13"/>
        <v>0.79925631293562294</v>
      </c>
      <c r="AG26" s="799">
        <f t="shared" si="23"/>
        <v>-2</v>
      </c>
      <c r="AH26" s="176">
        <f t="shared" si="14"/>
        <v>4</v>
      </c>
      <c r="AI26" s="224">
        <f t="shared" si="15"/>
        <v>-1.2007436870643771</v>
      </c>
      <c r="AJ26" s="264" t="b">
        <f t="shared" si="16"/>
        <v>0</v>
      </c>
      <c r="AK26" s="264" t="b">
        <f t="shared" si="17"/>
        <v>1</v>
      </c>
      <c r="AL26" s="264"/>
      <c r="AM26" s="264"/>
      <c r="AN26" s="75"/>
    </row>
    <row r="27" spans="1:40" s="6" customFormat="1" ht="11.25" customHeight="1" x14ac:dyDescent="0.2">
      <c r="A27" s="56">
        <f t="shared" si="18"/>
        <v>43478</v>
      </c>
      <c r="B27" s="607"/>
      <c r="C27" s="388"/>
      <c r="D27" s="391"/>
      <c r="E27" s="383"/>
      <c r="F27" s="383"/>
      <c r="G27" s="110"/>
      <c r="I27" s="379">
        <f t="shared" si="0"/>
        <v>0</v>
      </c>
      <c r="J27" s="85">
        <v>2018</v>
      </c>
      <c r="K27" s="197">
        <f t="shared" si="1"/>
        <v>43478</v>
      </c>
      <c r="L27" s="435">
        <f t="shared" si="2"/>
        <v>5.749321373160754E-5</v>
      </c>
      <c r="M27" s="842"/>
      <c r="N27" s="842"/>
      <c r="O27" s="323">
        <f t="shared" si="3"/>
        <v>2.1892260313692008E-4</v>
      </c>
      <c r="P27" s="169">
        <f>(INDEX(Models!$BJ27:$BT27,,T27)*(1-R27)+INDEX(Models!$BJ27:$BT27,,T27+1)*R27-ERP_i)*Q27*Ramure*Pc/MaxiM</f>
        <v>3.8092998916911732E-6</v>
      </c>
      <c r="Q27" s="304">
        <f t="shared" si="19"/>
        <v>0.7</v>
      </c>
      <c r="R27" s="177">
        <f t="shared" si="4"/>
        <v>0.79929298282719818</v>
      </c>
      <c r="S27" s="799">
        <f t="shared" si="20"/>
        <v>-2</v>
      </c>
      <c r="T27" s="176">
        <f t="shared" si="21"/>
        <v>4</v>
      </c>
      <c r="U27" s="250">
        <f t="shared" si="22"/>
        <v>-1.2007070171728018</v>
      </c>
      <c r="V27" s="382">
        <f t="shared" si="5"/>
        <v>29.381248535045138</v>
      </c>
      <c r="W27" s="58"/>
      <c r="X27" s="157">
        <f t="shared" si="6"/>
        <v>43478</v>
      </c>
      <c r="Y27" s="383">
        <f t="shared" si="7"/>
        <v>0</v>
      </c>
      <c r="Z27" s="383">
        <f t="shared" si="8"/>
        <v>0</v>
      </c>
      <c r="AA27" s="384">
        <f t="shared" si="9"/>
        <v>0</v>
      </c>
      <c r="AB27" s="197">
        <f t="shared" si="10"/>
        <v>43478</v>
      </c>
      <c r="AC27" s="424">
        <f t="shared" si="11"/>
        <v>2.1892260313692008E-4</v>
      </c>
      <c r="AD27" s="169">
        <f>(INDEX(Models!$BJ27:$BT27,,AH27)*(1-AF27)+INDEX(Models!$BJ27:$BT27,,AH27+1)*AF27-ERP_i)*AE27*Ramure*Pc/MaxiM</f>
        <v>3.8092998916911732E-6</v>
      </c>
      <c r="AE27" s="304">
        <f t="shared" si="12"/>
        <v>0.7</v>
      </c>
      <c r="AF27" s="177">
        <f t="shared" si="13"/>
        <v>0.79929298282719818</v>
      </c>
      <c r="AG27" s="799">
        <f t="shared" si="23"/>
        <v>-2</v>
      </c>
      <c r="AH27" s="176">
        <f t="shared" si="14"/>
        <v>4</v>
      </c>
      <c r="AI27" s="224">
        <f t="shared" si="15"/>
        <v>-1.2007070171728018</v>
      </c>
      <c r="AJ27" s="264" t="b">
        <f t="shared" si="16"/>
        <v>0</v>
      </c>
      <c r="AK27" s="264" t="b">
        <f t="shared" si="17"/>
        <v>1</v>
      </c>
      <c r="AL27" s="264"/>
      <c r="AM27" s="264"/>
      <c r="AN27" s="75"/>
    </row>
    <row r="28" spans="1:40" s="6" customFormat="1" ht="11.25" customHeight="1" x14ac:dyDescent="0.2">
      <c r="A28" s="56">
        <f t="shared" si="18"/>
        <v>43479</v>
      </c>
      <c r="B28" s="607"/>
      <c r="C28" s="388"/>
      <c r="D28" s="391"/>
      <c r="E28" s="383"/>
      <c r="F28" s="383"/>
      <c r="G28" s="110"/>
      <c r="I28" s="379">
        <f t="shared" si="0"/>
        <v>0</v>
      </c>
      <c r="J28" s="85">
        <v>2018</v>
      </c>
      <c r="K28" s="197">
        <f t="shared" si="1"/>
        <v>43479</v>
      </c>
      <c r="L28" s="435">
        <f t="shared" si="2"/>
        <v>7.6656883750580995E-5</v>
      </c>
      <c r="M28" s="842"/>
      <c r="N28" s="842"/>
      <c r="O28" s="323">
        <f t="shared" si="3"/>
        <v>2.9175707321674649E-4</v>
      </c>
      <c r="P28" s="169">
        <f>(INDEX(Models!$BJ28:$BT28,,T28)*(1-R28)+INDEX(Models!$BJ28:$BT28,,T28+1)*R28-ERP_i)*Q28*Ramure*Pc/MaxiM</f>
        <v>4.2447893967482974E-6</v>
      </c>
      <c r="Q28" s="304">
        <f t="shared" si="19"/>
        <v>0.7</v>
      </c>
      <c r="R28" s="177">
        <f t="shared" si="4"/>
        <v>0.79933118393950986</v>
      </c>
      <c r="S28" s="799">
        <f t="shared" si="20"/>
        <v>-2</v>
      </c>
      <c r="T28" s="176">
        <f t="shared" si="21"/>
        <v>4</v>
      </c>
      <c r="U28" s="250">
        <f t="shared" si="22"/>
        <v>-1.2006688160604901</v>
      </c>
      <c r="V28" s="382">
        <f t="shared" si="5"/>
        <v>29.682953694952218</v>
      </c>
      <c r="W28" s="58"/>
      <c r="X28" s="157">
        <f t="shared" si="6"/>
        <v>43479</v>
      </c>
      <c r="Y28" s="383">
        <f t="shared" si="7"/>
        <v>0</v>
      </c>
      <c r="Z28" s="383">
        <f t="shared" si="8"/>
        <v>0</v>
      </c>
      <c r="AA28" s="384">
        <f t="shared" si="9"/>
        <v>0</v>
      </c>
      <c r="AB28" s="197">
        <f t="shared" si="10"/>
        <v>43479</v>
      </c>
      <c r="AC28" s="424">
        <f t="shared" si="11"/>
        <v>2.9175707321674649E-4</v>
      </c>
      <c r="AD28" s="169">
        <f>(INDEX(Models!$BJ28:$BT28,,AH28)*(1-AF28)+INDEX(Models!$BJ28:$BT28,,AH28+1)*AF28-ERP_i)*AE28*Ramure*Pc/MaxiM</f>
        <v>4.2447893967482974E-6</v>
      </c>
      <c r="AE28" s="304">
        <f t="shared" si="12"/>
        <v>0.7</v>
      </c>
      <c r="AF28" s="177">
        <f t="shared" si="13"/>
        <v>0.79933118393950986</v>
      </c>
      <c r="AG28" s="799">
        <f t="shared" si="23"/>
        <v>-2</v>
      </c>
      <c r="AH28" s="176">
        <f t="shared" si="14"/>
        <v>4</v>
      </c>
      <c r="AI28" s="224">
        <f t="shared" si="15"/>
        <v>-1.2006688160604901</v>
      </c>
      <c r="AJ28" s="264" t="b">
        <f t="shared" si="16"/>
        <v>0</v>
      </c>
      <c r="AK28" s="264" t="b">
        <f t="shared" si="17"/>
        <v>1</v>
      </c>
      <c r="AL28" s="264"/>
      <c r="AM28" s="264"/>
      <c r="AN28" s="75"/>
    </row>
    <row r="29" spans="1:40" s="6" customFormat="1" ht="11.25" customHeight="1" x14ac:dyDescent="0.2">
      <c r="A29" s="56">
        <f t="shared" si="18"/>
        <v>43480</v>
      </c>
      <c r="B29" s="607"/>
      <c r="C29" s="388"/>
      <c r="D29" s="391"/>
      <c r="E29" s="383"/>
      <c r="F29" s="383"/>
      <c r="G29" s="110"/>
      <c r="I29" s="379">
        <f t="shared" si="0"/>
        <v>0</v>
      </c>
      <c r="J29" s="85">
        <v>2018</v>
      </c>
      <c r="K29" s="197">
        <f t="shared" si="1"/>
        <v>43480</v>
      </c>
      <c r="L29" s="435">
        <f t="shared" si="2"/>
        <v>9.582018650222679E-5</v>
      </c>
      <c r="M29" s="842"/>
      <c r="N29" s="842"/>
      <c r="O29" s="323">
        <f t="shared" si="3"/>
        <v>3.6452219727168634E-4</v>
      </c>
      <c r="P29" s="169">
        <f>(INDEX(Models!$BJ29:$BT29,,T29)*(1-R29)+INDEX(Models!$BJ29:$BT29,,T29+1)*R29-ERP_i)*Q29*Ramure*Pc/MaxiM</f>
        <v>4.7028966839982786E-6</v>
      </c>
      <c r="Q29" s="304">
        <f t="shared" si="19"/>
        <v>0.7</v>
      </c>
      <c r="R29" s="177">
        <f t="shared" si="4"/>
        <v>0.79937097989964756</v>
      </c>
      <c r="S29" s="799">
        <f t="shared" si="20"/>
        <v>-2</v>
      </c>
      <c r="T29" s="176">
        <f t="shared" si="21"/>
        <v>4</v>
      </c>
      <c r="U29" s="250">
        <f t="shared" si="22"/>
        <v>-1.2006290201003524</v>
      </c>
      <c r="V29" s="382">
        <f t="shared" si="5"/>
        <v>29.992493165048671</v>
      </c>
      <c r="W29" s="58"/>
      <c r="X29" s="157">
        <f t="shared" si="6"/>
        <v>43480</v>
      </c>
      <c r="Y29" s="383">
        <f t="shared" si="7"/>
        <v>0</v>
      </c>
      <c r="Z29" s="383">
        <f t="shared" si="8"/>
        <v>0</v>
      </c>
      <c r="AA29" s="384">
        <f t="shared" si="9"/>
        <v>0</v>
      </c>
      <c r="AB29" s="197">
        <f t="shared" si="10"/>
        <v>43480</v>
      </c>
      <c r="AC29" s="424">
        <f t="shared" si="11"/>
        <v>3.6452219727168634E-4</v>
      </c>
      <c r="AD29" s="169">
        <f>(INDEX(Models!$BJ29:$BT29,,AH29)*(1-AF29)+INDEX(Models!$BJ29:$BT29,,AH29+1)*AF29-ERP_i)*AE29*Ramure*Pc/MaxiM</f>
        <v>4.7028966839982786E-6</v>
      </c>
      <c r="AE29" s="304">
        <f t="shared" si="12"/>
        <v>0.7</v>
      </c>
      <c r="AF29" s="177">
        <f t="shared" si="13"/>
        <v>0.79937097989964756</v>
      </c>
      <c r="AG29" s="799">
        <f t="shared" si="23"/>
        <v>-2</v>
      </c>
      <c r="AH29" s="176">
        <f t="shared" si="14"/>
        <v>4</v>
      </c>
      <c r="AI29" s="224">
        <f t="shared" si="15"/>
        <v>-1.2006290201003524</v>
      </c>
      <c r="AJ29" s="264" t="b">
        <f t="shared" si="16"/>
        <v>0</v>
      </c>
      <c r="AK29" s="264" t="b">
        <f t="shared" si="17"/>
        <v>1</v>
      </c>
      <c r="AL29" s="264"/>
      <c r="AM29" s="264"/>
      <c r="AN29" s="75"/>
    </row>
    <row r="30" spans="1:40" s="6" customFormat="1" ht="11.25" customHeight="1" x14ac:dyDescent="0.2">
      <c r="A30" s="56">
        <f t="shared" si="18"/>
        <v>43481</v>
      </c>
      <c r="B30" s="607"/>
      <c r="C30" s="388"/>
      <c r="D30" s="391"/>
      <c r="E30" s="383"/>
      <c r="F30" s="383"/>
      <c r="G30" s="110"/>
      <c r="I30" s="379">
        <f t="shared" si="0"/>
        <v>0</v>
      </c>
      <c r="J30" s="85">
        <v>2018</v>
      </c>
      <c r="K30" s="197">
        <f t="shared" si="1"/>
        <v>43481</v>
      </c>
      <c r="L30" s="435">
        <f t="shared" si="2"/>
        <v>1.1498312199365035E-4</v>
      </c>
      <c r="M30" s="842"/>
      <c r="N30" s="842"/>
      <c r="O30" s="323">
        <f t="shared" si="3"/>
        <v>4.3721829742386208E-4</v>
      </c>
      <c r="P30" s="169">
        <f>(INDEX(Models!$BJ30:$BT30,,T30)*(1-R30)+INDEX(Models!$BJ30:$BT30,,T30+1)*R30-ERP_i)*Q30*Ramure*Pc/MaxiM</f>
        <v>5.1814321081578167E-6</v>
      </c>
      <c r="Q30" s="304">
        <f t="shared" si="19"/>
        <v>0.7</v>
      </c>
      <c r="R30" s="177">
        <f t="shared" si="4"/>
        <v>0.79941243695196218</v>
      </c>
      <c r="S30" s="799">
        <f t="shared" si="20"/>
        <v>-2</v>
      </c>
      <c r="T30" s="176">
        <f t="shared" si="21"/>
        <v>4</v>
      </c>
      <c r="U30" s="250">
        <f t="shared" si="22"/>
        <v>-1.2005875630480378</v>
      </c>
      <c r="V30" s="382">
        <f t="shared" si="5"/>
        <v>30.308562757510586</v>
      </c>
      <c r="W30" s="58"/>
      <c r="X30" s="157">
        <f t="shared" si="6"/>
        <v>43481</v>
      </c>
      <c r="Y30" s="383">
        <f t="shared" si="7"/>
        <v>0</v>
      </c>
      <c r="Z30" s="383">
        <f t="shared" si="8"/>
        <v>0</v>
      </c>
      <c r="AA30" s="384">
        <f t="shared" si="9"/>
        <v>0</v>
      </c>
      <c r="AB30" s="197">
        <f t="shared" si="10"/>
        <v>43481</v>
      </c>
      <c r="AC30" s="424">
        <f t="shared" si="11"/>
        <v>4.3721829742386208E-4</v>
      </c>
      <c r="AD30" s="169">
        <f>(INDEX(Models!$BJ30:$BT30,,AH30)*(1-AF30)+INDEX(Models!$BJ30:$BT30,,AH30+1)*AF30-ERP_i)*AE30*Ramure*Pc/MaxiM</f>
        <v>5.1814321081578167E-6</v>
      </c>
      <c r="AE30" s="304">
        <f t="shared" si="12"/>
        <v>0.7</v>
      </c>
      <c r="AF30" s="177">
        <f t="shared" si="13"/>
        <v>0.79941243695196218</v>
      </c>
      <c r="AG30" s="799">
        <f t="shared" si="23"/>
        <v>-2</v>
      </c>
      <c r="AH30" s="176">
        <f t="shared" si="14"/>
        <v>4</v>
      </c>
      <c r="AI30" s="224">
        <f t="shared" si="15"/>
        <v>-1.2005875630480378</v>
      </c>
      <c r="AJ30" s="264" t="b">
        <f t="shared" si="16"/>
        <v>0</v>
      </c>
      <c r="AK30" s="264" t="b">
        <f t="shared" si="17"/>
        <v>1</v>
      </c>
      <c r="AL30" s="264"/>
      <c r="AM30" s="264"/>
      <c r="AN30" s="75"/>
    </row>
    <row r="31" spans="1:40" s="6" customFormat="1" ht="11.25" x14ac:dyDescent="0.2">
      <c r="A31" s="56">
        <f t="shared" si="18"/>
        <v>43482</v>
      </c>
      <c r="B31" s="607"/>
      <c r="C31" s="388"/>
      <c r="D31" s="391"/>
      <c r="E31" s="383"/>
      <c r="F31" s="383"/>
      <c r="G31" s="110"/>
      <c r="I31" s="379">
        <f t="shared" si="0"/>
        <v>0</v>
      </c>
      <c r="J31" s="85">
        <v>2018</v>
      </c>
      <c r="K31" s="197">
        <f t="shared" si="1"/>
        <v>43482</v>
      </c>
      <c r="L31" s="435">
        <f t="shared" si="2"/>
        <v>1.3414569023162404E-4</v>
      </c>
      <c r="M31" s="842"/>
      <c r="N31" s="842"/>
      <c r="O31" s="323">
        <f t="shared" si="3"/>
        <v>5.0984570715153295E-4</v>
      </c>
      <c r="P31" s="169">
        <f>(INDEX(Models!$BJ31:$BT31,,T31)*(1-R31)+INDEX(Models!$BJ31:$BT31,,T31+1)*R31-ERP_i)*Q31*Ramure*Pc/MaxiM</f>
        <v>5.6779646395578075E-6</v>
      </c>
      <c r="Q31" s="304">
        <f t="shared" si="19"/>
        <v>0.7</v>
      </c>
      <c r="R31" s="177">
        <f t="shared" si="4"/>
        <v>0.79945562406344561</v>
      </c>
      <c r="S31" s="799">
        <f t="shared" si="20"/>
        <v>-2</v>
      </c>
      <c r="T31" s="176">
        <f t="shared" si="21"/>
        <v>4</v>
      </c>
      <c r="U31" s="250">
        <f t="shared" si="22"/>
        <v>-1.2005443759365544</v>
      </c>
      <c r="V31" s="382">
        <f t="shared" si="5"/>
        <v>30.629858773389504</v>
      </c>
      <c r="W31" s="58"/>
      <c r="X31" s="157">
        <f t="shared" si="6"/>
        <v>43482</v>
      </c>
      <c r="Y31" s="383">
        <f t="shared" si="7"/>
        <v>0</v>
      </c>
      <c r="Z31" s="383">
        <f t="shared" si="8"/>
        <v>0</v>
      </c>
      <c r="AA31" s="384">
        <f t="shared" si="9"/>
        <v>0</v>
      </c>
      <c r="AB31" s="197">
        <f t="shared" si="10"/>
        <v>43482</v>
      </c>
      <c r="AC31" s="424">
        <f t="shared" si="11"/>
        <v>5.0984570715153295E-4</v>
      </c>
      <c r="AD31" s="169">
        <f>(INDEX(Models!$BJ31:$BT31,,AH31)*(1-AF31)+INDEX(Models!$BJ31:$BT31,,AH31+1)*AF31-ERP_i)*AE31*Ramure*Pc/MaxiM</f>
        <v>5.6779646395578075E-6</v>
      </c>
      <c r="AE31" s="304">
        <f t="shared" si="12"/>
        <v>0.7</v>
      </c>
      <c r="AF31" s="177">
        <f t="shared" si="13"/>
        <v>0.79945562406344561</v>
      </c>
      <c r="AG31" s="799">
        <f t="shared" si="23"/>
        <v>-2</v>
      </c>
      <c r="AH31" s="176">
        <f t="shared" si="14"/>
        <v>4</v>
      </c>
      <c r="AI31" s="224">
        <f t="shared" si="15"/>
        <v>-1.2005443759365544</v>
      </c>
      <c r="AJ31" s="264" t="b">
        <f t="shared" si="16"/>
        <v>0</v>
      </c>
      <c r="AK31" s="264" t="b">
        <f t="shared" si="17"/>
        <v>1</v>
      </c>
      <c r="AL31" s="264"/>
      <c r="AM31" s="264"/>
      <c r="AN31" s="75"/>
    </row>
    <row r="32" spans="1:40" s="6" customFormat="1" ht="11.25" customHeight="1" x14ac:dyDescent="0.2">
      <c r="A32" s="56">
        <f t="shared" si="18"/>
        <v>43483</v>
      </c>
      <c r="B32" s="607"/>
      <c r="C32" s="388"/>
      <c r="D32" s="391"/>
      <c r="E32" s="383"/>
      <c r="F32" s="383"/>
      <c r="G32" s="110"/>
      <c r="I32" s="379">
        <f t="shared" si="0"/>
        <v>0</v>
      </c>
      <c r="J32" s="85">
        <v>2018</v>
      </c>
      <c r="K32" s="197">
        <f t="shared" si="1"/>
        <v>43483</v>
      </c>
      <c r="L32" s="435">
        <f t="shared" si="2"/>
        <v>1.5330789122347532E-4</v>
      </c>
      <c r="M32" s="842"/>
      <c r="N32" s="842"/>
      <c r="O32" s="323">
        <f t="shared" si="3"/>
        <v>5.8240477315664419E-4</v>
      </c>
      <c r="P32" s="169">
        <f>(INDEX(Models!$BJ32:$BT32,,T32)*(1-R32)+INDEX(Models!$BJ32:$BT32,,T32+1)*R32-ERP_i)*Q32*Ramure*Pc/MaxiM</f>
        <v>6.1924586006007922E-6</v>
      </c>
      <c r="Q32" s="304">
        <f t="shared" si="19"/>
        <v>0.7</v>
      </c>
      <c r="R32" s="177">
        <f t="shared" si="4"/>
        <v>0.799500613033159</v>
      </c>
      <c r="S32" s="799">
        <f t="shared" si="20"/>
        <v>-2</v>
      </c>
      <c r="T32" s="176">
        <f t="shared" si="21"/>
        <v>4</v>
      </c>
      <c r="U32" s="250">
        <f t="shared" si="22"/>
        <v>-1.200499386966841</v>
      </c>
      <c r="V32" s="382">
        <f t="shared" si="5"/>
        <v>30.955077927139527</v>
      </c>
      <c r="W32" s="58"/>
      <c r="X32" s="157">
        <f t="shared" si="6"/>
        <v>43483</v>
      </c>
      <c r="Y32" s="383">
        <f t="shared" si="7"/>
        <v>0</v>
      </c>
      <c r="Z32" s="383">
        <f t="shared" si="8"/>
        <v>0</v>
      </c>
      <c r="AA32" s="384">
        <f t="shared" si="9"/>
        <v>0</v>
      </c>
      <c r="AB32" s="197">
        <f t="shared" si="10"/>
        <v>43483</v>
      </c>
      <c r="AC32" s="424">
        <f t="shared" si="11"/>
        <v>5.8240477315664419E-4</v>
      </c>
      <c r="AD32" s="169">
        <f>(INDEX(Models!$BJ32:$BT32,,AH32)*(1-AF32)+INDEX(Models!$BJ32:$BT32,,AH32+1)*AF32-ERP_i)*AE32*Ramure*Pc/MaxiM</f>
        <v>6.1924586006007922E-6</v>
      </c>
      <c r="AE32" s="304">
        <f t="shared" si="12"/>
        <v>0.7</v>
      </c>
      <c r="AF32" s="177">
        <f t="shared" si="13"/>
        <v>0.799500613033159</v>
      </c>
      <c r="AG32" s="799">
        <f t="shared" si="23"/>
        <v>-2</v>
      </c>
      <c r="AH32" s="176">
        <f t="shared" si="14"/>
        <v>4</v>
      </c>
      <c r="AI32" s="224">
        <f t="shared" si="15"/>
        <v>-1.200499386966841</v>
      </c>
      <c r="AJ32" s="264" t="b">
        <f t="shared" si="16"/>
        <v>0</v>
      </c>
      <c r="AK32" s="264" t="b">
        <f t="shared" si="17"/>
        <v>1</v>
      </c>
      <c r="AL32" s="264"/>
      <c r="AM32" s="264"/>
      <c r="AN32" s="75"/>
    </row>
    <row r="33" spans="1:40" s="6" customFormat="1" ht="11.25" customHeight="1" x14ac:dyDescent="0.2">
      <c r="A33" s="56">
        <f t="shared" si="18"/>
        <v>43484</v>
      </c>
      <c r="B33" s="607"/>
      <c r="C33" s="388"/>
      <c r="D33" s="391"/>
      <c r="E33" s="383"/>
      <c r="F33" s="383"/>
      <c r="G33" s="110"/>
      <c r="I33" s="379">
        <f t="shared" si="0"/>
        <v>0</v>
      </c>
      <c r="J33" s="85">
        <v>2018</v>
      </c>
      <c r="K33" s="197">
        <f t="shared" si="1"/>
        <v>43484</v>
      </c>
      <c r="L33" s="435">
        <f t="shared" si="2"/>
        <v>1.7246972497597657E-4</v>
      </c>
      <c r="M33" s="842"/>
      <c r="N33" s="842"/>
      <c r="O33" s="323">
        <f t="shared" si="3"/>
        <v>6.5489585631892252E-4</v>
      </c>
      <c r="P33" s="169">
        <f>(INDEX(Models!$BJ33:$BT33,,T33)*(1-R33)+INDEX(Models!$BJ33:$BT33,,T33+1)*R33-ERP_i)*Q33*Ramure*Pc/MaxiM</f>
        <v>6.724930233688734E-6</v>
      </c>
      <c r="Q33" s="304">
        <f t="shared" si="19"/>
        <v>0.7</v>
      </c>
      <c r="R33" s="177">
        <f t="shared" si="4"/>
        <v>0.79954747860584763</v>
      </c>
      <c r="S33" s="799">
        <f t="shared" si="20"/>
        <v>-2</v>
      </c>
      <c r="T33" s="176">
        <f t="shared" si="21"/>
        <v>4</v>
      </c>
      <c r="U33" s="250">
        <f t="shared" si="22"/>
        <v>-1.2004525213941524</v>
      </c>
      <c r="V33" s="382">
        <f t="shared" si="5"/>
        <v>31.282917410062907</v>
      </c>
      <c r="W33" s="58"/>
      <c r="X33" s="157">
        <f t="shared" si="6"/>
        <v>43484</v>
      </c>
      <c r="Y33" s="383">
        <f t="shared" si="7"/>
        <v>0</v>
      </c>
      <c r="Z33" s="383">
        <f t="shared" si="8"/>
        <v>0</v>
      </c>
      <c r="AA33" s="384">
        <f t="shared" si="9"/>
        <v>0</v>
      </c>
      <c r="AB33" s="197">
        <f t="shared" si="10"/>
        <v>43484</v>
      </c>
      <c r="AC33" s="424">
        <f t="shared" si="11"/>
        <v>6.5489585631892252E-4</v>
      </c>
      <c r="AD33" s="169">
        <f>(INDEX(Models!$BJ33:$BT33,,AH33)*(1-AF33)+INDEX(Models!$BJ33:$BT33,,AH33+1)*AF33-ERP_i)*AE33*Ramure*Pc/MaxiM</f>
        <v>6.724930233688734E-6</v>
      </c>
      <c r="AE33" s="304">
        <f t="shared" si="12"/>
        <v>0.7</v>
      </c>
      <c r="AF33" s="177">
        <f t="shared" si="13"/>
        <v>0.79954747860584763</v>
      </c>
      <c r="AG33" s="799">
        <f t="shared" si="23"/>
        <v>-2</v>
      </c>
      <c r="AH33" s="176">
        <f t="shared" si="14"/>
        <v>4</v>
      </c>
      <c r="AI33" s="224">
        <f t="shared" si="15"/>
        <v>-1.2004525213941524</v>
      </c>
      <c r="AJ33" s="264" t="b">
        <f t="shared" si="16"/>
        <v>0</v>
      </c>
      <c r="AK33" s="264" t="b">
        <f t="shared" si="17"/>
        <v>1</v>
      </c>
      <c r="AL33" s="264"/>
      <c r="AM33" s="264"/>
      <c r="AN33" s="75"/>
    </row>
    <row r="34" spans="1:40" s="6" customFormat="1" ht="11.25" customHeight="1" x14ac:dyDescent="0.2">
      <c r="A34" s="56">
        <f t="shared" si="18"/>
        <v>43485</v>
      </c>
      <c r="B34" s="607"/>
      <c r="C34" s="388"/>
      <c r="D34" s="391"/>
      <c r="E34" s="383"/>
      <c r="F34" s="383"/>
      <c r="G34" s="110"/>
      <c r="I34" s="379">
        <f t="shared" si="0"/>
        <v>0</v>
      </c>
      <c r="J34" s="85">
        <v>2018</v>
      </c>
      <c r="K34" s="197">
        <f t="shared" si="1"/>
        <v>43485</v>
      </c>
      <c r="L34" s="435">
        <f t="shared" si="2"/>
        <v>1.9163119149645524E-4</v>
      </c>
      <c r="M34" s="842"/>
      <c r="N34" s="842"/>
      <c r="O34" s="323">
        <f t="shared" si="3"/>
        <v>7.2731933178090498E-4</v>
      </c>
      <c r="P34" s="169">
        <f>(INDEX(Models!$BJ34:$BT34,,T34)*(1-R34)+INDEX(Models!$BJ34:$BT34,,T34+1)*R34-ERP_i)*Q34*Ramure*Pc/MaxiM</f>
        <v>7.2754896380794906E-6</v>
      </c>
      <c r="Q34" s="304">
        <f t="shared" si="19"/>
        <v>0.7</v>
      </c>
      <c r="R34" s="177">
        <f t="shared" si="4"/>
        <v>0.79959629858988168</v>
      </c>
      <c r="S34" s="799">
        <f t="shared" si="20"/>
        <v>-2</v>
      </c>
      <c r="T34" s="176">
        <f t="shared" si="21"/>
        <v>4</v>
      </c>
      <c r="U34" s="250">
        <f t="shared" si="22"/>
        <v>-1.2004037014101183</v>
      </c>
      <c r="V34" s="382">
        <f t="shared" si="5"/>
        <v>31.612074894015549</v>
      </c>
      <c r="W34" s="58"/>
      <c r="X34" s="157">
        <f t="shared" si="6"/>
        <v>43485</v>
      </c>
      <c r="Y34" s="383">
        <f t="shared" si="7"/>
        <v>0</v>
      </c>
      <c r="Z34" s="383">
        <f t="shared" si="8"/>
        <v>0</v>
      </c>
      <c r="AA34" s="384">
        <f t="shared" si="9"/>
        <v>0</v>
      </c>
      <c r="AB34" s="197">
        <f t="shared" si="10"/>
        <v>43485</v>
      </c>
      <c r="AC34" s="424">
        <f t="shared" si="11"/>
        <v>7.2731933178090498E-4</v>
      </c>
      <c r="AD34" s="169">
        <f>(INDEX(Models!$BJ34:$BT34,,AH34)*(1-AF34)+INDEX(Models!$BJ34:$BT34,,AH34+1)*AF34-ERP_i)*AE34*Ramure*Pc/MaxiM</f>
        <v>7.2754896380794906E-6</v>
      </c>
      <c r="AE34" s="304">
        <f t="shared" si="12"/>
        <v>0.7</v>
      </c>
      <c r="AF34" s="177">
        <f t="shared" si="13"/>
        <v>0.79959629858988168</v>
      </c>
      <c r="AG34" s="799">
        <f t="shared" si="23"/>
        <v>-2</v>
      </c>
      <c r="AH34" s="176">
        <f t="shared" si="14"/>
        <v>4</v>
      </c>
      <c r="AI34" s="224">
        <f t="shared" si="15"/>
        <v>-1.2004037014101183</v>
      </c>
      <c r="AJ34" s="264" t="b">
        <f t="shared" si="16"/>
        <v>0</v>
      </c>
      <c r="AK34" s="264" t="b">
        <f t="shared" si="17"/>
        <v>1</v>
      </c>
      <c r="AL34" s="264"/>
      <c r="AM34" s="264"/>
      <c r="AN34" s="75"/>
    </row>
    <row r="35" spans="1:40" s="6" customFormat="1" ht="11.25" customHeight="1" x14ac:dyDescent="0.2">
      <c r="A35" s="56">
        <f t="shared" si="18"/>
        <v>43486</v>
      </c>
      <c r="B35" s="607"/>
      <c r="C35" s="388"/>
      <c r="D35" s="391"/>
      <c r="E35" s="383"/>
      <c r="F35" s="383"/>
      <c r="G35" s="110"/>
      <c r="I35" s="379">
        <f t="shared" si="0"/>
        <v>0</v>
      </c>
      <c r="J35" s="85">
        <v>2018</v>
      </c>
      <c r="K35" s="197">
        <f t="shared" si="1"/>
        <v>43486</v>
      </c>
      <c r="L35" s="435">
        <f t="shared" si="2"/>
        <v>2.1079229079168371E-4</v>
      </c>
      <c r="M35" s="842"/>
      <c r="N35" s="842"/>
      <c r="O35" s="323">
        <f t="shared" si="3"/>
        <v>7.9967558821997557E-4</v>
      </c>
      <c r="P35" s="169">
        <f>(INDEX(Models!$BJ35:$BT35,,T35)*(1-R35)+INDEX(Models!$BJ35:$BT35,,T35+1)*R35-ERP_i)*Q35*Ramure*Pc/MaxiM</f>
        <v>7.8443336226707982E-6</v>
      </c>
      <c r="Q35" s="304">
        <f t="shared" si="19"/>
        <v>0.7</v>
      </c>
      <c r="R35" s="177">
        <f t="shared" si="4"/>
        <v>0.79964715397967079</v>
      </c>
      <c r="S35" s="799">
        <f t="shared" si="20"/>
        <v>-2</v>
      </c>
      <c r="T35" s="176">
        <f t="shared" si="21"/>
        <v>4</v>
      </c>
      <c r="U35" s="250">
        <f t="shared" si="22"/>
        <v>-1.2003528460203292</v>
      </c>
      <c r="V35" s="382">
        <f t="shared" si="5"/>
        <v>31.941248525809151</v>
      </c>
      <c r="W35" s="58"/>
      <c r="X35" s="157">
        <f t="shared" si="6"/>
        <v>43486</v>
      </c>
      <c r="Y35" s="383">
        <f t="shared" si="7"/>
        <v>0</v>
      </c>
      <c r="Z35" s="383">
        <f t="shared" si="8"/>
        <v>0</v>
      </c>
      <c r="AA35" s="384">
        <f t="shared" si="9"/>
        <v>0</v>
      </c>
      <c r="AB35" s="197">
        <f t="shared" si="10"/>
        <v>43486</v>
      </c>
      <c r="AC35" s="424">
        <f t="shared" si="11"/>
        <v>7.9967558821997557E-4</v>
      </c>
      <c r="AD35" s="169">
        <f>(INDEX(Models!$BJ35:$BT35,,AH35)*(1-AF35)+INDEX(Models!$BJ35:$BT35,,AH35+1)*AF35-ERP_i)*AE35*Ramure*Pc/MaxiM</f>
        <v>7.8443336226707982E-6</v>
      </c>
      <c r="AE35" s="304">
        <f t="shared" si="12"/>
        <v>0.7</v>
      </c>
      <c r="AF35" s="177">
        <f t="shared" si="13"/>
        <v>0.79964715397967079</v>
      </c>
      <c r="AG35" s="799">
        <f t="shared" si="23"/>
        <v>-2</v>
      </c>
      <c r="AH35" s="176">
        <f t="shared" si="14"/>
        <v>4</v>
      </c>
      <c r="AI35" s="224">
        <f t="shared" si="15"/>
        <v>-1.2003528460203292</v>
      </c>
      <c r="AJ35" s="264" t="b">
        <f t="shared" si="16"/>
        <v>0</v>
      </c>
      <c r="AK35" s="264" t="b">
        <f t="shared" si="17"/>
        <v>1</v>
      </c>
      <c r="AL35" s="264"/>
      <c r="AM35" s="264"/>
      <c r="AN35" s="75"/>
    </row>
    <row r="36" spans="1:40" s="6" customFormat="1" ht="11.25" customHeight="1" x14ac:dyDescent="0.2">
      <c r="A36" s="56">
        <f t="shared" si="18"/>
        <v>43487</v>
      </c>
      <c r="B36" s="607"/>
      <c r="C36" s="388"/>
      <c r="D36" s="391"/>
      <c r="E36" s="383"/>
      <c r="F36" s="383"/>
      <c r="G36" s="110"/>
      <c r="I36" s="379">
        <f t="shared" si="0"/>
        <v>0</v>
      </c>
      <c r="J36" s="85">
        <v>2018</v>
      </c>
      <c r="K36" s="197">
        <f t="shared" si="1"/>
        <v>43487</v>
      </c>
      <c r="L36" s="435">
        <f t="shared" si="2"/>
        <v>2.2995302286887842E-4</v>
      </c>
      <c r="M36" s="842"/>
      <c r="N36" s="842"/>
      <c r="O36" s="323">
        <f t="shared" si="3"/>
        <v>8.7196502637291898E-4</v>
      </c>
      <c r="P36" s="169">
        <f>(INDEX(Models!$BJ36:$BT36,,T36)*(1-R36)+INDEX(Models!$BJ36:$BT36,,T36+1)*R36-ERP_i)*Q36*Ramure*Pc/MaxiM</f>
        <v>8.4316971683245584E-6</v>
      </c>
      <c r="Q36" s="304">
        <f t="shared" si="19"/>
        <v>0.7</v>
      </c>
      <c r="R36" s="177">
        <f t="shared" si="4"/>
        <v>0.79970012908269639</v>
      </c>
      <c r="S36" s="799">
        <f t="shared" si="20"/>
        <v>-2</v>
      </c>
      <c r="T36" s="176">
        <f t="shared" si="21"/>
        <v>4</v>
      </c>
      <c r="U36" s="250">
        <f t="shared" si="22"/>
        <v>-1.2002998709173036</v>
      </c>
      <c r="V36" s="382">
        <f t="shared" si="5"/>
        <v>32.269136928744587</v>
      </c>
      <c r="W36" s="58"/>
      <c r="X36" s="157">
        <f t="shared" si="6"/>
        <v>43487</v>
      </c>
      <c r="Y36" s="383">
        <f t="shared" si="7"/>
        <v>0</v>
      </c>
      <c r="Z36" s="383">
        <f t="shared" si="8"/>
        <v>0</v>
      </c>
      <c r="AA36" s="384">
        <f t="shared" si="9"/>
        <v>0</v>
      </c>
      <c r="AB36" s="197">
        <f t="shared" si="10"/>
        <v>43487</v>
      </c>
      <c r="AC36" s="424">
        <f t="shared" si="11"/>
        <v>8.7196502637291898E-4</v>
      </c>
      <c r="AD36" s="169">
        <f>(INDEX(Models!$BJ36:$BT36,,AH36)*(1-AF36)+INDEX(Models!$BJ36:$BT36,,AH36+1)*AF36-ERP_i)*AE36*Ramure*Pc/MaxiM</f>
        <v>8.4316971683245584E-6</v>
      </c>
      <c r="AE36" s="304">
        <f t="shared" si="12"/>
        <v>0.7</v>
      </c>
      <c r="AF36" s="177">
        <f t="shared" si="13"/>
        <v>0.79970012908269639</v>
      </c>
      <c r="AG36" s="799">
        <f t="shared" si="23"/>
        <v>-2</v>
      </c>
      <c r="AH36" s="176">
        <f t="shared" si="14"/>
        <v>4</v>
      </c>
      <c r="AI36" s="224">
        <f t="shared" si="15"/>
        <v>-1.2002998709173036</v>
      </c>
      <c r="AJ36" s="264" t="b">
        <f t="shared" si="16"/>
        <v>0</v>
      </c>
      <c r="AK36" s="264" t="b">
        <f t="shared" si="17"/>
        <v>1</v>
      </c>
      <c r="AL36" s="264"/>
      <c r="AM36" s="264"/>
      <c r="AN36" s="75"/>
    </row>
    <row r="37" spans="1:40" s="6" customFormat="1" ht="11.25" customHeight="1" x14ac:dyDescent="0.2">
      <c r="A37" s="56">
        <f t="shared" si="18"/>
        <v>43488</v>
      </c>
      <c r="B37" s="607"/>
      <c r="C37" s="388"/>
      <c r="D37" s="391"/>
      <c r="E37" s="383"/>
      <c r="F37" s="383"/>
      <c r="G37" s="110"/>
      <c r="I37" s="379">
        <f t="shared" si="0"/>
        <v>0</v>
      </c>
      <c r="J37" s="85">
        <v>2018</v>
      </c>
      <c r="K37" s="197">
        <f t="shared" si="1"/>
        <v>43488</v>
      </c>
      <c r="L37" s="435">
        <f t="shared" si="2"/>
        <v>2.4911338773492275E-4</v>
      </c>
      <c r="M37" s="842"/>
      <c r="N37" s="842"/>
      <c r="O37" s="323">
        <f t="shared" si="3"/>
        <v>9.4418805688775047E-4</v>
      </c>
      <c r="P37" s="169">
        <f>(INDEX(Models!$BJ37:$BT37,,T37)*(1-R37)+INDEX(Models!$BJ37:$BT37,,T37+1)*R37-ERP_i)*Q37*Ramure*Pc/MaxiM</f>
        <v>9.036523070956965E-6</v>
      </c>
      <c r="Q37" s="304">
        <f t="shared" si="19"/>
        <v>0.7</v>
      </c>
      <c r="R37" s="177">
        <f t="shared" si="4"/>
        <v>0.7997553116513183</v>
      </c>
      <c r="S37" s="799">
        <f t="shared" si="20"/>
        <v>-2</v>
      </c>
      <c r="T37" s="176">
        <f t="shared" si="21"/>
        <v>4</v>
      </c>
      <c r="U37" s="250">
        <f t="shared" si="22"/>
        <v>-1.2002446883486817</v>
      </c>
      <c r="V37" s="382">
        <f t="shared" si="5"/>
        <v>32.599338646906233</v>
      </c>
      <c r="W37" s="58"/>
      <c r="X37" s="157">
        <f t="shared" si="6"/>
        <v>43488</v>
      </c>
      <c r="Y37" s="383">
        <f t="shared" si="7"/>
        <v>0</v>
      </c>
      <c r="Z37" s="383">
        <f t="shared" si="8"/>
        <v>0</v>
      </c>
      <c r="AA37" s="384">
        <f t="shared" si="9"/>
        <v>0</v>
      </c>
      <c r="AB37" s="197">
        <f t="shared" si="10"/>
        <v>43488</v>
      </c>
      <c r="AC37" s="424">
        <f t="shared" si="11"/>
        <v>9.4418805688775047E-4</v>
      </c>
      <c r="AD37" s="169">
        <f>(INDEX(Models!$BJ37:$BT37,,AH37)*(1-AF37)+INDEX(Models!$BJ37:$BT37,,AH37+1)*AF37-ERP_i)*AE37*Ramure*Pc/MaxiM</f>
        <v>9.036523070956965E-6</v>
      </c>
      <c r="AE37" s="304">
        <f t="shared" si="12"/>
        <v>0.7</v>
      </c>
      <c r="AF37" s="177">
        <f t="shared" si="13"/>
        <v>0.7997553116513183</v>
      </c>
      <c r="AG37" s="799">
        <f t="shared" si="23"/>
        <v>-2</v>
      </c>
      <c r="AH37" s="176">
        <f t="shared" si="14"/>
        <v>4</v>
      </c>
      <c r="AI37" s="224">
        <f t="shared" si="15"/>
        <v>-1.2002446883486817</v>
      </c>
      <c r="AJ37" s="264" t="b">
        <f t="shared" si="16"/>
        <v>0</v>
      </c>
      <c r="AK37" s="264" t="b">
        <f t="shared" si="17"/>
        <v>1</v>
      </c>
      <c r="AL37" s="264"/>
      <c r="AM37" s="264"/>
      <c r="AN37" s="75"/>
    </row>
    <row r="38" spans="1:40" s="6" customFormat="1" ht="11.25" customHeight="1" x14ac:dyDescent="0.2">
      <c r="A38" s="56">
        <f t="shared" si="18"/>
        <v>43489</v>
      </c>
      <c r="B38" s="607"/>
      <c r="C38" s="388"/>
      <c r="D38" s="391"/>
      <c r="E38" s="383"/>
      <c r="F38" s="383"/>
      <c r="G38" s="110"/>
      <c r="I38" s="379">
        <f t="shared" si="0"/>
        <v>0</v>
      </c>
      <c r="J38" s="85">
        <v>2018</v>
      </c>
      <c r="K38" s="197">
        <f t="shared" si="1"/>
        <v>43489</v>
      </c>
      <c r="L38" s="435">
        <f t="shared" si="2"/>
        <v>2.6827338539703316E-4</v>
      </c>
      <c r="M38" s="842"/>
      <c r="N38" s="842"/>
      <c r="O38" s="323">
        <f t="shared" si="3"/>
        <v>1.0163450975851668E-3</v>
      </c>
      <c r="P38" s="169">
        <f>(INDEX(Models!$BJ38:$BT38,,T38)*(1-R38)+INDEX(Models!$BJ38:$BT38,,T38+1)*R38-ERP_i)*Q38*Ramure*Pc/MaxiM</f>
        <v>9.649744433603122E-6</v>
      </c>
      <c r="Q38" s="304">
        <f t="shared" si="19"/>
        <v>0.7</v>
      </c>
      <c r="R38" s="177">
        <f t="shared" si="4"/>
        <v>0.79981279301950181</v>
      </c>
      <c r="S38" s="799">
        <f t="shared" si="20"/>
        <v>-2</v>
      </c>
      <c r="T38" s="176">
        <f t="shared" si="21"/>
        <v>4</v>
      </c>
      <c r="U38" s="250">
        <f t="shared" si="22"/>
        <v>-1.2001872069804982</v>
      </c>
      <c r="V38" s="382">
        <f t="shared" si="5"/>
        <v>32.935812108254154</v>
      </c>
      <c r="W38" s="58"/>
      <c r="X38" s="157">
        <f t="shared" si="6"/>
        <v>43489</v>
      </c>
      <c r="Y38" s="383">
        <f t="shared" si="7"/>
        <v>0</v>
      </c>
      <c r="Z38" s="383">
        <f t="shared" si="8"/>
        <v>0</v>
      </c>
      <c r="AA38" s="384">
        <f t="shared" si="9"/>
        <v>0</v>
      </c>
      <c r="AB38" s="197">
        <f t="shared" si="10"/>
        <v>43489</v>
      </c>
      <c r="AC38" s="424">
        <f t="shared" si="11"/>
        <v>1.0163450975851668E-3</v>
      </c>
      <c r="AD38" s="169">
        <f>(INDEX(Models!$BJ38:$BT38,,AH38)*(1-AF38)+INDEX(Models!$BJ38:$BT38,,AH38+1)*AF38-ERP_i)*AE38*Ramure*Pc/MaxiM</f>
        <v>9.649744433603122E-6</v>
      </c>
      <c r="AE38" s="304">
        <f t="shared" si="12"/>
        <v>0.7</v>
      </c>
      <c r="AF38" s="177">
        <f t="shared" si="13"/>
        <v>0.79981279301950181</v>
      </c>
      <c r="AG38" s="799">
        <f t="shared" si="23"/>
        <v>-2</v>
      </c>
      <c r="AH38" s="176">
        <f t="shared" si="14"/>
        <v>4</v>
      </c>
      <c r="AI38" s="224">
        <f t="shared" si="15"/>
        <v>-1.2001872069804982</v>
      </c>
      <c r="AJ38" s="264" t="b">
        <f t="shared" si="16"/>
        <v>0</v>
      </c>
      <c r="AK38" s="264" t="b">
        <f t="shared" si="17"/>
        <v>1</v>
      </c>
      <c r="AL38" s="264"/>
      <c r="AM38" s="264"/>
      <c r="AN38" s="75"/>
    </row>
    <row r="39" spans="1:40" s="6" customFormat="1" ht="11.25" customHeight="1" x14ac:dyDescent="0.2">
      <c r="A39" s="56">
        <f t="shared" si="18"/>
        <v>43490</v>
      </c>
      <c r="B39" s="607"/>
      <c r="C39" s="388"/>
      <c r="D39" s="391"/>
      <c r="E39" s="383"/>
      <c r="F39" s="383"/>
      <c r="G39" s="110"/>
      <c r="I39" s="379">
        <f t="shared" si="0"/>
        <v>0</v>
      </c>
      <c r="J39" s="85">
        <v>2018</v>
      </c>
      <c r="K39" s="197">
        <f t="shared" si="1"/>
        <v>43490</v>
      </c>
      <c r="L39" s="435">
        <f t="shared" si="2"/>
        <v>2.8743301586220404E-4</v>
      </c>
      <c r="M39" s="842"/>
      <c r="N39" s="842"/>
      <c r="O39" s="323">
        <f t="shared" si="3"/>
        <v>1.0884365702182686E-3</v>
      </c>
      <c r="P39" s="169">
        <f>(INDEX(Models!$BJ39:$BT39,,T39)*(1-R39)+INDEX(Models!$BJ39:$BT39,,T39+1)*R39-ERP_i)*Q39*Ramure*Pc/MaxiM</f>
        <v>1.0270758035724972E-5</v>
      </c>
      <c r="Q39" s="304">
        <f t="shared" si="19"/>
        <v>0.7</v>
      </c>
      <c r="R39" s="177">
        <f t="shared" si="4"/>
        <v>0.79987266824462844</v>
      </c>
      <c r="S39" s="799">
        <f t="shared" si="20"/>
        <v>-2</v>
      </c>
      <c r="T39" s="176">
        <f t="shared" si="21"/>
        <v>4</v>
      </c>
      <c r="U39" s="250">
        <f t="shared" si="22"/>
        <v>-1.2001273317553716</v>
      </c>
      <c r="V39" s="382">
        <f t="shared" si="5"/>
        <v>33.277795972819774</v>
      </c>
      <c r="W39" s="58"/>
      <c r="X39" s="157">
        <f t="shared" si="6"/>
        <v>43490</v>
      </c>
      <c r="Y39" s="383">
        <f t="shared" si="7"/>
        <v>0</v>
      </c>
      <c r="Z39" s="383">
        <f t="shared" si="8"/>
        <v>0</v>
      </c>
      <c r="AA39" s="384">
        <f t="shared" si="9"/>
        <v>0</v>
      </c>
      <c r="AB39" s="197">
        <f t="shared" si="10"/>
        <v>43490</v>
      </c>
      <c r="AC39" s="424">
        <f t="shared" si="11"/>
        <v>1.0884365702182686E-3</v>
      </c>
      <c r="AD39" s="169">
        <f>(INDEX(Models!$BJ39:$BT39,,AH39)*(1-AF39)+INDEX(Models!$BJ39:$BT39,,AH39+1)*AF39-ERP_i)*AE39*Ramure*Pc/MaxiM</f>
        <v>1.0270758035724972E-5</v>
      </c>
      <c r="AE39" s="304">
        <f t="shared" si="12"/>
        <v>0.7</v>
      </c>
      <c r="AF39" s="177">
        <f t="shared" si="13"/>
        <v>0.79987266824462844</v>
      </c>
      <c r="AG39" s="799">
        <f t="shared" si="23"/>
        <v>-2</v>
      </c>
      <c r="AH39" s="176">
        <f t="shared" si="14"/>
        <v>4</v>
      </c>
      <c r="AI39" s="224">
        <f t="shared" si="15"/>
        <v>-1.2001273317553716</v>
      </c>
      <c r="AJ39" s="264" t="b">
        <f t="shared" si="16"/>
        <v>0</v>
      </c>
      <c r="AK39" s="264" t="b">
        <f t="shared" si="17"/>
        <v>1</v>
      </c>
      <c r="AL39" s="264"/>
      <c r="AM39" s="264"/>
      <c r="AN39" s="75"/>
    </row>
    <row r="40" spans="1:40" s="6" customFormat="1" ht="11.25" x14ac:dyDescent="0.2">
      <c r="A40" s="56">
        <f t="shared" si="18"/>
        <v>43491</v>
      </c>
      <c r="B40" s="607"/>
      <c r="C40" s="388"/>
      <c r="D40" s="391"/>
      <c r="E40" s="383"/>
      <c r="F40" s="383"/>
      <c r="G40" s="110"/>
      <c r="I40" s="379">
        <f t="shared" si="0"/>
        <v>0</v>
      </c>
      <c r="J40" s="85">
        <v>2018</v>
      </c>
      <c r="K40" s="197">
        <f t="shared" si="1"/>
        <v>43491</v>
      </c>
      <c r="L40" s="435">
        <f t="shared" si="2"/>
        <v>3.0659227913731879E-4</v>
      </c>
      <c r="M40" s="842"/>
      <c r="N40" s="842"/>
      <c r="O40" s="323">
        <f t="shared" si="3"/>
        <v>1.1604628968244816E-3</v>
      </c>
      <c r="P40" s="169">
        <f>(INDEX(Models!$BJ40:$BT40,,T40)*(1-R40)+INDEX(Models!$BJ40:$BT40,,T40+1)*R40-ERP_i)*Q40*Ramure*Pc/MaxiM</f>
        <v>1.0898126780139407E-5</v>
      </c>
      <c r="Q40" s="304">
        <f t="shared" si="19"/>
        <v>0.7</v>
      </c>
      <c r="R40" s="177">
        <f t="shared" si="4"/>
        <v>0.79993503625454254</v>
      </c>
      <c r="S40" s="799">
        <f t="shared" si="20"/>
        <v>-2</v>
      </c>
      <c r="T40" s="176">
        <f t="shared" si="21"/>
        <v>4</v>
      </c>
      <c r="U40" s="250">
        <f t="shared" si="22"/>
        <v>-1.2000649637454575</v>
      </c>
      <c r="V40" s="382">
        <f t="shared" si="5"/>
        <v>33.624529211365662</v>
      </c>
      <c r="W40" s="58"/>
      <c r="X40" s="157">
        <f t="shared" si="6"/>
        <v>43491</v>
      </c>
      <c r="Y40" s="383">
        <f t="shared" si="7"/>
        <v>0</v>
      </c>
      <c r="Z40" s="383">
        <f t="shared" si="8"/>
        <v>0</v>
      </c>
      <c r="AA40" s="384">
        <f t="shared" si="9"/>
        <v>0</v>
      </c>
      <c r="AB40" s="197">
        <f t="shared" si="10"/>
        <v>43491</v>
      </c>
      <c r="AC40" s="424">
        <f t="shared" si="11"/>
        <v>1.1604628968244816E-3</v>
      </c>
      <c r="AD40" s="169">
        <f>(INDEX(Models!$BJ40:$BT40,,AH40)*(1-AF40)+INDEX(Models!$BJ40:$BT40,,AH40+1)*AF40-ERP_i)*AE40*Ramure*Pc/MaxiM</f>
        <v>1.0898126780139407E-5</v>
      </c>
      <c r="AE40" s="304">
        <f t="shared" si="12"/>
        <v>0.7</v>
      </c>
      <c r="AF40" s="177">
        <f t="shared" si="13"/>
        <v>0.79993503625454254</v>
      </c>
      <c r="AG40" s="799">
        <f t="shared" si="23"/>
        <v>-2</v>
      </c>
      <c r="AH40" s="176">
        <f t="shared" si="14"/>
        <v>4</v>
      </c>
      <c r="AI40" s="224">
        <f t="shared" si="15"/>
        <v>-1.2000649637454575</v>
      </c>
      <c r="AJ40" s="264" t="b">
        <f t="shared" si="16"/>
        <v>0</v>
      </c>
      <c r="AK40" s="264" t="b">
        <f t="shared" si="17"/>
        <v>1</v>
      </c>
      <c r="AL40" s="264"/>
      <c r="AM40" s="264"/>
      <c r="AN40" s="75"/>
    </row>
    <row r="41" spans="1:40" s="6" customFormat="1" ht="11.25" customHeight="1" x14ac:dyDescent="0.2">
      <c r="A41" s="56">
        <f t="shared" si="18"/>
        <v>43492</v>
      </c>
      <c r="B41" s="607"/>
      <c r="C41" s="388"/>
      <c r="D41" s="391"/>
      <c r="E41" s="383"/>
      <c r="F41" s="383"/>
      <c r="G41" s="110"/>
      <c r="I41" s="379">
        <f t="shared" si="0"/>
        <v>0</v>
      </c>
      <c r="J41" s="85">
        <v>2018</v>
      </c>
      <c r="K41" s="197">
        <f t="shared" si="1"/>
        <v>43492</v>
      </c>
      <c r="L41" s="435">
        <f t="shared" si="2"/>
        <v>3.2575117522959385E-4</v>
      </c>
      <c r="M41" s="842"/>
      <c r="N41" s="842"/>
      <c r="O41" s="323">
        <f t="shared" si="3"/>
        <v>1.2324244957671831E-3</v>
      </c>
      <c r="P41" s="169">
        <f>(INDEX(Models!$BJ41:$BT41,,T41)*(1-R41)+INDEX(Models!$BJ41:$BT41,,T41+1)*R41-ERP_i)*Q41*Ramure*Pc/MaxiM</f>
        <v>1.1530369266741E-5</v>
      </c>
      <c r="Q41" s="304">
        <f t="shared" si="19"/>
        <v>0.7</v>
      </c>
      <c r="R41" s="177">
        <f t="shared" si="4"/>
        <v>0.79999999999999982</v>
      </c>
      <c r="S41" s="799">
        <f t="shared" si="20"/>
        <v>-2</v>
      </c>
      <c r="T41" s="176">
        <f t="shared" si="21"/>
        <v>4</v>
      </c>
      <c r="U41" s="250">
        <f t="shared" si="22"/>
        <v>-1.2000000000000002</v>
      </c>
      <c r="V41" s="382">
        <f t="shared" si="5"/>
        <v>33.975251077631469</v>
      </c>
      <c r="W41" s="58"/>
      <c r="X41" s="157">
        <f t="shared" si="6"/>
        <v>43492</v>
      </c>
      <c r="Y41" s="383">
        <f t="shared" si="7"/>
        <v>0</v>
      </c>
      <c r="Z41" s="383">
        <f t="shared" si="8"/>
        <v>0</v>
      </c>
      <c r="AA41" s="384">
        <f t="shared" si="9"/>
        <v>0</v>
      </c>
      <c r="AB41" s="197">
        <f t="shared" si="10"/>
        <v>43492</v>
      </c>
      <c r="AC41" s="424">
        <f t="shared" si="11"/>
        <v>1.2324244957671831E-3</v>
      </c>
      <c r="AD41" s="169">
        <f>(INDEX(Models!$BJ41:$BT41,,AH41)*(1-AF41)+INDEX(Models!$BJ41:$BT41,,AH41+1)*AF41-ERP_i)*AE41*Ramure*Pc/MaxiM</f>
        <v>1.1530369266741E-5</v>
      </c>
      <c r="AE41" s="304">
        <f t="shared" si="12"/>
        <v>0.7</v>
      </c>
      <c r="AF41" s="177">
        <f t="shared" si="13"/>
        <v>0.79999999999999982</v>
      </c>
      <c r="AG41" s="799">
        <f t="shared" si="23"/>
        <v>-2</v>
      </c>
      <c r="AH41" s="176">
        <f t="shared" si="14"/>
        <v>4</v>
      </c>
      <c r="AI41" s="224">
        <f t="shared" si="15"/>
        <v>-1.2000000000000002</v>
      </c>
      <c r="AJ41" s="264" t="b">
        <f t="shared" si="16"/>
        <v>0</v>
      </c>
      <c r="AK41" s="264" t="b">
        <f t="shared" si="17"/>
        <v>1</v>
      </c>
      <c r="AL41" s="264"/>
      <c r="AM41" s="264"/>
      <c r="AN41" s="75"/>
    </row>
    <row r="42" spans="1:40" s="6" customFormat="1" ht="11.25" x14ac:dyDescent="0.2">
      <c r="A42" s="56">
        <f t="shared" si="18"/>
        <v>43493</v>
      </c>
      <c r="B42" s="607"/>
      <c r="C42" s="388"/>
      <c r="D42" s="391"/>
      <c r="E42" s="383"/>
      <c r="F42" s="383"/>
      <c r="G42" s="110"/>
      <c r="I42" s="379">
        <f t="shared" si="0"/>
        <v>0</v>
      </c>
      <c r="J42" s="85">
        <v>2018</v>
      </c>
      <c r="K42" s="197">
        <f t="shared" si="1"/>
        <v>43493</v>
      </c>
      <c r="L42" s="435">
        <f t="shared" si="2"/>
        <v>3.4490970414602362E-4</v>
      </c>
      <c r="M42" s="842"/>
      <c r="N42" s="842"/>
      <c r="O42" s="323">
        <f t="shared" si="3"/>
        <v>1.3043217775670513E-3</v>
      </c>
      <c r="P42" s="169">
        <f>(INDEX(Models!$BJ42:$BT42,,T42)*(1-R42)+INDEX(Models!$BJ42:$BT42,,T42+1)*R42-ERP_i)*Q42*Ramure*Pc/MaxiM</f>
        <v>1.2165952930372279E-5</v>
      </c>
      <c r="Q42" s="304">
        <f t="shared" si="19"/>
        <v>0.7</v>
      </c>
      <c r="R42" s="177">
        <f t="shared" si="4"/>
        <v>0.8000676666126767</v>
      </c>
      <c r="S42" s="799">
        <f t="shared" si="20"/>
        <v>-2</v>
      </c>
      <c r="T42" s="176">
        <f t="shared" si="21"/>
        <v>4</v>
      </c>
      <c r="U42" s="250">
        <f t="shared" si="22"/>
        <v>-1.1999323333873233</v>
      </c>
      <c r="V42" s="382">
        <f t="shared" si="5"/>
        <v>34.329201110379806</v>
      </c>
      <c r="W42" s="58"/>
      <c r="X42" s="157">
        <f t="shared" si="6"/>
        <v>43493</v>
      </c>
      <c r="Y42" s="383">
        <f t="shared" si="7"/>
        <v>0</v>
      </c>
      <c r="Z42" s="383">
        <f t="shared" si="8"/>
        <v>0</v>
      </c>
      <c r="AA42" s="384">
        <f t="shared" si="9"/>
        <v>0</v>
      </c>
      <c r="AB42" s="197">
        <f t="shared" si="10"/>
        <v>43493</v>
      </c>
      <c r="AC42" s="424">
        <f t="shared" si="11"/>
        <v>1.3043217775670513E-3</v>
      </c>
      <c r="AD42" s="169">
        <f>(INDEX(Models!$BJ42:$BT42,,AH42)*(1-AF42)+INDEX(Models!$BJ42:$BT42,,AH42+1)*AF42-ERP_i)*AE42*Ramure*Pc/MaxiM</f>
        <v>1.2165952930372279E-5</v>
      </c>
      <c r="AE42" s="304">
        <f t="shared" si="12"/>
        <v>0.7</v>
      </c>
      <c r="AF42" s="177">
        <f t="shared" si="13"/>
        <v>0.8000676666126767</v>
      </c>
      <c r="AG42" s="799">
        <f t="shared" si="23"/>
        <v>-2</v>
      </c>
      <c r="AH42" s="176">
        <f t="shared" si="14"/>
        <v>4</v>
      </c>
      <c r="AI42" s="224">
        <f t="shared" si="15"/>
        <v>-1.1999323333873233</v>
      </c>
      <c r="AJ42" s="264" t="b">
        <f t="shared" si="16"/>
        <v>0</v>
      </c>
      <c r="AK42" s="264" t="b">
        <f t="shared" si="17"/>
        <v>1</v>
      </c>
      <c r="AL42" s="264"/>
      <c r="AM42" s="264"/>
      <c r="AN42" s="75"/>
    </row>
    <row r="43" spans="1:40" s="6" customFormat="1" ht="11.25" customHeight="1" x14ac:dyDescent="0.2">
      <c r="A43" s="56">
        <f t="shared" si="18"/>
        <v>43494</v>
      </c>
      <c r="B43" s="607"/>
      <c r="C43" s="388"/>
      <c r="D43" s="391"/>
      <c r="E43" s="383"/>
      <c r="F43" s="383"/>
      <c r="G43" s="110"/>
      <c r="I43" s="379">
        <f t="shared" si="0"/>
        <v>0</v>
      </c>
      <c r="J43" s="85">
        <v>2018</v>
      </c>
      <c r="K43" s="197">
        <f t="shared" si="1"/>
        <v>43494</v>
      </c>
      <c r="L43" s="435">
        <f t="shared" si="2"/>
        <v>3.6406786589349149E-4</v>
      </c>
      <c r="M43" s="842"/>
      <c r="N43" s="842"/>
      <c r="O43" s="323">
        <f t="shared" si="3"/>
        <v>1.3761551406238758E-3</v>
      </c>
      <c r="P43" s="169">
        <f>(INDEX(Models!$BJ43:$BT43,,T43)*(1-R43)+INDEX(Models!$BJ43:$BT43,,T43+1)*R43-ERP_i)*Q43*Ramure*Pc/MaxiM</f>
        <v>1.2803286182472642E-5</v>
      </c>
      <c r="Q43" s="304">
        <f t="shared" si="19"/>
        <v>0.7</v>
      </c>
      <c r="R43" s="177">
        <f t="shared" si="4"/>
        <v>0.80013814756890489</v>
      </c>
      <c r="S43" s="799">
        <f t="shared" si="20"/>
        <v>-2</v>
      </c>
      <c r="T43" s="176">
        <f t="shared" si="21"/>
        <v>4</v>
      </c>
      <c r="U43" s="250">
        <f t="shared" si="22"/>
        <v>-1.1998618524310951</v>
      </c>
      <c r="V43" s="382">
        <f t="shared" si="5"/>
        <v>34.685619132154358</v>
      </c>
      <c r="W43" s="58"/>
      <c r="X43" s="157">
        <f t="shared" si="6"/>
        <v>43494</v>
      </c>
      <c r="Y43" s="383">
        <f t="shared" si="7"/>
        <v>0</v>
      </c>
      <c r="Z43" s="383">
        <f t="shared" si="8"/>
        <v>0</v>
      </c>
      <c r="AA43" s="384">
        <f t="shared" si="9"/>
        <v>0</v>
      </c>
      <c r="AB43" s="197">
        <f t="shared" si="10"/>
        <v>43494</v>
      </c>
      <c r="AC43" s="424">
        <f t="shared" si="11"/>
        <v>1.3761551406238758E-3</v>
      </c>
      <c r="AD43" s="169">
        <f>(INDEX(Models!$BJ43:$BT43,,AH43)*(1-AF43)+INDEX(Models!$BJ43:$BT43,,AH43+1)*AF43-ERP_i)*AE43*Ramure*Pc/MaxiM</f>
        <v>1.2803286182472642E-5</v>
      </c>
      <c r="AE43" s="304">
        <f t="shared" si="12"/>
        <v>0.7</v>
      </c>
      <c r="AF43" s="177">
        <f t="shared" si="13"/>
        <v>0.80013814756890489</v>
      </c>
      <c r="AG43" s="799">
        <f t="shared" si="23"/>
        <v>-2</v>
      </c>
      <c r="AH43" s="176">
        <f t="shared" si="14"/>
        <v>4</v>
      </c>
      <c r="AI43" s="224">
        <f t="shared" si="15"/>
        <v>-1.1998618524310951</v>
      </c>
      <c r="AJ43" s="264" t="b">
        <f t="shared" si="16"/>
        <v>0</v>
      </c>
      <c r="AK43" s="264" t="b">
        <f t="shared" si="17"/>
        <v>1</v>
      </c>
      <c r="AL43" s="264"/>
      <c r="AM43" s="264"/>
      <c r="AN43" s="75"/>
    </row>
    <row r="44" spans="1:40" s="6" customFormat="1" ht="11.25" x14ac:dyDescent="0.2">
      <c r="A44" s="56">
        <f t="shared" si="18"/>
        <v>43495</v>
      </c>
      <c r="B44" s="607"/>
      <c r="C44" s="388"/>
      <c r="D44" s="391"/>
      <c r="E44" s="383"/>
      <c r="F44" s="383"/>
      <c r="G44" s="110"/>
      <c r="I44" s="379">
        <f t="shared" si="0"/>
        <v>0</v>
      </c>
      <c r="J44" s="85">
        <v>2018</v>
      </c>
      <c r="K44" s="197">
        <f t="shared" si="1"/>
        <v>43495</v>
      </c>
      <c r="L44" s="435">
        <f t="shared" si="2"/>
        <v>3.8322566047921391E-4</v>
      </c>
      <c r="M44" s="842"/>
      <c r="N44" s="842"/>
      <c r="O44" s="323">
        <f t="shared" si="3"/>
        <v>1.4479249669295084E-3</v>
      </c>
      <c r="P44" s="169">
        <f>(INDEX(Models!$BJ44:$BT44,,T44)*(1-R44)+INDEX(Models!$BJ44:$BT44,,T44+1)*R44-ERP_i)*Q44*Ramure*Pc/MaxiM</f>
        <v>1.3416226652473682E-5</v>
      </c>
      <c r="Q44" s="304">
        <f t="shared" si="19"/>
        <v>0.7</v>
      </c>
      <c r="R44" s="177">
        <f t="shared" si="4"/>
        <v>0.80021155885929973</v>
      </c>
      <c r="S44" s="799">
        <f t="shared" si="20"/>
        <v>-2</v>
      </c>
      <c r="T44" s="176">
        <f t="shared" si="21"/>
        <v>4</v>
      </c>
      <c r="U44" s="250">
        <f t="shared" si="22"/>
        <v>-1.1997884411407003</v>
      </c>
      <c r="V44" s="382">
        <f t="shared" si="5"/>
        <v>35.043746108292787</v>
      </c>
      <c r="W44" s="58"/>
      <c r="X44" s="157">
        <f t="shared" si="6"/>
        <v>43495</v>
      </c>
      <c r="Y44" s="383">
        <f t="shared" si="7"/>
        <v>0</v>
      </c>
      <c r="Z44" s="383">
        <f t="shared" si="8"/>
        <v>0</v>
      </c>
      <c r="AA44" s="384">
        <f t="shared" si="9"/>
        <v>0</v>
      </c>
      <c r="AB44" s="197">
        <f t="shared" si="10"/>
        <v>43495</v>
      </c>
      <c r="AC44" s="424">
        <f t="shared" si="11"/>
        <v>1.4479249669295084E-3</v>
      </c>
      <c r="AD44" s="169">
        <f>(INDEX(Models!$BJ44:$BT44,,AH44)*(1-AF44)+INDEX(Models!$BJ44:$BT44,,AH44+1)*AF44-ERP_i)*AE44*Ramure*Pc/MaxiM</f>
        <v>1.3416226652473682E-5</v>
      </c>
      <c r="AE44" s="304">
        <f t="shared" si="12"/>
        <v>0.7</v>
      </c>
      <c r="AF44" s="177">
        <f t="shared" si="13"/>
        <v>0.80021155885929973</v>
      </c>
      <c r="AG44" s="799">
        <f t="shared" si="23"/>
        <v>-2</v>
      </c>
      <c r="AH44" s="176">
        <f t="shared" si="14"/>
        <v>4</v>
      </c>
      <c r="AI44" s="224">
        <f t="shared" si="15"/>
        <v>-1.1997884411407003</v>
      </c>
      <c r="AJ44" s="264" t="b">
        <f t="shared" si="16"/>
        <v>0</v>
      </c>
      <c r="AK44" s="264" t="b">
        <f t="shared" si="17"/>
        <v>1</v>
      </c>
      <c r="AL44" s="264"/>
      <c r="AM44" s="264"/>
      <c r="AN44" s="75"/>
    </row>
    <row r="45" spans="1:40" s="6" customFormat="1" ht="11.25" x14ac:dyDescent="0.2">
      <c r="A45" s="56">
        <f t="shared" si="18"/>
        <v>43496</v>
      </c>
      <c r="B45" s="607"/>
      <c r="C45" s="388"/>
      <c r="D45" s="391"/>
      <c r="E45" s="383"/>
      <c r="F45" s="383"/>
      <c r="G45" s="110"/>
      <c r="I45" s="379">
        <f t="shared" si="0"/>
        <v>0</v>
      </c>
      <c r="J45" s="85">
        <v>2018</v>
      </c>
      <c r="K45" s="197">
        <f t="shared" si="1"/>
        <v>43496</v>
      </c>
      <c r="L45" s="435">
        <f t="shared" si="2"/>
        <v>4.0238308791029631E-4</v>
      </c>
      <c r="M45" s="842"/>
      <c r="N45" s="842"/>
      <c r="O45" s="323">
        <f t="shared" si="3"/>
        <v>1.5196316178706086E-3</v>
      </c>
      <c r="P45" s="169">
        <f>(INDEX(Models!$BJ45:$BT45,,T45)*(1-R45)+INDEX(Models!$BJ45:$BT45,,T45+1)*R45-ERP_i)*Q45*Ramure*Pc/MaxiM</f>
        <v>1.4007854491972776E-5</v>
      </c>
      <c r="Q45" s="304">
        <f t="shared" si="19"/>
        <v>0.7</v>
      </c>
      <c r="R45" s="177">
        <f t="shared" si="4"/>
        <v>0.80028802116444364</v>
      </c>
      <c r="S45" s="799">
        <f t="shared" si="20"/>
        <v>-2</v>
      </c>
      <c r="T45" s="176">
        <f t="shared" si="21"/>
        <v>4</v>
      </c>
      <c r="U45" s="250">
        <f t="shared" si="22"/>
        <v>-1.1997119788355564</v>
      </c>
      <c r="V45" s="382">
        <f t="shared" si="5"/>
        <v>35.402822286418903</v>
      </c>
      <c r="W45" s="58"/>
      <c r="X45" s="157">
        <f t="shared" si="6"/>
        <v>43496</v>
      </c>
      <c r="Y45" s="383">
        <f t="shared" si="7"/>
        <v>0</v>
      </c>
      <c r="Z45" s="383">
        <f t="shared" si="8"/>
        <v>0</v>
      </c>
      <c r="AA45" s="384">
        <f t="shared" si="9"/>
        <v>0</v>
      </c>
      <c r="AB45" s="197">
        <f t="shared" si="10"/>
        <v>43496</v>
      </c>
      <c r="AC45" s="424">
        <f t="shared" si="11"/>
        <v>1.5196316178706086E-3</v>
      </c>
      <c r="AD45" s="169">
        <f>(INDEX(Models!$BJ45:$BT45,,AH45)*(1-AF45)+INDEX(Models!$BJ45:$BT45,,AH45+1)*AF45-ERP_i)*AE45*Ramure*Pc/MaxiM</f>
        <v>1.4007854491972776E-5</v>
      </c>
      <c r="AE45" s="304">
        <f t="shared" si="12"/>
        <v>0.7</v>
      </c>
      <c r="AF45" s="177">
        <f t="shared" si="13"/>
        <v>0.80028802116444364</v>
      </c>
      <c r="AG45" s="799">
        <f t="shared" si="23"/>
        <v>-2</v>
      </c>
      <c r="AH45" s="176">
        <f t="shared" si="14"/>
        <v>4</v>
      </c>
      <c r="AI45" s="224">
        <f t="shared" si="15"/>
        <v>-1.1997119788355564</v>
      </c>
      <c r="AJ45" s="264" t="b">
        <f t="shared" si="16"/>
        <v>0</v>
      </c>
      <c r="AK45" s="264" t="b">
        <f t="shared" si="17"/>
        <v>1</v>
      </c>
      <c r="AL45" s="264"/>
      <c r="AM45" s="264"/>
      <c r="AN45" s="75"/>
    </row>
    <row r="46" spans="1:40" s="6" customFormat="1" ht="11.25" x14ac:dyDescent="0.2">
      <c r="A46" s="56">
        <f t="shared" si="18"/>
        <v>43497</v>
      </c>
      <c r="B46" s="607"/>
      <c r="C46" s="388"/>
      <c r="D46" s="391"/>
      <c r="E46" s="383"/>
      <c r="F46" s="383"/>
      <c r="G46" s="110"/>
      <c r="I46" s="379">
        <f t="shared" si="0"/>
        <v>0</v>
      </c>
      <c r="J46" s="85">
        <v>2018</v>
      </c>
      <c r="K46" s="197">
        <f t="shared" si="1"/>
        <v>43497</v>
      </c>
      <c r="L46" s="435">
        <f t="shared" si="2"/>
        <v>4.2154014819351104E-4</v>
      </c>
      <c r="M46" s="842"/>
      <c r="N46" s="842"/>
      <c r="O46" s="323">
        <f t="shared" si="3"/>
        <v>1.5912754302170649E-3</v>
      </c>
      <c r="P46" s="169">
        <f>(INDEX(Models!$BJ46:$BT46,,T46)*(1-R46)+INDEX(Models!$BJ46:$BT46,,T46+1)*R46-ERP_i)*Q46*Ramure*Pc/MaxiM</f>
        <v>1.4573742982372419E-5</v>
      </c>
      <c r="Q46" s="304">
        <f t="shared" si="19"/>
        <v>0.7</v>
      </c>
      <c r="R46" s="177">
        <f t="shared" si="4"/>
        <v>0.80036766003679616</v>
      </c>
      <c r="S46" s="799">
        <f t="shared" si="20"/>
        <v>-2</v>
      </c>
      <c r="T46" s="176">
        <f t="shared" si="21"/>
        <v>4</v>
      </c>
      <c r="U46" s="250">
        <f t="shared" si="22"/>
        <v>-1.1996323399632038</v>
      </c>
      <c r="V46" s="382">
        <f t="shared" si="5"/>
        <v>35.762088456803312</v>
      </c>
      <c r="W46" s="58"/>
      <c r="X46" s="157">
        <f t="shared" si="6"/>
        <v>43497</v>
      </c>
      <c r="Y46" s="383">
        <f t="shared" si="7"/>
        <v>0</v>
      </c>
      <c r="Z46" s="383">
        <f t="shared" si="8"/>
        <v>0</v>
      </c>
      <c r="AA46" s="384">
        <f t="shared" si="9"/>
        <v>0</v>
      </c>
      <c r="AB46" s="197">
        <f t="shared" si="10"/>
        <v>43497</v>
      </c>
      <c r="AC46" s="424">
        <f t="shared" si="11"/>
        <v>1.5912754302170649E-3</v>
      </c>
      <c r="AD46" s="169">
        <f>(INDEX(Models!$BJ46:$BT46,,AH46)*(1-AF46)+INDEX(Models!$BJ46:$BT46,,AH46+1)*AF46-ERP_i)*AE46*Ramure*Pc/MaxiM</f>
        <v>1.4573742982372419E-5</v>
      </c>
      <c r="AE46" s="304">
        <f t="shared" si="12"/>
        <v>0.7</v>
      </c>
      <c r="AF46" s="177">
        <f t="shared" si="13"/>
        <v>0.80036766003679616</v>
      </c>
      <c r="AG46" s="799">
        <f t="shared" si="23"/>
        <v>-2</v>
      </c>
      <c r="AH46" s="176">
        <f t="shared" si="14"/>
        <v>4</v>
      </c>
      <c r="AI46" s="224">
        <f t="shared" si="15"/>
        <v>-1.1996323399632038</v>
      </c>
      <c r="AJ46" s="264" t="b">
        <f t="shared" si="16"/>
        <v>0</v>
      </c>
      <c r="AK46" s="264" t="b">
        <f t="shared" si="17"/>
        <v>1</v>
      </c>
      <c r="AL46" s="264"/>
      <c r="AM46" s="264"/>
      <c r="AN46" s="75"/>
    </row>
    <row r="47" spans="1:40" s="6" customFormat="1" ht="11.25" x14ac:dyDescent="0.2">
      <c r="A47" s="56">
        <f t="shared" si="18"/>
        <v>43498</v>
      </c>
      <c r="B47" s="607"/>
      <c r="C47" s="388"/>
      <c r="D47" s="391"/>
      <c r="E47" s="383"/>
      <c r="F47" s="383"/>
      <c r="G47" s="110"/>
      <c r="I47" s="379">
        <f t="shared" si="0"/>
        <v>0</v>
      </c>
      <c r="J47" s="85">
        <v>2018</v>
      </c>
      <c r="K47" s="197">
        <f t="shared" si="1"/>
        <v>43498</v>
      </c>
      <c r="L47" s="435">
        <f t="shared" si="2"/>
        <v>4.4069684133607456E-4</v>
      </c>
      <c r="M47" s="842"/>
      <c r="N47" s="842"/>
      <c r="O47" s="323">
        <f t="shared" si="3"/>
        <v>1.6628567123875499E-3</v>
      </c>
      <c r="P47" s="169">
        <f>(INDEX(Models!$BJ47:$BT47,,T47)*(1-R47)+INDEX(Models!$BJ47:$BT47,,T47+1)*R47-ERP_i)*Q47*Ramure*Pc/MaxiM</f>
        <v>1.5109207838721255E-5</v>
      </c>
      <c r="Q47" s="304">
        <f t="shared" si="19"/>
        <v>0.7</v>
      </c>
      <c r="R47" s="177">
        <f t="shared" si="4"/>
        <v>0.80045060608899199</v>
      </c>
      <c r="S47" s="799">
        <f t="shared" si="20"/>
        <v>-2</v>
      </c>
      <c r="T47" s="176">
        <f t="shared" si="21"/>
        <v>4</v>
      </c>
      <c r="U47" s="250">
        <f t="shared" si="22"/>
        <v>-1.199549393911008</v>
      </c>
      <c r="V47" s="382">
        <f t="shared" si="5"/>
        <v>36.120785704713661</v>
      </c>
      <c r="W47" s="58"/>
      <c r="X47" s="157">
        <f t="shared" si="6"/>
        <v>43498</v>
      </c>
      <c r="Y47" s="383">
        <f t="shared" si="7"/>
        <v>0</v>
      </c>
      <c r="Z47" s="383">
        <f t="shared" si="8"/>
        <v>0</v>
      </c>
      <c r="AA47" s="384">
        <f t="shared" si="9"/>
        <v>0</v>
      </c>
      <c r="AB47" s="197">
        <f t="shared" si="10"/>
        <v>43498</v>
      </c>
      <c r="AC47" s="424">
        <f t="shared" si="11"/>
        <v>1.6628567123875499E-3</v>
      </c>
      <c r="AD47" s="169">
        <f>(INDEX(Models!$BJ47:$BT47,,AH47)*(1-AF47)+INDEX(Models!$BJ47:$BT47,,AH47+1)*AF47-ERP_i)*AE47*Ramure*Pc/MaxiM</f>
        <v>1.5109207838721255E-5</v>
      </c>
      <c r="AE47" s="304">
        <f t="shared" si="12"/>
        <v>0.7</v>
      </c>
      <c r="AF47" s="177">
        <f t="shared" si="13"/>
        <v>0.80045060608899199</v>
      </c>
      <c r="AG47" s="799">
        <f t="shared" si="23"/>
        <v>-2</v>
      </c>
      <c r="AH47" s="176">
        <f t="shared" si="14"/>
        <v>4</v>
      </c>
      <c r="AI47" s="224">
        <f t="shared" si="15"/>
        <v>-1.199549393911008</v>
      </c>
      <c r="AJ47" s="264" t="b">
        <f t="shared" si="16"/>
        <v>0</v>
      </c>
      <c r="AK47" s="264" t="b">
        <f t="shared" si="17"/>
        <v>1</v>
      </c>
      <c r="AL47" s="264"/>
      <c r="AM47" s="264"/>
      <c r="AN47" s="75"/>
    </row>
    <row r="48" spans="1:40" s="6" customFormat="1" ht="11.25" x14ac:dyDescent="0.2">
      <c r="A48" s="56">
        <f t="shared" si="18"/>
        <v>43499</v>
      </c>
      <c r="B48" s="607"/>
      <c r="C48" s="388"/>
      <c r="D48" s="391"/>
      <c r="E48" s="383"/>
      <c r="F48" s="383"/>
      <c r="G48" s="110"/>
      <c r="I48" s="379">
        <f t="shared" si="0"/>
        <v>0</v>
      </c>
      <c r="J48" s="85">
        <v>2018</v>
      </c>
      <c r="K48" s="197">
        <f t="shared" si="1"/>
        <v>43499</v>
      </c>
      <c r="L48" s="435">
        <f t="shared" si="2"/>
        <v>4.5985316734498127E-4</v>
      </c>
      <c r="M48" s="842"/>
      <c r="N48" s="842"/>
      <c r="O48" s="323">
        <f t="shared" si="3"/>
        <v>1.7343757410784803E-3</v>
      </c>
      <c r="P48" s="169">
        <f>(INDEX(Models!$BJ48:$BT48,,T48)*(1-R48)+INDEX(Models!$BJ48:$BT48,,T48+1)*R48-ERP_i)*Q48*Ramure*Pc/MaxiM</f>
        <v>1.5609279539114115E-5</v>
      </c>
      <c r="Q48" s="304">
        <f t="shared" si="19"/>
        <v>0.7</v>
      </c>
      <c r="R48" s="177">
        <f t="shared" si="4"/>
        <v>0.80053699518869847</v>
      </c>
      <c r="S48" s="799">
        <f t="shared" si="20"/>
        <v>-2</v>
      </c>
      <c r="T48" s="176">
        <f t="shared" si="21"/>
        <v>4</v>
      </c>
      <c r="U48" s="250">
        <f t="shared" si="22"/>
        <v>-1.1994630048113015</v>
      </c>
      <c r="V48" s="382">
        <f t="shared" si="5"/>
        <v>36.4781554102643</v>
      </c>
      <c r="W48" s="58"/>
      <c r="X48" s="157">
        <f t="shared" si="6"/>
        <v>43499</v>
      </c>
      <c r="Y48" s="383">
        <f t="shared" si="7"/>
        <v>0</v>
      </c>
      <c r="Z48" s="383">
        <f t="shared" si="8"/>
        <v>0</v>
      </c>
      <c r="AA48" s="384">
        <f t="shared" si="9"/>
        <v>0</v>
      </c>
      <c r="AB48" s="197">
        <f t="shared" si="10"/>
        <v>43499</v>
      </c>
      <c r="AC48" s="424">
        <f t="shared" si="11"/>
        <v>1.7343757410784803E-3</v>
      </c>
      <c r="AD48" s="169">
        <f>(INDEX(Models!$BJ48:$BT48,,AH48)*(1-AF48)+INDEX(Models!$BJ48:$BT48,,AH48+1)*AF48-ERP_i)*AE48*Ramure*Pc/MaxiM</f>
        <v>1.5609279539114115E-5</v>
      </c>
      <c r="AE48" s="304">
        <f t="shared" si="12"/>
        <v>0.7</v>
      </c>
      <c r="AF48" s="177">
        <f t="shared" si="13"/>
        <v>0.80053699518869847</v>
      </c>
      <c r="AG48" s="799">
        <f t="shared" si="23"/>
        <v>-2</v>
      </c>
      <c r="AH48" s="176">
        <f t="shared" si="14"/>
        <v>4</v>
      </c>
      <c r="AI48" s="224">
        <f t="shared" si="15"/>
        <v>-1.1994630048113015</v>
      </c>
      <c r="AJ48" s="264" t="b">
        <f t="shared" si="16"/>
        <v>0</v>
      </c>
      <c r="AK48" s="264" t="b">
        <f t="shared" si="17"/>
        <v>1</v>
      </c>
      <c r="AL48" s="264"/>
      <c r="AM48" s="264"/>
      <c r="AN48" s="75"/>
    </row>
    <row r="49" spans="1:40" s="6" customFormat="1" ht="11.25" x14ac:dyDescent="0.2">
      <c r="A49" s="56">
        <f t="shared" si="18"/>
        <v>43500</v>
      </c>
      <c r="B49" s="607"/>
      <c r="C49" s="388"/>
      <c r="D49" s="391"/>
      <c r="E49" s="383"/>
      <c r="F49" s="383"/>
      <c r="G49" s="110"/>
      <c r="I49" s="379">
        <f t="shared" si="0"/>
        <v>0</v>
      </c>
      <c r="J49" s="85">
        <v>2018</v>
      </c>
      <c r="K49" s="197">
        <f t="shared" si="1"/>
        <v>43500</v>
      </c>
      <c r="L49" s="435">
        <f t="shared" si="2"/>
        <v>4.7900912622722558E-4</v>
      </c>
      <c r="M49" s="842"/>
      <c r="N49" s="842"/>
      <c r="O49" s="323">
        <f t="shared" si="3"/>
        <v>1.8058327583361075E-3</v>
      </c>
      <c r="P49" s="169">
        <f>(INDEX(Models!$BJ49:$BT49,,T49)*(1-R49)+INDEX(Models!$BJ49:$BT49,,T49+1)*R49-ERP_i)*Q49*Ramure*Pc/MaxiM</f>
        <v>1.6068673089579542E-5</v>
      </c>
      <c r="Q49" s="304">
        <f t="shared" si="19"/>
        <v>0.7</v>
      </c>
      <c r="R49" s="177">
        <f t="shared" si="4"/>
        <v>0.80062696866019123</v>
      </c>
      <c r="S49" s="799">
        <f t="shared" si="20"/>
        <v>-2</v>
      </c>
      <c r="T49" s="176">
        <f t="shared" si="21"/>
        <v>4</v>
      </c>
      <c r="U49" s="250">
        <f t="shared" si="22"/>
        <v>-1.1993730313398088</v>
      </c>
      <c r="V49" s="382">
        <f t="shared" si="5"/>
        <v>36.833439249952939</v>
      </c>
      <c r="W49" s="58"/>
      <c r="X49" s="157">
        <f t="shared" si="6"/>
        <v>43500</v>
      </c>
      <c r="Y49" s="383">
        <f t="shared" si="7"/>
        <v>0</v>
      </c>
      <c r="Z49" s="383">
        <f t="shared" si="8"/>
        <v>0</v>
      </c>
      <c r="AA49" s="384">
        <f t="shared" si="9"/>
        <v>0</v>
      </c>
      <c r="AB49" s="197">
        <f t="shared" si="10"/>
        <v>43500</v>
      </c>
      <c r="AC49" s="424">
        <f t="shared" si="11"/>
        <v>1.8058327583361075E-3</v>
      </c>
      <c r="AD49" s="169">
        <f>(INDEX(Models!$BJ49:$BT49,,AH49)*(1-AF49)+INDEX(Models!$BJ49:$BT49,,AH49+1)*AF49-ERP_i)*AE49*Ramure*Pc/MaxiM</f>
        <v>1.6068673089579542E-5</v>
      </c>
      <c r="AE49" s="304">
        <f t="shared" si="12"/>
        <v>0.7</v>
      </c>
      <c r="AF49" s="177">
        <f t="shared" si="13"/>
        <v>0.80062696866019123</v>
      </c>
      <c r="AG49" s="799">
        <f t="shared" si="23"/>
        <v>-2</v>
      </c>
      <c r="AH49" s="176">
        <f t="shared" si="14"/>
        <v>4</v>
      </c>
      <c r="AI49" s="224">
        <f t="shared" si="15"/>
        <v>-1.1993730313398088</v>
      </c>
      <c r="AJ49" s="264" t="b">
        <f t="shared" si="16"/>
        <v>0</v>
      </c>
      <c r="AK49" s="264" t="b">
        <f t="shared" si="17"/>
        <v>1</v>
      </c>
      <c r="AL49" s="264"/>
      <c r="AM49" s="264"/>
      <c r="AN49" s="75"/>
    </row>
    <row r="50" spans="1:40" s="6" customFormat="1" ht="11.25" x14ac:dyDescent="0.2">
      <c r="A50" s="56">
        <f t="shared" si="18"/>
        <v>43501</v>
      </c>
      <c r="B50" s="607"/>
      <c r="C50" s="388"/>
      <c r="D50" s="391"/>
      <c r="E50" s="383"/>
      <c r="F50" s="383"/>
      <c r="G50" s="110"/>
      <c r="I50" s="379">
        <f t="shared" si="0"/>
        <v>0</v>
      </c>
      <c r="J50" s="85">
        <v>2018</v>
      </c>
      <c r="K50" s="197">
        <f t="shared" si="1"/>
        <v>43501</v>
      </c>
      <c r="L50" s="435">
        <f t="shared" si="2"/>
        <v>4.9816471799002393E-4</v>
      </c>
      <c r="M50" s="842"/>
      <c r="N50" s="842"/>
      <c r="O50" s="323">
        <f t="shared" si="3"/>
        <v>1.8772279691441711E-3</v>
      </c>
      <c r="P50" s="169">
        <f>(INDEX(Models!$BJ50:$BT50,,T50)*(1-R50)+INDEX(Models!$BJ50:$BT50,,T50+1)*R50-ERP_i)*Q50*Ramure*Pc/MaxiM</f>
        <v>1.6481755055203125E-5</v>
      </c>
      <c r="Q50" s="304">
        <f t="shared" si="19"/>
        <v>0.7</v>
      </c>
      <c r="R50" s="177">
        <f t="shared" si="4"/>
        <v>0.80072067349281584</v>
      </c>
      <c r="S50" s="799">
        <f t="shared" si="20"/>
        <v>-2</v>
      </c>
      <c r="T50" s="176">
        <f t="shared" si="21"/>
        <v>4</v>
      </c>
      <c r="U50" s="250">
        <f t="shared" si="22"/>
        <v>-1.1992793265071842</v>
      </c>
      <c r="V50" s="382">
        <f t="shared" si="5"/>
        <v>37.185879197347838</v>
      </c>
      <c r="W50" s="58"/>
      <c r="X50" s="157">
        <f t="shared" si="6"/>
        <v>43501</v>
      </c>
      <c r="Y50" s="383">
        <f t="shared" si="7"/>
        <v>0</v>
      </c>
      <c r="Z50" s="383">
        <f t="shared" si="8"/>
        <v>0</v>
      </c>
      <c r="AA50" s="384">
        <f t="shared" si="9"/>
        <v>0</v>
      </c>
      <c r="AB50" s="197">
        <f t="shared" si="10"/>
        <v>43501</v>
      </c>
      <c r="AC50" s="424">
        <f t="shared" si="11"/>
        <v>1.8772279691441711E-3</v>
      </c>
      <c r="AD50" s="169">
        <f>(INDEX(Models!$BJ50:$BT50,,AH50)*(1-AF50)+INDEX(Models!$BJ50:$BT50,,AH50+1)*AF50-ERP_i)*AE50*Ramure*Pc/MaxiM</f>
        <v>1.6481755055203125E-5</v>
      </c>
      <c r="AE50" s="304">
        <f t="shared" si="12"/>
        <v>0.7</v>
      </c>
      <c r="AF50" s="177">
        <f t="shared" si="13"/>
        <v>0.80072067349281584</v>
      </c>
      <c r="AG50" s="799">
        <f t="shared" si="23"/>
        <v>-2</v>
      </c>
      <c r="AH50" s="176">
        <f t="shared" si="14"/>
        <v>4</v>
      </c>
      <c r="AI50" s="224">
        <f t="shared" si="15"/>
        <v>-1.1992793265071842</v>
      </c>
      <c r="AJ50" s="264" t="b">
        <f t="shared" si="16"/>
        <v>0</v>
      </c>
      <c r="AK50" s="264" t="b">
        <f t="shared" si="17"/>
        <v>1</v>
      </c>
      <c r="AL50" s="264"/>
      <c r="AM50" s="264"/>
      <c r="AN50" s="75"/>
    </row>
    <row r="51" spans="1:40" s="6" customFormat="1" ht="11.25" x14ac:dyDescent="0.2">
      <c r="A51" s="56">
        <f t="shared" si="18"/>
        <v>43502</v>
      </c>
      <c r="B51" s="607"/>
      <c r="C51" s="388"/>
      <c r="D51" s="391"/>
      <c r="E51" s="383"/>
      <c r="F51" s="383"/>
      <c r="G51" s="110"/>
      <c r="I51" s="379">
        <f t="shared" si="0"/>
        <v>0</v>
      </c>
      <c r="J51" s="85">
        <v>2018</v>
      </c>
      <c r="K51" s="197">
        <f t="shared" si="1"/>
        <v>43502</v>
      </c>
      <c r="L51" s="435">
        <f t="shared" si="2"/>
        <v>5.1731994264014869E-4</v>
      </c>
      <c r="M51" s="842"/>
      <c r="N51" s="842"/>
      <c r="O51" s="323">
        <f t="shared" si="3"/>
        <v>1.9485615395913403E-3</v>
      </c>
      <c r="P51" s="169">
        <f>(INDEX(Models!$BJ51:$BT51,,T51)*(1-R51)+INDEX(Models!$BJ51:$BT51,,T51+1)*R51-ERP_i)*Q51*Ramure*Pc/MaxiM</f>
        <v>1.6841551068401963E-5</v>
      </c>
      <c r="Q51" s="304">
        <f t="shared" si="19"/>
        <v>0.7</v>
      </c>
      <c r="R51" s="177">
        <f t="shared" si="4"/>
        <v>0.80081826255649124</v>
      </c>
      <c r="S51" s="799">
        <f t="shared" si="20"/>
        <v>-2</v>
      </c>
      <c r="T51" s="176">
        <f t="shared" si="21"/>
        <v>4</v>
      </c>
      <c r="U51" s="250">
        <f t="shared" si="22"/>
        <v>-1.1991817374435088</v>
      </c>
      <c r="V51" s="382">
        <f t="shared" si="5"/>
        <v>37.536849501379734</v>
      </c>
      <c r="W51" s="58"/>
      <c r="X51" s="157">
        <f t="shared" si="6"/>
        <v>43502</v>
      </c>
      <c r="Y51" s="383">
        <f t="shared" si="7"/>
        <v>0</v>
      </c>
      <c r="Z51" s="383">
        <f t="shared" si="8"/>
        <v>0</v>
      </c>
      <c r="AA51" s="384">
        <f t="shared" si="9"/>
        <v>0</v>
      </c>
      <c r="AB51" s="197">
        <f t="shared" si="10"/>
        <v>43502</v>
      </c>
      <c r="AC51" s="424">
        <f t="shared" si="11"/>
        <v>1.9485615395913403E-3</v>
      </c>
      <c r="AD51" s="169">
        <f>(INDEX(Models!$BJ51:$BT51,,AH51)*(1-AF51)+INDEX(Models!$BJ51:$BT51,,AH51+1)*AF51-ERP_i)*AE51*Ramure*Pc/MaxiM</f>
        <v>1.6841551068401963E-5</v>
      </c>
      <c r="AE51" s="304">
        <f t="shared" si="12"/>
        <v>0.7</v>
      </c>
      <c r="AF51" s="177">
        <f t="shared" si="13"/>
        <v>0.80081826255649124</v>
      </c>
      <c r="AG51" s="799">
        <f t="shared" si="23"/>
        <v>-2</v>
      </c>
      <c r="AH51" s="176">
        <f t="shared" si="14"/>
        <v>4</v>
      </c>
      <c r="AI51" s="224">
        <f t="shared" si="15"/>
        <v>-1.1991817374435088</v>
      </c>
      <c r="AJ51" s="264" t="b">
        <f t="shared" si="16"/>
        <v>0</v>
      </c>
      <c r="AK51" s="264" t="b">
        <f t="shared" si="17"/>
        <v>1</v>
      </c>
      <c r="AL51" s="264"/>
      <c r="AM51" s="264"/>
      <c r="AN51" s="75"/>
    </row>
    <row r="52" spans="1:40" s="6" customFormat="1" ht="11.25" x14ac:dyDescent="0.2">
      <c r="A52" s="56">
        <f t="shared" si="18"/>
        <v>43503</v>
      </c>
      <c r="B52" s="607"/>
      <c r="C52" s="388"/>
      <c r="D52" s="391"/>
      <c r="E52" s="383"/>
      <c r="F52" s="383"/>
      <c r="G52" s="110"/>
      <c r="I52" s="379">
        <f t="shared" si="0"/>
        <v>0</v>
      </c>
      <c r="J52" s="85">
        <v>2018</v>
      </c>
      <c r="K52" s="197">
        <f t="shared" si="1"/>
        <v>43503</v>
      </c>
      <c r="L52" s="435">
        <f t="shared" si="2"/>
        <v>5.364748001848163E-4</v>
      </c>
      <c r="M52" s="842"/>
      <c r="N52" s="842"/>
      <c r="O52" s="323">
        <f t="shared" si="3"/>
        <v>2.0198335956736931E-3</v>
      </c>
      <c r="P52" s="169">
        <f>(INDEX(Models!$BJ52:$BT52,,T52)*(1-R52)+INDEX(Models!$BJ52:$BT52,,T52+1)*R52-ERP_i)*Q52*Ramure*Pc/MaxiM</f>
        <v>1.7114331404420371E-5</v>
      </c>
      <c r="Q52" s="304">
        <f t="shared" si="19"/>
        <v>0.7</v>
      </c>
      <c r="R52" s="177">
        <f t="shared" si="4"/>
        <v>0.80091989482441228</v>
      </c>
      <c r="S52" s="799">
        <f t="shared" si="20"/>
        <v>-2</v>
      </c>
      <c r="T52" s="176">
        <f t="shared" si="21"/>
        <v>4</v>
      </c>
      <c r="U52" s="250">
        <f t="shared" si="22"/>
        <v>-1.1990801051755877</v>
      </c>
      <c r="V52" s="382">
        <f t="shared" si="5"/>
        <v>37.888158510432142</v>
      </c>
      <c r="W52" s="58"/>
      <c r="X52" s="157">
        <f t="shared" si="6"/>
        <v>43503</v>
      </c>
      <c r="Y52" s="383">
        <f t="shared" si="7"/>
        <v>0</v>
      </c>
      <c r="Z52" s="383">
        <f t="shared" si="8"/>
        <v>0</v>
      </c>
      <c r="AA52" s="384">
        <f t="shared" si="9"/>
        <v>0</v>
      </c>
      <c r="AB52" s="197">
        <f t="shared" si="10"/>
        <v>43503</v>
      </c>
      <c r="AC52" s="424">
        <f t="shared" si="11"/>
        <v>2.0198335956736931E-3</v>
      </c>
      <c r="AD52" s="169">
        <f>(INDEX(Models!$BJ52:$BT52,,AH52)*(1-AF52)+INDEX(Models!$BJ52:$BT52,,AH52+1)*AF52-ERP_i)*AE52*Ramure*Pc/MaxiM</f>
        <v>1.7114331404420371E-5</v>
      </c>
      <c r="AE52" s="304">
        <f t="shared" si="12"/>
        <v>0.7</v>
      </c>
      <c r="AF52" s="177">
        <f t="shared" si="13"/>
        <v>0.80091989482441228</v>
      </c>
      <c r="AG52" s="799">
        <f t="shared" si="23"/>
        <v>-2</v>
      </c>
      <c r="AH52" s="176">
        <f t="shared" si="14"/>
        <v>4</v>
      </c>
      <c r="AI52" s="224">
        <f t="shared" si="15"/>
        <v>-1.1990801051755877</v>
      </c>
      <c r="AJ52" s="264" t="b">
        <f t="shared" si="16"/>
        <v>0</v>
      </c>
      <c r="AK52" s="264" t="b">
        <f t="shared" si="17"/>
        <v>1</v>
      </c>
      <c r="AL52" s="264"/>
      <c r="AM52" s="264"/>
      <c r="AN52" s="75"/>
    </row>
    <row r="53" spans="1:40" s="6" customFormat="1" ht="11.25" x14ac:dyDescent="0.2">
      <c r="A53" s="56">
        <f t="shared" si="18"/>
        <v>43504</v>
      </c>
      <c r="B53" s="607"/>
      <c r="C53" s="388"/>
      <c r="D53" s="391"/>
      <c r="E53" s="383"/>
      <c r="F53" s="383"/>
      <c r="G53" s="110"/>
      <c r="I53" s="379">
        <f t="shared" si="0"/>
        <v>0</v>
      </c>
      <c r="J53" s="85">
        <v>2018</v>
      </c>
      <c r="K53" s="197">
        <f t="shared" si="1"/>
        <v>43504</v>
      </c>
      <c r="L53" s="435">
        <f t="shared" si="2"/>
        <v>5.5562929063102118E-4</v>
      </c>
      <c r="M53" s="842"/>
      <c r="N53" s="842"/>
      <c r="O53" s="323">
        <f t="shared" si="3"/>
        <v>2.0910442227781299E-3</v>
      </c>
      <c r="P53" s="169">
        <f>(INDEX(Models!$BJ53:$BT53,,T53)*(1-R53)+INDEX(Models!$BJ53:$BT53,,T53+1)*R53-ERP_i)*Q53*Ramure*Pc/MaxiM</f>
        <v>1.7305166912145398E-5</v>
      </c>
      <c r="Q53" s="304">
        <f t="shared" si="19"/>
        <v>0.7</v>
      </c>
      <c r="R53" s="177">
        <f t="shared" si="4"/>
        <v>0.80102573560310542</v>
      </c>
      <c r="S53" s="799">
        <f t="shared" si="20"/>
        <v>-2</v>
      </c>
      <c r="T53" s="176">
        <f t="shared" si="21"/>
        <v>4</v>
      </c>
      <c r="U53" s="250">
        <f t="shared" si="22"/>
        <v>-1.1989742643968946</v>
      </c>
      <c r="V53" s="382">
        <f t="shared" si="5"/>
        <v>38.239697695403137</v>
      </c>
      <c r="W53" s="58"/>
      <c r="X53" s="157">
        <f t="shared" si="6"/>
        <v>43504</v>
      </c>
      <c r="Y53" s="383">
        <f t="shared" si="7"/>
        <v>0</v>
      </c>
      <c r="Z53" s="383">
        <f t="shared" si="8"/>
        <v>0</v>
      </c>
      <c r="AA53" s="384">
        <f t="shared" si="9"/>
        <v>0</v>
      </c>
      <c r="AB53" s="197">
        <f t="shared" si="10"/>
        <v>43504</v>
      </c>
      <c r="AC53" s="424">
        <f t="shared" si="11"/>
        <v>2.0910442227781299E-3</v>
      </c>
      <c r="AD53" s="169">
        <f>(INDEX(Models!$BJ53:$BT53,,AH53)*(1-AF53)+INDEX(Models!$BJ53:$BT53,,AH53+1)*AF53-ERP_i)*AE53*Ramure*Pc/MaxiM</f>
        <v>1.7305166912145398E-5</v>
      </c>
      <c r="AE53" s="304">
        <f t="shared" si="12"/>
        <v>0.7</v>
      </c>
      <c r="AF53" s="177">
        <f t="shared" si="13"/>
        <v>0.80102573560310542</v>
      </c>
      <c r="AG53" s="799">
        <f t="shared" si="23"/>
        <v>-2</v>
      </c>
      <c r="AH53" s="176">
        <f t="shared" si="14"/>
        <v>4</v>
      </c>
      <c r="AI53" s="224">
        <f t="shared" si="15"/>
        <v>-1.1989742643968946</v>
      </c>
      <c r="AJ53" s="264" t="b">
        <f t="shared" si="16"/>
        <v>0</v>
      </c>
      <c r="AK53" s="264" t="b">
        <f t="shared" si="17"/>
        <v>1</v>
      </c>
      <c r="AL53" s="264"/>
      <c r="AM53" s="264"/>
      <c r="AN53" s="75"/>
    </row>
    <row r="54" spans="1:40" s="6" customFormat="1" ht="11.25" x14ac:dyDescent="0.2">
      <c r="A54" s="56">
        <f t="shared" si="18"/>
        <v>43505</v>
      </c>
      <c r="B54" s="607"/>
      <c r="C54" s="388"/>
      <c r="D54" s="391"/>
      <c r="E54" s="383"/>
      <c r="F54" s="383"/>
      <c r="G54" s="110"/>
      <c r="I54" s="379">
        <f t="shared" si="0"/>
        <v>0</v>
      </c>
      <c r="J54" s="85">
        <v>2018</v>
      </c>
      <c r="K54" s="197">
        <f t="shared" si="1"/>
        <v>43505</v>
      </c>
      <c r="L54" s="435">
        <f t="shared" si="2"/>
        <v>5.7478341398575772E-4</v>
      </c>
      <c r="M54" s="842"/>
      <c r="N54" s="842"/>
      <c r="O54" s="323">
        <f t="shared" si="3"/>
        <v>2.1621934658824335E-3</v>
      </c>
      <c r="P54" s="169">
        <f>(INDEX(Models!$BJ54:$BT54,,T54)*(1-R54)+INDEX(Models!$BJ54:$BT54,,T54+1)*R54-ERP_i)*Q54*Ramure*Pc/MaxiM</f>
        <v>1.7404784532590295E-5</v>
      </c>
      <c r="Q54" s="304">
        <f t="shared" si="19"/>
        <v>0.7</v>
      </c>
      <c r="R54" s="177">
        <f t="shared" si="4"/>
        <v>0.80113595676997829</v>
      </c>
      <c r="S54" s="799">
        <f t="shared" si="20"/>
        <v>-2</v>
      </c>
      <c r="T54" s="176">
        <f t="shared" si="21"/>
        <v>4</v>
      </c>
      <c r="U54" s="250">
        <f t="shared" si="22"/>
        <v>-1.1988640432300217</v>
      </c>
      <c r="V54" s="382">
        <f t="shared" si="5"/>
        <v>38.59135911468853</v>
      </c>
      <c r="W54" s="58"/>
      <c r="X54" s="157">
        <f t="shared" si="6"/>
        <v>43505</v>
      </c>
      <c r="Y54" s="383">
        <f t="shared" si="7"/>
        <v>0</v>
      </c>
      <c r="Z54" s="383">
        <f t="shared" si="8"/>
        <v>0</v>
      </c>
      <c r="AA54" s="384">
        <f t="shared" si="9"/>
        <v>0</v>
      </c>
      <c r="AB54" s="197">
        <f t="shared" si="10"/>
        <v>43505</v>
      </c>
      <c r="AC54" s="424">
        <f t="shared" si="11"/>
        <v>2.1621934658824335E-3</v>
      </c>
      <c r="AD54" s="169">
        <f>(INDEX(Models!$BJ54:$BT54,,AH54)*(1-AF54)+INDEX(Models!$BJ54:$BT54,,AH54+1)*AF54-ERP_i)*AE54*Ramure*Pc/MaxiM</f>
        <v>1.7404784532590295E-5</v>
      </c>
      <c r="AE54" s="304">
        <f t="shared" si="12"/>
        <v>0.7</v>
      </c>
      <c r="AF54" s="177">
        <f t="shared" si="13"/>
        <v>0.80113595676997829</v>
      </c>
      <c r="AG54" s="799">
        <f t="shared" si="23"/>
        <v>-2</v>
      </c>
      <c r="AH54" s="176">
        <f t="shared" si="14"/>
        <v>4</v>
      </c>
      <c r="AI54" s="224">
        <f t="shared" si="15"/>
        <v>-1.1988640432300217</v>
      </c>
      <c r="AJ54" s="264" t="b">
        <f t="shared" si="16"/>
        <v>0</v>
      </c>
      <c r="AK54" s="264" t="b">
        <f t="shared" si="17"/>
        <v>1</v>
      </c>
      <c r="AL54" s="264"/>
      <c r="AM54" s="264"/>
      <c r="AN54" s="75"/>
    </row>
    <row r="55" spans="1:40" s="6" customFormat="1" ht="11.25" customHeight="1" x14ac:dyDescent="0.2">
      <c r="A55" s="56">
        <f t="shared" si="18"/>
        <v>43506</v>
      </c>
      <c r="B55" s="607"/>
      <c r="C55" s="388"/>
      <c r="D55" s="391"/>
      <c r="E55" s="383"/>
      <c r="F55" s="383"/>
      <c r="G55" s="110"/>
      <c r="I55" s="379">
        <f t="shared" si="0"/>
        <v>0</v>
      </c>
      <c r="J55" s="85">
        <v>2018</v>
      </c>
      <c r="K55" s="197">
        <f t="shared" si="1"/>
        <v>43506</v>
      </c>
      <c r="L55" s="435">
        <f t="shared" si="2"/>
        <v>5.9393717025602033E-4</v>
      </c>
      <c r="M55" s="842"/>
      <c r="N55" s="842"/>
      <c r="O55" s="323">
        <f t="shared" si="3"/>
        <v>2.2332813304976719E-3</v>
      </c>
      <c r="P55" s="169">
        <f>(INDEX(Models!$BJ55:$BT55,,T55)*(1-R55)+INDEX(Models!$BJ55:$BT55,,T55+1)*R55-ERP_i)*Q55*Ramure*Pc/MaxiM</f>
        <v>1.7403325259541376E-5</v>
      </c>
      <c r="Q55" s="304">
        <f t="shared" si="19"/>
        <v>0.7</v>
      </c>
      <c r="R55" s="177">
        <f t="shared" si="4"/>
        <v>0.80125073701850824</v>
      </c>
      <c r="S55" s="799">
        <f t="shared" si="20"/>
        <v>-2</v>
      </c>
      <c r="T55" s="176">
        <f t="shared" si="21"/>
        <v>4</v>
      </c>
      <c r="U55" s="250">
        <f t="shared" si="22"/>
        <v>-1.1987492629814918</v>
      </c>
      <c r="V55" s="382">
        <f t="shared" si="5"/>
        <v>38.943034903341356</v>
      </c>
      <c r="W55" s="58"/>
      <c r="X55" s="157">
        <f t="shared" si="6"/>
        <v>43506</v>
      </c>
      <c r="Y55" s="383">
        <f t="shared" si="7"/>
        <v>0</v>
      </c>
      <c r="Z55" s="383">
        <f t="shared" si="8"/>
        <v>0</v>
      </c>
      <c r="AA55" s="384">
        <f t="shared" si="9"/>
        <v>0</v>
      </c>
      <c r="AB55" s="197">
        <f t="shared" si="10"/>
        <v>43506</v>
      </c>
      <c r="AC55" s="424">
        <f t="shared" si="11"/>
        <v>2.2332813304976719E-3</v>
      </c>
      <c r="AD55" s="169">
        <f>(INDEX(Models!$BJ55:$BT55,,AH55)*(1-AF55)+INDEX(Models!$BJ55:$BT55,,AH55+1)*AF55-ERP_i)*AE55*Ramure*Pc/MaxiM</f>
        <v>1.7403325259541376E-5</v>
      </c>
      <c r="AE55" s="304">
        <f t="shared" si="12"/>
        <v>0.7</v>
      </c>
      <c r="AF55" s="177">
        <f t="shared" si="13"/>
        <v>0.80125073701850824</v>
      </c>
      <c r="AG55" s="799">
        <f t="shared" si="23"/>
        <v>-2</v>
      </c>
      <c r="AH55" s="176">
        <f t="shared" si="14"/>
        <v>4</v>
      </c>
      <c r="AI55" s="224">
        <f t="shared" si="15"/>
        <v>-1.1987492629814918</v>
      </c>
      <c r="AJ55" s="264" t="b">
        <f t="shared" si="16"/>
        <v>0</v>
      </c>
      <c r="AK55" s="264" t="b">
        <f t="shared" si="17"/>
        <v>1</v>
      </c>
      <c r="AL55" s="264"/>
      <c r="AM55" s="264"/>
      <c r="AN55" s="75"/>
    </row>
    <row r="56" spans="1:40" s="6" customFormat="1" ht="11.25" customHeight="1" x14ac:dyDescent="0.2">
      <c r="A56" s="56">
        <f t="shared" si="18"/>
        <v>43507</v>
      </c>
      <c r="B56" s="607"/>
      <c r="C56" s="388"/>
      <c r="D56" s="391"/>
      <c r="E56" s="383"/>
      <c r="F56" s="383"/>
      <c r="G56" s="110"/>
      <c r="I56" s="379">
        <f t="shared" si="0"/>
        <v>0</v>
      </c>
      <c r="J56" s="85">
        <v>2018</v>
      </c>
      <c r="K56" s="197">
        <f t="shared" si="1"/>
        <v>43507</v>
      </c>
      <c r="L56" s="435">
        <f t="shared" si="2"/>
        <v>6.1309055944902546E-4</v>
      </c>
      <c r="M56" s="842"/>
      <c r="N56" s="842"/>
      <c r="O56" s="323">
        <f t="shared" si="3"/>
        <v>2.3043077843680235E-3</v>
      </c>
      <c r="P56" s="169">
        <f>(INDEX(Models!$BJ56:$BT56,,T56)*(1-R56)+INDEX(Models!$BJ56:$BT56,,T56+1)*R56-ERP_i)*Q56*Ramure*Pc/MaxiM</f>
        <v>1.72903062287934E-5</v>
      </c>
      <c r="Q56" s="304">
        <f t="shared" si="19"/>
        <v>0.7</v>
      </c>
      <c r="R56" s="177">
        <f t="shared" si="4"/>
        <v>0.80137026211119711</v>
      </c>
      <c r="S56" s="799">
        <f t="shared" si="20"/>
        <v>-2</v>
      </c>
      <c r="T56" s="176">
        <f t="shared" si="21"/>
        <v>4</v>
      </c>
      <c r="U56" s="250">
        <f t="shared" si="22"/>
        <v>-1.1986297378888029</v>
      </c>
      <c r="V56" s="382">
        <f t="shared" si="5"/>
        <v>39.294617275721279</v>
      </c>
      <c r="W56" s="58"/>
      <c r="X56" s="157">
        <f t="shared" si="6"/>
        <v>43507</v>
      </c>
      <c r="Y56" s="383">
        <f t="shared" si="7"/>
        <v>0</v>
      </c>
      <c r="Z56" s="383">
        <f t="shared" si="8"/>
        <v>0</v>
      </c>
      <c r="AA56" s="384">
        <f t="shared" si="9"/>
        <v>0</v>
      </c>
      <c r="AB56" s="197">
        <f t="shared" si="10"/>
        <v>43507</v>
      </c>
      <c r="AC56" s="424">
        <f t="shared" si="11"/>
        <v>2.3043077843680235E-3</v>
      </c>
      <c r="AD56" s="169">
        <f>(INDEX(Models!$BJ56:$BT56,,AH56)*(1-AF56)+INDEX(Models!$BJ56:$BT56,,AH56+1)*AF56-ERP_i)*AE56*Ramure*Pc/MaxiM</f>
        <v>1.72903062287934E-5</v>
      </c>
      <c r="AE56" s="304">
        <f t="shared" si="12"/>
        <v>0.7</v>
      </c>
      <c r="AF56" s="177">
        <f t="shared" si="13"/>
        <v>0.80137026211119711</v>
      </c>
      <c r="AG56" s="799">
        <f t="shared" si="23"/>
        <v>-2</v>
      </c>
      <c r="AH56" s="176">
        <f t="shared" si="14"/>
        <v>4</v>
      </c>
      <c r="AI56" s="224">
        <f t="shared" si="15"/>
        <v>-1.1986297378888029</v>
      </c>
      <c r="AJ56" s="264" t="b">
        <f t="shared" si="16"/>
        <v>0</v>
      </c>
      <c r="AK56" s="264" t="b">
        <f t="shared" si="17"/>
        <v>1</v>
      </c>
      <c r="AL56" s="264"/>
      <c r="AM56" s="264"/>
      <c r="AN56" s="75"/>
    </row>
    <row r="57" spans="1:40" s="6" customFormat="1" ht="11.25" customHeight="1" x14ac:dyDescent="0.2">
      <c r="A57" s="56">
        <f t="shared" si="18"/>
        <v>43508</v>
      </c>
      <c r="B57" s="607"/>
      <c r="C57" s="388"/>
      <c r="D57" s="391"/>
      <c r="E57" s="383"/>
      <c r="F57" s="383"/>
      <c r="G57" s="110"/>
      <c r="I57" s="379">
        <f t="shared" si="0"/>
        <v>0</v>
      </c>
      <c r="J57" s="85">
        <v>2018</v>
      </c>
      <c r="K57" s="197">
        <f t="shared" si="1"/>
        <v>43508</v>
      </c>
      <c r="L57" s="435">
        <f t="shared" si="2"/>
        <v>6.322435815716565E-4</v>
      </c>
      <c r="M57" s="842"/>
      <c r="N57" s="842"/>
      <c r="O57" s="323">
        <f t="shared" si="3"/>
        <v>2.3752727599327104E-3</v>
      </c>
      <c r="P57" s="169">
        <f>(INDEX(Models!$BJ57:$BT57,,T57)*(1-R57)+INDEX(Models!$BJ57:$BT57,,T57+1)*R57-ERP_i)*Q57*Ramure*Pc/MaxiM</f>
        <v>1.7054580591854134E-5</v>
      </c>
      <c r="Q57" s="304">
        <f t="shared" si="19"/>
        <v>0.7</v>
      </c>
      <c r="R57" s="177">
        <f t="shared" si="4"/>
        <v>0.80149472514041542</v>
      </c>
      <c r="S57" s="799">
        <f t="shared" si="20"/>
        <v>-2</v>
      </c>
      <c r="T57" s="176">
        <f t="shared" si="21"/>
        <v>4</v>
      </c>
      <c r="U57" s="250">
        <f t="shared" si="22"/>
        <v>-1.1985052748595846</v>
      </c>
      <c r="V57" s="382">
        <f t="shared" si="5"/>
        <v>39.645998527604384</v>
      </c>
      <c r="W57" s="58"/>
      <c r="X57" s="157">
        <f t="shared" si="6"/>
        <v>43508</v>
      </c>
      <c r="Y57" s="383">
        <f t="shared" si="7"/>
        <v>0</v>
      </c>
      <c r="Z57" s="383">
        <f t="shared" si="8"/>
        <v>0</v>
      </c>
      <c r="AA57" s="384">
        <f t="shared" si="9"/>
        <v>0</v>
      </c>
      <c r="AB57" s="197">
        <f t="shared" si="10"/>
        <v>43508</v>
      </c>
      <c r="AC57" s="424">
        <f t="shared" si="11"/>
        <v>2.3752727599327104E-3</v>
      </c>
      <c r="AD57" s="169">
        <f>(INDEX(Models!$BJ57:$BT57,,AH57)*(1-AF57)+INDEX(Models!$BJ57:$BT57,,AH57+1)*AF57-ERP_i)*AE57*Ramure*Pc/MaxiM</f>
        <v>1.7054580591854134E-5</v>
      </c>
      <c r="AE57" s="304">
        <f t="shared" si="12"/>
        <v>0.7</v>
      </c>
      <c r="AF57" s="177">
        <f t="shared" si="13"/>
        <v>0.80149472514041542</v>
      </c>
      <c r="AG57" s="799">
        <f t="shared" si="23"/>
        <v>-2</v>
      </c>
      <c r="AH57" s="176">
        <f t="shared" si="14"/>
        <v>4</v>
      </c>
      <c r="AI57" s="224">
        <f t="shared" si="15"/>
        <v>-1.1985052748595846</v>
      </c>
      <c r="AJ57" s="264" t="b">
        <f t="shared" si="16"/>
        <v>0</v>
      </c>
      <c r="AK57" s="264" t="b">
        <f t="shared" si="17"/>
        <v>1</v>
      </c>
      <c r="AL57" s="264"/>
      <c r="AM57" s="264"/>
      <c r="AN57" s="75"/>
    </row>
    <row r="58" spans="1:40" s="6" customFormat="1" ht="11.25" customHeight="1" x14ac:dyDescent="0.2">
      <c r="A58" s="56">
        <f t="shared" si="18"/>
        <v>43509</v>
      </c>
      <c r="B58" s="607"/>
      <c r="C58" s="388"/>
      <c r="D58" s="391"/>
      <c r="E58" s="383"/>
      <c r="F58" s="383"/>
      <c r="G58" s="110"/>
      <c r="I58" s="379">
        <f t="shared" si="0"/>
        <v>0</v>
      </c>
      <c r="J58" s="85">
        <v>2018</v>
      </c>
      <c r="K58" s="197">
        <f t="shared" si="1"/>
        <v>43509</v>
      </c>
      <c r="L58" s="435">
        <f t="shared" si="2"/>
        <v>6.5139623663101887E-4</v>
      </c>
      <c r="M58" s="842"/>
      <c r="N58" s="842"/>
      <c r="O58" s="323">
        <f t="shared" si="3"/>
        <v>2.4461761575441982E-3</v>
      </c>
      <c r="P58" s="169">
        <f>(INDEX(Models!$BJ58:$BT58,,T58)*(1-R58)+INDEX(Models!$BJ58:$BT58,,T58+1)*R58-ERP_i)*Q58*Ramure*Pc/MaxiM</f>
        <v>1.6718808217024046E-5</v>
      </c>
      <c r="Q58" s="304">
        <f t="shared" si="19"/>
        <v>0.7</v>
      </c>
      <c r="R58" s="177">
        <f t="shared" si="4"/>
        <v>0.80162432679724671</v>
      </c>
      <c r="S58" s="799">
        <f t="shared" si="20"/>
        <v>-2</v>
      </c>
      <c r="T58" s="176">
        <f t="shared" si="21"/>
        <v>4</v>
      </c>
      <c r="U58" s="250">
        <f t="shared" si="22"/>
        <v>-1.1983756732027533</v>
      </c>
      <c r="V58" s="382">
        <f t="shared" si="5"/>
        <v>39.997069658538329</v>
      </c>
      <c r="W58" s="58"/>
      <c r="X58" s="157">
        <f t="shared" si="6"/>
        <v>43509</v>
      </c>
      <c r="Y58" s="383">
        <f t="shared" si="7"/>
        <v>0</v>
      </c>
      <c r="Z58" s="383">
        <f t="shared" si="8"/>
        <v>0</v>
      </c>
      <c r="AA58" s="384">
        <f t="shared" si="9"/>
        <v>0</v>
      </c>
      <c r="AB58" s="197">
        <f t="shared" si="10"/>
        <v>43509</v>
      </c>
      <c r="AC58" s="424">
        <f t="shared" si="11"/>
        <v>2.4461761575441982E-3</v>
      </c>
      <c r="AD58" s="169">
        <f>(INDEX(Models!$BJ58:$BT58,,AH58)*(1-AF58)+INDEX(Models!$BJ58:$BT58,,AH58+1)*AF58-ERP_i)*AE58*Ramure*Pc/MaxiM</f>
        <v>1.6718808217024046E-5</v>
      </c>
      <c r="AE58" s="304">
        <f t="shared" si="12"/>
        <v>0.7</v>
      </c>
      <c r="AF58" s="177">
        <f t="shared" si="13"/>
        <v>0.80162432679724671</v>
      </c>
      <c r="AG58" s="799">
        <f t="shared" si="23"/>
        <v>-2</v>
      </c>
      <c r="AH58" s="176">
        <f t="shared" si="14"/>
        <v>4</v>
      </c>
      <c r="AI58" s="224">
        <f t="shared" si="15"/>
        <v>-1.1983756732027533</v>
      </c>
      <c r="AJ58" s="264" t="b">
        <f t="shared" si="16"/>
        <v>0</v>
      </c>
      <c r="AK58" s="264" t="b">
        <f t="shared" si="17"/>
        <v>1</v>
      </c>
      <c r="AL58" s="264"/>
      <c r="AM58" s="264"/>
      <c r="AN58" s="75"/>
    </row>
    <row r="59" spans="1:40" s="6" customFormat="1" ht="11.25" x14ac:dyDescent="0.2">
      <c r="A59" s="56">
        <f t="shared" si="18"/>
        <v>43510</v>
      </c>
      <c r="B59" s="607"/>
      <c r="C59" s="388"/>
      <c r="D59" s="391"/>
      <c r="E59" s="383"/>
      <c r="F59" s="383"/>
      <c r="G59" s="110"/>
      <c r="I59" s="379">
        <f t="shared" si="0"/>
        <v>0</v>
      </c>
      <c r="J59" s="85">
        <v>2018</v>
      </c>
      <c r="K59" s="197">
        <f t="shared" si="1"/>
        <v>43510</v>
      </c>
      <c r="L59" s="435">
        <f t="shared" si="2"/>
        <v>6.7054852463410697E-4</v>
      </c>
      <c r="M59" s="842"/>
      <c r="N59" s="842"/>
      <c r="O59" s="323">
        <f t="shared" si="3"/>
        <v>2.5170178494269284E-3</v>
      </c>
      <c r="P59" s="169">
        <f>(INDEX(Models!$BJ59:$BT59,,T59)*(1-R59)+INDEX(Models!$BJ59:$BT59,,T59+1)*R59-ERP_i)*Q59*Ramure*Pc/MaxiM</f>
        <v>1.6321639754423437E-5</v>
      </c>
      <c r="Q59" s="304">
        <f t="shared" si="19"/>
        <v>0.7</v>
      </c>
      <c r="R59" s="177">
        <f t="shared" si="4"/>
        <v>0.80175927564843219</v>
      </c>
      <c r="S59" s="799">
        <f t="shared" si="20"/>
        <v>-2</v>
      </c>
      <c r="T59" s="176">
        <f t="shared" si="21"/>
        <v>4</v>
      </c>
      <c r="U59" s="250">
        <f t="shared" si="22"/>
        <v>-1.1982407243515678</v>
      </c>
      <c r="V59" s="382">
        <f t="shared" si="5"/>
        <v>40.347721031018942</v>
      </c>
      <c r="W59" s="58"/>
      <c r="X59" s="157">
        <f t="shared" si="6"/>
        <v>43510</v>
      </c>
      <c r="Y59" s="383">
        <f t="shared" si="7"/>
        <v>0</v>
      </c>
      <c r="Z59" s="383">
        <f t="shared" si="8"/>
        <v>0</v>
      </c>
      <c r="AA59" s="384">
        <f t="shared" si="9"/>
        <v>0</v>
      </c>
      <c r="AB59" s="197">
        <f t="shared" si="10"/>
        <v>43510</v>
      </c>
      <c r="AC59" s="424">
        <f t="shared" si="11"/>
        <v>2.5170178494269284E-3</v>
      </c>
      <c r="AD59" s="169">
        <f>(INDEX(Models!$BJ59:$BT59,,AH59)*(1-AF59)+INDEX(Models!$BJ59:$BT59,,AH59+1)*AF59-ERP_i)*AE59*Ramure*Pc/MaxiM</f>
        <v>1.6321639754423437E-5</v>
      </c>
      <c r="AE59" s="304">
        <f t="shared" si="12"/>
        <v>0.7</v>
      </c>
      <c r="AF59" s="177">
        <f t="shared" si="13"/>
        <v>0.80175927564843219</v>
      </c>
      <c r="AG59" s="799">
        <f t="shared" si="23"/>
        <v>-2</v>
      </c>
      <c r="AH59" s="176">
        <f t="shared" si="14"/>
        <v>4</v>
      </c>
      <c r="AI59" s="224">
        <f t="shared" si="15"/>
        <v>-1.1982407243515678</v>
      </c>
      <c r="AJ59" s="264" t="b">
        <f t="shared" si="16"/>
        <v>0</v>
      </c>
      <c r="AK59" s="264" t="b">
        <f t="shared" si="17"/>
        <v>1</v>
      </c>
      <c r="AL59" s="264"/>
      <c r="AM59" s="264"/>
      <c r="AN59" s="75"/>
    </row>
    <row r="60" spans="1:40" s="6" customFormat="1" ht="11.25" x14ac:dyDescent="0.2">
      <c r="A60" s="56">
        <f t="shared" si="18"/>
        <v>43511</v>
      </c>
      <c r="B60" s="607"/>
      <c r="C60" s="388"/>
      <c r="D60" s="391"/>
      <c r="E60" s="383"/>
      <c r="F60" s="383"/>
      <c r="G60" s="110"/>
      <c r="I60" s="379">
        <f t="shared" si="0"/>
        <v>0</v>
      </c>
      <c r="J60" s="85">
        <v>2018</v>
      </c>
      <c r="K60" s="197">
        <f t="shared" si="1"/>
        <v>43511</v>
      </c>
      <c r="L60" s="435">
        <f t="shared" si="2"/>
        <v>6.8970044558791521E-4</v>
      </c>
      <c r="M60" s="842"/>
      <c r="N60" s="842"/>
      <c r="O60" s="323">
        <f t="shared" si="3"/>
        <v>2.5877976843507633E-3</v>
      </c>
      <c r="P60" s="169">
        <f>(INDEX(Models!$BJ60:$BT60,,T60)*(1-R60)+INDEX(Models!$BJ60:$BT60,,T60+1)*R60-ERP_i)*Q60*Ramure*Pc/MaxiM</f>
        <v>1.5859929117834243E-5</v>
      </c>
      <c r="Q60" s="304">
        <f t="shared" si="19"/>
        <v>0.7</v>
      </c>
      <c r="R60" s="177">
        <f t="shared" si="4"/>
        <v>0.80189978842149645</v>
      </c>
      <c r="S60" s="799">
        <f t="shared" si="20"/>
        <v>-2</v>
      </c>
      <c r="T60" s="176">
        <f t="shared" si="21"/>
        <v>4</v>
      </c>
      <c r="U60" s="250">
        <f t="shared" si="22"/>
        <v>-1.1981002115785035</v>
      </c>
      <c r="V60" s="382">
        <f t="shared" si="5"/>
        <v>40.697844694147122</v>
      </c>
      <c r="W60" s="58"/>
      <c r="X60" s="157">
        <f t="shared" si="6"/>
        <v>43511</v>
      </c>
      <c r="Y60" s="383">
        <f t="shared" si="7"/>
        <v>0</v>
      </c>
      <c r="Z60" s="383">
        <f t="shared" si="8"/>
        <v>0</v>
      </c>
      <c r="AA60" s="384">
        <f t="shared" si="9"/>
        <v>0</v>
      </c>
      <c r="AB60" s="197">
        <f t="shared" si="10"/>
        <v>43511</v>
      </c>
      <c r="AC60" s="424">
        <f t="shared" si="11"/>
        <v>2.5877976843507633E-3</v>
      </c>
      <c r="AD60" s="169">
        <f>(INDEX(Models!$BJ60:$BT60,,AH60)*(1-AF60)+INDEX(Models!$BJ60:$BT60,,AH60+1)*AF60-ERP_i)*AE60*Ramure*Pc/MaxiM</f>
        <v>1.5859929117834243E-5</v>
      </c>
      <c r="AE60" s="304">
        <f t="shared" si="12"/>
        <v>0.7</v>
      </c>
      <c r="AF60" s="177">
        <f t="shared" si="13"/>
        <v>0.80189978842149645</v>
      </c>
      <c r="AG60" s="799">
        <f t="shared" si="23"/>
        <v>-2</v>
      </c>
      <c r="AH60" s="176">
        <f t="shared" si="14"/>
        <v>4</v>
      </c>
      <c r="AI60" s="224">
        <f t="shared" si="15"/>
        <v>-1.1981002115785035</v>
      </c>
      <c r="AJ60" s="264" t="b">
        <f t="shared" si="16"/>
        <v>0</v>
      </c>
      <c r="AK60" s="264" t="b">
        <f t="shared" si="17"/>
        <v>1</v>
      </c>
      <c r="AL60" s="264"/>
      <c r="AM60" s="264"/>
      <c r="AN60" s="75"/>
    </row>
    <row r="61" spans="1:40" s="6" customFormat="1" ht="11.25" customHeight="1" x14ac:dyDescent="0.2">
      <c r="A61" s="56">
        <f t="shared" si="18"/>
        <v>43512</v>
      </c>
      <c r="B61" s="607"/>
      <c r="C61" s="388"/>
      <c r="D61" s="391"/>
      <c r="E61" s="383"/>
      <c r="F61" s="383"/>
      <c r="G61" s="110"/>
      <c r="I61" s="379">
        <f t="shared" si="0"/>
        <v>0</v>
      </c>
      <c r="J61" s="85">
        <v>2018</v>
      </c>
      <c r="K61" s="197">
        <f t="shared" si="1"/>
        <v>43512</v>
      </c>
      <c r="L61" s="435">
        <f t="shared" si="2"/>
        <v>7.0885199949954902E-4</v>
      </c>
      <c r="M61" s="842"/>
      <c r="N61" s="842"/>
      <c r="O61" s="323">
        <f t="shared" si="3"/>
        <v>2.6585154929841264E-3</v>
      </c>
      <c r="P61" s="169">
        <f>(INDEX(Models!$BJ61:$BT61,,T61)*(1-R61)+INDEX(Models!$BJ61:$BT61,,T61+1)*R61-ERP_i)*Q61*Ramure*Pc/MaxiM</f>
        <v>1.5330353971873162E-5</v>
      </c>
      <c r="Q61" s="304">
        <f t="shared" si="19"/>
        <v>0.7</v>
      </c>
      <c r="R61" s="177">
        <f t="shared" si="4"/>
        <v>0.80204609029812701</v>
      </c>
      <c r="S61" s="799">
        <f t="shared" si="20"/>
        <v>-2</v>
      </c>
      <c r="T61" s="176">
        <f t="shared" si="21"/>
        <v>4</v>
      </c>
      <c r="U61" s="250">
        <f t="shared" si="22"/>
        <v>-1.197953909701873</v>
      </c>
      <c r="V61" s="382">
        <f t="shared" si="5"/>
        <v>41.047332748179272</v>
      </c>
      <c r="W61" s="58"/>
      <c r="X61" s="157">
        <f t="shared" si="6"/>
        <v>43512</v>
      </c>
      <c r="Y61" s="383">
        <f t="shared" si="7"/>
        <v>0</v>
      </c>
      <c r="Z61" s="383">
        <f t="shared" si="8"/>
        <v>0</v>
      </c>
      <c r="AA61" s="384">
        <f t="shared" si="9"/>
        <v>0</v>
      </c>
      <c r="AB61" s="197">
        <f t="shared" si="10"/>
        <v>43512</v>
      </c>
      <c r="AC61" s="424">
        <f t="shared" si="11"/>
        <v>2.6585154929841264E-3</v>
      </c>
      <c r="AD61" s="169">
        <f>(INDEX(Models!$BJ61:$BT61,,AH61)*(1-AF61)+INDEX(Models!$BJ61:$BT61,,AH61+1)*AF61-ERP_i)*AE61*Ramure*Pc/MaxiM</f>
        <v>1.5330353971873162E-5</v>
      </c>
      <c r="AE61" s="304">
        <f t="shared" si="12"/>
        <v>0.7</v>
      </c>
      <c r="AF61" s="177">
        <f t="shared" si="13"/>
        <v>0.80204609029812701</v>
      </c>
      <c r="AG61" s="799">
        <f t="shared" si="23"/>
        <v>-2</v>
      </c>
      <c r="AH61" s="176">
        <f t="shared" si="14"/>
        <v>4</v>
      </c>
      <c r="AI61" s="224">
        <f t="shared" si="15"/>
        <v>-1.197953909701873</v>
      </c>
      <c r="AJ61" s="264" t="b">
        <f t="shared" si="16"/>
        <v>0</v>
      </c>
      <c r="AK61" s="264" t="b">
        <f t="shared" si="17"/>
        <v>1</v>
      </c>
      <c r="AL61" s="264"/>
      <c r="AM61" s="264"/>
      <c r="AN61" s="75"/>
    </row>
    <row r="62" spans="1:40" s="6" customFormat="1" ht="11.25" x14ac:dyDescent="0.2">
      <c r="A62" s="56">
        <f t="shared" si="18"/>
        <v>43513</v>
      </c>
      <c r="B62" s="607"/>
      <c r="C62" s="388"/>
      <c r="D62" s="391"/>
      <c r="E62" s="383"/>
      <c r="F62" s="383"/>
      <c r="G62" s="110"/>
      <c r="I62" s="379">
        <f t="shared" si="0"/>
        <v>0</v>
      </c>
      <c r="J62" s="85">
        <v>2018</v>
      </c>
      <c r="K62" s="197">
        <f t="shared" si="1"/>
        <v>43513</v>
      </c>
      <c r="L62" s="435">
        <f t="shared" si="2"/>
        <v>7.2800318637600281E-4</v>
      </c>
      <c r="M62" s="842"/>
      <c r="N62" s="842"/>
      <c r="O62" s="323">
        <f t="shared" si="3"/>
        <v>2.7291710938831181E-3</v>
      </c>
      <c r="P62" s="169">
        <f>(INDEX(Models!$BJ62:$BT62,,T62)*(1-R62)+INDEX(Models!$BJ62:$BT62,,T62+1)*R62-ERP_i)*Q62*Ramure*Pc/MaxiM</f>
        <v>1.4729406705478727E-5</v>
      </c>
      <c r="Q62" s="304">
        <f t="shared" si="19"/>
        <v>0.7</v>
      </c>
      <c r="R62" s="177">
        <f t="shared" si="4"/>
        <v>0.80219841521585211</v>
      </c>
      <c r="S62" s="799">
        <f t="shared" si="20"/>
        <v>-2</v>
      </c>
      <c r="T62" s="176">
        <f t="shared" si="21"/>
        <v>4</v>
      </c>
      <c r="U62" s="250">
        <f t="shared" si="22"/>
        <v>-1.1978015847841479</v>
      </c>
      <c r="V62" s="382">
        <f t="shared" si="5"/>
        <v>41.396077344314222</v>
      </c>
      <c r="W62" s="58"/>
      <c r="X62" s="157">
        <f t="shared" si="6"/>
        <v>43513</v>
      </c>
      <c r="Y62" s="383">
        <f t="shared" si="7"/>
        <v>0</v>
      </c>
      <c r="Z62" s="383">
        <f t="shared" si="8"/>
        <v>0</v>
      </c>
      <c r="AA62" s="384">
        <f t="shared" si="9"/>
        <v>0</v>
      </c>
      <c r="AB62" s="197">
        <f t="shared" si="10"/>
        <v>43513</v>
      </c>
      <c r="AC62" s="424">
        <f t="shared" si="11"/>
        <v>2.7291710938831181E-3</v>
      </c>
      <c r="AD62" s="169">
        <f>(INDEX(Models!$BJ62:$BT62,,AH62)*(1-AF62)+INDEX(Models!$BJ62:$BT62,,AH62+1)*AF62-ERP_i)*AE62*Ramure*Pc/MaxiM</f>
        <v>1.4729406705478727E-5</v>
      </c>
      <c r="AE62" s="304">
        <f t="shared" si="12"/>
        <v>0.7</v>
      </c>
      <c r="AF62" s="177">
        <f t="shared" si="13"/>
        <v>0.80219841521585211</v>
      </c>
      <c r="AG62" s="799">
        <f t="shared" si="23"/>
        <v>-2</v>
      </c>
      <c r="AH62" s="176">
        <f t="shared" si="14"/>
        <v>4</v>
      </c>
      <c r="AI62" s="224">
        <f t="shared" si="15"/>
        <v>-1.1978015847841479</v>
      </c>
      <c r="AJ62" s="264" t="b">
        <f t="shared" si="16"/>
        <v>0</v>
      </c>
      <c r="AK62" s="264" t="b">
        <f t="shared" si="17"/>
        <v>1</v>
      </c>
      <c r="AL62" s="264"/>
      <c r="AM62" s="264"/>
      <c r="AN62" s="75"/>
    </row>
    <row r="63" spans="1:40" s="6" customFormat="1" ht="11.25" customHeight="1" x14ac:dyDescent="0.2">
      <c r="A63" s="56">
        <f t="shared" si="18"/>
        <v>43514</v>
      </c>
      <c r="B63" s="607"/>
      <c r="C63" s="388"/>
      <c r="D63" s="391"/>
      <c r="E63" s="383"/>
      <c r="F63" s="383"/>
      <c r="G63" s="110"/>
      <c r="I63" s="379">
        <f t="shared" si="0"/>
        <v>0</v>
      </c>
      <c r="J63" s="85">
        <v>2018</v>
      </c>
      <c r="K63" s="197">
        <f t="shared" si="1"/>
        <v>43514</v>
      </c>
      <c r="L63" s="435">
        <f t="shared" si="2"/>
        <v>7.4715400622438199E-4</v>
      </c>
      <c r="M63" s="842"/>
      <c r="N63" s="842"/>
      <c r="O63" s="323">
        <f t="shared" si="3"/>
        <v>2.7997643000648737E-3</v>
      </c>
      <c r="P63" s="169">
        <f>(INDEX(Models!$BJ63:$BT63,,T63)*(1-R63)+INDEX(Models!$BJ63:$BT63,,T63+1)*R63-ERP_i)*Q63*Ramure*Pc/MaxiM</f>
        <v>1.4053384897448648E-5</v>
      </c>
      <c r="Q63" s="304">
        <f t="shared" si="19"/>
        <v>0.7</v>
      </c>
      <c r="R63" s="177">
        <f t="shared" si="4"/>
        <v>0.80235700617805072</v>
      </c>
      <c r="S63" s="799">
        <f t="shared" si="20"/>
        <v>-2</v>
      </c>
      <c r="T63" s="176">
        <f t="shared" si="21"/>
        <v>4</v>
      </c>
      <c r="U63" s="250">
        <f t="shared" si="22"/>
        <v>-1.1976429938219493</v>
      </c>
      <c r="V63" s="382">
        <f t="shared" si="5"/>
        <v>41.743970686336112</v>
      </c>
      <c r="W63" s="58"/>
      <c r="X63" s="157">
        <f t="shared" si="6"/>
        <v>43514</v>
      </c>
      <c r="Y63" s="383">
        <f t="shared" si="7"/>
        <v>0</v>
      </c>
      <c r="Z63" s="383">
        <f t="shared" si="8"/>
        <v>0</v>
      </c>
      <c r="AA63" s="384">
        <f t="shared" si="9"/>
        <v>0</v>
      </c>
      <c r="AB63" s="197">
        <f t="shared" si="10"/>
        <v>43514</v>
      </c>
      <c r="AC63" s="424">
        <f t="shared" si="11"/>
        <v>2.7997643000648737E-3</v>
      </c>
      <c r="AD63" s="169">
        <f>(INDEX(Models!$BJ63:$BT63,,AH63)*(1-AF63)+INDEX(Models!$BJ63:$BT63,,AH63+1)*AF63-ERP_i)*AE63*Ramure*Pc/MaxiM</f>
        <v>1.4053384897448648E-5</v>
      </c>
      <c r="AE63" s="304">
        <f t="shared" si="12"/>
        <v>0.7</v>
      </c>
      <c r="AF63" s="177">
        <f t="shared" si="13"/>
        <v>0.80235700617805072</v>
      </c>
      <c r="AG63" s="799">
        <f t="shared" si="23"/>
        <v>-2</v>
      </c>
      <c r="AH63" s="176">
        <f t="shared" si="14"/>
        <v>4</v>
      </c>
      <c r="AI63" s="224">
        <f t="shared" si="15"/>
        <v>-1.1976429938219493</v>
      </c>
      <c r="AJ63" s="264" t="b">
        <f t="shared" si="16"/>
        <v>0</v>
      </c>
      <c r="AK63" s="264" t="b">
        <f t="shared" si="17"/>
        <v>1</v>
      </c>
      <c r="AL63" s="264"/>
      <c r="AM63" s="264"/>
      <c r="AN63" s="75"/>
    </row>
    <row r="64" spans="1:40" s="6" customFormat="1" ht="11.25" x14ac:dyDescent="0.2">
      <c r="A64" s="56">
        <f t="shared" si="18"/>
        <v>43515</v>
      </c>
      <c r="B64" s="607"/>
      <c r="C64" s="388"/>
      <c r="D64" s="391"/>
      <c r="E64" s="383"/>
      <c r="F64" s="383"/>
      <c r="G64" s="110"/>
      <c r="I64" s="379">
        <f t="shared" si="0"/>
        <v>0</v>
      </c>
      <c r="J64" s="85">
        <v>2018</v>
      </c>
      <c r="K64" s="197">
        <f t="shared" si="1"/>
        <v>43515</v>
      </c>
      <c r="L64" s="435">
        <f t="shared" si="2"/>
        <v>7.6630445905168099E-4</v>
      </c>
      <c r="M64" s="842"/>
      <c r="N64" s="842"/>
      <c r="O64" s="323">
        <f t="shared" si="3"/>
        <v>2.8702949261059751E-3</v>
      </c>
      <c r="P64" s="169">
        <f>(INDEX(Models!$BJ64:$BT64,,T64)*(1-R64)+INDEX(Models!$BJ64:$BT64,,T64+1)*R64-ERP_i)*Q64*Ramure*Pc/MaxiM</f>
        <v>1.3298381237242425E-5</v>
      </c>
      <c r="Q64" s="304">
        <f t="shared" si="19"/>
        <v>0.7</v>
      </c>
      <c r="R64" s="177">
        <f t="shared" si="4"/>
        <v>0.80252211557229791</v>
      </c>
      <c r="S64" s="799">
        <f t="shared" si="20"/>
        <v>-2</v>
      </c>
      <c r="T64" s="176">
        <f t="shared" si="21"/>
        <v>4</v>
      </c>
      <c r="U64" s="250">
        <f t="shared" si="22"/>
        <v>-1.1974778844277021</v>
      </c>
      <c r="V64" s="382">
        <f t="shared" si="5"/>
        <v>42.09090502936111</v>
      </c>
      <c r="W64" s="58"/>
      <c r="X64" s="157">
        <f t="shared" si="6"/>
        <v>43515</v>
      </c>
      <c r="Y64" s="383">
        <f t="shared" si="7"/>
        <v>0</v>
      </c>
      <c r="Z64" s="383">
        <f t="shared" si="8"/>
        <v>0</v>
      </c>
      <c r="AA64" s="384">
        <f t="shared" si="9"/>
        <v>0</v>
      </c>
      <c r="AB64" s="197">
        <f t="shared" si="10"/>
        <v>43515</v>
      </c>
      <c r="AC64" s="424">
        <f t="shared" si="11"/>
        <v>2.8702949261059751E-3</v>
      </c>
      <c r="AD64" s="169">
        <f>(INDEX(Models!$BJ64:$BT64,,AH64)*(1-AF64)+INDEX(Models!$BJ64:$BT64,,AH64+1)*AF64-ERP_i)*AE64*Ramure*Pc/MaxiM</f>
        <v>1.3298381237242425E-5</v>
      </c>
      <c r="AE64" s="304">
        <f t="shared" si="12"/>
        <v>0.7</v>
      </c>
      <c r="AF64" s="177">
        <f t="shared" si="13"/>
        <v>0.80252211557229791</v>
      </c>
      <c r="AG64" s="799">
        <f t="shared" si="23"/>
        <v>-2</v>
      </c>
      <c r="AH64" s="176">
        <f t="shared" si="14"/>
        <v>4</v>
      </c>
      <c r="AI64" s="224">
        <f t="shared" si="15"/>
        <v>-1.1974778844277021</v>
      </c>
      <c r="AJ64" s="264" t="b">
        <f t="shared" si="16"/>
        <v>0</v>
      </c>
      <c r="AK64" s="264" t="b">
        <f t="shared" si="17"/>
        <v>1</v>
      </c>
      <c r="AL64" s="264"/>
      <c r="AM64" s="264"/>
      <c r="AN64" s="75"/>
    </row>
    <row r="65" spans="1:40" s="6" customFormat="1" ht="11.25" customHeight="1" x14ac:dyDescent="0.2">
      <c r="A65" s="56">
        <f t="shared" si="18"/>
        <v>43516</v>
      </c>
      <c r="B65" s="607"/>
      <c r="C65" s="388"/>
      <c r="D65" s="391"/>
      <c r="E65" s="383"/>
      <c r="F65" s="383"/>
      <c r="G65" s="110"/>
      <c r="I65" s="379">
        <f t="shared" si="0"/>
        <v>0</v>
      </c>
      <c r="J65" s="85">
        <v>2018</v>
      </c>
      <c r="K65" s="197">
        <f t="shared" si="1"/>
        <v>43516</v>
      </c>
      <c r="L65" s="435">
        <f t="shared" si="2"/>
        <v>7.8545454486489419E-4</v>
      </c>
      <c r="M65" s="842"/>
      <c r="N65" s="842"/>
      <c r="O65" s="323">
        <f t="shared" si="3"/>
        <v>2.9407627957005419E-3</v>
      </c>
      <c r="P65" s="169">
        <f>(INDEX(Models!$BJ65:$BT65,,T65)*(1-R65)+INDEX(Models!$BJ65:$BT65,,T65+1)*R65-ERP_i)*Q65*Ramure*Pc/MaxiM</f>
        <v>1.2460193384992797E-5</v>
      </c>
      <c r="Q65" s="304">
        <f t="shared" si="19"/>
        <v>0.7</v>
      </c>
      <c r="R65" s="177">
        <f t="shared" si="4"/>
        <v>0.80269400549702619</v>
      </c>
      <c r="S65" s="799">
        <f t="shared" si="20"/>
        <v>-2</v>
      </c>
      <c r="T65" s="176">
        <f t="shared" si="21"/>
        <v>4</v>
      </c>
      <c r="U65" s="250">
        <f t="shared" si="22"/>
        <v>-1.1973059945029738</v>
      </c>
      <c r="V65" s="382">
        <f t="shared" si="5"/>
        <v>42.437043352656886</v>
      </c>
      <c r="W65" s="58"/>
      <c r="X65" s="157">
        <f t="shared" si="6"/>
        <v>43516</v>
      </c>
      <c r="Y65" s="383">
        <f t="shared" si="7"/>
        <v>0</v>
      </c>
      <c r="Z65" s="383">
        <f t="shared" si="8"/>
        <v>0</v>
      </c>
      <c r="AA65" s="384">
        <f t="shared" si="9"/>
        <v>0</v>
      </c>
      <c r="AB65" s="197">
        <f t="shared" si="10"/>
        <v>43516</v>
      </c>
      <c r="AC65" s="424">
        <f t="shared" si="11"/>
        <v>2.9407627957005419E-3</v>
      </c>
      <c r="AD65" s="169">
        <f>(INDEX(Models!$BJ65:$BT65,,AH65)*(1-AF65)+INDEX(Models!$BJ65:$BT65,,AH65+1)*AF65-ERP_i)*AE65*Ramure*Pc/MaxiM</f>
        <v>1.2460193384992797E-5</v>
      </c>
      <c r="AE65" s="304">
        <f t="shared" si="12"/>
        <v>0.7</v>
      </c>
      <c r="AF65" s="177">
        <f t="shared" si="13"/>
        <v>0.80269400549702619</v>
      </c>
      <c r="AG65" s="799">
        <f t="shared" si="23"/>
        <v>-2</v>
      </c>
      <c r="AH65" s="176">
        <f t="shared" si="14"/>
        <v>4</v>
      </c>
      <c r="AI65" s="224">
        <f t="shared" si="15"/>
        <v>-1.1973059945029738</v>
      </c>
      <c r="AJ65" s="264" t="b">
        <f t="shared" si="16"/>
        <v>0</v>
      </c>
      <c r="AK65" s="264" t="b">
        <f t="shared" si="17"/>
        <v>1</v>
      </c>
      <c r="AL65" s="264"/>
      <c r="AM65" s="264"/>
      <c r="AN65" s="75"/>
    </row>
    <row r="66" spans="1:40" s="6" customFormat="1" ht="11.25" customHeight="1" x14ac:dyDescent="0.2">
      <c r="A66" s="56">
        <f t="shared" si="18"/>
        <v>43517</v>
      </c>
      <c r="B66" s="607"/>
      <c r="C66" s="388"/>
      <c r="D66" s="391"/>
      <c r="E66" s="383"/>
      <c r="F66" s="383"/>
      <c r="G66" s="110"/>
      <c r="I66" s="379">
        <f t="shared" si="0"/>
        <v>0</v>
      </c>
      <c r="J66" s="85">
        <v>2018</v>
      </c>
      <c r="K66" s="197">
        <f t="shared" si="1"/>
        <v>43517</v>
      </c>
      <c r="L66" s="435">
        <f t="shared" si="2"/>
        <v>8.0460426367101601E-4</v>
      </c>
      <c r="M66" s="842"/>
      <c r="N66" s="842"/>
      <c r="O66" s="323">
        <f t="shared" si="3"/>
        <v>3.0111677496071844E-3</v>
      </c>
      <c r="P66" s="169">
        <f>(INDEX(Models!$BJ66:$BT66,,T66)*(1-R66)+INDEX(Models!$BJ66:$BT66,,T66+1)*R66-ERP_i)*Q66*Ramure*Pc/MaxiM</f>
        <v>1.1603681895517359E-5</v>
      </c>
      <c r="Q66" s="304">
        <f t="shared" si="19"/>
        <v>0.7</v>
      </c>
      <c r="R66" s="177">
        <f t="shared" si="4"/>
        <v>0.80287294809645537</v>
      </c>
      <c r="S66" s="799">
        <f t="shared" si="20"/>
        <v>-2</v>
      </c>
      <c r="T66" s="176">
        <f t="shared" si="21"/>
        <v>4</v>
      </c>
      <c r="U66" s="250">
        <f t="shared" si="22"/>
        <v>-1.1971270519035446</v>
      </c>
      <c r="V66" s="382">
        <f t="shared" si="5"/>
        <v>42.782617799713073</v>
      </c>
      <c r="W66" s="58"/>
      <c r="X66" s="157">
        <f t="shared" si="6"/>
        <v>43517</v>
      </c>
      <c r="Y66" s="383">
        <f t="shared" si="7"/>
        <v>0</v>
      </c>
      <c r="Z66" s="383">
        <f t="shared" si="8"/>
        <v>0</v>
      </c>
      <c r="AA66" s="384">
        <f t="shared" si="9"/>
        <v>0</v>
      </c>
      <c r="AB66" s="197">
        <f t="shared" si="10"/>
        <v>43517</v>
      </c>
      <c r="AC66" s="424">
        <f t="shared" si="11"/>
        <v>3.0111677496071844E-3</v>
      </c>
      <c r="AD66" s="169">
        <f>(INDEX(Models!$BJ66:$BT66,,AH66)*(1-AF66)+INDEX(Models!$BJ66:$BT66,,AH66+1)*AF66-ERP_i)*AE66*Ramure*Pc/MaxiM</f>
        <v>1.1603681895517359E-5</v>
      </c>
      <c r="AE66" s="304">
        <f t="shared" si="12"/>
        <v>0.7</v>
      </c>
      <c r="AF66" s="177">
        <f t="shared" si="13"/>
        <v>0.80287294809645537</v>
      </c>
      <c r="AG66" s="799">
        <f t="shared" si="23"/>
        <v>-2</v>
      </c>
      <c r="AH66" s="176">
        <f t="shared" si="14"/>
        <v>4</v>
      </c>
      <c r="AI66" s="224">
        <f t="shared" si="15"/>
        <v>-1.1971270519035446</v>
      </c>
      <c r="AJ66" s="264" t="b">
        <f t="shared" si="16"/>
        <v>0</v>
      </c>
      <c r="AK66" s="264" t="b">
        <f t="shared" si="17"/>
        <v>1</v>
      </c>
      <c r="AL66" s="264"/>
      <c r="AM66" s="264"/>
      <c r="AN66" s="75"/>
    </row>
    <row r="67" spans="1:40" s="6" customFormat="1" ht="11.25" customHeight="1" x14ac:dyDescent="0.2">
      <c r="A67" s="56">
        <f t="shared" si="18"/>
        <v>43518</v>
      </c>
      <c r="B67" s="607"/>
      <c r="C67" s="388"/>
      <c r="D67" s="391"/>
      <c r="E67" s="383"/>
      <c r="F67" s="383"/>
      <c r="G67" s="110"/>
      <c r="I67" s="379">
        <f t="shared" si="0"/>
        <v>0</v>
      </c>
      <c r="J67" s="85">
        <v>2018</v>
      </c>
      <c r="K67" s="197">
        <f t="shared" si="1"/>
        <v>43518</v>
      </c>
      <c r="L67" s="435">
        <f t="shared" si="2"/>
        <v>8.2375361547726289E-4</v>
      </c>
      <c r="M67" s="842"/>
      <c r="N67" s="842"/>
      <c r="O67" s="323">
        <f t="shared" si="3"/>
        <v>3.0815096539093386E-3</v>
      </c>
      <c r="P67" s="169">
        <f>(INDEX(Models!$BJ67:$BT67,,T67)*(1-R67)+INDEX(Models!$BJ67:$BT67,,T67+1)*R67-ERP_i)*Q67*Ramure*Pc/MaxiM</f>
        <v>1.077993282519797E-5</v>
      </c>
      <c r="Q67" s="304">
        <f t="shared" si="19"/>
        <v>0.7</v>
      </c>
      <c r="R67" s="177">
        <f t="shared" si="4"/>
        <v>0.80305922590371082</v>
      </c>
      <c r="S67" s="799">
        <f t="shared" si="20"/>
        <v>-2</v>
      </c>
      <c r="T67" s="176">
        <f t="shared" si="21"/>
        <v>4</v>
      </c>
      <c r="U67" s="250">
        <f t="shared" si="22"/>
        <v>-1.1969407740962892</v>
      </c>
      <c r="V67" s="382">
        <f t="shared" si="5"/>
        <v>43.127626395973685</v>
      </c>
      <c r="W67" s="58"/>
      <c r="X67" s="157">
        <f t="shared" si="6"/>
        <v>43518</v>
      </c>
      <c r="Y67" s="383">
        <f t="shared" si="7"/>
        <v>0</v>
      </c>
      <c r="Z67" s="383">
        <f t="shared" si="8"/>
        <v>0</v>
      </c>
      <c r="AA67" s="384">
        <f t="shared" si="9"/>
        <v>0</v>
      </c>
      <c r="AB67" s="197">
        <f t="shared" si="10"/>
        <v>43518</v>
      </c>
      <c r="AC67" s="424">
        <f t="shared" si="11"/>
        <v>3.0815096539093386E-3</v>
      </c>
      <c r="AD67" s="169">
        <f>(INDEX(Models!$BJ67:$BT67,,AH67)*(1-AF67)+INDEX(Models!$BJ67:$BT67,,AH67+1)*AF67-ERP_i)*AE67*Ramure*Pc/MaxiM</f>
        <v>1.077993282519797E-5</v>
      </c>
      <c r="AE67" s="304">
        <f t="shared" si="12"/>
        <v>0.7</v>
      </c>
      <c r="AF67" s="177">
        <f t="shared" si="13"/>
        <v>0.80305922590371082</v>
      </c>
      <c r="AG67" s="799">
        <f t="shared" si="23"/>
        <v>-2</v>
      </c>
      <c r="AH67" s="176">
        <f t="shared" si="14"/>
        <v>4</v>
      </c>
      <c r="AI67" s="224">
        <f t="shared" si="15"/>
        <v>-1.1969407740962892</v>
      </c>
      <c r="AJ67" s="264" t="b">
        <f t="shared" si="16"/>
        <v>0</v>
      </c>
      <c r="AK67" s="264" t="b">
        <f t="shared" si="17"/>
        <v>1</v>
      </c>
      <c r="AL67" s="264"/>
      <c r="AM67" s="264"/>
      <c r="AN67" s="75"/>
    </row>
    <row r="68" spans="1:40" s="6" customFormat="1" ht="11.25" customHeight="1" x14ac:dyDescent="0.2">
      <c r="A68" s="56">
        <f t="shared" si="18"/>
        <v>43519</v>
      </c>
      <c r="B68" s="607"/>
      <c r="C68" s="388"/>
      <c r="D68" s="391"/>
      <c r="E68" s="383"/>
      <c r="F68" s="383"/>
      <c r="G68" s="110"/>
      <c r="I68" s="379">
        <f t="shared" si="0"/>
        <v>0</v>
      </c>
      <c r="J68" s="85">
        <v>2018</v>
      </c>
      <c r="K68" s="197">
        <f t="shared" si="1"/>
        <v>43519</v>
      </c>
      <c r="L68" s="435">
        <f t="shared" si="2"/>
        <v>8.429026002904072E-4</v>
      </c>
      <c r="M68" s="842"/>
      <c r="N68" s="842"/>
      <c r="O68" s="323">
        <f t="shared" si="3"/>
        <v>3.1517884085101948E-3</v>
      </c>
      <c r="P68" s="169">
        <f>(INDEX(Models!$BJ68:$BT68,,T68)*(1-R68)+INDEX(Models!$BJ68:$BT68,,T68+1)*R68-ERP_i)*Q68*Ramure*Pc/MaxiM</f>
        <v>9.9982682208881962E-6</v>
      </c>
      <c r="Q68" s="304">
        <f t="shared" si="19"/>
        <v>0.7</v>
      </c>
      <c r="R68" s="177">
        <f t="shared" si="4"/>
        <v>0.80325313219201311</v>
      </c>
      <c r="S68" s="799">
        <f t="shared" si="20"/>
        <v>-2</v>
      </c>
      <c r="T68" s="176">
        <f t="shared" si="21"/>
        <v>4</v>
      </c>
      <c r="U68" s="250">
        <f t="shared" si="22"/>
        <v>-1.1967468678079869</v>
      </c>
      <c r="V68" s="382">
        <f t="shared" si="5"/>
        <v>43.472068910336056</v>
      </c>
      <c r="W68" s="58"/>
      <c r="X68" s="157">
        <f t="shared" si="6"/>
        <v>43519</v>
      </c>
      <c r="Y68" s="383">
        <f t="shared" si="7"/>
        <v>0</v>
      </c>
      <c r="Z68" s="383">
        <f t="shared" si="8"/>
        <v>0</v>
      </c>
      <c r="AA68" s="384">
        <f t="shared" si="9"/>
        <v>0</v>
      </c>
      <c r="AB68" s="197">
        <f t="shared" si="10"/>
        <v>43519</v>
      </c>
      <c r="AC68" s="424">
        <f t="shared" si="11"/>
        <v>3.1517884085101948E-3</v>
      </c>
      <c r="AD68" s="169">
        <f>(INDEX(Models!$BJ68:$BT68,,AH68)*(1-AF68)+INDEX(Models!$BJ68:$BT68,,AH68+1)*AF68-ERP_i)*AE68*Ramure*Pc/MaxiM</f>
        <v>9.9982682208881962E-6</v>
      </c>
      <c r="AE68" s="304">
        <f t="shared" si="12"/>
        <v>0.7</v>
      </c>
      <c r="AF68" s="177">
        <f t="shared" si="13"/>
        <v>0.80325313219201311</v>
      </c>
      <c r="AG68" s="799">
        <f t="shared" si="23"/>
        <v>-2</v>
      </c>
      <c r="AH68" s="176">
        <f t="shared" si="14"/>
        <v>4</v>
      </c>
      <c r="AI68" s="224">
        <f t="shared" si="15"/>
        <v>-1.1967468678079869</v>
      </c>
      <c r="AJ68" s="264" t="b">
        <f t="shared" si="16"/>
        <v>0</v>
      </c>
      <c r="AK68" s="264" t="b">
        <f t="shared" si="17"/>
        <v>1</v>
      </c>
      <c r="AL68" s="264"/>
      <c r="AM68" s="264"/>
      <c r="AN68" s="75"/>
    </row>
    <row r="69" spans="1:40" s="6" customFormat="1" ht="11.25" customHeight="1" x14ac:dyDescent="0.2">
      <c r="A69" s="56">
        <f t="shared" si="18"/>
        <v>43520</v>
      </c>
      <c r="B69" s="607"/>
      <c r="C69" s="388"/>
      <c r="D69" s="391"/>
      <c r="E69" s="383"/>
      <c r="F69" s="383"/>
      <c r="G69" s="110"/>
      <c r="I69" s="379">
        <f t="shared" si="0"/>
        <v>0</v>
      </c>
      <c r="J69" s="85">
        <v>2018</v>
      </c>
      <c r="K69" s="197">
        <f t="shared" si="1"/>
        <v>43520</v>
      </c>
      <c r="L69" s="435">
        <f t="shared" si="2"/>
        <v>8.6205121811777641E-4</v>
      </c>
      <c r="M69" s="842"/>
      <c r="N69" s="842"/>
      <c r="O69" s="323">
        <f t="shared" si="3"/>
        <v>3.2220039557810309E-3</v>
      </c>
      <c r="P69" s="169">
        <f>(INDEX(Models!$BJ69:$BT69,,T69)*(1-R69)+INDEX(Models!$BJ69:$BT69,,T69+1)*R69-ERP_i)*Q69*Ramure*Pc/MaxiM</f>
        <v>9.2687868234893888E-6</v>
      </c>
      <c r="Q69" s="304">
        <f t="shared" si="19"/>
        <v>0.7</v>
      </c>
      <c r="R69" s="177">
        <f t="shared" si="4"/>
        <v>0.80345497133378774</v>
      </c>
      <c r="S69" s="799">
        <f t="shared" si="20"/>
        <v>-2</v>
      </c>
      <c r="T69" s="176">
        <f t="shared" si="21"/>
        <v>4</v>
      </c>
      <c r="U69" s="250">
        <f t="shared" si="22"/>
        <v>-1.1965450286662123</v>
      </c>
      <c r="V69" s="382">
        <f t="shared" si="5"/>
        <v>43.815945063240825</v>
      </c>
      <c r="W69" s="58"/>
      <c r="X69" s="157">
        <f t="shared" si="6"/>
        <v>43520</v>
      </c>
      <c r="Y69" s="383">
        <f t="shared" si="7"/>
        <v>0</v>
      </c>
      <c r="Z69" s="383">
        <f t="shared" si="8"/>
        <v>0</v>
      </c>
      <c r="AA69" s="384">
        <f t="shared" si="9"/>
        <v>0</v>
      </c>
      <c r="AB69" s="197">
        <f t="shared" si="10"/>
        <v>43520</v>
      </c>
      <c r="AC69" s="424">
        <f t="shared" si="11"/>
        <v>3.2220039557810309E-3</v>
      </c>
      <c r="AD69" s="169">
        <f>(INDEX(Models!$BJ69:$BT69,,AH69)*(1-AF69)+INDEX(Models!$BJ69:$BT69,,AH69+1)*AF69-ERP_i)*AE69*Ramure*Pc/MaxiM</f>
        <v>9.2687868234893888E-6</v>
      </c>
      <c r="AE69" s="304">
        <f t="shared" si="12"/>
        <v>0.7</v>
      </c>
      <c r="AF69" s="177">
        <f t="shared" si="13"/>
        <v>0.80345497133378774</v>
      </c>
      <c r="AG69" s="799">
        <f t="shared" si="23"/>
        <v>-2</v>
      </c>
      <c r="AH69" s="176">
        <f t="shared" si="14"/>
        <v>4</v>
      </c>
      <c r="AI69" s="224">
        <f t="shared" si="15"/>
        <v>-1.1965450286662123</v>
      </c>
      <c r="AJ69" s="264" t="b">
        <f t="shared" si="16"/>
        <v>0</v>
      </c>
      <c r="AK69" s="264" t="b">
        <f t="shared" si="17"/>
        <v>1</v>
      </c>
      <c r="AL69" s="264"/>
      <c r="AM69" s="264"/>
      <c r="AN69" s="75"/>
    </row>
    <row r="70" spans="1:40" s="6" customFormat="1" ht="11.25" customHeight="1" x14ac:dyDescent="0.2">
      <c r="A70" s="56">
        <f t="shared" si="18"/>
        <v>43521</v>
      </c>
      <c r="B70" s="607"/>
      <c r="C70" s="388"/>
      <c r="D70" s="391"/>
      <c r="E70" s="383"/>
      <c r="F70" s="383"/>
      <c r="G70" s="110"/>
      <c r="I70" s="379">
        <f t="shared" si="0"/>
        <v>0</v>
      </c>
      <c r="J70" s="85">
        <v>2018</v>
      </c>
      <c r="K70" s="197">
        <f t="shared" si="1"/>
        <v>43521</v>
      </c>
      <c r="L70" s="435">
        <f t="shared" si="2"/>
        <v>8.8119946896614287E-4</v>
      </c>
      <c r="M70" s="842"/>
      <c r="N70" s="842"/>
      <c r="O70" s="323">
        <f t="shared" si="3"/>
        <v>3.2921562892803827E-3</v>
      </c>
      <c r="P70" s="169">
        <f>(INDEX(Models!$BJ70:$BT70,,T70)*(1-R70)+INDEX(Models!$BJ70:$BT70,,T70+1)*R70-ERP_i)*Q70*Ramure*Pc/MaxiM</f>
        <v>8.6023481712409632E-6</v>
      </c>
      <c r="Q70" s="304">
        <f t="shared" si="19"/>
        <v>0.7</v>
      </c>
      <c r="R70" s="177">
        <f t="shared" si="4"/>
        <v>0.80366505916749653</v>
      </c>
      <c r="S70" s="799">
        <f t="shared" si="20"/>
        <v>-2</v>
      </c>
      <c r="T70" s="176">
        <f t="shared" si="21"/>
        <v>4</v>
      </c>
      <c r="U70" s="250">
        <f t="shared" si="22"/>
        <v>-1.1963349408325035</v>
      </c>
      <c r="V70" s="382">
        <f t="shared" si="5"/>
        <v>44.159254525149265</v>
      </c>
      <c r="W70" s="58"/>
      <c r="X70" s="157">
        <f t="shared" si="6"/>
        <v>43521</v>
      </c>
      <c r="Y70" s="383">
        <f t="shared" si="7"/>
        <v>0</v>
      </c>
      <c r="Z70" s="383">
        <f t="shared" si="8"/>
        <v>0</v>
      </c>
      <c r="AA70" s="384">
        <f t="shared" si="9"/>
        <v>0</v>
      </c>
      <c r="AB70" s="197">
        <f t="shared" si="10"/>
        <v>43521</v>
      </c>
      <c r="AC70" s="424">
        <f t="shared" si="11"/>
        <v>3.2921562892803827E-3</v>
      </c>
      <c r="AD70" s="169">
        <f>(INDEX(Models!$BJ70:$BT70,,AH70)*(1-AF70)+INDEX(Models!$BJ70:$BT70,,AH70+1)*AF70-ERP_i)*AE70*Ramure*Pc/MaxiM</f>
        <v>8.6023481712409632E-6</v>
      </c>
      <c r="AE70" s="304">
        <f t="shared" si="12"/>
        <v>0.7</v>
      </c>
      <c r="AF70" s="177">
        <f t="shared" si="13"/>
        <v>0.80366505916749653</v>
      </c>
      <c r="AG70" s="799">
        <f t="shared" si="23"/>
        <v>-2</v>
      </c>
      <c r="AH70" s="176">
        <f t="shared" si="14"/>
        <v>4</v>
      </c>
      <c r="AI70" s="224">
        <f t="shared" si="15"/>
        <v>-1.1963349408325035</v>
      </c>
      <c r="AJ70" s="264" t="b">
        <f t="shared" si="16"/>
        <v>0</v>
      </c>
      <c r="AK70" s="264" t="b">
        <f t="shared" si="17"/>
        <v>1</v>
      </c>
      <c r="AL70" s="264"/>
      <c r="AM70" s="264"/>
      <c r="AN70" s="75"/>
    </row>
    <row r="71" spans="1:40" s="6" customFormat="1" ht="11.25" x14ac:dyDescent="0.2">
      <c r="A71" s="56">
        <f t="shared" si="18"/>
        <v>43522</v>
      </c>
      <c r="B71" s="607"/>
      <c r="C71" s="388"/>
      <c r="D71" s="391"/>
      <c r="E71" s="383"/>
      <c r="F71" s="383"/>
      <c r="G71" s="110"/>
      <c r="I71" s="379">
        <f t="shared" si="0"/>
        <v>0</v>
      </c>
      <c r="J71" s="85">
        <v>2018</v>
      </c>
      <c r="K71" s="197">
        <f t="shared" si="1"/>
        <v>43522</v>
      </c>
      <c r="L71" s="435">
        <f t="shared" si="2"/>
        <v>9.0034735284272305E-4</v>
      </c>
      <c r="M71" s="842"/>
      <c r="N71" s="842"/>
      <c r="O71" s="323">
        <f t="shared" si="3"/>
        <v>3.362245462461221E-3</v>
      </c>
      <c r="P71" s="169">
        <f>(INDEX(Models!$BJ71:$BT71,,T71)*(1-R71)+INDEX(Models!$BJ71:$BT71,,T71+1)*R71-ERP_i)*Q71*Ramure*Pc/MaxiM</f>
        <v>8.0106207614286506E-6</v>
      </c>
      <c r="Q71" s="304">
        <f t="shared" si="19"/>
        <v>0.7</v>
      </c>
      <c r="R71" s="177">
        <f t="shared" si="4"/>
        <v>0.80388372337194891</v>
      </c>
      <c r="S71" s="799">
        <f t="shared" si="20"/>
        <v>-2</v>
      </c>
      <c r="T71" s="176">
        <f t="shared" si="21"/>
        <v>4</v>
      </c>
      <c r="U71" s="250">
        <f t="shared" si="22"/>
        <v>-1.1961162766280511</v>
      </c>
      <c r="V71" s="382">
        <f t="shared" si="5"/>
        <v>44.501996913377347</v>
      </c>
      <c r="W71" s="58"/>
      <c r="X71" s="157">
        <f t="shared" si="6"/>
        <v>43522</v>
      </c>
      <c r="Y71" s="383">
        <f t="shared" si="7"/>
        <v>0</v>
      </c>
      <c r="Z71" s="383">
        <f t="shared" si="8"/>
        <v>0</v>
      </c>
      <c r="AA71" s="384">
        <f t="shared" si="9"/>
        <v>0</v>
      </c>
      <c r="AB71" s="197">
        <f t="shared" si="10"/>
        <v>43522</v>
      </c>
      <c r="AC71" s="424">
        <f t="shared" si="11"/>
        <v>3.362245462461221E-3</v>
      </c>
      <c r="AD71" s="169">
        <f>(INDEX(Models!$BJ71:$BT71,,AH71)*(1-AF71)+INDEX(Models!$BJ71:$BT71,,AH71+1)*AF71-ERP_i)*AE71*Ramure*Pc/MaxiM</f>
        <v>8.0106207614286506E-6</v>
      </c>
      <c r="AE71" s="304">
        <f t="shared" si="12"/>
        <v>0.7</v>
      </c>
      <c r="AF71" s="177">
        <f t="shared" si="13"/>
        <v>0.80388372337194891</v>
      </c>
      <c r="AG71" s="799">
        <f t="shared" si="23"/>
        <v>-2</v>
      </c>
      <c r="AH71" s="176">
        <f t="shared" si="14"/>
        <v>4</v>
      </c>
      <c r="AI71" s="224">
        <f t="shared" si="15"/>
        <v>-1.1961162766280511</v>
      </c>
      <c r="AJ71" s="264" t="b">
        <f t="shared" si="16"/>
        <v>0</v>
      </c>
      <c r="AK71" s="264" t="b">
        <f t="shared" si="17"/>
        <v>1</v>
      </c>
      <c r="AL71" s="264"/>
      <c r="AM71" s="264"/>
      <c r="AN71" s="75"/>
    </row>
    <row r="72" spans="1:40" s="6" customFormat="1" ht="11.25" customHeight="1" x14ac:dyDescent="0.2">
      <c r="A72" s="56">
        <f t="shared" si="18"/>
        <v>43523</v>
      </c>
      <c r="B72" s="607"/>
      <c r="C72" s="388"/>
      <c r="D72" s="391"/>
      <c r="E72" s="383"/>
      <c r="F72" s="383"/>
      <c r="G72" s="110"/>
      <c r="I72" s="379">
        <f t="shared" si="0"/>
        <v>0</v>
      </c>
      <c r="J72" s="85">
        <v>2018</v>
      </c>
      <c r="K72" s="197">
        <f t="shared" si="1"/>
        <v>43523</v>
      </c>
      <c r="L72" s="435">
        <f t="shared" si="2"/>
        <v>9.1949486975440031E-4</v>
      </c>
      <c r="M72" s="842"/>
      <c r="N72" s="842"/>
      <c r="O72" s="323">
        <f t="shared" si="3"/>
        <v>3.432271597284074E-3</v>
      </c>
      <c r="P72" s="169">
        <f>(INDEX(Models!$BJ72:$BT72,,T72)*(1-R72)+INDEX(Models!$BJ72:$BT72,,T72+1)*R72-ERP_i)*Q72*Ramure*Pc/MaxiM</f>
        <v>7.5377351519864952E-6</v>
      </c>
      <c r="Q72" s="304">
        <f t="shared" si="19"/>
        <v>0.7</v>
      </c>
      <c r="R72" s="177">
        <f t="shared" si="4"/>
        <v>0.80411130384779694</v>
      </c>
      <c r="S72" s="799">
        <f t="shared" si="20"/>
        <v>-2</v>
      </c>
      <c r="T72" s="176">
        <f t="shared" si="21"/>
        <v>4</v>
      </c>
      <c r="U72" s="250">
        <f t="shared" si="22"/>
        <v>-1.1958886961522031</v>
      </c>
      <c r="V72" s="382">
        <f t="shared" si="5"/>
        <v>44.844170369833407</v>
      </c>
      <c r="W72" s="58"/>
      <c r="X72" s="157">
        <f t="shared" si="6"/>
        <v>43523</v>
      </c>
      <c r="Y72" s="383">
        <f t="shared" si="7"/>
        <v>0</v>
      </c>
      <c r="Z72" s="383">
        <f t="shared" si="8"/>
        <v>0</v>
      </c>
      <c r="AA72" s="384">
        <f t="shared" si="9"/>
        <v>0</v>
      </c>
      <c r="AB72" s="197">
        <f t="shared" si="10"/>
        <v>43523</v>
      </c>
      <c r="AC72" s="424">
        <f t="shared" si="11"/>
        <v>3.432271597284074E-3</v>
      </c>
      <c r="AD72" s="169">
        <f>(INDEX(Models!$BJ72:$BT72,,AH72)*(1-AF72)+INDEX(Models!$BJ72:$BT72,,AH72+1)*AF72-ERP_i)*AE72*Ramure*Pc/MaxiM</f>
        <v>7.5377351519864952E-6</v>
      </c>
      <c r="AE72" s="304">
        <f t="shared" si="12"/>
        <v>0.7</v>
      </c>
      <c r="AF72" s="177">
        <f t="shared" si="13"/>
        <v>0.80411130384779694</v>
      </c>
      <c r="AG72" s="799">
        <f t="shared" si="23"/>
        <v>-2</v>
      </c>
      <c r="AH72" s="176">
        <f t="shared" si="14"/>
        <v>4</v>
      </c>
      <c r="AI72" s="224">
        <f t="shared" si="15"/>
        <v>-1.1958886961522031</v>
      </c>
      <c r="AJ72" s="264" t="b">
        <f t="shared" si="16"/>
        <v>0</v>
      </c>
      <c r="AK72" s="264" t="b">
        <f t="shared" si="17"/>
        <v>1</v>
      </c>
      <c r="AL72" s="264"/>
      <c r="AM72" s="264"/>
      <c r="AN72" s="75"/>
    </row>
    <row r="73" spans="1:40" s="6" customFormat="1" ht="11.25" customHeight="1" x14ac:dyDescent="0.2">
      <c r="A73" s="56">
        <f t="shared" si="18"/>
        <v>43524</v>
      </c>
      <c r="B73" s="607"/>
      <c r="C73" s="388"/>
      <c r="D73" s="391"/>
      <c r="E73" s="383"/>
      <c r="F73" s="383"/>
      <c r="G73" s="110"/>
      <c r="I73" s="379">
        <f t="shared" si="0"/>
        <v>0</v>
      </c>
      <c r="J73" s="85">
        <v>2018</v>
      </c>
      <c r="K73" s="197">
        <f t="shared" si="1"/>
        <v>43524</v>
      </c>
      <c r="L73" s="435">
        <f t="shared" si="2"/>
        <v>9.3864201970839112E-4</v>
      </c>
      <c r="M73" s="842"/>
      <c r="N73" s="842"/>
      <c r="O73" s="323">
        <f t="shared" si="3"/>
        <v>3.5022348926557422E-3</v>
      </c>
      <c r="P73" s="169">
        <f>(INDEX(Models!$BJ73:$BT73,,T73)*(1-R73)+INDEX(Models!$BJ73:$BT73,,T73+1)*R73-ERP_i)*Q73*Ramure*Pc/MaxiM</f>
        <v>7.1392441535569646E-6</v>
      </c>
      <c r="Q73" s="304">
        <f t="shared" si="19"/>
        <v>0.7</v>
      </c>
      <c r="R73" s="177">
        <f t="shared" si="4"/>
        <v>0.80434815310586716</v>
      </c>
      <c r="S73" s="799">
        <f t="shared" si="20"/>
        <v>-2</v>
      </c>
      <c r="T73" s="176">
        <f t="shared" si="21"/>
        <v>4</v>
      </c>
      <c r="U73" s="250">
        <f t="shared" si="22"/>
        <v>-1.1956518468941328</v>
      </c>
      <c r="V73" s="382">
        <f t="shared" si="5"/>
        <v>45.185776975549032</v>
      </c>
      <c r="W73" s="58"/>
      <c r="X73" s="157">
        <f t="shared" si="6"/>
        <v>43524</v>
      </c>
      <c r="Y73" s="383">
        <f t="shared" si="7"/>
        <v>0</v>
      </c>
      <c r="Z73" s="383">
        <f t="shared" si="8"/>
        <v>0</v>
      </c>
      <c r="AA73" s="384">
        <f t="shared" si="9"/>
        <v>0</v>
      </c>
      <c r="AB73" s="197">
        <f t="shared" si="10"/>
        <v>43524</v>
      </c>
      <c r="AC73" s="424">
        <f t="shared" si="11"/>
        <v>3.5022348926557422E-3</v>
      </c>
      <c r="AD73" s="169">
        <f>(INDEX(Models!$BJ73:$BT73,,AH73)*(1-AF73)+INDEX(Models!$BJ73:$BT73,,AH73+1)*AF73-ERP_i)*AE73*Ramure*Pc/MaxiM</f>
        <v>7.1392441535569646E-6</v>
      </c>
      <c r="AE73" s="304">
        <f t="shared" si="12"/>
        <v>0.7</v>
      </c>
      <c r="AF73" s="177">
        <f t="shared" si="13"/>
        <v>0.80434815310586716</v>
      </c>
      <c r="AG73" s="799">
        <f t="shared" si="23"/>
        <v>-2</v>
      </c>
      <c r="AH73" s="176">
        <f t="shared" si="14"/>
        <v>4</v>
      </c>
      <c r="AI73" s="224">
        <f t="shared" si="15"/>
        <v>-1.1956518468941328</v>
      </c>
      <c r="AJ73" s="264" t="b">
        <f t="shared" si="16"/>
        <v>0</v>
      </c>
      <c r="AK73" s="264" t="b">
        <f t="shared" si="17"/>
        <v>1</v>
      </c>
      <c r="AL73" s="264"/>
      <c r="AM73" s="264"/>
      <c r="AN73" s="75"/>
    </row>
    <row r="74" spans="1:40" s="6" customFormat="1" ht="11.25" customHeight="1" x14ac:dyDescent="0.2">
      <c r="A74" s="56">
        <f t="shared" si="18"/>
        <v>43525</v>
      </c>
      <c r="B74" s="607"/>
      <c r="C74" s="388"/>
      <c r="D74" s="391"/>
      <c r="E74" s="383"/>
      <c r="F74" s="383"/>
      <c r="G74" s="110"/>
      <c r="I74" s="379">
        <f t="shared" si="0"/>
        <v>0</v>
      </c>
      <c r="J74" s="85">
        <v>2018</v>
      </c>
      <c r="K74" s="197">
        <f t="shared" si="1"/>
        <v>43525</v>
      </c>
      <c r="L74" s="435">
        <f t="shared" si="2"/>
        <v>9.5778880271157885E-4</v>
      </c>
      <c r="M74" s="842"/>
      <c r="N74" s="842"/>
      <c r="O74" s="323">
        <f t="shared" si="3"/>
        <v>3.5721356326160851E-3</v>
      </c>
      <c r="P74" s="169">
        <f>(INDEX(Models!$BJ74:$BT74,,T74)*(1-R74)+INDEX(Models!$BJ74:$BT74,,T74+1)*R74-ERP_i)*Q74*Ramure*Pc/MaxiM</f>
        <v>6.8264347146940807E-6</v>
      </c>
      <c r="Q74" s="304">
        <f t="shared" si="19"/>
        <v>0.7</v>
      </c>
      <c r="R74" s="177">
        <f t="shared" si="4"/>
        <v>0.80459463666191411</v>
      </c>
      <c r="S74" s="799">
        <f t="shared" si="20"/>
        <v>-2</v>
      </c>
      <c r="T74" s="176">
        <f t="shared" si="21"/>
        <v>4</v>
      </c>
      <c r="U74" s="250">
        <f t="shared" si="22"/>
        <v>-1.1954053633380859</v>
      </c>
      <c r="V74" s="382">
        <f t="shared" si="5"/>
        <v>45.526816330458743</v>
      </c>
      <c r="W74" s="58"/>
      <c r="X74" s="157">
        <f t="shared" si="6"/>
        <v>43525</v>
      </c>
      <c r="Y74" s="383">
        <f t="shared" si="7"/>
        <v>0</v>
      </c>
      <c r="Z74" s="383">
        <f t="shared" si="8"/>
        <v>0</v>
      </c>
      <c r="AA74" s="384">
        <f t="shared" si="9"/>
        <v>0</v>
      </c>
      <c r="AB74" s="197">
        <f t="shared" si="10"/>
        <v>43525</v>
      </c>
      <c r="AC74" s="424">
        <f t="shared" si="11"/>
        <v>3.5721356326160851E-3</v>
      </c>
      <c r="AD74" s="169">
        <f>(INDEX(Models!$BJ74:$BT74,,AH74)*(1-AF74)+INDEX(Models!$BJ74:$BT74,,AH74+1)*AF74-ERP_i)*AE74*Ramure*Pc/MaxiM</f>
        <v>6.8264347146940807E-6</v>
      </c>
      <c r="AE74" s="304">
        <f t="shared" si="12"/>
        <v>0.7</v>
      </c>
      <c r="AF74" s="177">
        <f t="shared" si="13"/>
        <v>0.80459463666191411</v>
      </c>
      <c r="AG74" s="799">
        <f t="shared" si="23"/>
        <v>-2</v>
      </c>
      <c r="AH74" s="176">
        <f t="shared" si="14"/>
        <v>4</v>
      </c>
      <c r="AI74" s="224">
        <f t="shared" si="15"/>
        <v>-1.1954053633380859</v>
      </c>
      <c r="AJ74" s="264" t="b">
        <f t="shared" si="16"/>
        <v>0</v>
      </c>
      <c r="AK74" s="264" t="b">
        <f t="shared" si="17"/>
        <v>1</v>
      </c>
      <c r="AL74" s="264"/>
      <c r="AM74" s="264"/>
      <c r="AN74" s="75"/>
    </row>
    <row r="75" spans="1:40" s="6" customFormat="1" ht="11.25" customHeight="1" x14ac:dyDescent="0.2">
      <c r="A75" s="56">
        <f t="shared" si="18"/>
        <v>43526</v>
      </c>
      <c r="B75" s="607"/>
      <c r="C75" s="388"/>
      <c r="D75" s="391"/>
      <c r="E75" s="383"/>
      <c r="F75" s="383"/>
      <c r="G75" s="110"/>
      <c r="I75" s="379">
        <f t="shared" si="0"/>
        <v>0</v>
      </c>
      <c r="J75" s="85">
        <v>2018</v>
      </c>
      <c r="K75" s="197">
        <f t="shared" si="1"/>
        <v>43526</v>
      </c>
      <c r="L75" s="435">
        <f t="shared" si="2"/>
        <v>9.769352187709579E-4</v>
      </c>
      <c r="M75" s="842"/>
      <c r="N75" s="842"/>
      <c r="O75" s="323">
        <f t="shared" si="3"/>
        <v>3.641974194198904E-3</v>
      </c>
      <c r="P75" s="169">
        <f>(INDEX(Models!$BJ75:$BT75,,T75)*(1-R75)+INDEX(Models!$BJ75:$BT75,,T75+1)*R75-ERP_i)*Q75*Ramure*Pc/MaxiM</f>
        <v>6.6114074313865929E-6</v>
      </c>
      <c r="Q75" s="304">
        <f t="shared" si="19"/>
        <v>0.7</v>
      </c>
      <c r="R75" s="177">
        <f t="shared" si="4"/>
        <v>0.8048511334373234</v>
      </c>
      <c r="S75" s="799">
        <f t="shared" si="20"/>
        <v>-2</v>
      </c>
      <c r="T75" s="176">
        <f t="shared" si="21"/>
        <v>4</v>
      </c>
      <c r="U75" s="250">
        <f t="shared" si="22"/>
        <v>-1.1951488665626766</v>
      </c>
      <c r="V75" s="382">
        <f t="shared" si="5"/>
        <v>45.867287977179501</v>
      </c>
      <c r="W75" s="58"/>
      <c r="X75" s="157">
        <f t="shared" si="6"/>
        <v>43526</v>
      </c>
      <c r="Y75" s="383">
        <f t="shared" si="7"/>
        <v>0</v>
      </c>
      <c r="Z75" s="383">
        <f t="shared" si="8"/>
        <v>0</v>
      </c>
      <c r="AA75" s="384">
        <f t="shared" si="9"/>
        <v>0</v>
      </c>
      <c r="AB75" s="197">
        <f t="shared" si="10"/>
        <v>43526</v>
      </c>
      <c r="AC75" s="424">
        <f t="shared" si="11"/>
        <v>3.641974194198904E-3</v>
      </c>
      <c r="AD75" s="169">
        <f>(INDEX(Models!$BJ75:$BT75,,AH75)*(1-AF75)+INDEX(Models!$BJ75:$BT75,,AH75+1)*AF75-ERP_i)*AE75*Ramure*Pc/MaxiM</f>
        <v>6.6114074313865929E-6</v>
      </c>
      <c r="AE75" s="304">
        <f t="shared" si="12"/>
        <v>0.7</v>
      </c>
      <c r="AF75" s="177">
        <f t="shared" si="13"/>
        <v>0.8048511334373234</v>
      </c>
      <c r="AG75" s="799">
        <f t="shared" si="23"/>
        <v>-2</v>
      </c>
      <c r="AH75" s="176">
        <f t="shared" si="14"/>
        <v>4</v>
      </c>
      <c r="AI75" s="224">
        <f t="shared" si="15"/>
        <v>-1.1951488665626766</v>
      </c>
      <c r="AJ75" s="264" t="b">
        <f t="shared" si="16"/>
        <v>0</v>
      </c>
      <c r="AK75" s="264" t="b">
        <f t="shared" si="17"/>
        <v>1</v>
      </c>
      <c r="AL75" s="264"/>
      <c r="AM75" s="264"/>
      <c r="AN75" s="75"/>
    </row>
    <row r="76" spans="1:40" s="6" customFormat="1" ht="11.25" customHeight="1" x14ac:dyDescent="0.2">
      <c r="A76" s="56">
        <f t="shared" si="18"/>
        <v>43527</v>
      </c>
      <c r="B76" s="607"/>
      <c r="C76" s="388"/>
      <c r="D76" s="391"/>
      <c r="E76" s="383"/>
      <c r="F76" s="383"/>
      <c r="G76" s="110"/>
      <c r="I76" s="379">
        <f t="shared" si="0"/>
        <v>0</v>
      </c>
      <c r="J76" s="85">
        <v>2018</v>
      </c>
      <c r="K76" s="197">
        <f t="shared" si="1"/>
        <v>43527</v>
      </c>
      <c r="L76" s="435">
        <f t="shared" si="2"/>
        <v>9.9608126789374474E-4</v>
      </c>
      <c r="M76" s="842"/>
      <c r="N76" s="842"/>
      <c r="O76" s="323">
        <f t="shared" si="3"/>
        <v>3.7117510548974153E-3</v>
      </c>
      <c r="P76" s="169">
        <f>(INDEX(Models!$BJ76:$BT76,,T76)*(1-R76)+INDEX(Models!$BJ76:$BT76,,T76+1)*R76-ERP_i)*Q76*Ramure*Pc/MaxiM</f>
        <v>6.5071257648568888E-6</v>
      </c>
      <c r="Q76" s="304">
        <f t="shared" si="19"/>
        <v>0.7</v>
      </c>
      <c r="R76" s="177">
        <f t="shared" si="4"/>
        <v>0.80511803616520972</v>
      </c>
      <c r="S76" s="799">
        <f t="shared" si="20"/>
        <v>-2</v>
      </c>
      <c r="T76" s="176">
        <f t="shared" si="21"/>
        <v>4</v>
      </c>
      <c r="U76" s="250">
        <f t="shared" si="22"/>
        <v>-1.1948819638347903</v>
      </c>
      <c r="V76" s="382">
        <f t="shared" si="5"/>
        <v>46.207191397031288</v>
      </c>
      <c r="W76" s="58"/>
      <c r="X76" s="157">
        <f t="shared" si="6"/>
        <v>43527</v>
      </c>
      <c r="Y76" s="383">
        <f t="shared" si="7"/>
        <v>0</v>
      </c>
      <c r="Z76" s="383">
        <f t="shared" si="8"/>
        <v>0</v>
      </c>
      <c r="AA76" s="384">
        <f t="shared" si="9"/>
        <v>0</v>
      </c>
      <c r="AB76" s="197">
        <f t="shared" si="10"/>
        <v>43527</v>
      </c>
      <c r="AC76" s="424">
        <f t="shared" si="11"/>
        <v>3.7117510548974153E-3</v>
      </c>
      <c r="AD76" s="169">
        <f>(INDEX(Models!$BJ76:$BT76,,AH76)*(1-AF76)+INDEX(Models!$BJ76:$BT76,,AH76+1)*AF76-ERP_i)*AE76*Ramure*Pc/MaxiM</f>
        <v>6.5071257648568888E-6</v>
      </c>
      <c r="AE76" s="304">
        <f t="shared" si="12"/>
        <v>0.7</v>
      </c>
      <c r="AF76" s="177">
        <f t="shared" si="13"/>
        <v>0.80511803616520972</v>
      </c>
      <c r="AG76" s="799">
        <f t="shared" si="23"/>
        <v>-2</v>
      </c>
      <c r="AH76" s="176">
        <f t="shared" si="14"/>
        <v>4</v>
      </c>
      <c r="AI76" s="224">
        <f t="shared" si="15"/>
        <v>-1.1948819638347903</v>
      </c>
      <c r="AJ76" s="264" t="b">
        <f t="shared" si="16"/>
        <v>0</v>
      </c>
      <c r="AK76" s="264" t="b">
        <f t="shared" si="17"/>
        <v>1</v>
      </c>
      <c r="AL76" s="264"/>
      <c r="AM76" s="264"/>
      <c r="AN76" s="75"/>
    </row>
    <row r="77" spans="1:40" s="6" customFormat="1" ht="11.25" x14ac:dyDescent="0.2">
      <c r="A77" s="56">
        <f t="shared" si="18"/>
        <v>43528</v>
      </c>
      <c r="B77" s="607"/>
      <c r="C77" s="388"/>
      <c r="D77" s="391"/>
      <c r="E77" s="383"/>
      <c r="F77" s="383"/>
      <c r="G77" s="110"/>
      <c r="I77" s="379">
        <f t="shared" si="0"/>
        <v>0</v>
      </c>
      <c r="J77" s="85">
        <v>2018</v>
      </c>
      <c r="K77" s="197">
        <f t="shared" si="1"/>
        <v>43528</v>
      </c>
      <c r="L77" s="435">
        <f t="shared" si="2"/>
        <v>1.0152269500868227E-3</v>
      </c>
      <c r="M77" s="842"/>
      <c r="N77" s="842"/>
      <c r="O77" s="323">
        <f t="shared" si="3"/>
        <v>3.7814667996701494E-3</v>
      </c>
      <c r="P77" s="169">
        <f>(INDEX(Models!$BJ77:$BT77,,T77)*(1-R77)+INDEX(Models!$BJ77:$BT77,,T77+1)*R77-ERP_i)*Q77*Ramure*Pc/MaxiM</f>
        <v>6.5274677883741245E-6</v>
      </c>
      <c r="Q77" s="304">
        <f t="shared" si="19"/>
        <v>0.7</v>
      </c>
      <c r="R77" s="177">
        <f t="shared" si="4"/>
        <v>0.8053957518012882</v>
      </c>
      <c r="S77" s="799">
        <f t="shared" si="20"/>
        <v>-2</v>
      </c>
      <c r="T77" s="176">
        <f t="shared" si="21"/>
        <v>4</v>
      </c>
      <c r="U77" s="250">
        <f t="shared" si="22"/>
        <v>-1.1946042481987118</v>
      </c>
      <c r="V77" s="382">
        <f t="shared" si="5"/>
        <v>46.546526005443063</v>
      </c>
      <c r="W77" s="58"/>
      <c r="X77" s="157">
        <f t="shared" si="6"/>
        <v>43528</v>
      </c>
      <c r="Y77" s="383">
        <f t="shared" si="7"/>
        <v>0</v>
      </c>
      <c r="Z77" s="383">
        <f t="shared" si="8"/>
        <v>0</v>
      </c>
      <c r="AA77" s="384">
        <f t="shared" si="9"/>
        <v>0</v>
      </c>
      <c r="AB77" s="197">
        <f t="shared" si="10"/>
        <v>43528</v>
      </c>
      <c r="AC77" s="424">
        <f t="shared" si="11"/>
        <v>3.7814667996701494E-3</v>
      </c>
      <c r="AD77" s="169">
        <f>(INDEX(Models!$BJ77:$BT77,,AH77)*(1-AF77)+INDEX(Models!$BJ77:$BT77,,AH77+1)*AF77-ERP_i)*AE77*Ramure*Pc/MaxiM</f>
        <v>6.5274677883741245E-6</v>
      </c>
      <c r="AE77" s="304">
        <f t="shared" si="12"/>
        <v>0.7</v>
      </c>
      <c r="AF77" s="177">
        <f t="shared" si="13"/>
        <v>0.8053957518012882</v>
      </c>
      <c r="AG77" s="799">
        <f t="shared" si="23"/>
        <v>-2</v>
      </c>
      <c r="AH77" s="176">
        <f t="shared" si="14"/>
        <v>4</v>
      </c>
      <c r="AI77" s="224">
        <f t="shared" si="15"/>
        <v>-1.1946042481987118</v>
      </c>
      <c r="AJ77" s="264" t="b">
        <f t="shared" si="16"/>
        <v>0</v>
      </c>
      <c r="AK77" s="264" t="b">
        <f t="shared" si="17"/>
        <v>1</v>
      </c>
      <c r="AL77" s="264"/>
      <c r="AM77" s="264"/>
      <c r="AN77" s="75"/>
    </row>
    <row r="78" spans="1:40" s="6" customFormat="1" ht="11.25" customHeight="1" x14ac:dyDescent="0.2">
      <c r="A78" s="56">
        <f t="shared" si="18"/>
        <v>43529</v>
      </c>
      <c r="B78" s="607"/>
      <c r="C78" s="388"/>
      <c r="D78" s="391"/>
      <c r="E78" s="383"/>
      <c r="F78" s="383"/>
      <c r="G78" s="110"/>
      <c r="I78" s="379">
        <f t="shared" si="0"/>
        <v>0</v>
      </c>
      <c r="J78" s="85">
        <v>2018</v>
      </c>
      <c r="K78" s="197">
        <f t="shared" si="1"/>
        <v>43529</v>
      </c>
      <c r="L78" s="435">
        <f t="shared" si="2"/>
        <v>1.0343722653572973E-3</v>
      </c>
      <c r="M78" s="842"/>
      <c r="N78" s="842"/>
      <c r="O78" s="323">
        <f t="shared" si="3"/>
        <v>3.85112212742876E-3</v>
      </c>
      <c r="P78" s="169">
        <f>(INDEX(Models!$BJ78:$BT78,,T78)*(1-R78)+INDEX(Models!$BJ78:$BT78,,T78+1)*R78-ERP_i)*Q78*Ramure*Pc/MaxiM</f>
        <v>6.6872805954239412E-6</v>
      </c>
      <c r="Q78" s="304">
        <f t="shared" si="19"/>
        <v>0.7</v>
      </c>
      <c r="R78" s="177">
        <f t="shared" si="4"/>
        <v>0.8056847019388047</v>
      </c>
      <c r="S78" s="799">
        <f t="shared" si="20"/>
        <v>-2</v>
      </c>
      <c r="T78" s="176">
        <f t="shared" si="21"/>
        <v>4</v>
      </c>
      <c r="U78" s="250">
        <f t="shared" si="22"/>
        <v>-1.1943152980611953</v>
      </c>
      <c r="V78" s="382">
        <f t="shared" si="5"/>
        <v>46.885291147755837</v>
      </c>
      <c r="W78" s="58"/>
      <c r="X78" s="157">
        <f t="shared" si="6"/>
        <v>43529</v>
      </c>
      <c r="Y78" s="383">
        <f t="shared" si="7"/>
        <v>0</v>
      </c>
      <c r="Z78" s="383">
        <f t="shared" si="8"/>
        <v>0</v>
      </c>
      <c r="AA78" s="384">
        <f t="shared" si="9"/>
        <v>0</v>
      </c>
      <c r="AB78" s="197">
        <f t="shared" si="10"/>
        <v>43529</v>
      </c>
      <c r="AC78" s="424">
        <f t="shared" si="11"/>
        <v>3.85112212742876E-3</v>
      </c>
      <c r="AD78" s="169">
        <f>(INDEX(Models!$BJ78:$BT78,,AH78)*(1-AF78)+INDEX(Models!$BJ78:$BT78,,AH78+1)*AF78-ERP_i)*AE78*Ramure*Pc/MaxiM</f>
        <v>6.6872805954239412E-6</v>
      </c>
      <c r="AE78" s="304">
        <f t="shared" si="12"/>
        <v>0.7</v>
      </c>
      <c r="AF78" s="177">
        <f t="shared" si="13"/>
        <v>0.8056847019388047</v>
      </c>
      <c r="AG78" s="799">
        <f t="shared" si="23"/>
        <v>-2</v>
      </c>
      <c r="AH78" s="176">
        <f t="shared" si="14"/>
        <v>4</v>
      </c>
      <c r="AI78" s="224">
        <f t="shared" si="15"/>
        <v>-1.1943152980611953</v>
      </c>
      <c r="AJ78" s="264" t="b">
        <f t="shared" si="16"/>
        <v>0</v>
      </c>
      <c r="AK78" s="264" t="b">
        <f t="shared" si="17"/>
        <v>1</v>
      </c>
      <c r="AL78" s="264"/>
      <c r="AM78" s="264"/>
      <c r="AN78" s="75"/>
    </row>
    <row r="79" spans="1:40" s="6" customFormat="1" ht="11.25" x14ac:dyDescent="0.2">
      <c r="A79" s="56">
        <f t="shared" si="18"/>
        <v>43530</v>
      </c>
      <c r="B79" s="607"/>
      <c r="C79" s="388"/>
      <c r="D79" s="391"/>
      <c r="E79" s="383"/>
      <c r="F79" s="383"/>
      <c r="G79" s="110"/>
      <c r="I79" s="379">
        <f t="shared" ref="I79:I142" si="24">Wh_hp</f>
        <v>0</v>
      </c>
      <c r="J79" s="85">
        <v>2018</v>
      </c>
      <c r="K79" s="197">
        <f t="shared" ref="K79:K142" si="25">t</f>
        <v>43530</v>
      </c>
      <c r="L79" s="435">
        <f t="shared" ref="L79:L142" si="26">IF(t&lt;T0,0,IF(t&lt;Tvie,1-EXP((T0-t)*PertePVj),1-EXP((T0-t)*PertePVj)+Pspv))</f>
        <v>1.0535172137120519E-3</v>
      </c>
      <c r="M79" s="842"/>
      <c r="N79" s="842"/>
      <c r="O79" s="323">
        <f t="shared" ref="O79:O142" si="27">IF(t&lt;T0,0,IF(t&lt;Tnet,Salim_i*(1-EXP((T0-t)/Tau_ij)),Resal+(Salim-Resal)*(1-EXP((Tnet-t)/(Tau_j)))))*Salcycl</f>
        <v>3.9207178569559938E-3</v>
      </c>
      <c r="P79" s="169">
        <f>(INDEX(Models!$BJ79:$BT79,,T79)*(1-R79)+INDEX(Models!$BJ79:$BT79,,T79+1)*R79-ERP_i)*Q79*Ramure*Pc/MaxiM</f>
        <v>7.0022638059966212E-6</v>
      </c>
      <c r="Q79" s="304">
        <f t="shared" ref="Q79:Q142" si="28">IF(OR(t&lt;Ttai,Notai),Dd+PousD*Croivg,Dens+PousD*(Croivg-Croi_tai))</f>
        <v>0.7</v>
      </c>
      <c r="R79" s="177">
        <f t="shared" ref="R79:R142" si="29">(Hp_vg-S79)/(INDEX(Echel_vg,T79+1)-S79)</f>
        <v>0.80598532322672334</v>
      </c>
      <c r="S79" s="799">
        <f t="shared" si="20"/>
        <v>-2</v>
      </c>
      <c r="T79" s="176">
        <f t="shared" ref="T79:T142" si="30">MIN(MATCH(Hp_vg,Echel_vg),10)</f>
        <v>4</v>
      </c>
      <c r="U79" s="250">
        <f t="shared" ref="U79:U142" si="31">IF(OR(t&lt;Ttai,Notai),Hdd+PousH*Croivg,Hdtf+PousH*(Croivg-Croi_tai))</f>
        <v>-1.1940146767732767</v>
      </c>
      <c r="V79" s="382">
        <f t="shared" ref="V79:V142" si="32">MaxiM*(1-Ppv)*(1-Pvg)*(1-Psa)</f>
        <v>47.224657539265408</v>
      </c>
      <c r="W79" s="58"/>
      <c r="X79" s="157">
        <f t="shared" ref="X79:X142" si="33">t</f>
        <v>43530</v>
      </c>
      <c r="Y79" s="383">
        <f t="shared" ref="Y79:Y142" si="34">Wh_pvt_s*(1-Ppv)</f>
        <v>0</v>
      </c>
      <c r="Z79" s="383">
        <f t="shared" ref="Z79:Z142" si="35">Wh_sa_s*(1-Psa_s)</f>
        <v>0</v>
      </c>
      <c r="AA79" s="384">
        <f t="shared" ref="AA79:AA142" si="36">Wh_hp*(1-Pvg_s*MEDIAN((-Sdif+Wh/Env_an)/Csdif,0,1))</f>
        <v>0</v>
      </c>
      <c r="AB79" s="197">
        <f t="shared" ref="AB79:AB142" si="37">t</f>
        <v>43530</v>
      </c>
      <c r="AC79" s="424">
        <f t="shared" ref="AC79:AC142" si="38">IF(t&lt;T0,0,IF(OR(t&lt;Tnet,NoTnet),Salim_i*(1-EXP((T0-t)/Tau_ij)),Resal_s+(Salim-Resal_s)*(1-EXP((Tnet_s-t)/Tau_j))))*Salcycl</f>
        <v>3.9207178569559938E-3</v>
      </c>
      <c r="AD79" s="169">
        <f>(INDEX(Models!$BJ79:$BT79,,AH79)*(1-AF79)+INDEX(Models!$BJ79:$BT79,,AH79+1)*AF79-ERP_i)*AE79*Ramure*Pc/MaxiM</f>
        <v>7.0022638059966212E-6</v>
      </c>
      <c r="AE79" s="304">
        <f t="shared" ref="AE79:AE142" si="39">Dd+PousD*Croivg</f>
        <v>0.7</v>
      </c>
      <c r="AF79" s="177">
        <f t="shared" ref="AF79:AF142" si="40">(Hp_vg_s-AG79)/(INDEX(Echel_vg,AH79+1)-AG79)</f>
        <v>0.80598532322672334</v>
      </c>
      <c r="AG79" s="799">
        <f t="shared" ref="AG79:AG142" si="41">INDEX(Echel_vg,AH79)</f>
        <v>-2</v>
      </c>
      <c r="AH79" s="176">
        <f t="shared" ref="AH79:AH142" si="42">MIN(MATCH(Hp_vg_s,Echel_vg),10)</f>
        <v>4</v>
      </c>
      <c r="AI79" s="224">
        <f t="shared" ref="AI79:AI142" si="43">Hdd+PousH*Croivg</f>
        <v>-1.1940146767732767</v>
      </c>
      <c r="AJ79" s="264" t="b">
        <f t="shared" ref="AJ79:AJ142" si="44">t&lt;Tnet</f>
        <v>0</v>
      </c>
      <c r="AK79" s="264" t="b">
        <f t="shared" ref="AK79:AK142" si="45">t&lt;Ttai</f>
        <v>1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43531</v>
      </c>
      <c r="B80" s="607"/>
      <c r="C80" s="388"/>
      <c r="D80" s="391"/>
      <c r="E80" s="383"/>
      <c r="F80" s="383"/>
      <c r="G80" s="110"/>
      <c r="I80" s="379">
        <f t="shared" si="24"/>
        <v>0</v>
      </c>
      <c r="J80" s="85">
        <v>2018</v>
      </c>
      <c r="K80" s="197">
        <f t="shared" si="25"/>
        <v>43531</v>
      </c>
      <c r="L80" s="435">
        <f t="shared" si="26"/>
        <v>1.0726617951584139E-3</v>
      </c>
      <c r="M80" s="842"/>
      <c r="N80" s="842"/>
      <c r="O80" s="323">
        <f t="shared" si="27"/>
        <v>3.990254932208709E-3</v>
      </c>
      <c r="P80" s="169">
        <f>(INDEX(Models!$BJ80:$BT80,,T80)*(1-R80)+INDEX(Models!$BJ80:$BT80,,T80+1)*R80-ERP_i)*Q80*Ramure*Pc/MaxiM</f>
        <v>7.4789813314802084E-6</v>
      </c>
      <c r="Q80" s="304">
        <f t="shared" si="28"/>
        <v>0.7</v>
      </c>
      <c r="R80" s="177">
        <f t="shared" si="29"/>
        <v>0.8062980677902718</v>
      </c>
      <c r="S80" s="799">
        <f t="shared" ref="S80:S143" si="47">INDEX(Echel_vg,T80)</f>
        <v>-2</v>
      </c>
      <c r="T80" s="176">
        <f t="shared" si="30"/>
        <v>4</v>
      </c>
      <c r="U80" s="250">
        <f t="shared" si="31"/>
        <v>-1.1937019322097282</v>
      </c>
      <c r="V80" s="382">
        <f t="shared" si="32"/>
        <v>47.565435472319521</v>
      </c>
      <c r="W80" s="58"/>
      <c r="X80" s="157">
        <f t="shared" si="33"/>
        <v>43531</v>
      </c>
      <c r="Y80" s="383">
        <f t="shared" si="34"/>
        <v>0</v>
      </c>
      <c r="Z80" s="383">
        <f t="shared" si="35"/>
        <v>0</v>
      </c>
      <c r="AA80" s="384">
        <f t="shared" si="36"/>
        <v>0</v>
      </c>
      <c r="AB80" s="197">
        <f t="shared" si="37"/>
        <v>43531</v>
      </c>
      <c r="AC80" s="424">
        <f t="shared" si="38"/>
        <v>3.990254932208709E-3</v>
      </c>
      <c r="AD80" s="169">
        <f>(INDEX(Models!$BJ80:$BT80,,AH80)*(1-AF80)+INDEX(Models!$BJ80:$BT80,,AH80+1)*AF80-ERP_i)*AE80*Ramure*Pc/MaxiM</f>
        <v>7.4789813314802084E-6</v>
      </c>
      <c r="AE80" s="304">
        <f t="shared" si="39"/>
        <v>0.7</v>
      </c>
      <c r="AF80" s="177">
        <f t="shared" si="40"/>
        <v>0.8062980677902718</v>
      </c>
      <c r="AG80" s="799">
        <f t="shared" si="41"/>
        <v>-2</v>
      </c>
      <c r="AH80" s="176">
        <f t="shared" si="42"/>
        <v>4</v>
      </c>
      <c r="AI80" s="224">
        <f t="shared" si="43"/>
        <v>-1.1937019322097282</v>
      </c>
      <c r="AJ80" s="264" t="b">
        <f t="shared" si="44"/>
        <v>0</v>
      </c>
      <c r="AK80" s="264" t="b">
        <f t="shared" si="45"/>
        <v>1</v>
      </c>
      <c r="AL80" s="264"/>
      <c r="AM80" s="264"/>
      <c r="AN80" s="75"/>
    </row>
    <row r="81" spans="1:40" s="6" customFormat="1" ht="11.25" x14ac:dyDescent="0.2">
      <c r="A81" s="56">
        <f t="shared" si="46"/>
        <v>43532</v>
      </c>
      <c r="B81" s="607"/>
      <c r="C81" s="388"/>
      <c r="D81" s="391"/>
      <c r="E81" s="383"/>
      <c r="F81" s="383"/>
      <c r="G81" s="110"/>
      <c r="I81" s="379">
        <f t="shared" si="24"/>
        <v>0</v>
      </c>
      <c r="J81" s="85">
        <v>2018</v>
      </c>
      <c r="K81" s="197">
        <f t="shared" si="25"/>
        <v>43532</v>
      </c>
      <c r="L81" s="435">
        <f t="shared" si="26"/>
        <v>1.0918060097031557E-3</v>
      </c>
      <c r="M81" s="842"/>
      <c r="N81" s="842"/>
      <c r="O81" s="323">
        <f t="shared" si="27"/>
        <v>4.0597344269683502E-3</v>
      </c>
      <c r="P81" s="169">
        <f>(INDEX(Models!$BJ81:$BT81,,T81)*(1-R81)+INDEX(Models!$BJ81:$BT81,,T81+1)*R81-ERP_i)*Q81*Ramure*Pc/MaxiM</f>
        <v>8.0136164343517439E-6</v>
      </c>
      <c r="Q81" s="304">
        <f t="shared" si="28"/>
        <v>0.7</v>
      </c>
      <c r="R81" s="177">
        <f t="shared" si="29"/>
        <v>0.80662340365283969</v>
      </c>
      <c r="S81" s="799">
        <f t="shared" si="47"/>
        <v>-2</v>
      </c>
      <c r="T81" s="176">
        <f t="shared" si="30"/>
        <v>4</v>
      </c>
      <c r="U81" s="250">
        <f t="shared" si="31"/>
        <v>-1.1933765963471603</v>
      </c>
      <c r="V81" s="382">
        <f t="shared" si="32"/>
        <v>47.907088804639599</v>
      </c>
      <c r="W81" s="58"/>
      <c r="X81" s="157">
        <f t="shared" si="33"/>
        <v>43532</v>
      </c>
      <c r="Y81" s="383">
        <f t="shared" si="34"/>
        <v>0</v>
      </c>
      <c r="Z81" s="383">
        <f t="shared" si="35"/>
        <v>0</v>
      </c>
      <c r="AA81" s="384">
        <f t="shared" si="36"/>
        <v>0</v>
      </c>
      <c r="AB81" s="197">
        <f t="shared" si="37"/>
        <v>43532</v>
      </c>
      <c r="AC81" s="424">
        <f t="shared" si="38"/>
        <v>4.0597344269683502E-3</v>
      </c>
      <c r="AD81" s="169">
        <f>(INDEX(Models!$BJ81:$BT81,,AH81)*(1-AF81)+INDEX(Models!$BJ81:$BT81,,AH81+1)*AF81-ERP_i)*AE81*Ramure*Pc/MaxiM</f>
        <v>8.0136164343517439E-6</v>
      </c>
      <c r="AE81" s="304">
        <f t="shared" si="39"/>
        <v>0.7</v>
      </c>
      <c r="AF81" s="177">
        <f t="shared" si="40"/>
        <v>0.80662340365283969</v>
      </c>
      <c r="AG81" s="799">
        <f t="shared" si="41"/>
        <v>-2</v>
      </c>
      <c r="AH81" s="176">
        <f t="shared" si="42"/>
        <v>4</v>
      </c>
      <c r="AI81" s="224">
        <f t="shared" si="43"/>
        <v>-1.1933765963471603</v>
      </c>
      <c r="AJ81" s="264" t="b">
        <f t="shared" si="44"/>
        <v>0</v>
      </c>
      <c r="AK81" s="264" t="b">
        <f t="shared" si="45"/>
        <v>1</v>
      </c>
      <c r="AL81" s="264"/>
      <c r="AM81" s="264"/>
      <c r="AN81" s="75"/>
    </row>
    <row r="82" spans="1:40" s="6" customFormat="1" ht="11.25" x14ac:dyDescent="0.2">
      <c r="A82" s="56">
        <f t="shared" si="46"/>
        <v>43533</v>
      </c>
      <c r="B82" s="607"/>
      <c r="C82" s="388"/>
      <c r="D82" s="391"/>
      <c r="E82" s="383"/>
      <c r="F82" s="383"/>
      <c r="G82" s="110"/>
      <c r="I82" s="379">
        <f t="shared" si="24"/>
        <v>0</v>
      </c>
      <c r="J82" s="85">
        <v>2018</v>
      </c>
      <c r="K82" s="197">
        <f t="shared" si="25"/>
        <v>43533</v>
      </c>
      <c r="L82" s="435">
        <f t="shared" si="26"/>
        <v>1.1109498573533827E-3</v>
      </c>
      <c r="M82" s="842"/>
      <c r="N82" s="842"/>
      <c r="O82" s="323">
        <f t="shared" si="27"/>
        <v>4.1291575488086856E-3</v>
      </c>
      <c r="P82" s="169">
        <f>(INDEX(Models!$BJ82:$BT82,,T82)*(1-R82)+INDEX(Models!$BJ82:$BT82,,T82+1)*R82-ERP_i)*Q82*Ramure*Pc/MaxiM</f>
        <v>8.6110061225250514E-6</v>
      </c>
      <c r="Q82" s="304">
        <f t="shared" si="28"/>
        <v>0.7</v>
      </c>
      <c r="R82" s="177">
        <f t="shared" si="29"/>
        <v>0.80696181515810927</v>
      </c>
      <c r="S82" s="799">
        <f t="shared" si="47"/>
        <v>-2</v>
      </c>
      <c r="T82" s="176">
        <f t="shared" si="30"/>
        <v>4</v>
      </c>
      <c r="U82" s="250">
        <f t="shared" si="31"/>
        <v>-1.1930381848418907</v>
      </c>
      <c r="V82" s="382">
        <f t="shared" si="32"/>
        <v>48.249076478884739</v>
      </c>
      <c r="W82" s="58"/>
      <c r="X82" s="157">
        <f t="shared" si="33"/>
        <v>43533</v>
      </c>
      <c r="Y82" s="383">
        <f t="shared" si="34"/>
        <v>0</v>
      </c>
      <c r="Z82" s="383">
        <f t="shared" si="35"/>
        <v>0</v>
      </c>
      <c r="AA82" s="384">
        <f t="shared" si="36"/>
        <v>0</v>
      </c>
      <c r="AB82" s="197">
        <f t="shared" si="37"/>
        <v>43533</v>
      </c>
      <c r="AC82" s="424">
        <f t="shared" si="38"/>
        <v>4.1291575488086856E-3</v>
      </c>
      <c r="AD82" s="169">
        <f>(INDEX(Models!$BJ82:$BT82,,AH82)*(1-AF82)+INDEX(Models!$BJ82:$BT82,,AH82+1)*AF82-ERP_i)*AE82*Ramure*Pc/MaxiM</f>
        <v>8.6110061225250514E-6</v>
      </c>
      <c r="AE82" s="304">
        <f t="shared" si="39"/>
        <v>0.7</v>
      </c>
      <c r="AF82" s="177">
        <f t="shared" si="40"/>
        <v>0.80696181515810927</v>
      </c>
      <c r="AG82" s="799">
        <f t="shared" si="41"/>
        <v>-2</v>
      </c>
      <c r="AH82" s="176">
        <f t="shared" si="42"/>
        <v>4</v>
      </c>
      <c r="AI82" s="224">
        <f t="shared" si="43"/>
        <v>-1.1930381848418907</v>
      </c>
      <c r="AJ82" s="264" t="b">
        <f t="shared" si="44"/>
        <v>0</v>
      </c>
      <c r="AK82" s="264" t="b">
        <f t="shared" si="45"/>
        <v>1</v>
      </c>
      <c r="AL82" s="264"/>
      <c r="AM82" s="264"/>
      <c r="AN82" s="75"/>
    </row>
    <row r="83" spans="1:40" s="6" customFormat="1" ht="11.25" customHeight="1" x14ac:dyDescent="0.2">
      <c r="A83" s="56">
        <f t="shared" si="46"/>
        <v>43534</v>
      </c>
      <c r="B83" s="607"/>
      <c r="C83" s="388"/>
      <c r="D83" s="391"/>
      <c r="E83" s="383"/>
      <c r="F83" s="383"/>
      <c r="G83" s="110"/>
      <c r="I83" s="379">
        <f t="shared" si="24"/>
        <v>0</v>
      </c>
      <c r="J83" s="85">
        <v>2018</v>
      </c>
      <c r="K83" s="197">
        <f t="shared" si="25"/>
        <v>43534</v>
      </c>
      <c r="L83" s="435">
        <f t="shared" si="26"/>
        <v>1.1300933381162004E-3</v>
      </c>
      <c r="M83" s="842"/>
      <c r="N83" s="842"/>
      <c r="O83" s="323">
        <f t="shared" si="27"/>
        <v>4.1985256423582099E-3</v>
      </c>
      <c r="P83" s="169">
        <f>(INDEX(Models!$BJ83:$BT83,,T83)*(1-R83)+INDEX(Models!$BJ83:$BT83,,T83+1)*R83-ERP_i)*Q83*Ramure*Pc/MaxiM</f>
        <v>9.2763008165724122E-6</v>
      </c>
      <c r="Q83" s="304">
        <f t="shared" si="28"/>
        <v>0.7</v>
      </c>
      <c r="R83" s="177">
        <f t="shared" si="29"/>
        <v>0.80731380339117864</v>
      </c>
      <c r="S83" s="799">
        <f t="shared" si="47"/>
        <v>-2</v>
      </c>
      <c r="T83" s="176">
        <f t="shared" si="30"/>
        <v>4</v>
      </c>
      <c r="U83" s="250">
        <f t="shared" si="31"/>
        <v>-1.1926861966088214</v>
      </c>
      <c r="V83" s="382">
        <f t="shared" si="32"/>
        <v>48.590857600761808</v>
      </c>
      <c r="W83" s="58"/>
      <c r="X83" s="157">
        <f t="shared" si="33"/>
        <v>43534</v>
      </c>
      <c r="Y83" s="383">
        <f t="shared" si="34"/>
        <v>0</v>
      </c>
      <c r="Z83" s="383">
        <f t="shared" si="35"/>
        <v>0</v>
      </c>
      <c r="AA83" s="384">
        <f t="shared" si="36"/>
        <v>0</v>
      </c>
      <c r="AB83" s="197">
        <f t="shared" si="37"/>
        <v>43534</v>
      </c>
      <c r="AC83" s="424">
        <f t="shared" si="38"/>
        <v>4.1985256423582099E-3</v>
      </c>
      <c r="AD83" s="169">
        <f>(INDEX(Models!$BJ83:$BT83,,AH83)*(1-AF83)+INDEX(Models!$BJ83:$BT83,,AH83+1)*AF83-ERP_i)*AE83*Ramure*Pc/MaxiM</f>
        <v>9.2763008165724122E-6</v>
      </c>
      <c r="AE83" s="304">
        <f t="shared" si="39"/>
        <v>0.7</v>
      </c>
      <c r="AF83" s="177">
        <f t="shared" si="40"/>
        <v>0.80731380339117864</v>
      </c>
      <c r="AG83" s="799">
        <f t="shared" si="41"/>
        <v>-2</v>
      </c>
      <c r="AH83" s="176">
        <f t="shared" si="42"/>
        <v>4</v>
      </c>
      <c r="AI83" s="224">
        <f t="shared" si="43"/>
        <v>-1.1926861966088214</v>
      </c>
      <c r="AJ83" s="264" t="b">
        <f t="shared" si="44"/>
        <v>0</v>
      </c>
      <c r="AK83" s="264" t="b">
        <f t="shared" si="45"/>
        <v>1</v>
      </c>
      <c r="AL83" s="264"/>
      <c r="AM83" s="264"/>
      <c r="AN83" s="75"/>
    </row>
    <row r="84" spans="1:40" s="6" customFormat="1" ht="11.25" customHeight="1" x14ac:dyDescent="0.2">
      <c r="A84" s="56">
        <f t="shared" si="46"/>
        <v>43535</v>
      </c>
      <c r="B84" s="607">
        <v>1.1759999999999999</v>
      </c>
      <c r="C84" s="388"/>
      <c r="D84" s="391">
        <f t="shared" ref="D84:D143" si="48">Wh/(1-Ppv)</f>
        <v>1.1773530570500337</v>
      </c>
      <c r="E84" s="383">
        <f t="shared" ref="E84:E143" si="49">Wh_pvt/(1-Psa)</f>
        <v>1.1823993485124236</v>
      </c>
      <c r="F84" s="383">
        <f t="shared" ref="F84:F143" si="50">Wh_sa/(1-Pvg*MEDIAN((-Sdif+Wh/Env_an)/Csdif,0,1))</f>
        <v>1.1823993485124236</v>
      </c>
      <c r="G84" s="110">
        <f t="shared" ref="G84:G143" si="51">+Wh_hp/MaxiM</f>
        <v>2.4033165034981204E-2</v>
      </c>
      <c r="I84" s="379">
        <f t="shared" si="24"/>
        <v>1.1823993485124236</v>
      </c>
      <c r="J84" s="85">
        <v>2018</v>
      </c>
      <c r="K84" s="197">
        <f t="shared" si="25"/>
        <v>43535</v>
      </c>
      <c r="L84" s="435">
        <f t="shared" si="26"/>
        <v>1.1492364519984921E-3</v>
      </c>
      <c r="M84" s="842"/>
      <c r="N84" s="842"/>
      <c r="O84" s="323">
        <f t="shared" si="27"/>
        <v>4.2678401918426739E-3</v>
      </c>
      <c r="P84" s="169">
        <f>(INDEX(Models!$BJ84:$BT84,,T84)*(1-R84)+INDEX(Models!$BJ84:$BT84,,T84+1)*R84-ERP_i)*Q84*Ramure*Pc/MaxiM</f>
        <v>1.0014986569535438E-5</v>
      </c>
      <c r="Q84" s="304">
        <f t="shared" si="28"/>
        <v>0.7</v>
      </c>
      <c r="R84" s="177">
        <f t="shared" si="29"/>
        <v>0.80767988659731071</v>
      </c>
      <c r="S84" s="799">
        <f t="shared" si="47"/>
        <v>-2</v>
      </c>
      <c r="T84" s="176">
        <f t="shared" si="30"/>
        <v>4</v>
      </c>
      <c r="U84" s="250">
        <f t="shared" si="31"/>
        <v>-1.1923201134026893</v>
      </c>
      <c r="V84" s="382">
        <f t="shared" si="32"/>
        <v>48.931891436858095</v>
      </c>
      <c r="W84" s="58"/>
      <c r="X84" s="157">
        <f t="shared" si="33"/>
        <v>43535</v>
      </c>
      <c r="Y84" s="383">
        <f t="shared" si="34"/>
        <v>1.1759999999999999</v>
      </c>
      <c r="Z84" s="383">
        <f t="shared" si="35"/>
        <v>1.1773530570500337</v>
      </c>
      <c r="AA84" s="384">
        <f t="shared" si="36"/>
        <v>1.1823993485124236</v>
      </c>
      <c r="AB84" s="197">
        <f t="shared" si="37"/>
        <v>43535</v>
      </c>
      <c r="AC84" s="424">
        <f t="shared" si="38"/>
        <v>4.2678401918426739E-3</v>
      </c>
      <c r="AD84" s="169">
        <f>(INDEX(Models!$BJ84:$BT84,,AH84)*(1-AF84)+INDEX(Models!$BJ84:$BT84,,AH84+1)*AF84-ERP_i)*AE84*Ramure*Pc/MaxiM</f>
        <v>1.0014986569535438E-5</v>
      </c>
      <c r="AE84" s="304">
        <f t="shared" si="39"/>
        <v>0.7</v>
      </c>
      <c r="AF84" s="177">
        <f t="shared" si="40"/>
        <v>0.80767988659731071</v>
      </c>
      <c r="AG84" s="799">
        <f t="shared" si="41"/>
        <v>-2</v>
      </c>
      <c r="AH84" s="176">
        <f t="shared" si="42"/>
        <v>4</v>
      </c>
      <c r="AI84" s="224">
        <f t="shared" si="43"/>
        <v>-1.1923201134026893</v>
      </c>
      <c r="AJ84" s="264" t="b">
        <f t="shared" si="44"/>
        <v>0</v>
      </c>
      <c r="AK84" s="264" t="b">
        <f t="shared" si="45"/>
        <v>1</v>
      </c>
      <c r="AL84" s="264"/>
      <c r="AM84" s="264"/>
      <c r="AN84" s="75"/>
    </row>
    <row r="85" spans="1:40" s="6" customFormat="1" ht="11.25" customHeight="1" x14ac:dyDescent="0.2">
      <c r="A85" s="56">
        <f t="shared" si="46"/>
        <v>43536</v>
      </c>
      <c r="B85" s="607">
        <v>46.386000000000003</v>
      </c>
      <c r="C85" s="388"/>
      <c r="D85" s="391">
        <f t="shared" si="48"/>
        <v>46.440259833586062</v>
      </c>
      <c r="E85" s="383">
        <f t="shared" si="49"/>
        <v>46.642553383533055</v>
      </c>
      <c r="F85" s="383">
        <f t="shared" si="50"/>
        <v>46.64301638858592</v>
      </c>
      <c r="G85" s="110">
        <f t="shared" si="51"/>
        <v>0.94143325434161174</v>
      </c>
      <c r="I85" s="379">
        <f t="shared" si="24"/>
        <v>46.64301638858592</v>
      </c>
      <c r="J85" s="85">
        <v>2018</v>
      </c>
      <c r="K85" s="197">
        <f t="shared" si="25"/>
        <v>43536</v>
      </c>
      <c r="L85" s="435">
        <f t="shared" si="26"/>
        <v>1.1683791990073633E-3</v>
      </c>
      <c r="M85" s="842"/>
      <c r="N85" s="842"/>
      <c r="O85" s="323">
        <f t="shared" si="27"/>
        <v>4.3371028229001749E-3</v>
      </c>
      <c r="P85" s="169">
        <f>(INDEX(Models!$BJ85:$BT85,,T85)*(1-R85)+INDEX(Models!$BJ85:$BT85,,T85+1)*R85-ERP_i)*Q85*Ramure*Pc/MaxiM</f>
        <v>1.0832908948421903E-5</v>
      </c>
      <c r="Q85" s="304">
        <f t="shared" si="28"/>
        <v>0.7</v>
      </c>
      <c r="R85" s="177">
        <f t="shared" si="29"/>
        <v>0.80806060059679474</v>
      </c>
      <c r="S85" s="799">
        <f t="shared" si="47"/>
        <v>-2</v>
      </c>
      <c r="T85" s="176">
        <f t="shared" si="30"/>
        <v>4</v>
      </c>
      <c r="U85" s="250">
        <f t="shared" si="31"/>
        <v>-1.1919393994032053</v>
      </c>
      <c r="V85" s="382">
        <f t="shared" si="32"/>
        <v>49.27163741466768</v>
      </c>
      <c r="W85" s="58"/>
      <c r="X85" s="157">
        <f t="shared" si="33"/>
        <v>43536</v>
      </c>
      <c r="Y85" s="383">
        <f t="shared" si="34"/>
        <v>46.386000000000003</v>
      </c>
      <c r="Z85" s="383">
        <f t="shared" si="35"/>
        <v>46.440259833586062</v>
      </c>
      <c r="AA85" s="384">
        <f t="shared" si="36"/>
        <v>46.642553383533055</v>
      </c>
      <c r="AB85" s="197">
        <f t="shared" si="37"/>
        <v>43536</v>
      </c>
      <c r="AC85" s="424">
        <f t="shared" si="38"/>
        <v>4.3371028229001749E-3</v>
      </c>
      <c r="AD85" s="169">
        <f>(INDEX(Models!$BJ85:$BT85,,AH85)*(1-AF85)+INDEX(Models!$BJ85:$BT85,,AH85+1)*AF85-ERP_i)*AE85*Ramure*Pc/MaxiM</f>
        <v>1.0832908948421903E-5</v>
      </c>
      <c r="AE85" s="304">
        <f t="shared" si="39"/>
        <v>0.7</v>
      </c>
      <c r="AF85" s="177">
        <f t="shared" si="40"/>
        <v>0.80806060059679474</v>
      </c>
      <c r="AG85" s="799">
        <f t="shared" si="41"/>
        <v>-2</v>
      </c>
      <c r="AH85" s="176">
        <f t="shared" si="42"/>
        <v>4</v>
      </c>
      <c r="AI85" s="224">
        <f t="shared" si="43"/>
        <v>-1.1919393994032053</v>
      </c>
      <c r="AJ85" s="264" t="b">
        <f t="shared" si="44"/>
        <v>0</v>
      </c>
      <c r="AK85" s="264" t="b">
        <f t="shared" si="45"/>
        <v>1</v>
      </c>
      <c r="AL85" s="264"/>
      <c r="AM85" s="264"/>
      <c r="AN85" s="75"/>
    </row>
    <row r="86" spans="1:40" s="6" customFormat="1" ht="11.25" customHeight="1" x14ac:dyDescent="0.2">
      <c r="A86" s="56">
        <f t="shared" si="46"/>
        <v>43537</v>
      </c>
      <c r="B86" s="607">
        <v>24.465</v>
      </c>
      <c r="C86" s="388"/>
      <c r="D86" s="391">
        <f t="shared" si="48"/>
        <v>24.49408725717948</v>
      </c>
      <c r="E86" s="383">
        <f t="shared" si="49"/>
        <v>24.602493601243065</v>
      </c>
      <c r="F86" s="383">
        <f t="shared" si="50"/>
        <v>24.602573055964974</v>
      </c>
      <c r="G86" s="110">
        <f t="shared" si="51"/>
        <v>0.4931467702876659</v>
      </c>
      <c r="I86" s="379">
        <f t="shared" si="24"/>
        <v>24.602573055964974</v>
      </c>
      <c r="J86" s="85">
        <v>2018</v>
      </c>
      <c r="K86" s="197">
        <f t="shared" si="25"/>
        <v>43537</v>
      </c>
      <c r="L86" s="435">
        <f t="shared" si="26"/>
        <v>1.1875215791499194E-3</v>
      </c>
      <c r="M86" s="842"/>
      <c r="N86" s="842"/>
      <c r="O86" s="323">
        <f t="shared" si="27"/>
        <v>4.4063153036693519E-3</v>
      </c>
      <c r="P86" s="169">
        <f>(INDEX(Models!$BJ86:$BT86,,T86)*(1-R86)+INDEX(Models!$BJ86:$BT86,,T86+1)*R86-ERP_i)*Q86*Ramure*Pc/MaxiM</f>
        <v>1.1704163346605412E-5</v>
      </c>
      <c r="Q86" s="304">
        <f t="shared" si="28"/>
        <v>0.7</v>
      </c>
      <c r="R86" s="177">
        <f t="shared" si="29"/>
        <v>0.80845649919427154</v>
      </c>
      <c r="S86" s="799">
        <f t="shared" si="47"/>
        <v>-2</v>
      </c>
      <c r="T86" s="176">
        <f t="shared" si="30"/>
        <v>4</v>
      </c>
      <c r="U86" s="250">
        <f t="shared" si="31"/>
        <v>-1.1915435008057285</v>
      </c>
      <c r="V86" s="382">
        <f t="shared" si="32"/>
        <v>49.609556710933951</v>
      </c>
      <c r="W86" s="58"/>
      <c r="X86" s="157">
        <f t="shared" si="33"/>
        <v>43537</v>
      </c>
      <c r="Y86" s="383">
        <f t="shared" si="34"/>
        <v>24.465</v>
      </c>
      <c r="Z86" s="383">
        <f t="shared" si="35"/>
        <v>24.49408725717948</v>
      </c>
      <c r="AA86" s="384">
        <f t="shared" si="36"/>
        <v>24.602493601243065</v>
      </c>
      <c r="AB86" s="197">
        <f t="shared" si="37"/>
        <v>43537</v>
      </c>
      <c r="AC86" s="424">
        <f t="shared" si="38"/>
        <v>4.4063153036693519E-3</v>
      </c>
      <c r="AD86" s="169">
        <f>(INDEX(Models!$BJ86:$BT86,,AH86)*(1-AF86)+INDEX(Models!$BJ86:$BT86,,AH86+1)*AF86-ERP_i)*AE86*Ramure*Pc/MaxiM</f>
        <v>1.1704163346605412E-5</v>
      </c>
      <c r="AE86" s="304">
        <f t="shared" si="39"/>
        <v>0.7</v>
      </c>
      <c r="AF86" s="177">
        <f t="shared" si="40"/>
        <v>0.80845649919427154</v>
      </c>
      <c r="AG86" s="799">
        <f t="shared" si="41"/>
        <v>-2</v>
      </c>
      <c r="AH86" s="176">
        <f t="shared" si="42"/>
        <v>4</v>
      </c>
      <c r="AI86" s="224">
        <f t="shared" si="43"/>
        <v>-1.1915435008057285</v>
      </c>
      <c r="AJ86" s="264" t="b">
        <f t="shared" si="44"/>
        <v>0</v>
      </c>
      <c r="AK86" s="264" t="b">
        <f t="shared" si="45"/>
        <v>1</v>
      </c>
      <c r="AL86" s="264"/>
      <c r="AM86" s="264"/>
      <c r="AN86" s="75"/>
    </row>
    <row r="87" spans="1:40" s="6" customFormat="1" ht="11.25" customHeight="1" x14ac:dyDescent="0.2">
      <c r="A87" s="56">
        <f t="shared" si="46"/>
        <v>43538</v>
      </c>
      <c r="B87" s="607">
        <v>22.748000000000001</v>
      </c>
      <c r="C87" s="388"/>
      <c r="D87" s="391">
        <f t="shared" si="48"/>
        <v>22.775482345346234</v>
      </c>
      <c r="E87" s="383">
        <f t="shared" si="49"/>
        <v>22.87787179259071</v>
      </c>
      <c r="F87" s="383">
        <f t="shared" si="50"/>
        <v>22.877935696829528</v>
      </c>
      <c r="G87" s="110">
        <f t="shared" si="51"/>
        <v>0.45545552951604312</v>
      </c>
      <c r="I87" s="379">
        <f t="shared" si="24"/>
        <v>22.877935696829528</v>
      </c>
      <c r="J87" s="85">
        <v>2018</v>
      </c>
      <c r="K87" s="197">
        <f t="shared" si="25"/>
        <v>43538</v>
      </c>
      <c r="L87" s="435">
        <f t="shared" si="26"/>
        <v>1.2066635924331548E-3</v>
      </c>
      <c r="M87" s="842"/>
      <c r="N87" s="842"/>
      <c r="O87" s="323">
        <f t="shared" si="27"/>
        <v>4.475479545157637E-3</v>
      </c>
      <c r="P87" s="169">
        <f>(INDEX(Models!$BJ87:$BT87,,T87)*(1-R87)+INDEX(Models!$BJ87:$BT87,,T87+1)*R87-ERP_i)*Q87*Ramure*Pc/MaxiM</f>
        <v>1.2577439804660384E-5</v>
      </c>
      <c r="Q87" s="304">
        <f t="shared" si="28"/>
        <v>0.7</v>
      </c>
      <c r="R87" s="177">
        <f t="shared" si="29"/>
        <v>0.80886815458070149</v>
      </c>
      <c r="S87" s="799">
        <f t="shared" si="47"/>
        <v>-2</v>
      </c>
      <c r="T87" s="176">
        <f t="shared" si="30"/>
        <v>4</v>
      </c>
      <c r="U87" s="250">
        <f t="shared" si="31"/>
        <v>-1.1911318454192985</v>
      </c>
      <c r="V87" s="382">
        <f t="shared" si="32"/>
        <v>49.945111992036431</v>
      </c>
      <c r="W87" s="58"/>
      <c r="X87" s="157">
        <f t="shared" si="33"/>
        <v>43538</v>
      </c>
      <c r="Y87" s="383">
        <f t="shared" si="34"/>
        <v>22.748000000000001</v>
      </c>
      <c r="Z87" s="383">
        <f t="shared" si="35"/>
        <v>22.775482345346234</v>
      </c>
      <c r="AA87" s="384">
        <f t="shared" si="36"/>
        <v>22.87787179259071</v>
      </c>
      <c r="AB87" s="197">
        <f t="shared" si="37"/>
        <v>43538</v>
      </c>
      <c r="AC87" s="424">
        <f t="shared" si="38"/>
        <v>4.475479545157637E-3</v>
      </c>
      <c r="AD87" s="169">
        <f>(INDEX(Models!$BJ87:$BT87,,AH87)*(1-AF87)+INDEX(Models!$BJ87:$BT87,,AH87+1)*AF87-ERP_i)*AE87*Ramure*Pc/MaxiM</f>
        <v>1.2577439804660384E-5</v>
      </c>
      <c r="AE87" s="304">
        <f t="shared" si="39"/>
        <v>0.7</v>
      </c>
      <c r="AF87" s="177">
        <f t="shared" si="40"/>
        <v>0.80886815458070149</v>
      </c>
      <c r="AG87" s="799">
        <f t="shared" si="41"/>
        <v>-2</v>
      </c>
      <c r="AH87" s="176">
        <f t="shared" si="42"/>
        <v>4</v>
      </c>
      <c r="AI87" s="224">
        <f t="shared" si="43"/>
        <v>-1.1911318454192985</v>
      </c>
      <c r="AJ87" s="264" t="b">
        <f t="shared" si="44"/>
        <v>0</v>
      </c>
      <c r="AK87" s="264" t="b">
        <f t="shared" si="45"/>
        <v>1</v>
      </c>
      <c r="AL87" s="264"/>
      <c r="AM87" s="264"/>
      <c r="AN87" s="75"/>
    </row>
    <row r="88" spans="1:40" s="6" customFormat="1" ht="11.25" x14ac:dyDescent="0.2">
      <c r="A88" s="56">
        <f t="shared" si="46"/>
        <v>43539</v>
      </c>
      <c r="B88" s="607">
        <v>12.878</v>
      </c>
      <c r="C88" s="388"/>
      <c r="D88" s="391">
        <f t="shared" si="48"/>
        <v>12.893805294078373</v>
      </c>
      <c r="E88" s="383">
        <f t="shared" si="49"/>
        <v>12.952669966935405</v>
      </c>
      <c r="F88" s="383">
        <f t="shared" si="50"/>
        <v>12.952669966935405</v>
      </c>
      <c r="G88" s="110">
        <f t="shared" si="51"/>
        <v>0.25613364307806263</v>
      </c>
      <c r="I88" s="379">
        <f t="shared" si="24"/>
        <v>12.952669966935405</v>
      </c>
      <c r="J88" s="85">
        <v>2018</v>
      </c>
      <c r="K88" s="197">
        <f t="shared" si="25"/>
        <v>43539</v>
      </c>
      <c r="L88" s="435">
        <f t="shared" si="26"/>
        <v>1.2258052388639529E-3</v>
      </c>
      <c r="M88" s="842"/>
      <c r="N88" s="842"/>
      <c r="O88" s="323">
        <f t="shared" si="27"/>
        <v>4.5445976009037565E-3</v>
      </c>
      <c r="P88" s="169">
        <f>(INDEX(Models!$BJ88:$BT88,,T88)*(1-R88)+INDEX(Models!$BJ88:$BT88,,T88+1)*R88-ERP_i)*Q88*Ramure*Pc/MaxiM</f>
        <v>1.3450159808923985E-5</v>
      </c>
      <c r="Q88" s="304">
        <f t="shared" si="28"/>
        <v>0.7</v>
      </c>
      <c r="R88" s="177">
        <f t="shared" si="29"/>
        <v>0.80929615772600672</v>
      </c>
      <c r="S88" s="799">
        <f t="shared" si="47"/>
        <v>-2</v>
      </c>
      <c r="T88" s="176">
        <f t="shared" si="30"/>
        <v>4</v>
      </c>
      <c r="U88" s="250">
        <f t="shared" si="31"/>
        <v>-1.1907038422739933</v>
      </c>
      <c r="V88" s="382">
        <f t="shared" si="32"/>
        <v>50.277763725545285</v>
      </c>
      <c r="W88" s="58"/>
      <c r="X88" s="157">
        <f t="shared" si="33"/>
        <v>43539</v>
      </c>
      <c r="Y88" s="383">
        <f t="shared" si="34"/>
        <v>12.878</v>
      </c>
      <c r="Z88" s="383">
        <f t="shared" si="35"/>
        <v>12.893805294078373</v>
      </c>
      <c r="AA88" s="384">
        <f t="shared" si="36"/>
        <v>12.952669966935405</v>
      </c>
      <c r="AB88" s="197">
        <f t="shared" si="37"/>
        <v>43539</v>
      </c>
      <c r="AC88" s="424">
        <f t="shared" si="38"/>
        <v>4.5445976009037565E-3</v>
      </c>
      <c r="AD88" s="169">
        <f>(INDEX(Models!$BJ88:$BT88,,AH88)*(1-AF88)+INDEX(Models!$BJ88:$BT88,,AH88+1)*AF88-ERP_i)*AE88*Ramure*Pc/MaxiM</f>
        <v>1.3450159808923985E-5</v>
      </c>
      <c r="AE88" s="304">
        <f t="shared" si="39"/>
        <v>0.7</v>
      </c>
      <c r="AF88" s="177">
        <f t="shared" si="40"/>
        <v>0.80929615772600672</v>
      </c>
      <c r="AG88" s="799">
        <f t="shared" si="41"/>
        <v>-2</v>
      </c>
      <c r="AH88" s="176">
        <f t="shared" si="42"/>
        <v>4</v>
      </c>
      <c r="AI88" s="224">
        <f t="shared" si="43"/>
        <v>-1.1907038422739933</v>
      </c>
      <c r="AJ88" s="264" t="b">
        <f t="shared" si="44"/>
        <v>0</v>
      </c>
      <c r="AK88" s="264" t="b">
        <f t="shared" si="45"/>
        <v>1</v>
      </c>
      <c r="AL88" s="264"/>
      <c r="AM88" s="264"/>
      <c r="AN88" s="75"/>
    </row>
    <row r="89" spans="1:40" s="6" customFormat="1" ht="11.25" customHeight="1" x14ac:dyDescent="0.2">
      <c r="A89" s="56">
        <f t="shared" si="46"/>
        <v>43540</v>
      </c>
      <c r="B89" s="607">
        <v>48.606999999999999</v>
      </c>
      <c r="C89" s="388"/>
      <c r="D89" s="391">
        <f t="shared" si="48"/>
        <v>48.667588544920335</v>
      </c>
      <c r="E89" s="383">
        <f t="shared" si="49"/>
        <v>48.89316555751185</v>
      </c>
      <c r="F89" s="383">
        <f t="shared" si="50"/>
        <v>48.893826166618531</v>
      </c>
      <c r="G89" s="110">
        <f t="shared" si="51"/>
        <v>0.96047951950655353</v>
      </c>
      <c r="I89" s="379">
        <f t="shared" si="24"/>
        <v>48.893826166618531</v>
      </c>
      <c r="J89" s="85">
        <v>2018</v>
      </c>
      <c r="K89" s="197">
        <f t="shared" si="25"/>
        <v>43540</v>
      </c>
      <c r="L89" s="435">
        <f t="shared" si="26"/>
        <v>1.2449465184496411E-3</v>
      </c>
      <c r="M89" s="842"/>
      <c r="N89" s="842"/>
      <c r="O89" s="323">
        <f t="shared" si="27"/>
        <v>4.6136716659545031E-3</v>
      </c>
      <c r="P89" s="169">
        <f>(INDEX(Models!$BJ89:$BT89,,T89)*(1-R89)+INDEX(Models!$BJ89:$BT89,,T89+1)*R89-ERP_i)*Q89*Ramure*Pc/MaxiM</f>
        <v>1.431952810681433E-5</v>
      </c>
      <c r="Q89" s="304">
        <f t="shared" si="28"/>
        <v>0.7</v>
      </c>
      <c r="R89" s="177">
        <f t="shared" si="29"/>
        <v>0.80974111876022437</v>
      </c>
      <c r="S89" s="799">
        <f t="shared" si="47"/>
        <v>-2</v>
      </c>
      <c r="T89" s="176">
        <f t="shared" si="30"/>
        <v>4</v>
      </c>
      <c r="U89" s="250">
        <f t="shared" si="31"/>
        <v>-1.1902588812397756</v>
      </c>
      <c r="V89" s="382">
        <f t="shared" si="32"/>
        <v>50.606972576478725</v>
      </c>
      <c r="W89" s="58"/>
      <c r="X89" s="157">
        <f t="shared" si="33"/>
        <v>43540</v>
      </c>
      <c r="Y89" s="383">
        <f t="shared" si="34"/>
        <v>48.606999999999999</v>
      </c>
      <c r="Z89" s="383">
        <f t="shared" si="35"/>
        <v>48.667588544920335</v>
      </c>
      <c r="AA89" s="384">
        <f t="shared" si="36"/>
        <v>48.89316555751185</v>
      </c>
      <c r="AB89" s="197">
        <f t="shared" si="37"/>
        <v>43540</v>
      </c>
      <c r="AC89" s="424">
        <f t="shared" si="38"/>
        <v>4.6136716659545031E-3</v>
      </c>
      <c r="AD89" s="169">
        <f>(INDEX(Models!$BJ89:$BT89,,AH89)*(1-AF89)+INDEX(Models!$BJ89:$BT89,,AH89+1)*AF89-ERP_i)*AE89*Ramure*Pc/MaxiM</f>
        <v>1.431952810681433E-5</v>
      </c>
      <c r="AE89" s="304">
        <f t="shared" si="39"/>
        <v>0.7</v>
      </c>
      <c r="AF89" s="177">
        <f t="shared" si="40"/>
        <v>0.80974111876022437</v>
      </c>
      <c r="AG89" s="799">
        <f t="shared" si="41"/>
        <v>-2</v>
      </c>
      <c r="AH89" s="176">
        <f t="shared" si="42"/>
        <v>4</v>
      </c>
      <c r="AI89" s="224">
        <f t="shared" si="43"/>
        <v>-1.1902588812397756</v>
      </c>
      <c r="AJ89" s="264" t="b">
        <f t="shared" si="44"/>
        <v>0</v>
      </c>
      <c r="AK89" s="264" t="b">
        <f t="shared" si="45"/>
        <v>1</v>
      </c>
      <c r="AL89" s="264"/>
      <c r="AM89" s="264"/>
      <c r="AN89" s="75"/>
    </row>
    <row r="90" spans="1:40" s="6" customFormat="1" ht="11.25" customHeight="1" x14ac:dyDescent="0.2">
      <c r="A90" s="56">
        <f t="shared" si="46"/>
        <v>43541</v>
      </c>
      <c r="B90" s="607">
        <v>17.158000000000001</v>
      </c>
      <c r="C90" s="388"/>
      <c r="D90" s="391">
        <f t="shared" si="48"/>
        <v>17.179716663906369</v>
      </c>
      <c r="E90" s="383">
        <f t="shared" si="49"/>
        <v>17.260542677441872</v>
      </c>
      <c r="F90" s="383">
        <f t="shared" si="50"/>
        <v>17.260556483899389</v>
      </c>
      <c r="G90" s="110">
        <f t="shared" si="51"/>
        <v>0.33687438246073365</v>
      </c>
      <c r="I90" s="379">
        <f t="shared" si="24"/>
        <v>17.260556483899389</v>
      </c>
      <c r="J90" s="85">
        <v>2018</v>
      </c>
      <c r="K90" s="197">
        <f t="shared" si="25"/>
        <v>43541</v>
      </c>
      <c r="L90" s="435">
        <f t="shared" si="26"/>
        <v>1.2640874311968808E-3</v>
      </c>
      <c r="M90" s="842"/>
      <c r="N90" s="842"/>
      <c r="O90" s="323">
        <f t="shared" si="27"/>
        <v>4.6827040751815331E-3</v>
      </c>
      <c r="P90" s="169">
        <f>(INDEX(Models!$BJ90:$BT90,,T90)*(1-R90)+INDEX(Models!$BJ90:$BT90,,T90+1)*R90-ERP_i)*Q90*Ramure*Pc/MaxiM</f>
        <v>1.5182513993826449E-5</v>
      </c>
      <c r="Q90" s="304">
        <f t="shared" si="28"/>
        <v>0.7</v>
      </c>
      <c r="R90" s="177">
        <f t="shared" si="29"/>
        <v>0.81020366734083571</v>
      </c>
      <c r="S90" s="799">
        <f t="shared" si="47"/>
        <v>-2</v>
      </c>
      <c r="T90" s="176">
        <f t="shared" si="30"/>
        <v>4</v>
      </c>
      <c r="U90" s="250">
        <f t="shared" si="31"/>
        <v>-1.1897963326591643</v>
      </c>
      <c r="V90" s="382">
        <f t="shared" si="32"/>
        <v>50.932199407153099</v>
      </c>
      <c r="W90" s="58"/>
      <c r="X90" s="157">
        <f t="shared" si="33"/>
        <v>43541</v>
      </c>
      <c r="Y90" s="383">
        <f t="shared" si="34"/>
        <v>17.158000000000001</v>
      </c>
      <c r="Z90" s="383">
        <f t="shared" si="35"/>
        <v>17.179716663906369</v>
      </c>
      <c r="AA90" s="384">
        <f t="shared" si="36"/>
        <v>17.260542677441872</v>
      </c>
      <c r="AB90" s="197">
        <f t="shared" si="37"/>
        <v>43541</v>
      </c>
      <c r="AC90" s="424">
        <f t="shared" si="38"/>
        <v>4.6827040751815331E-3</v>
      </c>
      <c r="AD90" s="169">
        <f>(INDEX(Models!$BJ90:$BT90,,AH90)*(1-AF90)+INDEX(Models!$BJ90:$BT90,,AH90+1)*AF90-ERP_i)*AE90*Ramure*Pc/MaxiM</f>
        <v>1.5182513993826449E-5</v>
      </c>
      <c r="AE90" s="304">
        <f t="shared" si="39"/>
        <v>0.7</v>
      </c>
      <c r="AF90" s="177">
        <f t="shared" si="40"/>
        <v>0.81020366734083571</v>
      </c>
      <c r="AG90" s="799">
        <f t="shared" si="41"/>
        <v>-2</v>
      </c>
      <c r="AH90" s="176">
        <f t="shared" si="42"/>
        <v>4</v>
      </c>
      <c r="AI90" s="224">
        <f t="shared" si="43"/>
        <v>-1.1897963326591643</v>
      </c>
      <c r="AJ90" s="264" t="b">
        <f t="shared" si="44"/>
        <v>0</v>
      </c>
      <c r="AK90" s="264" t="b">
        <f t="shared" si="45"/>
        <v>1</v>
      </c>
      <c r="AL90" s="264"/>
      <c r="AM90" s="264"/>
      <c r="AN90" s="75"/>
    </row>
    <row r="91" spans="1:40" s="6" customFormat="1" ht="11.25" customHeight="1" x14ac:dyDescent="0.2">
      <c r="A91" s="56">
        <f t="shared" si="46"/>
        <v>43542</v>
      </c>
      <c r="B91" s="607">
        <v>34.106000000000002</v>
      </c>
      <c r="C91" s="388"/>
      <c r="D91" s="391">
        <f t="shared" si="48"/>
        <v>34.14982200701283</v>
      </c>
      <c r="E91" s="383">
        <f t="shared" si="49"/>
        <v>34.312866361491231</v>
      </c>
      <c r="F91" s="383">
        <f t="shared" si="50"/>
        <v>34.313153622269041</v>
      </c>
      <c r="G91" s="110">
        <f t="shared" si="51"/>
        <v>0.66544010374883678</v>
      </c>
      <c r="I91" s="379">
        <f t="shared" si="24"/>
        <v>34.313153622269041</v>
      </c>
      <c r="J91" s="85">
        <v>2018</v>
      </c>
      <c r="K91" s="197">
        <f t="shared" si="25"/>
        <v>43542</v>
      </c>
      <c r="L91" s="435">
        <f t="shared" si="26"/>
        <v>1.2832279771129995E-3</v>
      </c>
      <c r="M91" s="842"/>
      <c r="N91" s="842"/>
      <c r="O91" s="323">
        <f t="shared" si="27"/>
        <v>4.751697300968887E-3</v>
      </c>
      <c r="P91" s="169">
        <f>(INDEX(Models!$BJ91:$BT91,,T91)*(1-R91)+INDEX(Models!$BJ91:$BT91,,T91+1)*R91-ERP_i)*Q91*Ramure*Pc/MaxiM</f>
        <v>1.6035831012512213E-5</v>
      </c>
      <c r="Q91" s="304">
        <f t="shared" si="28"/>
        <v>0.7</v>
      </c>
      <c r="R91" s="177">
        <f t="shared" si="29"/>
        <v>0.81068445300373604</v>
      </c>
      <c r="S91" s="799">
        <f t="shared" si="47"/>
        <v>-2</v>
      </c>
      <c r="T91" s="176">
        <f t="shared" si="30"/>
        <v>4</v>
      </c>
      <c r="U91" s="250">
        <f t="shared" si="31"/>
        <v>-1.189315546996264</v>
      </c>
      <c r="V91" s="382">
        <f t="shared" si="32"/>
        <v>51.252905279020716</v>
      </c>
      <c r="W91" s="58"/>
      <c r="X91" s="157">
        <f t="shared" si="33"/>
        <v>43542</v>
      </c>
      <c r="Y91" s="383">
        <f t="shared" si="34"/>
        <v>34.106000000000002</v>
      </c>
      <c r="Z91" s="383">
        <f t="shared" si="35"/>
        <v>34.14982200701283</v>
      </c>
      <c r="AA91" s="384">
        <f t="shared" si="36"/>
        <v>34.312866361491231</v>
      </c>
      <c r="AB91" s="197">
        <f t="shared" si="37"/>
        <v>43542</v>
      </c>
      <c r="AC91" s="424">
        <f t="shared" si="38"/>
        <v>4.751697300968887E-3</v>
      </c>
      <c r="AD91" s="169">
        <f>(INDEX(Models!$BJ91:$BT91,,AH91)*(1-AF91)+INDEX(Models!$BJ91:$BT91,,AH91+1)*AF91-ERP_i)*AE91*Ramure*Pc/MaxiM</f>
        <v>1.6035831012512213E-5</v>
      </c>
      <c r="AE91" s="304">
        <f t="shared" si="39"/>
        <v>0.7</v>
      </c>
      <c r="AF91" s="177">
        <f t="shared" si="40"/>
        <v>0.81068445300373604</v>
      </c>
      <c r="AG91" s="799">
        <f t="shared" si="41"/>
        <v>-2</v>
      </c>
      <c r="AH91" s="176">
        <f t="shared" si="42"/>
        <v>4</v>
      </c>
      <c r="AI91" s="224">
        <f t="shared" si="43"/>
        <v>-1.189315546996264</v>
      </c>
      <c r="AJ91" s="264" t="b">
        <f t="shared" si="44"/>
        <v>0</v>
      </c>
      <c r="AK91" s="264" t="b">
        <f t="shared" si="45"/>
        <v>1</v>
      </c>
      <c r="AL91" s="264"/>
      <c r="AM91" s="264"/>
      <c r="AN91" s="75"/>
    </row>
    <row r="92" spans="1:40" s="6" customFormat="1" ht="11.25" customHeight="1" x14ac:dyDescent="0.2">
      <c r="A92" s="56">
        <f t="shared" si="46"/>
        <v>43543</v>
      </c>
      <c r="B92" s="607">
        <v>14.227</v>
      </c>
      <c r="C92" s="388"/>
      <c r="D92" s="391">
        <f t="shared" si="48"/>
        <v>14.245552954535517</v>
      </c>
      <c r="E92" s="383">
        <f t="shared" si="49"/>
        <v>14.314558487454956</v>
      </c>
      <c r="F92" s="383">
        <f t="shared" si="50"/>
        <v>14.314558487454956</v>
      </c>
      <c r="G92" s="110">
        <f t="shared" si="51"/>
        <v>0.27588054162778297</v>
      </c>
      <c r="I92" s="379">
        <f t="shared" si="24"/>
        <v>14.314558487454956</v>
      </c>
      <c r="J92" s="85">
        <v>2018</v>
      </c>
      <c r="K92" s="197">
        <f t="shared" si="25"/>
        <v>43543</v>
      </c>
      <c r="L92" s="435">
        <f t="shared" si="26"/>
        <v>1.3023681562048806E-3</v>
      </c>
      <c r="M92" s="842"/>
      <c r="N92" s="842"/>
      <c r="O92" s="323">
        <f t="shared" si="27"/>
        <v>4.8206539503062099E-3</v>
      </c>
      <c r="P92" s="169">
        <f>(INDEX(Models!$BJ92:$BT92,,T92)*(1-R92)+INDEX(Models!$BJ92:$BT92,,T92+1)*R92-ERP_i)*Q92*Ramure*Pc/MaxiM</f>
        <v>1.6875914943037654E-5</v>
      </c>
      <c r="Q92" s="304">
        <f t="shared" si="28"/>
        <v>0.7</v>
      </c>
      <c r="R92" s="177">
        <f t="shared" si="29"/>
        <v>0.81118414549510143</v>
      </c>
      <c r="S92" s="799">
        <f t="shared" si="47"/>
        <v>-2</v>
      </c>
      <c r="T92" s="176">
        <f t="shared" si="30"/>
        <v>4</v>
      </c>
      <c r="U92" s="250">
        <f t="shared" si="31"/>
        <v>-1.1888158545048986</v>
      </c>
      <c r="V92" s="382">
        <f t="shared" si="32"/>
        <v>51.568551454972848</v>
      </c>
      <c r="W92" s="58"/>
      <c r="X92" s="157">
        <f t="shared" si="33"/>
        <v>43543</v>
      </c>
      <c r="Y92" s="383">
        <f t="shared" si="34"/>
        <v>14.227</v>
      </c>
      <c r="Z92" s="383">
        <f t="shared" si="35"/>
        <v>14.245552954535517</v>
      </c>
      <c r="AA92" s="384">
        <f t="shared" si="36"/>
        <v>14.314558487454956</v>
      </c>
      <c r="AB92" s="197">
        <f t="shared" si="37"/>
        <v>43543</v>
      </c>
      <c r="AC92" s="424">
        <f t="shared" si="38"/>
        <v>4.8206539503062099E-3</v>
      </c>
      <c r="AD92" s="169">
        <f>(INDEX(Models!$BJ92:$BT92,,AH92)*(1-AF92)+INDEX(Models!$BJ92:$BT92,,AH92+1)*AF92-ERP_i)*AE92*Ramure*Pc/MaxiM</f>
        <v>1.6875914943037654E-5</v>
      </c>
      <c r="AE92" s="304">
        <f t="shared" si="39"/>
        <v>0.7</v>
      </c>
      <c r="AF92" s="177">
        <f t="shared" si="40"/>
        <v>0.81118414549510143</v>
      </c>
      <c r="AG92" s="799">
        <f t="shared" si="41"/>
        <v>-2</v>
      </c>
      <c r="AH92" s="176">
        <f t="shared" si="42"/>
        <v>4</v>
      </c>
      <c r="AI92" s="224">
        <f t="shared" si="43"/>
        <v>-1.1888158545048986</v>
      </c>
      <c r="AJ92" s="264" t="b">
        <f t="shared" si="44"/>
        <v>0</v>
      </c>
      <c r="AK92" s="264" t="b">
        <f t="shared" si="45"/>
        <v>1</v>
      </c>
      <c r="AL92" s="264"/>
      <c r="AM92" s="264"/>
      <c r="AN92" s="75"/>
    </row>
    <row r="93" spans="1:40" s="6" customFormat="1" ht="11.25" x14ac:dyDescent="0.2">
      <c r="A93" s="56">
        <f t="shared" si="46"/>
        <v>43544</v>
      </c>
      <c r="B93" s="607">
        <v>50.683</v>
      </c>
      <c r="C93" s="388"/>
      <c r="D93" s="391">
        <f t="shared" si="48"/>
        <v>50.750066617435813</v>
      </c>
      <c r="E93" s="383">
        <f t="shared" si="49"/>
        <v>50.999432256236723</v>
      </c>
      <c r="F93" s="383">
        <f t="shared" si="50"/>
        <v>51.000305055199313</v>
      </c>
      <c r="G93" s="110">
        <f t="shared" si="51"/>
        <v>0.97689265817427795</v>
      </c>
      <c r="I93" s="379">
        <f t="shared" si="24"/>
        <v>51.000305055199313</v>
      </c>
      <c r="J93" s="85">
        <v>2018</v>
      </c>
      <c r="K93" s="197">
        <f t="shared" si="25"/>
        <v>43544</v>
      </c>
      <c r="L93" s="435">
        <f t="shared" si="26"/>
        <v>1.3215079684796294E-3</v>
      </c>
      <c r="M93" s="842"/>
      <c r="N93" s="842"/>
      <c r="O93" s="323">
        <f t="shared" si="27"/>
        <v>4.8895767613259923E-3</v>
      </c>
      <c r="P93" s="169">
        <f>(INDEX(Models!$BJ93:$BT93,,T93)*(1-R93)+INDEX(Models!$BJ93:$BT93,,T93+1)*R93-ERP_i)*Q93*Ramure*Pc/MaxiM</f>
        <v>1.7697801422352916E-5</v>
      </c>
      <c r="Q93" s="304">
        <f t="shared" si="28"/>
        <v>0.7</v>
      </c>
      <c r="R93" s="177">
        <f t="shared" si="29"/>
        <v>0.81170343508119847</v>
      </c>
      <c r="S93" s="799">
        <f t="shared" si="47"/>
        <v>-2</v>
      </c>
      <c r="T93" s="176">
        <f t="shared" si="30"/>
        <v>4</v>
      </c>
      <c r="U93" s="250">
        <f t="shared" si="31"/>
        <v>-1.1882965649188015</v>
      </c>
      <c r="V93" s="382">
        <f t="shared" si="32"/>
        <v>51.881821371526613</v>
      </c>
      <c r="W93" s="58"/>
      <c r="X93" s="157">
        <f t="shared" si="33"/>
        <v>43544</v>
      </c>
      <c r="Y93" s="383">
        <f t="shared" si="34"/>
        <v>50.683</v>
      </c>
      <c r="Z93" s="383">
        <f t="shared" si="35"/>
        <v>50.750066617435813</v>
      </c>
      <c r="AA93" s="384">
        <f t="shared" si="36"/>
        <v>50.999432256236723</v>
      </c>
      <c r="AB93" s="197">
        <f t="shared" si="37"/>
        <v>43544</v>
      </c>
      <c r="AC93" s="424">
        <f t="shared" si="38"/>
        <v>4.8895767613259923E-3</v>
      </c>
      <c r="AD93" s="169">
        <f>(INDEX(Models!$BJ93:$BT93,,AH93)*(1-AF93)+INDEX(Models!$BJ93:$BT93,,AH93+1)*AF93-ERP_i)*AE93*Ramure*Pc/MaxiM</f>
        <v>1.7697801422352916E-5</v>
      </c>
      <c r="AE93" s="304">
        <f t="shared" si="39"/>
        <v>0.7</v>
      </c>
      <c r="AF93" s="177">
        <f t="shared" si="40"/>
        <v>0.81170343508119847</v>
      </c>
      <c r="AG93" s="799">
        <f t="shared" si="41"/>
        <v>-2</v>
      </c>
      <c r="AH93" s="176">
        <f t="shared" si="42"/>
        <v>4</v>
      </c>
      <c r="AI93" s="224">
        <f t="shared" si="43"/>
        <v>-1.1882965649188015</v>
      </c>
      <c r="AJ93" s="264" t="b">
        <f t="shared" si="44"/>
        <v>0</v>
      </c>
      <c r="AK93" s="264" t="b">
        <f t="shared" si="45"/>
        <v>1</v>
      </c>
      <c r="AL93" s="264"/>
      <c r="AM93" s="264"/>
      <c r="AN93" s="75"/>
    </row>
    <row r="94" spans="1:40" s="6" customFormat="1" ht="11.25" customHeight="1" x14ac:dyDescent="0.2">
      <c r="A94" s="56">
        <f t="shared" si="46"/>
        <v>43545</v>
      </c>
      <c r="B94" s="607">
        <v>50.585999999999999</v>
      </c>
      <c r="C94" s="388"/>
      <c r="D94" s="391">
        <f t="shared" si="48"/>
        <v>50.653909032150118</v>
      </c>
      <c r="E94" s="383">
        <f t="shared" si="49"/>
        <v>50.906326453376217</v>
      </c>
      <c r="F94" s="383">
        <f t="shared" si="50"/>
        <v>50.907226745172224</v>
      </c>
      <c r="G94" s="110">
        <f t="shared" si="51"/>
        <v>0.96916913518499215</v>
      </c>
      <c r="I94" s="379">
        <f t="shared" si="24"/>
        <v>50.907226745172224</v>
      </c>
      <c r="J94" s="85">
        <v>2018</v>
      </c>
      <c r="K94" s="197">
        <f t="shared" si="25"/>
        <v>43545</v>
      </c>
      <c r="L94" s="435">
        <f t="shared" si="26"/>
        <v>1.3406474139442404E-3</v>
      </c>
      <c r="M94" s="842"/>
      <c r="N94" s="842"/>
      <c r="O94" s="323">
        <f t="shared" si="27"/>
        <v>4.9584685993259098E-3</v>
      </c>
      <c r="P94" s="169">
        <f>(INDEX(Models!$BJ94:$BT94,,T94)*(1-R94)+INDEX(Models!$BJ94:$BT94,,T94+1)*R94-ERP_i)*Q94*Ramure*Pc/MaxiM</f>
        <v>1.8499733834897092E-5</v>
      </c>
      <c r="Q94" s="304">
        <f t="shared" si="28"/>
        <v>0.7</v>
      </c>
      <c r="R94" s="177">
        <f t="shared" si="29"/>
        <v>0.81224303283295862</v>
      </c>
      <c r="S94" s="799">
        <f t="shared" si="47"/>
        <v>-2</v>
      </c>
      <c r="T94" s="176">
        <f t="shared" si="30"/>
        <v>4</v>
      </c>
      <c r="U94" s="250">
        <f t="shared" si="31"/>
        <v>-1.1877569671670414</v>
      </c>
      <c r="V94" s="382">
        <f t="shared" si="32"/>
        <v>52.195181363257561</v>
      </c>
      <c r="W94" s="58"/>
      <c r="X94" s="157">
        <f t="shared" si="33"/>
        <v>43545</v>
      </c>
      <c r="Y94" s="383">
        <f t="shared" si="34"/>
        <v>50.585999999999999</v>
      </c>
      <c r="Z94" s="383">
        <f t="shared" si="35"/>
        <v>50.653909032150118</v>
      </c>
      <c r="AA94" s="384">
        <f t="shared" si="36"/>
        <v>50.906326453376217</v>
      </c>
      <c r="AB94" s="197">
        <f t="shared" si="37"/>
        <v>43545</v>
      </c>
      <c r="AC94" s="424">
        <f t="shared" si="38"/>
        <v>4.9584685993259098E-3</v>
      </c>
      <c r="AD94" s="169">
        <f>(INDEX(Models!$BJ94:$BT94,,AH94)*(1-AF94)+INDEX(Models!$BJ94:$BT94,,AH94+1)*AF94-ERP_i)*AE94*Ramure*Pc/MaxiM</f>
        <v>1.8499733834897092E-5</v>
      </c>
      <c r="AE94" s="304">
        <f t="shared" si="39"/>
        <v>0.7</v>
      </c>
      <c r="AF94" s="177">
        <f t="shared" si="40"/>
        <v>0.81224303283295862</v>
      </c>
      <c r="AG94" s="799">
        <f t="shared" si="41"/>
        <v>-2</v>
      </c>
      <c r="AH94" s="176">
        <f t="shared" si="42"/>
        <v>4</v>
      </c>
      <c r="AI94" s="224">
        <f t="shared" si="43"/>
        <v>-1.1877569671670414</v>
      </c>
      <c r="AJ94" s="264" t="b">
        <f t="shared" si="44"/>
        <v>0</v>
      </c>
      <c r="AK94" s="264" t="b">
        <f t="shared" si="45"/>
        <v>1</v>
      </c>
      <c r="AL94" s="264"/>
      <c r="AM94" s="264"/>
      <c r="AN94" s="75"/>
    </row>
    <row r="95" spans="1:40" s="6" customFormat="1" ht="11.25" customHeight="1" x14ac:dyDescent="0.2">
      <c r="A95" s="56">
        <f t="shared" si="46"/>
        <v>43546</v>
      </c>
      <c r="B95" s="607">
        <v>49.481000000000002</v>
      </c>
      <c r="C95" s="388"/>
      <c r="D95" s="391">
        <f t="shared" si="48"/>
        <v>49.54837521134295</v>
      </c>
      <c r="E95" s="383">
        <f t="shared" si="49"/>
        <v>49.798729982669109</v>
      </c>
      <c r="F95" s="383">
        <f t="shared" si="50"/>
        <v>49.799611737685488</v>
      </c>
      <c r="G95" s="110">
        <f t="shared" si="51"/>
        <v>0.94235433016854209</v>
      </c>
      <c r="I95" s="379">
        <f t="shared" si="24"/>
        <v>49.799611737685488</v>
      </c>
      <c r="J95" s="85">
        <v>2018</v>
      </c>
      <c r="K95" s="197">
        <f t="shared" si="25"/>
        <v>43546</v>
      </c>
      <c r="L95" s="435">
        <f t="shared" si="26"/>
        <v>1.359786492605819E-3</v>
      </c>
      <c r="M95" s="842"/>
      <c r="N95" s="842"/>
      <c r="O95" s="323">
        <f t="shared" si="27"/>
        <v>5.0273324523192565E-3</v>
      </c>
      <c r="P95" s="169">
        <f>(INDEX(Models!$BJ95:$BT95,,T95)*(1-R95)+INDEX(Models!$BJ95:$BT95,,T95+1)*R95-ERP_i)*Q95*Ramure*Pc/MaxiM</f>
        <v>1.9294980938070625E-5</v>
      </c>
      <c r="Q95" s="304">
        <f t="shared" si="28"/>
        <v>0.7</v>
      </c>
      <c r="R95" s="177">
        <f t="shared" si="29"/>
        <v>0.81280367088189842</v>
      </c>
      <c r="S95" s="799">
        <f t="shared" si="47"/>
        <v>-2</v>
      </c>
      <c r="T95" s="176">
        <f t="shared" si="30"/>
        <v>4</v>
      </c>
      <c r="U95" s="250">
        <f t="shared" si="31"/>
        <v>-1.1871963291181016</v>
      </c>
      <c r="V95" s="382">
        <f t="shared" si="32"/>
        <v>52.507766763764451</v>
      </c>
      <c r="W95" s="58"/>
      <c r="X95" s="157">
        <f t="shared" si="33"/>
        <v>43546</v>
      </c>
      <c r="Y95" s="383">
        <f t="shared" si="34"/>
        <v>49.481000000000002</v>
      </c>
      <c r="Z95" s="383">
        <f t="shared" si="35"/>
        <v>49.54837521134295</v>
      </c>
      <c r="AA95" s="384">
        <f t="shared" si="36"/>
        <v>49.798729982669109</v>
      </c>
      <c r="AB95" s="197">
        <f t="shared" si="37"/>
        <v>43546</v>
      </c>
      <c r="AC95" s="424">
        <f t="shared" si="38"/>
        <v>5.0273324523192565E-3</v>
      </c>
      <c r="AD95" s="169">
        <f>(INDEX(Models!$BJ95:$BT95,,AH95)*(1-AF95)+INDEX(Models!$BJ95:$BT95,,AH95+1)*AF95-ERP_i)*AE95*Ramure*Pc/MaxiM</f>
        <v>1.9294980938070625E-5</v>
      </c>
      <c r="AE95" s="304">
        <f t="shared" si="39"/>
        <v>0.7</v>
      </c>
      <c r="AF95" s="177">
        <f t="shared" si="40"/>
        <v>0.81280367088189842</v>
      </c>
      <c r="AG95" s="799">
        <f t="shared" si="41"/>
        <v>-2</v>
      </c>
      <c r="AH95" s="176">
        <f t="shared" si="42"/>
        <v>4</v>
      </c>
      <c r="AI95" s="224">
        <f t="shared" si="43"/>
        <v>-1.1871963291181016</v>
      </c>
      <c r="AJ95" s="264" t="b">
        <f t="shared" si="44"/>
        <v>0</v>
      </c>
      <c r="AK95" s="264" t="b">
        <f t="shared" si="45"/>
        <v>1</v>
      </c>
      <c r="AL95" s="264"/>
      <c r="AM95" s="264"/>
      <c r="AN95" s="75"/>
    </row>
    <row r="96" spans="1:40" s="6" customFormat="1" ht="11.25" x14ac:dyDescent="0.2">
      <c r="A96" s="56">
        <f t="shared" si="46"/>
        <v>43547</v>
      </c>
      <c r="B96" s="607">
        <v>47.152000000000001</v>
      </c>
      <c r="C96" s="388"/>
      <c r="D96" s="391">
        <f t="shared" si="48"/>
        <v>47.217108861491376</v>
      </c>
      <c r="E96" s="383">
        <f t="shared" si="49"/>
        <v>47.458967897606065</v>
      </c>
      <c r="F96" s="383">
        <f t="shared" si="50"/>
        <v>47.459774863265395</v>
      </c>
      <c r="G96" s="110">
        <f t="shared" si="51"/>
        <v>0.89271114871664281</v>
      </c>
      <c r="I96" s="379">
        <f t="shared" si="24"/>
        <v>47.459774863265395</v>
      </c>
      <c r="J96" s="85">
        <v>2018</v>
      </c>
      <c r="K96" s="197">
        <f t="shared" si="25"/>
        <v>43547</v>
      </c>
      <c r="L96" s="435">
        <f t="shared" si="26"/>
        <v>1.3789252044712486E-3</v>
      </c>
      <c r="M96" s="842"/>
      <c r="N96" s="842"/>
      <c r="O96" s="323">
        <f t="shared" si="27"/>
        <v>5.0961714261571712E-3</v>
      </c>
      <c r="P96" s="169">
        <f>(INDEX(Models!$BJ96:$BT96,,T96)*(1-R96)+INDEX(Models!$BJ96:$BT96,,T96+1)*R96-ERP_i)*Q96*Ramure*Pc/MaxiM</f>
        <v>2.0080860096482369E-5</v>
      </c>
      <c r="Q96" s="304">
        <f t="shared" si="28"/>
        <v>0.7</v>
      </c>
      <c r="R96" s="177">
        <f t="shared" si="29"/>
        <v>0.81338610264373412</v>
      </c>
      <c r="S96" s="799">
        <f t="shared" si="47"/>
        <v>-2</v>
      </c>
      <c r="T96" s="176">
        <f t="shared" si="30"/>
        <v>4</v>
      </c>
      <c r="U96" s="250">
        <f t="shared" si="31"/>
        <v>-1.1866138973562659</v>
      </c>
      <c r="V96" s="382">
        <f t="shared" si="32"/>
        <v>52.818714032102889</v>
      </c>
      <c r="W96" s="58"/>
      <c r="X96" s="157">
        <f t="shared" si="33"/>
        <v>43547</v>
      </c>
      <c r="Y96" s="383">
        <f t="shared" si="34"/>
        <v>47.152000000000001</v>
      </c>
      <c r="Z96" s="383">
        <f t="shared" si="35"/>
        <v>47.217108861491376</v>
      </c>
      <c r="AA96" s="384">
        <f t="shared" si="36"/>
        <v>47.458967897606065</v>
      </c>
      <c r="AB96" s="197">
        <f t="shared" si="37"/>
        <v>43547</v>
      </c>
      <c r="AC96" s="424">
        <f t="shared" si="38"/>
        <v>5.0961714261571712E-3</v>
      </c>
      <c r="AD96" s="169">
        <f>(INDEX(Models!$BJ96:$BT96,,AH96)*(1-AF96)+INDEX(Models!$BJ96:$BT96,,AH96+1)*AF96-ERP_i)*AE96*Ramure*Pc/MaxiM</f>
        <v>2.0080860096482369E-5</v>
      </c>
      <c r="AE96" s="304">
        <f t="shared" si="39"/>
        <v>0.7</v>
      </c>
      <c r="AF96" s="177">
        <f t="shared" si="40"/>
        <v>0.81338610264373412</v>
      </c>
      <c r="AG96" s="799">
        <f t="shared" si="41"/>
        <v>-2</v>
      </c>
      <c r="AH96" s="176">
        <f t="shared" si="42"/>
        <v>4</v>
      </c>
      <c r="AI96" s="224">
        <f t="shared" si="43"/>
        <v>-1.1866138973562659</v>
      </c>
      <c r="AJ96" s="264" t="b">
        <f t="shared" si="44"/>
        <v>0</v>
      </c>
      <c r="AK96" s="264" t="b">
        <f t="shared" si="45"/>
        <v>1</v>
      </c>
      <c r="AL96" s="264"/>
      <c r="AM96" s="264"/>
      <c r="AN96" s="75"/>
    </row>
    <row r="97" spans="1:40" s="6" customFormat="1" ht="11.25" customHeight="1" x14ac:dyDescent="0.2">
      <c r="A97" s="56">
        <f t="shared" si="46"/>
        <v>43548</v>
      </c>
      <c r="B97" s="607">
        <v>49.988</v>
      </c>
      <c r="C97" s="388"/>
      <c r="D97" s="391">
        <f t="shared" si="48"/>
        <v>50.05798424313415</v>
      </c>
      <c r="E97" s="383">
        <f t="shared" si="49"/>
        <v>50.317875503493525</v>
      </c>
      <c r="F97" s="383">
        <f t="shared" si="50"/>
        <v>50.318836298014602</v>
      </c>
      <c r="G97" s="110">
        <f t="shared" si="51"/>
        <v>0.94091067657158867</v>
      </c>
      <c r="I97" s="379">
        <f t="shared" si="24"/>
        <v>50.318836298014602</v>
      </c>
      <c r="J97" s="85">
        <v>2018</v>
      </c>
      <c r="K97" s="197">
        <f t="shared" si="25"/>
        <v>43548</v>
      </c>
      <c r="L97" s="435">
        <f t="shared" si="26"/>
        <v>1.3980635495475235E-3</v>
      </c>
      <c r="M97" s="842"/>
      <c r="N97" s="842"/>
      <c r="O97" s="323">
        <f t="shared" si="27"/>
        <v>5.1649887392668445E-3</v>
      </c>
      <c r="P97" s="169">
        <f>(INDEX(Models!$BJ97:$BT97,,T97)*(1-R97)+INDEX(Models!$BJ97:$BT97,,T97+1)*R97-ERP_i)*Q97*Ramure*Pc/MaxiM</f>
        <v>2.0854478800908335E-5</v>
      </c>
      <c r="Q97" s="304">
        <f t="shared" si="28"/>
        <v>0.7</v>
      </c>
      <c r="R97" s="177">
        <f t="shared" si="29"/>
        <v>0.81399110300578204</v>
      </c>
      <c r="S97" s="799">
        <f t="shared" si="47"/>
        <v>-2</v>
      </c>
      <c r="T97" s="176">
        <f t="shared" si="30"/>
        <v>4</v>
      </c>
      <c r="U97" s="250">
        <f t="shared" si="31"/>
        <v>-1.186008896994218</v>
      </c>
      <c r="V97" s="382">
        <f t="shared" si="32"/>
        <v>53.127159938565285</v>
      </c>
      <c r="W97" s="58"/>
      <c r="X97" s="157">
        <f t="shared" si="33"/>
        <v>43548</v>
      </c>
      <c r="Y97" s="383">
        <f t="shared" si="34"/>
        <v>49.988</v>
      </c>
      <c r="Z97" s="383">
        <f t="shared" si="35"/>
        <v>50.05798424313415</v>
      </c>
      <c r="AA97" s="384">
        <f t="shared" si="36"/>
        <v>50.317875503493525</v>
      </c>
      <c r="AB97" s="197">
        <f t="shared" si="37"/>
        <v>43548</v>
      </c>
      <c r="AC97" s="424">
        <f t="shared" si="38"/>
        <v>5.1649887392668445E-3</v>
      </c>
      <c r="AD97" s="169">
        <f>(INDEX(Models!$BJ97:$BT97,,AH97)*(1-AF97)+INDEX(Models!$BJ97:$BT97,,AH97+1)*AF97-ERP_i)*AE97*Ramure*Pc/MaxiM</f>
        <v>2.0854478800908335E-5</v>
      </c>
      <c r="AE97" s="304">
        <f t="shared" si="39"/>
        <v>0.7</v>
      </c>
      <c r="AF97" s="177">
        <f t="shared" si="40"/>
        <v>0.81399110300578204</v>
      </c>
      <c r="AG97" s="799">
        <f t="shared" si="41"/>
        <v>-2</v>
      </c>
      <c r="AH97" s="176">
        <f t="shared" si="42"/>
        <v>4</v>
      </c>
      <c r="AI97" s="224">
        <f t="shared" si="43"/>
        <v>-1.186008896994218</v>
      </c>
      <c r="AJ97" s="264" t="b">
        <f t="shared" si="44"/>
        <v>0</v>
      </c>
      <c r="AK97" s="264" t="b">
        <f t="shared" si="45"/>
        <v>1</v>
      </c>
      <c r="AL97" s="264"/>
      <c r="AM97" s="264"/>
      <c r="AN97" s="75"/>
    </row>
    <row r="98" spans="1:40" s="6" customFormat="1" ht="11.25" x14ac:dyDescent="0.2">
      <c r="A98" s="56">
        <f t="shared" si="46"/>
        <v>43549</v>
      </c>
      <c r="B98" s="607">
        <v>44.246000000000002</v>
      </c>
      <c r="C98" s="388"/>
      <c r="D98" s="391">
        <f t="shared" si="48"/>
        <v>44.308794491249834</v>
      </c>
      <c r="E98" s="383">
        <f t="shared" si="49"/>
        <v>44.541917431597135</v>
      </c>
      <c r="F98" s="383">
        <f t="shared" si="50"/>
        <v>44.542643678626689</v>
      </c>
      <c r="G98" s="110">
        <f t="shared" si="51"/>
        <v>0.82807241159588763</v>
      </c>
      <c r="I98" s="379">
        <f t="shared" si="24"/>
        <v>44.542643678626689</v>
      </c>
      <c r="J98" s="85">
        <v>2018</v>
      </c>
      <c r="K98" s="197">
        <f t="shared" si="25"/>
        <v>43549</v>
      </c>
      <c r="L98" s="435">
        <f t="shared" si="26"/>
        <v>1.4172015278419714E-3</v>
      </c>
      <c r="M98" s="842"/>
      <c r="N98" s="842"/>
      <c r="O98" s="323">
        <f t="shared" si="27"/>
        <v>5.233787717048962E-3</v>
      </c>
      <c r="P98" s="169">
        <f>(INDEX(Models!$BJ98:$BT98,,T98)*(1-R98)+INDEX(Models!$BJ98:$BT98,,T98+1)*R98-ERP_i)*Q98*Ramure*Pc/MaxiM</f>
        <v>2.1612714947091186E-5</v>
      </c>
      <c r="Q98" s="304">
        <f t="shared" si="28"/>
        <v>0.7</v>
      </c>
      <c r="R98" s="177">
        <f t="shared" si="29"/>
        <v>0.81461946847397981</v>
      </c>
      <c r="S98" s="799">
        <f t="shared" si="47"/>
        <v>-2</v>
      </c>
      <c r="T98" s="176">
        <f t="shared" si="30"/>
        <v>4</v>
      </c>
      <c r="U98" s="250">
        <f t="shared" si="31"/>
        <v>-1.1853805315260202</v>
      </c>
      <c r="V98" s="382">
        <f t="shared" si="32"/>
        <v>53.432241565814145</v>
      </c>
      <c r="W98" s="58"/>
      <c r="X98" s="157">
        <f t="shared" si="33"/>
        <v>43549</v>
      </c>
      <c r="Y98" s="383">
        <f t="shared" si="34"/>
        <v>44.246000000000002</v>
      </c>
      <c r="Z98" s="383">
        <f t="shared" si="35"/>
        <v>44.308794491249834</v>
      </c>
      <c r="AA98" s="384">
        <f t="shared" si="36"/>
        <v>44.541917431597135</v>
      </c>
      <c r="AB98" s="197">
        <f t="shared" si="37"/>
        <v>43549</v>
      </c>
      <c r="AC98" s="424">
        <f t="shared" si="38"/>
        <v>5.233787717048962E-3</v>
      </c>
      <c r="AD98" s="169">
        <f>(INDEX(Models!$BJ98:$BT98,,AH98)*(1-AF98)+INDEX(Models!$BJ98:$BT98,,AH98+1)*AF98-ERP_i)*AE98*Ramure*Pc/MaxiM</f>
        <v>2.1612714947091186E-5</v>
      </c>
      <c r="AE98" s="304">
        <f t="shared" si="39"/>
        <v>0.7</v>
      </c>
      <c r="AF98" s="177">
        <f t="shared" si="40"/>
        <v>0.81461946847397981</v>
      </c>
      <c r="AG98" s="799">
        <f t="shared" si="41"/>
        <v>-2</v>
      </c>
      <c r="AH98" s="176">
        <f t="shared" si="42"/>
        <v>4</v>
      </c>
      <c r="AI98" s="224">
        <f t="shared" si="43"/>
        <v>-1.1853805315260202</v>
      </c>
      <c r="AJ98" s="264" t="b">
        <f t="shared" si="44"/>
        <v>0</v>
      </c>
      <c r="AK98" s="264" t="b">
        <f t="shared" si="45"/>
        <v>1</v>
      </c>
      <c r="AL98" s="264"/>
      <c r="AM98" s="264"/>
      <c r="AN98" s="75"/>
    </row>
    <row r="99" spans="1:40" s="6" customFormat="1" ht="11.25" x14ac:dyDescent="0.2">
      <c r="A99" s="56">
        <f t="shared" si="46"/>
        <v>43550</v>
      </c>
      <c r="B99" s="607">
        <v>53.35</v>
      </c>
      <c r="C99" s="388"/>
      <c r="D99" s="391">
        <f t="shared" si="48"/>
        <v>53.42673891619377</v>
      </c>
      <c r="E99" s="383">
        <f t="shared" si="49"/>
        <v>53.711548256560107</v>
      </c>
      <c r="F99" s="383">
        <f t="shared" si="50"/>
        <v>53.712736625857872</v>
      </c>
      <c r="G99" s="110">
        <f t="shared" si="51"/>
        <v>0.99287015849156091</v>
      </c>
      <c r="I99" s="379">
        <f t="shared" si="24"/>
        <v>53.712736625857872</v>
      </c>
      <c r="J99" s="85">
        <v>2018</v>
      </c>
      <c r="K99" s="197">
        <f t="shared" si="25"/>
        <v>43550</v>
      </c>
      <c r="L99" s="435">
        <f t="shared" si="26"/>
        <v>1.4363391393613645E-3</v>
      </c>
      <c r="M99" s="842"/>
      <c r="N99" s="842"/>
      <c r="O99" s="323">
        <f t="shared" si="27"/>
        <v>5.3025717859762822E-3</v>
      </c>
      <c r="P99" s="169">
        <f>(INDEX(Models!$BJ99:$BT99,,T99)*(1-R99)+INDEX(Models!$BJ99:$BT99,,T99+1)*R99-ERP_i)*Q99*Ramure*Pc/MaxiM</f>
        <v>2.235219535623425E-5</v>
      </c>
      <c r="Q99" s="304">
        <f t="shared" si="28"/>
        <v>0.7</v>
      </c>
      <c r="R99" s="177">
        <f t="shared" si="29"/>
        <v>0.81527201727510268</v>
      </c>
      <c r="S99" s="799">
        <f t="shared" si="47"/>
        <v>-2</v>
      </c>
      <c r="T99" s="176">
        <f t="shared" si="30"/>
        <v>4</v>
      </c>
      <c r="U99" s="250">
        <f t="shared" si="31"/>
        <v>-1.1847279827248973</v>
      </c>
      <c r="V99" s="382">
        <f t="shared" si="32"/>
        <v>53.733096314507904</v>
      </c>
      <c r="W99" s="58"/>
      <c r="X99" s="157">
        <f t="shared" si="33"/>
        <v>43550</v>
      </c>
      <c r="Y99" s="383">
        <f t="shared" si="34"/>
        <v>53.35</v>
      </c>
      <c r="Z99" s="383">
        <f t="shared" si="35"/>
        <v>53.42673891619377</v>
      </c>
      <c r="AA99" s="384">
        <f t="shared" si="36"/>
        <v>53.711548256560107</v>
      </c>
      <c r="AB99" s="197">
        <f t="shared" si="37"/>
        <v>43550</v>
      </c>
      <c r="AC99" s="424">
        <f t="shared" si="38"/>
        <v>5.3025717859762822E-3</v>
      </c>
      <c r="AD99" s="169">
        <f>(INDEX(Models!$BJ99:$BT99,,AH99)*(1-AF99)+INDEX(Models!$BJ99:$BT99,,AH99+1)*AF99-ERP_i)*AE99*Ramure*Pc/MaxiM</f>
        <v>2.235219535623425E-5</v>
      </c>
      <c r="AE99" s="304">
        <f t="shared" si="39"/>
        <v>0.7</v>
      </c>
      <c r="AF99" s="177">
        <f t="shared" si="40"/>
        <v>0.81527201727510268</v>
      </c>
      <c r="AG99" s="799">
        <f t="shared" si="41"/>
        <v>-2</v>
      </c>
      <c r="AH99" s="176">
        <f t="shared" si="42"/>
        <v>4</v>
      </c>
      <c r="AI99" s="224">
        <f t="shared" si="43"/>
        <v>-1.1847279827248973</v>
      </c>
      <c r="AJ99" s="264" t="b">
        <f t="shared" si="44"/>
        <v>0</v>
      </c>
      <c r="AK99" s="264" t="b">
        <f t="shared" si="45"/>
        <v>1</v>
      </c>
      <c r="AL99" s="264"/>
      <c r="AM99" s="264"/>
      <c r="AN99" s="75"/>
    </row>
    <row r="100" spans="1:40" s="6" customFormat="1" ht="11.25" x14ac:dyDescent="0.2">
      <c r="A100" s="56">
        <f t="shared" si="46"/>
        <v>43551</v>
      </c>
      <c r="B100" s="607">
        <v>53.018999999999998</v>
      </c>
      <c r="C100" s="388"/>
      <c r="D100" s="391">
        <f t="shared" si="48"/>
        <v>53.096280382180488</v>
      </c>
      <c r="E100" s="383">
        <f t="shared" si="49"/>
        <v>53.383018965757074</v>
      </c>
      <c r="F100" s="383">
        <f t="shared" si="50"/>
        <v>53.384217171307384</v>
      </c>
      <c r="G100" s="110">
        <f t="shared" si="51"/>
        <v>0.98130823110202203</v>
      </c>
      <c r="I100" s="379">
        <f t="shared" si="24"/>
        <v>53.384217171307384</v>
      </c>
      <c r="J100" s="85">
        <v>2018</v>
      </c>
      <c r="K100" s="197">
        <f t="shared" si="25"/>
        <v>43551</v>
      </c>
      <c r="L100" s="435">
        <f t="shared" si="26"/>
        <v>1.4554763841126972E-3</v>
      </c>
      <c r="M100" s="842"/>
      <c r="N100" s="842"/>
      <c r="O100" s="323">
        <f t="shared" si="27"/>
        <v>5.3713444674329466E-3</v>
      </c>
      <c r="P100" s="169">
        <f>(INDEX(Models!$BJ100:$BT100,,T100)*(1-R100)+INDEX(Models!$BJ100:$BT100,,T100+1)*R100-ERP_i)*Q100*Ramure*Pc/MaxiM</f>
        <v>2.3060699011573701E-5</v>
      </c>
      <c r="Q100" s="304">
        <f t="shared" si="28"/>
        <v>0.7</v>
      </c>
      <c r="R100" s="177">
        <f t="shared" si="29"/>
        <v>0.81594958940947437</v>
      </c>
      <c r="S100" s="799">
        <f t="shared" si="47"/>
        <v>-2</v>
      </c>
      <c r="T100" s="176">
        <f t="shared" si="30"/>
        <v>4</v>
      </c>
      <c r="U100" s="250">
        <f t="shared" si="31"/>
        <v>-1.1840504105905256</v>
      </c>
      <c r="V100" s="382">
        <f t="shared" si="32"/>
        <v>54.028862361419463</v>
      </c>
      <c r="W100" s="58"/>
      <c r="X100" s="157">
        <f t="shared" si="33"/>
        <v>43551</v>
      </c>
      <c r="Y100" s="383">
        <f t="shared" si="34"/>
        <v>53.018999999999998</v>
      </c>
      <c r="Z100" s="383">
        <f t="shared" si="35"/>
        <v>53.096280382180488</v>
      </c>
      <c r="AA100" s="384">
        <f t="shared" si="36"/>
        <v>53.383018965757074</v>
      </c>
      <c r="AB100" s="197">
        <f t="shared" si="37"/>
        <v>43551</v>
      </c>
      <c r="AC100" s="424">
        <f t="shared" si="38"/>
        <v>5.3713444674329466E-3</v>
      </c>
      <c r="AD100" s="169">
        <f>(INDEX(Models!$BJ100:$BT100,,AH100)*(1-AF100)+INDEX(Models!$BJ100:$BT100,,AH100+1)*AF100-ERP_i)*AE100*Ramure*Pc/MaxiM</f>
        <v>2.3060699011573701E-5</v>
      </c>
      <c r="AE100" s="304">
        <f t="shared" si="39"/>
        <v>0.7</v>
      </c>
      <c r="AF100" s="177">
        <f t="shared" si="40"/>
        <v>0.81594958940947437</v>
      </c>
      <c r="AG100" s="799">
        <f t="shared" si="41"/>
        <v>-2</v>
      </c>
      <c r="AH100" s="176">
        <f t="shared" si="42"/>
        <v>4</v>
      </c>
      <c r="AI100" s="224">
        <f t="shared" si="43"/>
        <v>-1.1840504105905256</v>
      </c>
      <c r="AJ100" s="264" t="b">
        <f t="shared" si="44"/>
        <v>0</v>
      </c>
      <c r="AK100" s="264" t="b">
        <f t="shared" si="45"/>
        <v>1</v>
      </c>
      <c r="AL100" s="264"/>
      <c r="AM100" s="264"/>
      <c r="AN100" s="75"/>
    </row>
    <row r="101" spans="1:40" s="6" customFormat="1" ht="11.25" x14ac:dyDescent="0.2">
      <c r="A101" s="56">
        <f t="shared" si="46"/>
        <v>43552</v>
      </c>
      <c r="B101" s="607">
        <v>51.790999999999997</v>
      </c>
      <c r="C101" s="388"/>
      <c r="D101" s="391">
        <f t="shared" si="48"/>
        <v>51.867484480486851</v>
      </c>
      <c r="E101" s="383">
        <f t="shared" si="49"/>
        <v>52.151192672470458</v>
      </c>
      <c r="F101" s="383">
        <f t="shared" si="50"/>
        <v>52.152350805552508</v>
      </c>
      <c r="G101" s="110">
        <f t="shared" si="51"/>
        <v>0.95346431526283904</v>
      </c>
      <c r="I101" s="379">
        <f t="shared" si="24"/>
        <v>52.152350805552508</v>
      </c>
      <c r="J101" s="85">
        <v>2018</v>
      </c>
      <c r="K101" s="197">
        <f t="shared" si="25"/>
        <v>43552</v>
      </c>
      <c r="L101" s="435">
        <f t="shared" si="26"/>
        <v>1.474613262103186E-3</v>
      </c>
      <c r="M101" s="842"/>
      <c r="N101" s="842"/>
      <c r="O101" s="323">
        <f t="shared" si="27"/>
        <v>5.4401093713312377E-3</v>
      </c>
      <c r="P101" s="169">
        <f>(INDEX(Models!$BJ101:$BT101,,T101)*(1-R101)+INDEX(Models!$BJ101:$BT101,,T101+1)*R101-ERP_i)*Q101*Ramure*Pc/MaxiM</f>
        <v>2.3788099128537579E-5</v>
      </c>
      <c r="Q101" s="304">
        <f t="shared" si="28"/>
        <v>0.7</v>
      </c>
      <c r="R101" s="177">
        <f t="shared" si="29"/>
        <v>0.81665304664920568</v>
      </c>
      <c r="S101" s="799">
        <f t="shared" si="47"/>
        <v>-2</v>
      </c>
      <c r="T101" s="176">
        <f t="shared" si="30"/>
        <v>4</v>
      </c>
      <c r="U101" s="250">
        <f t="shared" si="31"/>
        <v>-1.1833469533507943</v>
      </c>
      <c r="V101" s="382">
        <f t="shared" si="32"/>
        <v>54.318674824369367</v>
      </c>
      <c r="W101" s="58"/>
      <c r="X101" s="157">
        <f t="shared" si="33"/>
        <v>43552</v>
      </c>
      <c r="Y101" s="383">
        <f t="shared" si="34"/>
        <v>51.790999999999997</v>
      </c>
      <c r="Z101" s="383">
        <f t="shared" si="35"/>
        <v>51.867484480486851</v>
      </c>
      <c r="AA101" s="384">
        <f t="shared" si="36"/>
        <v>52.151192672470458</v>
      </c>
      <c r="AB101" s="197">
        <f t="shared" si="37"/>
        <v>43552</v>
      </c>
      <c r="AC101" s="424">
        <f t="shared" si="38"/>
        <v>5.4401093713312377E-3</v>
      </c>
      <c r="AD101" s="169">
        <f>(INDEX(Models!$BJ101:$BT101,,AH101)*(1-AF101)+INDEX(Models!$BJ101:$BT101,,AH101+1)*AF101-ERP_i)*AE101*Ramure*Pc/MaxiM</f>
        <v>2.3788099128537579E-5</v>
      </c>
      <c r="AE101" s="304">
        <f t="shared" si="39"/>
        <v>0.7</v>
      </c>
      <c r="AF101" s="177">
        <f t="shared" si="40"/>
        <v>0.81665304664920568</v>
      </c>
      <c r="AG101" s="799">
        <f t="shared" si="41"/>
        <v>-2</v>
      </c>
      <c r="AH101" s="176">
        <f t="shared" si="42"/>
        <v>4</v>
      </c>
      <c r="AI101" s="224">
        <f t="shared" si="43"/>
        <v>-1.1833469533507943</v>
      </c>
      <c r="AJ101" s="264" t="b">
        <f t="shared" si="44"/>
        <v>0</v>
      </c>
      <c r="AK101" s="264" t="b">
        <f t="shared" si="45"/>
        <v>1</v>
      </c>
      <c r="AL101" s="264"/>
      <c r="AM101" s="264"/>
      <c r="AN101" s="75"/>
    </row>
    <row r="102" spans="1:40" s="6" customFormat="1" ht="11.25" x14ac:dyDescent="0.2">
      <c r="A102" s="56">
        <f t="shared" si="46"/>
        <v>43553</v>
      </c>
      <c r="B102" s="607">
        <v>52.944000000000003</v>
      </c>
      <c r="C102" s="388"/>
      <c r="D102" s="391">
        <f t="shared" si="48"/>
        <v>53.023203398057603</v>
      </c>
      <c r="E102" s="383">
        <f t="shared" si="49"/>
        <v>53.316919385860409</v>
      </c>
      <c r="F102" s="383">
        <f t="shared" si="50"/>
        <v>53.3181708151496</v>
      </c>
      <c r="G102" s="110">
        <f t="shared" si="51"/>
        <v>0.96963960934898408</v>
      </c>
      <c r="I102" s="379">
        <f t="shared" si="24"/>
        <v>53.3181708151496</v>
      </c>
      <c r="J102" s="85">
        <v>2018</v>
      </c>
      <c r="K102" s="197">
        <f t="shared" si="25"/>
        <v>43553</v>
      </c>
      <c r="L102" s="435">
        <f t="shared" si="26"/>
        <v>1.4937497733398253E-3</v>
      </c>
      <c r="M102" s="842"/>
      <c r="N102" s="842"/>
      <c r="O102" s="323">
        <f t="shared" si="27"/>
        <v>5.5088701895387579E-3</v>
      </c>
      <c r="P102" s="169">
        <f>(INDEX(Models!$BJ102:$BT102,,T102)*(1-R102)+INDEX(Models!$BJ102:$BT102,,T102+1)*R102-ERP_i)*Q102*Ramure*Pc/MaxiM</f>
        <v>2.4535070488448803E-5</v>
      </c>
      <c r="Q102" s="304">
        <f t="shared" si="28"/>
        <v>0.7</v>
      </c>
      <c r="R102" s="177">
        <f t="shared" si="29"/>
        <v>0.81738327247671494</v>
      </c>
      <c r="S102" s="799">
        <f t="shared" si="47"/>
        <v>-2</v>
      </c>
      <c r="T102" s="176">
        <f t="shared" si="30"/>
        <v>4</v>
      </c>
      <c r="U102" s="250">
        <f t="shared" si="31"/>
        <v>-1.1826167275232851</v>
      </c>
      <c r="V102" s="382">
        <f t="shared" si="32"/>
        <v>54.601671745432093</v>
      </c>
      <c r="W102" s="58"/>
      <c r="X102" s="157">
        <f t="shared" si="33"/>
        <v>43553</v>
      </c>
      <c r="Y102" s="383">
        <f t="shared" si="34"/>
        <v>52.944000000000003</v>
      </c>
      <c r="Z102" s="383">
        <f t="shared" si="35"/>
        <v>53.023203398057603</v>
      </c>
      <c r="AA102" s="384">
        <f t="shared" si="36"/>
        <v>53.316919385860409</v>
      </c>
      <c r="AB102" s="197">
        <f t="shared" si="37"/>
        <v>43553</v>
      </c>
      <c r="AC102" s="424">
        <f t="shared" si="38"/>
        <v>5.5088701895387579E-3</v>
      </c>
      <c r="AD102" s="169">
        <f>(INDEX(Models!$BJ102:$BT102,,AH102)*(1-AF102)+INDEX(Models!$BJ102:$BT102,,AH102+1)*AF102-ERP_i)*AE102*Ramure*Pc/MaxiM</f>
        <v>2.4535070488448803E-5</v>
      </c>
      <c r="AE102" s="304">
        <f t="shared" si="39"/>
        <v>0.7</v>
      </c>
      <c r="AF102" s="177">
        <f t="shared" si="40"/>
        <v>0.81738327247671494</v>
      </c>
      <c r="AG102" s="799">
        <f t="shared" si="41"/>
        <v>-2</v>
      </c>
      <c r="AH102" s="176">
        <f t="shared" si="42"/>
        <v>4</v>
      </c>
      <c r="AI102" s="224">
        <f t="shared" si="43"/>
        <v>-1.1826167275232851</v>
      </c>
      <c r="AJ102" s="264" t="b">
        <f t="shared" si="44"/>
        <v>0</v>
      </c>
      <c r="AK102" s="264" t="b">
        <f t="shared" si="45"/>
        <v>1</v>
      </c>
      <c r="AL102" s="264"/>
      <c r="AM102" s="264"/>
      <c r="AN102" s="75"/>
    </row>
    <row r="103" spans="1:40" s="6" customFormat="1" ht="11.25" x14ac:dyDescent="0.2">
      <c r="A103" s="56">
        <f t="shared" si="46"/>
        <v>43554</v>
      </c>
      <c r="B103" s="607">
        <v>54.570999999999998</v>
      </c>
      <c r="C103" s="388"/>
      <c r="D103" s="391">
        <f t="shared" si="48"/>
        <v>54.653684790076397</v>
      </c>
      <c r="E103" s="383">
        <f t="shared" si="49"/>
        <v>54.960232670501938</v>
      </c>
      <c r="F103" s="383">
        <f t="shared" si="50"/>
        <v>54.961612248927921</v>
      </c>
      <c r="G103" s="110">
        <f t="shared" si="51"/>
        <v>0.99442384763812453</v>
      </c>
      <c r="I103" s="379">
        <f t="shared" si="24"/>
        <v>54.961612248927921</v>
      </c>
      <c r="J103" s="85">
        <v>2018</v>
      </c>
      <c r="K103" s="197">
        <f t="shared" si="25"/>
        <v>43554</v>
      </c>
      <c r="L103" s="435">
        <f t="shared" si="26"/>
        <v>1.5128859178294984E-3</v>
      </c>
      <c r="M103" s="842"/>
      <c r="N103" s="842"/>
      <c r="O103" s="323">
        <f t="shared" si="27"/>
        <v>5.5776306891450172E-3</v>
      </c>
      <c r="P103" s="169">
        <f>(INDEX(Models!$BJ103:$BT103,,T103)*(1-R103)+INDEX(Models!$BJ103:$BT103,,T103+1)*R103-ERP_i)*Q103*Ramure*Pc/MaxiM</f>
        <v>2.5302312671178587E-5</v>
      </c>
      <c r="Q103" s="304">
        <f t="shared" si="28"/>
        <v>0.7</v>
      </c>
      <c r="R103" s="177">
        <f t="shared" si="29"/>
        <v>0.81814117195800962</v>
      </c>
      <c r="S103" s="799">
        <f t="shared" si="47"/>
        <v>-2</v>
      </c>
      <c r="T103" s="176">
        <f t="shared" si="30"/>
        <v>4</v>
      </c>
      <c r="U103" s="250">
        <f t="shared" si="31"/>
        <v>-1.1818588280419904</v>
      </c>
      <c r="V103" s="382">
        <f t="shared" si="32"/>
        <v>54.876991466558337</v>
      </c>
      <c r="W103" s="58"/>
      <c r="X103" s="157">
        <f t="shared" si="33"/>
        <v>43554</v>
      </c>
      <c r="Y103" s="383">
        <f t="shared" si="34"/>
        <v>54.570999999999998</v>
      </c>
      <c r="Z103" s="383">
        <f t="shared" si="35"/>
        <v>54.653684790076397</v>
      </c>
      <c r="AA103" s="384">
        <f t="shared" si="36"/>
        <v>54.960232670501938</v>
      </c>
      <c r="AB103" s="197">
        <f t="shared" si="37"/>
        <v>43554</v>
      </c>
      <c r="AC103" s="424">
        <f t="shared" si="38"/>
        <v>5.5776306891450172E-3</v>
      </c>
      <c r="AD103" s="169">
        <f>(INDEX(Models!$BJ103:$BT103,,AH103)*(1-AF103)+INDEX(Models!$BJ103:$BT103,,AH103+1)*AF103-ERP_i)*AE103*Ramure*Pc/MaxiM</f>
        <v>2.5302312671178587E-5</v>
      </c>
      <c r="AE103" s="304">
        <f t="shared" si="39"/>
        <v>0.7</v>
      </c>
      <c r="AF103" s="177">
        <f t="shared" si="40"/>
        <v>0.81814117195800962</v>
      </c>
      <c r="AG103" s="799">
        <f t="shared" si="41"/>
        <v>-2</v>
      </c>
      <c r="AH103" s="176">
        <f t="shared" si="42"/>
        <v>4</v>
      </c>
      <c r="AI103" s="224">
        <f t="shared" si="43"/>
        <v>-1.1818588280419904</v>
      </c>
      <c r="AJ103" s="264" t="b">
        <f t="shared" si="44"/>
        <v>0</v>
      </c>
      <c r="AK103" s="264" t="b">
        <f t="shared" si="45"/>
        <v>1</v>
      </c>
      <c r="AL103" s="264"/>
      <c r="AM103" s="264"/>
      <c r="AN103" s="75"/>
    </row>
    <row r="104" spans="1:40" s="6" customFormat="1" ht="11.25" x14ac:dyDescent="0.2">
      <c r="A104" s="56">
        <f t="shared" si="46"/>
        <v>43555</v>
      </c>
      <c r="B104" s="607">
        <v>48.753</v>
      </c>
      <c r="C104" s="388"/>
      <c r="D104" s="391">
        <f t="shared" si="48"/>
        <v>48.827805257001252</v>
      </c>
      <c r="E104" s="383">
        <f t="shared" si="49"/>
        <v>49.105071874853124</v>
      </c>
      <c r="F104" s="383">
        <f t="shared" si="50"/>
        <v>49.106140962917586</v>
      </c>
      <c r="G104" s="110">
        <f t="shared" si="51"/>
        <v>0.8841032646157001</v>
      </c>
      <c r="I104" s="379">
        <f t="shared" si="24"/>
        <v>49.106140962917586</v>
      </c>
      <c r="J104" s="85">
        <v>2018</v>
      </c>
      <c r="K104" s="197">
        <f t="shared" si="25"/>
        <v>43555</v>
      </c>
      <c r="L104" s="435">
        <f t="shared" si="26"/>
        <v>1.5320216955794219E-3</v>
      </c>
      <c r="M104" s="842"/>
      <c r="N104" s="842"/>
      <c r="O104" s="323">
        <f t="shared" si="27"/>
        <v>5.646394705591677E-3</v>
      </c>
      <c r="P104" s="169">
        <f>(INDEX(Models!$BJ104:$BT104,,T104)*(1-R104)+INDEX(Models!$BJ104:$BT104,,T104+1)*R104-ERP_i)*Q104*Ramure*Pc/MaxiM</f>
        <v>2.6090550446592135E-5</v>
      </c>
      <c r="Q104" s="304">
        <f t="shared" si="28"/>
        <v>0.7</v>
      </c>
      <c r="R104" s="177">
        <f t="shared" si="29"/>
        <v>0.81892767154494095</v>
      </c>
      <c r="S104" s="799">
        <f t="shared" si="47"/>
        <v>-2</v>
      </c>
      <c r="T104" s="176">
        <f t="shared" si="30"/>
        <v>4</v>
      </c>
      <c r="U104" s="250">
        <f t="shared" si="31"/>
        <v>-1.1810723284550591</v>
      </c>
      <c r="V104" s="382">
        <f t="shared" si="32"/>
        <v>55.143772626884171</v>
      </c>
      <c r="W104" s="58"/>
      <c r="X104" s="157">
        <f t="shared" si="33"/>
        <v>43555</v>
      </c>
      <c r="Y104" s="383">
        <f t="shared" si="34"/>
        <v>48.753</v>
      </c>
      <c r="Z104" s="383">
        <f t="shared" si="35"/>
        <v>48.827805257001252</v>
      </c>
      <c r="AA104" s="384">
        <f t="shared" si="36"/>
        <v>49.105071874853124</v>
      </c>
      <c r="AB104" s="197">
        <f t="shared" si="37"/>
        <v>43555</v>
      </c>
      <c r="AC104" s="424">
        <f t="shared" si="38"/>
        <v>5.646394705591677E-3</v>
      </c>
      <c r="AD104" s="169">
        <f>(INDEX(Models!$BJ104:$BT104,,AH104)*(1-AF104)+INDEX(Models!$BJ104:$BT104,,AH104+1)*AF104-ERP_i)*AE104*Ramure*Pc/MaxiM</f>
        <v>2.6090550446592135E-5</v>
      </c>
      <c r="AE104" s="304">
        <f t="shared" si="39"/>
        <v>0.7</v>
      </c>
      <c r="AF104" s="177">
        <f t="shared" si="40"/>
        <v>0.81892767154494095</v>
      </c>
      <c r="AG104" s="799">
        <f t="shared" si="41"/>
        <v>-2</v>
      </c>
      <c r="AH104" s="176">
        <f t="shared" si="42"/>
        <v>4</v>
      </c>
      <c r="AI104" s="224">
        <f t="shared" si="43"/>
        <v>-1.1810723284550591</v>
      </c>
      <c r="AJ104" s="264" t="b">
        <f t="shared" si="44"/>
        <v>0</v>
      </c>
      <c r="AK104" s="264" t="b">
        <f t="shared" si="45"/>
        <v>1</v>
      </c>
      <c r="AL104" s="264"/>
      <c r="AM104" s="264"/>
      <c r="AN104" s="75"/>
    </row>
    <row r="105" spans="1:40" s="6" customFormat="1" ht="11.25" customHeight="1" x14ac:dyDescent="0.2">
      <c r="A105" s="56">
        <f t="shared" si="46"/>
        <v>43556</v>
      </c>
      <c r="B105" s="607">
        <v>37.868000000000002</v>
      </c>
      <c r="C105" s="388"/>
      <c r="D105" s="391">
        <f t="shared" si="48"/>
        <v>37.926830472618285</v>
      </c>
      <c r="E105" s="383">
        <f t="shared" si="49"/>
        <v>38.144834539228214</v>
      </c>
      <c r="F105" s="383">
        <f t="shared" si="50"/>
        <v>38.14539674741949</v>
      </c>
      <c r="G105" s="110">
        <f t="shared" si="51"/>
        <v>0.68351535295847199</v>
      </c>
      <c r="I105" s="379">
        <f t="shared" si="24"/>
        <v>38.14539674741949</v>
      </c>
      <c r="J105" s="85">
        <v>2018</v>
      </c>
      <c r="K105" s="197">
        <f t="shared" si="25"/>
        <v>43556</v>
      </c>
      <c r="L105" s="435">
        <f t="shared" si="26"/>
        <v>1.5511571065964791E-3</v>
      </c>
      <c r="M105" s="842"/>
      <c r="N105" s="842"/>
      <c r="O105" s="323">
        <f t="shared" si="27"/>
        <v>5.7151661356856535E-3</v>
      </c>
      <c r="P105" s="169">
        <f>(INDEX(Models!$BJ105:$BT105,,T105)*(1-R105)+INDEX(Models!$BJ105:$BT105,,T105+1)*R105-ERP_i)*Q105*Ramure*Pc/MaxiM</f>
        <v>2.6900534203015872E-5</v>
      </c>
      <c r="Q105" s="304">
        <f t="shared" si="28"/>
        <v>0.7</v>
      </c>
      <c r="R105" s="177">
        <f t="shared" si="29"/>
        <v>0.81974371880036911</v>
      </c>
      <c r="S105" s="799">
        <f t="shared" si="47"/>
        <v>-2</v>
      </c>
      <c r="T105" s="176">
        <f t="shared" si="30"/>
        <v>4</v>
      </c>
      <c r="U105" s="250">
        <f t="shared" si="31"/>
        <v>-1.1802562811996309</v>
      </c>
      <c r="V105" s="382">
        <f t="shared" si="32"/>
        <v>55.401154165218045</v>
      </c>
      <c r="W105" s="58"/>
      <c r="X105" s="157">
        <f t="shared" si="33"/>
        <v>43556</v>
      </c>
      <c r="Y105" s="383">
        <f t="shared" si="34"/>
        <v>37.868000000000002</v>
      </c>
      <c r="Z105" s="383">
        <f t="shared" si="35"/>
        <v>37.926830472618285</v>
      </c>
      <c r="AA105" s="384">
        <f t="shared" si="36"/>
        <v>38.144834539228214</v>
      </c>
      <c r="AB105" s="197">
        <f t="shared" si="37"/>
        <v>43556</v>
      </c>
      <c r="AC105" s="424">
        <f t="shared" si="38"/>
        <v>5.7151661356856535E-3</v>
      </c>
      <c r="AD105" s="169">
        <f>(INDEX(Models!$BJ105:$BT105,,AH105)*(1-AF105)+INDEX(Models!$BJ105:$BT105,,AH105+1)*AF105-ERP_i)*AE105*Ramure*Pc/MaxiM</f>
        <v>2.6900534203015872E-5</v>
      </c>
      <c r="AE105" s="304">
        <f t="shared" si="39"/>
        <v>0.7</v>
      </c>
      <c r="AF105" s="177">
        <f t="shared" si="40"/>
        <v>0.81974371880036911</v>
      </c>
      <c r="AG105" s="799">
        <f t="shared" si="41"/>
        <v>-2</v>
      </c>
      <c r="AH105" s="176">
        <f t="shared" si="42"/>
        <v>4</v>
      </c>
      <c r="AI105" s="224">
        <f t="shared" si="43"/>
        <v>-1.1802562811996309</v>
      </c>
      <c r="AJ105" s="264" t="b">
        <f t="shared" si="44"/>
        <v>0</v>
      </c>
      <c r="AK105" s="264" t="b">
        <f t="shared" si="45"/>
        <v>1</v>
      </c>
      <c r="AL105" s="264"/>
      <c r="AM105" s="264"/>
      <c r="AN105" s="75"/>
    </row>
    <row r="106" spans="1:40" s="6" customFormat="1" ht="11.25" customHeight="1" x14ac:dyDescent="0.2">
      <c r="A106" s="56">
        <f t="shared" si="46"/>
        <v>43557</v>
      </c>
      <c r="B106" s="607">
        <v>15.465</v>
      </c>
      <c r="C106" s="388"/>
      <c r="D106" s="391">
        <f t="shared" si="48"/>
        <v>15.489322761955664</v>
      </c>
      <c r="E106" s="383">
        <f t="shared" si="49"/>
        <v>15.579433409160512</v>
      </c>
      <c r="F106" s="383">
        <f t="shared" si="50"/>
        <v>15.579433409160512</v>
      </c>
      <c r="G106" s="110">
        <f t="shared" si="51"/>
        <v>0.27789847968732911</v>
      </c>
      <c r="I106" s="379">
        <f t="shared" si="24"/>
        <v>15.579433409160512</v>
      </c>
      <c r="J106" s="85">
        <v>2018</v>
      </c>
      <c r="K106" s="197">
        <f t="shared" si="25"/>
        <v>43557</v>
      </c>
      <c r="L106" s="435">
        <f t="shared" si="26"/>
        <v>1.5702921508876644E-3</v>
      </c>
      <c r="M106" s="842"/>
      <c r="N106" s="842"/>
      <c r="O106" s="323">
        <f t="shared" si="27"/>
        <v>5.783948930508832E-3</v>
      </c>
      <c r="P106" s="169">
        <f>(INDEX(Models!$BJ106:$BT106,,T106)*(1-R106)+INDEX(Models!$BJ106:$BT106,,T106+1)*R106-ERP_i)*Q106*Ramure*Pc/MaxiM</f>
        <v>2.7733040420535314E-5</v>
      </c>
      <c r="Q106" s="304">
        <f t="shared" si="28"/>
        <v>0.7</v>
      </c>
      <c r="R106" s="177">
        <f t="shared" si="29"/>
        <v>0.82059028203992068</v>
      </c>
      <c r="S106" s="799">
        <f t="shared" si="47"/>
        <v>-2</v>
      </c>
      <c r="T106" s="176">
        <f t="shared" si="30"/>
        <v>4</v>
      </c>
      <c r="U106" s="250">
        <f t="shared" si="31"/>
        <v>-1.1794097179600793</v>
      </c>
      <c r="V106" s="382">
        <f t="shared" si="32"/>
        <v>55.6482753195681</v>
      </c>
      <c r="W106" s="58"/>
      <c r="X106" s="157">
        <f t="shared" si="33"/>
        <v>43557</v>
      </c>
      <c r="Y106" s="383">
        <f t="shared" si="34"/>
        <v>15.465</v>
      </c>
      <c r="Z106" s="383">
        <f t="shared" si="35"/>
        <v>15.489322761955664</v>
      </c>
      <c r="AA106" s="384">
        <f t="shared" si="36"/>
        <v>15.579433409160512</v>
      </c>
      <c r="AB106" s="197">
        <f t="shared" si="37"/>
        <v>43557</v>
      </c>
      <c r="AC106" s="424">
        <f t="shared" si="38"/>
        <v>5.783948930508832E-3</v>
      </c>
      <c r="AD106" s="169">
        <f>(INDEX(Models!$BJ106:$BT106,,AH106)*(1-AF106)+INDEX(Models!$BJ106:$BT106,,AH106+1)*AF106-ERP_i)*AE106*Ramure*Pc/MaxiM</f>
        <v>2.7733040420535314E-5</v>
      </c>
      <c r="AE106" s="304">
        <f t="shared" si="39"/>
        <v>0.7</v>
      </c>
      <c r="AF106" s="177">
        <f t="shared" si="40"/>
        <v>0.82059028203992068</v>
      </c>
      <c r="AG106" s="799">
        <f t="shared" si="41"/>
        <v>-2</v>
      </c>
      <c r="AH106" s="176">
        <f t="shared" si="42"/>
        <v>4</v>
      </c>
      <c r="AI106" s="224">
        <f t="shared" si="43"/>
        <v>-1.1794097179600793</v>
      </c>
      <c r="AJ106" s="264" t="b">
        <f t="shared" si="44"/>
        <v>0</v>
      </c>
      <c r="AK106" s="264" t="b">
        <f t="shared" si="45"/>
        <v>1</v>
      </c>
      <c r="AL106" s="264"/>
      <c r="AM106" s="264"/>
      <c r="AN106" s="75"/>
    </row>
    <row r="107" spans="1:40" s="6" customFormat="1" ht="11.25" x14ac:dyDescent="0.2">
      <c r="A107" s="56">
        <f t="shared" si="46"/>
        <v>43558</v>
      </c>
      <c r="B107" s="607">
        <v>16.792999999999999</v>
      </c>
      <c r="C107" s="388"/>
      <c r="D107" s="391">
        <f t="shared" si="48"/>
        <v>16.819733736047631</v>
      </c>
      <c r="E107" s="383">
        <f t="shared" si="49"/>
        <v>16.918754929698956</v>
      </c>
      <c r="F107" s="383">
        <f t="shared" si="50"/>
        <v>16.918755267861201</v>
      </c>
      <c r="G107" s="110">
        <f t="shared" si="51"/>
        <v>0.30048081921804992</v>
      </c>
      <c r="I107" s="379">
        <f t="shared" si="24"/>
        <v>16.918755267861201</v>
      </c>
      <c r="J107" s="85">
        <v>2018</v>
      </c>
      <c r="K107" s="197">
        <f t="shared" si="25"/>
        <v>43558</v>
      </c>
      <c r="L107" s="435">
        <f t="shared" si="26"/>
        <v>1.5894268284601942E-3</v>
      </c>
      <c r="M107" s="842"/>
      <c r="N107" s="842"/>
      <c r="O107" s="323">
        <f t="shared" si="27"/>
        <v>5.8527470882330087E-3</v>
      </c>
      <c r="P107" s="169">
        <f>(INDEX(Models!$BJ107:$BT107,,T107)*(1-R107)+INDEX(Models!$BJ107:$BT107,,T107+1)*R107-ERP_i)*Q107*Ramure*Pc/MaxiM</f>
        <v>2.8588246836898799E-5</v>
      </c>
      <c r="Q107" s="304">
        <f t="shared" si="28"/>
        <v>0.7</v>
      </c>
      <c r="R107" s="177">
        <f t="shared" si="29"/>
        <v>0.8214683498837716</v>
      </c>
      <c r="S107" s="799">
        <f t="shared" si="47"/>
        <v>-2</v>
      </c>
      <c r="T107" s="176">
        <f t="shared" si="30"/>
        <v>4</v>
      </c>
      <c r="U107" s="250">
        <f t="shared" si="31"/>
        <v>-1.1785316501162284</v>
      </c>
      <c r="V107" s="382">
        <f t="shared" si="32"/>
        <v>55.885498105701629</v>
      </c>
      <c r="W107" s="58"/>
      <c r="X107" s="157">
        <f t="shared" si="33"/>
        <v>43558</v>
      </c>
      <c r="Y107" s="383">
        <f t="shared" si="34"/>
        <v>16.792999999999999</v>
      </c>
      <c r="Z107" s="383">
        <f t="shared" si="35"/>
        <v>16.819733736047631</v>
      </c>
      <c r="AA107" s="384">
        <f t="shared" si="36"/>
        <v>16.918754929698956</v>
      </c>
      <c r="AB107" s="197">
        <f t="shared" si="37"/>
        <v>43558</v>
      </c>
      <c r="AC107" s="424">
        <f t="shared" si="38"/>
        <v>5.8527470882330087E-3</v>
      </c>
      <c r="AD107" s="169">
        <f>(INDEX(Models!$BJ107:$BT107,,AH107)*(1-AF107)+INDEX(Models!$BJ107:$BT107,,AH107+1)*AF107-ERP_i)*AE107*Ramure*Pc/MaxiM</f>
        <v>2.8588246836898799E-5</v>
      </c>
      <c r="AE107" s="304">
        <f t="shared" si="39"/>
        <v>0.7</v>
      </c>
      <c r="AF107" s="177">
        <f t="shared" si="40"/>
        <v>0.8214683498837716</v>
      </c>
      <c r="AG107" s="799">
        <f t="shared" si="41"/>
        <v>-2</v>
      </c>
      <c r="AH107" s="176">
        <f t="shared" si="42"/>
        <v>4</v>
      </c>
      <c r="AI107" s="224">
        <f t="shared" si="43"/>
        <v>-1.1785316501162284</v>
      </c>
      <c r="AJ107" s="264" t="b">
        <f t="shared" si="44"/>
        <v>0</v>
      </c>
      <c r="AK107" s="264" t="b">
        <f t="shared" si="45"/>
        <v>1</v>
      </c>
      <c r="AL107" s="264"/>
      <c r="AM107" s="264"/>
      <c r="AN107" s="75"/>
    </row>
    <row r="108" spans="1:40" s="6" customFormat="1" ht="11.25" x14ac:dyDescent="0.2">
      <c r="A108" s="56">
        <f t="shared" si="46"/>
        <v>43559</v>
      </c>
      <c r="B108" s="607">
        <v>33.401000000000003</v>
      </c>
      <c r="C108" s="388"/>
      <c r="D108" s="391">
        <f t="shared" si="48"/>
        <v>33.454814113906842</v>
      </c>
      <c r="E108" s="383">
        <f t="shared" si="49"/>
        <v>33.654099036985592</v>
      </c>
      <c r="F108" s="383">
        <f t="shared" si="50"/>
        <v>33.65451680369921</v>
      </c>
      <c r="G108" s="110">
        <f t="shared" si="51"/>
        <v>0.59522404915302163</v>
      </c>
      <c r="I108" s="379">
        <f t="shared" si="24"/>
        <v>33.65451680369921</v>
      </c>
      <c r="J108" s="85">
        <v>2018</v>
      </c>
      <c r="K108" s="197">
        <f t="shared" si="25"/>
        <v>43559</v>
      </c>
      <c r="L108" s="435">
        <f t="shared" si="26"/>
        <v>1.608561139320952E-3</v>
      </c>
      <c r="M108" s="842"/>
      <c r="N108" s="842"/>
      <c r="O108" s="323">
        <f t="shared" si="27"/>
        <v>5.9215646468425125E-3</v>
      </c>
      <c r="P108" s="169">
        <f>(INDEX(Models!$BJ108:$BT108,,T108)*(1-R108)+INDEX(Models!$BJ108:$BT108,,T108+1)*R108-ERP_i)*Q108*Ramure*Pc/MaxiM</f>
        <v>2.9432142644961498E-5</v>
      </c>
      <c r="Q108" s="304">
        <f t="shared" si="28"/>
        <v>0.7</v>
      </c>
      <c r="R108" s="177">
        <f t="shared" si="29"/>
        <v>0.82237893071165358</v>
      </c>
      <c r="S108" s="799">
        <f t="shared" si="47"/>
        <v>-2</v>
      </c>
      <c r="T108" s="176">
        <f t="shared" si="30"/>
        <v>4</v>
      </c>
      <c r="U108" s="250">
        <f t="shared" si="31"/>
        <v>-1.1776210692883464</v>
      </c>
      <c r="V108" s="382">
        <f t="shared" si="32"/>
        <v>56.114049150373944</v>
      </c>
      <c r="W108" s="58"/>
      <c r="X108" s="157">
        <f t="shared" si="33"/>
        <v>43559</v>
      </c>
      <c r="Y108" s="383">
        <f t="shared" si="34"/>
        <v>33.401000000000003</v>
      </c>
      <c r="Z108" s="383">
        <f t="shared" si="35"/>
        <v>33.454814113906842</v>
      </c>
      <c r="AA108" s="384">
        <f t="shared" si="36"/>
        <v>33.654099036985592</v>
      </c>
      <c r="AB108" s="197">
        <f t="shared" si="37"/>
        <v>43559</v>
      </c>
      <c r="AC108" s="424">
        <f t="shared" si="38"/>
        <v>5.9215646468425125E-3</v>
      </c>
      <c r="AD108" s="169">
        <f>(INDEX(Models!$BJ108:$BT108,,AH108)*(1-AF108)+INDEX(Models!$BJ108:$BT108,,AH108+1)*AF108-ERP_i)*AE108*Ramure*Pc/MaxiM</f>
        <v>2.9432142644961498E-5</v>
      </c>
      <c r="AE108" s="304">
        <f t="shared" si="39"/>
        <v>0.7</v>
      </c>
      <c r="AF108" s="177">
        <f t="shared" si="40"/>
        <v>0.82237893071165358</v>
      </c>
      <c r="AG108" s="799">
        <f t="shared" si="41"/>
        <v>-2</v>
      </c>
      <c r="AH108" s="176">
        <f t="shared" si="42"/>
        <v>4</v>
      </c>
      <c r="AI108" s="224">
        <f t="shared" si="43"/>
        <v>-1.1776210692883464</v>
      </c>
      <c r="AJ108" s="264" t="b">
        <f t="shared" si="44"/>
        <v>0</v>
      </c>
      <c r="AK108" s="264" t="b">
        <f t="shared" si="45"/>
        <v>1</v>
      </c>
      <c r="AL108" s="264"/>
      <c r="AM108" s="264"/>
      <c r="AN108" s="75"/>
    </row>
    <row r="109" spans="1:40" s="6" customFormat="1" ht="11.25" x14ac:dyDescent="0.2">
      <c r="A109" s="56">
        <f t="shared" si="46"/>
        <v>43560</v>
      </c>
      <c r="B109" s="607">
        <v>49.609000000000002</v>
      </c>
      <c r="C109" s="388"/>
      <c r="D109" s="391">
        <f t="shared" si="48"/>
        <v>49.689879973331159</v>
      </c>
      <c r="E109" s="383">
        <f t="shared" si="49"/>
        <v>49.989336377745964</v>
      </c>
      <c r="F109" s="383">
        <f t="shared" si="50"/>
        <v>49.990590893937622</v>
      </c>
      <c r="G109" s="110">
        <f t="shared" si="51"/>
        <v>0.88061250462210094</v>
      </c>
      <c r="I109" s="379">
        <f t="shared" si="24"/>
        <v>49.990590893937622</v>
      </c>
      <c r="J109" s="85">
        <v>2018</v>
      </c>
      <c r="K109" s="197">
        <f t="shared" si="25"/>
        <v>43560</v>
      </c>
      <c r="L109" s="435">
        <f t="shared" si="26"/>
        <v>1.6276950834770432E-3</v>
      </c>
      <c r="M109" s="842"/>
      <c r="N109" s="842"/>
      <c r="O109" s="323">
        <f t="shared" si="27"/>
        <v>5.990405676761814E-3</v>
      </c>
      <c r="P109" s="169">
        <f>(INDEX(Models!$BJ109:$BT109,,T109)*(1-R109)+INDEX(Models!$BJ109:$BT109,,T109+1)*R109-ERP_i)*Q109*Ramure*Pc/MaxiM</f>
        <v>3.0254937281217204E-5</v>
      </c>
      <c r="Q109" s="304">
        <f t="shared" si="28"/>
        <v>0.7</v>
      </c>
      <c r="R109" s="177">
        <f t="shared" si="29"/>
        <v>0.82332305201406863</v>
      </c>
      <c r="S109" s="799">
        <f t="shared" si="47"/>
        <v>-2</v>
      </c>
      <c r="T109" s="176">
        <f t="shared" si="30"/>
        <v>4</v>
      </c>
      <c r="U109" s="250">
        <f t="shared" si="31"/>
        <v>-1.1766769479859314</v>
      </c>
      <c r="V109" s="382">
        <f t="shared" si="32"/>
        <v>56.334362453587595</v>
      </c>
      <c r="W109" s="58"/>
      <c r="X109" s="157">
        <f t="shared" si="33"/>
        <v>43560</v>
      </c>
      <c r="Y109" s="383">
        <f t="shared" si="34"/>
        <v>49.609000000000002</v>
      </c>
      <c r="Z109" s="383">
        <f t="shared" si="35"/>
        <v>49.689879973331159</v>
      </c>
      <c r="AA109" s="384">
        <f t="shared" si="36"/>
        <v>49.989336377745964</v>
      </c>
      <c r="AB109" s="197">
        <f t="shared" si="37"/>
        <v>43560</v>
      </c>
      <c r="AC109" s="424">
        <f t="shared" si="38"/>
        <v>5.990405676761814E-3</v>
      </c>
      <c r="AD109" s="169">
        <f>(INDEX(Models!$BJ109:$BT109,,AH109)*(1-AF109)+INDEX(Models!$BJ109:$BT109,,AH109+1)*AF109-ERP_i)*AE109*Ramure*Pc/MaxiM</f>
        <v>3.0254937281217204E-5</v>
      </c>
      <c r="AE109" s="304">
        <f t="shared" si="39"/>
        <v>0.7</v>
      </c>
      <c r="AF109" s="177">
        <f t="shared" si="40"/>
        <v>0.82332305201406863</v>
      </c>
      <c r="AG109" s="799">
        <f t="shared" si="41"/>
        <v>-2</v>
      </c>
      <c r="AH109" s="176">
        <f t="shared" si="42"/>
        <v>4</v>
      </c>
      <c r="AI109" s="224">
        <f t="shared" si="43"/>
        <v>-1.1766769479859314</v>
      </c>
      <c r="AJ109" s="264" t="b">
        <f t="shared" si="44"/>
        <v>0</v>
      </c>
      <c r="AK109" s="264" t="b">
        <f t="shared" si="45"/>
        <v>1</v>
      </c>
      <c r="AL109" s="264"/>
      <c r="AM109" s="264"/>
      <c r="AN109" s="75"/>
    </row>
    <row r="110" spans="1:40" s="6" customFormat="1" ht="11.25" customHeight="1" x14ac:dyDescent="0.2">
      <c r="A110" s="56">
        <f t="shared" si="46"/>
        <v>43561</v>
      </c>
      <c r="B110" s="607">
        <v>17.532</v>
      </c>
      <c r="C110" s="388"/>
      <c r="D110" s="391">
        <f t="shared" si="48"/>
        <v>17.560919826081982</v>
      </c>
      <c r="E110" s="383">
        <f t="shared" si="49"/>
        <v>17.667974932050473</v>
      </c>
      <c r="F110" s="383">
        <f t="shared" si="50"/>
        <v>17.667982803774187</v>
      </c>
      <c r="G110" s="110">
        <f t="shared" si="51"/>
        <v>0.31003418790246273</v>
      </c>
      <c r="I110" s="379">
        <f t="shared" si="24"/>
        <v>17.667982803774187</v>
      </c>
      <c r="J110" s="85">
        <v>2018</v>
      </c>
      <c r="K110" s="197">
        <f t="shared" si="25"/>
        <v>43561</v>
      </c>
      <c r="L110" s="435">
        <f t="shared" si="26"/>
        <v>1.6468286609354621E-3</v>
      </c>
      <c r="M110" s="842"/>
      <c r="N110" s="842"/>
      <c r="O110" s="323">
        <f t="shared" si="27"/>
        <v>6.0592742733798751E-3</v>
      </c>
      <c r="P110" s="169">
        <f>(INDEX(Models!$BJ110:$BT110,,T110)*(1-R110)+INDEX(Models!$BJ110:$BT110,,T110+1)*R110-ERP_i)*Q110*Ramure*Pc/MaxiM</f>
        <v>3.1051899200368941E-5</v>
      </c>
      <c r="Q110" s="304">
        <f t="shared" si="28"/>
        <v>0.7</v>
      </c>
      <c r="R110" s="177">
        <f t="shared" si="29"/>
        <v>0.82430175963250085</v>
      </c>
      <c r="S110" s="799">
        <f t="shared" si="47"/>
        <v>-2</v>
      </c>
      <c r="T110" s="176">
        <f t="shared" si="30"/>
        <v>4</v>
      </c>
      <c r="U110" s="250">
        <f t="shared" si="31"/>
        <v>-1.1756982403674991</v>
      </c>
      <c r="V110" s="382">
        <f t="shared" si="32"/>
        <v>56.546871580878822</v>
      </c>
      <c r="W110" s="58"/>
      <c r="X110" s="157">
        <f t="shared" si="33"/>
        <v>43561</v>
      </c>
      <c r="Y110" s="383">
        <f t="shared" si="34"/>
        <v>17.532</v>
      </c>
      <c r="Z110" s="383">
        <f t="shared" si="35"/>
        <v>17.560919826081982</v>
      </c>
      <c r="AA110" s="384">
        <f t="shared" si="36"/>
        <v>17.667974932050473</v>
      </c>
      <c r="AB110" s="197">
        <f t="shared" si="37"/>
        <v>43561</v>
      </c>
      <c r="AC110" s="424">
        <f t="shared" si="38"/>
        <v>6.0592742733798751E-3</v>
      </c>
      <c r="AD110" s="169">
        <f>(INDEX(Models!$BJ110:$BT110,,AH110)*(1-AF110)+INDEX(Models!$BJ110:$BT110,,AH110+1)*AF110-ERP_i)*AE110*Ramure*Pc/MaxiM</f>
        <v>3.1051899200368941E-5</v>
      </c>
      <c r="AE110" s="304">
        <f t="shared" si="39"/>
        <v>0.7</v>
      </c>
      <c r="AF110" s="177">
        <f t="shared" si="40"/>
        <v>0.82430175963250085</v>
      </c>
      <c r="AG110" s="799">
        <f t="shared" si="41"/>
        <v>-2</v>
      </c>
      <c r="AH110" s="176">
        <f t="shared" si="42"/>
        <v>4</v>
      </c>
      <c r="AI110" s="224">
        <f t="shared" si="43"/>
        <v>-1.1756982403674991</v>
      </c>
      <c r="AJ110" s="264" t="b">
        <f t="shared" si="44"/>
        <v>0</v>
      </c>
      <c r="AK110" s="264" t="b">
        <f t="shared" si="45"/>
        <v>1</v>
      </c>
      <c r="AL110" s="264"/>
      <c r="AM110" s="264"/>
      <c r="AN110" s="75"/>
    </row>
    <row r="111" spans="1:40" s="6" customFormat="1" ht="11.25" x14ac:dyDescent="0.2">
      <c r="A111" s="56">
        <f t="shared" si="46"/>
        <v>43562</v>
      </c>
      <c r="B111" s="607">
        <v>24.754999999999999</v>
      </c>
      <c r="C111" s="388"/>
      <c r="D111" s="391">
        <f t="shared" si="48"/>
        <v>24.796309706530021</v>
      </c>
      <c r="E111" s="383">
        <f t="shared" si="49"/>
        <v>24.949202776011234</v>
      </c>
      <c r="F111" s="383">
        <f t="shared" si="50"/>
        <v>24.949357229214378</v>
      </c>
      <c r="G111" s="110">
        <f t="shared" si="51"/>
        <v>0.43618482604298131</v>
      </c>
      <c r="I111" s="379">
        <f t="shared" si="24"/>
        <v>24.949357229214378</v>
      </c>
      <c r="J111" s="85">
        <v>2018</v>
      </c>
      <c r="K111" s="197">
        <f t="shared" si="25"/>
        <v>43562</v>
      </c>
      <c r="L111" s="435">
        <f t="shared" si="26"/>
        <v>1.6659618717032032E-3</v>
      </c>
      <c r="M111" s="842"/>
      <c r="N111" s="842"/>
      <c r="O111" s="323">
        <f t="shared" si="27"/>
        <v>6.1281745494577034E-3</v>
      </c>
      <c r="P111" s="169">
        <f>(INDEX(Models!$BJ111:$BT111,,T111)*(1-R111)+INDEX(Models!$BJ111:$BT111,,T111+1)*R111-ERP_i)*Q111*Ramure*Pc/MaxiM</f>
        <v>3.1817879341811454E-5</v>
      </c>
      <c r="Q111" s="304">
        <f t="shared" si="28"/>
        <v>0.7</v>
      </c>
      <c r="R111" s="177">
        <f t="shared" si="29"/>
        <v>0.82531611688125994</v>
      </c>
      <c r="S111" s="799">
        <f t="shared" si="47"/>
        <v>-2</v>
      </c>
      <c r="T111" s="176">
        <f t="shared" si="30"/>
        <v>4</v>
      </c>
      <c r="U111" s="250">
        <f t="shared" si="31"/>
        <v>-1.1746838831187401</v>
      </c>
      <c r="V111" s="382">
        <f t="shared" si="32"/>
        <v>56.752009965684053</v>
      </c>
      <c r="W111" s="58"/>
      <c r="X111" s="157">
        <f t="shared" si="33"/>
        <v>43562</v>
      </c>
      <c r="Y111" s="383">
        <f t="shared" si="34"/>
        <v>24.754999999999999</v>
      </c>
      <c r="Z111" s="383">
        <f t="shared" si="35"/>
        <v>24.796309706530021</v>
      </c>
      <c r="AA111" s="384">
        <f t="shared" si="36"/>
        <v>24.949202776011234</v>
      </c>
      <c r="AB111" s="197">
        <f t="shared" si="37"/>
        <v>43562</v>
      </c>
      <c r="AC111" s="424">
        <f t="shared" si="38"/>
        <v>6.1281745494577034E-3</v>
      </c>
      <c r="AD111" s="169">
        <f>(INDEX(Models!$BJ111:$BT111,,AH111)*(1-AF111)+INDEX(Models!$BJ111:$BT111,,AH111+1)*AF111-ERP_i)*AE111*Ramure*Pc/MaxiM</f>
        <v>3.1817879341811454E-5</v>
      </c>
      <c r="AE111" s="304">
        <f t="shared" si="39"/>
        <v>0.7</v>
      </c>
      <c r="AF111" s="177">
        <f t="shared" si="40"/>
        <v>0.82531611688125994</v>
      </c>
      <c r="AG111" s="799">
        <f t="shared" si="41"/>
        <v>-2</v>
      </c>
      <c r="AH111" s="176">
        <f t="shared" si="42"/>
        <v>4</v>
      </c>
      <c r="AI111" s="224">
        <f t="shared" si="43"/>
        <v>-1.1746838831187401</v>
      </c>
      <c r="AJ111" s="264" t="b">
        <f t="shared" si="44"/>
        <v>0</v>
      </c>
      <c r="AK111" s="264" t="b">
        <f t="shared" si="45"/>
        <v>1</v>
      </c>
      <c r="AL111" s="264"/>
      <c r="AM111" s="264"/>
      <c r="AN111" s="75"/>
    </row>
    <row r="112" spans="1:40" s="6" customFormat="1" ht="11.25" customHeight="1" x14ac:dyDescent="0.2">
      <c r="A112" s="56">
        <f t="shared" si="46"/>
        <v>43563</v>
      </c>
      <c r="B112" s="607">
        <v>34.476999999999997</v>
      </c>
      <c r="C112" s="388"/>
      <c r="D112" s="391">
        <f t="shared" si="48"/>
        <v>34.53519507472911</v>
      </c>
      <c r="E112" s="383">
        <f t="shared" si="49"/>
        <v>34.750548065453536</v>
      </c>
      <c r="F112" s="383">
        <f t="shared" si="50"/>
        <v>34.751041508672031</v>
      </c>
      <c r="G112" s="110">
        <f t="shared" si="51"/>
        <v>0.60537734378254815</v>
      </c>
      <c r="I112" s="379">
        <f t="shared" si="24"/>
        <v>34.751041508672031</v>
      </c>
      <c r="J112" s="85">
        <v>2018</v>
      </c>
      <c r="K112" s="197">
        <f t="shared" si="25"/>
        <v>43563</v>
      </c>
      <c r="L112" s="435">
        <f t="shared" si="26"/>
        <v>1.6850947157873719E-3</v>
      </c>
      <c r="M112" s="842"/>
      <c r="N112" s="842"/>
      <c r="O112" s="323">
        <f t="shared" si="27"/>
        <v>6.1971106274009207E-3</v>
      </c>
      <c r="P112" s="169">
        <f>(INDEX(Models!$BJ112:$BT112,,T112)*(1-R112)+INDEX(Models!$BJ112:$BT112,,T112+1)*R112-ERP_i)*Q112*Ramure*Pc/MaxiM</f>
        <v>3.2547286710227579E-5</v>
      </c>
      <c r="Q112" s="304">
        <f t="shared" si="28"/>
        <v>0.7</v>
      </c>
      <c r="R112" s="177">
        <f t="shared" si="29"/>
        <v>0.82636720354345483</v>
      </c>
      <c r="S112" s="799">
        <f t="shared" si="47"/>
        <v>-2</v>
      </c>
      <c r="T112" s="176">
        <f t="shared" si="30"/>
        <v>4</v>
      </c>
      <c r="U112" s="250">
        <f t="shared" si="31"/>
        <v>-1.1736327964565452</v>
      </c>
      <c r="V112" s="382">
        <f t="shared" si="32"/>
        <v>56.950210912744055</v>
      </c>
      <c r="W112" s="58"/>
      <c r="X112" s="157">
        <f t="shared" si="33"/>
        <v>43563</v>
      </c>
      <c r="Y112" s="383">
        <f t="shared" si="34"/>
        <v>34.476999999999997</v>
      </c>
      <c r="Z112" s="383">
        <f t="shared" si="35"/>
        <v>34.53519507472911</v>
      </c>
      <c r="AA112" s="384">
        <f t="shared" si="36"/>
        <v>34.750548065453536</v>
      </c>
      <c r="AB112" s="197">
        <f t="shared" si="37"/>
        <v>43563</v>
      </c>
      <c r="AC112" s="424">
        <f t="shared" si="38"/>
        <v>6.1971106274009207E-3</v>
      </c>
      <c r="AD112" s="169">
        <f>(INDEX(Models!$BJ112:$BT112,,AH112)*(1-AF112)+INDEX(Models!$BJ112:$BT112,,AH112+1)*AF112-ERP_i)*AE112*Ramure*Pc/MaxiM</f>
        <v>3.2547286710227579E-5</v>
      </c>
      <c r="AE112" s="304">
        <f t="shared" si="39"/>
        <v>0.7</v>
      </c>
      <c r="AF112" s="177">
        <f t="shared" si="40"/>
        <v>0.82636720354345483</v>
      </c>
      <c r="AG112" s="799">
        <f t="shared" si="41"/>
        <v>-2</v>
      </c>
      <c r="AH112" s="176">
        <f t="shared" si="42"/>
        <v>4</v>
      </c>
      <c r="AI112" s="224">
        <f t="shared" si="43"/>
        <v>-1.1736327964565452</v>
      </c>
      <c r="AJ112" s="264" t="b">
        <f t="shared" si="44"/>
        <v>0</v>
      </c>
      <c r="AK112" s="264" t="b">
        <f t="shared" si="45"/>
        <v>1</v>
      </c>
      <c r="AL112" s="264"/>
      <c r="AM112" s="264"/>
      <c r="AN112" s="75"/>
    </row>
    <row r="113" spans="1:40" s="6" customFormat="1" ht="11.25" x14ac:dyDescent="0.2">
      <c r="A113" s="56">
        <f t="shared" si="46"/>
        <v>43564</v>
      </c>
      <c r="B113" s="607">
        <v>44.259</v>
      </c>
      <c r="C113" s="388"/>
      <c r="D113" s="391">
        <f t="shared" si="48"/>
        <v>44.334556156199618</v>
      </c>
      <c r="E113" s="383">
        <f t="shared" si="49"/>
        <v>44.614112047269671</v>
      </c>
      <c r="F113" s="383">
        <f t="shared" si="50"/>
        <v>44.615117230380669</v>
      </c>
      <c r="G113" s="110">
        <f t="shared" si="51"/>
        <v>0.77453707974838237</v>
      </c>
      <c r="I113" s="379">
        <f t="shared" si="24"/>
        <v>44.615117230380669</v>
      </c>
      <c r="J113" s="85">
        <v>2018</v>
      </c>
      <c r="K113" s="197">
        <f t="shared" si="25"/>
        <v>43564</v>
      </c>
      <c r="L113" s="435">
        <f t="shared" si="26"/>
        <v>1.7042271931948516E-3</v>
      </c>
      <c r="M113" s="842"/>
      <c r="N113" s="842"/>
      <c r="O113" s="323">
        <f t="shared" si="27"/>
        <v>6.2660866313748254E-3</v>
      </c>
      <c r="P113" s="169">
        <f>(INDEX(Models!$BJ113:$BT113,,T113)*(1-R113)+INDEX(Models!$BJ113:$BT113,,T113+1)*R113-ERP_i)*Q113*Ramure*Pc/MaxiM</f>
        <v>3.3234063358820686E-5</v>
      </c>
      <c r="Q113" s="304">
        <f t="shared" si="28"/>
        <v>0.7</v>
      </c>
      <c r="R113" s="177">
        <f t="shared" si="29"/>
        <v>0.82745611473350777</v>
      </c>
      <c r="S113" s="799">
        <f t="shared" si="47"/>
        <v>-2</v>
      </c>
      <c r="T113" s="176">
        <f t="shared" si="30"/>
        <v>4</v>
      </c>
      <c r="U113" s="250">
        <f t="shared" si="31"/>
        <v>-1.1725438852664922</v>
      </c>
      <c r="V113" s="382">
        <f t="shared" si="32"/>
        <v>57.141907598597633</v>
      </c>
      <c r="W113" s="58"/>
      <c r="X113" s="157">
        <f t="shared" si="33"/>
        <v>43564</v>
      </c>
      <c r="Y113" s="383">
        <f t="shared" si="34"/>
        <v>44.259</v>
      </c>
      <c r="Z113" s="383">
        <f t="shared" si="35"/>
        <v>44.334556156199618</v>
      </c>
      <c r="AA113" s="384">
        <f t="shared" si="36"/>
        <v>44.614112047269671</v>
      </c>
      <c r="AB113" s="197">
        <f t="shared" si="37"/>
        <v>43564</v>
      </c>
      <c r="AC113" s="424">
        <f t="shared" si="38"/>
        <v>6.2660866313748254E-3</v>
      </c>
      <c r="AD113" s="169">
        <f>(INDEX(Models!$BJ113:$BT113,,AH113)*(1-AF113)+INDEX(Models!$BJ113:$BT113,,AH113+1)*AF113-ERP_i)*AE113*Ramure*Pc/MaxiM</f>
        <v>3.3234063358820686E-5</v>
      </c>
      <c r="AE113" s="304">
        <f t="shared" si="39"/>
        <v>0.7</v>
      </c>
      <c r="AF113" s="177">
        <f t="shared" si="40"/>
        <v>0.82745611473350777</v>
      </c>
      <c r="AG113" s="799">
        <f t="shared" si="41"/>
        <v>-2</v>
      </c>
      <c r="AH113" s="176">
        <f t="shared" si="42"/>
        <v>4</v>
      </c>
      <c r="AI113" s="224">
        <f t="shared" si="43"/>
        <v>-1.1725438852664922</v>
      </c>
      <c r="AJ113" s="264" t="b">
        <f t="shared" si="44"/>
        <v>0</v>
      </c>
      <c r="AK113" s="264" t="b">
        <f t="shared" si="45"/>
        <v>1</v>
      </c>
      <c r="AL113" s="264"/>
      <c r="AM113" s="264"/>
      <c r="AN113" s="75"/>
    </row>
    <row r="114" spans="1:40" s="6" customFormat="1" ht="11.25" x14ac:dyDescent="0.2">
      <c r="A114" s="56">
        <f t="shared" si="46"/>
        <v>43565</v>
      </c>
      <c r="B114" s="607">
        <v>34.521000000000001</v>
      </c>
      <c r="C114" s="388"/>
      <c r="D114" s="391">
        <f t="shared" si="48"/>
        <v>34.580594789766479</v>
      </c>
      <c r="E114" s="383">
        <f t="shared" si="49"/>
        <v>34.801063237929576</v>
      </c>
      <c r="F114" s="383">
        <f t="shared" si="50"/>
        <v>34.801572471139671</v>
      </c>
      <c r="G114" s="110">
        <f t="shared" si="51"/>
        <v>0.60215979969670974</v>
      </c>
      <c r="I114" s="379">
        <f t="shared" si="24"/>
        <v>34.801572471139671</v>
      </c>
      <c r="J114" s="85">
        <v>2018</v>
      </c>
      <c r="K114" s="197">
        <f t="shared" si="25"/>
        <v>43565</v>
      </c>
      <c r="L114" s="435">
        <f t="shared" si="26"/>
        <v>1.7233593039328587E-3</v>
      </c>
      <c r="M114" s="842"/>
      <c r="N114" s="842"/>
      <c r="O114" s="323">
        <f t="shared" si="27"/>
        <v>6.3351066792353486E-3</v>
      </c>
      <c r="P114" s="169">
        <f>(INDEX(Models!$BJ114:$BT114,,T114)*(1-R114)+INDEX(Models!$BJ114:$BT114,,T114+1)*R114-ERP_i)*Q114*Ramure*Pc/MaxiM</f>
        <v>3.3897099166783655E-5</v>
      </c>
      <c r="Q114" s="304">
        <f t="shared" si="28"/>
        <v>0.7</v>
      </c>
      <c r="R114" s="177">
        <f t="shared" si="29"/>
        <v>0.82858395961858178</v>
      </c>
      <c r="S114" s="799">
        <f t="shared" si="47"/>
        <v>-2</v>
      </c>
      <c r="T114" s="176">
        <f t="shared" si="30"/>
        <v>4</v>
      </c>
      <c r="U114" s="250">
        <f t="shared" si="31"/>
        <v>-1.1714160403814182</v>
      </c>
      <c r="V114" s="382">
        <f t="shared" si="32"/>
        <v>57.327531618077401</v>
      </c>
      <c r="W114" s="58"/>
      <c r="X114" s="157">
        <f t="shared" si="33"/>
        <v>43565</v>
      </c>
      <c r="Y114" s="383">
        <f t="shared" si="34"/>
        <v>34.521000000000001</v>
      </c>
      <c r="Z114" s="383">
        <f t="shared" si="35"/>
        <v>34.580594789766479</v>
      </c>
      <c r="AA114" s="384">
        <f t="shared" si="36"/>
        <v>34.801063237929576</v>
      </c>
      <c r="AB114" s="197">
        <f t="shared" si="37"/>
        <v>43565</v>
      </c>
      <c r="AC114" s="424">
        <f t="shared" si="38"/>
        <v>6.3351066792353486E-3</v>
      </c>
      <c r="AD114" s="169">
        <f>(INDEX(Models!$BJ114:$BT114,,AH114)*(1-AF114)+INDEX(Models!$BJ114:$BT114,,AH114+1)*AF114-ERP_i)*AE114*Ramure*Pc/MaxiM</f>
        <v>3.3897099166783655E-5</v>
      </c>
      <c r="AE114" s="304">
        <f t="shared" si="39"/>
        <v>0.7</v>
      </c>
      <c r="AF114" s="177">
        <f t="shared" si="40"/>
        <v>0.82858395961858178</v>
      </c>
      <c r="AG114" s="799">
        <f t="shared" si="41"/>
        <v>-2</v>
      </c>
      <c r="AH114" s="176">
        <f t="shared" si="42"/>
        <v>4</v>
      </c>
      <c r="AI114" s="224">
        <f t="shared" si="43"/>
        <v>-1.1714160403814182</v>
      </c>
      <c r="AJ114" s="264" t="b">
        <f t="shared" si="44"/>
        <v>0</v>
      </c>
      <c r="AK114" s="264" t="b">
        <f t="shared" si="45"/>
        <v>1</v>
      </c>
      <c r="AL114" s="264"/>
      <c r="AM114" s="264"/>
      <c r="AN114" s="75"/>
    </row>
    <row r="115" spans="1:40" s="6" customFormat="1" ht="11.25" x14ac:dyDescent="0.2">
      <c r="A115" s="56">
        <f t="shared" si="46"/>
        <v>43566</v>
      </c>
      <c r="B115" s="607">
        <v>7.6120000000000001</v>
      </c>
      <c r="C115" s="388"/>
      <c r="D115" s="391">
        <f t="shared" si="48"/>
        <v>7.6252869943261077</v>
      </c>
      <c r="E115" s="383">
        <f t="shared" si="49"/>
        <v>7.6744354208221672</v>
      </c>
      <c r="F115" s="383">
        <f t="shared" si="50"/>
        <v>7.6744354208221672</v>
      </c>
      <c r="G115" s="110">
        <f t="shared" si="51"/>
        <v>0.13236073658539543</v>
      </c>
      <c r="I115" s="379">
        <f t="shared" si="24"/>
        <v>7.6744354208221672</v>
      </c>
      <c r="J115" s="85">
        <v>2018</v>
      </c>
      <c r="K115" s="197">
        <f t="shared" si="25"/>
        <v>43566</v>
      </c>
      <c r="L115" s="435">
        <f t="shared" si="26"/>
        <v>1.7424910480082767E-3</v>
      </c>
      <c r="M115" s="842"/>
      <c r="N115" s="842"/>
      <c r="O115" s="323">
        <f t="shared" si="27"/>
        <v>6.4041748742468246E-3</v>
      </c>
      <c r="P115" s="169">
        <f>(INDEX(Models!$BJ115:$BT115,,T115)*(1-R115)+INDEX(Models!$BJ115:$BT115,,T115+1)*R115-ERP_i)*Q115*Ramure*Pc/MaxiM</f>
        <v>3.4546896961152262E-5</v>
      </c>
      <c r="Q115" s="304">
        <f t="shared" si="28"/>
        <v>0.7</v>
      </c>
      <c r="R115" s="177">
        <f t="shared" si="29"/>
        <v>0.82975185999129941</v>
      </c>
      <c r="S115" s="799">
        <f t="shared" si="47"/>
        <v>-2</v>
      </c>
      <c r="T115" s="176">
        <f t="shared" si="30"/>
        <v>4</v>
      </c>
      <c r="U115" s="250">
        <f t="shared" si="31"/>
        <v>-1.1702481400087006</v>
      </c>
      <c r="V115" s="382">
        <f t="shared" si="32"/>
        <v>57.507514882326554</v>
      </c>
      <c r="W115" s="58"/>
      <c r="X115" s="157">
        <f t="shared" si="33"/>
        <v>43566</v>
      </c>
      <c r="Y115" s="383">
        <f t="shared" si="34"/>
        <v>7.6120000000000001</v>
      </c>
      <c r="Z115" s="383">
        <f t="shared" si="35"/>
        <v>7.6252869943261077</v>
      </c>
      <c r="AA115" s="384">
        <f t="shared" si="36"/>
        <v>7.6744354208221672</v>
      </c>
      <c r="AB115" s="197">
        <f t="shared" si="37"/>
        <v>43566</v>
      </c>
      <c r="AC115" s="424">
        <f t="shared" si="38"/>
        <v>6.4041748742468246E-3</v>
      </c>
      <c r="AD115" s="169">
        <f>(INDEX(Models!$BJ115:$BT115,,AH115)*(1-AF115)+INDEX(Models!$BJ115:$BT115,,AH115+1)*AF115-ERP_i)*AE115*Ramure*Pc/MaxiM</f>
        <v>3.4546896961152262E-5</v>
      </c>
      <c r="AE115" s="304">
        <f t="shared" si="39"/>
        <v>0.7</v>
      </c>
      <c r="AF115" s="177">
        <f t="shared" si="40"/>
        <v>0.82975185999129941</v>
      </c>
      <c r="AG115" s="799">
        <f t="shared" si="41"/>
        <v>-2</v>
      </c>
      <c r="AH115" s="176">
        <f t="shared" si="42"/>
        <v>4</v>
      </c>
      <c r="AI115" s="224">
        <f t="shared" si="43"/>
        <v>-1.1702481400087006</v>
      </c>
      <c r="AJ115" s="264" t="b">
        <f t="shared" si="44"/>
        <v>0</v>
      </c>
      <c r="AK115" s="264" t="b">
        <f t="shared" si="45"/>
        <v>1</v>
      </c>
      <c r="AL115" s="264"/>
      <c r="AM115" s="264"/>
      <c r="AN115" s="75"/>
    </row>
    <row r="116" spans="1:40" s="6" customFormat="1" ht="11.25" x14ac:dyDescent="0.2">
      <c r="A116" s="56">
        <f t="shared" si="46"/>
        <v>43567</v>
      </c>
      <c r="B116" s="607">
        <v>51.439</v>
      </c>
      <c r="C116" s="388"/>
      <c r="D116" s="391">
        <f t="shared" si="48"/>
        <v>51.529776008994737</v>
      </c>
      <c r="E116" s="383">
        <f t="shared" si="49"/>
        <v>51.865516815046945</v>
      </c>
      <c r="F116" s="383">
        <f t="shared" si="50"/>
        <v>51.867059384413963</v>
      </c>
      <c r="G116" s="110">
        <f t="shared" si="51"/>
        <v>0.89175932960651916</v>
      </c>
      <c r="I116" s="379">
        <f t="shared" si="24"/>
        <v>51.867059384413963</v>
      </c>
      <c r="J116" s="85">
        <v>2018</v>
      </c>
      <c r="K116" s="197">
        <f t="shared" si="25"/>
        <v>43567</v>
      </c>
      <c r="L116" s="435">
        <f t="shared" si="26"/>
        <v>1.7616224254282109E-3</v>
      </c>
      <c r="M116" s="842"/>
      <c r="N116" s="842"/>
      <c r="O116" s="323">
        <f t="shared" si="27"/>
        <v>6.4732952965543458E-3</v>
      </c>
      <c r="P116" s="169">
        <f>(INDEX(Models!$BJ116:$BT116,,T116)*(1-R116)+INDEX(Models!$BJ116:$BT116,,T116+1)*R116-ERP_i)*Q116*Ramure*Pc/MaxiM</f>
        <v>3.5180535239593924E-5</v>
      </c>
      <c r="Q116" s="304">
        <f t="shared" si="28"/>
        <v>0.7</v>
      </c>
      <c r="R116" s="177">
        <f t="shared" si="29"/>
        <v>0.83096094868620196</v>
      </c>
      <c r="S116" s="799">
        <f t="shared" si="47"/>
        <v>-2</v>
      </c>
      <c r="T116" s="176">
        <f t="shared" si="30"/>
        <v>4</v>
      </c>
      <c r="U116" s="250">
        <f t="shared" si="31"/>
        <v>-1.169039051313798</v>
      </c>
      <c r="V116" s="382">
        <f t="shared" si="32"/>
        <v>57.68228990813973</v>
      </c>
      <c r="W116" s="58"/>
      <c r="X116" s="157">
        <f t="shared" si="33"/>
        <v>43567</v>
      </c>
      <c r="Y116" s="383">
        <f t="shared" si="34"/>
        <v>51.439</v>
      </c>
      <c r="Z116" s="383">
        <f t="shared" si="35"/>
        <v>51.529776008994737</v>
      </c>
      <c r="AA116" s="384">
        <f t="shared" si="36"/>
        <v>51.865516815046945</v>
      </c>
      <c r="AB116" s="197">
        <f t="shared" si="37"/>
        <v>43567</v>
      </c>
      <c r="AC116" s="424">
        <f t="shared" si="38"/>
        <v>6.4732952965543458E-3</v>
      </c>
      <c r="AD116" s="169">
        <f>(INDEX(Models!$BJ116:$BT116,,AH116)*(1-AF116)+INDEX(Models!$BJ116:$BT116,,AH116+1)*AF116-ERP_i)*AE116*Ramure*Pc/MaxiM</f>
        <v>3.5180535239593924E-5</v>
      </c>
      <c r="AE116" s="304">
        <f t="shared" si="39"/>
        <v>0.7</v>
      </c>
      <c r="AF116" s="177">
        <f t="shared" si="40"/>
        <v>0.83096094868620196</v>
      </c>
      <c r="AG116" s="799">
        <f t="shared" si="41"/>
        <v>-2</v>
      </c>
      <c r="AH116" s="176">
        <f t="shared" si="42"/>
        <v>4</v>
      </c>
      <c r="AI116" s="224">
        <f t="shared" si="43"/>
        <v>-1.169039051313798</v>
      </c>
      <c r="AJ116" s="264" t="b">
        <f t="shared" si="44"/>
        <v>0</v>
      </c>
      <c r="AK116" s="264" t="b">
        <f t="shared" si="45"/>
        <v>1</v>
      </c>
      <c r="AL116" s="264"/>
      <c r="AM116" s="264"/>
      <c r="AN116" s="75"/>
    </row>
    <row r="117" spans="1:40" s="6" customFormat="1" ht="11.25" x14ac:dyDescent="0.2">
      <c r="A117" s="56">
        <f t="shared" si="46"/>
        <v>43568</v>
      </c>
      <c r="B117" s="607">
        <v>56.518999999999998</v>
      </c>
      <c r="C117" s="388"/>
      <c r="D117" s="391">
        <f t="shared" si="48"/>
        <v>56.619825949616803</v>
      </c>
      <c r="E117" s="383">
        <f t="shared" si="49"/>
        <v>56.99269908727932</v>
      </c>
      <c r="F117" s="383">
        <f t="shared" si="50"/>
        <v>56.994672036100951</v>
      </c>
      <c r="G117" s="110">
        <f t="shared" si="51"/>
        <v>0.97695241261620036</v>
      </c>
      <c r="I117" s="379">
        <f t="shared" si="24"/>
        <v>56.994672036100951</v>
      </c>
      <c r="J117" s="85">
        <v>2018</v>
      </c>
      <c r="K117" s="197">
        <f t="shared" si="25"/>
        <v>43568</v>
      </c>
      <c r="L117" s="435">
        <f t="shared" si="26"/>
        <v>1.7807534361996558E-3</v>
      </c>
      <c r="M117" s="842"/>
      <c r="N117" s="842"/>
      <c r="O117" s="323">
        <f t="shared" si="27"/>
        <v>6.5424719943776369E-3</v>
      </c>
      <c r="P117" s="169">
        <f>(INDEX(Models!$BJ117:$BT117,,T117)*(1-R117)+INDEX(Models!$BJ117:$BT117,,T117+1)*R117-ERP_i)*Q117*Ramure*Pc/MaxiM</f>
        <v>3.5794864423202218E-5</v>
      </c>
      <c r="Q117" s="304">
        <f t="shared" si="28"/>
        <v>0.7</v>
      </c>
      <c r="R117" s="177">
        <f t="shared" si="29"/>
        <v>0.83221236783253927</v>
      </c>
      <c r="S117" s="799">
        <f t="shared" si="47"/>
        <v>-2</v>
      </c>
      <c r="T117" s="176">
        <f t="shared" si="30"/>
        <v>4</v>
      </c>
      <c r="U117" s="250">
        <f t="shared" si="31"/>
        <v>-1.1677876321674607</v>
      </c>
      <c r="V117" s="382">
        <f t="shared" si="32"/>
        <v>57.852289078420668</v>
      </c>
      <c r="W117" s="58"/>
      <c r="X117" s="157">
        <f t="shared" si="33"/>
        <v>43568</v>
      </c>
      <c r="Y117" s="383">
        <f t="shared" si="34"/>
        <v>56.518999999999998</v>
      </c>
      <c r="Z117" s="383">
        <f t="shared" si="35"/>
        <v>56.619825949616803</v>
      </c>
      <c r="AA117" s="384">
        <f t="shared" si="36"/>
        <v>56.99269908727932</v>
      </c>
      <c r="AB117" s="197">
        <f t="shared" si="37"/>
        <v>43568</v>
      </c>
      <c r="AC117" s="424">
        <f t="shared" si="38"/>
        <v>6.5424719943776369E-3</v>
      </c>
      <c r="AD117" s="169">
        <f>(INDEX(Models!$BJ117:$BT117,,AH117)*(1-AF117)+INDEX(Models!$BJ117:$BT117,,AH117+1)*AF117-ERP_i)*AE117*Ramure*Pc/MaxiM</f>
        <v>3.5794864423202218E-5</v>
      </c>
      <c r="AE117" s="304">
        <f t="shared" si="39"/>
        <v>0.7</v>
      </c>
      <c r="AF117" s="177">
        <f t="shared" si="40"/>
        <v>0.83221236783253927</v>
      </c>
      <c r="AG117" s="799">
        <f t="shared" si="41"/>
        <v>-2</v>
      </c>
      <c r="AH117" s="176">
        <f t="shared" si="42"/>
        <v>4</v>
      </c>
      <c r="AI117" s="224">
        <f t="shared" si="43"/>
        <v>-1.1677876321674607</v>
      </c>
      <c r="AJ117" s="264" t="b">
        <f t="shared" si="44"/>
        <v>0</v>
      </c>
      <c r="AK117" s="264" t="b">
        <f t="shared" si="45"/>
        <v>1</v>
      </c>
      <c r="AL117" s="264"/>
      <c r="AM117" s="264"/>
      <c r="AN117" s="75"/>
    </row>
    <row r="118" spans="1:40" s="6" customFormat="1" ht="11.25" x14ac:dyDescent="0.2">
      <c r="A118" s="56">
        <f t="shared" si="46"/>
        <v>43569</v>
      </c>
      <c r="B118" s="607">
        <v>27.946000000000002</v>
      </c>
      <c r="C118" s="388"/>
      <c r="D118" s="391">
        <f t="shared" si="48"/>
        <v>27.996390257130507</v>
      </c>
      <c r="E118" s="383">
        <f t="shared" si="49"/>
        <v>28.182726241156089</v>
      </c>
      <c r="F118" s="383">
        <f t="shared" si="50"/>
        <v>28.182992395144829</v>
      </c>
      <c r="G118" s="110">
        <f t="shared" si="51"/>
        <v>0.48166558170019735</v>
      </c>
      <c r="I118" s="379">
        <f t="shared" si="24"/>
        <v>28.182992395144829</v>
      </c>
      <c r="J118" s="85">
        <v>2018</v>
      </c>
      <c r="K118" s="197">
        <f t="shared" si="25"/>
        <v>43569</v>
      </c>
      <c r="L118" s="435">
        <f t="shared" si="26"/>
        <v>1.7998840803296057E-3</v>
      </c>
      <c r="M118" s="842"/>
      <c r="N118" s="842"/>
      <c r="O118" s="323">
        <f t="shared" si="27"/>
        <v>6.6117089748923257E-3</v>
      </c>
      <c r="P118" s="169">
        <f>(INDEX(Models!$BJ118:$BT118,,T118)*(1-R118)+INDEX(Models!$BJ118:$BT118,,T118+1)*R118-ERP_i)*Q118*Ramure*Pc/MaxiM</f>
        <v>3.6386496212338235E-5</v>
      </c>
      <c r="Q118" s="304">
        <f t="shared" si="28"/>
        <v>0.7</v>
      </c>
      <c r="R118" s="177">
        <f t="shared" si="29"/>
        <v>0.83350726693619026</v>
      </c>
      <c r="S118" s="799">
        <f t="shared" si="47"/>
        <v>-2</v>
      </c>
      <c r="T118" s="176">
        <f t="shared" si="30"/>
        <v>4</v>
      </c>
      <c r="U118" s="250">
        <f t="shared" si="31"/>
        <v>-1.1664927330638097</v>
      </c>
      <c r="V118" s="382">
        <f t="shared" si="32"/>
        <v>58.017944635173727</v>
      </c>
      <c r="W118" s="58"/>
      <c r="X118" s="157">
        <f t="shared" si="33"/>
        <v>43569</v>
      </c>
      <c r="Y118" s="383">
        <f t="shared" si="34"/>
        <v>27.946000000000002</v>
      </c>
      <c r="Z118" s="383">
        <f t="shared" si="35"/>
        <v>27.996390257130507</v>
      </c>
      <c r="AA118" s="384">
        <f t="shared" si="36"/>
        <v>28.182726241156089</v>
      </c>
      <c r="AB118" s="197">
        <f t="shared" si="37"/>
        <v>43569</v>
      </c>
      <c r="AC118" s="424">
        <f t="shared" si="38"/>
        <v>6.6117089748923257E-3</v>
      </c>
      <c r="AD118" s="169">
        <f>(INDEX(Models!$BJ118:$BT118,,AH118)*(1-AF118)+INDEX(Models!$BJ118:$BT118,,AH118+1)*AF118-ERP_i)*AE118*Ramure*Pc/MaxiM</f>
        <v>3.6386496212338235E-5</v>
      </c>
      <c r="AE118" s="304">
        <f t="shared" si="39"/>
        <v>0.7</v>
      </c>
      <c r="AF118" s="177">
        <f t="shared" si="40"/>
        <v>0.83350726693619026</v>
      </c>
      <c r="AG118" s="799">
        <f t="shared" si="41"/>
        <v>-2</v>
      </c>
      <c r="AH118" s="176">
        <f t="shared" si="42"/>
        <v>4</v>
      </c>
      <c r="AI118" s="224">
        <f t="shared" si="43"/>
        <v>-1.1664927330638097</v>
      </c>
      <c r="AJ118" s="264" t="b">
        <f t="shared" si="44"/>
        <v>0</v>
      </c>
      <c r="AK118" s="264" t="b">
        <f t="shared" si="45"/>
        <v>1</v>
      </c>
      <c r="AL118" s="264"/>
      <c r="AM118" s="264"/>
      <c r="AN118" s="75"/>
    </row>
    <row r="119" spans="1:40" s="6" customFormat="1" ht="11.25" customHeight="1" x14ac:dyDescent="0.2">
      <c r="A119" s="56">
        <f t="shared" si="46"/>
        <v>43570</v>
      </c>
      <c r="B119" s="607">
        <v>42.514000000000003</v>
      </c>
      <c r="C119" s="388"/>
      <c r="D119" s="391">
        <f t="shared" si="48"/>
        <v>42.591474503643077</v>
      </c>
      <c r="E119" s="383">
        <f t="shared" si="49"/>
        <v>42.877942474445391</v>
      </c>
      <c r="F119" s="383">
        <f t="shared" si="50"/>
        <v>42.87891744742786</v>
      </c>
      <c r="G119" s="110">
        <f t="shared" si="51"/>
        <v>0.73072573355902659</v>
      </c>
      <c r="I119" s="379">
        <f t="shared" si="24"/>
        <v>42.87891744742786</v>
      </c>
      <c r="J119" s="85">
        <v>2018</v>
      </c>
      <c r="K119" s="197">
        <f t="shared" si="25"/>
        <v>43570</v>
      </c>
      <c r="L119" s="435">
        <f t="shared" si="26"/>
        <v>1.8190143578251661E-3</v>
      </c>
      <c r="M119" s="842"/>
      <c r="N119" s="842"/>
      <c r="O119" s="323">
        <f t="shared" si="27"/>
        <v>6.6810101947648035E-3</v>
      </c>
      <c r="P119" s="169">
        <f>(INDEX(Models!$BJ119:$BT119,,T119)*(1-R119)+INDEX(Models!$BJ119:$BT119,,T119+1)*R119-ERP_i)*Q119*Ramure*Pc/MaxiM</f>
        <v>3.6951793024949215E-5</v>
      </c>
      <c r="Q119" s="304">
        <f t="shared" si="28"/>
        <v>0.7</v>
      </c>
      <c r="R119" s="177">
        <f t="shared" si="29"/>
        <v>0.83484680078381546</v>
      </c>
      <c r="S119" s="799">
        <f t="shared" si="47"/>
        <v>-2</v>
      </c>
      <c r="T119" s="176">
        <f t="shared" si="30"/>
        <v>4</v>
      </c>
      <c r="U119" s="250">
        <f t="shared" si="31"/>
        <v>-1.1651531992161845</v>
      </c>
      <c r="V119" s="382">
        <f t="shared" si="32"/>
        <v>58.179688685964244</v>
      </c>
      <c r="W119" s="58"/>
      <c r="X119" s="157">
        <f t="shared" si="33"/>
        <v>43570</v>
      </c>
      <c r="Y119" s="383">
        <f t="shared" si="34"/>
        <v>42.514000000000003</v>
      </c>
      <c r="Z119" s="383">
        <f t="shared" si="35"/>
        <v>42.591474503643077</v>
      </c>
      <c r="AA119" s="384">
        <f t="shared" si="36"/>
        <v>42.877942474445391</v>
      </c>
      <c r="AB119" s="197">
        <f t="shared" si="37"/>
        <v>43570</v>
      </c>
      <c r="AC119" s="424">
        <f t="shared" si="38"/>
        <v>6.6810101947648035E-3</v>
      </c>
      <c r="AD119" s="169">
        <f>(INDEX(Models!$BJ119:$BT119,,AH119)*(1-AF119)+INDEX(Models!$BJ119:$BT119,,AH119+1)*AF119-ERP_i)*AE119*Ramure*Pc/MaxiM</f>
        <v>3.6951793024949215E-5</v>
      </c>
      <c r="AE119" s="304">
        <f t="shared" si="39"/>
        <v>0.7</v>
      </c>
      <c r="AF119" s="177">
        <f t="shared" si="40"/>
        <v>0.83484680078381546</v>
      </c>
      <c r="AG119" s="799">
        <f t="shared" si="41"/>
        <v>-2</v>
      </c>
      <c r="AH119" s="176">
        <f t="shared" si="42"/>
        <v>4</v>
      </c>
      <c r="AI119" s="224">
        <f t="shared" si="43"/>
        <v>-1.1651531992161845</v>
      </c>
      <c r="AJ119" s="264" t="b">
        <f t="shared" si="44"/>
        <v>0</v>
      </c>
      <c r="AK119" s="264" t="b">
        <f t="shared" si="45"/>
        <v>1</v>
      </c>
      <c r="AL119" s="264"/>
      <c r="AM119" s="264"/>
      <c r="AN119" s="75"/>
    </row>
    <row r="120" spans="1:40" s="6" customFormat="1" ht="11.25" x14ac:dyDescent="0.2">
      <c r="A120" s="56">
        <f t="shared" si="46"/>
        <v>43571</v>
      </c>
      <c r="B120" s="607">
        <v>32.173999999999999</v>
      </c>
      <c r="C120" s="388"/>
      <c r="D120" s="391">
        <f t="shared" si="48"/>
        <v>32.233249362577183</v>
      </c>
      <c r="E120" s="383">
        <f t="shared" si="49"/>
        <v>32.452314804795641</v>
      </c>
      <c r="F120" s="383">
        <f t="shared" si="50"/>
        <v>32.452751912873303</v>
      </c>
      <c r="G120" s="110">
        <f t="shared" si="51"/>
        <v>0.55149736105313951</v>
      </c>
      <c r="I120" s="379">
        <f t="shared" si="24"/>
        <v>32.452751912873303</v>
      </c>
      <c r="J120" s="85">
        <v>2018</v>
      </c>
      <c r="K120" s="197">
        <f t="shared" si="25"/>
        <v>43571</v>
      </c>
      <c r="L120" s="435">
        <f t="shared" si="26"/>
        <v>1.8381442686933314E-3</v>
      </c>
      <c r="M120" s="842"/>
      <c r="N120" s="842"/>
      <c r="O120" s="323">
        <f t="shared" si="27"/>
        <v>6.7503795503082858E-3</v>
      </c>
      <c r="P120" s="169">
        <f>(INDEX(Models!$BJ120:$BT120,,T120)*(1-R120)+INDEX(Models!$BJ120:$BT120,,T120+1)*R120-ERP_i)*Q120*Ramure*Pc/MaxiM</f>
        <v>3.7486857609648241E-5</v>
      </c>
      <c r="Q120" s="304">
        <f t="shared" si="28"/>
        <v>0.7</v>
      </c>
      <c r="R120" s="177">
        <f t="shared" si="29"/>
        <v>0.83623212716272932</v>
      </c>
      <c r="S120" s="799">
        <f t="shared" si="47"/>
        <v>-2</v>
      </c>
      <c r="T120" s="176">
        <f t="shared" si="30"/>
        <v>4</v>
      </c>
      <c r="U120" s="250">
        <f t="shared" si="31"/>
        <v>-1.1637678728372707</v>
      </c>
      <c r="V120" s="382">
        <f t="shared" si="32"/>
        <v>58.337953203526162</v>
      </c>
      <c r="W120" s="58"/>
      <c r="X120" s="157">
        <f t="shared" si="33"/>
        <v>43571</v>
      </c>
      <c r="Y120" s="383">
        <f t="shared" si="34"/>
        <v>32.173999999999999</v>
      </c>
      <c r="Z120" s="383">
        <f t="shared" si="35"/>
        <v>32.233249362577183</v>
      </c>
      <c r="AA120" s="384">
        <f t="shared" si="36"/>
        <v>32.452314804795641</v>
      </c>
      <c r="AB120" s="197">
        <f t="shared" si="37"/>
        <v>43571</v>
      </c>
      <c r="AC120" s="424">
        <f t="shared" si="38"/>
        <v>6.7503795503082858E-3</v>
      </c>
      <c r="AD120" s="169">
        <f>(INDEX(Models!$BJ120:$BT120,,AH120)*(1-AF120)+INDEX(Models!$BJ120:$BT120,,AH120+1)*AF120-ERP_i)*AE120*Ramure*Pc/MaxiM</f>
        <v>3.7486857609648241E-5</v>
      </c>
      <c r="AE120" s="304">
        <f t="shared" si="39"/>
        <v>0.7</v>
      </c>
      <c r="AF120" s="177">
        <f t="shared" si="40"/>
        <v>0.83623212716272932</v>
      </c>
      <c r="AG120" s="799">
        <f t="shared" si="41"/>
        <v>-2</v>
      </c>
      <c r="AH120" s="176">
        <f t="shared" si="42"/>
        <v>4</v>
      </c>
      <c r="AI120" s="224">
        <f t="shared" si="43"/>
        <v>-1.1637678728372707</v>
      </c>
      <c r="AJ120" s="264" t="b">
        <f t="shared" si="44"/>
        <v>0</v>
      </c>
      <c r="AK120" s="264" t="b">
        <f t="shared" si="45"/>
        <v>1</v>
      </c>
      <c r="AL120" s="264"/>
      <c r="AM120" s="264"/>
      <c r="AN120" s="75"/>
    </row>
    <row r="121" spans="1:40" s="6" customFormat="1" ht="11.25" x14ac:dyDescent="0.2">
      <c r="A121" s="56">
        <f t="shared" si="46"/>
        <v>43572</v>
      </c>
      <c r="B121" s="607">
        <v>34.585999999999999</v>
      </c>
      <c r="C121" s="388"/>
      <c r="D121" s="391">
        <f t="shared" si="48"/>
        <v>34.650355197317083</v>
      </c>
      <c r="E121" s="383">
        <f t="shared" si="49"/>
        <v>34.888287065468063</v>
      </c>
      <c r="F121" s="383">
        <f t="shared" si="50"/>
        <v>34.888838607849102</v>
      </c>
      <c r="G121" s="110">
        <f t="shared" si="51"/>
        <v>0.59128520295294862</v>
      </c>
      <c r="I121" s="379">
        <f t="shared" si="24"/>
        <v>34.888838607849102</v>
      </c>
      <c r="J121" s="85">
        <v>2018</v>
      </c>
      <c r="K121" s="197">
        <f t="shared" si="25"/>
        <v>43572</v>
      </c>
      <c r="L121" s="435">
        <f t="shared" si="26"/>
        <v>1.8572738129410959E-3</v>
      </c>
      <c r="M121" s="842"/>
      <c r="N121" s="842"/>
      <c r="O121" s="323">
        <f t="shared" si="27"/>
        <v>6.8198208672297297E-3</v>
      </c>
      <c r="P121" s="169">
        <f>(INDEX(Models!$BJ121:$BT121,,T121)*(1-R121)+INDEX(Models!$BJ121:$BT121,,T121+1)*R121-ERP_i)*Q121*Ramure*Pc/MaxiM</f>
        <v>3.7988525741034525E-5</v>
      </c>
      <c r="Q121" s="304">
        <f t="shared" si="28"/>
        <v>0.7</v>
      </c>
      <c r="R121" s="177">
        <f t="shared" si="29"/>
        <v>0.83766440439047063</v>
      </c>
      <c r="S121" s="799">
        <f t="shared" si="47"/>
        <v>-2</v>
      </c>
      <c r="T121" s="176">
        <f t="shared" si="30"/>
        <v>4</v>
      </c>
      <c r="U121" s="250">
        <f t="shared" si="31"/>
        <v>-1.1623355956095294</v>
      </c>
      <c r="V121" s="382">
        <f t="shared" si="32"/>
        <v>58.491625866733642</v>
      </c>
      <c r="W121" s="58"/>
      <c r="X121" s="157">
        <f t="shared" si="33"/>
        <v>43572</v>
      </c>
      <c r="Y121" s="383">
        <f t="shared" si="34"/>
        <v>34.585999999999999</v>
      </c>
      <c r="Z121" s="383">
        <f t="shared" si="35"/>
        <v>34.650355197317083</v>
      </c>
      <c r="AA121" s="384">
        <f t="shared" si="36"/>
        <v>34.888287065468063</v>
      </c>
      <c r="AB121" s="197">
        <f t="shared" si="37"/>
        <v>43572</v>
      </c>
      <c r="AC121" s="424">
        <f t="shared" si="38"/>
        <v>6.8198208672297297E-3</v>
      </c>
      <c r="AD121" s="169">
        <f>(INDEX(Models!$BJ121:$BT121,,AH121)*(1-AF121)+INDEX(Models!$BJ121:$BT121,,AH121+1)*AF121-ERP_i)*AE121*Ramure*Pc/MaxiM</f>
        <v>3.7988525741034525E-5</v>
      </c>
      <c r="AE121" s="304">
        <f t="shared" si="39"/>
        <v>0.7</v>
      </c>
      <c r="AF121" s="177">
        <f t="shared" si="40"/>
        <v>0.83766440439047063</v>
      </c>
      <c r="AG121" s="799">
        <f t="shared" si="41"/>
        <v>-2</v>
      </c>
      <c r="AH121" s="176">
        <f t="shared" si="42"/>
        <v>4</v>
      </c>
      <c r="AI121" s="224">
        <f t="shared" si="43"/>
        <v>-1.1623355956095294</v>
      </c>
      <c r="AJ121" s="264" t="b">
        <f t="shared" si="44"/>
        <v>0</v>
      </c>
      <c r="AK121" s="264" t="b">
        <f t="shared" si="45"/>
        <v>1</v>
      </c>
      <c r="AL121" s="264"/>
      <c r="AM121" s="264"/>
      <c r="AN121" s="75"/>
    </row>
    <row r="122" spans="1:40" s="18" customFormat="1" ht="11.25" x14ac:dyDescent="0.2">
      <c r="A122" s="56">
        <f t="shared" si="46"/>
        <v>43573</v>
      </c>
      <c r="B122" s="607">
        <v>27.623999999999999</v>
      </c>
      <c r="C122" s="388"/>
      <c r="D122" s="391">
        <f t="shared" si="48"/>
        <v>27.675931200070774</v>
      </c>
      <c r="E122" s="383">
        <f t="shared" si="49"/>
        <v>27.86792273609046</v>
      </c>
      <c r="F122" s="383">
        <f t="shared" si="50"/>
        <v>27.868184565332012</v>
      </c>
      <c r="G122" s="110">
        <f t="shared" si="51"/>
        <v>0.47106848286902619</v>
      </c>
      <c r="H122" s="17"/>
      <c r="I122" s="379">
        <f t="shared" si="24"/>
        <v>27.868184565332012</v>
      </c>
      <c r="J122" s="85">
        <v>2018</v>
      </c>
      <c r="K122" s="197">
        <f t="shared" si="25"/>
        <v>43573</v>
      </c>
      <c r="L122" s="451">
        <f t="shared" si="26"/>
        <v>1.8764029905755653E-3</v>
      </c>
      <c r="M122" s="842"/>
      <c r="N122" s="842"/>
      <c r="O122" s="323">
        <f t="shared" si="27"/>
        <v>6.8893378899406148E-3</v>
      </c>
      <c r="P122" s="169">
        <f>(INDEX(Models!$BJ122:$BT122,,T122)*(1-R122)+INDEX(Models!$BJ122:$BT122,,T122+1)*R122-ERP_i)*Q122*Ramure*Pc/MaxiM</f>
        <v>3.8441716264851596E-5</v>
      </c>
      <c r="Q122" s="304">
        <f t="shared" si="28"/>
        <v>0.7</v>
      </c>
      <c r="R122" s="177">
        <f t="shared" si="29"/>
        <v>0.83914478864864894</v>
      </c>
      <c r="S122" s="799">
        <f t="shared" si="47"/>
        <v>-2</v>
      </c>
      <c r="T122" s="176">
        <f t="shared" si="30"/>
        <v>4</v>
      </c>
      <c r="U122" s="250">
        <f t="shared" si="31"/>
        <v>-1.1608552113513511</v>
      </c>
      <c r="V122" s="382">
        <f t="shared" si="32"/>
        <v>58.639451837901973</v>
      </c>
      <c r="W122" s="433"/>
      <c r="X122" s="157">
        <f t="shared" si="33"/>
        <v>43573</v>
      </c>
      <c r="Y122" s="383">
        <f t="shared" si="34"/>
        <v>27.623999999999999</v>
      </c>
      <c r="Z122" s="383">
        <f t="shared" si="35"/>
        <v>27.675931200070774</v>
      </c>
      <c r="AA122" s="384">
        <f t="shared" si="36"/>
        <v>27.86792273609046</v>
      </c>
      <c r="AB122" s="197">
        <f t="shared" si="37"/>
        <v>43573</v>
      </c>
      <c r="AC122" s="450">
        <f t="shared" si="38"/>
        <v>6.8893378899406148E-3</v>
      </c>
      <c r="AD122" s="169">
        <f>(INDEX(Models!$BJ122:$BT122,,AH122)*(1-AF122)+INDEX(Models!$BJ122:$BT122,,AH122+1)*AF122-ERP_i)*AE122*Ramure*Pc/MaxiM</f>
        <v>3.8441716264851596E-5</v>
      </c>
      <c r="AE122" s="304">
        <f t="shared" si="39"/>
        <v>0.7</v>
      </c>
      <c r="AF122" s="177">
        <f t="shared" si="40"/>
        <v>0.83914478864864894</v>
      </c>
      <c r="AG122" s="799">
        <f t="shared" si="41"/>
        <v>-2</v>
      </c>
      <c r="AH122" s="176">
        <f t="shared" si="42"/>
        <v>4</v>
      </c>
      <c r="AI122" s="224">
        <f t="shared" si="43"/>
        <v>-1.1608552113513511</v>
      </c>
      <c r="AJ122" s="264" t="b">
        <f t="shared" si="44"/>
        <v>0</v>
      </c>
      <c r="AK122" s="264" t="b">
        <f t="shared" si="45"/>
        <v>1</v>
      </c>
      <c r="AL122" s="264"/>
      <c r="AM122" s="264"/>
      <c r="AN122" s="264"/>
    </row>
    <row r="123" spans="1:40" s="18" customFormat="1" ht="11.25" x14ac:dyDescent="0.2">
      <c r="A123" s="56">
        <f t="shared" si="46"/>
        <v>43574</v>
      </c>
      <c r="B123" s="607">
        <v>46.991</v>
      </c>
      <c r="C123" s="388"/>
      <c r="D123" s="391">
        <f t="shared" si="48"/>
        <v>47.080242096120394</v>
      </c>
      <c r="E123" s="383">
        <f t="shared" si="49"/>
        <v>47.410166327341507</v>
      </c>
      <c r="F123" s="383">
        <f t="shared" si="50"/>
        <v>47.411482109364925</v>
      </c>
      <c r="G123" s="110">
        <f t="shared" si="51"/>
        <v>0.79940730432819096</v>
      </c>
      <c r="H123" s="434"/>
      <c r="I123" s="379">
        <f t="shared" si="24"/>
        <v>47.411482109364925</v>
      </c>
      <c r="J123" s="85">
        <v>2018</v>
      </c>
      <c r="K123" s="197">
        <f t="shared" si="25"/>
        <v>43574</v>
      </c>
      <c r="L123" s="435">
        <f t="shared" si="26"/>
        <v>1.8955318016036227E-3</v>
      </c>
      <c r="M123" s="842"/>
      <c r="N123" s="842"/>
      <c r="O123" s="323">
        <f t="shared" si="27"/>
        <v>6.9589342704087188E-3</v>
      </c>
      <c r="P123" s="169">
        <f>(INDEX(Models!$BJ123:$BT123,,T123)*(1-R123)+INDEX(Models!$BJ123:$BT123,,T123+1)*R123-ERP_i)*Q123*Ramure*Pc/MaxiM</f>
        <v>3.8898765423530682E-5</v>
      </c>
      <c r="Q123" s="304">
        <f t="shared" si="28"/>
        <v>0.7</v>
      </c>
      <c r="R123" s="177">
        <f t="shared" si="29"/>
        <v>0.84067443111635853</v>
      </c>
      <c r="S123" s="799">
        <f t="shared" si="47"/>
        <v>-2</v>
      </c>
      <c r="T123" s="176">
        <f t="shared" si="30"/>
        <v>4</v>
      </c>
      <c r="U123" s="250">
        <f t="shared" si="31"/>
        <v>-1.1593255688836415</v>
      </c>
      <c r="V123" s="382">
        <f t="shared" si="32"/>
        <v>58.781644790832509</v>
      </c>
      <c r="W123" s="433"/>
      <c r="X123" s="157">
        <f t="shared" si="33"/>
        <v>43574</v>
      </c>
      <c r="Y123" s="383">
        <f t="shared" si="34"/>
        <v>46.991</v>
      </c>
      <c r="Z123" s="383">
        <f t="shared" si="35"/>
        <v>47.080242096120394</v>
      </c>
      <c r="AA123" s="384">
        <f t="shared" si="36"/>
        <v>47.410166327341507</v>
      </c>
      <c r="AB123" s="197">
        <f t="shared" si="37"/>
        <v>43574</v>
      </c>
      <c r="AC123" s="436">
        <f t="shared" si="38"/>
        <v>6.9589342704087188E-3</v>
      </c>
      <c r="AD123" s="169">
        <f>(INDEX(Models!$BJ123:$BT123,,AH123)*(1-AF123)+INDEX(Models!$BJ123:$BT123,,AH123+1)*AF123-ERP_i)*AE123*Ramure*Pc/MaxiM</f>
        <v>3.8898765423530682E-5</v>
      </c>
      <c r="AE123" s="304">
        <f t="shared" si="39"/>
        <v>0.7</v>
      </c>
      <c r="AF123" s="177">
        <f t="shared" si="40"/>
        <v>0.84067443111635853</v>
      </c>
      <c r="AG123" s="799">
        <f t="shared" si="41"/>
        <v>-2</v>
      </c>
      <c r="AH123" s="176">
        <f t="shared" si="42"/>
        <v>4</v>
      </c>
      <c r="AI123" s="224">
        <f t="shared" si="43"/>
        <v>-1.1593255688836415</v>
      </c>
      <c r="AJ123" s="264" t="b">
        <f t="shared" si="44"/>
        <v>0</v>
      </c>
      <c r="AK123" s="264" t="b">
        <f t="shared" si="45"/>
        <v>1</v>
      </c>
      <c r="AL123" s="264"/>
      <c r="AM123" s="264"/>
      <c r="AN123" s="264"/>
    </row>
    <row r="124" spans="1:40" s="6" customFormat="1" ht="11.25" customHeight="1" x14ac:dyDescent="0.2">
      <c r="A124" s="56">
        <f t="shared" si="46"/>
        <v>43575</v>
      </c>
      <c r="B124" s="607">
        <v>53.89</v>
      </c>
      <c r="C124" s="388"/>
      <c r="D124" s="391">
        <f t="shared" si="48"/>
        <v>53.99337897627484</v>
      </c>
      <c r="E124" s="383">
        <f t="shared" si="49"/>
        <v>54.375563801151763</v>
      </c>
      <c r="F124" s="383">
        <f t="shared" si="50"/>
        <v>54.37744314192939</v>
      </c>
      <c r="G124" s="110">
        <f t="shared" si="51"/>
        <v>0.91465012338121188</v>
      </c>
      <c r="I124" s="379">
        <f t="shared" si="24"/>
        <v>54.37744314192939</v>
      </c>
      <c r="J124" s="85">
        <v>2018</v>
      </c>
      <c r="K124" s="197">
        <f t="shared" si="25"/>
        <v>43575</v>
      </c>
      <c r="L124" s="435">
        <f t="shared" si="26"/>
        <v>1.9146602460324846E-3</v>
      </c>
      <c r="M124" s="842"/>
      <c r="N124" s="842"/>
      <c r="O124" s="323">
        <f t="shared" si="27"/>
        <v>7.0286135565333545E-3</v>
      </c>
      <c r="P124" s="169">
        <f>(INDEX(Models!$BJ124:$BT124,,T124)*(1-R124)+INDEX(Models!$BJ124:$BT124,,T124+1)*R124-ERP_i)*Q124*Ramure*Pc/MaxiM</f>
        <v>3.9359875822384492E-5</v>
      </c>
      <c r="Q124" s="304">
        <f t="shared" si="28"/>
        <v>0.7</v>
      </c>
      <c r="R124" s="177">
        <f t="shared" si="29"/>
        <v>0.84225447489929395</v>
      </c>
      <c r="S124" s="799">
        <f t="shared" si="47"/>
        <v>-2</v>
      </c>
      <c r="T124" s="176">
        <f t="shared" si="30"/>
        <v>4</v>
      </c>
      <c r="U124" s="250">
        <f t="shared" si="31"/>
        <v>-1.1577455251007061</v>
      </c>
      <c r="V124" s="382">
        <f t="shared" si="32"/>
        <v>58.918421376663382</v>
      </c>
      <c r="W124" s="58"/>
      <c r="X124" s="157">
        <f t="shared" si="33"/>
        <v>43575</v>
      </c>
      <c r="Y124" s="383">
        <f t="shared" si="34"/>
        <v>53.89</v>
      </c>
      <c r="Z124" s="383">
        <f t="shared" si="35"/>
        <v>53.99337897627484</v>
      </c>
      <c r="AA124" s="384">
        <f t="shared" si="36"/>
        <v>54.375563801151763</v>
      </c>
      <c r="AB124" s="197">
        <f t="shared" si="37"/>
        <v>43575</v>
      </c>
      <c r="AC124" s="424">
        <f t="shared" si="38"/>
        <v>7.0286135565333545E-3</v>
      </c>
      <c r="AD124" s="169">
        <f>(INDEX(Models!$BJ124:$BT124,,AH124)*(1-AF124)+INDEX(Models!$BJ124:$BT124,,AH124+1)*AF124-ERP_i)*AE124*Ramure*Pc/MaxiM</f>
        <v>3.9359875822384492E-5</v>
      </c>
      <c r="AE124" s="304">
        <f t="shared" si="39"/>
        <v>0.7</v>
      </c>
      <c r="AF124" s="177">
        <f t="shared" si="40"/>
        <v>0.84225447489929395</v>
      </c>
      <c r="AG124" s="799">
        <f t="shared" si="41"/>
        <v>-2</v>
      </c>
      <c r="AH124" s="176">
        <f t="shared" si="42"/>
        <v>4</v>
      </c>
      <c r="AI124" s="224">
        <f t="shared" si="43"/>
        <v>-1.1577455251007061</v>
      </c>
      <c r="AJ124" s="264" t="b">
        <f t="shared" si="44"/>
        <v>0</v>
      </c>
      <c r="AK124" s="264" t="b">
        <f t="shared" si="45"/>
        <v>1</v>
      </c>
      <c r="AL124" s="264"/>
      <c r="AM124" s="264"/>
      <c r="AN124" s="75"/>
    </row>
    <row r="125" spans="1:40" s="6" customFormat="1" ht="11.25" x14ac:dyDescent="0.2">
      <c r="A125" s="56">
        <f t="shared" si="46"/>
        <v>43576</v>
      </c>
      <c r="B125" s="607">
        <v>21.106999999999999</v>
      </c>
      <c r="C125" s="388"/>
      <c r="D125" s="391">
        <f t="shared" si="48"/>
        <v>21.147895553495751</v>
      </c>
      <c r="E125" s="383">
        <f t="shared" si="49"/>
        <v>21.299084531689246</v>
      </c>
      <c r="F125" s="383">
        <f t="shared" si="50"/>
        <v>21.299154139914371</v>
      </c>
      <c r="G125" s="110">
        <f t="shared" si="51"/>
        <v>0.35742978899828554</v>
      </c>
      <c r="I125" s="379">
        <f t="shared" si="24"/>
        <v>21.299154139914371</v>
      </c>
      <c r="J125" s="85">
        <v>2018</v>
      </c>
      <c r="K125" s="197">
        <f t="shared" si="25"/>
        <v>43576</v>
      </c>
      <c r="L125" s="435">
        <f t="shared" si="26"/>
        <v>1.9337883238690345E-3</v>
      </c>
      <c r="M125" s="842"/>
      <c r="N125" s="842"/>
      <c r="O125" s="323">
        <f t="shared" si="27"/>
        <v>7.0983791800325689E-3</v>
      </c>
      <c r="P125" s="169">
        <f>(INDEX(Models!$BJ125:$BT125,,T125)*(1-R125)+INDEX(Models!$BJ125:$BT125,,T125+1)*R125-ERP_i)*Q125*Ramure*Pc/MaxiM</f>
        <v>3.9825406551743841E-5</v>
      </c>
      <c r="Q125" s="304">
        <f t="shared" si="28"/>
        <v>0.7</v>
      </c>
      <c r="R125" s="177">
        <f t="shared" si="29"/>
        <v>0.84388605175167242</v>
      </c>
      <c r="S125" s="799">
        <f t="shared" si="47"/>
        <v>-2</v>
      </c>
      <c r="T125" s="176">
        <f t="shared" si="30"/>
        <v>4</v>
      </c>
      <c r="U125" s="250">
        <f t="shared" si="31"/>
        <v>-1.1561139482483276</v>
      </c>
      <c r="V125" s="382">
        <f t="shared" si="32"/>
        <v>59.049998160521099</v>
      </c>
      <c r="W125" s="58"/>
      <c r="X125" s="157">
        <f t="shared" si="33"/>
        <v>43576</v>
      </c>
      <c r="Y125" s="383">
        <f t="shared" si="34"/>
        <v>21.106999999999999</v>
      </c>
      <c r="Z125" s="383">
        <f t="shared" si="35"/>
        <v>21.147895553495751</v>
      </c>
      <c r="AA125" s="384">
        <f t="shared" si="36"/>
        <v>21.299084531689246</v>
      </c>
      <c r="AB125" s="197">
        <f t="shared" si="37"/>
        <v>43576</v>
      </c>
      <c r="AC125" s="424">
        <f t="shared" si="38"/>
        <v>7.0983791800325689E-3</v>
      </c>
      <c r="AD125" s="169">
        <f>(INDEX(Models!$BJ125:$BT125,,AH125)*(1-AF125)+INDEX(Models!$BJ125:$BT125,,AH125+1)*AF125-ERP_i)*AE125*Ramure*Pc/MaxiM</f>
        <v>3.9825406551743841E-5</v>
      </c>
      <c r="AE125" s="304">
        <f t="shared" si="39"/>
        <v>0.7</v>
      </c>
      <c r="AF125" s="177">
        <f t="shared" si="40"/>
        <v>0.84388605175167242</v>
      </c>
      <c r="AG125" s="799">
        <f t="shared" si="41"/>
        <v>-2</v>
      </c>
      <c r="AH125" s="176">
        <f t="shared" si="42"/>
        <v>4</v>
      </c>
      <c r="AI125" s="224">
        <f t="shared" si="43"/>
        <v>-1.1561139482483276</v>
      </c>
      <c r="AJ125" s="264" t="b">
        <f t="shared" si="44"/>
        <v>0</v>
      </c>
      <c r="AK125" s="264" t="b">
        <f t="shared" si="45"/>
        <v>1</v>
      </c>
      <c r="AL125" s="264"/>
      <c r="AM125" s="264"/>
      <c r="AN125" s="75"/>
    </row>
    <row r="126" spans="1:40" s="6" customFormat="1" ht="11.25" customHeight="1" x14ac:dyDescent="0.2">
      <c r="A126" s="56">
        <f t="shared" si="46"/>
        <v>43577</v>
      </c>
      <c r="B126" s="607">
        <v>32.607999999999997</v>
      </c>
      <c r="C126" s="388"/>
      <c r="D126" s="391">
        <f t="shared" si="48"/>
        <v>32.671805292451957</v>
      </c>
      <c r="E126" s="383">
        <f t="shared" si="49"/>
        <v>32.907695367855133</v>
      </c>
      <c r="F126" s="383">
        <f t="shared" si="50"/>
        <v>32.908170909496889</v>
      </c>
      <c r="G126" s="110">
        <f t="shared" si="51"/>
        <v>0.5510144522474868</v>
      </c>
      <c r="I126" s="379">
        <f t="shared" si="24"/>
        <v>32.908170909496889</v>
      </c>
      <c r="J126" s="85">
        <v>2018</v>
      </c>
      <c r="K126" s="197">
        <f t="shared" si="25"/>
        <v>43577</v>
      </c>
      <c r="L126" s="435">
        <f t="shared" si="26"/>
        <v>1.9529160351202668E-3</v>
      </c>
      <c r="M126" s="842"/>
      <c r="N126" s="842"/>
      <c r="O126" s="323">
        <f t="shared" si="27"/>
        <v>7.1682344438377269E-3</v>
      </c>
      <c r="P126" s="169">
        <f>(INDEX(Models!$BJ126:$BT126,,T126)*(1-R126)+INDEX(Models!$BJ126:$BT126,,T126+1)*R126-ERP_i)*Q126*Ramure*Pc/MaxiM</f>
        <v>4.0295772152199208E-5</v>
      </c>
      <c r="Q126" s="304">
        <f t="shared" si="28"/>
        <v>0.7</v>
      </c>
      <c r="R126" s="177">
        <f t="shared" si="29"/>
        <v>0.84557027858917833</v>
      </c>
      <c r="S126" s="799">
        <f t="shared" si="47"/>
        <v>-2</v>
      </c>
      <c r="T126" s="176">
        <f t="shared" si="30"/>
        <v>4</v>
      </c>
      <c r="U126" s="250">
        <f t="shared" si="31"/>
        <v>-1.1544297214108217</v>
      </c>
      <c r="V126" s="382">
        <f t="shared" si="32"/>
        <v>59.17659163800009</v>
      </c>
      <c r="W126" s="58"/>
      <c r="X126" s="157">
        <f t="shared" si="33"/>
        <v>43577</v>
      </c>
      <c r="Y126" s="383">
        <f t="shared" si="34"/>
        <v>32.607999999999997</v>
      </c>
      <c r="Z126" s="383">
        <f t="shared" si="35"/>
        <v>32.671805292451957</v>
      </c>
      <c r="AA126" s="384">
        <f t="shared" si="36"/>
        <v>32.907695367855133</v>
      </c>
      <c r="AB126" s="197">
        <f t="shared" si="37"/>
        <v>43577</v>
      </c>
      <c r="AC126" s="424">
        <f t="shared" si="38"/>
        <v>7.1682344438377269E-3</v>
      </c>
      <c r="AD126" s="169">
        <f>(INDEX(Models!$BJ126:$BT126,,AH126)*(1-AF126)+INDEX(Models!$BJ126:$BT126,,AH126+1)*AF126-ERP_i)*AE126*Ramure*Pc/MaxiM</f>
        <v>4.0295772152199208E-5</v>
      </c>
      <c r="AE126" s="304">
        <f t="shared" si="39"/>
        <v>0.7</v>
      </c>
      <c r="AF126" s="177">
        <f t="shared" si="40"/>
        <v>0.84557027858917833</v>
      </c>
      <c r="AG126" s="799">
        <f t="shared" si="41"/>
        <v>-2</v>
      </c>
      <c r="AH126" s="176">
        <f t="shared" si="42"/>
        <v>4</v>
      </c>
      <c r="AI126" s="224">
        <f t="shared" si="43"/>
        <v>-1.1544297214108217</v>
      </c>
      <c r="AJ126" s="264" t="b">
        <f t="shared" si="44"/>
        <v>0</v>
      </c>
      <c r="AK126" s="264" t="b">
        <f t="shared" si="45"/>
        <v>1</v>
      </c>
      <c r="AL126" s="264"/>
      <c r="AM126" s="264"/>
      <c r="AN126" s="75"/>
    </row>
    <row r="127" spans="1:40" s="6" customFormat="1" ht="11.25" customHeight="1" x14ac:dyDescent="0.2">
      <c r="A127" s="56">
        <f t="shared" si="46"/>
        <v>43578</v>
      </c>
      <c r="B127" s="607">
        <v>40.381</v>
      </c>
      <c r="C127" s="388"/>
      <c r="D127" s="391">
        <f t="shared" si="48"/>
        <v>40.460790433916408</v>
      </c>
      <c r="E127" s="383">
        <f t="shared" si="49"/>
        <v>40.755788267696111</v>
      </c>
      <c r="F127" s="383">
        <f t="shared" si="50"/>
        <v>40.756692660795473</v>
      </c>
      <c r="G127" s="110">
        <f t="shared" si="51"/>
        <v>0.68096672475169939</v>
      </c>
      <c r="I127" s="379">
        <f t="shared" si="24"/>
        <v>40.756692660795473</v>
      </c>
      <c r="J127" s="85">
        <v>2018</v>
      </c>
      <c r="K127" s="197">
        <f t="shared" si="25"/>
        <v>43578</v>
      </c>
      <c r="L127" s="435">
        <f t="shared" si="26"/>
        <v>1.9720433797932868E-3</v>
      </c>
      <c r="M127" s="842"/>
      <c r="N127" s="842"/>
      <c r="O127" s="323">
        <f t="shared" si="27"/>
        <v>7.2381825089990019E-3</v>
      </c>
      <c r="P127" s="169">
        <f>(INDEX(Models!$BJ127:$BT127,,T127)*(1-R127)+INDEX(Models!$BJ127:$BT127,,T127+1)*R127-ERP_i)*Q127*Ramure*Pc/MaxiM</f>
        <v>4.0771329786213745E-5</v>
      </c>
      <c r="Q127" s="304">
        <f t="shared" si="28"/>
        <v>0.7</v>
      </c>
      <c r="R127" s="177">
        <f t="shared" si="29"/>
        <v>0.84730825379240504</v>
      </c>
      <c r="S127" s="799">
        <f t="shared" si="47"/>
        <v>-2</v>
      </c>
      <c r="T127" s="176">
        <f t="shared" si="30"/>
        <v>4</v>
      </c>
      <c r="U127" s="250">
        <f t="shared" si="31"/>
        <v>-1.152691746207595</v>
      </c>
      <c r="V127" s="382">
        <f t="shared" si="32"/>
        <v>59.298418241310472</v>
      </c>
      <c r="W127" s="58"/>
      <c r="X127" s="157">
        <f t="shared" si="33"/>
        <v>43578</v>
      </c>
      <c r="Y127" s="383">
        <f t="shared" si="34"/>
        <v>40.381</v>
      </c>
      <c r="Z127" s="383">
        <f t="shared" si="35"/>
        <v>40.460790433916408</v>
      </c>
      <c r="AA127" s="384">
        <f t="shared" si="36"/>
        <v>40.755788267696111</v>
      </c>
      <c r="AB127" s="197">
        <f t="shared" si="37"/>
        <v>43578</v>
      </c>
      <c r="AC127" s="424">
        <f t="shared" si="38"/>
        <v>7.2381825089990019E-3</v>
      </c>
      <c r="AD127" s="169">
        <f>(INDEX(Models!$BJ127:$BT127,,AH127)*(1-AF127)+INDEX(Models!$BJ127:$BT127,,AH127+1)*AF127-ERP_i)*AE127*Ramure*Pc/MaxiM</f>
        <v>4.0771329786213745E-5</v>
      </c>
      <c r="AE127" s="304">
        <f t="shared" si="39"/>
        <v>0.7</v>
      </c>
      <c r="AF127" s="177">
        <f t="shared" si="40"/>
        <v>0.84730825379240504</v>
      </c>
      <c r="AG127" s="799">
        <f t="shared" si="41"/>
        <v>-2</v>
      </c>
      <c r="AH127" s="176">
        <f t="shared" si="42"/>
        <v>4</v>
      </c>
      <c r="AI127" s="224">
        <f t="shared" si="43"/>
        <v>-1.152691746207595</v>
      </c>
      <c r="AJ127" s="264" t="b">
        <f t="shared" si="44"/>
        <v>0</v>
      </c>
      <c r="AK127" s="264" t="b">
        <f t="shared" si="45"/>
        <v>1</v>
      </c>
      <c r="AL127" s="264"/>
      <c r="AM127" s="264"/>
      <c r="AN127" s="75"/>
    </row>
    <row r="128" spans="1:40" s="6" customFormat="1" ht="11.25" customHeight="1" x14ac:dyDescent="0.2">
      <c r="A128" s="56">
        <f t="shared" si="46"/>
        <v>43579</v>
      </c>
      <c r="B128" s="607">
        <v>48.442</v>
      </c>
      <c r="C128" s="388"/>
      <c r="D128" s="391">
        <f t="shared" si="48"/>
        <v>48.538648718540649</v>
      </c>
      <c r="E128" s="383">
        <f t="shared" si="49"/>
        <v>48.895991694976587</v>
      </c>
      <c r="F128" s="383">
        <f t="shared" si="50"/>
        <v>48.897474838886858</v>
      </c>
      <c r="G128" s="110">
        <f t="shared" si="51"/>
        <v>0.8152975658307805</v>
      </c>
      <c r="I128" s="379">
        <f t="shared" si="24"/>
        <v>48.897474838886858</v>
      </c>
      <c r="J128" s="85">
        <v>2018</v>
      </c>
      <c r="K128" s="197">
        <f t="shared" si="25"/>
        <v>43579</v>
      </c>
      <c r="L128" s="435">
        <f t="shared" si="26"/>
        <v>1.9911703578952E-3</v>
      </c>
      <c r="M128" s="842"/>
      <c r="N128" s="842"/>
      <c r="O128" s="323">
        <f t="shared" si="27"/>
        <v>7.3082263811135063E-3</v>
      </c>
      <c r="P128" s="169">
        <f>(INDEX(Models!$BJ128:$BT128,,T128)*(1-R128)+INDEX(Models!$BJ128:$BT128,,T128+1)*R128-ERP_i)*Q128*Ramure*Pc/MaxiM</f>
        <v>4.1203047579033729E-5</v>
      </c>
      <c r="Q128" s="304">
        <f t="shared" si="28"/>
        <v>0.7</v>
      </c>
      <c r="R128" s="177">
        <f t="shared" si="29"/>
        <v>0.84910105330167029</v>
      </c>
      <c r="S128" s="799">
        <f t="shared" si="47"/>
        <v>-2</v>
      </c>
      <c r="T128" s="176">
        <f t="shared" si="30"/>
        <v>4</v>
      </c>
      <c r="U128" s="250">
        <f t="shared" si="31"/>
        <v>-1.1508989466983297</v>
      </c>
      <c r="V128" s="382">
        <f t="shared" si="32"/>
        <v>59.415697267799835</v>
      </c>
      <c r="W128" s="58"/>
      <c r="X128" s="157">
        <f t="shared" si="33"/>
        <v>43579</v>
      </c>
      <c r="Y128" s="383">
        <f t="shared" si="34"/>
        <v>48.442</v>
      </c>
      <c r="Z128" s="383">
        <f t="shared" si="35"/>
        <v>48.538648718540649</v>
      </c>
      <c r="AA128" s="384">
        <f t="shared" si="36"/>
        <v>48.895991694976587</v>
      </c>
      <c r="AB128" s="197">
        <f t="shared" si="37"/>
        <v>43579</v>
      </c>
      <c r="AC128" s="424">
        <f t="shared" si="38"/>
        <v>7.3082263811135063E-3</v>
      </c>
      <c r="AD128" s="169">
        <f>(INDEX(Models!$BJ128:$BT128,,AH128)*(1-AF128)+INDEX(Models!$BJ128:$BT128,,AH128+1)*AF128-ERP_i)*AE128*Ramure*Pc/MaxiM</f>
        <v>4.1203047579033729E-5</v>
      </c>
      <c r="AE128" s="304">
        <f t="shared" si="39"/>
        <v>0.7</v>
      </c>
      <c r="AF128" s="177">
        <f t="shared" si="40"/>
        <v>0.84910105330167029</v>
      </c>
      <c r="AG128" s="799">
        <f t="shared" si="41"/>
        <v>-2</v>
      </c>
      <c r="AH128" s="176">
        <f t="shared" si="42"/>
        <v>4</v>
      </c>
      <c r="AI128" s="224">
        <f t="shared" si="43"/>
        <v>-1.1508989466983297</v>
      </c>
      <c r="AJ128" s="264" t="b">
        <f t="shared" si="44"/>
        <v>0</v>
      </c>
      <c r="AK128" s="264" t="b">
        <f t="shared" si="45"/>
        <v>1</v>
      </c>
      <c r="AL128" s="264"/>
      <c r="AM128" s="264"/>
      <c r="AN128" s="75"/>
    </row>
    <row r="129" spans="1:40" s="6" customFormat="1" ht="11.25" customHeight="1" x14ac:dyDescent="0.2">
      <c r="A129" s="56">
        <f t="shared" si="46"/>
        <v>43580</v>
      </c>
      <c r="B129" s="607">
        <v>37.229999999999997</v>
      </c>
      <c r="C129" s="388"/>
      <c r="D129" s="391">
        <f t="shared" si="48"/>
        <v>37.304994116617344</v>
      </c>
      <c r="E129" s="383">
        <f t="shared" si="49"/>
        <v>37.582290117068737</v>
      </c>
      <c r="F129" s="383">
        <f t="shared" si="50"/>
        <v>37.58301591682865</v>
      </c>
      <c r="G129" s="110">
        <f t="shared" si="51"/>
        <v>0.62539925952428077</v>
      </c>
      <c r="I129" s="379">
        <f t="shared" si="24"/>
        <v>37.58301591682865</v>
      </c>
      <c r="J129" s="85">
        <v>2018</v>
      </c>
      <c r="K129" s="197">
        <f t="shared" si="25"/>
        <v>43580</v>
      </c>
      <c r="L129" s="435">
        <f t="shared" si="26"/>
        <v>2.0102969694328898E-3</v>
      </c>
      <c r="M129" s="842"/>
      <c r="N129" s="842"/>
      <c r="O129" s="323">
        <f t="shared" si="27"/>
        <v>7.3783688962971768E-3</v>
      </c>
      <c r="P129" s="169">
        <f>(INDEX(Models!$BJ129:$BT129,,T129)*(1-R129)+INDEX(Models!$BJ129:$BT129,,T129+1)*R129-ERP_i)*Q129*Ramure*Pc/MaxiM</f>
        <v>4.1542068385747826E-5</v>
      </c>
      <c r="Q129" s="304">
        <f t="shared" si="28"/>
        <v>0.7</v>
      </c>
      <c r="R129" s="177">
        <f t="shared" si="29"/>
        <v>0.85094972650564293</v>
      </c>
      <c r="S129" s="799">
        <f t="shared" si="47"/>
        <v>-2</v>
      </c>
      <c r="T129" s="176">
        <f t="shared" si="30"/>
        <v>4</v>
      </c>
      <c r="U129" s="250">
        <f t="shared" si="31"/>
        <v>-1.1490502734943571</v>
      </c>
      <c r="V129" s="382">
        <f t="shared" si="32"/>
        <v>59.528647960789691</v>
      </c>
      <c r="W129" s="58"/>
      <c r="X129" s="157">
        <f t="shared" si="33"/>
        <v>43580</v>
      </c>
      <c r="Y129" s="383">
        <f t="shared" si="34"/>
        <v>37.229999999999997</v>
      </c>
      <c r="Z129" s="383">
        <f t="shared" si="35"/>
        <v>37.304994116617344</v>
      </c>
      <c r="AA129" s="384">
        <f t="shared" si="36"/>
        <v>37.582290117068737</v>
      </c>
      <c r="AB129" s="197">
        <f t="shared" si="37"/>
        <v>43580</v>
      </c>
      <c r="AC129" s="424">
        <f t="shared" si="38"/>
        <v>7.3783688962971768E-3</v>
      </c>
      <c r="AD129" s="169">
        <f>(INDEX(Models!$BJ129:$BT129,,AH129)*(1-AF129)+INDEX(Models!$BJ129:$BT129,,AH129+1)*AF129-ERP_i)*AE129*Ramure*Pc/MaxiM</f>
        <v>4.1542068385747826E-5</v>
      </c>
      <c r="AE129" s="304">
        <f t="shared" si="39"/>
        <v>0.7</v>
      </c>
      <c r="AF129" s="177">
        <f t="shared" si="40"/>
        <v>0.85094972650564293</v>
      </c>
      <c r="AG129" s="799">
        <f t="shared" si="41"/>
        <v>-2</v>
      </c>
      <c r="AH129" s="176">
        <f t="shared" si="42"/>
        <v>4</v>
      </c>
      <c r="AI129" s="224">
        <f t="shared" si="43"/>
        <v>-1.1490502734943571</v>
      </c>
      <c r="AJ129" s="264" t="b">
        <f t="shared" si="44"/>
        <v>0</v>
      </c>
      <c r="AK129" s="264" t="b">
        <f t="shared" si="45"/>
        <v>1</v>
      </c>
      <c r="AL129" s="264"/>
      <c r="AM129" s="264"/>
      <c r="AN129" s="75"/>
    </row>
    <row r="130" spans="1:40" s="6" customFormat="1" ht="11.25" customHeight="1" x14ac:dyDescent="0.2">
      <c r="A130" s="56">
        <f t="shared" si="46"/>
        <v>43581</v>
      </c>
      <c r="B130" s="607">
        <v>30.341999999999999</v>
      </c>
      <c r="C130" s="388"/>
      <c r="D130" s="391">
        <f t="shared" si="48"/>
        <v>30.403701978599479</v>
      </c>
      <c r="E130" s="383">
        <f t="shared" si="49"/>
        <v>30.631866891558847</v>
      </c>
      <c r="F130" s="383">
        <f t="shared" si="50"/>
        <v>30.632248578890913</v>
      </c>
      <c r="G130" s="110">
        <f t="shared" si="51"/>
        <v>0.50875903469834083</v>
      </c>
      <c r="I130" s="379">
        <f t="shared" si="24"/>
        <v>30.632248578890913</v>
      </c>
      <c r="J130" s="85">
        <v>2018</v>
      </c>
      <c r="K130" s="197">
        <f t="shared" si="25"/>
        <v>43581</v>
      </c>
      <c r="L130" s="435">
        <f t="shared" si="26"/>
        <v>2.0294232144134616E-3</v>
      </c>
      <c r="M130" s="842"/>
      <c r="N130" s="842"/>
      <c r="O130" s="323">
        <f t="shared" si="27"/>
        <v>7.4486127067313456E-3</v>
      </c>
      <c r="P130" s="169">
        <f>(INDEX(Models!$BJ130:$BT130,,T130)*(1-R130)+INDEX(Models!$BJ130:$BT130,,T130+1)*R130-ERP_i)*Q130*Ramure*Pc/MaxiM</f>
        <v>4.1778284038246711E-5</v>
      </c>
      <c r="Q130" s="304">
        <f t="shared" si="28"/>
        <v>0.7</v>
      </c>
      <c r="R130" s="177">
        <f t="shared" si="29"/>
        <v>0.85285529192792997</v>
      </c>
      <c r="S130" s="799">
        <f t="shared" si="47"/>
        <v>-2</v>
      </c>
      <c r="T130" s="176">
        <f t="shared" si="30"/>
        <v>4</v>
      </c>
      <c r="U130" s="250">
        <f t="shared" si="31"/>
        <v>-1.14714470807207</v>
      </c>
      <c r="V130" s="382">
        <f t="shared" si="32"/>
        <v>59.637487206406306</v>
      </c>
      <c r="W130" s="58"/>
      <c r="X130" s="157">
        <f t="shared" si="33"/>
        <v>43581</v>
      </c>
      <c r="Y130" s="383">
        <f t="shared" si="34"/>
        <v>30.341999999999999</v>
      </c>
      <c r="Z130" s="383">
        <f t="shared" si="35"/>
        <v>30.403701978599479</v>
      </c>
      <c r="AA130" s="384">
        <f t="shared" si="36"/>
        <v>30.631866891558847</v>
      </c>
      <c r="AB130" s="197">
        <f t="shared" si="37"/>
        <v>43581</v>
      </c>
      <c r="AC130" s="424">
        <f t="shared" si="38"/>
        <v>7.4486127067313456E-3</v>
      </c>
      <c r="AD130" s="169">
        <f>(INDEX(Models!$BJ130:$BT130,,AH130)*(1-AF130)+INDEX(Models!$BJ130:$BT130,,AH130+1)*AF130-ERP_i)*AE130*Ramure*Pc/MaxiM</f>
        <v>4.1778284038246711E-5</v>
      </c>
      <c r="AE130" s="304">
        <f t="shared" si="39"/>
        <v>0.7</v>
      </c>
      <c r="AF130" s="177">
        <f t="shared" si="40"/>
        <v>0.85285529192792997</v>
      </c>
      <c r="AG130" s="799">
        <f t="shared" si="41"/>
        <v>-2</v>
      </c>
      <c r="AH130" s="176">
        <f t="shared" si="42"/>
        <v>4</v>
      </c>
      <c r="AI130" s="224">
        <f t="shared" si="43"/>
        <v>-1.14714470807207</v>
      </c>
      <c r="AJ130" s="264" t="b">
        <f t="shared" si="44"/>
        <v>0</v>
      </c>
      <c r="AK130" s="264" t="b">
        <f t="shared" si="45"/>
        <v>1</v>
      </c>
      <c r="AL130" s="264"/>
      <c r="AM130" s="264"/>
      <c r="AN130" s="75"/>
    </row>
    <row r="131" spans="1:40" s="6" customFormat="1" ht="11.25" customHeight="1" x14ac:dyDescent="0.2">
      <c r="A131" s="56">
        <f t="shared" si="46"/>
        <v>43582</v>
      </c>
      <c r="B131" s="607">
        <v>24.492999999999999</v>
      </c>
      <c r="C131" s="388"/>
      <c r="D131" s="391">
        <f t="shared" si="48"/>
        <v>24.543278110107874</v>
      </c>
      <c r="E131" s="383">
        <f t="shared" si="49"/>
        <v>24.729216103394286</v>
      </c>
      <c r="F131" s="383">
        <f t="shared" si="50"/>
        <v>24.729378897725208</v>
      </c>
      <c r="G131" s="110">
        <f t="shared" si="51"/>
        <v>0.40996213556025979</v>
      </c>
      <c r="I131" s="379">
        <f t="shared" si="24"/>
        <v>24.729378897725208</v>
      </c>
      <c r="J131" s="85">
        <v>2018</v>
      </c>
      <c r="K131" s="197">
        <f t="shared" si="25"/>
        <v>43582</v>
      </c>
      <c r="L131" s="435">
        <f t="shared" si="26"/>
        <v>2.0485490928437988E-3</v>
      </c>
      <c r="M131" s="842"/>
      <c r="N131" s="842"/>
      <c r="O131" s="323">
        <f t="shared" si="27"/>
        <v>7.5189602658246131E-3</v>
      </c>
      <c r="P131" s="169">
        <f>(INDEX(Models!$BJ131:$BT131,,T131)*(1-R131)+INDEX(Models!$BJ131:$BT131,,T131+1)*R131-ERP_i)*Q131*Ramure*Pc/MaxiM</f>
        <v>4.1900939367606401E-5</v>
      </c>
      <c r="Q131" s="304">
        <f t="shared" si="28"/>
        <v>0.7</v>
      </c>
      <c r="R131" s="177">
        <f t="shared" si="29"/>
        <v>0.85481873271763797</v>
      </c>
      <c r="S131" s="799">
        <f t="shared" si="47"/>
        <v>-2</v>
      </c>
      <c r="T131" s="176">
        <f t="shared" si="30"/>
        <v>4</v>
      </c>
      <c r="U131" s="250">
        <f t="shared" si="31"/>
        <v>-1.145181267282362</v>
      </c>
      <c r="V131" s="382">
        <f t="shared" si="32"/>
        <v>59.74243186963318</v>
      </c>
      <c r="W131" s="58"/>
      <c r="X131" s="157">
        <f t="shared" si="33"/>
        <v>43582</v>
      </c>
      <c r="Y131" s="383">
        <f t="shared" si="34"/>
        <v>24.492999999999999</v>
      </c>
      <c r="Z131" s="383">
        <f t="shared" si="35"/>
        <v>24.543278110107874</v>
      </c>
      <c r="AA131" s="384">
        <f t="shared" si="36"/>
        <v>24.729216103394286</v>
      </c>
      <c r="AB131" s="197">
        <f t="shared" si="37"/>
        <v>43582</v>
      </c>
      <c r="AC131" s="424">
        <f t="shared" si="38"/>
        <v>7.5189602658246131E-3</v>
      </c>
      <c r="AD131" s="169">
        <f>(INDEX(Models!$BJ131:$BT131,,AH131)*(1-AF131)+INDEX(Models!$BJ131:$BT131,,AH131+1)*AF131-ERP_i)*AE131*Ramure*Pc/MaxiM</f>
        <v>4.1900939367606401E-5</v>
      </c>
      <c r="AE131" s="304">
        <f t="shared" si="39"/>
        <v>0.7</v>
      </c>
      <c r="AF131" s="177">
        <f t="shared" si="40"/>
        <v>0.85481873271763797</v>
      </c>
      <c r="AG131" s="799">
        <f t="shared" si="41"/>
        <v>-2</v>
      </c>
      <c r="AH131" s="176">
        <f t="shared" si="42"/>
        <v>4</v>
      </c>
      <c r="AI131" s="224">
        <f t="shared" si="43"/>
        <v>-1.145181267282362</v>
      </c>
      <c r="AJ131" s="264" t="b">
        <f t="shared" si="44"/>
        <v>0</v>
      </c>
      <c r="AK131" s="264" t="b">
        <f t="shared" si="45"/>
        <v>1</v>
      </c>
      <c r="AL131" s="264"/>
      <c r="AM131" s="264"/>
      <c r="AN131" s="75"/>
    </row>
    <row r="132" spans="1:40" s="6" customFormat="1" ht="11.25" customHeight="1" x14ac:dyDescent="0.2">
      <c r="A132" s="56">
        <f t="shared" si="46"/>
        <v>43583</v>
      </c>
      <c r="B132" s="607">
        <v>39.636000000000003</v>
      </c>
      <c r="C132" s="388"/>
      <c r="D132" s="391">
        <f t="shared" si="48"/>
        <v>39.718124156666299</v>
      </c>
      <c r="E132" s="383">
        <f t="shared" si="49"/>
        <v>40.021866664352444</v>
      </c>
      <c r="F132" s="383">
        <f t="shared" si="50"/>
        <v>40.022734639116834</v>
      </c>
      <c r="G132" s="110">
        <f t="shared" si="51"/>
        <v>0.66231198401535829</v>
      </c>
      <c r="I132" s="379">
        <f t="shared" si="24"/>
        <v>40.022734639116834</v>
      </c>
      <c r="J132" s="85">
        <v>2018</v>
      </c>
      <c r="K132" s="197">
        <f t="shared" si="25"/>
        <v>43583</v>
      </c>
      <c r="L132" s="435">
        <f t="shared" si="26"/>
        <v>2.0676746047311179E-3</v>
      </c>
      <c r="M132" s="842"/>
      <c r="N132" s="842"/>
      <c r="O132" s="323">
        <f t="shared" si="27"/>
        <v>7.5894138130416953E-3</v>
      </c>
      <c r="P132" s="169">
        <f>(INDEX(Models!$BJ132:$BT132,,T132)*(1-R132)+INDEX(Models!$BJ132:$BT132,,T132+1)*R132-ERP_i)*Q132*Ramure*Pc/MaxiM</f>
        <v>4.1898611773214442E-5</v>
      </c>
      <c r="Q132" s="304">
        <f t="shared" si="28"/>
        <v>0.7</v>
      </c>
      <c r="R132" s="177">
        <f t="shared" si="29"/>
        <v>0.85684099195193997</v>
      </c>
      <c r="S132" s="799">
        <f t="shared" si="47"/>
        <v>-2</v>
      </c>
      <c r="T132" s="176">
        <f t="shared" si="30"/>
        <v>4</v>
      </c>
      <c r="U132" s="250">
        <f t="shared" si="31"/>
        <v>-1.14315900804806</v>
      </c>
      <c r="V132" s="382">
        <f t="shared" si="32"/>
        <v>59.843698790696102</v>
      </c>
      <c r="W132" s="58"/>
      <c r="X132" s="157">
        <f t="shared" si="33"/>
        <v>43583</v>
      </c>
      <c r="Y132" s="383">
        <f t="shared" si="34"/>
        <v>39.636000000000003</v>
      </c>
      <c r="Z132" s="383">
        <f t="shared" si="35"/>
        <v>39.718124156666299</v>
      </c>
      <c r="AA132" s="384">
        <f t="shared" si="36"/>
        <v>40.021866664352444</v>
      </c>
      <c r="AB132" s="197">
        <f t="shared" si="37"/>
        <v>43583</v>
      </c>
      <c r="AC132" s="424">
        <f t="shared" si="38"/>
        <v>7.5894138130416953E-3</v>
      </c>
      <c r="AD132" s="169">
        <f>(INDEX(Models!$BJ132:$BT132,,AH132)*(1-AF132)+INDEX(Models!$BJ132:$BT132,,AH132+1)*AF132-ERP_i)*AE132*Ramure*Pc/MaxiM</f>
        <v>4.1898611773214442E-5</v>
      </c>
      <c r="AE132" s="304">
        <f t="shared" si="39"/>
        <v>0.7</v>
      </c>
      <c r="AF132" s="177">
        <f t="shared" si="40"/>
        <v>0.85684099195193997</v>
      </c>
      <c r="AG132" s="799">
        <f t="shared" si="41"/>
        <v>-2</v>
      </c>
      <c r="AH132" s="176">
        <f t="shared" si="42"/>
        <v>4</v>
      </c>
      <c r="AI132" s="224">
        <f t="shared" si="43"/>
        <v>-1.14315900804806</v>
      </c>
      <c r="AJ132" s="264" t="b">
        <f t="shared" si="44"/>
        <v>0</v>
      </c>
      <c r="AK132" s="264" t="b">
        <f t="shared" si="45"/>
        <v>1</v>
      </c>
      <c r="AL132" s="264"/>
      <c r="AM132" s="264"/>
      <c r="AN132" s="75"/>
    </row>
    <row r="133" spans="1:40" s="6" customFormat="1" ht="11.25" customHeight="1" x14ac:dyDescent="0.2">
      <c r="A133" s="56">
        <f t="shared" si="46"/>
        <v>43584</v>
      </c>
      <c r="B133" s="607">
        <v>46.875</v>
      </c>
      <c r="C133" s="388"/>
      <c r="D133" s="391">
        <f t="shared" si="48"/>
        <v>46.973023293269009</v>
      </c>
      <c r="E133" s="383">
        <f t="shared" si="49"/>
        <v>47.335612921827845</v>
      </c>
      <c r="F133" s="383">
        <f t="shared" si="50"/>
        <v>47.336974093030854</v>
      </c>
      <c r="G133" s="110">
        <f t="shared" si="51"/>
        <v>0.78200222981258549</v>
      </c>
      <c r="I133" s="379">
        <f t="shared" si="24"/>
        <v>47.336974093030854</v>
      </c>
      <c r="J133" s="85">
        <v>2018</v>
      </c>
      <c r="K133" s="197">
        <f t="shared" si="25"/>
        <v>43584</v>
      </c>
      <c r="L133" s="435">
        <f t="shared" si="26"/>
        <v>2.0867997500824131E-3</v>
      </c>
      <c r="M133" s="842"/>
      <c r="N133" s="842"/>
      <c r="O133" s="323">
        <f t="shared" si="27"/>
        <v>7.6599753584607796E-3</v>
      </c>
      <c r="P133" s="169">
        <f>(INDEX(Models!$BJ133:$BT133,,T133)*(1-R133)+INDEX(Models!$BJ133:$BT133,,T133+1)*R133-ERP_i)*Q133*Ramure*Pc/MaxiM</f>
        <v>4.1759192194542153E-5</v>
      </c>
      <c r="Q133" s="304">
        <f t="shared" si="28"/>
        <v>0.7</v>
      </c>
      <c r="R133" s="177">
        <f t="shared" si="29"/>
        <v>0.85892296776084542</v>
      </c>
      <c r="S133" s="799">
        <f t="shared" si="47"/>
        <v>-2</v>
      </c>
      <c r="T133" s="176">
        <f t="shared" si="30"/>
        <v>4</v>
      </c>
      <c r="U133" s="250">
        <f t="shared" si="31"/>
        <v>-1.1410770322391546</v>
      </c>
      <c r="V133" s="382">
        <f t="shared" si="32"/>
        <v>59.941504794357165</v>
      </c>
      <c r="W133" s="58"/>
      <c r="X133" s="157">
        <f t="shared" si="33"/>
        <v>43584</v>
      </c>
      <c r="Y133" s="383">
        <f t="shared" si="34"/>
        <v>46.875</v>
      </c>
      <c r="Z133" s="383">
        <f t="shared" si="35"/>
        <v>46.973023293269009</v>
      </c>
      <c r="AA133" s="384">
        <f t="shared" si="36"/>
        <v>47.335612921827845</v>
      </c>
      <c r="AB133" s="197">
        <f t="shared" si="37"/>
        <v>43584</v>
      </c>
      <c r="AC133" s="424">
        <f t="shared" si="38"/>
        <v>7.6599753584607796E-3</v>
      </c>
      <c r="AD133" s="169">
        <f>(INDEX(Models!$BJ133:$BT133,,AH133)*(1-AF133)+INDEX(Models!$BJ133:$BT133,,AH133+1)*AF133-ERP_i)*AE133*Ramure*Pc/MaxiM</f>
        <v>4.1759192194542153E-5</v>
      </c>
      <c r="AE133" s="304">
        <f t="shared" si="39"/>
        <v>0.7</v>
      </c>
      <c r="AF133" s="177">
        <f t="shared" si="40"/>
        <v>0.85892296776084542</v>
      </c>
      <c r="AG133" s="799">
        <f t="shared" si="41"/>
        <v>-2</v>
      </c>
      <c r="AH133" s="176">
        <f t="shared" si="42"/>
        <v>4</v>
      </c>
      <c r="AI133" s="224">
        <f t="shared" si="43"/>
        <v>-1.1410770322391546</v>
      </c>
      <c r="AJ133" s="264" t="b">
        <f t="shared" si="44"/>
        <v>0</v>
      </c>
      <c r="AK133" s="264" t="b">
        <f t="shared" si="45"/>
        <v>1</v>
      </c>
      <c r="AL133" s="264"/>
      <c r="AM133" s="264"/>
      <c r="AN133" s="75"/>
    </row>
    <row r="134" spans="1:40" s="6" customFormat="1" ht="11.25" customHeight="1" x14ac:dyDescent="0.2">
      <c r="A134" s="56">
        <f t="shared" si="46"/>
        <v>43585</v>
      </c>
      <c r="B134" s="607">
        <v>56.570999999999998</v>
      </c>
      <c r="C134" s="388"/>
      <c r="D134" s="391">
        <f t="shared" si="48"/>
        <v>56.690385673743393</v>
      </c>
      <c r="E134" s="383">
        <f t="shared" si="49"/>
        <v>57.132053391883773</v>
      </c>
      <c r="F134" s="383">
        <f t="shared" si="50"/>
        <v>57.134227383129591</v>
      </c>
      <c r="G134" s="110">
        <f t="shared" si="51"/>
        <v>0.94228036058143383</v>
      </c>
      <c r="I134" s="379">
        <f t="shared" si="24"/>
        <v>57.134227383129591</v>
      </c>
      <c r="J134" s="85">
        <v>2018</v>
      </c>
      <c r="K134" s="197">
        <f t="shared" si="25"/>
        <v>43585</v>
      </c>
      <c r="L134" s="435">
        <f t="shared" si="26"/>
        <v>2.105924528904568E-3</v>
      </c>
      <c r="M134" s="842"/>
      <c r="N134" s="842"/>
      <c r="O134" s="323">
        <f t="shared" si="27"/>
        <v>7.7306466671320274E-3</v>
      </c>
      <c r="P134" s="169">
        <f>(INDEX(Models!$BJ134:$BT134,,T134)*(1-R134)+INDEX(Models!$BJ134:$BT134,,T134+1)*R134-ERP_i)*Q134*Ramure*Pc/MaxiM</f>
        <v>4.1469867801745806E-5</v>
      </c>
      <c r="Q134" s="304">
        <f t="shared" si="28"/>
        <v>0.7</v>
      </c>
      <c r="R134" s="177">
        <f t="shared" si="29"/>
        <v>0.86106550828666872</v>
      </c>
      <c r="S134" s="799">
        <f t="shared" si="47"/>
        <v>-2</v>
      </c>
      <c r="T134" s="176">
        <f t="shared" si="30"/>
        <v>4</v>
      </c>
      <c r="U134" s="250">
        <f t="shared" si="31"/>
        <v>-1.1389344917133313</v>
      </c>
      <c r="V134" s="382">
        <f t="shared" si="32"/>
        <v>60.03606668184284</v>
      </c>
      <c r="W134" s="58"/>
      <c r="X134" s="157">
        <f t="shared" si="33"/>
        <v>43585</v>
      </c>
      <c r="Y134" s="383">
        <f t="shared" si="34"/>
        <v>56.570999999999998</v>
      </c>
      <c r="Z134" s="383">
        <f t="shared" si="35"/>
        <v>56.690385673743393</v>
      </c>
      <c r="AA134" s="384">
        <f t="shared" si="36"/>
        <v>57.132053391883773</v>
      </c>
      <c r="AB134" s="197">
        <f t="shared" si="37"/>
        <v>43585</v>
      </c>
      <c r="AC134" s="424">
        <f t="shared" si="38"/>
        <v>7.7306466671320274E-3</v>
      </c>
      <c r="AD134" s="169">
        <f>(INDEX(Models!$BJ134:$BT134,,AH134)*(1-AF134)+INDEX(Models!$BJ134:$BT134,,AH134+1)*AF134-ERP_i)*AE134*Ramure*Pc/MaxiM</f>
        <v>4.1469867801745806E-5</v>
      </c>
      <c r="AE134" s="304">
        <f t="shared" si="39"/>
        <v>0.7</v>
      </c>
      <c r="AF134" s="177">
        <f t="shared" si="40"/>
        <v>0.86106550828666872</v>
      </c>
      <c r="AG134" s="799">
        <f t="shared" si="41"/>
        <v>-2</v>
      </c>
      <c r="AH134" s="176">
        <f t="shared" si="42"/>
        <v>4</v>
      </c>
      <c r="AI134" s="224">
        <f t="shared" si="43"/>
        <v>-1.1389344917133313</v>
      </c>
      <c r="AJ134" s="264" t="b">
        <f t="shared" si="44"/>
        <v>0</v>
      </c>
      <c r="AK134" s="264" t="b">
        <f t="shared" si="45"/>
        <v>1</v>
      </c>
      <c r="AL134" s="264"/>
      <c r="AM134" s="264"/>
      <c r="AN134" s="75"/>
    </row>
    <row r="135" spans="1:40" s="6" customFormat="1" ht="11.25" customHeight="1" x14ac:dyDescent="0.2">
      <c r="A135" s="56">
        <f t="shared" si="46"/>
        <v>43586</v>
      </c>
      <c r="B135" s="607">
        <v>54.469000000000001</v>
      </c>
      <c r="C135" s="388"/>
      <c r="D135" s="391">
        <f t="shared" si="48"/>
        <v>54.584995787503907</v>
      </c>
      <c r="E135" s="383">
        <f t="shared" si="49"/>
        <v>55.014185059625483</v>
      </c>
      <c r="F135" s="383">
        <f t="shared" si="50"/>
        <v>55.014185059625483</v>
      </c>
      <c r="G135" s="110">
        <f t="shared" si="51"/>
        <v>0.90586809347335118</v>
      </c>
      <c r="I135" s="379">
        <f t="shared" si="24"/>
        <v>55.014185059625483</v>
      </c>
      <c r="J135" s="85">
        <v>2018</v>
      </c>
      <c r="K135" s="197">
        <f t="shared" si="25"/>
        <v>43586</v>
      </c>
      <c r="L135" s="435">
        <f t="shared" si="26"/>
        <v>2.125048941204799E-3</v>
      </c>
      <c r="M135" s="842"/>
      <c r="N135" s="842"/>
      <c r="O135" s="323">
        <f t="shared" si="27"/>
        <v>7.8014292433199193E-3</v>
      </c>
      <c r="P135" s="169">
        <f>(INDEX(Models!$BJ135:$BT135,,T135)*(1-R135)+INDEX(Models!$BJ135:$BT135,,T135+1)*R135-ERP_i)*Q135*Ramure*Pc/MaxiM</f>
        <v>0</v>
      </c>
      <c r="Q135" s="304">
        <f t="shared" si="28"/>
        <v>0.7</v>
      </c>
      <c r="R135" s="177">
        <f t="shared" si="29"/>
        <v>0.79893718423328464</v>
      </c>
      <c r="S135" s="799">
        <f t="shared" si="47"/>
        <v>-2</v>
      </c>
      <c r="T135" s="176">
        <f t="shared" si="30"/>
        <v>4</v>
      </c>
      <c r="U135" s="250">
        <f t="shared" si="31"/>
        <v>-1.2010628157667154</v>
      </c>
      <c r="V135" s="382">
        <f t="shared" si="32"/>
        <v>60.12906337295825</v>
      </c>
      <c r="W135" s="58"/>
      <c r="X135" s="157">
        <f t="shared" si="33"/>
        <v>43586</v>
      </c>
      <c r="Y135" s="383">
        <f t="shared" si="34"/>
        <v>54.467066243797198</v>
      </c>
      <c r="Z135" s="383">
        <f t="shared" si="35"/>
        <v>54.583057913223413</v>
      </c>
      <c r="AA135" s="384">
        <f t="shared" si="36"/>
        <v>55.012231948285063</v>
      </c>
      <c r="AB135" s="197">
        <f t="shared" si="37"/>
        <v>43586</v>
      </c>
      <c r="AC135" s="424">
        <f t="shared" si="38"/>
        <v>7.8014292433199193E-3</v>
      </c>
      <c r="AD135" s="169">
        <f>(INDEX(Models!$BJ135:$BT135,,AH135)*(1-AF135)+INDEX(Models!$BJ135:$BT135,,AH135+1)*AF135-ERP_i)*AE135*Ramure*Pc/MaxiM</f>
        <v>4.1017791731317954E-5</v>
      </c>
      <c r="AE135" s="304">
        <f t="shared" si="39"/>
        <v>0.7</v>
      </c>
      <c r="AF135" s="177">
        <f t="shared" si="40"/>
        <v>0.86326940649311679</v>
      </c>
      <c r="AG135" s="799">
        <f t="shared" si="41"/>
        <v>-2</v>
      </c>
      <c r="AH135" s="176">
        <f t="shared" si="42"/>
        <v>4</v>
      </c>
      <c r="AI135" s="224">
        <f t="shared" si="43"/>
        <v>-1.1367305935068832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6"/>
        <v>43587</v>
      </c>
      <c r="B136" s="607">
        <v>32.509</v>
      </c>
      <c r="C136" s="388"/>
      <c r="D136" s="391">
        <f t="shared" si="48"/>
        <v>32.57885470019523</v>
      </c>
      <c r="E136" s="383">
        <f t="shared" si="49"/>
        <v>32.837361056068232</v>
      </c>
      <c r="F136" s="383">
        <f t="shared" si="50"/>
        <v>32.837376520560724</v>
      </c>
      <c r="G136" s="110">
        <f t="shared" si="51"/>
        <v>0.53988466809962576</v>
      </c>
      <c r="I136" s="379">
        <f t="shared" si="24"/>
        <v>32.837376520560724</v>
      </c>
      <c r="J136" s="85">
        <v>2018</v>
      </c>
      <c r="K136" s="197">
        <f t="shared" si="25"/>
        <v>43587</v>
      </c>
      <c r="L136" s="435">
        <f t="shared" si="26"/>
        <v>2.1441729869899895E-3</v>
      </c>
      <c r="M136" s="842"/>
      <c r="N136" s="842"/>
      <c r="O136" s="323">
        <f t="shared" si="27"/>
        <v>7.8723243147224009E-3</v>
      </c>
      <c r="P136" s="169">
        <f>(INDEX(Models!$BJ136:$BT136,,T136)*(1-R136)+INDEX(Models!$BJ136:$BT136,,T136+1)*R136-ERP_i)*Q136*Ramure*Pc/MaxiM</f>
        <v>1.3742377836530252E-6</v>
      </c>
      <c r="Q136" s="304">
        <f t="shared" si="28"/>
        <v>0.7</v>
      </c>
      <c r="R136" s="177">
        <f t="shared" si="29"/>
        <v>0.80120317258163265</v>
      </c>
      <c r="S136" s="799">
        <f t="shared" si="47"/>
        <v>-2</v>
      </c>
      <c r="T136" s="176">
        <f t="shared" si="30"/>
        <v>4</v>
      </c>
      <c r="U136" s="250">
        <f t="shared" si="31"/>
        <v>-1.1987968274183674</v>
      </c>
      <c r="V136" s="382">
        <f t="shared" si="32"/>
        <v>60.214657973464433</v>
      </c>
      <c r="W136" s="58"/>
      <c r="X136" s="157">
        <f t="shared" si="33"/>
        <v>43587</v>
      </c>
      <c r="Y136" s="383">
        <f t="shared" si="34"/>
        <v>32.508565347766414</v>
      </c>
      <c r="Z136" s="383">
        <f t="shared" si="35"/>
        <v>32.578419113989469</v>
      </c>
      <c r="AA136" s="384">
        <f t="shared" si="36"/>
        <v>32.836922013577599</v>
      </c>
      <c r="AB136" s="197">
        <f t="shared" si="37"/>
        <v>43587</v>
      </c>
      <c r="AC136" s="424">
        <f t="shared" si="38"/>
        <v>7.8723243147224009E-3</v>
      </c>
      <c r="AD136" s="169">
        <f>(INDEX(Models!$BJ136:$BT136,,AH136)*(1-AF136)+INDEX(Models!$BJ136:$BT136,,AH136+1)*AF136-ERP_i)*AE136*Ramure*Pc/MaxiM</f>
        <v>4.0389341546334613E-5</v>
      </c>
      <c r="AE136" s="304">
        <f t="shared" si="39"/>
        <v>0.7</v>
      </c>
      <c r="AF136" s="177">
        <f t="shared" si="40"/>
        <v>0.8655353948414648</v>
      </c>
      <c r="AG136" s="799">
        <f t="shared" si="41"/>
        <v>-2</v>
      </c>
      <c r="AH136" s="176">
        <f t="shared" si="42"/>
        <v>4</v>
      </c>
      <c r="AI136" s="224">
        <f t="shared" si="43"/>
        <v>-1.1344646051585352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6"/>
        <v>43588</v>
      </c>
      <c r="B137" s="607">
        <v>24.475000000000001</v>
      </c>
      <c r="C137" s="388"/>
      <c r="D137" s="391">
        <f t="shared" si="48"/>
        <v>24.528061473615871</v>
      </c>
      <c r="E137" s="383">
        <f t="shared" si="49"/>
        <v>24.724456056788529</v>
      </c>
      <c r="F137" s="383">
        <f t="shared" si="50"/>
        <v>24.72446592969079</v>
      </c>
      <c r="G137" s="110">
        <f t="shared" si="51"/>
        <v>0.40591563235549616</v>
      </c>
      <c r="I137" s="379">
        <f t="shared" si="24"/>
        <v>24.72446592969079</v>
      </c>
      <c r="J137" s="85">
        <v>2018</v>
      </c>
      <c r="K137" s="197">
        <f t="shared" si="25"/>
        <v>43588</v>
      </c>
      <c r="L137" s="435">
        <f t="shared" si="26"/>
        <v>2.1632966662672448E-3</v>
      </c>
      <c r="M137" s="842"/>
      <c r="N137" s="842"/>
      <c r="O137" s="323">
        <f t="shared" si="27"/>
        <v>7.9433328167693405E-3</v>
      </c>
      <c r="P137" s="169">
        <f>(INDEX(Models!$BJ137:$BT137,,T137)*(1-R137)+INDEX(Models!$BJ137:$BT137,,T137+1)*R137-ERP_i)*Q137*Ramure*Pc/MaxiM</f>
        <v>2.6390776397109166E-6</v>
      </c>
      <c r="Q137" s="304">
        <f t="shared" si="28"/>
        <v>0.7</v>
      </c>
      <c r="R137" s="177">
        <f t="shared" si="29"/>
        <v>0.80353191759408382</v>
      </c>
      <c r="S137" s="799">
        <f t="shared" si="47"/>
        <v>-2</v>
      </c>
      <c r="T137" s="176">
        <f t="shared" si="30"/>
        <v>4</v>
      </c>
      <c r="U137" s="250">
        <f t="shared" si="31"/>
        <v>-1.1964680824059162</v>
      </c>
      <c r="V137" s="382">
        <f t="shared" si="32"/>
        <v>60.295645772036323</v>
      </c>
      <c r="W137" s="58"/>
      <c r="X137" s="157">
        <f t="shared" si="33"/>
        <v>43588</v>
      </c>
      <c r="Y137" s="383">
        <f t="shared" si="34"/>
        <v>24.474863161270818</v>
      </c>
      <c r="Z137" s="383">
        <f t="shared" si="35"/>
        <v>24.527924338222149</v>
      </c>
      <c r="AA137" s="384">
        <f t="shared" si="36"/>
        <v>24.724317823360686</v>
      </c>
      <c r="AB137" s="197">
        <f t="shared" si="37"/>
        <v>43588</v>
      </c>
      <c r="AC137" s="424">
        <f t="shared" si="38"/>
        <v>7.9433328167693405E-3</v>
      </c>
      <c r="AD137" s="169">
        <f>(INDEX(Models!$BJ137:$BT137,,AH137)*(1-AF137)+INDEX(Models!$BJ137:$BT137,,AH137+1)*AF137-ERP_i)*AE137*Ramure*Pc/MaxiM</f>
        <v>3.9589585089682443E-5</v>
      </c>
      <c r="AE137" s="304">
        <f t="shared" si="39"/>
        <v>0.7</v>
      </c>
      <c r="AF137" s="177">
        <f t="shared" si="40"/>
        <v>0.86786413985391597</v>
      </c>
      <c r="AG137" s="799">
        <f t="shared" si="41"/>
        <v>-2</v>
      </c>
      <c r="AH137" s="176">
        <f t="shared" si="42"/>
        <v>4</v>
      </c>
      <c r="AI137" s="224">
        <f t="shared" si="43"/>
        <v>-1.132135860146084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6"/>
        <v>43589</v>
      </c>
      <c r="B138" s="607">
        <v>27.925000000000001</v>
      </c>
      <c r="C138" s="388"/>
      <c r="D138" s="391">
        <f t="shared" si="48"/>
        <v>27.986077374396942</v>
      </c>
      <c r="E138" s="383">
        <f t="shared" si="49"/>
        <v>28.212182653363254</v>
      </c>
      <c r="F138" s="383">
        <f t="shared" si="50"/>
        <v>28.212207429511668</v>
      </c>
      <c r="G138" s="110">
        <f t="shared" si="51"/>
        <v>0.46254565203179115</v>
      </c>
      <c r="I138" s="379">
        <f t="shared" si="24"/>
        <v>28.212207429511668</v>
      </c>
      <c r="J138" s="85">
        <v>2018</v>
      </c>
      <c r="K138" s="197">
        <f t="shared" si="25"/>
        <v>43589</v>
      </c>
      <c r="L138" s="435">
        <f t="shared" si="26"/>
        <v>2.1824199790434484E-3</v>
      </c>
      <c r="M138" s="842"/>
      <c r="N138" s="842"/>
      <c r="O138" s="323">
        <f t="shared" si="27"/>
        <v>8.0144553771120119E-3</v>
      </c>
      <c r="P138" s="169">
        <f>(INDEX(Models!$BJ138:$BT138,,T138)*(1-R138)+INDEX(Models!$BJ138:$BT138,,T138+1)*R138-ERP_i)*Q138*Ramure*Pc/MaxiM</f>
        <v>3.7819503236821447E-6</v>
      </c>
      <c r="Q138" s="304">
        <f t="shared" si="28"/>
        <v>0.7</v>
      </c>
      <c r="R138" s="177">
        <f t="shared" si="29"/>
        <v>0.80592401432711602</v>
      </c>
      <c r="S138" s="799">
        <f t="shared" si="47"/>
        <v>-2</v>
      </c>
      <c r="T138" s="176">
        <f t="shared" si="30"/>
        <v>4</v>
      </c>
      <c r="U138" s="250">
        <f t="shared" si="31"/>
        <v>-1.194075985672884</v>
      </c>
      <c r="V138" s="382">
        <f t="shared" si="32"/>
        <v>60.372243886031896</v>
      </c>
      <c r="W138" s="58"/>
      <c r="X138" s="157">
        <f t="shared" si="33"/>
        <v>43589</v>
      </c>
      <c r="Y138" s="383">
        <f t="shared" si="34"/>
        <v>27.9247741923452</v>
      </c>
      <c r="Z138" s="383">
        <f t="shared" si="35"/>
        <v>27.985851072857137</v>
      </c>
      <c r="AA138" s="384">
        <f t="shared" si="36"/>
        <v>28.211954523486735</v>
      </c>
      <c r="AB138" s="197">
        <f t="shared" si="37"/>
        <v>43589</v>
      </c>
      <c r="AC138" s="424">
        <f t="shared" si="38"/>
        <v>8.0144553771120119E-3</v>
      </c>
      <c r="AD138" s="169">
        <f>(INDEX(Models!$BJ138:$BT138,,AH138)*(1-AF138)+INDEX(Models!$BJ138:$BT138,,AH138+1)*AF138-ERP_i)*AE138*Ramure*Pc/MaxiM</f>
        <v>3.8604790657751156E-5</v>
      </c>
      <c r="AE138" s="304">
        <f t="shared" si="39"/>
        <v>0.7</v>
      </c>
      <c r="AF138" s="177">
        <f t="shared" si="40"/>
        <v>0.87025623658694817</v>
      </c>
      <c r="AG138" s="799">
        <f t="shared" si="41"/>
        <v>-2</v>
      </c>
      <c r="AH138" s="176">
        <f t="shared" si="42"/>
        <v>4</v>
      </c>
      <c r="AI138" s="224">
        <f t="shared" si="43"/>
        <v>-1.1297437634130518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6"/>
        <v>43590</v>
      </c>
      <c r="B139" s="607">
        <v>47.424999999999997</v>
      </c>
      <c r="C139" s="388"/>
      <c r="D139" s="391">
        <f t="shared" si="48"/>
        <v>47.529638539469858</v>
      </c>
      <c r="E139" s="383">
        <f t="shared" si="49"/>
        <v>47.917081314916643</v>
      </c>
      <c r="F139" s="383">
        <f t="shared" si="50"/>
        <v>47.917240199020164</v>
      </c>
      <c r="G139" s="110">
        <f t="shared" si="51"/>
        <v>0.78460070274113369</v>
      </c>
      <c r="I139" s="379">
        <f t="shared" si="24"/>
        <v>47.917240199020164</v>
      </c>
      <c r="J139" s="85">
        <v>2018</v>
      </c>
      <c r="K139" s="197">
        <f t="shared" si="25"/>
        <v>43590</v>
      </c>
      <c r="L139" s="435">
        <f t="shared" si="26"/>
        <v>2.2015429253258167E-3</v>
      </c>
      <c r="M139" s="842"/>
      <c r="N139" s="842"/>
      <c r="O139" s="323">
        <f t="shared" si="27"/>
        <v>8.0856923004233982E-3</v>
      </c>
      <c r="P139" s="169">
        <f>(INDEX(Models!$BJ139:$BT139,,T139)*(1-R139)+INDEX(Models!$BJ139:$BT139,,T139+1)*R139-ERP_i)*Q139*Ramure*Pc/MaxiM</f>
        <v>4.7896261375144761E-6</v>
      </c>
      <c r="Q139" s="304">
        <f t="shared" si="28"/>
        <v>0.7</v>
      </c>
      <c r="R139" s="177">
        <f t="shared" si="29"/>
        <v>0.80837998078037709</v>
      </c>
      <c r="S139" s="799">
        <f t="shared" si="47"/>
        <v>-2</v>
      </c>
      <c r="T139" s="176">
        <f t="shared" si="30"/>
        <v>4</v>
      </c>
      <c r="U139" s="250">
        <f t="shared" si="31"/>
        <v>-1.1916200192196229</v>
      </c>
      <c r="V139" s="382">
        <f t="shared" si="32"/>
        <v>60.444669419736677</v>
      </c>
      <c r="W139" s="58"/>
      <c r="X139" s="157">
        <f t="shared" si="33"/>
        <v>43590</v>
      </c>
      <c r="Y139" s="383">
        <f t="shared" si="34"/>
        <v>47.423928664855787</v>
      </c>
      <c r="Z139" s="383">
        <f t="shared" si="35"/>
        <v>47.528564840531345</v>
      </c>
      <c r="AA139" s="384">
        <f t="shared" si="36"/>
        <v>47.915998863609936</v>
      </c>
      <c r="AB139" s="197">
        <f t="shared" si="37"/>
        <v>43590</v>
      </c>
      <c r="AC139" s="424">
        <f t="shared" si="38"/>
        <v>8.0856923004233982E-3</v>
      </c>
      <c r="AD139" s="169">
        <f>(INDEX(Models!$BJ139:$BT139,,AH139)*(1-AF139)+INDEX(Models!$BJ139:$BT139,,AH139+1)*AF139-ERP_i)*AE139*Ramure*Pc/MaxiM</f>
        <v>3.7420562500848029E-5</v>
      </c>
      <c r="AE139" s="304">
        <f t="shared" si="39"/>
        <v>0.7</v>
      </c>
      <c r="AF139" s="177">
        <f t="shared" si="40"/>
        <v>0.87271220304020947</v>
      </c>
      <c r="AG139" s="799">
        <f t="shared" si="41"/>
        <v>-2</v>
      </c>
      <c r="AH139" s="176">
        <f t="shared" si="42"/>
        <v>4</v>
      </c>
      <c r="AI139" s="224">
        <f t="shared" si="43"/>
        <v>-1.1272877969597905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6"/>
        <v>43591</v>
      </c>
      <c r="B140" s="607">
        <v>57.706000000000003</v>
      </c>
      <c r="C140" s="388"/>
      <c r="D140" s="391">
        <f t="shared" si="48"/>
        <v>57.834430925765169</v>
      </c>
      <c r="E140" s="383">
        <f t="shared" si="49"/>
        <v>58.3100686957318</v>
      </c>
      <c r="F140" s="383">
        <f t="shared" si="50"/>
        <v>58.310376218958538</v>
      </c>
      <c r="G140" s="110">
        <f t="shared" si="51"/>
        <v>0.95361071848687984</v>
      </c>
      <c r="I140" s="379">
        <f t="shared" si="24"/>
        <v>58.310376218958538</v>
      </c>
      <c r="J140" s="85">
        <v>2018</v>
      </c>
      <c r="K140" s="197">
        <f t="shared" si="25"/>
        <v>43591</v>
      </c>
      <c r="L140" s="435">
        <f t="shared" si="26"/>
        <v>2.2206655051212332E-3</v>
      </c>
      <c r="M140" s="842"/>
      <c r="N140" s="842"/>
      <c r="O140" s="323">
        <f t="shared" si="27"/>
        <v>8.1570435536367E-3</v>
      </c>
      <c r="P140" s="169">
        <f>(INDEX(Models!$BJ140:$BT140,,T140)*(1-R140)+INDEX(Models!$BJ140:$BT140,,T140+1)*R140-ERP_i)*Q140*Ramure*Pc/MaxiM</f>
        <v>5.6482084568832781E-6</v>
      </c>
      <c r="Q140" s="304">
        <f t="shared" si="28"/>
        <v>0.7</v>
      </c>
      <c r="R140" s="177">
        <f t="shared" si="29"/>
        <v>0.81090025226945017</v>
      </c>
      <c r="S140" s="799">
        <f t="shared" si="47"/>
        <v>-2</v>
      </c>
      <c r="T140" s="176">
        <f t="shared" si="30"/>
        <v>4</v>
      </c>
      <c r="U140" s="250">
        <f t="shared" si="31"/>
        <v>-1.1890997477305498</v>
      </c>
      <c r="V140" s="382">
        <f t="shared" si="32"/>
        <v>60.513139461916019</v>
      </c>
      <c r="W140" s="58"/>
      <c r="X140" s="157">
        <f t="shared" si="33"/>
        <v>43591</v>
      </c>
      <c r="Y140" s="383">
        <f t="shared" si="34"/>
        <v>57.704363404614519</v>
      </c>
      <c r="Z140" s="383">
        <f t="shared" si="35"/>
        <v>57.83279068796017</v>
      </c>
      <c r="AA140" s="384">
        <f t="shared" si="36"/>
        <v>58.308414968400939</v>
      </c>
      <c r="AB140" s="197">
        <f t="shared" si="37"/>
        <v>43591</v>
      </c>
      <c r="AC140" s="424">
        <f t="shared" si="38"/>
        <v>8.1570435536367E-3</v>
      </c>
      <c r="AD140" s="169">
        <f>(INDEX(Models!$BJ140:$BT140,,AH140)*(1-AF140)+INDEX(Models!$BJ140:$BT140,,AH140+1)*AF140-ERP_i)*AE140*Ramure*Pc/MaxiM</f>
        <v>3.6021838425349296E-5</v>
      </c>
      <c r="AE140" s="304">
        <f t="shared" si="39"/>
        <v>0.7</v>
      </c>
      <c r="AF140" s="177">
        <f t="shared" si="40"/>
        <v>0.87523247452928254</v>
      </c>
      <c r="AG140" s="799">
        <f t="shared" si="41"/>
        <v>-2</v>
      </c>
      <c r="AH140" s="176">
        <f t="shared" si="42"/>
        <v>4</v>
      </c>
      <c r="AI140" s="224">
        <f t="shared" si="43"/>
        <v>-1.1247675254707175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6"/>
        <v>43592</v>
      </c>
      <c r="B141" s="607">
        <v>49.668999999999997</v>
      </c>
      <c r="C141" s="388"/>
      <c r="D141" s="391">
        <f t="shared" si="48"/>
        <v>49.780497747472459</v>
      </c>
      <c r="E141" s="383">
        <f t="shared" si="49"/>
        <v>50.193515529286579</v>
      </c>
      <c r="F141" s="383">
        <f t="shared" si="50"/>
        <v>50.193752007794053</v>
      </c>
      <c r="G141" s="110">
        <f t="shared" si="51"/>
        <v>0.81991852896666695</v>
      </c>
      <c r="I141" s="379">
        <f t="shared" si="24"/>
        <v>50.193752007794053</v>
      </c>
      <c r="J141" s="85">
        <v>2018</v>
      </c>
      <c r="K141" s="197">
        <f t="shared" si="25"/>
        <v>43592</v>
      </c>
      <c r="L141" s="435">
        <f t="shared" si="26"/>
        <v>2.2397877184368031E-3</v>
      </c>
      <c r="M141" s="842"/>
      <c r="N141" s="842"/>
      <c r="O141" s="323">
        <f t="shared" si="27"/>
        <v>8.228508751755681E-3</v>
      </c>
      <c r="P141" s="169">
        <f>(INDEX(Models!$BJ141:$BT141,,T141)*(1-R141)+INDEX(Models!$BJ141:$BT141,,T141+1)*R141-ERP_i)*Q141*Ramure*Pc/MaxiM</f>
        <v>6.3431304393908044E-6</v>
      </c>
      <c r="Q141" s="304">
        <f t="shared" si="28"/>
        <v>0.7</v>
      </c>
      <c r="R141" s="177">
        <f t="shared" si="29"/>
        <v>0.81348517579357216</v>
      </c>
      <c r="S141" s="799">
        <f t="shared" si="47"/>
        <v>-2</v>
      </c>
      <c r="T141" s="176">
        <f t="shared" si="30"/>
        <v>4</v>
      </c>
      <c r="U141" s="250">
        <f t="shared" si="31"/>
        <v>-1.1865148242064278</v>
      </c>
      <c r="V141" s="382">
        <f t="shared" si="32"/>
        <v>60.577871086174447</v>
      </c>
      <c r="W141" s="58"/>
      <c r="X141" s="157">
        <f t="shared" si="33"/>
        <v>43592</v>
      </c>
      <c r="Y141" s="383">
        <f t="shared" si="34"/>
        <v>49.667965203405601</v>
      </c>
      <c r="Z141" s="383">
        <f t="shared" si="35"/>
        <v>49.779460627950492</v>
      </c>
      <c r="AA141" s="384">
        <f t="shared" si="36"/>
        <v>50.192469805013282</v>
      </c>
      <c r="AB141" s="197">
        <f t="shared" si="37"/>
        <v>43592</v>
      </c>
      <c r="AC141" s="424">
        <f t="shared" si="38"/>
        <v>8.228508751755681E-3</v>
      </c>
      <c r="AD141" s="169">
        <f>(INDEX(Models!$BJ141:$BT141,,AH141)*(1-AF141)+INDEX(Models!$BJ141:$BT141,,AH141+1)*AF141-ERP_i)*AE141*Ramure*Pc/MaxiM</f>
        <v>3.4392890817580622E-5</v>
      </c>
      <c r="AE141" s="304">
        <f t="shared" si="39"/>
        <v>0.7</v>
      </c>
      <c r="AF141" s="177">
        <f t="shared" si="40"/>
        <v>0.87781739805340431</v>
      </c>
      <c r="AG141" s="799">
        <f t="shared" si="41"/>
        <v>-2</v>
      </c>
      <c r="AH141" s="176">
        <f t="shared" si="42"/>
        <v>4</v>
      </c>
      <c r="AI141" s="224">
        <f t="shared" si="43"/>
        <v>-1.1221826019465957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6"/>
        <v>43593</v>
      </c>
      <c r="B142" s="607">
        <v>32.988999999999997</v>
      </c>
      <c r="C142" s="388"/>
      <c r="D142" s="391">
        <f t="shared" si="48"/>
        <v>33.06368788081739</v>
      </c>
      <c r="E142" s="383">
        <f t="shared" si="49"/>
        <v>33.340416241047848</v>
      </c>
      <c r="F142" s="383">
        <f t="shared" si="50"/>
        <v>33.340496231722398</v>
      </c>
      <c r="G142" s="110">
        <f t="shared" si="51"/>
        <v>0.54401966739946539</v>
      </c>
      <c r="I142" s="379">
        <f t="shared" si="24"/>
        <v>33.340496231722398</v>
      </c>
      <c r="J142" s="85">
        <v>2018</v>
      </c>
      <c r="K142" s="197">
        <f t="shared" si="25"/>
        <v>43593</v>
      </c>
      <c r="L142" s="435">
        <f t="shared" si="26"/>
        <v>2.25890956527941E-3</v>
      </c>
      <c r="M142" s="842"/>
      <c r="N142" s="842"/>
      <c r="O142" s="323">
        <f t="shared" si="27"/>
        <v>8.3000871443756931E-3</v>
      </c>
      <c r="P142" s="169">
        <f>(INDEX(Models!$BJ142:$BT142,,T142)*(1-R142)+INDEX(Models!$BJ142:$BT142,,T142+1)*R142-ERP_i)*Q142*Ramure*Pc/MaxiM</f>
        <v>6.8823407044939375E-6</v>
      </c>
      <c r="Q142" s="304">
        <f t="shared" si="28"/>
        <v>0.7</v>
      </c>
      <c r="R142" s="177">
        <f t="shared" si="29"/>
        <v>0.81613500443207854</v>
      </c>
      <c r="S142" s="799">
        <f t="shared" si="47"/>
        <v>-2</v>
      </c>
      <c r="T142" s="176">
        <f t="shared" si="30"/>
        <v>4</v>
      </c>
      <c r="U142" s="250">
        <f t="shared" si="31"/>
        <v>-1.1838649955679215</v>
      </c>
      <c r="V142" s="382">
        <f t="shared" si="32"/>
        <v>60.639079949379116</v>
      </c>
      <c r="W142" s="58"/>
      <c r="X142" s="157">
        <f t="shared" si="33"/>
        <v>43593</v>
      </c>
      <c r="Y142" s="383">
        <f t="shared" si="34"/>
        <v>32.988703931200881</v>
      </c>
      <c r="Z142" s="383">
        <f t="shared" si="35"/>
        <v>33.06339114171147</v>
      </c>
      <c r="AA142" s="384">
        <f t="shared" si="36"/>
        <v>33.340117018367607</v>
      </c>
      <c r="AB142" s="197">
        <f t="shared" si="37"/>
        <v>43593</v>
      </c>
      <c r="AC142" s="424">
        <f t="shared" si="38"/>
        <v>8.3000871443756931E-3</v>
      </c>
      <c r="AD142" s="169">
        <f>(INDEX(Models!$BJ142:$BT142,,AH142)*(1-AF142)+INDEX(Models!$BJ142:$BT142,,AH142+1)*AF142-ERP_i)*AE142*Ramure*Pc/MaxiM</f>
        <v>3.2627247137487346E-5</v>
      </c>
      <c r="AE142" s="304">
        <f t="shared" si="39"/>
        <v>0.7</v>
      </c>
      <c r="AF142" s="177">
        <f t="shared" si="40"/>
        <v>0.88046722669191069</v>
      </c>
      <c r="AG142" s="799">
        <f t="shared" si="41"/>
        <v>-2</v>
      </c>
      <c r="AH142" s="176">
        <f t="shared" si="42"/>
        <v>4</v>
      </c>
      <c r="AI142" s="224">
        <f t="shared" si="43"/>
        <v>-1.1195327733080893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customHeight="1" x14ac:dyDescent="0.2">
      <c r="A143" s="56">
        <f t="shared" si="46"/>
        <v>43594</v>
      </c>
      <c r="B143" s="607">
        <v>51.447000000000003</v>
      </c>
      <c r="C143" s="388"/>
      <c r="D143" s="391">
        <f t="shared" si="48"/>
        <v>51.564465453154959</v>
      </c>
      <c r="E143" s="383">
        <f t="shared" si="49"/>
        <v>51.999796182196668</v>
      </c>
      <c r="F143" s="383">
        <f t="shared" si="50"/>
        <v>52.000092362890776</v>
      </c>
      <c r="G143" s="110">
        <f t="shared" si="51"/>
        <v>0.84760258945045197</v>
      </c>
      <c r="I143" s="379">
        <f t="shared" ref="I143:I206" si="52">Wh_hp</f>
        <v>52.000092362890776</v>
      </c>
      <c r="J143" s="85">
        <v>2018</v>
      </c>
      <c r="K143" s="197">
        <f t="shared" ref="K143:K206" si="53">t</f>
        <v>43594</v>
      </c>
      <c r="L143" s="435">
        <f t="shared" ref="L143:L206" si="54">IF(t&lt;T0,0,IF(t&lt;Tvie,1-EXP((T0-t)*PertePVj),1-EXP((T0-t)*PertePVj)+Pspv))</f>
        <v>2.2780310456562702E-3</v>
      </c>
      <c r="M143" s="842"/>
      <c r="N143" s="842"/>
      <c r="O143" s="323">
        <f t="shared" ref="O143:O206" si="55">IF(t&lt;T0,0,IF(t&lt;Tnet,Salim_i*(1-EXP((T0-t)/Tau_ij)),Resal+(Salim-Resal)*(1-EXP((Tnet-t)/(Tau_j)))))*Salcycl</f>
        <v>8.3717776030582634E-3</v>
      </c>
      <c r="P143" s="169">
        <f>(INDEX(Models!$BJ143:$BT143,,T143)*(1-R143)+INDEX(Models!$BJ143:$BT143,,T143+1)*R143-ERP_i)*Q143*Ramure*Pc/MaxiM</f>
        <v>7.2808840170999041E-6</v>
      </c>
      <c r="Q143" s="304">
        <f t="shared" ref="Q143:Q206" si="56">IF(OR(t&lt;Ttai,Notai),Dd+PousD*Croivg,Dens+PousD*(Croivg-Croi_tai))</f>
        <v>0.7</v>
      </c>
      <c r="R143" s="177">
        <f t="shared" ref="R143:R206" si="57">(Hp_vg-S143)/(INDEX(Echel_vg,T143+1)-S143)</f>
        <v>0.8188498918059548</v>
      </c>
      <c r="S143" s="799">
        <f t="shared" si="47"/>
        <v>-2</v>
      </c>
      <c r="T143" s="176">
        <f t="shared" ref="T143:T206" si="58">MIN(MATCH(Hp_vg,Echel_vg),10)</f>
        <v>4</v>
      </c>
      <c r="U143" s="250">
        <f t="shared" ref="U143:U206" si="59">IF(OR(t&lt;Ttai,Notai),Hdd+PousH*Croivg,Hdtf+PousH*(Croivg-Croi_tai))</f>
        <v>-1.1811501081940452</v>
      </c>
      <c r="V143" s="382">
        <f t="shared" ref="V143:V206" si="60">MaxiM*(1-Ppv)*(1-Pvg)*(1-Psa)</f>
        <v>60.696981215757319</v>
      </c>
      <c r="W143" s="58"/>
      <c r="X143" s="157">
        <f t="shared" ref="X143:X206" si="61">t</f>
        <v>43594</v>
      </c>
      <c r="Y143" s="383">
        <f t="shared" ref="Y143:Y206" si="62">Wh_pvt_s*(1-Ppv)</f>
        <v>51.446053297774633</v>
      </c>
      <c r="Z143" s="383">
        <f t="shared" ref="Z143:Z206" si="63">Wh_sa_s*(1-Psa_s)</f>
        <v>51.56351658938847</v>
      </c>
      <c r="AA143" s="384">
        <f t="shared" ref="AA143:AA206" si="64">Wh_hp*(1-Pvg_s*MEDIAN((-Sdif+Wh/Env_an)/Csdif,0,1))</f>
        <v>51.998839307689614</v>
      </c>
      <c r="AB143" s="197">
        <f t="shared" ref="AB143:AB206" si="65">t</f>
        <v>43594</v>
      </c>
      <c r="AC143" s="424">
        <f t="shared" ref="AC143:AC206" si="66">IF(t&lt;T0,0,IF(OR(t&lt;Tnet,NoTnet),Salim_i*(1-EXP((T0-t)/Tau_ij)),Resal_s+(Salim-Resal_s)*(1-EXP((Tnet_s-t)/Tau_j))))*Salcycl</f>
        <v>8.3717776030582634E-3</v>
      </c>
      <c r="AD143" s="169">
        <f>(INDEX(Models!$BJ143:$BT143,,AH143)*(1-AF143)+INDEX(Models!$BJ143:$BT143,,AH143+1)*AF143-ERP_i)*AE143*Ramure*Pc/MaxiM</f>
        <v>3.0803322998677117E-5</v>
      </c>
      <c r="AE143" s="304">
        <f t="shared" ref="AE143:AE206" si="67">Dd+PousD*Croivg</f>
        <v>0.7</v>
      </c>
      <c r="AF143" s="177">
        <f t="shared" ref="AF143:AF206" si="68">(Hp_vg_s-AG143)/(INDEX(Echel_vg,AH143+1)-AG143)</f>
        <v>0.88318211406578695</v>
      </c>
      <c r="AG143" s="799">
        <f t="shared" ref="AG143:AG206" si="69">INDEX(Echel_vg,AH143)</f>
        <v>-2</v>
      </c>
      <c r="AH143" s="176">
        <f t="shared" ref="AH143:AH206" si="70">MIN(MATCH(Hp_vg_s,Echel_vg),10)</f>
        <v>4</v>
      </c>
      <c r="AI143" s="224">
        <f t="shared" ref="AI143:AI206" si="71">Hdd+PousH*Croivg</f>
        <v>-1.1168178859342131</v>
      </c>
      <c r="AJ143" s="264" t="b">
        <f t="shared" ref="AJ143:AJ206" si="72">t&lt;Tnet</f>
        <v>0</v>
      </c>
      <c r="AK143" s="264" t="b">
        <f t="shared" ref="AK143:AK206" si="73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0" si="74">A143+1</f>
        <v>43595</v>
      </c>
      <c r="B144" s="607">
        <v>40.944000000000003</v>
      </c>
      <c r="C144" s="388"/>
      <c r="D144" s="391">
        <f t="shared" ref="D144:D200" si="75">Wh/(1-Ppv)</f>
        <v>41.038271153204789</v>
      </c>
      <c r="E144" s="383">
        <f t="shared" ref="E144:E200" si="76">Wh_pvt/(1-Psa)</f>
        <v>41.387731719455367</v>
      </c>
      <c r="F144" s="383">
        <f t="shared" ref="F144:F200" si="77">Wh_sa/(1-Pvg*MEDIAN((-Sdif+Wh/Env_an)/Csdif,0,1))</f>
        <v>41.38789848293851</v>
      </c>
      <c r="G144" s="110">
        <f t="shared" ref="G144:G200" si="78">+Wh_hp/MaxiM</f>
        <v>0.67395307524325843</v>
      </c>
      <c r="I144" s="379">
        <f t="shared" si="52"/>
        <v>41.38789848293851</v>
      </c>
      <c r="J144" s="85">
        <v>2018</v>
      </c>
      <c r="K144" s="197">
        <f t="shared" si="53"/>
        <v>43595</v>
      </c>
      <c r="L144" s="435">
        <f t="shared" si="54"/>
        <v>2.2971521595743782E-3</v>
      </c>
      <c r="M144" s="842"/>
      <c r="N144" s="842"/>
      <c r="O144" s="323">
        <f t="shared" si="55"/>
        <v>8.4435786097043965E-3</v>
      </c>
      <c r="P144" s="169">
        <f>(INDEX(Models!$BJ144:$BT144,,T144)*(1-R144)+INDEX(Models!$BJ144:$BT144,,T144+1)*R144-ERP_i)*Q144*Ramure*Pc/MaxiM</f>
        <v>7.5423340544290898E-6</v>
      </c>
      <c r="Q144" s="304">
        <f t="shared" si="56"/>
        <v>0.7</v>
      </c>
      <c r="R144" s="177">
        <f t="shared" si="57"/>
        <v>0.82162988664332937</v>
      </c>
      <c r="S144" s="799">
        <f t="shared" ref="S144:S207" si="79">INDEX(Echel_vg,T144)</f>
        <v>-2</v>
      </c>
      <c r="T144" s="176">
        <f t="shared" si="58"/>
        <v>4</v>
      </c>
      <c r="U144" s="250">
        <f t="shared" si="59"/>
        <v>-1.1783701133566706</v>
      </c>
      <c r="V144" s="382">
        <f t="shared" si="60"/>
        <v>60.751790688406373</v>
      </c>
      <c r="W144" s="58"/>
      <c r="X144" s="157">
        <f t="shared" si="61"/>
        <v>43595</v>
      </c>
      <c r="Y144" s="383">
        <f t="shared" si="62"/>
        <v>40.94353230585115</v>
      </c>
      <c r="Z144" s="383">
        <f t="shared" si="63"/>
        <v>41.037802382217649</v>
      </c>
      <c r="AA144" s="384">
        <f t="shared" si="64"/>
        <v>41.387258956658386</v>
      </c>
      <c r="AB144" s="197">
        <f t="shared" si="65"/>
        <v>43595</v>
      </c>
      <c r="AC144" s="424">
        <f t="shared" si="66"/>
        <v>8.4435786097043965E-3</v>
      </c>
      <c r="AD144" s="169">
        <f>(INDEX(Models!$BJ144:$BT144,,AH144)*(1-AF144)+INDEX(Models!$BJ144:$BT144,,AH144+1)*AF144-ERP_i)*AE144*Ramure*Pc/MaxiM</f>
        <v>2.8924322941422843E-5</v>
      </c>
      <c r="AE144" s="304">
        <f t="shared" si="67"/>
        <v>0.7</v>
      </c>
      <c r="AF144" s="177">
        <f t="shared" si="68"/>
        <v>0.88596210890316152</v>
      </c>
      <c r="AG144" s="799">
        <f t="shared" si="69"/>
        <v>-2</v>
      </c>
      <c r="AH144" s="176">
        <f t="shared" si="70"/>
        <v>4</v>
      </c>
      <c r="AI144" s="224">
        <f t="shared" si="71"/>
        <v>-1.1140378910968385</v>
      </c>
      <c r="AJ144" s="264" t="b">
        <f t="shared" si="72"/>
        <v>0</v>
      </c>
      <c r="AK144" s="264" t="b">
        <f t="shared" si="73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74"/>
        <v>43596</v>
      </c>
      <c r="B145" s="607">
        <v>32.493000000000002</v>
      </c>
      <c r="C145" s="388"/>
      <c r="D145" s="391">
        <f t="shared" si="75"/>
        <v>32.568437389149139</v>
      </c>
      <c r="E145" s="383">
        <f t="shared" si="76"/>
        <v>32.848155470967342</v>
      </c>
      <c r="F145" s="383">
        <f t="shared" si="77"/>
        <v>32.848239841542608</v>
      </c>
      <c r="G145" s="110">
        <f t="shared" si="78"/>
        <v>0.53438888323989664</v>
      </c>
      <c r="I145" s="379">
        <f t="shared" si="52"/>
        <v>32.848239841542608</v>
      </c>
      <c r="J145" s="85">
        <v>2018</v>
      </c>
      <c r="K145" s="197">
        <f t="shared" si="53"/>
        <v>43596</v>
      </c>
      <c r="L145" s="435">
        <f t="shared" si="54"/>
        <v>2.3162729070406174E-3</v>
      </c>
      <c r="M145" s="842"/>
      <c r="N145" s="842"/>
      <c r="O145" s="323">
        <f t="shared" si="55"/>
        <v>8.5154882460730316E-3</v>
      </c>
      <c r="P145" s="169">
        <f>(INDEX(Models!$BJ145:$BT145,,T145)*(1-R145)+INDEX(Models!$BJ145:$BT145,,T145+1)*R145-ERP_i)*Q145*Ramure*Pc/MaxiM</f>
        <v>7.6706980141703467E-6</v>
      </c>
      <c r="Q145" s="304">
        <f t="shared" si="56"/>
        <v>0.7</v>
      </c>
      <c r="R145" s="177">
        <f t="shared" si="57"/>
        <v>0.82447492749002071</v>
      </c>
      <c r="S145" s="799">
        <f t="shared" si="79"/>
        <v>-2</v>
      </c>
      <c r="T145" s="176">
        <f t="shared" si="58"/>
        <v>4</v>
      </c>
      <c r="U145" s="250">
        <f t="shared" si="59"/>
        <v>-1.1755250725099793</v>
      </c>
      <c r="V145" s="382">
        <f t="shared" si="60"/>
        <v>60.803724090832411</v>
      </c>
      <c r="W145" s="58"/>
      <c r="X145" s="157">
        <f t="shared" si="61"/>
        <v>43596</v>
      </c>
      <c r="Y145" s="383">
        <f t="shared" si="62"/>
        <v>32.492789759746998</v>
      </c>
      <c r="Z145" s="383">
        <f t="shared" si="63"/>
        <v>32.568226660791751</v>
      </c>
      <c r="AA145" s="384">
        <f t="shared" si="64"/>
        <v>32.847942932743202</v>
      </c>
      <c r="AB145" s="197">
        <f t="shared" si="65"/>
        <v>43596</v>
      </c>
      <c r="AC145" s="424">
        <f t="shared" si="66"/>
        <v>8.5154882460730316E-3</v>
      </c>
      <c r="AD145" s="169">
        <f>(INDEX(Models!$BJ145:$BT145,,AH145)*(1-AF145)+INDEX(Models!$BJ145:$BT145,,AH145+1)*AF145-ERP_i)*AE145*Ramure*Pc/MaxiM</f>
        <v>2.6993981382425717E-5</v>
      </c>
      <c r="AE145" s="304">
        <f t="shared" si="67"/>
        <v>0.7</v>
      </c>
      <c r="AF145" s="177">
        <f t="shared" si="68"/>
        <v>0.88880714974985309</v>
      </c>
      <c r="AG145" s="799">
        <f t="shared" si="69"/>
        <v>-2</v>
      </c>
      <c r="AH145" s="176">
        <f t="shared" si="70"/>
        <v>4</v>
      </c>
      <c r="AI145" s="224">
        <f t="shared" si="71"/>
        <v>-1.1111928502501469</v>
      </c>
      <c r="AJ145" s="264" t="b">
        <f t="shared" si="72"/>
        <v>0</v>
      </c>
      <c r="AK145" s="264" t="b">
        <f t="shared" si="73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74"/>
        <v>43597</v>
      </c>
      <c r="B146" s="607">
        <v>46.018999999999998</v>
      </c>
      <c r="C146" s="388"/>
      <c r="D146" s="391">
        <f t="shared" si="75"/>
        <v>46.126724041727343</v>
      </c>
      <c r="E146" s="383">
        <f t="shared" si="76"/>
        <v>46.526268567746243</v>
      </c>
      <c r="F146" s="383">
        <f t="shared" si="77"/>
        <v>46.526501167443257</v>
      </c>
      <c r="G146" s="110">
        <f t="shared" si="78"/>
        <v>0.75623024827691576</v>
      </c>
      <c r="I146" s="379">
        <f t="shared" si="52"/>
        <v>46.526501167443257</v>
      </c>
      <c r="J146" s="85">
        <v>2018</v>
      </c>
      <c r="K146" s="197">
        <f t="shared" si="53"/>
        <v>43597</v>
      </c>
      <c r="L146" s="435">
        <f t="shared" si="54"/>
        <v>2.3353932880620931E-3</v>
      </c>
      <c r="M146" s="842"/>
      <c r="N146" s="842"/>
      <c r="O146" s="323">
        <f t="shared" si="55"/>
        <v>8.5875041845904585E-3</v>
      </c>
      <c r="P146" s="169">
        <f>(INDEX(Models!$BJ146:$BT146,,T146)*(1-R146)+INDEX(Models!$BJ146:$BT146,,T146+1)*R146-ERP_i)*Q146*Ramure*Pc/MaxiM</f>
        <v>7.6704490852779297E-6</v>
      </c>
      <c r="Q146" s="304">
        <f t="shared" si="56"/>
        <v>0.7</v>
      </c>
      <c r="R146" s="177">
        <f t="shared" si="57"/>
        <v>0.82738483760828374</v>
      </c>
      <c r="S146" s="799">
        <f t="shared" si="79"/>
        <v>-2</v>
      </c>
      <c r="T146" s="176">
        <f t="shared" si="58"/>
        <v>4</v>
      </c>
      <c r="U146" s="250">
        <f t="shared" si="59"/>
        <v>-1.1726151623917163</v>
      </c>
      <c r="V146" s="382">
        <f t="shared" si="60"/>
        <v>60.852997060608068</v>
      </c>
      <c r="W146" s="58"/>
      <c r="X146" s="157">
        <f t="shared" si="61"/>
        <v>43597</v>
      </c>
      <c r="Y146" s="383">
        <f t="shared" si="62"/>
        <v>46.018479728298296</v>
      </c>
      <c r="Z146" s="383">
        <f t="shared" si="63"/>
        <v>46.12620255214236</v>
      </c>
      <c r="AA146" s="384">
        <f t="shared" si="64"/>
        <v>46.525742561076783</v>
      </c>
      <c r="AB146" s="197">
        <f t="shared" si="65"/>
        <v>43597</v>
      </c>
      <c r="AC146" s="424">
        <f t="shared" si="66"/>
        <v>8.5875041845904585E-3</v>
      </c>
      <c r="AD146" s="169">
        <f>(INDEX(Models!$BJ146:$BT146,,AH146)*(1-AF146)+INDEX(Models!$BJ146:$BT146,,AH146+1)*AF146-ERP_i)*AE146*Ramure*Pc/MaxiM</f>
        <v>2.5016591098541318E-5</v>
      </c>
      <c r="AE146" s="304">
        <f t="shared" si="67"/>
        <v>0.7</v>
      </c>
      <c r="AF146" s="177">
        <f t="shared" si="68"/>
        <v>0.89171705986811589</v>
      </c>
      <c r="AG146" s="799">
        <f t="shared" si="69"/>
        <v>-2</v>
      </c>
      <c r="AH146" s="176">
        <f t="shared" si="70"/>
        <v>4</v>
      </c>
      <c r="AI146" s="224">
        <f t="shared" si="71"/>
        <v>-1.1082829401318841</v>
      </c>
      <c r="AJ146" s="264" t="b">
        <f t="shared" si="72"/>
        <v>0</v>
      </c>
      <c r="AK146" s="264" t="b">
        <f t="shared" si="73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74"/>
        <v>43598</v>
      </c>
      <c r="B147" s="607">
        <v>59.448</v>
      </c>
      <c r="C147" s="388"/>
      <c r="D147" s="391">
        <f t="shared" si="75"/>
        <v>59.588301448442429</v>
      </c>
      <c r="E147" s="383">
        <f t="shared" si="76"/>
        <v>60.108821220092558</v>
      </c>
      <c r="F147" s="383">
        <f t="shared" si="77"/>
        <v>60.109259389460362</v>
      </c>
      <c r="G147" s="110">
        <f t="shared" si="78"/>
        <v>0.97616018720502873</v>
      </c>
      <c r="I147" s="379">
        <f t="shared" si="52"/>
        <v>60.109259389460362</v>
      </c>
      <c r="J147" s="85">
        <v>2018</v>
      </c>
      <c r="K147" s="197">
        <f t="shared" si="53"/>
        <v>43598</v>
      </c>
      <c r="L147" s="435">
        <f t="shared" si="54"/>
        <v>2.3545133026459109E-3</v>
      </c>
      <c r="M147" s="842"/>
      <c r="N147" s="842"/>
      <c r="O147" s="323">
        <f t="shared" si="55"/>
        <v>8.659623680594343E-3</v>
      </c>
      <c r="P147" s="169">
        <f>(INDEX(Models!$BJ147:$BT147,,T147)*(1-R147)+INDEX(Models!$BJ147:$BT147,,T147+1)*R147-ERP_i)*Q147*Ramure*Pc/MaxiM</f>
        <v>7.5465580868098648E-6</v>
      </c>
      <c r="Q147" s="304">
        <f t="shared" si="56"/>
        <v>0.7</v>
      </c>
      <c r="R147" s="177">
        <f t="shared" si="57"/>
        <v>0.83035932010864544</v>
      </c>
      <c r="S147" s="799">
        <f t="shared" si="79"/>
        <v>-2</v>
      </c>
      <c r="T147" s="176">
        <f t="shared" si="58"/>
        <v>4</v>
      </c>
      <c r="U147" s="250">
        <f t="shared" si="59"/>
        <v>-1.1696406798913546</v>
      </c>
      <c r="V147" s="382">
        <f t="shared" si="60"/>
        <v>60.89982515206043</v>
      </c>
      <c r="W147" s="58"/>
      <c r="X147" s="157">
        <f t="shared" si="61"/>
        <v>43598</v>
      </c>
      <c r="Y147" s="383">
        <f t="shared" si="62"/>
        <v>59.447112774732851</v>
      </c>
      <c r="Z147" s="383">
        <f t="shared" si="63"/>
        <v>59.587412129261445</v>
      </c>
      <c r="AA147" s="384">
        <f t="shared" si="64"/>
        <v>60.107924132470352</v>
      </c>
      <c r="AB147" s="197">
        <f t="shared" si="65"/>
        <v>43598</v>
      </c>
      <c r="AC147" s="424">
        <f t="shared" si="66"/>
        <v>8.659623680594343E-3</v>
      </c>
      <c r="AD147" s="169">
        <f>(INDEX(Models!$BJ147:$BT147,,AH147)*(1-AF147)+INDEX(Models!$BJ147:$BT147,,AH147+1)*AF147-ERP_i)*AE147*Ramure*Pc/MaxiM</f>
        <v>2.2997030774698416E-5</v>
      </c>
      <c r="AE147" s="304">
        <f t="shared" si="67"/>
        <v>0.7</v>
      </c>
      <c r="AF147" s="177">
        <f t="shared" si="68"/>
        <v>0.89469154236847759</v>
      </c>
      <c r="AG147" s="799">
        <f t="shared" si="69"/>
        <v>-2</v>
      </c>
      <c r="AH147" s="176">
        <f t="shared" si="70"/>
        <v>4</v>
      </c>
      <c r="AI147" s="224">
        <f t="shared" si="71"/>
        <v>-1.1053084576315224</v>
      </c>
      <c r="AJ147" s="264" t="b">
        <f t="shared" si="72"/>
        <v>0</v>
      </c>
      <c r="AK147" s="264" t="b">
        <f t="shared" si="73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74"/>
        <v>43599</v>
      </c>
      <c r="B148" s="607">
        <v>58.41</v>
      </c>
      <c r="C148" s="388"/>
      <c r="D148" s="391">
        <f t="shared" si="75"/>
        <v>58.548973773383963</v>
      </c>
      <c r="E148" s="383">
        <f t="shared" si="76"/>
        <v>59.064717648166706</v>
      </c>
      <c r="F148" s="383">
        <f t="shared" si="77"/>
        <v>59.065123459499134</v>
      </c>
      <c r="G148" s="110">
        <f t="shared" si="78"/>
        <v>0.95841376419969748</v>
      </c>
      <c r="I148" s="379">
        <f t="shared" si="52"/>
        <v>59.065123459499134</v>
      </c>
      <c r="J148" s="85">
        <v>2018</v>
      </c>
      <c r="K148" s="197">
        <f t="shared" si="53"/>
        <v>43599</v>
      </c>
      <c r="L148" s="435">
        <f t="shared" si="54"/>
        <v>2.373632950798954E-3</v>
      </c>
      <c r="M148" s="842"/>
      <c r="N148" s="842"/>
      <c r="O148" s="323">
        <f t="shared" si="55"/>
        <v>8.7318435661522288E-3</v>
      </c>
      <c r="P148" s="169">
        <f>(INDEX(Models!$BJ148:$BT148,,T148)*(1-R148)+INDEX(Models!$BJ148:$BT148,,T148+1)*R148-ERP_i)*Q148*Ramure*Pc/MaxiM</f>
        <v>7.3045239779434915E-6</v>
      </c>
      <c r="Q148" s="304">
        <f t="shared" si="56"/>
        <v>0.7</v>
      </c>
      <c r="R148" s="177">
        <f t="shared" si="57"/>
        <v>0.83339795336112732</v>
      </c>
      <c r="S148" s="799">
        <f t="shared" si="79"/>
        <v>-2</v>
      </c>
      <c r="T148" s="176">
        <f t="shared" si="58"/>
        <v>4</v>
      </c>
      <c r="U148" s="250">
        <f t="shared" si="59"/>
        <v>-1.1666020466388727</v>
      </c>
      <c r="V148" s="382">
        <f t="shared" si="60"/>
        <v>60.944423833073969</v>
      </c>
      <c r="W148" s="58"/>
      <c r="X148" s="157">
        <f t="shared" si="61"/>
        <v>43599</v>
      </c>
      <c r="Y148" s="383">
        <f t="shared" si="62"/>
        <v>58.409250818866234</v>
      </c>
      <c r="Z148" s="383">
        <f t="shared" si="63"/>
        <v>58.548222809738149</v>
      </c>
      <c r="AA148" s="384">
        <f t="shared" si="64"/>
        <v>59.063960069462155</v>
      </c>
      <c r="AB148" s="197">
        <f t="shared" si="65"/>
        <v>43599</v>
      </c>
      <c r="AC148" s="424">
        <f t="shared" si="66"/>
        <v>8.7318435661522288E-3</v>
      </c>
      <c r="AD148" s="169">
        <f>(INDEX(Models!$BJ148:$BT148,,AH148)*(1-AF148)+INDEX(Models!$BJ148:$BT148,,AH148+1)*AF148-ERP_i)*AE148*Ramure*Pc/MaxiM</f>
        <v>2.0940791302913524E-5</v>
      </c>
      <c r="AE148" s="304">
        <f t="shared" si="67"/>
        <v>0.7</v>
      </c>
      <c r="AF148" s="177">
        <f t="shared" si="68"/>
        <v>0.89773017562095947</v>
      </c>
      <c r="AG148" s="799">
        <f t="shared" si="69"/>
        <v>-2</v>
      </c>
      <c r="AH148" s="176">
        <f t="shared" si="70"/>
        <v>4</v>
      </c>
      <c r="AI148" s="224">
        <f t="shared" si="71"/>
        <v>-1.1022698243790405</v>
      </c>
      <c r="AJ148" s="264" t="b">
        <f t="shared" si="72"/>
        <v>0</v>
      </c>
      <c r="AK148" s="264" t="b">
        <f t="shared" si="73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74"/>
        <v>43600</v>
      </c>
      <c r="B149" s="607">
        <v>58.817999999999998</v>
      </c>
      <c r="C149" s="388"/>
      <c r="D149" s="391">
        <f t="shared" si="75"/>
        <v>58.959074457034866</v>
      </c>
      <c r="E149" s="383">
        <f t="shared" si="76"/>
        <v>59.482770298595248</v>
      </c>
      <c r="F149" s="383">
        <f t="shared" si="77"/>
        <v>59.483162733669118</v>
      </c>
      <c r="G149" s="110">
        <f t="shared" si="78"/>
        <v>0.9644430655664914</v>
      </c>
      <c r="I149" s="379">
        <f t="shared" si="52"/>
        <v>59.483162733669118</v>
      </c>
      <c r="J149" s="85">
        <v>2018</v>
      </c>
      <c r="K149" s="197">
        <f t="shared" si="53"/>
        <v>43600</v>
      </c>
      <c r="L149" s="435">
        <f t="shared" si="54"/>
        <v>2.3927522325282169E-3</v>
      </c>
      <c r="M149" s="842"/>
      <c r="N149" s="842"/>
      <c r="O149" s="323">
        <f t="shared" si="55"/>
        <v>8.8041602455888185E-3</v>
      </c>
      <c r="P149" s="169">
        <f>(INDEX(Models!$BJ149:$BT149,,T149)*(1-R149)+INDEX(Models!$BJ149:$BT149,,T149+1)*R149-ERP_i)*Q149*Ramure*Pc/MaxiM</f>
        <v>6.9504641507113852E-6</v>
      </c>
      <c r="Q149" s="304">
        <f t="shared" si="56"/>
        <v>0.7</v>
      </c>
      <c r="R149" s="177">
        <f t="shared" si="57"/>
        <v>0.83650018673315918</v>
      </c>
      <c r="S149" s="799">
        <f t="shared" si="79"/>
        <v>-2</v>
      </c>
      <c r="T149" s="176">
        <f t="shared" si="58"/>
        <v>4</v>
      </c>
      <c r="U149" s="250">
        <f t="shared" si="59"/>
        <v>-1.1634998132668408</v>
      </c>
      <c r="V149" s="382">
        <f t="shared" si="60"/>
        <v>60.986471191675733</v>
      </c>
      <c r="W149" s="58"/>
      <c r="X149" s="157">
        <f t="shared" si="61"/>
        <v>43600</v>
      </c>
      <c r="Y149" s="383">
        <f t="shared" si="62"/>
        <v>58.817335407958502</v>
      </c>
      <c r="Z149" s="383">
        <f t="shared" si="63"/>
        <v>58.958408270975191</v>
      </c>
      <c r="AA149" s="384">
        <f t="shared" si="64"/>
        <v>59.482098195229845</v>
      </c>
      <c r="AB149" s="197">
        <f t="shared" si="65"/>
        <v>43600</v>
      </c>
      <c r="AC149" s="424">
        <f t="shared" si="66"/>
        <v>8.8041602455888185E-3</v>
      </c>
      <c r="AD149" s="169">
        <f>(INDEX(Models!$BJ149:$BT149,,AH149)*(1-AF149)+INDEX(Models!$BJ149:$BT149,,AH149+1)*AF149-ERP_i)*AE149*Ramure*Pc/MaxiM</f>
        <v>1.8854166591805E-5</v>
      </c>
      <c r="AE149" s="304">
        <f t="shared" si="67"/>
        <v>0.7</v>
      </c>
      <c r="AF149" s="177">
        <f t="shared" si="68"/>
        <v>0.90083240899299133</v>
      </c>
      <c r="AG149" s="799">
        <f t="shared" si="69"/>
        <v>-2</v>
      </c>
      <c r="AH149" s="176">
        <f t="shared" si="70"/>
        <v>4</v>
      </c>
      <c r="AI149" s="224">
        <f t="shared" si="71"/>
        <v>-1.0991675910070087</v>
      </c>
      <c r="AJ149" s="264" t="b">
        <f t="shared" si="72"/>
        <v>0</v>
      </c>
      <c r="AK149" s="264" t="b">
        <f t="shared" si="73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74"/>
        <v>43601</v>
      </c>
      <c r="B150" s="607">
        <v>54.811</v>
      </c>
      <c r="C150" s="388"/>
      <c r="D150" s="391">
        <f t="shared" si="75"/>
        <v>54.943516682647797</v>
      </c>
      <c r="E150" s="383">
        <f t="shared" si="76"/>
        <v>55.43559460159338</v>
      </c>
      <c r="F150" s="383">
        <f t="shared" si="77"/>
        <v>55.435904399739371</v>
      </c>
      <c r="G150" s="110">
        <f t="shared" si="78"/>
        <v>0.89816467846787118</v>
      </c>
      <c r="I150" s="379">
        <f t="shared" si="52"/>
        <v>55.435904399739371</v>
      </c>
      <c r="J150" s="85">
        <v>2018</v>
      </c>
      <c r="K150" s="197">
        <f t="shared" si="53"/>
        <v>43601</v>
      </c>
      <c r="L150" s="435">
        <f t="shared" si="54"/>
        <v>2.4118711478409161E-3</v>
      </c>
      <c r="M150" s="842"/>
      <c r="N150" s="842"/>
      <c r="O150" s="323">
        <f t="shared" si="55"/>
        <v>8.8765696928492909E-3</v>
      </c>
      <c r="P150" s="169">
        <f>(INDEX(Models!$BJ150:$BT150,,T150)*(1-R150)+INDEX(Models!$BJ150:$BT150,,T150+1)*R150-ERP_i)*Q150*Ramure*Pc/MaxiM</f>
        <v>6.5397979737885993E-6</v>
      </c>
      <c r="Q150" s="304">
        <f t="shared" si="56"/>
        <v>0.7</v>
      </c>
      <c r="R150" s="177">
        <f t="shared" si="57"/>
        <v>0.83966533670205989</v>
      </c>
      <c r="S150" s="799">
        <f t="shared" si="79"/>
        <v>-2</v>
      </c>
      <c r="T150" s="176">
        <f t="shared" si="58"/>
        <v>4</v>
      </c>
      <c r="U150" s="250">
        <f t="shared" si="59"/>
        <v>-1.1603346632979401</v>
      </c>
      <c r="V150" s="382">
        <f t="shared" si="60"/>
        <v>61.025499183812762</v>
      </c>
      <c r="W150" s="58"/>
      <c r="X150" s="157">
        <f t="shared" si="61"/>
        <v>43601</v>
      </c>
      <c r="Y150" s="383">
        <f t="shared" si="62"/>
        <v>54.810516171247365</v>
      </c>
      <c r="Z150" s="383">
        <f t="shared" si="63"/>
        <v>54.943031684141253</v>
      </c>
      <c r="AA150" s="384">
        <f t="shared" si="64"/>
        <v>55.435105259406818</v>
      </c>
      <c r="AB150" s="197">
        <f t="shared" si="65"/>
        <v>43601</v>
      </c>
      <c r="AC150" s="424">
        <f t="shared" si="66"/>
        <v>8.8765696928492909E-3</v>
      </c>
      <c r="AD150" s="169">
        <f>(INDEX(Models!$BJ150:$BT150,,AH150)*(1-AF150)+INDEX(Models!$BJ150:$BT150,,AH150+1)*AF150-ERP_i)*AE150*Ramure*Pc/MaxiM</f>
        <v>1.6869746947209868E-5</v>
      </c>
      <c r="AE150" s="304">
        <f t="shared" si="67"/>
        <v>0.7</v>
      </c>
      <c r="AF150" s="177">
        <f t="shared" si="68"/>
        <v>0.90399755896189227</v>
      </c>
      <c r="AG150" s="799">
        <f t="shared" si="69"/>
        <v>-2</v>
      </c>
      <c r="AH150" s="176">
        <f t="shared" si="70"/>
        <v>4</v>
      </c>
      <c r="AI150" s="224">
        <f t="shared" si="71"/>
        <v>-1.0960024410381077</v>
      </c>
      <c r="AJ150" s="264" t="b">
        <f t="shared" si="72"/>
        <v>0</v>
      </c>
      <c r="AK150" s="264" t="b">
        <f t="shared" si="73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74"/>
        <v>43602</v>
      </c>
      <c r="B151" s="607">
        <v>6.5880000000000001</v>
      </c>
      <c r="C151" s="388"/>
      <c r="D151" s="391">
        <f t="shared" si="75"/>
        <v>6.6040543881743883</v>
      </c>
      <c r="E151" s="383">
        <f t="shared" si="76"/>
        <v>6.6636881831970296</v>
      </c>
      <c r="F151" s="383">
        <f t="shared" si="77"/>
        <v>6.6636881831970296</v>
      </c>
      <c r="G151" s="110">
        <f t="shared" si="78"/>
        <v>0.10789055350878379</v>
      </c>
      <c r="I151" s="379">
        <f t="shared" si="52"/>
        <v>6.6636881831970296</v>
      </c>
      <c r="J151" s="85">
        <v>2018</v>
      </c>
      <c r="K151" s="197">
        <f t="shared" si="53"/>
        <v>43602</v>
      </c>
      <c r="L151" s="435">
        <f t="shared" si="54"/>
        <v>2.4309896967439348E-3</v>
      </c>
      <c r="M151" s="842"/>
      <c r="N151" s="842"/>
      <c r="O151" s="323">
        <f t="shared" si="55"/>
        <v>8.9490674508168281E-3</v>
      </c>
      <c r="P151" s="169">
        <f>(INDEX(Models!$BJ151:$BT151,,T151)*(1-R151)+INDEX(Models!$BJ151:$BT151,,T151+1)*R151-ERP_i)*Q151*Ramure*Pc/MaxiM</f>
        <v>6.0916656411948962E-6</v>
      </c>
      <c r="Q151" s="304">
        <f t="shared" si="56"/>
        <v>0.7</v>
      </c>
      <c r="R151" s="177">
        <f t="shared" si="57"/>
        <v>0.84289258339003892</v>
      </c>
      <c r="S151" s="799">
        <f t="shared" si="79"/>
        <v>-2</v>
      </c>
      <c r="T151" s="176">
        <f t="shared" si="58"/>
        <v>4</v>
      </c>
      <c r="U151" s="250">
        <f t="shared" si="59"/>
        <v>-1.1571074166099611</v>
      </c>
      <c r="V151" s="382">
        <f t="shared" si="60"/>
        <v>61.061507739603954</v>
      </c>
      <c r="W151" s="58"/>
      <c r="X151" s="157">
        <f t="shared" si="61"/>
        <v>43602</v>
      </c>
      <c r="Y151" s="383">
        <f t="shared" si="62"/>
        <v>6.5880000000000001</v>
      </c>
      <c r="Z151" s="383">
        <f t="shared" si="63"/>
        <v>6.6040543881743883</v>
      </c>
      <c r="AA151" s="384">
        <f t="shared" si="64"/>
        <v>6.6636881831970296</v>
      </c>
      <c r="AB151" s="197">
        <f t="shared" si="65"/>
        <v>43602</v>
      </c>
      <c r="AC151" s="424">
        <f t="shared" si="66"/>
        <v>8.9490674508168281E-3</v>
      </c>
      <c r="AD151" s="169">
        <f>(INDEX(Models!$BJ151:$BT151,,AH151)*(1-AF151)+INDEX(Models!$BJ151:$BT151,,AH151+1)*AF151-ERP_i)*AE151*Ramure*Pc/MaxiM</f>
        <v>1.5007302752448732E-5</v>
      </c>
      <c r="AE151" s="304">
        <f t="shared" si="67"/>
        <v>0.7</v>
      </c>
      <c r="AF151" s="177">
        <f t="shared" si="68"/>
        <v>0.90722480564987129</v>
      </c>
      <c r="AG151" s="799">
        <f t="shared" si="69"/>
        <v>-2</v>
      </c>
      <c r="AH151" s="176">
        <f t="shared" si="70"/>
        <v>4</v>
      </c>
      <c r="AI151" s="224">
        <f t="shared" si="71"/>
        <v>-1.0927751943501287</v>
      </c>
      <c r="AJ151" s="264" t="b">
        <f t="shared" si="72"/>
        <v>0</v>
      </c>
      <c r="AK151" s="264" t="b">
        <f t="shared" si="73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74"/>
        <v>43603</v>
      </c>
      <c r="B152" s="607">
        <v>42.045000000000002</v>
      </c>
      <c r="C152" s="388"/>
      <c r="D152" s="391">
        <f t="shared" si="75"/>
        <v>42.148267803040731</v>
      </c>
      <c r="E152" s="383">
        <f t="shared" si="76"/>
        <v>42.531976349318249</v>
      </c>
      <c r="F152" s="383">
        <f t="shared" si="77"/>
        <v>42.532109057930441</v>
      </c>
      <c r="G152" s="110">
        <f t="shared" si="78"/>
        <v>0.68819446708754461</v>
      </c>
      <c r="I152" s="379">
        <f t="shared" si="52"/>
        <v>42.532109057930441</v>
      </c>
      <c r="J152" s="85">
        <v>2018</v>
      </c>
      <c r="K152" s="197">
        <f t="shared" si="53"/>
        <v>43603</v>
      </c>
      <c r="L152" s="435">
        <f t="shared" si="54"/>
        <v>2.4501078792443787E-3</v>
      </c>
      <c r="M152" s="842"/>
      <c r="N152" s="842"/>
      <c r="O152" s="323">
        <f t="shared" si="55"/>
        <v>9.0216486326920656E-3</v>
      </c>
      <c r="P152" s="169">
        <f>(INDEX(Models!$BJ152:$BT152,,T152)*(1-R152)+INDEX(Models!$BJ152:$BT152,,T152+1)*R152-ERP_i)*Q152*Ramure*Pc/MaxiM</f>
        <v>5.6263786712289236E-6</v>
      </c>
      <c r="Q152" s="304">
        <f t="shared" si="56"/>
        <v>0.7</v>
      </c>
      <c r="R152" s="177">
        <f t="shared" si="57"/>
        <v>0.84618096756920469</v>
      </c>
      <c r="S152" s="799">
        <f t="shared" si="79"/>
        <v>-2</v>
      </c>
      <c r="T152" s="176">
        <f t="shared" si="58"/>
        <v>4</v>
      </c>
      <c r="U152" s="250">
        <f t="shared" si="59"/>
        <v>-1.1538190324307953</v>
      </c>
      <c r="V152" s="382">
        <f t="shared" si="60"/>
        <v>61.094496741960661</v>
      </c>
      <c r="W152" s="58"/>
      <c r="X152" s="157">
        <f t="shared" si="61"/>
        <v>43603</v>
      </c>
      <c r="Y152" s="383">
        <f t="shared" si="62"/>
        <v>42.044821358735078</v>
      </c>
      <c r="Z152" s="383">
        <f t="shared" si="63"/>
        <v>42.148088723010417</v>
      </c>
      <c r="AA152" s="384">
        <f t="shared" si="64"/>
        <v>42.531795638982786</v>
      </c>
      <c r="AB152" s="197">
        <f t="shared" si="65"/>
        <v>43603</v>
      </c>
      <c r="AC152" s="424">
        <f t="shared" si="66"/>
        <v>9.0216486326920656E-3</v>
      </c>
      <c r="AD152" s="169">
        <f>(INDEX(Models!$BJ152:$BT152,,AH152)*(1-AF152)+INDEX(Models!$BJ152:$BT152,,AH152+1)*AF152-ERP_i)*AE152*Ramure*Pc/MaxiM</f>
        <v>1.3287861677825407E-5</v>
      </c>
      <c r="AE152" s="304">
        <f t="shared" si="67"/>
        <v>0.7</v>
      </c>
      <c r="AF152" s="177">
        <f t="shared" si="68"/>
        <v>0.91051318982903684</v>
      </c>
      <c r="AG152" s="799">
        <f t="shared" si="69"/>
        <v>-2</v>
      </c>
      <c r="AH152" s="176">
        <f t="shared" si="70"/>
        <v>4</v>
      </c>
      <c r="AI152" s="224">
        <f t="shared" si="71"/>
        <v>-1.0894868101709632</v>
      </c>
      <c r="AJ152" s="264" t="b">
        <f t="shared" si="72"/>
        <v>0</v>
      </c>
      <c r="AK152" s="264" t="b">
        <f t="shared" si="73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74"/>
        <v>43604</v>
      </c>
      <c r="B153" s="607">
        <v>27.498000000000001</v>
      </c>
      <c r="C153" s="388"/>
      <c r="D153" s="391">
        <f t="shared" si="75"/>
        <v>27.566066840562428</v>
      </c>
      <c r="E153" s="383">
        <f t="shared" si="76"/>
        <v>27.819061956191437</v>
      </c>
      <c r="F153" s="383">
        <f t="shared" si="77"/>
        <v>27.819092721651749</v>
      </c>
      <c r="G153" s="110">
        <f t="shared" si="78"/>
        <v>0.44986713436376685</v>
      </c>
      <c r="I153" s="379">
        <f t="shared" si="52"/>
        <v>27.819092721651749</v>
      </c>
      <c r="J153" s="85">
        <v>2018</v>
      </c>
      <c r="K153" s="197">
        <f t="shared" si="53"/>
        <v>43604</v>
      </c>
      <c r="L153" s="435">
        <f t="shared" si="54"/>
        <v>2.4692256953491309E-3</v>
      </c>
      <c r="M153" s="842"/>
      <c r="N153" s="842"/>
      <c r="O153" s="323">
        <f t="shared" si="55"/>
        <v>9.0943079255302005E-3</v>
      </c>
      <c r="P153" s="169">
        <f>(INDEX(Models!$BJ153:$BT153,,T153)*(1-R153)+INDEX(Models!$BJ153:$BT153,,T153+1)*R153-ERP_i)*Q153*Ramure*Pc/MaxiM</f>
        <v>5.1654337997199077E-6</v>
      </c>
      <c r="Q153" s="304">
        <f t="shared" si="56"/>
        <v>0.7</v>
      </c>
      <c r="R153" s="177">
        <f t="shared" si="57"/>
        <v>0.84952938818304191</v>
      </c>
      <c r="S153" s="799">
        <f t="shared" si="79"/>
        <v>-2</v>
      </c>
      <c r="T153" s="176">
        <f t="shared" si="58"/>
        <v>4</v>
      </c>
      <c r="U153" s="250">
        <f t="shared" si="59"/>
        <v>-1.1504706118169581</v>
      </c>
      <c r="V153" s="382">
        <f t="shared" si="60"/>
        <v>61.124466027124761</v>
      </c>
      <c r="W153" s="58"/>
      <c r="X153" s="157">
        <f t="shared" si="61"/>
        <v>43604</v>
      </c>
      <c r="Y153" s="383">
        <f t="shared" si="62"/>
        <v>27.49796133063878</v>
      </c>
      <c r="Z153" s="383">
        <f t="shared" si="63"/>
        <v>27.566028075481476</v>
      </c>
      <c r="AA153" s="384">
        <f t="shared" si="64"/>
        <v>27.819022835333357</v>
      </c>
      <c r="AB153" s="197">
        <f t="shared" si="65"/>
        <v>43604</v>
      </c>
      <c r="AC153" s="424">
        <f t="shared" si="66"/>
        <v>9.0943079255302005E-3</v>
      </c>
      <c r="AD153" s="169">
        <f>(INDEX(Models!$BJ153:$BT153,,AH153)*(1-AF153)+INDEX(Models!$BJ153:$BT153,,AH153+1)*AF153-ERP_i)*AE153*Ramure*Pc/MaxiM</f>
        <v>1.1733715260674656E-5</v>
      </c>
      <c r="AE153" s="304">
        <f t="shared" si="67"/>
        <v>0.7</v>
      </c>
      <c r="AF153" s="177">
        <f t="shared" si="68"/>
        <v>0.91386161044287406</v>
      </c>
      <c r="AG153" s="799">
        <f t="shared" si="69"/>
        <v>-2</v>
      </c>
      <c r="AH153" s="176">
        <f t="shared" si="70"/>
        <v>4</v>
      </c>
      <c r="AI153" s="224">
        <f t="shared" si="71"/>
        <v>-1.0861383895571259</v>
      </c>
      <c r="AJ153" s="264" t="b">
        <f t="shared" si="72"/>
        <v>0</v>
      </c>
      <c r="AK153" s="264" t="b">
        <f t="shared" si="73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74"/>
        <v>43605</v>
      </c>
      <c r="B154" s="607">
        <v>37.975000000000001</v>
      </c>
      <c r="C154" s="388"/>
      <c r="D154" s="391">
        <f t="shared" si="75"/>
        <v>38.069730553056189</v>
      </c>
      <c r="E154" s="383">
        <f t="shared" si="76"/>
        <v>38.421946053888234</v>
      </c>
      <c r="F154" s="383">
        <f t="shared" si="77"/>
        <v>38.422029419619548</v>
      </c>
      <c r="G154" s="110">
        <f t="shared" si="78"/>
        <v>0.62099793567117889</v>
      </c>
      <c r="I154" s="379">
        <f t="shared" si="52"/>
        <v>38.422029419619548</v>
      </c>
      <c r="J154" s="85">
        <v>2018</v>
      </c>
      <c r="K154" s="197">
        <f t="shared" si="53"/>
        <v>43605</v>
      </c>
      <c r="L154" s="435">
        <f t="shared" si="54"/>
        <v>2.4883431450654081E-3</v>
      </c>
      <c r="M154" s="842"/>
      <c r="N154" s="842"/>
      <c r="O154" s="323">
        <f t="shared" si="55"/>
        <v>9.167039596017619E-3</v>
      </c>
      <c r="P154" s="169">
        <f>(INDEX(Models!$BJ154:$BT154,,T154)*(1-R154)+INDEX(Models!$BJ154:$BT154,,T154+1)*R154-ERP_i)*Q154*Ramure*Pc/MaxiM</f>
        <v>4.7315225286829151E-6</v>
      </c>
      <c r="Q154" s="304">
        <f t="shared" si="56"/>
        <v>0.7</v>
      </c>
      <c r="R154" s="177">
        <f t="shared" si="57"/>
        <v>0.85293660042917052</v>
      </c>
      <c r="S154" s="799">
        <f t="shared" si="79"/>
        <v>-2</v>
      </c>
      <c r="T154" s="176">
        <f t="shared" si="58"/>
        <v>4</v>
      </c>
      <c r="U154" s="250">
        <f t="shared" si="59"/>
        <v>-1.1470633995708295</v>
      </c>
      <c r="V154" s="382">
        <f t="shared" si="60"/>
        <v>61.151415382680824</v>
      </c>
      <c r="W154" s="58"/>
      <c r="X154" s="157">
        <f t="shared" si="61"/>
        <v>43605</v>
      </c>
      <c r="Y154" s="383">
        <f t="shared" si="62"/>
        <v>37.97490183752992</v>
      </c>
      <c r="Z154" s="383">
        <f t="shared" si="63"/>
        <v>38.06963214571487</v>
      </c>
      <c r="AA154" s="384">
        <f t="shared" si="64"/>
        <v>38.421846736096789</v>
      </c>
      <c r="AB154" s="197">
        <f t="shared" si="65"/>
        <v>43605</v>
      </c>
      <c r="AC154" s="424">
        <f t="shared" si="66"/>
        <v>9.167039596017619E-3</v>
      </c>
      <c r="AD154" s="169">
        <f>(INDEX(Models!$BJ154:$BT154,,AH154)*(1-AF154)+INDEX(Models!$BJ154:$BT154,,AH154+1)*AF154-ERP_i)*AE154*Ramure*Pc/MaxiM</f>
        <v>1.0368423450693699E-5</v>
      </c>
      <c r="AE154" s="304">
        <f t="shared" si="67"/>
        <v>0.7</v>
      </c>
      <c r="AF154" s="177">
        <f t="shared" si="68"/>
        <v>0.91726882268900267</v>
      </c>
      <c r="AG154" s="799">
        <f t="shared" si="69"/>
        <v>-2</v>
      </c>
      <c r="AH154" s="176">
        <f t="shared" si="70"/>
        <v>4</v>
      </c>
      <c r="AI154" s="224">
        <f t="shared" si="71"/>
        <v>-1.0827311773109973</v>
      </c>
      <c r="AJ154" s="264" t="b">
        <f t="shared" si="72"/>
        <v>0</v>
      </c>
      <c r="AK154" s="264" t="b">
        <f t="shared" si="73"/>
        <v>0</v>
      </c>
      <c r="AL154" s="264"/>
      <c r="AM154" s="264"/>
      <c r="AN154" s="75"/>
    </row>
    <row r="155" spans="1:40" s="6" customFormat="1" ht="11.25" x14ac:dyDescent="0.2">
      <c r="A155" s="56">
        <f t="shared" si="74"/>
        <v>43606</v>
      </c>
      <c r="B155" s="607">
        <v>50.22</v>
      </c>
      <c r="C155" s="388"/>
      <c r="D155" s="391">
        <f t="shared" si="75"/>
        <v>50.346241197452045</v>
      </c>
      <c r="E155" s="383">
        <f t="shared" si="76"/>
        <v>50.815770660720943</v>
      </c>
      <c r="F155" s="383">
        <f t="shared" si="77"/>
        <v>50.815935103558168</v>
      </c>
      <c r="G155" s="110">
        <f t="shared" si="78"/>
        <v>0.82091804304362959</v>
      </c>
      <c r="I155" s="379">
        <f t="shared" si="52"/>
        <v>50.815935103558168</v>
      </c>
      <c r="J155" s="85">
        <v>2018</v>
      </c>
      <c r="K155" s="197">
        <f t="shared" si="53"/>
        <v>43606</v>
      </c>
      <c r="L155" s="435">
        <f t="shared" si="54"/>
        <v>2.5074602283999825E-3</v>
      </c>
      <c r="M155" s="842"/>
      <c r="N155" s="842"/>
      <c r="O155" s="323">
        <f t="shared" si="55"/>
        <v>9.2398374985549446E-3</v>
      </c>
      <c r="P155" s="169">
        <f>(INDEX(Models!$BJ155:$BT155,,T155)*(1-R155)+INDEX(Models!$BJ155:$BT155,,T155+1)*R155-ERP_i)*Q155*Ramure*Pc/MaxiM</f>
        <v>4.3485344780397604E-6</v>
      </c>
      <c r="Q155" s="304">
        <f t="shared" si="56"/>
        <v>0.7</v>
      </c>
      <c r="R155" s="177">
        <f t="shared" si="57"/>
        <v>0.85640121444592476</v>
      </c>
      <c r="S155" s="799">
        <f t="shared" si="79"/>
        <v>-2</v>
      </c>
      <c r="T155" s="176">
        <f t="shared" si="58"/>
        <v>4</v>
      </c>
      <c r="U155" s="250">
        <f t="shared" si="59"/>
        <v>-1.1435987855540752</v>
      </c>
      <c r="V155" s="382">
        <f t="shared" si="60"/>
        <v>61.17534455033401</v>
      </c>
      <c r="W155" s="58"/>
      <c r="X155" s="157">
        <f t="shared" si="61"/>
        <v>43606</v>
      </c>
      <c r="Y155" s="383">
        <f t="shared" si="62"/>
        <v>50.219818061074598</v>
      </c>
      <c r="Z155" s="383">
        <f t="shared" si="63"/>
        <v>50.346058801175232</v>
      </c>
      <c r="AA155" s="384">
        <f t="shared" si="64"/>
        <v>50.815586563414939</v>
      </c>
      <c r="AB155" s="197">
        <f t="shared" si="65"/>
        <v>43606</v>
      </c>
      <c r="AC155" s="424">
        <f t="shared" si="66"/>
        <v>9.2398374985549446E-3</v>
      </c>
      <c r="AD155" s="169">
        <f>(INDEX(Models!$BJ155:$BT155,,AH155)*(1-AF155)+INDEX(Models!$BJ155:$BT155,,AH155+1)*AF155-ERP_i)*AE155*Ramure*Pc/MaxiM</f>
        <v>9.2168126950496992E-6</v>
      </c>
      <c r="AE155" s="304">
        <f t="shared" si="67"/>
        <v>0.7</v>
      </c>
      <c r="AF155" s="177">
        <f t="shared" si="68"/>
        <v>0.92073343670575691</v>
      </c>
      <c r="AG155" s="799">
        <f t="shared" si="69"/>
        <v>-2</v>
      </c>
      <c r="AH155" s="176">
        <f t="shared" si="70"/>
        <v>4</v>
      </c>
      <c r="AI155" s="224">
        <f t="shared" si="71"/>
        <v>-1.0792665632942431</v>
      </c>
      <c r="AJ155" s="264" t="b">
        <f t="shared" si="72"/>
        <v>0</v>
      </c>
      <c r="AK155" s="264" t="b">
        <f t="shared" si="73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74"/>
        <v>43607</v>
      </c>
      <c r="B156" s="607">
        <v>59.404000000000003</v>
      </c>
      <c r="C156" s="388"/>
      <c r="D156" s="391">
        <f t="shared" si="75"/>
        <v>59.554468948237783</v>
      </c>
      <c r="E156" s="383">
        <f t="shared" si="76"/>
        <v>60.114295048314368</v>
      </c>
      <c r="F156" s="383">
        <f t="shared" si="77"/>
        <v>60.114527951171105</v>
      </c>
      <c r="G156" s="110">
        <f t="shared" si="78"/>
        <v>0.97071286128803191</v>
      </c>
      <c r="I156" s="379">
        <f t="shared" si="52"/>
        <v>60.114527951171105</v>
      </c>
      <c r="J156" s="85">
        <v>2018</v>
      </c>
      <c r="K156" s="197">
        <f t="shared" si="53"/>
        <v>43607</v>
      </c>
      <c r="L156" s="435">
        <f t="shared" si="54"/>
        <v>2.5265769453600706E-3</v>
      </c>
      <c r="M156" s="842"/>
      <c r="N156" s="842"/>
      <c r="O156" s="323">
        <f t="shared" si="55"/>
        <v>9.3126950856971171E-3</v>
      </c>
      <c r="P156" s="169">
        <f>(INDEX(Models!$BJ156:$BT156,,T156)*(1-R156)+INDEX(Models!$BJ156:$BT156,,T156+1)*R156-ERP_i)*Q156*Ramure*Pc/MaxiM</f>
        <v>4.0434927969578562E-6</v>
      </c>
      <c r="Q156" s="304">
        <f t="shared" si="56"/>
        <v>0.7</v>
      </c>
      <c r="R156" s="177">
        <f t="shared" si="57"/>
        <v>0.85992169464236912</v>
      </c>
      <c r="S156" s="799">
        <f t="shared" si="79"/>
        <v>-2</v>
      </c>
      <c r="T156" s="176">
        <f t="shared" si="58"/>
        <v>4</v>
      </c>
      <c r="U156" s="250">
        <f t="shared" si="59"/>
        <v>-1.1400783053576309</v>
      </c>
      <c r="V156" s="382">
        <f t="shared" si="60"/>
        <v>61.196253103659352</v>
      </c>
      <c r="W156" s="58"/>
      <c r="X156" s="157">
        <f t="shared" si="61"/>
        <v>43607</v>
      </c>
      <c r="Y156" s="383">
        <f t="shared" si="62"/>
        <v>59.403757215051826</v>
      </c>
      <c r="Z156" s="383">
        <f t="shared" si="63"/>
        <v>59.554225548320986</v>
      </c>
      <c r="AA156" s="384">
        <f t="shared" si="64"/>
        <v>60.114049360380754</v>
      </c>
      <c r="AB156" s="197">
        <f t="shared" si="65"/>
        <v>43607</v>
      </c>
      <c r="AC156" s="424">
        <f t="shared" si="66"/>
        <v>9.3126950856971171E-3</v>
      </c>
      <c r="AD156" s="169">
        <f>(INDEX(Models!$BJ156:$BT156,,AH156)*(1-AF156)+INDEX(Models!$BJ156:$BT156,,AH156+1)*AF156-ERP_i)*AE156*Ramure*Pc/MaxiM</f>
        <v>8.3089509530534027E-6</v>
      </c>
      <c r="AE156" s="304">
        <f t="shared" si="67"/>
        <v>0.7</v>
      </c>
      <c r="AF156" s="177">
        <f t="shared" si="68"/>
        <v>0.92425391690220127</v>
      </c>
      <c r="AG156" s="799">
        <f t="shared" si="69"/>
        <v>-2</v>
      </c>
      <c r="AH156" s="176">
        <f t="shared" si="70"/>
        <v>4</v>
      </c>
      <c r="AI156" s="224">
        <f t="shared" si="71"/>
        <v>-1.0757460830977987</v>
      </c>
      <c r="AJ156" s="264" t="b">
        <f t="shared" si="72"/>
        <v>0</v>
      </c>
      <c r="AK156" s="264" t="b">
        <f t="shared" si="73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74"/>
        <v>43608</v>
      </c>
      <c r="B157" s="607">
        <v>58.356000000000002</v>
      </c>
      <c r="C157" s="388"/>
      <c r="D157" s="391">
        <f t="shared" si="75"/>
        <v>58.504935622394072</v>
      </c>
      <c r="E157" s="383">
        <f t="shared" si="76"/>
        <v>59.059242367719726</v>
      </c>
      <c r="F157" s="383">
        <f t="shared" si="77"/>
        <v>59.059449252254765</v>
      </c>
      <c r="G157" s="110">
        <f t="shared" si="78"/>
        <v>0.95330881922117028</v>
      </c>
      <c r="I157" s="379">
        <f t="shared" si="52"/>
        <v>59.059449252254765</v>
      </c>
      <c r="J157" s="85">
        <v>2018</v>
      </c>
      <c r="K157" s="197">
        <f t="shared" si="53"/>
        <v>43608</v>
      </c>
      <c r="L157" s="435">
        <f t="shared" si="54"/>
        <v>2.5456932959526668E-3</v>
      </c>
      <c r="M157" s="842"/>
      <c r="N157" s="842"/>
      <c r="O157" s="323">
        <f t="shared" si="55"/>
        <v>9.3856054209835102E-3</v>
      </c>
      <c r="P157" s="169">
        <f>(INDEX(Models!$BJ157:$BT157,,T157)*(1-R157)+INDEX(Models!$BJ157:$BT157,,T157+1)*R157-ERP_i)*Q157*Ramure*Pc/MaxiM</f>
        <v>3.7533407622293003E-6</v>
      </c>
      <c r="Q157" s="304">
        <f t="shared" si="56"/>
        <v>0.7</v>
      </c>
      <c r="R157" s="177">
        <f t="shared" si="57"/>
        <v>0.86349635970778715</v>
      </c>
      <c r="S157" s="799">
        <f t="shared" si="79"/>
        <v>-2</v>
      </c>
      <c r="T157" s="176">
        <f t="shared" si="58"/>
        <v>4</v>
      </c>
      <c r="U157" s="250">
        <f t="shared" si="59"/>
        <v>-1.1365036402922128</v>
      </c>
      <c r="V157" s="382">
        <f t="shared" si="60"/>
        <v>61.214146154686304</v>
      </c>
      <c r="W157" s="58"/>
      <c r="X157" s="157">
        <f t="shared" si="61"/>
        <v>43608</v>
      </c>
      <c r="Y157" s="383">
        <f t="shared" si="62"/>
        <v>58.355796297550917</v>
      </c>
      <c r="Z157" s="383">
        <f t="shared" si="63"/>
        <v>58.504731400057558</v>
      </c>
      <c r="AA157" s="384">
        <f t="shared" si="64"/>
        <v>59.059036210472634</v>
      </c>
      <c r="AB157" s="197">
        <f t="shared" si="65"/>
        <v>43608</v>
      </c>
      <c r="AC157" s="424">
        <f t="shared" si="66"/>
        <v>9.3856054209835102E-3</v>
      </c>
      <c r="AD157" s="169">
        <f>(INDEX(Models!$BJ157:$BT157,,AH157)*(1-AF157)+INDEX(Models!$BJ157:$BT157,,AH157+1)*AF157-ERP_i)*AE157*Ramure*Pc/MaxiM</f>
        <v>7.4934869205083378E-6</v>
      </c>
      <c r="AE157" s="304">
        <f t="shared" si="67"/>
        <v>0.7</v>
      </c>
      <c r="AF157" s="177">
        <f t="shared" si="68"/>
        <v>0.9278285819676193</v>
      </c>
      <c r="AG157" s="799">
        <f t="shared" si="69"/>
        <v>-2</v>
      </c>
      <c r="AH157" s="176">
        <f t="shared" si="70"/>
        <v>4</v>
      </c>
      <c r="AI157" s="224">
        <f t="shared" si="71"/>
        <v>-1.0721714180323807</v>
      </c>
      <c r="AJ157" s="264" t="b">
        <f t="shared" si="72"/>
        <v>0</v>
      </c>
      <c r="AK157" s="264" t="b">
        <f t="shared" si="73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74"/>
        <v>43609</v>
      </c>
      <c r="B158" s="607">
        <v>10.787000000000001</v>
      </c>
      <c r="C158" s="388"/>
      <c r="D158" s="391">
        <f t="shared" si="75"/>
        <v>10.814737739717593</v>
      </c>
      <c r="E158" s="383">
        <f t="shared" si="76"/>
        <v>10.918006371096977</v>
      </c>
      <c r="F158" s="383">
        <f t="shared" si="77"/>
        <v>10.918006371096977</v>
      </c>
      <c r="G158" s="110">
        <f t="shared" si="78"/>
        <v>0.17617400382145146</v>
      </c>
      <c r="I158" s="379">
        <f t="shared" si="52"/>
        <v>10.918006371096977</v>
      </c>
      <c r="J158" s="85">
        <v>2018</v>
      </c>
      <c r="K158" s="197">
        <f t="shared" si="53"/>
        <v>43609</v>
      </c>
      <c r="L158" s="435">
        <f t="shared" si="54"/>
        <v>2.5648092801847655E-3</v>
      </c>
      <c r="M158" s="842"/>
      <c r="N158" s="842"/>
      <c r="O158" s="323">
        <f t="shared" si="55"/>
        <v>9.4585611941723734E-3</v>
      </c>
      <c r="P158" s="169">
        <f>(INDEX(Models!$BJ158:$BT158,,T158)*(1-R158)+INDEX(Models!$BJ158:$BT158,,T158+1)*R158-ERP_i)*Q158*Ramure*Pc/MaxiM</f>
        <v>3.4900821449584092E-6</v>
      </c>
      <c r="Q158" s="304">
        <f t="shared" si="56"/>
        <v>0.7</v>
      </c>
      <c r="R158" s="177">
        <f t="shared" si="57"/>
        <v>0.86712338333245054</v>
      </c>
      <c r="S158" s="799">
        <f t="shared" si="79"/>
        <v>-2</v>
      </c>
      <c r="T158" s="176">
        <f t="shared" si="58"/>
        <v>4</v>
      </c>
      <c r="U158" s="250">
        <f t="shared" si="59"/>
        <v>-1.1328766166675495</v>
      </c>
      <c r="V158" s="382">
        <f t="shared" si="60"/>
        <v>61.229024251593081</v>
      </c>
      <c r="W158" s="58"/>
      <c r="X158" s="157">
        <f t="shared" si="61"/>
        <v>43609</v>
      </c>
      <c r="Y158" s="383">
        <f t="shared" si="62"/>
        <v>10.787000000000001</v>
      </c>
      <c r="Z158" s="383">
        <f t="shared" si="63"/>
        <v>10.814737739717593</v>
      </c>
      <c r="AA158" s="384">
        <f t="shared" si="64"/>
        <v>10.918006371096977</v>
      </c>
      <c r="AB158" s="197">
        <f t="shared" si="65"/>
        <v>43609</v>
      </c>
      <c r="AC158" s="424">
        <f t="shared" si="66"/>
        <v>9.4585611941723734E-3</v>
      </c>
      <c r="AD158" s="169">
        <f>(INDEX(Models!$BJ158:$BT158,,AH158)*(1-AF158)+INDEX(Models!$BJ158:$BT158,,AH158+1)*AF158-ERP_i)*AE158*Ramure*Pc/MaxiM</f>
        <v>6.7829000937635885E-6</v>
      </c>
      <c r="AE158" s="304">
        <f t="shared" si="67"/>
        <v>0.7</v>
      </c>
      <c r="AF158" s="177">
        <f t="shared" si="68"/>
        <v>0.93145560559228291</v>
      </c>
      <c r="AG158" s="799">
        <f t="shared" si="69"/>
        <v>-2</v>
      </c>
      <c r="AH158" s="176">
        <f t="shared" si="70"/>
        <v>4</v>
      </c>
      <c r="AI158" s="224">
        <f t="shared" si="71"/>
        <v>-1.0685443944077171</v>
      </c>
      <c r="AJ158" s="264" t="b">
        <f t="shared" si="72"/>
        <v>0</v>
      </c>
      <c r="AK158" s="264" t="b">
        <f t="shared" si="73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74"/>
        <v>43610</v>
      </c>
      <c r="B159" s="607">
        <v>19.895</v>
      </c>
      <c r="C159" s="388"/>
      <c r="D159" s="391">
        <f t="shared" si="75"/>
        <v>19.946540362272302</v>
      </c>
      <c r="E159" s="383">
        <f t="shared" si="76"/>
        <v>20.138491496327916</v>
      </c>
      <c r="F159" s="383">
        <f t="shared" si="77"/>
        <v>20.13849383284435</v>
      </c>
      <c r="G159" s="110">
        <f t="shared" si="78"/>
        <v>0.32486363275079749</v>
      </c>
      <c r="I159" s="379">
        <f t="shared" si="52"/>
        <v>20.13849383284435</v>
      </c>
      <c r="J159" s="85">
        <v>2018</v>
      </c>
      <c r="K159" s="197">
        <f t="shared" si="53"/>
        <v>43610</v>
      </c>
      <c r="L159" s="435">
        <f t="shared" si="54"/>
        <v>2.5839248980633611E-3</v>
      </c>
      <c r="M159" s="842"/>
      <c r="N159" s="842"/>
      <c r="O159" s="323">
        <f t="shared" si="55"/>
        <v>9.5315547388748444E-3</v>
      </c>
      <c r="P159" s="169">
        <f>(INDEX(Models!$BJ159:$BT159,,T159)*(1-R159)+INDEX(Models!$BJ159:$BT159,,T159+1)*R159-ERP_i)*Q159*Ramure*Pc/MaxiM</f>
        <v>3.2663102634372312E-6</v>
      </c>
      <c r="Q159" s="304">
        <f t="shared" si="56"/>
        <v>0.7</v>
      </c>
      <c r="R159" s="177">
        <f t="shared" si="57"/>
        <v>0.87080079566662438</v>
      </c>
      <c r="S159" s="799">
        <f t="shared" si="79"/>
        <v>-2</v>
      </c>
      <c r="T159" s="176">
        <f t="shared" si="58"/>
        <v>4</v>
      </c>
      <c r="U159" s="250">
        <f t="shared" si="59"/>
        <v>-1.1291992043333756</v>
      </c>
      <c r="V159" s="382">
        <f t="shared" si="60"/>
        <v>61.240887927511167</v>
      </c>
      <c r="W159" s="58"/>
      <c r="X159" s="157">
        <f t="shared" si="61"/>
        <v>43610</v>
      </c>
      <c r="Y159" s="383">
        <f t="shared" si="62"/>
        <v>19.894997933642966</v>
      </c>
      <c r="Z159" s="383">
        <f t="shared" si="63"/>
        <v>19.946538290562124</v>
      </c>
      <c r="AA159" s="384">
        <f t="shared" si="64"/>
        <v>20.138489404681092</v>
      </c>
      <c r="AB159" s="197">
        <f t="shared" si="65"/>
        <v>43610</v>
      </c>
      <c r="AC159" s="424">
        <f t="shared" si="66"/>
        <v>9.5315547388748444E-3</v>
      </c>
      <c r="AD159" s="169">
        <f>(INDEX(Models!$BJ159:$BT159,,AH159)*(1-AF159)+INDEX(Models!$BJ159:$BT159,,AH159+1)*AF159-ERP_i)*AE159*Ramure*Pc/MaxiM</f>
        <v>6.1903074526395804E-6</v>
      </c>
      <c r="AE159" s="304">
        <f t="shared" si="67"/>
        <v>0.7</v>
      </c>
      <c r="AF159" s="177">
        <f t="shared" si="68"/>
        <v>0.93513301792645653</v>
      </c>
      <c r="AG159" s="799">
        <f t="shared" si="69"/>
        <v>-2</v>
      </c>
      <c r="AH159" s="176">
        <f t="shared" si="70"/>
        <v>4</v>
      </c>
      <c r="AI159" s="224">
        <f t="shared" si="71"/>
        <v>-1.0648669820735435</v>
      </c>
      <c r="AJ159" s="264" t="b">
        <f t="shared" si="72"/>
        <v>0</v>
      </c>
      <c r="AK159" s="264" t="b">
        <f t="shared" si="73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74"/>
        <v>43611</v>
      </c>
      <c r="B160" s="607">
        <v>21.6</v>
      </c>
      <c r="C160" s="388"/>
      <c r="D160" s="391">
        <f t="shared" si="75"/>
        <v>21.656372406869675</v>
      </c>
      <c r="E160" s="383">
        <f t="shared" si="76"/>
        <v>21.866389854959408</v>
      </c>
      <c r="F160" s="383">
        <f t="shared" si="77"/>
        <v>21.866394945920526</v>
      </c>
      <c r="G160" s="110">
        <f t="shared" si="78"/>
        <v>0.35265356200628556</v>
      </c>
      <c r="I160" s="379">
        <f t="shared" si="52"/>
        <v>21.866394945920526</v>
      </c>
      <c r="J160" s="85">
        <v>2018</v>
      </c>
      <c r="K160" s="197">
        <f t="shared" si="53"/>
        <v>43611</v>
      </c>
      <c r="L160" s="435">
        <f t="shared" si="54"/>
        <v>2.6030401495955591E-3</v>
      </c>
      <c r="M160" s="842"/>
      <c r="N160" s="842"/>
      <c r="O160" s="323">
        <f t="shared" si="55"/>
        <v>9.6045780525631508E-3</v>
      </c>
      <c r="P160" s="169">
        <f>(INDEX(Models!$BJ160:$BT160,,T160)*(1-R160)+INDEX(Models!$BJ160:$BT160,,T160+1)*R160-ERP_i)*Q160*Ramure*Pc/MaxiM</f>
        <v>3.0951703024653164E-6</v>
      </c>
      <c r="Q160" s="304">
        <f t="shared" si="56"/>
        <v>0.7</v>
      </c>
      <c r="R160" s="177">
        <f t="shared" si="57"/>
        <v>0.87452648553929024</v>
      </c>
      <c r="S160" s="799">
        <f t="shared" si="79"/>
        <v>-2</v>
      </c>
      <c r="T160" s="176">
        <f t="shared" si="58"/>
        <v>4</v>
      </c>
      <c r="U160" s="250">
        <f t="shared" si="59"/>
        <v>-1.1254735144607098</v>
      </c>
      <c r="V160" s="382">
        <f t="shared" si="60"/>
        <v>61.249737703941875</v>
      </c>
      <c r="W160" s="58"/>
      <c r="X160" s="157">
        <f t="shared" si="61"/>
        <v>43611</v>
      </c>
      <c r="Y160" s="383">
        <f t="shared" si="62"/>
        <v>21.599995719991149</v>
      </c>
      <c r="Z160" s="383">
        <f t="shared" si="63"/>
        <v>21.656368115690714</v>
      </c>
      <c r="AA160" s="384">
        <f t="shared" si="64"/>
        <v>21.866385522165793</v>
      </c>
      <c r="AB160" s="197">
        <f t="shared" si="65"/>
        <v>43611</v>
      </c>
      <c r="AC160" s="424">
        <f t="shared" si="66"/>
        <v>9.6045780525631508E-3</v>
      </c>
      <c r="AD160" s="169">
        <f>(INDEX(Models!$BJ160:$BT160,,AH160)*(1-AF160)+INDEX(Models!$BJ160:$BT160,,AH160+1)*AF160-ERP_i)*AE160*Ramure*Pc/MaxiM</f>
        <v>5.7293947282758398E-6</v>
      </c>
      <c r="AE160" s="304">
        <f t="shared" si="67"/>
        <v>0.7</v>
      </c>
      <c r="AF160" s="177">
        <f t="shared" si="68"/>
        <v>0.93885870779912239</v>
      </c>
      <c r="AG160" s="799">
        <f t="shared" si="69"/>
        <v>-2</v>
      </c>
      <c r="AH160" s="176">
        <f t="shared" si="70"/>
        <v>4</v>
      </c>
      <c r="AI160" s="224">
        <f t="shared" si="71"/>
        <v>-1.0611412922008776</v>
      </c>
      <c r="AJ160" s="264" t="b">
        <f t="shared" si="72"/>
        <v>0</v>
      </c>
      <c r="AK160" s="264" t="b">
        <f t="shared" si="73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74"/>
        <v>43612</v>
      </c>
      <c r="B161" s="607">
        <v>28.413</v>
      </c>
      <c r="C161" s="388"/>
      <c r="D161" s="391">
        <f t="shared" si="75"/>
        <v>28.48769916379187</v>
      </c>
      <c r="E161" s="383">
        <f t="shared" si="76"/>
        <v>28.766086498904333</v>
      </c>
      <c r="F161" s="383">
        <f t="shared" si="77"/>
        <v>28.766106633062407</v>
      </c>
      <c r="G161" s="110">
        <f t="shared" si="78"/>
        <v>0.4638424395351799</v>
      </c>
      <c r="I161" s="379">
        <f t="shared" si="52"/>
        <v>28.766106633062407</v>
      </c>
      <c r="J161" s="85">
        <v>2018</v>
      </c>
      <c r="K161" s="197">
        <f t="shared" si="53"/>
        <v>43612</v>
      </c>
      <c r="L161" s="435">
        <f t="shared" si="54"/>
        <v>2.6221550347882427E-3</v>
      </c>
      <c r="M161" s="842"/>
      <c r="N161" s="842"/>
      <c r="O161" s="323">
        <f t="shared" si="55"/>
        <v>9.6776228189074769E-3</v>
      </c>
      <c r="P161" s="169">
        <f>(INDEX(Models!$BJ161:$BT161,,T161)*(1-R161)+INDEX(Models!$BJ161:$BT161,,T161+1)*R161-ERP_i)*Q161*Ramure*Pc/MaxiM</f>
        <v>2.9903443788369696E-6</v>
      </c>
      <c r="Q161" s="304">
        <f t="shared" si="56"/>
        <v>0.7</v>
      </c>
      <c r="R161" s="177">
        <f t="shared" si="57"/>
        <v>0.87829820345207077</v>
      </c>
      <c r="S161" s="799">
        <f t="shared" si="79"/>
        <v>-2</v>
      </c>
      <c r="T161" s="176">
        <f t="shared" si="58"/>
        <v>4</v>
      </c>
      <c r="U161" s="250">
        <f t="shared" si="59"/>
        <v>-1.1217017965479292</v>
      </c>
      <c r="V161" s="382">
        <f t="shared" si="60"/>
        <v>61.255574092749796</v>
      </c>
      <c r="W161" s="58"/>
      <c r="X161" s="157">
        <f t="shared" si="61"/>
        <v>43612</v>
      </c>
      <c r="Y161" s="383">
        <f t="shared" si="62"/>
        <v>28.412983879032584</v>
      </c>
      <c r="Z161" s="383">
        <f t="shared" si="63"/>
        <v>28.487683000441642</v>
      </c>
      <c r="AA161" s="384">
        <f t="shared" si="64"/>
        <v>28.766070177602703</v>
      </c>
      <c r="AB161" s="197">
        <f t="shared" si="65"/>
        <v>43612</v>
      </c>
      <c r="AC161" s="424">
        <f t="shared" si="66"/>
        <v>9.6776228189074769E-3</v>
      </c>
      <c r="AD161" s="169">
        <f>(INDEX(Models!$BJ161:$BT161,,AH161)*(1-AF161)+INDEX(Models!$BJ161:$BT161,,AH161+1)*AF161-ERP_i)*AE161*Ramure*Pc/MaxiM</f>
        <v>5.414399678359159E-6</v>
      </c>
      <c r="AE161" s="304">
        <f t="shared" si="67"/>
        <v>0.7</v>
      </c>
      <c r="AF161" s="177">
        <f t="shared" si="68"/>
        <v>0.94263042571190314</v>
      </c>
      <c r="AG161" s="799">
        <f t="shared" si="69"/>
        <v>-2</v>
      </c>
      <c r="AH161" s="176">
        <f t="shared" si="70"/>
        <v>4</v>
      </c>
      <c r="AI161" s="224">
        <f t="shared" si="71"/>
        <v>-1.0573695742880969</v>
      </c>
      <c r="AJ161" s="264" t="b">
        <f t="shared" si="72"/>
        <v>0</v>
      </c>
      <c r="AK161" s="264" t="b">
        <f t="shared" si="73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74"/>
        <v>43613</v>
      </c>
      <c r="B162" s="607">
        <v>28.786000000000001</v>
      </c>
      <c r="C162" s="388"/>
      <c r="D162" s="391">
        <f t="shared" si="75"/>
        <v>28.862232937107098</v>
      </c>
      <c r="E162" s="383">
        <f t="shared" si="76"/>
        <v>29.146430466328706</v>
      </c>
      <c r="F162" s="383">
        <f t="shared" si="77"/>
        <v>29.146451450187509</v>
      </c>
      <c r="G162" s="110">
        <f t="shared" si="78"/>
        <v>0.46991002828374656</v>
      </c>
      <c r="I162" s="379">
        <f t="shared" si="52"/>
        <v>29.146451450187509</v>
      </c>
      <c r="J162" s="85">
        <v>2018</v>
      </c>
      <c r="K162" s="197">
        <f t="shared" si="53"/>
        <v>43613</v>
      </c>
      <c r="L162" s="435">
        <f t="shared" si="54"/>
        <v>2.6412695536486286E-3</v>
      </c>
      <c r="M162" s="842"/>
      <c r="N162" s="842"/>
      <c r="O162" s="323">
        <f t="shared" si="55"/>
        <v>9.7506804323749339E-3</v>
      </c>
      <c r="P162" s="169">
        <f>(INDEX(Models!$BJ162:$BT162,,T162)*(1-R162)+INDEX(Models!$BJ162:$BT162,,T162+1)*R162-ERP_i)*Q162*Ramure*Pc/MaxiM</f>
        <v>2.9660331316548688E-6</v>
      </c>
      <c r="Q162" s="304">
        <f t="shared" si="56"/>
        <v>0.7</v>
      </c>
      <c r="R162" s="177">
        <f t="shared" si="57"/>
        <v>0.88211356535730467</v>
      </c>
      <c r="S162" s="799">
        <f t="shared" si="79"/>
        <v>-2</v>
      </c>
      <c r="T162" s="176">
        <f t="shared" si="58"/>
        <v>4</v>
      </c>
      <c r="U162" s="250">
        <f t="shared" si="59"/>
        <v>-1.1178864346426953</v>
      </c>
      <c r="V162" s="382">
        <f t="shared" si="60"/>
        <v>61.258397589879152</v>
      </c>
      <c r="W162" s="58"/>
      <c r="X162" s="157">
        <f t="shared" si="61"/>
        <v>43613</v>
      </c>
      <c r="Y162" s="383">
        <f t="shared" si="62"/>
        <v>28.785983970874312</v>
      </c>
      <c r="Z162" s="383">
        <f t="shared" si="63"/>
        <v>28.862216865532048</v>
      </c>
      <c r="AA162" s="384">
        <f t="shared" si="64"/>
        <v>29.146414236501801</v>
      </c>
      <c r="AB162" s="197">
        <f t="shared" si="65"/>
        <v>43613</v>
      </c>
      <c r="AC162" s="424">
        <f t="shared" si="66"/>
        <v>9.7506804323749339E-3</v>
      </c>
      <c r="AD162" s="169">
        <f>(INDEX(Models!$BJ162:$BT162,,AH162)*(1-AF162)+INDEX(Models!$BJ162:$BT162,,AH162+1)*AF162-ERP_i)*AE162*Ramure*Pc/MaxiM</f>
        <v>5.2600918545408561E-6</v>
      </c>
      <c r="AE162" s="304">
        <f t="shared" si="67"/>
        <v>0.7</v>
      </c>
      <c r="AF162" s="177">
        <f t="shared" si="68"/>
        <v>0.94644578761713705</v>
      </c>
      <c r="AG162" s="799">
        <f t="shared" si="69"/>
        <v>-2</v>
      </c>
      <c r="AH162" s="176">
        <f t="shared" si="70"/>
        <v>4</v>
      </c>
      <c r="AI162" s="224">
        <f t="shared" si="71"/>
        <v>-1.053554212382863</v>
      </c>
      <c r="AJ162" s="264" t="b">
        <f t="shared" si="72"/>
        <v>0</v>
      </c>
      <c r="AK162" s="264" t="b">
        <f t="shared" si="73"/>
        <v>0</v>
      </c>
      <c r="AL162" s="264"/>
      <c r="AM162" s="264"/>
      <c r="AN162" s="75"/>
    </row>
    <row r="163" spans="1:40" s="6" customFormat="1" ht="11.25" x14ac:dyDescent="0.2">
      <c r="A163" s="56">
        <f t="shared" si="74"/>
        <v>43614</v>
      </c>
      <c r="B163" s="607">
        <v>30.98</v>
      </c>
      <c r="C163" s="388"/>
      <c r="D163" s="391">
        <f t="shared" si="75"/>
        <v>31.062638537436062</v>
      </c>
      <c r="E163" s="383">
        <f t="shared" si="76"/>
        <v>31.370817354237573</v>
      </c>
      <c r="F163" s="383">
        <f t="shared" si="77"/>
        <v>31.370845354184876</v>
      </c>
      <c r="G163" s="110">
        <f t="shared" si="78"/>
        <v>0.50572705656311723</v>
      </c>
      <c r="I163" s="379">
        <f t="shared" si="52"/>
        <v>31.370845354184876</v>
      </c>
      <c r="J163" s="85">
        <v>2018</v>
      </c>
      <c r="K163" s="197">
        <f t="shared" si="53"/>
        <v>43614</v>
      </c>
      <c r="L163" s="435">
        <f t="shared" si="54"/>
        <v>2.660383706183489E-3</v>
      </c>
      <c r="M163" s="842"/>
      <c r="N163" s="842"/>
      <c r="O163" s="323">
        <f t="shared" si="55"/>
        <v>9.8237420250028087E-3</v>
      </c>
      <c r="P163" s="169">
        <f>(INDEX(Models!$BJ163:$BT163,,T163)*(1-R163)+INDEX(Models!$BJ163:$BT163,,T163+1)*R163-ERP_i)*Q163*Ramure*Pc/MaxiM</f>
        <v>3.0369338363437493E-6</v>
      </c>
      <c r="Q163" s="304">
        <f t="shared" si="56"/>
        <v>0.7</v>
      </c>
      <c r="R163" s="177">
        <f t="shared" si="57"/>
        <v>0.88597005722228239</v>
      </c>
      <c r="S163" s="799">
        <f t="shared" si="79"/>
        <v>-2</v>
      </c>
      <c r="T163" s="176">
        <f t="shared" si="58"/>
        <v>4</v>
      </c>
      <c r="U163" s="250">
        <f t="shared" si="59"/>
        <v>-1.1140299427777176</v>
      </c>
      <c r="V163" s="382">
        <f t="shared" si="60"/>
        <v>61.258208681511476</v>
      </c>
      <c r="W163" s="58"/>
      <c r="X163" s="157">
        <f t="shared" si="61"/>
        <v>43614</v>
      </c>
      <c r="Y163" s="383">
        <f t="shared" si="62"/>
        <v>30.979979561076089</v>
      </c>
      <c r="Z163" s="383">
        <f t="shared" si="63"/>
        <v>31.062618043991726</v>
      </c>
      <c r="AA163" s="384">
        <f t="shared" si="64"/>
        <v>31.370796657473566</v>
      </c>
      <c r="AB163" s="197">
        <f t="shared" si="65"/>
        <v>43614</v>
      </c>
      <c r="AC163" s="424">
        <f t="shared" si="66"/>
        <v>9.8237420250028087E-3</v>
      </c>
      <c r="AD163" s="169">
        <f>(INDEX(Models!$BJ163:$BT163,,AH163)*(1-AF163)+INDEX(Models!$BJ163:$BT163,,AH163+1)*AF163-ERP_i)*AE163*Ramure*Pc/MaxiM</f>
        <v>5.2817488796523735E-6</v>
      </c>
      <c r="AE163" s="304">
        <f t="shared" si="67"/>
        <v>0.7</v>
      </c>
      <c r="AF163" s="177">
        <f t="shared" si="68"/>
        <v>0.95030227948211454</v>
      </c>
      <c r="AG163" s="799">
        <f t="shared" si="69"/>
        <v>-2</v>
      </c>
      <c r="AH163" s="176">
        <f t="shared" si="70"/>
        <v>4</v>
      </c>
      <c r="AI163" s="224">
        <f t="shared" si="71"/>
        <v>-1.0496977205178855</v>
      </c>
      <c r="AJ163" s="264" t="b">
        <f t="shared" si="72"/>
        <v>0</v>
      </c>
      <c r="AK163" s="264" t="b">
        <f t="shared" si="73"/>
        <v>0</v>
      </c>
      <c r="AL163" s="264"/>
      <c r="AM163" s="264"/>
      <c r="AN163" s="75"/>
    </row>
    <row r="164" spans="1:40" s="6" customFormat="1" ht="11.25" x14ac:dyDescent="0.2">
      <c r="A164" s="56">
        <f t="shared" si="74"/>
        <v>43615</v>
      </c>
      <c r="B164" s="607">
        <v>60.325000000000003</v>
      </c>
      <c r="C164" s="388"/>
      <c r="D164" s="391">
        <f t="shared" si="75"/>
        <v>60.487074965693189</v>
      </c>
      <c r="E164" s="383">
        <f t="shared" si="76"/>
        <v>61.091687082482657</v>
      </c>
      <c r="F164" s="383">
        <f t="shared" si="77"/>
        <v>61.091879244383499</v>
      </c>
      <c r="G164" s="110">
        <f t="shared" si="78"/>
        <v>0.98481736823849686</v>
      </c>
      <c r="I164" s="379">
        <f t="shared" si="52"/>
        <v>61.091879244383499</v>
      </c>
      <c r="J164" s="85">
        <v>2018</v>
      </c>
      <c r="K164" s="197">
        <f t="shared" si="53"/>
        <v>43615</v>
      </c>
      <c r="L164" s="435">
        <f t="shared" si="54"/>
        <v>2.6794974924000403E-3</v>
      </c>
      <c r="M164" s="842"/>
      <c r="N164" s="842"/>
      <c r="O164" s="323">
        <f t="shared" si="55"/>
        <v>9.8967984952380537E-3</v>
      </c>
      <c r="P164" s="169">
        <f>(INDEX(Models!$BJ164:$BT164,,T164)*(1-R164)+INDEX(Models!$BJ164:$BT164,,T164+1)*R164-ERP_i)*Q164*Ramure*Pc/MaxiM</f>
        <v>3.2151928807499174E-6</v>
      </c>
      <c r="Q164" s="304">
        <f t="shared" si="56"/>
        <v>0.7</v>
      </c>
      <c r="R164" s="177">
        <f t="shared" si="57"/>
        <v>0.88986504037435243</v>
      </c>
      <c r="S164" s="799">
        <f t="shared" si="79"/>
        <v>-2</v>
      </c>
      <c r="T164" s="176">
        <f t="shared" si="58"/>
        <v>4</v>
      </c>
      <c r="U164" s="250">
        <f t="shared" si="59"/>
        <v>-1.1101349596256476</v>
      </c>
      <c r="V164" s="382">
        <f t="shared" si="60"/>
        <v>61.255008023560769</v>
      </c>
      <c r="W164" s="58"/>
      <c r="X164" s="157">
        <f t="shared" si="61"/>
        <v>43615</v>
      </c>
      <c r="Y164" s="383">
        <f t="shared" si="62"/>
        <v>60.324865750060034</v>
      </c>
      <c r="Z164" s="383">
        <f t="shared" si="63"/>
        <v>60.486940355064384</v>
      </c>
      <c r="AA164" s="384">
        <f t="shared" si="64"/>
        <v>61.091551126323139</v>
      </c>
      <c r="AB164" s="197">
        <f t="shared" si="65"/>
        <v>43615</v>
      </c>
      <c r="AC164" s="424">
        <f t="shared" si="66"/>
        <v>9.8967984952380537E-3</v>
      </c>
      <c r="AD164" s="169">
        <f>(INDEX(Models!$BJ164:$BT164,,AH164)*(1-AF164)+INDEX(Models!$BJ164:$BT164,,AH164+1)*AF164-ERP_i)*AE164*Ramure*Pc/MaxiM</f>
        <v>5.4899688602004377E-6</v>
      </c>
      <c r="AE164" s="304">
        <f t="shared" si="67"/>
        <v>0.7</v>
      </c>
      <c r="AF164" s="177">
        <f t="shared" si="68"/>
        <v>0.95419726263418458</v>
      </c>
      <c r="AG164" s="799">
        <f t="shared" si="69"/>
        <v>-2</v>
      </c>
      <c r="AH164" s="176">
        <f t="shared" si="70"/>
        <v>4</v>
      </c>
      <c r="AI164" s="224">
        <f t="shared" si="71"/>
        <v>-1.0458027373658154</v>
      </c>
      <c r="AJ164" s="264" t="b">
        <f t="shared" si="72"/>
        <v>0</v>
      </c>
      <c r="AK164" s="264" t="b">
        <f t="shared" si="73"/>
        <v>0</v>
      </c>
      <c r="AL164" s="264"/>
      <c r="AM164" s="264"/>
      <c r="AN164" s="75"/>
    </row>
    <row r="165" spans="1:40" s="6" customFormat="1" ht="11.25" x14ac:dyDescent="0.2">
      <c r="A165" s="56">
        <f t="shared" si="74"/>
        <v>43616</v>
      </c>
      <c r="B165" s="607">
        <v>61.064</v>
      </c>
      <c r="C165" s="388"/>
      <c r="D165" s="391">
        <f t="shared" si="75"/>
        <v>61.229233878697144</v>
      </c>
      <c r="E165" s="383">
        <f t="shared" si="76"/>
        <v>61.845826910984556</v>
      </c>
      <c r="F165" s="383">
        <f t="shared" si="77"/>
        <v>61.846036188985813</v>
      </c>
      <c r="G165" s="110">
        <f t="shared" si="78"/>
        <v>0.99698272969526269</v>
      </c>
      <c r="I165" s="379">
        <f t="shared" si="52"/>
        <v>61.846036188985813</v>
      </c>
      <c r="J165" s="85">
        <v>2018</v>
      </c>
      <c r="K165" s="197">
        <f t="shared" si="53"/>
        <v>43616</v>
      </c>
      <c r="L165" s="435">
        <f t="shared" si="54"/>
        <v>2.6986109123052771E-3</v>
      </c>
      <c r="M165" s="842"/>
      <c r="N165" s="842"/>
      <c r="O165" s="323">
        <f t="shared" si="55"/>
        <v>9.9698405387138832E-3</v>
      </c>
      <c r="P165" s="169">
        <f>(INDEX(Models!$BJ165:$BT165,,T165)*(1-R165)+INDEX(Models!$BJ165:$BT165,,T165+1)*R165-ERP_i)*Q165*Ramure*Pc/MaxiM</f>
        <v>3.398503508120685E-6</v>
      </c>
      <c r="Q165" s="304">
        <f t="shared" si="56"/>
        <v>0.7</v>
      </c>
      <c r="R165" s="177">
        <f t="shared" si="57"/>
        <v>0.89379575761405361</v>
      </c>
      <c r="S165" s="799">
        <f t="shared" si="79"/>
        <v>-2</v>
      </c>
      <c r="T165" s="176">
        <f t="shared" si="58"/>
        <v>4</v>
      </c>
      <c r="U165" s="250">
        <f t="shared" si="59"/>
        <v>-1.1062042423859464</v>
      </c>
      <c r="V165" s="382">
        <f t="shared" si="60"/>
        <v>61.248803300883615</v>
      </c>
      <c r="W165" s="58"/>
      <c r="X165" s="157">
        <f t="shared" si="61"/>
        <v>43616</v>
      </c>
      <c r="Y165" s="383">
        <f t="shared" si="62"/>
        <v>61.063859863782014</v>
      </c>
      <c r="Z165" s="383">
        <f t="shared" si="63"/>
        <v>61.229093363282729</v>
      </c>
      <c r="AA165" s="384">
        <f t="shared" si="64"/>
        <v>61.845684980546309</v>
      </c>
      <c r="AB165" s="197">
        <f t="shared" si="65"/>
        <v>43616</v>
      </c>
      <c r="AC165" s="424">
        <f t="shared" si="66"/>
        <v>9.9698405387138832E-3</v>
      </c>
      <c r="AD165" s="169">
        <f>(INDEX(Models!$BJ165:$BT165,,AH165)*(1-AF165)+INDEX(Models!$BJ165:$BT165,,AH165+1)*AF165-ERP_i)*AE165*Ramure*Pc/MaxiM</f>
        <v>5.7033376969886836E-6</v>
      </c>
      <c r="AE165" s="304">
        <f t="shared" si="67"/>
        <v>0.7</v>
      </c>
      <c r="AF165" s="177">
        <f t="shared" si="68"/>
        <v>0.95812797987388598</v>
      </c>
      <c r="AG165" s="799">
        <f t="shared" si="69"/>
        <v>-2</v>
      </c>
      <c r="AH165" s="176">
        <f t="shared" si="70"/>
        <v>4</v>
      </c>
      <c r="AI165" s="224">
        <f t="shared" si="71"/>
        <v>-1.041872020126114</v>
      </c>
      <c r="AJ165" s="264" t="b">
        <f t="shared" si="72"/>
        <v>0</v>
      </c>
      <c r="AK165" s="264" t="b">
        <f t="shared" si="73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74"/>
        <v>43617</v>
      </c>
      <c r="B166" s="607">
        <v>62.792999999999999</v>
      </c>
      <c r="C166" s="388"/>
      <c r="D166" s="391">
        <f t="shared" si="75"/>
        <v>62.964119095457889</v>
      </c>
      <c r="E166" s="383">
        <f t="shared" si="76"/>
        <v>63.602873768407711</v>
      </c>
      <c r="F166" s="383">
        <f t="shared" si="77"/>
        <v>63.6031019014615</v>
      </c>
      <c r="G166" s="110">
        <f t="shared" si="78"/>
        <v>1.0253660076700846</v>
      </c>
      <c r="I166" s="379">
        <f t="shared" si="52"/>
        <v>63.6031019014615</v>
      </c>
      <c r="J166" s="85">
        <v>2018</v>
      </c>
      <c r="K166" s="197">
        <f t="shared" si="53"/>
        <v>43617</v>
      </c>
      <c r="L166" s="435">
        <f t="shared" si="54"/>
        <v>2.7177239659060826E-3</v>
      </c>
      <c r="M166" s="842"/>
      <c r="N166" s="842"/>
      <c r="O166" s="323">
        <f t="shared" si="55"/>
        <v>1.0042858680814837E-2</v>
      </c>
      <c r="P166" s="169">
        <f>(INDEX(Models!$BJ166:$BT166,,T166)*(1-R166)+INDEX(Models!$BJ166:$BT166,,T166+1)*R166-ERP_i)*Q166*Ramure*Pc/MaxiM</f>
        <v>3.5868227644781633E-6</v>
      </c>
      <c r="Q166" s="304">
        <f t="shared" si="56"/>
        <v>0.7</v>
      </c>
      <c r="R166" s="177">
        <f t="shared" si="57"/>
        <v>0.89775934007571956</v>
      </c>
      <c r="S166" s="799">
        <f t="shared" si="79"/>
        <v>-2</v>
      </c>
      <c r="T166" s="176">
        <f t="shared" si="58"/>
        <v>4</v>
      </c>
      <c r="U166" s="250">
        <f t="shared" si="59"/>
        <v>-1.1022406599242804</v>
      </c>
      <c r="V166" s="382">
        <f t="shared" si="60"/>
        <v>61.239595939681166</v>
      </c>
      <c r="W166" s="58"/>
      <c r="X166" s="157">
        <f t="shared" si="61"/>
        <v>43617</v>
      </c>
      <c r="Y166" s="383">
        <f t="shared" si="62"/>
        <v>62.792853378743359</v>
      </c>
      <c r="Z166" s="383">
        <f t="shared" si="63"/>
        <v>62.963972074639251</v>
      </c>
      <c r="AA166" s="384">
        <f t="shared" si="64"/>
        <v>63.60272525610096</v>
      </c>
      <c r="AB166" s="197">
        <f t="shared" si="65"/>
        <v>43617</v>
      </c>
      <c r="AC166" s="424">
        <f t="shared" si="66"/>
        <v>1.0042858680814837E-2</v>
      </c>
      <c r="AD166" s="169">
        <f>(INDEX(Models!$BJ166:$BT166,,AH166)*(1-AF166)+INDEX(Models!$BJ166:$BT166,,AH166+1)*AF166-ERP_i)*AE166*Ramure*Pc/MaxiM</f>
        <v>5.9218080450962857E-6</v>
      </c>
      <c r="AE166" s="304">
        <f t="shared" si="67"/>
        <v>0.7</v>
      </c>
      <c r="AF166" s="177">
        <f t="shared" si="68"/>
        <v>0.96209156233555193</v>
      </c>
      <c r="AG166" s="799">
        <f t="shared" si="69"/>
        <v>-2</v>
      </c>
      <c r="AH166" s="176">
        <f t="shared" si="70"/>
        <v>4</v>
      </c>
      <c r="AI166" s="224">
        <f t="shared" si="71"/>
        <v>-1.0379084376644481</v>
      </c>
      <c r="AJ166" s="264" t="b">
        <f t="shared" si="72"/>
        <v>0</v>
      </c>
      <c r="AK166" s="264" t="b">
        <f t="shared" si="73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74"/>
        <v>43618</v>
      </c>
      <c r="B167" s="607">
        <v>62.012999999999998</v>
      </c>
      <c r="C167" s="388"/>
      <c r="D167" s="391">
        <f t="shared" si="75"/>
        <v>62.183185220524855</v>
      </c>
      <c r="E167" s="383">
        <f t="shared" si="76"/>
        <v>62.818648829079919</v>
      </c>
      <c r="F167" s="383">
        <f t="shared" si="77"/>
        <v>62.818886290602684</v>
      </c>
      <c r="G167" s="110">
        <f t="shared" si="78"/>
        <v>1.0128310655701427</v>
      </c>
      <c r="I167" s="379">
        <f t="shared" si="52"/>
        <v>62.818886290602684</v>
      </c>
      <c r="J167" s="85">
        <v>2018</v>
      </c>
      <c r="K167" s="197">
        <f t="shared" si="53"/>
        <v>43618</v>
      </c>
      <c r="L167" s="435">
        <f t="shared" si="54"/>
        <v>2.7368366532096733E-3</v>
      </c>
      <c r="M167" s="842"/>
      <c r="N167" s="842"/>
      <c r="O167" s="323">
        <f t="shared" si="55"/>
        <v>1.0115843310862412E-2</v>
      </c>
      <c r="P167" s="169">
        <f>(INDEX(Models!$BJ167:$BT167,,T167)*(1-R167)+INDEX(Models!$BJ167:$BT167,,T167+1)*R167-ERP_i)*Q167*Ramure*Pc/MaxiM</f>
        <v>3.780097623293552E-6</v>
      </c>
      <c r="Q167" s="304">
        <f t="shared" si="56"/>
        <v>0.7</v>
      </c>
      <c r="R167" s="177">
        <f t="shared" si="57"/>
        <v>0.90175281480724956</v>
      </c>
      <c r="S167" s="799">
        <f t="shared" si="79"/>
        <v>-2</v>
      </c>
      <c r="T167" s="176">
        <f t="shared" si="58"/>
        <v>4</v>
      </c>
      <c r="U167" s="250">
        <f t="shared" si="59"/>
        <v>-1.0982471851927504</v>
      </c>
      <c r="V167" s="382">
        <f t="shared" si="60"/>
        <v>61.227387377866073</v>
      </c>
      <c r="W167" s="58"/>
      <c r="X167" s="157">
        <f t="shared" si="61"/>
        <v>43618</v>
      </c>
      <c r="Y167" s="383">
        <f t="shared" si="62"/>
        <v>62.012853324759298</v>
      </c>
      <c r="Z167" s="383">
        <f t="shared" si="63"/>
        <v>62.183038142756331</v>
      </c>
      <c r="AA167" s="384">
        <f t="shared" si="64"/>
        <v>62.818500248291421</v>
      </c>
      <c r="AB167" s="197">
        <f t="shared" si="65"/>
        <v>43618</v>
      </c>
      <c r="AC167" s="424">
        <f t="shared" si="66"/>
        <v>1.0115843310862412E-2</v>
      </c>
      <c r="AD167" s="169">
        <f>(INDEX(Models!$BJ167:$BT167,,AH167)*(1-AF167)+INDEX(Models!$BJ167:$BT167,,AH167+1)*AF167-ERP_i)*AE167*Ramure*Pc/MaxiM</f>
        <v>6.145322435007766E-6</v>
      </c>
      <c r="AE167" s="304">
        <f t="shared" si="67"/>
        <v>0.7</v>
      </c>
      <c r="AF167" s="177">
        <f t="shared" si="68"/>
        <v>0.96608503706708193</v>
      </c>
      <c r="AG167" s="799">
        <f t="shared" si="69"/>
        <v>-2</v>
      </c>
      <c r="AH167" s="176">
        <f t="shared" si="70"/>
        <v>4</v>
      </c>
      <c r="AI167" s="224">
        <f t="shared" si="71"/>
        <v>-1.0339149629329181</v>
      </c>
      <c r="AJ167" s="264" t="b">
        <f t="shared" si="72"/>
        <v>0</v>
      </c>
      <c r="AK167" s="264" t="b">
        <f t="shared" si="73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74"/>
        <v>43619</v>
      </c>
      <c r="B168" s="607">
        <v>40.765000000000001</v>
      </c>
      <c r="C168" s="388"/>
      <c r="D168" s="391">
        <f t="shared" si="75"/>
        <v>40.877656736150627</v>
      </c>
      <c r="E168" s="383">
        <f t="shared" si="76"/>
        <v>41.298437626303858</v>
      </c>
      <c r="F168" s="383">
        <f t="shared" si="77"/>
        <v>41.298523521025736</v>
      </c>
      <c r="G168" s="110">
        <f t="shared" si="78"/>
        <v>0.66596097768362306</v>
      </c>
      <c r="I168" s="379">
        <f t="shared" si="52"/>
        <v>41.298523521025736</v>
      </c>
      <c r="J168" s="85">
        <v>2018</v>
      </c>
      <c r="K168" s="197">
        <f t="shared" si="53"/>
        <v>43619</v>
      </c>
      <c r="L168" s="435">
        <f t="shared" si="54"/>
        <v>2.7559489742228216E-3</v>
      </c>
      <c r="M168" s="842"/>
      <c r="N168" s="842"/>
      <c r="O168" s="323">
        <f t="shared" si="55"/>
        <v>1.0188784717735377E-2</v>
      </c>
      <c r="P168" s="169">
        <f>(INDEX(Models!$BJ168:$BT168,,T168)*(1-R168)+INDEX(Models!$BJ168:$BT168,,T168+1)*R168-ERP_i)*Q168*Ramure*Pc/MaxiM</f>
        <v>3.9782650371245755E-6</v>
      </c>
      <c r="Q168" s="304">
        <f t="shared" si="56"/>
        <v>0.7</v>
      </c>
      <c r="R168" s="177">
        <f t="shared" si="57"/>
        <v>0.90577311303306729</v>
      </c>
      <c r="S168" s="799">
        <f t="shared" si="79"/>
        <v>-2</v>
      </c>
      <c r="T168" s="176">
        <f t="shared" si="58"/>
        <v>4</v>
      </c>
      <c r="U168" s="250">
        <f t="shared" si="59"/>
        <v>-1.0942268869669327</v>
      </c>
      <c r="V168" s="382">
        <f t="shared" si="60"/>
        <v>61.212179056989825</v>
      </c>
      <c r="W168" s="58"/>
      <c r="X168" s="157">
        <f t="shared" si="61"/>
        <v>43619</v>
      </c>
      <c r="Y168" s="383">
        <f t="shared" si="62"/>
        <v>40.764948945794025</v>
      </c>
      <c r="Z168" s="383">
        <f t="shared" si="63"/>
        <v>40.877605540853025</v>
      </c>
      <c r="AA168" s="384">
        <f t="shared" si="64"/>
        <v>41.298385904019028</v>
      </c>
      <c r="AB168" s="197">
        <f t="shared" si="65"/>
        <v>43619</v>
      </c>
      <c r="AC168" s="424">
        <f t="shared" si="66"/>
        <v>1.0188784717735377E-2</v>
      </c>
      <c r="AD168" s="169">
        <f>(INDEX(Models!$BJ168:$BT168,,AH168)*(1-AF168)+INDEX(Models!$BJ168:$BT168,,AH168+1)*AF168-ERP_i)*AE168*Ramure*Pc/MaxiM</f>
        <v>6.3738133648453749E-6</v>
      </c>
      <c r="AE168" s="304">
        <f t="shared" si="67"/>
        <v>0.7</v>
      </c>
      <c r="AF168" s="177">
        <f t="shared" si="68"/>
        <v>0.97010533529289944</v>
      </c>
      <c r="AG168" s="799">
        <f t="shared" si="69"/>
        <v>-2</v>
      </c>
      <c r="AH168" s="176">
        <f t="shared" si="70"/>
        <v>4</v>
      </c>
      <c r="AI168" s="224">
        <f t="shared" si="71"/>
        <v>-1.0298946647071006</v>
      </c>
      <c r="AJ168" s="264" t="b">
        <f t="shared" si="72"/>
        <v>0</v>
      </c>
      <c r="AK168" s="264" t="b">
        <f t="shared" si="73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74"/>
        <v>43620</v>
      </c>
      <c r="B169" s="607">
        <v>59.831000000000003</v>
      </c>
      <c r="C169" s="388"/>
      <c r="D169" s="391">
        <f t="shared" si="75"/>
        <v>59.997496708951992</v>
      </c>
      <c r="E169" s="383">
        <f t="shared" si="76"/>
        <v>60.619554765038231</v>
      </c>
      <c r="F169" s="383">
        <f t="shared" si="77"/>
        <v>60.619800166760626</v>
      </c>
      <c r="G169" s="110">
        <f t="shared" si="78"/>
        <v>0.97772688502528582</v>
      </c>
      <c r="I169" s="379">
        <f t="shared" si="52"/>
        <v>60.619800166760626</v>
      </c>
      <c r="J169" s="85">
        <v>2018</v>
      </c>
      <c r="K169" s="197">
        <f t="shared" si="53"/>
        <v>43620</v>
      </c>
      <c r="L169" s="435">
        <f t="shared" si="54"/>
        <v>2.7750609289528549E-3</v>
      </c>
      <c r="M169" s="842"/>
      <c r="N169" s="842"/>
      <c r="O169" s="323">
        <f t="shared" si="55"/>
        <v>1.0261673126721922E-2</v>
      </c>
      <c r="P169" s="169">
        <f>(INDEX(Models!$BJ169:$BT169,,T169)*(1-R169)+INDEX(Models!$BJ169:$BT169,,T169+1)*R169-ERP_i)*Q169*Ramure*Pc/MaxiM</f>
        <v>4.1812520559779456E-6</v>
      </c>
      <c r="Q169" s="304">
        <f t="shared" si="56"/>
        <v>0.7</v>
      </c>
      <c r="R169" s="177">
        <f t="shared" si="57"/>
        <v>0.90981707905679499</v>
      </c>
      <c r="S169" s="799">
        <f t="shared" si="79"/>
        <v>-2</v>
      </c>
      <c r="T169" s="176">
        <f t="shared" si="58"/>
        <v>4</v>
      </c>
      <c r="U169" s="250">
        <f t="shared" si="59"/>
        <v>-1.090182920943205</v>
      </c>
      <c r="V169" s="382">
        <f t="shared" si="60"/>
        <v>61.193972423517657</v>
      </c>
      <c r="W169" s="58"/>
      <c r="X169" s="157">
        <f t="shared" si="61"/>
        <v>43620</v>
      </c>
      <c r="Y169" s="383">
        <f t="shared" si="62"/>
        <v>59.830859470702812</v>
      </c>
      <c r="Z169" s="383">
        <f t="shared" si="63"/>
        <v>59.997355788592216</v>
      </c>
      <c r="AA169" s="384">
        <f t="shared" si="64"/>
        <v>60.619412383606743</v>
      </c>
      <c r="AB169" s="197">
        <f t="shared" si="65"/>
        <v>43620</v>
      </c>
      <c r="AC169" s="424">
        <f t="shared" si="66"/>
        <v>1.0261673126721922E-2</v>
      </c>
      <c r="AD169" s="169">
        <f>(INDEX(Models!$BJ169:$BT169,,AH169)*(1-AF169)+INDEX(Models!$BJ169:$BT169,,AH169+1)*AF169-ERP_i)*AE169*Ramure*Pc/MaxiM</f>
        <v>6.60720346058298E-6</v>
      </c>
      <c r="AE169" s="304">
        <f t="shared" si="67"/>
        <v>0.7</v>
      </c>
      <c r="AF169" s="177">
        <f t="shared" si="68"/>
        <v>0.97414930131662714</v>
      </c>
      <c r="AG169" s="799">
        <f t="shared" si="69"/>
        <v>-2</v>
      </c>
      <c r="AH169" s="176">
        <f t="shared" si="70"/>
        <v>4</v>
      </c>
      <c r="AI169" s="224">
        <f t="shared" si="71"/>
        <v>-1.0258506986833729</v>
      </c>
      <c r="AJ169" s="264" t="b">
        <f t="shared" si="72"/>
        <v>0</v>
      </c>
      <c r="AK169" s="264" t="b">
        <f t="shared" si="73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si="74"/>
        <v>43621</v>
      </c>
      <c r="B170" s="607">
        <v>10.494</v>
      </c>
      <c r="C170" s="388"/>
      <c r="D170" s="391">
        <f t="shared" si="75"/>
        <v>10.523404206824269</v>
      </c>
      <c r="E170" s="383">
        <f t="shared" si="76"/>
        <v>10.633293969930765</v>
      </c>
      <c r="F170" s="383">
        <f t="shared" si="77"/>
        <v>10.633293969930765</v>
      </c>
      <c r="G170" s="110">
        <f t="shared" si="78"/>
        <v>0.17154616550080065</v>
      </c>
      <c r="I170" s="379">
        <f t="shared" si="52"/>
        <v>10.633293969930765</v>
      </c>
      <c r="J170" s="85">
        <v>2018</v>
      </c>
      <c r="K170" s="197">
        <f t="shared" si="53"/>
        <v>43621</v>
      </c>
      <c r="L170" s="435">
        <f t="shared" si="54"/>
        <v>2.7941725174065457E-3</v>
      </c>
      <c r="M170" s="842"/>
      <c r="N170" s="842"/>
      <c r="O170" s="323">
        <f t="shared" si="55"/>
        <v>1.0334498737385359E-2</v>
      </c>
      <c r="P170" s="169">
        <f>(INDEX(Models!$BJ170:$BT170,,T170)*(1-R170)+INDEX(Models!$BJ170:$BT170,,T170+1)*R170-ERP_i)*Q170*Ramure*Pc/MaxiM</f>
        <v>4.3856591101587106E-6</v>
      </c>
      <c r="Q170" s="304">
        <f t="shared" si="56"/>
        <v>0.7</v>
      </c>
      <c r="R170" s="177">
        <f t="shared" si="57"/>
        <v>0.91388147975301259</v>
      </c>
      <c r="S170" s="799">
        <f t="shared" si="79"/>
        <v>-2</v>
      </c>
      <c r="T170" s="176">
        <f t="shared" si="58"/>
        <v>4</v>
      </c>
      <c r="U170" s="250">
        <f t="shared" si="59"/>
        <v>-1.0861185202469874</v>
      </c>
      <c r="V170" s="382">
        <f t="shared" si="60"/>
        <v>61.172769127528639</v>
      </c>
      <c r="W170" s="58"/>
      <c r="X170" s="157">
        <f t="shared" si="61"/>
        <v>43621</v>
      </c>
      <c r="Y170" s="383">
        <f t="shared" si="62"/>
        <v>10.494</v>
      </c>
      <c r="Z170" s="383">
        <f t="shared" si="63"/>
        <v>10.523404206824269</v>
      </c>
      <c r="AA170" s="384">
        <f t="shared" si="64"/>
        <v>10.633293969930765</v>
      </c>
      <c r="AB170" s="197">
        <f t="shared" si="65"/>
        <v>43621</v>
      </c>
      <c r="AC170" s="424">
        <f t="shared" si="66"/>
        <v>1.0334498737385359E-2</v>
      </c>
      <c r="AD170" s="169">
        <f>(INDEX(Models!$BJ170:$BT170,,AH170)*(1-AF170)+INDEX(Models!$BJ170:$BT170,,AH170+1)*AF170-ERP_i)*AE170*Ramure*Pc/MaxiM</f>
        <v>6.8402323915458209E-6</v>
      </c>
      <c r="AE170" s="304">
        <f t="shared" si="67"/>
        <v>0.7</v>
      </c>
      <c r="AF170" s="177">
        <f t="shared" si="68"/>
        <v>0.97821370201284474</v>
      </c>
      <c r="AG170" s="799">
        <f t="shared" si="69"/>
        <v>-2</v>
      </c>
      <c r="AH170" s="176">
        <f t="shared" si="70"/>
        <v>4</v>
      </c>
      <c r="AI170" s="224">
        <f t="shared" si="71"/>
        <v>-1.0217862979871553</v>
      </c>
      <c r="AJ170" s="264" t="b">
        <f t="shared" si="72"/>
        <v>0</v>
      </c>
      <c r="AK170" s="264" t="b">
        <f t="shared" si="73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74"/>
        <v>43622</v>
      </c>
      <c r="B171" s="607">
        <v>53.365000000000002</v>
      </c>
      <c r="C171" s="388"/>
      <c r="D171" s="391">
        <f t="shared" si="75"/>
        <v>53.51555443911878</v>
      </c>
      <c r="E171" s="383">
        <f t="shared" si="76"/>
        <v>54.07836156279064</v>
      </c>
      <c r="F171" s="383">
        <f t="shared" si="77"/>
        <v>54.078564517697089</v>
      </c>
      <c r="G171" s="110">
        <f t="shared" si="78"/>
        <v>0.87270977427834351</v>
      </c>
      <c r="I171" s="379">
        <f t="shared" si="52"/>
        <v>54.078564517697089</v>
      </c>
      <c r="J171" s="85">
        <v>2018</v>
      </c>
      <c r="K171" s="197">
        <f t="shared" si="53"/>
        <v>43622</v>
      </c>
      <c r="L171" s="435">
        <f t="shared" si="54"/>
        <v>2.8132837395911103E-3</v>
      </c>
      <c r="M171" s="842"/>
      <c r="N171" s="842"/>
      <c r="O171" s="323">
        <f t="shared" si="55"/>
        <v>1.0407251762211455E-2</v>
      </c>
      <c r="P171" s="169">
        <f>(INDEX(Models!$BJ171:$BT171,,T171)*(1-R171)+INDEX(Models!$BJ171:$BT171,,T171+1)*R171-ERP_i)*Q171*Ramure*Pc/MaxiM</f>
        <v>4.5870903328825174E-6</v>
      </c>
      <c r="Q171" s="304">
        <f t="shared" si="56"/>
        <v>0.7</v>
      </c>
      <c r="R171" s="177">
        <f t="shared" si="57"/>
        <v>0.91796301459072449</v>
      </c>
      <c r="S171" s="799">
        <f t="shared" si="79"/>
        <v>-2</v>
      </c>
      <c r="T171" s="176">
        <f t="shared" si="58"/>
        <v>4</v>
      </c>
      <c r="U171" s="250">
        <f t="shared" si="59"/>
        <v>-1.0820369854092755</v>
      </c>
      <c r="V171" s="382">
        <f t="shared" si="60"/>
        <v>61.148570876051082</v>
      </c>
      <c r="W171" s="58"/>
      <c r="X171" s="157">
        <f t="shared" si="61"/>
        <v>43622</v>
      </c>
      <c r="Y171" s="383">
        <f t="shared" si="62"/>
        <v>53.364891752000929</v>
      </c>
      <c r="Z171" s="383">
        <f t="shared" si="63"/>
        <v>53.515445885728219</v>
      </c>
      <c r="AA171" s="384">
        <f t="shared" si="64"/>
        <v>54.078251867776451</v>
      </c>
      <c r="AB171" s="197">
        <f t="shared" si="65"/>
        <v>43622</v>
      </c>
      <c r="AC171" s="424">
        <f t="shared" si="66"/>
        <v>1.0407251762211455E-2</v>
      </c>
      <c r="AD171" s="169">
        <f>(INDEX(Models!$BJ171:$BT171,,AH171)*(1-AF171)+INDEX(Models!$BJ171:$BT171,,AH171+1)*AF171-ERP_i)*AE171*Ramure*Pc/MaxiM</f>
        <v>7.066364906600954E-6</v>
      </c>
      <c r="AE171" s="304">
        <f t="shared" si="67"/>
        <v>0.7</v>
      </c>
      <c r="AF171" s="177">
        <f t="shared" si="68"/>
        <v>0.98229523685055664</v>
      </c>
      <c r="AG171" s="799">
        <f t="shared" si="69"/>
        <v>-2</v>
      </c>
      <c r="AH171" s="176">
        <f t="shared" si="70"/>
        <v>4</v>
      </c>
      <c r="AI171" s="224">
        <f t="shared" si="71"/>
        <v>-1.0177047631494434</v>
      </c>
      <c r="AJ171" s="264" t="b">
        <f t="shared" si="72"/>
        <v>0</v>
      </c>
      <c r="AK171" s="264" t="b">
        <f t="shared" si="73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74"/>
        <v>43623</v>
      </c>
      <c r="B172" s="607">
        <v>21.516999999999999</v>
      </c>
      <c r="C172" s="388"/>
      <c r="D172" s="391">
        <f t="shared" si="75"/>
        <v>21.57811774407968</v>
      </c>
      <c r="E172" s="383">
        <f t="shared" si="76"/>
        <v>21.806649742621055</v>
      </c>
      <c r="F172" s="383">
        <f t="shared" si="77"/>
        <v>21.806657498891809</v>
      </c>
      <c r="G172" s="110">
        <f t="shared" si="78"/>
        <v>0.35203565427274436</v>
      </c>
      <c r="I172" s="379">
        <f t="shared" si="52"/>
        <v>21.806657498891809</v>
      </c>
      <c r="J172" s="85">
        <v>2018</v>
      </c>
      <c r="K172" s="197">
        <f t="shared" si="53"/>
        <v>43623</v>
      </c>
      <c r="L172" s="435">
        <f t="shared" si="54"/>
        <v>2.8323945955133212E-3</v>
      </c>
      <c r="M172" s="842"/>
      <c r="N172" s="842"/>
      <c r="O172" s="323">
        <f t="shared" si="55"/>
        <v>1.0479922465793098E-2</v>
      </c>
      <c r="P172" s="169">
        <f>(INDEX(Models!$BJ172:$BT172,,T172)*(1-R172)+INDEX(Models!$BJ172:$BT172,,T172+1)*R172-ERP_i)*Q172*Ramure*Pc/MaxiM</f>
        <v>4.7846245717485274E-6</v>
      </c>
      <c r="Q172" s="304">
        <f t="shared" si="56"/>
        <v>0.7</v>
      </c>
      <c r="R172" s="177">
        <f t="shared" si="57"/>
        <v>0.92205832612498528</v>
      </c>
      <c r="S172" s="799">
        <f t="shared" si="79"/>
        <v>-2</v>
      </c>
      <c r="T172" s="176">
        <f t="shared" si="58"/>
        <v>4</v>
      </c>
      <c r="U172" s="250">
        <f t="shared" si="59"/>
        <v>-1.0779416738750147</v>
      </c>
      <c r="V172" s="382">
        <f t="shared" si="60"/>
        <v>61.121379159433125</v>
      </c>
      <c r="W172" s="58"/>
      <c r="X172" s="157">
        <f t="shared" si="61"/>
        <v>43623</v>
      </c>
      <c r="Y172" s="383">
        <f t="shared" si="62"/>
        <v>21.516996001089794</v>
      </c>
      <c r="Z172" s="383">
        <f t="shared" si="63"/>
        <v>21.578113733810813</v>
      </c>
      <c r="AA172" s="384">
        <f t="shared" si="64"/>
        <v>21.806645689879776</v>
      </c>
      <c r="AB172" s="197">
        <f t="shared" si="65"/>
        <v>43623</v>
      </c>
      <c r="AC172" s="424">
        <f t="shared" si="66"/>
        <v>1.0479922465793098E-2</v>
      </c>
      <c r="AD172" s="169">
        <f>(INDEX(Models!$BJ172:$BT172,,AH172)*(1-AF172)+INDEX(Models!$BJ172:$BT172,,AH172+1)*AF172-ERP_i)*AE172*Ramure*Pc/MaxiM</f>
        <v>7.2846463117217759E-6</v>
      </c>
      <c r="AE172" s="304">
        <f t="shared" si="67"/>
        <v>0.7</v>
      </c>
      <c r="AF172" s="177">
        <f t="shared" si="68"/>
        <v>0.98639054838481766</v>
      </c>
      <c r="AG172" s="799">
        <f t="shared" si="69"/>
        <v>-2</v>
      </c>
      <c r="AH172" s="176">
        <f t="shared" si="70"/>
        <v>4</v>
      </c>
      <c r="AI172" s="224">
        <f t="shared" si="71"/>
        <v>-1.0136094516151823</v>
      </c>
      <c r="AJ172" s="264" t="b">
        <f t="shared" si="72"/>
        <v>0</v>
      </c>
      <c r="AK172" s="264" t="b">
        <f t="shared" si="73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74"/>
        <v>43624</v>
      </c>
      <c r="B173" s="607">
        <v>63.356000000000002</v>
      </c>
      <c r="C173" s="388"/>
      <c r="D173" s="391">
        <f t="shared" si="75"/>
        <v>63.53717658212193</v>
      </c>
      <c r="E173" s="383">
        <f t="shared" si="76"/>
        <v>64.214803372039157</v>
      </c>
      <c r="F173" s="383">
        <f t="shared" si="77"/>
        <v>64.215122991320413</v>
      </c>
      <c r="G173" s="110">
        <f t="shared" si="78"/>
        <v>1.0370725195851882</v>
      </c>
      <c r="I173" s="379">
        <f t="shared" si="52"/>
        <v>64.215122991320413</v>
      </c>
      <c r="J173" s="85">
        <v>2018</v>
      </c>
      <c r="K173" s="197">
        <f t="shared" si="53"/>
        <v>43624</v>
      </c>
      <c r="L173" s="435">
        <f t="shared" si="54"/>
        <v>2.8515050851803947E-3</v>
      </c>
      <c r="M173" s="842"/>
      <c r="N173" s="842"/>
      <c r="O173" s="323">
        <f t="shared" si="55"/>
        <v>1.055250120429835E-2</v>
      </c>
      <c r="P173" s="169">
        <f>(INDEX(Models!$BJ173:$BT173,,T173)*(1-R173)+INDEX(Models!$BJ173:$BT173,,T173+1)*R173-ERP_i)*Q173*Ramure*Pc/MaxiM</f>
        <v>4.9773210166775389E-6</v>
      </c>
      <c r="Q173" s="304">
        <f t="shared" si="56"/>
        <v>0.7</v>
      </c>
      <c r="R173" s="177">
        <f t="shared" si="57"/>
        <v>0.92616401088759859</v>
      </c>
      <c r="S173" s="799">
        <f t="shared" si="79"/>
        <v>-2</v>
      </c>
      <c r="T173" s="176">
        <f t="shared" si="58"/>
        <v>4</v>
      </c>
      <c r="U173" s="250">
        <f t="shared" si="59"/>
        <v>-1.0738359891124014</v>
      </c>
      <c r="V173" s="382">
        <f t="shared" si="60"/>
        <v>61.091195459832797</v>
      </c>
      <c r="W173" s="58"/>
      <c r="X173" s="157">
        <f t="shared" si="61"/>
        <v>43624</v>
      </c>
      <c r="Y173" s="383">
        <f t="shared" si="62"/>
        <v>63.355840545998504</v>
      </c>
      <c r="Z173" s="383">
        <f t="shared" si="63"/>
        <v>63.537016672136289</v>
      </c>
      <c r="AA173" s="384">
        <f t="shared" si="64"/>
        <v>64.214641756606468</v>
      </c>
      <c r="AB173" s="197">
        <f t="shared" si="65"/>
        <v>43624</v>
      </c>
      <c r="AC173" s="424">
        <f t="shared" si="66"/>
        <v>1.055250120429835E-2</v>
      </c>
      <c r="AD173" s="169">
        <f>(INDEX(Models!$BJ173:$BT173,,AH173)*(1-AF173)+INDEX(Models!$BJ173:$BT173,,AH173+1)*AF173-ERP_i)*AE173*Ramure*Pc/MaxiM</f>
        <v>7.4941025031281064E-6</v>
      </c>
      <c r="AE173" s="304">
        <f t="shared" si="67"/>
        <v>0.7</v>
      </c>
      <c r="AF173" s="177">
        <f t="shared" si="68"/>
        <v>0.99049623314743074</v>
      </c>
      <c r="AG173" s="799">
        <f t="shared" si="69"/>
        <v>-2</v>
      </c>
      <c r="AH173" s="176">
        <f t="shared" si="70"/>
        <v>4</v>
      </c>
      <c r="AI173" s="224">
        <f t="shared" si="71"/>
        <v>-1.0095037668525693</v>
      </c>
      <c r="AJ173" s="264" t="b">
        <f t="shared" si="72"/>
        <v>0</v>
      </c>
      <c r="AK173" s="264" t="b">
        <f t="shared" si="73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74"/>
        <v>43625</v>
      </c>
      <c r="B174" s="607">
        <v>49.478999999999999</v>
      </c>
      <c r="C174" s="388"/>
      <c r="D174" s="391">
        <f t="shared" si="75"/>
        <v>49.621444072025817</v>
      </c>
      <c r="E174" s="383">
        <f t="shared" si="76"/>
        <v>50.154332777713428</v>
      </c>
      <c r="F174" s="383">
        <f t="shared" si="77"/>
        <v>50.154521617664521</v>
      </c>
      <c r="G174" s="110">
        <f t="shared" si="78"/>
        <v>0.8103592249181687</v>
      </c>
      <c r="I174" s="379">
        <f t="shared" si="52"/>
        <v>50.154521617664521</v>
      </c>
      <c r="J174" s="85">
        <v>2018</v>
      </c>
      <c r="K174" s="197">
        <f t="shared" si="53"/>
        <v>43625</v>
      </c>
      <c r="L174" s="435">
        <f t="shared" si="54"/>
        <v>2.8706152085993253E-3</v>
      </c>
      <c r="M174" s="842"/>
      <c r="N174" s="842"/>
      <c r="O174" s="323">
        <f t="shared" si="55"/>
        <v>1.0624978464959398E-2</v>
      </c>
      <c r="P174" s="169">
        <f>(INDEX(Models!$BJ174:$BT174,,T174)*(1-R174)+INDEX(Models!$BJ174:$BT174,,T174+1)*R174-ERP_i)*Q174*Ramure*Pc/MaxiM</f>
        <v>5.1642218744582431E-6</v>
      </c>
      <c r="Q174" s="304">
        <f t="shared" si="56"/>
        <v>0.7</v>
      </c>
      <c r="R174" s="177">
        <f t="shared" si="57"/>
        <v>0.93027663060304322</v>
      </c>
      <c r="S174" s="799">
        <f t="shared" si="79"/>
        <v>-2</v>
      </c>
      <c r="T174" s="176">
        <f t="shared" si="58"/>
        <v>4</v>
      </c>
      <c r="U174" s="250">
        <f t="shared" si="59"/>
        <v>-1.0697233693969568</v>
      </c>
      <c r="V174" s="382">
        <f t="shared" si="60"/>
        <v>61.058021250641964</v>
      </c>
      <c r="W174" s="58"/>
      <c r="X174" s="157">
        <f t="shared" si="61"/>
        <v>43625</v>
      </c>
      <c r="Y174" s="383">
        <f t="shared" si="62"/>
        <v>49.478908748563875</v>
      </c>
      <c r="Z174" s="383">
        <f t="shared" si="63"/>
        <v>49.621352557887818</v>
      </c>
      <c r="AA174" s="384">
        <f t="shared" si="64"/>
        <v>50.154240280797687</v>
      </c>
      <c r="AB174" s="197">
        <f t="shared" si="65"/>
        <v>43625</v>
      </c>
      <c r="AC174" s="424">
        <f t="shared" si="66"/>
        <v>1.0624978464959398E-2</v>
      </c>
      <c r="AD174" s="169">
        <f>(INDEX(Models!$BJ174:$BT174,,AH174)*(1-AF174)+INDEX(Models!$BJ174:$BT174,,AH174+1)*AF174-ERP_i)*AE174*Ramure*Pc/MaxiM</f>
        <v>7.6937427351707341E-6</v>
      </c>
      <c r="AE174" s="304">
        <f t="shared" si="67"/>
        <v>0.7</v>
      </c>
      <c r="AF174" s="177">
        <f t="shared" si="68"/>
        <v>0.99460885286287537</v>
      </c>
      <c r="AG174" s="799">
        <f t="shared" si="69"/>
        <v>-2</v>
      </c>
      <c r="AH174" s="176">
        <f t="shared" si="70"/>
        <v>4</v>
      </c>
      <c r="AI174" s="224">
        <f t="shared" si="71"/>
        <v>-1.0053911471371246</v>
      </c>
      <c r="AJ174" s="264" t="b">
        <f t="shared" si="72"/>
        <v>0</v>
      </c>
      <c r="AK174" s="264" t="b">
        <f t="shared" si="73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74"/>
        <v>43626</v>
      </c>
      <c r="B175" s="607">
        <v>23.544</v>
      </c>
      <c r="C175" s="388"/>
      <c r="D175" s="391">
        <f t="shared" si="75"/>
        <v>23.612232858789788</v>
      </c>
      <c r="E175" s="383">
        <f t="shared" si="76"/>
        <v>23.867552297764615</v>
      </c>
      <c r="F175" s="383">
        <f t="shared" si="77"/>
        <v>23.867567937856073</v>
      </c>
      <c r="G175" s="110">
        <f t="shared" si="78"/>
        <v>0.38582715072387791</v>
      </c>
      <c r="I175" s="379">
        <f t="shared" si="52"/>
        <v>23.867567937856073</v>
      </c>
      <c r="J175" s="85">
        <v>2018</v>
      </c>
      <c r="K175" s="197">
        <f t="shared" si="53"/>
        <v>43626</v>
      </c>
      <c r="L175" s="435">
        <f t="shared" si="54"/>
        <v>2.8897249657771074E-3</v>
      </c>
      <c r="M175" s="842"/>
      <c r="N175" s="842"/>
      <c r="O175" s="323">
        <f t="shared" si="55"/>
        <v>1.0697344905314848E-2</v>
      </c>
      <c r="P175" s="169">
        <f>(INDEX(Models!$BJ175:$BT175,,T175)*(1-R175)+INDEX(Models!$BJ175:$BT175,,T175+1)*R175-ERP_i)*Q175*Ramure*Pc/MaxiM</f>
        <v>5.3443551566579392E-6</v>
      </c>
      <c r="Q175" s="304">
        <f t="shared" si="56"/>
        <v>0.7</v>
      </c>
      <c r="R175" s="177">
        <f t="shared" si="57"/>
        <v>0.93439272365185255</v>
      </c>
      <c r="S175" s="799">
        <f t="shared" si="79"/>
        <v>-2</v>
      </c>
      <c r="T175" s="176">
        <f t="shared" si="58"/>
        <v>4</v>
      </c>
      <c r="U175" s="250">
        <f t="shared" si="59"/>
        <v>-1.0656072763481474</v>
      </c>
      <c r="V175" s="382">
        <f t="shared" si="60"/>
        <v>61.021857990862692</v>
      </c>
      <c r="W175" s="58"/>
      <c r="X175" s="157">
        <f t="shared" si="61"/>
        <v>43626</v>
      </c>
      <c r="Y175" s="383">
        <f t="shared" si="62"/>
        <v>23.543992672709024</v>
      </c>
      <c r="Z175" s="383">
        <f t="shared" si="63"/>
        <v>23.612225510263592</v>
      </c>
      <c r="AA175" s="384">
        <f t="shared" si="64"/>
        <v>23.86754486977869</v>
      </c>
      <c r="AB175" s="197">
        <f t="shared" si="65"/>
        <v>43626</v>
      </c>
      <c r="AC175" s="424">
        <f t="shared" si="66"/>
        <v>1.0697344905314848E-2</v>
      </c>
      <c r="AD175" s="169">
        <f>(INDEX(Models!$BJ175:$BT175,,AH175)*(1-AF175)+INDEX(Models!$BJ175:$BT175,,AH175+1)*AF175-ERP_i)*AE175*Ramure*Pc/MaxiM</f>
        <v>7.882562492064037E-6</v>
      </c>
      <c r="AE175" s="304">
        <f t="shared" si="67"/>
        <v>0.7</v>
      </c>
      <c r="AF175" s="177">
        <f t="shared" si="68"/>
        <v>0.9987249459116847</v>
      </c>
      <c r="AG175" s="799">
        <f t="shared" si="69"/>
        <v>-2</v>
      </c>
      <c r="AH175" s="176">
        <f t="shared" si="70"/>
        <v>4</v>
      </c>
      <c r="AI175" s="224">
        <f t="shared" si="71"/>
        <v>-1.0012750540883153</v>
      </c>
      <c r="AJ175" s="264" t="b">
        <f t="shared" si="72"/>
        <v>0</v>
      </c>
      <c r="AK175" s="264" t="b">
        <f t="shared" si="73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74"/>
        <v>43627</v>
      </c>
      <c r="B176" s="607">
        <v>30.72</v>
      </c>
      <c r="C176" s="388"/>
      <c r="D176" s="391">
        <f t="shared" si="75"/>
        <v>30.809620081410319</v>
      </c>
      <c r="E176" s="383">
        <f t="shared" si="76"/>
        <v>31.145039429956611</v>
      </c>
      <c r="F176" s="383">
        <f t="shared" si="77"/>
        <v>31.145089441485407</v>
      </c>
      <c r="G176" s="110">
        <f t="shared" si="78"/>
        <v>0.5037473950024387</v>
      </c>
      <c r="I176" s="379">
        <f t="shared" si="52"/>
        <v>31.145089441485407</v>
      </c>
      <c r="J176" s="85">
        <v>2018</v>
      </c>
      <c r="K176" s="197">
        <f t="shared" si="53"/>
        <v>43627</v>
      </c>
      <c r="L176" s="435">
        <f t="shared" si="54"/>
        <v>2.9088343567207353E-3</v>
      </c>
      <c r="M176" s="842"/>
      <c r="N176" s="842"/>
      <c r="O176" s="323">
        <f t="shared" si="55"/>
        <v>1.0769591391933606E-2</v>
      </c>
      <c r="P176" s="169">
        <f>(INDEX(Models!$BJ176:$BT176,,T176)*(1-R176)+INDEX(Models!$BJ176:$BT176,,T176+1)*R176-ERP_i)*Q176*Ramure*Pc/MaxiM</f>
        <v>5.5167375554766255E-6</v>
      </c>
      <c r="Q176" s="304">
        <f t="shared" si="56"/>
        <v>0.7</v>
      </c>
      <c r="R176" s="177">
        <f t="shared" si="57"/>
        <v>0.93850881670066166</v>
      </c>
      <c r="S176" s="799">
        <f t="shared" si="79"/>
        <v>-2</v>
      </c>
      <c r="T176" s="176">
        <f t="shared" si="58"/>
        <v>4</v>
      </c>
      <c r="U176" s="250">
        <f t="shared" si="59"/>
        <v>-1.0614911832993383</v>
      </c>
      <c r="V176" s="382">
        <f t="shared" si="60"/>
        <v>60.982707125300294</v>
      </c>
      <c r="W176" s="58"/>
      <c r="X176" s="157">
        <f t="shared" si="61"/>
        <v>43627</v>
      </c>
      <c r="Y176" s="383">
        <f t="shared" si="62"/>
        <v>30.719975427249398</v>
      </c>
      <c r="Z176" s="383">
        <f t="shared" si="63"/>
        <v>30.809595436973133</v>
      </c>
      <c r="AA176" s="384">
        <f t="shared" si="64"/>
        <v>31.145014517219426</v>
      </c>
      <c r="AB176" s="197">
        <f t="shared" si="65"/>
        <v>43627</v>
      </c>
      <c r="AC176" s="424">
        <f t="shared" si="66"/>
        <v>1.0769591391933606E-2</v>
      </c>
      <c r="AD176" s="169">
        <f>(INDEX(Models!$BJ176:$BT176,,AH176)*(1-AF176)+INDEX(Models!$BJ176:$BT176,,AH176+1)*AF176-ERP_i)*AE176*Ramure*Pc/MaxiM</f>
        <v>8.2648445648108082E-6</v>
      </c>
      <c r="AE176" s="304">
        <f t="shared" si="67"/>
        <v>0.7</v>
      </c>
      <c r="AF176" s="177">
        <f t="shared" si="68"/>
        <v>2.8410389604938135E-3</v>
      </c>
      <c r="AG176" s="799">
        <f t="shared" si="69"/>
        <v>-1</v>
      </c>
      <c r="AH176" s="176">
        <f t="shared" si="70"/>
        <v>5</v>
      </c>
      <c r="AI176" s="224">
        <f t="shared" si="71"/>
        <v>-0.99715896103950619</v>
      </c>
      <c r="AJ176" s="264" t="b">
        <f t="shared" si="72"/>
        <v>0</v>
      </c>
      <c r="AK176" s="264" t="b">
        <f t="shared" si="73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74"/>
        <v>43628</v>
      </c>
      <c r="B177" s="607">
        <v>59.466999999999999</v>
      </c>
      <c r="C177" s="388"/>
      <c r="D177" s="391">
        <f t="shared" si="75"/>
        <v>59.641627307934407</v>
      </c>
      <c r="E177" s="383">
        <f t="shared" si="76"/>
        <v>60.295331751151053</v>
      </c>
      <c r="F177" s="383">
        <f t="shared" si="77"/>
        <v>60.295662422048899</v>
      </c>
      <c r="G177" s="110">
        <f t="shared" si="78"/>
        <v>0.97581936390767621</v>
      </c>
      <c r="I177" s="379">
        <f t="shared" si="52"/>
        <v>60.295662422048899</v>
      </c>
      <c r="J177" s="85">
        <v>2018</v>
      </c>
      <c r="K177" s="197">
        <f t="shared" si="53"/>
        <v>43628</v>
      </c>
      <c r="L177" s="435">
        <f t="shared" si="54"/>
        <v>2.9279433814372036E-3</v>
      </c>
      <c r="M177" s="842"/>
      <c r="N177" s="842"/>
      <c r="O177" s="323">
        <f t="shared" si="55"/>
        <v>1.0841709038348078E-2</v>
      </c>
      <c r="P177" s="169">
        <f>(INDEX(Models!$BJ177:$BT177,,T177)*(1-R177)+INDEX(Models!$BJ177:$BT177,,T177+1)*R177-ERP_i)*Q177*Ramure*Pc/MaxiM</f>
        <v>5.6803773825702575E-6</v>
      </c>
      <c r="Q177" s="304">
        <f t="shared" si="56"/>
        <v>0.7</v>
      </c>
      <c r="R177" s="177">
        <f t="shared" si="57"/>
        <v>0.9426214364161063</v>
      </c>
      <c r="S177" s="799">
        <f t="shared" si="79"/>
        <v>-2</v>
      </c>
      <c r="T177" s="176">
        <f t="shared" si="58"/>
        <v>4</v>
      </c>
      <c r="U177" s="250">
        <f t="shared" si="59"/>
        <v>-1.0573785635838937</v>
      </c>
      <c r="V177" s="382">
        <f t="shared" si="60"/>
        <v>60.94057007967227</v>
      </c>
      <c r="W177" s="58"/>
      <c r="X177" s="157">
        <f t="shared" si="61"/>
        <v>43628</v>
      </c>
      <c r="Y177" s="383">
        <f t="shared" si="62"/>
        <v>59.466825061809779</v>
      </c>
      <c r="Z177" s="383">
        <f t="shared" si="63"/>
        <v>59.641451856030947</v>
      </c>
      <c r="AA177" s="384">
        <f t="shared" si="64"/>
        <v>60.295154376199982</v>
      </c>
      <c r="AB177" s="197">
        <f t="shared" si="65"/>
        <v>43628</v>
      </c>
      <c r="AC177" s="424">
        <f t="shared" si="66"/>
        <v>1.0841709038348078E-2</v>
      </c>
      <c r="AD177" s="169">
        <f>(INDEX(Models!$BJ177:$BT177,,AH177)*(1-AF177)+INDEX(Models!$BJ177:$BT177,,AH177+1)*AF177-ERP_i)*AE177*Ramure*Pc/MaxiM</f>
        <v>8.7273847452459145E-6</v>
      </c>
      <c r="AE177" s="304">
        <f t="shared" si="67"/>
        <v>0.7</v>
      </c>
      <c r="AF177" s="177">
        <f t="shared" si="68"/>
        <v>6.9536586759385566E-3</v>
      </c>
      <c r="AG177" s="799">
        <f t="shared" si="69"/>
        <v>-1</v>
      </c>
      <c r="AH177" s="176">
        <f t="shared" si="70"/>
        <v>5</v>
      </c>
      <c r="AI177" s="224">
        <f t="shared" si="71"/>
        <v>-0.99304634132406144</v>
      </c>
      <c r="AJ177" s="264" t="b">
        <f t="shared" si="72"/>
        <v>0</v>
      </c>
      <c r="AK177" s="264" t="b">
        <f t="shared" si="73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74"/>
        <v>43629</v>
      </c>
      <c r="B178" s="607">
        <v>63.284999999999997</v>
      </c>
      <c r="C178" s="388"/>
      <c r="D178" s="391">
        <f t="shared" si="75"/>
        <v>63.472055450494153</v>
      </c>
      <c r="E178" s="383">
        <f t="shared" si="76"/>
        <v>64.172413226350997</v>
      </c>
      <c r="F178" s="383">
        <f t="shared" si="77"/>
        <v>64.172787836056131</v>
      </c>
      <c r="G178" s="110">
        <f t="shared" si="78"/>
        <v>1.039240239061592</v>
      </c>
      <c r="I178" s="379">
        <f t="shared" si="52"/>
        <v>64.172787836056131</v>
      </c>
      <c r="J178" s="85">
        <v>2018</v>
      </c>
      <c r="K178" s="197">
        <f t="shared" si="53"/>
        <v>43629</v>
      </c>
      <c r="L178" s="435">
        <f t="shared" si="54"/>
        <v>2.9470520399336175E-3</v>
      </c>
      <c r="M178" s="842"/>
      <c r="N178" s="842"/>
      <c r="O178" s="323">
        <f t="shared" si="55"/>
        <v>1.0913689241925678E-2</v>
      </c>
      <c r="P178" s="169">
        <f>(INDEX(Models!$BJ178:$BT178,,T178)*(1-R178)+INDEX(Models!$BJ178:$BT178,,T178+1)*R178-ERP_i)*Q178*Ramure*Pc/MaxiM</f>
        <v>5.8375164576142898E-6</v>
      </c>
      <c r="Q178" s="304">
        <f t="shared" si="56"/>
        <v>0.7</v>
      </c>
      <c r="R178" s="177">
        <f t="shared" si="57"/>
        <v>0.9467271211787196</v>
      </c>
      <c r="S178" s="799">
        <f t="shared" si="79"/>
        <v>-2</v>
      </c>
      <c r="T178" s="176">
        <f t="shared" si="58"/>
        <v>4</v>
      </c>
      <c r="U178" s="250">
        <f t="shared" si="59"/>
        <v>-1.0532728788212804</v>
      </c>
      <c r="V178" s="382">
        <f t="shared" si="60"/>
        <v>60.895448060349146</v>
      </c>
      <c r="W178" s="58"/>
      <c r="X178" s="157">
        <f t="shared" si="61"/>
        <v>43629</v>
      </c>
      <c r="Y178" s="383">
        <f t="shared" si="62"/>
        <v>63.284788358187953</v>
      </c>
      <c r="Z178" s="383">
        <f t="shared" si="63"/>
        <v>63.471843183119113</v>
      </c>
      <c r="AA178" s="384">
        <f t="shared" si="64"/>
        <v>64.172198616793935</v>
      </c>
      <c r="AB178" s="197">
        <f t="shared" si="65"/>
        <v>43629</v>
      </c>
      <c r="AC178" s="424">
        <f t="shared" si="66"/>
        <v>1.0913689241925678E-2</v>
      </c>
      <c r="AD178" s="169">
        <f>(INDEX(Models!$BJ178:$BT178,,AH178)*(1-AF178)+INDEX(Models!$BJ178:$BT178,,AH178+1)*AF178-ERP_i)*AE178*Ramure*Pc/MaxiM</f>
        <v>9.181761959505813E-6</v>
      </c>
      <c r="AE178" s="304">
        <f t="shared" si="67"/>
        <v>0.7</v>
      </c>
      <c r="AF178" s="177">
        <f t="shared" si="68"/>
        <v>1.105934343855175E-2</v>
      </c>
      <c r="AG178" s="799">
        <f t="shared" si="69"/>
        <v>-1</v>
      </c>
      <c r="AH178" s="176">
        <f t="shared" si="70"/>
        <v>5</v>
      </c>
      <c r="AI178" s="224">
        <f t="shared" si="71"/>
        <v>-0.98894065656144825</v>
      </c>
      <c r="AJ178" s="264" t="b">
        <f t="shared" si="72"/>
        <v>0</v>
      </c>
      <c r="AK178" s="264" t="b">
        <f t="shared" si="73"/>
        <v>0</v>
      </c>
      <c r="AL178" s="264"/>
      <c r="AM178" s="264"/>
      <c r="AN178" s="75"/>
    </row>
    <row r="179" spans="1:40" s="6" customFormat="1" ht="11.25" x14ac:dyDescent="0.2">
      <c r="A179" s="56">
        <f t="shared" si="74"/>
        <v>43630</v>
      </c>
      <c r="B179" s="607">
        <v>25.585000000000001</v>
      </c>
      <c r="C179" s="388"/>
      <c r="D179" s="391">
        <f t="shared" si="75"/>
        <v>25.661114981338105</v>
      </c>
      <c r="E179" s="383">
        <f t="shared" si="76"/>
        <v>25.946146994574335</v>
      </c>
      <c r="F179" s="383">
        <f t="shared" si="77"/>
        <v>25.946173755824329</v>
      </c>
      <c r="G179" s="110">
        <f t="shared" si="78"/>
        <v>0.42047642800403168</v>
      </c>
      <c r="I179" s="379">
        <f t="shared" si="52"/>
        <v>25.946173755824329</v>
      </c>
      <c r="J179" s="85">
        <v>2018</v>
      </c>
      <c r="K179" s="197">
        <f t="shared" si="53"/>
        <v>43630</v>
      </c>
      <c r="L179" s="435">
        <f t="shared" si="54"/>
        <v>2.9661603322169716E-3</v>
      </c>
      <c r="M179" s="842"/>
      <c r="N179" s="842"/>
      <c r="O179" s="323">
        <f t="shared" si="55"/>
        <v>1.0985523719411267E-2</v>
      </c>
      <c r="P179" s="169">
        <f>(INDEX(Models!$BJ179:$BT179,,T179)*(1-R179)+INDEX(Models!$BJ179:$BT179,,T179+1)*R179-ERP_i)*Q179*Ramure*Pc/MaxiM</f>
        <v>5.9926858323343905E-6</v>
      </c>
      <c r="Q179" s="304">
        <f t="shared" si="56"/>
        <v>0.7</v>
      </c>
      <c r="R179" s="177">
        <f t="shared" si="57"/>
        <v>0.95082243271298039</v>
      </c>
      <c r="S179" s="799">
        <f t="shared" si="79"/>
        <v>-2</v>
      </c>
      <c r="T179" s="176">
        <f t="shared" si="58"/>
        <v>4</v>
      </c>
      <c r="U179" s="250">
        <f t="shared" si="59"/>
        <v>-1.0491775672870196</v>
      </c>
      <c r="V179" s="382">
        <f t="shared" si="60"/>
        <v>60.847342114233868</v>
      </c>
      <c r="W179" s="58"/>
      <c r="X179" s="157">
        <f t="shared" si="61"/>
        <v>43630</v>
      </c>
      <c r="Y179" s="383">
        <f t="shared" si="62"/>
        <v>25.584983964227622</v>
      </c>
      <c r="Z179" s="383">
        <f t="shared" si="63"/>
        <v>25.661098897859549</v>
      </c>
      <c r="AA179" s="384">
        <f t="shared" si="64"/>
        <v>25.946130732447802</v>
      </c>
      <c r="AB179" s="197">
        <f t="shared" si="65"/>
        <v>43630</v>
      </c>
      <c r="AC179" s="424">
        <f t="shared" si="66"/>
        <v>1.0985523719411267E-2</v>
      </c>
      <c r="AD179" s="169">
        <f>(INDEX(Models!$BJ179:$BT179,,AH179)*(1-AF179)+INDEX(Models!$BJ179:$BT179,,AH179+1)*AF179-ERP_i)*AE179*Ramure*Pc/MaxiM</f>
        <v>9.6342876000661272E-6</v>
      </c>
      <c r="AE179" s="304">
        <f t="shared" si="67"/>
        <v>0.7</v>
      </c>
      <c r="AF179" s="177">
        <f t="shared" si="68"/>
        <v>1.5154654972812542E-2</v>
      </c>
      <c r="AG179" s="799">
        <f t="shared" si="69"/>
        <v>-1</v>
      </c>
      <c r="AH179" s="176">
        <f t="shared" si="70"/>
        <v>5</v>
      </c>
      <c r="AI179" s="224">
        <f t="shared" si="71"/>
        <v>-0.98484534502718746</v>
      </c>
      <c r="AJ179" s="264" t="b">
        <f t="shared" si="72"/>
        <v>0</v>
      </c>
      <c r="AK179" s="264" t="b">
        <f t="shared" si="73"/>
        <v>0</v>
      </c>
      <c r="AL179" s="264"/>
      <c r="AM179" s="264"/>
      <c r="AN179" s="75"/>
    </row>
    <row r="180" spans="1:40" s="6" customFormat="1" ht="11.25" customHeight="1" x14ac:dyDescent="0.2">
      <c r="A180" s="56">
        <f t="shared" si="74"/>
        <v>43631</v>
      </c>
      <c r="B180" s="607">
        <v>19.463999999999999</v>
      </c>
      <c r="C180" s="388"/>
      <c r="D180" s="391">
        <f t="shared" si="75"/>
        <v>19.522279240546357</v>
      </c>
      <c r="E180" s="383">
        <f t="shared" si="76"/>
        <v>19.740554590402848</v>
      </c>
      <c r="F180" s="383">
        <f t="shared" si="77"/>
        <v>19.740558082865633</v>
      </c>
      <c r="G180" s="110">
        <f t="shared" si="78"/>
        <v>0.32014939553739319</v>
      </c>
      <c r="I180" s="379">
        <f t="shared" si="52"/>
        <v>19.740558082865633</v>
      </c>
      <c r="J180" s="85">
        <v>2018</v>
      </c>
      <c r="K180" s="197">
        <f t="shared" si="53"/>
        <v>43631</v>
      </c>
      <c r="L180" s="435">
        <f t="shared" si="54"/>
        <v>2.9852682582942602E-3</v>
      </c>
      <c r="M180" s="842"/>
      <c r="N180" s="842"/>
      <c r="O180" s="323">
        <f t="shared" si="55"/>
        <v>1.1057204540880043E-2</v>
      </c>
      <c r="P180" s="169">
        <f>(INDEX(Models!$BJ180:$BT180,,T180)*(1-R180)+INDEX(Models!$BJ180:$BT180,,T180+1)*R180-ERP_i)*Q180*Ramure*Pc/MaxiM</f>
        <v>6.145641091044001E-6</v>
      </c>
      <c r="Q180" s="304">
        <f t="shared" si="56"/>
        <v>0.7</v>
      </c>
      <c r="R180" s="177">
        <f t="shared" si="57"/>
        <v>0.95490396755069229</v>
      </c>
      <c r="S180" s="799">
        <f t="shared" si="79"/>
        <v>-2</v>
      </c>
      <c r="T180" s="176">
        <f t="shared" si="58"/>
        <v>4</v>
      </c>
      <c r="U180" s="250">
        <f t="shared" si="59"/>
        <v>-1.0450960324493077</v>
      </c>
      <c r="V180" s="382">
        <f t="shared" si="60"/>
        <v>60.796253549329364</v>
      </c>
      <c r="W180" s="58"/>
      <c r="X180" s="157">
        <f t="shared" si="61"/>
        <v>43631</v>
      </c>
      <c r="Y180" s="383">
        <f t="shared" si="62"/>
        <v>19.463997793055661</v>
      </c>
      <c r="Z180" s="383">
        <f t="shared" si="63"/>
        <v>19.522277026993972</v>
      </c>
      <c r="AA180" s="384">
        <f t="shared" si="64"/>
        <v>19.740552352101105</v>
      </c>
      <c r="AB180" s="197">
        <f t="shared" si="65"/>
        <v>43631</v>
      </c>
      <c r="AC180" s="424">
        <f t="shared" si="66"/>
        <v>1.1057204540880043E-2</v>
      </c>
      <c r="AD180" s="169">
        <f>(INDEX(Models!$BJ180:$BT180,,AH180)*(1-AF180)+INDEX(Models!$BJ180:$BT180,,AH180+1)*AF180-ERP_i)*AE180*Ramure*Pc/MaxiM</f>
        <v>1.0084351390629371E-5</v>
      </c>
      <c r="AE180" s="304">
        <f t="shared" si="67"/>
        <v>0.7</v>
      </c>
      <c r="AF180" s="177">
        <f t="shared" si="68"/>
        <v>1.9236189810524551E-2</v>
      </c>
      <c r="AG180" s="799">
        <f t="shared" si="69"/>
        <v>-1</v>
      </c>
      <c r="AH180" s="176">
        <f t="shared" si="70"/>
        <v>5</v>
      </c>
      <c r="AI180" s="224">
        <f t="shared" si="71"/>
        <v>-0.98076381018947545</v>
      </c>
      <c r="AJ180" s="264" t="b">
        <f t="shared" si="72"/>
        <v>0</v>
      </c>
      <c r="AK180" s="264" t="b">
        <f t="shared" si="73"/>
        <v>0</v>
      </c>
      <c r="AL180" s="264"/>
      <c r="AM180" s="264"/>
      <c r="AN180" s="75"/>
    </row>
    <row r="181" spans="1:40" s="6" customFormat="1" ht="11.25" x14ac:dyDescent="0.2">
      <c r="A181" s="56">
        <f t="shared" si="74"/>
        <v>43632</v>
      </c>
      <c r="B181" s="607">
        <v>62.008000000000003</v>
      </c>
      <c r="C181" s="388"/>
      <c r="D181" s="391">
        <f t="shared" si="75"/>
        <v>62.194856723554956</v>
      </c>
      <c r="E181" s="383">
        <f t="shared" si="76"/>
        <v>62.894795554496817</v>
      </c>
      <c r="F181" s="383">
        <f t="shared" si="77"/>
        <v>62.895191551516874</v>
      </c>
      <c r="G181" s="110">
        <f t="shared" si="78"/>
        <v>1.0208391644057639</v>
      </c>
      <c r="I181" s="379">
        <f t="shared" si="52"/>
        <v>62.895191551516874</v>
      </c>
      <c r="J181" s="85">
        <v>2018</v>
      </c>
      <c r="K181" s="197">
        <f t="shared" si="53"/>
        <v>43632</v>
      </c>
      <c r="L181" s="435">
        <f t="shared" si="54"/>
        <v>3.0043758181724778E-3</v>
      </c>
      <c r="M181" s="842"/>
      <c r="N181" s="842"/>
      <c r="O181" s="323">
        <f t="shared" si="55"/>
        <v>1.1128724161848626E-2</v>
      </c>
      <c r="P181" s="169">
        <f>(INDEX(Models!$BJ181:$BT181,,T181)*(1-R181)+INDEX(Models!$BJ181:$BT181,,T181+1)*R181-ERP_i)*Q181*Ramure*Pc/MaxiM</f>
        <v>6.296141410687528E-6</v>
      </c>
      <c r="Q181" s="304">
        <f t="shared" si="56"/>
        <v>0.7</v>
      </c>
      <c r="R181" s="177">
        <f t="shared" si="57"/>
        <v>0.9589683682469099</v>
      </c>
      <c r="S181" s="799">
        <f t="shared" si="79"/>
        <v>-2</v>
      </c>
      <c r="T181" s="176">
        <f t="shared" si="58"/>
        <v>4</v>
      </c>
      <c r="U181" s="250">
        <f t="shared" si="59"/>
        <v>-1.0410316317530901</v>
      </c>
      <c r="V181" s="382">
        <f t="shared" si="60"/>
        <v>60.742183648582092</v>
      </c>
      <c r="W181" s="58"/>
      <c r="X181" s="157">
        <f t="shared" si="61"/>
        <v>43632</v>
      </c>
      <c r="Y181" s="383">
        <f t="shared" si="62"/>
        <v>62.00773738164704</v>
      </c>
      <c r="Z181" s="383">
        <f t="shared" si="63"/>
        <v>62.19459331382015</v>
      </c>
      <c r="AA181" s="384">
        <f t="shared" si="64"/>
        <v>62.894529180357686</v>
      </c>
      <c r="AB181" s="197">
        <f t="shared" si="65"/>
        <v>43632</v>
      </c>
      <c r="AC181" s="424">
        <f t="shared" si="66"/>
        <v>1.1128724161848626E-2</v>
      </c>
      <c r="AD181" s="169">
        <f>(INDEX(Models!$BJ181:$BT181,,AH181)*(1-AF181)+INDEX(Models!$BJ181:$BT181,,AH181+1)*AF181-ERP_i)*AE181*Ramure*Pc/MaxiM</f>
        <v>1.0531348149956016E-5</v>
      </c>
      <c r="AE181" s="304">
        <f t="shared" si="67"/>
        <v>0.7</v>
      </c>
      <c r="AF181" s="177">
        <f t="shared" si="68"/>
        <v>2.3300590506742047E-2</v>
      </c>
      <c r="AG181" s="799">
        <f t="shared" si="69"/>
        <v>-1</v>
      </c>
      <c r="AH181" s="176">
        <f t="shared" si="70"/>
        <v>5</v>
      </c>
      <c r="AI181" s="224">
        <f t="shared" si="71"/>
        <v>-0.97669940949325795</v>
      </c>
      <c r="AJ181" s="264" t="b">
        <f t="shared" si="72"/>
        <v>0</v>
      </c>
      <c r="AK181" s="264" t="b">
        <f t="shared" si="73"/>
        <v>0</v>
      </c>
      <c r="AL181" s="264"/>
      <c r="AM181" s="264"/>
      <c r="AN181" s="75"/>
    </row>
    <row r="182" spans="1:40" s="6" customFormat="1" ht="11.25" x14ac:dyDescent="0.2">
      <c r="A182" s="56">
        <f t="shared" si="74"/>
        <v>43633</v>
      </c>
      <c r="B182" s="607">
        <v>61.064</v>
      </c>
      <c r="C182" s="388"/>
      <c r="D182" s="391">
        <f t="shared" si="75"/>
        <v>61.249185872977115</v>
      </c>
      <c r="E182" s="383">
        <f t="shared" si="76"/>
        <v>61.942951604750675</v>
      </c>
      <c r="F182" s="383">
        <f t="shared" si="77"/>
        <v>61.943350764633465</v>
      </c>
      <c r="G182" s="110">
        <f t="shared" si="78"/>
        <v>1.0062431490901329</v>
      </c>
      <c r="I182" s="379">
        <f t="shared" si="52"/>
        <v>61.943350764633465</v>
      </c>
      <c r="J182" s="85">
        <v>2018</v>
      </c>
      <c r="K182" s="197">
        <f t="shared" si="53"/>
        <v>43633</v>
      </c>
      <c r="L182" s="435">
        <f t="shared" si="54"/>
        <v>3.0234830118586187E-3</v>
      </c>
      <c r="M182" s="842"/>
      <c r="N182" s="842"/>
      <c r="O182" s="323">
        <f t="shared" si="55"/>
        <v>1.1200075453303955E-2</v>
      </c>
      <c r="P182" s="169">
        <f>(INDEX(Models!$BJ182:$BT182,,T182)*(1-R182)+INDEX(Models!$BJ182:$BT182,,T182+1)*R182-ERP_i)*Q182*Ramure*Pc/MaxiM</f>
        <v>6.4439504459748707E-6</v>
      </c>
      <c r="Q182" s="304">
        <f t="shared" si="56"/>
        <v>0.7</v>
      </c>
      <c r="R182" s="177">
        <f t="shared" si="57"/>
        <v>0.96301233427063782</v>
      </c>
      <c r="S182" s="799">
        <f t="shared" si="79"/>
        <v>-2</v>
      </c>
      <c r="T182" s="176">
        <f t="shared" si="58"/>
        <v>4</v>
      </c>
      <c r="U182" s="250">
        <f t="shared" si="59"/>
        <v>-1.0369876657293622</v>
      </c>
      <c r="V182" s="382">
        <f t="shared" si="60"/>
        <v>60.685133662987326</v>
      </c>
      <c r="W182" s="58"/>
      <c r="X182" s="157">
        <f t="shared" si="61"/>
        <v>43633</v>
      </c>
      <c r="Y182" s="383">
        <f t="shared" si="62"/>
        <v>61.063723333738935</v>
      </c>
      <c r="Z182" s="383">
        <f t="shared" si="63"/>
        <v>61.248908367683512</v>
      </c>
      <c r="AA182" s="384">
        <f t="shared" si="64"/>
        <v>61.942670956171817</v>
      </c>
      <c r="AB182" s="197">
        <f t="shared" si="65"/>
        <v>43633</v>
      </c>
      <c r="AC182" s="424">
        <f t="shared" si="66"/>
        <v>1.1200075453303955E-2</v>
      </c>
      <c r="AD182" s="169">
        <f>(INDEX(Models!$BJ182:$BT182,,AH182)*(1-AF182)+INDEX(Models!$BJ182:$BT182,,AH182+1)*AF182-ERP_i)*AE182*Ramure*Pc/MaxiM</f>
        <v>1.0974680143277985E-5</v>
      </c>
      <c r="AE182" s="304">
        <f t="shared" si="67"/>
        <v>0.7</v>
      </c>
      <c r="AF182" s="177">
        <f t="shared" si="68"/>
        <v>2.7344556530469966E-2</v>
      </c>
      <c r="AG182" s="799">
        <f t="shared" si="69"/>
        <v>-1</v>
      </c>
      <c r="AH182" s="176">
        <f t="shared" si="70"/>
        <v>5</v>
      </c>
      <c r="AI182" s="224">
        <f t="shared" si="71"/>
        <v>-0.97265544346953003</v>
      </c>
      <c r="AJ182" s="264" t="b">
        <f t="shared" si="72"/>
        <v>0</v>
      </c>
      <c r="AK182" s="264" t="b">
        <f t="shared" si="73"/>
        <v>0</v>
      </c>
      <c r="AL182" s="264"/>
      <c r="AM182" s="264"/>
      <c r="AN182" s="75"/>
    </row>
    <row r="183" spans="1:40" s="6" customFormat="1" ht="11.25" x14ac:dyDescent="0.2">
      <c r="A183" s="56">
        <f t="shared" si="74"/>
        <v>43634</v>
      </c>
      <c r="B183" s="607">
        <v>56.969000000000001</v>
      </c>
      <c r="C183" s="388"/>
      <c r="D183" s="391">
        <f t="shared" si="75"/>
        <v>57.142862292202189</v>
      </c>
      <c r="E183" s="383">
        <f t="shared" si="76"/>
        <v>57.794276126948795</v>
      </c>
      <c r="F183" s="383">
        <f t="shared" si="77"/>
        <v>57.79462411948343</v>
      </c>
      <c r="G183" s="110">
        <f t="shared" si="78"/>
        <v>0.93969268734863209</v>
      </c>
      <c r="I183" s="379">
        <f t="shared" si="52"/>
        <v>57.79462411948343</v>
      </c>
      <c r="J183" s="85">
        <v>2018</v>
      </c>
      <c r="K183" s="197">
        <f t="shared" si="53"/>
        <v>43634</v>
      </c>
      <c r="L183" s="435">
        <f t="shared" si="54"/>
        <v>3.0425898393597883E-3</v>
      </c>
      <c r="M183" s="842"/>
      <c r="N183" s="842"/>
      <c r="O183" s="323">
        <f t="shared" si="55"/>
        <v>1.1271251729422675E-2</v>
      </c>
      <c r="P183" s="169">
        <f>(INDEX(Models!$BJ183:$BT183,,T183)*(1-R183)+INDEX(Models!$BJ183:$BT183,,T183+1)*R183-ERP_i)*Q183*Ramure*Pc/MaxiM</f>
        <v>6.5888371781577263E-6</v>
      </c>
      <c r="Q183" s="304">
        <f t="shared" si="56"/>
        <v>0.7</v>
      </c>
      <c r="R183" s="177">
        <f t="shared" si="57"/>
        <v>0.96703263249645532</v>
      </c>
      <c r="S183" s="799">
        <f t="shared" si="79"/>
        <v>-2</v>
      </c>
      <c r="T183" s="176">
        <f t="shared" si="58"/>
        <v>4</v>
      </c>
      <c r="U183" s="250">
        <f t="shared" si="59"/>
        <v>-1.0329673675035447</v>
      </c>
      <c r="V183" s="382">
        <f t="shared" si="60"/>
        <v>60.625104812055888</v>
      </c>
      <c r="W183" s="58"/>
      <c r="X183" s="157">
        <f t="shared" si="61"/>
        <v>43634</v>
      </c>
      <c r="Y183" s="383">
        <f t="shared" si="62"/>
        <v>56.968748808329757</v>
      </c>
      <c r="Z183" s="383">
        <f t="shared" si="63"/>
        <v>57.142610333926257</v>
      </c>
      <c r="AA183" s="384">
        <f t="shared" si="64"/>
        <v>57.794021296413753</v>
      </c>
      <c r="AB183" s="197">
        <f t="shared" si="65"/>
        <v>43634</v>
      </c>
      <c r="AC183" s="424">
        <f t="shared" si="66"/>
        <v>1.1271251729422675E-2</v>
      </c>
      <c r="AD183" s="169">
        <f>(INDEX(Models!$BJ183:$BT183,,AH183)*(1-AF183)+INDEX(Models!$BJ183:$BT183,,AH183+1)*AF183-ERP_i)*AE183*Ramure*Pc/MaxiM</f>
        <v>1.1413759371418954E-5</v>
      </c>
      <c r="AE183" s="304">
        <f t="shared" si="67"/>
        <v>0.7</v>
      </c>
      <c r="AF183" s="177">
        <f t="shared" si="68"/>
        <v>3.1364854756287475E-2</v>
      </c>
      <c r="AG183" s="799">
        <f t="shared" si="69"/>
        <v>-1</v>
      </c>
      <c r="AH183" s="176">
        <f t="shared" si="70"/>
        <v>5</v>
      </c>
      <c r="AI183" s="224">
        <f t="shared" si="71"/>
        <v>-0.96863514524371253</v>
      </c>
      <c r="AJ183" s="264" t="b">
        <f t="shared" si="72"/>
        <v>0</v>
      </c>
      <c r="AK183" s="264" t="b">
        <f t="shared" si="73"/>
        <v>0</v>
      </c>
      <c r="AL183" s="264"/>
      <c r="AM183" s="264"/>
      <c r="AN183" s="75"/>
    </row>
    <row r="184" spans="1:40" s="6" customFormat="1" ht="11.25" x14ac:dyDescent="0.2">
      <c r="A184" s="56">
        <f t="shared" si="74"/>
        <v>43635</v>
      </c>
      <c r="B184" s="607">
        <v>52.789000000000001</v>
      </c>
      <c r="C184" s="388"/>
      <c r="D184" s="391">
        <f t="shared" si="75"/>
        <v>52.951120248983337</v>
      </c>
      <c r="E184" s="383">
        <f t="shared" si="76"/>
        <v>53.558595050852979</v>
      </c>
      <c r="F184" s="383">
        <f t="shared" si="77"/>
        <v>53.558889603798256</v>
      </c>
      <c r="G184" s="110">
        <f t="shared" si="78"/>
        <v>0.87164970362555405</v>
      </c>
      <c r="I184" s="379">
        <f t="shared" si="52"/>
        <v>53.558889603798256</v>
      </c>
      <c r="J184" s="85">
        <v>2018</v>
      </c>
      <c r="K184" s="197">
        <f t="shared" si="53"/>
        <v>43635</v>
      </c>
      <c r="L184" s="435">
        <f t="shared" si="54"/>
        <v>3.0616963006829812E-3</v>
      </c>
      <c r="M184" s="842"/>
      <c r="N184" s="842"/>
      <c r="O184" s="323">
        <f t="shared" si="55"/>
        <v>1.1342246772770162E-2</v>
      </c>
      <c r="P184" s="169">
        <f>(INDEX(Models!$BJ184:$BT184,,T184)*(1-R184)+INDEX(Models!$BJ184:$BT184,,T184+1)*R184-ERP_i)*Q184*Ramure*Pc/MaxiM</f>
        <v>6.7344021147353501E-6</v>
      </c>
      <c r="Q184" s="304">
        <f t="shared" si="56"/>
        <v>0.7</v>
      </c>
      <c r="R184" s="177">
        <f t="shared" si="57"/>
        <v>0.97102610722798532</v>
      </c>
      <c r="S184" s="799">
        <f t="shared" si="79"/>
        <v>-2</v>
      </c>
      <c r="T184" s="176">
        <f t="shared" si="58"/>
        <v>4</v>
      </c>
      <c r="U184" s="250">
        <f t="shared" si="59"/>
        <v>-1.0289738927720147</v>
      </c>
      <c r="V184" s="382">
        <f t="shared" si="60"/>
        <v>60.56209804990548</v>
      </c>
      <c r="W184" s="58"/>
      <c r="X184" s="157">
        <f t="shared" si="61"/>
        <v>43635</v>
      </c>
      <c r="Y184" s="383">
        <f t="shared" si="62"/>
        <v>52.788779318478667</v>
      </c>
      <c r="Z184" s="383">
        <f t="shared" si="63"/>
        <v>52.950898889727185</v>
      </c>
      <c r="AA184" s="384">
        <f t="shared" si="64"/>
        <v>53.558371152081712</v>
      </c>
      <c r="AB184" s="197">
        <f t="shared" si="65"/>
        <v>43635</v>
      </c>
      <c r="AC184" s="424">
        <f t="shared" si="66"/>
        <v>1.1342246772770162E-2</v>
      </c>
      <c r="AD184" s="169">
        <f>(INDEX(Models!$BJ184:$BT184,,AH184)*(1-AF184)+INDEX(Models!$BJ184:$BT184,,AH184+1)*AF184-ERP_i)*AE184*Ramure*Pc/MaxiM</f>
        <v>1.1853428703822707E-5</v>
      </c>
      <c r="AE184" s="304">
        <f t="shared" si="67"/>
        <v>0.7</v>
      </c>
      <c r="AF184" s="177">
        <f t="shared" si="68"/>
        <v>3.5358329487817475E-2</v>
      </c>
      <c r="AG184" s="799">
        <f t="shared" si="69"/>
        <v>-1</v>
      </c>
      <c r="AH184" s="176">
        <f t="shared" si="70"/>
        <v>5</v>
      </c>
      <c r="AI184" s="224">
        <f t="shared" si="71"/>
        <v>-0.96464167051218253</v>
      </c>
      <c r="AJ184" s="264" t="b">
        <f t="shared" si="72"/>
        <v>0</v>
      </c>
      <c r="AK184" s="264" t="b">
        <f t="shared" si="73"/>
        <v>0</v>
      </c>
      <c r="AL184" s="264"/>
      <c r="AM184" s="264"/>
      <c r="AN184" s="75"/>
    </row>
    <row r="185" spans="1:40" s="6" customFormat="1" ht="11.25" x14ac:dyDescent="0.2">
      <c r="A185" s="56">
        <f t="shared" si="74"/>
        <v>43636</v>
      </c>
      <c r="B185" s="607">
        <v>24.274999999999999</v>
      </c>
      <c r="C185" s="388"/>
      <c r="D185" s="391">
        <f t="shared" si="75"/>
        <v>24.350017592537718</v>
      </c>
      <c r="E185" s="383">
        <f t="shared" si="76"/>
        <v>24.631134076942704</v>
      </c>
      <c r="F185" s="383">
        <f t="shared" si="77"/>
        <v>24.631158613531774</v>
      </c>
      <c r="G185" s="110">
        <f t="shared" si="78"/>
        <v>0.40126307861986593</v>
      </c>
      <c r="I185" s="379">
        <f t="shared" si="52"/>
        <v>24.631158613531774</v>
      </c>
      <c r="J185" s="85">
        <v>2018</v>
      </c>
      <c r="K185" s="197">
        <f t="shared" si="53"/>
        <v>43636</v>
      </c>
      <c r="L185" s="435">
        <f t="shared" si="54"/>
        <v>3.0808023958351916E-3</v>
      </c>
      <c r="M185" s="842"/>
      <c r="N185" s="842"/>
      <c r="O185" s="323">
        <f t="shared" si="55"/>
        <v>1.1413054856785593E-2</v>
      </c>
      <c r="P185" s="169">
        <f>(INDEX(Models!$BJ185:$BT185,,T185)*(1-R185)+INDEX(Models!$BJ185:$BT185,,T185+1)*R185-ERP_i)*Q185*Ramure*Pc/MaxiM</f>
        <v>6.8859858512675246E-6</v>
      </c>
      <c r="Q185" s="304">
        <f t="shared" si="56"/>
        <v>0.7</v>
      </c>
      <c r="R185" s="177">
        <f t="shared" si="57"/>
        <v>0.97498968968965105</v>
      </c>
      <c r="S185" s="799">
        <f t="shared" si="79"/>
        <v>-2</v>
      </c>
      <c r="T185" s="176">
        <f t="shared" si="58"/>
        <v>4</v>
      </c>
      <c r="U185" s="250">
        <f t="shared" si="59"/>
        <v>-1.0250103103103489</v>
      </c>
      <c r="V185" s="382">
        <f t="shared" si="60"/>
        <v>60.496114189826983</v>
      </c>
      <c r="W185" s="58"/>
      <c r="X185" s="157">
        <f t="shared" si="61"/>
        <v>43636</v>
      </c>
      <c r="Y185" s="383">
        <f t="shared" si="62"/>
        <v>24.274980983183259</v>
      </c>
      <c r="Z185" s="383">
        <f t="shared" si="63"/>
        <v>24.349998516952869</v>
      </c>
      <c r="AA185" s="384">
        <f t="shared" si="64"/>
        <v>24.631114781133729</v>
      </c>
      <c r="AB185" s="197">
        <f t="shared" si="65"/>
        <v>43636</v>
      </c>
      <c r="AC185" s="424">
        <f t="shared" si="66"/>
        <v>1.1413054856785593E-2</v>
      </c>
      <c r="AD185" s="169">
        <f>(INDEX(Models!$BJ185:$BT185,,AH185)*(1-AF185)+INDEX(Models!$BJ185:$BT185,,AH185+1)*AF185-ERP_i)*AE185*Ramure*Pc/MaxiM</f>
        <v>1.2301191168448977E-5</v>
      </c>
      <c r="AE185" s="304">
        <f t="shared" si="67"/>
        <v>0.7</v>
      </c>
      <c r="AF185" s="177">
        <f t="shared" si="68"/>
        <v>3.9321911949483312E-2</v>
      </c>
      <c r="AG185" s="799">
        <f t="shared" si="69"/>
        <v>-1</v>
      </c>
      <c r="AH185" s="176">
        <f t="shared" si="70"/>
        <v>5</v>
      </c>
      <c r="AI185" s="224">
        <f t="shared" si="71"/>
        <v>-0.96067808805051669</v>
      </c>
      <c r="AJ185" s="264" t="b">
        <f t="shared" si="72"/>
        <v>0</v>
      </c>
      <c r="AK185" s="264" t="b">
        <f t="shared" si="73"/>
        <v>0</v>
      </c>
      <c r="AL185" s="264"/>
      <c r="AM185" s="264"/>
      <c r="AN185" s="75"/>
    </row>
    <row r="186" spans="1:40" s="6" customFormat="1" ht="11.25" x14ac:dyDescent="0.2">
      <c r="A186" s="56">
        <f t="shared" si="74"/>
        <v>43637</v>
      </c>
      <c r="B186" s="607">
        <v>8.9879999999999995</v>
      </c>
      <c r="C186" s="388"/>
      <c r="D186" s="391">
        <f t="shared" si="75"/>
        <v>9.0159486123564339</v>
      </c>
      <c r="E186" s="383">
        <f t="shared" si="76"/>
        <v>9.1206875857450189</v>
      </c>
      <c r="F186" s="383">
        <f t="shared" si="77"/>
        <v>9.1206875857450189</v>
      </c>
      <c r="G186" s="110">
        <f t="shared" si="78"/>
        <v>0.14874002906424008</v>
      </c>
      <c r="I186" s="379">
        <f t="shared" si="52"/>
        <v>9.1206875857450189</v>
      </c>
      <c r="J186" s="85">
        <v>2018</v>
      </c>
      <c r="K186" s="197">
        <f t="shared" si="53"/>
        <v>43637</v>
      </c>
      <c r="L186" s="435">
        <f t="shared" si="54"/>
        <v>3.099908124823525E-3</v>
      </c>
      <c r="M186" s="842"/>
      <c r="N186" s="842"/>
      <c r="O186" s="323">
        <f t="shared" si="55"/>
        <v>1.1483670765380189E-2</v>
      </c>
      <c r="P186" s="169">
        <f>(INDEX(Models!$BJ186:$BT186,,T186)*(1-R186)+INDEX(Models!$BJ186:$BT186,,T186+1)*R186-ERP_i)*Q186*Ramure*Pc/MaxiM</f>
        <v>7.0440581153119155E-6</v>
      </c>
      <c r="Q186" s="304">
        <f t="shared" si="56"/>
        <v>0.7</v>
      </c>
      <c r="R186" s="177">
        <f t="shared" si="57"/>
        <v>0.97892040692935245</v>
      </c>
      <c r="S186" s="799">
        <f t="shared" si="79"/>
        <v>-2</v>
      </c>
      <c r="T186" s="176">
        <f t="shared" si="58"/>
        <v>4</v>
      </c>
      <c r="U186" s="250">
        <f t="shared" si="59"/>
        <v>-1.0210795930706476</v>
      </c>
      <c r="V186" s="382">
        <f t="shared" si="60"/>
        <v>60.427154307760773</v>
      </c>
      <c r="W186" s="58"/>
      <c r="X186" s="157">
        <f t="shared" si="61"/>
        <v>43637</v>
      </c>
      <c r="Y186" s="383">
        <f t="shared" si="62"/>
        <v>8.9879999999999995</v>
      </c>
      <c r="Z186" s="383">
        <f t="shared" si="63"/>
        <v>9.0159486123564339</v>
      </c>
      <c r="AA186" s="384">
        <f t="shared" si="64"/>
        <v>9.1206875857450189</v>
      </c>
      <c r="AB186" s="197">
        <f t="shared" si="65"/>
        <v>43637</v>
      </c>
      <c r="AC186" s="424">
        <f t="shared" si="66"/>
        <v>1.1483670765380189E-2</v>
      </c>
      <c r="AD186" s="169">
        <f>(INDEX(Models!$BJ186:$BT186,,AH186)*(1-AF186)+INDEX(Models!$BJ186:$BT186,,AH186+1)*AF186-ERP_i)*AE186*Ramure*Pc/MaxiM</f>
        <v>1.2757418809564709E-5</v>
      </c>
      <c r="AE186" s="304">
        <f t="shared" si="67"/>
        <v>0.7</v>
      </c>
      <c r="AF186" s="177">
        <f t="shared" si="68"/>
        <v>4.325262918918471E-2</v>
      </c>
      <c r="AG186" s="799">
        <f t="shared" si="69"/>
        <v>-1</v>
      </c>
      <c r="AH186" s="176">
        <f t="shared" si="70"/>
        <v>5</v>
      </c>
      <c r="AI186" s="224">
        <f t="shared" si="71"/>
        <v>-0.95674737081081529</v>
      </c>
      <c r="AJ186" s="264" t="b">
        <f t="shared" si="72"/>
        <v>0</v>
      </c>
      <c r="AK186" s="264" t="b">
        <f t="shared" si="73"/>
        <v>0</v>
      </c>
      <c r="AL186" s="264"/>
      <c r="AM186" s="264"/>
      <c r="AN186" s="75"/>
    </row>
    <row r="187" spans="1:40" s="6" customFormat="1" ht="11.25" x14ac:dyDescent="0.2">
      <c r="A187" s="56">
        <f t="shared" si="74"/>
        <v>43638</v>
      </c>
      <c r="B187" s="607">
        <v>49.421999999999997</v>
      </c>
      <c r="C187" s="388"/>
      <c r="D187" s="391">
        <f t="shared" si="75"/>
        <v>49.576630178198272</v>
      </c>
      <c r="E187" s="383">
        <f t="shared" si="76"/>
        <v>50.156138709343615</v>
      </c>
      <c r="F187" s="383">
        <f t="shared" si="77"/>
        <v>50.156406720264293</v>
      </c>
      <c r="G187" s="110">
        <f t="shared" si="78"/>
        <v>0.8188506024501111</v>
      </c>
      <c r="I187" s="379">
        <f t="shared" si="52"/>
        <v>50.156406720264293</v>
      </c>
      <c r="J187" s="85">
        <v>2018</v>
      </c>
      <c r="K187" s="197">
        <f t="shared" si="53"/>
        <v>43638</v>
      </c>
      <c r="L187" s="435">
        <f t="shared" si="54"/>
        <v>3.1190134876548647E-3</v>
      </c>
      <c r="M187" s="842"/>
      <c r="N187" s="842"/>
      <c r="O187" s="323">
        <f t="shared" si="55"/>
        <v>1.1554089809497011E-2</v>
      </c>
      <c r="P187" s="169">
        <f>(INDEX(Models!$BJ187:$BT187,,T187)*(1-R187)+INDEX(Models!$BJ187:$BT187,,T187+1)*R187-ERP_i)*Q187*Ramure*Pc/MaxiM</f>
        <v>7.2090910589796331E-6</v>
      </c>
      <c r="Q187" s="304">
        <f t="shared" si="56"/>
        <v>0.7</v>
      </c>
      <c r="R187" s="177">
        <f t="shared" si="57"/>
        <v>0.98281539008142271</v>
      </c>
      <c r="S187" s="799">
        <f t="shared" si="79"/>
        <v>-2</v>
      </c>
      <c r="T187" s="176">
        <f t="shared" si="58"/>
        <v>4</v>
      </c>
      <c r="U187" s="250">
        <f t="shared" si="59"/>
        <v>-1.0171846099185773</v>
      </c>
      <c r="V187" s="382">
        <f t="shared" si="60"/>
        <v>60.355219438745003</v>
      </c>
      <c r="W187" s="58"/>
      <c r="X187" s="157">
        <f t="shared" si="61"/>
        <v>43638</v>
      </c>
      <c r="Y187" s="383">
        <f t="shared" si="62"/>
        <v>49.421779713189494</v>
      </c>
      <c r="Z187" s="383">
        <f t="shared" si="63"/>
        <v>49.576409202160526</v>
      </c>
      <c r="AA187" s="384">
        <f t="shared" si="64"/>
        <v>50.155915150284422</v>
      </c>
      <c r="AB187" s="197">
        <f t="shared" si="65"/>
        <v>43638</v>
      </c>
      <c r="AC187" s="424">
        <f t="shared" si="66"/>
        <v>1.1554089809497011E-2</v>
      </c>
      <c r="AD187" s="169">
        <f>(INDEX(Models!$BJ187:$BT187,,AH187)*(1-AF187)+INDEX(Models!$BJ187:$BT187,,AH187+1)*AF187-ERP_i)*AE187*Ramure*Pc/MaxiM</f>
        <v>1.3222493836725861E-5</v>
      </c>
      <c r="AE187" s="304">
        <f t="shared" si="67"/>
        <v>0.7</v>
      </c>
      <c r="AF187" s="177">
        <f t="shared" si="68"/>
        <v>4.7147612341254752E-2</v>
      </c>
      <c r="AG187" s="799">
        <f t="shared" si="69"/>
        <v>-1</v>
      </c>
      <c r="AH187" s="176">
        <f t="shared" si="70"/>
        <v>5</v>
      </c>
      <c r="AI187" s="224">
        <f t="shared" si="71"/>
        <v>-0.95285238765874525</v>
      </c>
      <c r="AJ187" s="264" t="b">
        <f t="shared" si="72"/>
        <v>0</v>
      </c>
      <c r="AK187" s="264" t="b">
        <f t="shared" si="73"/>
        <v>0</v>
      </c>
      <c r="AL187" s="264"/>
      <c r="AM187" s="264"/>
      <c r="AN187" s="75"/>
    </row>
    <row r="188" spans="1:40" s="6" customFormat="1" ht="11.25" customHeight="1" x14ac:dyDescent="0.2">
      <c r="A188" s="56">
        <f t="shared" si="74"/>
        <v>43639</v>
      </c>
      <c r="B188" s="607">
        <v>53.069000000000003</v>
      </c>
      <c r="C188" s="388"/>
      <c r="D188" s="391">
        <f t="shared" si="75"/>
        <v>53.236061067268452</v>
      </c>
      <c r="E188" s="383">
        <f t="shared" si="76"/>
        <v>53.862171530092283</v>
      </c>
      <c r="F188" s="383">
        <f t="shared" si="77"/>
        <v>53.862501168142678</v>
      </c>
      <c r="G188" s="110">
        <f t="shared" si="78"/>
        <v>0.88036927040710533</v>
      </c>
      <c r="I188" s="379">
        <f t="shared" si="52"/>
        <v>53.862501168142678</v>
      </c>
      <c r="J188" s="85">
        <v>2018</v>
      </c>
      <c r="K188" s="197">
        <f t="shared" si="53"/>
        <v>43639</v>
      </c>
      <c r="L188" s="435">
        <f t="shared" si="54"/>
        <v>3.1381184843362053E-3</v>
      </c>
      <c r="M188" s="842"/>
      <c r="N188" s="842"/>
      <c r="O188" s="323">
        <f t="shared" si="55"/>
        <v>1.1624307840504158E-2</v>
      </c>
      <c r="P188" s="169">
        <f>(INDEX(Models!$BJ188:$BT188,,T188)*(1-R188)+INDEX(Models!$BJ188:$BT188,,T188+1)*R188-ERP_i)*Q188*Ramure*Pc/MaxiM</f>
        <v>7.3814829362021473E-6</v>
      </c>
      <c r="Q188" s="304">
        <f t="shared" si="56"/>
        <v>0.7</v>
      </c>
      <c r="R188" s="177">
        <f t="shared" si="57"/>
        <v>0.98667188194640021</v>
      </c>
      <c r="S188" s="799">
        <f t="shared" si="79"/>
        <v>-2</v>
      </c>
      <c r="T188" s="176">
        <f t="shared" si="58"/>
        <v>4</v>
      </c>
      <c r="U188" s="250">
        <f t="shared" si="59"/>
        <v>-1.0133281180535998</v>
      </c>
      <c r="V188" s="382">
        <f t="shared" si="60"/>
        <v>60.280310589398347</v>
      </c>
      <c r="W188" s="58"/>
      <c r="X188" s="157">
        <f t="shared" si="61"/>
        <v>43639</v>
      </c>
      <c r="Y188" s="383">
        <f t="shared" si="62"/>
        <v>53.068722133064504</v>
      </c>
      <c r="Z188" s="383">
        <f t="shared" si="63"/>
        <v>53.235782325608596</v>
      </c>
      <c r="AA188" s="384">
        <f t="shared" si="64"/>
        <v>53.861889510145751</v>
      </c>
      <c r="AB188" s="197">
        <f t="shared" si="65"/>
        <v>43639</v>
      </c>
      <c r="AC188" s="424">
        <f t="shared" si="66"/>
        <v>1.1624307840504158E-2</v>
      </c>
      <c r="AD188" s="169">
        <f>(INDEX(Models!$BJ188:$BT188,,AH188)*(1-AF188)+INDEX(Models!$BJ188:$BT188,,AH188+1)*AF188-ERP_i)*AE188*Ramure*Pc/MaxiM</f>
        <v>1.3696668396507755E-5</v>
      </c>
      <c r="AE188" s="304">
        <f t="shared" si="67"/>
        <v>0.7</v>
      </c>
      <c r="AF188" s="177">
        <f t="shared" si="68"/>
        <v>5.1004104206232359E-2</v>
      </c>
      <c r="AG188" s="799">
        <f t="shared" si="69"/>
        <v>-1</v>
      </c>
      <c r="AH188" s="176">
        <f t="shared" si="70"/>
        <v>5</v>
      </c>
      <c r="AI188" s="224">
        <f t="shared" si="71"/>
        <v>-0.94899589579376764</v>
      </c>
      <c r="AJ188" s="264" t="b">
        <f t="shared" si="72"/>
        <v>0</v>
      </c>
      <c r="AK188" s="264" t="b">
        <f t="shared" si="73"/>
        <v>0</v>
      </c>
      <c r="AL188" s="264"/>
      <c r="AM188" s="264"/>
      <c r="AN188" s="75"/>
    </row>
    <row r="189" spans="1:40" s="6" customFormat="1" ht="11.25" x14ac:dyDescent="0.2">
      <c r="A189" s="56">
        <f t="shared" si="74"/>
        <v>43640</v>
      </c>
      <c r="B189" s="607">
        <v>43.744999999999997</v>
      </c>
      <c r="C189" s="388"/>
      <c r="D189" s="391">
        <f t="shared" si="75"/>
        <v>43.883550158924521</v>
      </c>
      <c r="E189" s="383">
        <f t="shared" si="76"/>
        <v>44.402810894384615</v>
      </c>
      <c r="F189" s="383">
        <f t="shared" si="77"/>
        <v>44.403015530643934</v>
      </c>
      <c r="G189" s="110">
        <f t="shared" si="78"/>
        <v>0.72662966837814447</v>
      </c>
      <c r="I189" s="379">
        <f t="shared" si="52"/>
        <v>44.403015530643934</v>
      </c>
      <c r="J189" s="85">
        <v>2018</v>
      </c>
      <c r="K189" s="197">
        <f t="shared" si="53"/>
        <v>43640</v>
      </c>
      <c r="L189" s="435">
        <f t="shared" si="54"/>
        <v>3.1572231148747631E-3</v>
      </c>
      <c r="M189" s="842"/>
      <c r="N189" s="842"/>
      <c r="O189" s="323">
        <f t="shared" si="55"/>
        <v>1.1694321260318353E-2</v>
      </c>
      <c r="P189" s="169">
        <f>(INDEX(Models!$BJ189:$BT189,,T189)*(1-R189)+INDEX(Models!$BJ189:$BT189,,T189+1)*R189-ERP_i)*Q189*Ramure*Pc/MaxiM</f>
        <v>7.5616213356223699E-6</v>
      </c>
      <c r="Q189" s="304">
        <f t="shared" si="56"/>
        <v>0.7</v>
      </c>
      <c r="R189" s="177">
        <f t="shared" si="57"/>
        <v>0.99048724385163411</v>
      </c>
      <c r="S189" s="799">
        <f t="shared" si="79"/>
        <v>-2</v>
      </c>
      <c r="T189" s="176">
        <f t="shared" si="58"/>
        <v>4</v>
      </c>
      <c r="U189" s="250">
        <f t="shared" si="59"/>
        <v>-1.0095127561483659</v>
      </c>
      <c r="V189" s="382">
        <f t="shared" si="60"/>
        <v>60.202428724992991</v>
      </c>
      <c r="W189" s="58"/>
      <c r="X189" s="157">
        <f t="shared" si="61"/>
        <v>43640</v>
      </c>
      <c r="Y189" s="383">
        <f t="shared" si="62"/>
        <v>43.744823538954819</v>
      </c>
      <c r="Z189" s="383">
        <f t="shared" si="63"/>
        <v>43.883373138987906</v>
      </c>
      <c r="AA189" s="384">
        <f t="shared" si="64"/>
        <v>44.402631779824794</v>
      </c>
      <c r="AB189" s="197">
        <f t="shared" si="65"/>
        <v>43640</v>
      </c>
      <c r="AC189" s="424">
        <f t="shared" si="66"/>
        <v>1.1694321260318353E-2</v>
      </c>
      <c r="AD189" s="169">
        <f>(INDEX(Models!$BJ189:$BT189,,AH189)*(1-AF189)+INDEX(Models!$BJ189:$BT189,,AH189+1)*AF189-ERP_i)*AE189*Ramure*Pc/MaxiM</f>
        <v>1.4180177018718546E-5</v>
      </c>
      <c r="AE189" s="304">
        <f t="shared" si="67"/>
        <v>0.7</v>
      </c>
      <c r="AF189" s="177">
        <f t="shared" si="68"/>
        <v>5.4819466111466264E-2</v>
      </c>
      <c r="AG189" s="799">
        <f t="shared" si="69"/>
        <v>-1</v>
      </c>
      <c r="AH189" s="176">
        <f t="shared" si="70"/>
        <v>5</v>
      </c>
      <c r="AI189" s="224">
        <f t="shared" si="71"/>
        <v>-0.94518053388853374</v>
      </c>
      <c r="AJ189" s="264" t="b">
        <f t="shared" si="72"/>
        <v>0</v>
      </c>
      <c r="AK189" s="264" t="b">
        <f t="shared" si="73"/>
        <v>0</v>
      </c>
      <c r="AL189" s="264"/>
      <c r="AM189" s="264"/>
      <c r="AN189" s="75"/>
    </row>
    <row r="190" spans="1:40" s="6" customFormat="1" ht="11.25" x14ac:dyDescent="0.2">
      <c r="A190" s="56">
        <f t="shared" si="74"/>
        <v>43641</v>
      </c>
      <c r="B190" s="607">
        <v>47.902999999999999</v>
      </c>
      <c r="C190" s="388"/>
      <c r="D190" s="391">
        <f t="shared" si="75"/>
        <v>48.055640446478861</v>
      </c>
      <c r="E190" s="383">
        <f t="shared" si="76"/>
        <v>48.627702920726954</v>
      </c>
      <c r="F190" s="383">
        <f t="shared" si="77"/>
        <v>48.627970370409535</v>
      </c>
      <c r="G190" s="110">
        <f t="shared" si="78"/>
        <v>0.79676709066185436</v>
      </c>
      <c r="I190" s="379">
        <f t="shared" si="52"/>
        <v>48.627970370409535</v>
      </c>
      <c r="J190" s="85">
        <v>2018</v>
      </c>
      <c r="K190" s="197">
        <f t="shared" si="53"/>
        <v>43641</v>
      </c>
      <c r="L190" s="435">
        <f t="shared" si="54"/>
        <v>3.1763273792774216E-3</v>
      </c>
      <c r="M190" s="842"/>
      <c r="N190" s="842"/>
      <c r="O190" s="323">
        <f t="shared" si="55"/>
        <v>1.1764127028181264E-2</v>
      </c>
      <c r="P190" s="169">
        <f>(INDEX(Models!$BJ190:$BT190,,T190)*(1-R190)+INDEX(Models!$BJ190:$BT190,,T190+1)*R190-ERP_i)*Q190*Ramure*Pc/MaxiM</f>
        <v>7.7499624572758676E-6</v>
      </c>
      <c r="Q190" s="304">
        <f t="shared" si="56"/>
        <v>0.7</v>
      </c>
      <c r="R190" s="177">
        <f t="shared" si="57"/>
        <v>0.99425896176441464</v>
      </c>
      <c r="S190" s="799">
        <f t="shared" si="79"/>
        <v>-2</v>
      </c>
      <c r="T190" s="176">
        <f t="shared" si="58"/>
        <v>4</v>
      </c>
      <c r="U190" s="250">
        <f t="shared" si="59"/>
        <v>-1.0057410382355854</v>
      </c>
      <c r="V190" s="382">
        <f t="shared" si="60"/>
        <v>60.121574769825592</v>
      </c>
      <c r="W190" s="58"/>
      <c r="X190" s="157">
        <f t="shared" si="61"/>
        <v>43641</v>
      </c>
      <c r="Y190" s="383">
        <f t="shared" si="62"/>
        <v>47.902764634674305</v>
      </c>
      <c r="Z190" s="383">
        <f t="shared" si="63"/>
        <v>48.055404331173662</v>
      </c>
      <c r="AA190" s="384">
        <f t="shared" si="64"/>
        <v>48.627463994665213</v>
      </c>
      <c r="AB190" s="197">
        <f t="shared" si="65"/>
        <v>43641</v>
      </c>
      <c r="AC190" s="424">
        <f t="shared" si="66"/>
        <v>1.1764127028181264E-2</v>
      </c>
      <c r="AD190" s="169">
        <f>(INDEX(Models!$BJ190:$BT190,,AH190)*(1-AF190)+INDEX(Models!$BJ190:$BT190,,AH190+1)*AF190-ERP_i)*AE190*Ramure*Pc/MaxiM</f>
        <v>1.467338816716449E-5</v>
      </c>
      <c r="AE190" s="304">
        <f t="shared" si="67"/>
        <v>0.7</v>
      </c>
      <c r="AF190" s="177">
        <f t="shared" si="68"/>
        <v>5.8591184024247012E-2</v>
      </c>
      <c r="AG190" s="799">
        <f t="shared" si="69"/>
        <v>-1</v>
      </c>
      <c r="AH190" s="176">
        <f t="shared" si="70"/>
        <v>5</v>
      </c>
      <c r="AI190" s="224">
        <f t="shared" si="71"/>
        <v>-0.94140881597575299</v>
      </c>
      <c r="AJ190" s="264" t="b">
        <f t="shared" si="72"/>
        <v>0</v>
      </c>
      <c r="AK190" s="264" t="b">
        <f t="shared" si="73"/>
        <v>0</v>
      </c>
      <c r="AL190" s="264"/>
      <c r="AM190" s="264"/>
      <c r="AN190" s="75"/>
    </row>
    <row r="191" spans="1:40" s="6" customFormat="1" ht="11.25" x14ac:dyDescent="0.2">
      <c r="A191" s="56">
        <f t="shared" si="74"/>
        <v>43642</v>
      </c>
      <c r="B191" s="607">
        <v>60.527999999999999</v>
      </c>
      <c r="C191" s="388"/>
      <c r="D191" s="391">
        <f t="shared" si="75"/>
        <v>60.722033083752308</v>
      </c>
      <c r="E191" s="383">
        <f t="shared" si="76"/>
        <v>61.449205944828783</v>
      </c>
      <c r="F191" s="383">
        <f t="shared" si="77"/>
        <v>61.449694288761741</v>
      </c>
      <c r="G191" s="110">
        <f t="shared" si="78"/>
        <v>1.0081773862470926</v>
      </c>
      <c r="I191" s="379">
        <f t="shared" si="52"/>
        <v>61.449694288761741</v>
      </c>
      <c r="J191" s="85">
        <v>2018</v>
      </c>
      <c r="K191" s="197">
        <f t="shared" si="53"/>
        <v>43642</v>
      </c>
      <c r="L191" s="435">
        <f t="shared" si="54"/>
        <v>3.195431277551064E-3</v>
      </c>
      <c r="M191" s="842"/>
      <c r="N191" s="842"/>
      <c r="O191" s="323">
        <f t="shared" si="55"/>
        <v>1.1833722664038312E-2</v>
      </c>
      <c r="P191" s="169">
        <f>(INDEX(Models!$BJ191:$BT191,,T191)*(1-R191)+INDEX(Models!$BJ191:$BT191,,T191+1)*R191-ERP_i)*Q191*Ramure*Pc/MaxiM</f>
        <v>7.9470522776633743E-6</v>
      </c>
      <c r="Q191" s="304">
        <f t="shared" si="56"/>
        <v>0.7</v>
      </c>
      <c r="R191" s="177">
        <f t="shared" si="57"/>
        <v>0.9979846516370805</v>
      </c>
      <c r="S191" s="799">
        <f t="shared" si="79"/>
        <v>-2</v>
      </c>
      <c r="T191" s="176">
        <f t="shared" si="58"/>
        <v>4</v>
      </c>
      <c r="U191" s="250">
        <f t="shared" si="59"/>
        <v>-1.0020153483629195</v>
      </c>
      <c r="V191" s="382">
        <f t="shared" si="60"/>
        <v>60.037053821761944</v>
      </c>
      <c r="W191" s="58"/>
      <c r="X191" s="157">
        <f t="shared" si="61"/>
        <v>43642</v>
      </c>
      <c r="Y191" s="383">
        <f t="shared" si="62"/>
        <v>60.527562391153033</v>
      </c>
      <c r="Z191" s="383">
        <f t="shared" si="63"/>
        <v>60.7215940720737</v>
      </c>
      <c r="AA191" s="384">
        <f t="shared" si="64"/>
        <v>61.448761675793627</v>
      </c>
      <c r="AB191" s="197">
        <f t="shared" si="65"/>
        <v>43642</v>
      </c>
      <c r="AC191" s="424">
        <f t="shared" si="66"/>
        <v>1.1833722664038312E-2</v>
      </c>
      <c r="AD191" s="169">
        <f>(INDEX(Models!$BJ191:$BT191,,AH191)*(1-AF191)+INDEX(Models!$BJ191:$BT191,,AH191+1)*AF191-ERP_i)*AE191*Ramure*Pc/MaxiM</f>
        <v>1.5176852853517487E-5</v>
      </c>
      <c r="AE191" s="304">
        <f t="shared" si="67"/>
        <v>0.7</v>
      </c>
      <c r="AF191" s="177">
        <f t="shared" si="68"/>
        <v>6.2316873896912761E-2</v>
      </c>
      <c r="AG191" s="799">
        <f t="shared" si="69"/>
        <v>-1</v>
      </c>
      <c r="AH191" s="176">
        <f t="shared" si="70"/>
        <v>5</v>
      </c>
      <c r="AI191" s="224">
        <f t="shared" si="71"/>
        <v>-0.93768312610308724</v>
      </c>
      <c r="AJ191" s="264" t="b">
        <f t="shared" si="72"/>
        <v>0</v>
      </c>
      <c r="AK191" s="264" t="b">
        <f t="shared" si="73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74"/>
        <v>43643</v>
      </c>
      <c r="B192" s="607">
        <v>59.186999999999998</v>
      </c>
      <c r="C192" s="388"/>
      <c r="D192" s="391">
        <f t="shared" si="75"/>
        <v>59.37787223723268</v>
      </c>
      <c r="E192" s="383">
        <f t="shared" si="76"/>
        <v>60.093167595935839</v>
      </c>
      <c r="F192" s="383">
        <f t="shared" si="77"/>
        <v>60.093655665818403</v>
      </c>
      <c r="G192" s="110">
        <f t="shared" si="78"/>
        <v>0.98729928878688589</v>
      </c>
      <c r="I192" s="379">
        <f t="shared" si="52"/>
        <v>60.093655665818403</v>
      </c>
      <c r="J192" s="85">
        <v>2018</v>
      </c>
      <c r="K192" s="197">
        <f t="shared" si="53"/>
        <v>43643</v>
      </c>
      <c r="L192" s="435">
        <f t="shared" si="54"/>
        <v>3.214534809703018E-3</v>
      </c>
      <c r="M192" s="842"/>
      <c r="N192" s="842"/>
      <c r="O192" s="323">
        <f t="shared" si="55"/>
        <v>1.1903106248497049E-2</v>
      </c>
      <c r="P192" s="169">
        <f>(INDEX(Models!$BJ192:$BT192,,T192)*(1-R192)+INDEX(Models!$BJ192:$BT192,,T192+1)*R192-ERP_i)*Q192*Ramure*Pc/MaxiM</f>
        <v>8.2719030768921087E-6</v>
      </c>
      <c r="Q192" s="304">
        <f t="shared" si="56"/>
        <v>0.7</v>
      </c>
      <c r="R192" s="177">
        <f t="shared" si="57"/>
        <v>1.6620639712542351E-3</v>
      </c>
      <c r="S192" s="799">
        <f t="shared" si="79"/>
        <v>-1</v>
      </c>
      <c r="T192" s="176">
        <f t="shared" si="58"/>
        <v>5</v>
      </c>
      <c r="U192" s="250">
        <f t="shared" si="59"/>
        <v>-0.99833793602874576</v>
      </c>
      <c r="V192" s="382">
        <f t="shared" si="60"/>
        <v>59.948378155637776</v>
      </c>
      <c r="W192" s="58"/>
      <c r="X192" s="157">
        <f t="shared" si="61"/>
        <v>43643</v>
      </c>
      <c r="Y192" s="383">
        <f t="shared" si="62"/>
        <v>59.186569366763294</v>
      </c>
      <c r="Z192" s="383">
        <f t="shared" si="63"/>
        <v>59.37744021524626</v>
      </c>
      <c r="AA192" s="384">
        <f t="shared" si="64"/>
        <v>60.092730369597867</v>
      </c>
      <c r="AB192" s="197">
        <f t="shared" si="65"/>
        <v>43643</v>
      </c>
      <c r="AC192" s="424">
        <f t="shared" si="66"/>
        <v>1.1903106248497049E-2</v>
      </c>
      <c r="AD192" s="169">
        <f>(INDEX(Models!$BJ192:$BT192,,AH192)*(1-AF192)+INDEX(Models!$BJ192:$BT192,,AH192+1)*AF192-ERP_i)*AE192*Ramure*Pc/MaxiM</f>
        <v>1.5682099894066492E-5</v>
      </c>
      <c r="AE192" s="304">
        <f t="shared" si="67"/>
        <v>0.7</v>
      </c>
      <c r="AF192" s="177">
        <f t="shared" si="68"/>
        <v>6.5994286231086496E-2</v>
      </c>
      <c r="AG192" s="799">
        <f t="shared" si="69"/>
        <v>-1</v>
      </c>
      <c r="AH192" s="176">
        <f t="shared" si="70"/>
        <v>5</v>
      </c>
      <c r="AI192" s="224">
        <f t="shared" si="71"/>
        <v>-0.9340057137689135</v>
      </c>
      <c r="AJ192" s="264" t="b">
        <f t="shared" si="72"/>
        <v>0</v>
      </c>
      <c r="AK192" s="264" t="b">
        <f t="shared" si="73"/>
        <v>0</v>
      </c>
      <c r="AL192" s="264"/>
      <c r="AM192" s="264"/>
      <c r="AN192" s="75"/>
    </row>
    <row r="193" spans="1:40" s="6" customFormat="1" ht="11.25" x14ac:dyDescent="0.2">
      <c r="A193" s="56">
        <f t="shared" si="74"/>
        <v>43644</v>
      </c>
      <c r="B193" s="607">
        <v>48.822000000000003</v>
      </c>
      <c r="C193" s="388"/>
      <c r="D193" s="391">
        <f t="shared" si="75"/>
        <v>48.980384832460608</v>
      </c>
      <c r="E193" s="383">
        <f t="shared" si="76"/>
        <v>49.573897233323407</v>
      </c>
      <c r="F193" s="383">
        <f t="shared" si="77"/>
        <v>49.574216541941631</v>
      </c>
      <c r="G193" s="110">
        <f t="shared" si="78"/>
        <v>0.81565748676225724</v>
      </c>
      <c r="I193" s="379">
        <f t="shared" si="52"/>
        <v>49.574216541941631</v>
      </c>
      <c r="J193" s="85">
        <v>2018</v>
      </c>
      <c r="K193" s="197">
        <f t="shared" si="53"/>
        <v>43644</v>
      </c>
      <c r="L193" s="435">
        <f t="shared" si="54"/>
        <v>3.2336379757400557E-3</v>
      </c>
      <c r="M193" s="842"/>
      <c r="N193" s="842"/>
      <c r="O193" s="323">
        <f t="shared" si="55"/>
        <v>1.1972276419370128E-2</v>
      </c>
      <c r="P193" s="169">
        <f>(INDEX(Models!$BJ193:$BT193,,T193)*(1-R193)+INDEX(Models!$BJ193:$BT193,,T193+1)*R193-ERP_i)*Q193*Ramure*Pc/MaxiM</f>
        <v>8.7435925548624798E-6</v>
      </c>
      <c r="Q193" s="304">
        <f t="shared" si="56"/>
        <v>0.7</v>
      </c>
      <c r="R193" s="177">
        <f t="shared" si="57"/>
        <v>5.2890875959178407E-3</v>
      </c>
      <c r="S193" s="799">
        <f t="shared" si="79"/>
        <v>-1</v>
      </c>
      <c r="T193" s="176">
        <f t="shared" si="58"/>
        <v>5</v>
      </c>
      <c r="U193" s="250">
        <f t="shared" si="59"/>
        <v>-0.99471091240408216</v>
      </c>
      <c r="V193" s="382">
        <f t="shared" si="60"/>
        <v>59.855868885569926</v>
      </c>
      <c r="W193" s="58"/>
      <c r="X193" s="157">
        <f t="shared" si="61"/>
        <v>43644</v>
      </c>
      <c r="Y193" s="383">
        <f t="shared" si="62"/>
        <v>48.821732459376442</v>
      </c>
      <c r="Z193" s="383">
        <f t="shared" si="63"/>
        <v>48.980116423900938</v>
      </c>
      <c r="AA193" s="384">
        <f t="shared" si="64"/>
        <v>49.573625572363632</v>
      </c>
      <c r="AB193" s="197">
        <f t="shared" si="65"/>
        <v>43644</v>
      </c>
      <c r="AC193" s="424">
        <f t="shared" si="66"/>
        <v>1.1972276419370128E-2</v>
      </c>
      <c r="AD193" s="169">
        <f>(INDEX(Models!$BJ193:$BT193,,AH193)*(1-AF193)+INDEX(Models!$BJ193:$BT193,,AH193+1)*AF193-ERP_i)*AE193*Ramure*Pc/MaxiM</f>
        <v>1.6182454551496153E-5</v>
      </c>
      <c r="AE193" s="304">
        <f t="shared" si="67"/>
        <v>0.7</v>
      </c>
      <c r="AF193" s="177">
        <f t="shared" si="68"/>
        <v>6.9621309855750102E-2</v>
      </c>
      <c r="AG193" s="799">
        <f t="shared" si="69"/>
        <v>-1</v>
      </c>
      <c r="AH193" s="176">
        <f t="shared" si="70"/>
        <v>5</v>
      </c>
      <c r="AI193" s="224">
        <f t="shared" si="71"/>
        <v>-0.9303786901442499</v>
      </c>
      <c r="AJ193" s="264" t="b">
        <f t="shared" si="72"/>
        <v>0</v>
      </c>
      <c r="AK193" s="264" t="b">
        <f t="shared" si="73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74"/>
        <v>43645</v>
      </c>
      <c r="B194" s="607">
        <v>56.622999999999998</v>
      </c>
      <c r="C194" s="388"/>
      <c r="D194" s="391">
        <f t="shared" si="75"/>
        <v>56.807780985587108</v>
      </c>
      <c r="E194" s="383">
        <f t="shared" si="76"/>
        <v>57.500153697269717</v>
      </c>
      <c r="F194" s="383">
        <f t="shared" si="77"/>
        <v>57.500643612557823</v>
      </c>
      <c r="G194" s="110">
        <f t="shared" si="78"/>
        <v>0.94750830368321637</v>
      </c>
      <c r="I194" s="379">
        <f t="shared" si="52"/>
        <v>57.500643612557823</v>
      </c>
      <c r="J194" s="85">
        <v>2018</v>
      </c>
      <c r="K194" s="197">
        <f t="shared" si="53"/>
        <v>43645</v>
      </c>
      <c r="L194" s="435">
        <f t="shared" si="54"/>
        <v>3.2527407756692828E-3</v>
      </c>
      <c r="M194" s="842"/>
      <c r="N194" s="842"/>
      <c r="O194" s="323">
        <f t="shared" si="55"/>
        <v>1.2041232364835962E-2</v>
      </c>
      <c r="P194" s="169">
        <f>(INDEX(Models!$BJ194:$BT194,,T194)*(1-R194)+INDEX(Models!$BJ194:$BT194,,T194+1)*R194-ERP_i)*Q194*Ramure*Pc/MaxiM</f>
        <v>9.2108677158318804E-6</v>
      </c>
      <c r="Q194" s="304">
        <f t="shared" si="56"/>
        <v>0.7</v>
      </c>
      <c r="R194" s="177">
        <f t="shared" si="57"/>
        <v>8.8637526613357664E-3</v>
      </c>
      <c r="S194" s="799">
        <f t="shared" si="79"/>
        <v>-1</v>
      </c>
      <c r="T194" s="176">
        <f t="shared" si="58"/>
        <v>5</v>
      </c>
      <c r="U194" s="250">
        <f t="shared" si="59"/>
        <v>-0.99113624733866423</v>
      </c>
      <c r="V194" s="382">
        <f t="shared" si="60"/>
        <v>59.759857164534068</v>
      </c>
      <c r="W194" s="58"/>
      <c r="X194" s="157">
        <f t="shared" si="61"/>
        <v>43645</v>
      </c>
      <c r="Y194" s="383">
        <f t="shared" si="62"/>
        <v>56.622608923165679</v>
      </c>
      <c r="Z194" s="383">
        <f t="shared" si="63"/>
        <v>56.807388632529999</v>
      </c>
      <c r="AA194" s="384">
        <f t="shared" si="64"/>
        <v>57.499756562217158</v>
      </c>
      <c r="AB194" s="197">
        <f t="shared" si="65"/>
        <v>43645</v>
      </c>
      <c r="AC194" s="424">
        <f t="shared" si="66"/>
        <v>1.2041232364835962E-2</v>
      </c>
      <c r="AD194" s="169">
        <f>(INDEX(Models!$BJ194:$BT194,,AH194)*(1-AF194)+INDEX(Models!$BJ194:$BT194,,AH194+1)*AF194-ERP_i)*AE194*Ramure*Pc/MaxiM</f>
        <v>1.6677379831710572E-5</v>
      </c>
      <c r="AE194" s="304">
        <f t="shared" si="67"/>
        <v>0.7</v>
      </c>
      <c r="AF194" s="177">
        <f t="shared" si="68"/>
        <v>7.3195974921167917E-2</v>
      </c>
      <c r="AG194" s="799">
        <f t="shared" si="69"/>
        <v>-1</v>
      </c>
      <c r="AH194" s="176">
        <f t="shared" si="70"/>
        <v>5</v>
      </c>
      <c r="AI194" s="224">
        <f t="shared" si="71"/>
        <v>-0.92680402507883208</v>
      </c>
      <c r="AJ194" s="264" t="b">
        <f t="shared" si="72"/>
        <v>0</v>
      </c>
      <c r="AK194" s="264" t="b">
        <f t="shared" si="73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74"/>
        <v>43646</v>
      </c>
      <c r="B195" s="607">
        <v>45.468000000000004</v>
      </c>
      <c r="C195" s="388"/>
      <c r="D195" s="391">
        <f t="shared" si="75"/>
        <v>45.617252497820942</v>
      </c>
      <c r="E195" s="383">
        <f t="shared" si="76"/>
        <v>46.176448074796937</v>
      </c>
      <c r="F195" s="383">
        <f t="shared" si="77"/>
        <v>46.176742952915681</v>
      </c>
      <c r="G195" s="110">
        <f t="shared" si="78"/>
        <v>0.76210767304387794</v>
      </c>
      <c r="I195" s="379">
        <f t="shared" si="52"/>
        <v>46.176742952915681</v>
      </c>
      <c r="J195" s="85">
        <v>2018</v>
      </c>
      <c r="K195" s="197">
        <f t="shared" si="53"/>
        <v>43646</v>
      </c>
      <c r="L195" s="435">
        <f t="shared" si="54"/>
        <v>3.2718432094978045E-3</v>
      </c>
      <c r="M195" s="842"/>
      <c r="N195" s="842"/>
      <c r="O195" s="323">
        <f t="shared" si="55"/>
        <v>1.2109973813278312E-2</v>
      </c>
      <c r="P195" s="169">
        <f>(INDEX(Models!$BJ195:$BT195,,T195)*(1-R195)+INDEX(Models!$BJ195:$BT195,,T195+1)*R195-ERP_i)*Q195*Ramure*Pc/MaxiM</f>
        <v>9.6732353849975435E-6</v>
      </c>
      <c r="Q195" s="304">
        <f t="shared" si="56"/>
        <v>0.7</v>
      </c>
      <c r="R195" s="177">
        <f t="shared" si="57"/>
        <v>1.2384232857780231E-2</v>
      </c>
      <c r="S195" s="799">
        <f t="shared" si="79"/>
        <v>-1</v>
      </c>
      <c r="T195" s="176">
        <f t="shared" si="58"/>
        <v>5</v>
      </c>
      <c r="U195" s="250">
        <f t="shared" si="59"/>
        <v>-0.98761576714221977</v>
      </c>
      <c r="V195" s="382">
        <f t="shared" si="60"/>
        <v>59.660664938546269</v>
      </c>
      <c r="W195" s="58"/>
      <c r="X195" s="157">
        <f t="shared" si="61"/>
        <v>43646</v>
      </c>
      <c r="Y195" s="383">
        <f t="shared" si="62"/>
        <v>45.467775084935852</v>
      </c>
      <c r="Z195" s="383">
        <f t="shared" si="63"/>
        <v>45.617026844454358</v>
      </c>
      <c r="AA195" s="384">
        <f t="shared" si="64"/>
        <v>46.176219655275936</v>
      </c>
      <c r="AB195" s="197">
        <f t="shared" si="65"/>
        <v>43646</v>
      </c>
      <c r="AC195" s="424">
        <f t="shared" si="66"/>
        <v>1.2109973813278312E-2</v>
      </c>
      <c r="AD195" s="169">
        <f>(INDEX(Models!$BJ195:$BT195,,AH195)*(1-AF195)+INDEX(Models!$BJ195:$BT195,,AH195+1)*AF195-ERP_i)*AE195*Ramure*Pc/MaxiM</f>
        <v>1.7166350854172593E-5</v>
      </c>
      <c r="AE195" s="304">
        <f t="shared" si="67"/>
        <v>0.7</v>
      </c>
      <c r="AF195" s="177">
        <f t="shared" si="68"/>
        <v>7.6716455117612492E-2</v>
      </c>
      <c r="AG195" s="799">
        <f t="shared" si="69"/>
        <v>-1</v>
      </c>
      <c r="AH195" s="176">
        <f t="shared" si="70"/>
        <v>5</v>
      </c>
      <c r="AI195" s="224">
        <f t="shared" si="71"/>
        <v>-0.92328354488238751</v>
      </c>
      <c r="AJ195" s="264" t="b">
        <f t="shared" si="72"/>
        <v>0</v>
      </c>
      <c r="AK195" s="264" t="b">
        <f t="shared" si="73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74"/>
        <v>43647</v>
      </c>
      <c r="B196" s="607">
        <v>19.475000000000001</v>
      </c>
      <c r="C196" s="388"/>
      <c r="D196" s="391">
        <f t="shared" si="75"/>
        <v>19.539302776191722</v>
      </c>
      <c r="E196" s="383">
        <f t="shared" si="76"/>
        <v>19.780195912283151</v>
      </c>
      <c r="F196" s="383">
        <f t="shared" si="77"/>
        <v>19.780203637933237</v>
      </c>
      <c r="G196" s="110">
        <f t="shared" si="78"/>
        <v>0.32698561991207109</v>
      </c>
      <c r="I196" s="379">
        <f t="shared" si="52"/>
        <v>19.780203637933237</v>
      </c>
      <c r="J196" s="85">
        <v>2018</v>
      </c>
      <c r="K196" s="197">
        <f t="shared" si="53"/>
        <v>43647</v>
      </c>
      <c r="L196" s="435">
        <f t="shared" si="54"/>
        <v>3.2909452772323933E-3</v>
      </c>
      <c r="M196" s="842"/>
      <c r="N196" s="842"/>
      <c r="O196" s="323">
        <f t="shared" si="55"/>
        <v>1.2178501019893267E-2</v>
      </c>
      <c r="P196" s="169">
        <f>(INDEX(Models!$BJ196:$BT196,,T196)*(1-R196)+INDEX(Models!$BJ196:$BT196,,T196+1)*R196-ERP_i)*Q196*Ramure*Pc/MaxiM</f>
        <v>1.0130215064717931E-5</v>
      </c>
      <c r="Q196" s="304">
        <f t="shared" si="56"/>
        <v>0.7</v>
      </c>
      <c r="R196" s="177">
        <f t="shared" si="57"/>
        <v>1.5848846874534472E-2</v>
      </c>
      <c r="S196" s="799">
        <f t="shared" si="79"/>
        <v>-1</v>
      </c>
      <c r="T196" s="176">
        <f t="shared" si="58"/>
        <v>5</v>
      </c>
      <c r="U196" s="250">
        <f t="shared" si="59"/>
        <v>-0.98415115312546553</v>
      </c>
      <c r="V196" s="382">
        <f t="shared" si="60"/>
        <v>59.558614001648372</v>
      </c>
      <c r="W196" s="58"/>
      <c r="X196" s="157">
        <f t="shared" si="61"/>
        <v>43647</v>
      </c>
      <c r="Y196" s="383">
        <f t="shared" si="62"/>
        <v>19.474994354497685</v>
      </c>
      <c r="Z196" s="383">
        <f t="shared" si="63"/>
        <v>19.539297112049024</v>
      </c>
      <c r="AA196" s="384">
        <f t="shared" si="64"/>
        <v>19.780190178309244</v>
      </c>
      <c r="AB196" s="197">
        <f t="shared" si="65"/>
        <v>43647</v>
      </c>
      <c r="AC196" s="424">
        <f t="shared" si="66"/>
        <v>1.2178501019893267E-2</v>
      </c>
      <c r="AD196" s="169">
        <f>(INDEX(Models!$BJ196:$BT196,,AH196)*(1-AF196)+INDEX(Models!$BJ196:$BT196,,AH196+1)*AF196-ERP_i)*AE196*Ramure*Pc/MaxiM</f>
        <v>1.7648855978977594E-5</v>
      </c>
      <c r="AE196" s="304">
        <f t="shared" si="67"/>
        <v>0.7</v>
      </c>
      <c r="AF196" s="177">
        <f t="shared" si="68"/>
        <v>8.0181069134366734E-2</v>
      </c>
      <c r="AG196" s="799">
        <f t="shared" si="69"/>
        <v>-1</v>
      </c>
      <c r="AH196" s="176">
        <f t="shared" si="70"/>
        <v>5</v>
      </c>
      <c r="AI196" s="224">
        <f t="shared" si="71"/>
        <v>-0.91981893086563327</v>
      </c>
      <c r="AJ196" s="264" t="b">
        <f t="shared" si="72"/>
        <v>0</v>
      </c>
      <c r="AK196" s="264" t="b">
        <f t="shared" si="73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74"/>
        <v>43648</v>
      </c>
      <c r="B197" s="607">
        <v>29.036000000000001</v>
      </c>
      <c r="C197" s="388"/>
      <c r="D197" s="391">
        <f t="shared" si="75"/>
        <v>29.132429710952181</v>
      </c>
      <c r="E197" s="383">
        <f t="shared" si="76"/>
        <v>29.493632767768858</v>
      </c>
      <c r="F197" s="383">
        <f t="shared" si="77"/>
        <v>29.493716752595386</v>
      </c>
      <c r="G197" s="110">
        <f t="shared" si="78"/>
        <v>0.48837357861766578</v>
      </c>
      <c r="I197" s="379">
        <f t="shared" si="52"/>
        <v>29.493716752595386</v>
      </c>
      <c r="J197" s="85">
        <v>2018</v>
      </c>
      <c r="K197" s="197">
        <f t="shared" si="53"/>
        <v>43648</v>
      </c>
      <c r="L197" s="435">
        <f t="shared" si="54"/>
        <v>3.3100469788802656E-3</v>
      </c>
      <c r="M197" s="842"/>
      <c r="N197" s="842"/>
      <c r="O197" s="323">
        <f t="shared" si="55"/>
        <v>1.2246814750179085E-2</v>
      </c>
      <c r="P197" s="169">
        <f>(INDEX(Models!$BJ197:$BT197,,T197)*(1-R197)+INDEX(Models!$BJ197:$BT197,,T197+1)*R197-ERP_i)*Q197*Ramure*Pc/MaxiM</f>
        <v>1.0581339972341717E-5</v>
      </c>
      <c r="Q197" s="304">
        <f t="shared" si="56"/>
        <v>0.7</v>
      </c>
      <c r="R197" s="177">
        <f t="shared" si="57"/>
        <v>1.9256059120662972E-2</v>
      </c>
      <c r="S197" s="799">
        <f t="shared" si="79"/>
        <v>-1</v>
      </c>
      <c r="T197" s="176">
        <f t="shared" si="58"/>
        <v>5</v>
      </c>
      <c r="U197" s="250">
        <f t="shared" si="59"/>
        <v>-0.98074394087933703</v>
      </c>
      <c r="V197" s="382">
        <f t="shared" si="60"/>
        <v>59.45402600036995</v>
      </c>
      <c r="W197" s="58"/>
      <c r="X197" s="157">
        <f t="shared" si="61"/>
        <v>43648</v>
      </c>
      <c r="Y197" s="383">
        <f t="shared" si="62"/>
        <v>29.0359410591876</v>
      </c>
      <c r="Z197" s="383">
        <f t="shared" si="63"/>
        <v>29.132370574394997</v>
      </c>
      <c r="AA197" s="384">
        <f t="shared" si="64"/>
        <v>29.493572897997677</v>
      </c>
      <c r="AB197" s="197">
        <f t="shared" si="65"/>
        <v>43648</v>
      </c>
      <c r="AC197" s="424">
        <f t="shared" si="66"/>
        <v>1.2246814750179085E-2</v>
      </c>
      <c r="AD197" s="169">
        <f>(INDEX(Models!$BJ197:$BT197,,AH197)*(1-AF197)+INDEX(Models!$BJ197:$BT197,,AH197+1)*AF197-ERP_i)*AE197*Ramure*Pc/MaxiM</f>
        <v>1.8124397797852961E-5</v>
      </c>
      <c r="AE197" s="304">
        <f t="shared" si="67"/>
        <v>0.7</v>
      </c>
      <c r="AF197" s="177">
        <f t="shared" si="68"/>
        <v>8.3588281380495233E-2</v>
      </c>
      <c r="AG197" s="799">
        <f t="shared" si="69"/>
        <v>-1</v>
      </c>
      <c r="AH197" s="176">
        <f t="shared" si="70"/>
        <v>5</v>
      </c>
      <c r="AI197" s="224">
        <f t="shared" si="71"/>
        <v>-0.91641171861950477</v>
      </c>
      <c r="AJ197" s="264" t="b">
        <f t="shared" si="72"/>
        <v>0</v>
      </c>
      <c r="AK197" s="264" t="b">
        <f t="shared" si="73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74"/>
        <v>43649</v>
      </c>
      <c r="B198" s="607">
        <v>47.628999999999998</v>
      </c>
      <c r="C198" s="388"/>
      <c r="D198" s="391">
        <f t="shared" si="75"/>
        <v>47.788093651430358</v>
      </c>
      <c r="E198" s="383">
        <f t="shared" si="76"/>
        <v>48.383937793710736</v>
      </c>
      <c r="F198" s="383">
        <f t="shared" si="77"/>
        <v>48.384320538752554</v>
      </c>
      <c r="G198" s="110">
        <f t="shared" si="78"/>
        <v>0.80254558938241927</v>
      </c>
      <c r="I198" s="379">
        <f t="shared" si="52"/>
        <v>48.384320538752554</v>
      </c>
      <c r="J198" s="85">
        <v>2018</v>
      </c>
      <c r="K198" s="197">
        <f t="shared" si="53"/>
        <v>43649</v>
      </c>
      <c r="L198" s="435">
        <f t="shared" si="54"/>
        <v>3.3291483144484157E-3</v>
      </c>
      <c r="M198" s="842"/>
      <c r="N198" s="842"/>
      <c r="O198" s="323">
        <f t="shared" si="55"/>
        <v>1.2314916260450165E-2</v>
      </c>
      <c r="P198" s="169">
        <f>(INDEX(Models!$BJ198:$BT198,,T198)*(1-R198)+INDEX(Models!$BJ198:$BT198,,T198+1)*R198-ERP_i)*Q198*Ramure*Pc/MaxiM</f>
        <v>1.1018572801864619E-5</v>
      </c>
      <c r="Q198" s="304">
        <f t="shared" si="56"/>
        <v>0.7</v>
      </c>
      <c r="R198" s="177">
        <f t="shared" si="57"/>
        <v>2.2604479734500194E-2</v>
      </c>
      <c r="S198" s="799">
        <f t="shared" si="79"/>
        <v>-1</v>
      </c>
      <c r="T198" s="176">
        <f t="shared" si="58"/>
        <v>5</v>
      </c>
      <c r="U198" s="250">
        <f t="shared" si="59"/>
        <v>-0.97739552026549981</v>
      </c>
      <c r="V198" s="382">
        <f t="shared" si="60"/>
        <v>59.347222881059935</v>
      </c>
      <c r="W198" s="58"/>
      <c r="X198" s="157">
        <f t="shared" si="61"/>
        <v>43649</v>
      </c>
      <c r="Y198" s="383">
        <f t="shared" si="62"/>
        <v>47.628741307469099</v>
      </c>
      <c r="Z198" s="383">
        <f t="shared" si="63"/>
        <v>47.787834094796935</v>
      </c>
      <c r="AA198" s="384">
        <f t="shared" si="64"/>
        <v>48.383675000804679</v>
      </c>
      <c r="AB198" s="197">
        <f t="shared" si="65"/>
        <v>43649</v>
      </c>
      <c r="AC198" s="424">
        <f t="shared" si="66"/>
        <v>1.2314916260450165E-2</v>
      </c>
      <c r="AD198" s="169">
        <f>(INDEX(Models!$BJ198:$BT198,,AH198)*(1-AF198)+INDEX(Models!$BJ198:$BT198,,AH198+1)*AF198-ERP_i)*AE198*Ramure*Pc/MaxiM</f>
        <v>1.8583929503728338E-5</v>
      </c>
      <c r="AE198" s="304">
        <f t="shared" si="67"/>
        <v>0.7</v>
      </c>
      <c r="AF198" s="177">
        <f t="shared" si="68"/>
        <v>8.6936701994332344E-2</v>
      </c>
      <c r="AG198" s="799">
        <f t="shared" si="69"/>
        <v>-1</v>
      </c>
      <c r="AH198" s="176">
        <f t="shared" si="70"/>
        <v>5</v>
      </c>
      <c r="AI198" s="224">
        <f t="shared" si="71"/>
        <v>-0.91306329800566766</v>
      </c>
      <c r="AJ198" s="264" t="b">
        <f t="shared" si="72"/>
        <v>0</v>
      </c>
      <c r="AK198" s="264" t="b">
        <f t="shared" si="73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74"/>
        <v>43650</v>
      </c>
      <c r="B199" s="607">
        <v>57.878999999999998</v>
      </c>
      <c r="C199" s="388"/>
      <c r="D199" s="391">
        <f t="shared" si="75"/>
        <v>58.073444368523056</v>
      </c>
      <c r="E199" s="383">
        <f t="shared" si="76"/>
        <v>58.801572913408457</v>
      </c>
      <c r="F199" s="383">
        <f t="shared" si="77"/>
        <v>58.802223324731905</v>
      </c>
      <c r="G199" s="110">
        <f t="shared" si="78"/>
        <v>0.97704959748849851</v>
      </c>
      <c r="I199" s="379">
        <f t="shared" si="52"/>
        <v>58.802223324731905</v>
      </c>
      <c r="J199" s="85">
        <v>2018</v>
      </c>
      <c r="K199" s="197">
        <f t="shared" si="53"/>
        <v>43650</v>
      </c>
      <c r="L199" s="435">
        <f t="shared" si="54"/>
        <v>3.3482492839438383E-3</v>
      </c>
      <c r="M199" s="842"/>
      <c r="N199" s="842"/>
      <c r="O199" s="323">
        <f t="shared" si="55"/>
        <v>1.2382807275540839E-2</v>
      </c>
      <c r="P199" s="169">
        <f>(INDEX(Models!$BJ199:$BT199,,T199)*(1-R199)+INDEX(Models!$BJ199:$BT199,,T199+1)*R199-ERP_i)*Q199*Ramure*Pc/MaxiM</f>
        <v>1.1435934709916953E-5</v>
      </c>
      <c r="Q199" s="304">
        <f t="shared" si="56"/>
        <v>0.7</v>
      </c>
      <c r="R199" s="177">
        <f t="shared" si="57"/>
        <v>2.5892863913665853E-2</v>
      </c>
      <c r="S199" s="799">
        <f t="shared" si="79"/>
        <v>-1</v>
      </c>
      <c r="T199" s="176">
        <f t="shared" si="58"/>
        <v>5</v>
      </c>
      <c r="U199" s="250">
        <f t="shared" si="59"/>
        <v>-0.97410713608633415</v>
      </c>
      <c r="V199" s="382">
        <f t="shared" si="60"/>
        <v>59.238526322127221</v>
      </c>
      <c r="W199" s="58"/>
      <c r="X199" s="157">
        <f t="shared" si="61"/>
        <v>43650</v>
      </c>
      <c r="Y199" s="383">
        <f t="shared" si="62"/>
        <v>57.878575448402025</v>
      </c>
      <c r="Z199" s="383">
        <f t="shared" si="63"/>
        <v>58.073018390644961</v>
      </c>
      <c r="AA199" s="384">
        <f t="shared" si="64"/>
        <v>58.801141594592593</v>
      </c>
      <c r="AB199" s="197">
        <f t="shared" si="65"/>
        <v>43650</v>
      </c>
      <c r="AC199" s="424">
        <f t="shared" si="66"/>
        <v>1.2382807275540839E-2</v>
      </c>
      <c r="AD199" s="169">
        <f>(INDEX(Models!$BJ199:$BT199,,AH199)*(1-AF199)+INDEX(Models!$BJ199:$BT199,,AH199+1)*AF199-ERP_i)*AE199*Ramure*Pc/MaxiM</f>
        <v>1.9019649260217453E-5</v>
      </c>
      <c r="AE199" s="304">
        <f t="shared" si="67"/>
        <v>0.7</v>
      </c>
      <c r="AF199" s="177">
        <f t="shared" si="68"/>
        <v>9.0225086173498115E-2</v>
      </c>
      <c r="AG199" s="799">
        <f t="shared" si="69"/>
        <v>-1</v>
      </c>
      <c r="AH199" s="176">
        <f t="shared" si="70"/>
        <v>5</v>
      </c>
      <c r="AI199" s="224">
        <f t="shared" si="71"/>
        <v>-0.90977491382650189</v>
      </c>
      <c r="AJ199" s="264" t="b">
        <f t="shared" si="72"/>
        <v>0</v>
      </c>
      <c r="AK199" s="264" t="b">
        <f t="shared" si="73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74"/>
        <v>43651</v>
      </c>
      <c r="B200" s="607">
        <v>56.411000000000001</v>
      </c>
      <c r="C200" s="388"/>
      <c r="D200" s="391">
        <f t="shared" si="75"/>
        <v>56.601597382571363</v>
      </c>
      <c r="E200" s="383">
        <f t="shared" si="76"/>
        <v>57.315199701229766</v>
      </c>
      <c r="F200" s="383">
        <f t="shared" si="77"/>
        <v>57.31583336773447</v>
      </c>
      <c r="G200" s="110">
        <f t="shared" si="78"/>
        <v>0.95404394632931167</v>
      </c>
      <c r="I200" s="379">
        <f t="shared" si="52"/>
        <v>57.31583336773447</v>
      </c>
      <c r="J200" s="85">
        <v>2018</v>
      </c>
      <c r="K200" s="197">
        <f t="shared" si="53"/>
        <v>43651</v>
      </c>
      <c r="L200" s="435">
        <f t="shared" si="54"/>
        <v>3.3673498873735275E-3</v>
      </c>
      <c r="M200" s="842"/>
      <c r="N200" s="842"/>
      <c r="O200" s="323">
        <f t="shared" si="55"/>
        <v>1.2450489963888128E-2</v>
      </c>
      <c r="P200" s="169">
        <f>(INDEX(Models!$BJ200:$BT200,,T200)*(1-R200)+INDEX(Models!$BJ200:$BT200,,T200+1)*R200-ERP_i)*Q200*Ramure*Pc/MaxiM</f>
        <v>1.1832506653711242E-5</v>
      </c>
      <c r="Q200" s="304">
        <f t="shared" si="56"/>
        <v>0.7</v>
      </c>
      <c r="R200" s="177">
        <f t="shared" si="57"/>
        <v>2.9120110601644988E-2</v>
      </c>
      <c r="S200" s="799">
        <f t="shared" si="79"/>
        <v>-1</v>
      </c>
      <c r="T200" s="176">
        <f t="shared" si="58"/>
        <v>5</v>
      </c>
      <c r="U200" s="250">
        <f t="shared" si="59"/>
        <v>-0.97087988939835501</v>
      </c>
      <c r="V200" s="382">
        <f t="shared" si="60"/>
        <v>59.128257556651313</v>
      </c>
      <c r="W200" s="58"/>
      <c r="X200" s="157">
        <f t="shared" si="61"/>
        <v>43651</v>
      </c>
      <c r="Y200" s="383">
        <f t="shared" si="62"/>
        <v>56.410599518841892</v>
      </c>
      <c r="Z200" s="383">
        <f t="shared" si="63"/>
        <v>56.601195548296658</v>
      </c>
      <c r="AA200" s="384">
        <f t="shared" si="64"/>
        <v>57.314792800845915</v>
      </c>
      <c r="AB200" s="197">
        <f t="shared" si="65"/>
        <v>43651</v>
      </c>
      <c r="AC200" s="424">
        <f t="shared" si="66"/>
        <v>1.2450489963888128E-2</v>
      </c>
      <c r="AD200" s="169">
        <f>(INDEX(Models!$BJ200:$BT200,,AH200)*(1-AF200)+INDEX(Models!$BJ200:$BT200,,AH200+1)*AF200-ERP_i)*AE200*Ramure*Pc/MaxiM</f>
        <v>1.9430590919649667E-5</v>
      </c>
      <c r="AE200" s="304">
        <f t="shared" si="67"/>
        <v>0.7</v>
      </c>
      <c r="AF200" s="177">
        <f t="shared" si="68"/>
        <v>9.3452332861477139E-2</v>
      </c>
      <c r="AG200" s="799">
        <f t="shared" si="69"/>
        <v>-1</v>
      </c>
      <c r="AH200" s="176">
        <f t="shared" si="70"/>
        <v>5</v>
      </c>
      <c r="AI200" s="224">
        <f t="shared" si="71"/>
        <v>-0.90654766713852286</v>
      </c>
      <c r="AJ200" s="264" t="b">
        <f t="shared" si="72"/>
        <v>0</v>
      </c>
      <c r="AK200" s="264" t="b">
        <f t="shared" si="73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ref="A201:A207" si="80">A200+1</f>
        <v>43652</v>
      </c>
      <c r="B201" s="607">
        <v>54.018999999999998</v>
      </c>
      <c r="C201" s="388"/>
      <c r="D201" s="391">
        <f t="shared" ref="D201:D206" si="81">Wh/(1-Ppv)</f>
        <v>54.202554246589834</v>
      </c>
      <c r="E201" s="383">
        <f t="shared" ref="E201:E232" si="82">Wh_pvt/(1-Psa)</f>
        <v>54.889661209320387</v>
      </c>
      <c r="F201" s="383">
        <f t="shared" ref="F201:F228" si="83">Wh_sa/(1-Pvg*MEDIAN((-Sdif+Wh/Env_an)/Csdif,0,1))</f>
        <v>54.890250214351781</v>
      </c>
      <c r="G201" s="110">
        <f t="shared" ref="G201:G232" si="84">+Wh_hp/MaxiM</f>
        <v>0.91531525376966327</v>
      </c>
      <c r="I201" s="379">
        <f t="shared" si="52"/>
        <v>54.890250214351781</v>
      </c>
      <c r="J201" s="85">
        <v>2018</v>
      </c>
      <c r="K201" s="197">
        <f t="shared" si="53"/>
        <v>43652</v>
      </c>
      <c r="L201" s="435">
        <f t="shared" si="54"/>
        <v>3.3864501247444778E-3</v>
      </c>
      <c r="M201" s="842"/>
      <c r="N201" s="842"/>
      <c r="O201" s="323">
        <f t="shared" si="55"/>
        <v>1.2517966910203505E-2</v>
      </c>
      <c r="P201" s="169">
        <f>(INDEX(Models!$BJ201:$BT201,,T201)*(1-R201)+INDEX(Models!$BJ201:$BT201,,T201+1)*R201-ERP_i)*Q201*Ramure*Pc/MaxiM</f>
        <v>1.2207400654321301E-5</v>
      </c>
      <c r="Q201" s="304">
        <f t="shared" si="56"/>
        <v>0.7</v>
      </c>
      <c r="R201" s="177">
        <f t="shared" si="57"/>
        <v>3.2285260570545815E-2</v>
      </c>
      <c r="S201" s="799">
        <f t="shared" si="79"/>
        <v>-1</v>
      </c>
      <c r="T201" s="176">
        <f t="shared" si="58"/>
        <v>5</v>
      </c>
      <c r="U201" s="250">
        <f t="shared" si="59"/>
        <v>-0.96771473942945418</v>
      </c>
      <c r="V201" s="382">
        <f t="shared" si="60"/>
        <v>59.016737677093424</v>
      </c>
      <c r="W201" s="58"/>
      <c r="X201" s="157">
        <f t="shared" si="61"/>
        <v>43652</v>
      </c>
      <c r="Y201" s="383">
        <f t="shared" si="62"/>
        <v>54.0186387180688</v>
      </c>
      <c r="Z201" s="383">
        <f t="shared" si="63"/>
        <v>54.20219173703812</v>
      </c>
      <c r="AA201" s="384">
        <f t="shared" si="64"/>
        <v>54.889294104360935</v>
      </c>
      <c r="AB201" s="197">
        <f t="shared" si="65"/>
        <v>43652</v>
      </c>
      <c r="AC201" s="424">
        <f t="shared" si="66"/>
        <v>1.2517966910203505E-2</v>
      </c>
      <c r="AD201" s="169">
        <f>(INDEX(Models!$BJ201:$BT201,,AH201)*(1-AF201)+INDEX(Models!$BJ201:$BT201,,AH201+1)*AF201-ERP_i)*AE201*Ramure*Pc/MaxiM</f>
        <v>1.9815820078993668E-5</v>
      </c>
      <c r="AE201" s="304">
        <f t="shared" si="67"/>
        <v>0.7</v>
      </c>
      <c r="AF201" s="177">
        <f t="shared" si="68"/>
        <v>9.6617482830378076E-2</v>
      </c>
      <c r="AG201" s="799">
        <f t="shared" si="69"/>
        <v>-1</v>
      </c>
      <c r="AH201" s="176">
        <f t="shared" si="70"/>
        <v>5</v>
      </c>
      <c r="AI201" s="224">
        <f t="shared" si="71"/>
        <v>-0.90338251716962192</v>
      </c>
      <c r="AJ201" s="264" t="b">
        <f t="shared" si="72"/>
        <v>0</v>
      </c>
      <c r="AK201" s="264" t="b">
        <f t="shared" si="73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80"/>
        <v>43653</v>
      </c>
      <c r="B202" s="607">
        <v>47.298000000000002</v>
      </c>
      <c r="C202" s="388"/>
      <c r="D202" s="391">
        <f t="shared" si="81"/>
        <v>47.459626129578773</v>
      </c>
      <c r="E202" s="383">
        <f t="shared" si="82"/>
        <v>48.064529825111272</v>
      </c>
      <c r="F202" s="383">
        <f t="shared" si="83"/>
        <v>48.064963584143612</v>
      </c>
      <c r="G202" s="110">
        <f t="shared" si="84"/>
        <v>0.8029607806574629</v>
      </c>
      <c r="I202" s="379">
        <f t="shared" si="52"/>
        <v>48.064963584143612</v>
      </c>
      <c r="J202" s="85">
        <v>2018</v>
      </c>
      <c r="K202" s="197">
        <f t="shared" si="53"/>
        <v>43653</v>
      </c>
      <c r="L202" s="435">
        <f t="shared" si="54"/>
        <v>3.4055499960636837E-3</v>
      </c>
      <c r="M202" s="842"/>
      <c r="N202" s="842"/>
      <c r="O202" s="323">
        <f t="shared" si="55"/>
        <v>1.2585241085963417E-2</v>
      </c>
      <c r="P202" s="169">
        <f>(INDEX(Models!$BJ202:$BT202,,T202)*(1-R202)+INDEX(Models!$BJ202:$BT202,,T202+1)*R202-ERP_i)*Q202*Ramure*Pc/MaxiM</f>
        <v>1.2559761170173896E-5</v>
      </c>
      <c r="Q202" s="304">
        <f t="shared" si="56"/>
        <v>0.7</v>
      </c>
      <c r="R202" s="177">
        <f t="shared" si="57"/>
        <v>3.5387493942577564E-2</v>
      </c>
      <c r="S202" s="799">
        <f t="shared" si="79"/>
        <v>-1</v>
      </c>
      <c r="T202" s="176">
        <f t="shared" si="58"/>
        <v>5</v>
      </c>
      <c r="U202" s="250">
        <f t="shared" si="59"/>
        <v>-0.96461250605742244</v>
      </c>
      <c r="V202" s="382">
        <f t="shared" si="60"/>
        <v>58.904287636316184</v>
      </c>
      <c r="W202" s="58"/>
      <c r="X202" s="157">
        <f t="shared" si="61"/>
        <v>43653</v>
      </c>
      <c r="Y202" s="383">
        <f t="shared" si="62"/>
        <v>47.297741216512705</v>
      </c>
      <c r="Z202" s="383">
        <f t="shared" si="63"/>
        <v>47.459366461779801</v>
      </c>
      <c r="AA202" s="384">
        <f t="shared" si="64"/>
        <v>48.064266847677906</v>
      </c>
      <c r="AB202" s="197">
        <f t="shared" si="65"/>
        <v>43653</v>
      </c>
      <c r="AC202" s="424">
        <f t="shared" si="66"/>
        <v>1.2585241085963417E-2</v>
      </c>
      <c r="AD202" s="169">
        <f>(INDEX(Models!$BJ202:$BT202,,AH202)*(1-AF202)+INDEX(Models!$BJ202:$BT202,,AH202+1)*AF202-ERP_i)*AE202*Ramure*Pc/MaxiM</f>
        <v>2.0174435471042866E-5</v>
      </c>
      <c r="AE202" s="304">
        <f t="shared" si="67"/>
        <v>0.7</v>
      </c>
      <c r="AF202" s="177">
        <f t="shared" si="68"/>
        <v>9.9719716202409714E-2</v>
      </c>
      <c r="AG202" s="799">
        <f t="shared" si="69"/>
        <v>-1</v>
      </c>
      <c r="AH202" s="176">
        <f t="shared" si="70"/>
        <v>5</v>
      </c>
      <c r="AI202" s="224">
        <f t="shared" si="71"/>
        <v>-0.90028028379759029</v>
      </c>
      <c r="AJ202" s="264" t="b">
        <f t="shared" si="72"/>
        <v>0</v>
      </c>
      <c r="AK202" s="264" t="b">
        <f t="shared" si="73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80"/>
        <v>43654</v>
      </c>
      <c r="B203" s="607">
        <v>38.036000000000001</v>
      </c>
      <c r="C203" s="388"/>
      <c r="D203" s="391">
        <f t="shared" si="81"/>
        <v>38.166707596136838</v>
      </c>
      <c r="E203" s="383">
        <f t="shared" si="82"/>
        <v>38.655792896051551</v>
      </c>
      <c r="F203" s="383">
        <f t="shared" si="83"/>
        <v>38.656039851816239</v>
      </c>
      <c r="G203" s="110">
        <f t="shared" si="84"/>
        <v>0.6469630570310716</v>
      </c>
      <c r="I203" s="379">
        <f t="shared" si="52"/>
        <v>38.656039851816239</v>
      </c>
      <c r="J203" s="85">
        <v>2018</v>
      </c>
      <c r="K203" s="197">
        <f t="shared" si="53"/>
        <v>43654</v>
      </c>
      <c r="L203" s="435">
        <f t="shared" si="54"/>
        <v>3.4246495013383615E-3</v>
      </c>
      <c r="M203" s="842"/>
      <c r="N203" s="842"/>
      <c r="O203" s="323">
        <f t="shared" si="55"/>
        <v>1.2652315817965512E-2</v>
      </c>
      <c r="P203" s="169">
        <f>(INDEX(Models!$BJ203:$BT203,,T203)*(1-R203)+INDEX(Models!$BJ203:$BT203,,T203+1)*R203-ERP_i)*Q203*Ramure*Pc/MaxiM</f>
        <v>1.2888766280113497E-5</v>
      </c>
      <c r="Q203" s="304">
        <f t="shared" si="56"/>
        <v>0.7</v>
      </c>
      <c r="R203" s="177">
        <f t="shared" si="57"/>
        <v>3.8426127195059445E-2</v>
      </c>
      <c r="S203" s="799">
        <f t="shared" si="79"/>
        <v>-1</v>
      </c>
      <c r="T203" s="176">
        <f t="shared" si="58"/>
        <v>5</v>
      </c>
      <c r="U203" s="250">
        <f t="shared" si="59"/>
        <v>-0.96157387280494055</v>
      </c>
      <c r="V203" s="382">
        <f t="shared" si="60"/>
        <v>58.791228251063906</v>
      </c>
      <c r="W203" s="58"/>
      <c r="X203" s="157">
        <f t="shared" si="61"/>
        <v>43654</v>
      </c>
      <c r="Y203" s="383">
        <f t="shared" si="62"/>
        <v>38.035856397881652</v>
      </c>
      <c r="Z203" s="383">
        <f t="shared" si="63"/>
        <v>38.166563500541578</v>
      </c>
      <c r="AA203" s="384">
        <f t="shared" si="64"/>
        <v>38.655646953950743</v>
      </c>
      <c r="AB203" s="197">
        <f t="shared" si="65"/>
        <v>43654</v>
      </c>
      <c r="AC203" s="424">
        <f t="shared" si="66"/>
        <v>1.2652315817965512E-2</v>
      </c>
      <c r="AD203" s="169">
        <f>(INDEX(Models!$BJ203:$BT203,,AH203)*(1-AF203)+INDEX(Models!$BJ203:$BT203,,AH203+1)*AF203-ERP_i)*AE203*Ramure*Pc/MaxiM</f>
        <v>2.0505570164193935E-5</v>
      </c>
      <c r="AE203" s="304">
        <f t="shared" si="67"/>
        <v>0.7</v>
      </c>
      <c r="AF203" s="177">
        <f t="shared" si="68"/>
        <v>0.1027583494548916</v>
      </c>
      <c r="AG203" s="799">
        <f t="shared" si="69"/>
        <v>-1</v>
      </c>
      <c r="AH203" s="176">
        <f t="shared" si="70"/>
        <v>5</v>
      </c>
      <c r="AI203" s="224">
        <f t="shared" si="71"/>
        <v>-0.8972416505451084</v>
      </c>
      <c r="AJ203" s="264" t="b">
        <f t="shared" si="72"/>
        <v>0</v>
      </c>
      <c r="AK203" s="264" t="b">
        <f t="shared" si="73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80"/>
        <v>43655</v>
      </c>
      <c r="B204" s="607">
        <v>23.617999999999999</v>
      </c>
      <c r="C204" s="388"/>
      <c r="D204" s="391">
        <f t="shared" si="81"/>
        <v>23.699615518724762</v>
      </c>
      <c r="E204" s="383">
        <f t="shared" si="82"/>
        <v>24.004939013119621</v>
      </c>
      <c r="F204" s="383">
        <f t="shared" si="83"/>
        <v>24.004985390113237</v>
      </c>
      <c r="G204" s="110">
        <f t="shared" si="84"/>
        <v>0.4024980783047995</v>
      </c>
      <c r="I204" s="379">
        <f t="shared" si="52"/>
        <v>24.004985390113237</v>
      </c>
      <c r="J204" s="85">
        <v>2018</v>
      </c>
      <c r="K204" s="197">
        <f t="shared" si="53"/>
        <v>43655</v>
      </c>
      <c r="L204" s="435">
        <f t="shared" si="54"/>
        <v>3.4437486405752837E-3</v>
      </c>
      <c r="M204" s="842"/>
      <c r="N204" s="842"/>
      <c r="O204" s="323">
        <f t="shared" si="55"/>
        <v>1.2719194755212122E-2</v>
      </c>
      <c r="P204" s="169">
        <f>(INDEX(Models!$BJ204:$BT204,,T204)*(1-R204)+INDEX(Models!$BJ204:$BT204,,T204+1)*R204-ERP_i)*Q204*Ramure*Pc/MaxiM</f>
        <v>1.3193628685843435E-5</v>
      </c>
      <c r="Q204" s="304">
        <f t="shared" si="56"/>
        <v>0.7</v>
      </c>
      <c r="R204" s="177">
        <f t="shared" si="57"/>
        <v>4.1400609695421142E-2</v>
      </c>
      <c r="S204" s="799">
        <f t="shared" si="79"/>
        <v>-1</v>
      </c>
      <c r="T204" s="176">
        <f t="shared" si="58"/>
        <v>5</v>
      </c>
      <c r="U204" s="250">
        <f t="shared" si="59"/>
        <v>-0.95859939030457886</v>
      </c>
      <c r="V204" s="382">
        <f t="shared" si="60"/>
        <v>58.677880205497466</v>
      </c>
      <c r="W204" s="58"/>
      <c r="X204" s="157">
        <f t="shared" si="61"/>
        <v>43655</v>
      </c>
      <c r="Y204" s="383">
        <f t="shared" si="62"/>
        <v>23.617973664759532</v>
      </c>
      <c r="Z204" s="383">
        <f t="shared" si="63"/>
        <v>23.699589092478949</v>
      </c>
      <c r="AA204" s="384">
        <f t="shared" si="64"/>
        <v>24.004912246422979</v>
      </c>
      <c r="AB204" s="197">
        <f t="shared" si="65"/>
        <v>43655</v>
      </c>
      <c r="AC204" s="424">
        <f t="shared" si="66"/>
        <v>1.2719194755212122E-2</v>
      </c>
      <c r="AD204" s="169">
        <f>(INDEX(Models!$BJ204:$BT204,,AH204)*(1-AF204)+INDEX(Models!$BJ204:$BT204,,AH204+1)*AF204-ERP_i)*AE204*Ramure*Pc/MaxiM</f>
        <v>2.0808392582311526E-5</v>
      </c>
      <c r="AE204" s="304">
        <f t="shared" si="67"/>
        <v>0.7</v>
      </c>
      <c r="AF204" s="177">
        <f t="shared" si="68"/>
        <v>0.10573283195525329</v>
      </c>
      <c r="AG204" s="799">
        <f t="shared" si="69"/>
        <v>-1</v>
      </c>
      <c r="AH204" s="176">
        <f t="shared" si="70"/>
        <v>5</v>
      </c>
      <c r="AI204" s="224">
        <f t="shared" si="71"/>
        <v>-0.89426716804474671</v>
      </c>
      <c r="AJ204" s="264" t="b">
        <f t="shared" si="72"/>
        <v>0</v>
      </c>
      <c r="AK204" s="264" t="b">
        <f t="shared" si="73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80"/>
        <v>43656</v>
      </c>
      <c r="B205" s="607">
        <v>56.817999999999998</v>
      </c>
      <c r="C205" s="388"/>
      <c r="D205" s="391">
        <f t="shared" si="81"/>
        <v>57.015435754247221</v>
      </c>
      <c r="E205" s="383">
        <f t="shared" si="82"/>
        <v>57.753869910400645</v>
      </c>
      <c r="F205" s="383">
        <f t="shared" si="83"/>
        <v>57.754614952040882</v>
      </c>
      <c r="G205" s="110">
        <f t="shared" si="84"/>
        <v>0.97019368289970209</v>
      </c>
      <c r="I205" s="379">
        <f t="shared" si="52"/>
        <v>57.754614952040882</v>
      </c>
      <c r="J205" s="85">
        <v>2018</v>
      </c>
      <c r="K205" s="197">
        <f t="shared" si="53"/>
        <v>43656</v>
      </c>
      <c r="L205" s="435">
        <f t="shared" si="54"/>
        <v>3.4628474137815557E-3</v>
      </c>
      <c r="M205" s="842"/>
      <c r="N205" s="842"/>
      <c r="O205" s="323">
        <f t="shared" si="55"/>
        <v>1.278588183439531E-2</v>
      </c>
      <c r="P205" s="169">
        <f>(INDEX(Models!$BJ205:$BT205,,T205)*(1-R205)+INDEX(Models!$BJ205:$BT205,,T205+1)*R205-ERP_i)*Q205*Ramure*Pc/MaxiM</f>
        <v>1.3473834316116625E-5</v>
      </c>
      <c r="Q205" s="304">
        <f t="shared" si="56"/>
        <v>0.7</v>
      </c>
      <c r="R205" s="177">
        <f t="shared" si="57"/>
        <v>4.4310519813684057E-2</v>
      </c>
      <c r="S205" s="799">
        <f t="shared" si="79"/>
        <v>-1</v>
      </c>
      <c r="T205" s="176">
        <f t="shared" si="58"/>
        <v>5</v>
      </c>
      <c r="U205" s="250">
        <f t="shared" si="59"/>
        <v>-0.95568948018631594</v>
      </c>
      <c r="V205" s="382">
        <f t="shared" si="60"/>
        <v>58.56353056498638</v>
      </c>
      <c r="W205" s="58"/>
      <c r="X205" s="157">
        <f t="shared" si="61"/>
        <v>43656</v>
      </c>
      <c r="Y205" s="383">
        <f t="shared" si="62"/>
        <v>56.817586094190894</v>
      </c>
      <c r="Z205" s="383">
        <f t="shared" si="63"/>
        <v>57.015020410164936</v>
      </c>
      <c r="AA205" s="384">
        <f t="shared" si="64"/>
        <v>57.753449186998658</v>
      </c>
      <c r="AB205" s="197">
        <f t="shared" si="65"/>
        <v>43656</v>
      </c>
      <c r="AC205" s="424">
        <f t="shared" si="66"/>
        <v>1.278588183439531E-2</v>
      </c>
      <c r="AD205" s="169">
        <f>(INDEX(Models!$BJ205:$BT205,,AH205)*(1-AF205)+INDEX(Models!$BJ205:$BT205,,AH205+1)*AF205-ERP_i)*AE205*Ramure*Pc/MaxiM</f>
        <v>2.1082479397364178E-5</v>
      </c>
      <c r="AE205" s="304">
        <f t="shared" si="67"/>
        <v>0.7</v>
      </c>
      <c r="AF205" s="177">
        <f t="shared" si="68"/>
        <v>0.10864274207351632</v>
      </c>
      <c r="AG205" s="799">
        <f t="shared" si="69"/>
        <v>-1</v>
      </c>
      <c r="AH205" s="176">
        <f t="shared" si="70"/>
        <v>5</v>
      </c>
      <c r="AI205" s="224">
        <f t="shared" si="71"/>
        <v>-0.89135725792648368</v>
      </c>
      <c r="AJ205" s="264" t="b">
        <f t="shared" si="72"/>
        <v>0</v>
      </c>
      <c r="AK205" s="264" t="b">
        <f t="shared" si="73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80"/>
        <v>43657</v>
      </c>
      <c r="B206" s="607">
        <v>57.085999999999999</v>
      </c>
      <c r="C206" s="388"/>
      <c r="D206" s="391">
        <f t="shared" si="81"/>
        <v>57.285464885058516</v>
      </c>
      <c r="E206" s="383">
        <f t="shared" si="82"/>
        <v>58.031305345460858</v>
      </c>
      <c r="F206" s="383">
        <f t="shared" si="83"/>
        <v>58.03207866600949</v>
      </c>
      <c r="G206" s="110">
        <f t="shared" si="84"/>
        <v>0.97670813628707198</v>
      </c>
      <c r="I206" s="379">
        <f t="shared" si="52"/>
        <v>58.03207866600949</v>
      </c>
      <c r="J206" s="85">
        <v>2018</v>
      </c>
      <c r="K206" s="197">
        <f t="shared" si="53"/>
        <v>43657</v>
      </c>
      <c r="L206" s="435">
        <f t="shared" si="54"/>
        <v>3.4819458209641718E-3</v>
      </c>
      <c r="M206" s="842"/>
      <c r="N206" s="842"/>
      <c r="O206" s="323">
        <f t="shared" si="55"/>
        <v>1.285238124426712E-2</v>
      </c>
      <c r="P206" s="169">
        <f>(INDEX(Models!$BJ206:$BT206,,T206)*(1-R206)+INDEX(Models!$BJ206:$BT206,,T206+1)*R206-ERP_i)*Q206*Ramure*Pc/MaxiM</f>
        <v>1.3784397164062972E-5</v>
      </c>
      <c r="Q206" s="304">
        <f t="shared" si="56"/>
        <v>0.7</v>
      </c>
      <c r="R206" s="177">
        <f t="shared" si="57"/>
        <v>4.7155560660375517E-2</v>
      </c>
      <c r="S206" s="799">
        <f t="shared" si="79"/>
        <v>-1</v>
      </c>
      <c r="T206" s="176">
        <f t="shared" si="58"/>
        <v>5</v>
      </c>
      <c r="U206" s="250">
        <f t="shared" si="59"/>
        <v>-0.95284443933962448</v>
      </c>
      <c r="V206" s="382">
        <f t="shared" si="60"/>
        <v>58.447320848491167</v>
      </c>
      <c r="W206" s="58"/>
      <c r="X206" s="157">
        <f t="shared" si="61"/>
        <v>43657</v>
      </c>
      <c r="Y206" s="383">
        <f t="shared" si="62"/>
        <v>57.085577022709479</v>
      </c>
      <c r="Z206" s="383">
        <f t="shared" si="63"/>
        <v>57.28504042983792</v>
      </c>
      <c r="AA206" s="384">
        <f t="shared" si="64"/>
        <v>58.030875363954003</v>
      </c>
      <c r="AB206" s="197">
        <f t="shared" si="65"/>
        <v>43657</v>
      </c>
      <c r="AC206" s="424">
        <f t="shared" si="66"/>
        <v>1.285238124426712E-2</v>
      </c>
      <c r="AD206" s="169">
        <f>(INDEX(Models!$BJ206:$BT206,,AH206)*(1-AF206)+INDEX(Models!$BJ206:$BT206,,AH206+1)*AF206-ERP_i)*AE206*Ramure*Pc/MaxiM</f>
        <v>2.1448794384812757E-5</v>
      </c>
      <c r="AE206" s="304">
        <f t="shared" si="67"/>
        <v>0.7</v>
      </c>
      <c r="AF206" s="177">
        <f t="shared" si="68"/>
        <v>0.11148778292020767</v>
      </c>
      <c r="AG206" s="799">
        <f t="shared" si="69"/>
        <v>-1</v>
      </c>
      <c r="AH206" s="176">
        <f t="shared" si="70"/>
        <v>5</v>
      </c>
      <c r="AI206" s="224">
        <f t="shared" si="71"/>
        <v>-0.88851221707979233</v>
      </c>
      <c r="AJ206" s="264" t="b">
        <f t="shared" si="72"/>
        <v>0</v>
      </c>
      <c r="AK206" s="264" t="b">
        <f t="shared" si="73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80"/>
        <v>43658</v>
      </c>
      <c r="B207" s="607">
        <v>55.677</v>
      </c>
      <c r="C207" s="388"/>
      <c r="D207" s="391">
        <f t="shared" ref="D207:D270" si="85">Wh/(1-Ppv)</f>
        <v>55.872612466938556</v>
      </c>
      <c r="E207" s="383">
        <f t="shared" si="82"/>
        <v>56.60386061326092</v>
      </c>
      <c r="F207" s="383">
        <f t="shared" si="83"/>
        <v>56.604609123594045</v>
      </c>
      <c r="G207" s="110">
        <f t="shared" si="84"/>
        <v>0.95452704397046406</v>
      </c>
      <c r="I207" s="379">
        <f t="shared" ref="I207:I270" si="86">Wh_hp</f>
        <v>56.604609123594045</v>
      </c>
      <c r="J207" s="85">
        <v>2018</v>
      </c>
      <c r="K207" s="197">
        <f t="shared" ref="K207:K270" si="87">t</f>
        <v>43658</v>
      </c>
      <c r="L207" s="435">
        <f t="shared" ref="L207:L270" si="88">IF(t&lt;T0,0,IF(t&lt;Tvie,1-EXP((T0-t)*PertePVj),1-EXP((T0-t)*PertePVj)+Pspv))</f>
        <v>3.5010438621302375E-3</v>
      </c>
      <c r="M207" s="842"/>
      <c r="N207" s="842"/>
      <c r="O207" s="323">
        <f t="shared" ref="O207:O270" si="89">IF(t&lt;T0,0,IF(t&lt;Tnet,Salim_i*(1-EXP((T0-t)/Tau_ij)),Resal+(Salim-Resal)*(1-EXP((Tnet-t)/(Tau_j)))))*Salcycl</f>
        <v>1.2918697389185765E-2</v>
      </c>
      <c r="P207" s="169">
        <f>(INDEX(Models!$BJ207:$BT207,,T207)*(1-R207)+INDEX(Models!$BJ207:$BT207,,T207+1)*R207-ERP_i)*Q207*Ramure*Pc/MaxiM</f>
        <v>1.4142163924430207E-5</v>
      </c>
      <c r="Q207" s="304">
        <f t="shared" ref="Q207:Q270" si="90">IF(OR(t&lt;Ttai,Notai),Dd+PousD*Croivg,Dens+PousD*(Croivg-Croi_tai))</f>
        <v>0.7</v>
      </c>
      <c r="R207" s="177">
        <f t="shared" ref="R207:R270" si="91">(Hp_vg-S207)/(INDEX(Echel_vg,T207+1)-S207)</f>
        <v>4.9935555497750084E-2</v>
      </c>
      <c r="S207" s="799">
        <f t="shared" si="79"/>
        <v>-1</v>
      </c>
      <c r="T207" s="176">
        <f t="shared" ref="T207:T270" si="92">MIN(MATCH(Hp_vg,Echel_vg),10)</f>
        <v>5</v>
      </c>
      <c r="U207" s="250">
        <f t="shared" ref="U207:U270" si="93">IF(OR(t&lt;Ttai,Notai),Hdd+PousH*Croivg,Hdtf+PousH*(Croivg-Croi_tai))</f>
        <v>-0.95006444450224992</v>
      </c>
      <c r="V207" s="382">
        <f t="shared" ref="V207:V270" si="94">MaxiM*(1-Ppv)*(1-Pvg)*(1-Psa)</f>
        <v>58.329357142751853</v>
      </c>
      <c r="W207" s="58"/>
      <c r="X207" s="157">
        <f t="shared" ref="X207:X270" si="95">t</f>
        <v>43658</v>
      </c>
      <c r="Y207" s="383">
        <f t="shared" ref="Y207:Y270" si="96">Wh_pvt_s*(1-Ppv)</f>
        <v>55.676594690102618</v>
      </c>
      <c r="Z207" s="383">
        <f t="shared" ref="Z207:Z270" si="97">Wh_sa_s*(1-Psa_s)</f>
        <v>55.872205733047984</v>
      </c>
      <c r="AA207" s="384">
        <f t="shared" ref="AA207:AA270" si="98">Wh_hp*(1-Pvg_s*MEDIAN((-Sdif+Wh/Env_an)/Csdif,0,1))</f>
        <v>56.603448556128953</v>
      </c>
      <c r="AB207" s="197">
        <f t="shared" ref="AB207:AB270" si="99">t</f>
        <v>43658</v>
      </c>
      <c r="AC207" s="424">
        <f t="shared" ref="AC207:AC270" si="100">IF(t&lt;T0,0,IF(OR(t&lt;Tnet,NoTnet),Salim_i*(1-EXP((T0-t)/Tau_ij)),Resal_s+(Salim-Resal_s)*(1-EXP((Tnet_s-t)/Tau_j))))*Salcycl</f>
        <v>1.2918697389185765E-2</v>
      </c>
      <c r="AD207" s="169">
        <f>(INDEX(Models!$BJ207:$BT207,,AH207)*(1-AF207)+INDEX(Models!$BJ207:$BT207,,AH207+1)*AF207-ERP_i)*AE207*Ramure*Pc/MaxiM</f>
        <v>2.1927466609888103E-5</v>
      </c>
      <c r="AE207" s="304">
        <f t="shared" ref="AE207:AE270" si="101">Dd+PousD*Croivg</f>
        <v>0.7</v>
      </c>
      <c r="AF207" s="177">
        <f t="shared" ref="AF207:AF270" si="102">(Hp_vg_s-AG207)/(INDEX(Echel_vg,AH207+1)-AG207)</f>
        <v>0.11426777775758223</v>
      </c>
      <c r="AG207" s="799">
        <f t="shared" ref="AG207:AG270" si="103">INDEX(Echel_vg,AH207)</f>
        <v>-1</v>
      </c>
      <c r="AH207" s="176">
        <f t="shared" ref="AH207:AH270" si="104">MIN(MATCH(Hp_vg_s,Echel_vg),10)</f>
        <v>5</v>
      </c>
      <c r="AI207" s="224">
        <f t="shared" ref="AI207:AI270" si="105">Hdd+PousH*Croivg</f>
        <v>-0.88573222224241777</v>
      </c>
      <c r="AJ207" s="264" t="b">
        <f t="shared" ref="AJ207:AJ270" si="106">t&lt;Tnet</f>
        <v>0</v>
      </c>
      <c r="AK207" s="264" t="b">
        <f t="shared" ref="AK207:AK270" si="107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108">A207+1</f>
        <v>43659</v>
      </c>
      <c r="B208" s="607">
        <v>51.018999999999998</v>
      </c>
      <c r="C208" s="388"/>
      <c r="D208" s="391">
        <f t="shared" si="85"/>
        <v>51.199228531029107</v>
      </c>
      <c r="E208" s="383">
        <f t="shared" si="82"/>
        <v>51.87278811806182</v>
      </c>
      <c r="F208" s="383">
        <f t="shared" si="83"/>
        <v>51.873409917799727</v>
      </c>
      <c r="G208" s="110">
        <f t="shared" si="84"/>
        <v>0.87646609828282784</v>
      </c>
      <c r="I208" s="379">
        <f t="shared" si="86"/>
        <v>51.873409917799727</v>
      </c>
      <c r="J208" s="85">
        <v>2018</v>
      </c>
      <c r="K208" s="197">
        <f t="shared" si="87"/>
        <v>43659</v>
      </c>
      <c r="L208" s="435">
        <f t="shared" si="88"/>
        <v>3.5201415372866363E-3</v>
      </c>
      <c r="M208" s="842"/>
      <c r="N208" s="842"/>
      <c r="O208" s="323">
        <f t="shared" si="89"/>
        <v>1.2984834852132832E-2</v>
      </c>
      <c r="P208" s="169">
        <f>(INDEX(Models!$BJ208:$BT208,,T208)*(1-R208)+INDEX(Models!$BJ208:$BT208,,T208+1)*R208-ERP_i)*Q208*Ramure*Pc/MaxiM</f>
        <v>1.4555539574020549E-5</v>
      </c>
      <c r="Q208" s="304">
        <f t="shared" si="90"/>
        <v>0.7</v>
      </c>
      <c r="R208" s="177">
        <f t="shared" si="91"/>
        <v>5.2650442871626457E-2</v>
      </c>
      <c r="S208" s="799">
        <f t="shared" ref="S208:S271" si="109">INDEX(Echel_vg,T208)</f>
        <v>-1</v>
      </c>
      <c r="T208" s="176">
        <f t="shared" si="92"/>
        <v>5</v>
      </c>
      <c r="U208" s="250">
        <f t="shared" si="93"/>
        <v>-0.94734955712837354</v>
      </c>
      <c r="V208" s="382">
        <f t="shared" si="94"/>
        <v>58.209745987152722</v>
      </c>
      <c r="W208" s="58"/>
      <c r="X208" s="157">
        <f t="shared" si="95"/>
        <v>43659</v>
      </c>
      <c r="Y208" s="383">
        <f t="shared" si="96"/>
        <v>51.018665058683283</v>
      </c>
      <c r="Z208" s="383">
        <f t="shared" si="97"/>
        <v>51.198892406506495</v>
      </c>
      <c r="AA208" s="384">
        <f t="shared" si="98"/>
        <v>51.872447571599636</v>
      </c>
      <c r="AB208" s="197">
        <f t="shared" si="99"/>
        <v>43659</v>
      </c>
      <c r="AC208" s="424">
        <f t="shared" si="100"/>
        <v>1.2984834852132832E-2</v>
      </c>
      <c r="AD208" s="169">
        <f>(INDEX(Models!$BJ208:$BT208,,AH208)*(1-AF208)+INDEX(Models!$BJ208:$BT208,,AH208+1)*AF208-ERP_i)*AE208*Ramure*Pc/MaxiM</f>
        <v>2.2527298333174438E-5</v>
      </c>
      <c r="AE208" s="304">
        <f t="shared" si="101"/>
        <v>0.7</v>
      </c>
      <c r="AF208" s="177">
        <f t="shared" si="102"/>
        <v>0.11698266513145872</v>
      </c>
      <c r="AG208" s="799">
        <f t="shared" si="103"/>
        <v>-1</v>
      </c>
      <c r="AH208" s="176">
        <f t="shared" si="104"/>
        <v>5</v>
      </c>
      <c r="AI208" s="224">
        <f t="shared" si="105"/>
        <v>-0.88301733486854128</v>
      </c>
      <c r="AJ208" s="264" t="b">
        <f t="shared" si="106"/>
        <v>0</v>
      </c>
      <c r="AK208" s="264" t="b">
        <f t="shared" si="107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108"/>
        <v>43660</v>
      </c>
      <c r="B209" s="607">
        <v>57.658999999999999</v>
      </c>
      <c r="C209" s="388"/>
      <c r="D209" s="391">
        <f t="shared" si="85"/>
        <v>57.863793786772568</v>
      </c>
      <c r="E209" s="383">
        <f t="shared" si="82"/>
        <v>58.628948369859721</v>
      </c>
      <c r="F209" s="383">
        <f t="shared" si="83"/>
        <v>58.629820417743659</v>
      </c>
      <c r="G209" s="110">
        <f t="shared" si="84"/>
        <v>0.9926043474769477</v>
      </c>
      <c r="I209" s="379">
        <f t="shared" si="86"/>
        <v>58.629820417743659</v>
      </c>
      <c r="J209" s="85">
        <v>2018</v>
      </c>
      <c r="K209" s="197">
        <f t="shared" si="87"/>
        <v>43660</v>
      </c>
      <c r="L209" s="435">
        <f t="shared" si="88"/>
        <v>3.5392388464404734E-3</v>
      </c>
      <c r="M209" s="842"/>
      <c r="N209" s="842"/>
      <c r="O209" s="323">
        <f t="shared" si="89"/>
        <v>1.3050798357497213E-2</v>
      </c>
      <c r="P209" s="169">
        <f>(INDEX(Models!$BJ209:$BT209,,T209)*(1-R209)+INDEX(Models!$BJ209:$BT209,,T209+1)*R209-ERP_i)*Q209*Ramure*Pc/MaxiM</f>
        <v>1.5032613671595405E-5</v>
      </c>
      <c r="Q209" s="304">
        <f t="shared" si="90"/>
        <v>0.7</v>
      </c>
      <c r="R209" s="177">
        <f t="shared" si="91"/>
        <v>5.5300271510132726E-2</v>
      </c>
      <c r="S209" s="799">
        <f t="shared" si="109"/>
        <v>-1</v>
      </c>
      <c r="T209" s="176">
        <f t="shared" si="92"/>
        <v>5</v>
      </c>
      <c r="U209" s="250">
        <f t="shared" si="93"/>
        <v>-0.94469972848986727</v>
      </c>
      <c r="V209" s="382">
        <f t="shared" si="94"/>
        <v>58.088593898519072</v>
      </c>
      <c r="W209" s="58"/>
      <c r="X209" s="157">
        <f t="shared" si="95"/>
        <v>43660</v>
      </c>
      <c r="Y209" s="383">
        <f t="shared" si="96"/>
        <v>57.658530805795877</v>
      </c>
      <c r="Z209" s="383">
        <f t="shared" si="97"/>
        <v>57.863322926079988</v>
      </c>
      <c r="AA209" s="384">
        <f t="shared" si="98"/>
        <v>58.628471282800128</v>
      </c>
      <c r="AB209" s="197">
        <f t="shared" si="99"/>
        <v>43660</v>
      </c>
      <c r="AC209" s="424">
        <f t="shared" si="100"/>
        <v>1.3050798357497213E-2</v>
      </c>
      <c r="AD209" s="169">
        <f>(INDEX(Models!$BJ209:$BT209,,AH209)*(1-AF209)+INDEX(Models!$BJ209:$BT209,,AH209+1)*AF209-ERP_i)*AE209*Ramure*Pc/MaxiM</f>
        <v>2.3256778406717487E-5</v>
      </c>
      <c r="AE209" s="304">
        <f t="shared" si="101"/>
        <v>0.7</v>
      </c>
      <c r="AF209" s="177">
        <f t="shared" si="102"/>
        <v>0.11963249376996499</v>
      </c>
      <c r="AG209" s="799">
        <f t="shared" si="103"/>
        <v>-1</v>
      </c>
      <c r="AH209" s="176">
        <f t="shared" si="104"/>
        <v>5</v>
      </c>
      <c r="AI209" s="224">
        <f t="shared" si="105"/>
        <v>-0.88036750623003501</v>
      </c>
      <c r="AJ209" s="264" t="b">
        <f t="shared" si="106"/>
        <v>0</v>
      </c>
      <c r="AK209" s="264" t="b">
        <f t="shared" si="107"/>
        <v>0</v>
      </c>
      <c r="AL209" s="264"/>
      <c r="AM209" s="264"/>
      <c r="AN209" s="75"/>
    </row>
    <row r="210" spans="1:40" s="6" customFormat="1" ht="11.25" x14ac:dyDescent="0.2">
      <c r="A210" s="56">
        <f t="shared" si="108"/>
        <v>43661</v>
      </c>
      <c r="B210" s="607">
        <v>59.722000000000001</v>
      </c>
      <c r="C210" s="388"/>
      <c r="D210" s="391">
        <f t="shared" si="85"/>
        <v>59.935269815644276</v>
      </c>
      <c r="E210" s="383">
        <f t="shared" si="82"/>
        <v>60.731864954220242</v>
      </c>
      <c r="F210" s="383">
        <f t="shared" si="83"/>
        <v>60.732811241786656</v>
      </c>
      <c r="G210" s="110">
        <f t="shared" si="84"/>
        <v>1.0302934893240994</v>
      </c>
      <c r="I210" s="379">
        <f t="shared" si="86"/>
        <v>60.732811241786656</v>
      </c>
      <c r="J210" s="85">
        <v>2018</v>
      </c>
      <c r="K210" s="197">
        <f t="shared" si="87"/>
        <v>43661</v>
      </c>
      <c r="L210" s="435">
        <f t="shared" si="88"/>
        <v>3.5583357895988543E-3</v>
      </c>
      <c r="M210" s="842"/>
      <c r="N210" s="842"/>
      <c r="O210" s="323">
        <f t="shared" si="89"/>
        <v>1.3116592733920476E-2</v>
      </c>
      <c r="P210" s="169">
        <f>(INDEX(Models!$BJ210:$BT210,,T210)*(1-R210)+INDEX(Models!$BJ210:$BT210,,T210+1)*R210-ERP_i)*Q210*Ramure*Pc/MaxiM</f>
        <v>1.558115863680492E-5</v>
      </c>
      <c r="Q210" s="304">
        <f t="shared" si="90"/>
        <v>0.7</v>
      </c>
      <c r="R210" s="177">
        <f t="shared" si="91"/>
        <v>5.7885195034254711E-2</v>
      </c>
      <c r="S210" s="799">
        <f t="shared" si="109"/>
        <v>-1</v>
      </c>
      <c r="T210" s="176">
        <f t="shared" si="92"/>
        <v>5</v>
      </c>
      <c r="U210" s="250">
        <f t="shared" si="93"/>
        <v>-0.94211480496574529</v>
      </c>
      <c r="V210" s="382">
        <f t="shared" si="94"/>
        <v>57.966007374441688</v>
      </c>
      <c r="W210" s="58"/>
      <c r="X210" s="157">
        <f t="shared" si="95"/>
        <v>43661</v>
      </c>
      <c r="Y210" s="383">
        <f t="shared" si="96"/>
        <v>59.721489791628557</v>
      </c>
      <c r="Z210" s="383">
        <f t="shared" si="97"/>
        <v>59.934757785296917</v>
      </c>
      <c r="AA210" s="384">
        <f t="shared" si="98"/>
        <v>60.731346118516257</v>
      </c>
      <c r="AB210" s="197">
        <f t="shared" si="99"/>
        <v>43661</v>
      </c>
      <c r="AC210" s="424">
        <f t="shared" si="100"/>
        <v>1.3116592733920476E-2</v>
      </c>
      <c r="AD210" s="169">
        <f>(INDEX(Models!$BJ210:$BT210,,AH210)*(1-AF210)+INDEX(Models!$BJ210:$BT210,,AH210+1)*AF210-ERP_i)*AE210*Ramure*Pc/MaxiM</f>
        <v>2.4124081208169687E-5</v>
      </c>
      <c r="AE210" s="304">
        <f t="shared" si="101"/>
        <v>0.7</v>
      </c>
      <c r="AF210" s="177">
        <f t="shared" si="102"/>
        <v>0.12221741729408686</v>
      </c>
      <c r="AG210" s="799">
        <f t="shared" si="103"/>
        <v>-1</v>
      </c>
      <c r="AH210" s="176">
        <f t="shared" si="104"/>
        <v>5</v>
      </c>
      <c r="AI210" s="224">
        <f t="shared" si="105"/>
        <v>-0.87778258270591314</v>
      </c>
      <c r="AJ210" s="264" t="b">
        <f t="shared" si="106"/>
        <v>0</v>
      </c>
      <c r="AK210" s="264" t="b">
        <f t="shared" si="107"/>
        <v>0</v>
      </c>
      <c r="AL210" s="264"/>
      <c r="AM210" s="264"/>
      <c r="AN210" s="75"/>
    </row>
    <row r="211" spans="1:40" s="6" customFormat="1" ht="11.25" x14ac:dyDescent="0.2">
      <c r="A211" s="56">
        <f t="shared" si="108"/>
        <v>43662</v>
      </c>
      <c r="B211" s="607">
        <v>59.015000000000001</v>
      </c>
      <c r="C211" s="388"/>
      <c r="D211" s="391">
        <f t="shared" si="85"/>
        <v>59.226880158060169</v>
      </c>
      <c r="E211" s="383">
        <f t="shared" si="82"/>
        <v>60.018051489467197</v>
      </c>
      <c r="F211" s="383">
        <f t="shared" si="83"/>
        <v>60.019024315602991</v>
      </c>
      <c r="G211" s="110">
        <f t="shared" si="84"/>
        <v>1.0202777431839087</v>
      </c>
      <c r="I211" s="379">
        <f t="shared" si="86"/>
        <v>60.019024315602991</v>
      </c>
      <c r="J211" s="85">
        <v>2018</v>
      </c>
      <c r="K211" s="197">
        <f t="shared" si="87"/>
        <v>43662</v>
      </c>
      <c r="L211" s="435">
        <f t="shared" si="88"/>
        <v>3.5774323667685515E-3</v>
      </c>
      <c r="M211" s="842"/>
      <c r="N211" s="842"/>
      <c r="O211" s="323">
        <f t="shared" si="89"/>
        <v>1.3182222877493332E-2</v>
      </c>
      <c r="P211" s="169">
        <f>(INDEX(Models!$BJ211:$BT211,,T211)*(1-R211)+INDEX(Models!$BJ211:$BT211,,T211+1)*R211-ERP_i)*Q211*Ramure*Pc/MaxiM</f>
        <v>1.620862962851419E-5</v>
      </c>
      <c r="Q211" s="304">
        <f t="shared" si="90"/>
        <v>0.7</v>
      </c>
      <c r="R211" s="177">
        <f t="shared" si="91"/>
        <v>6.0405466523327789E-2</v>
      </c>
      <c r="S211" s="799">
        <f t="shared" si="109"/>
        <v>-1</v>
      </c>
      <c r="T211" s="176">
        <f t="shared" si="92"/>
        <v>5</v>
      </c>
      <c r="U211" s="250">
        <f t="shared" si="93"/>
        <v>-0.93959453347667221</v>
      </c>
      <c r="V211" s="382">
        <f t="shared" si="94"/>
        <v>57.842092895054293</v>
      </c>
      <c r="W211" s="58"/>
      <c r="X211" s="157">
        <f t="shared" si="95"/>
        <v>43662</v>
      </c>
      <c r="Y211" s="383">
        <f t="shared" si="96"/>
        <v>59.01447307971943</v>
      </c>
      <c r="Z211" s="383">
        <f t="shared" si="97"/>
        <v>59.226351345990182</v>
      </c>
      <c r="AA211" s="384">
        <f t="shared" si="98"/>
        <v>60.017515613358917</v>
      </c>
      <c r="AB211" s="197">
        <f t="shared" si="99"/>
        <v>43662</v>
      </c>
      <c r="AC211" s="424">
        <f t="shared" si="100"/>
        <v>1.3182222877493332E-2</v>
      </c>
      <c r="AD211" s="169">
        <f>(INDEX(Models!$BJ211:$BT211,,AH211)*(1-AF211)+INDEX(Models!$BJ211:$BT211,,AH211+1)*AF211-ERP_i)*AE211*Ramure*Pc/MaxiM</f>
        <v>2.5137067142958009E-5</v>
      </c>
      <c r="AE211" s="304">
        <f t="shared" si="101"/>
        <v>0.7</v>
      </c>
      <c r="AF211" s="177">
        <f t="shared" si="102"/>
        <v>0.12473768878315994</v>
      </c>
      <c r="AG211" s="799">
        <f t="shared" si="103"/>
        <v>-1</v>
      </c>
      <c r="AH211" s="176">
        <f t="shared" si="104"/>
        <v>5</v>
      </c>
      <c r="AI211" s="224">
        <f t="shared" si="105"/>
        <v>-0.87526231121684006</v>
      </c>
      <c r="AJ211" s="264" t="b">
        <f t="shared" si="106"/>
        <v>0</v>
      </c>
      <c r="AK211" s="264" t="b">
        <f t="shared" si="107"/>
        <v>0</v>
      </c>
      <c r="AL211" s="264"/>
      <c r="AM211" s="264"/>
      <c r="AN211" s="75"/>
    </row>
    <row r="212" spans="1:40" s="6" customFormat="1" ht="11.25" x14ac:dyDescent="0.2">
      <c r="A212" s="56">
        <f t="shared" si="108"/>
        <v>43663</v>
      </c>
      <c r="B212" s="607">
        <v>51.588000000000001</v>
      </c>
      <c r="C212" s="388"/>
      <c r="D212" s="391">
        <f t="shared" si="85"/>
        <v>51.774207416574768</v>
      </c>
      <c r="E212" s="383">
        <f t="shared" si="82"/>
        <v>52.469304694639078</v>
      </c>
      <c r="F212" s="383">
        <f t="shared" si="83"/>
        <v>52.470076422533865</v>
      </c>
      <c r="G212" s="110">
        <f t="shared" si="84"/>
        <v>0.89380813751330668</v>
      </c>
      <c r="I212" s="379">
        <f t="shared" si="86"/>
        <v>52.470076422533865</v>
      </c>
      <c r="J212" s="85">
        <v>2018</v>
      </c>
      <c r="K212" s="197">
        <f t="shared" si="87"/>
        <v>43663</v>
      </c>
      <c r="L212" s="435">
        <f t="shared" si="88"/>
        <v>3.5965285779566702E-3</v>
      </c>
      <c r="M212" s="842"/>
      <c r="N212" s="842"/>
      <c r="O212" s="323">
        <f t="shared" si="89"/>
        <v>1.3247693715585592E-2</v>
      </c>
      <c r="P212" s="169">
        <f>(INDEX(Models!$BJ212:$BT212,,T212)*(1-R212)+INDEX(Models!$BJ212:$BT212,,T212+1)*R212-ERP_i)*Q212*Ramure*Pc/MaxiM</f>
        <v>1.7338146870620252E-5</v>
      </c>
      <c r="Q212" s="304">
        <f t="shared" si="90"/>
        <v>0.7</v>
      </c>
      <c r="R212" s="177">
        <f t="shared" si="91"/>
        <v>6.286143297658886E-2</v>
      </c>
      <c r="S212" s="799">
        <f t="shared" si="109"/>
        <v>-1</v>
      </c>
      <c r="T212" s="176">
        <f t="shared" si="92"/>
        <v>5</v>
      </c>
      <c r="U212" s="250">
        <f t="shared" si="93"/>
        <v>-0.93713856702341114</v>
      </c>
      <c r="V212" s="382">
        <f t="shared" si="94"/>
        <v>57.716932915330197</v>
      </c>
      <c r="W212" s="58"/>
      <c r="X212" s="157">
        <f t="shared" si="95"/>
        <v>43663</v>
      </c>
      <c r="Y212" s="383">
        <f t="shared" si="96"/>
        <v>51.587583230506404</v>
      </c>
      <c r="Z212" s="383">
        <f t="shared" si="97"/>
        <v>51.773789142747397</v>
      </c>
      <c r="AA212" s="384">
        <f t="shared" si="98"/>
        <v>52.468880805254983</v>
      </c>
      <c r="AB212" s="197">
        <f t="shared" si="99"/>
        <v>43663</v>
      </c>
      <c r="AC212" s="424">
        <f t="shared" si="100"/>
        <v>1.3247693715585592E-2</v>
      </c>
      <c r="AD212" s="169">
        <f>(INDEX(Models!$BJ212:$BT212,,AH212)*(1-AF212)+INDEX(Models!$BJ212:$BT212,,AH212+1)*AF212-ERP_i)*AE212*Ramure*Pc/MaxiM</f>
        <v>2.686152479670459E-5</v>
      </c>
      <c r="AE212" s="304">
        <f t="shared" si="101"/>
        <v>0.7</v>
      </c>
      <c r="AF212" s="177">
        <f t="shared" si="102"/>
        <v>0.12719365523642101</v>
      </c>
      <c r="AG212" s="799">
        <f t="shared" si="103"/>
        <v>-1</v>
      </c>
      <c r="AH212" s="176">
        <f t="shared" si="104"/>
        <v>5</v>
      </c>
      <c r="AI212" s="224">
        <f t="shared" si="105"/>
        <v>-0.87280634476357899</v>
      </c>
      <c r="AJ212" s="264" t="b">
        <f t="shared" si="106"/>
        <v>0</v>
      </c>
      <c r="AK212" s="264" t="b">
        <f t="shared" si="107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108"/>
        <v>43664</v>
      </c>
      <c r="B213" s="607">
        <v>31.027000000000001</v>
      </c>
      <c r="C213" s="388"/>
      <c r="D213" s="391">
        <f t="shared" si="85"/>
        <v>31.139589058728227</v>
      </c>
      <c r="E213" s="383">
        <f t="shared" si="82"/>
        <v>31.559744255007669</v>
      </c>
      <c r="F213" s="383">
        <f t="shared" si="83"/>
        <v>31.559948812347379</v>
      </c>
      <c r="G213" s="110">
        <f t="shared" si="84"/>
        <v>0.53874406542393938</v>
      </c>
      <c r="I213" s="379">
        <f t="shared" si="86"/>
        <v>31.559948812347379</v>
      </c>
      <c r="J213" s="85">
        <v>2018</v>
      </c>
      <c r="K213" s="197">
        <f t="shared" si="87"/>
        <v>43664</v>
      </c>
      <c r="L213" s="435">
        <f t="shared" si="88"/>
        <v>3.6156244231703161E-3</v>
      </c>
      <c r="M213" s="842"/>
      <c r="N213" s="842"/>
      <c r="O213" s="323">
        <f t="shared" si="89"/>
        <v>1.3313010171581889E-2</v>
      </c>
      <c r="P213" s="169">
        <f>(INDEX(Models!$BJ213:$BT213,,T213)*(1-R213)+INDEX(Models!$BJ213:$BT213,,T213+1)*R213-ERP_i)*Q213*Ramure*Pc/MaxiM</f>
        <v>1.9003428458058635E-5</v>
      </c>
      <c r="Q213" s="304">
        <f t="shared" si="90"/>
        <v>0.7</v>
      </c>
      <c r="R213" s="177">
        <f t="shared" si="91"/>
        <v>6.5253529709621283E-2</v>
      </c>
      <c r="S213" s="799">
        <f t="shared" si="109"/>
        <v>-1</v>
      </c>
      <c r="T213" s="176">
        <f t="shared" si="92"/>
        <v>5</v>
      </c>
      <c r="U213" s="250">
        <f t="shared" si="93"/>
        <v>-0.93474647029037872</v>
      </c>
      <c r="V213" s="382">
        <f t="shared" si="94"/>
        <v>57.590632495781115</v>
      </c>
      <c r="W213" s="58"/>
      <c r="X213" s="157">
        <f t="shared" si="95"/>
        <v>43664</v>
      </c>
      <c r="Y213" s="383">
        <f t="shared" si="96"/>
        <v>31.026890682249068</v>
      </c>
      <c r="Z213" s="383">
        <f t="shared" si="97"/>
        <v>31.139479344291093</v>
      </c>
      <c r="AA213" s="384">
        <f t="shared" si="98"/>
        <v>31.559633060233374</v>
      </c>
      <c r="AB213" s="197">
        <f t="shared" si="99"/>
        <v>43664</v>
      </c>
      <c r="AC213" s="424">
        <f t="shared" si="100"/>
        <v>1.3313010171581889E-2</v>
      </c>
      <c r="AD213" s="169">
        <f>(INDEX(Models!$BJ213:$BT213,,AH213)*(1-AF213)+INDEX(Models!$BJ213:$BT213,,AH213+1)*AF213-ERP_i)*AE213*Ramure*Pc/MaxiM</f>
        <v>2.933345103864687E-5</v>
      </c>
      <c r="AE213" s="304">
        <f t="shared" si="101"/>
        <v>0.7</v>
      </c>
      <c r="AF213" s="177">
        <f t="shared" si="102"/>
        <v>0.12958575196945343</v>
      </c>
      <c r="AG213" s="799">
        <f t="shared" si="103"/>
        <v>-1</v>
      </c>
      <c r="AH213" s="176">
        <f t="shared" si="104"/>
        <v>5</v>
      </c>
      <c r="AI213" s="224">
        <f t="shared" si="105"/>
        <v>-0.87041424803054657</v>
      </c>
      <c r="AJ213" s="264" t="b">
        <f t="shared" si="106"/>
        <v>0</v>
      </c>
      <c r="AK213" s="264" t="b">
        <f t="shared" si="107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108"/>
        <v>43665</v>
      </c>
      <c r="B214" s="607">
        <v>57.238999999999997</v>
      </c>
      <c r="C214" s="388"/>
      <c r="D214" s="391">
        <f t="shared" si="85"/>
        <v>57.447806686312916</v>
      </c>
      <c r="E214" s="383">
        <f t="shared" si="82"/>
        <v>58.226774793251202</v>
      </c>
      <c r="F214" s="383">
        <f t="shared" si="83"/>
        <v>58.228004014862371</v>
      </c>
      <c r="G214" s="110">
        <f t="shared" si="84"/>
        <v>0.99609656935685797</v>
      </c>
      <c r="I214" s="379">
        <f t="shared" si="86"/>
        <v>58.228004014862371</v>
      </c>
      <c r="J214" s="85">
        <v>2018</v>
      </c>
      <c r="K214" s="197">
        <f t="shared" si="87"/>
        <v>43665</v>
      </c>
      <c r="L214" s="435">
        <f t="shared" si="88"/>
        <v>3.6347199024164834E-3</v>
      </c>
      <c r="M214" s="842"/>
      <c r="N214" s="842"/>
      <c r="O214" s="323">
        <f t="shared" si="89"/>
        <v>1.3378177130782393E-2</v>
      </c>
      <c r="P214" s="169">
        <f>(INDEX(Models!$BJ214:$BT214,,T214)*(1-R214)+INDEX(Models!$BJ214:$BT214,,T214+1)*R214-ERP_i)*Q214*Ramure*Pc/MaxiM</f>
        <v>2.1228864099769545E-5</v>
      </c>
      <c r="Q214" s="304">
        <f t="shared" si="90"/>
        <v>0.7</v>
      </c>
      <c r="R214" s="177">
        <f t="shared" si="91"/>
        <v>6.7582274722072233E-2</v>
      </c>
      <c r="S214" s="799">
        <f t="shared" si="109"/>
        <v>-1</v>
      </c>
      <c r="T214" s="176">
        <f t="shared" si="92"/>
        <v>5</v>
      </c>
      <c r="U214" s="250">
        <f t="shared" si="93"/>
        <v>-0.93241772527792777</v>
      </c>
      <c r="V214" s="382">
        <f t="shared" si="94"/>
        <v>57.463297219380109</v>
      </c>
      <c r="W214" s="58"/>
      <c r="X214" s="157">
        <f t="shared" si="95"/>
        <v>43665</v>
      </c>
      <c r="Y214" s="383">
        <f t="shared" si="96"/>
        <v>57.238353965681235</v>
      </c>
      <c r="Z214" s="383">
        <f t="shared" si="97"/>
        <v>57.447158295274342</v>
      </c>
      <c r="AA214" s="384">
        <f t="shared" si="98"/>
        <v>58.226117610302737</v>
      </c>
      <c r="AB214" s="197">
        <f t="shared" si="99"/>
        <v>43665</v>
      </c>
      <c r="AC214" s="424">
        <f t="shared" si="100"/>
        <v>1.3378177130782393E-2</v>
      </c>
      <c r="AD214" s="169">
        <f>(INDEX(Models!$BJ214:$BT214,,AH214)*(1-AF214)+INDEX(Models!$BJ214:$BT214,,AH214+1)*AF214-ERP_i)*AE214*Ramure*Pc/MaxiM</f>
        <v>3.257852422218227E-5</v>
      </c>
      <c r="AE214" s="304">
        <f t="shared" si="101"/>
        <v>0.7</v>
      </c>
      <c r="AF214" s="177">
        <f t="shared" si="102"/>
        <v>0.13191449698190438</v>
      </c>
      <c r="AG214" s="799">
        <f t="shared" si="103"/>
        <v>-1</v>
      </c>
      <c r="AH214" s="176">
        <f t="shared" si="104"/>
        <v>5</v>
      </c>
      <c r="AI214" s="224">
        <f t="shared" si="105"/>
        <v>-0.86808550301809562</v>
      </c>
      <c r="AJ214" s="264" t="b">
        <f t="shared" si="106"/>
        <v>0</v>
      </c>
      <c r="AK214" s="264" t="b">
        <f t="shared" si="107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108"/>
        <v>43666</v>
      </c>
      <c r="B215" s="607">
        <v>29.366</v>
      </c>
      <c r="C215" s="388"/>
      <c r="D215" s="391">
        <f t="shared" si="85"/>
        <v>29.473691416264916</v>
      </c>
      <c r="E215" s="383">
        <f t="shared" si="82"/>
        <v>29.875311181849991</v>
      </c>
      <c r="F215" s="383">
        <f t="shared" si="83"/>
        <v>29.875528863991057</v>
      </c>
      <c r="G215" s="110">
        <f t="shared" si="84"/>
        <v>0.51217391326334427</v>
      </c>
      <c r="I215" s="379">
        <f t="shared" si="86"/>
        <v>29.875528863991057</v>
      </c>
      <c r="J215" s="85">
        <v>2018</v>
      </c>
      <c r="K215" s="197">
        <f t="shared" si="87"/>
        <v>43666</v>
      </c>
      <c r="L215" s="435">
        <f t="shared" si="88"/>
        <v>3.6538150157020555E-3</v>
      </c>
      <c r="M215" s="842"/>
      <c r="N215" s="842"/>
      <c r="O215" s="323">
        <f t="shared" si="89"/>
        <v>1.3443199407712493E-2</v>
      </c>
      <c r="P215" s="169">
        <f>(INDEX(Models!$BJ215:$BT215,,T215)*(1-R215)+INDEX(Models!$BJ215:$BT215,,T215+1)*R215-ERP_i)*Q215*Ramure*Pc/MaxiM</f>
        <v>2.4037853846413695E-5</v>
      </c>
      <c r="Q215" s="304">
        <f t="shared" si="90"/>
        <v>0.7</v>
      </c>
      <c r="R215" s="177">
        <f t="shared" si="91"/>
        <v>6.9848263070420247E-2</v>
      </c>
      <c r="S215" s="799">
        <f t="shared" si="109"/>
        <v>-1</v>
      </c>
      <c r="T215" s="176">
        <f t="shared" si="92"/>
        <v>5</v>
      </c>
      <c r="U215" s="250">
        <f t="shared" si="93"/>
        <v>-0.93015173692957975</v>
      </c>
      <c r="V215" s="382">
        <f t="shared" si="94"/>
        <v>57.335032710383999</v>
      </c>
      <c r="W215" s="58"/>
      <c r="X215" s="157">
        <f t="shared" si="95"/>
        <v>43666</v>
      </c>
      <c r="Y215" s="383">
        <f t="shared" si="96"/>
        <v>29.365887988097107</v>
      </c>
      <c r="Z215" s="383">
        <f t="shared" si="97"/>
        <v>29.473578993590369</v>
      </c>
      <c r="AA215" s="384">
        <f t="shared" si="98"/>
        <v>29.875197227261182</v>
      </c>
      <c r="AB215" s="197">
        <f t="shared" si="99"/>
        <v>43666</v>
      </c>
      <c r="AC215" s="424">
        <f t="shared" si="100"/>
        <v>1.3443199407712493E-2</v>
      </c>
      <c r="AD215" s="169">
        <f>(INDEX(Models!$BJ215:$BT215,,AH215)*(1-AF215)+INDEX(Models!$BJ215:$BT215,,AH215+1)*AF215-ERP_i)*AE215*Ramure*Pc/MaxiM</f>
        <v>3.6621448152804757E-5</v>
      </c>
      <c r="AE215" s="304">
        <f t="shared" si="101"/>
        <v>0.7</v>
      </c>
      <c r="AF215" s="177">
        <f t="shared" si="102"/>
        <v>0.13418048533025251</v>
      </c>
      <c r="AG215" s="799">
        <f t="shared" si="103"/>
        <v>-1</v>
      </c>
      <c r="AH215" s="176">
        <f t="shared" si="104"/>
        <v>5</v>
      </c>
      <c r="AI215" s="224">
        <f t="shared" si="105"/>
        <v>-0.86581951466974749</v>
      </c>
      <c r="AJ215" s="264" t="b">
        <f t="shared" si="106"/>
        <v>0</v>
      </c>
      <c r="AK215" s="264" t="b">
        <f t="shared" si="107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108"/>
        <v>43667</v>
      </c>
      <c r="B216" s="607">
        <v>42.314</v>
      </c>
      <c r="C216" s="388"/>
      <c r="D216" s="391">
        <f t="shared" si="85"/>
        <v>42.469988435159451</v>
      </c>
      <c r="E216" s="383">
        <f t="shared" si="82"/>
        <v>43.051532048022992</v>
      </c>
      <c r="F216" s="383">
        <f t="shared" si="83"/>
        <v>43.052274417702641</v>
      </c>
      <c r="G216" s="110">
        <f t="shared" si="84"/>
        <v>0.7396708202974942</v>
      </c>
      <c r="I216" s="379">
        <f t="shared" si="86"/>
        <v>43.052274417702641</v>
      </c>
      <c r="J216" s="85">
        <v>2018</v>
      </c>
      <c r="K216" s="197">
        <f t="shared" si="87"/>
        <v>43667</v>
      </c>
      <c r="L216" s="435">
        <f t="shared" si="88"/>
        <v>3.6729097630342489E-3</v>
      </c>
      <c r="M216" s="842"/>
      <c r="N216" s="842"/>
      <c r="O216" s="323">
        <f t="shared" si="89"/>
        <v>1.3508081715067432E-2</v>
      </c>
      <c r="P216" s="169">
        <f>(INDEX(Models!$BJ216:$BT216,,T216)*(1-R216)+INDEX(Models!$BJ216:$BT216,,T216+1)*R216-ERP_i)*Q216*Ramure*Pc/MaxiM</f>
        <v>2.7452826347299541E-5</v>
      </c>
      <c r="Q216" s="304">
        <f t="shared" si="90"/>
        <v>0.7</v>
      </c>
      <c r="R216" s="177">
        <f t="shared" si="91"/>
        <v>7.205216127686831E-2</v>
      </c>
      <c r="S216" s="799">
        <f t="shared" si="109"/>
        <v>-1</v>
      </c>
      <c r="T216" s="176">
        <f t="shared" si="92"/>
        <v>5</v>
      </c>
      <c r="U216" s="250">
        <f t="shared" si="93"/>
        <v>-0.92794783872313169</v>
      </c>
      <c r="V216" s="382">
        <f t="shared" si="94"/>
        <v>57.205944633480222</v>
      </c>
      <c r="W216" s="58"/>
      <c r="X216" s="157">
        <f t="shared" si="95"/>
        <v>43667</v>
      </c>
      <c r="Y216" s="383">
        <f t="shared" si="96"/>
        <v>42.31362702162096</v>
      </c>
      <c r="Z216" s="383">
        <f t="shared" si="97"/>
        <v>42.469614081814349</v>
      </c>
      <c r="AA216" s="384">
        <f t="shared" si="98"/>
        <v>43.051152568639367</v>
      </c>
      <c r="AB216" s="197">
        <f t="shared" si="99"/>
        <v>43667</v>
      </c>
      <c r="AC216" s="424">
        <f t="shared" si="100"/>
        <v>1.3508081715067432E-2</v>
      </c>
      <c r="AD216" s="169">
        <f>(INDEX(Models!$BJ216:$BT216,,AH216)*(1-AF216)+INDEX(Models!$BJ216:$BT216,,AH216+1)*AF216-ERP_i)*AE216*Ramure*Pc/MaxiM</f>
        <v>4.1485971701514946E-5</v>
      </c>
      <c r="AE216" s="304">
        <f t="shared" si="101"/>
        <v>0.7</v>
      </c>
      <c r="AF216" s="177">
        <f t="shared" si="102"/>
        <v>0.13638438353670046</v>
      </c>
      <c r="AG216" s="799">
        <f t="shared" si="103"/>
        <v>-1</v>
      </c>
      <c r="AH216" s="176">
        <f t="shared" si="104"/>
        <v>5</v>
      </c>
      <c r="AI216" s="224">
        <f t="shared" si="105"/>
        <v>-0.86361561646329954</v>
      </c>
      <c r="AJ216" s="264" t="b">
        <f t="shared" si="106"/>
        <v>0</v>
      </c>
      <c r="AK216" s="264" t="b">
        <f t="shared" si="107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108"/>
        <v>43668</v>
      </c>
      <c r="B217" s="607">
        <v>50.67</v>
      </c>
      <c r="C217" s="388"/>
      <c r="D217" s="391">
        <f t="shared" si="85"/>
        <v>50.857767086860633</v>
      </c>
      <c r="E217" s="383">
        <f t="shared" si="82"/>
        <v>51.55754886238455</v>
      </c>
      <c r="F217" s="383">
        <f t="shared" si="83"/>
        <v>51.558912352692772</v>
      </c>
      <c r="G217" s="110">
        <f t="shared" si="84"/>
        <v>0.88775704297555169</v>
      </c>
      <c r="I217" s="379">
        <f t="shared" si="86"/>
        <v>51.558912352692772</v>
      </c>
      <c r="J217" s="85">
        <v>2018</v>
      </c>
      <c r="K217" s="197">
        <f t="shared" si="87"/>
        <v>43668</v>
      </c>
      <c r="L217" s="435">
        <f t="shared" si="88"/>
        <v>3.6920041444198359E-3</v>
      </c>
      <c r="M217" s="842"/>
      <c r="N217" s="842"/>
      <c r="O217" s="323">
        <f t="shared" si="89"/>
        <v>1.3572828634498319E-2</v>
      </c>
      <c r="P217" s="169">
        <f>(INDEX(Models!$BJ217:$BT217,,T217)*(1-R217)+INDEX(Models!$BJ217:$BT217,,T217+1)*R217-ERP_i)*Q217*Ramure*Pc/MaxiM</f>
        <v>3.1495259680531624E-5</v>
      </c>
      <c r="Q217" s="304">
        <f t="shared" si="90"/>
        <v>0.7</v>
      </c>
      <c r="R217" s="177">
        <f t="shared" si="91"/>
        <v>7.4194701802691609E-2</v>
      </c>
      <c r="S217" s="799">
        <f t="shared" si="109"/>
        <v>-1</v>
      </c>
      <c r="T217" s="176">
        <f t="shared" si="92"/>
        <v>5</v>
      </c>
      <c r="U217" s="250">
        <f t="shared" si="93"/>
        <v>-0.92580529819730839</v>
      </c>
      <c r="V217" s="382">
        <f t="shared" si="94"/>
        <v>57.076138693709041</v>
      </c>
      <c r="W217" s="58"/>
      <c r="X217" s="157">
        <f t="shared" si="95"/>
        <v>43668</v>
      </c>
      <c r="Y217" s="383">
        <f t="shared" si="96"/>
        <v>50.669332032238238</v>
      </c>
      <c r="Z217" s="383">
        <f t="shared" si="97"/>
        <v>50.857096643820384</v>
      </c>
      <c r="AA217" s="384">
        <f t="shared" si="98"/>
        <v>51.556869194326218</v>
      </c>
      <c r="AB217" s="197">
        <f t="shared" si="99"/>
        <v>43668</v>
      </c>
      <c r="AC217" s="424">
        <f t="shared" si="100"/>
        <v>1.3572828634498319E-2</v>
      </c>
      <c r="AD217" s="169">
        <f>(INDEX(Models!$BJ217:$BT217,,AH217)*(1-AF217)+INDEX(Models!$BJ217:$BT217,,AH217+1)*AF217-ERP_i)*AE217*Ramure*Pc/MaxiM</f>
        <v>4.719491068977743E-5</v>
      </c>
      <c r="AE217" s="304">
        <f t="shared" si="101"/>
        <v>0.7</v>
      </c>
      <c r="AF217" s="177">
        <f t="shared" si="102"/>
        <v>0.13852692406252376</v>
      </c>
      <c r="AG217" s="799">
        <f t="shared" si="103"/>
        <v>-1</v>
      </c>
      <c r="AH217" s="176">
        <f t="shared" si="104"/>
        <v>5</v>
      </c>
      <c r="AI217" s="224">
        <f t="shared" si="105"/>
        <v>-0.86147307593747624</v>
      </c>
      <c r="AJ217" s="264" t="b">
        <f t="shared" si="106"/>
        <v>0</v>
      </c>
      <c r="AK217" s="264" t="b">
        <f t="shared" si="107"/>
        <v>0</v>
      </c>
      <c r="AL217" s="264"/>
      <c r="AM217" s="264"/>
      <c r="AN217" s="75"/>
    </row>
    <row r="218" spans="1:40" s="6" customFormat="1" ht="11.25" x14ac:dyDescent="0.2">
      <c r="A218" s="56">
        <f t="shared" si="108"/>
        <v>43669</v>
      </c>
      <c r="B218" s="607">
        <v>55.52</v>
      </c>
      <c r="C218" s="388"/>
      <c r="D218" s="391">
        <f t="shared" si="85"/>
        <v>55.726807653337509</v>
      </c>
      <c r="E218" s="383">
        <f t="shared" si="82"/>
        <v>56.49728626421858</v>
      </c>
      <c r="F218" s="383">
        <f t="shared" si="83"/>
        <v>56.499257606465072</v>
      </c>
      <c r="G218" s="110">
        <f t="shared" si="84"/>
        <v>0.97496225391137059</v>
      </c>
      <c r="I218" s="379">
        <f t="shared" si="86"/>
        <v>56.499257606465072</v>
      </c>
      <c r="J218" s="85">
        <v>2018</v>
      </c>
      <c r="K218" s="197">
        <f t="shared" si="87"/>
        <v>43669</v>
      </c>
      <c r="L218" s="435">
        <f t="shared" si="88"/>
        <v>3.7110981598660331E-3</v>
      </c>
      <c r="M218" s="842"/>
      <c r="N218" s="842"/>
      <c r="O218" s="323">
        <f t="shared" si="89"/>
        <v>1.3637444589423352E-2</v>
      </c>
      <c r="P218" s="169">
        <f>(INDEX(Models!$BJ218:$BT218,,T218)*(1-R218)+INDEX(Models!$BJ218:$BT218,,T218+1)*R218-ERP_i)*Q218*Ramure*Pc/MaxiM</f>
        <v>3.6185704267021769E-5</v>
      </c>
      <c r="Q218" s="304">
        <f t="shared" si="90"/>
        <v>0.7</v>
      </c>
      <c r="R218" s="177">
        <f t="shared" si="91"/>
        <v>7.6276677611597288E-2</v>
      </c>
      <c r="S218" s="799">
        <f t="shared" si="109"/>
        <v>-1</v>
      </c>
      <c r="T218" s="176">
        <f t="shared" si="92"/>
        <v>5</v>
      </c>
      <c r="U218" s="250">
        <f t="shared" si="93"/>
        <v>-0.92372332238840271</v>
      </c>
      <c r="V218" s="382">
        <f t="shared" si="94"/>
        <v>56.945720635812812</v>
      </c>
      <c r="W218" s="58"/>
      <c r="X218" s="157">
        <f t="shared" si="95"/>
        <v>43669</v>
      </c>
      <c r="Y218" s="383">
        <f t="shared" si="96"/>
        <v>55.519058595901733</v>
      </c>
      <c r="Z218" s="383">
        <f t="shared" si="97"/>
        <v>55.725862742582677</v>
      </c>
      <c r="AA218" s="384">
        <f t="shared" si="98"/>
        <v>56.496328289131583</v>
      </c>
      <c r="AB218" s="197">
        <f t="shared" si="99"/>
        <v>43669</v>
      </c>
      <c r="AC218" s="424">
        <f t="shared" si="100"/>
        <v>1.3637444589423352E-2</v>
      </c>
      <c r="AD218" s="169">
        <f>(INDEX(Models!$BJ218:$BT218,,AH218)*(1-AF218)+INDEX(Models!$BJ218:$BT218,,AH218+1)*AF218-ERP_i)*AE218*Ramure*Pc/MaxiM</f>
        <v>5.3770171527824498E-5</v>
      </c>
      <c r="AE218" s="304">
        <f t="shared" si="101"/>
        <v>0.7</v>
      </c>
      <c r="AF218" s="177">
        <f t="shared" si="102"/>
        <v>0.14060889987142944</v>
      </c>
      <c r="AG218" s="799">
        <f t="shared" si="103"/>
        <v>-1</v>
      </c>
      <c r="AH218" s="176">
        <f t="shared" si="104"/>
        <v>5</v>
      </c>
      <c r="AI218" s="224">
        <f t="shared" si="105"/>
        <v>-0.85939110012857056</v>
      </c>
      <c r="AJ218" s="264" t="b">
        <f t="shared" si="106"/>
        <v>0</v>
      </c>
      <c r="AK218" s="264" t="b">
        <f t="shared" si="107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108"/>
        <v>43670</v>
      </c>
      <c r="B219" s="607">
        <v>55.085999999999999</v>
      </c>
      <c r="C219" s="388"/>
      <c r="D219" s="391">
        <f t="shared" si="85"/>
        <v>55.292250700685877</v>
      </c>
      <c r="E219" s="383">
        <f t="shared" si="82"/>
        <v>56.060386405134054</v>
      </c>
      <c r="F219" s="383">
        <f t="shared" si="83"/>
        <v>56.062614261064951</v>
      </c>
      <c r="G219" s="110">
        <f t="shared" si="84"/>
        <v>0.96957812667578447</v>
      </c>
      <c r="I219" s="379">
        <f t="shared" si="86"/>
        <v>56.062614261064951</v>
      </c>
      <c r="J219" s="85">
        <v>2018</v>
      </c>
      <c r="K219" s="197">
        <f t="shared" si="87"/>
        <v>43670</v>
      </c>
      <c r="L219" s="435">
        <f t="shared" si="88"/>
        <v>3.7301918093798347E-3</v>
      </c>
      <c r="M219" s="842"/>
      <c r="N219" s="842"/>
      <c r="O219" s="323">
        <f t="shared" si="89"/>
        <v>1.3701933820025063E-2</v>
      </c>
      <c r="P219" s="169">
        <f>(INDEX(Models!$BJ219:$BT219,,T219)*(1-R219)+INDEX(Models!$BJ219:$BT219,,T219+1)*R219-ERP_i)*Q219*Ramure*Pc/MaxiM</f>
        <v>4.1544104681982904E-5</v>
      </c>
      <c r="Q219" s="304">
        <f t="shared" si="90"/>
        <v>0.7</v>
      </c>
      <c r="R219" s="177">
        <f t="shared" si="91"/>
        <v>7.8298936845899059E-2</v>
      </c>
      <c r="S219" s="799">
        <f t="shared" si="109"/>
        <v>-1</v>
      </c>
      <c r="T219" s="176">
        <f t="shared" si="92"/>
        <v>5</v>
      </c>
      <c r="U219" s="250">
        <f t="shared" si="93"/>
        <v>-0.92170106315410094</v>
      </c>
      <c r="V219" s="382">
        <f t="shared" si="94"/>
        <v>56.814297918313073</v>
      </c>
      <c r="W219" s="58"/>
      <c r="X219" s="157">
        <f t="shared" si="95"/>
        <v>43670</v>
      </c>
      <c r="Y219" s="383">
        <f t="shared" si="96"/>
        <v>55.084962498038585</v>
      </c>
      <c r="Z219" s="383">
        <f t="shared" si="97"/>
        <v>55.291209314152944</v>
      </c>
      <c r="AA219" s="384">
        <f t="shared" si="98"/>
        <v>56.059330551362621</v>
      </c>
      <c r="AB219" s="197">
        <f t="shared" si="99"/>
        <v>43670</v>
      </c>
      <c r="AC219" s="424">
        <f t="shared" si="100"/>
        <v>1.3701933820025063E-2</v>
      </c>
      <c r="AD219" s="169">
        <f>(INDEX(Models!$BJ219:$BT219,,AH219)*(1-AF219)+INDEX(Models!$BJ219:$BT219,,AH219+1)*AF219-ERP_i)*AE219*Ramure*Pc/MaxiM</f>
        <v>6.1233214287841867E-5</v>
      </c>
      <c r="AE219" s="304">
        <f t="shared" si="101"/>
        <v>0.7</v>
      </c>
      <c r="AF219" s="177">
        <f t="shared" si="102"/>
        <v>0.14263115910573121</v>
      </c>
      <c r="AG219" s="799">
        <f t="shared" si="103"/>
        <v>-1</v>
      </c>
      <c r="AH219" s="176">
        <f t="shared" si="104"/>
        <v>5</v>
      </c>
      <c r="AI219" s="224">
        <f t="shared" si="105"/>
        <v>-0.85736884089426879</v>
      </c>
      <c r="AJ219" s="264" t="b">
        <f t="shared" si="106"/>
        <v>0</v>
      </c>
      <c r="AK219" s="264" t="b">
        <f t="shared" si="107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108"/>
        <v>43671</v>
      </c>
      <c r="B220" s="607">
        <v>56.091999999999999</v>
      </c>
      <c r="C220" s="388"/>
      <c r="D220" s="391">
        <f t="shared" si="85"/>
        <v>56.303096359870004</v>
      </c>
      <c r="E220" s="383">
        <f t="shared" si="82"/>
        <v>57.089000690662381</v>
      </c>
      <c r="F220" s="383">
        <f t="shared" si="83"/>
        <v>57.091704599474085</v>
      </c>
      <c r="G220" s="110">
        <f t="shared" si="84"/>
        <v>0.98959993517288136</v>
      </c>
      <c r="I220" s="379">
        <f t="shared" si="86"/>
        <v>57.091704599474085</v>
      </c>
      <c r="J220" s="85">
        <v>2018</v>
      </c>
      <c r="K220" s="197">
        <f t="shared" si="87"/>
        <v>43671</v>
      </c>
      <c r="L220" s="435">
        <f t="shared" si="88"/>
        <v>3.7492850929681243E-3</v>
      </c>
      <c r="M220" s="842"/>
      <c r="N220" s="842"/>
      <c r="O220" s="323">
        <f t="shared" si="89"/>
        <v>1.3766300360568799E-2</v>
      </c>
      <c r="P220" s="169">
        <f>(INDEX(Models!$BJ220:$BT220,,T220)*(1-R220)+INDEX(Models!$BJ220:$BT220,,T220+1)*R220-ERP_i)*Q220*Ramure*Pc/MaxiM</f>
        <v>4.8075013399782372E-5</v>
      </c>
      <c r="Q220" s="304">
        <f t="shared" si="90"/>
        <v>0.7</v>
      </c>
      <c r="R220" s="177">
        <f t="shared" si="91"/>
        <v>8.0262377635607063E-2</v>
      </c>
      <c r="S220" s="799">
        <f t="shared" si="109"/>
        <v>-1</v>
      </c>
      <c r="T220" s="176">
        <f t="shared" si="92"/>
        <v>5</v>
      </c>
      <c r="U220" s="250">
        <f t="shared" si="93"/>
        <v>-0.91973762236439294</v>
      </c>
      <c r="V220" s="382">
        <f t="shared" si="94"/>
        <v>56.681450698209403</v>
      </c>
      <c r="W220" s="58"/>
      <c r="X220" s="157">
        <f t="shared" si="95"/>
        <v>43671</v>
      </c>
      <c r="Y220" s="383">
        <f t="shared" si="96"/>
        <v>56.090776170189265</v>
      </c>
      <c r="Z220" s="383">
        <f t="shared" si="97"/>
        <v>56.301867924304119</v>
      </c>
      <c r="AA220" s="384">
        <f t="shared" si="98"/>
        <v>57.087755108031885</v>
      </c>
      <c r="AB220" s="197">
        <f t="shared" si="99"/>
        <v>43671</v>
      </c>
      <c r="AC220" s="424">
        <f t="shared" si="100"/>
        <v>1.3766300360568799E-2</v>
      </c>
      <c r="AD220" s="169">
        <f>(INDEX(Models!$BJ220:$BT220,,AH220)*(1-AF220)+INDEX(Models!$BJ220:$BT220,,AH220+1)*AF220-ERP_i)*AE220*Ramure*Pc/MaxiM</f>
        <v>7.0221249024627624E-5</v>
      </c>
      <c r="AE220" s="304">
        <f t="shared" si="101"/>
        <v>0.7</v>
      </c>
      <c r="AF220" s="177">
        <f t="shared" si="102"/>
        <v>0.14459459989543921</v>
      </c>
      <c r="AG220" s="799">
        <f t="shared" si="103"/>
        <v>-1</v>
      </c>
      <c r="AH220" s="176">
        <f t="shared" si="104"/>
        <v>5</v>
      </c>
      <c r="AI220" s="224">
        <f t="shared" si="105"/>
        <v>-0.85540540010456079</v>
      </c>
      <c r="AJ220" s="264" t="b">
        <f t="shared" si="106"/>
        <v>0</v>
      </c>
      <c r="AK220" s="264" t="b">
        <f t="shared" si="107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108"/>
        <v>43672</v>
      </c>
      <c r="B221" s="607">
        <v>22.399000000000001</v>
      </c>
      <c r="C221" s="388"/>
      <c r="D221" s="391">
        <f t="shared" si="85"/>
        <v>22.483727183114031</v>
      </c>
      <c r="E221" s="383">
        <f t="shared" si="82"/>
        <v>22.799050546488296</v>
      </c>
      <c r="F221" s="383">
        <f t="shared" si="83"/>
        <v>22.799224961793151</v>
      </c>
      <c r="G221" s="110">
        <f t="shared" si="84"/>
        <v>0.39609189803065048</v>
      </c>
      <c r="I221" s="379">
        <f t="shared" si="86"/>
        <v>22.799224961793151</v>
      </c>
      <c r="J221" s="85">
        <v>2018</v>
      </c>
      <c r="K221" s="197">
        <f t="shared" si="87"/>
        <v>43672</v>
      </c>
      <c r="L221" s="435">
        <f t="shared" si="88"/>
        <v>3.7683780106380071E-3</v>
      </c>
      <c r="M221" s="842"/>
      <c r="N221" s="842"/>
      <c r="O221" s="323">
        <f t="shared" si="89"/>
        <v>1.3830548019151437E-2</v>
      </c>
      <c r="P221" s="169">
        <f>(INDEX(Models!$BJ221:$BT221,,T221)*(1-R221)+INDEX(Models!$BJ221:$BT221,,T221+1)*R221-ERP_i)*Q221*Ramure*Pc/MaxiM</f>
        <v>5.5717257460934539E-5</v>
      </c>
      <c r="Q221" s="304">
        <f t="shared" si="90"/>
        <v>0.7</v>
      </c>
      <c r="R221" s="177">
        <f t="shared" si="91"/>
        <v>8.216794305789421E-2</v>
      </c>
      <c r="S221" s="799">
        <f t="shared" si="109"/>
        <v>-1</v>
      </c>
      <c r="T221" s="176">
        <f t="shared" si="92"/>
        <v>5</v>
      </c>
      <c r="U221" s="250">
        <f t="shared" si="93"/>
        <v>-0.91783205694210579</v>
      </c>
      <c r="V221" s="382">
        <f t="shared" si="94"/>
        <v>56.54728977249269</v>
      </c>
      <c r="W221" s="58"/>
      <c r="X221" s="157">
        <f t="shared" si="95"/>
        <v>43672</v>
      </c>
      <c r="Y221" s="383">
        <f t="shared" si="96"/>
        <v>22.398923451438911</v>
      </c>
      <c r="Z221" s="383">
        <f t="shared" si="97"/>
        <v>22.483650344997876</v>
      </c>
      <c r="AA221" s="384">
        <f t="shared" si="98"/>
        <v>22.79897263075485</v>
      </c>
      <c r="AB221" s="197">
        <f t="shared" si="99"/>
        <v>43672</v>
      </c>
      <c r="AC221" s="424">
        <f t="shared" si="100"/>
        <v>1.3830548019151437E-2</v>
      </c>
      <c r="AD221" s="169">
        <f>(INDEX(Models!$BJ221:$BT221,,AH221)*(1-AF221)+INDEX(Models!$BJ221:$BT221,,AH221+1)*AF221-ERP_i)*AE221*Ramure*Pc/MaxiM</f>
        <v>8.0607567312242657E-5</v>
      </c>
      <c r="AE221" s="304">
        <f t="shared" si="101"/>
        <v>0.7</v>
      </c>
      <c r="AF221" s="177">
        <f t="shared" si="102"/>
        <v>0.14650016531772647</v>
      </c>
      <c r="AG221" s="799">
        <f t="shared" si="103"/>
        <v>-1</v>
      </c>
      <c r="AH221" s="176">
        <f t="shared" si="104"/>
        <v>5</v>
      </c>
      <c r="AI221" s="224">
        <f t="shared" si="105"/>
        <v>-0.85349983468227353</v>
      </c>
      <c r="AJ221" s="264" t="b">
        <f t="shared" si="106"/>
        <v>0</v>
      </c>
      <c r="AK221" s="264" t="b">
        <f t="shared" si="107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108"/>
        <v>43673</v>
      </c>
      <c r="B222" s="607">
        <v>10.489000000000001</v>
      </c>
      <c r="C222" s="388"/>
      <c r="D222" s="391">
        <f t="shared" si="85"/>
        <v>10.528877814778545</v>
      </c>
      <c r="E222" s="383">
        <f t="shared" si="82"/>
        <v>10.677234576345196</v>
      </c>
      <c r="F222" s="383">
        <f t="shared" si="83"/>
        <v>10.677234576345196</v>
      </c>
      <c r="G222" s="110">
        <f t="shared" si="84"/>
        <v>0.18592388474196359</v>
      </c>
      <c r="I222" s="379">
        <f t="shared" si="86"/>
        <v>10.677234576345196</v>
      </c>
      <c r="J222" s="85">
        <v>2018</v>
      </c>
      <c r="K222" s="197">
        <f t="shared" si="87"/>
        <v>43673</v>
      </c>
      <c r="L222" s="435">
        <f t="shared" si="88"/>
        <v>3.7874705623964777E-3</v>
      </c>
      <c r="M222" s="842"/>
      <c r="N222" s="842"/>
      <c r="O222" s="323">
        <f t="shared" si="89"/>
        <v>1.3894680359962093E-2</v>
      </c>
      <c r="P222" s="169">
        <f>(INDEX(Models!$BJ222:$BT222,,T222)*(1-R222)+INDEX(Models!$BJ222:$BT222,,T222+1)*R222-ERP_i)*Q222*Ramure*Pc/MaxiM</f>
        <v>6.4495971437469743E-5</v>
      </c>
      <c r="Q222" s="304">
        <f t="shared" si="90"/>
        <v>0.7</v>
      </c>
      <c r="R222" s="177">
        <f t="shared" si="91"/>
        <v>8.4016616261866961E-2</v>
      </c>
      <c r="S222" s="799">
        <f t="shared" si="109"/>
        <v>-1</v>
      </c>
      <c r="T222" s="176">
        <f t="shared" si="92"/>
        <v>5</v>
      </c>
      <c r="U222" s="250">
        <f t="shared" si="93"/>
        <v>-0.91598338373813304</v>
      </c>
      <c r="V222" s="382">
        <f t="shared" si="94"/>
        <v>56.411921019786803</v>
      </c>
      <c r="W222" s="58"/>
      <c r="X222" s="157">
        <f t="shared" si="95"/>
        <v>43673</v>
      </c>
      <c r="Y222" s="383">
        <f t="shared" si="96"/>
        <v>10.489000000000001</v>
      </c>
      <c r="Z222" s="383">
        <f t="shared" si="97"/>
        <v>10.528877814778545</v>
      </c>
      <c r="AA222" s="384">
        <f t="shared" si="98"/>
        <v>10.677234576345196</v>
      </c>
      <c r="AB222" s="197">
        <f t="shared" si="99"/>
        <v>43673</v>
      </c>
      <c r="AC222" s="424">
        <f t="shared" si="100"/>
        <v>1.3894680359962093E-2</v>
      </c>
      <c r="AD222" s="169">
        <f>(INDEX(Models!$BJ222:$BT222,,AH222)*(1-AF222)+INDEX(Models!$BJ222:$BT222,,AH222+1)*AF222-ERP_i)*AE222*Ramure*Pc/MaxiM</f>
        <v>9.2419248889283787E-5</v>
      </c>
      <c r="AE222" s="304">
        <f t="shared" si="101"/>
        <v>0.7</v>
      </c>
      <c r="AF222" s="177">
        <f t="shared" si="102"/>
        <v>0.14834883852169911</v>
      </c>
      <c r="AG222" s="799">
        <f t="shared" si="103"/>
        <v>-1</v>
      </c>
      <c r="AH222" s="176">
        <f t="shared" si="104"/>
        <v>5</v>
      </c>
      <c r="AI222" s="224">
        <f t="shared" si="105"/>
        <v>-0.85165116147830089</v>
      </c>
      <c r="AJ222" s="264" t="b">
        <f t="shared" si="106"/>
        <v>0</v>
      </c>
      <c r="AK222" s="264" t="b">
        <f t="shared" si="107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108"/>
        <v>43674</v>
      </c>
      <c r="B223" s="607">
        <v>44.267000000000003</v>
      </c>
      <c r="C223" s="388"/>
      <c r="D223" s="391">
        <f t="shared" si="85"/>
        <v>44.436148989418832</v>
      </c>
      <c r="E223" s="383">
        <f t="shared" si="82"/>
        <v>45.065200636554053</v>
      </c>
      <c r="F223" s="383">
        <f t="shared" si="83"/>
        <v>45.067532635891681</v>
      </c>
      <c r="G223" s="110">
        <f t="shared" si="84"/>
        <v>0.78659513523240709</v>
      </c>
      <c r="I223" s="379">
        <f t="shared" si="86"/>
        <v>45.067532635891681</v>
      </c>
      <c r="J223" s="85">
        <v>2018</v>
      </c>
      <c r="K223" s="197">
        <f t="shared" si="87"/>
        <v>43674</v>
      </c>
      <c r="L223" s="435">
        <f t="shared" si="88"/>
        <v>3.8065627482505304E-3</v>
      </c>
      <c r="M223" s="842"/>
      <c r="N223" s="842"/>
      <c r="O223" s="323">
        <f t="shared" si="89"/>
        <v>1.3958700688108536E-2</v>
      </c>
      <c r="P223" s="169">
        <f>(INDEX(Models!$BJ223:$BT223,,T223)*(1-R223)+INDEX(Models!$BJ223:$BT223,,T223+1)*R223-ERP_i)*Q223*Ramure*Pc/MaxiM</f>
        <v>7.4435307562071272E-5</v>
      </c>
      <c r="Q223" s="304">
        <f t="shared" si="90"/>
        <v>0.7</v>
      </c>
      <c r="R223" s="177">
        <f t="shared" si="91"/>
        <v>8.5809415771132103E-2</v>
      </c>
      <c r="S223" s="799">
        <f t="shared" si="109"/>
        <v>-1</v>
      </c>
      <c r="T223" s="176">
        <f t="shared" si="92"/>
        <v>5</v>
      </c>
      <c r="U223" s="250">
        <f t="shared" si="93"/>
        <v>-0.9141905842288679</v>
      </c>
      <c r="V223" s="382">
        <f t="shared" si="94"/>
        <v>56.275450372977261</v>
      </c>
      <c r="W223" s="58"/>
      <c r="X223" s="157">
        <f t="shared" si="95"/>
        <v>43674</v>
      </c>
      <c r="Y223" s="383">
        <f t="shared" si="96"/>
        <v>44.266038391751401</v>
      </c>
      <c r="Z223" s="383">
        <f t="shared" si="97"/>
        <v>44.435183706761229</v>
      </c>
      <c r="AA223" s="384">
        <f t="shared" si="98"/>
        <v>45.064221689061405</v>
      </c>
      <c r="AB223" s="197">
        <f t="shared" si="99"/>
        <v>43674</v>
      </c>
      <c r="AC223" s="424">
        <f t="shared" si="100"/>
        <v>1.3958700688108536E-2</v>
      </c>
      <c r="AD223" s="169">
        <f>(INDEX(Models!$BJ223:$BT223,,AH223)*(1-AF223)+INDEX(Models!$BJ223:$BT223,,AH223+1)*AF223-ERP_i)*AE223*Ramure*Pc/MaxiM</f>
        <v>1.0568242522920783E-4</v>
      </c>
      <c r="AE223" s="304">
        <f t="shared" si="101"/>
        <v>0.7</v>
      </c>
      <c r="AF223" s="177">
        <f t="shared" si="102"/>
        <v>0.15014163803096436</v>
      </c>
      <c r="AG223" s="799">
        <f t="shared" si="103"/>
        <v>-1</v>
      </c>
      <c r="AH223" s="176">
        <f t="shared" si="104"/>
        <v>5</v>
      </c>
      <c r="AI223" s="224">
        <f t="shared" si="105"/>
        <v>-0.84985836196903564</v>
      </c>
      <c r="AJ223" s="264" t="b">
        <f t="shared" si="106"/>
        <v>0</v>
      </c>
      <c r="AK223" s="264" t="b">
        <f t="shared" si="107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108"/>
        <v>43675</v>
      </c>
      <c r="B224" s="607">
        <v>57.756</v>
      </c>
      <c r="C224" s="388"/>
      <c r="D224" s="391">
        <f t="shared" si="85"/>
        <v>57.977803047081686</v>
      </c>
      <c r="E224" s="383">
        <f t="shared" si="82"/>
        <v>58.802365809690784</v>
      </c>
      <c r="F224" s="383">
        <f t="shared" si="83"/>
        <v>58.807397280234632</v>
      </c>
      <c r="G224" s="110">
        <f t="shared" si="84"/>
        <v>1.0288221285368508</v>
      </c>
      <c r="I224" s="379">
        <f t="shared" si="86"/>
        <v>58.807397280234632</v>
      </c>
      <c r="J224" s="85">
        <v>2018</v>
      </c>
      <c r="K224" s="197">
        <f t="shared" si="87"/>
        <v>43675</v>
      </c>
      <c r="L224" s="435">
        <f t="shared" si="88"/>
        <v>3.8256545682071597E-3</v>
      </c>
      <c r="M224" s="842"/>
      <c r="N224" s="842"/>
      <c r="O224" s="323">
        <f t="shared" si="89"/>
        <v>1.402261203703495E-2</v>
      </c>
      <c r="P224" s="169">
        <f>(INDEX(Models!$BJ224:$BT224,,T224)*(1-R224)+INDEX(Models!$BJ224:$BT224,,T224+1)*R224-ERP_i)*Q224*Ramure*Pc/MaxiM</f>
        <v>8.5558463331860112E-5</v>
      </c>
      <c r="Q224" s="304">
        <f t="shared" si="90"/>
        <v>0.7</v>
      </c>
      <c r="R224" s="177">
        <f t="shared" si="91"/>
        <v>8.7547390974358819E-2</v>
      </c>
      <c r="S224" s="799">
        <f t="shared" si="109"/>
        <v>-1</v>
      </c>
      <c r="T224" s="176">
        <f t="shared" si="92"/>
        <v>5</v>
      </c>
      <c r="U224" s="250">
        <f t="shared" si="93"/>
        <v>-0.91245260902564118</v>
      </c>
      <c r="V224" s="382">
        <f t="shared" si="94"/>
        <v>56.137983814693257</v>
      </c>
      <c r="W224" s="58"/>
      <c r="X224" s="157">
        <f t="shared" si="95"/>
        <v>43675</v>
      </c>
      <c r="Y224" s="383">
        <f t="shared" si="96"/>
        <v>57.753986231759612</v>
      </c>
      <c r="Z224" s="383">
        <f t="shared" si="97"/>
        <v>57.975781545273669</v>
      </c>
      <c r="AA224" s="384">
        <f t="shared" si="98"/>
        <v>58.800315557998715</v>
      </c>
      <c r="AB224" s="197">
        <f t="shared" si="99"/>
        <v>43675</v>
      </c>
      <c r="AC224" s="424">
        <f t="shared" si="100"/>
        <v>1.402261203703495E-2</v>
      </c>
      <c r="AD224" s="169">
        <f>(INDEX(Models!$BJ224:$BT224,,AH224)*(1-AF224)+INDEX(Models!$BJ224:$BT224,,AH224+1)*AF224-ERP_i)*AE224*Ramure*Pc/MaxiM</f>
        <v>1.2042230337401428E-4</v>
      </c>
      <c r="AE224" s="304">
        <f t="shared" si="101"/>
        <v>0.7</v>
      </c>
      <c r="AF224" s="177">
        <f t="shared" si="102"/>
        <v>0.15187961323419108</v>
      </c>
      <c r="AG224" s="799">
        <f t="shared" si="103"/>
        <v>-1</v>
      </c>
      <c r="AH224" s="176">
        <f t="shared" si="104"/>
        <v>5</v>
      </c>
      <c r="AI224" s="224">
        <f t="shared" si="105"/>
        <v>-0.84812038676580892</v>
      </c>
      <c r="AJ224" s="264" t="b">
        <f t="shared" si="106"/>
        <v>0</v>
      </c>
      <c r="AK224" s="264" t="b">
        <f t="shared" si="107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108"/>
        <v>43676</v>
      </c>
      <c r="B225" s="607">
        <v>22.919</v>
      </c>
      <c r="C225" s="388"/>
      <c r="D225" s="391">
        <f t="shared" si="85"/>
        <v>23.007457831982137</v>
      </c>
      <c r="E225" s="383">
        <f t="shared" si="82"/>
        <v>23.33618101261273</v>
      </c>
      <c r="F225" s="383">
        <f t="shared" si="83"/>
        <v>23.336537603129418</v>
      </c>
      <c r="G225" s="110">
        <f t="shared" si="84"/>
        <v>0.40923677115543211</v>
      </c>
      <c r="I225" s="379">
        <f t="shared" si="86"/>
        <v>23.336537603129418</v>
      </c>
      <c r="J225" s="85">
        <v>2018</v>
      </c>
      <c r="K225" s="197">
        <f t="shared" si="87"/>
        <v>43676</v>
      </c>
      <c r="L225" s="435">
        <f t="shared" si="88"/>
        <v>3.8447460222734708E-3</v>
      </c>
      <c r="M225" s="842"/>
      <c r="N225" s="842"/>
      <c r="O225" s="323">
        <f t="shared" si="89"/>
        <v>1.408641715852847E-2</v>
      </c>
      <c r="P225" s="169">
        <f>(INDEX(Models!$BJ225:$BT225,,T225)*(1-R225)+INDEX(Models!$BJ225:$BT225,,T225+1)*R225-ERP_i)*Q225*Ramure*Pc/MaxiM</f>
        <v>9.7887707625633646E-5</v>
      </c>
      <c r="Q225" s="304">
        <f t="shared" si="90"/>
        <v>0.7</v>
      </c>
      <c r="R225" s="177">
        <f t="shared" si="91"/>
        <v>8.9231617811864838E-2</v>
      </c>
      <c r="S225" s="799">
        <f t="shared" si="109"/>
        <v>-1</v>
      </c>
      <c r="T225" s="176">
        <f t="shared" si="92"/>
        <v>5</v>
      </c>
      <c r="U225" s="250">
        <f t="shared" si="93"/>
        <v>-0.91076838218813516</v>
      </c>
      <c r="V225" s="382">
        <f t="shared" si="94"/>
        <v>55.999627375589355</v>
      </c>
      <c r="W225" s="58"/>
      <c r="X225" s="157">
        <f t="shared" si="95"/>
        <v>43676</v>
      </c>
      <c r="Y225" s="383">
        <f t="shared" si="96"/>
        <v>22.91886127181813</v>
      </c>
      <c r="Z225" s="383">
        <f t="shared" si="97"/>
        <v>23.007318568367037</v>
      </c>
      <c r="AA225" s="384">
        <f t="shared" si="98"/>
        <v>23.33603975924375</v>
      </c>
      <c r="AB225" s="197">
        <f t="shared" si="99"/>
        <v>43676</v>
      </c>
      <c r="AC225" s="424">
        <f t="shared" si="100"/>
        <v>1.408641715852847E-2</v>
      </c>
      <c r="AD225" s="169">
        <f>(INDEX(Models!$BJ225:$BT225,,AH225)*(1-AF225)+INDEX(Models!$BJ225:$BT225,,AH225+1)*AF225-ERP_i)*AE225*Ramure*Pc/MaxiM</f>
        <v>1.36663187726844E-4</v>
      </c>
      <c r="AE225" s="304">
        <f t="shared" si="101"/>
        <v>0.7</v>
      </c>
      <c r="AF225" s="177">
        <f t="shared" si="102"/>
        <v>0.15356384007169699</v>
      </c>
      <c r="AG225" s="799">
        <f t="shared" si="103"/>
        <v>-1</v>
      </c>
      <c r="AH225" s="176">
        <f t="shared" si="104"/>
        <v>5</v>
      </c>
      <c r="AI225" s="224">
        <f t="shared" si="105"/>
        <v>-0.84643615992830301</v>
      </c>
      <c r="AJ225" s="264" t="b">
        <f t="shared" si="106"/>
        <v>0</v>
      </c>
      <c r="AK225" s="264" t="b">
        <f t="shared" si="107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108"/>
        <v>43677</v>
      </c>
      <c r="B226" s="607">
        <v>55.173000000000002</v>
      </c>
      <c r="C226" s="388"/>
      <c r="D226" s="391">
        <f t="shared" si="85"/>
        <v>55.387006370652017</v>
      </c>
      <c r="E226" s="383">
        <f t="shared" si="82"/>
        <v>56.181988161562401</v>
      </c>
      <c r="F226" s="383">
        <f t="shared" si="83"/>
        <v>56.188132676281505</v>
      </c>
      <c r="G226" s="110">
        <f t="shared" si="84"/>
        <v>0.98769072026043614</v>
      </c>
      <c r="I226" s="379">
        <f t="shared" si="86"/>
        <v>56.188132676281505</v>
      </c>
      <c r="J226" s="85">
        <v>2018</v>
      </c>
      <c r="K226" s="197">
        <f t="shared" si="87"/>
        <v>43677</v>
      </c>
      <c r="L226" s="435">
        <f t="shared" si="88"/>
        <v>3.8638371104564584E-3</v>
      </c>
      <c r="M226" s="842"/>
      <c r="N226" s="842"/>
      <c r="O226" s="323">
        <f t="shared" si="89"/>
        <v>1.4150118515283883E-2</v>
      </c>
      <c r="P226" s="169">
        <f>(INDEX(Models!$BJ226:$BT226,,T226)*(1-R226)+INDEX(Models!$BJ226:$BT226,,T226+1)*R226-ERP_i)*Q226*Ramure*Pc/MaxiM</f>
        <v>1.1131319408155762E-4</v>
      </c>
      <c r="Q226" s="304">
        <f t="shared" si="90"/>
        <v>0.7</v>
      </c>
      <c r="R226" s="177">
        <f t="shared" si="91"/>
        <v>9.0863194664243307E-2</v>
      </c>
      <c r="S226" s="799">
        <f t="shared" si="109"/>
        <v>-1</v>
      </c>
      <c r="T226" s="176">
        <f t="shared" si="92"/>
        <v>5</v>
      </c>
      <c r="U226" s="250">
        <f t="shared" si="93"/>
        <v>-0.90913680533575669</v>
      </c>
      <c r="V226" s="382">
        <f t="shared" si="94"/>
        <v>55.860494461829219</v>
      </c>
      <c r="W226" s="58"/>
      <c r="X226" s="157">
        <f t="shared" si="95"/>
        <v>43677</v>
      </c>
      <c r="Y226" s="383">
        <f t="shared" si="96"/>
        <v>55.170674916669689</v>
      </c>
      <c r="Z226" s="383">
        <f t="shared" si="97"/>
        <v>55.384672268732082</v>
      </c>
      <c r="AA226" s="384">
        <f t="shared" si="98"/>
        <v>56.179620557768182</v>
      </c>
      <c r="AB226" s="197">
        <f t="shared" si="99"/>
        <v>43677</v>
      </c>
      <c r="AC226" s="424">
        <f t="shared" si="100"/>
        <v>1.4150118515283883E-2</v>
      </c>
      <c r="AD226" s="169">
        <f>(INDEX(Models!$BJ226:$BT226,,AH226)*(1-AF226)+INDEX(Models!$BJ226:$BT226,,AH226+1)*AF226-ERP_i)*AE226*Ramure*Pc/MaxiM</f>
        <v>1.54204382841388E-4</v>
      </c>
      <c r="AE226" s="304">
        <f t="shared" si="101"/>
        <v>0.7</v>
      </c>
      <c r="AF226" s="177">
        <f t="shared" si="102"/>
        <v>0.15519541692407546</v>
      </c>
      <c r="AG226" s="799">
        <f t="shared" si="103"/>
        <v>-1</v>
      </c>
      <c r="AH226" s="176">
        <f t="shared" si="104"/>
        <v>5</v>
      </c>
      <c r="AI226" s="224">
        <f t="shared" si="105"/>
        <v>-0.84480458307592454</v>
      </c>
      <c r="AJ226" s="264" t="b">
        <f t="shared" si="106"/>
        <v>0</v>
      </c>
      <c r="AK226" s="264" t="b">
        <f t="shared" si="107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108"/>
        <v>43678</v>
      </c>
      <c r="B227" s="607">
        <v>45.323999999999998</v>
      </c>
      <c r="C227" s="388"/>
      <c r="D227" s="391">
        <f t="shared" si="85"/>
        <v>45.500675840631118</v>
      </c>
      <c r="E227" s="383">
        <f t="shared" si="82"/>
        <v>46.156734663679302</v>
      </c>
      <c r="F227" s="383">
        <f t="shared" si="83"/>
        <v>46.160978630440042</v>
      </c>
      <c r="G227" s="110">
        <f t="shared" si="84"/>
        <v>0.81338658368683547</v>
      </c>
      <c r="I227" s="379">
        <f t="shared" si="86"/>
        <v>46.160978630440042</v>
      </c>
      <c r="J227" s="85">
        <v>2018</v>
      </c>
      <c r="K227" s="197">
        <f t="shared" si="87"/>
        <v>43678</v>
      </c>
      <c r="L227" s="435">
        <f t="shared" si="88"/>
        <v>3.8829278327631167E-3</v>
      </c>
      <c r="M227" s="842"/>
      <c r="N227" s="842"/>
      <c r="O227" s="323">
        <f t="shared" si="89"/>
        <v>1.4213718275968883E-2</v>
      </c>
      <c r="P227" s="169">
        <f>(INDEX(Models!$BJ227:$BT227,,T227)*(1-R227)+INDEX(Models!$BJ227:$BT227,,T227+1)*R227-ERP_i)*Q227*Ramure*Pc/MaxiM</f>
        <v>1.2535091216947855E-4</v>
      </c>
      <c r="Q227" s="304">
        <f t="shared" si="90"/>
        <v>0.7</v>
      </c>
      <c r="R227" s="177">
        <f t="shared" si="91"/>
        <v>9.2443238447178611E-2</v>
      </c>
      <c r="S227" s="799">
        <f t="shared" si="109"/>
        <v>-1</v>
      </c>
      <c r="T227" s="176">
        <f t="shared" si="92"/>
        <v>5</v>
      </c>
      <c r="U227" s="250">
        <f t="shared" si="93"/>
        <v>-0.90755676155282139</v>
      </c>
      <c r="V227" s="382">
        <f t="shared" si="94"/>
        <v>55.72071925118393</v>
      </c>
      <c r="W227" s="58"/>
      <c r="X227" s="157">
        <f t="shared" si="95"/>
        <v>43678</v>
      </c>
      <c r="Y227" s="383">
        <f t="shared" si="96"/>
        <v>45.322435262783657</v>
      </c>
      <c r="Z227" s="383">
        <f t="shared" si="97"/>
        <v>45.499105003969383</v>
      </c>
      <c r="AA227" s="384">
        <f t="shared" si="98"/>
        <v>46.155141177656155</v>
      </c>
      <c r="AB227" s="197">
        <f t="shared" si="99"/>
        <v>43678</v>
      </c>
      <c r="AC227" s="424">
        <f t="shared" si="100"/>
        <v>1.4213718275968883E-2</v>
      </c>
      <c r="AD227" s="169">
        <f>(INDEX(Models!$BJ227:$BT227,,AH227)*(1-AF227)+INDEX(Models!$BJ227:$BT227,,AH227+1)*AF227-ERP_i)*AE227*Ramure*Pc/MaxiM</f>
        <v>1.7241653209340056E-4</v>
      </c>
      <c r="AE227" s="304">
        <f t="shared" si="101"/>
        <v>0.7</v>
      </c>
      <c r="AF227" s="177">
        <f t="shared" si="102"/>
        <v>0.15677546070701087</v>
      </c>
      <c r="AG227" s="799">
        <f t="shared" si="103"/>
        <v>-1</v>
      </c>
      <c r="AH227" s="176">
        <f t="shared" si="104"/>
        <v>5</v>
      </c>
      <c r="AI227" s="224">
        <f t="shared" si="105"/>
        <v>-0.84322453929298913</v>
      </c>
      <c r="AJ227" s="264" t="b">
        <f t="shared" si="106"/>
        <v>0</v>
      </c>
      <c r="AK227" s="264" t="b">
        <f t="shared" si="107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108"/>
        <v>43679</v>
      </c>
      <c r="B228" s="607">
        <v>54.283999999999999</v>
      </c>
      <c r="C228" s="388"/>
      <c r="D228" s="391">
        <f t="shared" si="85"/>
        <v>54.496646907483424</v>
      </c>
      <c r="E228" s="383">
        <f t="shared" si="82"/>
        <v>55.285976868871508</v>
      </c>
      <c r="F228" s="383">
        <f t="shared" si="83"/>
        <v>55.293459971427438</v>
      </c>
      <c r="G228" s="110">
        <f t="shared" si="84"/>
        <v>0.97667051918662651</v>
      </c>
      <c r="I228" s="379">
        <f t="shared" si="86"/>
        <v>55.293459971427438</v>
      </c>
      <c r="J228" s="85">
        <v>2018</v>
      </c>
      <c r="K228" s="197">
        <f t="shared" si="87"/>
        <v>43679</v>
      </c>
      <c r="L228" s="435">
        <f t="shared" si="88"/>
        <v>3.9020181892003292E-3</v>
      </c>
      <c r="M228" s="842"/>
      <c r="N228" s="842"/>
      <c r="O228" s="323">
        <f t="shared" si="89"/>
        <v>1.4277218312705764E-2</v>
      </c>
      <c r="P228" s="169">
        <f>(INDEX(Models!$BJ228:$BT228,,T228)*(1-R228)+INDEX(Models!$BJ228:$BT228,,T228+1)*R228-ERP_i)*Q228*Ramure*Pc/MaxiM</f>
        <v>1.3999927617349718E-4</v>
      </c>
      <c r="Q228" s="304">
        <f t="shared" si="90"/>
        <v>0.7</v>
      </c>
      <c r="R228" s="177">
        <f t="shared" si="91"/>
        <v>9.3972880914888091E-2</v>
      </c>
      <c r="S228" s="799">
        <f t="shared" si="109"/>
        <v>-1</v>
      </c>
      <c r="T228" s="176">
        <f t="shared" si="92"/>
        <v>5</v>
      </c>
      <c r="U228" s="250">
        <f t="shared" si="93"/>
        <v>-0.90602711908511191</v>
      </c>
      <c r="V228" s="382">
        <f t="shared" si="94"/>
        <v>55.580408814024409</v>
      </c>
      <c r="W228" s="58"/>
      <c r="X228" s="157">
        <f t="shared" si="95"/>
        <v>43679</v>
      </c>
      <c r="Y228" s="383">
        <f t="shared" si="96"/>
        <v>54.281307698580406</v>
      </c>
      <c r="Z228" s="383">
        <f t="shared" si="97"/>
        <v>54.49394405950185</v>
      </c>
      <c r="AA228" s="384">
        <f t="shared" si="98"/>
        <v>55.283234872813601</v>
      </c>
      <c r="AB228" s="197">
        <f t="shared" si="99"/>
        <v>43679</v>
      </c>
      <c r="AC228" s="424">
        <f t="shared" si="100"/>
        <v>1.4277218312705764E-2</v>
      </c>
      <c r="AD228" s="169">
        <f>(INDEX(Models!$BJ228:$BT228,,AH228)*(1-AF228)+INDEX(Models!$BJ228:$BT228,,AH228+1)*AF228-ERP_i)*AE228*Ramure*Pc/MaxiM</f>
        <v>1.9129851475917524E-4</v>
      </c>
      <c r="AE228" s="304">
        <f t="shared" si="101"/>
        <v>0.7</v>
      </c>
      <c r="AF228" s="177">
        <f t="shared" si="102"/>
        <v>0.15830510317472024</v>
      </c>
      <c r="AG228" s="799">
        <f t="shared" si="103"/>
        <v>-1</v>
      </c>
      <c r="AH228" s="176">
        <f t="shared" si="104"/>
        <v>5</v>
      </c>
      <c r="AI228" s="224">
        <f t="shared" si="105"/>
        <v>-0.84169489682527976</v>
      </c>
      <c r="AJ228" s="264" t="b">
        <f t="shared" si="106"/>
        <v>0</v>
      </c>
      <c r="AK228" s="264" t="b">
        <f t="shared" si="107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108"/>
        <v>43680</v>
      </c>
      <c r="B229" s="607">
        <v>55.832999999999998</v>
      </c>
      <c r="C229" s="388"/>
      <c r="D229" s="391">
        <f t="shared" si="85"/>
        <v>56.052789049641767</v>
      </c>
      <c r="E229" s="383">
        <f t="shared" si="82"/>
        <v>56.868315970436321</v>
      </c>
      <c r="F229" s="383">
        <f t="shared" ref="F229:F260" si="110">Wh_sa/(1-Pvg*MEDIAN((-Sdif+Wh/Env_an)/Csdif,0,1))</f>
        <v>56.877146530332794</v>
      </c>
      <c r="G229" s="110">
        <f t="shared" si="84"/>
        <v>1.0070947356472648</v>
      </c>
      <c r="I229" s="379">
        <f t="shared" si="86"/>
        <v>56.877146530332794</v>
      </c>
      <c r="J229" s="85">
        <v>2018</v>
      </c>
      <c r="K229" s="197">
        <f t="shared" si="87"/>
        <v>43680</v>
      </c>
      <c r="L229" s="435">
        <f t="shared" si="88"/>
        <v>3.9211081797753122E-3</v>
      </c>
      <c r="M229" s="842"/>
      <c r="N229" s="842"/>
      <c r="O229" s="323">
        <f t="shared" si="89"/>
        <v>1.4340620200860431E-2</v>
      </c>
      <c r="P229" s="169">
        <f>(INDEX(Models!$BJ229:$BT229,,T229)*(1-R229)+INDEX(Models!$BJ229:$BT229,,T229+1)*R229-ERP_i)*Q229*Ramure*Pc/MaxiM</f>
        <v>1.552567320120776E-4</v>
      </c>
      <c r="Q229" s="304">
        <f t="shared" si="90"/>
        <v>0.7</v>
      </c>
      <c r="R229" s="177">
        <f t="shared" si="91"/>
        <v>9.5453265173066404E-2</v>
      </c>
      <c r="S229" s="799">
        <f t="shared" si="109"/>
        <v>-1</v>
      </c>
      <c r="T229" s="176">
        <f t="shared" si="92"/>
        <v>5</v>
      </c>
      <c r="U229" s="250">
        <f t="shared" si="93"/>
        <v>-0.9045467348269336</v>
      </c>
      <c r="V229" s="382">
        <f t="shared" si="94"/>
        <v>55.439670195590722</v>
      </c>
      <c r="W229" s="58"/>
      <c r="X229" s="157">
        <f t="shared" si="95"/>
        <v>43680</v>
      </c>
      <c r="Y229" s="383">
        <f t="shared" si="96"/>
        <v>55.82989562274134</v>
      </c>
      <c r="Z229" s="383">
        <f t="shared" si="97"/>
        <v>56.04967245186608</v>
      </c>
      <c r="AA229" s="384">
        <f t="shared" si="98"/>
        <v>56.865154028451535</v>
      </c>
      <c r="AB229" s="197">
        <f t="shared" si="99"/>
        <v>43680</v>
      </c>
      <c r="AC229" s="424">
        <f t="shared" si="100"/>
        <v>1.4340620200860431E-2</v>
      </c>
      <c r="AD229" s="169">
        <f>(INDEX(Models!$BJ229:$BT229,,AH229)*(1-AF229)+INDEX(Models!$BJ229:$BT229,,AH229+1)*AF229-ERP_i)*AE229*Ramure*Pc/MaxiM</f>
        <v>2.1084921823326128E-4</v>
      </c>
      <c r="AE229" s="304">
        <f t="shared" si="101"/>
        <v>0.7</v>
      </c>
      <c r="AF229" s="177">
        <f t="shared" si="102"/>
        <v>0.15978548743289855</v>
      </c>
      <c r="AG229" s="799">
        <f t="shared" si="103"/>
        <v>-1</v>
      </c>
      <c r="AH229" s="176">
        <f t="shared" si="104"/>
        <v>5</v>
      </c>
      <c r="AI229" s="224">
        <f t="shared" si="105"/>
        <v>-0.84021451256710145</v>
      </c>
      <c r="AJ229" s="264" t="b">
        <f t="shared" si="106"/>
        <v>0</v>
      </c>
      <c r="AK229" s="264" t="b">
        <f t="shared" si="107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108"/>
        <v>43681</v>
      </c>
      <c r="B230" s="607">
        <v>53.927</v>
      </c>
      <c r="C230" s="388"/>
      <c r="D230" s="391">
        <f t="shared" si="85"/>
        <v>54.140323584120793</v>
      </c>
      <c r="E230" s="383">
        <f t="shared" si="82"/>
        <v>54.931553574075473</v>
      </c>
      <c r="F230" s="383">
        <f t="shared" si="110"/>
        <v>54.940621976631377</v>
      </c>
      <c r="G230" s="110">
        <f t="shared" si="84"/>
        <v>0.97519038099474187</v>
      </c>
      <c r="I230" s="379">
        <f t="shared" si="86"/>
        <v>54.940621976631377</v>
      </c>
      <c r="J230" s="85">
        <v>2018</v>
      </c>
      <c r="K230" s="197">
        <f t="shared" si="87"/>
        <v>43681</v>
      </c>
      <c r="L230" s="435">
        <f t="shared" si="88"/>
        <v>3.9401978044948383E-3</v>
      </c>
      <c r="M230" s="842"/>
      <c r="N230" s="842"/>
      <c r="O230" s="323">
        <f t="shared" si="89"/>
        <v>1.4403925221006192E-2</v>
      </c>
      <c r="P230" s="169">
        <f>(INDEX(Models!$BJ230:$BT230,,T230)*(1-R230)+INDEX(Models!$BJ230:$BT230,,T230+1)*R230-ERP_i)*Q230*Ramure*Pc/MaxiM</f>
        <v>1.7112174820379253E-4</v>
      </c>
      <c r="Q230" s="304">
        <f t="shared" si="90"/>
        <v>0.7</v>
      </c>
      <c r="R230" s="177">
        <f t="shared" si="91"/>
        <v>9.6885542400807934E-2</v>
      </c>
      <c r="S230" s="799">
        <f t="shared" si="109"/>
        <v>-1</v>
      </c>
      <c r="T230" s="176">
        <f t="shared" si="92"/>
        <v>5</v>
      </c>
      <c r="U230" s="250">
        <f t="shared" si="93"/>
        <v>-0.90311445759919207</v>
      </c>
      <c r="V230" s="382">
        <f t="shared" si="94"/>
        <v>55.298610415321129</v>
      </c>
      <c r="W230" s="58"/>
      <c r="X230" s="157">
        <f t="shared" si="95"/>
        <v>43681</v>
      </c>
      <c r="Y230" s="383">
        <f t="shared" si="96"/>
        <v>53.923881336199237</v>
      </c>
      <c r="Z230" s="383">
        <f t="shared" si="97"/>
        <v>54.137192583558488</v>
      </c>
      <c r="AA230" s="384">
        <f t="shared" si="98"/>
        <v>54.928376815723418</v>
      </c>
      <c r="AB230" s="197">
        <f t="shared" si="99"/>
        <v>43681</v>
      </c>
      <c r="AC230" s="424">
        <f t="shared" si="100"/>
        <v>1.4403925221006192E-2</v>
      </c>
      <c r="AD230" s="169">
        <f>(INDEX(Models!$BJ230:$BT230,,AH230)*(1-AF230)+INDEX(Models!$BJ230:$BT230,,AH230+1)*AF230-ERP_i)*AE230*Ramure*Pc/MaxiM</f>
        <v>2.310675258060151E-4</v>
      </c>
      <c r="AE230" s="304">
        <f t="shared" si="101"/>
        <v>0.7</v>
      </c>
      <c r="AF230" s="177">
        <f t="shared" si="102"/>
        <v>0.16121776466064008</v>
      </c>
      <c r="AG230" s="799">
        <f t="shared" si="103"/>
        <v>-1</v>
      </c>
      <c r="AH230" s="176">
        <f t="shared" si="104"/>
        <v>5</v>
      </c>
      <c r="AI230" s="224">
        <f t="shared" si="105"/>
        <v>-0.83878223533935992</v>
      </c>
      <c r="AJ230" s="264" t="b">
        <f t="shared" si="106"/>
        <v>0</v>
      </c>
      <c r="AK230" s="264" t="b">
        <f t="shared" si="107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108"/>
        <v>43682</v>
      </c>
      <c r="B231" s="607">
        <v>52.597000000000001</v>
      </c>
      <c r="C231" s="388"/>
      <c r="D231" s="391">
        <f t="shared" si="85"/>
        <v>52.80607440726785</v>
      </c>
      <c r="E231" s="383">
        <f t="shared" si="82"/>
        <v>53.581241426313731</v>
      </c>
      <c r="F231" s="383">
        <f t="shared" si="110"/>
        <v>53.590627988169963</v>
      </c>
      <c r="G231" s="110">
        <f t="shared" si="84"/>
        <v>0.95356935197404635</v>
      </c>
      <c r="I231" s="379">
        <f t="shared" si="86"/>
        <v>53.590627988169963</v>
      </c>
      <c r="J231" s="85">
        <v>2018</v>
      </c>
      <c r="K231" s="197">
        <f t="shared" si="87"/>
        <v>43682</v>
      </c>
      <c r="L231" s="435">
        <f t="shared" si="88"/>
        <v>3.9592870633662347E-3</v>
      </c>
      <c r="M231" s="842"/>
      <c r="N231" s="842"/>
      <c r="O231" s="323">
        <f t="shared" si="89"/>
        <v>1.4467134362907816E-2</v>
      </c>
      <c r="P231" s="169">
        <f>(INDEX(Models!$BJ231:$BT231,,T231)*(1-R231)+INDEX(Models!$BJ231:$BT231,,T231+1)*R231-ERP_i)*Q231*Ramure*Pc/MaxiM</f>
        <v>1.8759280528345159E-4</v>
      </c>
      <c r="Q231" s="304">
        <f t="shared" si="90"/>
        <v>0.7</v>
      </c>
      <c r="R231" s="177">
        <f t="shared" si="91"/>
        <v>9.8270868779721798E-2</v>
      </c>
      <c r="S231" s="799">
        <f t="shared" si="109"/>
        <v>-1</v>
      </c>
      <c r="T231" s="176">
        <f t="shared" si="92"/>
        <v>5</v>
      </c>
      <c r="U231" s="250">
        <f t="shared" si="93"/>
        <v>-0.9017291312202782</v>
      </c>
      <c r="V231" s="382">
        <f t="shared" si="94"/>
        <v>55.157336467033971</v>
      </c>
      <c r="W231" s="58"/>
      <c r="X231" s="157">
        <f t="shared" si="95"/>
        <v>43682</v>
      </c>
      <c r="Y231" s="383">
        <f t="shared" si="96"/>
        <v>52.593838805512732</v>
      </c>
      <c r="Z231" s="383">
        <f t="shared" si="97"/>
        <v>52.802900646952423</v>
      </c>
      <c r="AA231" s="384">
        <f t="shared" si="98"/>
        <v>53.578021076768742</v>
      </c>
      <c r="AB231" s="197">
        <f t="shared" si="99"/>
        <v>43682</v>
      </c>
      <c r="AC231" s="424">
        <f t="shared" si="100"/>
        <v>1.4467134362907816E-2</v>
      </c>
      <c r="AD231" s="169">
        <f>(INDEX(Models!$BJ231:$BT231,,AH231)*(1-AF231)+INDEX(Models!$BJ231:$BT231,,AH231+1)*AF231-ERP_i)*AE231*Ramure*Pc/MaxiM</f>
        <v>2.5195230287054999E-4</v>
      </c>
      <c r="AE231" s="304">
        <f t="shared" si="101"/>
        <v>0.7</v>
      </c>
      <c r="AF231" s="177">
        <f t="shared" si="102"/>
        <v>0.16260309103955395</v>
      </c>
      <c r="AG231" s="799">
        <f t="shared" si="103"/>
        <v>-1</v>
      </c>
      <c r="AH231" s="176">
        <f t="shared" si="104"/>
        <v>5</v>
      </c>
      <c r="AI231" s="224">
        <f t="shared" si="105"/>
        <v>-0.83739690896044605</v>
      </c>
      <c r="AJ231" s="264" t="b">
        <f t="shared" si="106"/>
        <v>0</v>
      </c>
      <c r="AK231" s="264" t="b">
        <f t="shared" si="107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108"/>
        <v>43683</v>
      </c>
      <c r="B232" s="607">
        <v>39.470999999999997</v>
      </c>
      <c r="C232" s="388"/>
      <c r="D232" s="391">
        <f t="shared" si="85"/>
        <v>39.628657698973853</v>
      </c>
      <c r="E232" s="383">
        <f t="shared" si="82"/>
        <v>40.212962023311803</v>
      </c>
      <c r="F232" s="383">
        <f t="shared" si="110"/>
        <v>40.217870791596511</v>
      </c>
      <c r="G232" s="110">
        <f t="shared" si="84"/>
        <v>0.71738713828185252</v>
      </c>
      <c r="I232" s="379">
        <f t="shared" si="86"/>
        <v>40.217870791596511</v>
      </c>
      <c r="J232" s="85">
        <v>2018</v>
      </c>
      <c r="K232" s="197">
        <f t="shared" si="87"/>
        <v>43683</v>
      </c>
      <c r="L232" s="435">
        <f t="shared" si="88"/>
        <v>3.9783759563962739E-3</v>
      </c>
      <c r="M232" s="842"/>
      <c r="N232" s="842"/>
      <c r="O232" s="323">
        <f t="shared" si="89"/>
        <v>1.4530248331351935E-2</v>
      </c>
      <c r="P232" s="169">
        <f>(INDEX(Models!$BJ232:$BT232,,T232)*(1-R232)+INDEX(Models!$BJ232:$BT232,,T232+1)*R232-ERP_i)*Q232*Ramure*Pc/MaxiM</f>
        <v>2.0466838379528144E-4</v>
      </c>
      <c r="Q232" s="304">
        <f t="shared" si="90"/>
        <v>0.7</v>
      </c>
      <c r="R232" s="177">
        <f t="shared" si="91"/>
        <v>9.9610402627346994E-2</v>
      </c>
      <c r="S232" s="799">
        <f t="shared" si="109"/>
        <v>-1</v>
      </c>
      <c r="T232" s="176">
        <f t="shared" si="92"/>
        <v>5</v>
      </c>
      <c r="U232" s="250">
        <f t="shared" si="93"/>
        <v>-0.90038959737265301</v>
      </c>
      <c r="V232" s="382">
        <f t="shared" si="94"/>
        <v>55.015955318230262</v>
      </c>
      <c r="W232" s="58"/>
      <c r="X232" s="157">
        <f t="shared" si="95"/>
        <v>43683</v>
      </c>
      <c r="Y232" s="383">
        <f t="shared" si="96"/>
        <v>39.469379545534743</v>
      </c>
      <c r="Z232" s="383">
        <f t="shared" si="97"/>
        <v>39.627030771981367</v>
      </c>
      <c r="AA232" s="384">
        <f t="shared" si="98"/>
        <v>40.211311108111481</v>
      </c>
      <c r="AB232" s="197">
        <f t="shared" si="99"/>
        <v>43683</v>
      </c>
      <c r="AC232" s="424">
        <f t="shared" si="100"/>
        <v>1.4530248331351935E-2</v>
      </c>
      <c r="AD232" s="169">
        <f>(INDEX(Models!$BJ232:$BT232,,AH232)*(1-AF232)+INDEX(Models!$BJ232:$BT232,,AH232+1)*AF232-ERP_i)*AE232*Ramure*Pc/MaxiM</f>
        <v>2.7350238170172308E-4</v>
      </c>
      <c r="AE232" s="304">
        <f t="shared" si="101"/>
        <v>0.7</v>
      </c>
      <c r="AF232" s="177">
        <f t="shared" si="102"/>
        <v>0.16394262488717914</v>
      </c>
      <c r="AG232" s="799">
        <f t="shared" si="103"/>
        <v>-1</v>
      </c>
      <c r="AH232" s="176">
        <f t="shared" si="104"/>
        <v>5</v>
      </c>
      <c r="AI232" s="224">
        <f t="shared" si="105"/>
        <v>-0.83605737511282086</v>
      </c>
      <c r="AJ232" s="264" t="b">
        <f t="shared" si="106"/>
        <v>0</v>
      </c>
      <c r="AK232" s="264" t="b">
        <f t="shared" si="107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108"/>
        <v>43684</v>
      </c>
      <c r="B233" s="607">
        <v>41.497</v>
      </c>
      <c r="C233" s="388"/>
      <c r="D233" s="391">
        <f t="shared" si="85"/>
        <v>41.663548555611463</v>
      </c>
      <c r="E233" s="383">
        <f t="shared" ref="E233:E296" si="111">Wh_pvt/(1-Psa)</f>
        <v>42.280560081193748</v>
      </c>
      <c r="F233" s="383">
        <f t="shared" si="110"/>
        <v>42.286687785685629</v>
      </c>
      <c r="G233" s="110">
        <f t="shared" ref="G233:G296" si="112">+Wh_hp/MaxiM</f>
        <v>0.75615099284999587</v>
      </c>
      <c r="I233" s="379">
        <f t="shared" si="86"/>
        <v>42.286687785685629</v>
      </c>
      <c r="J233" s="85">
        <v>2018</v>
      </c>
      <c r="K233" s="197">
        <f t="shared" si="87"/>
        <v>43684</v>
      </c>
      <c r="L233" s="435">
        <f t="shared" si="88"/>
        <v>3.9974644835919504E-3</v>
      </c>
      <c r="M233" s="842"/>
      <c r="N233" s="842"/>
      <c r="O233" s="323">
        <f t="shared" si="89"/>
        <v>1.4593267553632256E-2</v>
      </c>
      <c r="P233" s="169">
        <f>(INDEX(Models!$BJ233:$BT233,,T233)*(1-R233)+INDEX(Models!$BJ233:$BT233,,T233+1)*R233-ERP_i)*Q233*Ramure*Pc/MaxiM</f>
        <v>2.2234522267930825E-4</v>
      </c>
      <c r="Q233" s="304">
        <f t="shared" si="90"/>
        <v>0.7</v>
      </c>
      <c r="R233" s="177">
        <f t="shared" si="91"/>
        <v>0.10090530173099777</v>
      </c>
      <c r="S233" s="799">
        <f t="shared" si="109"/>
        <v>-1</v>
      </c>
      <c r="T233" s="176">
        <f t="shared" si="92"/>
        <v>5</v>
      </c>
      <c r="U233" s="250">
        <f t="shared" si="93"/>
        <v>-0.89909469826900223</v>
      </c>
      <c r="V233" s="382">
        <f t="shared" si="94"/>
        <v>54.875000547351988</v>
      </c>
      <c r="W233" s="58"/>
      <c r="X233" s="157">
        <f t="shared" si="95"/>
        <v>43684</v>
      </c>
      <c r="Y233" s="383">
        <f t="shared" si="96"/>
        <v>41.495015465196786</v>
      </c>
      <c r="Z233" s="383">
        <f t="shared" si="97"/>
        <v>41.661556055861269</v>
      </c>
      <c r="AA233" s="384">
        <f t="shared" si="98"/>
        <v>42.278538073747896</v>
      </c>
      <c r="AB233" s="197">
        <f t="shared" si="99"/>
        <v>43684</v>
      </c>
      <c r="AC233" s="424">
        <f t="shared" si="100"/>
        <v>1.4593267553632256E-2</v>
      </c>
      <c r="AD233" s="169">
        <f>(INDEX(Models!$BJ233:$BT233,,AH233)*(1-AF233)+INDEX(Models!$BJ233:$BT233,,AH233+1)*AF233-ERP_i)*AE233*Ramure*Pc/MaxiM</f>
        <v>2.9571424633323894E-4</v>
      </c>
      <c r="AE233" s="304">
        <f t="shared" si="101"/>
        <v>0.7</v>
      </c>
      <c r="AF233" s="177">
        <f t="shared" si="102"/>
        <v>0.16523752399083003</v>
      </c>
      <c r="AG233" s="799">
        <f t="shared" si="103"/>
        <v>-1</v>
      </c>
      <c r="AH233" s="176">
        <f t="shared" si="104"/>
        <v>5</v>
      </c>
      <c r="AI233" s="224">
        <f t="shared" si="105"/>
        <v>-0.83476247600916997</v>
      </c>
      <c r="AJ233" s="264" t="b">
        <f t="shared" si="106"/>
        <v>0</v>
      </c>
      <c r="AK233" s="264" t="b">
        <f t="shared" si="107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108"/>
        <v>43685</v>
      </c>
      <c r="B234" s="607">
        <v>53.295000000000002</v>
      </c>
      <c r="C234" s="388"/>
      <c r="D234" s="391">
        <f t="shared" si="85"/>
        <v>53.509925432527659</v>
      </c>
      <c r="E234" s="383">
        <f t="shared" si="111"/>
        <v>54.305842294148157</v>
      </c>
      <c r="F234" s="383">
        <f t="shared" si="110"/>
        <v>54.318381418880811</v>
      </c>
      <c r="G234" s="110">
        <f t="shared" si="112"/>
        <v>0.97368686183119246</v>
      </c>
      <c r="I234" s="379">
        <f t="shared" si="86"/>
        <v>54.318381418880811</v>
      </c>
      <c r="J234" s="85">
        <v>2018</v>
      </c>
      <c r="K234" s="197">
        <f t="shared" si="87"/>
        <v>43685</v>
      </c>
      <c r="L234" s="435">
        <f t="shared" si="88"/>
        <v>4.0165526449604805E-3</v>
      </c>
      <c r="M234" s="842"/>
      <c r="N234" s="842"/>
      <c r="O234" s="323">
        <f t="shared" si="89"/>
        <v>1.4656192188483212E-2</v>
      </c>
      <c r="P234" s="169">
        <f>(INDEX(Models!$BJ234:$BT234,,T234)*(1-R234)+INDEX(Models!$BJ234:$BT234,,T234+1)*R234-ERP_i)*Q234*Ramure*Pc/MaxiM</f>
        <v>2.3985827468307519E-4</v>
      </c>
      <c r="Q234" s="304">
        <f t="shared" si="90"/>
        <v>0.7</v>
      </c>
      <c r="R234" s="177">
        <f t="shared" si="91"/>
        <v>0.10215672087733507</v>
      </c>
      <c r="S234" s="799">
        <f t="shared" si="109"/>
        <v>-1</v>
      </c>
      <c r="T234" s="176">
        <f t="shared" si="92"/>
        <v>5</v>
      </c>
      <c r="U234" s="250">
        <f t="shared" si="93"/>
        <v>-0.89784327912266493</v>
      </c>
      <c r="V234" s="382">
        <f t="shared" si="94"/>
        <v>54.734762903540407</v>
      </c>
      <c r="W234" s="58"/>
      <c r="X234" s="157">
        <f t="shared" si="95"/>
        <v>43685</v>
      </c>
      <c r="Y234" s="383">
        <f t="shared" si="96"/>
        <v>53.291016812914265</v>
      </c>
      <c r="Z234" s="383">
        <f t="shared" si="97"/>
        <v>53.505926182242611</v>
      </c>
      <c r="AA234" s="384">
        <f t="shared" si="98"/>
        <v>54.301783558249738</v>
      </c>
      <c r="AB234" s="197">
        <f t="shared" si="99"/>
        <v>43685</v>
      </c>
      <c r="AC234" s="424">
        <f t="shared" si="100"/>
        <v>1.4656192188483212E-2</v>
      </c>
      <c r="AD234" s="169">
        <f>(INDEX(Models!$BJ234:$BT234,,AH234)*(1-AF234)+INDEX(Models!$BJ234:$BT234,,AH234+1)*AF234-ERP_i)*AE234*Ramure*Pc/MaxiM</f>
        <v>3.1749697840003944E-4</v>
      </c>
      <c r="AE234" s="304">
        <f t="shared" si="101"/>
        <v>0.7</v>
      </c>
      <c r="AF234" s="177">
        <f t="shared" si="102"/>
        <v>0.16648894313716722</v>
      </c>
      <c r="AG234" s="799">
        <f t="shared" si="103"/>
        <v>-1</v>
      </c>
      <c r="AH234" s="176">
        <f t="shared" si="104"/>
        <v>5</v>
      </c>
      <c r="AI234" s="224">
        <f t="shared" si="105"/>
        <v>-0.83351105686283278</v>
      </c>
      <c r="AJ234" s="264" t="b">
        <f t="shared" si="106"/>
        <v>0</v>
      </c>
      <c r="AK234" s="264" t="b">
        <f t="shared" si="107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108"/>
        <v>43686</v>
      </c>
      <c r="B235" s="607">
        <v>53.887999999999998</v>
      </c>
      <c r="C235" s="388"/>
      <c r="D235" s="391">
        <f t="shared" si="85"/>
        <v>54.106353789441137</v>
      </c>
      <c r="E235" s="383">
        <f t="shared" si="111"/>
        <v>54.914643644853655</v>
      </c>
      <c r="F235" s="383">
        <f t="shared" si="110"/>
        <v>54.928479355291955</v>
      </c>
      <c r="G235" s="110">
        <f t="shared" si="112"/>
        <v>0.98704624806852392</v>
      </c>
      <c r="I235" s="379">
        <f t="shared" si="86"/>
        <v>54.928479355291955</v>
      </c>
      <c r="J235" s="85">
        <v>2018</v>
      </c>
      <c r="K235" s="197">
        <f t="shared" si="87"/>
        <v>43686</v>
      </c>
      <c r="L235" s="435">
        <f t="shared" si="88"/>
        <v>4.0356404405086366E-3</v>
      </c>
      <c r="M235" s="842"/>
      <c r="N235" s="842"/>
      <c r="O235" s="323">
        <f t="shared" si="89"/>
        <v>1.4719022136243437E-2</v>
      </c>
      <c r="P235" s="169">
        <f>(INDEX(Models!$BJ235:$BT235,,T235)*(1-R235)+INDEX(Models!$BJ235:$BT235,,T235+1)*R235-ERP_i)*Q235*Ramure*Pc/MaxiM</f>
        <v>2.5663329088437717E-4</v>
      </c>
      <c r="Q235" s="304">
        <f t="shared" si="90"/>
        <v>0.7</v>
      </c>
      <c r="R235" s="177">
        <f t="shared" si="91"/>
        <v>0.10336580957223762</v>
      </c>
      <c r="S235" s="799">
        <f t="shared" si="109"/>
        <v>-1</v>
      </c>
      <c r="T235" s="176">
        <f t="shared" si="92"/>
        <v>5</v>
      </c>
      <c r="U235" s="250">
        <f t="shared" si="93"/>
        <v>-0.89663419042776238</v>
      </c>
      <c r="V235" s="382">
        <f t="shared" si="94"/>
        <v>54.594953594682366</v>
      </c>
      <c r="W235" s="58"/>
      <c r="X235" s="157">
        <f t="shared" si="95"/>
        <v>43686</v>
      </c>
      <c r="Y235" s="383">
        <f t="shared" si="96"/>
        <v>53.883687966521848</v>
      </c>
      <c r="Z235" s="383">
        <f t="shared" si="97"/>
        <v>54.102024283634265</v>
      </c>
      <c r="AA235" s="384">
        <f t="shared" si="98"/>
        <v>54.910249460956734</v>
      </c>
      <c r="AB235" s="197">
        <f t="shared" si="99"/>
        <v>43686</v>
      </c>
      <c r="AC235" s="424">
        <f t="shared" si="100"/>
        <v>1.4719022136243437E-2</v>
      </c>
      <c r="AD235" s="169">
        <f>(INDEX(Models!$BJ235:$BT235,,AH235)*(1-AF235)+INDEX(Models!$BJ235:$BT235,,AH235+1)*AF235-ERP_i)*AE235*Ramure*Pc/MaxiM</f>
        <v>3.3813932407640183E-4</v>
      </c>
      <c r="AE235" s="304">
        <f t="shared" si="101"/>
        <v>0.7</v>
      </c>
      <c r="AF235" s="177">
        <f t="shared" si="102"/>
        <v>0.16769803183206988</v>
      </c>
      <c r="AG235" s="799">
        <f t="shared" si="103"/>
        <v>-1</v>
      </c>
      <c r="AH235" s="176">
        <f t="shared" si="104"/>
        <v>5</v>
      </c>
      <c r="AI235" s="224">
        <f t="shared" si="105"/>
        <v>-0.83230196816793012</v>
      </c>
      <c r="AJ235" s="264" t="b">
        <f t="shared" si="106"/>
        <v>0</v>
      </c>
      <c r="AK235" s="264" t="b">
        <f t="shared" si="107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108"/>
        <v>43687</v>
      </c>
      <c r="B236" s="607">
        <v>31.591999999999999</v>
      </c>
      <c r="C236" s="388"/>
      <c r="D236" s="391">
        <f t="shared" si="85"/>
        <v>31.72061847579517</v>
      </c>
      <c r="E236" s="383">
        <f t="shared" si="111"/>
        <v>32.196539906545027</v>
      </c>
      <c r="F236" s="383">
        <f t="shared" si="110"/>
        <v>32.200053306525398</v>
      </c>
      <c r="G236" s="110">
        <f t="shared" si="112"/>
        <v>0.58005115971410159</v>
      </c>
      <c r="I236" s="379">
        <f t="shared" si="86"/>
        <v>32.200053306525398</v>
      </c>
      <c r="J236" s="85">
        <v>2018</v>
      </c>
      <c r="K236" s="197">
        <f t="shared" si="87"/>
        <v>43687</v>
      </c>
      <c r="L236" s="435">
        <f t="shared" si="88"/>
        <v>4.0547278702436351E-3</v>
      </c>
      <c r="M236" s="842"/>
      <c r="N236" s="842"/>
      <c r="O236" s="323">
        <f t="shared" si="89"/>
        <v>1.4781757050021055E-2</v>
      </c>
      <c r="P236" s="169">
        <f>(INDEX(Models!$BJ236:$BT236,,T236)*(1-R236)+INDEX(Models!$BJ236:$BT236,,T236+1)*R236-ERP_i)*Q236*Ramure*Pc/MaxiM</f>
        <v>2.7263685178942598E-4</v>
      </c>
      <c r="Q236" s="304">
        <f t="shared" si="90"/>
        <v>0.7</v>
      </c>
      <c r="R236" s="177">
        <f t="shared" si="91"/>
        <v>0.10453370994495548</v>
      </c>
      <c r="S236" s="799">
        <f t="shared" si="109"/>
        <v>-1</v>
      </c>
      <c r="T236" s="176">
        <f t="shared" si="92"/>
        <v>5</v>
      </c>
      <c r="U236" s="250">
        <f t="shared" si="93"/>
        <v>-0.89546629005504452</v>
      </c>
      <c r="V236" s="382">
        <f t="shared" si="94"/>
        <v>54.455254192930362</v>
      </c>
      <c r="W236" s="58"/>
      <c r="X236" s="157">
        <f t="shared" si="95"/>
        <v>43687</v>
      </c>
      <c r="Y236" s="383">
        <f t="shared" si="96"/>
        <v>31.590925590702973</v>
      </c>
      <c r="Z236" s="383">
        <f t="shared" si="97"/>
        <v>31.719539692324741</v>
      </c>
      <c r="AA236" s="384">
        <f t="shared" si="98"/>
        <v>32.19544493750832</v>
      </c>
      <c r="AB236" s="197">
        <f t="shared" si="99"/>
        <v>43687</v>
      </c>
      <c r="AC236" s="424">
        <f t="shared" si="100"/>
        <v>1.4781757050021055E-2</v>
      </c>
      <c r="AD236" s="169">
        <f>(INDEX(Models!$BJ236:$BT236,,AH236)*(1-AF236)+INDEX(Models!$BJ236:$BT236,,AH236+1)*AF236-ERP_i)*AE236*Ramure*Pc/MaxiM</f>
        <v>3.5760551822095567E-4</v>
      </c>
      <c r="AE236" s="304">
        <f t="shared" si="101"/>
        <v>0.7</v>
      </c>
      <c r="AF236" s="177">
        <f t="shared" si="102"/>
        <v>0.16886593220478763</v>
      </c>
      <c r="AG236" s="799">
        <f t="shared" si="103"/>
        <v>-1</v>
      </c>
      <c r="AH236" s="176">
        <f t="shared" si="104"/>
        <v>5</v>
      </c>
      <c r="AI236" s="224">
        <f t="shared" si="105"/>
        <v>-0.83113406779521237</v>
      </c>
      <c r="AJ236" s="264" t="b">
        <f t="shared" si="106"/>
        <v>0</v>
      </c>
      <c r="AK236" s="264" t="b">
        <f t="shared" si="107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108"/>
        <v>43688</v>
      </c>
      <c r="B237" s="607">
        <v>28.343</v>
      </c>
      <c r="C237" s="388"/>
      <c r="D237" s="391">
        <f t="shared" si="85"/>
        <v>28.458936440281079</v>
      </c>
      <c r="E237" s="383">
        <f t="shared" si="111"/>
        <v>28.887757766156113</v>
      </c>
      <c r="F237" s="383">
        <f t="shared" si="110"/>
        <v>28.890392940652617</v>
      </c>
      <c r="G237" s="110">
        <f t="shared" si="112"/>
        <v>0.52172044360179914</v>
      </c>
      <c r="I237" s="379">
        <f t="shared" si="86"/>
        <v>28.890392940652617</v>
      </c>
      <c r="J237" s="85">
        <v>2018</v>
      </c>
      <c r="K237" s="197">
        <f t="shared" si="87"/>
        <v>43688</v>
      </c>
      <c r="L237" s="435">
        <f t="shared" si="88"/>
        <v>4.0738149341723595E-3</v>
      </c>
      <c r="M237" s="842"/>
      <c r="N237" s="842"/>
      <c r="O237" s="323">
        <f t="shared" si="89"/>
        <v>1.4844396347626115E-2</v>
      </c>
      <c r="P237" s="169">
        <f>(INDEX(Models!$BJ237:$BT237,,T237)*(1-R237)+INDEX(Models!$BJ237:$BT237,,T237+1)*R237-ERP_i)*Q237*Ramure*Pc/MaxiM</f>
        <v>2.8783744127359551E-4</v>
      </c>
      <c r="Q237" s="304">
        <f t="shared" si="90"/>
        <v>0.7</v>
      </c>
      <c r="R237" s="177">
        <f t="shared" si="91"/>
        <v>0.10566155483002948</v>
      </c>
      <c r="S237" s="799">
        <f t="shared" si="109"/>
        <v>-1</v>
      </c>
      <c r="T237" s="176">
        <f t="shared" si="92"/>
        <v>5</v>
      </c>
      <c r="U237" s="250">
        <f t="shared" si="93"/>
        <v>-0.89433844516997052</v>
      </c>
      <c r="V237" s="382">
        <f t="shared" si="94"/>
        <v>54.3153462889764</v>
      </c>
      <c r="W237" s="58"/>
      <c r="X237" s="157">
        <f t="shared" si="95"/>
        <v>43688</v>
      </c>
      <c r="Y237" s="383">
        <f t="shared" si="96"/>
        <v>28.342209327346417</v>
      </c>
      <c r="Z237" s="383">
        <f t="shared" si="97"/>
        <v>28.45814253339778</v>
      </c>
      <c r="AA237" s="384">
        <f t="shared" si="98"/>
        <v>28.886951896626108</v>
      </c>
      <c r="AB237" s="197">
        <f t="shared" si="99"/>
        <v>43688</v>
      </c>
      <c r="AC237" s="424">
        <f t="shared" si="100"/>
        <v>1.4844396347626115E-2</v>
      </c>
      <c r="AD237" s="169">
        <f>(INDEX(Models!$BJ237:$BT237,,AH237)*(1-AF237)+INDEX(Models!$BJ237:$BT237,,AH237+1)*AF237-ERP_i)*AE237*Ramure*Pc/MaxiM</f>
        <v>3.7586175382836324E-4</v>
      </c>
      <c r="AE237" s="304">
        <f t="shared" si="101"/>
        <v>0.7</v>
      </c>
      <c r="AF237" s="177">
        <f t="shared" si="102"/>
        <v>0.16999377708986163</v>
      </c>
      <c r="AG237" s="799">
        <f t="shared" si="103"/>
        <v>-1</v>
      </c>
      <c r="AH237" s="176">
        <f t="shared" si="104"/>
        <v>5</v>
      </c>
      <c r="AI237" s="224">
        <f t="shared" si="105"/>
        <v>-0.83000622291013837</v>
      </c>
      <c r="AJ237" s="264" t="b">
        <f t="shared" si="106"/>
        <v>0</v>
      </c>
      <c r="AK237" s="264" t="b">
        <f t="shared" si="107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108"/>
        <v>43689</v>
      </c>
      <c r="B238" s="607">
        <v>26.838999999999999</v>
      </c>
      <c r="C238" s="388"/>
      <c r="D238" s="391">
        <f t="shared" si="85"/>
        <v>26.949300837386733</v>
      </c>
      <c r="E238" s="383">
        <f t="shared" si="111"/>
        <v>27.357111637918244</v>
      </c>
      <c r="F238" s="383">
        <f t="shared" si="110"/>
        <v>27.359419799775214</v>
      </c>
      <c r="G238" s="110">
        <f t="shared" si="112"/>
        <v>0.49530589222858201</v>
      </c>
      <c r="I238" s="379">
        <f t="shared" si="86"/>
        <v>27.359419799775214</v>
      </c>
      <c r="J238" s="85">
        <v>2018</v>
      </c>
      <c r="K238" s="197">
        <f t="shared" si="87"/>
        <v>43689</v>
      </c>
      <c r="L238" s="435">
        <f t="shared" si="88"/>
        <v>4.0929016323019152E-3</v>
      </c>
      <c r="M238" s="842"/>
      <c r="N238" s="842"/>
      <c r="O238" s="323">
        <f t="shared" si="89"/>
        <v>1.4906939224032193E-2</v>
      </c>
      <c r="P238" s="169">
        <f>(INDEX(Models!$BJ238:$BT238,,T238)*(1-R238)+INDEX(Models!$BJ238:$BT238,,T238+1)*R238-ERP_i)*Q238*Ramure*Pc/MaxiM</f>
        <v>3.022053413889418E-4</v>
      </c>
      <c r="Q238" s="304">
        <f t="shared" si="90"/>
        <v>0.7</v>
      </c>
      <c r="R238" s="177">
        <f t="shared" si="91"/>
        <v>0.1067504660200822</v>
      </c>
      <c r="S238" s="799">
        <f t="shared" si="109"/>
        <v>-1</v>
      </c>
      <c r="T238" s="176">
        <f t="shared" si="92"/>
        <v>5</v>
      </c>
      <c r="U238" s="250">
        <f t="shared" si="93"/>
        <v>-0.8932495339799178</v>
      </c>
      <c r="V238" s="382">
        <f t="shared" si="94"/>
        <v>54.174911495110649</v>
      </c>
      <c r="W238" s="58"/>
      <c r="X238" s="157">
        <f t="shared" si="95"/>
        <v>43689</v>
      </c>
      <c r="Y238" s="383">
        <f t="shared" si="96"/>
        <v>26.838320597340484</v>
      </c>
      <c r="Z238" s="383">
        <f t="shared" si="97"/>
        <v>26.948618642570946</v>
      </c>
      <c r="AA238" s="384">
        <f t="shared" si="98"/>
        <v>27.356419119776607</v>
      </c>
      <c r="AB238" s="197">
        <f t="shared" si="99"/>
        <v>43689</v>
      </c>
      <c r="AC238" s="424">
        <f t="shared" si="100"/>
        <v>1.4906939224032193E-2</v>
      </c>
      <c r="AD238" s="169">
        <f>(INDEX(Models!$BJ238:$BT238,,AH238)*(1-AF238)+INDEX(Models!$BJ238:$BT238,,AH238+1)*AF238-ERP_i)*AE238*Ramure*Pc/MaxiM</f>
        <v>3.9287605444096379E-4</v>
      </c>
      <c r="AE238" s="304">
        <f t="shared" si="101"/>
        <v>0.7</v>
      </c>
      <c r="AF238" s="177">
        <f t="shared" si="102"/>
        <v>0.17108268827991446</v>
      </c>
      <c r="AG238" s="799">
        <f t="shared" si="103"/>
        <v>-1</v>
      </c>
      <c r="AH238" s="176">
        <f t="shared" si="104"/>
        <v>5</v>
      </c>
      <c r="AI238" s="224">
        <f t="shared" si="105"/>
        <v>-0.82891731172008554</v>
      </c>
      <c r="AJ238" s="264" t="b">
        <f t="shared" si="106"/>
        <v>0</v>
      </c>
      <c r="AK238" s="264" t="b">
        <f t="shared" si="107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108"/>
        <v>43690</v>
      </c>
      <c r="B239" s="607">
        <v>43.726999999999997</v>
      </c>
      <c r="C239" s="388"/>
      <c r="D239" s="391">
        <f t="shared" si="85"/>
        <v>43.907547306079422</v>
      </c>
      <c r="E239" s="383">
        <f t="shared" si="111"/>
        <v>44.574804704022348</v>
      </c>
      <c r="F239" s="383">
        <f t="shared" si="110"/>
        <v>44.585045141201746</v>
      </c>
      <c r="G239" s="110">
        <f t="shared" si="112"/>
        <v>0.80918561573312642</v>
      </c>
      <c r="I239" s="379">
        <f t="shared" si="86"/>
        <v>44.585045141201746</v>
      </c>
      <c r="J239" s="85">
        <v>2018</v>
      </c>
      <c r="K239" s="197">
        <f t="shared" si="87"/>
        <v>43690</v>
      </c>
      <c r="L239" s="435">
        <f t="shared" si="88"/>
        <v>4.1119879646391855E-3</v>
      </c>
      <c r="M239" s="842"/>
      <c r="N239" s="842"/>
      <c r="O239" s="323">
        <f t="shared" si="89"/>
        <v>1.4969384664128704E-2</v>
      </c>
      <c r="P239" s="169">
        <f>(INDEX(Models!$BJ239:$BT239,,T239)*(1-R239)+INDEX(Models!$BJ239:$BT239,,T239+1)*R239-ERP_i)*Q239*Ramure*Pc/MaxiM</f>
        <v>3.1571252449294387E-4</v>
      </c>
      <c r="Q239" s="304">
        <f t="shared" si="90"/>
        <v>0.7</v>
      </c>
      <c r="R239" s="177">
        <f t="shared" si="91"/>
        <v>0.10780155268227709</v>
      </c>
      <c r="S239" s="799">
        <f t="shared" si="109"/>
        <v>-1</v>
      </c>
      <c r="T239" s="176">
        <f t="shared" si="92"/>
        <v>5</v>
      </c>
      <c r="U239" s="250">
        <f t="shared" si="93"/>
        <v>-0.89219844731772291</v>
      </c>
      <c r="V239" s="382">
        <f t="shared" si="94"/>
        <v>54.033631447101691</v>
      </c>
      <c r="W239" s="58"/>
      <c r="X239" s="157">
        <f t="shared" si="95"/>
        <v>43690</v>
      </c>
      <c r="Y239" s="383">
        <f t="shared" si="96"/>
        <v>43.724043833421341</v>
      </c>
      <c r="Z239" s="383">
        <f t="shared" si="97"/>
        <v>43.904578933588809</v>
      </c>
      <c r="AA239" s="384">
        <f t="shared" si="98"/>
        <v>44.571791221553475</v>
      </c>
      <c r="AB239" s="197">
        <f t="shared" si="99"/>
        <v>43690</v>
      </c>
      <c r="AC239" s="424">
        <f t="shared" si="100"/>
        <v>1.4969384664128704E-2</v>
      </c>
      <c r="AD239" s="169">
        <f>(INDEX(Models!$BJ239:$BT239,,AH239)*(1-AF239)+INDEX(Models!$BJ239:$BT239,,AH239+1)*AF239-ERP_i)*AE239*Ramure*Pc/MaxiM</f>
        <v>4.0861814376443658E-4</v>
      </c>
      <c r="AE239" s="304">
        <f t="shared" si="101"/>
        <v>0.7</v>
      </c>
      <c r="AF239" s="177">
        <f t="shared" si="102"/>
        <v>0.17213377494210935</v>
      </c>
      <c r="AG239" s="799">
        <f t="shared" si="103"/>
        <v>-1</v>
      </c>
      <c r="AH239" s="176">
        <f t="shared" si="104"/>
        <v>5</v>
      </c>
      <c r="AI239" s="224">
        <f t="shared" si="105"/>
        <v>-0.82786622505789065</v>
      </c>
      <c r="AJ239" s="264" t="b">
        <f t="shared" si="106"/>
        <v>0</v>
      </c>
      <c r="AK239" s="264" t="b">
        <f t="shared" si="107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108"/>
        <v>43691</v>
      </c>
      <c r="B240" s="607">
        <v>55.076999999999998</v>
      </c>
      <c r="C240" s="388"/>
      <c r="D240" s="391">
        <f t="shared" si="85"/>
        <v>55.305470989456801</v>
      </c>
      <c r="E240" s="383">
        <f t="shared" si="111"/>
        <v>56.149495121486467</v>
      </c>
      <c r="F240" s="383">
        <f t="shared" si="110"/>
        <v>56.167943192678834</v>
      </c>
      <c r="G240" s="110">
        <f t="shared" si="112"/>
        <v>1.0220039384120989</v>
      </c>
      <c r="I240" s="379">
        <f t="shared" si="86"/>
        <v>56.167943192678834</v>
      </c>
      <c r="J240" s="85">
        <v>2018</v>
      </c>
      <c r="K240" s="197">
        <f t="shared" si="87"/>
        <v>43691</v>
      </c>
      <c r="L240" s="435">
        <f t="shared" si="88"/>
        <v>4.1310739311912759E-3</v>
      </c>
      <c r="M240" s="842"/>
      <c r="N240" s="842"/>
      <c r="O240" s="323">
        <f t="shared" si="89"/>
        <v>1.5031731455528075E-2</v>
      </c>
      <c r="P240" s="169">
        <f>(INDEX(Models!$BJ240:$BT240,,T240)*(1-R240)+INDEX(Models!$BJ240:$BT240,,T240+1)*R240-ERP_i)*Q240*Ramure*Pc/MaxiM</f>
        <v>3.2844484137650628E-4</v>
      </c>
      <c r="Q240" s="304">
        <f t="shared" si="90"/>
        <v>0.7</v>
      </c>
      <c r="R240" s="177">
        <f t="shared" si="91"/>
        <v>0.10881590993103629</v>
      </c>
      <c r="S240" s="799">
        <f t="shared" si="109"/>
        <v>-1</v>
      </c>
      <c r="T240" s="176">
        <f t="shared" si="92"/>
        <v>5</v>
      </c>
      <c r="U240" s="250">
        <f t="shared" si="93"/>
        <v>-0.89118409006896371</v>
      </c>
      <c r="V240" s="382">
        <f t="shared" si="94"/>
        <v>53.891181755692521</v>
      </c>
      <c r="W240" s="58"/>
      <c r="X240" s="157">
        <f t="shared" si="95"/>
        <v>43691</v>
      </c>
      <c r="Y240" s="383">
        <f t="shared" si="96"/>
        <v>55.071774967493397</v>
      </c>
      <c r="Z240" s="383">
        <f t="shared" si="97"/>
        <v>55.300224282415513</v>
      </c>
      <c r="AA240" s="384">
        <f t="shared" si="98"/>
        <v>56.144168343752767</v>
      </c>
      <c r="AB240" s="197">
        <f t="shared" si="99"/>
        <v>43691</v>
      </c>
      <c r="AC240" s="424">
        <f t="shared" si="100"/>
        <v>1.5031731455528075E-2</v>
      </c>
      <c r="AD240" s="169">
        <f>(INDEX(Models!$BJ240:$BT240,,AH240)*(1-AF240)+INDEX(Models!$BJ240:$BT240,,AH240+1)*AF240-ERP_i)*AE240*Ramure*Pc/MaxiM</f>
        <v>4.2328145868745809E-4</v>
      </c>
      <c r="AE240" s="304">
        <f t="shared" si="101"/>
        <v>0.7</v>
      </c>
      <c r="AF240" s="177">
        <f t="shared" si="102"/>
        <v>0.17314813219086855</v>
      </c>
      <c r="AG240" s="799">
        <f t="shared" si="103"/>
        <v>-1</v>
      </c>
      <c r="AH240" s="176">
        <f t="shared" si="104"/>
        <v>5</v>
      </c>
      <c r="AI240" s="224">
        <f t="shared" si="105"/>
        <v>-0.82685186780913145</v>
      </c>
      <c r="AJ240" s="264" t="b">
        <f t="shared" si="106"/>
        <v>0</v>
      </c>
      <c r="AK240" s="264" t="b">
        <f t="shared" si="107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108"/>
        <v>43692</v>
      </c>
      <c r="B241" s="607">
        <v>23.123999999999999</v>
      </c>
      <c r="C241" s="388"/>
      <c r="D241" s="391">
        <f t="shared" si="85"/>
        <v>23.220368232556083</v>
      </c>
      <c r="E241" s="383">
        <f t="shared" si="111"/>
        <v>23.576227293388978</v>
      </c>
      <c r="F241" s="383">
        <f t="shared" si="110"/>
        <v>23.577721162236251</v>
      </c>
      <c r="G241" s="110">
        <f t="shared" si="112"/>
        <v>0.43011682161770787</v>
      </c>
      <c r="I241" s="379">
        <f t="shared" si="86"/>
        <v>23.577721162236251</v>
      </c>
      <c r="J241" s="85">
        <v>2018</v>
      </c>
      <c r="K241" s="197">
        <f t="shared" si="87"/>
        <v>43692</v>
      </c>
      <c r="L241" s="435">
        <f t="shared" si="88"/>
        <v>4.1501595319651807E-3</v>
      </c>
      <c r="M241" s="842"/>
      <c r="N241" s="842"/>
      <c r="O241" s="323">
        <f t="shared" si="89"/>
        <v>1.5093978201197737E-2</v>
      </c>
      <c r="P241" s="169">
        <f>(INDEX(Models!$BJ241:$BT241,,T241)*(1-R241)+INDEX(Models!$BJ241:$BT241,,T241+1)*R241-ERP_i)*Q241*Ramure*Pc/MaxiM</f>
        <v>3.4054722801946021E-4</v>
      </c>
      <c r="Q241" s="304">
        <f t="shared" si="90"/>
        <v>0.7</v>
      </c>
      <c r="R241" s="177">
        <f t="shared" si="91"/>
        <v>0.1097946175494684</v>
      </c>
      <c r="S241" s="799">
        <f t="shared" si="109"/>
        <v>-1</v>
      </c>
      <c r="T241" s="176">
        <f t="shared" si="92"/>
        <v>5</v>
      </c>
      <c r="U241" s="250">
        <f t="shared" si="93"/>
        <v>-0.8902053824505316</v>
      </c>
      <c r="V241" s="382">
        <f t="shared" si="94"/>
        <v>53.747235028349479</v>
      </c>
      <c r="W241" s="58"/>
      <c r="X241" s="157">
        <f t="shared" si="95"/>
        <v>43692</v>
      </c>
      <c r="Y241" s="383">
        <f t="shared" si="96"/>
        <v>23.123584554948739</v>
      </c>
      <c r="Z241" s="383">
        <f t="shared" si="97"/>
        <v>23.219951056156209</v>
      </c>
      <c r="AA241" s="384">
        <f t="shared" si="98"/>
        <v>23.575803723636493</v>
      </c>
      <c r="AB241" s="197">
        <f t="shared" si="99"/>
        <v>43692</v>
      </c>
      <c r="AC241" s="424">
        <f t="shared" si="100"/>
        <v>1.5093978201197737E-2</v>
      </c>
      <c r="AD241" s="169">
        <f>(INDEX(Models!$BJ241:$BT241,,AH241)*(1-AF241)+INDEX(Models!$BJ241:$BT241,,AH241+1)*AF241-ERP_i)*AE241*Ramure*Pc/MaxiM</f>
        <v>4.3710557405244384E-4</v>
      </c>
      <c r="AE241" s="304">
        <f t="shared" si="101"/>
        <v>0.7</v>
      </c>
      <c r="AF241" s="177">
        <f t="shared" si="102"/>
        <v>0.17412683980930066</v>
      </c>
      <c r="AG241" s="799">
        <f t="shared" si="103"/>
        <v>-1</v>
      </c>
      <c r="AH241" s="176">
        <f t="shared" si="104"/>
        <v>5</v>
      </c>
      <c r="AI241" s="224">
        <f t="shared" si="105"/>
        <v>-0.82587316019069934</v>
      </c>
      <c r="AJ241" s="264" t="b">
        <f t="shared" si="106"/>
        <v>0</v>
      </c>
      <c r="AK241" s="264" t="b">
        <f t="shared" si="107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108"/>
        <v>43693</v>
      </c>
      <c r="B242" s="607">
        <v>55.426000000000002</v>
      </c>
      <c r="C242" s="388"/>
      <c r="D242" s="391">
        <f t="shared" si="85"/>
        <v>55.658052042216639</v>
      </c>
      <c r="E242" s="383">
        <f t="shared" si="111"/>
        <v>56.514594201982625</v>
      </c>
      <c r="F242" s="383">
        <f t="shared" si="110"/>
        <v>56.53449474291795</v>
      </c>
      <c r="G242" s="110">
        <f t="shared" si="112"/>
        <v>1.0340387565417226</v>
      </c>
      <c r="I242" s="379">
        <f t="shared" si="86"/>
        <v>56.53449474291795</v>
      </c>
      <c r="J242" s="85">
        <v>2018</v>
      </c>
      <c r="K242" s="197">
        <f t="shared" si="87"/>
        <v>43693</v>
      </c>
      <c r="L242" s="435">
        <f t="shared" si="88"/>
        <v>4.1692447669678945E-3</v>
      </c>
      <c r="M242" s="842"/>
      <c r="N242" s="842"/>
      <c r="O242" s="323">
        <f t="shared" si="89"/>
        <v>1.5156123331695642E-2</v>
      </c>
      <c r="P242" s="169">
        <f>(INDEX(Models!$BJ242:$BT242,,T242)*(1-R242)+INDEX(Models!$BJ242:$BT242,,T242+1)*R242-ERP_i)*Q242*Ramure*Pc/MaxiM</f>
        <v>3.5200705384950823E-4</v>
      </c>
      <c r="Q242" s="304">
        <f t="shared" si="90"/>
        <v>0.7</v>
      </c>
      <c r="R242" s="177">
        <f t="shared" si="91"/>
        <v>0.11073873885188346</v>
      </c>
      <c r="S242" s="799">
        <f t="shared" si="109"/>
        <v>-1</v>
      </c>
      <c r="T242" s="176">
        <f t="shared" si="92"/>
        <v>5</v>
      </c>
      <c r="U242" s="250">
        <f t="shared" si="93"/>
        <v>-0.88926126114811654</v>
      </c>
      <c r="V242" s="382">
        <f t="shared" si="94"/>
        <v>53.601472526396172</v>
      </c>
      <c r="W242" s="58"/>
      <c r="X242" s="157">
        <f t="shared" si="95"/>
        <v>43693</v>
      </c>
      <c r="Y242" s="383">
        <f t="shared" si="96"/>
        <v>55.420562459916667</v>
      </c>
      <c r="Z242" s="383">
        <f t="shared" si="97"/>
        <v>55.65259173678345</v>
      </c>
      <c r="AA242" s="384">
        <f t="shared" si="98"/>
        <v>56.509049865908096</v>
      </c>
      <c r="AB242" s="197">
        <f t="shared" si="99"/>
        <v>43693</v>
      </c>
      <c r="AC242" s="424">
        <f t="shared" si="100"/>
        <v>1.5156123331695642E-2</v>
      </c>
      <c r="AD242" s="169">
        <f>(INDEX(Models!$BJ242:$BT242,,AH242)*(1-AF242)+INDEX(Models!$BJ242:$BT242,,AH242+1)*AF242-ERP_i)*AE242*Ramure*Pc/MaxiM</f>
        <v>4.5007702156998804E-4</v>
      </c>
      <c r="AE242" s="304">
        <f t="shared" si="101"/>
        <v>0.7</v>
      </c>
      <c r="AF242" s="177">
        <f t="shared" si="102"/>
        <v>0.17507096111171561</v>
      </c>
      <c r="AG242" s="799">
        <f t="shared" si="103"/>
        <v>-1</v>
      </c>
      <c r="AH242" s="176">
        <f t="shared" si="104"/>
        <v>5</v>
      </c>
      <c r="AI242" s="224">
        <f t="shared" si="105"/>
        <v>-0.82492903888828439</v>
      </c>
      <c r="AJ242" s="264" t="b">
        <f t="shared" si="106"/>
        <v>0</v>
      </c>
      <c r="AK242" s="264" t="b">
        <f t="shared" si="107"/>
        <v>0</v>
      </c>
      <c r="AL242" s="264"/>
      <c r="AM242" s="264"/>
      <c r="AN242" s="75"/>
    </row>
    <row r="243" spans="1:40" s="6" customFormat="1" ht="11.25" x14ac:dyDescent="0.2">
      <c r="A243" s="56">
        <f t="shared" si="108"/>
        <v>43694</v>
      </c>
      <c r="B243" s="607">
        <v>52.798000000000002</v>
      </c>
      <c r="C243" s="388"/>
      <c r="D243" s="391">
        <f t="shared" si="85"/>
        <v>53.020065511696245</v>
      </c>
      <c r="E243" s="383">
        <f t="shared" si="111"/>
        <v>53.839402427629736</v>
      </c>
      <c r="F243" s="383">
        <f t="shared" si="110"/>
        <v>53.858600637454124</v>
      </c>
      <c r="G243" s="110">
        <f t="shared" si="112"/>
        <v>0.98772932745407471</v>
      </c>
      <c r="I243" s="379">
        <f t="shared" si="86"/>
        <v>53.858600637454124</v>
      </c>
      <c r="J243" s="85">
        <v>2018</v>
      </c>
      <c r="K243" s="197">
        <f t="shared" si="87"/>
        <v>43694</v>
      </c>
      <c r="L243" s="435">
        <f t="shared" si="88"/>
        <v>4.1883296362064115E-3</v>
      </c>
      <c r="M243" s="842"/>
      <c r="N243" s="842"/>
      <c r="O243" s="323">
        <f t="shared" si="89"/>
        <v>1.5218165116799588E-2</v>
      </c>
      <c r="P243" s="169">
        <f>(INDEX(Models!$BJ243:$BT243,,T243)*(1-R243)+INDEX(Models!$BJ243:$BT243,,T243+1)*R243-ERP_i)*Q243*Ramure*Pc/MaxiM</f>
        <v>3.6281246334467459E-4</v>
      </c>
      <c r="Q243" s="304">
        <f t="shared" si="90"/>
        <v>0.7</v>
      </c>
      <c r="R243" s="177">
        <f t="shared" si="91"/>
        <v>0.11164931967976566</v>
      </c>
      <c r="S243" s="799">
        <f t="shared" si="109"/>
        <v>-1</v>
      </c>
      <c r="T243" s="176">
        <f t="shared" si="92"/>
        <v>5</v>
      </c>
      <c r="U243" s="250">
        <f t="shared" si="93"/>
        <v>-0.88835068032023434</v>
      </c>
      <c r="V243" s="382">
        <f t="shared" si="94"/>
        <v>53.453575582860687</v>
      </c>
      <c r="W243" s="58"/>
      <c r="X243" s="157">
        <f t="shared" si="95"/>
        <v>43694</v>
      </c>
      <c r="Y243" s="383">
        <f t="shared" si="96"/>
        <v>52.792843514426998</v>
      </c>
      <c r="Z243" s="383">
        <f t="shared" si="97"/>
        <v>53.014887338225833</v>
      </c>
      <c r="AA243" s="384">
        <f t="shared" si="98"/>
        <v>53.834144234102006</v>
      </c>
      <c r="AB243" s="197">
        <f t="shared" si="99"/>
        <v>43694</v>
      </c>
      <c r="AC243" s="424">
        <f t="shared" si="100"/>
        <v>1.5218165116799588E-2</v>
      </c>
      <c r="AD243" s="169">
        <f>(INDEX(Models!$BJ243:$BT243,,AH243)*(1-AF243)+INDEX(Models!$BJ243:$BT243,,AH243+1)*AF243-ERP_i)*AE243*Ramure*Pc/MaxiM</f>
        <v>4.6218309029320175E-4</v>
      </c>
      <c r="AE243" s="304">
        <f t="shared" si="101"/>
        <v>0.7</v>
      </c>
      <c r="AF243" s="177">
        <f t="shared" si="102"/>
        <v>0.17598154193959781</v>
      </c>
      <c r="AG243" s="799">
        <f t="shared" si="103"/>
        <v>-1</v>
      </c>
      <c r="AH243" s="176">
        <f t="shared" si="104"/>
        <v>5</v>
      </c>
      <c r="AI243" s="224">
        <f t="shared" si="105"/>
        <v>-0.82401845806040219</v>
      </c>
      <c r="AJ243" s="264" t="b">
        <f t="shared" si="106"/>
        <v>0</v>
      </c>
      <c r="AK243" s="264" t="b">
        <f t="shared" si="107"/>
        <v>0</v>
      </c>
      <c r="AL243" s="264"/>
      <c r="AM243" s="264"/>
      <c r="AN243" s="75"/>
    </row>
    <row r="244" spans="1:40" s="6" customFormat="1" ht="11.25" x14ac:dyDescent="0.2">
      <c r="A244" s="56">
        <f t="shared" si="108"/>
        <v>43695</v>
      </c>
      <c r="B244" s="607">
        <v>37.347000000000001</v>
      </c>
      <c r="C244" s="388"/>
      <c r="D244" s="391">
        <f t="shared" si="85"/>
        <v>37.504798218329945</v>
      </c>
      <c r="E244" s="383">
        <f t="shared" si="111"/>
        <v>38.086767904432655</v>
      </c>
      <c r="F244" s="383">
        <f t="shared" si="110"/>
        <v>38.094899750929791</v>
      </c>
      <c r="G244" s="110">
        <f t="shared" si="112"/>
        <v>0.70054001148888634</v>
      </c>
      <c r="I244" s="379">
        <f t="shared" si="86"/>
        <v>38.094899750929791</v>
      </c>
      <c r="J244" s="85">
        <v>2018</v>
      </c>
      <c r="K244" s="197">
        <f t="shared" si="87"/>
        <v>43695</v>
      </c>
      <c r="L244" s="435">
        <f t="shared" si="88"/>
        <v>4.2074141396878373E-3</v>
      </c>
      <c r="M244" s="842"/>
      <c r="N244" s="842"/>
      <c r="O244" s="323">
        <f t="shared" si="89"/>
        <v>1.5280101676335247E-2</v>
      </c>
      <c r="P244" s="169">
        <f>(INDEX(Models!$BJ244:$BT244,,T244)*(1-R244)+INDEX(Models!$BJ244:$BT244,,T244+1)*R244-ERP_i)*Q244*Ramure*Pc/MaxiM</f>
        <v>3.7295230733290003E-4</v>
      </c>
      <c r="Q244" s="304">
        <f t="shared" si="90"/>
        <v>0.7</v>
      </c>
      <c r="R244" s="177">
        <f t="shared" si="91"/>
        <v>0.11252738752361646</v>
      </c>
      <c r="S244" s="799">
        <f t="shared" si="109"/>
        <v>-1</v>
      </c>
      <c r="T244" s="176">
        <f t="shared" si="92"/>
        <v>5</v>
      </c>
      <c r="U244" s="250">
        <f t="shared" si="93"/>
        <v>-0.88747261247638354</v>
      </c>
      <c r="V244" s="382">
        <f t="shared" si="94"/>
        <v>53.303225602682247</v>
      </c>
      <c r="W244" s="58"/>
      <c r="X244" s="157">
        <f t="shared" si="95"/>
        <v>43695</v>
      </c>
      <c r="Y244" s="383">
        <f t="shared" si="96"/>
        <v>37.34485212885</v>
      </c>
      <c r="Z244" s="383">
        <f t="shared" si="97"/>
        <v>37.502641272013513</v>
      </c>
      <c r="AA244" s="384">
        <f t="shared" si="98"/>
        <v>38.084577488335547</v>
      </c>
      <c r="AB244" s="197">
        <f t="shared" si="99"/>
        <v>43695</v>
      </c>
      <c r="AC244" s="424">
        <f t="shared" si="100"/>
        <v>1.5280101676335247E-2</v>
      </c>
      <c r="AD244" s="169">
        <f>(INDEX(Models!$BJ244:$BT244,,AH244)*(1-AF244)+INDEX(Models!$BJ244:$BT244,,AH244+1)*AF244-ERP_i)*AE244*Ramure*Pc/MaxiM</f>
        <v>4.7341174636961441E-4</v>
      </c>
      <c r="AE244" s="304">
        <f t="shared" si="101"/>
        <v>0.7</v>
      </c>
      <c r="AF244" s="177">
        <f t="shared" si="102"/>
        <v>0.17685960978344872</v>
      </c>
      <c r="AG244" s="799">
        <f t="shared" si="103"/>
        <v>-1</v>
      </c>
      <c r="AH244" s="176">
        <f t="shared" si="104"/>
        <v>5</v>
      </c>
      <c r="AI244" s="224">
        <f t="shared" si="105"/>
        <v>-0.82314039021655128</v>
      </c>
      <c r="AJ244" s="264" t="b">
        <f t="shared" si="106"/>
        <v>0</v>
      </c>
      <c r="AK244" s="264" t="b">
        <f t="shared" si="107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108"/>
        <v>43696</v>
      </c>
      <c r="B245" s="607">
        <v>32.558</v>
      </c>
      <c r="C245" s="388"/>
      <c r="D245" s="391">
        <f t="shared" si="85"/>
        <v>32.696190392371527</v>
      </c>
      <c r="E245" s="383">
        <f t="shared" si="111"/>
        <v>33.205628858803671</v>
      </c>
      <c r="F245" s="383">
        <f t="shared" si="110"/>
        <v>33.211299956164908</v>
      </c>
      <c r="G245" s="110">
        <f t="shared" si="112"/>
        <v>0.61243732697618569</v>
      </c>
      <c r="I245" s="379">
        <f t="shared" si="86"/>
        <v>33.211299956164908</v>
      </c>
      <c r="J245" s="85">
        <v>2018</v>
      </c>
      <c r="K245" s="197">
        <f t="shared" si="87"/>
        <v>43696</v>
      </c>
      <c r="L245" s="435">
        <f t="shared" si="88"/>
        <v>4.2264982774190551E-3</v>
      </c>
      <c r="M245" s="842"/>
      <c r="N245" s="842"/>
      <c r="O245" s="323">
        <f t="shared" si="89"/>
        <v>1.5341930990024772E-2</v>
      </c>
      <c r="P245" s="169">
        <f>(INDEX(Models!$BJ245:$BT245,,T245)*(1-R245)+INDEX(Models!$BJ245:$BT245,,T245+1)*R245-ERP_i)*Q245*Ramure*Pc/MaxiM</f>
        <v>3.8241607391276404E-4</v>
      </c>
      <c r="Q245" s="304">
        <f t="shared" si="90"/>
        <v>0.7</v>
      </c>
      <c r="R245" s="177">
        <f t="shared" si="91"/>
        <v>0.11337395076316792</v>
      </c>
      <c r="S245" s="799">
        <f t="shared" si="109"/>
        <v>-1</v>
      </c>
      <c r="T245" s="176">
        <f t="shared" si="92"/>
        <v>5</v>
      </c>
      <c r="U245" s="250">
        <f t="shared" si="93"/>
        <v>-0.88662604923683208</v>
      </c>
      <c r="V245" s="382">
        <f t="shared" si="94"/>
        <v>53.150104064334577</v>
      </c>
      <c r="W245" s="58"/>
      <c r="X245" s="157">
        <f t="shared" si="95"/>
        <v>43696</v>
      </c>
      <c r="Y245" s="383">
        <f t="shared" si="96"/>
        <v>32.556526539506912</v>
      </c>
      <c r="Z245" s="383">
        <f t="shared" si="97"/>
        <v>32.694710677867633</v>
      </c>
      <c r="AA245" s="384">
        <f t="shared" si="98"/>
        <v>33.204126088907735</v>
      </c>
      <c r="AB245" s="197">
        <f t="shared" si="99"/>
        <v>43696</v>
      </c>
      <c r="AC245" s="424">
        <f t="shared" si="100"/>
        <v>1.5341930990024772E-2</v>
      </c>
      <c r="AD245" s="169">
        <f>(INDEX(Models!$BJ245:$BT245,,AH245)*(1-AF245)+INDEX(Models!$BJ245:$BT245,,AH245+1)*AF245-ERP_i)*AE245*Ramure*Pc/MaxiM</f>
        <v>4.8375155221454003E-4</v>
      </c>
      <c r="AE245" s="304">
        <f t="shared" si="101"/>
        <v>0.7</v>
      </c>
      <c r="AF245" s="177">
        <f t="shared" si="102"/>
        <v>0.17770617302300007</v>
      </c>
      <c r="AG245" s="799">
        <f t="shared" si="103"/>
        <v>-1</v>
      </c>
      <c r="AH245" s="176">
        <f t="shared" si="104"/>
        <v>5</v>
      </c>
      <c r="AI245" s="224">
        <f t="shared" si="105"/>
        <v>-0.82229382697699993</v>
      </c>
      <c r="AJ245" s="264" t="b">
        <f t="shared" si="106"/>
        <v>0</v>
      </c>
      <c r="AK245" s="264" t="b">
        <f t="shared" si="107"/>
        <v>0</v>
      </c>
      <c r="AL245" s="264"/>
      <c r="AM245" s="264"/>
      <c r="AN245" s="75"/>
    </row>
    <row r="246" spans="1:40" s="6" customFormat="1" ht="11.25" x14ac:dyDescent="0.2">
      <c r="A246" s="56">
        <f t="shared" si="108"/>
        <v>43697</v>
      </c>
      <c r="B246" s="607">
        <v>24.058</v>
      </c>
      <c r="C246" s="388"/>
      <c r="D246" s="391">
        <f t="shared" si="85"/>
        <v>24.160575706522955</v>
      </c>
      <c r="E246" s="383">
        <f t="shared" si="111"/>
        <v>24.538559104713045</v>
      </c>
      <c r="F246" s="383">
        <f t="shared" si="110"/>
        <v>24.54067082204315</v>
      </c>
      <c r="G246" s="110">
        <f t="shared" si="112"/>
        <v>0.45383830227649402</v>
      </c>
      <c r="I246" s="379">
        <f t="shared" si="86"/>
        <v>24.54067082204315</v>
      </c>
      <c r="J246" s="85">
        <v>2018</v>
      </c>
      <c r="K246" s="197">
        <f t="shared" si="87"/>
        <v>43697</v>
      </c>
      <c r="L246" s="435">
        <f t="shared" si="88"/>
        <v>4.2455820494070595E-3</v>
      </c>
      <c r="M246" s="842"/>
      <c r="N246" s="842"/>
      <c r="O246" s="323">
        <f t="shared" si="89"/>
        <v>1.5403650906197313E-2</v>
      </c>
      <c r="P246" s="169">
        <f>(INDEX(Models!$BJ246:$BT246,,T246)*(1-R246)+INDEX(Models!$BJ246:$BT246,,T246+1)*R246-ERP_i)*Q246*Ramure*Pc/MaxiM</f>
        <v>3.9119381906408768E-4</v>
      </c>
      <c r="Q246" s="304">
        <f t="shared" si="90"/>
        <v>0.7</v>
      </c>
      <c r="R246" s="177">
        <f t="shared" si="91"/>
        <v>0.11418999801859608</v>
      </c>
      <c r="S246" s="799">
        <f t="shared" si="109"/>
        <v>-1</v>
      </c>
      <c r="T246" s="176">
        <f t="shared" si="92"/>
        <v>5</v>
      </c>
      <c r="U246" s="250">
        <f t="shared" si="93"/>
        <v>-0.88581000198140392</v>
      </c>
      <c r="V246" s="382">
        <f t="shared" si="94"/>
        <v>52.993892517121729</v>
      </c>
      <c r="W246" s="58"/>
      <c r="X246" s="157">
        <f t="shared" si="95"/>
        <v>43697</v>
      </c>
      <c r="Y246" s="383">
        <f t="shared" si="96"/>
        <v>24.057460185031509</v>
      </c>
      <c r="Z246" s="383">
        <f t="shared" si="97"/>
        <v>24.160033589954089</v>
      </c>
      <c r="AA246" s="384">
        <f t="shared" si="98"/>
        <v>24.538008506928112</v>
      </c>
      <c r="AB246" s="197">
        <f t="shared" si="99"/>
        <v>43697</v>
      </c>
      <c r="AC246" s="424">
        <f t="shared" si="100"/>
        <v>1.5403650906197313E-2</v>
      </c>
      <c r="AD246" s="169">
        <f>(INDEX(Models!$BJ246:$BT246,,AH246)*(1-AF246)+INDEX(Models!$BJ246:$BT246,,AH246+1)*AF246-ERP_i)*AE246*Ramure*Pc/MaxiM</f>
        <v>4.931915851401202E-4</v>
      </c>
      <c r="AE246" s="304">
        <f t="shared" si="101"/>
        <v>0.7</v>
      </c>
      <c r="AF246" s="177">
        <f t="shared" si="102"/>
        <v>0.17852222027842835</v>
      </c>
      <c r="AG246" s="799">
        <f t="shared" si="103"/>
        <v>-1</v>
      </c>
      <c r="AH246" s="176">
        <f t="shared" si="104"/>
        <v>5</v>
      </c>
      <c r="AI246" s="224">
        <f t="shared" si="105"/>
        <v>-0.82147777972157165</v>
      </c>
      <c r="AJ246" s="264" t="b">
        <f t="shared" si="106"/>
        <v>0</v>
      </c>
      <c r="AK246" s="264" t="b">
        <f t="shared" si="107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108"/>
        <v>43698</v>
      </c>
      <c r="B247" s="607">
        <v>48.594999999999999</v>
      </c>
      <c r="C247" s="388"/>
      <c r="D247" s="391">
        <f t="shared" si="85"/>
        <v>48.80312901845307</v>
      </c>
      <c r="E247" s="383">
        <f t="shared" si="111"/>
        <v>49.569737860423672</v>
      </c>
      <c r="F247" s="383">
        <f t="shared" si="110"/>
        <v>49.587266189277351</v>
      </c>
      <c r="G247" s="110">
        <f t="shared" si="112"/>
        <v>0.91969474364625037</v>
      </c>
      <c r="I247" s="379">
        <f t="shared" si="86"/>
        <v>49.587266189277351</v>
      </c>
      <c r="J247" s="85">
        <v>2018</v>
      </c>
      <c r="K247" s="197">
        <f t="shared" si="87"/>
        <v>43698</v>
      </c>
      <c r="L247" s="435">
        <f t="shared" si="88"/>
        <v>4.2646654556590669E-3</v>
      </c>
      <c r="M247" s="842"/>
      <c r="N247" s="842"/>
      <c r="O247" s="323">
        <f t="shared" si="89"/>
        <v>1.5465259149225008E-2</v>
      </c>
      <c r="P247" s="169">
        <f>(INDEX(Models!$BJ247:$BT247,,T247)*(1-R247)+INDEX(Models!$BJ247:$BT247,,T247+1)*R247-ERP_i)*Q247*Ramure*Pc/MaxiM</f>
        <v>3.9926483011238191E-4</v>
      </c>
      <c r="Q247" s="304">
        <f t="shared" si="90"/>
        <v>0.7</v>
      </c>
      <c r="R247" s="177">
        <f t="shared" si="91"/>
        <v>0.11497649760552753</v>
      </c>
      <c r="S247" s="799">
        <f t="shared" si="109"/>
        <v>-1</v>
      </c>
      <c r="T247" s="176">
        <f t="shared" si="92"/>
        <v>5</v>
      </c>
      <c r="U247" s="250">
        <f t="shared" si="93"/>
        <v>-0.88502350239447247</v>
      </c>
      <c r="V247" s="382">
        <f t="shared" si="94"/>
        <v>52.835764097567122</v>
      </c>
      <c r="W247" s="58"/>
      <c r="X247" s="157">
        <f t="shared" si="95"/>
        <v>43698</v>
      </c>
      <c r="Y247" s="383">
        <f t="shared" si="96"/>
        <v>48.590591061634633</v>
      </c>
      <c r="Z247" s="383">
        <f t="shared" si="97"/>
        <v>48.798701196910123</v>
      </c>
      <c r="AA247" s="384">
        <f t="shared" si="98"/>
        <v>49.565240485816943</v>
      </c>
      <c r="AB247" s="197">
        <f t="shared" si="99"/>
        <v>43698</v>
      </c>
      <c r="AC247" s="424">
        <f t="shared" si="100"/>
        <v>1.5465259149225008E-2</v>
      </c>
      <c r="AD247" s="169">
        <f>(INDEX(Models!$BJ247:$BT247,,AH247)*(1-AF247)+INDEX(Models!$BJ247:$BT247,,AH247+1)*AF247-ERP_i)*AE247*Ramure*Pc/MaxiM</f>
        <v>5.0170719773894523E-4</v>
      </c>
      <c r="AE247" s="304">
        <f t="shared" si="101"/>
        <v>0.7</v>
      </c>
      <c r="AF247" s="177">
        <f t="shared" si="102"/>
        <v>0.17930871986535979</v>
      </c>
      <c r="AG247" s="799">
        <f t="shared" si="103"/>
        <v>-1</v>
      </c>
      <c r="AH247" s="176">
        <f t="shared" si="104"/>
        <v>5</v>
      </c>
      <c r="AI247" s="224">
        <f t="shared" si="105"/>
        <v>-0.82069128013464021</v>
      </c>
      <c r="AJ247" s="264" t="b">
        <f t="shared" si="106"/>
        <v>0</v>
      </c>
      <c r="AK247" s="264" t="b">
        <f t="shared" si="107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108"/>
        <v>43699</v>
      </c>
      <c r="B248" s="607">
        <v>54.383000000000003</v>
      </c>
      <c r="C248" s="388"/>
      <c r="D248" s="391">
        <f t="shared" si="85"/>
        <v>54.61696534315476</v>
      </c>
      <c r="E248" s="383">
        <f t="shared" si="111"/>
        <v>55.478364219293923</v>
      </c>
      <c r="F248" s="383">
        <f t="shared" si="110"/>
        <v>55.500972969341134</v>
      </c>
      <c r="G248" s="110">
        <f t="shared" si="112"/>
        <v>1.0323889511314839</v>
      </c>
      <c r="I248" s="379">
        <f t="shared" si="86"/>
        <v>55.500972969341134</v>
      </c>
      <c r="J248" s="85">
        <v>2018</v>
      </c>
      <c r="K248" s="197">
        <f t="shared" si="87"/>
        <v>43699</v>
      </c>
      <c r="L248" s="435">
        <f t="shared" si="88"/>
        <v>4.2837484961818495E-3</v>
      </c>
      <c r="M248" s="842"/>
      <c r="N248" s="842"/>
      <c r="O248" s="323">
        <f t="shared" si="89"/>
        <v>1.5526753325571024E-2</v>
      </c>
      <c r="P248" s="169">
        <f>(INDEX(Models!$BJ248:$BT248,,T248)*(1-R248)+INDEX(Models!$BJ248:$BT248,,T248+1)*R248-ERP_i)*Q248*Ramure*Pc/MaxiM</f>
        <v>4.073577243357284E-4</v>
      </c>
      <c r="Q248" s="304">
        <f t="shared" si="90"/>
        <v>0.7</v>
      </c>
      <c r="R248" s="177">
        <f t="shared" si="91"/>
        <v>0.11573439708682232</v>
      </c>
      <c r="S248" s="799">
        <f t="shared" si="109"/>
        <v>-1</v>
      </c>
      <c r="T248" s="176">
        <f t="shared" si="92"/>
        <v>5</v>
      </c>
      <c r="U248" s="250">
        <f t="shared" si="93"/>
        <v>-0.88426560291317768</v>
      </c>
      <c r="V248" s="382">
        <f t="shared" si="94"/>
        <v>52.676852014346913</v>
      </c>
      <c r="W248" s="58"/>
      <c r="X248" s="157">
        <f t="shared" si="95"/>
        <v>43699</v>
      </c>
      <c r="Y248" s="383">
        <f t="shared" si="96"/>
        <v>54.377398369211562</v>
      </c>
      <c r="Z248" s="383">
        <f t="shared" si="97"/>
        <v>54.611339613153888</v>
      </c>
      <c r="AA248" s="384">
        <f t="shared" si="98"/>
        <v>55.472649762329375</v>
      </c>
      <c r="AB248" s="197">
        <f t="shared" si="99"/>
        <v>43699</v>
      </c>
      <c r="AC248" s="424">
        <f t="shared" si="100"/>
        <v>1.5526753325571024E-2</v>
      </c>
      <c r="AD248" s="169">
        <f>(INDEX(Models!$BJ248:$BT248,,AH248)*(1-AF248)+INDEX(Models!$BJ248:$BT248,,AH248+1)*AF248-ERP_i)*AE248*Ramure*Pc/MaxiM</f>
        <v>5.1031910787220354E-4</v>
      </c>
      <c r="AE248" s="304">
        <f t="shared" si="101"/>
        <v>0.7</v>
      </c>
      <c r="AF248" s="177">
        <f t="shared" si="102"/>
        <v>0.18006661934665447</v>
      </c>
      <c r="AG248" s="799">
        <f t="shared" si="103"/>
        <v>-1</v>
      </c>
      <c r="AH248" s="176">
        <f t="shared" si="104"/>
        <v>5</v>
      </c>
      <c r="AI248" s="224">
        <f t="shared" si="105"/>
        <v>-0.81993338065334553</v>
      </c>
      <c r="AJ248" s="264" t="b">
        <f t="shared" si="106"/>
        <v>0</v>
      </c>
      <c r="AK248" s="264" t="b">
        <f t="shared" si="107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108"/>
        <v>43700</v>
      </c>
      <c r="B249" s="607">
        <v>51.988999999999997</v>
      </c>
      <c r="C249" s="388"/>
      <c r="D249" s="391">
        <f t="shared" si="85"/>
        <v>52.213666592164046</v>
      </c>
      <c r="E249" s="383">
        <f t="shared" si="111"/>
        <v>53.040468357421197</v>
      </c>
      <c r="F249" s="383">
        <f t="shared" si="110"/>
        <v>53.062243382697936</v>
      </c>
      <c r="G249" s="110">
        <f t="shared" si="112"/>
        <v>0.98994412676799115</v>
      </c>
      <c r="I249" s="379">
        <f t="shared" si="86"/>
        <v>53.062243382697936</v>
      </c>
      <c r="J249" s="85">
        <v>2018</v>
      </c>
      <c r="K249" s="197">
        <f t="shared" si="87"/>
        <v>43700</v>
      </c>
      <c r="L249" s="435">
        <f t="shared" si="88"/>
        <v>4.3028311709825129E-3</v>
      </c>
      <c r="M249" s="842"/>
      <c r="N249" s="842"/>
      <c r="O249" s="323">
        <f t="shared" si="89"/>
        <v>1.5588130928362481E-2</v>
      </c>
      <c r="P249" s="169">
        <f>(INDEX(Models!$BJ249:$BT249,,T249)*(1-R249)+INDEX(Models!$BJ249:$BT249,,T249+1)*R249-ERP_i)*Q249*Ramure*Pc/MaxiM</f>
        <v>4.1634509467591721E-4</v>
      </c>
      <c r="Q249" s="304">
        <f t="shared" si="90"/>
        <v>0.7</v>
      </c>
      <c r="R249" s="177">
        <f t="shared" si="91"/>
        <v>0.11646462291433135</v>
      </c>
      <c r="S249" s="799">
        <f t="shared" si="109"/>
        <v>-1</v>
      </c>
      <c r="T249" s="176">
        <f t="shared" si="92"/>
        <v>5</v>
      </c>
      <c r="U249" s="250">
        <f t="shared" si="93"/>
        <v>-0.88353537708566865</v>
      </c>
      <c r="V249" s="382">
        <f t="shared" si="94"/>
        <v>52.516791304169011</v>
      </c>
      <c r="W249" s="58"/>
      <c r="X249" s="157">
        <f t="shared" si="95"/>
        <v>43700</v>
      </c>
      <c r="Y249" s="383">
        <f t="shared" si="96"/>
        <v>51.983674012877863</v>
      </c>
      <c r="Z249" s="383">
        <f t="shared" si="97"/>
        <v>52.208317589185164</v>
      </c>
      <c r="AA249" s="384">
        <f t="shared" si="98"/>
        <v>53.035034653148692</v>
      </c>
      <c r="AB249" s="197">
        <f t="shared" si="99"/>
        <v>43700</v>
      </c>
      <c r="AC249" s="424">
        <f t="shared" si="100"/>
        <v>1.5588130928362481E-2</v>
      </c>
      <c r="AD249" s="169">
        <f>(INDEX(Models!$BJ249:$BT249,,AH249)*(1-AF249)+INDEX(Models!$BJ249:$BT249,,AH249+1)*AF249-ERP_i)*AE249*Ramure*Pc/MaxiM</f>
        <v>5.2023917016032553E-4</v>
      </c>
      <c r="AE249" s="304">
        <f t="shared" si="101"/>
        <v>0.7</v>
      </c>
      <c r="AF249" s="177">
        <f t="shared" si="102"/>
        <v>0.1807968451741635</v>
      </c>
      <c r="AG249" s="799">
        <f t="shared" si="103"/>
        <v>-1</v>
      </c>
      <c r="AH249" s="176">
        <f t="shared" si="104"/>
        <v>5</v>
      </c>
      <c r="AI249" s="224">
        <f t="shared" si="105"/>
        <v>-0.8192031548258365</v>
      </c>
      <c r="AJ249" s="264" t="b">
        <f t="shared" si="106"/>
        <v>0</v>
      </c>
      <c r="AK249" s="264" t="b">
        <f t="shared" si="107"/>
        <v>0</v>
      </c>
      <c r="AL249" s="264"/>
      <c r="AM249" s="264"/>
      <c r="AN249" s="75"/>
    </row>
    <row r="250" spans="1:40" s="6" customFormat="1" ht="11.25" x14ac:dyDescent="0.2">
      <c r="A250" s="56">
        <f t="shared" si="108"/>
        <v>43701</v>
      </c>
      <c r="B250" s="607">
        <v>52.398000000000003</v>
      </c>
      <c r="C250" s="388"/>
      <c r="D250" s="391">
        <f t="shared" si="85"/>
        <v>52.625442609809888</v>
      </c>
      <c r="E250" s="383">
        <f t="shared" si="111"/>
        <v>53.462091697741471</v>
      </c>
      <c r="F250" s="383">
        <f t="shared" si="110"/>
        <v>53.484889731597349</v>
      </c>
      <c r="G250" s="110">
        <f t="shared" si="112"/>
        <v>1.0008163059988311</v>
      </c>
      <c r="I250" s="379">
        <f t="shared" si="86"/>
        <v>53.484889731597349</v>
      </c>
      <c r="J250" s="85">
        <v>2018</v>
      </c>
      <c r="K250" s="197">
        <f t="shared" si="87"/>
        <v>43701</v>
      </c>
      <c r="L250" s="435">
        <f t="shared" si="88"/>
        <v>4.3219134800680514E-3</v>
      </c>
      <c r="M250" s="842"/>
      <c r="N250" s="842"/>
      <c r="O250" s="323">
        <f t="shared" si="89"/>
        <v>1.5649389340427308E-2</v>
      </c>
      <c r="P250" s="169">
        <f>(INDEX(Models!$BJ250:$BT250,,T250)*(1-R250)+INDEX(Models!$BJ250:$BT250,,T250+1)*R250-ERP_i)*Q250*Ramure*Pc/MaxiM</f>
        <v>4.2625186235379958E-4</v>
      </c>
      <c r="Q250" s="304">
        <f t="shared" si="90"/>
        <v>0.7</v>
      </c>
      <c r="R250" s="177">
        <f t="shared" si="91"/>
        <v>0.11716808015406266</v>
      </c>
      <c r="S250" s="799">
        <f t="shared" si="109"/>
        <v>-1</v>
      </c>
      <c r="T250" s="176">
        <f t="shared" si="92"/>
        <v>5</v>
      </c>
      <c r="U250" s="250">
        <f t="shared" si="93"/>
        <v>-0.88283191984593734</v>
      </c>
      <c r="V250" s="382">
        <f t="shared" si="94"/>
        <v>52.355262085489251</v>
      </c>
      <c r="W250" s="58"/>
      <c r="X250" s="157">
        <f t="shared" si="95"/>
        <v>43701</v>
      </c>
      <c r="Y250" s="383">
        <f t="shared" si="96"/>
        <v>52.392483046569467</v>
      </c>
      <c r="Z250" s="383">
        <f t="shared" si="97"/>
        <v>52.619901709085823</v>
      </c>
      <c r="AA250" s="384">
        <f t="shared" si="98"/>
        <v>53.456462706745718</v>
      </c>
      <c r="AB250" s="197">
        <f t="shared" si="99"/>
        <v>43701</v>
      </c>
      <c r="AC250" s="424">
        <f t="shared" si="100"/>
        <v>1.5649389340427308E-2</v>
      </c>
      <c r="AD250" s="169">
        <f>(INDEX(Models!$BJ250:$BT250,,AH250)*(1-AF250)+INDEX(Models!$BJ250:$BT250,,AH250+1)*AF250-ERP_i)*AE250*Ramure*Pc/MaxiM</f>
        <v>5.3149637204609435E-4</v>
      </c>
      <c r="AE250" s="304">
        <f t="shared" si="101"/>
        <v>0.7</v>
      </c>
      <c r="AF250" s="177">
        <f t="shared" si="102"/>
        <v>0.18150030241389481</v>
      </c>
      <c r="AG250" s="799">
        <f t="shared" si="103"/>
        <v>-1</v>
      </c>
      <c r="AH250" s="176">
        <f t="shared" si="104"/>
        <v>5</v>
      </c>
      <c r="AI250" s="224">
        <f t="shared" si="105"/>
        <v>-0.81849969758610519</v>
      </c>
      <c r="AJ250" s="264" t="b">
        <f t="shared" si="106"/>
        <v>0</v>
      </c>
      <c r="AK250" s="264" t="b">
        <f t="shared" si="107"/>
        <v>0</v>
      </c>
      <c r="AL250" s="264"/>
      <c r="AM250" s="264"/>
      <c r="AN250" s="75"/>
    </row>
    <row r="251" spans="1:40" s="6" customFormat="1" ht="11.25" x14ac:dyDescent="0.2">
      <c r="A251" s="56">
        <f t="shared" si="108"/>
        <v>43702</v>
      </c>
      <c r="B251" s="607">
        <v>38.222000000000001</v>
      </c>
      <c r="C251" s="388"/>
      <c r="D251" s="391">
        <f t="shared" si="85"/>
        <v>38.388644931961927</v>
      </c>
      <c r="E251" s="383">
        <f t="shared" si="111"/>
        <v>39.001377074115126</v>
      </c>
      <c r="F251" s="383">
        <f t="shared" si="110"/>
        <v>39.01190889026374</v>
      </c>
      <c r="G251" s="110">
        <f t="shared" si="112"/>
        <v>0.73221279976844411</v>
      </c>
      <c r="I251" s="379">
        <f t="shared" si="86"/>
        <v>39.01190889026374</v>
      </c>
      <c r="J251" s="85">
        <v>2018</v>
      </c>
      <c r="K251" s="197">
        <f t="shared" si="87"/>
        <v>43702</v>
      </c>
      <c r="L251" s="435">
        <f t="shared" si="88"/>
        <v>4.3409954234455705E-3</v>
      </c>
      <c r="M251" s="842"/>
      <c r="N251" s="842"/>
      <c r="O251" s="323">
        <f t="shared" si="89"/>
        <v>1.5710525835762521E-2</v>
      </c>
      <c r="P251" s="169">
        <f>(INDEX(Models!$BJ251:$BT251,,T251)*(1-R251)+INDEX(Models!$BJ251:$BT251,,T251+1)*R251-ERP_i)*Q251*Ramure*Pc/MaxiM</f>
        <v>4.3710268770644385E-4</v>
      </c>
      <c r="Q251" s="304">
        <f t="shared" si="90"/>
        <v>0.7</v>
      </c>
      <c r="R251" s="177">
        <f t="shared" si="91"/>
        <v>0.11784565228843435</v>
      </c>
      <c r="S251" s="799">
        <f t="shared" si="109"/>
        <v>-1</v>
      </c>
      <c r="T251" s="176">
        <f t="shared" si="92"/>
        <v>5</v>
      </c>
      <c r="U251" s="250">
        <f t="shared" si="93"/>
        <v>-0.88215434771156565</v>
      </c>
      <c r="V251" s="382">
        <f t="shared" si="94"/>
        <v>52.191944632953067</v>
      </c>
      <c r="W251" s="58"/>
      <c r="X251" s="157">
        <f t="shared" si="95"/>
        <v>43702</v>
      </c>
      <c r="Y251" s="383">
        <f t="shared" si="96"/>
        <v>38.219472997542461</v>
      </c>
      <c r="Z251" s="383">
        <f t="shared" si="97"/>
        <v>38.386106911971218</v>
      </c>
      <c r="AA251" s="384">
        <f t="shared" si="98"/>
        <v>38.998798544061394</v>
      </c>
      <c r="AB251" s="197">
        <f t="shared" si="99"/>
        <v>43702</v>
      </c>
      <c r="AC251" s="424">
        <f t="shared" si="100"/>
        <v>1.5710525835762521E-2</v>
      </c>
      <c r="AD251" s="169">
        <f>(INDEX(Models!$BJ251:$BT251,,AH251)*(1-AF251)+INDEX(Models!$BJ251:$BT251,,AH251+1)*AF251-ERP_i)*AE251*Ramure*Pc/MaxiM</f>
        <v>5.4411959731770401E-4</v>
      </c>
      <c r="AE251" s="304">
        <f t="shared" si="101"/>
        <v>0.7</v>
      </c>
      <c r="AF251" s="177">
        <f t="shared" si="102"/>
        <v>0.18217787454826651</v>
      </c>
      <c r="AG251" s="799">
        <f t="shared" si="103"/>
        <v>-1</v>
      </c>
      <c r="AH251" s="176">
        <f t="shared" si="104"/>
        <v>5</v>
      </c>
      <c r="AI251" s="224">
        <f t="shared" si="105"/>
        <v>-0.81782212545173349</v>
      </c>
      <c r="AJ251" s="264" t="b">
        <f t="shared" si="106"/>
        <v>0</v>
      </c>
      <c r="AK251" s="264" t="b">
        <f t="shared" si="107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108"/>
        <v>43703</v>
      </c>
      <c r="B252" s="607">
        <v>48.817</v>
      </c>
      <c r="C252" s="388"/>
      <c r="D252" s="391">
        <f t="shared" si="85"/>
        <v>49.030777967362617</v>
      </c>
      <c r="E252" s="383">
        <f t="shared" si="111"/>
        <v>49.816460140543363</v>
      </c>
      <c r="F252" s="383">
        <f t="shared" si="110"/>
        <v>49.836861298222956</v>
      </c>
      <c r="G252" s="110">
        <f t="shared" si="112"/>
        <v>0.93827279694200905</v>
      </c>
      <c r="I252" s="379">
        <f t="shared" si="86"/>
        <v>49.836861298222956</v>
      </c>
      <c r="J252" s="85">
        <v>2018</v>
      </c>
      <c r="K252" s="197">
        <f t="shared" si="87"/>
        <v>43703</v>
      </c>
      <c r="L252" s="435">
        <f t="shared" si="88"/>
        <v>4.3600770011219536E-3</v>
      </c>
      <c r="M252" s="842"/>
      <c r="N252" s="842"/>
      <c r="O252" s="323">
        <f t="shared" si="89"/>
        <v>1.5771537579429819E-2</v>
      </c>
      <c r="P252" s="169">
        <f>(INDEX(Models!$BJ252:$BT252,,T252)*(1-R252)+INDEX(Models!$BJ252:$BT252,,T252+1)*R252-ERP_i)*Q252*Ramure*Pc/MaxiM</f>
        <v>4.4892166605011715E-4</v>
      </c>
      <c r="Q252" s="304">
        <f t="shared" si="90"/>
        <v>0.7</v>
      </c>
      <c r="R252" s="177">
        <f t="shared" si="91"/>
        <v>0.11849820108955722</v>
      </c>
      <c r="S252" s="799">
        <f t="shared" si="109"/>
        <v>-1</v>
      </c>
      <c r="T252" s="176">
        <f t="shared" si="92"/>
        <v>5</v>
      </c>
      <c r="U252" s="250">
        <f t="shared" si="93"/>
        <v>-0.88150179891044278</v>
      </c>
      <c r="V252" s="382">
        <f t="shared" si="94"/>
        <v>52.026519395716917</v>
      </c>
      <c r="W252" s="58"/>
      <c r="X252" s="157">
        <f t="shared" si="95"/>
        <v>43703</v>
      </c>
      <c r="Y252" s="383">
        <f t="shared" si="96"/>
        <v>48.812136296700039</v>
      </c>
      <c r="Z252" s="383">
        <f t="shared" si="97"/>
        <v>49.025892965076537</v>
      </c>
      <c r="AA252" s="384">
        <f t="shared" si="98"/>
        <v>49.811496859686734</v>
      </c>
      <c r="AB252" s="197">
        <f t="shared" si="99"/>
        <v>43703</v>
      </c>
      <c r="AC252" s="424">
        <f t="shared" si="100"/>
        <v>1.5771537579429819E-2</v>
      </c>
      <c r="AD252" s="169">
        <f>(INDEX(Models!$BJ252:$BT252,,AH252)*(1-AF252)+INDEX(Models!$BJ252:$BT252,,AH252+1)*AF252-ERP_i)*AE252*Ramure*Pc/MaxiM</f>
        <v>5.581372481375435E-4</v>
      </c>
      <c r="AE252" s="304">
        <f t="shared" si="101"/>
        <v>0.7</v>
      </c>
      <c r="AF252" s="177">
        <f t="shared" si="102"/>
        <v>0.18283042334938948</v>
      </c>
      <c r="AG252" s="799">
        <f t="shared" si="103"/>
        <v>-1</v>
      </c>
      <c r="AH252" s="176">
        <f t="shared" si="104"/>
        <v>5</v>
      </c>
      <c r="AI252" s="224">
        <f t="shared" si="105"/>
        <v>-0.81716957665061052</v>
      </c>
      <c r="AJ252" s="264" t="b">
        <f t="shared" si="106"/>
        <v>0</v>
      </c>
      <c r="AK252" s="264" t="b">
        <f t="shared" si="107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108"/>
        <v>43704</v>
      </c>
      <c r="B253" s="607">
        <v>28.367000000000001</v>
      </c>
      <c r="C253" s="388"/>
      <c r="D253" s="391">
        <f t="shared" si="85"/>
        <v>28.491769968463274</v>
      </c>
      <c r="E253" s="383">
        <f t="shared" si="111"/>
        <v>28.950120482055894</v>
      </c>
      <c r="F253" s="383">
        <f t="shared" si="110"/>
        <v>28.954838082654295</v>
      </c>
      <c r="G253" s="110">
        <f t="shared" si="112"/>
        <v>0.54684248790257006</v>
      </c>
      <c r="I253" s="379">
        <f t="shared" si="86"/>
        <v>28.954838082654295</v>
      </c>
      <c r="J253" s="85">
        <v>2018</v>
      </c>
      <c r="K253" s="197">
        <f t="shared" si="87"/>
        <v>43704</v>
      </c>
      <c r="L253" s="435">
        <f t="shared" si="88"/>
        <v>4.3791582131043061E-3</v>
      </c>
      <c r="M253" s="842"/>
      <c r="N253" s="842"/>
      <c r="O253" s="323">
        <f t="shared" si="89"/>
        <v>1.5832421625903755E-2</v>
      </c>
      <c r="P253" s="169">
        <f>(INDEX(Models!$BJ253:$BT253,,T253)*(1-R253)+INDEX(Models!$BJ253:$BT253,,T253+1)*R253-ERP_i)*Q253*Ramure*Pc/MaxiM</f>
        <v>4.6173270153788341E-4</v>
      </c>
      <c r="Q253" s="304">
        <f t="shared" si="90"/>
        <v>0.7</v>
      </c>
      <c r="R253" s="177">
        <f t="shared" si="91"/>
        <v>0.119126566557755</v>
      </c>
      <c r="S253" s="799">
        <f t="shared" si="109"/>
        <v>-1</v>
      </c>
      <c r="T253" s="176">
        <f t="shared" si="92"/>
        <v>5</v>
      </c>
      <c r="U253" s="250">
        <f t="shared" si="93"/>
        <v>-0.880873433442245</v>
      </c>
      <c r="V253" s="382">
        <f t="shared" si="94"/>
        <v>51.858666981695833</v>
      </c>
      <c r="W253" s="58"/>
      <c r="X253" s="157">
        <f t="shared" si="95"/>
        <v>43704</v>
      </c>
      <c r="Y253" s="383">
        <f t="shared" si="96"/>
        <v>28.365880278057769</v>
      </c>
      <c r="Z253" s="383">
        <f t="shared" si="97"/>
        <v>28.490645321514119</v>
      </c>
      <c r="AA253" s="384">
        <f t="shared" si="98"/>
        <v>28.948977742776663</v>
      </c>
      <c r="AB253" s="197">
        <f t="shared" si="99"/>
        <v>43704</v>
      </c>
      <c r="AC253" s="424">
        <f t="shared" si="100"/>
        <v>1.5832421625903755E-2</v>
      </c>
      <c r="AD253" s="169">
        <f>(INDEX(Models!$BJ253:$BT253,,AH253)*(1-AF253)+INDEX(Models!$BJ253:$BT253,,AH253+1)*AF253-ERP_i)*AE253*Ramure*Pc/MaxiM</f>
        <v>5.7357771332879255E-4</v>
      </c>
      <c r="AE253" s="304">
        <f t="shared" si="101"/>
        <v>0.7</v>
      </c>
      <c r="AF253" s="177">
        <f t="shared" si="102"/>
        <v>0.18345878881758726</v>
      </c>
      <c r="AG253" s="799">
        <f t="shared" si="103"/>
        <v>-1</v>
      </c>
      <c r="AH253" s="176">
        <f t="shared" si="104"/>
        <v>5</v>
      </c>
      <c r="AI253" s="224">
        <f t="shared" si="105"/>
        <v>-0.81654121118241274</v>
      </c>
      <c r="AJ253" s="264" t="b">
        <f t="shared" si="106"/>
        <v>0</v>
      </c>
      <c r="AK253" s="264" t="b">
        <f t="shared" si="107"/>
        <v>0</v>
      </c>
      <c r="AL253" s="264"/>
      <c r="AM253" s="264"/>
      <c r="AN253" s="75"/>
    </row>
    <row r="254" spans="1:40" s="6" customFormat="1" ht="11.25" x14ac:dyDescent="0.2">
      <c r="A254" s="56">
        <f t="shared" si="108"/>
        <v>43705</v>
      </c>
      <c r="B254" s="607">
        <v>32.244999999999997</v>
      </c>
      <c r="C254" s="388"/>
      <c r="D254" s="391">
        <f t="shared" si="85"/>
        <v>32.387447737674094</v>
      </c>
      <c r="E254" s="383">
        <f t="shared" si="111"/>
        <v>32.910500071887213</v>
      </c>
      <c r="F254" s="383">
        <f t="shared" si="110"/>
        <v>32.917735826889547</v>
      </c>
      <c r="G254" s="110">
        <f t="shared" si="112"/>
        <v>0.62367878693326706</v>
      </c>
      <c r="I254" s="379">
        <f t="shared" si="86"/>
        <v>32.917735826889547</v>
      </c>
      <c r="J254" s="85">
        <v>2018</v>
      </c>
      <c r="K254" s="197">
        <f t="shared" si="87"/>
        <v>43705</v>
      </c>
      <c r="L254" s="435">
        <f t="shared" si="88"/>
        <v>4.3982390593995113E-3</v>
      </c>
      <c r="M254" s="842"/>
      <c r="N254" s="842"/>
      <c r="O254" s="323">
        <f t="shared" si="89"/>
        <v>1.5893174915926723E-2</v>
      </c>
      <c r="P254" s="169">
        <f>(INDEX(Models!$BJ254:$BT254,,T254)*(1-R254)+INDEX(Models!$BJ254:$BT254,,T254+1)*R254-ERP_i)*Q254*Ramure*Pc/MaxiM</f>
        <v>4.7514261873238061E-4</v>
      </c>
      <c r="Q254" s="304">
        <f t="shared" si="90"/>
        <v>0.7</v>
      </c>
      <c r="R254" s="177">
        <f t="shared" si="91"/>
        <v>0.11973156691980291</v>
      </c>
      <c r="S254" s="799">
        <f t="shared" si="109"/>
        <v>-1</v>
      </c>
      <c r="T254" s="176">
        <f t="shared" si="92"/>
        <v>5</v>
      </c>
      <c r="U254" s="250">
        <f t="shared" si="93"/>
        <v>-0.88026843308019709</v>
      </c>
      <c r="V254" s="382">
        <f t="shared" si="94"/>
        <v>51.688089719027651</v>
      </c>
      <c r="W254" s="58"/>
      <c r="X254" s="157">
        <f t="shared" si="95"/>
        <v>43705</v>
      </c>
      <c r="Y254" s="383">
        <f t="shared" si="96"/>
        <v>32.243285896878994</v>
      </c>
      <c r="Z254" s="383">
        <f t="shared" si="97"/>
        <v>32.385726062212832</v>
      </c>
      <c r="AA254" s="384">
        <f t="shared" si="98"/>
        <v>32.908750591630216</v>
      </c>
      <c r="AB254" s="197">
        <f t="shared" si="99"/>
        <v>43705</v>
      </c>
      <c r="AC254" s="424">
        <f t="shared" si="100"/>
        <v>1.5893174915926723E-2</v>
      </c>
      <c r="AD254" s="169">
        <f>(INDEX(Models!$BJ254:$BT254,,AH254)*(1-AF254)+INDEX(Models!$BJ254:$BT254,,AH254+1)*AF254-ERP_i)*AE254*Ramure*Pc/MaxiM</f>
        <v>5.9002387583173359E-4</v>
      </c>
      <c r="AE254" s="304">
        <f t="shared" si="101"/>
        <v>0.7</v>
      </c>
      <c r="AF254" s="177">
        <f t="shared" si="102"/>
        <v>0.18406378917963506</v>
      </c>
      <c r="AG254" s="799">
        <f t="shared" si="103"/>
        <v>-1</v>
      </c>
      <c r="AH254" s="176">
        <f t="shared" si="104"/>
        <v>5</v>
      </c>
      <c r="AI254" s="224">
        <f t="shared" si="105"/>
        <v>-0.81593621082036494</v>
      </c>
      <c r="AJ254" s="264" t="b">
        <f t="shared" si="106"/>
        <v>0</v>
      </c>
      <c r="AK254" s="264" t="b">
        <f t="shared" si="107"/>
        <v>0</v>
      </c>
      <c r="AL254" s="264"/>
      <c r="AM254" s="264"/>
      <c r="AN254" s="75"/>
    </row>
    <row r="255" spans="1:40" s="6" customFormat="1" ht="11.25" x14ac:dyDescent="0.2">
      <c r="A255" s="56">
        <f t="shared" si="108"/>
        <v>43706</v>
      </c>
      <c r="B255" s="607">
        <v>49.49</v>
      </c>
      <c r="C255" s="388"/>
      <c r="D255" s="391">
        <f t="shared" si="85"/>
        <v>49.709583112810201</v>
      </c>
      <c r="E255" s="383">
        <f t="shared" si="111"/>
        <v>50.515496958837012</v>
      </c>
      <c r="F255" s="383">
        <f t="shared" si="110"/>
        <v>50.538824582767766</v>
      </c>
      <c r="G255" s="110">
        <f t="shared" si="112"/>
        <v>0.96067445168270393</v>
      </c>
      <c r="I255" s="379">
        <f t="shared" si="86"/>
        <v>50.538824582767766</v>
      </c>
      <c r="J255" s="85">
        <v>2018</v>
      </c>
      <c r="K255" s="197">
        <f t="shared" si="87"/>
        <v>43706</v>
      </c>
      <c r="L255" s="435">
        <f t="shared" si="88"/>
        <v>4.4173195400146748E-3</v>
      </c>
      <c r="M255" s="842"/>
      <c r="N255" s="842"/>
      <c r="O255" s="323">
        <f t="shared" si="89"/>
        <v>1.5953794271954255E-2</v>
      </c>
      <c r="P255" s="169">
        <f>(INDEX(Models!$BJ255:$BT255,,T255)*(1-R255)+INDEX(Models!$BJ255:$BT255,,T255+1)*R255-ERP_i)*Q255*Ramure*Pc/MaxiM</f>
        <v>4.8903343128686683E-4</v>
      </c>
      <c r="Q255" s="304">
        <f t="shared" si="90"/>
        <v>0.7</v>
      </c>
      <c r="R255" s="177">
        <f t="shared" si="91"/>
        <v>0.12031399868163861</v>
      </c>
      <c r="S255" s="799">
        <f t="shared" si="109"/>
        <v>-1</v>
      </c>
      <c r="T255" s="176">
        <f t="shared" si="92"/>
        <v>5</v>
      </c>
      <c r="U255" s="250">
        <f t="shared" si="93"/>
        <v>-0.87968600131836139</v>
      </c>
      <c r="V255" s="382">
        <f t="shared" si="94"/>
        <v>51.514475617229131</v>
      </c>
      <c r="W255" s="58"/>
      <c r="X255" s="157">
        <f t="shared" si="95"/>
        <v>43706</v>
      </c>
      <c r="Y255" s="383">
        <f t="shared" si="96"/>
        <v>49.484475461137556</v>
      </c>
      <c r="Z255" s="383">
        <f t="shared" si="97"/>
        <v>49.704034062017257</v>
      </c>
      <c r="AA255" s="384">
        <f t="shared" si="98"/>
        <v>50.509857944367326</v>
      </c>
      <c r="AB255" s="197">
        <f t="shared" si="99"/>
        <v>43706</v>
      </c>
      <c r="AC255" s="424">
        <f t="shared" si="100"/>
        <v>1.5953794271954255E-2</v>
      </c>
      <c r="AD255" s="169">
        <f>(INDEX(Models!$BJ255:$BT255,,AH255)*(1-AF255)+INDEX(Models!$BJ255:$BT255,,AH255+1)*AF255-ERP_i)*AE255*Ramure*Pc/MaxiM</f>
        <v>6.0724806829290606E-4</v>
      </c>
      <c r="AE255" s="304">
        <f t="shared" si="101"/>
        <v>0.7</v>
      </c>
      <c r="AF255" s="177">
        <f t="shared" si="102"/>
        <v>0.18464622094147076</v>
      </c>
      <c r="AG255" s="799">
        <f t="shared" si="103"/>
        <v>-1</v>
      </c>
      <c r="AH255" s="176">
        <f t="shared" si="104"/>
        <v>5</v>
      </c>
      <c r="AI255" s="224">
        <f t="shared" si="105"/>
        <v>-0.81535377905852924</v>
      </c>
      <c r="AJ255" s="264" t="b">
        <f t="shared" si="106"/>
        <v>0</v>
      </c>
      <c r="AK255" s="264" t="b">
        <f t="shared" si="107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108"/>
        <v>43707</v>
      </c>
      <c r="B256" s="607">
        <v>49.134999999999998</v>
      </c>
      <c r="C256" s="388"/>
      <c r="D256" s="391">
        <f t="shared" si="85"/>
        <v>49.353953863892521</v>
      </c>
      <c r="E256" s="383">
        <f t="shared" si="111"/>
        <v>50.157184885712105</v>
      </c>
      <c r="F256" s="383">
        <f t="shared" si="110"/>
        <v>50.180898672951905</v>
      </c>
      <c r="G256" s="110">
        <f t="shared" si="112"/>
        <v>0.95706798368183177</v>
      </c>
      <c r="I256" s="379">
        <f t="shared" si="86"/>
        <v>50.180898672951905</v>
      </c>
      <c r="J256" s="85">
        <v>2018</v>
      </c>
      <c r="K256" s="197">
        <f t="shared" si="87"/>
        <v>43707</v>
      </c>
      <c r="L256" s="435">
        <f t="shared" si="88"/>
        <v>4.4363996549567908E-3</v>
      </c>
      <c r="M256" s="842"/>
      <c r="N256" s="842"/>
      <c r="O256" s="323">
        <f t="shared" si="89"/>
        <v>1.6014276392301942E-2</v>
      </c>
      <c r="P256" s="169">
        <f>(INDEX(Models!$BJ256:$BT256,,T256)*(1-R256)+INDEX(Models!$BJ256:$BT256,,T256+1)*R256-ERP_i)*Q256*Ramure*Pc/MaxiM</f>
        <v>5.034202614843475E-4</v>
      </c>
      <c r="Q256" s="304">
        <f t="shared" si="90"/>
        <v>0.7</v>
      </c>
      <c r="R256" s="177">
        <f t="shared" si="91"/>
        <v>0.12087463673057841</v>
      </c>
      <c r="S256" s="799">
        <f t="shared" si="109"/>
        <v>-1</v>
      </c>
      <c r="T256" s="176">
        <f t="shared" si="92"/>
        <v>5</v>
      </c>
      <c r="U256" s="250">
        <f t="shared" si="93"/>
        <v>-0.87912536326942159</v>
      </c>
      <c r="V256" s="382">
        <f t="shared" si="94"/>
        <v>51.337505900834152</v>
      </c>
      <c r="W256" s="58"/>
      <c r="X256" s="157">
        <f t="shared" si="95"/>
        <v>43707</v>
      </c>
      <c r="Y256" s="383">
        <f t="shared" si="96"/>
        <v>49.12937723247628</v>
      </c>
      <c r="Z256" s="383">
        <f t="shared" si="97"/>
        <v>49.348306040366467</v>
      </c>
      <c r="AA256" s="384">
        <f t="shared" si="98"/>
        <v>50.151445144381967</v>
      </c>
      <c r="AB256" s="197">
        <f t="shared" si="99"/>
        <v>43707</v>
      </c>
      <c r="AC256" s="424">
        <f t="shared" si="100"/>
        <v>1.6014276392301942E-2</v>
      </c>
      <c r="AD256" s="169">
        <f>(INDEX(Models!$BJ256:$BT256,,AH256)*(1-AF256)+INDEX(Models!$BJ256:$BT256,,AH256+1)*AF256-ERP_i)*AE256*Ramure*Pc/MaxiM</f>
        <v>6.2526929605868616E-4</v>
      </c>
      <c r="AE256" s="304">
        <f t="shared" si="101"/>
        <v>0.7</v>
      </c>
      <c r="AF256" s="177">
        <f t="shared" si="102"/>
        <v>0.18520685899041056</v>
      </c>
      <c r="AG256" s="799">
        <f t="shared" si="103"/>
        <v>-1</v>
      </c>
      <c r="AH256" s="176">
        <f t="shared" si="104"/>
        <v>5</v>
      </c>
      <c r="AI256" s="224">
        <f t="shared" si="105"/>
        <v>-0.81479314100958944</v>
      </c>
      <c r="AJ256" s="264" t="b">
        <f t="shared" si="106"/>
        <v>0</v>
      </c>
      <c r="AK256" s="264" t="b">
        <f t="shared" si="107"/>
        <v>0</v>
      </c>
      <c r="AL256" s="264"/>
      <c r="AM256" s="264"/>
      <c r="AN256" s="75"/>
    </row>
    <row r="257" spans="1:40" s="6" customFormat="1" ht="11.25" x14ac:dyDescent="0.2">
      <c r="A257" s="56">
        <f t="shared" si="108"/>
        <v>43708</v>
      </c>
      <c r="B257" s="607">
        <v>46.609000000000002</v>
      </c>
      <c r="C257" s="388"/>
      <c r="D257" s="391">
        <f t="shared" si="85"/>
        <v>46.81759482951864</v>
      </c>
      <c r="E257" s="383">
        <f t="shared" si="111"/>
        <v>47.582464766725671</v>
      </c>
      <c r="F257" s="383">
        <f t="shared" si="110"/>
        <v>47.604005187374064</v>
      </c>
      <c r="G257" s="110">
        <f t="shared" si="112"/>
        <v>0.91103966781465695</v>
      </c>
      <c r="I257" s="379">
        <f t="shared" si="86"/>
        <v>47.604005187374064</v>
      </c>
      <c r="J257" s="85">
        <v>2018</v>
      </c>
      <c r="K257" s="197">
        <f t="shared" si="87"/>
        <v>43708</v>
      </c>
      <c r="L257" s="435">
        <f t="shared" si="88"/>
        <v>4.4554794042328538E-3</v>
      </c>
      <c r="M257" s="842"/>
      <c r="N257" s="842"/>
      <c r="O257" s="323">
        <f t="shared" si="89"/>
        <v>1.6074617844132888E-2</v>
      </c>
      <c r="P257" s="169">
        <f>(INDEX(Models!$BJ257:$BT257,,T257)*(1-R257)+INDEX(Models!$BJ257:$BT257,,T257+1)*R257-ERP_i)*Q257*Ramure*Pc/MaxiM</f>
        <v>5.1831846087150506E-4</v>
      </c>
      <c r="Q257" s="304">
        <f t="shared" si="90"/>
        <v>0.7</v>
      </c>
      <c r="R257" s="177">
        <f t="shared" si="91"/>
        <v>0.12141423448233857</v>
      </c>
      <c r="S257" s="799">
        <f t="shared" si="109"/>
        <v>-1</v>
      </c>
      <c r="T257" s="176">
        <f t="shared" si="92"/>
        <v>5</v>
      </c>
      <c r="U257" s="250">
        <f t="shared" si="93"/>
        <v>-0.87858576551766143</v>
      </c>
      <c r="V257" s="382">
        <f t="shared" si="94"/>
        <v>51.156861925359436</v>
      </c>
      <c r="W257" s="58"/>
      <c r="X257" s="157">
        <f t="shared" si="95"/>
        <v>43708</v>
      </c>
      <c r="Y257" s="383">
        <f t="shared" si="96"/>
        <v>46.603879392255109</v>
      </c>
      <c r="Z257" s="383">
        <f t="shared" si="97"/>
        <v>46.812451304905771</v>
      </c>
      <c r="AA257" s="384">
        <f t="shared" si="98"/>
        <v>47.577237211154745</v>
      </c>
      <c r="AB257" s="197">
        <f t="shared" si="99"/>
        <v>43708</v>
      </c>
      <c r="AC257" s="424">
        <f t="shared" si="100"/>
        <v>1.6074617844132888E-2</v>
      </c>
      <c r="AD257" s="169">
        <f>(INDEX(Models!$BJ257:$BT257,,AH257)*(1-AF257)+INDEX(Models!$BJ257:$BT257,,AH257+1)*AF257-ERP_i)*AE257*Ramure*Pc/MaxiM</f>
        <v>6.4410702377258057E-4</v>
      </c>
      <c r="AE257" s="304">
        <f t="shared" si="101"/>
        <v>0.7</v>
      </c>
      <c r="AF257" s="177">
        <f t="shared" si="102"/>
        <v>0.18574645674217072</v>
      </c>
      <c r="AG257" s="799">
        <f t="shared" si="103"/>
        <v>-1</v>
      </c>
      <c r="AH257" s="176">
        <f t="shared" si="104"/>
        <v>5</v>
      </c>
      <c r="AI257" s="224">
        <f t="shared" si="105"/>
        <v>-0.81425354325782928</v>
      </c>
      <c r="AJ257" s="264" t="b">
        <f t="shared" si="106"/>
        <v>0</v>
      </c>
      <c r="AK257" s="264" t="b">
        <f t="shared" si="107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108"/>
        <v>43709</v>
      </c>
      <c r="B258" s="607">
        <v>16.100000000000001</v>
      </c>
      <c r="C258" s="388"/>
      <c r="D258" s="391">
        <f t="shared" si="85"/>
        <v>16.172364194326033</v>
      </c>
      <c r="E258" s="383">
        <f t="shared" si="111"/>
        <v>16.43758153230872</v>
      </c>
      <c r="F258" s="383">
        <f t="shared" si="110"/>
        <v>16.437780294737628</v>
      </c>
      <c r="G258" s="110">
        <f t="shared" si="112"/>
        <v>0.31569352226031788</v>
      </c>
      <c r="I258" s="379">
        <f t="shared" si="86"/>
        <v>16.437780294737628</v>
      </c>
      <c r="J258" s="85">
        <v>2018</v>
      </c>
      <c r="K258" s="197">
        <f t="shared" si="87"/>
        <v>43709</v>
      </c>
      <c r="L258" s="435">
        <f t="shared" si="88"/>
        <v>4.4745587878498583E-3</v>
      </c>
      <c r="M258" s="842"/>
      <c r="N258" s="842"/>
      <c r="O258" s="323">
        <f t="shared" si="89"/>
        <v>1.6134815055450308E-2</v>
      </c>
      <c r="P258" s="169">
        <f>(INDEX(Models!$BJ258:$BT258,,T258)*(1-R258)+INDEX(Models!$BJ258:$BT258,,T258+1)*R258-ERP_i)*Q258*Ramure*Pc/MaxiM</f>
        <v>5.3374367886936333E-4</v>
      </c>
      <c r="Q258" s="304">
        <f t="shared" si="90"/>
        <v>0.7</v>
      </c>
      <c r="R258" s="177">
        <f t="shared" si="91"/>
        <v>0.12193352406843572</v>
      </c>
      <c r="S258" s="799">
        <f t="shared" si="109"/>
        <v>-1</v>
      </c>
      <c r="T258" s="176">
        <f t="shared" si="92"/>
        <v>5</v>
      </c>
      <c r="U258" s="250">
        <f t="shared" si="93"/>
        <v>-0.87806647593156428</v>
      </c>
      <c r="V258" s="382">
        <f t="shared" si="94"/>
        <v>50.972225176040766</v>
      </c>
      <c r="W258" s="58"/>
      <c r="X258" s="157">
        <f t="shared" si="95"/>
        <v>43709</v>
      </c>
      <c r="Y258" s="383">
        <f t="shared" si="96"/>
        <v>16.099952569422317</v>
      </c>
      <c r="Z258" s="383">
        <f t="shared" si="97"/>
        <v>16.172316550563529</v>
      </c>
      <c r="AA258" s="384">
        <f t="shared" si="98"/>
        <v>16.437533107216307</v>
      </c>
      <c r="AB258" s="197">
        <f t="shared" si="99"/>
        <v>43709</v>
      </c>
      <c r="AC258" s="424">
        <f t="shared" si="100"/>
        <v>1.6134815055450308E-2</v>
      </c>
      <c r="AD258" s="169">
        <f>(INDEX(Models!$BJ258:$BT258,,AH258)*(1-AF258)+INDEX(Models!$BJ258:$BT258,,AH258+1)*AF258-ERP_i)*AE258*Ramure*Pc/MaxiM</f>
        <v>6.6378126754274415E-4</v>
      </c>
      <c r="AE258" s="304">
        <f t="shared" si="101"/>
        <v>0.7</v>
      </c>
      <c r="AF258" s="177">
        <f t="shared" si="102"/>
        <v>0.18626574632826798</v>
      </c>
      <c r="AG258" s="799">
        <f t="shared" si="103"/>
        <v>-1</v>
      </c>
      <c r="AH258" s="176">
        <f t="shared" si="104"/>
        <v>5</v>
      </c>
      <c r="AI258" s="224">
        <f t="shared" si="105"/>
        <v>-0.81373425367173202</v>
      </c>
      <c r="AJ258" s="264" t="b">
        <f t="shared" si="106"/>
        <v>0</v>
      </c>
      <c r="AK258" s="264" t="b">
        <f t="shared" si="107"/>
        <v>0</v>
      </c>
      <c r="AL258" s="264"/>
      <c r="AM258" s="264"/>
      <c r="AN258" s="75"/>
    </row>
    <row r="259" spans="1:40" s="6" customFormat="1" ht="11.25" x14ac:dyDescent="0.2">
      <c r="A259" s="56">
        <f t="shared" si="108"/>
        <v>43710</v>
      </c>
      <c r="B259" s="607">
        <v>43.008000000000003</v>
      </c>
      <c r="C259" s="388"/>
      <c r="D259" s="391">
        <f t="shared" si="85"/>
        <v>43.20213474598647</v>
      </c>
      <c r="E259" s="383">
        <f t="shared" si="111"/>
        <v>43.913304757779208</v>
      </c>
      <c r="F259" s="383">
        <f t="shared" si="110"/>
        <v>43.932172595785929</v>
      </c>
      <c r="G259" s="110">
        <f t="shared" si="112"/>
        <v>0.84679108970037409</v>
      </c>
      <c r="I259" s="379">
        <f t="shared" si="86"/>
        <v>43.932172595785929</v>
      </c>
      <c r="J259" s="85">
        <v>2018</v>
      </c>
      <c r="K259" s="197">
        <f t="shared" si="87"/>
        <v>43710</v>
      </c>
      <c r="L259" s="435">
        <f t="shared" si="88"/>
        <v>4.4936378058147985E-3</v>
      </c>
      <c r="M259" s="842"/>
      <c r="N259" s="842"/>
      <c r="O259" s="323">
        <f t="shared" si="89"/>
        <v>1.619486430628423E-2</v>
      </c>
      <c r="P259" s="169">
        <f>(INDEX(Models!$BJ259:$BT259,,T259)*(1-R259)+INDEX(Models!$BJ259:$BT259,,T259+1)*R259-ERP_i)*Q259*Ramure*Pc/MaxiM</f>
        <v>5.4971193339661535E-4</v>
      </c>
      <c r="Q259" s="304">
        <f t="shared" si="90"/>
        <v>0.7</v>
      </c>
      <c r="R259" s="177">
        <f t="shared" si="91"/>
        <v>0.12243321655980099</v>
      </c>
      <c r="S259" s="799">
        <f t="shared" si="109"/>
        <v>-1</v>
      </c>
      <c r="T259" s="176">
        <f t="shared" si="92"/>
        <v>5</v>
      </c>
      <c r="U259" s="250">
        <f t="shared" si="93"/>
        <v>-0.87756678344019901</v>
      </c>
      <c r="V259" s="382">
        <f t="shared" si="94"/>
        <v>50.783277266318528</v>
      </c>
      <c r="W259" s="58"/>
      <c r="X259" s="157">
        <f t="shared" si="95"/>
        <v>43710</v>
      </c>
      <c r="Y259" s="383">
        <f t="shared" si="96"/>
        <v>43.003475322800753</v>
      </c>
      <c r="Z259" s="383">
        <f t="shared" si="97"/>
        <v>43.197589644748469</v>
      </c>
      <c r="AA259" s="384">
        <f t="shared" si="98"/>
        <v>43.908684837560159</v>
      </c>
      <c r="AB259" s="197">
        <f t="shared" si="99"/>
        <v>43710</v>
      </c>
      <c r="AC259" s="424">
        <f t="shared" si="100"/>
        <v>1.619486430628423E-2</v>
      </c>
      <c r="AD259" s="169">
        <f>(INDEX(Models!$BJ259:$BT259,,AH259)*(1-AF259)+INDEX(Models!$BJ259:$BT259,,AH259+1)*AF259-ERP_i)*AE259*Ramure*Pc/MaxiM</f>
        <v>6.8431269024240519E-4</v>
      </c>
      <c r="AE259" s="304">
        <f t="shared" si="101"/>
        <v>0.7</v>
      </c>
      <c r="AF259" s="177">
        <f t="shared" si="102"/>
        <v>0.18676543881963314</v>
      </c>
      <c r="AG259" s="799">
        <f t="shared" si="103"/>
        <v>-1</v>
      </c>
      <c r="AH259" s="176">
        <f t="shared" si="104"/>
        <v>5</v>
      </c>
      <c r="AI259" s="224">
        <f t="shared" si="105"/>
        <v>-0.81323456118036686</v>
      </c>
      <c r="AJ259" s="264" t="b">
        <f t="shared" si="106"/>
        <v>0</v>
      </c>
      <c r="AK259" s="264" t="b">
        <f t="shared" si="107"/>
        <v>0</v>
      </c>
      <c r="AL259" s="264"/>
      <c r="AM259" s="264"/>
      <c r="AN259" s="75"/>
    </row>
    <row r="260" spans="1:40" s="6" customFormat="1" ht="11.25" x14ac:dyDescent="0.2">
      <c r="A260" s="56">
        <f t="shared" si="108"/>
        <v>43711</v>
      </c>
      <c r="B260" s="607">
        <v>52.054000000000002</v>
      </c>
      <c r="C260" s="388"/>
      <c r="D260" s="391">
        <f t="shared" si="85"/>
        <v>52.289969807344981</v>
      </c>
      <c r="E260" s="383">
        <f t="shared" si="111"/>
        <v>53.153975005491979</v>
      </c>
      <c r="F260" s="383">
        <f t="shared" si="110"/>
        <v>53.184089947763461</v>
      </c>
      <c r="G260" s="110">
        <f t="shared" si="112"/>
        <v>1.0289446283058115</v>
      </c>
      <c r="I260" s="379">
        <f t="shared" si="86"/>
        <v>53.184089947763461</v>
      </c>
      <c r="J260" s="85">
        <v>2018</v>
      </c>
      <c r="K260" s="197">
        <f t="shared" si="87"/>
        <v>43711</v>
      </c>
      <c r="L260" s="435">
        <f t="shared" si="88"/>
        <v>4.5127164581347801E-3</v>
      </c>
      <c r="M260" s="842"/>
      <c r="N260" s="842"/>
      <c r="O260" s="323">
        <f t="shared" si="89"/>
        <v>1.6254761719283074E-2</v>
      </c>
      <c r="P260" s="169">
        <f>(INDEX(Models!$BJ260:$BT260,,T260)*(1-R260)+INDEX(Models!$BJ260:$BT260,,T260+1)*R260-ERP_i)*Q260*Ramure*Pc/MaxiM</f>
        <v>5.6623968372980114E-4</v>
      </c>
      <c r="Q260" s="304">
        <f t="shared" si="90"/>
        <v>0.7</v>
      </c>
      <c r="R260" s="177">
        <f t="shared" si="91"/>
        <v>0.12291400222270132</v>
      </c>
      <c r="S260" s="799">
        <f t="shared" si="109"/>
        <v>-1</v>
      </c>
      <c r="T260" s="176">
        <f t="shared" si="92"/>
        <v>5</v>
      </c>
      <c r="U260" s="250">
        <f t="shared" si="93"/>
        <v>-0.87708599777729868</v>
      </c>
      <c r="V260" s="382">
        <f t="shared" si="94"/>
        <v>50.589699939158521</v>
      </c>
      <c r="W260" s="58"/>
      <c r="X260" s="157">
        <f t="shared" si="95"/>
        <v>43711</v>
      </c>
      <c r="Y260" s="383">
        <f t="shared" si="96"/>
        <v>52.046735237459856</v>
      </c>
      <c r="Z260" s="383">
        <f t="shared" si="97"/>
        <v>52.282672112376645</v>
      </c>
      <c r="AA260" s="384">
        <f t="shared" si="98"/>
        <v>53.146556728193794</v>
      </c>
      <c r="AB260" s="197">
        <f t="shared" si="99"/>
        <v>43711</v>
      </c>
      <c r="AC260" s="424">
        <f t="shared" si="100"/>
        <v>1.6254761719283074E-2</v>
      </c>
      <c r="AD260" s="169">
        <f>(INDEX(Models!$BJ260:$BT260,,AH260)*(1-AF260)+INDEX(Models!$BJ260:$BT260,,AH260+1)*AF260-ERP_i)*AE260*Ramure*Pc/MaxiM</f>
        <v>7.0572270027610901E-4</v>
      </c>
      <c r="AE260" s="304">
        <f t="shared" si="101"/>
        <v>0.7</v>
      </c>
      <c r="AF260" s="177">
        <f t="shared" si="102"/>
        <v>0.18724622448253359</v>
      </c>
      <c r="AG260" s="799">
        <f t="shared" si="103"/>
        <v>-1</v>
      </c>
      <c r="AH260" s="176">
        <f t="shared" si="104"/>
        <v>5</v>
      </c>
      <c r="AI260" s="224">
        <f t="shared" si="105"/>
        <v>-0.81275377551746641</v>
      </c>
      <c r="AJ260" s="264" t="b">
        <f t="shared" si="106"/>
        <v>0</v>
      </c>
      <c r="AK260" s="264" t="b">
        <f t="shared" si="107"/>
        <v>0</v>
      </c>
      <c r="AL260" s="264"/>
      <c r="AM260" s="264"/>
      <c r="AN260" s="75"/>
    </row>
    <row r="261" spans="1:40" s="6" customFormat="1" ht="11.25" customHeight="1" x14ac:dyDescent="0.2">
      <c r="A261" s="56">
        <f t="shared" si="108"/>
        <v>43712</v>
      </c>
      <c r="B261" s="607">
        <v>51.582999999999998</v>
      </c>
      <c r="C261" s="388"/>
      <c r="D261" s="391">
        <f t="shared" si="85"/>
        <v>51.817827759528448</v>
      </c>
      <c r="E261" s="383">
        <f t="shared" si="111"/>
        <v>52.677230609505123</v>
      </c>
      <c r="F261" s="383">
        <f t="shared" ref="F261:F292" si="113">Wh_sa/(1-Pvg*MEDIAN((-Sdif+Wh/Env_an)/Csdif,0,1))</f>
        <v>52.707977140675048</v>
      </c>
      <c r="G261" s="110">
        <f t="shared" si="112"/>
        <v>1.0236399323601837</v>
      </c>
      <c r="I261" s="379">
        <f t="shared" si="86"/>
        <v>52.707977140675048</v>
      </c>
      <c r="J261" s="85">
        <v>2018</v>
      </c>
      <c r="K261" s="197">
        <f t="shared" si="87"/>
        <v>43712</v>
      </c>
      <c r="L261" s="435">
        <f t="shared" si="88"/>
        <v>4.5317947448166862E-3</v>
      </c>
      <c r="M261" s="842"/>
      <c r="N261" s="842"/>
      <c r="O261" s="323">
        <f t="shared" si="89"/>
        <v>1.6314503249941194E-2</v>
      </c>
      <c r="P261" s="169">
        <f>(INDEX(Models!$BJ261:$BT261,,T261)*(1-R261)+INDEX(Models!$BJ261:$BT261,,T261+1)*R261-ERP_i)*Q261*Ramure*Pc/MaxiM</f>
        <v>5.8333733977050054E-4</v>
      </c>
      <c r="Q261" s="304">
        <f t="shared" si="90"/>
        <v>0.7</v>
      </c>
      <c r="R261" s="177">
        <f t="shared" si="91"/>
        <v>0.12337655080331278</v>
      </c>
      <c r="S261" s="799">
        <f t="shared" si="109"/>
        <v>-1</v>
      </c>
      <c r="T261" s="176">
        <f t="shared" si="92"/>
        <v>5</v>
      </c>
      <c r="U261" s="250">
        <f t="shared" si="93"/>
        <v>-0.87662344919668722</v>
      </c>
      <c r="V261" s="382">
        <f t="shared" si="94"/>
        <v>50.391742613114204</v>
      </c>
      <c r="W261" s="58"/>
      <c r="X261" s="157">
        <f t="shared" si="95"/>
        <v>43712</v>
      </c>
      <c r="Y261" s="383">
        <f t="shared" si="96"/>
        <v>51.575532201633479</v>
      </c>
      <c r="Z261" s="383">
        <f t="shared" si="97"/>
        <v>51.810325964566943</v>
      </c>
      <c r="AA261" s="384">
        <f t="shared" si="98"/>
        <v>52.669604396669527</v>
      </c>
      <c r="AB261" s="197">
        <f t="shared" si="99"/>
        <v>43712</v>
      </c>
      <c r="AC261" s="424">
        <f t="shared" si="100"/>
        <v>1.6314503249941194E-2</v>
      </c>
      <c r="AD261" s="169">
        <f>(INDEX(Models!$BJ261:$BT261,,AH261)*(1-AF261)+INDEX(Models!$BJ261:$BT261,,AH261+1)*AF261-ERP_i)*AE261*Ramure*Pc/MaxiM</f>
        <v>7.2802535948417201E-4</v>
      </c>
      <c r="AE261" s="304">
        <f t="shared" si="101"/>
        <v>0.7</v>
      </c>
      <c r="AF261" s="177">
        <f t="shared" si="102"/>
        <v>0.18770877306314504</v>
      </c>
      <c r="AG261" s="799">
        <f t="shared" si="103"/>
        <v>-1</v>
      </c>
      <c r="AH261" s="176">
        <f t="shared" si="104"/>
        <v>5</v>
      </c>
      <c r="AI261" s="224">
        <f t="shared" si="105"/>
        <v>-0.81229122693685496</v>
      </c>
      <c r="AJ261" s="264" t="b">
        <f t="shared" si="106"/>
        <v>0</v>
      </c>
      <c r="AK261" s="264" t="b">
        <f t="shared" si="107"/>
        <v>0</v>
      </c>
      <c r="AL261" s="264"/>
      <c r="AM261" s="264"/>
      <c r="AN261" s="75"/>
    </row>
    <row r="262" spans="1:40" s="6" customFormat="1" ht="11.25" x14ac:dyDescent="0.2">
      <c r="A262" s="56">
        <f t="shared" si="108"/>
        <v>43713</v>
      </c>
      <c r="B262" s="607">
        <v>39.936999999999998</v>
      </c>
      <c r="C262" s="388"/>
      <c r="D262" s="391">
        <f t="shared" si="85"/>
        <v>40.119579095873526</v>
      </c>
      <c r="E262" s="383">
        <f t="shared" si="111"/>
        <v>40.787436027127619</v>
      </c>
      <c r="F262" s="383">
        <f t="shared" si="113"/>
        <v>40.804791520421126</v>
      </c>
      <c r="G262" s="110">
        <f t="shared" si="112"/>
        <v>0.79557740212011041</v>
      </c>
      <c r="I262" s="379">
        <f t="shared" si="86"/>
        <v>40.804791520421126</v>
      </c>
      <c r="J262" s="85">
        <v>2018</v>
      </c>
      <c r="K262" s="197">
        <f t="shared" si="87"/>
        <v>43713</v>
      </c>
      <c r="L262" s="435">
        <f t="shared" si="88"/>
        <v>4.5508726658676224E-3</v>
      </c>
      <c r="M262" s="842"/>
      <c r="N262" s="842"/>
      <c r="O262" s="323">
        <f t="shared" si="89"/>
        <v>1.6374084676710272E-2</v>
      </c>
      <c r="P262" s="169">
        <f>(INDEX(Models!$BJ262:$BT262,,T262)*(1-R262)+INDEX(Models!$BJ262:$BT262,,T262+1)*R262-ERP_i)*Q262*Ramure*Pc/MaxiM</f>
        <v>6.006065794876451E-4</v>
      </c>
      <c r="Q262" s="304">
        <f t="shared" si="90"/>
        <v>0.7</v>
      </c>
      <c r="R262" s="177">
        <f t="shared" si="91"/>
        <v>0.12382151183753032</v>
      </c>
      <c r="S262" s="799">
        <f t="shared" si="109"/>
        <v>-1</v>
      </c>
      <c r="T262" s="176">
        <f t="shared" si="92"/>
        <v>5</v>
      </c>
      <c r="U262" s="250">
        <f t="shared" si="93"/>
        <v>-0.87617848816246968</v>
      </c>
      <c r="V262" s="382">
        <f t="shared" si="94"/>
        <v>50.1899587466282</v>
      </c>
      <c r="W262" s="58"/>
      <c r="X262" s="157">
        <f t="shared" si="95"/>
        <v>43713</v>
      </c>
      <c r="Y262" s="383">
        <f t="shared" si="96"/>
        <v>39.932753792555886</v>
      </c>
      <c r="Z262" s="383">
        <f t="shared" si="97"/>
        <v>40.115313476137146</v>
      </c>
      <c r="AA262" s="384">
        <f t="shared" si="98"/>
        <v>40.783099399076313</v>
      </c>
      <c r="AB262" s="197">
        <f t="shared" si="99"/>
        <v>43713</v>
      </c>
      <c r="AC262" s="424">
        <f t="shared" si="100"/>
        <v>1.6374084676710272E-2</v>
      </c>
      <c r="AD262" s="169">
        <f>(INDEX(Models!$BJ262:$BT262,,AH262)*(1-AF262)+INDEX(Models!$BJ262:$BT262,,AH262+1)*AF262-ERP_i)*AE262*Ramure*Pc/MaxiM</f>
        <v>7.5068052416661212E-4</v>
      </c>
      <c r="AE262" s="304">
        <f t="shared" si="101"/>
        <v>0.7</v>
      </c>
      <c r="AF262" s="177">
        <f t="shared" si="102"/>
        <v>0.18815373409736247</v>
      </c>
      <c r="AG262" s="799">
        <f t="shared" si="103"/>
        <v>-1</v>
      </c>
      <c r="AH262" s="176">
        <f t="shared" si="104"/>
        <v>5</v>
      </c>
      <c r="AI262" s="224">
        <f t="shared" si="105"/>
        <v>-0.81184626590263753</v>
      </c>
      <c r="AJ262" s="264" t="b">
        <f t="shared" si="106"/>
        <v>0</v>
      </c>
      <c r="AK262" s="264" t="b">
        <f t="shared" si="107"/>
        <v>0</v>
      </c>
      <c r="AL262" s="264"/>
      <c r="AM262" s="264"/>
      <c r="AN262" s="75"/>
    </row>
    <row r="263" spans="1:40" s="6" customFormat="1" ht="11.25" x14ac:dyDescent="0.2">
      <c r="A263" s="56">
        <f t="shared" si="108"/>
        <v>43714</v>
      </c>
      <c r="B263" s="607">
        <v>50.15</v>
      </c>
      <c r="C263" s="388"/>
      <c r="D263" s="391">
        <f t="shared" si="85"/>
        <v>50.380235166849616</v>
      </c>
      <c r="E263" s="383">
        <f t="shared" si="111"/>
        <v>51.22199185144774</v>
      </c>
      <c r="F263" s="383">
        <f t="shared" si="113"/>
        <v>51.253626858987126</v>
      </c>
      <c r="G263" s="110">
        <f t="shared" si="112"/>
        <v>1.0033110832287566</v>
      </c>
      <c r="I263" s="379">
        <f t="shared" si="86"/>
        <v>51.253626858987126</v>
      </c>
      <c r="J263" s="85">
        <v>2018</v>
      </c>
      <c r="K263" s="197">
        <f t="shared" si="87"/>
        <v>43714</v>
      </c>
      <c r="L263" s="435">
        <f t="shared" si="88"/>
        <v>4.5699502212945831E-3</v>
      </c>
      <c r="M263" s="842"/>
      <c r="N263" s="842"/>
      <c r="O263" s="323">
        <f t="shared" si="89"/>
        <v>1.6433501591257126E-2</v>
      </c>
      <c r="P263" s="169">
        <f>(INDEX(Models!$BJ263:$BT263,,T263)*(1-R263)+INDEX(Models!$BJ263:$BT263,,T263+1)*R263-ERP_i)*Q263*Ramure*Pc/MaxiM</f>
        <v>6.1722476004332145E-4</v>
      </c>
      <c r="Q263" s="304">
        <f t="shared" si="90"/>
        <v>0.7</v>
      </c>
      <c r="R263" s="177">
        <f t="shared" si="91"/>
        <v>0.12424951498283554</v>
      </c>
      <c r="S263" s="799">
        <f t="shared" si="109"/>
        <v>-1</v>
      </c>
      <c r="T263" s="176">
        <f t="shared" si="92"/>
        <v>5</v>
      </c>
      <c r="U263" s="250">
        <f t="shared" si="93"/>
        <v>-0.87575048501716446</v>
      </c>
      <c r="V263" s="382">
        <f t="shared" si="94"/>
        <v>49.984497169723483</v>
      </c>
      <c r="W263" s="58"/>
      <c r="X263" s="157">
        <f t="shared" si="95"/>
        <v>43714</v>
      </c>
      <c r="Y263" s="383">
        <f t="shared" si="96"/>
        <v>50.142205232693811</v>
      </c>
      <c r="Z263" s="383">
        <f t="shared" si="97"/>
        <v>50.37240461430811</v>
      </c>
      <c r="AA263" s="384">
        <f t="shared" si="98"/>
        <v>51.214030465456887</v>
      </c>
      <c r="AB263" s="197">
        <f t="shared" si="99"/>
        <v>43714</v>
      </c>
      <c r="AC263" s="424">
        <f t="shared" si="100"/>
        <v>1.6433501591257126E-2</v>
      </c>
      <c r="AD263" s="169">
        <f>(INDEX(Models!$BJ263:$BT263,,AH263)*(1-AF263)+INDEX(Models!$BJ263:$BT263,,AH263+1)*AF263-ERP_i)*AE263*Ramure*Pc/MaxiM</f>
        <v>7.7255788432648151E-4</v>
      </c>
      <c r="AE263" s="304">
        <f t="shared" si="101"/>
        <v>0.7</v>
      </c>
      <c r="AF263" s="177">
        <f t="shared" si="102"/>
        <v>0.1885817372426678</v>
      </c>
      <c r="AG263" s="799">
        <f t="shared" si="103"/>
        <v>-1</v>
      </c>
      <c r="AH263" s="176">
        <f t="shared" si="104"/>
        <v>5</v>
      </c>
      <c r="AI263" s="224">
        <f t="shared" si="105"/>
        <v>-0.8114182627573322</v>
      </c>
      <c r="AJ263" s="264" t="b">
        <f t="shared" si="106"/>
        <v>0</v>
      </c>
      <c r="AK263" s="264" t="b">
        <f t="shared" si="107"/>
        <v>0</v>
      </c>
      <c r="AL263" s="264"/>
      <c r="AM263" s="264"/>
      <c r="AN263" s="75"/>
    </row>
    <row r="264" spans="1:40" s="6" customFormat="1" ht="11.25" customHeight="1" x14ac:dyDescent="0.2">
      <c r="A264" s="56">
        <f t="shared" si="108"/>
        <v>43715</v>
      </c>
      <c r="B264" s="607">
        <v>51.619</v>
      </c>
      <c r="C264" s="388"/>
      <c r="D264" s="391">
        <f t="shared" si="85"/>
        <v>51.856973070879171</v>
      </c>
      <c r="E264" s="383">
        <f t="shared" si="111"/>
        <v>52.726579329914124</v>
      </c>
      <c r="F264" s="383">
        <f t="shared" si="113"/>
        <v>52.759985924745806</v>
      </c>
      <c r="G264" s="110">
        <f t="shared" si="112"/>
        <v>1.0370370099809845</v>
      </c>
      <c r="I264" s="379">
        <f t="shared" si="86"/>
        <v>52.759985924745806</v>
      </c>
      <c r="J264" s="85">
        <v>2018</v>
      </c>
      <c r="K264" s="197">
        <f t="shared" si="87"/>
        <v>43715</v>
      </c>
      <c r="L264" s="435">
        <f t="shared" si="88"/>
        <v>4.5890274111044516E-3</v>
      </c>
      <c r="M264" s="842"/>
      <c r="N264" s="842"/>
      <c r="O264" s="323">
        <f t="shared" si="89"/>
        <v>1.6492749389141397E-2</v>
      </c>
      <c r="P264" s="169">
        <f>(INDEX(Models!$BJ264:$BT264,,T264)*(1-R264)+INDEX(Models!$BJ264:$BT264,,T264+1)*R264-ERP_i)*Q264*Ramure*Pc/MaxiM</f>
        <v>6.3318051068724879E-4</v>
      </c>
      <c r="Q264" s="304">
        <f t="shared" si="90"/>
        <v>0.7</v>
      </c>
      <c r="R264" s="177">
        <f t="shared" si="91"/>
        <v>0.12466117036926572</v>
      </c>
      <c r="S264" s="799">
        <f t="shared" si="109"/>
        <v>-1</v>
      </c>
      <c r="T264" s="176">
        <f t="shared" si="92"/>
        <v>5</v>
      </c>
      <c r="U264" s="250">
        <f t="shared" si="93"/>
        <v>-0.87533882963073428</v>
      </c>
      <c r="V264" s="382">
        <f t="shared" si="94"/>
        <v>49.775465584344481</v>
      </c>
      <c r="W264" s="58"/>
      <c r="X264" s="157">
        <f t="shared" si="95"/>
        <v>43715</v>
      </c>
      <c r="Y264" s="383">
        <f t="shared" si="96"/>
        <v>51.610711722579367</v>
      </c>
      <c r="Z264" s="383">
        <f t="shared" si="97"/>
        <v>51.848646582977317</v>
      </c>
      <c r="AA264" s="384">
        <f t="shared" si="98"/>
        <v>52.718113212458782</v>
      </c>
      <c r="AB264" s="197">
        <f t="shared" si="99"/>
        <v>43715</v>
      </c>
      <c r="AC264" s="424">
        <f t="shared" si="100"/>
        <v>1.6492749389141397E-2</v>
      </c>
      <c r="AD264" s="169">
        <f>(INDEX(Models!$BJ264:$BT264,,AH264)*(1-AF264)+INDEX(Models!$BJ264:$BT264,,AH264+1)*AF264-ERP_i)*AE264*Ramure*Pc/MaxiM</f>
        <v>7.9364525128462456E-4</v>
      </c>
      <c r="AE264" s="304">
        <f t="shared" si="101"/>
        <v>0.7</v>
      </c>
      <c r="AF264" s="177">
        <f t="shared" si="102"/>
        <v>0.18899339262909787</v>
      </c>
      <c r="AG264" s="799">
        <f t="shared" si="103"/>
        <v>-1</v>
      </c>
      <c r="AH264" s="176">
        <f t="shared" si="104"/>
        <v>5</v>
      </c>
      <c r="AI264" s="224">
        <f t="shared" si="105"/>
        <v>-0.81100660737090213</v>
      </c>
      <c r="AJ264" s="264" t="b">
        <f t="shared" si="106"/>
        <v>0</v>
      </c>
      <c r="AK264" s="264" t="b">
        <f t="shared" si="107"/>
        <v>0</v>
      </c>
      <c r="AL264" s="264"/>
      <c r="AM264" s="264"/>
      <c r="AN264" s="75"/>
    </row>
    <row r="265" spans="1:40" s="6" customFormat="1" ht="11.25" x14ac:dyDescent="0.2">
      <c r="A265" s="56">
        <f t="shared" si="108"/>
        <v>43716</v>
      </c>
      <c r="B265" s="607">
        <v>45.558999999999997</v>
      </c>
      <c r="C265" s="388"/>
      <c r="D265" s="391">
        <f t="shared" si="85"/>
        <v>45.769912527768724</v>
      </c>
      <c r="E265" s="383">
        <f t="shared" si="111"/>
        <v>46.540238327092659</v>
      </c>
      <c r="F265" s="383">
        <f t="shared" si="113"/>
        <v>46.566950274201517</v>
      </c>
      <c r="G265" s="110">
        <f t="shared" si="112"/>
        <v>0.91914562432907077</v>
      </c>
      <c r="I265" s="379">
        <f t="shared" si="86"/>
        <v>46.566950274201517</v>
      </c>
      <c r="J265" s="85">
        <v>2018</v>
      </c>
      <c r="K265" s="197">
        <f t="shared" si="87"/>
        <v>43716</v>
      </c>
      <c r="L265" s="435">
        <f t="shared" si="88"/>
        <v>4.6081042353044444E-3</v>
      </c>
      <c r="M265" s="842"/>
      <c r="N265" s="842"/>
      <c r="O265" s="323">
        <f t="shared" si="89"/>
        <v>1.6551823261195042E-2</v>
      </c>
      <c r="P265" s="169">
        <f>(INDEX(Models!$BJ265:$BT265,,T265)*(1-R265)+INDEX(Models!$BJ265:$BT265,,T265+1)*R265-ERP_i)*Q265*Ramure*Pc/MaxiM</f>
        <v>6.4846225656273128E-4</v>
      </c>
      <c r="Q265" s="304">
        <f t="shared" si="90"/>
        <v>0.7</v>
      </c>
      <c r="R265" s="177">
        <f t="shared" si="91"/>
        <v>0.12505706896674229</v>
      </c>
      <c r="S265" s="799">
        <f t="shared" si="109"/>
        <v>-1</v>
      </c>
      <c r="T265" s="176">
        <f t="shared" si="92"/>
        <v>5</v>
      </c>
      <c r="U265" s="250">
        <f t="shared" si="93"/>
        <v>-0.87494293103325771</v>
      </c>
      <c r="V265" s="382">
        <f t="shared" si="94"/>
        <v>49.562971641685152</v>
      </c>
      <c r="W265" s="58"/>
      <c r="X265" s="157">
        <f t="shared" si="95"/>
        <v>43716</v>
      </c>
      <c r="Y265" s="383">
        <f t="shared" si="96"/>
        <v>45.552327630858642</v>
      </c>
      <c r="Z265" s="383">
        <f t="shared" si="97"/>
        <v>45.763209269313691</v>
      </c>
      <c r="AA265" s="384">
        <f t="shared" si="98"/>
        <v>46.53342225013651</v>
      </c>
      <c r="AB265" s="197">
        <f t="shared" si="99"/>
        <v>43716</v>
      </c>
      <c r="AC265" s="424">
        <f t="shared" si="100"/>
        <v>1.6551823261195042E-2</v>
      </c>
      <c r="AD265" s="169">
        <f>(INDEX(Models!$BJ265:$BT265,,AH265)*(1-AF265)+INDEX(Models!$BJ265:$BT265,,AH265+1)*AF265-ERP_i)*AE265*Ramure*Pc/MaxiM</f>
        <v>8.1393011354364598E-4</v>
      </c>
      <c r="AE265" s="304">
        <f t="shared" si="101"/>
        <v>0.7</v>
      </c>
      <c r="AF265" s="177">
        <f t="shared" si="102"/>
        <v>0.18938929122657455</v>
      </c>
      <c r="AG265" s="799">
        <f t="shared" si="103"/>
        <v>-1</v>
      </c>
      <c r="AH265" s="176">
        <f t="shared" si="104"/>
        <v>5</v>
      </c>
      <c r="AI265" s="224">
        <f t="shared" si="105"/>
        <v>-0.81061070877342545</v>
      </c>
      <c r="AJ265" s="264" t="b">
        <f t="shared" si="106"/>
        <v>0</v>
      </c>
      <c r="AK265" s="264" t="b">
        <f t="shared" si="107"/>
        <v>0</v>
      </c>
      <c r="AL265" s="264"/>
      <c r="AM265" s="264"/>
      <c r="AN265" s="75"/>
    </row>
    <row r="266" spans="1:40" s="6" customFormat="1" ht="11.25" x14ac:dyDescent="0.2">
      <c r="A266" s="56">
        <f t="shared" si="108"/>
        <v>43717</v>
      </c>
      <c r="B266" s="607">
        <v>46.161999999999999</v>
      </c>
      <c r="C266" s="388"/>
      <c r="D266" s="391">
        <f t="shared" si="85"/>
        <v>46.376592875201048</v>
      </c>
      <c r="E266" s="383">
        <f t="shared" si="111"/>
        <v>47.159953573672972</v>
      </c>
      <c r="F266" s="383">
        <f t="shared" si="113"/>
        <v>47.188357154302842</v>
      </c>
      <c r="G266" s="110">
        <f t="shared" si="112"/>
        <v>0.93539751158792162</v>
      </c>
      <c r="I266" s="379">
        <f t="shared" si="86"/>
        <v>47.188357154302842</v>
      </c>
      <c r="J266" s="85">
        <v>2018</v>
      </c>
      <c r="K266" s="197">
        <f t="shared" si="87"/>
        <v>43717</v>
      </c>
      <c r="L266" s="435">
        <f t="shared" si="88"/>
        <v>4.6271806939013338E-3</v>
      </c>
      <c r="M266" s="842"/>
      <c r="N266" s="842"/>
      <c r="O266" s="323">
        <f t="shared" si="89"/>
        <v>1.6610718185889616E-2</v>
      </c>
      <c r="P266" s="169">
        <f>(INDEX(Models!$BJ266:$BT266,,T266)*(1-R266)+INDEX(Models!$BJ266:$BT266,,T266+1)*R266-ERP_i)*Q266*Ramure*Pc/MaxiM</f>
        <v>6.6305820152435559E-4</v>
      </c>
      <c r="Q266" s="304">
        <f t="shared" si="90"/>
        <v>0.7</v>
      </c>
      <c r="R266" s="177">
        <f t="shared" si="91"/>
        <v>0.12543778296622654</v>
      </c>
      <c r="S266" s="799">
        <f t="shared" si="109"/>
        <v>-1</v>
      </c>
      <c r="T266" s="176">
        <f t="shared" si="92"/>
        <v>5</v>
      </c>
      <c r="U266" s="250">
        <f t="shared" si="93"/>
        <v>-0.87456221703377346</v>
      </c>
      <c r="V266" s="382">
        <f t="shared" si="94"/>
        <v>49.347122942014046</v>
      </c>
      <c r="W266" s="58"/>
      <c r="X266" s="157">
        <f t="shared" si="95"/>
        <v>43717</v>
      </c>
      <c r="Y266" s="383">
        <f t="shared" si="96"/>
        <v>46.154857455639053</v>
      </c>
      <c r="Z266" s="383">
        <f t="shared" si="97"/>
        <v>46.369417127358226</v>
      </c>
      <c r="AA266" s="384">
        <f t="shared" si="98"/>
        <v>47.152656618158481</v>
      </c>
      <c r="AB266" s="197">
        <f t="shared" si="99"/>
        <v>43717</v>
      </c>
      <c r="AC266" s="424">
        <f t="shared" si="100"/>
        <v>1.6610718185889616E-2</v>
      </c>
      <c r="AD266" s="169">
        <f>(INDEX(Models!$BJ266:$BT266,,AH266)*(1-AF266)+INDEX(Models!$BJ266:$BT266,,AH266+1)*AF266-ERP_i)*AE266*Ramure*Pc/MaxiM</f>
        <v>8.333996194988078E-4</v>
      </c>
      <c r="AE266" s="304">
        <f t="shared" si="101"/>
        <v>0.7</v>
      </c>
      <c r="AF266" s="177">
        <f t="shared" si="102"/>
        <v>0.18977000522605869</v>
      </c>
      <c r="AG266" s="799">
        <f t="shared" si="103"/>
        <v>-1</v>
      </c>
      <c r="AH266" s="176">
        <f t="shared" si="104"/>
        <v>5</v>
      </c>
      <c r="AI266" s="224">
        <f t="shared" si="105"/>
        <v>-0.81022999477394131</v>
      </c>
      <c r="AJ266" s="264" t="b">
        <f t="shared" si="106"/>
        <v>0</v>
      </c>
      <c r="AK266" s="264" t="b">
        <f t="shared" si="107"/>
        <v>0</v>
      </c>
      <c r="AL266" s="264"/>
      <c r="AM266" s="264"/>
      <c r="AN266" s="75"/>
    </row>
    <row r="267" spans="1:40" s="6" customFormat="1" ht="11.25" x14ac:dyDescent="0.2">
      <c r="A267" s="56">
        <f t="shared" si="108"/>
        <v>43718</v>
      </c>
      <c r="B267" s="607">
        <v>14.244</v>
      </c>
      <c r="C267" s="388"/>
      <c r="D267" s="391">
        <f t="shared" si="85"/>
        <v>14.31049021227267</v>
      </c>
      <c r="E267" s="383">
        <f t="shared" si="111"/>
        <v>14.553081774523381</v>
      </c>
      <c r="F267" s="383">
        <f t="shared" si="113"/>
        <v>14.553081774523381</v>
      </c>
      <c r="G267" s="110">
        <f t="shared" si="112"/>
        <v>0.28974005864869024</v>
      </c>
      <c r="I267" s="379">
        <f t="shared" si="86"/>
        <v>14.553081774523381</v>
      </c>
      <c r="J267" s="85">
        <v>2018</v>
      </c>
      <c r="K267" s="197">
        <f t="shared" si="87"/>
        <v>43718</v>
      </c>
      <c r="L267" s="435">
        <f t="shared" si="88"/>
        <v>4.6462567869023363E-3</v>
      </c>
      <c r="M267" s="842"/>
      <c r="N267" s="842"/>
      <c r="O267" s="323">
        <f t="shared" si="89"/>
        <v>1.6669428922978548E-2</v>
      </c>
      <c r="P267" s="169">
        <f>(INDEX(Models!$BJ267:$BT267,,T267)*(1-R267)+INDEX(Models!$BJ267:$BT267,,T267+1)*R267-ERP_i)*Q267*Ramure*Pc/MaxiM</f>
        <v>6.7695631243161957E-4</v>
      </c>
      <c r="Q267" s="304">
        <f t="shared" si="90"/>
        <v>0.7</v>
      </c>
      <c r="R267" s="177">
        <f t="shared" si="91"/>
        <v>0.12580386617235839</v>
      </c>
      <c r="S267" s="799">
        <f t="shared" si="109"/>
        <v>-1</v>
      </c>
      <c r="T267" s="176">
        <f t="shared" si="92"/>
        <v>5</v>
      </c>
      <c r="U267" s="250">
        <f t="shared" si="93"/>
        <v>-0.87419613382764161</v>
      </c>
      <c r="V267" s="382">
        <f t="shared" si="94"/>
        <v>49.128027034552638</v>
      </c>
      <c r="W267" s="58"/>
      <c r="X267" s="157">
        <f t="shared" si="95"/>
        <v>43718</v>
      </c>
      <c r="Y267" s="383">
        <f t="shared" si="96"/>
        <v>14.244</v>
      </c>
      <c r="Z267" s="383">
        <f t="shared" si="97"/>
        <v>14.31049021227267</v>
      </c>
      <c r="AA267" s="384">
        <f t="shared" si="98"/>
        <v>14.553081774523381</v>
      </c>
      <c r="AB267" s="197">
        <f t="shared" si="99"/>
        <v>43718</v>
      </c>
      <c r="AC267" s="424">
        <f t="shared" si="100"/>
        <v>1.6669428922978548E-2</v>
      </c>
      <c r="AD267" s="169">
        <f>(INDEX(Models!$BJ267:$BT267,,AH267)*(1-AF267)+INDEX(Models!$BJ267:$BT267,,AH267+1)*AF267-ERP_i)*AE267*Ramure*Pc/MaxiM</f>
        <v>8.5204056166474009E-4</v>
      </c>
      <c r="AE267" s="304">
        <f t="shared" si="101"/>
        <v>0.7</v>
      </c>
      <c r="AF267" s="177">
        <f t="shared" si="102"/>
        <v>0.19013608843219054</v>
      </c>
      <c r="AG267" s="799">
        <f t="shared" si="103"/>
        <v>-1</v>
      </c>
      <c r="AH267" s="176">
        <f t="shared" si="104"/>
        <v>5</v>
      </c>
      <c r="AI267" s="224">
        <f t="shared" si="105"/>
        <v>-0.80986391156780946</v>
      </c>
      <c r="AJ267" s="264" t="b">
        <f t="shared" si="106"/>
        <v>0</v>
      </c>
      <c r="AK267" s="264" t="b">
        <f t="shared" si="107"/>
        <v>0</v>
      </c>
      <c r="AL267" s="264"/>
      <c r="AM267" s="264"/>
      <c r="AN267" s="75"/>
    </row>
    <row r="268" spans="1:40" s="6" customFormat="1" ht="11.25" x14ac:dyDescent="0.2">
      <c r="A268" s="56">
        <f t="shared" si="108"/>
        <v>43719</v>
      </c>
      <c r="B268" s="607">
        <v>32.86</v>
      </c>
      <c r="C268" s="388"/>
      <c r="D268" s="391">
        <f t="shared" si="85"/>
        <v>33.014021387406935</v>
      </c>
      <c r="E268" s="383">
        <f t="shared" si="111"/>
        <v>33.575673576503071</v>
      </c>
      <c r="F268" s="383">
        <f t="shared" si="113"/>
        <v>33.587973853257829</v>
      </c>
      <c r="G268" s="110">
        <f t="shared" si="112"/>
        <v>0.67168633179488313</v>
      </c>
      <c r="I268" s="379">
        <f t="shared" si="86"/>
        <v>33.587973853257829</v>
      </c>
      <c r="J268" s="85">
        <v>2018</v>
      </c>
      <c r="K268" s="197">
        <f t="shared" si="87"/>
        <v>43719</v>
      </c>
      <c r="L268" s="435">
        <f t="shared" si="88"/>
        <v>4.6653325143143354E-3</v>
      </c>
      <c r="M268" s="842"/>
      <c r="N268" s="842"/>
      <c r="O268" s="323">
        <f t="shared" si="89"/>
        <v>1.6727950008698853E-2</v>
      </c>
      <c r="P268" s="169">
        <f>(INDEX(Models!$BJ268:$BT268,,T268)*(1-R268)+INDEX(Models!$BJ268:$BT268,,T268+1)*R268-ERP_i)*Q268*Ramure*Pc/MaxiM</f>
        <v>6.8928506315614317E-4</v>
      </c>
      <c r="Q268" s="304">
        <f t="shared" si="90"/>
        <v>0.7</v>
      </c>
      <c r="R268" s="177">
        <f t="shared" si="91"/>
        <v>0.12615585440542776</v>
      </c>
      <c r="S268" s="799">
        <f t="shared" si="109"/>
        <v>-1</v>
      </c>
      <c r="T268" s="176">
        <f t="shared" si="92"/>
        <v>5</v>
      </c>
      <c r="U268" s="250">
        <f t="shared" si="93"/>
        <v>-0.87384414559457224</v>
      </c>
      <c r="V268" s="382">
        <f t="shared" si="94"/>
        <v>48.905833472533104</v>
      </c>
      <c r="W268" s="58"/>
      <c r="X268" s="157">
        <f t="shared" si="95"/>
        <v>43719</v>
      </c>
      <c r="Y268" s="383">
        <f t="shared" si="96"/>
        <v>32.856869940187664</v>
      </c>
      <c r="Z268" s="383">
        <f t="shared" si="97"/>
        <v>33.010876656378684</v>
      </c>
      <c r="AA268" s="384">
        <f t="shared" si="98"/>
        <v>33.572475345628632</v>
      </c>
      <c r="AB268" s="197">
        <f t="shared" si="99"/>
        <v>43719</v>
      </c>
      <c r="AC268" s="424">
        <f t="shared" si="100"/>
        <v>1.6727950008698853E-2</v>
      </c>
      <c r="AD268" s="169">
        <f>(INDEX(Models!$BJ268:$BT268,,AH268)*(1-AF268)+INDEX(Models!$BJ268:$BT268,,AH268+1)*AF268-ERP_i)*AE268*Ramure*Pc/MaxiM</f>
        <v>8.6850808506260186E-4</v>
      </c>
      <c r="AE268" s="304">
        <f t="shared" si="101"/>
        <v>0.7</v>
      </c>
      <c r="AF268" s="177">
        <f t="shared" si="102"/>
        <v>0.19048807666525991</v>
      </c>
      <c r="AG268" s="799">
        <f t="shared" si="103"/>
        <v>-1</v>
      </c>
      <c r="AH268" s="176">
        <f t="shared" si="104"/>
        <v>5</v>
      </c>
      <c r="AI268" s="224">
        <f t="shared" si="105"/>
        <v>-0.80951192333474009</v>
      </c>
      <c r="AJ268" s="264" t="b">
        <f t="shared" si="106"/>
        <v>0</v>
      </c>
      <c r="AK268" s="264" t="b">
        <f t="shared" si="107"/>
        <v>0</v>
      </c>
      <c r="AL268" s="264"/>
      <c r="AM268" s="264"/>
      <c r="AN268" s="75"/>
    </row>
    <row r="269" spans="1:40" s="6" customFormat="1" ht="11.25" x14ac:dyDescent="0.2">
      <c r="A269" s="56">
        <f t="shared" si="108"/>
        <v>43720</v>
      </c>
      <c r="B269" s="607">
        <v>49.341000000000001</v>
      </c>
      <c r="C269" s="388"/>
      <c r="D269" s="391">
        <f t="shared" si="85"/>
        <v>49.573221187777875</v>
      </c>
      <c r="E269" s="383">
        <f t="shared" si="111"/>
        <v>50.419578129601732</v>
      </c>
      <c r="F269" s="383">
        <f t="shared" si="113"/>
        <v>50.45491962020855</v>
      </c>
      <c r="G269" s="110">
        <f t="shared" si="112"/>
        <v>1.0135653870932468</v>
      </c>
      <c r="I269" s="379">
        <f t="shared" si="86"/>
        <v>50.45491962020855</v>
      </c>
      <c r="J269" s="85">
        <v>2018</v>
      </c>
      <c r="K269" s="197">
        <f t="shared" si="87"/>
        <v>43720</v>
      </c>
      <c r="L269" s="435">
        <f t="shared" si="88"/>
        <v>4.6844078761443253E-3</v>
      </c>
      <c r="M269" s="842"/>
      <c r="N269" s="842"/>
      <c r="O269" s="323">
        <f t="shared" si="89"/>
        <v>1.6786275752810359E-2</v>
      </c>
      <c r="P269" s="169">
        <f>(INDEX(Models!$BJ269:$BT269,,T269)*(1-R269)+INDEX(Models!$BJ269:$BT269,,T269+1)*R269-ERP_i)*Q269*Ramure*Pc/MaxiM</f>
        <v>7.0045678147636725E-4</v>
      </c>
      <c r="Q269" s="304">
        <f t="shared" si="90"/>
        <v>0.7</v>
      </c>
      <c r="R269" s="177">
        <f t="shared" si="91"/>
        <v>0.12649426591069735</v>
      </c>
      <c r="S269" s="799">
        <f t="shared" si="109"/>
        <v>-1</v>
      </c>
      <c r="T269" s="176">
        <f t="shared" si="92"/>
        <v>5</v>
      </c>
      <c r="U269" s="250">
        <f t="shared" si="93"/>
        <v>-0.87350573408930265</v>
      </c>
      <c r="V269" s="382">
        <f t="shared" si="94"/>
        <v>48.680628431385735</v>
      </c>
      <c r="W269" s="58"/>
      <c r="X269" s="157">
        <f t="shared" si="95"/>
        <v>43720</v>
      </c>
      <c r="Y269" s="383">
        <f t="shared" si="96"/>
        <v>49.331975090632248</v>
      </c>
      <c r="Z269" s="383">
        <f t="shared" si="97"/>
        <v>49.564153803081837</v>
      </c>
      <c r="AA269" s="384">
        <f t="shared" si="98"/>
        <v>50.410355938665596</v>
      </c>
      <c r="AB269" s="197">
        <f t="shared" si="99"/>
        <v>43720</v>
      </c>
      <c r="AC269" s="424">
        <f t="shared" si="100"/>
        <v>1.6786275752810359E-2</v>
      </c>
      <c r="AD269" s="169">
        <f>(INDEX(Models!$BJ269:$BT269,,AH269)*(1-AF269)+INDEX(Models!$BJ269:$BT269,,AH269+1)*AF269-ERP_i)*AE269*Ramure*Pc/MaxiM</f>
        <v>8.8323758869104365E-4</v>
      </c>
      <c r="AE269" s="304">
        <f t="shared" si="101"/>
        <v>0.7</v>
      </c>
      <c r="AF269" s="177">
        <f t="shared" si="102"/>
        <v>0.1908264881705295</v>
      </c>
      <c r="AG269" s="799">
        <f t="shared" si="103"/>
        <v>-1</v>
      </c>
      <c r="AH269" s="176">
        <f t="shared" si="104"/>
        <v>5</v>
      </c>
      <c r="AI269" s="224">
        <f t="shared" si="105"/>
        <v>-0.8091735118294705</v>
      </c>
      <c r="AJ269" s="264" t="b">
        <f t="shared" si="106"/>
        <v>0</v>
      </c>
      <c r="AK269" s="264" t="b">
        <f t="shared" si="107"/>
        <v>0</v>
      </c>
      <c r="AL269" s="264"/>
      <c r="AM269" s="264"/>
      <c r="AN269" s="75"/>
    </row>
    <row r="270" spans="1:40" s="6" customFormat="1" ht="11.25" x14ac:dyDescent="0.2">
      <c r="A270" s="56">
        <f t="shared" si="108"/>
        <v>43721</v>
      </c>
      <c r="B270" s="607">
        <v>43.061999999999998</v>
      </c>
      <c r="C270" s="388"/>
      <c r="D270" s="391">
        <f t="shared" si="85"/>
        <v>43.265498531307827</v>
      </c>
      <c r="E270" s="383">
        <f t="shared" si="111"/>
        <v>44.006766112881834</v>
      </c>
      <c r="F270" s="383">
        <f t="shared" si="113"/>
        <v>44.033077318653554</v>
      </c>
      <c r="G270" s="110">
        <f t="shared" si="112"/>
        <v>0.88864593946025094</v>
      </c>
      <c r="I270" s="379">
        <f t="shared" si="86"/>
        <v>44.033077318653554</v>
      </c>
      <c r="J270" s="85">
        <v>2018</v>
      </c>
      <c r="K270" s="197">
        <f t="shared" si="87"/>
        <v>43721</v>
      </c>
      <c r="L270" s="435">
        <f t="shared" si="88"/>
        <v>4.7034828723994115E-3</v>
      </c>
      <c r="M270" s="842"/>
      <c r="N270" s="842"/>
      <c r="O270" s="323">
        <f t="shared" si="89"/>
        <v>1.684440023774026E-2</v>
      </c>
      <c r="P270" s="169">
        <f>(INDEX(Models!$BJ270:$BT270,,T270)*(1-R270)+INDEX(Models!$BJ270:$BT270,,T270+1)*R270-ERP_i)*Q270*Ramure*Pc/MaxiM</f>
        <v>7.1044673803451132E-4</v>
      </c>
      <c r="Q270" s="304">
        <f t="shared" si="90"/>
        <v>0.7</v>
      </c>
      <c r="R270" s="177">
        <f t="shared" si="91"/>
        <v>0.12681960177326546</v>
      </c>
      <c r="S270" s="799">
        <f t="shared" si="109"/>
        <v>-1</v>
      </c>
      <c r="T270" s="176">
        <f t="shared" si="92"/>
        <v>5</v>
      </c>
      <c r="U270" s="250">
        <f t="shared" si="93"/>
        <v>-0.87318039822673454</v>
      </c>
      <c r="V270" s="382">
        <f t="shared" si="94"/>
        <v>48.452519590500046</v>
      </c>
      <c r="W270" s="58"/>
      <c r="X270" s="157">
        <f t="shared" si="95"/>
        <v>43721</v>
      </c>
      <c r="Y270" s="383">
        <f t="shared" si="96"/>
        <v>43.055268466329082</v>
      </c>
      <c r="Z270" s="383">
        <f t="shared" si="97"/>
        <v>43.258735186359786</v>
      </c>
      <c r="AA270" s="384">
        <f t="shared" si="98"/>
        <v>43.999886891576807</v>
      </c>
      <c r="AB270" s="197">
        <f t="shared" si="99"/>
        <v>43721</v>
      </c>
      <c r="AC270" s="424">
        <f t="shared" si="100"/>
        <v>1.684440023774026E-2</v>
      </c>
      <c r="AD270" s="169">
        <f>(INDEX(Models!$BJ270:$BT270,,AH270)*(1-AF270)+INDEX(Models!$BJ270:$BT270,,AH270+1)*AF270-ERP_i)*AE270*Ramure*Pc/MaxiM</f>
        <v>8.9619726496874763E-4</v>
      </c>
      <c r="AE270" s="304">
        <f t="shared" si="101"/>
        <v>0.7</v>
      </c>
      <c r="AF270" s="177">
        <f t="shared" si="102"/>
        <v>0.19115182403309761</v>
      </c>
      <c r="AG270" s="799">
        <f t="shared" si="103"/>
        <v>-1</v>
      </c>
      <c r="AH270" s="176">
        <f t="shared" si="104"/>
        <v>5</v>
      </c>
      <c r="AI270" s="224">
        <f t="shared" si="105"/>
        <v>-0.80884817596690239</v>
      </c>
      <c r="AJ270" s="264" t="b">
        <f t="shared" si="106"/>
        <v>0</v>
      </c>
      <c r="AK270" s="264" t="b">
        <f t="shared" si="107"/>
        <v>0</v>
      </c>
      <c r="AL270" s="264"/>
      <c r="AM270" s="264"/>
      <c r="AN270" s="75"/>
    </row>
    <row r="271" spans="1:40" s="6" customFormat="1" ht="11.25" x14ac:dyDescent="0.2">
      <c r="A271" s="56">
        <f t="shared" si="108"/>
        <v>43722</v>
      </c>
      <c r="B271" s="607">
        <v>38.582999999999998</v>
      </c>
      <c r="C271" s="388"/>
      <c r="D271" s="391">
        <f t="shared" ref="D271:D334" si="114">Wh/(1-Ppv)</f>
        <v>38.766075018443566</v>
      </c>
      <c r="E271" s="383">
        <f t="shared" si="111"/>
        <v>39.432576946746224</v>
      </c>
      <c r="F271" s="383">
        <f t="shared" si="113"/>
        <v>39.45285008733422</v>
      </c>
      <c r="G271" s="110">
        <f t="shared" si="112"/>
        <v>0.79995397065851681</v>
      </c>
      <c r="I271" s="379">
        <f t="shared" ref="I271:I334" si="115">Wh_hp</f>
        <v>39.45285008733422</v>
      </c>
      <c r="J271" s="85">
        <v>2018</v>
      </c>
      <c r="K271" s="197">
        <f t="shared" ref="K271:K334" si="116">t</f>
        <v>43722</v>
      </c>
      <c r="L271" s="435">
        <f t="shared" ref="L271:L334" si="117">IF(t&lt;T0,0,IF(t&lt;Tvie,1-EXP((T0-t)*PertePVj),1-EXP((T0-t)*PertePVj)+Pspv))</f>
        <v>4.7225575030865885E-3</v>
      </c>
      <c r="M271" s="842"/>
      <c r="N271" s="842"/>
      <c r="O271" s="323">
        <f t="shared" ref="O271:O334" si="118">IF(t&lt;T0,0,IF(t&lt;Tnet,Salim_i*(1-EXP((T0-t)/Tau_ij)),Resal+(Salim-Resal)*(1-EXP((Tnet-t)/(Tau_j)))))*Salcycl</f>
        <v>1.6902317320087217E-2</v>
      </c>
      <c r="P271" s="169">
        <f>(INDEX(Models!$BJ271:$BT271,,T271)*(1-R271)+INDEX(Models!$BJ271:$BT271,,T271+1)*R271-ERP_i)*Q271*Ramure*Pc/MaxiM</f>
        <v>7.1923013598372413E-4</v>
      </c>
      <c r="Q271" s="304">
        <f t="shared" ref="Q271:Q334" si="119">IF(OR(t&lt;Ttai,Notai),Dd+PousD*Croivg,Dens+PousD*(Croivg-Croi_tai))</f>
        <v>0.7</v>
      </c>
      <c r="R271" s="177">
        <f t="shared" ref="R271:R334" si="120">(Hp_vg-S271)/(INDEX(Echel_vg,T271+1)-S271)</f>
        <v>0.12713234633681392</v>
      </c>
      <c r="S271" s="799">
        <f t="shared" si="109"/>
        <v>-1</v>
      </c>
      <c r="T271" s="176">
        <f t="shared" ref="T271:T334" si="121">MIN(MATCH(Hp_vg,Echel_vg),10)</f>
        <v>5</v>
      </c>
      <c r="U271" s="250">
        <f t="shared" ref="U271:U334" si="122">IF(OR(t&lt;Ttai,Notai),Hdd+PousH*Croivg,Hdtf+PousH*(Croivg-Croi_tai))</f>
        <v>-0.87286765366318608</v>
      </c>
      <c r="V271" s="382">
        <f t="shared" ref="V271:V334" si="123">MaxiM*(1-Ppv)*(1-Pvg)*(1-Psa)</f>
        <v>48.221614550785958</v>
      </c>
      <c r="W271" s="58"/>
      <c r="X271" s="157">
        <f t="shared" ref="X271:X334" si="124">t</f>
        <v>43722</v>
      </c>
      <c r="Y271" s="383">
        <f t="shared" ref="Y271:Y334" si="125">Wh_pvt_s*(1-Ppv)</f>
        <v>38.57781152164339</v>
      </c>
      <c r="Z271" s="383">
        <f t="shared" ref="Z271:Z334" si="126">Wh_sa_s*(1-Psa_s)</f>
        <v>38.760861920934204</v>
      </c>
      <c r="AA271" s="384">
        <f t="shared" ref="AA271:AA334" si="127">Wh_hp*(1-Pvg_s*MEDIAN((-Sdif+Wh/Env_an)/Csdif,0,1))</f>
        <v>39.427274220881635</v>
      </c>
      <c r="AB271" s="197">
        <f t="shared" ref="AB271:AB334" si="128">t</f>
        <v>43722</v>
      </c>
      <c r="AC271" s="424">
        <f t="shared" ref="AC271:AC334" si="129">IF(t&lt;T0,0,IF(OR(t&lt;Tnet,NoTnet),Salim_i*(1-EXP((T0-t)/Tau_ij)),Resal_s+(Salim-Resal_s)*(1-EXP((Tnet_s-t)/Tau_j))))*Salcycl</f>
        <v>1.6902317320087217E-2</v>
      </c>
      <c r="AD271" s="169">
        <f>(INDEX(Models!$BJ271:$BT271,,AH271)*(1-AF271)+INDEX(Models!$BJ271:$BT271,,AH271+1)*AF271-ERP_i)*AE271*Ramure*Pc/MaxiM</f>
        <v>9.0735492247731684E-4</v>
      </c>
      <c r="AE271" s="304">
        <f t="shared" ref="AE271:AE334" si="130">Dd+PousD*Croivg</f>
        <v>0.7</v>
      </c>
      <c r="AF271" s="177">
        <f t="shared" ref="AF271:AF334" si="131">(Hp_vg_s-AG271)/(INDEX(Echel_vg,AH271+1)-AG271)</f>
        <v>0.19146456859664607</v>
      </c>
      <c r="AG271" s="799">
        <f t="shared" ref="AG271:AG334" si="132">INDEX(Echel_vg,AH271)</f>
        <v>-1</v>
      </c>
      <c r="AH271" s="176">
        <f t="shared" ref="AH271:AH334" si="133">MIN(MATCH(Hp_vg_s,Echel_vg),10)</f>
        <v>5</v>
      </c>
      <c r="AI271" s="224">
        <f t="shared" ref="AI271:AI334" si="134">Hdd+PousH*Croivg</f>
        <v>-0.80853543140335393</v>
      </c>
      <c r="AJ271" s="264" t="b">
        <f t="shared" ref="AJ271:AJ334" si="135">t&lt;Tnet</f>
        <v>0</v>
      </c>
      <c r="AK271" s="264" t="b">
        <f t="shared" ref="AK271:AK334" si="136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37">A271+1</f>
        <v>43723</v>
      </c>
      <c r="B272" s="607">
        <v>39.892000000000003</v>
      </c>
      <c r="C272" s="388"/>
      <c r="D272" s="391">
        <f t="shared" si="114"/>
        <v>40.082054342204231</v>
      </c>
      <c r="E272" s="383">
        <f t="shared" si="111"/>
        <v>40.77357501582398</v>
      </c>
      <c r="F272" s="383">
        <f t="shared" si="113"/>
        <v>40.796078869119626</v>
      </c>
      <c r="G272" s="110">
        <f t="shared" si="112"/>
        <v>0.83114510248018403</v>
      </c>
      <c r="I272" s="379">
        <f t="shared" si="115"/>
        <v>40.796078869119626</v>
      </c>
      <c r="J272" s="85">
        <v>2018</v>
      </c>
      <c r="K272" s="197">
        <f t="shared" si="116"/>
        <v>43723</v>
      </c>
      <c r="L272" s="435">
        <f t="shared" si="117"/>
        <v>4.7416317682127396E-3</v>
      </c>
      <c r="M272" s="842"/>
      <c r="N272" s="842"/>
      <c r="O272" s="323">
        <f t="shared" si="118"/>
        <v>1.6960020634721788E-2</v>
      </c>
      <c r="P272" s="169">
        <f>(INDEX(Models!$BJ272:$BT272,,T272)*(1-R272)+INDEX(Models!$BJ272:$BT272,,T272+1)*R272-ERP_i)*Q272*Ramure*Pc/MaxiM</f>
        <v>7.2678208527289447E-4</v>
      </c>
      <c r="Q272" s="304">
        <f t="shared" si="119"/>
        <v>0.7</v>
      </c>
      <c r="R272" s="177">
        <f t="shared" si="120"/>
        <v>0.12743296762473233</v>
      </c>
      <c r="S272" s="799">
        <f t="shared" ref="S272:S335" si="138">INDEX(Echel_vg,T272)</f>
        <v>-1</v>
      </c>
      <c r="T272" s="176">
        <f t="shared" si="121"/>
        <v>5</v>
      </c>
      <c r="U272" s="250">
        <f t="shared" si="122"/>
        <v>-0.87256703237526767</v>
      </c>
      <c r="V272" s="382">
        <f t="shared" si="123"/>
        <v>47.988020840734166</v>
      </c>
      <c r="W272" s="58"/>
      <c r="X272" s="157">
        <f t="shared" si="124"/>
        <v>43723</v>
      </c>
      <c r="Y272" s="383">
        <f t="shared" si="125"/>
        <v>39.886247253439187</v>
      </c>
      <c r="Z272" s="383">
        <f t="shared" si="126"/>
        <v>40.07627418828195</v>
      </c>
      <c r="AA272" s="384">
        <f t="shared" si="127"/>
        <v>40.767695139070632</v>
      </c>
      <c r="AB272" s="197">
        <f t="shared" si="128"/>
        <v>43723</v>
      </c>
      <c r="AC272" s="424">
        <f t="shared" si="129"/>
        <v>1.6960020634721788E-2</v>
      </c>
      <c r="AD272" s="169">
        <f>(INDEX(Models!$BJ272:$BT272,,AH272)*(1-AF272)+INDEX(Models!$BJ272:$BT272,,AH272+1)*AF272-ERP_i)*AE272*Ramure*Pc/MaxiM</f>
        <v>9.1667796807126808E-4</v>
      </c>
      <c r="AE272" s="304">
        <f t="shared" si="130"/>
        <v>0.7</v>
      </c>
      <c r="AF272" s="177">
        <f t="shared" si="131"/>
        <v>0.19176518988456448</v>
      </c>
      <c r="AG272" s="799">
        <f t="shared" si="132"/>
        <v>-1</v>
      </c>
      <c r="AH272" s="176">
        <f t="shared" si="133"/>
        <v>5</v>
      </c>
      <c r="AI272" s="224">
        <f t="shared" si="134"/>
        <v>-0.80823481011543552</v>
      </c>
      <c r="AJ272" s="264" t="b">
        <f t="shared" si="135"/>
        <v>0</v>
      </c>
      <c r="AK272" s="264" t="b">
        <f t="shared" si="136"/>
        <v>0</v>
      </c>
      <c r="AL272" s="264"/>
      <c r="AM272" s="264"/>
      <c r="AN272" s="75"/>
    </row>
    <row r="273" spans="1:40" s="6" customFormat="1" ht="11.25" x14ac:dyDescent="0.2">
      <c r="A273" s="56">
        <f t="shared" si="137"/>
        <v>43724</v>
      </c>
      <c r="B273" s="607">
        <v>43.042999999999999</v>
      </c>
      <c r="C273" s="388"/>
      <c r="D273" s="391">
        <f t="shared" si="114"/>
        <v>43.248895260793496</v>
      </c>
      <c r="E273" s="383">
        <f t="shared" si="111"/>
        <v>43.997625002743895</v>
      </c>
      <c r="F273" s="383">
        <f t="shared" si="113"/>
        <v>44.025352482191991</v>
      </c>
      <c r="G273" s="110">
        <f t="shared" si="112"/>
        <v>0.90129609240382602</v>
      </c>
      <c r="I273" s="379">
        <f t="shared" si="115"/>
        <v>44.025352482191991</v>
      </c>
      <c r="J273" s="85">
        <v>2018</v>
      </c>
      <c r="K273" s="197">
        <f t="shared" si="116"/>
        <v>43724</v>
      </c>
      <c r="L273" s="435">
        <f t="shared" si="117"/>
        <v>4.7607056677849702E-3</v>
      </c>
      <c r="M273" s="842"/>
      <c r="N273" s="842"/>
      <c r="O273" s="323">
        <f t="shared" si="118"/>
        <v>1.7017503601699069E-2</v>
      </c>
      <c r="P273" s="169">
        <f>(INDEX(Models!$BJ273:$BT273,,T273)*(1-R273)+INDEX(Models!$BJ273:$BT273,,T273+1)*R273-ERP_i)*Q273*Ramure*Pc/MaxiM</f>
        <v>7.3307758133014564E-4</v>
      </c>
      <c r="Q273" s="304">
        <f t="shared" si="119"/>
        <v>0.7</v>
      </c>
      <c r="R273" s="177">
        <f t="shared" si="120"/>
        <v>0.12772191776224884</v>
      </c>
      <c r="S273" s="799">
        <f t="shared" si="138"/>
        <v>-1</v>
      </c>
      <c r="T273" s="176">
        <f t="shared" si="121"/>
        <v>5</v>
      </c>
      <c r="U273" s="250">
        <f t="shared" si="122"/>
        <v>-0.87227808223775116</v>
      </c>
      <c r="V273" s="382">
        <f t="shared" si="123"/>
        <v>47.751845913878036</v>
      </c>
      <c r="W273" s="58"/>
      <c r="X273" s="157">
        <f t="shared" si="124"/>
        <v>43724</v>
      </c>
      <c r="Y273" s="383">
        <f t="shared" si="125"/>
        <v>43.035930413564635</v>
      </c>
      <c r="Z273" s="383">
        <f t="shared" si="126"/>
        <v>43.241791857144122</v>
      </c>
      <c r="AA273" s="384">
        <f t="shared" si="127"/>
        <v>43.990398624171135</v>
      </c>
      <c r="AB273" s="197">
        <f t="shared" si="128"/>
        <v>43724</v>
      </c>
      <c r="AC273" s="424">
        <f t="shared" si="129"/>
        <v>1.7017503601699069E-2</v>
      </c>
      <c r="AD273" s="169">
        <f>(INDEX(Models!$BJ273:$BT273,,AH273)*(1-AF273)+INDEX(Models!$BJ273:$BT273,,AH273+1)*AF273-ERP_i)*AE273*Ramure*Pc/MaxiM</f>
        <v>9.241333942399219E-4</v>
      </c>
      <c r="AE273" s="304">
        <f t="shared" si="130"/>
        <v>0.7</v>
      </c>
      <c r="AF273" s="177">
        <f t="shared" si="131"/>
        <v>0.19205414002208099</v>
      </c>
      <c r="AG273" s="799">
        <f t="shared" si="132"/>
        <v>-1</v>
      </c>
      <c r="AH273" s="176">
        <f t="shared" si="133"/>
        <v>5</v>
      </c>
      <c r="AI273" s="224">
        <f t="shared" si="134"/>
        <v>-0.80794585997791901</v>
      </c>
      <c r="AJ273" s="264" t="b">
        <f t="shared" si="135"/>
        <v>0</v>
      </c>
      <c r="AK273" s="264" t="b">
        <f t="shared" si="136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37"/>
        <v>43725</v>
      </c>
      <c r="B274" s="607">
        <v>42.197000000000003</v>
      </c>
      <c r="C274" s="388"/>
      <c r="D274" s="391">
        <f t="shared" si="114"/>
        <v>42.399661017897152</v>
      </c>
      <c r="E274" s="383">
        <f t="shared" si="111"/>
        <v>43.136201277704394</v>
      </c>
      <c r="F274" s="383">
        <f t="shared" si="113"/>
        <v>43.162967239899587</v>
      </c>
      <c r="G274" s="110">
        <f t="shared" si="112"/>
        <v>0.88800630448541007</v>
      </c>
      <c r="I274" s="379">
        <f t="shared" si="115"/>
        <v>43.162967239899587</v>
      </c>
      <c r="J274" s="85">
        <v>2018</v>
      </c>
      <c r="K274" s="197">
        <f t="shared" si="116"/>
        <v>43725</v>
      </c>
      <c r="L274" s="435">
        <f t="shared" si="117"/>
        <v>4.7797792018102747E-3</v>
      </c>
      <c r="M274" s="842"/>
      <c r="N274" s="842"/>
      <c r="O274" s="323">
        <f t="shared" si="118"/>
        <v>1.7074759436175334E-2</v>
      </c>
      <c r="P274" s="169">
        <f>(INDEX(Models!$BJ274:$BT274,,T274)*(1-R274)+INDEX(Models!$BJ274:$BT274,,T274+1)*R274-ERP_i)*Q274*Ramure*Pc/MaxiM</f>
        <v>7.3809148796701843E-4</v>
      </c>
      <c r="Q274" s="304">
        <f t="shared" si="119"/>
        <v>0.7</v>
      </c>
      <c r="R274" s="177">
        <f t="shared" si="120"/>
        <v>0.12799963339832754</v>
      </c>
      <c r="S274" s="799">
        <f t="shared" si="138"/>
        <v>-1</v>
      </c>
      <c r="T274" s="176">
        <f t="shared" si="121"/>
        <v>5</v>
      </c>
      <c r="U274" s="250">
        <f t="shared" si="122"/>
        <v>-0.87200036660167246</v>
      </c>
      <c r="V274" s="382">
        <f t="shared" si="123"/>
        <v>47.513197151510575</v>
      </c>
      <c r="W274" s="58"/>
      <c r="X274" s="157">
        <f t="shared" si="124"/>
        <v>43725</v>
      </c>
      <c r="Y274" s="383">
        <f t="shared" si="125"/>
        <v>42.19020327931122</v>
      </c>
      <c r="Z274" s="383">
        <f t="shared" si="126"/>
        <v>42.392831654358567</v>
      </c>
      <c r="AA274" s="384">
        <f t="shared" si="127"/>
        <v>43.129253278755186</v>
      </c>
      <c r="AB274" s="197">
        <f t="shared" si="128"/>
        <v>43725</v>
      </c>
      <c r="AC274" s="424">
        <f t="shared" si="129"/>
        <v>1.7074759436175334E-2</v>
      </c>
      <c r="AD274" s="169">
        <f>(INDEX(Models!$BJ274:$BT274,,AH274)*(1-AF274)+INDEX(Models!$BJ274:$BT274,,AH274+1)*AF274-ERP_i)*AE274*Ramure*Pc/MaxiM</f>
        <v>9.2968777153845943E-4</v>
      </c>
      <c r="AE274" s="304">
        <f t="shared" si="130"/>
        <v>0.7</v>
      </c>
      <c r="AF274" s="177">
        <f t="shared" si="131"/>
        <v>0.19233185565815969</v>
      </c>
      <c r="AG274" s="799">
        <f t="shared" si="132"/>
        <v>-1</v>
      </c>
      <c r="AH274" s="176">
        <f t="shared" si="133"/>
        <v>5</v>
      </c>
      <c r="AI274" s="224">
        <f t="shared" si="134"/>
        <v>-0.80766814434184031</v>
      </c>
      <c r="AJ274" s="264" t="b">
        <f t="shared" si="135"/>
        <v>0</v>
      </c>
      <c r="AK274" s="264" t="b">
        <f t="shared" si="136"/>
        <v>0</v>
      </c>
      <c r="AL274" s="264"/>
      <c r="AM274" s="264"/>
      <c r="AN274" s="75"/>
    </row>
    <row r="275" spans="1:40" s="6" customFormat="1" ht="11.25" x14ac:dyDescent="0.2">
      <c r="A275" s="56">
        <f t="shared" si="137"/>
        <v>43726</v>
      </c>
      <c r="B275" s="607">
        <v>28.402999999999999</v>
      </c>
      <c r="C275" s="388"/>
      <c r="D275" s="391">
        <f t="shared" si="114"/>
        <v>28.539959050135884</v>
      </c>
      <c r="E275" s="383">
        <f t="shared" si="111"/>
        <v>29.037421806010428</v>
      </c>
      <c r="F275" s="383">
        <f t="shared" si="113"/>
        <v>29.04668241390258</v>
      </c>
      <c r="G275" s="110">
        <f t="shared" si="112"/>
        <v>0.60059462189063084</v>
      </c>
      <c r="I275" s="379">
        <f t="shared" si="115"/>
        <v>29.04668241390258</v>
      </c>
      <c r="J275" s="85">
        <v>2018</v>
      </c>
      <c r="K275" s="197">
        <f t="shared" si="116"/>
        <v>43726</v>
      </c>
      <c r="L275" s="435">
        <f t="shared" si="117"/>
        <v>4.7988523702956476E-3</v>
      </c>
      <c r="M275" s="842"/>
      <c r="N275" s="842"/>
      <c r="O275" s="323">
        <f t="shared" si="118"/>
        <v>1.7131781161493269E-2</v>
      </c>
      <c r="P275" s="169">
        <f>(INDEX(Models!$BJ275:$BT275,,T275)*(1-R275)+INDEX(Models!$BJ275:$BT275,,T275+1)*R275-ERP_i)*Q275*Ramure*Pc/MaxiM</f>
        <v>7.4180991471855726E-4</v>
      </c>
      <c r="Q275" s="304">
        <f t="shared" si="119"/>
        <v>0.7</v>
      </c>
      <c r="R275" s="177">
        <f t="shared" si="120"/>
        <v>0.12826653612621386</v>
      </c>
      <c r="S275" s="799">
        <f t="shared" si="138"/>
        <v>-1</v>
      </c>
      <c r="T275" s="176">
        <f t="shared" si="121"/>
        <v>5</v>
      </c>
      <c r="U275" s="250">
        <f t="shared" si="122"/>
        <v>-0.87173346387378614</v>
      </c>
      <c r="V275" s="382">
        <f t="shared" si="123"/>
        <v>47.27145548245884</v>
      </c>
      <c r="W275" s="58"/>
      <c r="X275" s="157">
        <f t="shared" si="124"/>
        <v>43726</v>
      </c>
      <c r="Y275" s="383">
        <f t="shared" si="125"/>
        <v>28.400661441445799</v>
      </c>
      <c r="Z275" s="383">
        <f t="shared" si="126"/>
        <v>28.537609215070109</v>
      </c>
      <c r="AA275" s="384">
        <f t="shared" si="127"/>
        <v>29.03503101239157</v>
      </c>
      <c r="AB275" s="197">
        <f t="shared" si="128"/>
        <v>43726</v>
      </c>
      <c r="AC275" s="424">
        <f t="shared" si="129"/>
        <v>1.7131781161493269E-2</v>
      </c>
      <c r="AD275" s="169">
        <f>(INDEX(Models!$BJ275:$BT275,,AH275)*(1-AF275)+INDEX(Models!$BJ275:$BT275,,AH275+1)*AF275-ERP_i)*AE275*Ramure*Pc/MaxiM</f>
        <v>9.3332157692993273E-4</v>
      </c>
      <c r="AE275" s="304">
        <f t="shared" si="130"/>
        <v>0.7</v>
      </c>
      <c r="AF275" s="177">
        <f t="shared" si="131"/>
        <v>0.19259875838604601</v>
      </c>
      <c r="AG275" s="799">
        <f t="shared" si="132"/>
        <v>-1</v>
      </c>
      <c r="AH275" s="176">
        <f t="shared" si="133"/>
        <v>5</v>
      </c>
      <c r="AI275" s="224">
        <f t="shared" si="134"/>
        <v>-0.80740124161395399</v>
      </c>
      <c r="AJ275" s="264" t="b">
        <f t="shared" si="135"/>
        <v>0</v>
      </c>
      <c r="AK275" s="264" t="b">
        <f t="shared" si="136"/>
        <v>0</v>
      </c>
      <c r="AL275" s="264"/>
      <c r="AM275" s="264"/>
      <c r="AN275" s="75"/>
    </row>
    <row r="276" spans="1:40" s="6" customFormat="1" ht="11.25" x14ac:dyDescent="0.2">
      <c r="A276" s="56">
        <f t="shared" si="137"/>
        <v>43727</v>
      </c>
      <c r="B276" s="607">
        <v>35.456000000000003</v>
      </c>
      <c r="C276" s="388"/>
      <c r="D276" s="391">
        <f t="shared" si="114"/>
        <v>35.627651358343073</v>
      </c>
      <c r="E276" s="383">
        <f t="shared" si="111"/>
        <v>36.250749601847538</v>
      </c>
      <c r="F276" s="383">
        <f t="shared" si="113"/>
        <v>36.268221149593323</v>
      </c>
      <c r="G276" s="110">
        <f t="shared" si="112"/>
        <v>0.75376672227808783</v>
      </c>
      <c r="I276" s="379">
        <f t="shared" si="115"/>
        <v>36.268221149593323</v>
      </c>
      <c r="J276" s="85">
        <v>2018</v>
      </c>
      <c r="K276" s="197">
        <f t="shared" si="116"/>
        <v>43727</v>
      </c>
      <c r="L276" s="435">
        <f t="shared" si="117"/>
        <v>4.8179251732480832E-3</v>
      </c>
      <c r="M276" s="842"/>
      <c r="N276" s="842"/>
      <c r="O276" s="323">
        <f t="shared" si="118"/>
        <v>1.7188561625570076E-2</v>
      </c>
      <c r="P276" s="169">
        <f>(INDEX(Models!$BJ276:$BT276,,T276)*(1-R276)+INDEX(Models!$BJ276:$BT276,,T276+1)*R276-ERP_i)*Q276*Ramure*Pc/MaxiM</f>
        <v>7.4281740180045987E-4</v>
      </c>
      <c r="Q276" s="304">
        <f t="shared" si="119"/>
        <v>0.7</v>
      </c>
      <c r="R276" s="177">
        <f t="shared" si="120"/>
        <v>0.12852303290162315</v>
      </c>
      <c r="S276" s="799">
        <f t="shared" si="138"/>
        <v>-1</v>
      </c>
      <c r="T276" s="176">
        <f t="shared" si="121"/>
        <v>5</v>
      </c>
      <c r="U276" s="250">
        <f t="shared" si="122"/>
        <v>-0.87147696709837685</v>
      </c>
      <c r="V276" s="382">
        <f t="shared" si="123"/>
        <v>47.026138767001228</v>
      </c>
      <c r="W276" s="58"/>
      <c r="X276" s="157">
        <f t="shared" si="124"/>
        <v>43727</v>
      </c>
      <c r="Y276" s="383">
        <f t="shared" si="125"/>
        <v>35.451617374489174</v>
      </c>
      <c r="Z276" s="383">
        <f t="shared" si="126"/>
        <v>35.623247515446693</v>
      </c>
      <c r="AA276" s="384">
        <f t="shared" si="127"/>
        <v>36.246268739370329</v>
      </c>
      <c r="AB276" s="197">
        <f t="shared" si="128"/>
        <v>43727</v>
      </c>
      <c r="AC276" s="424">
        <f t="shared" si="129"/>
        <v>1.7188561625570076E-2</v>
      </c>
      <c r="AD276" s="169">
        <f>(INDEX(Models!$BJ276:$BT276,,AH276)*(1-AF276)+INDEX(Models!$BJ276:$BT276,,AH276+1)*AF276-ERP_i)*AE276*Ramure*Pc/MaxiM</f>
        <v>9.3332500144612635E-4</v>
      </c>
      <c r="AE276" s="304">
        <f t="shared" si="130"/>
        <v>0.7</v>
      </c>
      <c r="AF276" s="177">
        <f t="shared" si="131"/>
        <v>0.1928552551614553</v>
      </c>
      <c r="AG276" s="799">
        <f t="shared" si="132"/>
        <v>-1</v>
      </c>
      <c r="AH276" s="176">
        <f t="shared" si="133"/>
        <v>5</v>
      </c>
      <c r="AI276" s="224">
        <f t="shared" si="134"/>
        <v>-0.8071447448385447</v>
      </c>
      <c r="AJ276" s="264" t="b">
        <f t="shared" si="135"/>
        <v>0</v>
      </c>
      <c r="AK276" s="264" t="b">
        <f t="shared" si="136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37"/>
        <v>43728</v>
      </c>
      <c r="B277" s="607">
        <v>47.779000000000003</v>
      </c>
      <c r="C277" s="388"/>
      <c r="D277" s="391">
        <f t="shared" si="114"/>
        <v>48.011230205790966</v>
      </c>
      <c r="E277" s="383">
        <f t="shared" si="111"/>
        <v>48.853717126470301</v>
      </c>
      <c r="F277" s="383">
        <f t="shared" si="113"/>
        <v>48.889969383535792</v>
      </c>
      <c r="G277" s="110">
        <f t="shared" si="112"/>
        <v>1.0214111746858425</v>
      </c>
      <c r="I277" s="379">
        <f t="shared" si="115"/>
        <v>48.889969383535792</v>
      </c>
      <c r="J277" s="85">
        <v>2018</v>
      </c>
      <c r="K277" s="197">
        <f t="shared" si="116"/>
        <v>43728</v>
      </c>
      <c r="L277" s="435">
        <f t="shared" si="117"/>
        <v>4.836997610674687E-3</v>
      </c>
      <c r="M277" s="842"/>
      <c r="N277" s="842"/>
      <c r="O277" s="323">
        <f t="shared" si="118"/>
        <v>1.7245093520690386E-2</v>
      </c>
      <c r="P277" s="169">
        <f>(INDEX(Models!$BJ277:$BT277,,T277)*(1-R277)+INDEX(Models!$BJ277:$BT277,,T277+1)*R277-ERP_i)*Q277*Ramure*Pc/MaxiM</f>
        <v>7.4150705190863155E-4</v>
      </c>
      <c r="Q277" s="304">
        <f t="shared" si="119"/>
        <v>0.7</v>
      </c>
      <c r="R277" s="177">
        <f t="shared" si="120"/>
        <v>0.1287695164576701</v>
      </c>
      <c r="S277" s="799">
        <f t="shared" si="138"/>
        <v>-1</v>
      </c>
      <c r="T277" s="176">
        <f t="shared" si="121"/>
        <v>5</v>
      </c>
      <c r="U277" s="250">
        <f t="shared" si="122"/>
        <v>-0.8712304835423299</v>
      </c>
      <c r="V277" s="382">
        <f t="shared" si="123"/>
        <v>46.777440059528899</v>
      </c>
      <c r="W277" s="58"/>
      <c r="X277" s="157">
        <f t="shared" si="124"/>
        <v>43728</v>
      </c>
      <c r="Y277" s="383">
        <f t="shared" si="125"/>
        <v>47.769976245430769</v>
      </c>
      <c r="Z277" s="383">
        <f t="shared" si="126"/>
        <v>48.002162591191578</v>
      </c>
      <c r="AA277" s="384">
        <f t="shared" si="127"/>
        <v>48.844490396041778</v>
      </c>
      <c r="AB277" s="197">
        <f t="shared" si="128"/>
        <v>43728</v>
      </c>
      <c r="AC277" s="424">
        <f t="shared" si="129"/>
        <v>1.7245093520690386E-2</v>
      </c>
      <c r="AD277" s="169">
        <f>(INDEX(Models!$BJ277:$BT277,,AH277)*(1-AF277)+INDEX(Models!$BJ277:$BT277,,AH277+1)*AF277-ERP_i)*AE277*Ramure*Pc/MaxiM</f>
        <v>9.3023145785268925E-4</v>
      </c>
      <c r="AE277" s="304">
        <f t="shared" si="130"/>
        <v>0.7</v>
      </c>
      <c r="AF277" s="177">
        <f t="shared" si="131"/>
        <v>0.19310173871750225</v>
      </c>
      <c r="AG277" s="799">
        <f t="shared" si="132"/>
        <v>-1</v>
      </c>
      <c r="AH277" s="176">
        <f t="shared" si="133"/>
        <v>5</v>
      </c>
      <c r="AI277" s="224">
        <f t="shared" si="134"/>
        <v>-0.80689826128249775</v>
      </c>
      <c r="AJ277" s="264" t="b">
        <f t="shared" si="135"/>
        <v>0</v>
      </c>
      <c r="AK277" s="264" t="b">
        <f t="shared" si="136"/>
        <v>0</v>
      </c>
      <c r="AL277" s="264"/>
      <c r="AM277" s="264"/>
      <c r="AN277" s="75"/>
    </row>
    <row r="278" spans="1:40" s="6" customFormat="1" ht="11.25" x14ac:dyDescent="0.2">
      <c r="A278" s="56">
        <f t="shared" si="137"/>
        <v>43729</v>
      </c>
      <c r="B278" s="607">
        <v>31.478999999999999</v>
      </c>
      <c r="C278" s="388"/>
      <c r="D278" s="391">
        <f t="shared" si="114"/>
        <v>31.632610159174913</v>
      </c>
      <c r="E278" s="383">
        <f t="shared" si="111"/>
        <v>32.189533163467551</v>
      </c>
      <c r="F278" s="383">
        <f t="shared" si="113"/>
        <v>32.202315918985207</v>
      </c>
      <c r="G278" s="110">
        <f t="shared" si="112"/>
        <v>0.67636491108805519</v>
      </c>
      <c r="I278" s="379">
        <f t="shared" si="115"/>
        <v>32.202315918985207</v>
      </c>
      <c r="J278" s="85">
        <v>2018</v>
      </c>
      <c r="K278" s="197">
        <f t="shared" si="116"/>
        <v>43729</v>
      </c>
      <c r="L278" s="435">
        <f t="shared" si="117"/>
        <v>4.8560696825822314E-3</v>
      </c>
      <c r="M278" s="842"/>
      <c r="N278" s="842"/>
      <c r="O278" s="323">
        <f t="shared" si="118"/>
        <v>1.7301369406770326E-2</v>
      </c>
      <c r="P278" s="169">
        <f>(INDEX(Models!$BJ278:$BT278,,T278)*(1-R278)+INDEX(Models!$BJ278:$BT278,,T278+1)*R278-ERP_i)*Q278*Ramure*Pc/MaxiM</f>
        <v>7.3783648055331509E-4</v>
      </c>
      <c r="Q278" s="304">
        <f t="shared" si="119"/>
        <v>0.7</v>
      </c>
      <c r="R278" s="177">
        <f t="shared" si="120"/>
        <v>0.1290063657157402</v>
      </c>
      <c r="S278" s="799">
        <f t="shared" si="138"/>
        <v>-1</v>
      </c>
      <c r="T278" s="176">
        <f t="shared" si="121"/>
        <v>5</v>
      </c>
      <c r="U278" s="250">
        <f t="shared" si="122"/>
        <v>-0.8709936342842598</v>
      </c>
      <c r="V278" s="382">
        <f t="shared" si="123"/>
        <v>46.525572959965501</v>
      </c>
      <c r="W278" s="58"/>
      <c r="X278" s="157">
        <f t="shared" si="124"/>
        <v>43729</v>
      </c>
      <c r="Y278" s="383">
        <f t="shared" si="125"/>
        <v>31.475846200264204</v>
      </c>
      <c r="Z278" s="383">
        <f t="shared" si="126"/>
        <v>31.629440969633869</v>
      </c>
      <c r="AA278" s="384">
        <f t="shared" si="127"/>
        <v>32.186308177248598</v>
      </c>
      <c r="AB278" s="197">
        <f t="shared" si="128"/>
        <v>43729</v>
      </c>
      <c r="AC278" s="424">
        <f t="shared" si="129"/>
        <v>1.7301369406770326E-2</v>
      </c>
      <c r="AD278" s="169">
        <f>(INDEX(Models!$BJ278:$BT278,,AH278)*(1-AF278)+INDEX(Models!$BJ278:$BT278,,AH278+1)*AF278-ERP_i)*AE278*Ramure*Pc/MaxiM</f>
        <v>9.2398667941599852E-4</v>
      </c>
      <c r="AE278" s="304">
        <f t="shared" si="130"/>
        <v>0.7</v>
      </c>
      <c r="AF278" s="177">
        <f t="shared" si="131"/>
        <v>0.19333858797557246</v>
      </c>
      <c r="AG278" s="799">
        <f t="shared" si="132"/>
        <v>-1</v>
      </c>
      <c r="AH278" s="176">
        <f t="shared" si="133"/>
        <v>5</v>
      </c>
      <c r="AI278" s="224">
        <f t="shared" si="134"/>
        <v>-0.80666141202442754</v>
      </c>
      <c r="AJ278" s="264" t="b">
        <f t="shared" si="135"/>
        <v>0</v>
      </c>
      <c r="AK278" s="264" t="b">
        <f t="shared" si="136"/>
        <v>0</v>
      </c>
      <c r="AL278" s="264"/>
      <c r="AM278" s="264"/>
      <c r="AN278" s="75"/>
    </row>
    <row r="279" spans="1:40" s="6" customFormat="1" ht="11.25" x14ac:dyDescent="0.2">
      <c r="A279" s="56">
        <f t="shared" si="137"/>
        <v>43730</v>
      </c>
      <c r="B279" s="607">
        <v>12.786</v>
      </c>
      <c r="C279" s="388"/>
      <c r="D279" s="391">
        <f t="shared" si="114"/>
        <v>12.848638931446731</v>
      </c>
      <c r="E279" s="383">
        <f t="shared" si="111"/>
        <v>13.075597061089946</v>
      </c>
      <c r="F279" s="383">
        <f t="shared" si="113"/>
        <v>13.075597061089946</v>
      </c>
      <c r="G279" s="110">
        <f t="shared" si="112"/>
        <v>0.27612786531418215</v>
      </c>
      <c r="I279" s="379">
        <f t="shared" si="115"/>
        <v>13.075597061089946</v>
      </c>
      <c r="J279" s="85">
        <v>2018</v>
      </c>
      <c r="K279" s="197">
        <f t="shared" si="116"/>
        <v>43730</v>
      </c>
      <c r="L279" s="435">
        <f t="shared" si="117"/>
        <v>4.8751413889780437E-3</v>
      </c>
      <c r="M279" s="842"/>
      <c r="N279" s="842"/>
      <c r="O279" s="323">
        <f t="shared" si="118"/>
        <v>1.7357381738122839E-2</v>
      </c>
      <c r="P279" s="169">
        <f>(INDEX(Models!$BJ279:$BT279,,T279)*(1-R279)+INDEX(Models!$BJ279:$BT279,,T279+1)*R279-ERP_i)*Q279*Ramure*Pc/MaxiM</f>
        <v>7.3176255640754109E-4</v>
      </c>
      <c r="Q279" s="304">
        <f t="shared" si="119"/>
        <v>0.7</v>
      </c>
      <c r="R279" s="177">
        <f t="shared" si="120"/>
        <v>0.12923394619158834</v>
      </c>
      <c r="S279" s="799">
        <f t="shared" si="138"/>
        <v>-1</v>
      </c>
      <c r="T279" s="176">
        <f t="shared" si="121"/>
        <v>5</v>
      </c>
      <c r="U279" s="250">
        <f t="shared" si="122"/>
        <v>-0.87076605380841166</v>
      </c>
      <c r="V279" s="382">
        <f t="shared" si="123"/>
        <v>46.270750941475356</v>
      </c>
      <c r="W279" s="58"/>
      <c r="X279" s="157">
        <f t="shared" si="124"/>
        <v>43730</v>
      </c>
      <c r="Y279" s="383">
        <f t="shared" si="125"/>
        <v>12.786</v>
      </c>
      <c r="Z279" s="383">
        <f t="shared" si="126"/>
        <v>12.848638931446731</v>
      </c>
      <c r="AA279" s="384">
        <f t="shared" si="127"/>
        <v>13.075597061089946</v>
      </c>
      <c r="AB279" s="197">
        <f t="shared" si="128"/>
        <v>43730</v>
      </c>
      <c r="AC279" s="424">
        <f t="shared" si="129"/>
        <v>1.7357381738122839E-2</v>
      </c>
      <c r="AD279" s="169">
        <f>(INDEX(Models!$BJ279:$BT279,,AH279)*(1-AF279)+INDEX(Models!$BJ279:$BT279,,AH279+1)*AF279-ERP_i)*AE279*Ramure*Pc/MaxiM</f>
        <v>9.1453527035898136E-4</v>
      </c>
      <c r="AE279" s="304">
        <f t="shared" si="130"/>
        <v>0.7</v>
      </c>
      <c r="AF279" s="177">
        <f t="shared" si="131"/>
        <v>0.19356616845142049</v>
      </c>
      <c r="AG279" s="799">
        <f t="shared" si="132"/>
        <v>-1</v>
      </c>
      <c r="AH279" s="176">
        <f t="shared" si="133"/>
        <v>5</v>
      </c>
      <c r="AI279" s="224">
        <f t="shared" si="134"/>
        <v>-0.80643383154857951</v>
      </c>
      <c r="AJ279" s="264" t="b">
        <f t="shared" si="135"/>
        <v>0</v>
      </c>
      <c r="AK279" s="264" t="b">
        <f t="shared" si="136"/>
        <v>0</v>
      </c>
      <c r="AL279" s="264"/>
      <c r="AM279" s="264"/>
      <c r="AN279" s="75"/>
    </row>
    <row r="280" spans="1:40" s="6" customFormat="1" ht="11.25" x14ac:dyDescent="0.2">
      <c r="A280" s="56">
        <f t="shared" si="137"/>
        <v>43731</v>
      </c>
      <c r="B280" s="607">
        <v>38.588000000000001</v>
      </c>
      <c r="C280" s="388"/>
      <c r="D280" s="391">
        <f t="shared" si="114"/>
        <v>38.777786737486743</v>
      </c>
      <c r="E280" s="383">
        <f t="shared" si="111"/>
        <v>39.464995555087405</v>
      </c>
      <c r="F280" s="383">
        <f t="shared" si="113"/>
        <v>39.486970674676719</v>
      </c>
      <c r="G280" s="110">
        <f t="shared" si="112"/>
        <v>0.83848924674442582</v>
      </c>
      <c r="I280" s="379">
        <f t="shared" si="115"/>
        <v>39.486970674676719</v>
      </c>
      <c r="J280" s="85">
        <v>2018</v>
      </c>
      <c r="K280" s="197">
        <f t="shared" si="116"/>
        <v>43731</v>
      </c>
      <c r="L280" s="435">
        <f t="shared" si="117"/>
        <v>4.8942127298687854E-3</v>
      </c>
      <c r="M280" s="842"/>
      <c r="N280" s="842"/>
      <c r="O280" s="323">
        <f t="shared" si="118"/>
        <v>1.7413122893715278E-2</v>
      </c>
      <c r="P280" s="169">
        <f>(INDEX(Models!$BJ280:$BT280,,T280)*(1-R280)+INDEX(Models!$BJ280:$BT280,,T280+1)*R280-ERP_i)*Q280*Ramure*Pc/MaxiM</f>
        <v>7.2324529598322401E-4</v>
      </c>
      <c r="Q280" s="304">
        <f t="shared" si="119"/>
        <v>0.7</v>
      </c>
      <c r="R280" s="177">
        <f t="shared" si="120"/>
        <v>0.1294526103960405</v>
      </c>
      <c r="S280" s="799">
        <f t="shared" si="138"/>
        <v>-1</v>
      </c>
      <c r="T280" s="176">
        <f t="shared" si="121"/>
        <v>5</v>
      </c>
      <c r="U280" s="250">
        <f t="shared" si="122"/>
        <v>-0.8705473896039595</v>
      </c>
      <c r="V280" s="382">
        <f t="shared" si="123"/>
        <v>46.013187176960841</v>
      </c>
      <c r="W280" s="58"/>
      <c r="X280" s="157">
        <f t="shared" si="124"/>
        <v>43731</v>
      </c>
      <c r="Y280" s="383">
        <f t="shared" si="125"/>
        <v>38.582694585198986</v>
      </c>
      <c r="Z280" s="383">
        <f t="shared" si="126"/>
        <v>38.772455229149756</v>
      </c>
      <c r="AA280" s="384">
        <f t="shared" si="127"/>
        <v>39.459569563288404</v>
      </c>
      <c r="AB280" s="197">
        <f t="shared" si="128"/>
        <v>43731</v>
      </c>
      <c r="AC280" s="424">
        <f t="shared" si="129"/>
        <v>1.7413122893715278E-2</v>
      </c>
      <c r="AD280" s="169">
        <f>(INDEX(Models!$BJ280:$BT280,,AH280)*(1-AF280)+INDEX(Models!$BJ280:$BT280,,AH280+1)*AF280-ERP_i)*AE280*Ramure*Pc/MaxiM</f>
        <v>9.0182557759289417E-4</v>
      </c>
      <c r="AE280" s="304">
        <f t="shared" si="130"/>
        <v>0.7</v>
      </c>
      <c r="AF280" s="177">
        <f t="shared" si="131"/>
        <v>0.19378483265587265</v>
      </c>
      <c r="AG280" s="799">
        <f t="shared" si="132"/>
        <v>-1</v>
      </c>
      <c r="AH280" s="176">
        <f t="shared" si="133"/>
        <v>5</v>
      </c>
      <c r="AI280" s="224">
        <f t="shared" si="134"/>
        <v>-0.80621516734412735</v>
      </c>
      <c r="AJ280" s="264" t="b">
        <f t="shared" si="135"/>
        <v>0</v>
      </c>
      <c r="AK280" s="264" t="b">
        <f t="shared" si="136"/>
        <v>0</v>
      </c>
      <c r="AL280" s="264"/>
      <c r="AM280" s="264"/>
      <c r="AN280" s="75"/>
    </row>
    <row r="281" spans="1:40" s="6" customFormat="1" ht="11.25" x14ac:dyDescent="0.2">
      <c r="A281" s="56">
        <f t="shared" si="137"/>
        <v>43732</v>
      </c>
      <c r="B281" s="607">
        <v>31.396999999999998</v>
      </c>
      <c r="C281" s="388"/>
      <c r="D281" s="391">
        <f t="shared" si="114"/>
        <v>31.552024045611329</v>
      </c>
      <c r="E281" s="383">
        <f t="shared" si="111"/>
        <v>32.11299259309996</v>
      </c>
      <c r="F281" s="383">
        <f t="shared" si="113"/>
        <v>32.125617360812093</v>
      </c>
      <c r="G281" s="110">
        <f t="shared" si="112"/>
        <v>0.68600763212342286</v>
      </c>
      <c r="I281" s="379">
        <f t="shared" si="115"/>
        <v>32.125617360812093</v>
      </c>
      <c r="J281" s="85">
        <v>2018</v>
      </c>
      <c r="K281" s="197">
        <f t="shared" si="116"/>
        <v>43732</v>
      </c>
      <c r="L281" s="435">
        <f t="shared" si="117"/>
        <v>4.9132837052617839E-3</v>
      </c>
      <c r="M281" s="842"/>
      <c r="N281" s="842"/>
      <c r="O281" s="323">
        <f t="shared" si="118"/>
        <v>1.746858521087084E-2</v>
      </c>
      <c r="P281" s="169">
        <f>(INDEX(Models!$BJ281:$BT281,,T281)*(1-R281)+INDEX(Models!$BJ281:$BT281,,T281+1)*R281-ERP_i)*Q281*Ramure*Pc/MaxiM</f>
        <v>7.122419412999751E-4</v>
      </c>
      <c r="Q281" s="304">
        <f t="shared" si="119"/>
        <v>0.7</v>
      </c>
      <c r="R281" s="177">
        <f t="shared" si="120"/>
        <v>0.1296626982297493</v>
      </c>
      <c r="S281" s="799">
        <f t="shared" si="138"/>
        <v>-1</v>
      </c>
      <c r="T281" s="176">
        <f t="shared" si="121"/>
        <v>5</v>
      </c>
      <c r="U281" s="250">
        <f t="shared" si="122"/>
        <v>-0.8703373017702507</v>
      </c>
      <c r="V281" s="382">
        <f t="shared" si="123"/>
        <v>45.75309481118515</v>
      </c>
      <c r="W281" s="58"/>
      <c r="X281" s="157">
        <f t="shared" si="124"/>
        <v>43732</v>
      </c>
      <c r="Y281" s="383">
        <f t="shared" si="125"/>
        <v>31.39399216706169</v>
      </c>
      <c r="Z281" s="383">
        <f t="shared" si="126"/>
        <v>31.549001361367779</v>
      </c>
      <c r="AA281" s="384">
        <f t="shared" si="127"/>
        <v>32.109916168063513</v>
      </c>
      <c r="AB281" s="197">
        <f t="shared" si="128"/>
        <v>43732</v>
      </c>
      <c r="AC281" s="424">
        <f t="shared" si="129"/>
        <v>1.746858521087084E-2</v>
      </c>
      <c r="AD281" s="169">
        <f>(INDEX(Models!$BJ281:$BT281,,AH281)*(1-AF281)+INDEX(Models!$BJ281:$BT281,,AH281+1)*AF281-ERP_i)*AE281*Ramure*Pc/MaxiM</f>
        <v>8.8580227842348543E-4</v>
      </c>
      <c r="AE281" s="304">
        <f t="shared" si="130"/>
        <v>0.7</v>
      </c>
      <c r="AF281" s="177">
        <f t="shared" si="131"/>
        <v>0.19399492048958156</v>
      </c>
      <c r="AG281" s="799">
        <f t="shared" si="132"/>
        <v>-1</v>
      </c>
      <c r="AH281" s="176">
        <f t="shared" si="133"/>
        <v>5</v>
      </c>
      <c r="AI281" s="224">
        <f t="shared" si="134"/>
        <v>-0.80600507951041844</v>
      </c>
      <c r="AJ281" s="264" t="b">
        <f t="shared" si="135"/>
        <v>0</v>
      </c>
      <c r="AK281" s="264" t="b">
        <f t="shared" si="136"/>
        <v>0</v>
      </c>
      <c r="AL281" s="264"/>
      <c r="AM281" s="264"/>
      <c r="AN281" s="75"/>
    </row>
    <row r="282" spans="1:40" s="6" customFormat="1" ht="11.25" x14ac:dyDescent="0.2">
      <c r="A282" s="56">
        <f t="shared" si="137"/>
        <v>43733</v>
      </c>
      <c r="B282" s="607">
        <v>18.806000000000001</v>
      </c>
      <c r="C282" s="388"/>
      <c r="D282" s="391">
        <f t="shared" si="114"/>
        <v>18.899217637668372</v>
      </c>
      <c r="E282" s="383">
        <f t="shared" si="111"/>
        <v>19.236310139504369</v>
      </c>
      <c r="F282" s="383">
        <f t="shared" si="113"/>
        <v>19.23849136818539</v>
      </c>
      <c r="G282" s="110">
        <f t="shared" si="112"/>
        <v>0.41316129334746599</v>
      </c>
      <c r="I282" s="379">
        <f t="shared" si="115"/>
        <v>19.23849136818539</v>
      </c>
      <c r="J282" s="85">
        <v>2018</v>
      </c>
      <c r="K282" s="197">
        <f t="shared" si="116"/>
        <v>43733</v>
      </c>
      <c r="L282" s="435">
        <f t="shared" si="117"/>
        <v>4.9323543151637006E-3</v>
      </c>
      <c r="M282" s="842"/>
      <c r="N282" s="842"/>
      <c r="O282" s="323">
        <f t="shared" si="118"/>
        <v>1.752376102232479E-2</v>
      </c>
      <c r="P282" s="169">
        <f>(INDEX(Models!$BJ282:$BT282,,T282)*(1-R282)+INDEX(Models!$BJ282:$BT282,,T282+1)*R282-ERP_i)*Q282*Ramure*Pc/MaxiM</f>
        <v>6.9984319404907294E-4</v>
      </c>
      <c r="Q282" s="304">
        <f t="shared" si="119"/>
        <v>0.7</v>
      </c>
      <c r="R282" s="177">
        <f t="shared" si="120"/>
        <v>0.12986453737152392</v>
      </c>
      <c r="S282" s="799">
        <f t="shared" si="138"/>
        <v>-1</v>
      </c>
      <c r="T282" s="176">
        <f t="shared" si="121"/>
        <v>5</v>
      </c>
      <c r="U282" s="250">
        <f t="shared" si="122"/>
        <v>-0.87013546262847608</v>
      </c>
      <c r="V282" s="382">
        <f t="shared" si="123"/>
        <v>45.49063524207029</v>
      </c>
      <c r="W282" s="58"/>
      <c r="X282" s="157">
        <f t="shared" si="124"/>
        <v>43733</v>
      </c>
      <c r="Y282" s="383">
        <f t="shared" si="125"/>
        <v>18.805486795086495</v>
      </c>
      <c r="Z282" s="383">
        <f t="shared" si="126"/>
        <v>18.8987018888992</v>
      </c>
      <c r="AA282" s="384">
        <f t="shared" si="127"/>
        <v>19.235785191674886</v>
      </c>
      <c r="AB282" s="197">
        <f t="shared" si="128"/>
        <v>43733</v>
      </c>
      <c r="AC282" s="424">
        <f t="shared" si="129"/>
        <v>1.752376102232479E-2</v>
      </c>
      <c r="AD282" s="169">
        <f>(INDEX(Models!$BJ282:$BT282,,AH282)*(1-AF282)+INDEX(Models!$BJ282:$BT282,,AH282+1)*AF282-ERP_i)*AE282*Ramure*Pc/MaxiM</f>
        <v>8.6827173567408697E-4</v>
      </c>
      <c r="AE282" s="304">
        <f t="shared" si="130"/>
        <v>0.7</v>
      </c>
      <c r="AF282" s="177">
        <f t="shared" si="131"/>
        <v>0.19419675963135619</v>
      </c>
      <c r="AG282" s="799">
        <f t="shared" si="132"/>
        <v>-1</v>
      </c>
      <c r="AH282" s="176">
        <f t="shared" si="133"/>
        <v>5</v>
      </c>
      <c r="AI282" s="224">
        <f t="shared" si="134"/>
        <v>-0.80580324036864381</v>
      </c>
      <c r="AJ282" s="264" t="b">
        <f t="shared" si="135"/>
        <v>0</v>
      </c>
      <c r="AK282" s="264" t="b">
        <f t="shared" si="136"/>
        <v>0</v>
      </c>
      <c r="AL282" s="264"/>
      <c r="AM282" s="264"/>
      <c r="AN282" s="75"/>
    </row>
    <row r="283" spans="1:40" s="6" customFormat="1" ht="11.25" x14ac:dyDescent="0.2">
      <c r="A283" s="56">
        <f t="shared" si="137"/>
        <v>43734</v>
      </c>
      <c r="B283" s="607">
        <v>38.877000000000002</v>
      </c>
      <c r="C283" s="388"/>
      <c r="D283" s="391">
        <f t="shared" si="114"/>
        <v>39.070454407507356</v>
      </c>
      <c r="E283" s="383">
        <f t="shared" si="111"/>
        <v>39.769549101361328</v>
      </c>
      <c r="F283" s="383">
        <f t="shared" si="113"/>
        <v>39.791402666859739</v>
      </c>
      <c r="G283" s="110">
        <f t="shared" si="112"/>
        <v>0.85949806501593895</v>
      </c>
      <c r="I283" s="379">
        <f t="shared" si="115"/>
        <v>39.791402666859739</v>
      </c>
      <c r="J283" s="85">
        <v>2018</v>
      </c>
      <c r="K283" s="197">
        <f t="shared" si="116"/>
        <v>43734</v>
      </c>
      <c r="L283" s="435">
        <f t="shared" si="117"/>
        <v>4.9514245595818629E-3</v>
      </c>
      <c r="M283" s="842"/>
      <c r="N283" s="842"/>
      <c r="O283" s="323">
        <f t="shared" si="118"/>
        <v>1.7578642696505675E-2</v>
      </c>
      <c r="P283" s="169">
        <f>(INDEX(Models!$BJ283:$BT283,,T283)*(1-R283)+INDEX(Models!$BJ283:$BT283,,T283+1)*R283-ERP_i)*Q283*Ramure*Pc/MaxiM</f>
        <v>6.8697437496369749E-4</v>
      </c>
      <c r="Q283" s="304">
        <f t="shared" si="119"/>
        <v>0.7</v>
      </c>
      <c r="R283" s="177">
        <f t="shared" si="120"/>
        <v>0.13005844365982633</v>
      </c>
      <c r="S283" s="799">
        <f t="shared" si="138"/>
        <v>-1</v>
      </c>
      <c r="T283" s="176">
        <f t="shared" si="121"/>
        <v>5</v>
      </c>
      <c r="U283" s="250">
        <f t="shared" si="122"/>
        <v>-0.86994155634017367</v>
      </c>
      <c r="V283" s="382">
        <f t="shared" si="123"/>
        <v>45.225978403936551</v>
      </c>
      <c r="W283" s="58"/>
      <c r="X283" s="157">
        <f t="shared" si="124"/>
        <v>43734</v>
      </c>
      <c r="Y283" s="383">
        <f t="shared" si="125"/>
        <v>38.871909787210143</v>
      </c>
      <c r="Z283" s="383">
        <f t="shared" si="126"/>
        <v>39.065338865497154</v>
      </c>
      <c r="AA283" s="384">
        <f t="shared" si="127"/>
        <v>39.764342026034456</v>
      </c>
      <c r="AB283" s="197">
        <f t="shared" si="128"/>
        <v>43734</v>
      </c>
      <c r="AC283" s="424">
        <f t="shared" si="129"/>
        <v>1.7578642696505675E-2</v>
      </c>
      <c r="AD283" s="169">
        <f>(INDEX(Models!$BJ283:$BT283,,AH283)*(1-AF283)+INDEX(Models!$BJ283:$BT283,,AH283+1)*AF283-ERP_i)*AE283*Ramure*Pc/MaxiM</f>
        <v>8.5066058526784996E-4</v>
      </c>
      <c r="AE283" s="304">
        <f t="shared" si="130"/>
        <v>0.7</v>
      </c>
      <c r="AF283" s="177">
        <f t="shared" si="131"/>
        <v>0.19439066591965859</v>
      </c>
      <c r="AG283" s="799">
        <f t="shared" si="132"/>
        <v>-1</v>
      </c>
      <c r="AH283" s="176">
        <f t="shared" si="133"/>
        <v>5</v>
      </c>
      <c r="AI283" s="224">
        <f t="shared" si="134"/>
        <v>-0.80560933408034141</v>
      </c>
      <c r="AJ283" s="264" t="b">
        <f t="shared" si="135"/>
        <v>0</v>
      </c>
      <c r="AK283" s="264" t="b">
        <f t="shared" si="136"/>
        <v>0</v>
      </c>
      <c r="AL283" s="264"/>
      <c r="AM283" s="264"/>
      <c r="AN283" s="75"/>
    </row>
    <row r="284" spans="1:40" s="6" customFormat="1" ht="11.25" x14ac:dyDescent="0.2">
      <c r="A284" s="56">
        <f t="shared" si="137"/>
        <v>43735</v>
      </c>
      <c r="B284" s="607">
        <v>39.329000000000001</v>
      </c>
      <c r="C284" s="388"/>
      <c r="D284" s="391">
        <f t="shared" si="114"/>
        <v>39.525461084500577</v>
      </c>
      <c r="E284" s="383">
        <f t="shared" si="111"/>
        <v>40.234932610776234</v>
      </c>
      <c r="F284" s="383">
        <f t="shared" si="113"/>
        <v>40.257199501289676</v>
      </c>
      <c r="G284" s="110">
        <f t="shared" si="112"/>
        <v>0.87466275717349529</v>
      </c>
      <c r="I284" s="379">
        <f t="shared" si="115"/>
        <v>40.257199501289676</v>
      </c>
      <c r="J284" s="85">
        <v>2018</v>
      </c>
      <c r="K284" s="197">
        <f t="shared" si="116"/>
        <v>43735</v>
      </c>
      <c r="L284" s="435">
        <f t="shared" si="117"/>
        <v>4.9704944385231542E-3</v>
      </c>
      <c r="M284" s="842"/>
      <c r="N284" s="842"/>
      <c r="O284" s="323">
        <f t="shared" si="118"/>
        <v>1.763322268087093E-2</v>
      </c>
      <c r="P284" s="169">
        <f>(INDEX(Models!$BJ284:$BT284,,T284)*(1-R284)+INDEX(Models!$BJ284:$BT284,,T284+1)*R284-ERP_i)*Q284*Ramure*Pc/MaxiM</f>
        <v>6.7362980362579224E-4</v>
      </c>
      <c r="Q284" s="304">
        <f t="shared" si="119"/>
        <v>0.7</v>
      </c>
      <c r="R284" s="177">
        <f t="shared" si="120"/>
        <v>0.13024472146708166</v>
      </c>
      <c r="S284" s="799">
        <f t="shared" si="138"/>
        <v>-1</v>
      </c>
      <c r="T284" s="176">
        <f t="shared" si="121"/>
        <v>5</v>
      </c>
      <c r="U284" s="250">
        <f t="shared" si="122"/>
        <v>-0.86975527853291834</v>
      </c>
      <c r="V284" s="382">
        <f t="shared" si="123"/>
        <v>44.959337020638962</v>
      </c>
      <c r="W284" s="58"/>
      <c r="X284" s="157">
        <f t="shared" si="124"/>
        <v>43735</v>
      </c>
      <c r="Y284" s="383">
        <f t="shared" si="125"/>
        <v>39.323851671541526</v>
      </c>
      <c r="Z284" s="383">
        <f t="shared" si="126"/>
        <v>39.520287038475104</v>
      </c>
      <c r="AA284" s="384">
        <f t="shared" si="127"/>
        <v>40.229665691999116</v>
      </c>
      <c r="AB284" s="197">
        <f t="shared" si="128"/>
        <v>43735</v>
      </c>
      <c r="AC284" s="424">
        <f t="shared" si="129"/>
        <v>1.763322268087093E-2</v>
      </c>
      <c r="AD284" s="169">
        <f>(INDEX(Models!$BJ284:$BT284,,AH284)*(1-AF284)+INDEX(Models!$BJ284:$BT284,,AH284+1)*AF284-ERP_i)*AE284*Ramure*Pc/MaxiM</f>
        <v>8.3296742911944006E-4</v>
      </c>
      <c r="AE284" s="304">
        <f t="shared" si="130"/>
        <v>0.7</v>
      </c>
      <c r="AF284" s="177">
        <f t="shared" si="131"/>
        <v>0.19457694372691392</v>
      </c>
      <c r="AG284" s="799">
        <f t="shared" si="132"/>
        <v>-1</v>
      </c>
      <c r="AH284" s="176">
        <f t="shared" si="133"/>
        <v>5</v>
      </c>
      <c r="AI284" s="224">
        <f t="shared" si="134"/>
        <v>-0.80542305627308608</v>
      </c>
      <c r="AJ284" s="264" t="b">
        <f t="shared" si="135"/>
        <v>0</v>
      </c>
      <c r="AK284" s="264" t="b">
        <f t="shared" si="136"/>
        <v>0</v>
      </c>
      <c r="AL284" s="264"/>
      <c r="AM284" s="264"/>
      <c r="AN284" s="75"/>
    </row>
    <row r="285" spans="1:40" s="6" customFormat="1" ht="11.25" x14ac:dyDescent="0.2">
      <c r="A285" s="56">
        <f t="shared" si="137"/>
        <v>43736</v>
      </c>
      <c r="B285" s="607">
        <v>28.321999999999999</v>
      </c>
      <c r="C285" s="388"/>
      <c r="D285" s="391">
        <f t="shared" si="114"/>
        <v>28.464023063405911</v>
      </c>
      <c r="E285" s="383">
        <f t="shared" si="111"/>
        <v>28.976545525432812</v>
      </c>
      <c r="F285" s="383">
        <f t="shared" si="113"/>
        <v>28.985663444672685</v>
      </c>
      <c r="G285" s="110">
        <f t="shared" si="112"/>
        <v>0.63351161148738233</v>
      </c>
      <c r="I285" s="379">
        <f t="shared" si="115"/>
        <v>28.985663444672685</v>
      </c>
      <c r="J285" s="85">
        <v>2018</v>
      </c>
      <c r="K285" s="197">
        <f t="shared" si="116"/>
        <v>43736</v>
      </c>
      <c r="L285" s="435">
        <f t="shared" si="117"/>
        <v>4.9895639519945689E-3</v>
      </c>
      <c r="M285" s="842"/>
      <c r="N285" s="842"/>
      <c r="O285" s="323">
        <f t="shared" si="118"/>
        <v>1.7687493548085631E-2</v>
      </c>
      <c r="P285" s="169">
        <f>(INDEX(Models!$BJ285:$BT285,,T285)*(1-R285)+INDEX(Models!$BJ285:$BT285,,T285+1)*R285-ERP_i)*Q285*Ramure*Pc/MaxiM</f>
        <v>6.598035972874885E-4</v>
      </c>
      <c r="Q285" s="304">
        <f t="shared" si="119"/>
        <v>0.7</v>
      </c>
      <c r="R285" s="177">
        <f t="shared" si="120"/>
        <v>0.13042366406651107</v>
      </c>
      <c r="S285" s="799">
        <f t="shared" si="138"/>
        <v>-1</v>
      </c>
      <c r="T285" s="176">
        <f t="shared" si="121"/>
        <v>5</v>
      </c>
      <c r="U285" s="250">
        <f t="shared" si="122"/>
        <v>-0.86957633593348893</v>
      </c>
      <c r="V285" s="382">
        <f t="shared" si="123"/>
        <v>44.69092374210458</v>
      </c>
      <c r="W285" s="58"/>
      <c r="X285" s="157">
        <f t="shared" si="124"/>
        <v>43736</v>
      </c>
      <c r="Y285" s="383">
        <f t="shared" si="125"/>
        <v>28.319901185826414</v>
      </c>
      <c r="Z285" s="383">
        <f t="shared" si="126"/>
        <v>28.461913724551213</v>
      </c>
      <c r="AA285" s="384">
        <f t="shared" si="127"/>
        <v>28.974398205877332</v>
      </c>
      <c r="AB285" s="197">
        <f t="shared" si="128"/>
        <v>43736</v>
      </c>
      <c r="AC285" s="424">
        <f t="shared" si="129"/>
        <v>1.7687493548085631E-2</v>
      </c>
      <c r="AD285" s="169">
        <f>(INDEX(Models!$BJ285:$BT285,,AH285)*(1-AF285)+INDEX(Models!$BJ285:$BT285,,AH285+1)*AF285-ERP_i)*AE285*Ramure*Pc/MaxiM</f>
        <v>8.1519093182707929E-4</v>
      </c>
      <c r="AE285" s="304">
        <f t="shared" si="130"/>
        <v>0.7</v>
      </c>
      <c r="AF285" s="177">
        <f t="shared" si="131"/>
        <v>0.19475588632634322</v>
      </c>
      <c r="AG285" s="799">
        <f t="shared" si="132"/>
        <v>-1</v>
      </c>
      <c r="AH285" s="176">
        <f t="shared" si="133"/>
        <v>5</v>
      </c>
      <c r="AI285" s="224">
        <f t="shared" si="134"/>
        <v>-0.80524411367365678</v>
      </c>
      <c r="AJ285" s="264" t="b">
        <f t="shared" si="135"/>
        <v>0</v>
      </c>
      <c r="AK285" s="264" t="b">
        <f t="shared" si="136"/>
        <v>0</v>
      </c>
      <c r="AL285" s="264"/>
      <c r="AM285" s="264"/>
      <c r="AN285" s="75"/>
    </row>
    <row r="286" spans="1:40" s="6" customFormat="1" ht="11.25" x14ac:dyDescent="0.2">
      <c r="A286" s="56">
        <f t="shared" si="137"/>
        <v>43737</v>
      </c>
      <c r="B286" s="607">
        <v>44.42</v>
      </c>
      <c r="C286" s="388"/>
      <c r="D286" s="391">
        <f t="shared" si="114"/>
        <v>44.643603429842116</v>
      </c>
      <c r="E286" s="383">
        <f t="shared" si="111"/>
        <v>45.449951380904878</v>
      </c>
      <c r="F286" s="383">
        <f t="shared" si="113"/>
        <v>45.479306908151436</v>
      </c>
      <c r="G286" s="110">
        <f t="shared" si="112"/>
        <v>0.99997856820711983</v>
      </c>
      <c r="I286" s="379">
        <f t="shared" si="115"/>
        <v>45.479306908151436</v>
      </c>
      <c r="J286" s="85">
        <v>2018</v>
      </c>
      <c r="K286" s="197">
        <f t="shared" si="116"/>
        <v>43737</v>
      </c>
      <c r="L286" s="435">
        <f t="shared" si="117"/>
        <v>5.0086331000029904E-3</v>
      </c>
      <c r="M286" s="842"/>
      <c r="N286" s="842"/>
      <c r="O286" s="323">
        <f t="shared" si="118"/>
        <v>1.7741448044794567E-2</v>
      </c>
      <c r="P286" s="169">
        <f>(INDEX(Models!$BJ286:$BT286,,T286)*(1-R286)+INDEX(Models!$BJ286:$BT286,,T286+1)*R286-ERP_i)*Q286*Ramure*Pc/MaxiM</f>
        <v>6.4548972301755702E-4</v>
      </c>
      <c r="Q286" s="304">
        <f t="shared" si="119"/>
        <v>0.7</v>
      </c>
      <c r="R286" s="177">
        <f t="shared" si="120"/>
        <v>0.13059555399123923</v>
      </c>
      <c r="S286" s="799">
        <f t="shared" si="138"/>
        <v>-1</v>
      </c>
      <c r="T286" s="176">
        <f t="shared" si="121"/>
        <v>5</v>
      </c>
      <c r="U286" s="250">
        <f t="shared" si="122"/>
        <v>-0.86940444600876077</v>
      </c>
      <c r="V286" s="382">
        <f t="shared" si="123"/>
        <v>44.42095114300097</v>
      </c>
      <c r="W286" s="58"/>
      <c r="X286" s="157">
        <f t="shared" si="124"/>
        <v>43737</v>
      </c>
      <c r="Y286" s="383">
        <f t="shared" si="125"/>
        <v>44.413251111531515</v>
      </c>
      <c r="Z286" s="383">
        <f t="shared" si="126"/>
        <v>44.636820568509847</v>
      </c>
      <c r="AA286" s="384">
        <f t="shared" si="127"/>
        <v>45.443046008262648</v>
      </c>
      <c r="AB286" s="197">
        <f t="shared" si="128"/>
        <v>43737</v>
      </c>
      <c r="AC286" s="424">
        <f t="shared" si="129"/>
        <v>1.7741448044794567E-2</v>
      </c>
      <c r="AD286" s="169">
        <f>(INDEX(Models!$BJ286:$BT286,,AH286)*(1-AF286)+INDEX(Models!$BJ286:$BT286,,AH286+1)*AF286-ERP_i)*AE286*Ramure*Pc/MaxiM</f>
        <v>7.9732985304576624E-4</v>
      </c>
      <c r="AE286" s="304">
        <f t="shared" si="130"/>
        <v>0.7</v>
      </c>
      <c r="AF286" s="177">
        <f t="shared" si="131"/>
        <v>0.19492777625107149</v>
      </c>
      <c r="AG286" s="799">
        <f t="shared" si="132"/>
        <v>-1</v>
      </c>
      <c r="AH286" s="176">
        <f t="shared" si="133"/>
        <v>5</v>
      </c>
      <c r="AI286" s="224">
        <f t="shared" si="134"/>
        <v>-0.80507222374892851</v>
      </c>
      <c r="AJ286" s="264" t="b">
        <f t="shared" si="135"/>
        <v>0</v>
      </c>
      <c r="AK286" s="264" t="b">
        <f t="shared" si="136"/>
        <v>0</v>
      </c>
      <c r="AL286" s="264"/>
      <c r="AM286" s="264"/>
      <c r="AN286" s="75"/>
    </row>
    <row r="287" spans="1:40" s="6" customFormat="1" ht="11.25" x14ac:dyDescent="0.2">
      <c r="A287" s="56">
        <f t="shared" si="137"/>
        <v>43738</v>
      </c>
      <c r="B287" s="607">
        <v>22.254999999999999</v>
      </c>
      <c r="C287" s="388"/>
      <c r="D287" s="391">
        <f t="shared" si="114"/>
        <v>22.367456905190206</v>
      </c>
      <c r="E287" s="383">
        <f t="shared" si="111"/>
        <v>22.772698884126086</v>
      </c>
      <c r="F287" s="383">
        <f t="shared" si="113"/>
        <v>22.776886914541215</v>
      </c>
      <c r="G287" s="110">
        <f t="shared" si="112"/>
        <v>0.50385594501728026</v>
      </c>
      <c r="I287" s="379">
        <f t="shared" si="115"/>
        <v>22.776886914541215</v>
      </c>
      <c r="J287" s="85">
        <v>2018</v>
      </c>
      <c r="K287" s="197">
        <f t="shared" si="116"/>
        <v>43738</v>
      </c>
      <c r="L287" s="435">
        <f t="shared" si="117"/>
        <v>5.0277018825556352E-3</v>
      </c>
      <c r="M287" s="842"/>
      <c r="N287" s="842"/>
      <c r="O287" s="323">
        <f t="shared" si="118"/>
        <v>1.7795079142699094E-2</v>
      </c>
      <c r="P287" s="169">
        <f>(INDEX(Models!$BJ287:$BT287,,T287)*(1-R287)+INDEX(Models!$BJ287:$BT287,,T287+1)*R287-ERP_i)*Q287*Ramure*Pc/MaxiM</f>
        <v>6.3068204949493975E-4</v>
      </c>
      <c r="Q287" s="304">
        <f t="shared" si="119"/>
        <v>0.7</v>
      </c>
      <c r="R287" s="177">
        <f t="shared" si="120"/>
        <v>0.13076066338548642</v>
      </c>
      <c r="S287" s="799">
        <f t="shared" si="138"/>
        <v>-1</v>
      </c>
      <c r="T287" s="176">
        <f t="shared" si="121"/>
        <v>5</v>
      </c>
      <c r="U287" s="250">
        <f t="shared" si="122"/>
        <v>-0.86923933661451358</v>
      </c>
      <c r="V287" s="382">
        <f t="shared" si="123"/>
        <v>44.14963171976872</v>
      </c>
      <c r="W287" s="58"/>
      <c r="X287" s="157">
        <f t="shared" si="124"/>
        <v>43738</v>
      </c>
      <c r="Y287" s="383">
        <f t="shared" si="125"/>
        <v>22.254035001971861</v>
      </c>
      <c r="Z287" s="383">
        <f t="shared" si="126"/>
        <v>22.366487030923391</v>
      </c>
      <c r="AA287" s="384">
        <f t="shared" si="127"/>
        <v>22.771711438180517</v>
      </c>
      <c r="AB287" s="197">
        <f t="shared" si="128"/>
        <v>43738</v>
      </c>
      <c r="AC287" s="424">
        <f t="shared" si="129"/>
        <v>1.7795079142699094E-2</v>
      </c>
      <c r="AD287" s="169">
        <f>(INDEX(Models!$BJ287:$BT287,,AH287)*(1-AF287)+INDEX(Models!$BJ287:$BT287,,AH287+1)*AF287-ERP_i)*AE287*Ramure*Pc/MaxiM</f>
        <v>7.7938307861538929E-4</v>
      </c>
      <c r="AE287" s="304">
        <f t="shared" si="130"/>
        <v>0.7</v>
      </c>
      <c r="AF287" s="177">
        <f t="shared" si="131"/>
        <v>0.19509288564531868</v>
      </c>
      <c r="AG287" s="799">
        <f t="shared" si="132"/>
        <v>-1</v>
      </c>
      <c r="AH287" s="176">
        <f t="shared" si="133"/>
        <v>5</v>
      </c>
      <c r="AI287" s="224">
        <f t="shared" si="134"/>
        <v>-0.80490711435468132</v>
      </c>
      <c r="AJ287" s="264" t="b">
        <f t="shared" si="135"/>
        <v>0</v>
      </c>
      <c r="AK287" s="264" t="b">
        <f t="shared" si="136"/>
        <v>0</v>
      </c>
      <c r="AL287" s="264"/>
      <c r="AM287" s="264"/>
      <c r="AN287" s="75"/>
    </row>
    <row r="288" spans="1:40" s="6" customFormat="1" ht="11.25" x14ac:dyDescent="0.2">
      <c r="A288" s="56">
        <f t="shared" si="137"/>
        <v>43739</v>
      </c>
      <c r="B288" s="607">
        <v>37.947000000000003</v>
      </c>
      <c r="C288" s="388"/>
      <c r="D288" s="391">
        <f t="shared" si="114"/>
        <v>38.13948120096947</v>
      </c>
      <c r="E288" s="383">
        <f t="shared" si="111"/>
        <v>38.832579845998836</v>
      </c>
      <c r="F288" s="383">
        <f t="shared" si="113"/>
        <v>38.851872117318351</v>
      </c>
      <c r="G288" s="110">
        <f t="shared" si="112"/>
        <v>0.86474315177400718</v>
      </c>
      <c r="I288" s="379">
        <f t="shared" si="115"/>
        <v>38.851872117318351</v>
      </c>
      <c r="J288" s="85">
        <v>2018</v>
      </c>
      <c r="K288" s="197">
        <f t="shared" si="116"/>
        <v>43739</v>
      </c>
      <c r="L288" s="435">
        <f t="shared" si="117"/>
        <v>5.0467702996593866E-3</v>
      </c>
      <c r="M288" s="842"/>
      <c r="N288" s="842"/>
      <c r="O288" s="323">
        <f t="shared" si="118"/>
        <v>1.784838009161473E-2</v>
      </c>
      <c r="P288" s="169">
        <f>(INDEX(Models!$BJ288:$BT288,,T288)*(1-R288)+INDEX(Models!$BJ288:$BT288,,T288+1)*R288-ERP_i)*Q288*Ramure*Pc/MaxiM</f>
        <v>6.153743983681743E-4</v>
      </c>
      <c r="Q288" s="304">
        <f t="shared" si="119"/>
        <v>0.7</v>
      </c>
      <c r="R288" s="177">
        <f t="shared" si="120"/>
        <v>0.13091925434768503</v>
      </c>
      <c r="S288" s="799">
        <f t="shared" si="138"/>
        <v>-1</v>
      </c>
      <c r="T288" s="176">
        <f t="shared" si="121"/>
        <v>5</v>
      </c>
      <c r="U288" s="250">
        <f t="shared" si="122"/>
        <v>-0.86908074565231497</v>
      </c>
      <c r="V288" s="382">
        <f t="shared" si="123"/>
        <v>43.877177886043846</v>
      </c>
      <c r="W288" s="58"/>
      <c r="X288" s="157">
        <f t="shared" si="124"/>
        <v>43739</v>
      </c>
      <c r="Y288" s="383">
        <f t="shared" si="125"/>
        <v>37.942527973443823</v>
      </c>
      <c r="Z288" s="383">
        <f t="shared" si="126"/>
        <v>38.13498649064271</v>
      </c>
      <c r="AA288" s="384">
        <f t="shared" si="127"/>
        <v>38.8280034544971</v>
      </c>
      <c r="AB288" s="197">
        <f t="shared" si="128"/>
        <v>43739</v>
      </c>
      <c r="AC288" s="424">
        <f t="shared" si="129"/>
        <v>1.784838009161473E-2</v>
      </c>
      <c r="AD288" s="169">
        <f>(INDEX(Models!$BJ288:$BT288,,AH288)*(1-AF288)+INDEX(Models!$BJ288:$BT288,,AH288+1)*AF288-ERP_i)*AE288*Ramure*Pc/MaxiM</f>
        <v>7.6134965034524861E-4</v>
      </c>
      <c r="AE288" s="304">
        <f t="shared" si="130"/>
        <v>0.7</v>
      </c>
      <c r="AF288" s="177">
        <f t="shared" si="131"/>
        <v>0.19525147660751729</v>
      </c>
      <c r="AG288" s="799">
        <f t="shared" si="132"/>
        <v>-1</v>
      </c>
      <c r="AH288" s="176">
        <f t="shared" si="133"/>
        <v>5</v>
      </c>
      <c r="AI288" s="224">
        <f t="shared" si="134"/>
        <v>-0.80474852339248271</v>
      </c>
      <c r="AJ288" s="264" t="b">
        <f t="shared" si="135"/>
        <v>0</v>
      </c>
      <c r="AK288" s="264" t="b">
        <f t="shared" si="136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37"/>
        <v>43740</v>
      </c>
      <c r="B289" s="607">
        <v>22.34</v>
      </c>
      <c r="C289" s="388"/>
      <c r="D289" s="391">
        <f t="shared" si="114"/>
        <v>22.453747052951712</v>
      </c>
      <c r="E289" s="383">
        <f t="shared" si="111"/>
        <v>22.863025956317212</v>
      </c>
      <c r="F289" s="383">
        <f t="shared" si="113"/>
        <v>22.867185351706897</v>
      </c>
      <c r="G289" s="110">
        <f t="shared" si="112"/>
        <v>0.51214365273225271</v>
      </c>
      <c r="I289" s="379">
        <f t="shared" si="115"/>
        <v>22.867185351706897</v>
      </c>
      <c r="J289" s="85">
        <v>2018</v>
      </c>
      <c r="K289" s="197">
        <f t="shared" si="116"/>
        <v>43740</v>
      </c>
      <c r="L289" s="435">
        <f t="shared" si="117"/>
        <v>5.0658383513213501E-3</v>
      </c>
      <c r="M289" s="842"/>
      <c r="N289" s="842"/>
      <c r="O289" s="323">
        <f t="shared" si="118"/>
        <v>1.7901344474151325E-2</v>
      </c>
      <c r="P289" s="169">
        <f>(INDEX(Models!$BJ289:$BT289,,T289)*(1-R289)+INDEX(Models!$BJ289:$BT289,,T289+1)*R289-ERP_i)*Q289*Ramure*Pc/MaxiM</f>
        <v>5.9958053843662098E-4</v>
      </c>
      <c r="Q289" s="304">
        <f t="shared" si="119"/>
        <v>0.7</v>
      </c>
      <c r="R289" s="177">
        <f t="shared" si="120"/>
        <v>0.13107157926541013</v>
      </c>
      <c r="S289" s="799">
        <f t="shared" si="138"/>
        <v>-1</v>
      </c>
      <c r="T289" s="176">
        <f t="shared" si="121"/>
        <v>5</v>
      </c>
      <c r="U289" s="250">
        <f t="shared" si="122"/>
        <v>-0.86892842073458987</v>
      </c>
      <c r="V289" s="382">
        <f t="shared" si="123"/>
        <v>43.602350742392503</v>
      </c>
      <c r="W289" s="58"/>
      <c r="X289" s="157">
        <f t="shared" si="124"/>
        <v>43740</v>
      </c>
      <c r="Y289" s="383">
        <f t="shared" si="125"/>
        <v>22.339026115997697</v>
      </c>
      <c r="Z289" s="383">
        <f t="shared" si="126"/>
        <v>22.452768210290717</v>
      </c>
      <c r="AA289" s="384">
        <f t="shared" si="127"/>
        <v>22.862029271660852</v>
      </c>
      <c r="AB289" s="197">
        <f t="shared" si="128"/>
        <v>43740</v>
      </c>
      <c r="AC289" s="424">
        <f t="shared" si="129"/>
        <v>1.7901344474151325E-2</v>
      </c>
      <c r="AD289" s="169">
        <f>(INDEX(Models!$BJ289:$BT289,,AH289)*(1-AF289)+INDEX(Models!$BJ289:$BT289,,AH289+1)*AF289-ERP_i)*AE289*Ramure*Pc/MaxiM</f>
        <v>7.4325351657989164E-4</v>
      </c>
      <c r="AE289" s="304">
        <f t="shared" si="130"/>
        <v>0.7</v>
      </c>
      <c r="AF289" s="177">
        <f t="shared" si="131"/>
        <v>0.19540380152524239</v>
      </c>
      <c r="AG289" s="799">
        <f t="shared" si="132"/>
        <v>-1</v>
      </c>
      <c r="AH289" s="176">
        <f t="shared" si="133"/>
        <v>5</v>
      </c>
      <c r="AI289" s="224">
        <f t="shared" si="134"/>
        <v>-0.80459619847475761</v>
      </c>
      <c r="AJ289" s="264" t="b">
        <f t="shared" si="135"/>
        <v>0</v>
      </c>
      <c r="AK289" s="264" t="b">
        <f t="shared" si="136"/>
        <v>0</v>
      </c>
      <c r="AL289" s="264"/>
      <c r="AM289" s="264"/>
      <c r="AN289" s="75"/>
    </row>
    <row r="290" spans="1:40" s="6" customFormat="1" ht="11.25" x14ac:dyDescent="0.2">
      <c r="A290" s="56">
        <f t="shared" si="137"/>
        <v>43741</v>
      </c>
      <c r="B290" s="607">
        <v>30.451000000000001</v>
      </c>
      <c r="C290" s="388"/>
      <c r="D290" s="391">
        <f t="shared" si="114"/>
        <v>30.606631847068179</v>
      </c>
      <c r="E290" s="383">
        <f t="shared" si="111"/>
        <v>31.166188544703271</v>
      </c>
      <c r="F290" s="383">
        <f t="shared" si="113"/>
        <v>31.176737520851219</v>
      </c>
      <c r="G290" s="110">
        <f t="shared" si="112"/>
        <v>0.70269368118635589</v>
      </c>
      <c r="I290" s="379">
        <f t="shared" si="115"/>
        <v>31.176737520851219</v>
      </c>
      <c r="J290" s="85">
        <v>2018</v>
      </c>
      <c r="K290" s="197">
        <f t="shared" si="116"/>
        <v>43741</v>
      </c>
      <c r="L290" s="435">
        <f t="shared" si="117"/>
        <v>5.084906037548409E-3</v>
      </c>
      <c r="M290" s="842"/>
      <c r="N290" s="842"/>
      <c r="O290" s="323">
        <f t="shared" si="118"/>
        <v>1.7953966261626535E-2</v>
      </c>
      <c r="P290" s="169">
        <f>(INDEX(Models!$BJ290:$BT290,,T290)*(1-R290)+INDEX(Models!$BJ290:$BT290,,T290+1)*R290-ERP_i)*Q290*Ramure*Pc/MaxiM</f>
        <v>5.8791383200457409E-4</v>
      </c>
      <c r="Q290" s="304">
        <f t="shared" si="119"/>
        <v>0.7</v>
      </c>
      <c r="R290" s="177">
        <f t="shared" si="120"/>
        <v>0.13121788114204058</v>
      </c>
      <c r="S290" s="799">
        <f t="shared" si="138"/>
        <v>-1</v>
      </c>
      <c r="T290" s="176">
        <f t="shared" si="121"/>
        <v>5</v>
      </c>
      <c r="U290" s="250">
        <f t="shared" si="122"/>
        <v>-0.86878211885795942</v>
      </c>
      <c r="V290" s="382">
        <f t="shared" si="123"/>
        <v>43.323853756060139</v>
      </c>
      <c r="W290" s="58"/>
      <c r="X290" s="157">
        <f t="shared" si="124"/>
        <v>43741</v>
      </c>
      <c r="Y290" s="383">
        <f t="shared" si="125"/>
        <v>30.448486835907374</v>
      </c>
      <c r="Z290" s="383">
        <f t="shared" si="126"/>
        <v>30.604105838459127</v>
      </c>
      <c r="AA290" s="384">
        <f t="shared" si="127"/>
        <v>31.16361635508866</v>
      </c>
      <c r="AB290" s="197">
        <f t="shared" si="128"/>
        <v>43741</v>
      </c>
      <c r="AC290" s="424">
        <f t="shared" si="129"/>
        <v>1.7953966261626535E-2</v>
      </c>
      <c r="AD290" s="169">
        <f>(INDEX(Models!$BJ290:$BT290,,AH290)*(1-AF290)+INDEX(Models!$BJ290:$BT290,,AH290+1)*AF290-ERP_i)*AE290*Ramure*Pc/MaxiM</f>
        <v>7.3126668746257921E-4</v>
      </c>
      <c r="AE290" s="304">
        <f t="shared" si="130"/>
        <v>0.7</v>
      </c>
      <c r="AF290" s="177">
        <f t="shared" si="131"/>
        <v>0.19555010340187273</v>
      </c>
      <c r="AG290" s="799">
        <f t="shared" si="132"/>
        <v>-1</v>
      </c>
      <c r="AH290" s="176">
        <f t="shared" si="133"/>
        <v>5</v>
      </c>
      <c r="AI290" s="224">
        <f t="shared" si="134"/>
        <v>-0.80444989659812727</v>
      </c>
      <c r="AJ290" s="264" t="b">
        <f t="shared" si="135"/>
        <v>0</v>
      </c>
      <c r="AK290" s="264" t="b">
        <f t="shared" si="136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37"/>
        <v>43742</v>
      </c>
      <c r="B291" s="607">
        <v>13.276</v>
      </c>
      <c r="C291" s="388"/>
      <c r="D291" s="391">
        <f t="shared" si="114"/>
        <v>13.344107971577847</v>
      </c>
      <c r="E291" s="383">
        <f t="shared" si="111"/>
        <v>13.588791001912384</v>
      </c>
      <c r="F291" s="383">
        <f t="shared" si="113"/>
        <v>13.588886382117234</v>
      </c>
      <c r="G291" s="110">
        <f t="shared" si="112"/>
        <v>0.30826524090629037</v>
      </c>
      <c r="I291" s="379">
        <f t="shared" si="115"/>
        <v>13.588886382117234</v>
      </c>
      <c r="J291" s="85">
        <v>2018</v>
      </c>
      <c r="K291" s="197">
        <f t="shared" si="116"/>
        <v>43742</v>
      </c>
      <c r="L291" s="435">
        <f t="shared" si="117"/>
        <v>5.1039733583475577E-3</v>
      </c>
      <c r="M291" s="842"/>
      <c r="N291" s="842"/>
      <c r="O291" s="323">
        <f t="shared" si="118"/>
        <v>1.8006239870795183E-2</v>
      </c>
      <c r="P291" s="169">
        <f>(INDEX(Models!$BJ291:$BT291,,T291)*(1-R291)+INDEX(Models!$BJ291:$BT291,,T291+1)*R291-ERP_i)*Q291*Ramure*Pc/MaxiM</f>
        <v>5.8196548962003976E-4</v>
      </c>
      <c r="Q291" s="304">
        <f t="shared" si="119"/>
        <v>0.7</v>
      </c>
      <c r="R291" s="177">
        <f t="shared" si="120"/>
        <v>0.13135839391510495</v>
      </c>
      <c r="S291" s="799">
        <f t="shared" si="138"/>
        <v>-1</v>
      </c>
      <c r="T291" s="176">
        <f t="shared" si="121"/>
        <v>5</v>
      </c>
      <c r="U291" s="250">
        <f t="shared" si="122"/>
        <v>-0.86864160608489505</v>
      </c>
      <c r="V291" s="382">
        <f t="shared" si="123"/>
        <v>43.042046899723964</v>
      </c>
      <c r="W291" s="58"/>
      <c r="X291" s="157">
        <f t="shared" si="124"/>
        <v>43742</v>
      </c>
      <c r="Y291" s="383">
        <f t="shared" si="125"/>
        <v>13.27597672581318</v>
      </c>
      <c r="Z291" s="383">
        <f t="shared" si="126"/>
        <v>13.344084577990781</v>
      </c>
      <c r="AA291" s="384">
        <f t="shared" si="127"/>
        <v>13.588767179370922</v>
      </c>
      <c r="AB291" s="197">
        <f t="shared" si="128"/>
        <v>43742</v>
      </c>
      <c r="AC291" s="424">
        <f t="shared" si="129"/>
        <v>1.8006239870795183E-2</v>
      </c>
      <c r="AD291" s="169">
        <f>(INDEX(Models!$BJ291:$BT291,,AH291)*(1-AF291)+INDEX(Models!$BJ291:$BT291,,AH291+1)*AF291-ERP_i)*AE291*Ramure*Pc/MaxiM</f>
        <v>7.2731951802849622E-4</v>
      </c>
      <c r="AE291" s="304">
        <f t="shared" si="130"/>
        <v>0.7</v>
      </c>
      <c r="AF291" s="177">
        <f t="shared" si="131"/>
        <v>0.19569061617493722</v>
      </c>
      <c r="AG291" s="799">
        <f t="shared" si="132"/>
        <v>-1</v>
      </c>
      <c r="AH291" s="176">
        <f t="shared" si="133"/>
        <v>5</v>
      </c>
      <c r="AI291" s="224">
        <f t="shared" si="134"/>
        <v>-0.80430938382506278</v>
      </c>
      <c r="AJ291" s="264" t="b">
        <f t="shared" si="135"/>
        <v>0</v>
      </c>
      <c r="AK291" s="264" t="b">
        <f t="shared" si="136"/>
        <v>0</v>
      </c>
      <c r="AL291" s="264"/>
      <c r="AM291" s="264"/>
      <c r="AN291" s="75"/>
    </row>
    <row r="292" spans="1:40" s="6" customFormat="1" ht="11.25" x14ac:dyDescent="0.2">
      <c r="A292" s="56">
        <f t="shared" si="137"/>
        <v>43743</v>
      </c>
      <c r="B292" s="607">
        <v>37.548999999999999</v>
      </c>
      <c r="C292" s="388"/>
      <c r="D292" s="391">
        <f t="shared" si="114"/>
        <v>37.742355609321535</v>
      </c>
      <c r="E292" s="383">
        <f t="shared" si="111"/>
        <v>38.436447129917759</v>
      </c>
      <c r="F292" s="383">
        <f t="shared" si="113"/>
        <v>38.454927984098589</v>
      </c>
      <c r="G292" s="110">
        <f t="shared" si="112"/>
        <v>0.87809911778286187</v>
      </c>
      <c r="I292" s="379">
        <f t="shared" si="115"/>
        <v>38.454927984098589</v>
      </c>
      <c r="J292" s="85">
        <v>2018</v>
      </c>
      <c r="K292" s="197">
        <f t="shared" si="116"/>
        <v>43743</v>
      </c>
      <c r="L292" s="435">
        <f t="shared" si="117"/>
        <v>5.1230403137259017E-3</v>
      </c>
      <c r="M292" s="842"/>
      <c r="N292" s="842"/>
      <c r="O292" s="323">
        <f t="shared" si="118"/>
        <v>1.8058160220952548E-2</v>
      </c>
      <c r="P292" s="169">
        <f>(INDEX(Models!$BJ292:$BT292,,T292)*(1-R292)+INDEX(Models!$BJ292:$BT292,,T292+1)*R292-ERP_i)*Q292*Ramure*Pc/MaxiM</f>
        <v>5.818338001639244E-4</v>
      </c>
      <c r="Q292" s="304">
        <f t="shared" si="119"/>
        <v>0.7</v>
      </c>
      <c r="R292" s="177">
        <f t="shared" si="120"/>
        <v>0.13149334276629032</v>
      </c>
      <c r="S292" s="799">
        <f t="shared" si="138"/>
        <v>-1</v>
      </c>
      <c r="T292" s="176">
        <f t="shared" si="121"/>
        <v>5</v>
      </c>
      <c r="U292" s="250">
        <f t="shared" si="122"/>
        <v>-0.86850665723370968</v>
      </c>
      <c r="V292" s="382">
        <f t="shared" si="123"/>
        <v>42.757355762326824</v>
      </c>
      <c r="W292" s="58"/>
      <c r="X292" s="157">
        <f t="shared" si="124"/>
        <v>43743</v>
      </c>
      <c r="Y292" s="383">
        <f t="shared" si="125"/>
        <v>37.544354490143093</v>
      </c>
      <c r="Z292" s="383">
        <f t="shared" si="126"/>
        <v>37.737686177778592</v>
      </c>
      <c r="AA292" s="384">
        <f t="shared" si="127"/>
        <v>38.431691826340931</v>
      </c>
      <c r="AB292" s="197">
        <f t="shared" si="128"/>
        <v>43743</v>
      </c>
      <c r="AC292" s="424">
        <f t="shared" si="129"/>
        <v>1.8058160220952548E-2</v>
      </c>
      <c r="AD292" s="169">
        <f>(INDEX(Models!$BJ292:$BT292,,AH292)*(1-AF292)+INDEX(Models!$BJ292:$BT292,,AH292+1)*AF292-ERP_i)*AE292*Ramure*Pc/MaxiM</f>
        <v>7.3154529747719457E-4</v>
      </c>
      <c r="AE292" s="304">
        <f t="shared" si="130"/>
        <v>0.7</v>
      </c>
      <c r="AF292" s="177">
        <f t="shared" si="131"/>
        <v>0.19582556502612247</v>
      </c>
      <c r="AG292" s="799">
        <f t="shared" si="132"/>
        <v>-1</v>
      </c>
      <c r="AH292" s="176">
        <f t="shared" si="133"/>
        <v>5</v>
      </c>
      <c r="AI292" s="224">
        <f t="shared" si="134"/>
        <v>-0.80417443497387753</v>
      </c>
      <c r="AJ292" s="264" t="b">
        <f t="shared" si="135"/>
        <v>0</v>
      </c>
      <c r="AK292" s="264" t="b">
        <f t="shared" si="136"/>
        <v>0</v>
      </c>
      <c r="AL292" s="264"/>
      <c r="AM292" s="264"/>
      <c r="AN292" s="75"/>
    </row>
    <row r="293" spans="1:40" s="6" customFormat="1" ht="11.25" x14ac:dyDescent="0.2">
      <c r="A293" s="56">
        <f t="shared" si="137"/>
        <v>43744</v>
      </c>
      <c r="B293" s="607">
        <v>20.202000000000002</v>
      </c>
      <c r="C293" s="388"/>
      <c r="D293" s="391">
        <f t="shared" si="114"/>
        <v>20.306417771009531</v>
      </c>
      <c r="E293" s="383">
        <f t="shared" si="111"/>
        <v>20.680943932685611</v>
      </c>
      <c r="F293" s="383">
        <f t="shared" ref="F293:F324" si="139">Wh_sa/(1-Pvg*MEDIAN((-Sdif+Wh/Env_an)/Csdif,0,1))</f>
        <v>20.683994223241235</v>
      </c>
      <c r="G293" s="110">
        <f t="shared" si="112"/>
        <v>0.47546524417933878</v>
      </c>
      <c r="I293" s="379">
        <f t="shared" si="115"/>
        <v>20.683994223241235</v>
      </c>
      <c r="J293" s="85">
        <v>2018</v>
      </c>
      <c r="K293" s="197">
        <f t="shared" si="116"/>
        <v>43744</v>
      </c>
      <c r="L293" s="435">
        <f t="shared" si="117"/>
        <v>5.1421069036903244E-3</v>
      </c>
      <c r="M293" s="842"/>
      <c r="N293" s="842"/>
      <c r="O293" s="323">
        <f t="shared" si="118"/>
        <v>1.8109722790948298E-2</v>
      </c>
      <c r="P293" s="169">
        <f>(INDEX(Models!$BJ293:$BT293,,T293)*(1-R293)+INDEX(Models!$BJ293:$BT293,,T293+1)*R293-ERP_i)*Q293*Ramure*Pc/MaxiM</f>
        <v>5.8761891171700532E-4</v>
      </c>
      <c r="Q293" s="304">
        <f t="shared" si="119"/>
        <v>0.7</v>
      </c>
      <c r="R293" s="177">
        <f t="shared" si="120"/>
        <v>0.13162294442312161</v>
      </c>
      <c r="S293" s="799">
        <f t="shared" si="138"/>
        <v>-1</v>
      </c>
      <c r="T293" s="176">
        <f t="shared" si="121"/>
        <v>5</v>
      </c>
      <c r="U293" s="250">
        <f t="shared" si="122"/>
        <v>-0.86837705557687839</v>
      </c>
      <c r="V293" s="382">
        <f t="shared" si="123"/>
        <v>42.470205906362843</v>
      </c>
      <c r="W293" s="58"/>
      <c r="X293" s="157">
        <f t="shared" si="124"/>
        <v>43744</v>
      </c>
      <c r="Y293" s="383">
        <f t="shared" si="125"/>
        <v>20.201206629395529</v>
      </c>
      <c r="Z293" s="383">
        <f t="shared" si="126"/>
        <v>20.305620299722445</v>
      </c>
      <c r="AA293" s="384">
        <f t="shared" si="127"/>
        <v>20.680131753050475</v>
      </c>
      <c r="AB293" s="197">
        <f t="shared" si="128"/>
        <v>43744</v>
      </c>
      <c r="AC293" s="424">
        <f t="shared" si="129"/>
        <v>1.8109722790948298E-2</v>
      </c>
      <c r="AD293" s="169">
        <f>(INDEX(Models!$BJ293:$BT293,,AH293)*(1-AF293)+INDEX(Models!$BJ293:$BT293,,AH293+1)*AF293-ERP_i)*AE293*Ramure*Pc/MaxiM</f>
        <v>7.4408010930268793E-4</v>
      </c>
      <c r="AE293" s="304">
        <f t="shared" si="130"/>
        <v>0.7</v>
      </c>
      <c r="AF293" s="177">
        <f t="shared" si="131"/>
        <v>0.19595516668295376</v>
      </c>
      <c r="AG293" s="799">
        <f t="shared" si="132"/>
        <v>-1</v>
      </c>
      <c r="AH293" s="176">
        <f t="shared" si="133"/>
        <v>5</v>
      </c>
      <c r="AI293" s="224">
        <f t="shared" si="134"/>
        <v>-0.80404483331704624</v>
      </c>
      <c r="AJ293" s="264" t="b">
        <f t="shared" si="135"/>
        <v>0</v>
      </c>
      <c r="AK293" s="264" t="b">
        <f t="shared" si="136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37"/>
        <v>43745</v>
      </c>
      <c r="B294" s="607">
        <v>32.262</v>
      </c>
      <c r="C294" s="388"/>
      <c r="D294" s="391">
        <f t="shared" si="114"/>
        <v>32.429373611650362</v>
      </c>
      <c r="E294" s="383">
        <f t="shared" si="111"/>
        <v>33.029214658122562</v>
      </c>
      <c r="F294" s="383">
        <f t="shared" si="139"/>
        <v>33.042367373908704</v>
      </c>
      <c r="G294" s="110">
        <f t="shared" si="112"/>
        <v>0.76469224179452921</v>
      </c>
      <c r="I294" s="379">
        <f t="shared" si="115"/>
        <v>33.042367373908704</v>
      </c>
      <c r="J294" s="85">
        <v>2018</v>
      </c>
      <c r="K294" s="197">
        <f t="shared" si="116"/>
        <v>43745</v>
      </c>
      <c r="L294" s="435">
        <f t="shared" si="117"/>
        <v>5.1611731282479312E-3</v>
      </c>
      <c r="M294" s="842"/>
      <c r="N294" s="842"/>
      <c r="O294" s="323">
        <f t="shared" si="118"/>
        <v>1.8160923675631036E-2</v>
      </c>
      <c r="P294" s="169">
        <f>(INDEX(Models!$BJ294:$BT294,,T294)*(1-R294)+INDEX(Models!$BJ294:$BT294,,T294+1)*R294-ERP_i)*Q294*Ramure*Pc/MaxiM</f>
        <v>5.9942234102330666E-4</v>
      </c>
      <c r="Q294" s="304">
        <f t="shared" si="119"/>
        <v>0.7</v>
      </c>
      <c r="R294" s="177">
        <f t="shared" si="120"/>
        <v>0.13174740745233993</v>
      </c>
      <c r="S294" s="799">
        <f t="shared" si="138"/>
        <v>-1</v>
      </c>
      <c r="T294" s="176">
        <f t="shared" si="121"/>
        <v>5</v>
      </c>
      <c r="U294" s="250">
        <f t="shared" si="122"/>
        <v>-0.86825259254766007</v>
      </c>
      <c r="V294" s="382">
        <f t="shared" si="123"/>
        <v>42.181022864233178</v>
      </c>
      <c r="W294" s="58"/>
      <c r="X294" s="157">
        <f t="shared" si="124"/>
        <v>43745</v>
      </c>
      <c r="Y294" s="383">
        <f t="shared" si="125"/>
        <v>32.25844990327878</v>
      </c>
      <c r="Z294" s="383">
        <f t="shared" si="126"/>
        <v>32.425805097208297</v>
      </c>
      <c r="AA294" s="384">
        <f t="shared" si="127"/>
        <v>33.025580137427553</v>
      </c>
      <c r="AB294" s="197">
        <f t="shared" si="128"/>
        <v>43745</v>
      </c>
      <c r="AC294" s="424">
        <f t="shared" si="129"/>
        <v>1.8160923675631036E-2</v>
      </c>
      <c r="AD294" s="169">
        <f>(INDEX(Models!$BJ294:$BT294,,AH294)*(1-AF294)+INDEX(Models!$BJ294:$BT294,,AH294+1)*AF294-ERP_i)*AE294*Ramure*Pc/MaxiM</f>
        <v>7.6506211754725497E-4</v>
      </c>
      <c r="AE294" s="304">
        <f t="shared" si="130"/>
        <v>0.7</v>
      </c>
      <c r="AF294" s="177">
        <f t="shared" si="131"/>
        <v>0.19607962971217208</v>
      </c>
      <c r="AG294" s="799">
        <f t="shared" si="132"/>
        <v>-1</v>
      </c>
      <c r="AH294" s="176">
        <f t="shared" si="133"/>
        <v>5</v>
      </c>
      <c r="AI294" s="224">
        <f t="shared" si="134"/>
        <v>-0.80392037028782792</v>
      </c>
      <c r="AJ294" s="264" t="b">
        <f t="shared" si="135"/>
        <v>0</v>
      </c>
      <c r="AK294" s="264" t="b">
        <f t="shared" si="136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37"/>
        <v>43746</v>
      </c>
      <c r="B295" s="607">
        <v>40.307000000000002</v>
      </c>
      <c r="C295" s="388"/>
      <c r="D295" s="391">
        <f t="shared" si="114"/>
        <v>40.516887158506819</v>
      </c>
      <c r="E295" s="383">
        <f t="shared" si="111"/>
        <v>41.268458403719492</v>
      </c>
      <c r="F295" s="383">
        <f t="shared" si="139"/>
        <v>41.292573859301882</v>
      </c>
      <c r="G295" s="110">
        <f t="shared" si="112"/>
        <v>0.96217312815656719</v>
      </c>
      <c r="I295" s="379">
        <f t="shared" si="115"/>
        <v>41.292573859301882</v>
      </c>
      <c r="J295" s="85">
        <v>2018</v>
      </c>
      <c r="K295" s="197">
        <f t="shared" si="116"/>
        <v>43746</v>
      </c>
      <c r="L295" s="435">
        <f t="shared" si="117"/>
        <v>5.1802389874057164E-3</v>
      </c>
      <c r="M295" s="842"/>
      <c r="N295" s="842"/>
      <c r="O295" s="323">
        <f t="shared" si="118"/>
        <v>1.8211759641230774E-2</v>
      </c>
      <c r="P295" s="169">
        <f>(INDEX(Models!$BJ295:$BT295,,T295)*(1-R295)+INDEX(Models!$BJ295:$BT295,,T295+1)*R295-ERP_i)*Q295*Ramure*Pc/MaxiM</f>
        <v>6.1734645309173368E-4</v>
      </c>
      <c r="Q295" s="304">
        <f t="shared" si="119"/>
        <v>0.7</v>
      </c>
      <c r="R295" s="177">
        <f t="shared" si="120"/>
        <v>0.13186693254502879</v>
      </c>
      <c r="S295" s="799">
        <f t="shared" si="138"/>
        <v>-1</v>
      </c>
      <c r="T295" s="176">
        <f t="shared" si="121"/>
        <v>5</v>
      </c>
      <c r="U295" s="250">
        <f t="shared" si="122"/>
        <v>-0.86813306745497121</v>
      </c>
      <c r="V295" s="382">
        <f t="shared" si="123"/>
        <v>41.890232140397856</v>
      </c>
      <c r="W295" s="58"/>
      <c r="X295" s="157">
        <f t="shared" si="124"/>
        <v>43746</v>
      </c>
      <c r="Y295" s="383">
        <f t="shared" si="125"/>
        <v>40.300236069019832</v>
      </c>
      <c r="Z295" s="383">
        <f t="shared" si="126"/>
        <v>40.510088006293266</v>
      </c>
      <c r="AA295" s="384">
        <f t="shared" si="127"/>
        <v>41.261533130087095</v>
      </c>
      <c r="AB295" s="197">
        <f t="shared" si="128"/>
        <v>43746</v>
      </c>
      <c r="AC295" s="424">
        <f t="shared" si="129"/>
        <v>1.8211759641230774E-2</v>
      </c>
      <c r="AD295" s="169">
        <f>(INDEX(Models!$BJ295:$BT295,,AH295)*(1-AF295)+INDEX(Models!$BJ295:$BT295,,AH295+1)*AF295-ERP_i)*AE295*Ramure*Pc/MaxiM</f>
        <v>7.9463081328326566E-4</v>
      </c>
      <c r="AE295" s="304">
        <f t="shared" si="130"/>
        <v>0.7</v>
      </c>
      <c r="AF295" s="177">
        <f t="shared" si="131"/>
        <v>0.19619915480486105</v>
      </c>
      <c r="AG295" s="799">
        <f t="shared" si="132"/>
        <v>-1</v>
      </c>
      <c r="AH295" s="176">
        <f t="shared" si="133"/>
        <v>5</v>
      </c>
      <c r="AI295" s="224">
        <f t="shared" si="134"/>
        <v>-0.80380084519513895</v>
      </c>
      <c r="AJ295" s="264" t="b">
        <f t="shared" si="135"/>
        <v>0</v>
      </c>
      <c r="AK295" s="264" t="b">
        <f t="shared" si="136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37"/>
        <v>43747</v>
      </c>
      <c r="B296" s="607">
        <v>9.3819999999999997</v>
      </c>
      <c r="C296" s="388"/>
      <c r="D296" s="391">
        <f t="shared" si="114"/>
        <v>9.4310348216100728</v>
      </c>
      <c r="E296" s="383">
        <f t="shared" si="111"/>
        <v>9.6064703756059053</v>
      </c>
      <c r="F296" s="383">
        <f t="shared" si="139"/>
        <v>9.6064703756059053</v>
      </c>
      <c r="G296" s="110">
        <f t="shared" si="112"/>
        <v>0.22539360256008598</v>
      </c>
      <c r="I296" s="379">
        <f t="shared" si="115"/>
        <v>9.6064703756059053</v>
      </c>
      <c r="J296" s="85">
        <v>2018</v>
      </c>
      <c r="K296" s="197">
        <f t="shared" si="116"/>
        <v>43747</v>
      </c>
      <c r="L296" s="435">
        <f t="shared" si="117"/>
        <v>5.1993044811706746E-3</v>
      </c>
      <c r="M296" s="842"/>
      <c r="N296" s="842"/>
      <c r="O296" s="323">
        <f t="shared" si="118"/>
        <v>1.8262228179178292E-2</v>
      </c>
      <c r="P296" s="169">
        <f>(INDEX(Models!$BJ296:$BT296,,T296)*(1-R296)+INDEX(Models!$BJ296:$BT296,,T296+1)*R296-ERP_i)*Q296*Ramure*Pc/MaxiM</f>
        <v>6.474430156238343E-4</v>
      </c>
      <c r="Q296" s="304">
        <f t="shared" si="119"/>
        <v>0.7</v>
      </c>
      <c r="R296" s="177">
        <f t="shared" si="120"/>
        <v>0.13198171279355897</v>
      </c>
      <c r="S296" s="799">
        <f t="shared" si="138"/>
        <v>-1</v>
      </c>
      <c r="T296" s="176">
        <f t="shared" si="121"/>
        <v>5</v>
      </c>
      <c r="U296" s="250">
        <f t="shared" si="122"/>
        <v>-0.86801828720644103</v>
      </c>
      <c r="V296" s="382">
        <f t="shared" si="123"/>
        <v>41.598011581220277</v>
      </c>
      <c r="W296" s="58"/>
      <c r="X296" s="157">
        <f t="shared" si="124"/>
        <v>43747</v>
      </c>
      <c r="Y296" s="383">
        <f t="shared" si="125"/>
        <v>9.3819999999999997</v>
      </c>
      <c r="Z296" s="383">
        <f t="shared" si="126"/>
        <v>9.4310348216100728</v>
      </c>
      <c r="AA296" s="384">
        <f t="shared" si="127"/>
        <v>9.6064703756059053</v>
      </c>
      <c r="AB296" s="197">
        <f t="shared" si="128"/>
        <v>43747</v>
      </c>
      <c r="AC296" s="424">
        <f t="shared" si="129"/>
        <v>1.8262228179178292E-2</v>
      </c>
      <c r="AD296" s="169">
        <f>(INDEX(Models!$BJ296:$BT296,,AH296)*(1-AF296)+INDEX(Models!$BJ296:$BT296,,AH296+1)*AF296-ERP_i)*AE296*Ramure*Pc/MaxiM</f>
        <v>8.3977796565442436E-4</v>
      </c>
      <c r="AE296" s="304">
        <f t="shared" si="130"/>
        <v>0.7</v>
      </c>
      <c r="AF296" s="177">
        <f t="shared" si="131"/>
        <v>0.19631393505339112</v>
      </c>
      <c r="AG296" s="799">
        <f t="shared" si="132"/>
        <v>-1</v>
      </c>
      <c r="AH296" s="176">
        <f t="shared" si="133"/>
        <v>5</v>
      </c>
      <c r="AI296" s="224">
        <f t="shared" si="134"/>
        <v>-0.80368606494660888</v>
      </c>
      <c r="AJ296" s="264" t="b">
        <f t="shared" si="135"/>
        <v>0</v>
      </c>
      <c r="AK296" s="264" t="b">
        <f t="shared" si="136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37"/>
        <v>43748</v>
      </c>
      <c r="B297" s="607">
        <v>34.177</v>
      </c>
      <c r="C297" s="388"/>
      <c r="D297" s="391">
        <f t="shared" si="114"/>
        <v>34.356283787212256</v>
      </c>
      <c r="E297" s="383">
        <f t="shared" ref="E297:E360" si="140">Wh_pvt/(1-Psa)</f>
        <v>34.997163305253878</v>
      </c>
      <c r="F297" s="383">
        <f t="shared" si="139"/>
        <v>35.015332350833226</v>
      </c>
      <c r="G297" s="110">
        <f t="shared" ref="G297:G360" si="141">+Wh_hp/MaxiM</f>
        <v>0.82729275955691162</v>
      </c>
      <c r="I297" s="379">
        <f t="shared" si="115"/>
        <v>35.015332350833226</v>
      </c>
      <c r="J297" s="85">
        <v>2018</v>
      </c>
      <c r="K297" s="197">
        <f t="shared" si="116"/>
        <v>43748</v>
      </c>
      <c r="L297" s="435">
        <f t="shared" si="117"/>
        <v>5.2183696095498E-3</v>
      </c>
      <c r="M297" s="842"/>
      <c r="N297" s="842"/>
      <c r="O297" s="323">
        <f t="shared" si="118"/>
        <v>1.8312327557856892E-2</v>
      </c>
      <c r="P297" s="169">
        <f>(INDEX(Models!$BJ297:$BT297,,T297)*(1-R297)+INDEX(Models!$BJ297:$BT297,,T297+1)*R297-ERP_i)*Q297*Ramure*Pc/MaxiM</f>
        <v>6.8865919444755332E-4</v>
      </c>
      <c r="Q297" s="304">
        <f t="shared" si="119"/>
        <v>0.7</v>
      </c>
      <c r="R297" s="177">
        <f t="shared" si="120"/>
        <v>0.13209193396043184</v>
      </c>
      <c r="S297" s="799">
        <f t="shared" si="138"/>
        <v>-1</v>
      </c>
      <c r="T297" s="176">
        <f t="shared" si="121"/>
        <v>5</v>
      </c>
      <c r="U297" s="250">
        <f t="shared" si="122"/>
        <v>-0.86790806603956816</v>
      </c>
      <c r="V297" s="382">
        <f t="shared" si="123"/>
        <v>41.304839589642647</v>
      </c>
      <c r="W297" s="58"/>
      <c r="X297" s="157">
        <f t="shared" si="124"/>
        <v>43748</v>
      </c>
      <c r="Y297" s="383">
        <f t="shared" si="125"/>
        <v>34.171587929182905</v>
      </c>
      <c r="Z297" s="383">
        <f t="shared" si="126"/>
        <v>34.350843326058012</v>
      </c>
      <c r="AA297" s="384">
        <f t="shared" si="127"/>
        <v>34.99162135814894</v>
      </c>
      <c r="AB297" s="197">
        <f t="shared" si="128"/>
        <v>43748</v>
      </c>
      <c r="AC297" s="424">
        <f t="shared" si="129"/>
        <v>1.8312327557856892E-2</v>
      </c>
      <c r="AD297" s="169">
        <f>(INDEX(Models!$BJ297:$BT297,,AH297)*(1-AF297)+INDEX(Models!$BJ297:$BT297,,AH297+1)*AF297-ERP_i)*AE297*Ramure*Pc/MaxiM</f>
        <v>8.9871496277557172E-4</v>
      </c>
      <c r="AE297" s="304">
        <f t="shared" si="130"/>
        <v>0.7</v>
      </c>
      <c r="AF297" s="177">
        <f t="shared" si="131"/>
        <v>0.19642415622026399</v>
      </c>
      <c r="AG297" s="799">
        <f t="shared" si="132"/>
        <v>-1</v>
      </c>
      <c r="AH297" s="176">
        <f t="shared" si="133"/>
        <v>5</v>
      </c>
      <c r="AI297" s="224">
        <f t="shared" si="134"/>
        <v>-0.80357584377973601</v>
      </c>
      <c r="AJ297" s="264" t="b">
        <f t="shared" si="135"/>
        <v>0</v>
      </c>
      <c r="AK297" s="264" t="b">
        <f t="shared" si="136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37"/>
        <v>43749</v>
      </c>
      <c r="B298" s="607">
        <v>41.802999999999997</v>
      </c>
      <c r="C298" s="388"/>
      <c r="D298" s="391">
        <f t="shared" si="114"/>
        <v>42.023093192728467</v>
      </c>
      <c r="E298" s="383">
        <f t="shared" si="140"/>
        <v>42.809157375082869</v>
      </c>
      <c r="F298" s="383">
        <f t="shared" si="139"/>
        <v>42.840909894173365</v>
      </c>
      <c r="G298" s="110">
        <f t="shared" si="141"/>
        <v>1.0193083464219479</v>
      </c>
      <c r="I298" s="379">
        <f t="shared" si="115"/>
        <v>42.840909894173365</v>
      </c>
      <c r="J298" s="85">
        <v>2018</v>
      </c>
      <c r="K298" s="197">
        <f t="shared" si="116"/>
        <v>43749</v>
      </c>
      <c r="L298" s="435">
        <f t="shared" si="117"/>
        <v>5.2374343725500871E-3</v>
      </c>
      <c r="M298" s="842"/>
      <c r="N298" s="842"/>
      <c r="O298" s="323">
        <f t="shared" si="118"/>
        <v>1.8362056871783487E-2</v>
      </c>
      <c r="P298" s="169">
        <f>(INDEX(Models!$BJ298:$BT298,,T298)*(1-R298)+INDEX(Models!$BJ298:$BT298,,T298+1)*R298-ERP_i)*Q298*Ramure*Pc/MaxiM</f>
        <v>7.4117284550989399E-4</v>
      </c>
      <c r="Q298" s="304">
        <f t="shared" si="119"/>
        <v>0.7</v>
      </c>
      <c r="R298" s="177">
        <f t="shared" si="120"/>
        <v>0.13219777473912475</v>
      </c>
      <c r="S298" s="799">
        <f t="shared" si="138"/>
        <v>-1</v>
      </c>
      <c r="T298" s="176">
        <f t="shared" si="121"/>
        <v>5</v>
      </c>
      <c r="U298" s="250">
        <f t="shared" si="122"/>
        <v>-0.86780222526087525</v>
      </c>
      <c r="V298" s="382">
        <f t="shared" si="123"/>
        <v>41.011142650543377</v>
      </c>
      <c r="W298" s="58"/>
      <c r="X298" s="157">
        <f t="shared" si="124"/>
        <v>43749</v>
      </c>
      <c r="Y298" s="383">
        <f t="shared" si="125"/>
        <v>41.793357854148489</v>
      </c>
      <c r="Z298" s="383">
        <f t="shared" si="126"/>
        <v>42.013400280887311</v>
      </c>
      <c r="AA298" s="384">
        <f t="shared" si="127"/>
        <v>42.799283152199564</v>
      </c>
      <c r="AB298" s="197">
        <f t="shared" si="128"/>
        <v>43749</v>
      </c>
      <c r="AC298" s="424">
        <f t="shared" si="129"/>
        <v>1.8362056871783487E-2</v>
      </c>
      <c r="AD298" s="169">
        <f>(INDEX(Models!$BJ298:$BT298,,AH298)*(1-AF298)+INDEX(Models!$BJ298:$BT298,,AH298+1)*AF298-ERP_i)*AE298*Ramure*Pc/MaxiM</f>
        <v>9.7165868037419657E-4</v>
      </c>
      <c r="AE298" s="304">
        <f t="shared" si="130"/>
        <v>0.7</v>
      </c>
      <c r="AF298" s="177">
        <f t="shared" si="131"/>
        <v>0.19652999699895701</v>
      </c>
      <c r="AG298" s="799">
        <f t="shared" si="132"/>
        <v>-1</v>
      </c>
      <c r="AH298" s="176">
        <f t="shared" si="133"/>
        <v>5</v>
      </c>
      <c r="AI298" s="224">
        <f t="shared" si="134"/>
        <v>-0.80347000300104299</v>
      </c>
      <c r="AJ298" s="264" t="b">
        <f t="shared" si="135"/>
        <v>0</v>
      </c>
      <c r="AK298" s="264" t="b">
        <f t="shared" si="136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37"/>
        <v>43750</v>
      </c>
      <c r="B299" s="607">
        <v>16.789000000000001</v>
      </c>
      <c r="C299" s="388"/>
      <c r="D299" s="391">
        <f t="shared" si="114"/>
        <v>16.877717702345802</v>
      </c>
      <c r="E299" s="383">
        <f t="shared" si="140"/>
        <v>17.194288909796569</v>
      </c>
      <c r="F299" s="383">
        <f t="shared" si="139"/>
        <v>17.196510796215925</v>
      </c>
      <c r="G299" s="110">
        <f t="shared" si="141"/>
        <v>0.41205164503391556</v>
      </c>
      <c r="I299" s="379">
        <f t="shared" si="115"/>
        <v>17.196510796215925</v>
      </c>
      <c r="J299" s="85">
        <v>2018</v>
      </c>
      <c r="K299" s="197">
        <f t="shared" si="116"/>
        <v>43750</v>
      </c>
      <c r="L299" s="435">
        <f t="shared" si="117"/>
        <v>5.2564987701785304E-3</v>
      </c>
      <c r="M299" s="842"/>
      <c r="N299" s="842"/>
      <c r="O299" s="323">
        <f t="shared" si="118"/>
        <v>1.8411416087721875E-2</v>
      </c>
      <c r="P299" s="169">
        <f>(INDEX(Models!$BJ299:$BT299,,T299)*(1-R299)+INDEX(Models!$BJ299:$BT299,,T299+1)*R299-ERP_i)*Q299*Ramure*Pc/MaxiM</f>
        <v>8.0516013049670174E-4</v>
      </c>
      <c r="Q299" s="304">
        <f t="shared" si="119"/>
        <v>0.7</v>
      </c>
      <c r="R299" s="177">
        <f t="shared" si="120"/>
        <v>0.13229940700704601</v>
      </c>
      <c r="S299" s="799">
        <f t="shared" si="138"/>
        <v>-1</v>
      </c>
      <c r="T299" s="176">
        <f t="shared" si="121"/>
        <v>5</v>
      </c>
      <c r="U299" s="250">
        <f t="shared" si="122"/>
        <v>-0.86770059299295399</v>
      </c>
      <c r="V299" s="382">
        <f t="shared" si="123"/>
        <v>40.717347293725631</v>
      </c>
      <c r="W299" s="58"/>
      <c r="X299" s="157">
        <f t="shared" si="124"/>
        <v>43750</v>
      </c>
      <c r="Y299" s="383">
        <f t="shared" si="125"/>
        <v>16.788316500328349</v>
      </c>
      <c r="Z299" s="383">
        <f t="shared" si="126"/>
        <v>16.877030590873542</v>
      </c>
      <c r="AA299" s="384">
        <f t="shared" si="127"/>
        <v>17.193588910343109</v>
      </c>
      <c r="AB299" s="197">
        <f t="shared" si="128"/>
        <v>43750</v>
      </c>
      <c r="AC299" s="424">
        <f t="shared" si="129"/>
        <v>1.8411416087721875E-2</v>
      </c>
      <c r="AD299" s="169">
        <f>(INDEX(Models!$BJ299:$BT299,,AH299)*(1-AF299)+INDEX(Models!$BJ299:$BT299,,AH299+1)*AF299-ERP_i)*AE299*Ramure*Pc/MaxiM</f>
        <v>1.0588237050092016E-3</v>
      </c>
      <c r="AE299" s="304">
        <f t="shared" si="130"/>
        <v>0.7</v>
      </c>
      <c r="AF299" s="177">
        <f t="shared" si="131"/>
        <v>0.19663162926687816</v>
      </c>
      <c r="AG299" s="799">
        <f t="shared" si="132"/>
        <v>-1</v>
      </c>
      <c r="AH299" s="176">
        <f t="shared" si="133"/>
        <v>5</v>
      </c>
      <c r="AI299" s="224">
        <f t="shared" si="134"/>
        <v>-0.80336837073312184</v>
      </c>
      <c r="AJ299" s="264" t="b">
        <f t="shared" si="135"/>
        <v>0</v>
      </c>
      <c r="AK299" s="264" t="b">
        <f t="shared" si="136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37"/>
        <v>43751</v>
      </c>
      <c r="B300" s="607">
        <v>39.037999999999997</v>
      </c>
      <c r="C300" s="388"/>
      <c r="D300" s="391">
        <f t="shared" si="114"/>
        <v>39.245039671471176</v>
      </c>
      <c r="E300" s="383">
        <f t="shared" si="140"/>
        <v>39.983144760393031</v>
      </c>
      <c r="F300" s="383">
        <f t="shared" si="139"/>
        <v>40.016664955867313</v>
      </c>
      <c r="G300" s="110">
        <f t="shared" si="141"/>
        <v>0.9656746076597299</v>
      </c>
      <c r="I300" s="379">
        <f t="shared" si="115"/>
        <v>40.016664955867313</v>
      </c>
      <c r="J300" s="85">
        <v>2018</v>
      </c>
      <c r="K300" s="197">
        <f t="shared" si="116"/>
        <v>43751</v>
      </c>
      <c r="L300" s="435">
        <f t="shared" si="117"/>
        <v>5.2755628024421242E-3</v>
      </c>
      <c r="M300" s="842"/>
      <c r="N300" s="842"/>
      <c r="O300" s="323">
        <f t="shared" si="118"/>
        <v>1.8460406087242396E-2</v>
      </c>
      <c r="P300" s="169">
        <f>(INDEX(Models!$BJ300:$BT300,,T300)*(1-R300)+INDEX(Models!$BJ300:$BT300,,T300+1)*R300-ERP_i)*Q300*Ramure*Pc/MaxiM</f>
        <v>8.8079430797938566E-4</v>
      </c>
      <c r="Q300" s="304">
        <f t="shared" si="119"/>
        <v>0.7</v>
      </c>
      <c r="R300" s="177">
        <f t="shared" si="120"/>
        <v>0.13239699607072131</v>
      </c>
      <c r="S300" s="799">
        <f t="shared" si="138"/>
        <v>-1</v>
      </c>
      <c r="T300" s="176">
        <f t="shared" si="121"/>
        <v>5</v>
      </c>
      <c r="U300" s="250">
        <f t="shared" si="122"/>
        <v>-0.86760300392927869</v>
      </c>
      <c r="V300" s="382">
        <f t="shared" si="123"/>
        <v>40.423880095161714</v>
      </c>
      <c r="W300" s="58"/>
      <c r="X300" s="157">
        <f t="shared" si="124"/>
        <v>43751</v>
      </c>
      <c r="Y300" s="383">
        <f t="shared" si="125"/>
        <v>39.027609869444625</v>
      </c>
      <c r="Z300" s="383">
        <f t="shared" si="126"/>
        <v>39.23459443642232</v>
      </c>
      <c r="AA300" s="384">
        <f t="shared" si="127"/>
        <v>39.972503075519967</v>
      </c>
      <c r="AB300" s="197">
        <f t="shared" si="128"/>
        <v>43751</v>
      </c>
      <c r="AC300" s="424">
        <f t="shared" si="129"/>
        <v>1.8460406087242396E-2</v>
      </c>
      <c r="AD300" s="169">
        <f>(INDEX(Models!$BJ300:$BT300,,AH300)*(1-AF300)+INDEX(Models!$BJ300:$BT300,,AH300+1)*AF300-ERP_i)*AE300*Ramure*Pc/MaxiM</f>
        <v>1.1604208236033306E-3</v>
      </c>
      <c r="AE300" s="304">
        <f t="shared" si="130"/>
        <v>0.7</v>
      </c>
      <c r="AF300" s="177">
        <f t="shared" si="131"/>
        <v>0.19672921833055357</v>
      </c>
      <c r="AG300" s="799">
        <f t="shared" si="132"/>
        <v>-1</v>
      </c>
      <c r="AH300" s="176">
        <f t="shared" si="133"/>
        <v>5</v>
      </c>
      <c r="AI300" s="224">
        <f t="shared" si="134"/>
        <v>-0.80327078166944643</v>
      </c>
      <c r="AJ300" s="264" t="b">
        <f t="shared" si="135"/>
        <v>0</v>
      </c>
      <c r="AK300" s="264" t="b">
        <f t="shared" si="136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37"/>
        <v>43752</v>
      </c>
      <c r="B301" s="607">
        <v>14.54</v>
      </c>
      <c r="C301" s="388"/>
      <c r="D301" s="391">
        <f t="shared" si="114"/>
        <v>14.617393639275384</v>
      </c>
      <c r="E301" s="383">
        <f t="shared" si="140"/>
        <v>14.893049520356493</v>
      </c>
      <c r="F301" s="383">
        <f t="shared" si="139"/>
        <v>14.894333266389321</v>
      </c>
      <c r="G301" s="110">
        <f t="shared" si="141"/>
        <v>0.36199230343647054</v>
      </c>
      <c r="I301" s="379">
        <f t="shared" si="115"/>
        <v>14.894333266389321</v>
      </c>
      <c r="J301" s="85">
        <v>2018</v>
      </c>
      <c r="K301" s="197">
        <f t="shared" si="116"/>
        <v>43752</v>
      </c>
      <c r="L301" s="435">
        <f t="shared" si="117"/>
        <v>5.2946264693478629E-3</v>
      </c>
      <c r="M301" s="842"/>
      <c r="N301" s="842"/>
      <c r="O301" s="323">
        <f t="shared" si="118"/>
        <v>1.8509028705258026E-2</v>
      </c>
      <c r="P301" s="169">
        <f>(INDEX(Models!$BJ301:$BT301,,T301)*(1-R301)+INDEX(Models!$BJ301:$BT301,,T301+1)*R301-ERP_i)*Q301*Ramure*Pc/MaxiM</f>
        <v>9.6824447089852064E-4</v>
      </c>
      <c r="Q301" s="304">
        <f t="shared" si="119"/>
        <v>0.7</v>
      </c>
      <c r="R301" s="177">
        <f t="shared" si="120"/>
        <v>0.13249070090334603</v>
      </c>
      <c r="S301" s="799">
        <f t="shared" si="138"/>
        <v>-1</v>
      </c>
      <c r="T301" s="176">
        <f t="shared" si="121"/>
        <v>5</v>
      </c>
      <c r="U301" s="250">
        <f t="shared" si="122"/>
        <v>-0.86750929909665397</v>
      </c>
      <c r="V301" s="382">
        <f t="shared" si="123"/>
        <v>40.131167673895824</v>
      </c>
      <c r="W301" s="58"/>
      <c r="X301" s="157">
        <f t="shared" si="124"/>
        <v>43752</v>
      </c>
      <c r="Y301" s="383">
        <f t="shared" si="125"/>
        <v>14.539600786987778</v>
      </c>
      <c r="Z301" s="383">
        <f t="shared" si="126"/>
        <v>14.616992301328647</v>
      </c>
      <c r="AA301" s="384">
        <f t="shared" si="127"/>
        <v>14.892640613949327</v>
      </c>
      <c r="AB301" s="197">
        <f t="shared" si="128"/>
        <v>43752</v>
      </c>
      <c r="AC301" s="424">
        <f t="shared" si="129"/>
        <v>1.8509028705258026E-2</v>
      </c>
      <c r="AD301" s="169">
        <f>(INDEX(Models!$BJ301:$BT301,,AH301)*(1-AF301)+INDEX(Models!$BJ301:$BT301,,AH301+1)*AF301-ERP_i)*AE301*Ramure*Pc/MaxiM</f>
        <v>1.2766554476259706E-3</v>
      </c>
      <c r="AE301" s="304">
        <f t="shared" si="130"/>
        <v>0.7</v>
      </c>
      <c r="AF301" s="177">
        <f t="shared" si="131"/>
        <v>0.19682292316317818</v>
      </c>
      <c r="AG301" s="799">
        <f t="shared" si="132"/>
        <v>-1</v>
      </c>
      <c r="AH301" s="176">
        <f t="shared" si="133"/>
        <v>5</v>
      </c>
      <c r="AI301" s="224">
        <f t="shared" si="134"/>
        <v>-0.80317707683682182</v>
      </c>
      <c r="AJ301" s="264" t="b">
        <f t="shared" si="135"/>
        <v>0</v>
      </c>
      <c r="AK301" s="264" t="b">
        <f t="shared" si="136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37"/>
        <v>43753</v>
      </c>
      <c r="B302" s="607">
        <v>34.53</v>
      </c>
      <c r="C302" s="388"/>
      <c r="D302" s="391">
        <f t="shared" si="114"/>
        <v>34.714461880999465</v>
      </c>
      <c r="E302" s="383">
        <f t="shared" si="140"/>
        <v>35.370848866504403</v>
      </c>
      <c r="F302" s="383">
        <f t="shared" si="139"/>
        <v>35.401449749905545</v>
      </c>
      <c r="G302" s="110">
        <f t="shared" si="141"/>
        <v>0.86654843293105532</v>
      </c>
      <c r="I302" s="379">
        <f t="shared" si="115"/>
        <v>35.401449749905545</v>
      </c>
      <c r="J302" s="85">
        <v>2018</v>
      </c>
      <c r="K302" s="197">
        <f t="shared" si="116"/>
        <v>43753</v>
      </c>
      <c r="L302" s="435">
        <f t="shared" si="117"/>
        <v>5.3136897709028519E-3</v>
      </c>
      <c r="M302" s="842"/>
      <c r="N302" s="842"/>
      <c r="O302" s="323">
        <f t="shared" si="118"/>
        <v>1.8557286764087931E-2</v>
      </c>
      <c r="P302" s="169">
        <f>(INDEX(Models!$BJ302:$BT302,,T302)*(1-R302)+INDEX(Models!$BJ302:$BT302,,T302+1)*R302-ERP_i)*Q302*Ramure*Pc/MaxiM</f>
        <v>1.0676742305442378E-3</v>
      </c>
      <c r="Q302" s="304">
        <f t="shared" si="119"/>
        <v>0.7</v>
      </c>
      <c r="R302" s="177">
        <f t="shared" si="120"/>
        <v>0.13258067437483878</v>
      </c>
      <c r="S302" s="799">
        <f t="shared" si="138"/>
        <v>-1</v>
      </c>
      <c r="T302" s="176">
        <f t="shared" si="121"/>
        <v>5</v>
      </c>
      <c r="U302" s="250">
        <f t="shared" si="122"/>
        <v>-0.86741932562516122</v>
      </c>
      <c r="V302" s="382">
        <f t="shared" si="123"/>
        <v>39.839636689285967</v>
      </c>
      <c r="W302" s="58"/>
      <c r="X302" s="157">
        <f t="shared" si="124"/>
        <v>43753</v>
      </c>
      <c r="Y302" s="383">
        <f t="shared" si="125"/>
        <v>34.5204853831832</v>
      </c>
      <c r="Z302" s="383">
        <f t="shared" si="126"/>
        <v>34.704896436377425</v>
      </c>
      <c r="AA302" s="384">
        <f t="shared" si="127"/>
        <v>35.361102556818629</v>
      </c>
      <c r="AB302" s="197">
        <f t="shared" si="128"/>
        <v>43753</v>
      </c>
      <c r="AC302" s="424">
        <f t="shared" si="129"/>
        <v>1.8557286764087931E-2</v>
      </c>
      <c r="AD302" s="169">
        <f>(INDEX(Models!$BJ302:$BT302,,AH302)*(1-AF302)+INDEX(Models!$BJ302:$BT302,,AH302+1)*AF302-ERP_i)*AE302*Ramure*Pc/MaxiM</f>
        <v>1.4077259721230579E-3</v>
      </c>
      <c r="AE302" s="304">
        <f t="shared" si="130"/>
        <v>0.7</v>
      </c>
      <c r="AF302" s="177">
        <f t="shared" si="131"/>
        <v>0.19691289663467093</v>
      </c>
      <c r="AG302" s="799">
        <f t="shared" si="132"/>
        <v>-1</v>
      </c>
      <c r="AH302" s="176">
        <f t="shared" si="133"/>
        <v>5</v>
      </c>
      <c r="AI302" s="224">
        <f t="shared" si="134"/>
        <v>-0.80308710336532907</v>
      </c>
      <c r="AJ302" s="264" t="b">
        <f t="shared" si="135"/>
        <v>0</v>
      </c>
      <c r="AK302" s="264" t="b">
        <f t="shared" si="136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37"/>
        <v>43754</v>
      </c>
      <c r="B303" s="607">
        <v>38.420999999999999</v>
      </c>
      <c r="C303" s="388"/>
      <c r="D303" s="391">
        <f t="shared" si="114"/>
        <v>38.626988175761952</v>
      </c>
      <c r="E303" s="383">
        <f t="shared" si="140"/>
        <v>39.359274728226389</v>
      </c>
      <c r="F303" s="383">
        <f t="shared" si="139"/>
        <v>39.40385171327874</v>
      </c>
      <c r="G303" s="110">
        <f t="shared" si="141"/>
        <v>0.97145718878922316</v>
      </c>
      <c r="I303" s="379">
        <f t="shared" si="115"/>
        <v>39.40385171327874</v>
      </c>
      <c r="J303" s="85">
        <v>2018</v>
      </c>
      <c r="K303" s="197">
        <f t="shared" si="116"/>
        <v>43754</v>
      </c>
      <c r="L303" s="435">
        <f t="shared" si="117"/>
        <v>5.3327527071139746E-3</v>
      </c>
      <c r="M303" s="842"/>
      <c r="N303" s="842"/>
      <c r="O303" s="323">
        <f t="shared" si="118"/>
        <v>1.8605184102624815E-2</v>
      </c>
      <c r="P303" s="169">
        <f>(INDEX(Models!$BJ303:$BT303,,T303)*(1-R303)+INDEX(Models!$BJ303:$BT303,,T303+1)*R303-ERP_i)*Q303*Ramure*Pc/MaxiM</f>
        <v>1.1792924785856613E-3</v>
      </c>
      <c r="Q303" s="304">
        <f t="shared" si="119"/>
        <v>0.7</v>
      </c>
      <c r="R303" s="177">
        <f t="shared" si="120"/>
        <v>0.13266706347454515</v>
      </c>
      <c r="S303" s="799">
        <f t="shared" si="138"/>
        <v>-1</v>
      </c>
      <c r="T303" s="176">
        <f t="shared" si="121"/>
        <v>5</v>
      </c>
      <c r="U303" s="250">
        <f t="shared" si="122"/>
        <v>-0.86733293652545485</v>
      </c>
      <c r="V303" s="382">
        <f t="shared" si="123"/>
        <v>39.547963469429448</v>
      </c>
      <c r="W303" s="58"/>
      <c r="X303" s="157">
        <f t="shared" si="124"/>
        <v>43754</v>
      </c>
      <c r="Y303" s="383">
        <f t="shared" si="125"/>
        <v>38.407177820726737</v>
      </c>
      <c r="Z303" s="383">
        <f t="shared" si="126"/>
        <v>38.613091891038714</v>
      </c>
      <c r="AA303" s="384">
        <f t="shared" si="127"/>
        <v>39.345114999136591</v>
      </c>
      <c r="AB303" s="197">
        <f t="shared" si="128"/>
        <v>43754</v>
      </c>
      <c r="AC303" s="424">
        <f t="shared" si="129"/>
        <v>1.8605184102624815E-2</v>
      </c>
      <c r="AD303" s="169">
        <f>(INDEX(Models!$BJ303:$BT303,,AH303)*(1-AF303)+INDEX(Models!$BJ303:$BT303,,AH303+1)*AF303-ERP_i)*AE303*Ramure*Pc/MaxiM</f>
        <v>1.553890760519461E-3</v>
      </c>
      <c r="AE303" s="304">
        <f t="shared" si="130"/>
        <v>0.7</v>
      </c>
      <c r="AF303" s="177">
        <f t="shared" si="131"/>
        <v>0.19699928573437742</v>
      </c>
      <c r="AG303" s="799">
        <f t="shared" si="132"/>
        <v>-1</v>
      </c>
      <c r="AH303" s="176">
        <f t="shared" si="133"/>
        <v>5</v>
      </c>
      <c r="AI303" s="224">
        <f t="shared" si="134"/>
        <v>-0.80300071426562258</v>
      </c>
      <c r="AJ303" s="264" t="b">
        <f t="shared" si="135"/>
        <v>0</v>
      </c>
      <c r="AK303" s="264" t="b">
        <f t="shared" si="136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37"/>
        <v>43755</v>
      </c>
      <c r="B304" s="607">
        <v>17.815999999999999</v>
      </c>
      <c r="C304" s="388"/>
      <c r="D304" s="391">
        <f t="shared" si="114"/>
        <v>17.911860971202884</v>
      </c>
      <c r="E304" s="383">
        <f t="shared" si="140"/>
        <v>18.252316420971528</v>
      </c>
      <c r="F304" s="383">
        <f t="shared" si="139"/>
        <v>18.257554004009961</v>
      </c>
      <c r="G304" s="110">
        <f t="shared" si="141"/>
        <v>0.45339439923912411</v>
      </c>
      <c r="I304" s="379">
        <f t="shared" si="115"/>
        <v>18.257554004009961</v>
      </c>
      <c r="J304" s="85">
        <v>2018</v>
      </c>
      <c r="K304" s="197">
        <f t="shared" si="116"/>
        <v>43755</v>
      </c>
      <c r="L304" s="435">
        <f t="shared" si="117"/>
        <v>5.3518152779883366E-3</v>
      </c>
      <c r="M304" s="842"/>
      <c r="N304" s="842"/>
      <c r="O304" s="323">
        <f t="shared" si="118"/>
        <v>1.8652725600212992E-2</v>
      </c>
      <c r="P304" s="169">
        <f>(INDEX(Models!$BJ304:$BT304,,T304)*(1-R304)+INDEX(Models!$BJ304:$BT304,,T304+1)*R304-ERP_i)*Q304*Ramure*Pc/MaxiM</f>
        <v>1.3051786545355956E-3</v>
      </c>
      <c r="Q304" s="304">
        <f t="shared" si="119"/>
        <v>0.7</v>
      </c>
      <c r="R304" s="177">
        <f t="shared" si="120"/>
        <v>0.1327500095267411</v>
      </c>
      <c r="S304" s="799">
        <f t="shared" si="138"/>
        <v>-1</v>
      </c>
      <c r="T304" s="176">
        <f t="shared" si="121"/>
        <v>5</v>
      </c>
      <c r="U304" s="250">
        <f t="shared" si="122"/>
        <v>-0.8672499904732589</v>
      </c>
      <c r="V304" s="382">
        <f t="shared" si="123"/>
        <v>39.254681298441895</v>
      </c>
      <c r="W304" s="58"/>
      <c r="X304" s="157">
        <f t="shared" si="124"/>
        <v>43755</v>
      </c>
      <c r="Y304" s="383">
        <f t="shared" si="125"/>
        <v>17.814387795257446</v>
      </c>
      <c r="Z304" s="383">
        <f t="shared" si="126"/>
        <v>17.91024009181325</v>
      </c>
      <c r="AA304" s="384">
        <f t="shared" si="127"/>
        <v>18.250664733101274</v>
      </c>
      <c r="AB304" s="197">
        <f t="shared" si="128"/>
        <v>43755</v>
      </c>
      <c r="AC304" s="424">
        <f t="shared" si="129"/>
        <v>1.8652725600212992E-2</v>
      </c>
      <c r="AD304" s="169">
        <f>(INDEX(Models!$BJ304:$BT304,,AH304)*(1-AF304)+INDEX(Models!$BJ304:$BT304,,AH304+1)*AF304-ERP_i)*AE304*Ramure*Pc/MaxiM</f>
        <v>1.7167707450835628E-3</v>
      </c>
      <c r="AE304" s="304">
        <f t="shared" si="130"/>
        <v>0.7</v>
      </c>
      <c r="AF304" s="177">
        <f t="shared" si="131"/>
        <v>0.19708223178657325</v>
      </c>
      <c r="AG304" s="799">
        <f t="shared" si="132"/>
        <v>-1</v>
      </c>
      <c r="AH304" s="176">
        <f t="shared" si="133"/>
        <v>5</v>
      </c>
      <c r="AI304" s="224">
        <f t="shared" si="134"/>
        <v>-0.80291776821342675</v>
      </c>
      <c r="AJ304" s="264" t="b">
        <f t="shared" si="135"/>
        <v>0</v>
      </c>
      <c r="AK304" s="264" t="b">
        <f t="shared" si="136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37"/>
        <v>43756</v>
      </c>
      <c r="B305" s="607">
        <v>14.250999999999999</v>
      </c>
      <c r="C305" s="388"/>
      <c r="D305" s="391">
        <f t="shared" si="114"/>
        <v>14.327953683825559</v>
      </c>
      <c r="E305" s="383">
        <f t="shared" si="140"/>
        <v>14.60099100661237</v>
      </c>
      <c r="F305" s="383">
        <f t="shared" si="139"/>
        <v>14.602967856026735</v>
      </c>
      <c r="G305" s="110">
        <f t="shared" si="141"/>
        <v>0.36530506314308397</v>
      </c>
      <c r="I305" s="379">
        <f t="shared" si="115"/>
        <v>14.602967856026735</v>
      </c>
      <c r="J305" s="85">
        <v>2018</v>
      </c>
      <c r="K305" s="197">
        <f t="shared" si="116"/>
        <v>43756</v>
      </c>
      <c r="L305" s="435">
        <f t="shared" si="117"/>
        <v>5.370877483532821E-3</v>
      </c>
      <c r="M305" s="842"/>
      <c r="N305" s="842"/>
      <c r="O305" s="323">
        <f t="shared" si="118"/>
        <v>1.869991719487802E-2</v>
      </c>
      <c r="P305" s="169">
        <f>(INDEX(Models!$BJ305:$BT305,,T305)*(1-R305)+INDEX(Models!$BJ305:$BT305,,T305+1)*R305-ERP_i)*Q305*Ramure*Pc/MaxiM</f>
        <v>1.4405221372641439E-3</v>
      </c>
      <c r="Q305" s="304">
        <f t="shared" si="119"/>
        <v>0.7</v>
      </c>
      <c r="R305" s="177">
        <f t="shared" si="120"/>
        <v>0.13282964839909339</v>
      </c>
      <c r="S305" s="799">
        <f t="shared" si="138"/>
        <v>-1</v>
      </c>
      <c r="T305" s="176">
        <f t="shared" si="121"/>
        <v>5</v>
      </c>
      <c r="U305" s="250">
        <f t="shared" si="122"/>
        <v>-0.86717035160090661</v>
      </c>
      <c r="V305" s="382">
        <f t="shared" si="123"/>
        <v>38.96030807992112</v>
      </c>
      <c r="W305" s="58"/>
      <c r="X305" s="157">
        <f t="shared" si="124"/>
        <v>43756</v>
      </c>
      <c r="Y305" s="383">
        <f t="shared" si="125"/>
        <v>14.250398076628793</v>
      </c>
      <c r="Z305" s="383">
        <f t="shared" si="126"/>
        <v>14.327348510140634</v>
      </c>
      <c r="AA305" s="384">
        <f t="shared" si="127"/>
        <v>14.600374300575623</v>
      </c>
      <c r="AB305" s="197">
        <f t="shared" si="128"/>
        <v>43756</v>
      </c>
      <c r="AC305" s="424">
        <f t="shared" si="129"/>
        <v>1.869991719487802E-2</v>
      </c>
      <c r="AD305" s="169">
        <f>(INDEX(Models!$BJ305:$BT305,,AH305)*(1-AF305)+INDEX(Models!$BJ305:$BT305,,AH305+1)*AF305-ERP_i)*AE305*Ramure*Pc/MaxiM</f>
        <v>1.8899133208622051E-3</v>
      </c>
      <c r="AE305" s="304">
        <f t="shared" si="130"/>
        <v>0.7</v>
      </c>
      <c r="AF305" s="177">
        <f t="shared" si="131"/>
        <v>0.19716187065892554</v>
      </c>
      <c r="AG305" s="799">
        <f t="shared" si="132"/>
        <v>-1</v>
      </c>
      <c r="AH305" s="176">
        <f t="shared" si="133"/>
        <v>5</v>
      </c>
      <c r="AI305" s="224">
        <f t="shared" si="134"/>
        <v>-0.80283812934107446</v>
      </c>
      <c r="AJ305" s="264" t="b">
        <f t="shared" si="135"/>
        <v>0</v>
      </c>
      <c r="AK305" s="264" t="b">
        <f t="shared" si="136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37"/>
        <v>43757</v>
      </c>
      <c r="B306" s="607">
        <v>27.672000000000001</v>
      </c>
      <c r="C306" s="388"/>
      <c r="D306" s="391">
        <f t="shared" si="114"/>
        <v>27.821958669094421</v>
      </c>
      <c r="E306" s="383">
        <f t="shared" si="140"/>
        <v>28.353495002222814</v>
      </c>
      <c r="F306" s="383">
        <f t="shared" si="139"/>
        <v>28.380214746783881</v>
      </c>
      <c r="G306" s="110">
        <f t="shared" si="141"/>
        <v>0.71522166838212586</v>
      </c>
      <c r="I306" s="379">
        <f t="shared" si="115"/>
        <v>28.380214746783881</v>
      </c>
      <c r="J306" s="85">
        <v>2018</v>
      </c>
      <c r="K306" s="197">
        <f t="shared" si="116"/>
        <v>43757</v>
      </c>
      <c r="L306" s="435">
        <f t="shared" si="117"/>
        <v>5.3899393237544224E-3</v>
      </c>
      <c r="M306" s="842"/>
      <c r="N306" s="842"/>
      <c r="O306" s="323">
        <f t="shared" si="118"/>
        <v>1.8746765895587852E-2</v>
      </c>
      <c r="P306" s="169">
        <f>(INDEX(Models!$BJ306:$BT306,,T306)*(1-R306)+INDEX(Models!$BJ306:$BT306,,T306+1)*R306-ERP_i)*Q306*Ramure*Pc/MaxiM</f>
        <v>1.5854495608007076E-3</v>
      </c>
      <c r="Q306" s="304">
        <f t="shared" si="119"/>
        <v>0.7</v>
      </c>
      <c r="R306" s="177">
        <f t="shared" si="120"/>
        <v>0.13290611070423752</v>
      </c>
      <c r="S306" s="799">
        <f t="shared" si="138"/>
        <v>-1</v>
      </c>
      <c r="T306" s="176">
        <f t="shared" si="121"/>
        <v>5</v>
      </c>
      <c r="U306" s="250">
        <f t="shared" si="122"/>
        <v>-0.86709388929576248</v>
      </c>
      <c r="V306" s="382">
        <f t="shared" si="123"/>
        <v>38.665164711173773</v>
      </c>
      <c r="W306" s="58"/>
      <c r="X306" s="157">
        <f t="shared" si="124"/>
        <v>43757</v>
      </c>
      <c r="Y306" s="383">
        <f t="shared" si="125"/>
        <v>27.663973316230344</v>
      </c>
      <c r="Z306" s="383">
        <f t="shared" si="126"/>
        <v>27.813888487535834</v>
      </c>
      <c r="AA306" s="384">
        <f t="shared" si="127"/>
        <v>28.345270640479992</v>
      </c>
      <c r="AB306" s="197">
        <f t="shared" si="128"/>
        <v>43757</v>
      </c>
      <c r="AC306" s="424">
        <f t="shared" si="129"/>
        <v>1.8746765895587852E-2</v>
      </c>
      <c r="AD306" s="169">
        <f>(INDEX(Models!$BJ306:$BT306,,AH306)*(1-AF306)+INDEX(Models!$BJ306:$BT306,,AH306+1)*AF306-ERP_i)*AE306*Ramure*Pc/MaxiM</f>
        <v>2.0734523814573821E-3</v>
      </c>
      <c r="AE306" s="304">
        <f t="shared" si="130"/>
        <v>0.7</v>
      </c>
      <c r="AF306" s="177">
        <f t="shared" si="131"/>
        <v>0.19723833296406967</v>
      </c>
      <c r="AG306" s="799">
        <f t="shared" si="132"/>
        <v>-1</v>
      </c>
      <c r="AH306" s="176">
        <f t="shared" si="133"/>
        <v>5</v>
      </c>
      <c r="AI306" s="224">
        <f t="shared" si="134"/>
        <v>-0.80276166703593033</v>
      </c>
      <c r="AJ306" s="264" t="b">
        <f t="shared" si="135"/>
        <v>0</v>
      </c>
      <c r="AK306" s="264" t="b">
        <f t="shared" si="136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37"/>
        <v>43758</v>
      </c>
      <c r="B307" s="607">
        <v>14.215999999999999</v>
      </c>
      <c r="C307" s="388"/>
      <c r="D307" s="391">
        <f t="shared" si="114"/>
        <v>14.293312538938618</v>
      </c>
      <c r="E307" s="383">
        <f t="shared" si="140"/>
        <v>14.567075667657772</v>
      </c>
      <c r="F307" s="383">
        <f t="shared" si="139"/>
        <v>14.56962908602857</v>
      </c>
      <c r="G307" s="110">
        <f t="shared" si="141"/>
        <v>0.36992204320833005</v>
      </c>
      <c r="I307" s="379">
        <f t="shared" si="115"/>
        <v>14.56962908602857</v>
      </c>
      <c r="J307" s="85">
        <v>2018</v>
      </c>
      <c r="K307" s="197">
        <f t="shared" si="116"/>
        <v>43758</v>
      </c>
      <c r="L307" s="435">
        <f t="shared" si="117"/>
        <v>5.4090007986602462E-3</v>
      </c>
      <c r="M307" s="842"/>
      <c r="N307" s="842"/>
      <c r="O307" s="323">
        <f t="shared" si="118"/>
        <v>1.8793279788267277E-2</v>
      </c>
      <c r="P307" s="169">
        <f>(INDEX(Models!$BJ307:$BT307,,T307)*(1-R307)+INDEX(Models!$BJ307:$BT307,,T307+1)*R307-ERP_i)*Q307*Ramure*Pc/MaxiM</f>
        <v>1.7400855337640652E-3</v>
      </c>
      <c r="Q307" s="304">
        <f t="shared" si="119"/>
        <v>0.7</v>
      </c>
      <c r="R307" s="177">
        <f t="shared" si="120"/>
        <v>0.13297952199463214</v>
      </c>
      <c r="S307" s="799">
        <f t="shared" si="138"/>
        <v>-1</v>
      </c>
      <c r="T307" s="176">
        <f t="shared" si="121"/>
        <v>5</v>
      </c>
      <c r="U307" s="250">
        <f t="shared" si="122"/>
        <v>-0.86702047800536786</v>
      </c>
      <c r="V307" s="382">
        <f t="shared" si="123"/>
        <v>38.369572043481696</v>
      </c>
      <c r="W307" s="58"/>
      <c r="X307" s="157">
        <f t="shared" si="124"/>
        <v>43758</v>
      </c>
      <c r="Y307" s="383">
        <f t="shared" si="125"/>
        <v>14.215244692068339</v>
      </c>
      <c r="Z307" s="383">
        <f t="shared" si="126"/>
        <v>14.292553123327311</v>
      </c>
      <c r="AA307" s="384">
        <f t="shared" si="127"/>
        <v>14.566301706783204</v>
      </c>
      <c r="AB307" s="197">
        <f t="shared" si="128"/>
        <v>43758</v>
      </c>
      <c r="AC307" s="424">
        <f t="shared" si="129"/>
        <v>1.8793279788267277E-2</v>
      </c>
      <c r="AD307" s="169">
        <f>(INDEX(Models!$BJ307:$BT307,,AH307)*(1-AF307)+INDEX(Models!$BJ307:$BT307,,AH307+1)*AF307-ERP_i)*AE307*Ramure*Pc/MaxiM</f>
        <v>2.2675189293012697E-3</v>
      </c>
      <c r="AE307" s="304">
        <f t="shared" si="130"/>
        <v>0.7</v>
      </c>
      <c r="AF307" s="177">
        <f t="shared" si="131"/>
        <v>0.19731174425446441</v>
      </c>
      <c r="AG307" s="799">
        <f t="shared" si="132"/>
        <v>-1</v>
      </c>
      <c r="AH307" s="176">
        <f t="shared" si="133"/>
        <v>5</v>
      </c>
      <c r="AI307" s="224">
        <f t="shared" si="134"/>
        <v>-0.80268825574553559</v>
      </c>
      <c r="AJ307" s="264" t="b">
        <f t="shared" si="135"/>
        <v>0</v>
      </c>
      <c r="AK307" s="264" t="b">
        <f t="shared" si="136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37"/>
        <v>43759</v>
      </c>
      <c r="B308" s="607">
        <v>21.65</v>
      </c>
      <c r="C308" s="388"/>
      <c r="D308" s="391">
        <f t="shared" si="114"/>
        <v>21.768158914215142</v>
      </c>
      <c r="E308" s="383">
        <f t="shared" si="140"/>
        <v>22.186133874165112</v>
      </c>
      <c r="F308" s="383">
        <f t="shared" si="139"/>
        <v>22.202361362008595</v>
      </c>
      <c r="G308" s="110">
        <f t="shared" si="141"/>
        <v>0.56796386861250514</v>
      </c>
      <c r="I308" s="379">
        <f t="shared" si="115"/>
        <v>22.202361362008595</v>
      </c>
      <c r="J308" s="85">
        <v>2018</v>
      </c>
      <c r="K308" s="197">
        <f t="shared" si="116"/>
        <v>43759</v>
      </c>
      <c r="L308" s="435">
        <f t="shared" si="117"/>
        <v>5.4280619082572867E-3</v>
      </c>
      <c r="M308" s="842"/>
      <c r="N308" s="842"/>
      <c r="O308" s="323">
        <f t="shared" si="118"/>
        <v>1.883946803533379E-2</v>
      </c>
      <c r="P308" s="169">
        <f>(INDEX(Models!$BJ308:$BT308,,T308)*(1-R308)+INDEX(Models!$BJ308:$BT308,,T308+1)*R308-ERP_i)*Q308*Ramure*Pc/MaxiM</f>
        <v>1.9045520384585839E-3</v>
      </c>
      <c r="Q308" s="304">
        <f t="shared" si="119"/>
        <v>0.7</v>
      </c>
      <c r="R308" s="177">
        <f t="shared" si="120"/>
        <v>0.13305000295086045</v>
      </c>
      <c r="S308" s="799">
        <f t="shared" si="138"/>
        <v>-1</v>
      </c>
      <c r="T308" s="176">
        <f t="shared" si="121"/>
        <v>5</v>
      </c>
      <c r="U308" s="250">
        <f t="shared" si="122"/>
        <v>-0.86694999704913955</v>
      </c>
      <c r="V308" s="382">
        <f t="shared" si="123"/>
        <v>38.073850874003831</v>
      </c>
      <c r="W308" s="58"/>
      <c r="X308" s="157">
        <f t="shared" si="124"/>
        <v>43759</v>
      </c>
      <c r="Y308" s="383">
        <f t="shared" si="125"/>
        <v>21.645279970320697</v>
      </c>
      <c r="Z308" s="383">
        <f t="shared" si="126"/>
        <v>21.763413124093255</v>
      </c>
      <c r="AA308" s="384">
        <f t="shared" si="127"/>
        <v>22.181296959137164</v>
      </c>
      <c r="AB308" s="197">
        <f t="shared" si="128"/>
        <v>43759</v>
      </c>
      <c r="AC308" s="424">
        <f t="shared" si="129"/>
        <v>1.883946803533379E-2</v>
      </c>
      <c r="AD308" s="169">
        <f>(INDEX(Models!$BJ308:$BT308,,AH308)*(1-AF308)+INDEX(Models!$BJ308:$BT308,,AH308+1)*AF308-ERP_i)*AE308*Ramure*Pc/MaxiM</f>
        <v>2.472240424066091E-3</v>
      </c>
      <c r="AE308" s="304">
        <f t="shared" si="130"/>
        <v>0.7</v>
      </c>
      <c r="AF308" s="177">
        <f t="shared" si="131"/>
        <v>0.19738222521069271</v>
      </c>
      <c r="AG308" s="799">
        <f t="shared" si="132"/>
        <v>-1</v>
      </c>
      <c r="AH308" s="176">
        <f t="shared" si="133"/>
        <v>5</v>
      </c>
      <c r="AI308" s="224">
        <f t="shared" si="134"/>
        <v>-0.80261777478930729</v>
      </c>
      <c r="AJ308" s="264" t="b">
        <f t="shared" si="135"/>
        <v>0</v>
      </c>
      <c r="AK308" s="264" t="b">
        <f t="shared" si="136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37"/>
        <v>43760</v>
      </c>
      <c r="B309" s="607">
        <v>3.649</v>
      </c>
      <c r="C309" s="388"/>
      <c r="D309" s="391">
        <f t="shared" si="114"/>
        <v>3.6689854135580773</v>
      </c>
      <c r="E309" s="383">
        <f t="shared" si="140"/>
        <v>3.7396092081696084</v>
      </c>
      <c r="F309" s="383">
        <f t="shared" si="139"/>
        <v>3.7396092081696084</v>
      </c>
      <c r="G309" s="110">
        <f t="shared" si="141"/>
        <v>9.6388978112923629E-2</v>
      </c>
      <c r="I309" s="379">
        <f t="shared" si="115"/>
        <v>3.7396092081696084</v>
      </c>
      <c r="J309" s="85">
        <v>2018</v>
      </c>
      <c r="K309" s="197">
        <f t="shared" si="116"/>
        <v>43760</v>
      </c>
      <c r="L309" s="435">
        <f t="shared" si="117"/>
        <v>5.4471226525525385E-3</v>
      </c>
      <c r="M309" s="842"/>
      <c r="N309" s="842"/>
      <c r="O309" s="323">
        <f t="shared" si="118"/>
        <v>1.888534086857125E-2</v>
      </c>
      <c r="P309" s="169">
        <f>(INDEX(Models!$BJ309:$BT309,,T309)*(1-R309)+INDEX(Models!$BJ309:$BT309,,T309+1)*R309-ERP_i)*Q309*Ramure*Pc/MaxiM</f>
        <v>2.0789678066141211E-3</v>
      </c>
      <c r="Q309" s="304">
        <f t="shared" si="119"/>
        <v>0.7</v>
      </c>
      <c r="R309" s="177">
        <f t="shared" si="120"/>
        <v>0.13311766956353721</v>
      </c>
      <c r="S309" s="799">
        <f t="shared" si="138"/>
        <v>-1</v>
      </c>
      <c r="T309" s="176">
        <f t="shared" si="121"/>
        <v>5</v>
      </c>
      <c r="U309" s="250">
        <f t="shared" si="122"/>
        <v>-0.86688233043646279</v>
      </c>
      <c r="V309" s="382">
        <f t="shared" si="123"/>
        <v>37.778321938506295</v>
      </c>
      <c r="W309" s="58"/>
      <c r="X309" s="157">
        <f t="shared" si="124"/>
        <v>43760</v>
      </c>
      <c r="Y309" s="383">
        <f t="shared" si="125"/>
        <v>3.649</v>
      </c>
      <c r="Z309" s="383">
        <f t="shared" si="126"/>
        <v>3.6689854135580773</v>
      </c>
      <c r="AA309" s="384">
        <f t="shared" si="127"/>
        <v>3.7396092081696084</v>
      </c>
      <c r="AB309" s="197">
        <f t="shared" si="128"/>
        <v>43760</v>
      </c>
      <c r="AC309" s="424">
        <f t="shared" si="129"/>
        <v>1.888534086857125E-2</v>
      </c>
      <c r="AD309" s="169">
        <f>(INDEX(Models!$BJ309:$BT309,,AH309)*(1-AF309)+INDEX(Models!$BJ309:$BT309,,AH309+1)*AF309-ERP_i)*AE309*Ramure*Pc/MaxiM</f>
        <v>2.6877401043645696E-3</v>
      </c>
      <c r="AE309" s="304">
        <f t="shared" si="130"/>
        <v>0.7</v>
      </c>
      <c r="AF309" s="177">
        <f t="shared" si="131"/>
        <v>0.19744989182336936</v>
      </c>
      <c r="AG309" s="799">
        <f t="shared" si="132"/>
        <v>-1</v>
      </c>
      <c r="AH309" s="176">
        <f t="shared" si="133"/>
        <v>5</v>
      </c>
      <c r="AI309" s="224">
        <f t="shared" si="134"/>
        <v>-0.80255010817663064</v>
      </c>
      <c r="AJ309" s="264" t="b">
        <f t="shared" si="135"/>
        <v>0</v>
      </c>
      <c r="AK309" s="264" t="b">
        <f t="shared" si="136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37"/>
        <v>43761</v>
      </c>
      <c r="B310" s="607">
        <v>15.522</v>
      </c>
      <c r="C310" s="388"/>
      <c r="D310" s="391">
        <f t="shared" si="114"/>
        <v>15.607312426353076</v>
      </c>
      <c r="E310" s="383">
        <f t="shared" si="140"/>
        <v>15.908474315091624</v>
      </c>
      <c r="F310" s="383">
        <f t="shared" si="139"/>
        <v>15.914329457973706</v>
      </c>
      <c r="G310" s="110">
        <f t="shared" si="141"/>
        <v>0.41331911266601346</v>
      </c>
      <c r="I310" s="379">
        <f t="shared" si="115"/>
        <v>15.914329457973706</v>
      </c>
      <c r="J310" s="85">
        <v>2018</v>
      </c>
      <c r="K310" s="197">
        <f t="shared" si="116"/>
        <v>43761</v>
      </c>
      <c r="L310" s="435">
        <f t="shared" si="117"/>
        <v>5.4661830315528848E-3</v>
      </c>
      <c r="M310" s="842"/>
      <c r="N310" s="842"/>
      <c r="O310" s="323">
        <f t="shared" si="118"/>
        <v>1.8930909575209799E-2</v>
      </c>
      <c r="P310" s="169">
        <f>(INDEX(Models!$BJ310:$BT310,,T310)*(1-R310)+INDEX(Models!$BJ310:$BT310,,T310+1)*R310-ERP_i)*Q310*Ramure*Pc/MaxiM</f>
        <v>2.257121758816772E-3</v>
      </c>
      <c r="Q310" s="304">
        <f t="shared" si="119"/>
        <v>0.7</v>
      </c>
      <c r="R310" s="177">
        <f t="shared" si="120"/>
        <v>0.1331826333089946</v>
      </c>
      <c r="S310" s="799">
        <f t="shared" si="138"/>
        <v>-1</v>
      </c>
      <c r="T310" s="176">
        <f t="shared" si="121"/>
        <v>5</v>
      </c>
      <c r="U310" s="250">
        <f t="shared" si="122"/>
        <v>-0.8668173666910054</v>
      </c>
      <c r="V310" s="382">
        <f t="shared" si="123"/>
        <v>37.483543554820145</v>
      </c>
      <c r="W310" s="58"/>
      <c r="X310" s="157">
        <f t="shared" si="124"/>
        <v>43761</v>
      </c>
      <c r="Y310" s="383">
        <f t="shared" si="125"/>
        <v>15.520357241259976</v>
      </c>
      <c r="Z310" s="383">
        <f t="shared" si="126"/>
        <v>15.605660638639078</v>
      </c>
      <c r="AA310" s="384">
        <f t="shared" si="127"/>
        <v>15.90679065414448</v>
      </c>
      <c r="AB310" s="197">
        <f t="shared" si="128"/>
        <v>43761</v>
      </c>
      <c r="AC310" s="424">
        <f t="shared" si="129"/>
        <v>1.8930909575209799E-2</v>
      </c>
      <c r="AD310" s="169">
        <f>(INDEX(Models!$BJ310:$BT310,,AH310)*(1-AF310)+INDEX(Models!$BJ310:$BT310,,AH310+1)*AF310-ERP_i)*AE310*Ramure*Pc/MaxiM</f>
        <v>2.9061627531704643E-3</v>
      </c>
      <c r="AE310" s="304">
        <f t="shared" si="130"/>
        <v>0.7</v>
      </c>
      <c r="AF310" s="177">
        <f t="shared" si="131"/>
        <v>0.19751485556882686</v>
      </c>
      <c r="AG310" s="799">
        <f t="shared" si="132"/>
        <v>-1</v>
      </c>
      <c r="AH310" s="176">
        <f t="shared" si="133"/>
        <v>5</v>
      </c>
      <c r="AI310" s="224">
        <f t="shared" si="134"/>
        <v>-0.80248514443117314</v>
      </c>
      <c r="AJ310" s="264" t="b">
        <f t="shared" si="135"/>
        <v>0</v>
      </c>
      <c r="AK310" s="264" t="b">
        <f t="shared" si="136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37"/>
        <v>43762</v>
      </c>
      <c r="B311" s="607">
        <v>18.065999999999999</v>
      </c>
      <c r="C311" s="388"/>
      <c r="D311" s="391">
        <f t="shared" si="114"/>
        <v>18.16564296674612</v>
      </c>
      <c r="E311" s="383">
        <f t="shared" si="140"/>
        <v>18.517025495551543</v>
      </c>
      <c r="F311" s="383">
        <f t="shared" si="139"/>
        <v>18.528987710847929</v>
      </c>
      <c r="G311" s="110">
        <f t="shared" si="141"/>
        <v>0.48490613567841029</v>
      </c>
      <c r="I311" s="379">
        <f t="shared" si="115"/>
        <v>18.528987710847929</v>
      </c>
      <c r="J311" s="85">
        <v>2018</v>
      </c>
      <c r="K311" s="197">
        <f t="shared" si="116"/>
        <v>43762</v>
      </c>
      <c r="L311" s="435">
        <f t="shared" si="117"/>
        <v>5.485243045265431E-3</v>
      </c>
      <c r="M311" s="842"/>
      <c r="N311" s="842"/>
      <c r="O311" s="323">
        <f t="shared" si="118"/>
        <v>1.8976186477133585E-2</v>
      </c>
      <c r="P311" s="169">
        <f>(INDEX(Models!$BJ311:$BT311,,T311)*(1-R311)+INDEX(Models!$BJ311:$BT311,,T311+1)*R311-ERP_i)*Q311*Ramure*Pc/MaxiM</f>
        <v>2.4326028192337094E-3</v>
      </c>
      <c r="Q311" s="304">
        <f t="shared" si="119"/>
        <v>0.7</v>
      </c>
      <c r="R311" s="177">
        <f t="shared" si="120"/>
        <v>0.13324500131890882</v>
      </c>
      <c r="S311" s="799">
        <f t="shared" si="138"/>
        <v>-1</v>
      </c>
      <c r="T311" s="176">
        <f t="shared" si="121"/>
        <v>5</v>
      </c>
      <c r="U311" s="250">
        <f t="shared" si="122"/>
        <v>-0.86675499868109118</v>
      </c>
      <c r="V311" s="382">
        <f t="shared" si="123"/>
        <v>37.19007397018374</v>
      </c>
      <c r="W311" s="58"/>
      <c r="X311" s="157">
        <f t="shared" si="124"/>
        <v>43762</v>
      </c>
      <c r="Y311" s="383">
        <f t="shared" si="125"/>
        <v>18.062701574504672</v>
      </c>
      <c r="Z311" s="383">
        <f t="shared" si="126"/>
        <v>18.162326348795244</v>
      </c>
      <c r="AA311" s="384">
        <f t="shared" si="127"/>
        <v>18.513644723438617</v>
      </c>
      <c r="AB311" s="197">
        <f t="shared" si="128"/>
        <v>43762</v>
      </c>
      <c r="AC311" s="424">
        <f t="shared" si="129"/>
        <v>1.8976186477133585E-2</v>
      </c>
      <c r="AD311" s="169">
        <f>(INDEX(Models!$BJ311:$BT311,,AH311)*(1-AF311)+INDEX(Models!$BJ311:$BT311,,AH311+1)*AF311-ERP_i)*AE311*Ramure*Pc/MaxiM</f>
        <v>3.1201072295235026E-3</v>
      </c>
      <c r="AE311" s="304">
        <f t="shared" si="130"/>
        <v>0.7</v>
      </c>
      <c r="AF311" s="177">
        <f t="shared" si="131"/>
        <v>0.19757722357874097</v>
      </c>
      <c r="AG311" s="799">
        <f t="shared" si="132"/>
        <v>-1</v>
      </c>
      <c r="AH311" s="176">
        <f t="shared" si="133"/>
        <v>5</v>
      </c>
      <c r="AI311" s="224">
        <f t="shared" si="134"/>
        <v>-0.80242277642125903</v>
      </c>
      <c r="AJ311" s="264" t="b">
        <f t="shared" si="135"/>
        <v>0</v>
      </c>
      <c r="AK311" s="264" t="b">
        <f t="shared" si="136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37"/>
        <v>43763</v>
      </c>
      <c r="B312" s="607">
        <v>28.548999999999999</v>
      </c>
      <c r="C312" s="388"/>
      <c r="D312" s="391">
        <f t="shared" si="114"/>
        <v>28.707012083941638</v>
      </c>
      <c r="E312" s="383">
        <f t="shared" si="140"/>
        <v>29.263641214421877</v>
      </c>
      <c r="F312" s="383">
        <f t="shared" si="139"/>
        <v>29.315328763319375</v>
      </c>
      <c r="G312" s="110">
        <f t="shared" si="141"/>
        <v>0.77307000092534472</v>
      </c>
      <c r="I312" s="379">
        <f t="shared" si="115"/>
        <v>29.315328763319375</v>
      </c>
      <c r="J312" s="85">
        <v>2018</v>
      </c>
      <c r="K312" s="197">
        <f t="shared" si="116"/>
        <v>43763</v>
      </c>
      <c r="L312" s="435">
        <f t="shared" si="117"/>
        <v>5.5043026936972828E-3</v>
      </c>
      <c r="M312" s="842"/>
      <c r="N312" s="842"/>
      <c r="O312" s="323">
        <f t="shared" si="118"/>
        <v>1.9021184903193693E-2</v>
      </c>
      <c r="P312" s="169">
        <f>(INDEX(Models!$BJ312:$BT312,,T312)*(1-R312)+INDEX(Models!$BJ312:$BT312,,T312+1)*R312-ERP_i)*Q312*Ramure*Pc/MaxiM</f>
        <v>2.6053432479003404E-3</v>
      </c>
      <c r="Q312" s="304">
        <f t="shared" si="119"/>
        <v>0.7</v>
      </c>
      <c r="R312" s="177">
        <f t="shared" si="120"/>
        <v>0.13330487654403533</v>
      </c>
      <c r="S312" s="799">
        <f t="shared" si="138"/>
        <v>-1</v>
      </c>
      <c r="T312" s="176">
        <f t="shared" si="121"/>
        <v>5</v>
      </c>
      <c r="U312" s="250">
        <f t="shared" si="122"/>
        <v>-0.86669512345596467</v>
      </c>
      <c r="V312" s="382">
        <f t="shared" si="123"/>
        <v>36.898229066477406</v>
      </c>
      <c r="W312" s="58"/>
      <c r="X312" s="157">
        <f t="shared" si="124"/>
        <v>43763</v>
      </c>
      <c r="Y312" s="383">
        <f t="shared" si="125"/>
        <v>28.53498474765356</v>
      </c>
      <c r="Z312" s="383">
        <f t="shared" si="126"/>
        <v>28.692919260428777</v>
      </c>
      <c r="AA312" s="384">
        <f t="shared" si="127"/>
        <v>29.249275130979523</v>
      </c>
      <c r="AB312" s="197">
        <f t="shared" si="128"/>
        <v>43763</v>
      </c>
      <c r="AC312" s="424">
        <f t="shared" si="129"/>
        <v>1.9021184903193693E-2</v>
      </c>
      <c r="AD312" s="169">
        <f>(INDEX(Models!$BJ312:$BT312,,AH312)*(1-AF312)+INDEX(Models!$BJ312:$BT312,,AH312+1)*AF312-ERP_i)*AE312*Ramure*Pc/MaxiM</f>
        <v>3.3294746740111184E-3</v>
      </c>
      <c r="AE312" s="304">
        <f t="shared" si="130"/>
        <v>0.7</v>
      </c>
      <c r="AF312" s="177">
        <f t="shared" si="131"/>
        <v>0.19763709880386759</v>
      </c>
      <c r="AG312" s="799">
        <f t="shared" si="132"/>
        <v>-1</v>
      </c>
      <c r="AH312" s="176">
        <f t="shared" si="133"/>
        <v>5</v>
      </c>
      <c r="AI312" s="224">
        <f t="shared" si="134"/>
        <v>-0.80236290119613241</v>
      </c>
      <c r="AJ312" s="264" t="b">
        <f t="shared" si="135"/>
        <v>0</v>
      </c>
      <c r="AK312" s="264" t="b">
        <f t="shared" si="136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37"/>
        <v>43764</v>
      </c>
      <c r="B313" s="607">
        <v>36.363</v>
      </c>
      <c r="C313" s="388"/>
      <c r="D313" s="391">
        <f t="shared" si="114"/>
        <v>36.564961518134439</v>
      </c>
      <c r="E313" s="383">
        <f t="shared" si="140"/>
        <v>37.275656165013487</v>
      </c>
      <c r="F313" s="383">
        <f t="shared" si="139"/>
        <v>37.378397618671073</v>
      </c>
      <c r="G313" s="110">
        <f t="shared" si="141"/>
        <v>0.99327218854529808</v>
      </c>
      <c r="I313" s="379">
        <f t="shared" si="115"/>
        <v>37.378397618671073</v>
      </c>
      <c r="J313" s="85">
        <v>2018</v>
      </c>
      <c r="K313" s="197">
        <f t="shared" si="116"/>
        <v>43764</v>
      </c>
      <c r="L313" s="435">
        <f t="shared" si="117"/>
        <v>5.5233619768552122E-3</v>
      </c>
      <c r="M313" s="842"/>
      <c r="N313" s="842"/>
      <c r="O313" s="323">
        <f t="shared" si="118"/>
        <v>1.9065919154659942E-2</v>
      </c>
      <c r="P313" s="169">
        <f>(INDEX(Models!$BJ313:$BT313,,T313)*(1-R313)+INDEX(Models!$BJ313:$BT313,,T313+1)*R313-ERP_i)*Q313*Ramure*Pc/MaxiM</f>
        <v>2.7752538316583226E-3</v>
      </c>
      <c r="Q313" s="304">
        <f t="shared" si="119"/>
        <v>0.7</v>
      </c>
      <c r="R313" s="177">
        <f t="shared" si="120"/>
        <v>0.13336235791221895</v>
      </c>
      <c r="S313" s="799">
        <f t="shared" si="138"/>
        <v>-1</v>
      </c>
      <c r="T313" s="176">
        <f t="shared" si="121"/>
        <v>5</v>
      </c>
      <c r="U313" s="250">
        <f t="shared" si="122"/>
        <v>-0.86663764208778105</v>
      </c>
      <c r="V313" s="382">
        <f t="shared" si="123"/>
        <v>36.608325136364044</v>
      </c>
      <c r="W313" s="58"/>
      <c r="X313" s="157">
        <f t="shared" si="124"/>
        <v>43764</v>
      </c>
      <c r="Y313" s="383">
        <f t="shared" si="125"/>
        <v>36.335593520740311</v>
      </c>
      <c r="Z313" s="383">
        <f t="shared" si="126"/>
        <v>36.537402822221608</v>
      </c>
      <c r="AA313" s="384">
        <f t="shared" si="127"/>
        <v>37.247561824679138</v>
      </c>
      <c r="AB313" s="197">
        <f t="shared" si="128"/>
        <v>43764</v>
      </c>
      <c r="AC313" s="424">
        <f t="shared" si="129"/>
        <v>1.9065919154659942E-2</v>
      </c>
      <c r="AD313" s="169">
        <f>(INDEX(Models!$BJ313:$BT313,,AH313)*(1-AF313)+INDEX(Models!$BJ313:$BT313,,AH313+1)*AF313-ERP_i)*AE313*Ramure*Pc/MaxiM</f>
        <v>3.5341386136536076E-3</v>
      </c>
      <c r="AE313" s="304">
        <f t="shared" si="130"/>
        <v>0.7</v>
      </c>
      <c r="AF313" s="177">
        <f t="shared" si="131"/>
        <v>0.1976945801720511</v>
      </c>
      <c r="AG313" s="799">
        <f t="shared" si="132"/>
        <v>-1</v>
      </c>
      <c r="AH313" s="176">
        <f t="shared" si="133"/>
        <v>5</v>
      </c>
      <c r="AI313" s="224">
        <f t="shared" si="134"/>
        <v>-0.8023054198279489</v>
      </c>
      <c r="AJ313" s="264" t="b">
        <f t="shared" si="135"/>
        <v>0</v>
      </c>
      <c r="AK313" s="264" t="b">
        <f t="shared" si="136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37"/>
        <v>43765</v>
      </c>
      <c r="B314" s="607">
        <v>27.335999999999999</v>
      </c>
      <c r="C314" s="388"/>
      <c r="D314" s="391">
        <f t="shared" si="114"/>
        <v>27.488352016578826</v>
      </c>
      <c r="E314" s="383">
        <f t="shared" si="140"/>
        <v>28.023900081797976</v>
      </c>
      <c r="F314" s="383">
        <f t="shared" si="139"/>
        <v>28.077316937486671</v>
      </c>
      <c r="G314" s="110">
        <f>+Wh_hp/MaxiM</f>
        <v>0.75184507967714742</v>
      </c>
      <c r="I314" s="379">
        <f t="shared" si="115"/>
        <v>28.077316937486671</v>
      </c>
      <c r="J314" s="85">
        <v>2018</v>
      </c>
      <c r="K314" s="197">
        <f t="shared" si="116"/>
        <v>43765</v>
      </c>
      <c r="L314" s="435">
        <f t="shared" si="117"/>
        <v>5.5424208947463249E-3</v>
      </c>
      <c r="M314" s="842"/>
      <c r="N314" s="842"/>
      <c r="O314" s="323">
        <f t="shared" si="118"/>
        <v>1.9110404463902591E-2</v>
      </c>
      <c r="P314" s="169">
        <f>(INDEX(Models!$BJ314:$BT314,,T314)*(1-R314)+INDEX(Models!$BJ314:$BT314,,T314+1)*R314-ERP_i)*Q314*Ramure*Pc/MaxiM</f>
        <v>2.9422411666903303E-3</v>
      </c>
      <c r="Q314" s="304">
        <f t="shared" si="119"/>
        <v>0.7</v>
      </c>
      <c r="R314" s="177">
        <f t="shared" si="120"/>
        <v>0.13341754048084076</v>
      </c>
      <c r="S314" s="799">
        <f t="shared" si="138"/>
        <v>-1</v>
      </c>
      <c r="T314" s="176">
        <f t="shared" si="121"/>
        <v>5</v>
      </c>
      <c r="U314" s="250">
        <f t="shared" si="122"/>
        <v>-0.86658245951915924</v>
      </c>
      <c r="V314" s="382">
        <f t="shared" si="123"/>
        <v>36.320678239882604</v>
      </c>
      <c r="W314" s="58"/>
      <c r="X314" s="157">
        <f t="shared" si="124"/>
        <v>43765</v>
      </c>
      <c r="Y314" s="383">
        <f t="shared" si="125"/>
        <v>27.321978919959047</v>
      </c>
      <c r="Z314" s="383">
        <f t="shared" si="126"/>
        <v>27.474252792704878</v>
      </c>
      <c r="AA314" s="384">
        <f t="shared" si="127"/>
        <v>28.009526166590689</v>
      </c>
      <c r="AB314" s="197">
        <f t="shared" si="128"/>
        <v>43765</v>
      </c>
      <c r="AC314" s="424">
        <f t="shared" si="129"/>
        <v>1.9110404463902591E-2</v>
      </c>
      <c r="AD314" s="169">
        <f>(INDEX(Models!$BJ314:$BT314,,AH314)*(1-AF314)+INDEX(Models!$BJ314:$BT314,,AH314+1)*AF314-ERP_i)*AE314*Ramure*Pc/MaxiM</f>
        <v>3.7339673831462213E-3</v>
      </c>
      <c r="AE314" s="304">
        <f t="shared" si="130"/>
        <v>0.7</v>
      </c>
      <c r="AF314" s="177">
        <f t="shared" si="131"/>
        <v>0.19774976274067302</v>
      </c>
      <c r="AG314" s="799">
        <f t="shared" si="132"/>
        <v>-1</v>
      </c>
      <c r="AH314" s="176">
        <f t="shared" si="133"/>
        <v>5</v>
      </c>
      <c r="AI314" s="224">
        <f t="shared" si="134"/>
        <v>-0.80225023725932698</v>
      </c>
      <c r="AJ314" s="264" t="b">
        <f t="shared" si="135"/>
        <v>0</v>
      </c>
      <c r="AK314" s="264" t="b">
        <f t="shared" si="136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37"/>
        <v>43766</v>
      </c>
      <c r="B315" s="607">
        <v>11.146000000000001</v>
      </c>
      <c r="C315" s="388"/>
      <c r="D315" s="391">
        <f t="shared" si="114"/>
        <v>11.208334924320937</v>
      </c>
      <c r="E315" s="383">
        <f t="shared" si="140"/>
        <v>11.427219391619253</v>
      </c>
      <c r="F315" s="383">
        <f t="shared" si="139"/>
        <v>11.427691255754764</v>
      </c>
      <c r="G315" s="110">
        <f t="shared" si="141"/>
        <v>0.30835717272324792</v>
      </c>
      <c r="I315" s="379">
        <f t="shared" si="115"/>
        <v>11.427691255754764</v>
      </c>
      <c r="J315" s="85">
        <v>2018</v>
      </c>
      <c r="K315" s="197">
        <f t="shared" si="116"/>
        <v>43766</v>
      </c>
      <c r="L315" s="435">
        <f t="shared" si="117"/>
        <v>5.5614794473776152E-3</v>
      </c>
      <c r="M315" s="842"/>
      <c r="N315" s="842"/>
      <c r="O315" s="323">
        <f t="shared" si="118"/>
        <v>1.9154656946452502E-2</v>
      </c>
      <c r="P315" s="169">
        <f>(INDEX(Models!$BJ315:$BT315,,T315)*(1-R315)+INDEX(Models!$BJ315:$BT315,,T315+1)*R315-ERP_i)*Q315*Ramure*Pc/MaxiM</f>
        <v>3.1062077337747325E-3</v>
      </c>
      <c r="Q315" s="304">
        <f t="shared" si="119"/>
        <v>0.7</v>
      </c>
      <c r="R315" s="177">
        <f t="shared" si="120"/>
        <v>0.13347051558386647</v>
      </c>
      <c r="S315" s="799">
        <f t="shared" si="138"/>
        <v>-1</v>
      </c>
      <c r="T315" s="176">
        <f t="shared" si="121"/>
        <v>5</v>
      </c>
      <c r="U315" s="250">
        <f t="shared" si="122"/>
        <v>-0.86652948441613353</v>
      </c>
      <c r="V315" s="382">
        <f t="shared" si="123"/>
        <v>36.035604207198972</v>
      </c>
      <c r="W315" s="58"/>
      <c r="X315" s="157">
        <f t="shared" si="124"/>
        <v>43766</v>
      </c>
      <c r="Y315" s="383">
        <f t="shared" si="125"/>
        <v>11.145878111593538</v>
      </c>
      <c r="Z315" s="383">
        <f t="shared" si="126"/>
        <v>11.208212354243507</v>
      </c>
      <c r="AA315" s="384">
        <f t="shared" si="127"/>
        <v>11.427094427904741</v>
      </c>
      <c r="AB315" s="197">
        <f t="shared" si="128"/>
        <v>43766</v>
      </c>
      <c r="AC315" s="424">
        <f t="shared" si="129"/>
        <v>1.9154656946452502E-2</v>
      </c>
      <c r="AD315" s="169">
        <f>(INDEX(Models!$BJ315:$BT315,,AH315)*(1-AF315)+INDEX(Models!$BJ315:$BT315,,AH315+1)*AF315-ERP_i)*AE315*Ramure*Pc/MaxiM</f>
        <v>3.9288243033407241E-3</v>
      </c>
      <c r="AE315" s="304">
        <f t="shared" si="130"/>
        <v>0.7</v>
      </c>
      <c r="AF315" s="177">
        <f t="shared" si="131"/>
        <v>0.19780273784369862</v>
      </c>
      <c r="AG315" s="799">
        <f t="shared" si="132"/>
        <v>-1</v>
      </c>
      <c r="AH315" s="176">
        <f t="shared" si="133"/>
        <v>5</v>
      </c>
      <c r="AI315" s="224">
        <f t="shared" si="134"/>
        <v>-0.80219726215630138</v>
      </c>
      <c r="AJ315" s="264" t="b">
        <f t="shared" si="135"/>
        <v>0</v>
      </c>
      <c r="AK315" s="264" t="b">
        <f t="shared" si="136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37"/>
        <v>43767</v>
      </c>
      <c r="B316" s="607">
        <v>28.315999999999999</v>
      </c>
      <c r="C316" s="388"/>
      <c r="D316" s="391">
        <f t="shared" si="114"/>
        <v>28.474905280564307</v>
      </c>
      <c r="E316" s="383">
        <f t="shared" si="140"/>
        <v>29.032287266756942</v>
      </c>
      <c r="F316" s="383">
        <f t="shared" si="139"/>
        <v>29.099104002218521</v>
      </c>
      <c r="G316" s="110">
        <f t="shared" si="141"/>
        <v>0.79120952749263695</v>
      </c>
      <c r="I316" s="379">
        <f t="shared" si="115"/>
        <v>29.099104002218521</v>
      </c>
      <c r="J316" s="85">
        <v>2018</v>
      </c>
      <c r="K316" s="197">
        <f t="shared" si="116"/>
        <v>43767</v>
      </c>
      <c r="L316" s="435">
        <f t="shared" si="117"/>
        <v>5.5805376347561886E-3</v>
      </c>
      <c r="M316" s="842"/>
      <c r="N316" s="842"/>
      <c r="O316" s="323">
        <f t="shared" si="118"/>
        <v>1.919869354664511E-2</v>
      </c>
      <c r="P316" s="169">
        <f>(INDEX(Models!$BJ316:$BT316,,T316)*(1-R316)+INDEX(Models!$BJ316:$BT316,,T316+1)*R316-ERP_i)*Q316*Ramure*Pc/MaxiM</f>
        <v>3.2670519701751663E-3</v>
      </c>
      <c r="Q316" s="304">
        <f t="shared" si="119"/>
        <v>0.7</v>
      </c>
      <c r="R316" s="177">
        <f t="shared" si="120"/>
        <v>0.13352137097365535</v>
      </c>
      <c r="S316" s="799">
        <f t="shared" si="138"/>
        <v>-1</v>
      </c>
      <c r="T316" s="176">
        <f t="shared" si="121"/>
        <v>5</v>
      </c>
      <c r="U316" s="250">
        <f t="shared" si="122"/>
        <v>-0.86647862902634465</v>
      </c>
      <c r="V316" s="382">
        <f t="shared" si="123"/>
        <v>35.753418648638721</v>
      </c>
      <c r="W316" s="58"/>
      <c r="X316" s="157">
        <f t="shared" si="124"/>
        <v>43767</v>
      </c>
      <c r="Y316" s="383">
        <f t="shared" si="125"/>
        <v>28.29901472364579</v>
      </c>
      <c r="Z316" s="383">
        <f t="shared" si="126"/>
        <v>28.457824685305432</v>
      </c>
      <c r="AA316" s="384">
        <f t="shared" si="127"/>
        <v>29.014872327414498</v>
      </c>
      <c r="AB316" s="197">
        <f t="shared" si="128"/>
        <v>43767</v>
      </c>
      <c r="AC316" s="424">
        <f t="shared" si="129"/>
        <v>1.919869354664511E-2</v>
      </c>
      <c r="AD316" s="169">
        <f>(INDEX(Models!$BJ316:$BT316,,AH316)*(1-AF316)+INDEX(Models!$BJ316:$BT316,,AH316+1)*AF316-ERP_i)*AE316*Ramure*Pc/MaxiM</f>
        <v>4.1185678590640916E-3</v>
      </c>
      <c r="AE316" s="304">
        <f t="shared" si="130"/>
        <v>0.7</v>
      </c>
      <c r="AF316" s="177">
        <f t="shared" si="131"/>
        <v>0.1978535932334875</v>
      </c>
      <c r="AG316" s="799">
        <f t="shared" si="132"/>
        <v>-1</v>
      </c>
      <c r="AH316" s="176">
        <f t="shared" si="133"/>
        <v>5</v>
      </c>
      <c r="AI316" s="224">
        <f t="shared" si="134"/>
        <v>-0.8021464067665125</v>
      </c>
      <c r="AJ316" s="264" t="b">
        <f t="shared" si="135"/>
        <v>0</v>
      </c>
      <c r="AK316" s="264" t="b">
        <f t="shared" si="136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37"/>
        <v>43768</v>
      </c>
      <c r="B317" s="607">
        <v>20.135000000000002</v>
      </c>
      <c r="C317" s="388"/>
      <c r="D317" s="391">
        <f t="shared" si="114"/>
        <v>20.248382752067826</v>
      </c>
      <c r="E317" s="383">
        <f t="shared" si="140"/>
        <v>20.645657476242889</v>
      </c>
      <c r="F317" s="383">
        <f t="shared" si="139"/>
        <v>20.672722758249261</v>
      </c>
      <c r="G317" s="110">
        <f t="shared" si="141"/>
        <v>0.56639852612293007</v>
      </c>
      <c r="I317" s="379">
        <f t="shared" si="115"/>
        <v>20.672722758249261</v>
      </c>
      <c r="J317" s="85">
        <v>2018</v>
      </c>
      <c r="K317" s="197">
        <f t="shared" si="116"/>
        <v>43768</v>
      </c>
      <c r="L317" s="435">
        <f t="shared" si="117"/>
        <v>5.5995954568888173E-3</v>
      </c>
      <c r="M317" s="842"/>
      <c r="N317" s="842"/>
      <c r="O317" s="323">
        <f t="shared" si="118"/>
        <v>1.9242531977109994E-2</v>
      </c>
      <c r="P317" s="169">
        <f>(INDEX(Models!$BJ317:$BT317,,T317)*(1-R317)+INDEX(Models!$BJ317:$BT317,,T317+1)*R317-ERP_i)*Q317*Ramure*Pc/MaxiM</f>
        <v>3.4247227234844497E-3</v>
      </c>
      <c r="Q317" s="304">
        <f t="shared" si="119"/>
        <v>0.7</v>
      </c>
      <c r="R317" s="177">
        <f t="shared" si="120"/>
        <v>0.13357019095768952</v>
      </c>
      <c r="S317" s="799">
        <f t="shared" si="138"/>
        <v>-1</v>
      </c>
      <c r="T317" s="176">
        <f t="shared" si="121"/>
        <v>5</v>
      </c>
      <c r="U317" s="250">
        <f t="shared" si="122"/>
        <v>-0.86642980904231048</v>
      </c>
      <c r="V317" s="382">
        <f t="shared" si="123"/>
        <v>35.473871703346127</v>
      </c>
      <c r="W317" s="58"/>
      <c r="X317" s="157">
        <f t="shared" si="124"/>
        <v>43768</v>
      </c>
      <c r="Y317" s="383">
        <f t="shared" si="125"/>
        <v>20.128229805552468</v>
      </c>
      <c r="Z317" s="383">
        <f t="shared" si="126"/>
        <v>20.241574433792209</v>
      </c>
      <c r="AA317" s="384">
        <f t="shared" si="127"/>
        <v>20.638715578273619</v>
      </c>
      <c r="AB317" s="197">
        <f t="shared" si="128"/>
        <v>43768</v>
      </c>
      <c r="AC317" s="424">
        <f t="shared" si="129"/>
        <v>1.9242531977109994E-2</v>
      </c>
      <c r="AD317" s="169">
        <f>(INDEX(Models!$BJ317:$BT317,,AH317)*(1-AF317)+INDEX(Models!$BJ317:$BT317,,AH317+1)*AF317-ERP_i)*AE317*Ramure*Pc/MaxiM</f>
        <v>4.3031202112281128E-3</v>
      </c>
      <c r="AE317" s="304">
        <f t="shared" si="130"/>
        <v>0.7</v>
      </c>
      <c r="AF317" s="177">
        <f t="shared" si="131"/>
        <v>0.19790241321752178</v>
      </c>
      <c r="AG317" s="799">
        <f t="shared" si="132"/>
        <v>-1</v>
      </c>
      <c r="AH317" s="176">
        <f t="shared" si="133"/>
        <v>5</v>
      </c>
      <c r="AI317" s="224">
        <f t="shared" si="134"/>
        <v>-0.80209758678247822</v>
      </c>
      <c r="AJ317" s="264" t="b">
        <f t="shared" si="135"/>
        <v>0</v>
      </c>
      <c r="AK317" s="264" t="b">
        <f t="shared" si="136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37"/>
        <v>43769</v>
      </c>
      <c r="B318" s="607">
        <v>13.539</v>
      </c>
      <c r="C318" s="388"/>
      <c r="D318" s="391">
        <f t="shared" si="114"/>
        <v>13.615500773091339</v>
      </c>
      <c r="E318" s="383">
        <f t="shared" si="140"/>
        <v>13.883255893122461</v>
      </c>
      <c r="F318" s="383">
        <f t="shared" si="139"/>
        <v>13.889256112830086</v>
      </c>
      <c r="G318" s="110">
        <f t="shared" si="141"/>
        <v>0.38345853006622588</v>
      </c>
      <c r="I318" s="379">
        <f t="shared" si="115"/>
        <v>13.889256112830086</v>
      </c>
      <c r="J318" s="85">
        <v>2018</v>
      </c>
      <c r="K318" s="197">
        <f t="shared" si="116"/>
        <v>43769</v>
      </c>
      <c r="L318" s="435">
        <f t="shared" si="117"/>
        <v>5.6186529137827179E-3</v>
      </c>
      <c r="M318" s="842"/>
      <c r="N318" s="842"/>
      <c r="O318" s="323">
        <f t="shared" si="118"/>
        <v>1.9286190652422121E-2</v>
      </c>
      <c r="P318" s="169">
        <f>(INDEX(Models!$BJ318:$BT318,,T318)*(1-R318)+INDEX(Models!$BJ318:$BT318,,T318+1)*R318-ERP_i)*Q318*Ramure*Pc/MaxiM</f>
        <v>3.5716849918808477E-3</v>
      </c>
      <c r="Q318" s="304">
        <f t="shared" si="119"/>
        <v>0.7</v>
      </c>
      <c r="R318" s="177">
        <f t="shared" si="120"/>
        <v>0.13361705653037825</v>
      </c>
      <c r="S318" s="799">
        <f t="shared" si="138"/>
        <v>-1</v>
      </c>
      <c r="T318" s="176">
        <f t="shared" si="121"/>
        <v>5</v>
      </c>
      <c r="U318" s="250">
        <f t="shared" si="122"/>
        <v>-0.86638294346962175</v>
      </c>
      <c r="V318" s="382">
        <f t="shared" si="123"/>
        <v>35.196696473156592</v>
      </c>
      <c r="W318" s="58"/>
      <c r="X318" s="157">
        <f t="shared" si="124"/>
        <v>43769</v>
      </c>
      <c r="Y318" s="383">
        <f t="shared" si="125"/>
        <v>13.537522935581409</v>
      </c>
      <c r="Z318" s="383">
        <f t="shared" si="126"/>
        <v>13.614015362667141</v>
      </c>
      <c r="AA318" s="384">
        <f t="shared" si="127"/>
        <v>13.881741271415251</v>
      </c>
      <c r="AB318" s="197">
        <f t="shared" si="128"/>
        <v>43769</v>
      </c>
      <c r="AC318" s="424">
        <f t="shared" si="129"/>
        <v>1.9286190652422121E-2</v>
      </c>
      <c r="AD318" s="169">
        <f>(INDEX(Models!$BJ318:$BT318,,AH318)*(1-AF318)+INDEX(Models!$BJ318:$BT318,,AH318+1)*AF318-ERP_i)*AE318*Ramure*Pc/MaxiM</f>
        <v>4.4732772474346252E-3</v>
      </c>
      <c r="AE318" s="304">
        <f t="shared" si="130"/>
        <v>0.7</v>
      </c>
      <c r="AF318" s="177">
        <f t="shared" si="131"/>
        <v>0.1979492787902104</v>
      </c>
      <c r="AG318" s="799">
        <f t="shared" si="132"/>
        <v>-1</v>
      </c>
      <c r="AH318" s="176">
        <f t="shared" si="133"/>
        <v>5</v>
      </c>
      <c r="AI318" s="224">
        <f t="shared" si="134"/>
        <v>-0.8020507212097896</v>
      </c>
      <c r="AJ318" s="264" t="b">
        <f t="shared" si="135"/>
        <v>0</v>
      </c>
      <c r="AK318" s="264" t="b">
        <f t="shared" si="136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37"/>
        <v>43770</v>
      </c>
      <c r="B319" s="607">
        <v>7.1790000000000003</v>
      </c>
      <c r="C319" s="388"/>
      <c r="D319" s="391">
        <f t="shared" si="114"/>
        <v>7.2197025895253022</v>
      </c>
      <c r="E319" s="383">
        <f t="shared" si="140"/>
        <v>7.3620079100240474</v>
      </c>
      <c r="F319" s="383">
        <f t="shared" si="139"/>
        <v>7.3620079100240474</v>
      </c>
      <c r="G319" s="110">
        <f t="shared" si="141"/>
        <v>0.20481147889085299</v>
      </c>
      <c r="I319" s="379">
        <f t="shared" si="115"/>
        <v>7.3620079100240474</v>
      </c>
      <c r="J319" s="85">
        <v>2018</v>
      </c>
      <c r="K319" s="197">
        <f t="shared" si="116"/>
        <v>43770</v>
      </c>
      <c r="L319" s="435">
        <f t="shared" si="117"/>
        <v>5.6377100054447737E-3</v>
      </c>
      <c r="M319" s="842"/>
      <c r="N319" s="842"/>
      <c r="O319" s="323">
        <f t="shared" si="118"/>
        <v>1.9329688617283809E-2</v>
      </c>
      <c r="P319" s="169">
        <f>(INDEX(Models!$BJ319:$BT319,,T319)*(1-R319)+INDEX(Models!$BJ319:$BT319,,T319+1)*R319-ERP_i)*Q319*Ramure*Pc/MaxiM</f>
        <v>3.7057875690688843E-3</v>
      </c>
      <c r="Q319" s="304">
        <f t="shared" si="119"/>
        <v>0.7</v>
      </c>
      <c r="R319" s="177">
        <f t="shared" si="120"/>
        <v>0.13366204550009164</v>
      </c>
      <c r="S319" s="799">
        <f t="shared" si="138"/>
        <v>-1</v>
      </c>
      <c r="T319" s="176">
        <f t="shared" si="121"/>
        <v>5</v>
      </c>
      <c r="U319" s="250">
        <f t="shared" si="122"/>
        <v>-0.86633795449990836</v>
      </c>
      <c r="V319" s="382">
        <f t="shared" si="123"/>
        <v>34.921851986886288</v>
      </c>
      <c r="W319" s="58"/>
      <c r="X319" s="157">
        <f t="shared" si="124"/>
        <v>43770</v>
      </c>
      <c r="Y319" s="383">
        <f t="shared" si="125"/>
        <v>7.1790000000000003</v>
      </c>
      <c r="Z319" s="383">
        <f t="shared" si="126"/>
        <v>7.2197025895253022</v>
      </c>
      <c r="AA319" s="384">
        <f t="shared" si="127"/>
        <v>7.3620079100240474</v>
      </c>
      <c r="AB319" s="197">
        <f t="shared" si="128"/>
        <v>43770</v>
      </c>
      <c r="AC319" s="424">
        <f t="shared" si="129"/>
        <v>1.9329688617283809E-2</v>
      </c>
      <c r="AD319" s="169">
        <f>(INDEX(Models!$BJ319:$BT319,,AH319)*(1-AF319)+INDEX(Models!$BJ319:$BT319,,AH319+1)*AF319-ERP_i)*AE319*Ramure*Pc/MaxiM</f>
        <v>4.6273905754877758E-3</v>
      </c>
      <c r="AE319" s="304">
        <f t="shared" si="130"/>
        <v>0.7</v>
      </c>
      <c r="AF319" s="177">
        <f t="shared" si="131"/>
        <v>0.19799426775992379</v>
      </c>
      <c r="AG319" s="799">
        <f t="shared" si="132"/>
        <v>-1</v>
      </c>
      <c r="AH319" s="176">
        <f t="shared" si="133"/>
        <v>5</v>
      </c>
      <c r="AI319" s="224">
        <f t="shared" si="134"/>
        <v>-0.80200573224007621</v>
      </c>
      <c r="AJ319" s="264" t="b">
        <f t="shared" si="135"/>
        <v>0</v>
      </c>
      <c r="AK319" s="264" t="b">
        <f t="shared" si="136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37"/>
        <v>43771</v>
      </c>
      <c r="B320" s="607">
        <v>5.7569999999999997</v>
      </c>
      <c r="C320" s="388"/>
      <c r="D320" s="391">
        <f t="shared" si="114"/>
        <v>5.7897512723834899</v>
      </c>
      <c r="E320" s="383">
        <f t="shared" si="140"/>
        <v>5.9041322958090676</v>
      </c>
      <c r="F320" s="383">
        <f t="shared" si="139"/>
        <v>5.9041322958090676</v>
      </c>
      <c r="G320" s="110">
        <f t="shared" si="141"/>
        <v>0.16551506007927866</v>
      </c>
      <c r="I320" s="379">
        <f t="shared" si="115"/>
        <v>5.9041322958090676</v>
      </c>
      <c r="J320" s="85">
        <v>2018</v>
      </c>
      <c r="K320" s="197">
        <f t="shared" si="116"/>
        <v>43771</v>
      </c>
      <c r="L320" s="435">
        <f t="shared" si="117"/>
        <v>5.6567667318819792E-3</v>
      </c>
      <c r="M320" s="842"/>
      <c r="N320" s="842"/>
      <c r="O320" s="323">
        <f t="shared" si="118"/>
        <v>1.9373045469656638E-2</v>
      </c>
      <c r="P320" s="169">
        <f>(INDEX(Models!$BJ320:$BT320,,T320)*(1-R320)+INDEX(Models!$BJ320:$BT320,,T320+1)*R320-ERP_i)*Q320*Ramure*Pc/MaxiM</f>
        <v>3.8268455871276153E-3</v>
      </c>
      <c r="Q320" s="304">
        <f t="shared" si="119"/>
        <v>0.7</v>
      </c>
      <c r="R320" s="177">
        <f t="shared" si="120"/>
        <v>0.13370523261157485</v>
      </c>
      <c r="S320" s="799">
        <f t="shared" si="138"/>
        <v>-1</v>
      </c>
      <c r="T320" s="176">
        <f t="shared" si="121"/>
        <v>5</v>
      </c>
      <c r="U320" s="250">
        <f t="shared" si="122"/>
        <v>-0.86629476738842515</v>
      </c>
      <c r="V320" s="382">
        <f t="shared" si="123"/>
        <v>34.649226766482528</v>
      </c>
      <c r="W320" s="58"/>
      <c r="X320" s="157">
        <f t="shared" si="124"/>
        <v>43771</v>
      </c>
      <c r="Y320" s="383">
        <f t="shared" si="125"/>
        <v>5.7569999999999997</v>
      </c>
      <c r="Z320" s="383">
        <f t="shared" si="126"/>
        <v>5.7897512723834899</v>
      </c>
      <c r="AA320" s="384">
        <f t="shared" si="127"/>
        <v>5.9041322958090676</v>
      </c>
      <c r="AB320" s="197">
        <f t="shared" si="128"/>
        <v>43771</v>
      </c>
      <c r="AC320" s="424">
        <f t="shared" si="129"/>
        <v>1.9373045469656638E-2</v>
      </c>
      <c r="AD320" s="169">
        <f>(INDEX(Models!$BJ320:$BT320,,AH320)*(1-AF320)+INDEX(Models!$BJ320:$BT320,,AH320+1)*AF320-ERP_i)*AE320*Ramure*Pc/MaxiM</f>
        <v>4.7652326276701159E-3</v>
      </c>
      <c r="AE320" s="304">
        <f t="shared" si="130"/>
        <v>0.7</v>
      </c>
      <c r="AF320" s="177">
        <f t="shared" si="131"/>
        <v>0.198037454871407</v>
      </c>
      <c r="AG320" s="799">
        <f t="shared" si="132"/>
        <v>-1</v>
      </c>
      <c r="AH320" s="176">
        <f t="shared" si="133"/>
        <v>5</v>
      </c>
      <c r="AI320" s="224">
        <f t="shared" si="134"/>
        <v>-0.801962545128593</v>
      </c>
      <c r="AJ320" s="264" t="b">
        <f t="shared" si="135"/>
        <v>0</v>
      </c>
      <c r="AK320" s="264" t="b">
        <f t="shared" si="136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37"/>
        <v>43772</v>
      </c>
      <c r="B321" s="607">
        <v>11.385</v>
      </c>
      <c r="C321" s="388"/>
      <c r="D321" s="391">
        <f t="shared" si="114"/>
        <v>11.449988106912953</v>
      </c>
      <c r="E321" s="383">
        <f t="shared" si="140"/>
        <v>11.676706321262472</v>
      </c>
      <c r="F321" s="383">
        <f t="shared" si="139"/>
        <v>11.678752126901902</v>
      </c>
      <c r="G321" s="110">
        <f t="shared" si="141"/>
        <v>0.3299190340736361</v>
      </c>
      <c r="I321" s="379">
        <f t="shared" si="115"/>
        <v>11.678752126901902</v>
      </c>
      <c r="J321" s="85">
        <v>2018</v>
      </c>
      <c r="K321" s="197">
        <f t="shared" si="116"/>
        <v>43772</v>
      </c>
      <c r="L321" s="435">
        <f t="shared" si="117"/>
        <v>5.6758230931014397E-3</v>
      </c>
      <c r="M321" s="842"/>
      <c r="N321" s="842"/>
      <c r="O321" s="323">
        <f t="shared" si="118"/>
        <v>1.9416281279309139E-2</v>
      </c>
      <c r="P321" s="169">
        <f>(INDEX(Models!$BJ321:$BT321,,T321)*(1-R321)+INDEX(Models!$BJ321:$BT321,,T321+1)*R321-ERP_i)*Q321*Ramure*Pc/MaxiM</f>
        <v>3.9346768996719626E-3</v>
      </c>
      <c r="Q321" s="304">
        <f t="shared" si="119"/>
        <v>0.7</v>
      </c>
      <c r="R321" s="177">
        <f t="shared" si="120"/>
        <v>0.13374668966388947</v>
      </c>
      <c r="S321" s="799">
        <f t="shared" si="138"/>
        <v>-1</v>
      </c>
      <c r="T321" s="176">
        <f t="shared" si="121"/>
        <v>5</v>
      </c>
      <c r="U321" s="250">
        <f t="shared" si="122"/>
        <v>-0.86625331033611053</v>
      </c>
      <c r="V321" s="382">
        <f t="shared" si="123"/>
        <v>34.3787092623487</v>
      </c>
      <c r="W321" s="58"/>
      <c r="X321" s="157">
        <f t="shared" si="124"/>
        <v>43772</v>
      </c>
      <c r="Y321" s="383">
        <f t="shared" si="125"/>
        <v>11.384517430174517</v>
      </c>
      <c r="Z321" s="383">
        <f t="shared" si="126"/>
        <v>11.4495027824718</v>
      </c>
      <c r="AA321" s="384">
        <f t="shared" si="127"/>
        <v>11.676211387039226</v>
      </c>
      <c r="AB321" s="197">
        <f t="shared" si="128"/>
        <v>43772</v>
      </c>
      <c r="AC321" s="424">
        <f t="shared" si="129"/>
        <v>1.9416281279309139E-2</v>
      </c>
      <c r="AD321" s="169">
        <f>(INDEX(Models!$BJ321:$BT321,,AH321)*(1-AF321)+INDEX(Models!$BJ321:$BT321,,AH321+1)*AF321-ERP_i)*AE321*Ramure*Pc/MaxiM</f>
        <v>4.8865787898271047E-3</v>
      </c>
      <c r="AE321" s="304">
        <f t="shared" si="130"/>
        <v>0.7</v>
      </c>
      <c r="AF321" s="177">
        <f t="shared" si="131"/>
        <v>0.19807891192372162</v>
      </c>
      <c r="AG321" s="799">
        <f t="shared" si="132"/>
        <v>-1</v>
      </c>
      <c r="AH321" s="176">
        <f t="shared" si="133"/>
        <v>5</v>
      </c>
      <c r="AI321" s="224">
        <f t="shared" si="134"/>
        <v>-0.80192108807627838</v>
      </c>
      <c r="AJ321" s="264" t="b">
        <f t="shared" si="135"/>
        <v>0</v>
      </c>
      <c r="AK321" s="264" t="b">
        <f t="shared" si="136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37"/>
        <v>43773</v>
      </c>
      <c r="B322" s="607">
        <v>18.472999999999999</v>
      </c>
      <c r="C322" s="388"/>
      <c r="D322" s="391">
        <f t="shared" si="114"/>
        <v>18.578804042643121</v>
      </c>
      <c r="E322" s="383">
        <f t="shared" si="140"/>
        <v>18.94751156180628</v>
      </c>
      <c r="F322" s="383">
        <f t="shared" si="139"/>
        <v>18.973893501694523</v>
      </c>
      <c r="G322" s="110">
        <f t="shared" si="141"/>
        <v>0.54013739504460567</v>
      </c>
      <c r="I322" s="379">
        <f t="shared" si="115"/>
        <v>18.973893501694523</v>
      </c>
      <c r="J322" s="85">
        <v>2018</v>
      </c>
      <c r="K322" s="197">
        <f t="shared" si="116"/>
        <v>43773</v>
      </c>
      <c r="L322" s="435">
        <f t="shared" si="117"/>
        <v>5.6948790891100387E-3</v>
      </c>
      <c r="M322" s="842"/>
      <c r="N322" s="842"/>
      <c r="O322" s="323">
        <f t="shared" si="118"/>
        <v>1.9459416502290782E-2</v>
      </c>
      <c r="P322" s="169">
        <f>(INDEX(Models!$BJ322:$BT322,,T322)*(1-R322)+INDEX(Models!$BJ322:$BT322,,T322+1)*R322-ERP_i)*Q322*Ramure*Pc/MaxiM</f>
        <v>4.0291012230140458E-3</v>
      </c>
      <c r="Q322" s="304">
        <f t="shared" si="119"/>
        <v>0.7</v>
      </c>
      <c r="R322" s="177">
        <f t="shared" si="120"/>
        <v>0.1337864856240274</v>
      </c>
      <c r="S322" s="799">
        <f t="shared" si="138"/>
        <v>-1</v>
      </c>
      <c r="T322" s="176">
        <f t="shared" si="121"/>
        <v>5</v>
      </c>
      <c r="U322" s="250">
        <f t="shared" si="122"/>
        <v>-0.8662135143759726</v>
      </c>
      <c r="V322" s="382">
        <f t="shared" si="123"/>
        <v>34.110187876333498</v>
      </c>
      <c r="W322" s="58"/>
      <c r="X322" s="157">
        <f t="shared" si="124"/>
        <v>43773</v>
      </c>
      <c r="Y322" s="383">
        <f t="shared" si="125"/>
        <v>18.466858049458974</v>
      </c>
      <c r="Z322" s="383">
        <f t="shared" si="126"/>
        <v>18.572626914101935</v>
      </c>
      <c r="AA322" s="384">
        <f t="shared" si="127"/>
        <v>18.941211844441035</v>
      </c>
      <c r="AB322" s="197">
        <f t="shared" si="128"/>
        <v>43773</v>
      </c>
      <c r="AC322" s="424">
        <f t="shared" si="129"/>
        <v>1.9459416502290782E-2</v>
      </c>
      <c r="AD322" s="169">
        <f>(INDEX(Models!$BJ322:$BT322,,AH322)*(1-AF322)+INDEX(Models!$BJ322:$BT322,,AH322+1)*AF322-ERP_i)*AE322*Ramure*Pc/MaxiM</f>
        <v>4.9912063240213902E-3</v>
      </c>
      <c r="AE322" s="304">
        <f t="shared" si="130"/>
        <v>0.7</v>
      </c>
      <c r="AF322" s="177">
        <f t="shared" si="131"/>
        <v>0.19811870788385955</v>
      </c>
      <c r="AG322" s="799">
        <f t="shared" si="132"/>
        <v>-1</v>
      </c>
      <c r="AH322" s="176">
        <f t="shared" si="133"/>
        <v>5</v>
      </c>
      <c r="AI322" s="224">
        <f t="shared" si="134"/>
        <v>-0.80188129211614045</v>
      </c>
      <c r="AJ322" s="264" t="b">
        <f t="shared" si="135"/>
        <v>0</v>
      </c>
      <c r="AK322" s="264" t="b">
        <f t="shared" si="136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37"/>
        <v>43774</v>
      </c>
      <c r="B323" s="607">
        <v>13.97</v>
      </c>
      <c r="C323" s="388"/>
      <c r="D323" s="391">
        <f t="shared" si="114"/>
        <v>14.050282396409454</v>
      </c>
      <c r="E323" s="383">
        <f t="shared" si="140"/>
        <v>14.329747902087666</v>
      </c>
      <c r="F323" s="383">
        <f t="shared" si="139"/>
        <v>14.339243064325444</v>
      </c>
      <c r="G323" s="110">
        <f t="shared" si="141"/>
        <v>0.41135762898247485</v>
      </c>
      <c r="I323" s="379">
        <f t="shared" si="115"/>
        <v>14.339243064325444</v>
      </c>
      <c r="J323" s="85">
        <v>2018</v>
      </c>
      <c r="K323" s="197">
        <f t="shared" si="116"/>
        <v>43774</v>
      </c>
      <c r="L323" s="435">
        <f t="shared" si="117"/>
        <v>5.7139347199148816E-3</v>
      </c>
      <c r="M323" s="842"/>
      <c r="N323" s="842"/>
      <c r="O323" s="323">
        <f t="shared" si="118"/>
        <v>1.9502471891881472E-2</v>
      </c>
      <c r="P323" s="169">
        <f>(INDEX(Models!$BJ323:$BT323,,T323)*(1-R323)+INDEX(Models!$BJ323:$BT323,,T323+1)*R323-ERP_i)*Q323*Ramure*Pc/MaxiM</f>
        <v>4.1099391992090928E-3</v>
      </c>
      <c r="Q323" s="304">
        <f t="shared" si="119"/>
        <v>0.7</v>
      </c>
      <c r="R323" s="177">
        <f t="shared" si="120"/>
        <v>0.13382468673633885</v>
      </c>
      <c r="S323" s="799">
        <f t="shared" si="138"/>
        <v>-1</v>
      </c>
      <c r="T323" s="176">
        <f t="shared" si="121"/>
        <v>5</v>
      </c>
      <c r="U323" s="250">
        <f t="shared" si="122"/>
        <v>-0.86617531326366115</v>
      </c>
      <c r="V323" s="382">
        <f t="shared" si="123"/>
        <v>33.843550988616848</v>
      </c>
      <c r="W323" s="58"/>
      <c r="X323" s="157">
        <f t="shared" si="124"/>
        <v>43774</v>
      </c>
      <c r="Y323" s="383">
        <f t="shared" si="125"/>
        <v>13.967817631891315</v>
      </c>
      <c r="Z323" s="383">
        <f t="shared" si="126"/>
        <v>14.048087486730143</v>
      </c>
      <c r="AA323" s="384">
        <f t="shared" si="127"/>
        <v>14.327509334813003</v>
      </c>
      <c r="AB323" s="197">
        <f t="shared" si="128"/>
        <v>43774</v>
      </c>
      <c r="AC323" s="424">
        <f t="shared" si="129"/>
        <v>1.9502471891881472E-2</v>
      </c>
      <c r="AD323" s="169">
        <f>(INDEX(Models!$BJ323:$BT323,,AH323)*(1-AF323)+INDEX(Models!$BJ323:$BT323,,AH323+1)*AF323-ERP_i)*AE323*Ramure*Pc/MaxiM</f>
        <v>5.0788931951288342E-3</v>
      </c>
      <c r="AE323" s="304">
        <f t="shared" si="130"/>
        <v>0.7</v>
      </c>
      <c r="AF323" s="177">
        <f t="shared" si="131"/>
        <v>0.198156908996171</v>
      </c>
      <c r="AG323" s="799">
        <f t="shared" si="132"/>
        <v>-1</v>
      </c>
      <c r="AH323" s="176">
        <f t="shared" si="133"/>
        <v>5</v>
      </c>
      <c r="AI323" s="224">
        <f t="shared" si="134"/>
        <v>-0.801843091003829</v>
      </c>
      <c r="AJ323" s="264" t="b">
        <f t="shared" si="135"/>
        <v>0</v>
      </c>
      <c r="AK323" s="264" t="b">
        <f t="shared" si="136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37"/>
        <v>43775</v>
      </c>
      <c r="B324" s="607">
        <v>13.91</v>
      </c>
      <c r="C324" s="388"/>
      <c r="D324" s="391">
        <f t="shared" si="114"/>
        <v>13.9902057092264</v>
      </c>
      <c r="E324" s="383">
        <f t="shared" si="140"/>
        <v>14.269101991389688</v>
      </c>
      <c r="F324" s="383">
        <f t="shared" si="139"/>
        <v>14.278831746945373</v>
      </c>
      <c r="G324" s="110">
        <f t="shared" si="141"/>
        <v>0.41280181838320296</v>
      </c>
      <c r="I324" s="379">
        <f t="shared" si="115"/>
        <v>14.278831746945373</v>
      </c>
      <c r="J324" s="85">
        <v>2018</v>
      </c>
      <c r="K324" s="197">
        <f t="shared" si="116"/>
        <v>43775</v>
      </c>
      <c r="L324" s="435">
        <f t="shared" si="117"/>
        <v>5.7329899855228517E-3</v>
      </c>
      <c r="M324" s="842"/>
      <c r="N324" s="842"/>
      <c r="O324" s="323">
        <f t="shared" si="118"/>
        <v>1.9545468406602016E-2</v>
      </c>
      <c r="P324" s="169">
        <f>(INDEX(Models!$BJ324:$BT324,,T324)*(1-R324)+INDEX(Models!$BJ324:$BT324,,T324+1)*R324-ERP_i)*Q324*Ramure*Pc/MaxiM</f>
        <v>4.1749480302924113E-3</v>
      </c>
      <c r="Q324" s="304">
        <f t="shared" si="119"/>
        <v>0.7</v>
      </c>
      <c r="R324" s="177">
        <f t="shared" si="120"/>
        <v>0.13386135662791421</v>
      </c>
      <c r="S324" s="799">
        <f t="shared" si="138"/>
        <v>-1</v>
      </c>
      <c r="T324" s="176">
        <f t="shared" si="121"/>
        <v>5</v>
      </c>
      <c r="U324" s="250">
        <f t="shared" si="122"/>
        <v>-0.86613864337208579</v>
      </c>
      <c r="V324" s="382">
        <f t="shared" si="123"/>
        <v>33.578756558891889</v>
      </c>
      <c r="W324" s="58"/>
      <c r="X324" s="157">
        <f t="shared" si="124"/>
        <v>43775</v>
      </c>
      <c r="Y324" s="383">
        <f t="shared" si="125"/>
        <v>13.907791118694744</v>
      </c>
      <c r="Z324" s="383">
        <f t="shared" si="126"/>
        <v>13.987984091408443</v>
      </c>
      <c r="AA324" s="384">
        <f t="shared" si="127"/>
        <v>14.266836085377355</v>
      </c>
      <c r="AB324" s="197">
        <f t="shared" si="128"/>
        <v>43775</v>
      </c>
      <c r="AC324" s="424">
        <f t="shared" si="129"/>
        <v>1.9545468406602016E-2</v>
      </c>
      <c r="AD324" s="169">
        <f>(INDEX(Models!$BJ324:$BT324,,AH324)*(1-AF324)+INDEX(Models!$BJ324:$BT324,,AH324+1)*AF324-ERP_i)*AE324*Ramure*Pc/MaxiM</f>
        <v>5.1472273222925797E-3</v>
      </c>
      <c r="AE324" s="304">
        <f t="shared" si="130"/>
        <v>0.7</v>
      </c>
      <c r="AF324" s="177">
        <f t="shared" si="131"/>
        <v>0.19819357888774647</v>
      </c>
      <c r="AG324" s="799">
        <f t="shared" si="132"/>
        <v>-1</v>
      </c>
      <c r="AH324" s="176">
        <f t="shared" si="133"/>
        <v>5</v>
      </c>
      <c r="AI324" s="224">
        <f t="shared" si="134"/>
        <v>-0.80180642111225353</v>
      </c>
      <c r="AJ324" s="264" t="b">
        <f t="shared" si="135"/>
        <v>0</v>
      </c>
      <c r="AK324" s="264" t="b">
        <f t="shared" si="136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37"/>
        <v>43776</v>
      </c>
      <c r="B325" s="607">
        <v>4.6040000000000001</v>
      </c>
      <c r="C325" s="388"/>
      <c r="D325" s="391">
        <f t="shared" si="114"/>
        <v>4.6306356239594528</v>
      </c>
      <c r="E325" s="383">
        <f t="shared" si="140"/>
        <v>4.7231547974667505</v>
      </c>
      <c r="F325" s="383">
        <f t="shared" ref="F325:F356" si="142">Wh_sa/(1-Pvg*MEDIAN((-Sdif+Wh/Env_an)/Csdif,0,1))</f>
        <v>4.7231547974667505</v>
      </c>
      <c r="G325" s="110">
        <f t="shared" si="141"/>
        <v>0.13760941939973445</v>
      </c>
      <c r="I325" s="379">
        <f t="shared" si="115"/>
        <v>4.7231547974667505</v>
      </c>
      <c r="J325" s="85">
        <v>2018</v>
      </c>
      <c r="K325" s="197">
        <f t="shared" si="116"/>
        <v>43776</v>
      </c>
      <c r="L325" s="435">
        <f t="shared" si="117"/>
        <v>5.7520448859410545E-3</v>
      </c>
      <c r="M325" s="842"/>
      <c r="N325" s="842"/>
      <c r="O325" s="323">
        <f t="shared" si="118"/>
        <v>1.9588427115901343E-2</v>
      </c>
      <c r="P325" s="169">
        <f>(INDEX(Models!$BJ325:$BT325,,T325)*(1-R325)+INDEX(Models!$BJ325:$BT325,,T325+1)*R325-ERP_i)*Q325*Ramure*Pc/MaxiM</f>
        <v>4.2307497120335803E-3</v>
      </c>
      <c r="Q325" s="304">
        <f t="shared" si="119"/>
        <v>0.7</v>
      </c>
      <c r="R325" s="177">
        <f t="shared" si="120"/>
        <v>0.13389655641005116</v>
      </c>
      <c r="S325" s="799">
        <f t="shared" si="138"/>
        <v>-1</v>
      </c>
      <c r="T325" s="176">
        <f t="shared" si="121"/>
        <v>5</v>
      </c>
      <c r="U325" s="250">
        <f t="shared" si="122"/>
        <v>-0.86610344358994884</v>
      </c>
      <c r="V325" s="382">
        <f t="shared" si="123"/>
        <v>33.315463783830516</v>
      </c>
      <c r="W325" s="58"/>
      <c r="X325" s="157">
        <f t="shared" si="124"/>
        <v>43776</v>
      </c>
      <c r="Y325" s="383">
        <f t="shared" si="125"/>
        <v>4.6040000000000001</v>
      </c>
      <c r="Z325" s="383">
        <f t="shared" si="126"/>
        <v>4.6306356239594528</v>
      </c>
      <c r="AA325" s="384">
        <f t="shared" si="127"/>
        <v>4.7231547974667505</v>
      </c>
      <c r="AB325" s="197">
        <f t="shared" si="128"/>
        <v>43776</v>
      </c>
      <c r="AC325" s="424">
        <f t="shared" si="129"/>
        <v>1.9588427115901343E-2</v>
      </c>
      <c r="AD325" s="169">
        <f>(INDEX(Models!$BJ325:$BT325,,AH325)*(1-AF325)+INDEX(Models!$BJ325:$BT325,,AH325+1)*AF325-ERP_i)*AE325*Ramure*Pc/MaxiM</f>
        <v>5.2045596565691151E-3</v>
      </c>
      <c r="AE325" s="304">
        <f t="shared" si="130"/>
        <v>0.7</v>
      </c>
      <c r="AF325" s="177">
        <f t="shared" si="131"/>
        <v>0.19822877866988331</v>
      </c>
      <c r="AG325" s="799">
        <f t="shared" si="132"/>
        <v>-1</v>
      </c>
      <c r="AH325" s="176">
        <f t="shared" si="133"/>
        <v>5</v>
      </c>
      <c r="AI325" s="224">
        <f t="shared" si="134"/>
        <v>-0.80177122133011669</v>
      </c>
      <c r="AJ325" s="264" t="b">
        <f t="shared" si="135"/>
        <v>0</v>
      </c>
      <c r="AK325" s="264" t="b">
        <f t="shared" si="136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37"/>
        <v>43777</v>
      </c>
      <c r="B326" s="607">
        <v>16.57</v>
      </c>
      <c r="C326" s="388"/>
      <c r="D326" s="391">
        <f t="shared" si="114"/>
        <v>16.666182194415413</v>
      </c>
      <c r="E326" s="383">
        <f t="shared" si="140"/>
        <v>16.999913776500833</v>
      </c>
      <c r="F326" s="383">
        <f t="shared" si="142"/>
        <v>17.020850387868183</v>
      </c>
      <c r="G326" s="110">
        <f t="shared" si="141"/>
        <v>0.49977808332660606</v>
      </c>
      <c r="I326" s="379">
        <f t="shared" si="115"/>
        <v>17.020850387868183</v>
      </c>
      <c r="J326" s="85">
        <v>2018</v>
      </c>
      <c r="K326" s="197">
        <f t="shared" si="116"/>
        <v>43777</v>
      </c>
      <c r="L326" s="435">
        <f t="shared" si="117"/>
        <v>5.7710994211763733E-3</v>
      </c>
      <c r="M326" s="842"/>
      <c r="N326" s="842"/>
      <c r="O326" s="323">
        <f t="shared" si="118"/>
        <v>1.9631369104162178E-2</v>
      </c>
      <c r="P326" s="169">
        <f>(INDEX(Models!$BJ326:$BT326,,T326)*(1-R326)+INDEX(Models!$BJ326:$BT326,,T326+1)*R326-ERP_i)*Q326*Ramure*Pc/MaxiM</f>
        <v>4.2772352703551834E-3</v>
      </c>
      <c r="Q326" s="304">
        <f t="shared" si="119"/>
        <v>0.7</v>
      </c>
      <c r="R326" s="177">
        <f t="shared" si="120"/>
        <v>0.1339303447759439</v>
      </c>
      <c r="S326" s="799">
        <f t="shared" si="138"/>
        <v>-1</v>
      </c>
      <c r="T326" s="176">
        <f t="shared" si="121"/>
        <v>5</v>
      </c>
      <c r="U326" s="250">
        <f t="shared" si="122"/>
        <v>-0.8660696552240561</v>
      </c>
      <c r="V326" s="382">
        <f t="shared" si="123"/>
        <v>33.053562407595479</v>
      </c>
      <c r="W326" s="58"/>
      <c r="X326" s="157">
        <f t="shared" si="124"/>
        <v>43777</v>
      </c>
      <c r="Y326" s="383">
        <f t="shared" si="125"/>
        <v>16.565355205289364</v>
      </c>
      <c r="Z326" s="383">
        <f t="shared" si="126"/>
        <v>16.661510438537132</v>
      </c>
      <c r="AA326" s="384">
        <f t="shared" si="127"/>
        <v>16.995148471154401</v>
      </c>
      <c r="AB326" s="197">
        <f t="shared" si="128"/>
        <v>43777</v>
      </c>
      <c r="AC326" s="424">
        <f t="shared" si="129"/>
        <v>1.9631369104162178E-2</v>
      </c>
      <c r="AD326" s="169">
        <f>(INDEX(Models!$BJ326:$BT326,,AH326)*(1-AF326)+INDEX(Models!$BJ326:$BT326,,AH326+1)*AF326-ERP_i)*AE326*Ramure*Pc/MaxiM</f>
        <v>5.2507611071842845E-3</v>
      </c>
      <c r="AE326" s="304">
        <f t="shared" si="130"/>
        <v>0.7</v>
      </c>
      <c r="AF326" s="177">
        <f t="shared" si="131"/>
        <v>0.19826256703577605</v>
      </c>
      <c r="AG326" s="799">
        <f t="shared" si="132"/>
        <v>-1</v>
      </c>
      <c r="AH326" s="176">
        <f t="shared" si="133"/>
        <v>5</v>
      </c>
      <c r="AI326" s="224">
        <f t="shared" si="134"/>
        <v>-0.80173743296422395</v>
      </c>
      <c r="AJ326" s="264" t="b">
        <f t="shared" si="135"/>
        <v>0</v>
      </c>
      <c r="AK326" s="264" t="b">
        <f t="shared" si="136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37"/>
        <v>43778</v>
      </c>
      <c r="B327" s="607">
        <v>19.498000000000001</v>
      </c>
      <c r="C327" s="388"/>
      <c r="D327" s="391">
        <f t="shared" si="114"/>
        <v>19.611553909297637</v>
      </c>
      <c r="E327" s="383">
        <f t="shared" si="140"/>
        <v>20.005141369700318</v>
      </c>
      <c r="F327" s="383">
        <f t="shared" si="142"/>
        <v>20.041528227674068</v>
      </c>
      <c r="G327" s="110">
        <f t="shared" si="141"/>
        <v>0.59309076857442078</v>
      </c>
      <c r="I327" s="379">
        <f t="shared" si="115"/>
        <v>20.041528227674068</v>
      </c>
      <c r="J327" s="85">
        <v>2018</v>
      </c>
      <c r="K327" s="197">
        <f t="shared" si="116"/>
        <v>43778</v>
      </c>
      <c r="L327" s="435">
        <f t="shared" si="117"/>
        <v>5.7901535912359137E-3</v>
      </c>
      <c r="M327" s="842"/>
      <c r="N327" s="842"/>
      <c r="O327" s="323">
        <f t="shared" si="118"/>
        <v>1.9674315373687225E-2</v>
      </c>
      <c r="P327" s="169">
        <f>(INDEX(Models!$BJ327:$BT327,,T327)*(1-R327)+INDEX(Models!$BJ327:$BT327,,T327+1)*R327-ERP_i)*Q327*Ramure*Pc/MaxiM</f>
        <v>4.3142940689424765E-3</v>
      </c>
      <c r="Q327" s="304">
        <f t="shared" si="119"/>
        <v>0.7</v>
      </c>
      <c r="R327" s="177">
        <f t="shared" si="120"/>
        <v>0.13396277809471946</v>
      </c>
      <c r="S327" s="799">
        <f t="shared" si="138"/>
        <v>-1</v>
      </c>
      <c r="T327" s="176">
        <f t="shared" si="121"/>
        <v>5</v>
      </c>
      <c r="U327" s="250">
        <f t="shared" si="122"/>
        <v>-0.86603722190528054</v>
      </c>
      <c r="V327" s="382">
        <f t="shared" si="123"/>
        <v>32.792942247371684</v>
      </c>
      <c r="W327" s="58"/>
      <c r="X327" s="157">
        <f t="shared" si="124"/>
        <v>43778</v>
      </c>
      <c r="Y327" s="383">
        <f t="shared" si="125"/>
        <v>19.490014830428219</v>
      </c>
      <c r="Z327" s="383">
        <f t="shared" si="126"/>
        <v>19.603522235098648</v>
      </c>
      <c r="AA327" s="384">
        <f t="shared" si="127"/>
        <v>19.996948506527453</v>
      </c>
      <c r="AB327" s="197">
        <f t="shared" si="128"/>
        <v>43778</v>
      </c>
      <c r="AC327" s="424">
        <f t="shared" si="129"/>
        <v>1.9674315373687225E-2</v>
      </c>
      <c r="AD327" s="169">
        <f>(INDEX(Models!$BJ327:$BT327,,AH327)*(1-AF327)+INDEX(Models!$BJ327:$BT327,,AH327+1)*AF327-ERP_i)*AE327*Ramure*Pc/MaxiM</f>
        <v>5.2857003118184113E-3</v>
      </c>
      <c r="AE327" s="304">
        <f t="shared" si="130"/>
        <v>0.7</v>
      </c>
      <c r="AF327" s="177">
        <f t="shared" si="131"/>
        <v>0.19829500035455172</v>
      </c>
      <c r="AG327" s="799">
        <f t="shared" si="132"/>
        <v>-1</v>
      </c>
      <c r="AH327" s="176">
        <f t="shared" si="133"/>
        <v>5</v>
      </c>
      <c r="AI327" s="224">
        <f t="shared" si="134"/>
        <v>-0.80170499964544828</v>
      </c>
      <c r="AJ327" s="264" t="b">
        <f t="shared" si="135"/>
        <v>0</v>
      </c>
      <c r="AK327" s="264" t="b">
        <f t="shared" si="136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37"/>
        <v>43779</v>
      </c>
      <c r="B328" s="607">
        <v>19.184000000000001</v>
      </c>
      <c r="C328" s="388"/>
      <c r="D328" s="391">
        <f t="shared" si="114"/>
        <v>19.296095017894316</v>
      </c>
      <c r="E328" s="383">
        <f t="shared" si="140"/>
        <v>19.684214315958215</v>
      </c>
      <c r="F328" s="383">
        <f t="shared" si="142"/>
        <v>19.719644590978604</v>
      </c>
      <c r="G328" s="110">
        <f t="shared" si="141"/>
        <v>0.58816575689816464</v>
      </c>
      <c r="I328" s="379">
        <f t="shared" si="115"/>
        <v>19.719644590978604</v>
      </c>
      <c r="J328" s="85">
        <v>2018</v>
      </c>
      <c r="K328" s="197">
        <f t="shared" si="116"/>
        <v>43779</v>
      </c>
      <c r="L328" s="435">
        <f t="shared" si="117"/>
        <v>5.8092073961266699E-3</v>
      </c>
      <c r="M328" s="842"/>
      <c r="N328" s="842"/>
      <c r="O328" s="323">
        <f t="shared" si="118"/>
        <v>1.9717286747342772E-2</v>
      </c>
      <c r="P328" s="169">
        <f>(INDEX(Models!$BJ328:$BT328,,T328)*(1-R328)+INDEX(Models!$BJ328:$BT328,,T328+1)*R328-ERP_i)*Q328*Ramure*Pc/MaxiM</f>
        <v>4.3418129563681761E-3</v>
      </c>
      <c r="Q328" s="304">
        <f t="shared" si="119"/>
        <v>0.7</v>
      </c>
      <c r="R328" s="177">
        <f t="shared" si="120"/>
        <v>0.13399391050194764</v>
      </c>
      <c r="S328" s="799">
        <f t="shared" si="138"/>
        <v>-1</v>
      </c>
      <c r="T328" s="176">
        <f t="shared" si="121"/>
        <v>5</v>
      </c>
      <c r="U328" s="250">
        <f t="shared" si="122"/>
        <v>-0.86600608949805236</v>
      </c>
      <c r="V328" s="382">
        <f t="shared" si="123"/>
        <v>32.533493213297142</v>
      </c>
      <c r="W328" s="58"/>
      <c r="X328" s="157">
        <f t="shared" si="124"/>
        <v>43779</v>
      </c>
      <c r="Y328" s="383">
        <f t="shared" si="125"/>
        <v>19.176306146888013</v>
      </c>
      <c r="Z328" s="383">
        <f t="shared" si="126"/>
        <v>19.288356208433168</v>
      </c>
      <c r="AA328" s="384">
        <f t="shared" si="127"/>
        <v>19.676319849028904</v>
      </c>
      <c r="AB328" s="197">
        <f t="shared" si="128"/>
        <v>43779</v>
      </c>
      <c r="AC328" s="424">
        <f t="shared" si="129"/>
        <v>1.9717286747342772E-2</v>
      </c>
      <c r="AD328" s="169">
        <f>(INDEX(Models!$BJ328:$BT328,,AH328)*(1-AF328)+INDEX(Models!$BJ328:$BT328,,AH328+1)*AF328-ERP_i)*AE328*Ramure*Pc/MaxiM</f>
        <v>5.3092426129986645E-3</v>
      </c>
      <c r="AE328" s="304">
        <f t="shared" si="130"/>
        <v>0.7</v>
      </c>
      <c r="AF328" s="177">
        <f t="shared" si="131"/>
        <v>0.19832613276177979</v>
      </c>
      <c r="AG328" s="799">
        <f t="shared" si="132"/>
        <v>-1</v>
      </c>
      <c r="AH328" s="176">
        <f t="shared" si="133"/>
        <v>5</v>
      </c>
      <c r="AI328" s="224">
        <f t="shared" si="134"/>
        <v>-0.80167386723822021</v>
      </c>
      <c r="AJ328" s="264" t="b">
        <f t="shared" si="135"/>
        <v>0</v>
      </c>
      <c r="AK328" s="264" t="b">
        <f t="shared" si="136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37"/>
        <v>43780</v>
      </c>
      <c r="B329" s="607">
        <v>25.38</v>
      </c>
      <c r="C329" s="388"/>
      <c r="D329" s="391">
        <f t="shared" si="114"/>
        <v>25.528788437839097</v>
      </c>
      <c r="E329" s="383">
        <f t="shared" si="140"/>
        <v>26.043414213955042</v>
      </c>
      <c r="F329" s="383">
        <f t="shared" si="142"/>
        <v>26.122542819390926</v>
      </c>
      <c r="G329" s="110">
        <f t="shared" si="141"/>
        <v>0.78531511903542839</v>
      </c>
      <c r="I329" s="379">
        <f t="shared" si="115"/>
        <v>26.122542819390926</v>
      </c>
      <c r="J329" s="85">
        <v>2018</v>
      </c>
      <c r="K329" s="197">
        <f t="shared" si="116"/>
        <v>43780</v>
      </c>
      <c r="L329" s="435">
        <f t="shared" si="117"/>
        <v>5.8282608358555255E-3</v>
      </c>
      <c r="M329" s="842"/>
      <c r="N329" s="842"/>
      <c r="O329" s="323">
        <f t="shared" si="118"/>
        <v>1.9760303771545831E-2</v>
      </c>
      <c r="P329" s="169">
        <f>(INDEX(Models!$BJ329:$BT329,,T329)*(1-R329)+INDEX(Models!$BJ329:$BT329,,T329+1)*R329-ERP_i)*Q329*Ramure*Pc/MaxiM</f>
        <v>4.3596753773842301E-3</v>
      </c>
      <c r="Q329" s="304">
        <f t="shared" si="119"/>
        <v>0.7</v>
      </c>
      <c r="R329" s="177">
        <f t="shared" si="120"/>
        <v>0.13402379398674535</v>
      </c>
      <c r="S329" s="799">
        <f t="shared" si="138"/>
        <v>-1</v>
      </c>
      <c r="T329" s="176">
        <f t="shared" si="121"/>
        <v>5</v>
      </c>
      <c r="U329" s="250">
        <f t="shared" si="122"/>
        <v>-0.86597620601325465</v>
      </c>
      <c r="V329" s="382">
        <f t="shared" si="123"/>
        <v>32.275105328176345</v>
      </c>
      <c r="W329" s="58"/>
      <c r="X329" s="157">
        <f t="shared" si="124"/>
        <v>43780</v>
      </c>
      <c r="Y329" s="383">
        <f t="shared" si="125"/>
        <v>25.362991907990175</v>
      </c>
      <c r="Z329" s="383">
        <f t="shared" si="126"/>
        <v>25.511680637104263</v>
      </c>
      <c r="AA329" s="384">
        <f t="shared" si="127"/>
        <v>26.025961543143346</v>
      </c>
      <c r="AB329" s="197">
        <f t="shared" si="128"/>
        <v>43780</v>
      </c>
      <c r="AC329" s="424">
        <f t="shared" si="129"/>
        <v>1.9760303771545831E-2</v>
      </c>
      <c r="AD329" s="169">
        <f>(INDEX(Models!$BJ329:$BT329,,AH329)*(1-AF329)+INDEX(Models!$BJ329:$BT329,,AH329+1)*AF329-ERP_i)*AE329*Ramure*Pc/MaxiM</f>
        <v>5.3212489927438331E-3</v>
      </c>
      <c r="AE329" s="304">
        <f t="shared" si="130"/>
        <v>0.7</v>
      </c>
      <c r="AF329" s="177">
        <f t="shared" si="131"/>
        <v>0.19835601624657762</v>
      </c>
      <c r="AG329" s="799">
        <f t="shared" si="132"/>
        <v>-1</v>
      </c>
      <c r="AH329" s="176">
        <f t="shared" si="133"/>
        <v>5</v>
      </c>
      <c r="AI329" s="224">
        <f t="shared" si="134"/>
        <v>-0.80164398375342238</v>
      </c>
      <c r="AJ329" s="264" t="b">
        <f t="shared" si="135"/>
        <v>0</v>
      </c>
      <c r="AK329" s="264" t="b">
        <f t="shared" si="136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37"/>
        <v>43781</v>
      </c>
      <c r="B330" s="607">
        <v>17.905999999999999</v>
      </c>
      <c r="C330" s="388"/>
      <c r="D330" s="391">
        <f t="shared" si="114"/>
        <v>18.011317829288366</v>
      </c>
      <c r="E330" s="383">
        <f t="shared" si="140"/>
        <v>18.375209201330925</v>
      </c>
      <c r="F330" s="383">
        <f t="shared" si="142"/>
        <v>18.4049821020695</v>
      </c>
      <c r="G330" s="110">
        <f t="shared" si="141"/>
        <v>0.55771321004328278</v>
      </c>
      <c r="I330" s="379">
        <f t="shared" si="115"/>
        <v>18.4049821020695</v>
      </c>
      <c r="J330" s="85">
        <v>2018</v>
      </c>
      <c r="K330" s="197">
        <f t="shared" si="116"/>
        <v>43781</v>
      </c>
      <c r="L330" s="435">
        <f t="shared" si="117"/>
        <v>5.8473139104295857E-3</v>
      </c>
      <c r="M330" s="842"/>
      <c r="N330" s="842"/>
      <c r="O330" s="323">
        <f t="shared" si="118"/>
        <v>1.9803386620284264E-2</v>
      </c>
      <c r="P330" s="169">
        <f>(INDEX(Models!$BJ330:$BT330,,T330)*(1-R330)+INDEX(Models!$BJ330:$BT330,,T330+1)*R330-ERP_i)*Q330*Ramure*Pc/MaxiM</f>
        <v>4.367760452430659E-3</v>
      </c>
      <c r="Q330" s="304">
        <f t="shared" si="119"/>
        <v>0.7</v>
      </c>
      <c r="R330" s="177">
        <f t="shared" si="120"/>
        <v>0.13405247847559587</v>
      </c>
      <c r="S330" s="799">
        <f t="shared" si="138"/>
        <v>-1</v>
      </c>
      <c r="T330" s="176">
        <f t="shared" si="121"/>
        <v>5</v>
      </c>
      <c r="U330" s="250">
        <f t="shared" si="122"/>
        <v>-0.86594752152440413</v>
      </c>
      <c r="V330" s="382">
        <f t="shared" si="123"/>
        <v>32.017668744506551</v>
      </c>
      <c r="W330" s="58"/>
      <c r="X330" s="157">
        <f t="shared" si="124"/>
        <v>43781</v>
      </c>
      <c r="Y330" s="383">
        <f t="shared" si="125"/>
        <v>17.899664329916188</v>
      </c>
      <c r="Z330" s="383">
        <f t="shared" si="126"/>
        <v>18.004944894655225</v>
      </c>
      <c r="AA330" s="384">
        <f t="shared" si="127"/>
        <v>18.36870751121473</v>
      </c>
      <c r="AB330" s="197">
        <f t="shared" si="128"/>
        <v>43781</v>
      </c>
      <c r="AC330" s="424">
        <f t="shared" si="129"/>
        <v>1.9803386620284264E-2</v>
      </c>
      <c r="AD330" s="169">
        <f>(INDEX(Models!$BJ330:$BT330,,AH330)*(1-AF330)+INDEX(Models!$BJ330:$BT330,,AH330+1)*AF330-ERP_i)*AE330*Ramure*Pc/MaxiM</f>
        <v>5.3215749702975913E-3</v>
      </c>
      <c r="AE330" s="304">
        <f t="shared" si="130"/>
        <v>0.7</v>
      </c>
      <c r="AF330" s="177">
        <f t="shared" si="131"/>
        <v>0.19838470073542813</v>
      </c>
      <c r="AG330" s="799">
        <f t="shared" si="132"/>
        <v>-1</v>
      </c>
      <c r="AH330" s="176">
        <f t="shared" si="133"/>
        <v>5</v>
      </c>
      <c r="AI330" s="224">
        <f t="shared" si="134"/>
        <v>-0.80161529926457187</v>
      </c>
      <c r="AJ330" s="264" t="b">
        <f t="shared" si="135"/>
        <v>0</v>
      </c>
      <c r="AK330" s="264" t="b">
        <f t="shared" si="136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37"/>
        <v>43782</v>
      </c>
      <c r="B331" s="607">
        <v>14.109</v>
      </c>
      <c r="C331" s="388"/>
      <c r="D331" s="391">
        <f t="shared" si="114"/>
        <v>14.192256982623277</v>
      </c>
      <c r="E331" s="383">
        <f t="shared" si="140"/>
        <v>14.479627710369043</v>
      </c>
      <c r="F331" s="383">
        <f t="shared" si="142"/>
        <v>14.492665355513358</v>
      </c>
      <c r="G331" s="110">
        <f t="shared" si="141"/>
        <v>0.44269086448214984</v>
      </c>
      <c r="I331" s="379">
        <f t="shared" si="115"/>
        <v>14.492665355513358</v>
      </c>
      <c r="J331" s="85">
        <v>2018</v>
      </c>
      <c r="K331" s="197">
        <f t="shared" si="116"/>
        <v>43782</v>
      </c>
      <c r="L331" s="435">
        <f t="shared" si="117"/>
        <v>5.8663666198558451E-3</v>
      </c>
      <c r="M331" s="842"/>
      <c r="N331" s="842"/>
      <c r="O331" s="323">
        <f t="shared" si="118"/>
        <v>1.9846555000856577E-2</v>
      </c>
      <c r="P331" s="169">
        <f>(INDEX(Models!$BJ331:$BT331,,T331)*(1-R331)+INDEX(Models!$BJ331:$BT331,,T331+1)*R331-ERP_i)*Q331*Ramure*Pc/MaxiM</f>
        <v>4.3660314007660864E-3</v>
      </c>
      <c r="Q331" s="304">
        <f t="shared" si="119"/>
        <v>0.7</v>
      </c>
      <c r="R331" s="177">
        <f t="shared" si="120"/>
        <v>0.13408001191299657</v>
      </c>
      <c r="S331" s="799">
        <f t="shared" si="138"/>
        <v>-1</v>
      </c>
      <c r="T331" s="176">
        <f t="shared" si="121"/>
        <v>5</v>
      </c>
      <c r="U331" s="250">
        <f t="shared" si="122"/>
        <v>-0.86591998808700343</v>
      </c>
      <c r="V331" s="382">
        <f t="shared" si="123"/>
        <v>31.760420764050902</v>
      </c>
      <c r="W331" s="58"/>
      <c r="X331" s="157">
        <f t="shared" si="124"/>
        <v>43782</v>
      </c>
      <c r="Y331" s="383">
        <f t="shared" si="125"/>
        <v>14.106252797655117</v>
      </c>
      <c r="Z331" s="383">
        <f t="shared" si="126"/>
        <v>14.189493569081435</v>
      </c>
      <c r="AA331" s="384">
        <f t="shared" si="127"/>
        <v>14.476808342079371</v>
      </c>
      <c r="AB331" s="197">
        <f t="shared" si="128"/>
        <v>43782</v>
      </c>
      <c r="AC331" s="424">
        <f t="shared" si="129"/>
        <v>1.9846555000856577E-2</v>
      </c>
      <c r="AD331" s="169">
        <f>(INDEX(Models!$BJ331:$BT331,,AH331)*(1-AF331)+INDEX(Models!$BJ331:$BT331,,AH331+1)*AF331-ERP_i)*AE331*Ramure*Pc/MaxiM</f>
        <v>5.3101781655214824E-3</v>
      </c>
      <c r="AE331" s="304">
        <f t="shared" si="130"/>
        <v>0.7</v>
      </c>
      <c r="AF331" s="177">
        <f t="shared" si="131"/>
        <v>0.19841223417282872</v>
      </c>
      <c r="AG331" s="799">
        <f t="shared" si="132"/>
        <v>-1</v>
      </c>
      <c r="AH331" s="176">
        <f t="shared" si="133"/>
        <v>5</v>
      </c>
      <c r="AI331" s="224">
        <f t="shared" si="134"/>
        <v>-0.80158776582717128</v>
      </c>
      <c r="AJ331" s="264" t="b">
        <f t="shared" si="135"/>
        <v>0</v>
      </c>
      <c r="AK331" s="264" t="b">
        <f t="shared" si="136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37"/>
        <v>43783</v>
      </c>
      <c r="B332" s="607">
        <v>5.6459999999999999</v>
      </c>
      <c r="C332" s="388"/>
      <c r="D332" s="391">
        <f t="shared" si="114"/>
        <v>5.6794258003105806</v>
      </c>
      <c r="E332" s="383">
        <f t="shared" si="140"/>
        <v>5.7946810092589338</v>
      </c>
      <c r="F332" s="383">
        <f t="shared" si="142"/>
        <v>5.7946810092589338</v>
      </c>
      <c r="G332" s="110">
        <f t="shared" si="141"/>
        <v>0.17844089884924252</v>
      </c>
      <c r="I332" s="379">
        <f t="shared" si="115"/>
        <v>5.7946810092589338</v>
      </c>
      <c r="J332" s="85">
        <v>2018</v>
      </c>
      <c r="K332" s="197">
        <f t="shared" si="116"/>
        <v>43783</v>
      </c>
      <c r="L332" s="435">
        <f t="shared" si="117"/>
        <v>5.8854189641411869E-3</v>
      </c>
      <c r="M332" s="842"/>
      <c r="N332" s="842"/>
      <c r="O332" s="323">
        <f t="shared" si="118"/>
        <v>1.9889828062009687E-2</v>
      </c>
      <c r="P332" s="169">
        <f>(INDEX(Models!$BJ332:$BT332,,T332)*(1-R332)+INDEX(Models!$BJ332:$BT332,,T332+1)*R332-ERP_i)*Q332*Ramure*Pc/MaxiM</f>
        <v>4.3539784647912807E-3</v>
      </c>
      <c r="Q332" s="304">
        <f t="shared" si="119"/>
        <v>0.7</v>
      </c>
      <c r="R332" s="177">
        <f t="shared" si="120"/>
        <v>0.13410644033904584</v>
      </c>
      <c r="S332" s="799">
        <f t="shared" si="138"/>
        <v>-1</v>
      </c>
      <c r="T332" s="176">
        <f t="shared" si="121"/>
        <v>5</v>
      </c>
      <c r="U332" s="250">
        <f t="shared" si="122"/>
        <v>-0.86589355966095416</v>
      </c>
      <c r="V332" s="382">
        <f t="shared" si="123"/>
        <v>31.50296526099152</v>
      </c>
      <c r="W332" s="58"/>
      <c r="X332" s="157">
        <f t="shared" si="124"/>
        <v>43783</v>
      </c>
      <c r="Y332" s="383">
        <f t="shared" si="125"/>
        <v>5.6459999999999999</v>
      </c>
      <c r="Z332" s="383">
        <f t="shared" si="126"/>
        <v>5.6794258003105806</v>
      </c>
      <c r="AA332" s="384">
        <f t="shared" si="127"/>
        <v>5.7946810092589338</v>
      </c>
      <c r="AB332" s="197">
        <f t="shared" si="128"/>
        <v>43783</v>
      </c>
      <c r="AC332" s="424">
        <f t="shared" si="129"/>
        <v>1.9889828062009687E-2</v>
      </c>
      <c r="AD332" s="169">
        <f>(INDEX(Models!$BJ332:$BT332,,AH332)*(1-AF332)+INDEX(Models!$BJ332:$BT332,,AH332+1)*AF332-ERP_i)*AE332*Ramure*Pc/MaxiM</f>
        <v>5.2870204396836089E-3</v>
      </c>
      <c r="AE332" s="304">
        <f t="shared" si="130"/>
        <v>0.7</v>
      </c>
      <c r="AF332" s="177">
        <f t="shared" si="131"/>
        <v>0.1984386625988781</v>
      </c>
      <c r="AG332" s="799">
        <f t="shared" si="132"/>
        <v>-1</v>
      </c>
      <c r="AH332" s="176">
        <f t="shared" si="133"/>
        <v>5</v>
      </c>
      <c r="AI332" s="224">
        <f t="shared" si="134"/>
        <v>-0.8015613374011219</v>
      </c>
      <c r="AJ332" s="264" t="b">
        <f t="shared" si="135"/>
        <v>0</v>
      </c>
      <c r="AK332" s="264" t="b">
        <f t="shared" si="136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37"/>
        <v>43784</v>
      </c>
      <c r="B333" s="607">
        <v>19.201000000000001</v>
      </c>
      <c r="C333" s="388"/>
      <c r="D333" s="391">
        <f t="shared" si="114"/>
        <v>19.315045122695345</v>
      </c>
      <c r="E333" s="383">
        <f t="shared" si="140"/>
        <v>19.70788685189444</v>
      </c>
      <c r="F333" s="383">
        <f t="shared" si="142"/>
        <v>19.746388610902585</v>
      </c>
      <c r="G333" s="110">
        <f t="shared" si="141"/>
        <v>0.61304974574602433</v>
      </c>
      <c r="I333" s="379">
        <f t="shared" si="115"/>
        <v>19.746388610902585</v>
      </c>
      <c r="J333" s="85">
        <v>2018</v>
      </c>
      <c r="K333" s="197">
        <f t="shared" si="116"/>
        <v>43784</v>
      </c>
      <c r="L333" s="435">
        <f t="shared" si="117"/>
        <v>5.9044709432928277E-3</v>
      </c>
      <c r="M333" s="842"/>
      <c r="N333" s="842"/>
      <c r="O333" s="323">
        <f t="shared" si="118"/>
        <v>1.9933224305138202E-2</v>
      </c>
      <c r="P333" s="169">
        <f>(INDEX(Models!$BJ333:$BT333,,T333)*(1-R333)+INDEX(Models!$BJ333:$BT333,,T333+1)*R333-ERP_i)*Q333*Ramure*Pc/MaxiM</f>
        <v>4.3395140129956393E-3</v>
      </c>
      <c r="Q333" s="304">
        <f t="shared" si="119"/>
        <v>0.7</v>
      </c>
      <c r="R333" s="177">
        <f t="shared" si="120"/>
        <v>0.13413180796408186</v>
      </c>
      <c r="S333" s="799">
        <f t="shared" si="138"/>
        <v>-1</v>
      </c>
      <c r="T333" s="176">
        <f t="shared" si="121"/>
        <v>5</v>
      </c>
      <c r="U333" s="250">
        <f t="shared" si="122"/>
        <v>-0.86586819203591814</v>
      </c>
      <c r="V333" s="382">
        <f t="shared" si="123"/>
        <v>31.24546716879588</v>
      </c>
      <c r="W333" s="58"/>
      <c r="X333" s="157">
        <f t="shared" si="124"/>
        <v>43784</v>
      </c>
      <c r="Y333" s="383">
        <f t="shared" si="125"/>
        <v>19.193027948662948</v>
      </c>
      <c r="Z333" s="383">
        <f t="shared" si="126"/>
        <v>19.307025721034201</v>
      </c>
      <c r="AA333" s="384">
        <f t="shared" si="127"/>
        <v>19.699704346518256</v>
      </c>
      <c r="AB333" s="197">
        <f t="shared" si="128"/>
        <v>43784</v>
      </c>
      <c r="AC333" s="424">
        <f t="shared" si="129"/>
        <v>1.9933224305138202E-2</v>
      </c>
      <c r="AD333" s="169">
        <f>(INDEX(Models!$BJ333:$BT333,,AH333)*(1-AF333)+INDEX(Models!$BJ333:$BT333,,AH333+1)*AF333-ERP_i)*AE333*Ramure*Pc/MaxiM</f>
        <v>5.2617601039819054E-3</v>
      </c>
      <c r="AE333" s="304">
        <f t="shared" si="130"/>
        <v>0.7</v>
      </c>
      <c r="AF333" s="177">
        <f t="shared" si="131"/>
        <v>0.19846403022391412</v>
      </c>
      <c r="AG333" s="799">
        <f t="shared" si="132"/>
        <v>-1</v>
      </c>
      <c r="AH333" s="176">
        <f t="shared" si="133"/>
        <v>5</v>
      </c>
      <c r="AI333" s="224">
        <f t="shared" si="134"/>
        <v>-0.80153596977608588</v>
      </c>
      <c r="AJ333" s="264" t="b">
        <f t="shared" si="135"/>
        <v>0</v>
      </c>
      <c r="AK333" s="264" t="b">
        <f t="shared" si="136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37"/>
        <v>43785</v>
      </c>
      <c r="B334" s="607">
        <v>18.984999999999999</v>
      </c>
      <c r="C334" s="388"/>
      <c r="D334" s="391">
        <f t="shared" si="114"/>
        <v>19.098128193154693</v>
      </c>
      <c r="E334" s="383">
        <f t="shared" si="140"/>
        <v>19.487423810857813</v>
      </c>
      <c r="F334" s="383">
        <f t="shared" si="142"/>
        <v>19.525119659973605</v>
      </c>
      <c r="G334" s="110">
        <f t="shared" si="141"/>
        <v>0.61118137947741624</v>
      </c>
      <c r="I334" s="379">
        <f t="shared" si="115"/>
        <v>19.525119659973605</v>
      </c>
      <c r="J334" s="85">
        <v>2018</v>
      </c>
      <c r="K334" s="197">
        <f t="shared" si="116"/>
        <v>43785</v>
      </c>
      <c r="L334" s="435">
        <f t="shared" si="117"/>
        <v>5.9235225573175398E-3</v>
      </c>
      <c r="M334" s="842"/>
      <c r="N334" s="842"/>
      <c r="O334" s="323">
        <f t="shared" si="118"/>
        <v>1.9976761499188828E-2</v>
      </c>
      <c r="P334" s="169">
        <f>(INDEX(Models!$BJ334:$BT334,,T334)*(1-R334)+INDEX(Models!$BJ334:$BT334,,T334+1)*R334-ERP_i)*Q334*Ramure*Pc/MaxiM</f>
        <v>4.3225493521318248E-3</v>
      </c>
      <c r="Q334" s="304">
        <f t="shared" si="119"/>
        <v>0.7</v>
      </c>
      <c r="R334" s="177">
        <f t="shared" si="120"/>
        <v>0.13415615724047358</v>
      </c>
      <c r="S334" s="799">
        <f t="shared" si="138"/>
        <v>-1</v>
      </c>
      <c r="T334" s="176">
        <f t="shared" si="121"/>
        <v>5</v>
      </c>
      <c r="U334" s="250">
        <f t="shared" si="122"/>
        <v>-0.86584384275952642</v>
      </c>
      <c r="V334" s="382">
        <f t="shared" si="123"/>
        <v>30.988348585020482</v>
      </c>
      <c r="W334" s="58"/>
      <c r="X334" s="157">
        <f t="shared" si="124"/>
        <v>43785</v>
      </c>
      <c r="Y334" s="383">
        <f t="shared" si="125"/>
        <v>18.977253840072976</v>
      </c>
      <c r="Z334" s="383">
        <f t="shared" si="126"/>
        <v>19.090335875256827</v>
      </c>
      <c r="AA334" s="384">
        <f t="shared" si="127"/>
        <v>19.4794726546079</v>
      </c>
      <c r="AB334" s="197">
        <f t="shared" si="128"/>
        <v>43785</v>
      </c>
      <c r="AC334" s="424">
        <f t="shared" si="129"/>
        <v>1.9976761499188828E-2</v>
      </c>
      <c r="AD334" s="169">
        <f>(INDEX(Models!$BJ334:$BT334,,AH334)*(1-AF334)+INDEX(Models!$BJ334:$BT334,,AH334+1)*AF334-ERP_i)*AE334*Ramure*Pc/MaxiM</f>
        <v>5.23430133817104E-3</v>
      </c>
      <c r="AE334" s="304">
        <f t="shared" si="130"/>
        <v>0.7</v>
      </c>
      <c r="AF334" s="177">
        <f t="shared" si="131"/>
        <v>0.19848837950030584</v>
      </c>
      <c r="AG334" s="799">
        <f t="shared" si="132"/>
        <v>-1</v>
      </c>
      <c r="AH334" s="176">
        <f t="shared" si="133"/>
        <v>5</v>
      </c>
      <c r="AI334" s="224">
        <f t="shared" si="134"/>
        <v>-0.80151162049969416</v>
      </c>
      <c r="AJ334" s="264" t="b">
        <f t="shared" si="135"/>
        <v>0</v>
      </c>
      <c r="AK334" s="264" t="b">
        <f t="shared" si="136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37"/>
        <v>43786</v>
      </c>
      <c r="B335" s="607">
        <v>9.0990000000000002</v>
      </c>
      <c r="C335" s="388"/>
      <c r="D335" s="391">
        <f t="shared" ref="D335:D379" si="143">Wh/(1-Ppv)</f>
        <v>9.1533947237232116</v>
      </c>
      <c r="E335" s="383">
        <f t="shared" si="140"/>
        <v>9.3403936698156151</v>
      </c>
      <c r="F335" s="383">
        <f t="shared" si="142"/>
        <v>9.3403936698156151</v>
      </c>
      <c r="G335" s="110">
        <f t="shared" si="141"/>
        <v>0.29480143694324046</v>
      </c>
      <c r="I335" s="379">
        <f t="shared" ref="I335:I380" si="144">Wh_hp</f>
        <v>9.3403936698156151</v>
      </c>
      <c r="J335" s="85">
        <v>2018</v>
      </c>
      <c r="K335" s="197">
        <f t="shared" ref="K335:K379" si="145">t</f>
        <v>43786</v>
      </c>
      <c r="L335" s="435">
        <f t="shared" ref="L335:L378" si="146">IF(t&lt;T0,0,IF(t&lt;Tvie,1-EXP((T0-t)*PertePVj),1-EXP((T0-t)*PertePVj)+Pspv))</f>
        <v>5.9425738062224287E-3</v>
      </c>
      <c r="M335" s="842"/>
      <c r="N335" s="842"/>
      <c r="O335" s="323">
        <f t="shared" ref="O335:O379" si="147">IF(t&lt;T0,0,IF(t&lt;Tnet,Salim_i*(1-EXP((T0-t)/Tau_ij)),Resal+(Salim-Resal)*(1-EXP((Tnet-t)/(Tau_j)))))*Salcycl</f>
        <v>2.002045659988717E-2</v>
      </c>
      <c r="P335" s="169">
        <f>(INDEX(Models!$BJ335:$BT335,,T335)*(1-R335)+INDEX(Models!$BJ335:$BT335,,T335+1)*R335-ERP_i)*Q335*Ramure*Pc/MaxiM</f>
        <v>4.302991534010427E-3</v>
      </c>
      <c r="Q335" s="304">
        <f t="shared" ref="Q335:Q379" si="148">IF(OR(t&lt;Ttai,Notai),Dd+PousD*Croivg,Dens+PousD*(Croivg-Croi_tai))</f>
        <v>0.7</v>
      </c>
      <c r="R335" s="177">
        <f t="shared" ref="R335:R379" si="149">(Hp_vg-S335)/(INDEX(Echel_vg,T335+1)-S335)</f>
        <v>0.13417952893166896</v>
      </c>
      <c r="S335" s="799">
        <f t="shared" si="138"/>
        <v>-1</v>
      </c>
      <c r="T335" s="176">
        <f t="shared" ref="T335:T379" si="150">MIN(MATCH(Hp_vg,Echel_vg),10)</f>
        <v>5</v>
      </c>
      <c r="U335" s="250">
        <f t="shared" ref="U335:U379" si="151">IF(OR(t&lt;Ttai,Notai),Hdd+PousH*Croivg,Hdtf+PousH*(Croivg-Croi_tai))</f>
        <v>-0.86582047106833104</v>
      </c>
      <c r="V335" s="382">
        <f t="shared" ref="V335:V379" si="152">MaxiM*(1-Ppv)*(1-Pvg)*(1-Psa)</f>
        <v>30.732031614134819</v>
      </c>
      <c r="W335" s="58"/>
      <c r="X335" s="157">
        <f t="shared" ref="X335:X379" si="153">t</f>
        <v>43786</v>
      </c>
      <c r="Y335" s="383">
        <f t="shared" ref="Y335:Y379" si="154">Wh_pvt_s*(1-Ppv)</f>
        <v>9.0990000000000002</v>
      </c>
      <c r="Z335" s="383">
        <f t="shared" ref="Z335:Z379" si="155">Wh_sa_s*(1-Psa_s)</f>
        <v>9.1533947237232116</v>
      </c>
      <c r="AA335" s="384">
        <f t="shared" ref="AA335:AA379" si="156">Wh_hp*(1-Pvg_s*MEDIAN((-Sdif+Wh/Env_an)/Csdif,0,1))</f>
        <v>9.3403936698156151</v>
      </c>
      <c r="AB335" s="197">
        <f t="shared" ref="AB335:AB379" si="157">t</f>
        <v>43786</v>
      </c>
      <c r="AC335" s="424">
        <f t="shared" ref="AC335:AC379" si="158">IF(t&lt;T0,0,IF(OR(t&lt;Tnet,NoTnet),Salim_i*(1-EXP((T0-t)/Tau_ij)),Resal_s+(Salim-Resal_s)*(1-EXP((Tnet_s-t)/Tau_j))))*Salcycl</f>
        <v>2.002045659988717E-2</v>
      </c>
      <c r="AD335" s="169">
        <f>(INDEX(Models!$BJ335:$BT335,,AH335)*(1-AF335)+INDEX(Models!$BJ335:$BT335,,AH335+1)*AF335-ERP_i)*AE335*Ramure*Pc/MaxiM</f>
        <v>5.2045441082506682E-3</v>
      </c>
      <c r="AE335" s="304">
        <f t="shared" ref="AE335:AE379" si="159">Dd+PousD*Croivg</f>
        <v>0.7</v>
      </c>
      <c r="AF335" s="177">
        <f t="shared" ref="AF335:AF379" si="160">(Hp_vg_s-AG335)/(INDEX(Echel_vg,AH335+1)-AG335)</f>
        <v>0.19851175119150111</v>
      </c>
      <c r="AG335" s="799">
        <f t="shared" ref="AG335:AG379" si="161">INDEX(Echel_vg,AH335)</f>
        <v>-1</v>
      </c>
      <c r="AH335" s="176">
        <f t="shared" ref="AH335:AH379" si="162">MIN(MATCH(Hp_vg_s,Echel_vg),10)</f>
        <v>5</v>
      </c>
      <c r="AI335" s="224">
        <f t="shared" ref="AI335:AI379" si="163">Hdd+PousH*Croivg</f>
        <v>-0.80148824880849889</v>
      </c>
      <c r="AJ335" s="264" t="b">
        <f t="shared" ref="AJ335:AJ380" si="164">t&lt;Tnet</f>
        <v>0</v>
      </c>
      <c r="AK335" s="264" t="b">
        <f t="shared" ref="AK335:AK380" si="165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79" si="166">A335+1</f>
        <v>43787</v>
      </c>
      <c r="B336" s="607">
        <v>9.8520000000000003</v>
      </c>
      <c r="C336" s="388"/>
      <c r="D336" s="391">
        <f t="shared" si="143"/>
        <v>9.911086176052013</v>
      </c>
      <c r="E336" s="383">
        <f t="shared" si="140"/>
        <v>10.11401710920217</v>
      </c>
      <c r="F336" s="383">
        <f t="shared" si="142"/>
        <v>10.115456012451922</v>
      </c>
      <c r="G336" s="110">
        <f t="shared" si="141"/>
        <v>0.3219228133272366</v>
      </c>
      <c r="I336" s="379">
        <f t="shared" si="144"/>
        <v>10.115456012451922</v>
      </c>
      <c r="J336" s="85">
        <v>2018</v>
      </c>
      <c r="K336" s="197">
        <f t="shared" si="145"/>
        <v>43787</v>
      </c>
      <c r="L336" s="435">
        <f t="shared" si="146"/>
        <v>5.9616246900144887E-3</v>
      </c>
      <c r="M336" s="842"/>
      <c r="N336" s="842"/>
      <c r="O336" s="323">
        <f t="shared" si="147"/>
        <v>2.0064325673873021E-2</v>
      </c>
      <c r="P336" s="169">
        <f>(INDEX(Models!$BJ336:$BT336,,T336)*(1-R336)+INDEX(Models!$BJ336:$BT336,,T336+1)*R336-ERP_i)*Q336*Ramure*Pc/MaxiM</f>
        <v>4.2807434561936315E-3</v>
      </c>
      <c r="Q336" s="304">
        <f t="shared" si="148"/>
        <v>0.7</v>
      </c>
      <c r="R336" s="177">
        <f t="shared" si="149"/>
        <v>0.1342019621785997</v>
      </c>
      <c r="S336" s="799">
        <f t="shared" ref="S336:S379" si="167">INDEX(Echel_vg,T336)</f>
        <v>-1</v>
      </c>
      <c r="T336" s="176">
        <f t="shared" si="150"/>
        <v>5</v>
      </c>
      <c r="U336" s="250">
        <f t="shared" si="151"/>
        <v>-0.8657980378214003</v>
      </c>
      <c r="V336" s="382">
        <f t="shared" si="152"/>
        <v>30.476938371042955</v>
      </c>
      <c r="W336" s="58"/>
      <c r="X336" s="157">
        <f t="shared" si="153"/>
        <v>43787</v>
      </c>
      <c r="Y336" s="383">
        <f t="shared" si="154"/>
        <v>9.8517080536585517</v>
      </c>
      <c r="Z336" s="383">
        <f t="shared" si="155"/>
        <v>9.910792478797763</v>
      </c>
      <c r="AA336" s="384">
        <f t="shared" si="156"/>
        <v>10.113717398453858</v>
      </c>
      <c r="AB336" s="197">
        <f t="shared" si="157"/>
        <v>43787</v>
      </c>
      <c r="AC336" s="424">
        <f t="shared" si="158"/>
        <v>2.0064325673873021E-2</v>
      </c>
      <c r="AD336" s="169">
        <f>(INDEX(Models!$BJ336:$BT336,,AH336)*(1-AF336)+INDEX(Models!$BJ336:$BT336,,AH336+1)*AF336-ERP_i)*AE336*Ramure*Pc/MaxiM</f>
        <v>5.1723842421898562E-3</v>
      </c>
      <c r="AE336" s="304">
        <f t="shared" si="159"/>
        <v>0.7</v>
      </c>
      <c r="AF336" s="177">
        <f t="shared" si="160"/>
        <v>0.19853418443843185</v>
      </c>
      <c r="AG336" s="799">
        <f t="shared" si="161"/>
        <v>-1</v>
      </c>
      <c r="AH336" s="176">
        <f t="shared" si="162"/>
        <v>5</v>
      </c>
      <c r="AI336" s="224">
        <f t="shared" si="163"/>
        <v>-0.80146581556156815</v>
      </c>
      <c r="AJ336" s="264" t="b">
        <f t="shared" si="164"/>
        <v>0</v>
      </c>
      <c r="AK336" s="264" t="b">
        <f t="shared" si="165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66"/>
        <v>43788</v>
      </c>
      <c r="B337" s="607">
        <v>14.141</v>
      </c>
      <c r="C337" s="388"/>
      <c r="D337" s="391">
        <f t="shared" si="143"/>
        <v>14.226081573382885</v>
      </c>
      <c r="E337" s="383">
        <f t="shared" si="140"/>
        <v>14.518015399460309</v>
      </c>
      <c r="F337" s="383">
        <f t="shared" si="142"/>
        <v>14.53284829381372</v>
      </c>
      <c r="G337" s="110">
        <f t="shared" si="141"/>
        <v>0.46636592421148426</v>
      </c>
      <c r="I337" s="379">
        <f t="shared" si="144"/>
        <v>14.53284829381372</v>
      </c>
      <c r="J337" s="85">
        <v>2018</v>
      </c>
      <c r="K337" s="197">
        <f t="shared" si="145"/>
        <v>43788</v>
      </c>
      <c r="L337" s="435">
        <f t="shared" si="146"/>
        <v>5.9806752087007142E-3</v>
      </c>
      <c r="M337" s="842"/>
      <c r="N337" s="842"/>
      <c r="O337" s="323">
        <f t="shared" si="147"/>
        <v>2.0108383828293528E-2</v>
      </c>
      <c r="P337" s="169">
        <f>(INDEX(Models!$BJ337:$BT337,,T337)*(1-R337)+INDEX(Models!$BJ337:$BT337,,T337+1)*R337-ERP_i)*Q337*Ramure*Pc/MaxiM</f>
        <v>4.2557040154286227E-3</v>
      </c>
      <c r="Q337" s="304">
        <f t="shared" si="148"/>
        <v>0.7</v>
      </c>
      <c r="R337" s="177">
        <f t="shared" si="149"/>
        <v>0.13422349456353611</v>
      </c>
      <c r="S337" s="799">
        <f t="shared" si="167"/>
        <v>-1</v>
      </c>
      <c r="T337" s="176">
        <f t="shared" si="150"/>
        <v>5</v>
      </c>
      <c r="U337" s="250">
        <f t="shared" si="151"/>
        <v>-0.86577650543646389</v>
      </c>
      <c r="V337" s="382">
        <f t="shared" si="152"/>
        <v>30.223490985394431</v>
      </c>
      <c r="W337" s="58"/>
      <c r="X337" s="157">
        <f t="shared" si="153"/>
        <v>43788</v>
      </c>
      <c r="Y337" s="383">
        <f t="shared" si="154"/>
        <v>14.138005663232612</v>
      </c>
      <c r="Z337" s="383">
        <f t="shared" si="155"/>
        <v>14.223069220712562</v>
      </c>
      <c r="AA337" s="384">
        <f t="shared" si="156"/>
        <v>14.514941230214845</v>
      </c>
      <c r="AB337" s="197">
        <f t="shared" si="157"/>
        <v>43788</v>
      </c>
      <c r="AC337" s="424">
        <f t="shared" si="158"/>
        <v>2.0108383828293528E-2</v>
      </c>
      <c r="AD337" s="169">
        <f>(INDEX(Models!$BJ337:$BT337,,AH337)*(1-AF337)+INDEX(Models!$BJ337:$BT337,,AH337+1)*AF337-ERP_i)*AE337*Ramure*Pc/MaxiM</f>
        <v>5.1377135605863277E-3</v>
      </c>
      <c r="AE337" s="304">
        <f t="shared" si="159"/>
        <v>0.7</v>
      </c>
      <c r="AF337" s="177">
        <f t="shared" si="160"/>
        <v>0.19855571682336826</v>
      </c>
      <c r="AG337" s="799">
        <f t="shared" si="161"/>
        <v>-1</v>
      </c>
      <c r="AH337" s="176">
        <f t="shared" si="162"/>
        <v>5</v>
      </c>
      <c r="AI337" s="224">
        <f t="shared" si="163"/>
        <v>-0.80144428317663174</v>
      </c>
      <c r="AJ337" s="264" t="b">
        <f t="shared" si="164"/>
        <v>0</v>
      </c>
      <c r="AK337" s="264" t="b">
        <f t="shared" si="165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66"/>
        <v>43789</v>
      </c>
      <c r="B338" s="607">
        <v>29.353999999999999</v>
      </c>
      <c r="C338" s="388"/>
      <c r="D338" s="391">
        <f t="shared" si="143"/>
        <v>29.531178963405008</v>
      </c>
      <c r="E338" s="383">
        <f t="shared" si="140"/>
        <v>30.138550476381237</v>
      </c>
      <c r="F338" s="383">
        <f t="shared" si="142"/>
        <v>30.262737933685557</v>
      </c>
      <c r="G338" s="110">
        <f t="shared" si="141"/>
        <v>0.97925504179852707</v>
      </c>
      <c r="I338" s="379">
        <f t="shared" si="144"/>
        <v>30.262737933685557</v>
      </c>
      <c r="J338" s="85">
        <v>2018</v>
      </c>
      <c r="K338" s="197">
        <f t="shared" si="145"/>
        <v>43789</v>
      </c>
      <c r="L338" s="435">
        <f t="shared" si="146"/>
        <v>5.9997253622880997E-3</v>
      </c>
      <c r="M338" s="842"/>
      <c r="N338" s="842"/>
      <c r="O338" s="323">
        <f t="shared" si="147"/>
        <v>2.0152645146361999E-2</v>
      </c>
      <c r="P338" s="169">
        <f>(INDEX(Models!$BJ338:$BT338,,T338)*(1-R338)+INDEX(Models!$BJ338:$BT338,,T338+1)*R338-ERP_i)*Q338*Ramure*Pc/MaxiM</f>
        <v>4.2282082776285632E-3</v>
      </c>
      <c r="Q338" s="304">
        <f t="shared" si="148"/>
        <v>0.7</v>
      </c>
      <c r="R338" s="177">
        <f t="shared" si="149"/>
        <v>0.13424416217148738</v>
      </c>
      <c r="S338" s="799">
        <f t="shared" si="167"/>
        <v>-1</v>
      </c>
      <c r="T338" s="176">
        <f t="shared" si="150"/>
        <v>5</v>
      </c>
      <c r="U338" s="250">
        <f t="shared" si="151"/>
        <v>-0.86575583782851262</v>
      </c>
      <c r="V338" s="382">
        <f t="shared" si="152"/>
        <v>29.972098356730676</v>
      </c>
      <c r="W338" s="58"/>
      <c r="X338" s="157">
        <f t="shared" si="153"/>
        <v>43789</v>
      </c>
      <c r="Y338" s="383">
        <f t="shared" si="154"/>
        <v>29.329027254118401</v>
      </c>
      <c r="Z338" s="383">
        <f t="shared" si="155"/>
        <v>29.506055483544099</v>
      </c>
      <c r="AA338" s="384">
        <f t="shared" si="156"/>
        <v>30.112910278715283</v>
      </c>
      <c r="AB338" s="197">
        <f t="shared" si="157"/>
        <v>43789</v>
      </c>
      <c r="AC338" s="424">
        <f t="shared" si="158"/>
        <v>2.0152645146361999E-2</v>
      </c>
      <c r="AD338" s="169">
        <f>(INDEX(Models!$BJ338:$BT338,,AH338)*(1-AF338)+INDEX(Models!$BJ338:$BT338,,AH338+1)*AF338-ERP_i)*AE338*Ramure*Pc/MaxiM</f>
        <v>5.1011796578666561E-3</v>
      </c>
      <c r="AE338" s="304">
        <f t="shared" si="159"/>
        <v>0.7</v>
      </c>
      <c r="AF338" s="177">
        <f t="shared" si="160"/>
        <v>0.19857638443131953</v>
      </c>
      <c r="AG338" s="799">
        <f t="shared" si="161"/>
        <v>-1</v>
      </c>
      <c r="AH338" s="176">
        <f t="shared" si="162"/>
        <v>5</v>
      </c>
      <c r="AI338" s="224">
        <f t="shared" si="163"/>
        <v>-0.80142361556868047</v>
      </c>
      <c r="AJ338" s="264" t="b">
        <f t="shared" si="164"/>
        <v>0</v>
      </c>
      <c r="AK338" s="264" t="b">
        <f t="shared" si="165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66"/>
        <v>43790</v>
      </c>
      <c r="B339" s="607">
        <v>26.677</v>
      </c>
      <c r="C339" s="388"/>
      <c r="D339" s="391">
        <f t="shared" si="143"/>
        <v>26.838535108192623</v>
      </c>
      <c r="E339" s="383">
        <f t="shared" si="140"/>
        <v>27.391770046863932</v>
      </c>
      <c r="F339" s="383">
        <f t="shared" si="142"/>
        <v>27.490335001003508</v>
      </c>
      <c r="G339" s="110">
        <f t="shared" si="141"/>
        <v>0.89696302069833045</v>
      </c>
      <c r="I339" s="379">
        <f t="shared" si="144"/>
        <v>27.490335001003508</v>
      </c>
      <c r="J339" s="85">
        <v>2018</v>
      </c>
      <c r="K339" s="197">
        <f t="shared" si="145"/>
        <v>43790</v>
      </c>
      <c r="L339" s="435">
        <f t="shared" si="146"/>
        <v>6.0187751507836396E-3</v>
      </c>
      <c r="M339" s="842"/>
      <c r="N339" s="842"/>
      <c r="O339" s="323">
        <f t="shared" si="147"/>
        <v>2.0197122629344279E-2</v>
      </c>
      <c r="P339" s="169">
        <f>(INDEX(Models!$BJ339:$BT339,,T339)*(1-R339)+INDEX(Models!$BJ339:$BT339,,T339+1)*R339-ERP_i)*Q339*Ramure*Pc/MaxiM</f>
        <v>4.2003967057512937E-3</v>
      </c>
      <c r="Q339" s="304">
        <f t="shared" si="148"/>
        <v>0.7</v>
      </c>
      <c r="R339" s="177">
        <f t="shared" si="149"/>
        <v>0.13426399964923541</v>
      </c>
      <c r="S339" s="799">
        <f t="shared" si="167"/>
        <v>-1</v>
      </c>
      <c r="T339" s="176">
        <f t="shared" si="150"/>
        <v>5</v>
      </c>
      <c r="U339" s="250">
        <f t="shared" si="151"/>
        <v>-0.86573600035076459</v>
      </c>
      <c r="V339" s="382">
        <f t="shared" si="152"/>
        <v>29.7231158480819</v>
      </c>
      <c r="W339" s="58"/>
      <c r="X339" s="157">
        <f t="shared" si="153"/>
        <v>43790</v>
      </c>
      <c r="Y339" s="383">
        <f t="shared" si="154"/>
        <v>26.657239615515195</v>
      </c>
      <c r="Z339" s="383">
        <f t="shared" si="155"/>
        <v>26.81865507022933</v>
      </c>
      <c r="AA339" s="384">
        <f t="shared" si="156"/>
        <v>27.371480212630498</v>
      </c>
      <c r="AB339" s="197">
        <f t="shared" si="157"/>
        <v>43790</v>
      </c>
      <c r="AC339" s="424">
        <f t="shared" si="158"/>
        <v>2.0197122629344279E-2</v>
      </c>
      <c r="AD339" s="169">
        <f>(INDEX(Models!$BJ339:$BT339,,AH339)*(1-AF339)+INDEX(Models!$BJ339:$BT339,,AH339+1)*AF339-ERP_i)*AE339*Ramure*Pc/MaxiM</f>
        <v>5.0650585281842636E-3</v>
      </c>
      <c r="AE339" s="304">
        <f t="shared" si="159"/>
        <v>0.7</v>
      </c>
      <c r="AF339" s="177">
        <f t="shared" si="160"/>
        <v>0.19859622190906756</v>
      </c>
      <c r="AG339" s="799">
        <f t="shared" si="161"/>
        <v>-1</v>
      </c>
      <c r="AH339" s="176">
        <f t="shared" si="162"/>
        <v>5</v>
      </c>
      <c r="AI339" s="224">
        <f t="shared" si="163"/>
        <v>-0.80140377809093244</v>
      </c>
      <c r="AJ339" s="264" t="b">
        <f t="shared" si="164"/>
        <v>0</v>
      </c>
      <c r="AK339" s="264" t="b">
        <f t="shared" si="165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66"/>
        <v>43791</v>
      </c>
      <c r="B340" s="607">
        <v>12.561999999999999</v>
      </c>
      <c r="C340" s="388"/>
      <c r="D340" s="391">
        <f t="shared" si="143"/>
        <v>12.638307885929901</v>
      </c>
      <c r="E340" s="383">
        <f t="shared" si="140"/>
        <v>12.899415640500802</v>
      </c>
      <c r="F340" s="383">
        <f t="shared" si="142"/>
        <v>12.909122917136145</v>
      </c>
      <c r="G340" s="110">
        <f t="shared" si="141"/>
        <v>0.42470458397887773</v>
      </c>
      <c r="I340" s="379">
        <f t="shared" si="144"/>
        <v>12.909122917136145</v>
      </c>
      <c r="J340" s="85">
        <v>2018</v>
      </c>
      <c r="K340" s="197">
        <f t="shared" si="145"/>
        <v>43791</v>
      </c>
      <c r="L340" s="435">
        <f t="shared" si="146"/>
        <v>6.0378245741943282E-3</v>
      </c>
      <c r="M340" s="842"/>
      <c r="N340" s="842"/>
      <c r="O340" s="323">
        <f t="shared" si="147"/>
        <v>2.0241828145384312E-2</v>
      </c>
      <c r="P340" s="169">
        <f>(INDEX(Models!$BJ340:$BT340,,T340)*(1-R340)+INDEX(Models!$BJ340:$BT340,,T340+1)*R340-ERP_i)*Q340*Ramure*Pc/MaxiM</f>
        <v>4.1722066212410832E-3</v>
      </c>
      <c r="Q340" s="304">
        <f t="shared" si="148"/>
        <v>0.7</v>
      </c>
      <c r="R340" s="177">
        <f t="shared" si="149"/>
        <v>0.13428304026209026</v>
      </c>
      <c r="S340" s="799">
        <f t="shared" si="167"/>
        <v>-1</v>
      </c>
      <c r="T340" s="176">
        <f t="shared" si="150"/>
        <v>5</v>
      </c>
      <c r="U340" s="250">
        <f t="shared" si="151"/>
        <v>-0.86571695973790974</v>
      </c>
      <c r="V340" s="382">
        <f t="shared" si="152"/>
        <v>29.476966179498106</v>
      </c>
      <c r="W340" s="58"/>
      <c r="X340" s="157">
        <f t="shared" si="153"/>
        <v>43791</v>
      </c>
      <c r="Y340" s="383">
        <f t="shared" si="154"/>
        <v>12.560058029100835</v>
      </c>
      <c r="Z340" s="383">
        <f t="shared" si="155"/>
        <v>12.636354118525892</v>
      </c>
      <c r="AA340" s="384">
        <f t="shared" si="156"/>
        <v>12.897421508213737</v>
      </c>
      <c r="AB340" s="197">
        <f t="shared" si="157"/>
        <v>43791</v>
      </c>
      <c r="AC340" s="424">
        <f t="shared" si="158"/>
        <v>2.0241828145384312E-2</v>
      </c>
      <c r="AD340" s="169">
        <f>(INDEX(Models!$BJ340:$BT340,,AH340)*(1-AF340)+INDEX(Models!$BJ340:$BT340,,AH340+1)*AF340-ERP_i)*AE340*Ramure*Pc/MaxiM</f>
        <v>5.0292886066697221E-3</v>
      </c>
      <c r="AE340" s="304">
        <f t="shared" si="159"/>
        <v>0.7</v>
      </c>
      <c r="AF340" s="177">
        <f t="shared" si="160"/>
        <v>0.19861526252192241</v>
      </c>
      <c r="AG340" s="799">
        <f t="shared" si="161"/>
        <v>-1</v>
      </c>
      <c r="AH340" s="176">
        <f t="shared" si="162"/>
        <v>5</v>
      </c>
      <c r="AI340" s="224">
        <f t="shared" si="163"/>
        <v>-0.80138473747807759</v>
      </c>
      <c r="AJ340" s="264" t="b">
        <f t="shared" si="164"/>
        <v>0</v>
      </c>
      <c r="AK340" s="264" t="b">
        <f t="shared" si="165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66"/>
        <v>43792</v>
      </c>
      <c r="B341" s="607">
        <v>9.5220000000000002</v>
      </c>
      <c r="C341" s="388"/>
      <c r="D341" s="391">
        <f t="shared" si="143"/>
        <v>9.5800250008264562</v>
      </c>
      <c r="E341" s="383">
        <f t="shared" si="140"/>
        <v>9.7783971174433173</v>
      </c>
      <c r="F341" s="383">
        <f t="shared" si="142"/>
        <v>9.7798858217960198</v>
      </c>
      <c r="G341" s="110">
        <f t="shared" si="141"/>
        <v>0.32441558394520248</v>
      </c>
      <c r="I341" s="379">
        <f t="shared" si="144"/>
        <v>9.7798858217960198</v>
      </c>
      <c r="J341" s="85">
        <v>2018</v>
      </c>
      <c r="K341" s="197">
        <f t="shared" si="145"/>
        <v>43792</v>
      </c>
      <c r="L341" s="435">
        <f t="shared" si="146"/>
        <v>6.0568736325271599E-3</v>
      </c>
      <c r="M341" s="842"/>
      <c r="N341" s="842"/>
      <c r="O341" s="323">
        <f t="shared" si="147"/>
        <v>2.0286772385526428E-2</v>
      </c>
      <c r="P341" s="169">
        <f>(INDEX(Models!$BJ341:$BT341,,T341)*(1-R341)+INDEX(Models!$BJ341:$BT341,,T341+1)*R341-ERP_i)*Q341*Ramure*Pc/MaxiM</f>
        <v>4.1435476266129647E-3</v>
      </c>
      <c r="Q341" s="304">
        <f t="shared" si="148"/>
        <v>0.7</v>
      </c>
      <c r="R341" s="177">
        <f t="shared" si="149"/>
        <v>0.13430131594845007</v>
      </c>
      <c r="S341" s="799">
        <f t="shared" si="167"/>
        <v>-1</v>
      </c>
      <c r="T341" s="176">
        <f t="shared" si="150"/>
        <v>5</v>
      </c>
      <c r="U341" s="250">
        <f t="shared" si="151"/>
        <v>-0.86569868405154993</v>
      </c>
      <c r="V341" s="382">
        <f t="shared" si="152"/>
        <v>29.234072811074121</v>
      </c>
      <c r="W341" s="58"/>
      <c r="X341" s="157">
        <f t="shared" si="153"/>
        <v>43792</v>
      </c>
      <c r="Y341" s="383">
        <f t="shared" si="154"/>
        <v>9.5217025377198041</v>
      </c>
      <c r="Z341" s="383">
        <f t="shared" si="155"/>
        <v>9.5797257258757025</v>
      </c>
      <c r="AA341" s="384">
        <f t="shared" si="156"/>
        <v>9.7780916454518003</v>
      </c>
      <c r="AB341" s="197">
        <f t="shared" si="157"/>
        <v>43792</v>
      </c>
      <c r="AC341" s="424">
        <f t="shared" si="158"/>
        <v>2.0286772385526428E-2</v>
      </c>
      <c r="AD341" s="169">
        <f>(INDEX(Models!$BJ341:$BT341,,AH341)*(1-AF341)+INDEX(Models!$BJ341:$BT341,,AH341+1)*AF341-ERP_i)*AE341*Ramure*Pc/MaxiM</f>
        <v>4.9937753720669976E-3</v>
      </c>
      <c r="AE341" s="304">
        <f t="shared" si="159"/>
        <v>0.7</v>
      </c>
      <c r="AF341" s="177">
        <f t="shared" si="160"/>
        <v>0.19863353820828222</v>
      </c>
      <c r="AG341" s="799">
        <f t="shared" si="161"/>
        <v>-1</v>
      </c>
      <c r="AH341" s="176">
        <f t="shared" si="162"/>
        <v>5</v>
      </c>
      <c r="AI341" s="224">
        <f t="shared" si="163"/>
        <v>-0.80136646179171778</v>
      </c>
      <c r="AJ341" s="264" t="b">
        <f t="shared" si="164"/>
        <v>0</v>
      </c>
      <c r="AK341" s="264" t="b">
        <f t="shared" si="165"/>
        <v>0</v>
      </c>
      <c r="AL341" s="264"/>
      <c r="AM341" s="264"/>
      <c r="AN341" s="75"/>
    </row>
    <row r="342" spans="1:40" s="6" customFormat="1" ht="11.25" x14ac:dyDescent="0.2">
      <c r="A342" s="56">
        <f t="shared" si="166"/>
        <v>43793</v>
      </c>
      <c r="B342" s="607">
        <v>11.811</v>
      </c>
      <c r="C342" s="388"/>
      <c r="D342" s="391">
        <f t="shared" si="143"/>
        <v>11.88320140874122</v>
      </c>
      <c r="E342" s="383">
        <f t="shared" si="140"/>
        <v>12.12982457536814</v>
      </c>
      <c r="F342" s="383">
        <f t="shared" si="142"/>
        <v>12.137482755953771</v>
      </c>
      <c r="G342" s="110">
        <f t="shared" si="141"/>
        <v>0.405928231120879</v>
      </c>
      <c r="I342" s="379">
        <f t="shared" si="144"/>
        <v>12.137482755953771</v>
      </c>
      <c r="J342" s="85">
        <v>2018</v>
      </c>
      <c r="K342" s="197">
        <f t="shared" si="145"/>
        <v>43793</v>
      </c>
      <c r="L342" s="435">
        <f t="shared" si="146"/>
        <v>6.0759223257891293E-3</v>
      </c>
      <c r="M342" s="842"/>
      <c r="N342" s="842"/>
      <c r="O342" s="323">
        <f t="shared" si="147"/>
        <v>2.0331964827235288E-2</v>
      </c>
      <c r="P342" s="169">
        <f>(INDEX(Models!$BJ342:$BT342,,T342)*(1-R342)+INDEX(Models!$BJ342:$BT342,,T342+1)*R342-ERP_i)*Q342*Ramure*Pc/MaxiM</f>
        <v>4.1143452811351032E-3</v>
      </c>
      <c r="Q342" s="304">
        <f t="shared" si="148"/>
        <v>0.7</v>
      </c>
      <c r="R342" s="177">
        <f t="shared" si="149"/>
        <v>0.13431885737224847</v>
      </c>
      <c r="S342" s="799">
        <f t="shared" si="167"/>
        <v>-1</v>
      </c>
      <c r="T342" s="176">
        <f t="shared" si="150"/>
        <v>5</v>
      </c>
      <c r="U342" s="250">
        <f t="shared" si="151"/>
        <v>-0.86568114262775153</v>
      </c>
      <c r="V342" s="382">
        <f t="shared" si="152"/>
        <v>28.994858636555296</v>
      </c>
      <c r="W342" s="58"/>
      <c r="X342" s="157">
        <f t="shared" si="153"/>
        <v>43793</v>
      </c>
      <c r="Y342" s="383">
        <f t="shared" si="154"/>
        <v>11.809470145254073</v>
      </c>
      <c r="Z342" s="383">
        <f t="shared" si="155"/>
        <v>11.881662201894045</v>
      </c>
      <c r="AA342" s="384">
        <f t="shared" si="156"/>
        <v>12.128253423925086</v>
      </c>
      <c r="AB342" s="197">
        <f t="shared" si="157"/>
        <v>43793</v>
      </c>
      <c r="AC342" s="424">
        <f t="shared" si="158"/>
        <v>2.0331964827235288E-2</v>
      </c>
      <c r="AD342" s="169">
        <f>(INDEX(Models!$BJ342:$BT342,,AH342)*(1-AF342)+INDEX(Models!$BJ342:$BT342,,AH342+1)*AF342-ERP_i)*AE342*Ramure*Pc/MaxiM</f>
        <v>4.9584438830668626E-3</v>
      </c>
      <c r="AE342" s="304">
        <f t="shared" si="159"/>
        <v>0.7</v>
      </c>
      <c r="AF342" s="177">
        <f t="shared" si="160"/>
        <v>0.19865107963208062</v>
      </c>
      <c r="AG342" s="799">
        <f t="shared" si="161"/>
        <v>-1</v>
      </c>
      <c r="AH342" s="176">
        <f t="shared" si="162"/>
        <v>5</v>
      </c>
      <c r="AI342" s="224">
        <f t="shared" si="163"/>
        <v>-0.80134892036791938</v>
      </c>
      <c r="AJ342" s="264" t="b">
        <f t="shared" si="164"/>
        <v>0</v>
      </c>
      <c r="AK342" s="264" t="b">
        <f t="shared" si="165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66"/>
        <v>43794</v>
      </c>
      <c r="B343" s="607">
        <v>12.529</v>
      </c>
      <c r="C343" s="388"/>
      <c r="D343" s="391">
        <f t="shared" si="143"/>
        <v>12.605832177189056</v>
      </c>
      <c r="E343" s="383">
        <f t="shared" si="140"/>
        <v>12.868049750540763</v>
      </c>
      <c r="F343" s="383">
        <f t="shared" si="142"/>
        <v>12.878242740766948</v>
      </c>
      <c r="G343" s="110">
        <f t="shared" si="141"/>
        <v>0.43420789135083232</v>
      </c>
      <c r="I343" s="379">
        <f t="shared" si="144"/>
        <v>12.878242740766948</v>
      </c>
      <c r="J343" s="85">
        <v>2018</v>
      </c>
      <c r="K343" s="197">
        <f t="shared" si="145"/>
        <v>43794</v>
      </c>
      <c r="L343" s="435">
        <f t="shared" si="146"/>
        <v>6.0949706539872306E-3</v>
      </c>
      <c r="M343" s="842"/>
      <c r="N343" s="842"/>
      <c r="O343" s="323">
        <f t="shared" si="147"/>
        <v>2.0377413705654077E-2</v>
      </c>
      <c r="P343" s="169">
        <f>(INDEX(Models!$BJ343:$BT343,,T343)*(1-R343)+INDEX(Models!$BJ343:$BT343,,T343+1)*R343-ERP_i)*Q343*Ramure*Pc/MaxiM</f>
        <v>4.0845446619933376E-3</v>
      </c>
      <c r="Q343" s="304">
        <f t="shared" si="148"/>
        <v>0.7</v>
      </c>
      <c r="R343" s="177">
        <f t="shared" si="149"/>
        <v>0.13433569397336631</v>
      </c>
      <c r="S343" s="799">
        <f t="shared" si="167"/>
        <v>-1</v>
      </c>
      <c r="T343" s="176">
        <f t="shared" si="150"/>
        <v>5</v>
      </c>
      <c r="U343" s="250">
        <f t="shared" si="151"/>
        <v>-0.86566430602663369</v>
      </c>
      <c r="V343" s="382">
        <f t="shared" si="152"/>
        <v>28.759745908273061</v>
      </c>
      <c r="W343" s="58"/>
      <c r="X343" s="157">
        <f t="shared" si="153"/>
        <v>43794</v>
      </c>
      <c r="Y343" s="383">
        <f t="shared" si="154"/>
        <v>12.526962172706163</v>
      </c>
      <c r="Z343" s="383">
        <f t="shared" si="155"/>
        <v>12.603781853230862</v>
      </c>
      <c r="AA343" s="384">
        <f t="shared" si="156"/>
        <v>12.865956777198907</v>
      </c>
      <c r="AB343" s="197">
        <f t="shared" si="157"/>
        <v>43794</v>
      </c>
      <c r="AC343" s="424">
        <f t="shared" si="158"/>
        <v>2.0377413705654077E-2</v>
      </c>
      <c r="AD343" s="169">
        <f>(INDEX(Models!$BJ343:$BT343,,AH343)*(1-AF343)+INDEX(Models!$BJ343:$BT343,,AH343+1)*AF343-ERP_i)*AE343*Ramure*Pc/MaxiM</f>
        <v>4.9232429145638452E-3</v>
      </c>
      <c r="AE343" s="304">
        <f t="shared" si="159"/>
        <v>0.7</v>
      </c>
      <c r="AF343" s="177">
        <f t="shared" si="160"/>
        <v>0.19866791623319857</v>
      </c>
      <c r="AG343" s="799">
        <f t="shared" si="161"/>
        <v>-1</v>
      </c>
      <c r="AH343" s="176">
        <f t="shared" si="162"/>
        <v>5</v>
      </c>
      <c r="AI343" s="224">
        <f t="shared" si="163"/>
        <v>-0.80133208376680143</v>
      </c>
      <c r="AJ343" s="264" t="b">
        <f t="shared" si="164"/>
        <v>0</v>
      </c>
      <c r="AK343" s="264" t="b">
        <f t="shared" si="165"/>
        <v>0</v>
      </c>
      <c r="AL343" s="264"/>
      <c r="AM343" s="264"/>
      <c r="AN343" s="75"/>
    </row>
    <row r="344" spans="1:40" s="6" customFormat="1" ht="11.25" x14ac:dyDescent="0.2">
      <c r="A344" s="56">
        <f t="shared" si="166"/>
        <v>43795</v>
      </c>
      <c r="B344" s="607">
        <v>23.167000000000002</v>
      </c>
      <c r="C344" s="388"/>
      <c r="D344" s="391">
        <f t="shared" si="143"/>
        <v>23.309514807489222</v>
      </c>
      <c r="E344" s="383">
        <f t="shared" si="140"/>
        <v>23.795493162405361</v>
      </c>
      <c r="F344" s="383">
        <f t="shared" si="142"/>
        <v>23.866269669204723</v>
      </c>
      <c r="G344" s="110">
        <f t="shared" si="141"/>
        <v>0.81115985333092733</v>
      </c>
      <c r="I344" s="379">
        <f t="shared" si="144"/>
        <v>23.866269669204723</v>
      </c>
      <c r="J344" s="85">
        <v>2018</v>
      </c>
      <c r="K344" s="197">
        <f t="shared" si="145"/>
        <v>43795</v>
      </c>
      <c r="L344" s="435">
        <f t="shared" si="146"/>
        <v>6.1140186171284583E-3</v>
      </c>
      <c r="M344" s="842"/>
      <c r="N344" s="842"/>
      <c r="O344" s="323">
        <f t="shared" si="147"/>
        <v>2.0423125992779952E-2</v>
      </c>
      <c r="P344" s="169">
        <f>(INDEX(Models!$BJ344:$BT344,,T344)*(1-R344)+INDEX(Models!$BJ344:$BT344,,T344+1)*R344-ERP_i)*Q344*Ramure*Pc/MaxiM</f>
        <v>4.0540889912304848E-3</v>
      </c>
      <c r="Q344" s="304">
        <f t="shared" si="148"/>
        <v>0.7</v>
      </c>
      <c r="R344" s="177">
        <f t="shared" si="149"/>
        <v>0.13435185401608507</v>
      </c>
      <c r="S344" s="799">
        <f t="shared" si="167"/>
        <v>-1</v>
      </c>
      <c r="T344" s="176">
        <f t="shared" si="150"/>
        <v>5</v>
      </c>
      <c r="U344" s="250">
        <f t="shared" si="151"/>
        <v>-0.86564814598391493</v>
      </c>
      <c r="V344" s="382">
        <f t="shared" si="152"/>
        <v>28.529156870525082</v>
      </c>
      <c r="W344" s="58"/>
      <c r="X344" s="157">
        <f t="shared" si="153"/>
        <v>43795</v>
      </c>
      <c r="Y344" s="383">
        <f t="shared" si="154"/>
        <v>23.152824034352655</v>
      </c>
      <c r="Z344" s="383">
        <f t="shared" si="155"/>
        <v>23.29525163654921</v>
      </c>
      <c r="AA344" s="384">
        <f t="shared" si="156"/>
        <v>23.780932619666469</v>
      </c>
      <c r="AB344" s="197">
        <f t="shared" si="157"/>
        <v>43795</v>
      </c>
      <c r="AC344" s="424">
        <f t="shared" si="158"/>
        <v>2.0423125992779952E-2</v>
      </c>
      <c r="AD344" s="169">
        <f>(INDEX(Models!$BJ344:$BT344,,AH344)*(1-AF344)+INDEX(Models!$BJ344:$BT344,,AH344+1)*AF344-ERP_i)*AE344*Ramure*Pc/MaxiM</f>
        <v>4.8881190768268884E-3</v>
      </c>
      <c r="AE344" s="304">
        <f t="shared" si="159"/>
        <v>0.7</v>
      </c>
      <c r="AF344" s="177">
        <f t="shared" si="160"/>
        <v>0.19868407627591722</v>
      </c>
      <c r="AG344" s="799">
        <f t="shared" si="161"/>
        <v>-1</v>
      </c>
      <c r="AH344" s="176">
        <f t="shared" si="162"/>
        <v>5</v>
      </c>
      <c r="AI344" s="224">
        <f t="shared" si="163"/>
        <v>-0.80131592372408278</v>
      </c>
      <c r="AJ344" s="264" t="b">
        <f t="shared" si="164"/>
        <v>0</v>
      </c>
      <c r="AK344" s="264" t="b">
        <f t="shared" si="165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66"/>
        <v>43796</v>
      </c>
      <c r="B345" s="607">
        <v>22.213000000000001</v>
      </c>
      <c r="C345" s="388"/>
      <c r="D345" s="391">
        <f t="shared" si="143"/>
        <v>22.350074486742287</v>
      </c>
      <c r="E345" s="383">
        <f t="shared" si="140"/>
        <v>22.817120578063683</v>
      </c>
      <c r="F345" s="383">
        <f t="shared" si="142"/>
        <v>22.880898765989912</v>
      </c>
      <c r="G345" s="110">
        <f t="shared" si="141"/>
        <v>0.78396589352949875</v>
      </c>
      <c r="I345" s="379">
        <f t="shared" si="144"/>
        <v>22.880898765989912</v>
      </c>
      <c r="J345" s="85">
        <v>2018</v>
      </c>
      <c r="K345" s="197">
        <f t="shared" si="145"/>
        <v>43796</v>
      </c>
      <c r="L345" s="435">
        <f t="shared" si="146"/>
        <v>6.1330662152198068E-3</v>
      </c>
      <c r="M345" s="842"/>
      <c r="N345" s="842"/>
      <c r="O345" s="323">
        <f t="shared" si="147"/>
        <v>2.0469107384672065E-2</v>
      </c>
      <c r="P345" s="169">
        <f>(INDEX(Models!$BJ345:$BT345,,T345)*(1-R345)+INDEX(Models!$BJ345:$BT345,,T345+1)*R345-ERP_i)*Q345*Ramure*Pc/MaxiM</f>
        <v>4.0235564671897931E-3</v>
      </c>
      <c r="Q345" s="304">
        <f t="shared" si="148"/>
        <v>0.7</v>
      </c>
      <c r="R345" s="177">
        <f t="shared" si="149"/>
        <v>0.13436736463565346</v>
      </c>
      <c r="S345" s="799">
        <f t="shared" si="167"/>
        <v>-1</v>
      </c>
      <c r="T345" s="176">
        <f t="shared" si="150"/>
        <v>5</v>
      </c>
      <c r="U345" s="250">
        <f t="shared" si="151"/>
        <v>-0.86563263536434654</v>
      </c>
      <c r="V345" s="382">
        <f t="shared" si="152"/>
        <v>28.299017417184</v>
      </c>
      <c r="W345" s="58"/>
      <c r="X345" s="157">
        <f t="shared" si="153"/>
        <v>43796</v>
      </c>
      <c r="Y345" s="383">
        <f t="shared" si="154"/>
        <v>22.2001883203063</v>
      </c>
      <c r="Z345" s="383">
        <f t="shared" si="155"/>
        <v>22.337183747289959</v>
      </c>
      <c r="AA345" s="384">
        <f t="shared" si="156"/>
        <v>22.803960462798806</v>
      </c>
      <c r="AB345" s="197">
        <f t="shared" si="157"/>
        <v>43796</v>
      </c>
      <c r="AC345" s="424">
        <f t="shared" si="158"/>
        <v>2.0469107384672065E-2</v>
      </c>
      <c r="AD345" s="169">
        <f>(INDEX(Models!$BJ345:$BT345,,AH345)*(1-AF345)+INDEX(Models!$BJ345:$BT345,,AH345+1)*AF345-ERP_i)*AE345*Ramure*Pc/MaxiM</f>
        <v>4.8537849293750004E-3</v>
      </c>
      <c r="AE345" s="304">
        <f t="shared" si="159"/>
        <v>0.7</v>
      </c>
      <c r="AF345" s="177">
        <f t="shared" si="160"/>
        <v>0.19869958689548572</v>
      </c>
      <c r="AG345" s="799">
        <f t="shared" si="161"/>
        <v>-1</v>
      </c>
      <c r="AH345" s="176">
        <f t="shared" si="162"/>
        <v>5</v>
      </c>
      <c r="AI345" s="224">
        <f t="shared" si="163"/>
        <v>-0.80130041310451428</v>
      </c>
      <c r="AJ345" s="264" t="b">
        <f t="shared" si="164"/>
        <v>0</v>
      </c>
      <c r="AK345" s="264" t="b">
        <f t="shared" si="165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66"/>
        <v>43797</v>
      </c>
      <c r="B346" s="607">
        <v>7.6970000000000001</v>
      </c>
      <c r="C346" s="388"/>
      <c r="D346" s="391">
        <f t="shared" si="143"/>
        <v>7.7446459404422709</v>
      </c>
      <c r="E346" s="383">
        <f t="shared" si="140"/>
        <v>7.9068579968771022</v>
      </c>
      <c r="F346" s="383">
        <f t="shared" si="142"/>
        <v>7.9068579968771022</v>
      </c>
      <c r="G346" s="110">
        <f t="shared" si="141"/>
        <v>0.27315094354707881</v>
      </c>
      <c r="I346" s="379">
        <f t="shared" si="144"/>
        <v>7.9068579968771022</v>
      </c>
      <c r="J346" s="85">
        <v>2018</v>
      </c>
      <c r="K346" s="197">
        <f t="shared" si="145"/>
        <v>43797</v>
      </c>
      <c r="L346" s="435">
        <f t="shared" si="146"/>
        <v>6.1521134482682704E-3</v>
      </c>
      <c r="M346" s="842"/>
      <c r="N346" s="842"/>
      <c r="O346" s="323">
        <f t="shared" si="147"/>
        <v>2.0515362296742778E-2</v>
      </c>
      <c r="P346" s="169">
        <f>(INDEX(Models!$BJ346:$BT346,,T346)*(1-R346)+INDEX(Models!$BJ346:$BT346,,T346+1)*R346-ERP_i)*Q346*Ramure*Pc/MaxiM</f>
        <v>3.9951873719317509E-3</v>
      </c>
      <c r="Q346" s="304">
        <f t="shared" si="148"/>
        <v>0.7</v>
      </c>
      <c r="R346" s="177">
        <f t="shared" si="149"/>
        <v>0.13438225188304131</v>
      </c>
      <c r="S346" s="799">
        <f t="shared" si="167"/>
        <v>-1</v>
      </c>
      <c r="T346" s="176">
        <f t="shared" si="150"/>
        <v>5</v>
      </c>
      <c r="U346" s="250">
        <f t="shared" si="151"/>
        <v>-0.86561774811695869</v>
      </c>
      <c r="V346" s="382">
        <f t="shared" si="152"/>
        <v>28.065980454784441</v>
      </c>
      <c r="W346" s="58"/>
      <c r="X346" s="157">
        <f t="shared" si="153"/>
        <v>43797</v>
      </c>
      <c r="Y346" s="383">
        <f t="shared" si="154"/>
        <v>7.6970000000000001</v>
      </c>
      <c r="Z346" s="383">
        <f t="shared" si="155"/>
        <v>7.7446459404422709</v>
      </c>
      <c r="AA346" s="384">
        <f t="shared" si="156"/>
        <v>7.9068579968771022</v>
      </c>
      <c r="AB346" s="197">
        <f t="shared" si="157"/>
        <v>43797</v>
      </c>
      <c r="AC346" s="424">
        <f t="shared" si="158"/>
        <v>2.0515362296742778E-2</v>
      </c>
      <c r="AD346" s="169">
        <f>(INDEX(Models!$BJ346:$BT346,,AH346)*(1-AF346)+INDEX(Models!$BJ346:$BT346,,AH346+1)*AF346-ERP_i)*AE346*Ramure*Pc/MaxiM</f>
        <v>4.822843377221689E-3</v>
      </c>
      <c r="AE346" s="304">
        <f t="shared" si="159"/>
        <v>0.7</v>
      </c>
      <c r="AF346" s="177">
        <f t="shared" si="160"/>
        <v>0.19871447414287347</v>
      </c>
      <c r="AG346" s="799">
        <f t="shared" si="161"/>
        <v>-1</v>
      </c>
      <c r="AH346" s="176">
        <f t="shared" si="162"/>
        <v>5</v>
      </c>
      <c r="AI346" s="224">
        <f t="shared" si="163"/>
        <v>-0.80128552585712653</v>
      </c>
      <c r="AJ346" s="264" t="b">
        <f t="shared" si="164"/>
        <v>0</v>
      </c>
      <c r="AK346" s="264" t="b">
        <f t="shared" si="165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66"/>
        <v>43798</v>
      </c>
      <c r="B347" s="607">
        <v>14.396000000000001</v>
      </c>
      <c r="C347" s="388"/>
      <c r="D347" s="391">
        <f t="shared" si="143"/>
        <v>14.485391674266017</v>
      </c>
      <c r="E347" s="383">
        <f t="shared" si="140"/>
        <v>14.789491631542422</v>
      </c>
      <c r="F347" s="383">
        <f t="shared" si="142"/>
        <v>14.807733331286865</v>
      </c>
      <c r="G347" s="110">
        <f t="shared" si="141"/>
        <v>0.51583573308987407</v>
      </c>
      <c r="I347" s="379">
        <f t="shared" si="144"/>
        <v>14.807733331286865</v>
      </c>
      <c r="J347" s="85">
        <v>2018</v>
      </c>
      <c r="K347" s="197">
        <f t="shared" si="145"/>
        <v>43798</v>
      </c>
      <c r="L347" s="435">
        <f t="shared" si="146"/>
        <v>6.1711603162809547E-3</v>
      </c>
      <c r="M347" s="842"/>
      <c r="N347" s="842"/>
      <c r="O347" s="323">
        <f t="shared" si="147"/>
        <v>2.0561893867117875E-2</v>
      </c>
      <c r="P347" s="169">
        <f>(INDEX(Models!$BJ347:$BT347,,T347)*(1-R347)+INDEX(Models!$BJ347:$BT347,,T347+1)*R347-ERP_i)*Q347*Ramure*Pc/MaxiM</f>
        <v>3.9692478328521531E-3</v>
      </c>
      <c r="Q347" s="304">
        <f t="shared" si="148"/>
        <v>0.7</v>
      </c>
      <c r="R347" s="177">
        <f t="shared" si="149"/>
        <v>0.13439654076794461</v>
      </c>
      <c r="S347" s="799">
        <f t="shared" si="167"/>
        <v>-1</v>
      </c>
      <c r="T347" s="176">
        <f t="shared" si="150"/>
        <v>5</v>
      </c>
      <c r="U347" s="250">
        <f t="shared" si="151"/>
        <v>-0.86560345923205539</v>
      </c>
      <c r="V347" s="382">
        <f t="shared" si="152"/>
        <v>27.831620932725567</v>
      </c>
      <c r="W347" s="58"/>
      <c r="X347" s="157">
        <f t="shared" si="153"/>
        <v>43798</v>
      </c>
      <c r="Y347" s="383">
        <f t="shared" si="154"/>
        <v>14.392306003731598</v>
      </c>
      <c r="Z347" s="383">
        <f t="shared" si="155"/>
        <v>14.481674740201619</v>
      </c>
      <c r="AA347" s="384">
        <f t="shared" si="156"/>
        <v>14.785696665795097</v>
      </c>
      <c r="AB347" s="197">
        <f t="shared" si="157"/>
        <v>43798</v>
      </c>
      <c r="AC347" s="424">
        <f t="shared" si="158"/>
        <v>2.0561893867117875E-2</v>
      </c>
      <c r="AD347" s="169">
        <f>(INDEX(Models!$BJ347:$BT347,,AH347)*(1-AF347)+INDEX(Models!$BJ347:$BT347,,AH347+1)*AF347-ERP_i)*AE347*Ramure*Pc/MaxiM</f>
        <v>4.7950019993691457E-3</v>
      </c>
      <c r="AE347" s="304">
        <f t="shared" si="159"/>
        <v>0.7</v>
      </c>
      <c r="AF347" s="177">
        <f t="shared" si="160"/>
        <v>0.19872876302777676</v>
      </c>
      <c r="AG347" s="799">
        <f t="shared" si="161"/>
        <v>-1</v>
      </c>
      <c r="AH347" s="176">
        <f t="shared" si="162"/>
        <v>5</v>
      </c>
      <c r="AI347" s="224">
        <f t="shared" si="163"/>
        <v>-0.80127123697222324</v>
      </c>
      <c r="AJ347" s="264" t="b">
        <f t="shared" si="164"/>
        <v>0</v>
      </c>
      <c r="AK347" s="264" t="b">
        <f t="shared" si="165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66"/>
        <v>43799</v>
      </c>
      <c r="B348" s="607">
        <v>14.055</v>
      </c>
      <c r="C348" s="388"/>
      <c r="D348" s="391">
        <f t="shared" si="143"/>
        <v>14.142545280235472</v>
      </c>
      <c r="E348" s="383">
        <f t="shared" si="140"/>
        <v>14.440137805526501</v>
      </c>
      <c r="F348" s="383">
        <f t="shared" si="142"/>
        <v>14.457192017043329</v>
      </c>
      <c r="G348" s="110">
        <f t="shared" si="141"/>
        <v>0.50787447141316533</v>
      </c>
      <c r="I348" s="379">
        <f t="shared" si="144"/>
        <v>14.457192017043329</v>
      </c>
      <c r="J348" s="85">
        <v>2018</v>
      </c>
      <c r="K348" s="197">
        <f t="shared" si="145"/>
        <v>43799</v>
      </c>
      <c r="L348" s="435">
        <f t="shared" si="146"/>
        <v>6.190206819264632E-3</v>
      </c>
      <c r="M348" s="842"/>
      <c r="N348" s="842"/>
      <c r="O348" s="323">
        <f t="shared" si="147"/>
        <v>2.0608703967986614E-2</v>
      </c>
      <c r="P348" s="169">
        <f>(INDEX(Models!$BJ348:$BT348,,T348)*(1-R348)+INDEX(Models!$BJ348:$BT348,,T348+1)*R348-ERP_i)*Q348*Ramure*Pc/MaxiM</f>
        <v>3.9455549696414049E-3</v>
      </c>
      <c r="Q348" s="304">
        <f t="shared" si="148"/>
        <v>0.7</v>
      </c>
      <c r="R348" s="177">
        <f t="shared" si="149"/>
        <v>0.13441025530011186</v>
      </c>
      <c r="S348" s="799">
        <f t="shared" si="167"/>
        <v>-1</v>
      </c>
      <c r="T348" s="176">
        <f t="shared" si="150"/>
        <v>5</v>
      </c>
      <c r="U348" s="250">
        <f t="shared" si="151"/>
        <v>-0.86558974469988814</v>
      </c>
      <c r="V348" s="382">
        <f t="shared" si="152"/>
        <v>27.597526304302573</v>
      </c>
      <c r="W348" s="58"/>
      <c r="X348" s="157">
        <f t="shared" si="153"/>
        <v>43799</v>
      </c>
      <c r="Y348" s="383">
        <f t="shared" si="154"/>
        <v>14.051531289605085</v>
      </c>
      <c r="Z348" s="383">
        <f t="shared" si="155"/>
        <v>14.139054964061577</v>
      </c>
      <c r="AA348" s="384">
        <f t="shared" si="156"/>
        <v>14.4365740448641</v>
      </c>
      <c r="AB348" s="197">
        <f t="shared" si="157"/>
        <v>43799</v>
      </c>
      <c r="AC348" s="424">
        <f t="shared" si="158"/>
        <v>2.0608703967986614E-2</v>
      </c>
      <c r="AD348" s="169">
        <f>(INDEX(Models!$BJ348:$BT348,,AH348)*(1-AF348)+INDEX(Models!$BJ348:$BT348,,AH348+1)*AF348-ERP_i)*AE348*Ramure*Pc/MaxiM</f>
        <v>4.7700441920412607E-3</v>
      </c>
      <c r="AE348" s="304">
        <f t="shared" si="159"/>
        <v>0.7</v>
      </c>
      <c r="AF348" s="177">
        <f t="shared" si="160"/>
        <v>0.19874247755994401</v>
      </c>
      <c r="AG348" s="799">
        <f t="shared" si="161"/>
        <v>-1</v>
      </c>
      <c r="AH348" s="176">
        <f t="shared" si="162"/>
        <v>5</v>
      </c>
      <c r="AI348" s="224">
        <f t="shared" si="163"/>
        <v>-0.80125752244005599</v>
      </c>
      <c r="AJ348" s="264" t="b">
        <f t="shared" si="164"/>
        <v>0</v>
      </c>
      <c r="AK348" s="264" t="b">
        <f t="shared" si="165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66"/>
        <v>43800</v>
      </c>
      <c r="B349" s="607">
        <v>13.2</v>
      </c>
      <c r="C349" s="388"/>
      <c r="D349" s="391">
        <f t="shared" si="143"/>
        <v>13.282474242469338</v>
      </c>
      <c r="E349" s="383">
        <f t="shared" si="140"/>
        <v>13.562620936111983</v>
      </c>
      <c r="F349" s="383">
        <f t="shared" si="142"/>
        <v>13.576499582747322</v>
      </c>
      <c r="G349" s="110">
        <f t="shared" si="141"/>
        <v>0.48096189818341267</v>
      </c>
      <c r="I349" s="379">
        <f t="shared" si="144"/>
        <v>13.576499582747322</v>
      </c>
      <c r="J349" s="85">
        <v>2018</v>
      </c>
      <c r="K349" s="197">
        <f t="shared" si="145"/>
        <v>43800</v>
      </c>
      <c r="L349" s="435">
        <f t="shared" si="146"/>
        <v>6.2092529572265187E-3</v>
      </c>
      <c r="M349" s="842"/>
      <c r="N349" s="842"/>
      <c r="O349" s="323">
        <f t="shared" si="147"/>
        <v>2.0655793224798064E-2</v>
      </c>
      <c r="P349" s="169">
        <f>(INDEX(Models!$BJ349:$BT349,,T349)*(1-R349)+INDEX(Models!$BJ349:$BT349,,T349+1)*R349-ERP_i)*Q349*Ramure*Pc/MaxiM</f>
        <v>3.923924543581145E-3</v>
      </c>
      <c r="Q349" s="304">
        <f t="shared" si="148"/>
        <v>0.7</v>
      </c>
      <c r="R349" s="177">
        <f t="shared" si="149"/>
        <v>0.13442341852905226</v>
      </c>
      <c r="S349" s="799">
        <f t="shared" si="167"/>
        <v>-1</v>
      </c>
      <c r="T349" s="176">
        <f t="shared" si="150"/>
        <v>5</v>
      </c>
      <c r="U349" s="250">
        <f t="shared" si="151"/>
        <v>-0.86557658147094774</v>
      </c>
      <c r="V349" s="382">
        <f t="shared" si="152"/>
        <v>27.365283651809378</v>
      </c>
      <c r="W349" s="58"/>
      <c r="X349" s="157">
        <f t="shared" si="153"/>
        <v>43800</v>
      </c>
      <c r="Y349" s="383">
        <f t="shared" si="154"/>
        <v>13.197164089168467</v>
      </c>
      <c r="Z349" s="383">
        <f t="shared" si="155"/>
        <v>13.2796206127289</v>
      </c>
      <c r="AA349" s="384">
        <f t="shared" si="156"/>
        <v>13.559707119171325</v>
      </c>
      <c r="AB349" s="197">
        <f t="shared" si="157"/>
        <v>43800</v>
      </c>
      <c r="AC349" s="424">
        <f t="shared" si="158"/>
        <v>2.0655793224798064E-2</v>
      </c>
      <c r="AD349" s="169">
        <f>(INDEX(Models!$BJ349:$BT349,,AH349)*(1-AF349)+INDEX(Models!$BJ349:$BT349,,AH349+1)*AF349-ERP_i)*AE349*Ramure*Pc/MaxiM</f>
        <v>4.7477511103469153E-3</v>
      </c>
      <c r="AE349" s="304">
        <f t="shared" si="159"/>
        <v>0.7</v>
      </c>
      <c r="AF349" s="177">
        <f t="shared" si="160"/>
        <v>0.19875564078888441</v>
      </c>
      <c r="AG349" s="799">
        <f t="shared" si="161"/>
        <v>-1</v>
      </c>
      <c r="AH349" s="176">
        <f t="shared" si="162"/>
        <v>5</v>
      </c>
      <c r="AI349" s="224">
        <f t="shared" si="163"/>
        <v>-0.80124435921111559</v>
      </c>
      <c r="AJ349" s="264" t="b">
        <f t="shared" si="164"/>
        <v>0</v>
      </c>
      <c r="AK349" s="264" t="b">
        <f t="shared" si="165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66"/>
        <v>43801</v>
      </c>
      <c r="B350" s="607">
        <v>4.4980000000000002</v>
      </c>
      <c r="C350" s="388"/>
      <c r="D350" s="391">
        <f t="shared" si="143"/>
        <v>4.5261904663339916</v>
      </c>
      <c r="E350" s="383">
        <f t="shared" si="140"/>
        <v>4.6218779498513065</v>
      </c>
      <c r="F350" s="383">
        <f t="shared" si="142"/>
        <v>4.6218779498513065</v>
      </c>
      <c r="G350" s="110">
        <f t="shared" si="141"/>
        <v>0.16510760041634742</v>
      </c>
      <c r="I350" s="379">
        <f t="shared" si="144"/>
        <v>4.6218779498513065</v>
      </c>
      <c r="J350" s="85">
        <v>2018</v>
      </c>
      <c r="K350" s="197">
        <f t="shared" si="145"/>
        <v>43801</v>
      </c>
      <c r="L350" s="435">
        <f t="shared" si="146"/>
        <v>6.2282987301734982E-3</v>
      </c>
      <c r="M350" s="842"/>
      <c r="N350" s="842"/>
      <c r="O350" s="323">
        <f t="shared" si="147"/>
        <v>2.0703161043097964E-2</v>
      </c>
      <c r="P350" s="169">
        <f>(INDEX(Models!$BJ350:$BT350,,T350)*(1-R350)+INDEX(Models!$BJ350:$BT350,,T350+1)*R350-ERP_i)*Q350*Ramure*Pc/MaxiM</f>
        <v>3.9041698876580611E-3</v>
      </c>
      <c r="Q350" s="304">
        <f t="shared" si="148"/>
        <v>0.7</v>
      </c>
      <c r="R350" s="177">
        <f t="shared" si="149"/>
        <v>0.13443605258218971</v>
      </c>
      <c r="S350" s="799">
        <f t="shared" si="167"/>
        <v>-1</v>
      </c>
      <c r="T350" s="176">
        <f t="shared" si="150"/>
        <v>5</v>
      </c>
      <c r="U350" s="250">
        <f t="shared" si="151"/>
        <v>-0.86556394741781029</v>
      </c>
      <c r="V350" s="382">
        <f t="shared" si="152"/>
        <v>27.136479680808822</v>
      </c>
      <c r="W350" s="58"/>
      <c r="X350" s="157">
        <f t="shared" si="153"/>
        <v>43801</v>
      </c>
      <c r="Y350" s="383">
        <f t="shared" si="154"/>
        <v>4.4980000000000002</v>
      </c>
      <c r="Z350" s="383">
        <f t="shared" si="155"/>
        <v>4.5261904663339916</v>
      </c>
      <c r="AA350" s="384">
        <f t="shared" si="156"/>
        <v>4.6218779498513065</v>
      </c>
      <c r="AB350" s="197">
        <f t="shared" si="157"/>
        <v>43801</v>
      </c>
      <c r="AC350" s="424">
        <f t="shared" si="158"/>
        <v>2.0703161043097964E-2</v>
      </c>
      <c r="AD350" s="169">
        <f>(INDEX(Models!$BJ350:$BT350,,AH350)*(1-AF350)+INDEX(Models!$BJ350:$BT350,,AH350+1)*AF350-ERP_i)*AE350*Ramure*Pc/MaxiM</f>
        <v>4.7279002443333254E-3</v>
      </c>
      <c r="AE350" s="304">
        <f t="shared" si="159"/>
        <v>0.7</v>
      </c>
      <c r="AF350" s="177">
        <f t="shared" si="160"/>
        <v>0.19876827484202197</v>
      </c>
      <c r="AG350" s="799">
        <f t="shared" si="161"/>
        <v>-1</v>
      </c>
      <c r="AH350" s="176">
        <f t="shared" si="162"/>
        <v>5</v>
      </c>
      <c r="AI350" s="224">
        <f t="shared" si="163"/>
        <v>-0.80123172515797803</v>
      </c>
      <c r="AJ350" s="264" t="b">
        <f t="shared" si="164"/>
        <v>0</v>
      </c>
      <c r="AK350" s="264" t="b">
        <f t="shared" si="165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66"/>
        <v>43802</v>
      </c>
      <c r="B351" s="607">
        <v>5.2240000000000002</v>
      </c>
      <c r="C351" s="388"/>
      <c r="D351" s="391">
        <f t="shared" si="143"/>
        <v>5.2568412966596751</v>
      </c>
      <c r="E351" s="383">
        <f t="shared" si="140"/>
        <v>5.3682365295281649</v>
      </c>
      <c r="F351" s="383">
        <f t="shared" si="142"/>
        <v>5.3682365295281649</v>
      </c>
      <c r="G351" s="110">
        <f t="shared" si="141"/>
        <v>0.19335476827470713</v>
      </c>
      <c r="I351" s="379">
        <f t="shared" si="144"/>
        <v>5.3682365295281649</v>
      </c>
      <c r="J351" s="85">
        <v>2018</v>
      </c>
      <c r="K351" s="197">
        <f t="shared" si="145"/>
        <v>43802</v>
      </c>
      <c r="L351" s="435">
        <f t="shared" si="146"/>
        <v>6.2473441381125649E-3</v>
      </c>
      <c r="M351" s="842"/>
      <c r="N351" s="842"/>
      <c r="O351" s="323">
        <f t="shared" si="147"/>
        <v>2.0750805642738793E-2</v>
      </c>
      <c r="P351" s="169">
        <f>(INDEX(Models!$BJ351:$BT351,,T351)*(1-R351)+INDEX(Models!$BJ351:$BT351,,T351+1)*R351-ERP_i)*Q351*Ramure*Pc/MaxiM</f>
        <v>3.8861009954766295E-3</v>
      </c>
      <c r="Q351" s="304">
        <f t="shared" si="148"/>
        <v>0.7</v>
      </c>
      <c r="R351" s="177">
        <f t="shared" si="149"/>
        <v>0.13444817870151993</v>
      </c>
      <c r="S351" s="799">
        <f t="shared" si="167"/>
        <v>-1</v>
      </c>
      <c r="T351" s="176">
        <f t="shared" si="150"/>
        <v>5</v>
      </c>
      <c r="U351" s="250">
        <f t="shared" si="151"/>
        <v>-0.86555182129848007</v>
      </c>
      <c r="V351" s="382">
        <f t="shared" si="152"/>
        <v>26.912700704678354</v>
      </c>
      <c r="W351" s="58"/>
      <c r="X351" s="157">
        <f t="shared" si="153"/>
        <v>43802</v>
      </c>
      <c r="Y351" s="383">
        <f t="shared" si="154"/>
        <v>5.2240000000000002</v>
      </c>
      <c r="Z351" s="383">
        <f t="shared" si="155"/>
        <v>5.2568412966596751</v>
      </c>
      <c r="AA351" s="384">
        <f t="shared" si="156"/>
        <v>5.3682365295281649</v>
      </c>
      <c r="AB351" s="197">
        <f t="shared" si="157"/>
        <v>43802</v>
      </c>
      <c r="AC351" s="424">
        <f t="shared" si="158"/>
        <v>2.0750805642738793E-2</v>
      </c>
      <c r="AD351" s="169">
        <f>(INDEX(Models!$BJ351:$BT351,,AH351)*(1-AF351)+INDEX(Models!$BJ351:$BT351,,AH351+1)*AF351-ERP_i)*AE351*Ramure*Pc/MaxiM</f>
        <v>4.7102641767441033E-3</v>
      </c>
      <c r="AE351" s="304">
        <f t="shared" si="159"/>
        <v>0.7</v>
      </c>
      <c r="AF351" s="177">
        <f t="shared" si="160"/>
        <v>0.19878040096135208</v>
      </c>
      <c r="AG351" s="799">
        <f t="shared" si="161"/>
        <v>-1</v>
      </c>
      <c r="AH351" s="176">
        <f t="shared" si="162"/>
        <v>5</v>
      </c>
      <c r="AI351" s="224">
        <f t="shared" si="163"/>
        <v>-0.80121959903864792</v>
      </c>
      <c r="AJ351" s="264" t="b">
        <f t="shared" si="164"/>
        <v>0</v>
      </c>
      <c r="AK351" s="264" t="b">
        <f t="shared" si="165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66"/>
        <v>43803</v>
      </c>
      <c r="B352" s="607">
        <v>6.8769999999999998</v>
      </c>
      <c r="C352" s="388"/>
      <c r="D352" s="391">
        <f t="shared" si="143"/>
        <v>6.9203657047813563</v>
      </c>
      <c r="E352" s="383">
        <f t="shared" si="140"/>
        <v>7.0673577282817979</v>
      </c>
      <c r="F352" s="383">
        <f t="shared" si="142"/>
        <v>7.0673577282817979</v>
      </c>
      <c r="G352" s="110">
        <f t="shared" si="141"/>
        <v>0.25661182261034277</v>
      </c>
      <c r="I352" s="379">
        <f t="shared" si="144"/>
        <v>7.0673577282817979</v>
      </c>
      <c r="J352" s="85">
        <v>2018</v>
      </c>
      <c r="K352" s="197">
        <f t="shared" si="145"/>
        <v>43803</v>
      </c>
      <c r="L352" s="435">
        <f t="shared" si="146"/>
        <v>6.2663891810507133E-3</v>
      </c>
      <c r="M352" s="842"/>
      <c r="N352" s="842"/>
      <c r="O352" s="323">
        <f t="shared" si="147"/>
        <v>2.0798724099137765E-2</v>
      </c>
      <c r="P352" s="169">
        <f>(INDEX(Models!$BJ352:$BT352,,T352)*(1-R352)+INDEX(Models!$BJ352:$BT352,,T352+1)*R352-ERP_i)*Q352*Ramure*Pc/MaxiM</f>
        <v>3.870552220561335E-3</v>
      </c>
      <c r="Q352" s="304">
        <f t="shared" si="148"/>
        <v>0.7</v>
      </c>
      <c r="R352" s="177">
        <f t="shared" si="149"/>
        <v>0.13445981727882783</v>
      </c>
      <c r="S352" s="799">
        <f t="shared" si="167"/>
        <v>-1</v>
      </c>
      <c r="T352" s="176">
        <f t="shared" si="150"/>
        <v>5</v>
      </c>
      <c r="U352" s="250">
        <f t="shared" si="151"/>
        <v>-0.86554018272117217</v>
      </c>
      <c r="V352" s="382">
        <f t="shared" si="152"/>
        <v>26.695505073362487</v>
      </c>
      <c r="W352" s="58"/>
      <c r="X352" s="157">
        <f t="shared" si="153"/>
        <v>43803</v>
      </c>
      <c r="Y352" s="383">
        <f t="shared" si="154"/>
        <v>6.8769999999999998</v>
      </c>
      <c r="Z352" s="383">
        <f t="shared" si="155"/>
        <v>6.9203657047813563</v>
      </c>
      <c r="AA352" s="384">
        <f t="shared" si="156"/>
        <v>7.0673577282817979</v>
      </c>
      <c r="AB352" s="197">
        <f t="shared" si="157"/>
        <v>43803</v>
      </c>
      <c r="AC352" s="424">
        <f t="shared" si="158"/>
        <v>2.0798724099137765E-2</v>
      </c>
      <c r="AD352" s="169">
        <f>(INDEX(Models!$BJ352:$BT352,,AH352)*(1-AF352)+INDEX(Models!$BJ352:$BT352,,AH352+1)*AF352-ERP_i)*AE352*Ramure*Pc/MaxiM</f>
        <v>4.6957021485459754E-3</v>
      </c>
      <c r="AE352" s="304">
        <f t="shared" si="159"/>
        <v>0.7</v>
      </c>
      <c r="AF352" s="177">
        <f t="shared" si="160"/>
        <v>0.19879203953865998</v>
      </c>
      <c r="AG352" s="799">
        <f t="shared" si="161"/>
        <v>-1</v>
      </c>
      <c r="AH352" s="176">
        <f t="shared" si="162"/>
        <v>5</v>
      </c>
      <c r="AI352" s="224">
        <f t="shared" si="163"/>
        <v>-0.80120796046134002</v>
      </c>
      <c r="AJ352" s="264" t="b">
        <f t="shared" si="164"/>
        <v>0</v>
      </c>
      <c r="AK352" s="264" t="b">
        <f t="shared" si="165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66"/>
        <v>43804</v>
      </c>
      <c r="B353" s="607">
        <v>10.852</v>
      </c>
      <c r="C353" s="388"/>
      <c r="D353" s="391">
        <f t="shared" si="143"/>
        <v>10.920640966492723</v>
      </c>
      <c r="E353" s="383">
        <f t="shared" si="140"/>
        <v>11.15314970119959</v>
      </c>
      <c r="F353" s="383">
        <f t="shared" si="142"/>
        <v>11.159896146615354</v>
      </c>
      <c r="G353" s="110">
        <f t="shared" si="141"/>
        <v>0.40838494606981246</v>
      </c>
      <c r="I353" s="379">
        <f t="shared" si="144"/>
        <v>11.159896146615354</v>
      </c>
      <c r="J353" s="85">
        <v>2018</v>
      </c>
      <c r="K353" s="197">
        <f t="shared" si="145"/>
        <v>43804</v>
      </c>
      <c r="L353" s="435">
        <f t="shared" si="146"/>
        <v>6.2854338589950487E-3</v>
      </c>
      <c r="M353" s="842"/>
      <c r="N353" s="842"/>
      <c r="O353" s="323">
        <f t="shared" si="147"/>
        <v>2.0846912391201816E-2</v>
      </c>
      <c r="P353" s="169">
        <f>(INDEX(Models!$BJ353:$BT353,,T353)*(1-R353)+INDEX(Models!$BJ353:$BT353,,T353+1)*R353-ERP_i)*Q353*Ramure*Pc/MaxiM</f>
        <v>3.8568598355566363E-3</v>
      </c>
      <c r="Q353" s="304">
        <f t="shared" si="148"/>
        <v>0.7</v>
      </c>
      <c r="R353" s="177">
        <f t="shared" si="149"/>
        <v>0.13447098788952294</v>
      </c>
      <c r="S353" s="799">
        <f t="shared" si="167"/>
        <v>-1</v>
      </c>
      <c r="T353" s="176">
        <f t="shared" si="150"/>
        <v>5</v>
      </c>
      <c r="U353" s="250">
        <f t="shared" si="151"/>
        <v>-0.86552901211047706</v>
      </c>
      <c r="V353" s="382">
        <f t="shared" si="152"/>
        <v>26.486491302302113</v>
      </c>
      <c r="W353" s="58"/>
      <c r="X353" s="157">
        <f t="shared" si="153"/>
        <v>43804</v>
      </c>
      <c r="Y353" s="383">
        <f t="shared" si="154"/>
        <v>10.850593658850816</v>
      </c>
      <c r="Z353" s="383">
        <f t="shared" si="155"/>
        <v>10.919225729967966</v>
      </c>
      <c r="AA353" s="384">
        <f t="shared" si="156"/>
        <v>11.151704333215086</v>
      </c>
      <c r="AB353" s="197">
        <f t="shared" si="157"/>
        <v>43804</v>
      </c>
      <c r="AC353" s="424">
        <f t="shared" si="158"/>
        <v>2.0846912391201816E-2</v>
      </c>
      <c r="AD353" s="169">
        <f>(INDEX(Models!$BJ353:$BT353,,AH353)*(1-AF353)+INDEX(Models!$BJ353:$BT353,,AH353+1)*AF353-ERP_i)*AE353*Ramure*Pc/MaxiM</f>
        <v>4.683158928410037E-3</v>
      </c>
      <c r="AE353" s="304">
        <f t="shared" si="159"/>
        <v>0.7</v>
      </c>
      <c r="AF353" s="177">
        <f t="shared" si="160"/>
        <v>0.1988032101493552</v>
      </c>
      <c r="AG353" s="799">
        <f t="shared" si="161"/>
        <v>-1</v>
      </c>
      <c r="AH353" s="176">
        <f t="shared" si="162"/>
        <v>5</v>
      </c>
      <c r="AI353" s="224">
        <f t="shared" si="163"/>
        <v>-0.8011967898506448</v>
      </c>
      <c r="AJ353" s="264" t="b">
        <f t="shared" si="164"/>
        <v>0</v>
      </c>
      <c r="AK353" s="264" t="b">
        <f t="shared" si="165"/>
        <v>0</v>
      </c>
      <c r="AL353" s="264"/>
      <c r="AM353" s="264"/>
      <c r="AN353" s="75"/>
    </row>
    <row r="354" spans="1:40" s="6" customFormat="1" ht="11.25" x14ac:dyDescent="0.2">
      <c r="A354" s="56">
        <f t="shared" si="166"/>
        <v>43805</v>
      </c>
      <c r="B354" s="607">
        <v>20.738</v>
      </c>
      <c r="C354" s="388"/>
      <c r="D354" s="391">
        <f t="shared" si="143"/>
        <v>20.869571759616495</v>
      </c>
      <c r="E354" s="383">
        <f t="shared" si="140"/>
        <v>21.314955545405194</v>
      </c>
      <c r="F354" s="383">
        <f t="shared" si="142"/>
        <v>21.372347508332364</v>
      </c>
      <c r="G354" s="110">
        <f t="shared" si="141"/>
        <v>0.78798253979231991</v>
      </c>
      <c r="I354" s="379">
        <f t="shared" si="144"/>
        <v>21.372347508332364</v>
      </c>
      <c r="J354" s="85">
        <v>2018</v>
      </c>
      <c r="K354" s="197">
        <f t="shared" si="145"/>
        <v>43805</v>
      </c>
      <c r="L354" s="435">
        <f t="shared" si="146"/>
        <v>6.3044781719523435E-3</v>
      </c>
      <c r="M354" s="842"/>
      <c r="N354" s="842"/>
      <c r="O354" s="323">
        <f t="shared" si="147"/>
        <v>2.0895365455486824E-2</v>
      </c>
      <c r="P354" s="169">
        <f>(INDEX(Models!$BJ354:$BT354,,T354)*(1-R354)+INDEX(Models!$BJ354:$BT354,,T354+1)*R354-ERP_i)*Q354*Ramure*Pc/MaxiM</f>
        <v>3.8448296090818524E-3</v>
      </c>
      <c r="Q354" s="304">
        <f t="shared" si="148"/>
        <v>0.7</v>
      </c>
      <c r="R354" s="177">
        <f t="shared" si="149"/>
        <v>0.13448170932514136</v>
      </c>
      <c r="S354" s="799">
        <f t="shared" si="167"/>
        <v>-1</v>
      </c>
      <c r="T354" s="176">
        <f t="shared" si="150"/>
        <v>5</v>
      </c>
      <c r="U354" s="250">
        <f t="shared" si="151"/>
        <v>-0.86551829067485864</v>
      </c>
      <c r="V354" s="382">
        <f t="shared" si="152"/>
        <v>26.287244525270857</v>
      </c>
      <c r="W354" s="58"/>
      <c r="X354" s="157">
        <f t="shared" si="153"/>
        <v>43805</v>
      </c>
      <c r="Y354" s="383">
        <f t="shared" si="154"/>
        <v>20.725981321426751</v>
      </c>
      <c r="Z354" s="383">
        <f t="shared" si="155"/>
        <v>20.857476828816022</v>
      </c>
      <c r="AA354" s="384">
        <f t="shared" si="156"/>
        <v>21.302602493061507</v>
      </c>
      <c r="AB354" s="197">
        <f t="shared" si="157"/>
        <v>43805</v>
      </c>
      <c r="AC354" s="424">
        <f t="shared" si="158"/>
        <v>2.0895365455486824E-2</v>
      </c>
      <c r="AD354" s="169">
        <f>(INDEX(Models!$BJ354:$BT354,,AH354)*(1-AF354)+INDEX(Models!$BJ354:$BT354,,AH354+1)*AF354-ERP_i)*AE354*Ramure*Pc/MaxiM</f>
        <v>4.6723911523909858E-3</v>
      </c>
      <c r="AE354" s="304">
        <f t="shared" si="159"/>
        <v>0.7</v>
      </c>
      <c r="AF354" s="177">
        <f t="shared" si="160"/>
        <v>0.19881393158497351</v>
      </c>
      <c r="AG354" s="799">
        <f t="shared" si="161"/>
        <v>-1</v>
      </c>
      <c r="AH354" s="176">
        <f t="shared" si="162"/>
        <v>5</v>
      </c>
      <c r="AI354" s="224">
        <f t="shared" si="163"/>
        <v>-0.80118606841502649</v>
      </c>
      <c r="AJ354" s="264" t="b">
        <f t="shared" si="164"/>
        <v>0</v>
      </c>
      <c r="AK354" s="264" t="b">
        <f t="shared" si="165"/>
        <v>0</v>
      </c>
      <c r="AL354" s="264"/>
      <c r="AM354" s="264"/>
      <c r="AN354" s="75"/>
    </row>
    <row r="355" spans="1:40" s="6" customFormat="1" ht="11.25" x14ac:dyDescent="0.2">
      <c r="A355" s="56">
        <f t="shared" si="166"/>
        <v>43806</v>
      </c>
      <c r="B355" s="607">
        <v>17.326000000000001</v>
      </c>
      <c r="C355" s="388"/>
      <c r="D355" s="391">
        <f t="shared" si="143"/>
        <v>17.436258566735567</v>
      </c>
      <c r="E355" s="383">
        <f t="shared" si="140"/>
        <v>17.809257021489476</v>
      </c>
      <c r="F355" s="383">
        <f t="shared" si="142"/>
        <v>17.844821447176248</v>
      </c>
      <c r="G355" s="110">
        <f t="shared" si="141"/>
        <v>0.66262319477349552</v>
      </c>
      <c r="I355" s="379">
        <f t="shared" si="144"/>
        <v>17.844821447176248</v>
      </c>
      <c r="J355" s="85">
        <v>2018</v>
      </c>
      <c r="K355" s="197">
        <f t="shared" si="145"/>
        <v>43806</v>
      </c>
      <c r="L355" s="435">
        <f t="shared" si="146"/>
        <v>6.3235221199298142E-3</v>
      </c>
      <c r="M355" s="842"/>
      <c r="N355" s="842"/>
      <c r="O355" s="323">
        <f t="shared" si="147"/>
        <v>2.0944077246110228E-2</v>
      </c>
      <c r="P355" s="169">
        <f>(INDEX(Models!$BJ355:$BT355,,T355)*(1-R355)+INDEX(Models!$BJ355:$BT355,,T355+1)*R355-ERP_i)*Q355*Ramure*Pc/MaxiM</f>
        <v>3.8342610996854373E-3</v>
      </c>
      <c r="Q355" s="304">
        <f t="shared" si="148"/>
        <v>0.7</v>
      </c>
      <c r="R355" s="177">
        <f t="shared" si="149"/>
        <v>0.13449199962456948</v>
      </c>
      <c r="S355" s="799">
        <f t="shared" si="167"/>
        <v>-1</v>
      </c>
      <c r="T355" s="176">
        <f t="shared" si="150"/>
        <v>5</v>
      </c>
      <c r="U355" s="250">
        <f t="shared" si="151"/>
        <v>-0.86550800037543052</v>
      </c>
      <c r="V355" s="382">
        <f t="shared" si="152"/>
        <v>26.099349441554235</v>
      </c>
      <c r="W355" s="58"/>
      <c r="X355" s="157">
        <f t="shared" si="153"/>
        <v>43806</v>
      </c>
      <c r="Y355" s="383">
        <f t="shared" si="154"/>
        <v>17.318520346978669</v>
      </c>
      <c r="Z355" s="383">
        <f t="shared" si="155"/>
        <v>17.428731314971202</v>
      </c>
      <c r="AA355" s="384">
        <f t="shared" si="156"/>
        <v>17.801568745887</v>
      </c>
      <c r="AB355" s="197">
        <f t="shared" si="157"/>
        <v>43806</v>
      </c>
      <c r="AC355" s="424">
        <f t="shared" si="158"/>
        <v>2.0944077246110228E-2</v>
      </c>
      <c r="AD355" s="169">
        <f>(INDEX(Models!$BJ355:$BT355,,AH355)*(1-AF355)+INDEX(Models!$BJ355:$BT355,,AH355+1)*AF355-ERP_i)*AE355*Ramure*Pc/MaxiM</f>
        <v>4.6631471423243228E-3</v>
      </c>
      <c r="AE355" s="304">
        <f t="shared" si="159"/>
        <v>0.7</v>
      </c>
      <c r="AF355" s="177">
        <f t="shared" si="160"/>
        <v>0.19882422188440163</v>
      </c>
      <c r="AG355" s="799">
        <f t="shared" si="161"/>
        <v>-1</v>
      </c>
      <c r="AH355" s="176">
        <f t="shared" si="162"/>
        <v>5</v>
      </c>
      <c r="AI355" s="224">
        <f t="shared" si="163"/>
        <v>-0.80117577811559837</v>
      </c>
      <c r="AJ355" s="264" t="b">
        <f t="shared" si="164"/>
        <v>0</v>
      </c>
      <c r="AK355" s="264" t="b">
        <f t="shared" si="165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66"/>
        <v>43807</v>
      </c>
      <c r="B356" s="607">
        <v>17.634</v>
      </c>
      <c r="C356" s="388"/>
      <c r="D356" s="391">
        <f t="shared" si="143"/>
        <v>17.746558714648643</v>
      </c>
      <c r="E356" s="383">
        <f t="shared" si="140"/>
        <v>18.127101700225278</v>
      </c>
      <c r="F356" s="383">
        <f t="shared" si="142"/>
        <v>18.164839905008368</v>
      </c>
      <c r="G356" s="110">
        <f t="shared" si="141"/>
        <v>0.6790177854274978</v>
      </c>
      <c r="I356" s="379">
        <f t="shared" si="144"/>
        <v>18.164839905008368</v>
      </c>
      <c r="J356" s="85">
        <v>2018</v>
      </c>
      <c r="K356" s="197">
        <f t="shared" si="145"/>
        <v>43807</v>
      </c>
      <c r="L356" s="435">
        <f t="shared" si="146"/>
        <v>6.3425657029343441E-3</v>
      </c>
      <c r="M356" s="842"/>
      <c r="N356" s="842"/>
      <c r="O356" s="323">
        <f t="shared" si="147"/>
        <v>2.0993040799892677E-2</v>
      </c>
      <c r="P356" s="169">
        <f>(INDEX(Models!$BJ356:$BT356,,T356)*(1-R356)+INDEX(Models!$BJ356:$BT356,,T356+1)*R356-ERP_i)*Q356*Ramure*Pc/MaxiM</f>
        <v>3.8249474073309359E-3</v>
      </c>
      <c r="Q356" s="304">
        <f t="shared" si="148"/>
        <v>0.7</v>
      </c>
      <c r="R356" s="177">
        <f t="shared" si="149"/>
        <v>0.13450187610403663</v>
      </c>
      <c r="S356" s="799">
        <f t="shared" si="167"/>
        <v>-1</v>
      </c>
      <c r="T356" s="176">
        <f t="shared" si="150"/>
        <v>5</v>
      </c>
      <c r="U356" s="250">
        <f t="shared" si="151"/>
        <v>-0.86549812389596337</v>
      </c>
      <c r="V356" s="382">
        <f t="shared" si="152"/>
        <v>25.924390300278549</v>
      </c>
      <c r="W356" s="58"/>
      <c r="X356" s="157">
        <f t="shared" si="153"/>
        <v>43807</v>
      </c>
      <c r="Y356" s="383">
        <f t="shared" si="154"/>
        <v>17.626031600790242</v>
      </c>
      <c r="Z356" s="383">
        <f t="shared" si="155"/>
        <v>17.73853945274336</v>
      </c>
      <c r="AA356" s="384">
        <f t="shared" si="156"/>
        <v>18.118910479693163</v>
      </c>
      <c r="AB356" s="197">
        <f t="shared" si="157"/>
        <v>43807</v>
      </c>
      <c r="AC356" s="424">
        <f t="shared" si="158"/>
        <v>2.0993040799892677E-2</v>
      </c>
      <c r="AD356" s="169">
        <f>(INDEX(Models!$BJ356:$BT356,,AH356)*(1-AF356)+INDEX(Models!$BJ356:$BT356,,AH356+1)*AF356-ERP_i)*AE356*Ramure*Pc/MaxiM</f>
        <v>4.6551667544696999E-3</v>
      </c>
      <c r="AE356" s="304">
        <f t="shared" si="159"/>
        <v>0.7</v>
      </c>
      <c r="AF356" s="177">
        <f t="shared" si="160"/>
        <v>0.19883409836386878</v>
      </c>
      <c r="AG356" s="799">
        <f t="shared" si="161"/>
        <v>-1</v>
      </c>
      <c r="AH356" s="176">
        <f t="shared" si="162"/>
        <v>5</v>
      </c>
      <c r="AI356" s="224">
        <f t="shared" si="163"/>
        <v>-0.80116590163613122</v>
      </c>
      <c r="AJ356" s="264" t="b">
        <f t="shared" si="164"/>
        <v>0</v>
      </c>
      <c r="AK356" s="264" t="b">
        <f t="shared" si="165"/>
        <v>0</v>
      </c>
      <c r="AL356" s="264"/>
      <c r="AM356" s="264"/>
      <c r="AN356" s="75"/>
    </row>
    <row r="357" spans="1:40" s="6" customFormat="1" ht="11.25" x14ac:dyDescent="0.2">
      <c r="A357" s="56">
        <f t="shared" si="166"/>
        <v>43808</v>
      </c>
      <c r="B357" s="607">
        <v>8.3339999999999996</v>
      </c>
      <c r="C357" s="388"/>
      <c r="D357" s="391">
        <f t="shared" si="143"/>
        <v>8.3873570856595183</v>
      </c>
      <c r="E357" s="383">
        <f t="shared" si="140"/>
        <v>8.5676394830597715</v>
      </c>
      <c r="F357" s="383">
        <f t="shared" ref="F357:F379" si="168">Wh_sa/(1-Pvg*MEDIAN((-Sdif+Wh/Env_an)/Csdif,0,1))</f>
        <v>8.5687362487012813</v>
      </c>
      <c r="G357" s="110">
        <f t="shared" si="141"/>
        <v>0.32228188329797819</v>
      </c>
      <c r="I357" s="379">
        <f t="shared" si="144"/>
        <v>8.5687362487012813</v>
      </c>
      <c r="J357" s="85">
        <v>2018</v>
      </c>
      <c r="K357" s="197">
        <f t="shared" si="145"/>
        <v>43808</v>
      </c>
      <c r="L357" s="435">
        <f t="shared" si="146"/>
        <v>6.3616089209730387E-3</v>
      </c>
      <c r="M357" s="842"/>
      <c r="N357" s="842"/>
      <c r="O357" s="323">
        <f t="shared" si="147"/>
        <v>2.1042248306165742E-2</v>
      </c>
      <c r="P357" s="169">
        <f>(INDEX(Models!$BJ357:$BT357,,T357)*(1-R357)+INDEX(Models!$BJ357:$BT357,,T357+1)*R357-ERP_i)*Q357*Ramure*Pc/MaxiM</f>
        <v>3.8166751951623228E-3</v>
      </c>
      <c r="Q357" s="304">
        <f t="shared" si="148"/>
        <v>0.7</v>
      </c>
      <c r="R357" s="177">
        <f t="shared" si="149"/>
        <v>0.13451135538592474</v>
      </c>
      <c r="S357" s="799">
        <f t="shared" si="167"/>
        <v>-1</v>
      </c>
      <c r="T357" s="176">
        <f t="shared" si="150"/>
        <v>5</v>
      </c>
      <c r="U357" s="250">
        <f t="shared" si="151"/>
        <v>-0.86548864461407526</v>
      </c>
      <c r="V357" s="382">
        <f t="shared" si="152"/>
        <v>25.763950889689511</v>
      </c>
      <c r="W357" s="58"/>
      <c r="X357" s="157">
        <f t="shared" si="153"/>
        <v>43808</v>
      </c>
      <c r="Y357" s="383">
        <f t="shared" si="154"/>
        <v>8.333767573022401</v>
      </c>
      <c r="Z357" s="383">
        <f t="shared" si="155"/>
        <v>8.3871231706058271</v>
      </c>
      <c r="AA357" s="384">
        <f t="shared" si="156"/>
        <v>8.5674005401091833</v>
      </c>
      <c r="AB357" s="197">
        <f t="shared" si="157"/>
        <v>43808</v>
      </c>
      <c r="AC357" s="424">
        <f t="shared" si="158"/>
        <v>2.1042248306165742E-2</v>
      </c>
      <c r="AD357" s="169">
        <f>(INDEX(Models!$BJ357:$BT357,,AH357)*(1-AF357)+INDEX(Models!$BJ357:$BT357,,AH357+1)*AF357-ERP_i)*AE357*Ramure*Pc/MaxiM</f>
        <v>4.648181579077028E-3</v>
      </c>
      <c r="AE357" s="304">
        <f t="shared" si="159"/>
        <v>0.7</v>
      </c>
      <c r="AF357" s="177">
        <f t="shared" si="160"/>
        <v>0.19884357764575689</v>
      </c>
      <c r="AG357" s="799">
        <f t="shared" si="161"/>
        <v>-1</v>
      </c>
      <c r="AH357" s="176">
        <f t="shared" si="162"/>
        <v>5</v>
      </c>
      <c r="AI357" s="224">
        <f t="shared" si="163"/>
        <v>-0.80115642235424311</v>
      </c>
      <c r="AJ357" s="264" t="b">
        <f t="shared" si="164"/>
        <v>0</v>
      </c>
      <c r="AK357" s="264" t="b">
        <f t="shared" si="165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66"/>
        <v>43809</v>
      </c>
      <c r="B358" s="607">
        <v>18.905999999999999</v>
      </c>
      <c r="C358" s="388"/>
      <c r="D358" s="391">
        <f t="shared" si="143"/>
        <v>19.027407259888427</v>
      </c>
      <c r="E358" s="383">
        <f t="shared" si="140"/>
        <v>19.437374357193004</v>
      </c>
      <c r="F358" s="383">
        <f t="shared" si="168"/>
        <v>19.483808473016875</v>
      </c>
      <c r="G358" s="110">
        <f t="shared" si="141"/>
        <v>0.73689537491423152</v>
      </c>
      <c r="I358" s="379">
        <f t="shared" si="144"/>
        <v>19.483808473016875</v>
      </c>
      <c r="J358" s="85">
        <v>2018</v>
      </c>
      <c r="K358" s="197">
        <f t="shared" si="145"/>
        <v>43809</v>
      </c>
      <c r="L358" s="435">
        <f t="shared" si="146"/>
        <v>6.3806517740526703E-3</v>
      </c>
      <c r="M358" s="842"/>
      <c r="N358" s="842"/>
      <c r="O358" s="323">
        <f t="shared" si="147"/>
        <v>2.1091691180648769E-2</v>
      </c>
      <c r="P358" s="169">
        <f>(INDEX(Models!$BJ358:$BT358,,T358)*(1-R358)+INDEX(Models!$BJ358:$BT358,,T358+1)*R358-ERP_i)*Q358*Ramure*Pc/MaxiM</f>
        <v>3.8092250081945798E-3</v>
      </c>
      <c r="Q358" s="304">
        <f t="shared" si="148"/>
        <v>0.7</v>
      </c>
      <c r="R358" s="177">
        <f t="shared" si="149"/>
        <v>0.13452045342644037</v>
      </c>
      <c r="S358" s="799">
        <f t="shared" si="167"/>
        <v>-1</v>
      </c>
      <c r="T358" s="176">
        <f t="shared" si="150"/>
        <v>5</v>
      </c>
      <c r="U358" s="250">
        <f t="shared" si="151"/>
        <v>-0.86547954657355963</v>
      </c>
      <c r="V358" s="382">
        <f t="shared" si="152"/>
        <v>25.619614538305299</v>
      </c>
      <c r="W358" s="58"/>
      <c r="X358" s="157">
        <f t="shared" si="153"/>
        <v>43809</v>
      </c>
      <c r="Y358" s="383">
        <f t="shared" si="154"/>
        <v>18.896127066179737</v>
      </c>
      <c r="Z358" s="383">
        <f t="shared" si="155"/>
        <v>19.017470925780312</v>
      </c>
      <c r="AA358" s="384">
        <f t="shared" si="156"/>
        <v>19.427223933482637</v>
      </c>
      <c r="AB358" s="197">
        <f t="shared" si="157"/>
        <v>43809</v>
      </c>
      <c r="AC358" s="424">
        <f t="shared" si="158"/>
        <v>2.1091691180648769E-2</v>
      </c>
      <c r="AD358" s="169">
        <f>(INDEX(Models!$BJ358:$BT358,,AH358)*(1-AF358)+INDEX(Models!$BJ358:$BT358,,AH358+1)*AF358-ERP_i)*AE358*Ramure*Pc/MaxiM</f>
        <v>4.641915523676118E-3</v>
      </c>
      <c r="AE358" s="304">
        <f t="shared" si="159"/>
        <v>0.7</v>
      </c>
      <c r="AF358" s="177">
        <f t="shared" si="160"/>
        <v>0.19885267568627252</v>
      </c>
      <c r="AG358" s="799">
        <f t="shared" si="161"/>
        <v>-1</v>
      </c>
      <c r="AH358" s="176">
        <f t="shared" si="162"/>
        <v>5</v>
      </c>
      <c r="AI358" s="224">
        <f t="shared" si="163"/>
        <v>-0.80114732431372748</v>
      </c>
      <c r="AJ358" s="264" t="b">
        <f t="shared" si="164"/>
        <v>0</v>
      </c>
      <c r="AK358" s="264" t="b">
        <f t="shared" si="165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66"/>
        <v>43810</v>
      </c>
      <c r="B359" s="607">
        <v>2.0350000000000001</v>
      </c>
      <c r="C359" s="388"/>
      <c r="D359" s="391">
        <f t="shared" si="143"/>
        <v>2.0481072602819568</v>
      </c>
      <c r="E359" s="383">
        <f t="shared" si="140"/>
        <v>2.0923422207119518</v>
      </c>
      <c r="F359" s="383">
        <f t="shared" si="168"/>
        <v>2.0923422207119518</v>
      </c>
      <c r="G359" s="110">
        <f t="shared" si="141"/>
        <v>7.9542012606538828E-2</v>
      </c>
      <c r="I359" s="379">
        <f t="shared" si="144"/>
        <v>2.0923422207119518</v>
      </c>
      <c r="J359" s="85">
        <v>2018</v>
      </c>
      <c r="K359" s="197">
        <f t="shared" si="145"/>
        <v>43810</v>
      </c>
      <c r="L359" s="435">
        <f t="shared" si="146"/>
        <v>6.3996942621804553E-3</v>
      </c>
      <c r="M359" s="842"/>
      <c r="N359" s="842"/>
      <c r="O359" s="323">
        <f t="shared" si="147"/>
        <v>2.1141360142770165E-2</v>
      </c>
      <c r="P359" s="169">
        <f>(INDEX(Models!$BJ359:$BT359,,T359)*(1-R359)+INDEX(Models!$BJ359:$BT359,,T359+1)*R359-ERP_i)*Q359*Ramure*Pc/MaxiM</f>
        <v>3.803308786971982E-3</v>
      </c>
      <c r="Q359" s="304">
        <f t="shared" si="148"/>
        <v>0.7</v>
      </c>
      <c r="R359" s="177">
        <f t="shared" si="149"/>
        <v>0.1345291855421934</v>
      </c>
      <c r="S359" s="799">
        <f t="shared" si="167"/>
        <v>-1</v>
      </c>
      <c r="T359" s="176">
        <f t="shared" si="150"/>
        <v>5</v>
      </c>
      <c r="U359" s="250">
        <f t="shared" si="151"/>
        <v>-0.8654708144578066</v>
      </c>
      <c r="V359" s="382">
        <f t="shared" si="152"/>
        <v>25.486660447561515</v>
      </c>
      <c r="W359" s="58"/>
      <c r="X359" s="157">
        <f t="shared" si="153"/>
        <v>43810</v>
      </c>
      <c r="Y359" s="383">
        <f t="shared" si="154"/>
        <v>2.0350000000000001</v>
      </c>
      <c r="Z359" s="383">
        <f t="shared" si="155"/>
        <v>2.0481072602819568</v>
      </c>
      <c r="AA359" s="384">
        <f t="shared" si="156"/>
        <v>2.0923422207119518</v>
      </c>
      <c r="AB359" s="197">
        <f t="shared" si="157"/>
        <v>43810</v>
      </c>
      <c r="AC359" s="424">
        <f t="shared" si="158"/>
        <v>2.1141360142770165E-2</v>
      </c>
      <c r="AD359" s="169">
        <f>(INDEX(Models!$BJ359:$BT359,,AH359)*(1-AF359)+INDEX(Models!$BJ359:$BT359,,AH359+1)*AF359-ERP_i)*AE359*Ramure*Pc/MaxiM</f>
        <v>4.6372281032023644E-3</v>
      </c>
      <c r="AE359" s="304">
        <f t="shared" si="159"/>
        <v>0.7</v>
      </c>
      <c r="AF359" s="177">
        <f t="shared" si="160"/>
        <v>0.19886140780202566</v>
      </c>
      <c r="AG359" s="799">
        <f t="shared" si="161"/>
        <v>-1</v>
      </c>
      <c r="AH359" s="176">
        <f t="shared" si="162"/>
        <v>5</v>
      </c>
      <c r="AI359" s="224">
        <f t="shared" si="163"/>
        <v>-0.80113859219797434</v>
      </c>
      <c r="AJ359" s="264" t="b">
        <f t="shared" si="164"/>
        <v>0</v>
      </c>
      <c r="AK359" s="264" t="b">
        <f t="shared" si="165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66"/>
        <v>43811</v>
      </c>
      <c r="B360" s="607">
        <v>5.8559999999999999</v>
      </c>
      <c r="C360" s="388"/>
      <c r="D360" s="391">
        <f t="shared" si="143"/>
        <v>5.8938309471496497</v>
      </c>
      <c r="E360" s="383">
        <f t="shared" si="140"/>
        <v>6.0214326024604281</v>
      </c>
      <c r="F360" s="383">
        <f t="shared" si="168"/>
        <v>6.0214326024604281</v>
      </c>
      <c r="G360" s="110">
        <f t="shared" si="141"/>
        <v>0.23003712814580082</v>
      </c>
      <c r="I360" s="379">
        <f t="shared" si="144"/>
        <v>6.0214326024604281</v>
      </c>
      <c r="J360" s="85">
        <v>2018</v>
      </c>
      <c r="K360" s="197">
        <f t="shared" si="145"/>
        <v>43811</v>
      </c>
      <c r="L360" s="435">
        <f t="shared" si="146"/>
        <v>6.4187363853632773E-3</v>
      </c>
      <c r="M360" s="842"/>
      <c r="N360" s="842"/>
      <c r="O360" s="323">
        <f t="shared" si="147"/>
        <v>2.1191245295785439E-2</v>
      </c>
      <c r="P360" s="169">
        <f>(INDEX(Models!$BJ360:$BT360,,T360)*(1-R360)+INDEX(Models!$BJ360:$BT360,,T360+1)*R360-ERP_i)*Q360*Ramure*Pc/MaxiM</f>
        <v>3.7996962570930703E-3</v>
      </c>
      <c r="Q360" s="304">
        <f t="shared" si="148"/>
        <v>0.7</v>
      </c>
      <c r="R360" s="177">
        <f t="shared" si="149"/>
        <v>0.13453756643572512</v>
      </c>
      <c r="S360" s="799">
        <f t="shared" si="167"/>
        <v>-1</v>
      </c>
      <c r="T360" s="176">
        <f t="shared" si="150"/>
        <v>5</v>
      </c>
      <c r="U360" s="250">
        <f t="shared" si="151"/>
        <v>-0.86546243356427488</v>
      </c>
      <c r="V360" s="382">
        <f t="shared" si="152"/>
        <v>25.36003220758759</v>
      </c>
      <c r="W360" s="58"/>
      <c r="X360" s="157">
        <f t="shared" si="153"/>
        <v>43811</v>
      </c>
      <c r="Y360" s="383">
        <f t="shared" si="154"/>
        <v>5.8559999999999999</v>
      </c>
      <c r="Z360" s="383">
        <f t="shared" si="155"/>
        <v>5.8938309471496497</v>
      </c>
      <c r="AA360" s="384">
        <f t="shared" si="156"/>
        <v>6.0214326024604281</v>
      </c>
      <c r="AB360" s="197">
        <f t="shared" si="157"/>
        <v>43811</v>
      </c>
      <c r="AC360" s="424">
        <f t="shared" si="158"/>
        <v>2.1191245295785439E-2</v>
      </c>
      <c r="AD360" s="169">
        <f>(INDEX(Models!$BJ360:$BT360,,AH360)*(1-AF360)+INDEX(Models!$BJ360:$BT360,,AH360+1)*AF360-ERP_i)*AE360*Ramure*Pc/MaxiM</f>
        <v>4.6350517496541177E-3</v>
      </c>
      <c r="AE360" s="304">
        <f t="shared" si="159"/>
        <v>0.7</v>
      </c>
      <c r="AF360" s="177">
        <f t="shared" si="160"/>
        <v>0.19886978869555738</v>
      </c>
      <c r="AG360" s="799">
        <f t="shared" si="161"/>
        <v>-1</v>
      </c>
      <c r="AH360" s="176">
        <f t="shared" si="162"/>
        <v>5</v>
      </c>
      <c r="AI360" s="224">
        <f t="shared" si="163"/>
        <v>-0.80113021130444262</v>
      </c>
      <c r="AJ360" s="264" t="b">
        <f t="shared" si="164"/>
        <v>0</v>
      </c>
      <c r="AK360" s="264" t="b">
        <f t="shared" si="165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66"/>
        <v>43812</v>
      </c>
      <c r="B361" s="607">
        <v>2.2320000000000002</v>
      </c>
      <c r="C361" s="388"/>
      <c r="D361" s="391">
        <f t="shared" si="143"/>
        <v>2.2464622254152196</v>
      </c>
      <c r="E361" s="383">
        <f t="shared" ref="E361:E379" si="169">Wh_pvt/(1-Psa)</f>
        <v>2.2952156732019326</v>
      </c>
      <c r="F361" s="383">
        <f t="shared" si="168"/>
        <v>2.2952156732019326</v>
      </c>
      <c r="G361" s="110">
        <f t="shared" ref="G361:G379" si="170">+Wh_hp/MaxiM</f>
        <v>8.8092354810858267E-2</v>
      </c>
      <c r="I361" s="379">
        <f t="shared" si="144"/>
        <v>2.2952156732019326</v>
      </c>
      <c r="J361" s="85">
        <v>2018</v>
      </c>
      <c r="K361" s="197">
        <f t="shared" si="145"/>
        <v>43812</v>
      </c>
      <c r="L361" s="435">
        <f t="shared" si="146"/>
        <v>6.4377781436081305E-3</v>
      </c>
      <c r="M361" s="842"/>
      <c r="N361" s="842"/>
      <c r="O361" s="323">
        <f t="shared" si="147"/>
        <v>2.1241336209028152E-2</v>
      </c>
      <c r="P361" s="169">
        <f>(INDEX(Models!$BJ361:$BT361,,T361)*(1-R361)+INDEX(Models!$BJ361:$BT361,,T361+1)*R361-ERP_i)*Q361*Ramure*Pc/MaxiM</f>
        <v>3.7971588512581886E-3</v>
      </c>
      <c r="Q361" s="304">
        <f t="shared" si="148"/>
        <v>0.7</v>
      </c>
      <c r="R361" s="177">
        <f t="shared" si="149"/>
        <v>0.13454561022002598</v>
      </c>
      <c r="S361" s="799">
        <f t="shared" si="167"/>
        <v>-1</v>
      </c>
      <c r="T361" s="176">
        <f t="shared" si="150"/>
        <v>5</v>
      </c>
      <c r="U361" s="250">
        <f t="shared" si="151"/>
        <v>-0.86545438977997402</v>
      </c>
      <c r="V361" s="382">
        <f t="shared" si="152"/>
        <v>25.240836690290408</v>
      </c>
      <c r="W361" s="58"/>
      <c r="X361" s="157">
        <f t="shared" si="153"/>
        <v>43812</v>
      </c>
      <c r="Y361" s="383">
        <f t="shared" si="154"/>
        <v>2.2320000000000002</v>
      </c>
      <c r="Z361" s="383">
        <f t="shared" si="155"/>
        <v>2.2464622254152196</v>
      </c>
      <c r="AA361" s="384">
        <f t="shared" si="156"/>
        <v>2.2952156732019326</v>
      </c>
      <c r="AB361" s="197">
        <f t="shared" si="157"/>
        <v>43812</v>
      </c>
      <c r="AC361" s="424">
        <f t="shared" si="158"/>
        <v>2.1241336209028152E-2</v>
      </c>
      <c r="AD361" s="169">
        <f>(INDEX(Models!$BJ361:$BT361,,AH361)*(1-AF361)+INDEX(Models!$BJ361:$BT361,,AH361+1)*AF361-ERP_i)*AE361*Ramure*Pc/MaxiM</f>
        <v>4.6339523500478624E-3</v>
      </c>
      <c r="AE361" s="304">
        <f t="shared" si="159"/>
        <v>0.7</v>
      </c>
      <c r="AF361" s="177">
        <f t="shared" si="160"/>
        <v>0.19887783247985813</v>
      </c>
      <c r="AG361" s="799">
        <f t="shared" si="161"/>
        <v>-1</v>
      </c>
      <c r="AH361" s="176">
        <f t="shared" si="162"/>
        <v>5</v>
      </c>
      <c r="AI361" s="224">
        <f t="shared" si="163"/>
        <v>-0.80112216752014187</v>
      </c>
      <c r="AJ361" s="264" t="b">
        <f t="shared" si="164"/>
        <v>0</v>
      </c>
      <c r="AK361" s="264" t="b">
        <f t="shared" si="165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66"/>
        <v>43813</v>
      </c>
      <c r="B362" s="607">
        <v>13.512</v>
      </c>
      <c r="C362" s="388"/>
      <c r="D362" s="391">
        <f t="shared" si="143"/>
        <v>13.599811528777469</v>
      </c>
      <c r="E362" s="383">
        <f t="shared" si="169"/>
        <v>13.895672944571405</v>
      </c>
      <c r="F362" s="383">
        <f t="shared" si="168"/>
        <v>13.913604136481535</v>
      </c>
      <c r="G362" s="110">
        <f t="shared" si="170"/>
        <v>0.53633118351473308</v>
      </c>
      <c r="I362" s="379">
        <f t="shared" si="144"/>
        <v>13.913604136481535</v>
      </c>
      <c r="J362" s="85">
        <v>2018</v>
      </c>
      <c r="K362" s="197">
        <f t="shared" si="145"/>
        <v>43813</v>
      </c>
      <c r="L362" s="435">
        <f t="shared" si="146"/>
        <v>6.4568195369220094E-3</v>
      </c>
      <c r="M362" s="842"/>
      <c r="N362" s="842"/>
      <c r="O362" s="323">
        <f t="shared" si="147"/>
        <v>2.1291622001618833E-2</v>
      </c>
      <c r="P362" s="169">
        <f>(INDEX(Models!$BJ362:$BT362,,T362)*(1-R362)+INDEX(Models!$BJ362:$BT362,,T362+1)*R362-ERP_i)*Q362*Ramure*Pc/MaxiM</f>
        <v>3.7955393900714401E-3</v>
      </c>
      <c r="Q362" s="304">
        <f t="shared" si="148"/>
        <v>0.7</v>
      </c>
      <c r="R362" s="177">
        <f t="shared" si="149"/>
        <v>0.1345533304420814</v>
      </c>
      <c r="S362" s="799">
        <f t="shared" si="167"/>
        <v>-1</v>
      </c>
      <c r="T362" s="176">
        <f t="shared" si="150"/>
        <v>5</v>
      </c>
      <c r="U362" s="250">
        <f t="shared" si="151"/>
        <v>-0.8654466695579186</v>
      </c>
      <c r="V362" s="382">
        <f t="shared" si="152"/>
        <v>25.130152788140393</v>
      </c>
      <c r="W362" s="58"/>
      <c r="X362" s="157">
        <f t="shared" si="153"/>
        <v>43813</v>
      </c>
      <c r="Y362" s="383">
        <f t="shared" si="154"/>
        <v>13.508149469652773</v>
      </c>
      <c r="Z362" s="383">
        <f t="shared" si="155"/>
        <v>13.595935974676808</v>
      </c>
      <c r="AA362" s="384">
        <f t="shared" si="156"/>
        <v>13.891713078499157</v>
      </c>
      <c r="AB362" s="197">
        <f t="shared" si="157"/>
        <v>43813</v>
      </c>
      <c r="AC362" s="424">
        <f t="shared" si="158"/>
        <v>2.1291622001618833E-2</v>
      </c>
      <c r="AD362" s="169">
        <f>(INDEX(Models!$BJ362:$BT362,,AH362)*(1-AF362)+INDEX(Models!$BJ362:$BT362,,AH362+1)*AF362-ERP_i)*AE362*Ramure*Pc/MaxiM</f>
        <v>4.6337339580596248E-3</v>
      </c>
      <c r="AE362" s="304">
        <f t="shared" si="159"/>
        <v>0.7</v>
      </c>
      <c r="AF362" s="177">
        <f t="shared" si="160"/>
        <v>0.19888555270191355</v>
      </c>
      <c r="AG362" s="799">
        <f t="shared" si="161"/>
        <v>-1</v>
      </c>
      <c r="AH362" s="176">
        <f t="shared" si="162"/>
        <v>5</v>
      </c>
      <c r="AI362" s="224">
        <f t="shared" si="163"/>
        <v>-0.80111444729808645</v>
      </c>
      <c r="AJ362" s="264" t="b">
        <f t="shared" si="164"/>
        <v>0</v>
      </c>
      <c r="AK362" s="264" t="b">
        <f t="shared" si="165"/>
        <v>0</v>
      </c>
      <c r="AL362" s="264"/>
      <c r="AM362" s="264"/>
      <c r="AN362" s="75"/>
    </row>
    <row r="363" spans="1:40" s="6" customFormat="1" ht="11.25" x14ac:dyDescent="0.2">
      <c r="A363" s="56">
        <f t="shared" si="166"/>
        <v>43814</v>
      </c>
      <c r="B363" s="607">
        <v>25.177</v>
      </c>
      <c r="C363" s="388"/>
      <c r="D363" s="391">
        <f t="shared" si="143"/>
        <v>25.341105465565867</v>
      </c>
      <c r="E363" s="383">
        <f t="shared" si="169"/>
        <v>25.893731858270069</v>
      </c>
      <c r="F363" s="383">
        <f t="shared" si="168"/>
        <v>25.992364486751338</v>
      </c>
      <c r="G363" s="110">
        <f t="shared" si="170"/>
        <v>1.0059107664859583</v>
      </c>
      <c r="I363" s="379">
        <f t="shared" si="144"/>
        <v>25.992364486751338</v>
      </c>
      <c r="J363" s="85">
        <v>2018</v>
      </c>
      <c r="K363" s="197">
        <f t="shared" si="145"/>
        <v>43814</v>
      </c>
      <c r="L363" s="435">
        <f t="shared" si="146"/>
        <v>6.4758605653119083E-3</v>
      </c>
      <c r="M363" s="842"/>
      <c r="N363" s="842"/>
      <c r="O363" s="323">
        <f t="shared" si="147"/>
        <v>2.1342091426952814E-2</v>
      </c>
      <c r="P363" s="169">
        <f>(INDEX(Models!$BJ363:$BT363,,T363)*(1-R363)+INDEX(Models!$BJ363:$BT363,,T363+1)*R363-ERP_i)*Q363*Ramure*Pc/MaxiM</f>
        <v>3.7946770303079755E-3</v>
      </c>
      <c r="Q363" s="304">
        <f t="shared" si="148"/>
        <v>0.7</v>
      </c>
      <c r="R363" s="177">
        <f t="shared" si="149"/>
        <v>0.13456074010548658</v>
      </c>
      <c r="S363" s="799">
        <f t="shared" si="167"/>
        <v>-1</v>
      </c>
      <c r="T363" s="176">
        <f t="shared" si="150"/>
        <v>5</v>
      </c>
      <c r="U363" s="250">
        <f t="shared" si="151"/>
        <v>-0.86543925989451342</v>
      </c>
      <c r="V363" s="382">
        <f t="shared" si="152"/>
        <v>25.029059076435932</v>
      </c>
      <c r="W363" s="58"/>
      <c r="X363" s="157">
        <f t="shared" si="153"/>
        <v>43814</v>
      </c>
      <c r="Y363" s="383">
        <f t="shared" si="154"/>
        <v>25.155782915625725</v>
      </c>
      <c r="Z363" s="383">
        <f t="shared" si="155"/>
        <v>25.319750086735972</v>
      </c>
      <c r="AA363" s="384">
        <f t="shared" si="156"/>
        <v>25.871910771818079</v>
      </c>
      <c r="AB363" s="197">
        <f t="shared" si="157"/>
        <v>43814</v>
      </c>
      <c r="AC363" s="424">
        <f t="shared" si="158"/>
        <v>2.1342091426952814E-2</v>
      </c>
      <c r="AD363" s="169">
        <f>(INDEX(Models!$BJ363:$BT363,,AH363)*(1-AF363)+INDEX(Models!$BJ363:$BT363,,AH363+1)*AF363-ERP_i)*AE363*Ramure*Pc/MaxiM</f>
        <v>4.6341961307388513E-3</v>
      </c>
      <c r="AE363" s="304">
        <f t="shared" si="159"/>
        <v>0.7</v>
      </c>
      <c r="AF363" s="177">
        <f t="shared" si="160"/>
        <v>0.19889296236531884</v>
      </c>
      <c r="AG363" s="799">
        <f t="shared" si="161"/>
        <v>-1</v>
      </c>
      <c r="AH363" s="176">
        <f t="shared" si="162"/>
        <v>5</v>
      </c>
      <c r="AI363" s="224">
        <f t="shared" si="163"/>
        <v>-0.80110703763468116</v>
      </c>
      <c r="AJ363" s="264" t="b">
        <f t="shared" si="164"/>
        <v>0</v>
      </c>
      <c r="AK363" s="264" t="b">
        <f t="shared" si="165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66"/>
        <v>43815</v>
      </c>
      <c r="B364" s="607">
        <v>13.679</v>
      </c>
      <c r="C364" s="388"/>
      <c r="D364" s="391">
        <f t="shared" si="143"/>
        <v>13.768424557577443</v>
      </c>
      <c r="E364" s="383">
        <f t="shared" si="169"/>
        <v>14.069407638045389</v>
      </c>
      <c r="F364" s="383">
        <f t="shared" si="168"/>
        <v>14.088385387639374</v>
      </c>
      <c r="G364" s="110">
        <f t="shared" si="170"/>
        <v>0.5471621881173605</v>
      </c>
      <c r="I364" s="379">
        <f t="shared" si="144"/>
        <v>14.088385387639374</v>
      </c>
      <c r="J364" s="85">
        <v>2018</v>
      </c>
      <c r="K364" s="197">
        <f t="shared" si="145"/>
        <v>43815</v>
      </c>
      <c r="L364" s="435">
        <f t="shared" si="146"/>
        <v>6.4949012287849328E-3</v>
      </c>
      <c r="M364" s="842"/>
      <c r="N364" s="842"/>
      <c r="O364" s="323">
        <f t="shared" si="147"/>
        <v>2.1392732957288826E-2</v>
      </c>
      <c r="P364" s="169">
        <f>(INDEX(Models!$BJ364:$BT364,,T364)*(1-R364)+INDEX(Models!$BJ364:$BT364,,T364+1)*R364-ERP_i)*Q364*Ramure*Pc/MaxiM</f>
        <v>3.7944074773129041E-3</v>
      </c>
      <c r="Q364" s="304">
        <f t="shared" si="148"/>
        <v>0.7</v>
      </c>
      <c r="R364" s="177">
        <f t="shared" si="149"/>
        <v>0.13456785169216268</v>
      </c>
      <c r="S364" s="799">
        <f t="shared" si="167"/>
        <v>-1</v>
      </c>
      <c r="T364" s="176">
        <f t="shared" si="150"/>
        <v>5</v>
      </c>
      <c r="U364" s="250">
        <f t="shared" si="151"/>
        <v>-0.86543214830783732</v>
      </c>
      <c r="V364" s="382">
        <f t="shared" si="152"/>
        <v>24.938633785736677</v>
      </c>
      <c r="W364" s="58"/>
      <c r="X364" s="157">
        <f t="shared" si="153"/>
        <v>43815</v>
      </c>
      <c r="Y364" s="383">
        <f t="shared" si="154"/>
        <v>13.674911780654387</v>
      </c>
      <c r="Z364" s="383">
        <f t="shared" si="155"/>
        <v>13.764309612067178</v>
      </c>
      <c r="AA364" s="384">
        <f t="shared" si="156"/>
        <v>14.065202738236398</v>
      </c>
      <c r="AB364" s="197">
        <f t="shared" si="157"/>
        <v>43815</v>
      </c>
      <c r="AC364" s="424">
        <f t="shared" si="158"/>
        <v>2.1392732957288826E-2</v>
      </c>
      <c r="AD364" s="169">
        <f>(INDEX(Models!$BJ364:$BT364,,AH364)*(1-AF364)+INDEX(Models!$BJ364:$BT364,,AH364+1)*AF364-ERP_i)*AE364*Ramure*Pc/MaxiM</f>
        <v>4.6351343083618568E-3</v>
      </c>
      <c r="AE364" s="304">
        <f t="shared" si="159"/>
        <v>0.7</v>
      </c>
      <c r="AF364" s="177">
        <f t="shared" si="160"/>
        <v>0.19890007395199494</v>
      </c>
      <c r="AG364" s="799">
        <f t="shared" si="161"/>
        <v>-1</v>
      </c>
      <c r="AH364" s="176">
        <f t="shared" si="162"/>
        <v>5</v>
      </c>
      <c r="AI364" s="224">
        <f t="shared" si="163"/>
        <v>-0.80109992604800506</v>
      </c>
      <c r="AJ364" s="264" t="b">
        <f t="shared" si="164"/>
        <v>0</v>
      </c>
      <c r="AK364" s="264" t="b">
        <f t="shared" si="165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66"/>
        <v>43816</v>
      </c>
      <c r="B365" s="607">
        <v>7.0679999999999996</v>
      </c>
      <c r="C365" s="388"/>
      <c r="D365" s="391">
        <f t="shared" si="143"/>
        <v>7.1143424104673159</v>
      </c>
      <c r="E365" s="383">
        <f t="shared" si="169"/>
        <v>7.2702421004453344</v>
      </c>
      <c r="F365" s="383">
        <f t="shared" si="168"/>
        <v>7.2702421004453344</v>
      </c>
      <c r="G365" s="110">
        <f t="shared" si="170"/>
        <v>0.28323382225907345</v>
      </c>
      <c r="I365" s="379">
        <f t="shared" si="144"/>
        <v>7.2702421004453344</v>
      </c>
      <c r="J365" s="85">
        <v>2018</v>
      </c>
      <c r="K365" s="197">
        <f t="shared" si="145"/>
        <v>43816</v>
      </c>
      <c r="L365" s="435">
        <f t="shared" si="146"/>
        <v>6.5139415273479662E-3</v>
      </c>
      <c r="M365" s="842"/>
      <c r="N365" s="842"/>
      <c r="O365" s="323">
        <f t="shared" si="147"/>
        <v>2.1443534867768545E-2</v>
      </c>
      <c r="P365" s="169">
        <f>(INDEX(Models!$BJ365:$BT365,,T365)*(1-R365)+INDEX(Models!$BJ365:$BT365,,T365+1)*R365-ERP_i)*Q365*Ramure*Pc/MaxiM</f>
        <v>3.7945633507280186E-3</v>
      </c>
      <c r="Q365" s="304">
        <f t="shared" si="148"/>
        <v>0.7</v>
      </c>
      <c r="R365" s="177">
        <f t="shared" si="149"/>
        <v>0.1345746771832127</v>
      </c>
      <c r="S365" s="799">
        <f t="shared" si="167"/>
        <v>-1</v>
      </c>
      <c r="T365" s="176">
        <f t="shared" si="150"/>
        <v>5</v>
      </c>
      <c r="U365" s="250">
        <f t="shared" si="151"/>
        <v>-0.8654253228167873</v>
      </c>
      <c r="V365" s="382">
        <f t="shared" si="152"/>
        <v>24.85995482487434</v>
      </c>
      <c r="W365" s="58"/>
      <c r="X365" s="157">
        <f t="shared" si="153"/>
        <v>43816</v>
      </c>
      <c r="Y365" s="383">
        <f t="shared" si="154"/>
        <v>7.0679999999999996</v>
      </c>
      <c r="Z365" s="383">
        <f t="shared" si="155"/>
        <v>7.1143424104673159</v>
      </c>
      <c r="AA365" s="384">
        <f t="shared" si="156"/>
        <v>7.2702421004453344</v>
      </c>
      <c r="AB365" s="197">
        <f t="shared" si="157"/>
        <v>43816</v>
      </c>
      <c r="AC365" s="424">
        <f t="shared" si="158"/>
        <v>2.1443534867768545E-2</v>
      </c>
      <c r="AD365" s="169">
        <f>(INDEX(Models!$BJ365:$BT365,,AH365)*(1-AF365)+INDEX(Models!$BJ365:$BT365,,AH365+1)*AF365-ERP_i)*AE365*Ramure*Pc/MaxiM</f>
        <v>4.6363403877447166E-3</v>
      </c>
      <c r="AE365" s="304">
        <f t="shared" si="159"/>
        <v>0.7</v>
      </c>
      <c r="AF365" s="177">
        <f t="shared" si="160"/>
        <v>0.19890689944304496</v>
      </c>
      <c r="AG365" s="799">
        <f t="shared" si="161"/>
        <v>-1</v>
      </c>
      <c r="AH365" s="176">
        <f t="shared" si="162"/>
        <v>5</v>
      </c>
      <c r="AI365" s="224">
        <f t="shared" si="163"/>
        <v>-0.80109310055695504</v>
      </c>
      <c r="AJ365" s="264" t="b">
        <f t="shared" si="164"/>
        <v>0</v>
      </c>
      <c r="AK365" s="264" t="b">
        <f t="shared" si="165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66"/>
        <v>43817</v>
      </c>
      <c r="B366" s="607">
        <v>14.395</v>
      </c>
      <c r="C366" s="388"/>
      <c r="D366" s="391">
        <f t="shared" si="143"/>
        <v>14.489660684628976</v>
      </c>
      <c r="E366" s="383">
        <f t="shared" si="169"/>
        <v>14.807949947380543</v>
      </c>
      <c r="F366" s="383">
        <f t="shared" si="168"/>
        <v>14.830514408395514</v>
      </c>
      <c r="G366" s="110">
        <f t="shared" si="170"/>
        <v>0.57925972081710353</v>
      </c>
      <c r="I366" s="379">
        <f t="shared" si="144"/>
        <v>14.830514408395514</v>
      </c>
      <c r="J366" s="85">
        <v>2018</v>
      </c>
      <c r="K366" s="197">
        <f t="shared" si="145"/>
        <v>43817</v>
      </c>
      <c r="L366" s="435">
        <f t="shared" si="146"/>
        <v>6.5329814610080028E-3</v>
      </c>
      <c r="M366" s="842"/>
      <c r="N366" s="842"/>
      <c r="O366" s="323">
        <f t="shared" si="147"/>
        <v>2.149448531920994E-2</v>
      </c>
      <c r="P366" s="169">
        <f>(INDEX(Models!$BJ366:$BT366,,T366)*(1-R366)+INDEX(Models!$BJ366:$BT366,,T366+1)*R366-ERP_i)*Q366*Ramure*Pc/MaxiM</f>
        <v>3.7958296351756223E-3</v>
      </c>
      <c r="Q366" s="304">
        <f t="shared" si="148"/>
        <v>0.7</v>
      </c>
      <c r="R366" s="177">
        <f t="shared" si="149"/>
        <v>0.13458122807894812</v>
      </c>
      <c r="S366" s="799">
        <f t="shared" si="167"/>
        <v>-1</v>
      </c>
      <c r="T366" s="176">
        <f t="shared" si="150"/>
        <v>5</v>
      </c>
      <c r="U366" s="250">
        <f t="shared" si="151"/>
        <v>-0.86541877192105188</v>
      </c>
      <c r="V366" s="382">
        <f t="shared" si="152"/>
        <v>24.794078474412011</v>
      </c>
      <c r="W366" s="58"/>
      <c r="X366" s="157">
        <f t="shared" si="153"/>
        <v>43817</v>
      </c>
      <c r="Y366" s="383">
        <f t="shared" si="154"/>
        <v>14.390130051396548</v>
      </c>
      <c r="Z366" s="383">
        <f t="shared" si="155"/>
        <v>14.484758711526123</v>
      </c>
      <c r="AA366" s="384">
        <f t="shared" si="156"/>
        <v>14.802940294364481</v>
      </c>
      <c r="AB366" s="197">
        <f t="shared" si="157"/>
        <v>43817</v>
      </c>
      <c r="AC366" s="424">
        <f t="shared" si="158"/>
        <v>2.149448531920994E-2</v>
      </c>
      <c r="AD366" s="169">
        <f>(INDEX(Models!$BJ366:$BT366,,AH366)*(1-AF366)+INDEX(Models!$BJ366:$BT366,,AH366+1)*AF366-ERP_i)*AE366*Ramure*Pc/MaxiM</f>
        <v>4.6385614588032595E-3</v>
      </c>
      <c r="AE366" s="304">
        <f t="shared" si="159"/>
        <v>0.7</v>
      </c>
      <c r="AF366" s="177">
        <f t="shared" si="160"/>
        <v>0.19891345033878038</v>
      </c>
      <c r="AG366" s="799">
        <f t="shared" si="161"/>
        <v>-1</v>
      </c>
      <c r="AH366" s="176">
        <f t="shared" si="162"/>
        <v>5</v>
      </c>
      <c r="AI366" s="224">
        <f t="shared" si="163"/>
        <v>-0.80108654966121962</v>
      </c>
      <c r="AJ366" s="264" t="b">
        <f t="shared" si="164"/>
        <v>0</v>
      </c>
      <c r="AK366" s="264" t="b">
        <f t="shared" si="165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66"/>
        <v>43818</v>
      </c>
      <c r="B367" s="607">
        <v>12.563000000000001</v>
      </c>
      <c r="C367" s="388"/>
      <c r="D367" s="391">
        <f t="shared" si="143"/>
        <v>12.645855913887257</v>
      </c>
      <c r="E367" s="383">
        <f t="shared" si="169"/>
        <v>12.924317737935072</v>
      </c>
      <c r="F367" s="383">
        <f t="shared" si="168"/>
        <v>12.93889886243978</v>
      </c>
      <c r="G367" s="110">
        <f t="shared" si="170"/>
        <v>0.50640058939888766</v>
      </c>
      <c r="I367" s="379">
        <f t="shared" si="144"/>
        <v>12.93889886243978</v>
      </c>
      <c r="J367" s="85">
        <v>2018</v>
      </c>
      <c r="K367" s="197">
        <f t="shared" si="145"/>
        <v>43818</v>
      </c>
      <c r="L367" s="435">
        <f t="shared" si="146"/>
        <v>6.5520210297720372E-3</v>
      </c>
      <c r="M367" s="842"/>
      <c r="N367" s="842"/>
      <c r="O367" s="323">
        <f t="shared" si="147"/>
        <v>2.1545572439037295E-2</v>
      </c>
      <c r="P367" s="169">
        <f>(INDEX(Models!$BJ367:$BT367,,T367)*(1-R367)+INDEX(Models!$BJ367:$BT367,,T367+1)*R367-ERP_i)*Q367*Ramure*Pc/MaxiM</f>
        <v>3.7969450308348554E-3</v>
      </c>
      <c r="Q367" s="304">
        <f t="shared" si="148"/>
        <v>0.7</v>
      </c>
      <c r="R367" s="177">
        <f t="shared" si="149"/>
        <v>0.13458751541812108</v>
      </c>
      <c r="S367" s="799">
        <f t="shared" si="167"/>
        <v>-1</v>
      </c>
      <c r="T367" s="176">
        <f t="shared" si="150"/>
        <v>5</v>
      </c>
      <c r="U367" s="250">
        <f t="shared" si="151"/>
        <v>-0.86541248458187892</v>
      </c>
      <c r="V367" s="382">
        <f t="shared" si="152"/>
        <v>24.742109141034902</v>
      </c>
      <c r="W367" s="58"/>
      <c r="X367" s="157">
        <f t="shared" si="153"/>
        <v>43818</v>
      </c>
      <c r="Y367" s="383">
        <f t="shared" si="154"/>
        <v>12.559851392130502</v>
      </c>
      <c r="Z367" s="383">
        <f t="shared" si="155"/>
        <v>12.642686540214806</v>
      </c>
      <c r="AA367" s="384">
        <f t="shared" si="156"/>
        <v>12.9210785746351</v>
      </c>
      <c r="AB367" s="197">
        <f t="shared" si="157"/>
        <v>43818</v>
      </c>
      <c r="AC367" s="424">
        <f t="shared" si="158"/>
        <v>2.1545572439037295E-2</v>
      </c>
      <c r="AD367" s="169">
        <f>(INDEX(Models!$BJ367:$BT367,,AH367)*(1-AF367)+INDEX(Models!$BJ367:$BT367,,AH367+1)*AF367-ERP_i)*AE367*Ramure*Pc/MaxiM</f>
        <v>4.6404276437100687E-3</v>
      </c>
      <c r="AE367" s="304">
        <f t="shared" si="159"/>
        <v>0.7</v>
      </c>
      <c r="AF367" s="177">
        <f t="shared" si="160"/>
        <v>0.19891973767795323</v>
      </c>
      <c r="AG367" s="799">
        <f t="shared" si="161"/>
        <v>-1</v>
      </c>
      <c r="AH367" s="176">
        <f t="shared" si="162"/>
        <v>5</v>
      </c>
      <c r="AI367" s="224">
        <f t="shared" si="163"/>
        <v>-0.80108026232204677</v>
      </c>
      <c r="AJ367" s="264" t="b">
        <f t="shared" si="164"/>
        <v>0</v>
      </c>
      <c r="AK367" s="264" t="b">
        <f t="shared" si="165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66"/>
        <v>43819</v>
      </c>
      <c r="B368" s="607">
        <v>7.1619999999999999</v>
      </c>
      <c r="C368" s="388"/>
      <c r="D368" s="391">
        <f t="shared" si="143"/>
        <v>7.2093732257130023</v>
      </c>
      <c r="E368" s="383">
        <f t="shared" si="169"/>
        <v>7.3685093331280029</v>
      </c>
      <c r="F368" s="383">
        <f t="shared" si="168"/>
        <v>7.3685093331280029</v>
      </c>
      <c r="G368" s="110">
        <f t="shared" si="170"/>
        <v>0.28879841752415814</v>
      </c>
      <c r="I368" s="379">
        <f t="shared" si="144"/>
        <v>7.3685093331280029</v>
      </c>
      <c r="J368" s="85">
        <v>2018</v>
      </c>
      <c r="K368" s="197">
        <f t="shared" si="145"/>
        <v>43819</v>
      </c>
      <c r="L368" s="435">
        <f t="shared" si="146"/>
        <v>6.5710602336470636E-3</v>
      </c>
      <c r="M368" s="842"/>
      <c r="N368" s="842"/>
      <c r="O368" s="323">
        <f t="shared" si="147"/>
        <v>2.1596784399735051E-2</v>
      </c>
      <c r="P368" s="169">
        <f>(INDEX(Models!$BJ368:$BT368,,T368)*(1-R368)+INDEX(Models!$BJ368:$BT368,,T368+1)*R368-ERP_i)*Q368*Ramure*Pc/MaxiM</f>
        <v>3.7977346782348677E-3</v>
      </c>
      <c r="Q368" s="304">
        <f t="shared" si="148"/>
        <v>0.7</v>
      </c>
      <c r="R368" s="177">
        <f t="shared" si="149"/>
        <v>0.13459354979639171</v>
      </c>
      <c r="S368" s="799">
        <f t="shared" si="167"/>
        <v>-1</v>
      </c>
      <c r="T368" s="176">
        <f t="shared" si="150"/>
        <v>5</v>
      </c>
      <c r="U368" s="250">
        <f t="shared" si="151"/>
        <v>-0.86540645020360829</v>
      </c>
      <c r="V368" s="382">
        <f t="shared" si="152"/>
        <v>24.705123682464958</v>
      </c>
      <c r="W368" s="58"/>
      <c r="X368" s="157">
        <f t="shared" si="153"/>
        <v>43819</v>
      </c>
      <c r="Y368" s="383">
        <f t="shared" si="154"/>
        <v>7.1619999999999999</v>
      </c>
      <c r="Z368" s="383">
        <f t="shared" si="155"/>
        <v>7.2093732257130023</v>
      </c>
      <c r="AA368" s="384">
        <f t="shared" si="156"/>
        <v>7.3685093331280029</v>
      </c>
      <c r="AB368" s="197">
        <f t="shared" si="157"/>
        <v>43819</v>
      </c>
      <c r="AC368" s="424">
        <f t="shared" si="158"/>
        <v>2.1596784399735051E-2</v>
      </c>
      <c r="AD368" s="169">
        <f>(INDEX(Models!$BJ368:$BT368,,AH368)*(1-AF368)+INDEX(Models!$BJ368:$BT368,,AH368+1)*AF368-ERP_i)*AE368*Ramure*Pc/MaxiM</f>
        <v>4.6417236028035817E-3</v>
      </c>
      <c r="AE368" s="304">
        <f t="shared" si="159"/>
        <v>0.7</v>
      </c>
      <c r="AF368" s="177">
        <f t="shared" si="160"/>
        <v>0.19892577205622397</v>
      </c>
      <c r="AG368" s="799">
        <f t="shared" si="161"/>
        <v>-1</v>
      </c>
      <c r="AH368" s="176">
        <f t="shared" si="162"/>
        <v>5</v>
      </c>
      <c r="AI368" s="224">
        <f t="shared" si="163"/>
        <v>-0.80107422794377603</v>
      </c>
      <c r="AJ368" s="264" t="b">
        <f t="shared" si="164"/>
        <v>0</v>
      </c>
      <c r="AK368" s="264" t="b">
        <f t="shared" si="165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66"/>
        <v>43820</v>
      </c>
      <c r="B369" s="607">
        <v>21.600999999999999</v>
      </c>
      <c r="C369" s="388"/>
      <c r="D369" s="391">
        <f t="shared" si="143"/>
        <v>21.744297071969196</v>
      </c>
      <c r="E369" s="383">
        <f t="shared" si="169"/>
        <v>22.225435738391159</v>
      </c>
      <c r="F369" s="383">
        <f t="shared" si="168"/>
        <v>22.295003218801163</v>
      </c>
      <c r="G369" s="110">
        <f t="shared" si="170"/>
        <v>0.87449932495951899</v>
      </c>
      <c r="I369" s="379">
        <f t="shared" si="144"/>
        <v>22.295003218801163</v>
      </c>
      <c r="J369" s="85">
        <v>2018</v>
      </c>
      <c r="K369" s="197">
        <f t="shared" si="145"/>
        <v>43820</v>
      </c>
      <c r="L369" s="435">
        <f t="shared" si="146"/>
        <v>6.5900990726401876E-3</v>
      </c>
      <c r="M369" s="842"/>
      <c r="N369" s="842"/>
      <c r="O369" s="323">
        <f t="shared" si="147"/>
        <v>2.1648109494243322E-2</v>
      </c>
      <c r="P369" s="169">
        <f>(INDEX(Models!$BJ369:$BT369,,T369)*(1-R369)+INDEX(Models!$BJ369:$BT369,,T369+1)*R369-ERP_i)*Q369*Ramure*Pc/MaxiM</f>
        <v>3.7980244647713326E-3</v>
      </c>
      <c r="Q369" s="304">
        <f t="shared" si="148"/>
        <v>0.7</v>
      </c>
      <c r="R369" s="177">
        <f t="shared" si="149"/>
        <v>0.13459934138406138</v>
      </c>
      <c r="S369" s="799">
        <f t="shared" si="167"/>
        <v>-1</v>
      </c>
      <c r="T369" s="176">
        <f t="shared" si="150"/>
        <v>5</v>
      </c>
      <c r="U369" s="250">
        <f t="shared" si="151"/>
        <v>-0.86540065861593862</v>
      </c>
      <c r="V369" s="382">
        <f t="shared" si="152"/>
        <v>24.684198610475768</v>
      </c>
      <c r="W369" s="58"/>
      <c r="X369" s="157">
        <f t="shared" si="153"/>
        <v>43820</v>
      </c>
      <c r="Y369" s="383">
        <f t="shared" si="154"/>
        <v>21.585971243313015</v>
      </c>
      <c r="Z369" s="383">
        <f t="shared" si="155"/>
        <v>21.729168617266907</v>
      </c>
      <c r="AA369" s="384">
        <f t="shared" si="156"/>
        <v>22.209972534559181</v>
      </c>
      <c r="AB369" s="197">
        <f t="shared" si="157"/>
        <v>43820</v>
      </c>
      <c r="AC369" s="424">
        <f t="shared" si="158"/>
        <v>2.1648109494243322E-2</v>
      </c>
      <c r="AD369" s="169">
        <f>(INDEX(Models!$BJ369:$BT369,,AH369)*(1-AF369)+INDEX(Models!$BJ369:$BT369,,AH369+1)*AF369-ERP_i)*AE369*Ramure*Pc/MaxiM</f>
        <v>4.6422353821635037E-3</v>
      </c>
      <c r="AE369" s="304">
        <f t="shared" si="159"/>
        <v>0.7</v>
      </c>
      <c r="AF369" s="177">
        <f t="shared" si="160"/>
        <v>0.19893156364389353</v>
      </c>
      <c r="AG369" s="799">
        <f t="shared" si="161"/>
        <v>-1</v>
      </c>
      <c r="AH369" s="176">
        <f t="shared" si="162"/>
        <v>5</v>
      </c>
      <c r="AI369" s="224">
        <f t="shared" si="163"/>
        <v>-0.80106843635610647</v>
      </c>
      <c r="AJ369" s="264" t="b">
        <f t="shared" si="164"/>
        <v>0</v>
      </c>
      <c r="AK369" s="264" t="b">
        <f t="shared" si="165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66"/>
        <v>43821</v>
      </c>
      <c r="B370" s="607">
        <v>8.4339999999999993</v>
      </c>
      <c r="C370" s="388"/>
      <c r="D370" s="391">
        <f t="shared" si="143"/>
        <v>8.4901123201110398</v>
      </c>
      <c r="E370" s="383">
        <f t="shared" si="169"/>
        <v>8.6784302311380301</v>
      </c>
      <c r="F370" s="383">
        <f>Wh_sa/(1-Pvg*MEDIAN((-Sdif+Wh/Env_an)/Csdif,0,1))</f>
        <v>8.6803953485533558</v>
      </c>
      <c r="G370" s="110">
        <f t="shared" si="170"/>
        <v>0.34050784299120451</v>
      </c>
      <c r="I370" s="379">
        <f t="shared" si="144"/>
        <v>8.6803953485533558</v>
      </c>
      <c r="J370" s="85">
        <v>2018</v>
      </c>
      <c r="K370" s="197">
        <f t="shared" si="145"/>
        <v>43821</v>
      </c>
      <c r="L370" s="435">
        <f t="shared" si="146"/>
        <v>6.6091375467581814E-3</v>
      </c>
      <c r="M370" s="842"/>
      <c r="N370" s="842"/>
      <c r="O370" s="323">
        <f t="shared" si="147"/>
        <v>2.169953620774746E-2</v>
      </c>
      <c r="P370" s="169">
        <f>(INDEX(Models!$BJ370:$BT370,,T370)*(1-R370)+INDEX(Models!$BJ370:$BT370,,T370+1)*R370-ERP_i)*Q370*Ramure*Pc/MaxiM</f>
        <v>3.7976423477761915E-3</v>
      </c>
      <c r="Q370" s="304">
        <f t="shared" si="148"/>
        <v>0.7</v>
      </c>
      <c r="R370" s="177">
        <f t="shared" si="149"/>
        <v>0.1346048999430991</v>
      </c>
      <c r="S370" s="799">
        <f t="shared" si="167"/>
        <v>-1</v>
      </c>
      <c r="T370" s="176">
        <f t="shared" si="150"/>
        <v>5</v>
      </c>
      <c r="U370" s="250">
        <f t="shared" si="151"/>
        <v>-0.8653951000569009</v>
      </c>
      <c r="V370" s="382">
        <f t="shared" si="152"/>
        <v>24.68041008209655</v>
      </c>
      <c r="W370" s="58"/>
      <c r="X370" s="157">
        <f t="shared" si="153"/>
        <v>43821</v>
      </c>
      <c r="Y370" s="383">
        <f t="shared" si="154"/>
        <v>8.4335755116356594</v>
      </c>
      <c r="Z370" s="383">
        <f t="shared" si="155"/>
        <v>8.4896850075794017</v>
      </c>
      <c r="AA370" s="384">
        <f t="shared" si="156"/>
        <v>8.6779934404510648</v>
      </c>
      <c r="AB370" s="197">
        <f t="shared" si="157"/>
        <v>43821</v>
      </c>
      <c r="AC370" s="424">
        <f t="shared" si="158"/>
        <v>2.169953620774746E-2</v>
      </c>
      <c r="AD370" s="169">
        <f>(INDEX(Models!$BJ370:$BT370,,AH370)*(1-AF370)+INDEX(Models!$BJ370:$BT370,,AH370+1)*AF370-ERP_i)*AE370*Ramure*Pc/MaxiM</f>
        <v>4.6417521180101345E-3</v>
      </c>
      <c r="AE370" s="304">
        <f t="shared" si="159"/>
        <v>0.7</v>
      </c>
      <c r="AF370" s="177">
        <f t="shared" si="160"/>
        <v>0.19893712220293125</v>
      </c>
      <c r="AG370" s="799">
        <f t="shared" si="161"/>
        <v>-1</v>
      </c>
      <c r="AH370" s="176">
        <f t="shared" si="162"/>
        <v>5</v>
      </c>
      <c r="AI370" s="224">
        <f t="shared" si="163"/>
        <v>-0.80106287779706875</v>
      </c>
      <c r="AJ370" s="264" t="b">
        <f t="shared" si="164"/>
        <v>0</v>
      </c>
      <c r="AK370" s="264" t="b">
        <f t="shared" si="165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66"/>
        <v>43822</v>
      </c>
      <c r="B371" s="607">
        <v>8.7899999999999991</v>
      </c>
      <c r="C371" s="388"/>
      <c r="D371" s="391">
        <f t="shared" si="143"/>
        <v>8.8486504092309914</v>
      </c>
      <c r="E371" s="383">
        <f t="shared" si="169"/>
        <v>9.0453973285106297</v>
      </c>
      <c r="F371" s="383">
        <f t="shared" si="168"/>
        <v>9.0481426182217444</v>
      </c>
      <c r="G371" s="110">
        <f t="shared" si="170"/>
        <v>0.35470119590226407</v>
      </c>
      <c r="I371" s="379">
        <f t="shared" si="144"/>
        <v>9.0481426182217444</v>
      </c>
      <c r="J371" s="85">
        <v>2018</v>
      </c>
      <c r="K371" s="197">
        <f t="shared" si="145"/>
        <v>43822</v>
      </c>
      <c r="L371" s="435">
        <f t="shared" si="146"/>
        <v>6.6281756560082616E-3</v>
      </c>
      <c r="M371" s="842"/>
      <c r="N371" s="842"/>
      <c r="O371" s="323">
        <f t="shared" si="147"/>
        <v>2.1751053285354559E-2</v>
      </c>
      <c r="P371" s="169">
        <f>(INDEX(Models!$BJ371:$BT371,,T371)*(1-R371)+INDEX(Models!$BJ371:$BT371,,T371+1)*R371-ERP_i)*Q371*Ramure*Pc/MaxiM</f>
        <v>3.7963524736010228E-3</v>
      </c>
      <c r="Q371" s="304">
        <f t="shared" si="148"/>
        <v>0.7</v>
      </c>
      <c r="R371" s="177">
        <f t="shared" si="149"/>
        <v>0.1346048999430991</v>
      </c>
      <c r="S371" s="799">
        <f t="shared" si="167"/>
        <v>-1</v>
      </c>
      <c r="T371" s="176">
        <f t="shared" si="150"/>
        <v>5</v>
      </c>
      <c r="U371" s="250">
        <f t="shared" si="151"/>
        <v>-0.8653951000569009</v>
      </c>
      <c r="V371" s="382">
        <f t="shared" si="152"/>
        <v>24.694835572658327</v>
      </c>
      <c r="W371" s="58"/>
      <c r="X371" s="157">
        <f t="shared" si="153"/>
        <v>43822</v>
      </c>
      <c r="Y371" s="383">
        <f t="shared" si="154"/>
        <v>8.7894071504310904</v>
      </c>
      <c r="Z371" s="383">
        <f t="shared" si="155"/>
        <v>8.8480536039317261</v>
      </c>
      <c r="AA371" s="384">
        <f t="shared" si="156"/>
        <v>9.0447872534359064</v>
      </c>
      <c r="AB371" s="197">
        <f t="shared" si="157"/>
        <v>43822</v>
      </c>
      <c r="AC371" s="424">
        <f t="shared" si="158"/>
        <v>2.1751053285354559E-2</v>
      </c>
      <c r="AD371" s="169">
        <f>(INDEX(Models!$BJ371:$BT371,,AH371)*(1-AF371)+INDEX(Models!$BJ371:$BT371,,AH371+1)*AF371-ERP_i)*AE371*Ramure*Pc/MaxiM</f>
        <v>4.6400011455903205E-3</v>
      </c>
      <c r="AE371" s="304">
        <f t="shared" si="159"/>
        <v>0.7</v>
      </c>
      <c r="AF371" s="177">
        <f t="shared" si="160"/>
        <v>0.19893712220293125</v>
      </c>
      <c r="AG371" s="799">
        <f t="shared" si="161"/>
        <v>-1</v>
      </c>
      <c r="AH371" s="176">
        <f t="shared" si="162"/>
        <v>5</v>
      </c>
      <c r="AI371" s="224">
        <f t="shared" si="163"/>
        <v>-0.80106287779706875</v>
      </c>
      <c r="AJ371" s="264" t="b">
        <f t="shared" si="164"/>
        <v>0</v>
      </c>
      <c r="AK371" s="264" t="b">
        <f t="shared" si="165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66"/>
        <v>43823</v>
      </c>
      <c r="B372" s="607">
        <v>12.544</v>
      </c>
      <c r="C372" s="388"/>
      <c r="D372" s="391">
        <f t="shared" si="143"/>
        <v>12.627940616082647</v>
      </c>
      <c r="E372" s="383">
        <f t="shared" si="169"/>
        <v>12.909399737628314</v>
      </c>
      <c r="F372" s="383">
        <f t="shared" si="168"/>
        <v>12.923918581026955</v>
      </c>
      <c r="G372" s="110">
        <f t="shared" si="170"/>
        <v>0.50591167956475469</v>
      </c>
      <c r="I372" s="379">
        <f t="shared" si="144"/>
        <v>12.923918581026955</v>
      </c>
      <c r="J372" s="85">
        <v>2018</v>
      </c>
      <c r="K372" s="197">
        <f t="shared" si="145"/>
        <v>43823</v>
      </c>
      <c r="L372" s="435">
        <f t="shared" si="146"/>
        <v>6.6472134003973116E-3</v>
      </c>
      <c r="M372" s="842"/>
      <c r="N372" s="842"/>
      <c r="O372" s="323">
        <f t="shared" si="147"/>
        <v>2.180264979519311E-2</v>
      </c>
      <c r="P372" s="169">
        <f>(INDEX(Models!$BJ372:$BT372,,T372)*(1-R372)+INDEX(Models!$BJ372:$BT372,,T372+1)*R372-ERP_i)*Q372*Ramure*Pc/MaxiM</f>
        <v>3.7940558811295358E-3</v>
      </c>
      <c r="Q372" s="304">
        <f t="shared" si="148"/>
        <v>0.7</v>
      </c>
      <c r="R372" s="177">
        <f t="shared" si="149"/>
        <v>0.1346048999430991</v>
      </c>
      <c r="S372" s="799">
        <f t="shared" si="167"/>
        <v>-1</v>
      </c>
      <c r="T372" s="176">
        <f t="shared" si="150"/>
        <v>5</v>
      </c>
      <c r="U372" s="250">
        <f t="shared" si="151"/>
        <v>-0.8653951000569009</v>
      </c>
      <c r="V372" s="382">
        <f t="shared" si="152"/>
        <v>24.728548935920145</v>
      </c>
      <c r="W372" s="58"/>
      <c r="X372" s="157">
        <f t="shared" si="153"/>
        <v>43823</v>
      </c>
      <c r="Y372" s="383">
        <f t="shared" si="154"/>
        <v>12.540866153127862</v>
      </c>
      <c r="Z372" s="383">
        <f t="shared" si="155"/>
        <v>12.624785798464561</v>
      </c>
      <c r="AA372" s="384">
        <f t="shared" si="156"/>
        <v>12.906174603541185</v>
      </c>
      <c r="AB372" s="197">
        <f t="shared" si="157"/>
        <v>43823</v>
      </c>
      <c r="AC372" s="424">
        <f t="shared" si="158"/>
        <v>2.180264979519311E-2</v>
      </c>
      <c r="AD372" s="169">
        <f>(INDEX(Models!$BJ372:$BT372,,AH372)*(1-AF372)+INDEX(Models!$BJ372:$BT372,,AH372+1)*AF372-ERP_i)*AE372*Ramure*Pc/MaxiM</f>
        <v>4.6368460824378951E-3</v>
      </c>
      <c r="AE372" s="304">
        <f t="shared" si="159"/>
        <v>0.7</v>
      </c>
      <c r="AF372" s="177">
        <f t="shared" si="160"/>
        <v>0.19893712220293125</v>
      </c>
      <c r="AG372" s="799">
        <f t="shared" si="161"/>
        <v>-1</v>
      </c>
      <c r="AH372" s="176">
        <f t="shared" si="162"/>
        <v>5</v>
      </c>
      <c r="AI372" s="224">
        <f t="shared" si="163"/>
        <v>-0.80106287779706875</v>
      </c>
      <c r="AJ372" s="264" t="b">
        <f t="shared" si="164"/>
        <v>0</v>
      </c>
      <c r="AK372" s="264" t="b">
        <f t="shared" si="165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66"/>
        <v>43824</v>
      </c>
      <c r="B373" s="607">
        <v>14.941000000000001</v>
      </c>
      <c r="C373" s="388"/>
      <c r="D373" s="391">
        <f t="shared" si="143"/>
        <v>15.041268870338063</v>
      </c>
      <c r="E373" s="383">
        <f t="shared" si="169"/>
        <v>15.37732988435792</v>
      </c>
      <c r="F373" s="383">
        <f t="shared" si="168"/>
        <v>15.402591944038759</v>
      </c>
      <c r="G373" s="110">
        <f t="shared" si="170"/>
        <v>0.60158065960825424</v>
      </c>
      <c r="I373" s="379">
        <f t="shared" si="144"/>
        <v>15.402591944038759</v>
      </c>
      <c r="J373" s="85">
        <v>2018</v>
      </c>
      <c r="K373" s="197">
        <f t="shared" si="145"/>
        <v>43824</v>
      </c>
      <c r="L373" s="435">
        <f t="shared" si="146"/>
        <v>6.6662507799323256E-3</v>
      </c>
      <c r="M373" s="842"/>
      <c r="N373" s="842"/>
      <c r="O373" s="323">
        <f t="shared" si="147"/>
        <v>2.1854315186520375E-2</v>
      </c>
      <c r="P373" s="169">
        <f>(INDEX(Models!$BJ373:$BT373,,T373)*(1-R373)+INDEX(Models!$BJ373:$BT373,,T373+1)*R373-ERP_i)*Q373*Ramure*Pc/MaxiM</f>
        <v>3.7905608239132073E-3</v>
      </c>
      <c r="Q373" s="304">
        <f t="shared" si="148"/>
        <v>0.7</v>
      </c>
      <c r="R373" s="177">
        <f t="shared" si="149"/>
        <v>0.1346048999430991</v>
      </c>
      <c r="S373" s="799">
        <f t="shared" si="167"/>
        <v>-1</v>
      </c>
      <c r="T373" s="176">
        <f t="shared" si="150"/>
        <v>5</v>
      </c>
      <c r="U373" s="250">
        <f t="shared" si="151"/>
        <v>-0.8653951000569009</v>
      </c>
      <c r="V373" s="382">
        <f t="shared" si="152"/>
        <v>24.782740608627716</v>
      </c>
      <c r="W373" s="58"/>
      <c r="X373" s="157">
        <f t="shared" si="153"/>
        <v>43824</v>
      </c>
      <c r="Y373" s="383">
        <f t="shared" si="154"/>
        <v>14.93555102649834</v>
      </c>
      <c r="Z373" s="383">
        <f t="shared" si="155"/>
        <v>15.03578332884112</v>
      </c>
      <c r="AA373" s="384">
        <f t="shared" si="156"/>
        <v>15.371721781616058</v>
      </c>
      <c r="AB373" s="197">
        <f t="shared" si="157"/>
        <v>43824</v>
      </c>
      <c r="AC373" s="424">
        <f t="shared" si="158"/>
        <v>2.1854315186520375E-2</v>
      </c>
      <c r="AD373" s="169">
        <f>(INDEX(Models!$BJ373:$BT373,,AH373)*(1-AF373)+INDEX(Models!$BJ373:$BT373,,AH373+1)*AF373-ERP_i)*AE373*Ramure*Pc/MaxiM</f>
        <v>4.6320541470368203E-3</v>
      </c>
      <c r="AE373" s="304">
        <f t="shared" si="159"/>
        <v>0.7</v>
      </c>
      <c r="AF373" s="177">
        <f t="shared" si="160"/>
        <v>0.19893712220293125</v>
      </c>
      <c r="AG373" s="799">
        <f t="shared" si="161"/>
        <v>-1</v>
      </c>
      <c r="AH373" s="176">
        <f t="shared" si="162"/>
        <v>5</v>
      </c>
      <c r="AI373" s="224">
        <f t="shared" si="163"/>
        <v>-0.80106287779706875</v>
      </c>
      <c r="AJ373" s="264" t="b">
        <f t="shared" si="164"/>
        <v>0</v>
      </c>
      <c r="AK373" s="264" t="b">
        <f t="shared" si="165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66"/>
        <v>43825</v>
      </c>
      <c r="B374" s="607">
        <v>6.4059999999999997</v>
      </c>
      <c r="C374" s="388"/>
      <c r="D374" s="391">
        <f t="shared" si="143"/>
        <v>6.4491141843426982</v>
      </c>
      <c r="E374" s="383">
        <f t="shared" si="169"/>
        <v>6.5935528116411817</v>
      </c>
      <c r="F374" s="383">
        <f t="shared" si="168"/>
        <v>6.5935528116411817</v>
      </c>
      <c r="G374" s="110">
        <f t="shared" si="170"/>
        <v>0.25673763615981621</v>
      </c>
      <c r="I374" s="379">
        <f t="shared" si="144"/>
        <v>6.5935528116411817</v>
      </c>
      <c r="J374" s="85">
        <v>2018</v>
      </c>
      <c r="K374" s="197">
        <f t="shared" si="145"/>
        <v>43825</v>
      </c>
      <c r="L374" s="435">
        <f t="shared" si="146"/>
        <v>6.6852877946201872E-3</v>
      </c>
      <c r="M374" s="842"/>
      <c r="N374" s="842"/>
      <c r="O374" s="323">
        <f t="shared" si="147"/>
        <v>2.1906039342472712E-2</v>
      </c>
      <c r="P374" s="169">
        <f>(INDEX(Models!$BJ374:$BT374,,T374)*(1-R374)+INDEX(Models!$BJ374:$BT374,,T374+1)*R374-ERP_i)*Q374*Ramure*Pc/MaxiM</f>
        <v>3.7859154744869913E-3</v>
      </c>
      <c r="Q374" s="304">
        <f t="shared" si="148"/>
        <v>0.7</v>
      </c>
      <c r="R374" s="177">
        <f t="shared" si="149"/>
        <v>0.1346048999430991</v>
      </c>
      <c r="S374" s="799">
        <f t="shared" si="167"/>
        <v>-1</v>
      </c>
      <c r="T374" s="176">
        <f t="shared" si="150"/>
        <v>5</v>
      </c>
      <c r="U374" s="250">
        <f t="shared" si="151"/>
        <v>-0.8653951000569009</v>
      </c>
      <c r="V374" s="382">
        <f t="shared" si="152"/>
        <v>24.857077913959884</v>
      </c>
      <c r="W374" s="58"/>
      <c r="X374" s="157">
        <f t="shared" si="153"/>
        <v>43825</v>
      </c>
      <c r="Y374" s="383">
        <f t="shared" si="154"/>
        <v>6.4059999999999997</v>
      </c>
      <c r="Z374" s="383">
        <f t="shared" si="155"/>
        <v>6.4491141843426982</v>
      </c>
      <c r="AA374" s="384">
        <f t="shared" si="156"/>
        <v>6.5935528116411817</v>
      </c>
      <c r="AB374" s="197">
        <f t="shared" si="157"/>
        <v>43825</v>
      </c>
      <c r="AC374" s="424">
        <f t="shared" si="158"/>
        <v>2.1906039342472712E-2</v>
      </c>
      <c r="AD374" s="169">
        <f>(INDEX(Models!$BJ374:$BT374,,AH374)*(1-AF374)+INDEX(Models!$BJ374:$BT374,,AH374+1)*AF374-ERP_i)*AE374*Ramure*Pc/MaxiM</f>
        <v>4.6256865680333855E-3</v>
      </c>
      <c r="AE374" s="304">
        <f t="shared" si="159"/>
        <v>0.7</v>
      </c>
      <c r="AF374" s="177">
        <f t="shared" si="160"/>
        <v>0.19893712220293125</v>
      </c>
      <c r="AG374" s="799">
        <f t="shared" si="161"/>
        <v>-1</v>
      </c>
      <c r="AH374" s="176">
        <f t="shared" si="162"/>
        <v>5</v>
      </c>
      <c r="AI374" s="224">
        <f t="shared" si="163"/>
        <v>-0.80106287779706875</v>
      </c>
      <c r="AJ374" s="264" t="b">
        <f t="shared" si="164"/>
        <v>0</v>
      </c>
      <c r="AK374" s="264" t="b">
        <f t="shared" si="165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66"/>
        <v>43826</v>
      </c>
      <c r="B375" s="607">
        <v>23.716999999999999</v>
      </c>
      <c r="C375" s="388"/>
      <c r="D375" s="391">
        <f t="shared" si="143"/>
        <v>23.87707968902162</v>
      </c>
      <c r="E375" s="383">
        <f t="shared" si="169"/>
        <v>24.413138816801506</v>
      </c>
      <c r="F375" s="383">
        <f t="shared" si="168"/>
        <v>24.49923801757005</v>
      </c>
      <c r="G375" s="110">
        <f t="shared" si="170"/>
        <v>0.95031405958834558</v>
      </c>
      <c r="I375" s="379">
        <f t="shared" si="144"/>
        <v>24.49923801757005</v>
      </c>
      <c r="J375" s="85">
        <v>2018</v>
      </c>
      <c r="K375" s="197">
        <f t="shared" si="145"/>
        <v>43826</v>
      </c>
      <c r="L375" s="435">
        <f t="shared" si="146"/>
        <v>6.7043244444681127E-3</v>
      </c>
      <c r="M375" s="842"/>
      <c r="N375" s="842"/>
      <c r="O375" s="323">
        <f t="shared" si="147"/>
        <v>2.1957812627148191E-2</v>
      </c>
      <c r="P375" s="169">
        <f>(INDEX(Models!$BJ375:$BT375,,T375)*(1-R375)+INDEX(Models!$BJ375:$BT375,,T375+1)*R375-ERP_i)*Q375*Ramure*Pc/MaxiM</f>
        <v>3.7813890611534651E-3</v>
      </c>
      <c r="Q375" s="304">
        <f t="shared" si="148"/>
        <v>0.7</v>
      </c>
      <c r="R375" s="177">
        <f t="shared" si="149"/>
        <v>0.1346048999430991</v>
      </c>
      <c r="S375" s="799">
        <f t="shared" si="167"/>
        <v>-1</v>
      </c>
      <c r="T375" s="176">
        <f t="shared" si="150"/>
        <v>5</v>
      </c>
      <c r="U375" s="250">
        <f t="shared" si="151"/>
        <v>-0.8653951000569009</v>
      </c>
      <c r="V375" s="382">
        <f t="shared" si="152"/>
        <v>24.950324952155125</v>
      </c>
      <c r="W375" s="58"/>
      <c r="X375" s="157">
        <f t="shared" si="153"/>
        <v>43826</v>
      </c>
      <c r="Y375" s="383">
        <f t="shared" si="154"/>
        <v>23.698469344554493</v>
      </c>
      <c r="Z375" s="383">
        <f t="shared" si="155"/>
        <v>23.858423959512738</v>
      </c>
      <c r="AA375" s="384">
        <f t="shared" si="156"/>
        <v>24.394064251563176</v>
      </c>
      <c r="AB375" s="197">
        <f t="shared" si="157"/>
        <v>43826</v>
      </c>
      <c r="AC375" s="424">
        <f t="shared" si="158"/>
        <v>2.1957812627148191E-2</v>
      </c>
      <c r="AD375" s="169">
        <f>(INDEX(Models!$BJ375:$BT375,,AH375)*(1-AF375)+INDEX(Models!$BJ375:$BT375,,AH375+1)*AF375-ERP_i)*AE375*Ramure*Pc/MaxiM</f>
        <v>4.6191245069490353E-3</v>
      </c>
      <c r="AE375" s="304">
        <f t="shared" si="159"/>
        <v>0.7</v>
      </c>
      <c r="AF375" s="177">
        <f t="shared" si="160"/>
        <v>0.19893712220293125</v>
      </c>
      <c r="AG375" s="799">
        <f t="shared" si="161"/>
        <v>-1</v>
      </c>
      <c r="AH375" s="176">
        <f t="shared" si="162"/>
        <v>5</v>
      </c>
      <c r="AI375" s="224">
        <f t="shared" si="163"/>
        <v>-0.80106287779706875</v>
      </c>
      <c r="AJ375" s="264" t="b">
        <f t="shared" si="164"/>
        <v>0</v>
      </c>
      <c r="AK375" s="264" t="b">
        <f t="shared" si="165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66"/>
        <v>43827</v>
      </c>
      <c r="B376" s="607">
        <v>4.8360000000000003</v>
      </c>
      <c r="C376" s="388"/>
      <c r="D376" s="391">
        <f t="shared" si="143"/>
        <v>4.868734256703811</v>
      </c>
      <c r="E376" s="383">
        <f t="shared" si="169"/>
        <v>4.9783048849714282</v>
      </c>
      <c r="F376" s="383">
        <f t="shared" si="168"/>
        <v>4.9783048849714282</v>
      </c>
      <c r="G376" s="110">
        <f t="shared" si="170"/>
        <v>0.19223818468869777</v>
      </c>
      <c r="I376" s="379">
        <f t="shared" si="144"/>
        <v>4.9783048849714282</v>
      </c>
      <c r="J376" s="85">
        <v>2018</v>
      </c>
      <c r="K376" s="197">
        <f t="shared" si="145"/>
        <v>43827</v>
      </c>
      <c r="L376" s="435">
        <f t="shared" si="146"/>
        <v>6.7233607294829856E-3</v>
      </c>
      <c r="M376" s="842"/>
      <c r="N376" s="842"/>
      <c r="O376" s="323">
        <f t="shared" si="147"/>
        <v>2.2009625926766967E-2</v>
      </c>
      <c r="P376" s="169">
        <f>(INDEX(Models!$BJ376:$BT376,,T376)*(1-R376)+INDEX(Models!$BJ376:$BT376,,T376+1)*R376-ERP_i)*Q376*Ramure*Pc/MaxiM</f>
        <v>3.7763110818455231E-3</v>
      </c>
      <c r="Q376" s="304">
        <f t="shared" si="148"/>
        <v>0.7</v>
      </c>
      <c r="R376" s="177">
        <f t="shared" si="149"/>
        <v>0.1346048999430991</v>
      </c>
      <c r="S376" s="799">
        <f t="shared" si="167"/>
        <v>-1</v>
      </c>
      <c r="T376" s="176">
        <f t="shared" si="150"/>
        <v>5</v>
      </c>
      <c r="U376" s="250">
        <f t="shared" si="151"/>
        <v>-0.8653951000569009</v>
      </c>
      <c r="V376" s="382">
        <f t="shared" si="152"/>
        <v>25.061294494690699</v>
      </c>
      <c r="W376" s="58"/>
      <c r="X376" s="157">
        <f t="shared" si="153"/>
        <v>43827</v>
      </c>
      <c r="Y376" s="383">
        <f t="shared" si="154"/>
        <v>4.8360000000000003</v>
      </c>
      <c r="Z376" s="383">
        <f t="shared" si="155"/>
        <v>4.868734256703811</v>
      </c>
      <c r="AA376" s="384">
        <f t="shared" si="156"/>
        <v>4.9783048849714282</v>
      </c>
      <c r="AB376" s="197">
        <f t="shared" si="157"/>
        <v>43827</v>
      </c>
      <c r="AC376" s="424">
        <f t="shared" si="158"/>
        <v>2.2009625926766967E-2</v>
      </c>
      <c r="AD376" s="169">
        <f>(INDEX(Models!$BJ376:$BT376,,AH376)*(1-AF376)+INDEX(Models!$BJ376:$BT376,,AH376+1)*AF376-ERP_i)*AE376*Ramure*Pc/MaxiM</f>
        <v>4.6116401172642853E-3</v>
      </c>
      <c r="AE376" s="304">
        <f t="shared" si="159"/>
        <v>0.7</v>
      </c>
      <c r="AF376" s="177">
        <f t="shared" si="160"/>
        <v>0.19893712220293125</v>
      </c>
      <c r="AG376" s="799">
        <f t="shared" si="161"/>
        <v>-1</v>
      </c>
      <c r="AH376" s="176">
        <f t="shared" si="162"/>
        <v>5</v>
      </c>
      <c r="AI376" s="224">
        <f t="shared" si="163"/>
        <v>-0.80106287779706875</v>
      </c>
      <c r="AJ376" s="264" t="b">
        <f t="shared" si="164"/>
        <v>0</v>
      </c>
      <c r="AK376" s="264" t="b">
        <f t="shared" si="165"/>
        <v>0</v>
      </c>
      <c r="AL376" s="264"/>
      <c r="AM376" s="264"/>
      <c r="AN376" s="75"/>
    </row>
    <row r="377" spans="1:40" s="6" customFormat="1" ht="11.25" customHeight="1" x14ac:dyDescent="0.2">
      <c r="A377" s="56">
        <f t="shared" si="166"/>
        <v>43828</v>
      </c>
      <c r="B377" s="607">
        <v>24.535</v>
      </c>
      <c r="C377" s="388"/>
      <c r="D377" s="391">
        <f t="shared" si="143"/>
        <v>24.701547631995677</v>
      </c>
      <c r="E377" s="383">
        <f t="shared" si="169"/>
        <v>25.258793770290136</v>
      </c>
      <c r="F377" s="383">
        <f t="shared" si="168"/>
        <v>25.350843824112598</v>
      </c>
      <c r="G377" s="110">
        <f t="shared" si="170"/>
        <v>0.97390816924090728</v>
      </c>
      <c r="I377" s="379">
        <f t="shared" si="144"/>
        <v>25.350843824112598</v>
      </c>
      <c r="J377" s="85">
        <v>2018</v>
      </c>
      <c r="K377" s="197">
        <f t="shared" si="145"/>
        <v>43828</v>
      </c>
      <c r="L377" s="435">
        <f t="shared" si="146"/>
        <v>6.7423966496718002E-3</v>
      </c>
      <c r="M377" s="842"/>
      <c r="N377" s="842"/>
      <c r="O377" s="323">
        <f t="shared" si="147"/>
        <v>2.2061470684712613E-2</v>
      </c>
      <c r="P377" s="169">
        <f>(INDEX(Models!$BJ377:$BT377,,T377)*(1-R377)+INDEX(Models!$BJ377:$BT377,,T377+1)*R377-ERP_i)*Q377*Ramure*Pc/MaxiM</f>
        <v>3.7708639928560376E-3</v>
      </c>
      <c r="Q377" s="304">
        <f t="shared" si="148"/>
        <v>0.7</v>
      </c>
      <c r="R377" s="177">
        <f t="shared" si="149"/>
        <v>0.1346048999430991</v>
      </c>
      <c r="S377" s="799">
        <f t="shared" si="167"/>
        <v>-1</v>
      </c>
      <c r="T377" s="176">
        <f t="shared" si="150"/>
        <v>5</v>
      </c>
      <c r="U377" s="250">
        <f t="shared" si="151"/>
        <v>-0.8653951000569009</v>
      </c>
      <c r="V377" s="382">
        <f t="shared" si="152"/>
        <v>25.188778381149682</v>
      </c>
      <c r="W377" s="58"/>
      <c r="X377" s="157">
        <f t="shared" si="153"/>
        <v>43828</v>
      </c>
      <c r="Y377" s="383">
        <f t="shared" si="154"/>
        <v>24.51525796276006</v>
      </c>
      <c r="Z377" s="383">
        <f t="shared" si="155"/>
        <v>24.681671582546521</v>
      </c>
      <c r="AA377" s="384">
        <f t="shared" si="156"/>
        <v>25.238469333883</v>
      </c>
      <c r="AB377" s="197">
        <f t="shared" si="157"/>
        <v>43828</v>
      </c>
      <c r="AC377" s="424">
        <f t="shared" si="158"/>
        <v>2.2061470684712613E-2</v>
      </c>
      <c r="AD377" s="169">
        <f>(INDEX(Models!$BJ377:$BT377,,AH377)*(1-AF377)+INDEX(Models!$BJ377:$BT377,,AH377+1)*AF377-ERP_i)*AE377*Ramure*Pc/MaxiM</f>
        <v>4.6034619353903777E-3</v>
      </c>
      <c r="AE377" s="304">
        <f t="shared" si="159"/>
        <v>0.7</v>
      </c>
      <c r="AF377" s="177">
        <f t="shared" si="160"/>
        <v>0.19893712220293125</v>
      </c>
      <c r="AG377" s="799">
        <f t="shared" si="161"/>
        <v>-1</v>
      </c>
      <c r="AH377" s="176">
        <f t="shared" si="162"/>
        <v>5</v>
      </c>
      <c r="AI377" s="224">
        <f t="shared" si="163"/>
        <v>-0.80106287779706875</v>
      </c>
      <c r="AJ377" s="264" t="b">
        <f t="shared" si="164"/>
        <v>0</v>
      </c>
      <c r="AK377" s="264" t="b">
        <f t="shared" si="165"/>
        <v>0</v>
      </c>
      <c r="AL377" s="264"/>
      <c r="AM377" s="264"/>
      <c r="AN377" s="75"/>
    </row>
    <row r="378" spans="1:40" s="6" customFormat="1" ht="11.25" x14ac:dyDescent="0.2">
      <c r="A378" s="56">
        <f t="shared" si="166"/>
        <v>43829</v>
      </c>
      <c r="B378" s="607">
        <v>25.408000000000001</v>
      </c>
      <c r="C378" s="388"/>
      <c r="D378" s="391">
        <f t="shared" si="143"/>
        <v>25.580963953511279</v>
      </c>
      <c r="E378" s="383">
        <f t="shared" si="169"/>
        <v>26.159436437683858</v>
      </c>
      <c r="F378" s="383">
        <f t="shared" si="168"/>
        <v>26.258304943114872</v>
      </c>
      <c r="G378" s="110">
        <f t="shared" si="170"/>
        <v>1.0030172324848812</v>
      </c>
      <c r="I378" s="379">
        <f t="shared" si="144"/>
        <v>26.258304943114872</v>
      </c>
      <c r="J378" s="85">
        <v>2018</v>
      </c>
      <c r="K378" s="197">
        <f t="shared" si="145"/>
        <v>43829</v>
      </c>
      <c r="L378" s="435">
        <f t="shared" si="146"/>
        <v>6.761432205041551E-3</v>
      </c>
      <c r="M378" s="842"/>
      <c r="N378" s="842"/>
      <c r="O378" s="323">
        <f t="shared" si="147"/>
        <v>2.2113338930316633E-2</v>
      </c>
      <c r="P378" s="169">
        <f>(INDEX(Models!$BJ378:$BT378,,T378)*(1-R378)+INDEX(Models!$BJ378:$BT378,,T378+1)*R378-ERP_i)*Q378*Ramure*Pc/MaxiM</f>
        <v>3.7652280162485318E-3</v>
      </c>
      <c r="Q378" s="304">
        <f t="shared" si="148"/>
        <v>0.7</v>
      </c>
      <c r="R378" s="177">
        <f t="shared" si="149"/>
        <v>0.1346048999430991</v>
      </c>
      <c r="S378" s="799">
        <f t="shared" si="167"/>
        <v>-1</v>
      </c>
      <c r="T378" s="176">
        <f t="shared" si="150"/>
        <v>5</v>
      </c>
      <c r="U378" s="250">
        <f t="shared" si="151"/>
        <v>-0.8653951000569009</v>
      </c>
      <c r="V378" s="382">
        <f t="shared" si="152"/>
        <v>25.331568767820734</v>
      </c>
      <c r="W378" s="58"/>
      <c r="X378" s="157">
        <f t="shared" si="153"/>
        <v>43829</v>
      </c>
      <c r="Y378" s="383">
        <f t="shared" si="154"/>
        <v>25.386842156451561</v>
      </c>
      <c r="Z378" s="383">
        <f t="shared" si="155"/>
        <v>25.55966207878101</v>
      </c>
      <c r="AA378" s="384">
        <f t="shared" si="156"/>
        <v>26.137652855211254</v>
      </c>
      <c r="AB378" s="197">
        <f t="shared" si="157"/>
        <v>43829</v>
      </c>
      <c r="AC378" s="424">
        <f t="shared" si="158"/>
        <v>2.2113338930316633E-2</v>
      </c>
      <c r="AD378" s="169">
        <f>(INDEX(Models!$BJ378:$BT378,,AH378)*(1-AF378)+INDEX(Models!$BJ378:$BT378,,AH378+1)*AF378-ERP_i)*AE378*Ramure*Pc/MaxiM</f>
        <v>4.5948163129719754E-3</v>
      </c>
      <c r="AE378" s="304">
        <f t="shared" si="159"/>
        <v>0.7</v>
      </c>
      <c r="AF378" s="177">
        <f t="shared" si="160"/>
        <v>0.19893712220293125</v>
      </c>
      <c r="AG378" s="799">
        <f t="shared" si="161"/>
        <v>-1</v>
      </c>
      <c r="AH378" s="176">
        <f t="shared" si="162"/>
        <v>5</v>
      </c>
      <c r="AI378" s="224">
        <f t="shared" si="163"/>
        <v>-0.80106287779706875</v>
      </c>
      <c r="AJ378" s="264" t="b">
        <f t="shared" si="164"/>
        <v>0</v>
      </c>
      <c r="AK378" s="264" t="b">
        <f t="shared" si="165"/>
        <v>0</v>
      </c>
      <c r="AL378" s="264"/>
      <c r="AM378" s="264"/>
      <c r="AN378" s="75"/>
    </row>
    <row r="379" spans="1:40" s="18" customFormat="1" ht="12.75" x14ac:dyDescent="0.2">
      <c r="A379" s="56">
        <f t="shared" si="166"/>
        <v>43830</v>
      </c>
      <c r="B379" s="607">
        <v>20.329000000000001</v>
      </c>
      <c r="C379" s="388"/>
      <c r="D379" s="391">
        <f t="shared" si="143"/>
        <v>20.467781122561792</v>
      </c>
      <c r="E379" s="383">
        <f t="shared" si="169"/>
        <v>20.931737764189474</v>
      </c>
      <c r="F379" s="383">
        <f t="shared" si="168"/>
        <v>20.987825608365597</v>
      </c>
      <c r="G379" s="110">
        <f t="shared" si="170"/>
        <v>0.79670725383516605</v>
      </c>
      <c r="I379" s="379">
        <f t="shared" si="144"/>
        <v>20.987825608365597</v>
      </c>
      <c r="J379" s="85">
        <v>2018</v>
      </c>
      <c r="K379" s="197">
        <f t="shared" si="145"/>
        <v>43830</v>
      </c>
      <c r="L379" s="435">
        <f>IF(t&lt;T0,0,IF(t&lt;Tvie,1-EXP((T0-t)*PertePVj),1-EXP((T0-t)*PertePVj)+Pspv))</f>
        <v>6.7804673955992323E-3</v>
      </c>
      <c r="M379" s="842"/>
      <c r="N379" s="842"/>
      <c r="O379" s="323">
        <f t="shared" si="147"/>
        <v>2.2165223301308018E-2</v>
      </c>
      <c r="P379" s="169">
        <f>(INDEX(Models!$BJ379:$BT379,,T379)*(1-R379)+INDEX(Models!$BJ379:$BT379,,T379+1)*R379-ERP_i)*Q379*Ramure*Pc/MaxiM</f>
        <v>3.7595798748875876E-3</v>
      </c>
      <c r="Q379" s="305">
        <f t="shared" si="148"/>
        <v>0.7</v>
      </c>
      <c r="R379" s="177">
        <f t="shared" si="149"/>
        <v>0.1346048999430991</v>
      </c>
      <c r="S379" s="799">
        <f t="shared" si="167"/>
        <v>-1</v>
      </c>
      <c r="T379" s="176">
        <f t="shared" si="150"/>
        <v>5</v>
      </c>
      <c r="U379" s="306">
        <f t="shared" si="151"/>
        <v>-0.8653951000569009</v>
      </c>
      <c r="V379" s="382">
        <f t="shared" si="152"/>
        <v>25.488458126236022</v>
      </c>
      <c r="W379" s="390"/>
      <c r="X379" s="157">
        <f t="shared" si="153"/>
        <v>43830</v>
      </c>
      <c r="Y379" s="383">
        <f t="shared" si="154"/>
        <v>20.317027026865208</v>
      </c>
      <c r="Z379" s="383">
        <f t="shared" si="155"/>
        <v>20.455726412860908</v>
      </c>
      <c r="AA379" s="384">
        <f t="shared" si="156"/>
        <v>20.919409802464095</v>
      </c>
      <c r="AB379" s="197">
        <f t="shared" si="157"/>
        <v>43830</v>
      </c>
      <c r="AC379" s="424">
        <f t="shared" si="158"/>
        <v>2.2165223301308018E-2</v>
      </c>
      <c r="AD379" s="169">
        <f>(INDEX(Models!$BJ379:$BT379,,AH379)*(1-AF379)+INDEX(Models!$BJ379:$BT379,,AH379+1)*AF379-ERP_i)*AE379*Ramure*Pc/MaxiM</f>
        <v>4.5859257165210086E-3</v>
      </c>
      <c r="AE379" s="305">
        <f t="shared" si="159"/>
        <v>0.7</v>
      </c>
      <c r="AF379" s="177">
        <f t="shared" si="160"/>
        <v>0.19893712220293125</v>
      </c>
      <c r="AG379" s="799">
        <f t="shared" si="161"/>
        <v>-1</v>
      </c>
      <c r="AH379" s="176">
        <f t="shared" si="162"/>
        <v>5</v>
      </c>
      <c r="AI379" s="221">
        <f t="shared" si="163"/>
        <v>-0.80106287779706875</v>
      </c>
      <c r="AJ379" s="264" t="b">
        <f t="shared" si="164"/>
        <v>0</v>
      </c>
      <c r="AK379" s="264" t="b">
        <f t="shared" si="165"/>
        <v>0</v>
      </c>
      <c r="AL379" s="264"/>
      <c r="AM379" s="264"/>
      <c r="AN379" s="264"/>
    </row>
    <row r="380" spans="1:40" s="18" customFormat="1" ht="12" thickBot="1" x14ac:dyDescent="0.25">
      <c r="A380" s="103"/>
      <c r="B380" s="611"/>
      <c r="C380" s="841"/>
      <c r="D380" s="392"/>
      <c r="E380" s="393"/>
      <c r="F380" s="393"/>
      <c r="G380" s="97"/>
      <c r="I380" s="380">
        <f t="shared" si="144"/>
        <v>0</v>
      </c>
      <c r="J380" s="151">
        <v>2018</v>
      </c>
      <c r="K380" s="199"/>
      <c r="L380" s="468"/>
      <c r="M380" s="843"/>
      <c r="N380" s="843"/>
      <c r="O380" s="469"/>
      <c r="P380" s="227"/>
      <c r="Q380" s="228"/>
      <c r="R380" s="228"/>
      <c r="S380" s="228"/>
      <c r="T380" s="228"/>
      <c r="U380" s="307"/>
      <c r="V380" s="382">
        <f t="shared" ref="V380" si="171">MaxiM*(1-Ppv)*(1-Pvg)*(1-Psa)</f>
        <v>26.520453176895778</v>
      </c>
      <c r="W380" s="58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64"/>
        <v>1</v>
      </c>
      <c r="AK380" s="264" t="b">
        <f t="shared" si="165"/>
        <v>1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1.1759999999999999</v>
      </c>
      <c r="C381" s="374"/>
      <c r="D381" s="372">
        <f>MIN(D15:D380)</f>
        <v>1.1773530570500337</v>
      </c>
      <c r="E381" s="372">
        <f>MIN(E15:E380)</f>
        <v>1.1823993485124236</v>
      </c>
      <c r="F381" s="373">
        <f>MIN(F15:F380)</f>
        <v>1.1823993485124236</v>
      </c>
      <c r="G381" s="125">
        <f>+MIN(G15:G380)</f>
        <v>2.4033165034981204E-2</v>
      </c>
      <c r="H381" s="93"/>
      <c r="I381" s="373">
        <f>MIN(I15:I380)</f>
        <v>0</v>
      </c>
      <c r="J381" s="165">
        <f>MIN(J15:J380)</f>
        <v>2018</v>
      </c>
      <c r="K381" s="200" t="s">
        <v>7</v>
      </c>
      <c r="L381" s="146">
        <f t="shared" ref="L381:T381" si="172">MIN(L15:L380)</f>
        <v>0</v>
      </c>
      <c r="M381" s="833"/>
      <c r="N381" s="833"/>
      <c r="O381" s="47">
        <f t="shared" si="172"/>
        <v>0</v>
      </c>
      <c r="P381" s="168">
        <f t="shared" si="172"/>
        <v>0</v>
      </c>
      <c r="Q381" s="309">
        <f t="shared" si="172"/>
        <v>0.7</v>
      </c>
      <c r="R381" s="310">
        <f t="shared" si="172"/>
        <v>1.6620639712542351E-3</v>
      </c>
      <c r="S381" s="799">
        <f t="shared" si="172"/>
        <v>-2</v>
      </c>
      <c r="T381" s="176">
        <f t="shared" si="172"/>
        <v>4</v>
      </c>
      <c r="U381" s="251">
        <f>+MIN(U15:U380)</f>
        <v>-1.2010628157667154</v>
      </c>
      <c r="V381" s="372">
        <f>MIN(V15:V380)</f>
        <v>24.68041008209655</v>
      </c>
      <c r="W381" s="58"/>
      <c r="X381" s="112" t="s">
        <v>7</v>
      </c>
      <c r="Y381" s="372">
        <f>MIN(Y15:Y380)</f>
        <v>0</v>
      </c>
      <c r="Z381" s="372">
        <f>MIN(Z15:Z380)</f>
        <v>0</v>
      </c>
      <c r="AA381" s="372">
        <f>MIN(AA15:AA380)</f>
        <v>0</v>
      </c>
      <c r="AB381" s="200" t="s">
        <v>7</v>
      </c>
      <c r="AC381" s="47">
        <f t="shared" ref="AC381:AH381" si="173">MIN(AC15:AC380)</f>
        <v>0</v>
      </c>
      <c r="AD381" s="168">
        <f t="shared" si="173"/>
        <v>9.6669413030882533E-9</v>
      </c>
      <c r="AE381" s="309">
        <f t="shared" si="173"/>
        <v>0.7</v>
      </c>
      <c r="AF381" s="310">
        <f t="shared" si="173"/>
        <v>2.8410389604938135E-3</v>
      </c>
      <c r="AG381" s="799">
        <f t="shared" si="173"/>
        <v>-2</v>
      </c>
      <c r="AH381" s="176">
        <f t="shared" si="173"/>
        <v>4</v>
      </c>
      <c r="AI381" s="225">
        <f>MIN(AI15:AI380)</f>
        <v>-1.2010618593681319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33.938293918918937</v>
      </c>
      <c r="C382" s="374"/>
      <c r="D382" s="374">
        <f>AVERAGE(D15:D380)</f>
        <v>34.059101230281946</v>
      </c>
      <c r="E382" s="374">
        <f>AVERAGE(E15:E380)</f>
        <v>34.498880679890924</v>
      </c>
      <c r="F382" s="375">
        <f>AVERAGE(F15:F380)</f>
        <v>34.509911044374078</v>
      </c>
      <c r="G382" s="126">
        <f>AVERAGE(G15:G380)</f>
        <v>0.67644080366440418</v>
      </c>
      <c r="H382" s="94"/>
      <c r="I382" s="375">
        <f>AVERAGE(I15:I380)</f>
        <v>27.909654833701442</v>
      </c>
      <c r="J382" s="166">
        <f>AVERAGE(J15:J380)</f>
        <v>2018</v>
      </c>
      <c r="K382" s="200" t="s">
        <v>8</v>
      </c>
      <c r="L382" s="147">
        <f t="shared" ref="L382:V382" si="174">AVERAGE(L15:L380)</f>
        <v>3.3103778150582047E-3</v>
      </c>
      <c r="M382" s="832"/>
      <c r="N382" s="832"/>
      <c r="O382" s="48">
        <f t="shared" si="174"/>
        <v>1.1689511156009537E-2</v>
      </c>
      <c r="P382" s="169">
        <f t="shared" si="174"/>
        <v>8.9096296147137563E-4</v>
      </c>
      <c r="Q382" s="311">
        <f t="shared" si="174"/>
        <v>0.69999999999999529</v>
      </c>
      <c r="R382" s="177">
        <f t="shared" si="174"/>
        <v>0.46459462246773414</v>
      </c>
      <c r="S382" s="799">
        <f t="shared" si="174"/>
        <v>-1.484931506849315</v>
      </c>
      <c r="T382" s="176">
        <f t="shared" si="174"/>
        <v>4.515068493150685</v>
      </c>
      <c r="U382" s="250">
        <f t="shared" si="174"/>
        <v>-1.020336884381581</v>
      </c>
      <c r="V382" s="374">
        <f t="shared" si="174"/>
        <v>46.330116202457454</v>
      </c>
      <c r="X382" s="112" t="s">
        <v>8</v>
      </c>
      <c r="Y382" s="374">
        <f>AVERAGE(Y15:Y380)</f>
        <v>27.520400213311735</v>
      </c>
      <c r="Z382" s="374">
        <f>AVERAGE(Z15:Z380)</f>
        <v>27.618358245858552</v>
      </c>
      <c r="AA382" s="374">
        <f>AVERAGE(AA15:AA380)</f>
        <v>27.974960208514528</v>
      </c>
      <c r="AB382" s="200" t="s">
        <v>8</v>
      </c>
      <c r="AC382" s="48">
        <f t="shared" ref="AC382:AH382" si="175">AVERAGE(AC15:AC380)</f>
        <v>1.1689511156009537E-2</v>
      </c>
      <c r="AD382" s="169">
        <f t="shared" si="175"/>
        <v>1.0980249275950231E-3</v>
      </c>
      <c r="AE382" s="311">
        <f t="shared" si="175"/>
        <v>0.69999999999999529</v>
      </c>
      <c r="AF382" s="177">
        <f t="shared" si="175"/>
        <v>0.46394090864214138</v>
      </c>
      <c r="AG382" s="799">
        <f t="shared" si="175"/>
        <v>-1.441095890410959</v>
      </c>
      <c r="AH382" s="176">
        <f t="shared" si="175"/>
        <v>4.558904109589041</v>
      </c>
      <c r="AI382" s="224">
        <f>AVERAGE(AI15:AI380)</f>
        <v>-0.97715498176881643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63.356000000000002</v>
      </c>
      <c r="C383" s="376"/>
      <c r="D383" s="376">
        <f>MAX(D15:D380)</f>
        <v>63.53717658212193</v>
      </c>
      <c r="E383" s="376">
        <f>MAX(E15:E380)</f>
        <v>64.214803372039157</v>
      </c>
      <c r="F383" s="377">
        <f>MAX(F15:F380)</f>
        <v>64.215122991320413</v>
      </c>
      <c r="G383" s="127">
        <f>+MAX(G15:G380)</f>
        <v>1.039240239061592</v>
      </c>
      <c r="H383" s="94"/>
      <c r="I383" s="377">
        <f>MAX(I15:I380)</f>
        <v>64.215122991320413</v>
      </c>
      <c r="J383" s="167">
        <f>MAX(J15:J380)</f>
        <v>2018</v>
      </c>
      <c r="K383" s="200" t="s">
        <v>9</v>
      </c>
      <c r="L383" s="148">
        <f t="shared" ref="L383:T383" si="176">MAX(L15:L380)</f>
        <v>6.7804673955992323E-3</v>
      </c>
      <c r="M383" s="834"/>
      <c r="N383" s="834"/>
      <c r="O383" s="49">
        <f t="shared" si="176"/>
        <v>2.2165223301308018E-2</v>
      </c>
      <c r="P383" s="170">
        <f t="shared" si="176"/>
        <v>4.367760452430659E-3</v>
      </c>
      <c r="Q383" s="312">
        <f t="shared" si="176"/>
        <v>0.7</v>
      </c>
      <c r="R383" s="313">
        <f t="shared" si="176"/>
        <v>0.9979846516370805</v>
      </c>
      <c r="S383" s="800">
        <f t="shared" si="176"/>
        <v>-1</v>
      </c>
      <c r="T383" s="232">
        <f t="shared" si="176"/>
        <v>5</v>
      </c>
      <c r="U383" s="252">
        <f>+MAX(U15:U380)</f>
        <v>-0.8653951000569009</v>
      </c>
      <c r="V383" s="376">
        <f>MAX(V15:V380)</f>
        <v>61.258397589879152</v>
      </c>
      <c r="X383" s="112" t="s">
        <v>9</v>
      </c>
      <c r="Y383" s="376">
        <f>MAX(Y15:Y380)</f>
        <v>63.355840545998504</v>
      </c>
      <c r="Z383" s="376">
        <f>MAX(Z15:Z380)</f>
        <v>63.537016672136289</v>
      </c>
      <c r="AA383" s="376">
        <f>MAX(AA15:AA380)</f>
        <v>64.214641756606468</v>
      </c>
      <c r="AB383" s="200" t="s">
        <v>9</v>
      </c>
      <c r="AC383" s="49">
        <f t="shared" ref="AC383:AH383" si="177">MAX(AC15:AC380)</f>
        <v>2.2165223301308018E-2</v>
      </c>
      <c r="AD383" s="170">
        <f t="shared" si="177"/>
        <v>5.3215749702975913E-3</v>
      </c>
      <c r="AE383" s="312">
        <f t="shared" si="177"/>
        <v>0.7</v>
      </c>
      <c r="AF383" s="313">
        <f t="shared" si="177"/>
        <v>0.9987249459116847</v>
      </c>
      <c r="AG383" s="800">
        <f t="shared" si="177"/>
        <v>-1</v>
      </c>
      <c r="AH383" s="232">
        <f t="shared" si="177"/>
        <v>5</v>
      </c>
      <c r="AI383" s="226">
        <f>MAX(AI15:AI380)</f>
        <v>-0.80106287779706875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  <row r="385" spans="6:6" x14ac:dyDescent="0.25">
      <c r="F385" s="401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19" priority="4" stopIfTrue="1" operator="lessThan">
      <formula>0.01</formula>
    </cfRule>
    <cfRule type="cellIs" dxfId="18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3">
        <f>'2019'!An+1</f>
        <v>2020</v>
      </c>
      <c r="K1" s="1274"/>
      <c r="L1" s="113" t="str">
        <f>"Calcul pertes et enveloppes en "&amp;TEXT(An,0)</f>
        <v>Calcul pertes et enveloppes en 2020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2020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3">
        <f>Tmaj</f>
        <v>44926</v>
      </c>
      <c r="F3" s="1283"/>
      <c r="G3" s="470"/>
      <c r="H3" s="75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165</v>
      </c>
      <c r="V3" s="622">
        <f>Salim_i</f>
        <v>0.08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4" t="str">
        <f>Station</f>
        <v>Noueilles salle des fêtes</v>
      </c>
      <c r="F4" s="1215"/>
      <c r="G4" s="1215"/>
      <c r="H4" s="1215"/>
      <c r="I4" s="1216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0.8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-5.5208746789844554E-2</v>
      </c>
      <c r="AK4" s="822">
        <f>AM12-AK12</f>
        <v>1.6921195803502957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4">
        <f>T0</f>
        <v>43475</v>
      </c>
      <c r="F5" s="1284"/>
      <c r="G5" s="34"/>
      <c r="H5" s="333"/>
      <c r="I5" s="158"/>
      <c r="K5" s="192"/>
      <c r="L5" s="504"/>
      <c r="M5" s="503"/>
      <c r="N5" s="503"/>
      <c r="O5" s="426"/>
      <c r="P5" s="506"/>
      <c r="Q5" s="506"/>
      <c r="R5" s="493"/>
      <c r="S5" s="497"/>
      <c r="T5" s="497"/>
      <c r="U5" s="511"/>
      <c r="V5" s="505"/>
      <c r="W5" s="506"/>
      <c r="X5" s="507"/>
      <c r="Y5" s="508"/>
      <c r="Z5" s="235">
        <f>Wh_Psa_s-Wh_Psa</f>
        <v>-5.5208746789844554E-2</v>
      </c>
      <c r="AA5" s="236">
        <f>Wh_Pvg_s-Wh_Pvg</f>
        <v>1.6921195803502957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5">
        <f>Tservice</f>
        <v>43522</v>
      </c>
      <c r="F6" s="1285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529"/>
      <c r="AD6" s="460"/>
      <c r="AE6" s="460"/>
      <c r="AF6" s="460"/>
      <c r="AG6" s="460"/>
      <c r="AH6" s="460"/>
      <c r="AI6" s="460"/>
      <c r="AJ6" s="514">
        <f>SUMIF(AJ15:AJ380,"FAUX",Wh)</f>
        <v>11311.726999999995</v>
      </c>
      <c r="AK6" s="514">
        <f>SUMIF(AK15:AK380,"FAUX",Wh)</f>
        <v>11311.726999999995</v>
      </c>
      <c r="AL6" s="514">
        <f>SUMIF(AJ15:AJ380,"FAUX",Wh_s)</f>
        <v>11310.035745729834</v>
      </c>
      <c r="AM6" s="514">
        <f>SUMIF(AK15:AK380,"FAUX",Wh_s)</f>
        <v>11310.035745729834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AND(YEAR(Tnet)=An,Resal_2020="I")</f>
        <v>0</v>
      </c>
      <c r="F7" s="319" t="b">
        <f>YEAR(Tnet)=An</f>
        <v>0</v>
      </c>
      <c r="H7" s="334"/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29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AND(YEAR(Tnet)=An,Resal_2020&lt;&gt;"I")</f>
        <v>0</v>
      </c>
      <c r="F8" s="320" t="b">
        <f>YEAR(Ttai)=An</f>
        <v>0</v>
      </c>
      <c r="H8" s="335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1" t="s">
        <v>102</v>
      </c>
      <c r="Y8" s="1272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11427.205083103103</v>
      </c>
      <c r="AK8" s="514">
        <f>SUMIF(AK15:AK380,"FAUX",Wh_sa)</f>
        <v>11797.848245843918</v>
      </c>
      <c r="AL8" s="514">
        <f>SUMIF(AJ15:AJ380,"FAUX",Wh_pvt_s)</f>
        <v>11425.496035385191</v>
      </c>
      <c r="AM8" s="514">
        <f>SUMIF(AK15:AK380,"FAUX",Wh_sa_s)</f>
        <v>11796.083408645873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11427.205083103103</v>
      </c>
      <c r="E9" s="184">
        <f>SUM(E$15:E$380)</f>
        <v>11797.848245843918</v>
      </c>
      <c r="F9" s="184">
        <f>SUM(F$15:F$380)</f>
        <v>11811.632476276383</v>
      </c>
      <c r="H9" s="1275">
        <f>+SUM(Wh)</f>
        <v>11311.726999999995</v>
      </c>
      <c r="I9" s="1276"/>
      <c r="J9" s="1277"/>
      <c r="K9" s="191"/>
      <c r="L9" s="114"/>
      <c r="M9" s="114"/>
      <c r="N9" s="114"/>
      <c r="O9" s="222">
        <f>Tnet_2020</f>
        <v>43475</v>
      </c>
      <c r="P9" s="243" t="s">
        <v>91</v>
      </c>
      <c r="Q9" s="244"/>
      <c r="R9" s="244"/>
      <c r="S9" s="244"/>
      <c r="T9" s="244"/>
      <c r="U9" s="245"/>
      <c r="V9" s="460"/>
      <c r="W9" s="519"/>
      <c r="X9" s="1269">
        <f>+SUM(Wh_s)</f>
        <v>11310.035745729834</v>
      </c>
      <c r="Y9" s="1270"/>
      <c r="Z9" s="514">
        <f>SUM(Z$15:Z$380)</f>
        <v>11425.496035385191</v>
      </c>
      <c r="AA9" s="514">
        <f>SUM(AA$15:AA$380)</f>
        <v>11796.083408645873</v>
      </c>
      <c r="AB9" s="514">
        <f>F9</f>
        <v>11811.632476276383</v>
      </c>
      <c r="AC9" s="324">
        <f>IF(An_Tnet,Tnet,'2019'!Tnet_s)</f>
        <v>43475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H10" s="28"/>
      <c r="K10" s="193"/>
      <c r="L10" s="114"/>
      <c r="M10" s="114"/>
      <c r="N10" s="114"/>
      <c r="O10" s="202">
        <f>IF(Inflex,'2019'!Resal+('2019'!Salim-'2019'!Resal)*(1-EXP(('2019'!Tnet-Tnet)/('2019'!Tau_j))),IF(An_Tnet,Resal_2020,'2019'!Resal))</f>
        <v>0</v>
      </c>
      <c r="P10" s="419" t="b">
        <f>NOT(Acti_tai)</f>
        <v>1</v>
      </c>
      <c r="Q10" s="256">
        <f>IF(Acti_tai,'2019'!PousD,Dens-Dd)</f>
        <v>0</v>
      </c>
      <c r="R10" s="273"/>
      <c r="S10" s="274"/>
      <c r="T10" s="275"/>
      <c r="U10" s="265">
        <f>IF(Acti_tai,'2019'!PousH,Hdtf-Hdd)</f>
        <v>0.4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IF(OR(Inflex,GainD),'2019'!Resal_s+('2019'!Salim-'2019'!Resal_s)*(1-EXP(('2019'!Tnet_s-Tnet)/('2019'!Tau_j))),IF(Acti_net,'2019'!Resal+('2019'!Salim-'2019'!Resal)*(1-EXP(('2019'!Tnet-Tnet)/'2019'!Tau_j)),'2019'!Resal_s))</f>
        <v>0</v>
      </c>
      <c r="AD10" s="426"/>
      <c r="AE10" s="426"/>
      <c r="AF10" s="259"/>
      <c r="AG10" s="260"/>
      <c r="AH10" s="261"/>
      <c r="AI10" s="521"/>
      <c r="AJ10" s="514">
        <f>SUMIF(AJ15:AJ380,"FAUX",Wh_sa)</f>
        <v>11797.848245843918</v>
      </c>
      <c r="AK10" s="514">
        <f>SUMIF(AK15:AK380,"FAUX",Wh_hp)</f>
        <v>11811.632476276383</v>
      </c>
      <c r="AL10" s="514">
        <f>SUMIF(AJ15:AJ380,"FAUX",Wh_sa_s)</f>
        <v>11796.083408645873</v>
      </c>
      <c r="AM10" s="514">
        <f>SUMIF(AK15:AK380,"FAUX",Wh_hp)</f>
        <v>11811.632476276383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115.47808310310756</v>
      </c>
      <c r="E11" s="51">
        <f>(E$9-D$9)*Prod_an/D$9</f>
        <v>366.89761327029095</v>
      </c>
      <c r="F11" s="186">
        <f>(F$9-E$9)*Prod_an/E$9</f>
        <v>13.216261839278481</v>
      </c>
      <c r="G11" s="185" t="s">
        <v>6</v>
      </c>
      <c r="H11" s="334"/>
      <c r="K11" s="194"/>
      <c r="L11" s="182">
        <f>Tvie_2020</f>
        <v>43475</v>
      </c>
      <c r="M11" s="831"/>
      <c r="N11" s="831"/>
      <c r="O11" s="202">
        <f>IF(An_Tnet,Salim_2020,'2019'!Salim)</f>
        <v>0.08</v>
      </c>
      <c r="P11" s="255">
        <f>Ttai_2020</f>
        <v>43586</v>
      </c>
      <c r="Q11" s="271">
        <f>Dens_2020</f>
        <v>0.7</v>
      </c>
      <c r="R11" s="276"/>
      <c r="S11" s="229"/>
      <c r="T11" s="229"/>
      <c r="U11" s="265">
        <f>Htf_2020</f>
        <v>-0.46539510005690088</v>
      </c>
      <c r="V11" s="426"/>
      <c r="W11" s="517"/>
      <c r="X11" s="524" t="s">
        <v>43</v>
      </c>
      <c r="Y11" s="50">
        <f>Z$9-Prod_an_s</f>
        <v>115.46028965535697</v>
      </c>
      <c r="Z11" s="51">
        <f>(AA$9-Z$9)*Prod_an_s/Z$9</f>
        <v>366.8424045235011</v>
      </c>
      <c r="AA11" s="186">
        <f>(AB$9-AA$9)*Prod_an_s/AA$9</f>
        <v>14.908381419628776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4.3484055130817101E-2</v>
      </c>
      <c r="H12" s="28"/>
      <c r="K12" s="191"/>
      <c r="L12" s="204">
        <f>Pspv_2020</f>
        <v>0</v>
      </c>
      <c r="M12" s="212"/>
      <c r="N12" s="212"/>
      <c r="O12" s="205">
        <f>IF(An_Tnet,Tau_2020*365,'2019'!Tau_j)</f>
        <v>1095</v>
      </c>
      <c r="P12" s="280">
        <f>INDEX(Croivg,MIN(MAX(Ttai-$A$15,0)+1,366))</f>
        <v>2.3909964587625958E-6</v>
      </c>
      <c r="Q12" s="279">
        <f>'2019'!Df</f>
        <v>0.7</v>
      </c>
      <c r="R12" s="277"/>
      <c r="S12" s="278"/>
      <c r="T12" s="278"/>
      <c r="U12" s="266">
        <f>'2019'!Hdf</f>
        <v>-0.8653951000569009</v>
      </c>
      <c r="V12" s="516"/>
      <c r="W12" s="503"/>
      <c r="X12" s="504"/>
      <c r="Y12" s="503"/>
      <c r="Z12" s="426"/>
      <c r="AA12" s="426"/>
      <c r="AB12" s="530"/>
      <c r="AC12" s="317" t="b">
        <f>NOT(An_Tnet)</f>
        <v>1</v>
      </c>
      <c r="AD12" s="426"/>
      <c r="AE12" s="295">
        <f>'2019'!Df_s</f>
        <v>0.7</v>
      </c>
      <c r="AF12" s="203"/>
      <c r="AG12" s="203"/>
      <c r="AH12" s="203"/>
      <c r="AI12" s="296">
        <f>'2019'!Hdf_s</f>
        <v>-0.80106287779706875</v>
      </c>
      <c r="AJ12" s="821">
        <f>IF($AJ8=0,0,($AJ10-$AJ8)*$AJ6/$AJ8)</f>
        <v>366.89761327029095</v>
      </c>
      <c r="AK12" s="822">
        <f>IF($AK8=0,0,($AK10-$AK8)*$AK6/$AK8)</f>
        <v>13.216261839278481</v>
      </c>
      <c r="AL12" s="821">
        <f>IF($AL8=0,0,($AL10-$AL8)*$AL6/$AL8)</f>
        <v>366.8424045235011</v>
      </c>
      <c r="AM12" s="822">
        <f>IF($AM8=0,0,($AM10-$AM8)*$AM6/$AM8)</f>
        <v>14.908381419628776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721" t="s">
        <v>202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206</v>
      </c>
      <c r="AJ13" s="73">
        <f>+AJ11+AJ12</f>
        <v>366.89761327029095</v>
      </c>
      <c r="AK13" s="73">
        <f>+AK11+AK12</f>
        <v>13.216261839278481</v>
      </c>
      <c r="AL13" s="73">
        <f>+AL11+AL12</f>
        <v>366.8424045235011</v>
      </c>
      <c r="AM13" s="73">
        <f>+AM11+AM12</f>
        <v>14.908381419628776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387" t="s">
        <v>188</v>
      </c>
      <c r="C14" s="387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2020</v>
      </c>
      <c r="W14" s="120"/>
      <c r="X14" s="257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330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56">
        <f>DATE(An,1,1)</f>
        <v>43831</v>
      </c>
      <c r="B15" s="606">
        <v>14.004</v>
      </c>
      <c r="C15" s="388"/>
      <c r="D15" s="391">
        <f t="shared" ref="D15:D78" si="0">Wh/(1-Ppv)</f>
        <v>14.099872111744583</v>
      </c>
      <c r="E15" s="383">
        <f t="shared" ref="E15:E79" si="1">Wh_pvt/(1-Psa)</f>
        <v>14.420248459809137</v>
      </c>
      <c r="F15" s="383">
        <f t="shared" ref="F15:F78" si="2">Wh_sa/(1-Pvg*MEDIAN((-Sdif+Wh/Env_an)/Csdif,0,1))</f>
        <v>14.439281902988837</v>
      </c>
      <c r="G15" s="110">
        <f>+Wh_hp/MaxiM</f>
        <v>0.54445833961190582</v>
      </c>
      <c r="H15" s="412" t="b">
        <f>Wh_hp&gt;='2019'!Maxi_hp</f>
        <v>1</v>
      </c>
      <c r="I15" s="394">
        <f>IF(H15,Wh_hp,'2019'!Maxi_hp)</f>
        <v>14.439281902988837</v>
      </c>
      <c r="J15" s="84">
        <f>IF(H15,An,'2019'!An_max)</f>
        <v>2020</v>
      </c>
      <c r="K15" s="197">
        <f t="shared" ref="K15:K78" si="3">t</f>
        <v>43831</v>
      </c>
      <c r="L15" s="146">
        <f>IF(t&lt;Tvie,1-EXP((T0-t)*PertePVj)+'2019'!Pspv,1-EXP((T0-t)*PertePVj)+Pspv)</f>
        <v>6.7995022213517275E-3</v>
      </c>
      <c r="M15" s="833"/>
      <c r="N15" s="833"/>
      <c r="O15" s="420">
        <f>IF(t&lt;Tnet,'2019'!Resal+('2019'!Salim-'2019'!Resal)*(1-EXP(('2019'!Tnet-t)/('2019'!Tau_j))),Resal+(Salim-Resal)*(1-EXP((Tnet-t)/(Tau_j))))*Salcycl</f>
        <v>2.2217117059909103E-2</v>
      </c>
      <c r="P15" s="301">
        <f>(INDEX(Models!$BJ15:$BT15,,T15)*(1-R15)+INDEX(Models!$BJ15:$BT15,,T15+1)*R15-ERP_i)*Q15*Ramure*Pc/MaxiM</f>
        <v>3.7541039977665321E-3</v>
      </c>
      <c r="Q15" s="302">
        <f t="shared" ref="Q15:Q78" si="4">IF(OR(t&lt;Ttai,Notai),Dd+PousD*Croivg,Dens+PousD*(Croivg-Croi_tai))</f>
        <v>0.7</v>
      </c>
      <c r="R15" s="303">
        <f t="shared" ref="R15:R78" si="5">(Hp_vg-S15)/(INDEX(Echel_vg,T15+1)-S15)</f>
        <v>0.13460585634168265</v>
      </c>
      <c r="S15" s="798">
        <f t="shared" ref="S15:S78" si="6">INDEX(Echel_vg,T15)</f>
        <v>-1</v>
      </c>
      <c r="T15" s="248">
        <f t="shared" ref="T15:T78" si="7">MIN(MATCH(Hp_vg,Echel_vg),10)</f>
        <v>5</v>
      </c>
      <c r="U15" s="249">
        <f>IF(OR(t&lt;Ttai,Notai),Hdd+PousH*Croivg,Hdtf+PousH*(Croivg-Croi_tai))</f>
        <v>-0.86539414365831735</v>
      </c>
      <c r="V15" s="381">
        <f t="shared" ref="V15:V78" si="8">MaxiM*(1-Ppv)*(1-Pvg)*(1-Psa)</f>
        <v>25.658238936871445</v>
      </c>
      <c r="W15" s="421"/>
      <c r="X15" s="422">
        <f t="shared" ref="X15:X78" si="9">t</f>
        <v>43831</v>
      </c>
      <c r="Y15" s="383">
        <f t="shared" ref="Y15:Y78" si="10">Wh_pvt_s*(1-Ppv)</f>
        <v>13.999948221526042</v>
      </c>
      <c r="Z15" s="383">
        <f t="shared" ref="Z15:Z78" si="11">Wh_sa_s*(1-Psa_s)</f>
        <v>14.095792594584633</v>
      </c>
      <c r="AA15" s="384">
        <f t="shared" ref="AA15:AA78" si="12">Wh_hp*(1-Pvg_s*MEDIAN((-Sdif+Wh/Env_an)/Csdif,0,1))</f>
        <v>14.416076248134003</v>
      </c>
      <c r="AB15" s="423">
        <f t="shared" ref="AB15:AB78" si="13">t</f>
        <v>43831</v>
      </c>
      <c r="AC15" s="424">
        <f>IF(OR(t&lt;Tnet,NoTnet),'2019'!Resal_s+('2019'!Salim-'2019'!Resal_s)*(1-EXP(('2019'!Tnet_s-t)/'2019'!Tau_j)),Resal_s+(Salim-Resal_s)*(1-EXP((Tnet_s-t)/Tau_j)))*Salcycl</f>
        <v>2.2217117059909103E-2</v>
      </c>
      <c r="AD15" s="230">
        <f>(INDEX(Models!$BJ15:$BT15,,AH15)*(1-AF15)+INDEX(Models!$BJ15:$BT15,,AH15+1)*AF15-ERP_i)*AE15*Ramure*Pc/MaxiM</f>
        <v>4.5770195565161716E-3</v>
      </c>
      <c r="AE15" s="302">
        <f t="shared" ref="AE15:AE78" si="14">IF(OR(t&lt;Ttai,Notai),Dd_s+PousD*Croivg,Dens_s+PousD*(Croivg-Croi_tai))</f>
        <v>0.7</v>
      </c>
      <c r="AF15" s="303">
        <f t="shared" ref="AF15:AF78" si="15">(Hp_vg_s-AG15)/(INDEX(Echel_vg,AH15+1)-AG15)</f>
        <v>0.1989380786015148</v>
      </c>
      <c r="AG15" s="248">
        <f t="shared" ref="AG15:AG78" si="16">INDEX(Echel_vg,AH15)</f>
        <v>-1</v>
      </c>
      <c r="AH15" s="248">
        <f t="shared" ref="AH15:AH78" si="17">MIN(MATCH(Hp_vg_s,Echel_vg),10)</f>
        <v>5</v>
      </c>
      <c r="AI15" s="223">
        <f>IF(OR(t&lt;Ttai,Notai),Hdd_s+PousH*Croivg,Hdtai_s+PousH*(Croivg-Croi_tai))</f>
        <v>-0.8010619213984852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20">A15+1</f>
        <v>43832</v>
      </c>
      <c r="B16" s="607">
        <v>25.29</v>
      </c>
      <c r="C16" s="388"/>
      <c r="D16" s="391">
        <f t="shared" si="0"/>
        <v>25.463624658800509</v>
      </c>
      <c r="E16" s="383">
        <f t="shared" si="1"/>
        <v>26.043589725684573</v>
      </c>
      <c r="F16" s="383">
        <f t="shared" si="2"/>
        <v>26.138638462365517</v>
      </c>
      <c r="G16" s="110">
        <f>+Wh_hp/MaxiM</f>
        <v>0.97861572769678962</v>
      </c>
      <c r="H16" s="412" t="b">
        <f>Wh_hp&gt;='2019'!Maxi_hp</f>
        <v>1</v>
      </c>
      <c r="I16" s="388">
        <f>IF(H16,Wh_hp,'2019'!Maxi_hp)</f>
        <v>26.138638462365517</v>
      </c>
      <c r="J16" s="85">
        <f>IF(H16,An,'2019'!An_max)</f>
        <v>2020</v>
      </c>
      <c r="K16" s="197">
        <f t="shared" si="3"/>
        <v>43832</v>
      </c>
      <c r="L16" s="147">
        <f>IF(t&lt;Tvie,1-EXP((T0-t)*PertePVj)+'2019'!Pspv,1-EXP((T0-t)*PertePVj)+Pspv)</f>
        <v>6.8185366823062532E-3</v>
      </c>
      <c r="M16" s="832"/>
      <c r="N16" s="832"/>
      <c r="O16" s="48">
        <f>IF(t&lt;Tnet,'2019'!Resal+('2019'!Salim-'2019'!Resal)*(1-EXP(('2019'!Tnet-t)/('2019'!Tau_j))),Resal+(Salim-Resal)*(1-EXP((Tnet-t)/(Tau_j))))*Salcycl</f>
        <v>2.2269014102617952E-2</v>
      </c>
      <c r="P16" s="169">
        <f>(INDEX(Models!$BJ16:$BT16,,T16)*(1-R16)+INDEX(Models!$BJ16:$BT16,,T16+1)*R16-ERP_i)*Q16*Ramure*Pc/MaxiM</f>
        <v>3.7502987669326593E-3</v>
      </c>
      <c r="Q16" s="304">
        <f t="shared" si="4"/>
        <v>0.7</v>
      </c>
      <c r="R16" s="177">
        <f t="shared" si="5"/>
        <v>0.13462922803287802</v>
      </c>
      <c r="S16" s="799">
        <f t="shared" si="6"/>
        <v>-1</v>
      </c>
      <c r="T16" s="176">
        <f t="shared" si="7"/>
        <v>5</v>
      </c>
      <c r="U16" s="250">
        <f t="shared" ref="U16:U78" si="21">IF(OR(t&lt;Ttai,Notai),Hdd+PousH*Croivg,Hdtf+PousH*(Croivg-Croi_tai))</f>
        <v>-0.86537077196712198</v>
      </c>
      <c r="V16" s="382">
        <f t="shared" si="8"/>
        <v>25.83966976610856</v>
      </c>
      <c r="W16" s="58"/>
      <c r="X16" s="157">
        <f t="shared" si="9"/>
        <v>43832</v>
      </c>
      <c r="Y16" s="383">
        <f t="shared" si="10"/>
        <v>25.26983116405167</v>
      </c>
      <c r="Z16" s="383">
        <f t="shared" si="11"/>
        <v>25.443317356768354</v>
      </c>
      <c r="AA16" s="384">
        <f t="shared" si="12"/>
        <v>26.022819900113877</v>
      </c>
      <c r="AB16" s="197">
        <f t="shared" si="13"/>
        <v>43832</v>
      </c>
      <c r="AC16" s="424">
        <f>IF(OR(t&lt;Tnet,NoTnet),'2019'!Resal_s+('2019'!Salim-'2019'!Resal_s)*(1-EXP(('2019'!Tnet_s-t)/'2019'!Tau_j)),Resal_s+(Salim-Resal_s)*(1-EXP((Tnet_s-t)/Tau_j)))*Salcycl</f>
        <v>2.2269014102617952E-2</v>
      </c>
      <c r="AD16" s="230">
        <f>(INDEX(Models!$BJ16:$BT16,,AH16)*(1-AF16)+INDEX(Models!$BJ16:$BT16,,AH16+1)*AF16-ERP_i)*AE16*Ramure*Pc/MaxiM</f>
        <v>4.5698052006546549E-3</v>
      </c>
      <c r="AE16" s="304">
        <f t="shared" si="14"/>
        <v>0.7</v>
      </c>
      <c r="AF16" s="177">
        <f t="shared" si="15"/>
        <v>0.19896145029271017</v>
      </c>
      <c r="AG16" s="176">
        <f t="shared" si="16"/>
        <v>-1</v>
      </c>
      <c r="AH16" s="176">
        <f t="shared" si="17"/>
        <v>5</v>
      </c>
      <c r="AI16" s="224">
        <f t="shared" ref="AI16:AI78" si="22">IF(OR(t&lt;Ttai,Notai),Hdd_s+PousH*Croivg,Hdtai_s+PousH*(Croivg-Croi_tai))</f>
        <v>-0.80103854970728983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20"/>
        <v>43833</v>
      </c>
      <c r="B17" s="607">
        <v>10.696</v>
      </c>
      <c r="C17" s="388"/>
      <c r="D17" s="391">
        <f t="shared" si="0"/>
        <v>10.769638163199383</v>
      </c>
      <c r="E17" s="383">
        <f>Wh_pvt/(1-Psa)</f>
        <v>11.015514458619379</v>
      </c>
      <c r="F17" s="383">
        <f t="shared" si="2"/>
        <v>11.022058471032448</v>
      </c>
      <c r="G17" s="110">
        <f t="shared" ref="G17:G79" si="23">+Wh_hp/MaxiM</f>
        <v>0.40958917359421237</v>
      </c>
      <c r="H17" s="412" t="b">
        <f>Wh_hp&gt;='2019'!Maxi_hp</f>
        <v>1</v>
      </c>
      <c r="I17" s="388">
        <f>IF(H17,Wh_hp,'2019'!Maxi_hp)</f>
        <v>11.022058471032448</v>
      </c>
      <c r="J17" s="85">
        <f>IF(H17,An,'2019'!An_max)</f>
        <v>2020</v>
      </c>
      <c r="K17" s="197">
        <f t="shared" si="3"/>
        <v>43833</v>
      </c>
      <c r="L17" s="147">
        <f>IF(t&lt;Tvie,1-EXP((T0-t)*PertePVj)+'2019'!Pspv,1-EXP((T0-t)*PertePVj)+Pspv)</f>
        <v>6.8375707784696926E-3</v>
      </c>
      <c r="M17" s="832"/>
      <c r="N17" s="832"/>
      <c r="O17" s="48">
        <f>IF(t&lt;Tnet,'2019'!Resal+('2019'!Salim-'2019'!Resal)*(1-EXP(('2019'!Tnet-t)/('2019'!Tau_j))),Resal+(Salim-Resal)*(1-EXP((Tnet-t)/(Tau_j))))*Salcycl</f>
        <v>2.2320908963775494E-2</v>
      </c>
      <c r="P17" s="169">
        <f>(INDEX(Models!$BJ17:$BT17,,T17)*(1-R17)+INDEX(Models!$BJ17:$BT17,,T17+1)*R17-ERP_i)*Q17*Ramure*Pc/MaxiM</f>
        <v>3.7480269900128653E-3</v>
      </c>
      <c r="Q17" s="304">
        <f t="shared" si="4"/>
        <v>0.7</v>
      </c>
      <c r="R17" s="177">
        <f t="shared" si="5"/>
        <v>0.13465357730926963</v>
      </c>
      <c r="S17" s="799">
        <f t="shared" si="6"/>
        <v>-1</v>
      </c>
      <c r="T17" s="176">
        <f t="shared" si="7"/>
        <v>5</v>
      </c>
      <c r="U17" s="250">
        <f t="shared" si="21"/>
        <v>-0.86534642269073037</v>
      </c>
      <c r="V17" s="382">
        <f t="shared" si="8"/>
        <v>26.031551058245611</v>
      </c>
      <c r="W17" s="58"/>
      <c r="X17" s="157">
        <f t="shared" si="9"/>
        <v>43833</v>
      </c>
      <c r="Y17" s="383">
        <f t="shared" si="10"/>
        <v>10.69461633171025</v>
      </c>
      <c r="Z17" s="383">
        <f t="shared" si="11"/>
        <v>10.768244968844625</v>
      </c>
      <c r="AA17" s="384">
        <f t="shared" si="12"/>
        <v>11.014089456931677</v>
      </c>
      <c r="AB17" s="197">
        <f t="shared" si="13"/>
        <v>43833</v>
      </c>
      <c r="AC17" s="424">
        <f>IF(OR(t&lt;Tnet,NoTnet),'2019'!Resal_s+('2019'!Salim-'2019'!Resal_s)*(1-EXP(('2019'!Tnet_s-t)/'2019'!Tau_j)),Resal_s+(Salim-Resal_s)*(1-EXP((Tnet_s-t)/Tau_j)))*Salcycl</f>
        <v>2.2320908963775494E-2</v>
      </c>
      <c r="AD17" s="230">
        <f>(INDEX(Models!$BJ17:$BT17,,AH17)*(1-AF17)+INDEX(Models!$BJ17:$BT17,,AH17+1)*AF17-ERP_i)*AE17*Ramure*Pc/MaxiM</f>
        <v>4.5641844862392509E-3</v>
      </c>
      <c r="AE17" s="304">
        <f t="shared" si="14"/>
        <v>0.7</v>
      </c>
      <c r="AF17" s="177">
        <f t="shared" si="15"/>
        <v>0.19898579956910178</v>
      </c>
      <c r="AG17" s="176">
        <f t="shared" si="16"/>
        <v>-1</v>
      </c>
      <c r="AH17" s="176">
        <f t="shared" si="17"/>
        <v>5</v>
      </c>
      <c r="AI17" s="224">
        <f t="shared" si="22"/>
        <v>-0.80101420043089822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20"/>
        <v>43834</v>
      </c>
      <c r="B18" s="607">
        <v>4.7830000000000004</v>
      </c>
      <c r="C18" s="388"/>
      <c r="D18" s="391">
        <f t="shared" si="0"/>
        <v>4.8160215551143271</v>
      </c>
      <c r="E18" s="383">
        <f>Wh_pvt/(1-Psa)</f>
        <v>4.9262352146245192</v>
      </c>
      <c r="F18" s="383">
        <f t="shared" si="2"/>
        <v>4.9262352146245192</v>
      </c>
      <c r="G18" s="110">
        <f>+Wh_hp/MaxiM</f>
        <v>0.18164658443104159</v>
      </c>
      <c r="H18" s="412" t="b">
        <f>Wh_hp&gt;='2019'!Maxi_hp</f>
        <v>1</v>
      </c>
      <c r="I18" s="388">
        <f>IF(H18,Wh_hp,'2019'!Maxi_hp)</f>
        <v>4.9262352146245192</v>
      </c>
      <c r="J18" s="85">
        <f>IF(H18,An,'2019'!An_max)</f>
        <v>2020</v>
      </c>
      <c r="K18" s="197">
        <f>t</f>
        <v>43834</v>
      </c>
      <c r="L18" s="147">
        <f>IF(t&lt;Tvie,1-EXP((T0-t)*PertePVj)+'2019'!Pspv,1-EXP((T0-t)*PertePVj)+Pspv)</f>
        <v>6.8566045098489292E-3</v>
      </c>
      <c r="M18" s="832"/>
      <c r="N18" s="832"/>
      <c r="O18" s="48">
        <f>IF(t&lt;Tnet,'2019'!Resal+('2019'!Salim-'2019'!Resal)*(1-EXP(('2019'!Tnet-t)/('2019'!Tau_j))),Resal+(Salim-Resal)*(1-EXP((Tnet-t)/(Tau_j))))*Salcycl</f>
        <v>2.2372796813071541E-2</v>
      </c>
      <c r="P18" s="169">
        <f>(INDEX(Models!$BJ18:$BT18,,T18)*(1-R18)+INDEX(Models!$BJ18:$BT18,,T18+1)*R18-ERP_i)*Q18*Ramure*Pc/MaxiM</f>
        <v>3.7474197048597861E-3</v>
      </c>
      <c r="Q18" s="304">
        <f>IF(OR(t&lt;Ttai,Notai),Dd+PousD*Croivg,Dens+PousD*(Croivg-Croi_tai))</f>
        <v>0.7</v>
      </c>
      <c r="R18" s="177">
        <f t="shared" si="5"/>
        <v>0.13467894493430577</v>
      </c>
      <c r="S18" s="799">
        <f t="shared" si="6"/>
        <v>-1</v>
      </c>
      <c r="T18" s="176">
        <f t="shared" si="7"/>
        <v>5</v>
      </c>
      <c r="U18" s="250">
        <f t="shared" si="21"/>
        <v>-0.86532105506569423</v>
      </c>
      <c r="V18" s="382">
        <f t="shared" si="8"/>
        <v>26.232676526657286</v>
      </c>
      <c r="W18" s="58"/>
      <c r="X18" s="157">
        <f t="shared" si="9"/>
        <v>43834</v>
      </c>
      <c r="Y18" s="383">
        <f t="shared" si="10"/>
        <v>4.7830000000000004</v>
      </c>
      <c r="Z18" s="383">
        <f>Wh_sa_s*(1-Psa_s)</f>
        <v>4.8160215551143271</v>
      </c>
      <c r="AA18" s="384">
        <f t="shared" si="12"/>
        <v>4.9262352146245192</v>
      </c>
      <c r="AB18" s="197">
        <f>t</f>
        <v>43834</v>
      </c>
      <c r="AC18" s="424">
        <f>IF(OR(t&lt;Tnet,NoTnet),'2019'!Resal_s+('2019'!Salim-'2019'!Resal_s)*(1-EXP(('2019'!Tnet_s-t)/'2019'!Tau_j)),Resal_s+(Salim-Resal_s)*(1-EXP((Tnet_s-t)/Tau_j)))*Salcycl</f>
        <v>2.2372796813071541E-2</v>
      </c>
      <c r="AD18" s="230">
        <f>(INDEX(Models!$BJ18:$BT18,,AH18)*(1-AF18)+INDEX(Models!$BJ18:$BT18,,AH18+1)*AF18-ERP_i)*AE18*Ramure*Pc/MaxiM</f>
        <v>4.5603257223839535E-3</v>
      </c>
      <c r="AE18" s="304">
        <f t="shared" si="14"/>
        <v>0.7</v>
      </c>
      <c r="AF18" s="177">
        <f t="shared" si="15"/>
        <v>0.19901116719413792</v>
      </c>
      <c r="AG18" s="176">
        <f t="shared" si="16"/>
        <v>-1</v>
      </c>
      <c r="AH18" s="176">
        <f t="shared" si="17"/>
        <v>5</v>
      </c>
      <c r="AI18" s="224">
        <f t="shared" si="22"/>
        <v>-0.80098883280586208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20"/>
        <v>43835</v>
      </c>
      <c r="B19" s="607">
        <v>11.093</v>
      </c>
      <c r="C19" s="388"/>
      <c r="D19" s="391">
        <f t="shared" si="0"/>
        <v>11.169799496490434</v>
      </c>
      <c r="E19" s="383">
        <f>Wh_pvt/(1-Psa)</f>
        <v>11.426024361599019</v>
      </c>
      <c r="F19" s="383">
        <f t="shared" si="2"/>
        <v>11.433342511875232</v>
      </c>
      <c r="G19" s="110">
        <f>+Wh_hp/MaxiM</f>
        <v>0.41821956825941525</v>
      </c>
      <c r="H19" s="412" t="b">
        <f>Wh_hp&gt;='2019'!Maxi_hp</f>
        <v>1</v>
      </c>
      <c r="I19" s="388">
        <f>IF(H19,Wh_hp,'2019'!Maxi_hp)</f>
        <v>11.433342511875232</v>
      </c>
      <c r="J19" s="85">
        <f>IF(H19,An,'2019'!An_max)</f>
        <v>2020</v>
      </c>
      <c r="K19" s="197">
        <f t="shared" si="3"/>
        <v>43835</v>
      </c>
      <c r="L19" s="147">
        <f>IF(t&lt;Tvie,1-EXP((T0-t)*PertePVj)+'2019'!Pspv,1-EXP((T0-t)*PertePVj)+Pspv)</f>
        <v>6.8756378764510684E-3</v>
      </c>
      <c r="M19" s="832"/>
      <c r="N19" s="832"/>
      <c r="O19" s="48">
        <f>IF(t&lt;Tnet,'2019'!Resal+('2019'!Salim-'2019'!Resal)*(1-EXP(('2019'!Tnet-t)/('2019'!Tau_j))),Resal+(Salim-Resal)*(1-EXP((Tnet-t)/(Tau_j))))*Salcycl</f>
        <v>2.2424673447197781E-2</v>
      </c>
      <c r="P19" s="169">
        <f>(INDEX(Models!$BJ19:$BT19,,T19)*(1-R19)+INDEX(Models!$BJ19:$BT19,,T19+1)*R19-ERP_i)*Q19*Ramure*Pc/MaxiM</f>
        <v>3.7486007257785418E-3</v>
      </c>
      <c r="Q19" s="304">
        <f t="shared" si="4"/>
        <v>0.7</v>
      </c>
      <c r="R19" s="177">
        <f t="shared" si="5"/>
        <v>0.13470537336035504</v>
      </c>
      <c r="S19" s="799">
        <f t="shared" si="6"/>
        <v>-1</v>
      </c>
      <c r="T19" s="176">
        <f t="shared" si="7"/>
        <v>5</v>
      </c>
      <c r="U19" s="250">
        <f t="shared" si="21"/>
        <v>-0.86529462663964496</v>
      </c>
      <c r="V19" s="382">
        <f t="shared" si="8"/>
        <v>26.441840202375843</v>
      </c>
      <c r="W19" s="58"/>
      <c r="X19" s="157">
        <f t="shared" si="9"/>
        <v>43835</v>
      </c>
      <c r="Y19" s="383">
        <f t="shared" si="10"/>
        <v>11.091465181406569</v>
      </c>
      <c r="Z19" s="383">
        <f t="shared" si="11"/>
        <v>11.168254051980192</v>
      </c>
      <c r="AA19" s="384">
        <f t="shared" si="12"/>
        <v>11.424443466021701</v>
      </c>
      <c r="AB19" s="197">
        <f t="shared" si="13"/>
        <v>43835</v>
      </c>
      <c r="AC19" s="424">
        <f>IF(OR(t&lt;Tnet,NoTnet),'2019'!Resal_s+('2019'!Salim-'2019'!Resal_s)*(1-EXP(('2019'!Tnet_s-t)/'2019'!Tau_j)),Resal_s+(Salim-Resal_s)*(1-EXP((Tnet_s-t)/Tau_j)))*Salcycl</f>
        <v>2.2424673447197781E-2</v>
      </c>
      <c r="AD19" s="230">
        <f>(INDEX(Models!$BJ19:$BT19,,AH19)*(1-AF19)+INDEX(Models!$BJ19:$BT19,,AH19+1)*AF19-ERP_i)*AE19*Ramure*Pc/MaxiM</f>
        <v>4.5583881836519947E-3</v>
      </c>
      <c r="AE19" s="304">
        <f t="shared" si="14"/>
        <v>0.7</v>
      </c>
      <c r="AF19" s="177">
        <f t="shared" si="15"/>
        <v>0.19903759562018719</v>
      </c>
      <c r="AG19" s="176">
        <f t="shared" si="16"/>
        <v>-1</v>
      </c>
      <c r="AH19" s="176">
        <f t="shared" si="17"/>
        <v>5</v>
      </c>
      <c r="AI19" s="224">
        <f t="shared" si="22"/>
        <v>-0.80096240437981281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20"/>
        <v>43836</v>
      </c>
      <c r="B20" s="607">
        <v>26.541</v>
      </c>
      <c r="C20" s="388"/>
      <c r="D20" s="391">
        <f t="shared" si="0"/>
        <v>26.725261884831841</v>
      </c>
      <c r="E20" s="383">
        <f t="shared" si="1"/>
        <v>27.339765079066492</v>
      </c>
      <c r="F20" s="383">
        <f t="shared" si="2"/>
        <v>27.442074545816915</v>
      </c>
      <c r="G20" s="110">
        <f t="shared" si="23"/>
        <v>0.99559370746391951</v>
      </c>
      <c r="H20" s="412" t="b">
        <f>Wh_hp&gt;='2019'!Maxi_hp</f>
        <v>1</v>
      </c>
      <c r="I20" s="388">
        <f>IF(H20,Wh_hp,'2019'!Maxi_hp)</f>
        <v>27.442074545816915</v>
      </c>
      <c r="J20" s="85">
        <f>IF(H20,An,'2019'!An_max)</f>
        <v>2020</v>
      </c>
      <c r="K20" s="197">
        <f t="shared" si="3"/>
        <v>43836</v>
      </c>
      <c r="L20" s="147">
        <f>IF(t&lt;Tvie,1-EXP((T0-t)*PertePVj)+'2019'!Pspv,1-EXP((T0-t)*PertePVj)+Pspv)</f>
        <v>6.8946708782831045E-3</v>
      </c>
      <c r="M20" s="832"/>
      <c r="N20" s="832"/>
      <c r="O20" s="48">
        <f>IF(t&lt;Tnet,'2019'!Resal+('2019'!Salim-'2019'!Resal)*(1-EXP(('2019'!Tnet-t)/('2019'!Tau_j))),Resal+(Salim-Resal)*(1-EXP((Tnet-t)/(Tau_j))))*Salcycl</f>
        <v>2.2476535275907147E-2</v>
      </c>
      <c r="P20" s="169">
        <f>(INDEX(Models!$BJ20:$BT20,,T20)*(1-R20)+INDEX(Models!$BJ20:$BT20,,T20+1)*R20-ERP_i)*Q20*Ramure*Pc/MaxiM</f>
        <v>3.7516871922217551E-3</v>
      </c>
      <c r="Q20" s="304">
        <f t="shared" si="4"/>
        <v>0.7</v>
      </c>
      <c r="R20" s="177">
        <f t="shared" si="5"/>
        <v>0.13473290679775562</v>
      </c>
      <c r="S20" s="799">
        <f t="shared" si="6"/>
        <v>-1</v>
      </c>
      <c r="T20" s="176">
        <f t="shared" si="7"/>
        <v>5</v>
      </c>
      <c r="U20" s="250">
        <f t="shared" si="21"/>
        <v>-0.86526709320224438</v>
      </c>
      <c r="V20" s="382">
        <f t="shared" si="8"/>
        <v>26.657836446071645</v>
      </c>
      <c r="W20" s="58"/>
      <c r="X20" s="157">
        <f t="shared" si="9"/>
        <v>43836</v>
      </c>
      <c r="Y20" s="383">
        <f t="shared" si="10"/>
        <v>26.519640224706119</v>
      </c>
      <c r="Z20" s="383">
        <f t="shared" si="11"/>
        <v>26.703753818499369</v>
      </c>
      <c r="AA20" s="384">
        <f t="shared" si="12"/>
        <v>27.317762470322421</v>
      </c>
      <c r="AB20" s="197">
        <f t="shared" si="13"/>
        <v>43836</v>
      </c>
      <c r="AC20" s="424">
        <f>IF(OR(t&lt;Tnet,NoTnet),'2019'!Resal_s+('2019'!Salim-'2019'!Resal_s)*(1-EXP(('2019'!Tnet_s-t)/'2019'!Tau_j)),Resal_s+(Salim-Resal_s)*(1-EXP((Tnet_s-t)/Tau_j)))*Salcycl</f>
        <v>2.2476535275907147E-2</v>
      </c>
      <c r="AD20" s="230">
        <f>(INDEX(Models!$BJ20:$BT20,,AH20)*(1-AF20)+INDEX(Models!$BJ20:$BT20,,AH20+1)*AF20-ERP_i)*AE20*Ramure*Pc/MaxiM</f>
        <v>4.5585226498043689E-3</v>
      </c>
      <c r="AE20" s="304">
        <f>IF(OR(t&lt;Ttai,Notai),Dd_s+PousD*Croivg,Dens_s+PousD*(Croivg-Croi_tai))</f>
        <v>0.7</v>
      </c>
      <c r="AF20" s="177">
        <f t="shared" si="15"/>
        <v>0.19906512905758778</v>
      </c>
      <c r="AG20" s="176">
        <f t="shared" si="16"/>
        <v>-1</v>
      </c>
      <c r="AH20" s="176">
        <f t="shared" si="17"/>
        <v>5</v>
      </c>
      <c r="AI20" s="224">
        <f>IF(OR(t&lt;Ttai,Notai),Hdd_s+PousH*Croivg,Hdtai_s+PousH*(Croivg-Croi_tai))</f>
        <v>-0.80093487094241222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20"/>
        <v>43837</v>
      </c>
      <c r="B21" s="607">
        <v>8.5619999999999994</v>
      </c>
      <c r="C21" s="388"/>
      <c r="D21" s="391">
        <f t="shared" si="0"/>
        <v>8.6216072362572955</v>
      </c>
      <c r="E21" s="383">
        <f t="shared" si="1"/>
        <v>8.8203146298075197</v>
      </c>
      <c r="F21" s="383">
        <f t="shared" si="2"/>
        <v>8.8211920270323727</v>
      </c>
      <c r="G21" s="110">
        <f t="shared" si="23"/>
        <v>0.31736809011219219</v>
      </c>
      <c r="H21" s="412" t="b">
        <f>Wh_hp&gt;='2019'!Maxi_hp</f>
        <v>1</v>
      </c>
      <c r="I21" s="388">
        <f>IF(H21,Wh_hp,'2019'!Maxi_hp)</f>
        <v>8.8211920270323727</v>
      </c>
      <c r="J21" s="85">
        <f>IF(H21,An,'2019'!An_max)</f>
        <v>2020</v>
      </c>
      <c r="K21" s="197">
        <f t="shared" si="3"/>
        <v>43837</v>
      </c>
      <c r="L21" s="147">
        <f>IF(t&lt;Tvie,1-EXP((T0-t)*PertePVj)+'2019'!Pspv,1-EXP((T0-t)*PertePVj)+Pspv)</f>
        <v>6.9137035153519211E-3</v>
      </c>
      <c r="M21" s="832"/>
      <c r="N21" s="832"/>
      <c r="O21" s="48">
        <f>IF(t&lt;Tnet,'2019'!Resal+('2019'!Salim-'2019'!Resal)*(1-EXP(('2019'!Tnet-t)/('2019'!Tau_j))),Resal+(Salim-Resal)*(1-EXP((Tnet-t)/(Tau_j))))*Salcycl</f>
        <v>2.2528379302786838E-2</v>
      </c>
      <c r="P21" s="169">
        <f>(INDEX(Models!$BJ21:$BT21,,T21)*(1-R21)+INDEX(Models!$BJ21:$BT21,,T21+1)*R21-ERP_i)*Q21*Ramure*Pc/MaxiM</f>
        <v>3.7567902346711739E-3</v>
      </c>
      <c r="Q21" s="304">
        <f t="shared" si="4"/>
        <v>0.7</v>
      </c>
      <c r="R21" s="177">
        <f t="shared" si="5"/>
        <v>0.13476159128660625</v>
      </c>
      <c r="S21" s="799">
        <f t="shared" si="6"/>
        <v>-1</v>
      </c>
      <c r="T21" s="176">
        <f t="shared" si="7"/>
        <v>5</v>
      </c>
      <c r="U21" s="250">
        <f t="shared" si="21"/>
        <v>-0.86523840871339375</v>
      </c>
      <c r="V21" s="382">
        <f t="shared" si="8"/>
        <v>26.879459938183963</v>
      </c>
      <c r="W21" s="58"/>
      <c r="X21" s="157">
        <f t="shared" si="9"/>
        <v>43837</v>
      </c>
      <c r="Y21" s="383">
        <f t="shared" si="10"/>
        <v>8.5618177066922634</v>
      </c>
      <c r="Z21" s="383">
        <f t="shared" si="11"/>
        <v>8.6214236738535224</v>
      </c>
      <c r="AA21" s="384">
        <f t="shared" si="12"/>
        <v>8.8201268367300667</v>
      </c>
      <c r="AB21" s="197">
        <f t="shared" si="13"/>
        <v>43837</v>
      </c>
      <c r="AC21" s="424">
        <f>IF(OR(t&lt;Tnet,NoTnet),'2019'!Resal_s+('2019'!Salim-'2019'!Resal_s)*(1-EXP(('2019'!Tnet_s-t)/'2019'!Tau_j)),Resal_s+(Salim-Resal_s)*(1-EXP((Tnet_s-t)/Tau_j)))*Salcycl</f>
        <v>2.2528379302786838E-2</v>
      </c>
      <c r="AD21" s="230">
        <f>(INDEX(Models!$BJ21:$BT21,,AH21)*(1-AF21)+INDEX(Models!$BJ21:$BT21,,AH21+1)*AF21-ERP_i)*AE21*Ramure*Pc/MaxiM</f>
        <v>4.5608721026444161E-3</v>
      </c>
      <c r="AE21" s="304">
        <f t="shared" si="14"/>
        <v>0.7</v>
      </c>
      <c r="AF21" s="177">
        <f t="shared" si="15"/>
        <v>0.1990938135464384</v>
      </c>
      <c r="AG21" s="176">
        <f t="shared" si="16"/>
        <v>-1</v>
      </c>
      <c r="AH21" s="176">
        <f t="shared" si="17"/>
        <v>5</v>
      </c>
      <c r="AI21" s="224">
        <f t="shared" si="22"/>
        <v>-0.8009061864535616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20"/>
        <v>43838</v>
      </c>
      <c r="B22" s="607">
        <v>13.704000000000001</v>
      </c>
      <c r="C22" s="388"/>
      <c r="D22" s="391">
        <f t="shared" si="0"/>
        <v>13.799669462339505</v>
      </c>
      <c r="E22" s="383">
        <f t="shared" si="1"/>
        <v>14.118467321945227</v>
      </c>
      <c r="F22" s="383">
        <f t="shared" si="2"/>
        <v>14.134091674599651</v>
      </c>
      <c r="G22" s="110">
        <f t="shared" si="23"/>
        <v>0.5042343306178847</v>
      </c>
      <c r="H22" s="412" t="b">
        <f>Wh_hp&gt;='2019'!Maxi_hp</f>
        <v>1</v>
      </c>
      <c r="I22" s="388">
        <f>IF(H22,Wh_hp,'2019'!Maxi_hp)</f>
        <v>14.134091674599651</v>
      </c>
      <c r="J22" s="85">
        <f>IF(H22,An,'2019'!An_max)</f>
        <v>2020</v>
      </c>
      <c r="K22" s="197">
        <f t="shared" si="3"/>
        <v>43838</v>
      </c>
      <c r="L22" s="147">
        <f>IF(t&lt;Tvie,1-EXP((T0-t)*PertePVj)+'2019'!Pspv,1-EXP((T0-t)*PertePVj)+Pspv)</f>
        <v>6.9327357876647344E-3</v>
      </c>
      <c r="M22" s="832"/>
      <c r="N22" s="832"/>
      <c r="O22" s="48">
        <f>IF(t&lt;Tnet,'2019'!Resal+('2019'!Salim-'2019'!Resal)*(1-EXP(('2019'!Tnet-t)/('2019'!Tau_j))),Resal+(Salim-Resal)*(1-EXP((Tnet-t)/(Tau_j))))*Salcycl</f>
        <v>2.258020310109685E-2</v>
      </c>
      <c r="P22" s="169">
        <f>(INDEX(Models!$BJ22:$BT22,,T22)*(1-R22)+INDEX(Models!$BJ22:$BT22,,T22+1)*R22-ERP_i)*Q22*Ramure*Pc/MaxiM</f>
        <v>3.7640157300769536E-3</v>
      </c>
      <c r="Q22" s="304">
        <f t="shared" si="4"/>
        <v>0.7</v>
      </c>
      <c r="R22" s="177">
        <f t="shared" si="5"/>
        <v>0.13479147477140396</v>
      </c>
      <c r="S22" s="799">
        <f t="shared" si="6"/>
        <v>-1</v>
      </c>
      <c r="T22" s="176">
        <f t="shared" si="7"/>
        <v>5</v>
      </c>
      <c r="U22" s="250">
        <f t="shared" si="21"/>
        <v>-0.86520852522859604</v>
      </c>
      <c r="V22" s="382">
        <f t="shared" si="8"/>
        <v>27.105505699705908</v>
      </c>
      <c r="W22" s="58"/>
      <c r="X22" s="157">
        <f t="shared" si="9"/>
        <v>43838</v>
      </c>
      <c r="Y22" s="383">
        <f t="shared" si="10"/>
        <v>13.700770429932401</v>
      </c>
      <c r="Z22" s="383">
        <f t="shared" si="11"/>
        <v>13.796417346210029</v>
      </c>
      <c r="AA22" s="384">
        <f t="shared" si="12"/>
        <v>14.115140075924844</v>
      </c>
      <c r="AB22" s="197">
        <f t="shared" si="13"/>
        <v>43838</v>
      </c>
      <c r="AC22" s="424">
        <f>IF(OR(t&lt;Tnet,NoTnet),'2019'!Resal_s+('2019'!Salim-'2019'!Resal_s)*(1-EXP(('2019'!Tnet_s-t)/'2019'!Tau_j)),Resal_s+(Salim-Resal_s)*(1-EXP((Tnet_s-t)/Tau_j)))*Salcycl</f>
        <v>2.258020310109685E-2</v>
      </c>
      <c r="AD22" s="230">
        <f>(INDEX(Models!$BJ22:$BT22,,AH22)*(1-AF22)+INDEX(Models!$BJ22:$BT22,,AH22+1)*AF22-ERP_i)*AE22*Ramure*Pc/MaxiM</f>
        <v>4.5655725456169825E-3</v>
      </c>
      <c r="AE22" s="304">
        <f t="shared" si="14"/>
        <v>0.7</v>
      </c>
      <c r="AF22" s="177">
        <f t="shared" si="15"/>
        <v>0.19912369703123611</v>
      </c>
      <c r="AG22" s="176">
        <f t="shared" si="16"/>
        <v>-1</v>
      </c>
      <c r="AH22" s="176">
        <f t="shared" si="17"/>
        <v>5</v>
      </c>
      <c r="AI22" s="224">
        <f t="shared" si="22"/>
        <v>-0.80087630296876389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20"/>
        <v>43839</v>
      </c>
      <c r="B23" s="607">
        <v>25.794</v>
      </c>
      <c r="C23" s="388"/>
      <c r="D23" s="391">
        <f t="shared" si="0"/>
        <v>25.974569170859453</v>
      </c>
      <c r="E23" s="383">
        <f t="shared" si="1"/>
        <v>26.576038194444209</v>
      </c>
      <c r="F23" s="383">
        <f t="shared" si="2"/>
        <v>26.668518012021664</v>
      </c>
      <c r="G23" s="110">
        <f t="shared" si="23"/>
        <v>0.94313934578064607</v>
      </c>
      <c r="H23" s="412" t="b">
        <f>Wh_hp&gt;='2019'!Maxi_hp</f>
        <v>1</v>
      </c>
      <c r="I23" s="388">
        <f>IF(H23,Wh_hp,'2019'!Maxi_hp)</f>
        <v>26.668518012021664</v>
      </c>
      <c r="J23" s="85">
        <f>IF(H23,An,'2019'!An_max)</f>
        <v>2020</v>
      </c>
      <c r="K23" s="197">
        <f t="shared" si="3"/>
        <v>43839</v>
      </c>
      <c r="L23" s="147">
        <f>IF(t&lt;Tvie,1-EXP((T0-t)*PertePVj)+'2019'!Pspv,1-EXP((T0-t)*PertePVj)+Pspv)</f>
        <v>6.9517676952283169E-3</v>
      </c>
      <c r="M23" s="832"/>
      <c r="N23" s="832"/>
      <c r="O23" s="48">
        <f>IF(t&lt;Tnet,'2019'!Resal+('2019'!Salim-'2019'!Resal)*(1-EXP(('2019'!Tnet-t)/('2019'!Tau_j))),Resal+(Salim-Resal)*(1-EXP((Tnet-t)/(Tau_j))))*Salcycl</f>
        <v>2.2632004785065916E-2</v>
      </c>
      <c r="P23" s="169">
        <f>(INDEX(Models!$BJ23:$BT23,,T23)*(1-R23)+INDEX(Models!$BJ23:$BT23,,T23+1)*R23-ERP_i)*Q23*Ramure*Pc/MaxiM</f>
        <v>3.7726469989997368E-3</v>
      </c>
      <c r="Q23" s="304">
        <f t="shared" si="4"/>
        <v>0.7</v>
      </c>
      <c r="R23" s="177">
        <f t="shared" si="5"/>
        <v>0.13482260717863204</v>
      </c>
      <c r="S23" s="799">
        <f t="shared" si="6"/>
        <v>-1</v>
      </c>
      <c r="T23" s="176">
        <f t="shared" si="7"/>
        <v>5</v>
      </c>
      <c r="U23" s="250">
        <f t="shared" si="21"/>
        <v>-0.86517739282136796</v>
      </c>
      <c r="V23" s="382">
        <f t="shared" si="8"/>
        <v>27.340719372415112</v>
      </c>
      <c r="W23" s="58"/>
      <c r="X23" s="157">
        <f t="shared" si="9"/>
        <v>43839</v>
      </c>
      <c r="Y23" s="383">
        <f t="shared" si="10"/>
        <v>25.774987518515935</v>
      </c>
      <c r="Z23" s="383">
        <f t="shared" si="11"/>
        <v>25.95542359377108</v>
      </c>
      <c r="AA23" s="384">
        <f t="shared" si="12"/>
        <v>26.556449280972409</v>
      </c>
      <c r="AB23" s="197">
        <f t="shared" si="13"/>
        <v>43839</v>
      </c>
      <c r="AC23" s="424">
        <f>IF(OR(t&lt;Tnet,NoTnet),'2019'!Resal_s+('2019'!Salim-'2019'!Resal_s)*(1-EXP(('2019'!Tnet_s-t)/'2019'!Tau_j)),Resal_s+(Salim-Resal_s)*(1-EXP((Tnet_s-t)/Tau_j)))*Salcycl</f>
        <v>2.2632004785065916E-2</v>
      </c>
      <c r="AD23" s="230">
        <f>(INDEX(Models!$BJ23:$BT23,,AH23)*(1-AF23)+INDEX(Models!$BJ23:$BT23,,AH23+1)*AF23-ERP_i)*AE23*Ramure*Pc/MaxiM</f>
        <v>4.5717624985644233E-3</v>
      </c>
      <c r="AE23" s="304">
        <f t="shared" si="14"/>
        <v>0.7</v>
      </c>
      <c r="AF23" s="177">
        <f t="shared" si="15"/>
        <v>0.19915482943846419</v>
      </c>
      <c r="AG23" s="176">
        <f t="shared" si="16"/>
        <v>-1</v>
      </c>
      <c r="AH23" s="176">
        <f t="shared" si="17"/>
        <v>5</v>
      </c>
      <c r="AI23" s="224">
        <f t="shared" si="22"/>
        <v>-0.80084517056153581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20"/>
        <v>43840</v>
      </c>
      <c r="B24" s="607">
        <v>10.148</v>
      </c>
      <c r="C24" s="388"/>
      <c r="D24" s="391">
        <f t="shared" si="0"/>
        <v>10.219236244224691</v>
      </c>
      <c r="E24" s="383">
        <f t="shared" si="1"/>
        <v>10.456427578122302</v>
      </c>
      <c r="F24" s="383">
        <f t="shared" si="2"/>
        <v>10.460260744050126</v>
      </c>
      <c r="G24" s="110">
        <f t="shared" si="23"/>
        <v>0.36656027324430013</v>
      </c>
      <c r="H24" s="412" t="b">
        <f>Wh_hp&gt;='2019'!Maxi_hp</f>
        <v>1</v>
      </c>
      <c r="I24" s="388">
        <f>IF(H24,Wh_hp,'2019'!Maxi_hp)</f>
        <v>10.460260744050126</v>
      </c>
      <c r="J24" s="85">
        <f>IF(H24,An,'2019'!An_max)</f>
        <v>2020</v>
      </c>
      <c r="K24" s="197">
        <f t="shared" si="3"/>
        <v>43840</v>
      </c>
      <c r="L24" s="147">
        <f>IF(t&lt;Tvie,1-EXP((T0-t)*PertePVj)+'2019'!Pspv,1-EXP((T0-t)*PertePVj)+Pspv)</f>
        <v>6.9707992380496631E-3</v>
      </c>
      <c r="M24" s="832"/>
      <c r="N24" s="832"/>
      <c r="O24" s="48">
        <f>IF(t&lt;Tnet,'2019'!Resal+('2019'!Salim-'2019'!Resal)*(1-EXP(('2019'!Tnet-t)/('2019'!Tau_j))),Resal+(Salim-Resal)*(1-EXP((Tnet-t)/(Tau_j))))*Salcycl</f>
        <v>2.2683782977073318E-2</v>
      </c>
      <c r="P24" s="169">
        <f>(INDEX(Models!$BJ24:$BT24,,T24)*(1-R24)+INDEX(Models!$BJ24:$BT24,,T24+1)*R24-ERP_i)*Q24*Ramure*Pc/MaxiM</f>
        <v>3.7824509860292293E-3</v>
      </c>
      <c r="Q24" s="304">
        <f t="shared" si="4"/>
        <v>0.7</v>
      </c>
      <c r="R24" s="177">
        <f t="shared" si="5"/>
        <v>0.13485504049740771</v>
      </c>
      <c r="S24" s="799">
        <f t="shared" si="6"/>
        <v>-1</v>
      </c>
      <c r="T24" s="176">
        <f t="shared" si="7"/>
        <v>5</v>
      </c>
      <c r="U24" s="250">
        <f t="shared" si="21"/>
        <v>-0.86514495950259229</v>
      </c>
      <c r="V24" s="382">
        <f t="shared" si="8"/>
        <v>27.589792063099676</v>
      </c>
      <c r="W24" s="58"/>
      <c r="X24" s="157">
        <f t="shared" si="9"/>
        <v>43840</v>
      </c>
      <c r="Y24" s="383">
        <f t="shared" si="10"/>
        <v>10.147216182892514</v>
      </c>
      <c r="Z24" s="383">
        <f t="shared" si="11"/>
        <v>10.218446924930873</v>
      </c>
      <c r="AA24" s="384">
        <f t="shared" si="12"/>
        <v>10.45561993850672</v>
      </c>
      <c r="AB24" s="197">
        <f t="shared" si="13"/>
        <v>43840</v>
      </c>
      <c r="AC24" s="424">
        <f>IF(OR(t&lt;Tnet,NoTnet),'2019'!Resal_s+('2019'!Salim-'2019'!Resal_s)*(1-EXP(('2019'!Tnet_s-t)/'2019'!Tau_j)),Resal_s+(Salim-Resal_s)*(1-EXP((Tnet_s-t)/Tau_j)))*Salcycl</f>
        <v>2.2683782977073318E-2</v>
      </c>
      <c r="AD24" s="230">
        <f>(INDEX(Models!$BJ24:$BT24,,AH24)*(1-AF24)+INDEX(Models!$BJ24:$BT24,,AH24+1)*AF24-ERP_i)*AE24*Ramure*Pc/MaxiM</f>
        <v>4.5794050751122384E-3</v>
      </c>
      <c r="AE24" s="304">
        <f t="shared" si="14"/>
        <v>0.7</v>
      </c>
      <c r="AF24" s="177">
        <f t="shared" si="15"/>
        <v>0.19918726275723986</v>
      </c>
      <c r="AG24" s="176">
        <f t="shared" si="16"/>
        <v>-1</v>
      </c>
      <c r="AH24" s="176">
        <f t="shared" si="17"/>
        <v>5</v>
      </c>
      <c r="AI24" s="224">
        <f t="shared" si="22"/>
        <v>-0.80081273724276014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20"/>
        <v>43841</v>
      </c>
      <c r="B25" s="607">
        <v>27.303999999999998</v>
      </c>
      <c r="C25" s="388"/>
      <c r="D25" s="391">
        <f t="shared" si="0"/>
        <v>27.4961937312708</v>
      </c>
      <c r="E25" s="383">
        <f t="shared" si="1"/>
        <v>28.135878020597406</v>
      </c>
      <c r="F25" s="383">
        <f t="shared" si="2"/>
        <v>28.239972558041078</v>
      </c>
      <c r="G25" s="110">
        <f t="shared" si="23"/>
        <v>0.9802379439203609</v>
      </c>
      <c r="H25" s="412" t="b">
        <f>Wh_hp&gt;='2019'!Maxi_hp</f>
        <v>1</v>
      </c>
      <c r="I25" s="388">
        <f>IF(H25,Wh_hp,'2019'!Maxi_hp)</f>
        <v>28.239972558041078</v>
      </c>
      <c r="J25" s="85">
        <f>IF(H25,An,'2019'!An_max)</f>
        <v>2020</v>
      </c>
      <c r="K25" s="197">
        <f t="shared" si="3"/>
        <v>43841</v>
      </c>
      <c r="L25" s="147">
        <f>IF(t&lt;Tvie,1-EXP((T0-t)*PertePVj)+'2019'!Pspv,1-EXP((T0-t)*PertePVj)+Pspv)</f>
        <v>6.9898304161358782E-3</v>
      </c>
      <c r="M25" s="832"/>
      <c r="N25" s="832"/>
      <c r="O25" s="48">
        <f>IF(t&lt;Tnet,'2019'!Resal+('2019'!Salim-'2019'!Resal)*(1-EXP(('2019'!Tnet-t)/('2019'!Tau_j))),Resal+(Salim-Resal)*(1-EXP((Tnet-t)/(Tau_j))))*Salcycl</f>
        <v>2.2735536771175728E-2</v>
      </c>
      <c r="P25" s="169">
        <f>(INDEX(Models!$BJ25:$BT25,,T25)*(1-R25)+INDEX(Models!$BJ25:$BT25,,T25+1)*R25-ERP_i)*Q25*Ramure*Pc/MaxiM</f>
        <v>3.7925730555974447E-3</v>
      </c>
      <c r="Q25" s="304">
        <f t="shared" si="4"/>
        <v>0.7</v>
      </c>
      <c r="R25" s="177">
        <f t="shared" si="5"/>
        <v>0.13488882886330045</v>
      </c>
      <c r="S25" s="799">
        <f t="shared" si="6"/>
        <v>-1</v>
      </c>
      <c r="T25" s="176">
        <f t="shared" si="7"/>
        <v>5</v>
      </c>
      <c r="U25" s="250">
        <f t="shared" si="21"/>
        <v>-0.86511117113669955</v>
      </c>
      <c r="V25" s="382">
        <f t="shared" si="8"/>
        <v>27.851483889649366</v>
      </c>
      <c r="W25" s="58"/>
      <c r="X25" s="157">
        <f t="shared" si="9"/>
        <v>43841</v>
      </c>
      <c r="Y25" s="383">
        <f t="shared" si="10"/>
        <v>27.282823716202039</v>
      </c>
      <c r="Z25" s="383">
        <f t="shared" si="11"/>
        <v>27.47486838693235</v>
      </c>
      <c r="AA25" s="384">
        <f t="shared" si="12"/>
        <v>28.11405655349116</v>
      </c>
      <c r="AB25" s="197">
        <f t="shared" si="13"/>
        <v>43841</v>
      </c>
      <c r="AC25" s="424">
        <f>IF(OR(t&lt;Tnet,NoTnet),'2019'!Resal_s+('2019'!Salim-'2019'!Resal_s)*(1-EXP(('2019'!Tnet_s-t)/'2019'!Tau_j)),Resal_s+(Salim-Resal_s)*(1-EXP((Tnet_s-t)/Tau_j)))*Salcycl</f>
        <v>2.2735536771175728E-2</v>
      </c>
      <c r="AD25" s="230">
        <f>(INDEX(Models!$BJ25:$BT25,,AH25)*(1-AF25)+INDEX(Models!$BJ25:$BT25,,AH25+1)*AF25-ERP_i)*AE25*Ramure*Pc/MaxiM</f>
        <v>4.5876148533050788E-3</v>
      </c>
      <c r="AE25" s="304">
        <f t="shared" si="14"/>
        <v>0.7</v>
      </c>
      <c r="AF25" s="177">
        <f t="shared" si="15"/>
        <v>0.1992210511231326</v>
      </c>
      <c r="AG25" s="176">
        <f t="shared" si="16"/>
        <v>-1</v>
      </c>
      <c r="AH25" s="176">
        <f t="shared" si="17"/>
        <v>5</v>
      </c>
      <c r="AI25" s="224">
        <f t="shared" si="22"/>
        <v>-0.8007789488768674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20"/>
        <v>43842</v>
      </c>
      <c r="B26" s="607">
        <v>28.094999999999999</v>
      </c>
      <c r="C26" s="388"/>
      <c r="D26" s="391">
        <f t="shared" si="0"/>
        <v>28.293303840340858</v>
      </c>
      <c r="E26" s="383">
        <f t="shared" si="1"/>
        <v>28.953065025722164</v>
      </c>
      <c r="F26" s="383">
        <f t="shared" si="2"/>
        <v>29.063431932857039</v>
      </c>
      <c r="G26" s="110">
        <f t="shared" si="23"/>
        <v>0.99894437289941529</v>
      </c>
      <c r="H26" s="412" t="b">
        <f>Wh_hp&gt;='2019'!Maxi_hp</f>
        <v>1</v>
      </c>
      <c r="I26" s="388">
        <f>IF(H26,Wh_hp,'2019'!Maxi_hp)</f>
        <v>29.063431932857039</v>
      </c>
      <c r="J26" s="85">
        <f>IF(H26,An,'2019'!An_max)</f>
        <v>2020</v>
      </c>
      <c r="K26" s="197">
        <f t="shared" si="3"/>
        <v>43842</v>
      </c>
      <c r="L26" s="147">
        <f>IF(t&lt;Tvie,1-EXP((T0-t)*PertePVj)+'2019'!Pspv,1-EXP((T0-t)*PertePVj)+Pspv)</f>
        <v>7.0088612294939567E-3</v>
      </c>
      <c r="M26" s="832"/>
      <c r="N26" s="832"/>
      <c r="O26" s="48">
        <f>IF(t&lt;Tnet,'2019'!Resal+('2019'!Salim-'2019'!Resal)*(1-EXP(('2019'!Tnet-t)/('2019'!Tau_j))),Resal+(Salim-Resal)*(1-EXP((Tnet-t)/(Tau_j))))*Salcycl</f>
        <v>2.2787265693465276E-2</v>
      </c>
      <c r="P26" s="169">
        <f>(INDEX(Models!$BJ26:$BT26,,T26)*(1-R26)+INDEX(Models!$BJ26:$BT26,,T26+1)*R26-ERP_i)*Q26*Ramure*Pc/MaxiM</f>
        <v>3.8031534529351669E-3</v>
      </c>
      <c r="Q26" s="304">
        <f t="shared" si="4"/>
        <v>0.7</v>
      </c>
      <c r="R26" s="177">
        <f t="shared" si="5"/>
        <v>0.1349240286454374</v>
      </c>
      <c r="S26" s="799">
        <f t="shared" si="6"/>
        <v>-1</v>
      </c>
      <c r="T26" s="176">
        <f t="shared" si="7"/>
        <v>5</v>
      </c>
      <c r="U26" s="250">
        <f t="shared" si="21"/>
        <v>-0.8650759713545626</v>
      </c>
      <c r="V26" s="382">
        <f t="shared" si="8"/>
        <v>28.124528142978559</v>
      </c>
      <c r="W26" s="58"/>
      <c r="X26" s="157">
        <f t="shared" si="9"/>
        <v>43842</v>
      </c>
      <c r="Y26" s="383">
        <f t="shared" si="10"/>
        <v>28.072657792804552</v>
      </c>
      <c r="Z26" s="383">
        <f t="shared" si="11"/>
        <v>28.270803934427185</v>
      </c>
      <c r="AA26" s="384">
        <f t="shared" si="12"/>
        <v>28.930040452746621</v>
      </c>
      <c r="AB26" s="197">
        <f t="shared" si="13"/>
        <v>43842</v>
      </c>
      <c r="AC26" s="424">
        <f>IF(OR(t&lt;Tnet,NoTnet),'2019'!Resal_s+('2019'!Salim-'2019'!Resal_s)*(1-EXP(('2019'!Tnet_s-t)/'2019'!Tau_j)),Resal_s+(Salim-Resal_s)*(1-EXP((Tnet_s-t)/Tau_j)))*Salcycl</f>
        <v>2.2787265693465276E-2</v>
      </c>
      <c r="AD26" s="230">
        <f>(INDEX(Models!$BJ26:$BT26,,AH26)*(1-AF26)+INDEX(Models!$BJ26:$BT26,,AH26+1)*AF26-ERP_i)*AE26*Ramure*Pc/MaxiM</f>
        <v>4.5965614271867832E-3</v>
      </c>
      <c r="AE26" s="304">
        <f t="shared" si="14"/>
        <v>0.7</v>
      </c>
      <c r="AF26" s="177">
        <f t="shared" si="15"/>
        <v>0.19925625090526955</v>
      </c>
      <c r="AG26" s="176">
        <f t="shared" si="16"/>
        <v>-1</v>
      </c>
      <c r="AH26" s="176">
        <f t="shared" si="17"/>
        <v>5</v>
      </c>
      <c r="AI26" s="224">
        <f t="shared" si="22"/>
        <v>-0.80074374909473045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20"/>
        <v>43843</v>
      </c>
      <c r="B27" s="607">
        <v>17.838000000000001</v>
      </c>
      <c r="C27" s="388"/>
      <c r="D27" s="391">
        <f t="shared" si="0"/>
        <v>17.96425080876276</v>
      </c>
      <c r="E27" s="383">
        <f t="shared" si="1"/>
        <v>18.384125288446938</v>
      </c>
      <c r="F27" s="383">
        <f t="shared" si="2"/>
        <v>18.417034678656321</v>
      </c>
      <c r="G27" s="110">
        <f t="shared" si="23"/>
        <v>0.62665390111657371</v>
      </c>
      <c r="H27" s="412" t="b">
        <f>Wh_hp&gt;='2019'!Maxi_hp</f>
        <v>1</v>
      </c>
      <c r="I27" s="388">
        <f>IF(H27,Wh_hp,'2019'!Maxi_hp)</f>
        <v>18.417034678656321</v>
      </c>
      <c r="J27" s="85">
        <f>IF(H27,An,'2019'!An_max)</f>
        <v>2020</v>
      </c>
      <c r="K27" s="197">
        <f t="shared" si="3"/>
        <v>43843</v>
      </c>
      <c r="L27" s="147">
        <f>IF(t&lt;Tvie,1-EXP((T0-t)*PertePVj)+'2019'!Pspv,1-EXP((T0-t)*PertePVj)+Pspv)</f>
        <v>7.0278916781307821E-3</v>
      </c>
      <c r="M27" s="832"/>
      <c r="N27" s="832"/>
      <c r="O27" s="48">
        <f>IF(t&lt;Tnet,'2019'!Resal+('2019'!Salim-'2019'!Resal)*(1-EXP(('2019'!Tnet-t)/('2019'!Tau_j))),Resal+(Salim-Resal)*(1-EXP((Tnet-t)/(Tau_j))))*Salcycl</f>
        <v>2.2838969659766048E-2</v>
      </c>
      <c r="P27" s="169">
        <f>(INDEX(Models!$BJ27:$BT27,,T27)*(1-R27)+INDEX(Models!$BJ27:$BT27,,T27+1)*R27-ERP_i)*Q27*Ramure*Pc/MaxiM</f>
        <v>3.8143276690418169E-3</v>
      </c>
      <c r="Q27" s="304">
        <f t="shared" si="4"/>
        <v>0.7</v>
      </c>
      <c r="R27" s="177">
        <f t="shared" si="5"/>
        <v>0.13496069853701265</v>
      </c>
      <c r="S27" s="799">
        <f t="shared" si="6"/>
        <v>-1</v>
      </c>
      <c r="T27" s="176">
        <f t="shared" si="7"/>
        <v>5</v>
      </c>
      <c r="U27" s="250">
        <f t="shared" si="21"/>
        <v>-0.86503930146298735</v>
      </c>
      <c r="V27" s="382">
        <f t="shared" si="8"/>
        <v>28.407658462466902</v>
      </c>
      <c r="W27" s="58"/>
      <c r="X27" s="157">
        <f t="shared" si="9"/>
        <v>43843</v>
      </c>
      <c r="Y27" s="383">
        <f t="shared" si="10"/>
        <v>17.831369076981062</v>
      </c>
      <c r="Z27" s="383">
        <f t="shared" si="11"/>
        <v>17.957572954507473</v>
      </c>
      <c r="AA27" s="384">
        <f t="shared" si="12"/>
        <v>18.377291354174137</v>
      </c>
      <c r="AB27" s="197">
        <f t="shared" si="13"/>
        <v>43843</v>
      </c>
      <c r="AC27" s="424">
        <f>IF(OR(t&lt;Tnet,NoTnet),'2019'!Resal_s+('2019'!Salim-'2019'!Resal_s)*(1-EXP(('2019'!Tnet_s-t)/'2019'!Tau_j)),Resal_s+(Salim-Resal_s)*(1-EXP((Tnet_s-t)/Tau_j)))*Salcycl</f>
        <v>2.2838969659766048E-2</v>
      </c>
      <c r="AD27" s="230">
        <f>(INDEX(Models!$BJ27:$BT27,,AH27)*(1-AF27)+INDEX(Models!$BJ27:$BT27,,AH27+1)*AF27-ERP_i)*AE27*Ramure*Pc/MaxiM</f>
        <v>4.6064075106709282E-3</v>
      </c>
      <c r="AE27" s="304">
        <f t="shared" si="14"/>
        <v>0.7</v>
      </c>
      <c r="AF27" s="177">
        <f t="shared" si="15"/>
        <v>0.1992929207968448</v>
      </c>
      <c r="AG27" s="176">
        <f t="shared" si="16"/>
        <v>-1</v>
      </c>
      <c r="AH27" s="299">
        <f t="shared" si="17"/>
        <v>5</v>
      </c>
      <c r="AI27" s="224">
        <f t="shared" si="22"/>
        <v>-0.8007070792031552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20"/>
        <v>43844</v>
      </c>
      <c r="B28" s="607">
        <v>25.74</v>
      </c>
      <c r="C28" s="388"/>
      <c r="D28" s="391">
        <f t="shared" si="0"/>
        <v>25.922675063032322</v>
      </c>
      <c r="E28" s="383">
        <f t="shared" si="1"/>
        <v>26.529963135320408</v>
      </c>
      <c r="F28" s="383">
        <f t="shared" si="2"/>
        <v>26.616801741514003</v>
      </c>
      <c r="G28" s="110">
        <f t="shared" si="23"/>
        <v>0.89636913050809774</v>
      </c>
      <c r="H28" s="412" t="b">
        <f>Wh_hp&gt;='2019'!Maxi_hp</f>
        <v>1</v>
      </c>
      <c r="I28" s="388">
        <f>IF(H28,Wh_hp,'2019'!Maxi_hp)</f>
        <v>26.616801741514003</v>
      </c>
      <c r="J28" s="85">
        <f>IF(H28,An,'2019'!An_max)</f>
        <v>2020</v>
      </c>
      <c r="K28" s="197">
        <f t="shared" si="3"/>
        <v>43844</v>
      </c>
      <c r="L28" s="147">
        <f>IF(t&lt;Tvie,1-EXP((T0-t)*PertePVj)+'2019'!Pspv,1-EXP((T0-t)*PertePVj)+Pspv)</f>
        <v>7.0469217620534597E-3</v>
      </c>
      <c r="M28" s="832"/>
      <c r="N28" s="832"/>
      <c r="O28" s="48">
        <f>IF(t&lt;Tnet,'2019'!Resal+('2019'!Salim-'2019'!Resal)*(1-EXP(('2019'!Tnet-t)/('2019'!Tau_j))),Resal+(Salim-Resal)*(1-EXP((Tnet-t)/(Tau_j))))*Salcycl</f>
        <v>2.2890648931192026E-2</v>
      </c>
      <c r="P28" s="169">
        <f>(INDEX(Models!$BJ28:$BT28,,T28)*(1-R28)+INDEX(Models!$BJ28:$BT28,,T28+1)*R28-ERP_i)*Q28*Ramure*Pc/MaxiM</f>
        <v>3.8262263169731533E-3</v>
      </c>
      <c r="Q28" s="304">
        <f t="shared" si="4"/>
        <v>0.7</v>
      </c>
      <c r="R28" s="177">
        <f t="shared" si="5"/>
        <v>0.13499889964932421</v>
      </c>
      <c r="S28" s="799">
        <f t="shared" si="6"/>
        <v>-1</v>
      </c>
      <c r="T28" s="176">
        <f t="shared" si="7"/>
        <v>5</v>
      </c>
      <c r="U28" s="250">
        <f t="shared" si="21"/>
        <v>-0.86500110035067579</v>
      </c>
      <c r="V28" s="382">
        <f t="shared" si="8"/>
        <v>28.699608861519014</v>
      </c>
      <c r="W28" s="58"/>
      <c r="X28" s="157">
        <f t="shared" si="9"/>
        <v>43844</v>
      </c>
      <c r="Y28" s="383">
        <f t="shared" si="10"/>
        <v>25.722580490586584</v>
      </c>
      <c r="Z28" s="383">
        <f t="shared" si="11"/>
        <v>25.905131928522554</v>
      </c>
      <c r="AA28" s="384">
        <f t="shared" si="12"/>
        <v>26.512009019447319</v>
      </c>
      <c r="AB28" s="197">
        <f t="shared" si="13"/>
        <v>43844</v>
      </c>
      <c r="AC28" s="424">
        <f>IF(OR(t&lt;Tnet,NoTnet),'2019'!Resal_s+('2019'!Salim-'2019'!Resal_s)*(1-EXP(('2019'!Tnet_s-t)/'2019'!Tau_j)),Resal_s+(Salim-Resal_s)*(1-EXP((Tnet_s-t)/Tau_j)))*Salcycl</f>
        <v>2.2890648931192026E-2</v>
      </c>
      <c r="AD28" s="230">
        <f>(INDEX(Models!$BJ28:$BT28,,AH28)*(1-AF28)+INDEX(Models!$BJ28:$BT28,,AH28+1)*AF28-ERP_i)*AE28*Ramure*Pc/MaxiM</f>
        <v>4.6173089202390322E-3</v>
      </c>
      <c r="AE28" s="304">
        <f t="shared" si="14"/>
        <v>0.7</v>
      </c>
      <c r="AF28" s="177">
        <f t="shared" si="15"/>
        <v>0.19933112190915636</v>
      </c>
      <c r="AG28" s="176">
        <f t="shared" si="16"/>
        <v>-1</v>
      </c>
      <c r="AH28" s="176">
        <f t="shared" si="17"/>
        <v>5</v>
      </c>
      <c r="AI28" s="224">
        <f t="shared" si="22"/>
        <v>-0.80066887809084364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20"/>
        <v>43845</v>
      </c>
      <c r="B29" s="607">
        <v>21.59</v>
      </c>
      <c r="C29" s="388"/>
      <c r="D29" s="391">
        <f t="shared" si="0"/>
        <v>21.743639501745534</v>
      </c>
      <c r="E29" s="383">
        <f t="shared" si="1"/>
        <v>22.254202174833555</v>
      </c>
      <c r="F29" s="383">
        <f t="shared" si="2"/>
        <v>22.308585586463529</v>
      </c>
      <c r="G29" s="110">
        <f t="shared" si="23"/>
        <v>0.74345976470899833</v>
      </c>
      <c r="H29" s="412" t="b">
        <f>Wh_hp&gt;='2019'!Maxi_hp</f>
        <v>1</v>
      </c>
      <c r="I29" s="388">
        <f>IF(H29,Wh_hp,'2019'!Maxi_hp)</f>
        <v>22.308585586463529</v>
      </c>
      <c r="J29" s="85">
        <f>IF(H29,An,'2019'!An_max)</f>
        <v>2020</v>
      </c>
      <c r="K29" s="197">
        <f t="shared" si="3"/>
        <v>43845</v>
      </c>
      <c r="L29" s="147">
        <f>IF(t&lt;Tvie,1-EXP((T0-t)*PertePVj)+'2019'!Pspv,1-EXP((T0-t)*PertePVj)+Pspv)</f>
        <v>7.0659514812688728E-3</v>
      </c>
      <c r="M29" s="832"/>
      <c r="N29" s="832"/>
      <c r="O29" s="48">
        <f>IF(t&lt;Tnet,'2019'!Resal+('2019'!Salim-'2019'!Resal)*(1-EXP(('2019'!Tnet-t)/('2019'!Tau_j))),Resal+(Salim-Resal)*(1-EXP((Tnet-t)/(Tau_j))))*Salcycl</f>
        <v>2.2942304068100796E-2</v>
      </c>
      <c r="P29" s="169">
        <f>(INDEX(Models!$BJ29:$BT29,,T29)*(1-R29)+INDEX(Models!$BJ29:$BT29,,T29+1)*R29-ERP_i)*Q29*Ramure*Pc/MaxiM</f>
        <v>3.8389751605295112E-3</v>
      </c>
      <c r="Q29" s="304">
        <f t="shared" si="4"/>
        <v>0.7</v>
      </c>
      <c r="R29" s="177">
        <f t="shared" si="5"/>
        <v>0.13503869560946213</v>
      </c>
      <c r="S29" s="799">
        <f t="shared" si="6"/>
        <v>-1</v>
      </c>
      <c r="T29" s="176">
        <f t="shared" si="7"/>
        <v>5</v>
      </c>
      <c r="U29" s="250">
        <f t="shared" si="21"/>
        <v>-0.86496130439053787</v>
      </c>
      <c r="V29" s="382">
        <f t="shared" si="8"/>
        <v>28.999113712226791</v>
      </c>
      <c r="W29" s="58"/>
      <c r="X29" s="157">
        <f t="shared" si="9"/>
        <v>43845</v>
      </c>
      <c r="Y29" s="383">
        <f t="shared" si="10"/>
        <v>21.579136733415034</v>
      </c>
      <c r="Z29" s="383">
        <f t="shared" si="11"/>
        <v>21.732698929608674</v>
      </c>
      <c r="AA29" s="384">
        <f t="shared" si="12"/>
        <v>22.243004706984511</v>
      </c>
      <c r="AB29" s="197">
        <f t="shared" si="13"/>
        <v>43845</v>
      </c>
      <c r="AC29" s="424">
        <f>IF(OR(t&lt;Tnet,NoTnet),'2019'!Resal_s+('2019'!Salim-'2019'!Resal_s)*(1-EXP(('2019'!Tnet_s-t)/'2019'!Tau_j)),Resal_s+(Salim-Resal_s)*(1-EXP((Tnet_s-t)/Tau_j)))*Salcycl</f>
        <v>2.2942304068100796E-2</v>
      </c>
      <c r="AD29" s="230">
        <f>(INDEX(Models!$BJ29:$BT29,,AH29)*(1-AF29)+INDEX(Models!$BJ29:$BT29,,AH29+1)*AF29-ERP_i)*AE29*Ramure*Pc/MaxiM</f>
        <v>4.629414738424883E-3</v>
      </c>
      <c r="AE29" s="304">
        <f t="shared" si="14"/>
        <v>0.7</v>
      </c>
      <c r="AF29" s="177">
        <f t="shared" si="15"/>
        <v>0.19937091786929428</v>
      </c>
      <c r="AG29" s="176">
        <f t="shared" si="16"/>
        <v>-1</v>
      </c>
      <c r="AH29" s="176">
        <f t="shared" si="17"/>
        <v>5</v>
      </c>
      <c r="AI29" s="224">
        <f t="shared" si="22"/>
        <v>-0.80062908213070572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20"/>
        <v>43846</v>
      </c>
      <c r="B30" s="607">
        <v>26.782</v>
      </c>
      <c r="C30" s="388"/>
      <c r="D30" s="391">
        <f t="shared" si="0"/>
        <v>26.973103924385889</v>
      </c>
      <c r="E30" s="383">
        <f t="shared" si="1"/>
        <v>27.607918635349698</v>
      </c>
      <c r="F30" s="383">
        <f t="shared" si="2"/>
        <v>27.701507884982867</v>
      </c>
      <c r="G30" s="110">
        <f t="shared" si="23"/>
        <v>0.91347350360742907</v>
      </c>
      <c r="H30" s="412" t="b">
        <f>Wh_hp&gt;='2019'!Maxi_hp</f>
        <v>1</v>
      </c>
      <c r="I30" s="388">
        <f>IF(H30,Wh_hp,'2019'!Maxi_hp)</f>
        <v>27.701507884982867</v>
      </c>
      <c r="J30" s="85">
        <f>IF(H30,An,'2019'!An_max)</f>
        <v>2020</v>
      </c>
      <c r="K30" s="197">
        <f t="shared" si="3"/>
        <v>43846</v>
      </c>
      <c r="L30" s="147">
        <f>IF(t&lt;Tvie,1-EXP((T0-t)*PertePVj)+'2019'!Pspv,1-EXP((T0-t)*PertePVj)+Pspv)</f>
        <v>7.0849808357841271E-3</v>
      </c>
      <c r="M30" s="832"/>
      <c r="N30" s="832"/>
      <c r="O30" s="48">
        <f>IF(t&lt;Tnet,'2019'!Resal+('2019'!Salim-'2019'!Resal)*(1-EXP(('2019'!Tnet-t)/('2019'!Tau_j))),Resal+(Salim-Resal)*(1-EXP((Tnet-t)/(Tau_j))))*Salcycl</f>
        <v>2.2993935882981775E-2</v>
      </c>
      <c r="P30" s="169">
        <f>(INDEX(Models!$BJ30:$BT30,,T30)*(1-R30)+INDEX(Models!$BJ30:$BT30,,T30+1)*R30-ERP_i)*Q30*Ramure*Pc/MaxiM</f>
        <v>3.852275379958128E-3</v>
      </c>
      <c r="Q30" s="304">
        <f t="shared" si="4"/>
        <v>0.7</v>
      </c>
      <c r="R30" s="177">
        <f t="shared" si="5"/>
        <v>0.13508015266177675</v>
      </c>
      <c r="S30" s="799">
        <f t="shared" si="6"/>
        <v>-1</v>
      </c>
      <c r="T30" s="176">
        <f t="shared" si="7"/>
        <v>5</v>
      </c>
      <c r="U30" s="250">
        <f t="shared" si="21"/>
        <v>-0.86491984733822325</v>
      </c>
      <c r="V30" s="382">
        <f t="shared" si="8"/>
        <v>29.304920112430224</v>
      </c>
      <c r="W30" s="58"/>
      <c r="X30" s="157">
        <f t="shared" si="9"/>
        <v>43846</v>
      </c>
      <c r="Y30" s="383">
        <f t="shared" si="10"/>
        <v>26.763365684323944</v>
      </c>
      <c r="Z30" s="383">
        <f t="shared" si="11"/>
        <v>26.954336642880023</v>
      </c>
      <c r="AA30" s="384">
        <f t="shared" si="12"/>
        <v>27.588709663987963</v>
      </c>
      <c r="AB30" s="197">
        <f t="shared" si="13"/>
        <v>43846</v>
      </c>
      <c r="AC30" s="424">
        <f>IF(OR(t&lt;Tnet,NoTnet),'2019'!Resal_s+('2019'!Salim-'2019'!Resal_s)*(1-EXP(('2019'!Tnet_s-t)/'2019'!Tau_j)),Resal_s+(Salim-Resal_s)*(1-EXP((Tnet_s-t)/Tau_j)))*Salcycl</f>
        <v>2.2993935882981775E-2</v>
      </c>
      <c r="AD30" s="230">
        <f>(INDEX(Models!$BJ30:$BT30,,AH30)*(1-AF30)+INDEX(Models!$BJ30:$BT30,,AH30+1)*AF30-ERP_i)*AE30*Ramure*Pc/MaxiM</f>
        <v>4.642945758673302E-3</v>
      </c>
      <c r="AE30" s="304">
        <f t="shared" si="14"/>
        <v>0.7</v>
      </c>
      <c r="AF30" s="177">
        <f t="shared" si="15"/>
        <v>0.1994123749216089</v>
      </c>
      <c r="AG30" s="176">
        <f t="shared" si="16"/>
        <v>-1</v>
      </c>
      <c r="AH30" s="176">
        <f t="shared" si="17"/>
        <v>5</v>
      </c>
      <c r="AI30" s="224">
        <f t="shared" si="22"/>
        <v>-0.8005876250783911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43847</v>
      </c>
      <c r="B31" s="607">
        <v>4.4779999999999998</v>
      </c>
      <c r="C31" s="388"/>
      <c r="D31" s="391">
        <f t="shared" si="0"/>
        <v>4.5100393639554097</v>
      </c>
      <c r="E31" s="383">
        <f t="shared" si="1"/>
        <v>4.6164274523614575</v>
      </c>
      <c r="F31" s="383">
        <f t="shared" si="2"/>
        <v>4.6164274523614575</v>
      </c>
      <c r="G31" s="110">
        <f t="shared" si="23"/>
        <v>0.1506186713960386</v>
      </c>
      <c r="H31" s="412" t="b">
        <f>Wh_hp&gt;='2019'!Maxi_hp</f>
        <v>1</v>
      </c>
      <c r="I31" s="388">
        <f>IF(H31,Wh_hp,'2019'!Maxi_hp)</f>
        <v>4.6164274523614575</v>
      </c>
      <c r="J31" s="85">
        <f>IF(H31,An,'2019'!An_max)</f>
        <v>2020</v>
      </c>
      <c r="K31" s="197">
        <f t="shared" si="3"/>
        <v>43847</v>
      </c>
      <c r="L31" s="147">
        <f>IF(t&lt;Tvie,1-EXP((T0-t)*PertePVj)+'2019'!Pspv,1-EXP((T0-t)*PertePVj)+Pspv)</f>
        <v>7.1040098256061057E-3</v>
      </c>
      <c r="M31" s="832"/>
      <c r="N31" s="832"/>
      <c r="O31" s="48">
        <f>IF(t&lt;Tnet,'2019'!Resal+('2019'!Salim-'2019'!Resal)*(1-EXP(('2019'!Tnet-t)/('2019'!Tau_j))),Resal+(Salim-Resal)*(1-EXP((Tnet-t)/(Tau_j))))*Salcycl</f>
        <v>2.3045545392818161E-2</v>
      </c>
      <c r="P31" s="169">
        <f>(INDEX(Models!$BJ31:$BT31,,T31)*(1-R31)+INDEX(Models!$BJ31:$BT31,,T31+1)*R31-ERP_i)*Q31*Ramure*Pc/MaxiM</f>
        <v>3.8646124310496815E-3</v>
      </c>
      <c r="Q31" s="304">
        <f t="shared" si="4"/>
        <v>0.7</v>
      </c>
      <c r="R31" s="177">
        <f t="shared" si="5"/>
        <v>0.13512333977326008</v>
      </c>
      <c r="S31" s="799">
        <f t="shared" si="6"/>
        <v>-1</v>
      </c>
      <c r="T31" s="176">
        <f t="shared" si="7"/>
        <v>5</v>
      </c>
      <c r="U31" s="250">
        <f t="shared" si="21"/>
        <v>-0.86487666022673992</v>
      </c>
      <c r="V31" s="382">
        <f t="shared" si="8"/>
        <v>29.61581206492491</v>
      </c>
      <c r="W31" s="58"/>
      <c r="X31" s="157">
        <f t="shared" si="9"/>
        <v>43847</v>
      </c>
      <c r="Y31" s="383">
        <f t="shared" si="10"/>
        <v>4.4779999999999998</v>
      </c>
      <c r="Z31" s="383">
        <f t="shared" si="11"/>
        <v>4.5100393639554097</v>
      </c>
      <c r="AA31" s="384">
        <f t="shared" si="12"/>
        <v>4.6164274523614575</v>
      </c>
      <c r="AB31" s="197">
        <f t="shared" si="13"/>
        <v>43847</v>
      </c>
      <c r="AC31" s="424">
        <f>IF(OR(t&lt;Tnet,NoTnet),'2019'!Resal_s+('2019'!Salim-'2019'!Resal_s)*(1-EXP(('2019'!Tnet_s-t)/'2019'!Tau_j)),Resal_s+(Salim-Resal_s)*(1-EXP((Tnet_s-t)/Tau_j)))*Salcycl</f>
        <v>2.3045545392818161E-2</v>
      </c>
      <c r="AD31" s="230">
        <f>(INDEX(Models!$BJ31:$BT31,,AH31)*(1-AF31)+INDEX(Models!$BJ31:$BT31,,AH31+1)*AF31-ERP_i)*AE31*Ramure*Pc/MaxiM</f>
        <v>4.656161042244018E-3</v>
      </c>
      <c r="AE31" s="304">
        <f t="shared" si="14"/>
        <v>0.7</v>
      </c>
      <c r="AF31" s="177">
        <f t="shared" si="15"/>
        <v>0.19945556203309223</v>
      </c>
      <c r="AG31" s="176">
        <f t="shared" si="16"/>
        <v>-1</v>
      </c>
      <c r="AH31" s="176">
        <f t="shared" si="17"/>
        <v>5</v>
      </c>
      <c r="AI31" s="224">
        <f t="shared" si="22"/>
        <v>-0.80054443796690777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20"/>
        <v>43848</v>
      </c>
      <c r="B32" s="607">
        <v>18.972000000000001</v>
      </c>
      <c r="C32" s="388"/>
      <c r="D32" s="391">
        <f t="shared" si="0"/>
        <v>19.108107786484045</v>
      </c>
      <c r="E32" s="383">
        <f t="shared" si="1"/>
        <v>19.559885068464681</v>
      </c>
      <c r="F32" s="383">
        <f t="shared" si="2"/>
        <v>19.596113433593985</v>
      </c>
      <c r="G32" s="110">
        <f t="shared" si="23"/>
        <v>0.63258044000686242</v>
      </c>
      <c r="H32" s="412" t="b">
        <f>Wh_hp&gt;='2019'!Maxi_hp</f>
        <v>1</v>
      </c>
      <c r="I32" s="388">
        <f>IF(H32,Wh_hp,'2019'!Maxi_hp)</f>
        <v>19.596113433593985</v>
      </c>
      <c r="J32" s="85">
        <f>IF(H32,An,'2019'!An_max)</f>
        <v>2020</v>
      </c>
      <c r="K32" s="197">
        <f t="shared" si="3"/>
        <v>43848</v>
      </c>
      <c r="L32" s="147">
        <f>IF(t&lt;Tvie,1-EXP((T0-t)*PertePVj)+'2019'!Pspv,1-EXP((T0-t)*PertePVj)+Pspv)</f>
        <v>7.1230384507418032E-3</v>
      </c>
      <c r="M32" s="832"/>
      <c r="N32" s="832"/>
      <c r="O32" s="48">
        <f>IF(t&lt;Tnet,'2019'!Resal+('2019'!Salim-'2019'!Resal)*(1-EXP(('2019'!Tnet-t)/('2019'!Tau_j))),Resal+(Salim-Resal)*(1-EXP((Tnet-t)/(Tau_j))))*Salcycl</f>
        <v>2.3097133771456026E-2</v>
      </c>
      <c r="P32" s="169">
        <f>(INDEX(Models!$BJ32:$BT32,,T32)*(1-R32)+INDEX(Models!$BJ32:$BT32,,T32+1)*R32-ERP_i)*Q32*Ramure*Pc/MaxiM</f>
        <v>3.8761638358533082E-3</v>
      </c>
      <c r="Q32" s="304">
        <f t="shared" si="4"/>
        <v>0.7</v>
      </c>
      <c r="R32" s="177">
        <f t="shared" si="5"/>
        <v>0.13516832874297335</v>
      </c>
      <c r="S32" s="799">
        <f t="shared" si="6"/>
        <v>-1</v>
      </c>
      <c r="T32" s="176">
        <f t="shared" si="7"/>
        <v>5</v>
      </c>
      <c r="U32" s="250">
        <f t="shared" si="21"/>
        <v>-0.86483167125702665</v>
      </c>
      <c r="V32" s="382">
        <f t="shared" si="8"/>
        <v>29.930525058757482</v>
      </c>
      <c r="W32" s="58"/>
      <c r="X32" s="157">
        <f t="shared" si="9"/>
        <v>43848</v>
      </c>
      <c r="Y32" s="383">
        <f t="shared" si="10"/>
        <v>18.964810261808577</v>
      </c>
      <c r="Z32" s="383">
        <f t="shared" si="11"/>
        <v>19.100866468103362</v>
      </c>
      <c r="AA32" s="384">
        <f t="shared" si="12"/>
        <v>19.552472541967916</v>
      </c>
      <c r="AB32" s="197">
        <f t="shared" si="13"/>
        <v>43848</v>
      </c>
      <c r="AC32" s="424">
        <f>IF(OR(t&lt;Tnet,NoTnet),'2019'!Resal_s+('2019'!Salim-'2019'!Resal_s)*(1-EXP(('2019'!Tnet_s-t)/'2019'!Tau_j)),Resal_s+(Salim-Resal_s)*(1-EXP((Tnet_s-t)/Tau_j)))*Salcycl</f>
        <v>2.3097133771456026E-2</v>
      </c>
      <c r="AD32" s="230">
        <f>(INDEX(Models!$BJ32:$BT32,,AH32)*(1-AF32)+INDEX(Models!$BJ32:$BT32,,AH32+1)*AF32-ERP_i)*AE32*Ramure*Pc/MaxiM</f>
        <v>4.6692486752191844E-3</v>
      </c>
      <c r="AE32" s="304">
        <f t="shared" si="14"/>
        <v>0.7</v>
      </c>
      <c r="AF32" s="177">
        <f t="shared" si="15"/>
        <v>0.1995005510028055</v>
      </c>
      <c r="AG32" s="176">
        <f t="shared" si="16"/>
        <v>-1</v>
      </c>
      <c r="AH32" s="176">
        <f t="shared" si="17"/>
        <v>5</v>
      </c>
      <c r="AI32" s="224">
        <f t="shared" si="22"/>
        <v>-0.8004994489971945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20"/>
        <v>43849</v>
      </c>
      <c r="B33" s="607">
        <v>22.181000000000001</v>
      </c>
      <c r="C33" s="388"/>
      <c r="D33" s="391">
        <f t="shared" si="0"/>
        <v>22.340557753843328</v>
      </c>
      <c r="E33" s="383">
        <f t="shared" si="1"/>
        <v>22.869967830826965</v>
      </c>
      <c r="F33" s="383">
        <f t="shared" si="2"/>
        <v>22.925129585774929</v>
      </c>
      <c r="G33" s="110">
        <f t="shared" si="23"/>
        <v>0.73222105116921565</v>
      </c>
      <c r="H33" s="412" t="b">
        <f>Wh_hp&gt;='2019'!Maxi_hp</f>
        <v>1</v>
      </c>
      <c r="I33" s="388">
        <f>IF(H33,Wh_hp,'2019'!Maxi_hp)</f>
        <v>22.925129585774929</v>
      </c>
      <c r="J33" s="85">
        <f>IF(H33,An,'2019'!An_max)</f>
        <v>2020</v>
      </c>
      <c r="K33" s="197">
        <f t="shared" si="3"/>
        <v>43849</v>
      </c>
      <c r="L33" s="147">
        <f>IF(t&lt;Tvie,1-EXP((T0-t)*PertePVj)+'2019'!Pspv,1-EXP((T0-t)*PertePVj)+Pspv)</f>
        <v>7.1420667111982139E-3</v>
      </c>
      <c r="M33" s="832"/>
      <c r="N33" s="832"/>
      <c r="O33" s="48">
        <f>IF(t&lt;Tnet,'2019'!Resal+('2019'!Salim-'2019'!Resal)*(1-EXP(('2019'!Tnet-t)/('2019'!Tau_j))),Resal+(Salim-Resal)*(1-EXP((Tnet-t)/(Tau_j))))*Salcycl</f>
        <v>2.3148702302503217E-2</v>
      </c>
      <c r="P33" s="169">
        <f>(INDEX(Models!$BJ33:$BT33,,T33)*(1-R33)+INDEX(Models!$BJ33:$BT33,,T33+1)*R33-ERP_i)*Q33*Ramure*Pc/MaxiM</f>
        <v>3.8871021333367708E-3</v>
      </c>
      <c r="Q33" s="304">
        <f t="shared" si="4"/>
        <v>0.7</v>
      </c>
      <c r="R33" s="177">
        <f t="shared" si="5"/>
        <v>0.13521519431566209</v>
      </c>
      <c r="S33" s="799">
        <f t="shared" si="6"/>
        <v>-1</v>
      </c>
      <c r="T33" s="176">
        <f t="shared" si="7"/>
        <v>5</v>
      </c>
      <c r="U33" s="250">
        <f t="shared" si="21"/>
        <v>-0.86478480568433791</v>
      </c>
      <c r="V33" s="382">
        <f t="shared" si="8"/>
        <v>30.247794945470144</v>
      </c>
      <c r="W33" s="58"/>
      <c r="X33" s="157">
        <f t="shared" si="9"/>
        <v>43849</v>
      </c>
      <c r="Y33" s="383">
        <f t="shared" si="10"/>
        <v>22.170054074199371</v>
      </c>
      <c r="Z33" s="383">
        <f t="shared" si="11"/>
        <v>22.329533089152001</v>
      </c>
      <c r="AA33" s="384">
        <f t="shared" si="12"/>
        <v>22.858681911754829</v>
      </c>
      <c r="AB33" s="197">
        <f t="shared" si="13"/>
        <v>43849</v>
      </c>
      <c r="AC33" s="424">
        <f>IF(OR(t&lt;Tnet,NoTnet),'2019'!Resal_s+('2019'!Salim-'2019'!Resal_s)*(1-EXP(('2019'!Tnet_s-t)/'2019'!Tau_j)),Resal_s+(Salim-Resal_s)*(1-EXP((Tnet_s-t)/Tau_j)))*Salcycl</f>
        <v>2.3148702302503217E-2</v>
      </c>
      <c r="AD33" s="230">
        <f>(INDEX(Models!$BJ33:$BT33,,AH33)*(1-AF33)+INDEX(Models!$BJ33:$BT33,,AH33+1)*AF33-ERP_i)*AE33*Ramure*Pc/MaxiM</f>
        <v>4.6823908282549289E-3</v>
      </c>
      <c r="AE33" s="304">
        <f t="shared" si="14"/>
        <v>0.7</v>
      </c>
      <c r="AF33" s="177">
        <f t="shared" si="15"/>
        <v>0.19954741657549424</v>
      </c>
      <c r="AG33" s="176">
        <f t="shared" si="16"/>
        <v>-1</v>
      </c>
      <c r="AH33" s="176">
        <f t="shared" si="17"/>
        <v>5</v>
      </c>
      <c r="AI33" s="224">
        <f t="shared" si="22"/>
        <v>-0.80045258342450576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20"/>
        <v>43850</v>
      </c>
      <c r="B34" s="607">
        <v>10.958</v>
      </c>
      <c r="C34" s="388"/>
      <c r="D34" s="391">
        <f t="shared" si="0"/>
        <v>11.03703726805735</v>
      </c>
      <c r="E34" s="383">
        <f t="shared" si="1"/>
        <v>11.299181121229134</v>
      </c>
      <c r="F34" s="383">
        <f t="shared" si="2"/>
        <v>11.30286271509741</v>
      </c>
      <c r="G34" s="110">
        <f t="shared" si="23"/>
        <v>0.35721778460942799</v>
      </c>
      <c r="H34" s="412" t="b">
        <f>Wh_hp&gt;='2019'!Maxi_hp</f>
        <v>1</v>
      </c>
      <c r="I34" s="388">
        <f>IF(H34,Wh_hp,'2019'!Maxi_hp)</f>
        <v>11.30286271509741</v>
      </c>
      <c r="J34" s="85">
        <f>IF(H34,An,'2019'!An_max)</f>
        <v>2020</v>
      </c>
      <c r="K34" s="197">
        <f t="shared" si="3"/>
        <v>43850</v>
      </c>
      <c r="L34" s="147">
        <f>IF(t&lt;Tvie,1-EXP((T0-t)*PertePVj)+'2019'!Pspv,1-EXP((T0-t)*PertePVj)+Pspv)</f>
        <v>7.1610946069824433E-3</v>
      </c>
      <c r="M34" s="832"/>
      <c r="N34" s="832"/>
      <c r="O34" s="48">
        <f>IF(t&lt;Tnet,'2019'!Resal+('2019'!Salim-'2019'!Resal)*(1-EXP(('2019'!Tnet-t)/('2019'!Tau_j))),Resal+(Salim-Resal)*(1-EXP((Tnet-t)/(Tau_j))))*Salcycl</f>
        <v>2.3200252333265232E-2</v>
      </c>
      <c r="P34" s="169">
        <f>(INDEX(Models!$BJ34:$BT34,,T34)*(1-R34)+INDEX(Models!$BJ34:$BT34,,T34+1)*R34-ERP_i)*Q34*Ramure*Pc/MaxiM</f>
        <v>3.8976163827911534E-3</v>
      </c>
      <c r="Q34" s="304">
        <f t="shared" si="4"/>
        <v>0.7</v>
      </c>
      <c r="R34" s="177">
        <f t="shared" si="5"/>
        <v>0.13526401429969614</v>
      </c>
      <c r="S34" s="799">
        <f t="shared" si="6"/>
        <v>-1</v>
      </c>
      <c r="T34" s="176">
        <f t="shared" si="7"/>
        <v>5</v>
      </c>
      <c r="U34" s="250">
        <f t="shared" si="21"/>
        <v>-0.86473598570030386</v>
      </c>
      <c r="V34" s="382">
        <f t="shared" si="8"/>
        <v>30.566357279316644</v>
      </c>
      <c r="W34" s="58"/>
      <c r="X34" s="157">
        <f t="shared" si="9"/>
        <v>43850</v>
      </c>
      <c r="Y34" s="383">
        <f t="shared" si="10"/>
        <v>10.957268829806116</v>
      </c>
      <c r="Z34" s="383">
        <f t="shared" si="11"/>
        <v>11.036300824118749</v>
      </c>
      <c r="AA34" s="384">
        <f t="shared" si="12"/>
        <v>11.298427185798294</v>
      </c>
      <c r="AB34" s="197">
        <f t="shared" si="13"/>
        <v>43850</v>
      </c>
      <c r="AC34" s="424">
        <f>IF(OR(t&lt;Tnet,NoTnet),'2019'!Resal_s+('2019'!Salim-'2019'!Resal_s)*(1-EXP(('2019'!Tnet_s-t)/'2019'!Tau_j)),Resal_s+(Salim-Resal_s)*(1-EXP((Tnet_s-t)/Tau_j)))*Salcycl</f>
        <v>2.3200252333265232E-2</v>
      </c>
      <c r="AD34" s="230">
        <f>(INDEX(Models!$BJ34:$BT34,,AH34)*(1-AF34)+INDEX(Models!$BJ34:$BT34,,AH34+1)*AF34-ERP_i)*AE34*Ramure*Pc/MaxiM</f>
        <v>4.6957899977910613E-3</v>
      </c>
      <c r="AE34" s="304">
        <f t="shared" si="14"/>
        <v>0.7</v>
      </c>
      <c r="AF34" s="177">
        <f t="shared" si="15"/>
        <v>0.1995962365595283</v>
      </c>
      <c r="AG34" s="176">
        <f t="shared" si="16"/>
        <v>-1</v>
      </c>
      <c r="AH34" s="176">
        <f t="shared" si="17"/>
        <v>5</v>
      </c>
      <c r="AI34" s="224">
        <f t="shared" si="22"/>
        <v>-0.8004037634404717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20"/>
        <v>43851</v>
      </c>
      <c r="B35" s="607">
        <v>3.677</v>
      </c>
      <c r="C35" s="388"/>
      <c r="D35" s="391">
        <f t="shared" si="0"/>
        <v>3.7035922446664302</v>
      </c>
      <c r="E35" s="383">
        <f t="shared" si="1"/>
        <v>3.7917573727424823</v>
      </c>
      <c r="F35" s="383">
        <f t="shared" si="2"/>
        <v>3.7917573727424823</v>
      </c>
      <c r="G35" s="110">
        <f t="shared" si="23"/>
        <v>0.11858950491716731</v>
      </c>
      <c r="H35" s="412" t="b">
        <f>Wh_hp&gt;='2019'!Maxi_hp</f>
        <v>1</v>
      </c>
      <c r="I35" s="388">
        <f>IF(H35,Wh_hp,'2019'!Maxi_hp)</f>
        <v>3.7917573727424823</v>
      </c>
      <c r="J35" s="85">
        <f>IF(H35,An,'2019'!An_max)</f>
        <v>2020</v>
      </c>
      <c r="K35" s="197">
        <f t="shared" si="3"/>
        <v>43851</v>
      </c>
      <c r="L35" s="147">
        <f>IF(t&lt;Tvie,1-EXP((T0-t)*PertePVj)+'2019'!Pspv,1-EXP((T0-t)*PertePVj)+Pspv)</f>
        <v>7.1801221381013747E-3</v>
      </c>
      <c r="M35" s="832"/>
      <c r="N35" s="832"/>
      <c r="O35" s="48">
        <f>IF(t&lt;Tnet,'2019'!Resal+('2019'!Salim-'2019'!Resal)*(1-EXP(('2019'!Tnet-t)/('2019'!Tau_j))),Resal+(Salim-Resal)*(1-EXP((Tnet-t)/(Tau_j))))*Salcycl</f>
        <v>2.3251785230204346E-2</v>
      </c>
      <c r="P35" s="169">
        <f>(INDEX(Models!$BJ35:$BT35,,T35)*(1-R35)+INDEX(Models!$BJ35:$BT35,,T35+1)*R35-ERP_i)*Q35*Ramure*Pc/MaxiM</f>
        <v>3.9079004218335392E-3</v>
      </c>
      <c r="Q35" s="304">
        <f t="shared" si="4"/>
        <v>0.7</v>
      </c>
      <c r="R35" s="177">
        <f t="shared" si="5"/>
        <v>0.13531486968948514</v>
      </c>
      <c r="S35" s="799">
        <f t="shared" si="6"/>
        <v>-1</v>
      </c>
      <c r="T35" s="176">
        <f t="shared" si="7"/>
        <v>5</v>
      </c>
      <c r="U35" s="250">
        <f t="shared" si="21"/>
        <v>-0.86468513031051486</v>
      </c>
      <c r="V35" s="382">
        <f t="shared" si="8"/>
        <v>30.88494764108512</v>
      </c>
      <c r="W35" s="58"/>
      <c r="X35" s="157">
        <f t="shared" si="9"/>
        <v>43851</v>
      </c>
      <c r="Y35" s="383">
        <f t="shared" si="10"/>
        <v>3.677</v>
      </c>
      <c r="Z35" s="383">
        <f t="shared" si="11"/>
        <v>3.7035922446664302</v>
      </c>
      <c r="AA35" s="384">
        <f t="shared" si="12"/>
        <v>3.7917573727424823</v>
      </c>
      <c r="AB35" s="197">
        <f t="shared" si="13"/>
        <v>43851</v>
      </c>
      <c r="AC35" s="424">
        <f>IF(OR(t&lt;Tnet,NoTnet),'2019'!Resal_s+('2019'!Salim-'2019'!Resal_s)*(1-EXP(('2019'!Tnet_s-t)/'2019'!Tau_j)),Resal_s+(Salim-Resal_s)*(1-EXP((Tnet_s-t)/Tau_j)))*Salcycl</f>
        <v>2.3251785230204346E-2</v>
      </c>
      <c r="AD35" s="230">
        <f>(INDEX(Models!$BJ35:$BT35,,AH35)*(1-AF35)+INDEX(Models!$BJ35:$BT35,,AH35+1)*AF35-ERP_i)*AE35*Ramure*Pc/MaxiM</f>
        <v>4.7096551885168836E-3</v>
      </c>
      <c r="AE35" s="304">
        <f t="shared" si="14"/>
        <v>0.7</v>
      </c>
      <c r="AF35" s="177">
        <f t="shared" si="15"/>
        <v>0.19964709194931729</v>
      </c>
      <c r="AG35" s="176">
        <f t="shared" si="16"/>
        <v>-1</v>
      </c>
      <c r="AH35" s="176">
        <f t="shared" si="17"/>
        <v>5</v>
      </c>
      <c r="AI35" s="224">
        <f t="shared" si="22"/>
        <v>-0.80035290805068271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20"/>
        <v>43852</v>
      </c>
      <c r="B36" s="607">
        <v>2.0059999999999998</v>
      </c>
      <c r="C36" s="388"/>
      <c r="D36" s="391">
        <f t="shared" si="0"/>
        <v>2.02054621387042</v>
      </c>
      <c r="E36" s="383">
        <f t="shared" si="1"/>
        <v>2.0687550379803934</v>
      </c>
      <c r="F36" s="383">
        <f t="shared" si="2"/>
        <v>2.0687550379803934</v>
      </c>
      <c r="G36" s="110">
        <f t="shared" si="23"/>
        <v>6.4038230552529898E-2</v>
      </c>
      <c r="H36" s="412" t="b">
        <f>Wh_hp&gt;='2019'!Maxi_hp</f>
        <v>1</v>
      </c>
      <c r="I36" s="388">
        <f>IF(H36,Wh_hp,'2019'!Maxi_hp)</f>
        <v>2.0687550379803934</v>
      </c>
      <c r="J36" s="85">
        <f>IF(H36,An,'2019'!An_max)</f>
        <v>2020</v>
      </c>
      <c r="K36" s="197">
        <f t="shared" si="3"/>
        <v>43852</v>
      </c>
      <c r="L36" s="147">
        <f>IF(t&lt;Tvie,1-EXP((T0-t)*PertePVj)+'2019'!Pspv,1-EXP((T0-t)*PertePVj)+Pspv)</f>
        <v>7.1991493045618915E-3</v>
      </c>
      <c r="M36" s="832"/>
      <c r="N36" s="832"/>
      <c r="O36" s="48">
        <f>IF(t&lt;Tnet,'2019'!Resal+('2019'!Salim-'2019'!Resal)*(1-EXP(('2019'!Tnet-t)/('2019'!Tau_j))),Resal+(Salim-Resal)*(1-EXP((Tnet-t)/(Tau_j))))*Salcycl</f>
        <v>2.3303302336383298E-2</v>
      </c>
      <c r="P36" s="169">
        <f>(INDEX(Models!$BJ36:$BT36,,T36)*(1-R36)+INDEX(Models!$BJ36:$BT36,,T36+1)*R36-ERP_i)*Q36*Ramure*Pc/MaxiM</f>
        <v>3.9181262625847231E-3</v>
      </c>
      <c r="Q36" s="304">
        <f t="shared" si="4"/>
        <v>0.7</v>
      </c>
      <c r="R36" s="177">
        <f t="shared" si="5"/>
        <v>0.13536784479251085</v>
      </c>
      <c r="S36" s="799">
        <f t="shared" si="6"/>
        <v>-1</v>
      </c>
      <c r="T36" s="176">
        <f t="shared" si="7"/>
        <v>5</v>
      </c>
      <c r="U36" s="250">
        <f t="shared" si="21"/>
        <v>-0.86463215520748915</v>
      </c>
      <c r="V36" s="382">
        <f t="shared" si="8"/>
        <v>31.202302460218686</v>
      </c>
      <c r="W36" s="58"/>
      <c r="X36" s="157">
        <f t="shared" si="9"/>
        <v>43852</v>
      </c>
      <c r="Y36" s="383">
        <f t="shared" si="10"/>
        <v>2.0059999999999998</v>
      </c>
      <c r="Z36" s="383">
        <f t="shared" si="11"/>
        <v>2.02054621387042</v>
      </c>
      <c r="AA36" s="384">
        <f t="shared" si="12"/>
        <v>2.0687550379803934</v>
      </c>
      <c r="AB36" s="197">
        <f t="shared" si="13"/>
        <v>43852</v>
      </c>
      <c r="AC36" s="424">
        <f>IF(OR(t&lt;Tnet,NoTnet),'2019'!Resal_s+('2019'!Salim-'2019'!Resal_s)*(1-EXP(('2019'!Tnet_s-t)/'2019'!Tau_j)),Resal_s+(Salim-Resal_s)*(1-EXP((Tnet_s-t)/Tau_j)))*Salcycl</f>
        <v>2.3303302336383298E-2</v>
      </c>
      <c r="AD36" s="230">
        <f>(INDEX(Models!$BJ36:$BT36,,AH36)*(1-AF36)+INDEX(Models!$BJ36:$BT36,,AH36+1)*AF36-ERP_i)*AE36*Ramure*Pc/MaxiM</f>
        <v>4.7241701580372905E-3</v>
      </c>
      <c r="AE36" s="304">
        <f t="shared" si="14"/>
        <v>0.7</v>
      </c>
      <c r="AF36" s="177">
        <f t="shared" si="15"/>
        <v>0.199700067052343</v>
      </c>
      <c r="AG36" s="176">
        <f t="shared" si="16"/>
        <v>-1</v>
      </c>
      <c r="AH36" s="176">
        <f t="shared" si="17"/>
        <v>5</v>
      </c>
      <c r="AI36" s="224">
        <f t="shared" si="22"/>
        <v>-0.800299932947657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20"/>
        <v>43853</v>
      </c>
      <c r="B37" s="607">
        <v>12.991</v>
      </c>
      <c r="C37" s="388"/>
      <c r="D37" s="391">
        <f t="shared" si="0"/>
        <v>13.085453104943142</v>
      </c>
      <c r="E37" s="383">
        <f t="shared" si="1"/>
        <v>13.398369408885504</v>
      </c>
      <c r="F37" s="383">
        <f t="shared" si="2"/>
        <v>13.406804517258259</v>
      </c>
      <c r="G37" s="110">
        <f t="shared" si="23"/>
        <v>0.4107656431363379</v>
      </c>
      <c r="H37" s="412" t="b">
        <f>Wh_hp&gt;='2019'!Maxi_hp</f>
        <v>1</v>
      </c>
      <c r="I37" s="388">
        <f>IF(H37,Wh_hp,'2019'!Maxi_hp)</f>
        <v>13.406804517258259</v>
      </c>
      <c r="J37" s="85">
        <f>IF(H37,An,'2019'!An_max)</f>
        <v>2020</v>
      </c>
      <c r="K37" s="197">
        <f t="shared" si="3"/>
        <v>43853</v>
      </c>
      <c r="L37" s="147">
        <f>IF(t&lt;Tvie,1-EXP((T0-t)*PertePVj)+'2019'!Pspv,1-EXP((T0-t)*PertePVj)+Pspv)</f>
        <v>7.2181761063712102E-3</v>
      </c>
      <c r="M37" s="832"/>
      <c r="N37" s="832"/>
      <c r="O37" s="48">
        <f>IF(t&lt;Tnet,'2019'!Resal+('2019'!Salim-'2019'!Resal)*(1-EXP(('2019'!Tnet-t)/('2019'!Tau_j))),Resal+(Salim-Resal)*(1-EXP((Tnet-t)/(Tau_j))))*Salcycl</f>
        <v>2.3354804931325718E-2</v>
      </c>
      <c r="P37" s="169">
        <f>(INDEX(Models!$BJ37:$BT37,,T37)*(1-R37)+INDEX(Models!$BJ37:$BT37,,T37+1)*R37-ERP_i)*Q37*Ramure*Pc/MaxiM</f>
        <v>3.9278706247995662E-3</v>
      </c>
      <c r="Q37" s="304">
        <f t="shared" si="4"/>
        <v>0.7</v>
      </c>
      <c r="R37" s="177">
        <f t="shared" si="5"/>
        <v>0.13542302736113265</v>
      </c>
      <c r="S37" s="799">
        <f t="shared" si="6"/>
        <v>-1</v>
      </c>
      <c r="T37" s="176">
        <f t="shared" si="7"/>
        <v>5</v>
      </c>
      <c r="U37" s="250">
        <f t="shared" si="21"/>
        <v>-0.86457697263886735</v>
      </c>
      <c r="V37" s="382">
        <f t="shared" si="8"/>
        <v>31.521914669254954</v>
      </c>
      <c r="W37" s="58"/>
      <c r="X37" s="157">
        <f t="shared" si="9"/>
        <v>43853</v>
      </c>
      <c r="Y37" s="383">
        <f t="shared" si="10"/>
        <v>12.989311472625932</v>
      </c>
      <c r="Z37" s="383">
        <f t="shared" si="11"/>
        <v>13.08375230086572</v>
      </c>
      <c r="AA37" s="384">
        <f t="shared" si="12"/>
        <v>13.396627932977969</v>
      </c>
      <c r="AB37" s="197">
        <f t="shared" si="13"/>
        <v>43853</v>
      </c>
      <c r="AC37" s="424">
        <f>IF(OR(t&lt;Tnet,NoTnet),'2019'!Resal_s+('2019'!Salim-'2019'!Resal_s)*(1-EXP(('2019'!Tnet_s-t)/'2019'!Tau_j)),Resal_s+(Salim-Resal_s)*(1-EXP((Tnet_s-t)/Tau_j)))*Salcycl</f>
        <v>2.3354804931325718E-2</v>
      </c>
      <c r="AD37" s="230">
        <f>(INDEX(Models!$BJ37:$BT37,,AH37)*(1-AF37)+INDEX(Models!$BJ37:$BT37,,AH37+1)*AF37-ERP_i)*AE37*Ramure*Pc/MaxiM</f>
        <v>4.738801766253394E-3</v>
      </c>
      <c r="AE37" s="304">
        <f t="shared" si="14"/>
        <v>0.7</v>
      </c>
      <c r="AF37" s="177">
        <f t="shared" si="15"/>
        <v>0.1997552496209648</v>
      </c>
      <c r="AG37" s="176">
        <f t="shared" si="16"/>
        <v>-1</v>
      </c>
      <c r="AH37" s="176">
        <f t="shared" si="17"/>
        <v>5</v>
      </c>
      <c r="AI37" s="224">
        <f t="shared" si="22"/>
        <v>-0.8002447503790352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20"/>
        <v>43854</v>
      </c>
      <c r="B38" s="607">
        <v>16.411999999999999</v>
      </c>
      <c r="C38" s="388"/>
      <c r="D38" s="391">
        <f t="shared" si="0"/>
        <v>16.53164284766596</v>
      </c>
      <c r="E38" s="383">
        <f t="shared" si="1"/>
        <v>16.927861350505928</v>
      </c>
      <c r="F38" s="383">
        <f t="shared" si="2"/>
        <v>16.948374752051535</v>
      </c>
      <c r="G38" s="110">
        <f t="shared" si="23"/>
        <v>0.51392216425806247</v>
      </c>
      <c r="H38" s="412" t="b">
        <f>Wh_hp&gt;='2019'!Maxi_hp</f>
        <v>1</v>
      </c>
      <c r="I38" s="388">
        <f>IF(H38,Wh_hp,'2019'!Maxi_hp)</f>
        <v>16.948374752051535</v>
      </c>
      <c r="J38" s="85">
        <f>IF(H38,An,'2019'!An_max)</f>
        <v>2020</v>
      </c>
      <c r="K38" s="197">
        <f t="shared" si="3"/>
        <v>43854</v>
      </c>
      <c r="L38" s="147">
        <f>IF(t&lt;Tvie,1-EXP((T0-t)*PertePVj)+'2019'!Pspv,1-EXP((T0-t)*PertePVj)+Pspv)</f>
        <v>7.2372025435362142E-3</v>
      </c>
      <c r="M38" s="832"/>
      <c r="N38" s="832"/>
      <c r="O38" s="48">
        <f>IF(t&lt;Tnet,'2019'!Resal+('2019'!Salim-'2019'!Resal)*(1-EXP(('2019'!Tnet-t)/('2019'!Tau_j))),Resal+(Salim-Resal)*(1-EXP((Tnet-t)/(Tau_j))))*Salcycl</f>
        <v>2.3406294193691734E-2</v>
      </c>
      <c r="P38" s="169">
        <f>(INDEX(Models!$BJ38:$BT38,,T38)*(1-R38)+INDEX(Models!$BJ38:$BT38,,T38+1)*R38-ERP_i)*Q38*Ramure*Pc/MaxiM</f>
        <v>3.934663497375087E-3</v>
      </c>
      <c r="Q38" s="304">
        <f t="shared" si="4"/>
        <v>0.7</v>
      </c>
      <c r="R38" s="177">
        <f t="shared" si="5"/>
        <v>0.13548050872931627</v>
      </c>
      <c r="S38" s="799">
        <f t="shared" si="6"/>
        <v>-1</v>
      </c>
      <c r="T38" s="176">
        <f t="shared" si="7"/>
        <v>5</v>
      </c>
      <c r="U38" s="250">
        <f t="shared" si="21"/>
        <v>-0.86451949127068373</v>
      </c>
      <c r="V38" s="382">
        <f t="shared" si="8"/>
        <v>31.847691073465086</v>
      </c>
      <c r="W38" s="58"/>
      <c r="X38" s="157">
        <f t="shared" si="9"/>
        <v>43854</v>
      </c>
      <c r="Y38" s="383">
        <f t="shared" si="10"/>
        <v>16.407874527229239</v>
      </c>
      <c r="Z38" s="383">
        <f t="shared" si="11"/>
        <v>16.527487300357649</v>
      </c>
      <c r="AA38" s="384">
        <f t="shared" si="12"/>
        <v>16.923606206034275</v>
      </c>
      <c r="AB38" s="197">
        <f t="shared" si="13"/>
        <v>43854</v>
      </c>
      <c r="AC38" s="424">
        <f>IF(OR(t&lt;Tnet,NoTnet),'2019'!Resal_s+('2019'!Salim-'2019'!Resal_s)*(1-EXP(('2019'!Tnet_s-t)/'2019'!Tau_j)),Resal_s+(Salim-Resal_s)*(1-EXP((Tnet_s-t)/Tau_j)))*Salcycl</f>
        <v>2.3406294193691734E-2</v>
      </c>
      <c r="AD38" s="230">
        <f>(INDEX(Models!$BJ38:$BT38,,AH38)*(1-AF38)+INDEX(Models!$BJ38:$BT38,,AH38+1)*AF38-ERP_i)*AE38*Ramure*Pc/MaxiM</f>
        <v>4.7508402582817043E-3</v>
      </c>
      <c r="AE38" s="304">
        <f t="shared" si="14"/>
        <v>0.7</v>
      </c>
      <c r="AF38" s="177">
        <f t="shared" si="15"/>
        <v>0.19981273098914842</v>
      </c>
      <c r="AG38" s="176">
        <f t="shared" si="16"/>
        <v>-1</v>
      </c>
      <c r="AH38" s="176">
        <f t="shared" si="17"/>
        <v>5</v>
      </c>
      <c r="AI38" s="224">
        <f t="shared" si="22"/>
        <v>-0.80018726901085158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20"/>
        <v>43855</v>
      </c>
      <c r="B39" s="607">
        <v>16.399000000000001</v>
      </c>
      <c r="C39" s="388"/>
      <c r="D39" s="391">
        <f t="shared" si="0"/>
        <v>16.518864658439455</v>
      </c>
      <c r="E39" s="383">
        <f t="shared" si="1"/>
        <v>16.915668540194371</v>
      </c>
      <c r="F39" s="383">
        <f t="shared" si="2"/>
        <v>16.935641528048833</v>
      </c>
      <c r="G39" s="110">
        <f t="shared" si="23"/>
        <v>0.50821189911474707</v>
      </c>
      <c r="H39" s="412" t="b">
        <f>Wh_hp&gt;='2019'!Maxi_hp</f>
        <v>1</v>
      </c>
      <c r="I39" s="388">
        <f>IF(H39,Wh_hp,'2019'!Maxi_hp)</f>
        <v>16.935641528048833</v>
      </c>
      <c r="J39" s="85">
        <f>IF(H39,An,'2019'!An_max)</f>
        <v>2020</v>
      </c>
      <c r="K39" s="197">
        <f t="shared" si="3"/>
        <v>43855</v>
      </c>
      <c r="L39" s="147">
        <f>IF(t&lt;Tvie,1-EXP((T0-t)*PertePVj)+'2019'!Pspv,1-EXP((T0-t)*PertePVj)+Pspv)</f>
        <v>7.2562286160638978E-3</v>
      </c>
      <c r="M39" s="832"/>
      <c r="N39" s="832"/>
      <c r="O39" s="48">
        <f>IF(t&lt;Tnet,'2019'!Resal+('2019'!Salim-'2019'!Resal)*(1-EXP(('2019'!Tnet-t)/('2019'!Tau_j))),Resal+(Salim-Resal)*(1-EXP((Tnet-t)/(Tau_j))))*Salcycl</f>
        <v>2.3457771167130995E-2</v>
      </c>
      <c r="P39" s="169">
        <f>(INDEX(Models!$BJ39:$BT39,,T39)*(1-R39)+INDEX(Models!$BJ39:$BT39,,T39+1)*R39-ERP_i)*Q39*Ramure*Pc/MaxiM</f>
        <v>3.9382891474159399E-3</v>
      </c>
      <c r="Q39" s="304">
        <f t="shared" si="4"/>
        <v>0.7</v>
      </c>
      <c r="R39" s="177">
        <f t="shared" si="5"/>
        <v>0.13554038395444279</v>
      </c>
      <c r="S39" s="799">
        <f t="shared" si="6"/>
        <v>-1</v>
      </c>
      <c r="T39" s="176">
        <f t="shared" si="7"/>
        <v>5</v>
      </c>
      <c r="U39" s="250">
        <f t="shared" si="21"/>
        <v>-0.86445961604555721</v>
      </c>
      <c r="V39" s="382">
        <f t="shared" si="8"/>
        <v>32.1789055020622</v>
      </c>
      <c r="W39" s="58"/>
      <c r="X39" s="157">
        <f t="shared" si="9"/>
        <v>43855</v>
      </c>
      <c r="Y39" s="383">
        <f t="shared" si="10"/>
        <v>16.394961024258517</v>
      </c>
      <c r="Z39" s="383">
        <f t="shared" si="11"/>
        <v>16.514796160748602</v>
      </c>
      <c r="AA39" s="384">
        <f t="shared" si="12"/>
        <v>16.911502312077729</v>
      </c>
      <c r="AB39" s="197">
        <f t="shared" si="13"/>
        <v>43855</v>
      </c>
      <c r="AC39" s="424">
        <f>IF(OR(t&lt;Tnet,NoTnet),'2019'!Resal_s+('2019'!Salim-'2019'!Resal_s)*(1-EXP(('2019'!Tnet_s-t)/'2019'!Tau_j)),Resal_s+(Salim-Resal_s)*(1-EXP((Tnet_s-t)/Tau_j)))*Salcycl</f>
        <v>2.3457771167130995E-2</v>
      </c>
      <c r="AD39" s="230">
        <f>(INDEX(Models!$BJ39:$BT39,,AH39)*(1-AF39)+INDEX(Models!$BJ39:$BT39,,AH39+1)*AF39-ERP_i)*AE39*Ramure*Pc/MaxiM</f>
        <v>4.7597892202638778E-3</v>
      </c>
      <c r="AE39" s="304">
        <f t="shared" si="14"/>
        <v>0.7</v>
      </c>
      <c r="AF39" s="177">
        <f t="shared" si="15"/>
        <v>0.19987260621427494</v>
      </c>
      <c r="AG39" s="176">
        <f t="shared" si="16"/>
        <v>-1</v>
      </c>
      <c r="AH39" s="176">
        <f t="shared" si="17"/>
        <v>5</v>
      </c>
      <c r="AI39" s="224">
        <f t="shared" si="22"/>
        <v>-0.80012739378572506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43856</v>
      </c>
      <c r="B40" s="607">
        <v>6.9740000000000002</v>
      </c>
      <c r="C40" s="388"/>
      <c r="D40" s="391">
        <f t="shared" si="0"/>
        <v>7.025109457960327</v>
      </c>
      <c r="E40" s="383">
        <f t="shared" si="1"/>
        <v>7.1942405624324968</v>
      </c>
      <c r="F40" s="383">
        <f t="shared" si="2"/>
        <v>7.1942405624324968</v>
      </c>
      <c r="G40" s="110">
        <f t="shared" si="23"/>
        <v>0.21364196477821534</v>
      </c>
      <c r="H40" s="412" t="b">
        <f>Wh_hp&gt;='2019'!Maxi_hp</f>
        <v>1</v>
      </c>
      <c r="I40" s="388">
        <f>IF(H40,Wh_hp,'2019'!Maxi_hp)</f>
        <v>7.1942405624324968</v>
      </c>
      <c r="J40" s="85">
        <f>IF(H40,An,'2019'!An_max)</f>
        <v>2020</v>
      </c>
      <c r="K40" s="197">
        <f t="shared" si="3"/>
        <v>43856</v>
      </c>
      <c r="L40" s="147">
        <f>IF(t&lt;Tvie,1-EXP((T0-t)*PertePVj)+'2019'!Pspv,1-EXP((T0-t)*PertePVj)+Pspv)</f>
        <v>7.2752543239612555E-3</v>
      </c>
      <c r="M40" s="832"/>
      <c r="N40" s="832"/>
      <c r="O40" s="48">
        <f>IF(t&lt;Tnet,'2019'!Resal+('2019'!Salim-'2019'!Resal)*(1-EXP(('2019'!Tnet-t)/('2019'!Tau_j))),Resal+(Salim-Resal)*(1-EXP((Tnet-t)/(Tau_j))))*Salcycl</f>
        <v>2.3509236729635258E-2</v>
      </c>
      <c r="P40" s="169">
        <f>(INDEX(Models!$BJ40:$BT40,,T40)*(1-R40)+INDEX(Models!$BJ40:$BT40,,T40+1)*R40-ERP_i)*Q40*Ramure*Pc/MaxiM</f>
        <v>3.9389393807414217E-3</v>
      </c>
      <c r="Q40" s="304">
        <f t="shared" si="4"/>
        <v>0.7</v>
      </c>
      <c r="R40" s="177">
        <f t="shared" si="5"/>
        <v>0.135602751964357</v>
      </c>
      <c r="S40" s="799">
        <f t="shared" si="6"/>
        <v>-1</v>
      </c>
      <c r="T40" s="176">
        <f t="shared" si="7"/>
        <v>5</v>
      </c>
      <c r="U40" s="250">
        <f t="shared" si="21"/>
        <v>-0.864397248035643</v>
      </c>
      <c r="V40" s="382">
        <f t="shared" si="8"/>
        <v>32.514819099187733</v>
      </c>
      <c r="W40" s="58"/>
      <c r="X40" s="157">
        <f t="shared" si="9"/>
        <v>43856</v>
      </c>
      <c r="Y40" s="383">
        <f t="shared" si="10"/>
        <v>6.9740000000000002</v>
      </c>
      <c r="Z40" s="383">
        <f t="shared" si="11"/>
        <v>7.025109457960327</v>
      </c>
      <c r="AA40" s="384">
        <f t="shared" si="12"/>
        <v>7.1942405624324968</v>
      </c>
      <c r="AB40" s="197">
        <f t="shared" si="13"/>
        <v>43856</v>
      </c>
      <c r="AC40" s="424">
        <f>IF(OR(t&lt;Tnet,NoTnet),'2019'!Resal_s+('2019'!Salim-'2019'!Resal_s)*(1-EXP(('2019'!Tnet_s-t)/'2019'!Tau_j)),Resal_s+(Salim-Resal_s)*(1-EXP((Tnet_s-t)/Tau_j)))*Salcycl</f>
        <v>2.3509236729635258E-2</v>
      </c>
      <c r="AD40" s="230">
        <f>(INDEX(Models!$BJ40:$BT40,,AH40)*(1-AF40)+INDEX(Models!$BJ40:$BT40,,AH40+1)*AF40-ERP_i)*AE40*Ramure*Pc/MaxiM</f>
        <v>4.7658547355175877E-3</v>
      </c>
      <c r="AE40" s="304">
        <f t="shared" si="14"/>
        <v>0.7</v>
      </c>
      <c r="AF40" s="177">
        <f t="shared" si="15"/>
        <v>0.19993497422418915</v>
      </c>
      <c r="AG40" s="176">
        <f t="shared" si="16"/>
        <v>-1</v>
      </c>
      <c r="AH40" s="176">
        <f t="shared" si="17"/>
        <v>5</v>
      </c>
      <c r="AI40" s="224">
        <f t="shared" si="22"/>
        <v>-0.80006502577581085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20"/>
        <v>43857</v>
      </c>
      <c r="B41" s="607">
        <v>11.893000000000001</v>
      </c>
      <c r="C41" s="388"/>
      <c r="D41" s="391">
        <f t="shared" si="0"/>
        <v>11.980388302802716</v>
      </c>
      <c r="E41" s="383">
        <f t="shared" si="1"/>
        <v>12.26946539260584</v>
      </c>
      <c r="F41" s="383">
        <f t="shared" si="2"/>
        <v>12.273744263210281</v>
      </c>
      <c r="G41" s="110">
        <f t="shared" si="23"/>
        <v>0.36068852626352854</v>
      </c>
      <c r="H41" s="412" t="b">
        <f>Wh_hp&gt;='2019'!Maxi_hp</f>
        <v>1</v>
      </c>
      <c r="I41" s="388">
        <f>IF(H41,Wh_hp,'2019'!Maxi_hp)</f>
        <v>12.273744263210281</v>
      </c>
      <c r="J41" s="85">
        <f>IF(H41,An,'2019'!An_max)</f>
        <v>2020</v>
      </c>
      <c r="K41" s="197">
        <f t="shared" si="3"/>
        <v>43857</v>
      </c>
      <c r="L41" s="147">
        <f>IF(t&lt;Tvie,1-EXP((T0-t)*PertePVj)+'2019'!Pspv,1-EXP((T0-t)*PertePVj)+Pspv)</f>
        <v>7.2942796672351706E-3</v>
      </c>
      <c r="M41" s="832"/>
      <c r="N41" s="832"/>
      <c r="O41" s="48">
        <f>IF(t&lt;Tnet,'2019'!Resal+('2019'!Salim-'2019'!Resal)*(1-EXP(('2019'!Tnet-t)/('2019'!Tau_j))),Resal+(Salim-Resal)*(1-EXP((Tnet-t)/(Tau_j))))*Salcycl</f>
        <v>2.35606915666705E-2</v>
      </c>
      <c r="P41" s="169">
        <f>(INDEX(Models!$BJ41:$BT41,,T41)*(1-R41)+INDEX(Models!$BJ41:$BT41,,T41+1)*R41-ERP_i)*Q41*Ramure*Pc/MaxiM</f>
        <v>3.9368013255641409E-3</v>
      </c>
      <c r="Q41" s="304">
        <f t="shared" si="4"/>
        <v>0.7</v>
      </c>
      <c r="R41" s="177">
        <f t="shared" si="5"/>
        <v>0.1356677157098144</v>
      </c>
      <c r="S41" s="799">
        <f t="shared" si="6"/>
        <v>-1</v>
      </c>
      <c r="T41" s="176">
        <f t="shared" si="7"/>
        <v>5</v>
      </c>
      <c r="U41" s="250">
        <f t="shared" si="21"/>
        <v>-0.8643322842901856</v>
      </c>
      <c r="V41" s="382">
        <f t="shared" si="8"/>
        <v>32.854693211135789</v>
      </c>
      <c r="W41" s="58"/>
      <c r="X41" s="157">
        <f t="shared" si="9"/>
        <v>43857</v>
      </c>
      <c r="Y41" s="383">
        <f t="shared" si="10"/>
        <v>11.892122993801328</v>
      </c>
      <c r="Z41" s="383">
        <f t="shared" si="11"/>
        <v>11.979504852470248</v>
      </c>
      <c r="AA41" s="384">
        <f t="shared" si="12"/>
        <v>12.268560625330661</v>
      </c>
      <c r="AB41" s="197">
        <f t="shared" si="13"/>
        <v>43857</v>
      </c>
      <c r="AC41" s="424">
        <f>IF(OR(t&lt;Tnet,NoTnet),'2019'!Resal_s+('2019'!Salim-'2019'!Resal_s)*(1-EXP(('2019'!Tnet_s-t)/'2019'!Tau_j)),Resal_s+(Salim-Resal_s)*(1-EXP((Tnet_s-t)/Tau_j)))*Salcycl</f>
        <v>2.35606915666705E-2</v>
      </c>
      <c r="AD41" s="230">
        <f>(INDEX(Models!$BJ41:$BT41,,AH41)*(1-AF41)+INDEX(Models!$BJ41:$BT41,,AH41+1)*AF41-ERP_i)*AE41*Ramure*Pc/MaxiM</f>
        <v>4.7692380448587039E-3</v>
      </c>
      <c r="AE41" s="304">
        <f t="shared" si="14"/>
        <v>0.7</v>
      </c>
      <c r="AF41" s="177">
        <f t="shared" si="15"/>
        <v>0.19999993796964655</v>
      </c>
      <c r="AG41" s="176">
        <f t="shared" si="16"/>
        <v>-1</v>
      </c>
      <c r="AH41" s="176">
        <f t="shared" si="17"/>
        <v>5</v>
      </c>
      <c r="AI41" s="224">
        <f t="shared" si="22"/>
        <v>-0.80000006203035345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43858</v>
      </c>
      <c r="B42" s="607">
        <v>16.370999999999999</v>
      </c>
      <c r="C42" s="388"/>
      <c r="D42" s="391">
        <f t="shared" si="0"/>
        <v>16.491608154534802</v>
      </c>
      <c r="E42" s="383">
        <f t="shared" si="1"/>
        <v>16.890427221696861</v>
      </c>
      <c r="F42" s="383">
        <f t="shared" si="2"/>
        <v>16.908771275724519</v>
      </c>
      <c r="G42" s="110">
        <f t="shared" si="23"/>
        <v>0.49172967871299295</v>
      </c>
      <c r="H42" s="412" t="b">
        <f>Wh_hp&gt;='2019'!Maxi_hp</f>
        <v>1</v>
      </c>
      <c r="I42" s="388">
        <f>IF(H42,Wh_hp,'2019'!Maxi_hp)</f>
        <v>16.908771275724519</v>
      </c>
      <c r="J42" s="85">
        <f>IF(H42,An,'2019'!An_max)</f>
        <v>2020</v>
      </c>
      <c r="K42" s="197">
        <f t="shared" si="3"/>
        <v>43858</v>
      </c>
      <c r="L42" s="147">
        <f>IF(t&lt;Tvie,1-EXP((T0-t)*PertePVj)+'2019'!Pspv,1-EXP((T0-t)*PertePVj)+Pspv)</f>
        <v>7.3133046458927486E-3</v>
      </c>
      <c r="M42" s="832"/>
      <c r="N42" s="832"/>
      <c r="O42" s="48">
        <f>IF(t&lt;Tnet,'2019'!Resal+('2019'!Salim-'2019'!Resal)*(1-EXP(('2019'!Tnet-t)/('2019'!Tau_j))),Resal+(Salim-Resal)*(1-EXP((Tnet-t)/(Tau_j))))*Salcycl</f>
        <v>2.3612136148323654E-2</v>
      </c>
      <c r="P42" s="169">
        <f>(INDEX(Models!$BJ42:$BT42,,T42)*(1-R42)+INDEX(Models!$BJ42:$BT42,,T42+1)*R42-ERP_i)*Q42*Ramure*Pc/MaxiM</f>
        <v>3.932056746298318E-3</v>
      </c>
      <c r="Q42" s="304">
        <f t="shared" si="4"/>
        <v>0.7</v>
      </c>
      <c r="R42" s="177">
        <f t="shared" si="5"/>
        <v>0.13573538232249116</v>
      </c>
      <c r="S42" s="799">
        <f t="shared" si="6"/>
        <v>-1</v>
      </c>
      <c r="T42" s="176">
        <f t="shared" si="7"/>
        <v>5</v>
      </c>
      <c r="U42" s="250">
        <f t="shared" si="21"/>
        <v>-0.86426461767750884</v>
      </c>
      <c r="V42" s="382">
        <f t="shared" si="8"/>
        <v>33.197789390779548</v>
      </c>
      <c r="W42" s="58"/>
      <c r="X42" s="157">
        <f t="shared" si="9"/>
        <v>43858</v>
      </c>
      <c r="Y42" s="383">
        <f t="shared" si="10"/>
        <v>16.367210389086516</v>
      </c>
      <c r="Z42" s="383">
        <f t="shared" si="11"/>
        <v>16.487790624863841</v>
      </c>
      <c r="AA42" s="384">
        <f t="shared" si="12"/>
        <v>16.886517372125503</v>
      </c>
      <c r="AB42" s="197">
        <f t="shared" si="13"/>
        <v>43858</v>
      </c>
      <c r="AC42" s="424">
        <f>IF(OR(t&lt;Tnet,NoTnet),'2019'!Resal_s+('2019'!Salim-'2019'!Resal_s)*(1-EXP(('2019'!Tnet_s-t)/'2019'!Tau_j)),Resal_s+(Salim-Resal_s)*(1-EXP((Tnet_s-t)/Tau_j)))*Salcycl</f>
        <v>2.3612136148323654E-2</v>
      </c>
      <c r="AD42" s="230">
        <f>(INDEX(Models!$BJ42:$BT42,,AH42)*(1-AF42)+INDEX(Models!$BJ42:$BT42,,AH42+1)*AF42-ERP_i)*AE42*Ramure*Pc/MaxiM</f>
        <v>4.7701348701898695E-3</v>
      </c>
      <c r="AE42" s="304">
        <f t="shared" si="14"/>
        <v>0.7</v>
      </c>
      <c r="AF42" s="177">
        <f t="shared" si="15"/>
        <v>0.20006760458232331</v>
      </c>
      <c r="AG42" s="176">
        <f t="shared" si="16"/>
        <v>-1</v>
      </c>
      <c r="AH42" s="176">
        <f t="shared" si="17"/>
        <v>5</v>
      </c>
      <c r="AI42" s="224">
        <f t="shared" si="22"/>
        <v>-0.79993239541767669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20"/>
        <v>43859</v>
      </c>
      <c r="B43" s="607">
        <v>26.760999999999999</v>
      </c>
      <c r="C43" s="388"/>
      <c r="D43" s="391">
        <f t="shared" si="0"/>
        <v>26.958669843704079</v>
      </c>
      <c r="E43" s="383">
        <f t="shared" si="1"/>
        <v>27.612070014970847</v>
      </c>
      <c r="F43" s="383">
        <f t="shared" si="2"/>
        <v>27.689355662253256</v>
      </c>
      <c r="G43" s="110">
        <f t="shared" si="23"/>
        <v>0.79689596653715011</v>
      </c>
      <c r="H43" s="412" t="b">
        <f>Wh_hp&gt;='2019'!Maxi_hp</f>
        <v>1</v>
      </c>
      <c r="I43" s="388">
        <f>IF(H43,Wh_hp,'2019'!Maxi_hp)</f>
        <v>27.689355662253256</v>
      </c>
      <c r="J43" s="85">
        <f>IF(H43,An,'2019'!An_max)</f>
        <v>2020</v>
      </c>
      <c r="K43" s="197">
        <f t="shared" si="3"/>
        <v>43859</v>
      </c>
      <c r="L43" s="147">
        <f>IF(t&lt;Tvie,1-EXP((T0-t)*PertePVj)+'2019'!Pspv,1-EXP((T0-t)*PertePVj)+Pspv)</f>
        <v>7.3323292599409839E-3</v>
      </c>
      <c r="M43" s="832"/>
      <c r="N43" s="832"/>
      <c r="O43" s="48">
        <f>IF(t&lt;Tnet,'2019'!Resal+('2019'!Salim-'2019'!Resal)*(1-EXP(('2019'!Tnet-t)/('2019'!Tau_j))),Resal+(Salim-Resal)*(1-EXP((Tnet-t)/(Tau_j))))*Salcycl</f>
        <v>2.3663570710653219E-2</v>
      </c>
      <c r="P43" s="169">
        <f>(INDEX(Models!$BJ43:$BT43,,T43)*(1-R43)+INDEX(Models!$BJ43:$BT43,,T43+1)*R43-ERP_i)*Q43*Ramure*Pc/MaxiM</f>
        <v>3.9248814945881064E-3</v>
      </c>
      <c r="Q43" s="304">
        <f t="shared" si="4"/>
        <v>0.7</v>
      </c>
      <c r="R43" s="177">
        <f t="shared" si="5"/>
        <v>0.13580586327871935</v>
      </c>
      <c r="S43" s="799">
        <f t="shared" si="6"/>
        <v>-1</v>
      </c>
      <c r="T43" s="176">
        <f t="shared" si="7"/>
        <v>5</v>
      </c>
      <c r="U43" s="250">
        <f t="shared" si="21"/>
        <v>-0.86419413672128065</v>
      </c>
      <c r="V43" s="382">
        <f t="shared" si="8"/>
        <v>33.543369398513228</v>
      </c>
      <c r="W43" s="58"/>
      <c r="X43" s="157">
        <f t="shared" si="9"/>
        <v>43859</v>
      </c>
      <c r="Y43" s="383">
        <f t="shared" si="10"/>
        <v>26.744895669675788</v>
      </c>
      <c r="Z43" s="383">
        <f t="shared" si="11"/>
        <v>26.94244655891411</v>
      </c>
      <c r="AA43" s="384">
        <f t="shared" si="12"/>
        <v>27.595453524688111</v>
      </c>
      <c r="AB43" s="197">
        <f t="shared" si="13"/>
        <v>43859</v>
      </c>
      <c r="AC43" s="424">
        <f>IF(OR(t&lt;Tnet,NoTnet),'2019'!Resal_s+('2019'!Salim-'2019'!Resal_s)*(1-EXP(('2019'!Tnet_s-t)/'2019'!Tau_j)),Resal_s+(Salim-Resal_s)*(1-EXP((Tnet_s-t)/Tau_j)))*Salcycl</f>
        <v>2.3663570710653219E-2</v>
      </c>
      <c r="AD43" s="230">
        <f>(INDEX(Models!$BJ43:$BT43,,AH43)*(1-AF43)+INDEX(Models!$BJ43:$BT43,,AH43+1)*AF43-ERP_i)*AE43*Ramure*Pc/MaxiM</f>
        <v>4.7687348814581705E-3</v>
      </c>
      <c r="AE43" s="304">
        <f t="shared" si="14"/>
        <v>0.7</v>
      </c>
      <c r="AF43" s="177">
        <f t="shared" si="15"/>
        <v>0.2001380855385515</v>
      </c>
      <c r="AG43" s="176">
        <f t="shared" si="16"/>
        <v>-1</v>
      </c>
      <c r="AH43" s="176">
        <f t="shared" si="17"/>
        <v>5</v>
      </c>
      <c r="AI43" s="224">
        <f t="shared" si="22"/>
        <v>-0.7998619144614485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43860</v>
      </c>
      <c r="B44" s="607">
        <v>10.337999999999999</v>
      </c>
      <c r="C44" s="388"/>
      <c r="D44" s="391">
        <f t="shared" si="0"/>
        <v>10.41456112044148</v>
      </c>
      <c r="E44" s="383">
        <f t="shared" si="1"/>
        <v>10.667541824035769</v>
      </c>
      <c r="F44" s="383">
        <f t="shared" si="2"/>
        <v>10.667841852164717</v>
      </c>
      <c r="G44" s="110">
        <f t="shared" si="23"/>
        <v>0.30385365917122525</v>
      </c>
      <c r="H44" s="412" t="b">
        <f>Wh_hp&gt;='2019'!Maxi_hp</f>
        <v>1</v>
      </c>
      <c r="I44" s="388">
        <f>IF(H44,Wh_hp,'2019'!Maxi_hp)</f>
        <v>10.667841852164717</v>
      </c>
      <c r="J44" s="85">
        <f>IF(H44,An,'2019'!An_max)</f>
        <v>2020</v>
      </c>
      <c r="K44" s="197">
        <f t="shared" si="3"/>
        <v>43860</v>
      </c>
      <c r="L44" s="147">
        <f>IF(t&lt;Tvie,1-EXP((T0-t)*PertePVj)+'2019'!Pspv,1-EXP((T0-t)*PertePVj)+Pspv)</f>
        <v>7.3513535093868709E-3</v>
      </c>
      <c r="M44" s="832"/>
      <c r="N44" s="832"/>
      <c r="O44" s="48">
        <f>IF(t&lt;Tnet,'2019'!Resal+('2019'!Salim-'2019'!Resal)*(1-EXP(('2019'!Tnet-t)/('2019'!Tau_j))),Resal+(Salim-Resal)*(1-EXP((Tnet-t)/(Tau_j))))*Salcycl</f>
        <v>2.3714995241385511E-2</v>
      </c>
      <c r="P44" s="169">
        <f>(INDEX(Models!$BJ44:$BT44,,T44)*(1-R44)+INDEX(Models!$BJ44:$BT44,,T44+1)*R44-ERP_i)*Q44*Ramure*Pc/MaxiM</f>
        <v>3.9082893854029523E-3</v>
      </c>
      <c r="Q44" s="304">
        <f t="shared" si="4"/>
        <v>0.7</v>
      </c>
      <c r="R44" s="177">
        <f t="shared" si="5"/>
        <v>0.13587927456911408</v>
      </c>
      <c r="S44" s="799">
        <f t="shared" si="6"/>
        <v>-1</v>
      </c>
      <c r="T44" s="176">
        <f t="shared" si="7"/>
        <v>5</v>
      </c>
      <c r="U44" s="250">
        <f t="shared" si="21"/>
        <v>-0.86412072543088592</v>
      </c>
      <c r="V44" s="382">
        <f t="shared" si="8"/>
        <v>33.890938669968079</v>
      </c>
      <c r="W44" s="58"/>
      <c r="X44" s="157">
        <f t="shared" si="9"/>
        <v>43860</v>
      </c>
      <c r="Y44" s="383">
        <f t="shared" si="10"/>
        <v>10.337936896348692</v>
      </c>
      <c r="Z44" s="383">
        <f t="shared" si="11"/>
        <v>10.414497549457396</v>
      </c>
      <c r="AA44" s="384">
        <f t="shared" si="12"/>
        <v>10.667476708845252</v>
      </c>
      <c r="AB44" s="197">
        <f t="shared" si="13"/>
        <v>43860</v>
      </c>
      <c r="AC44" s="424">
        <f>IF(OR(t&lt;Tnet,NoTnet),'2019'!Resal_s+('2019'!Salim-'2019'!Resal_s)*(1-EXP(('2019'!Tnet_s-t)/'2019'!Tau_j)),Resal_s+(Salim-Resal_s)*(1-EXP((Tnet_s-t)/Tau_j)))*Salcycl</f>
        <v>2.3714995241385511E-2</v>
      </c>
      <c r="AD44" s="230">
        <f>(INDEX(Models!$BJ44:$BT44,,AH44)*(1-AF44)+INDEX(Models!$BJ44:$BT44,,AH44+1)*AF44-ERP_i)*AE44*Ramure*Pc/MaxiM</f>
        <v>4.7565065469731072E-3</v>
      </c>
      <c r="AE44" s="304">
        <f t="shared" si="14"/>
        <v>0.7</v>
      </c>
      <c r="AF44" s="177">
        <f t="shared" si="15"/>
        <v>0.20021149682894623</v>
      </c>
      <c r="AG44" s="176">
        <f t="shared" si="16"/>
        <v>-1</v>
      </c>
      <c r="AH44" s="176">
        <f t="shared" si="17"/>
        <v>5</v>
      </c>
      <c r="AI44" s="224">
        <f t="shared" si="22"/>
        <v>-0.79978850317105377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43861</v>
      </c>
      <c r="B45" s="607">
        <v>21.135000000000002</v>
      </c>
      <c r="C45" s="388"/>
      <c r="D45" s="391">
        <f t="shared" si="0"/>
        <v>21.29192955628131</v>
      </c>
      <c r="E45" s="383">
        <f t="shared" si="1"/>
        <v>21.810281640404273</v>
      </c>
      <c r="F45" s="383">
        <f t="shared" si="2"/>
        <v>21.848733659114771</v>
      </c>
      <c r="G45" s="110">
        <f t="shared" si="23"/>
        <v>0.61595224780114477</v>
      </c>
      <c r="H45" s="412" t="b">
        <f>Wh_hp&gt;='2019'!Maxi_hp</f>
        <v>1</v>
      </c>
      <c r="I45" s="388">
        <f>IF(H45,Wh_hp,'2019'!Maxi_hp)</f>
        <v>21.848733659114771</v>
      </c>
      <c r="J45" s="85">
        <f>IF(H45,An,'2019'!An_max)</f>
        <v>2020</v>
      </c>
      <c r="K45" s="197">
        <f t="shared" si="3"/>
        <v>43861</v>
      </c>
      <c r="L45" s="147">
        <f>IF(t&lt;Tvie,1-EXP((T0-t)*PertePVj)+'2019'!Pspv,1-EXP((T0-t)*PertePVj)+Pspv)</f>
        <v>7.370377394237293E-3</v>
      </c>
      <c r="M45" s="832"/>
      <c r="N45" s="832"/>
      <c r="O45" s="48">
        <f>IF(t&lt;Tnet,'2019'!Resal+('2019'!Salim-'2019'!Resal)*(1-EXP(('2019'!Tnet-t)/('2019'!Tau_j))),Resal+(Salim-Resal)*(1-EXP((Tnet-t)/(Tau_j))))*Salcycl</f>
        <v>2.3766409470049994E-2</v>
      </c>
      <c r="P45" s="169">
        <f>(INDEX(Models!$BJ45:$BT45,,T45)*(1-R45)+INDEX(Models!$BJ45:$BT45,,T45+1)*R45-ERP_i)*Q45*Ramure*Pc/MaxiM</f>
        <v>3.8830113175219471E-3</v>
      </c>
      <c r="Q45" s="304">
        <f t="shared" si="4"/>
        <v>0.7</v>
      </c>
      <c r="R45" s="177">
        <f t="shared" si="5"/>
        <v>0.13595573687425822</v>
      </c>
      <c r="S45" s="799">
        <f t="shared" si="6"/>
        <v>-1</v>
      </c>
      <c r="T45" s="176">
        <f t="shared" si="7"/>
        <v>5</v>
      </c>
      <c r="U45" s="250">
        <f t="shared" si="21"/>
        <v>-0.86404426312574178</v>
      </c>
      <c r="V45" s="382">
        <f t="shared" si="8"/>
        <v>34.239747360734796</v>
      </c>
      <c r="W45" s="58"/>
      <c r="X45" s="157">
        <f t="shared" si="9"/>
        <v>43861</v>
      </c>
      <c r="Y45" s="383">
        <f t="shared" si="10"/>
        <v>21.126835654018251</v>
      </c>
      <c r="Z45" s="383">
        <f t="shared" si="11"/>
        <v>21.283704589188027</v>
      </c>
      <c r="AA45" s="384">
        <f t="shared" si="12"/>
        <v>21.801856436464284</v>
      </c>
      <c r="AB45" s="197">
        <f t="shared" si="13"/>
        <v>43861</v>
      </c>
      <c r="AC45" s="424">
        <f>IF(OR(t&lt;Tnet,NoTnet),'2019'!Resal_s+('2019'!Salim-'2019'!Resal_s)*(1-EXP(('2019'!Tnet_s-t)/'2019'!Tau_j)),Resal_s+(Salim-Resal_s)*(1-EXP((Tnet_s-t)/Tau_j)))*Salcycl</f>
        <v>2.3766409470049994E-2</v>
      </c>
      <c r="AD45" s="230">
        <f>(INDEX(Models!$BJ45:$BT45,,AH45)*(1-AF45)+INDEX(Models!$BJ45:$BT45,,AH45+1)*AF45-ERP_i)*AE45*Ramure*Pc/MaxiM</f>
        <v>4.7338161217566101E-3</v>
      </c>
      <c r="AE45" s="304">
        <f t="shared" si="14"/>
        <v>0.7</v>
      </c>
      <c r="AF45" s="177">
        <f t="shared" si="15"/>
        <v>0.20028795913409037</v>
      </c>
      <c r="AG45" s="176">
        <f t="shared" si="16"/>
        <v>-1</v>
      </c>
      <c r="AH45" s="176">
        <f t="shared" si="17"/>
        <v>5</v>
      </c>
      <c r="AI45" s="224">
        <f t="shared" si="22"/>
        <v>-0.79971204086590963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43862</v>
      </c>
      <c r="B46" s="607">
        <v>11.781000000000001</v>
      </c>
      <c r="C46" s="388"/>
      <c r="D46" s="391">
        <f t="shared" si="0"/>
        <v>11.868702601860107</v>
      </c>
      <c r="E46" s="383">
        <f t="shared" si="1"/>
        <v>12.158286391871595</v>
      </c>
      <c r="F46" s="383">
        <f t="shared" si="2"/>
        <v>12.161001453908513</v>
      </c>
      <c r="G46" s="110">
        <f t="shared" si="23"/>
        <v>0.33936370629285884</v>
      </c>
      <c r="H46" s="412" t="b">
        <f>Wh_hp&gt;='2019'!Maxi_hp</f>
        <v>1</v>
      </c>
      <c r="I46" s="388">
        <f>IF(H46,Wh_hp,'2019'!Maxi_hp)</f>
        <v>12.161001453908513</v>
      </c>
      <c r="J46" s="85">
        <f>IF(H46,An,'2019'!An_max)</f>
        <v>2020</v>
      </c>
      <c r="K46" s="197">
        <f t="shared" si="3"/>
        <v>43862</v>
      </c>
      <c r="L46" s="147">
        <f>IF(t&lt;Tvie,1-EXP((T0-t)*PertePVj)+'2019'!Pspv,1-EXP((T0-t)*PertePVj)+Pspv)</f>
        <v>7.3894009144993555E-3</v>
      </c>
      <c r="M46" s="832"/>
      <c r="N46" s="832"/>
      <c r="O46" s="48">
        <f>IF(t&lt;Tnet,'2019'!Resal+('2019'!Salim-'2019'!Resal)*(1-EXP(('2019'!Tnet-t)/('2019'!Tau_j))),Resal+(Salim-Resal)*(1-EXP((Tnet-t)/(Tau_j))))*Salcycl</f>
        <v>2.3817812862599451E-2</v>
      </c>
      <c r="P46" s="169">
        <f>(INDEX(Models!$BJ46:$BT46,,T46)*(1-R46)+INDEX(Models!$BJ46:$BT46,,T46+1)*R46-ERP_i)*Q46*Ramure*Pc/MaxiM</f>
        <v>3.849396816732774E-3</v>
      </c>
      <c r="Q46" s="304">
        <f t="shared" si="4"/>
        <v>0.7</v>
      </c>
      <c r="R46" s="177">
        <f t="shared" si="5"/>
        <v>0.13603537574661051</v>
      </c>
      <c r="S46" s="799">
        <f t="shared" si="6"/>
        <v>-1</v>
      </c>
      <c r="T46" s="176">
        <f t="shared" si="7"/>
        <v>5</v>
      </c>
      <c r="U46" s="250">
        <f t="shared" si="21"/>
        <v>-0.86396462425338949</v>
      </c>
      <c r="V46" s="382">
        <f t="shared" si="8"/>
        <v>34.589058057092402</v>
      </c>
      <c r="W46" s="58"/>
      <c r="X46" s="157">
        <f t="shared" si="9"/>
        <v>43862</v>
      </c>
      <c r="Y46" s="383">
        <f t="shared" si="10"/>
        <v>11.780417926436989</v>
      </c>
      <c r="Z46" s="383">
        <f t="shared" si="11"/>
        <v>11.868116195102465</v>
      </c>
      <c r="AA46" s="384">
        <f t="shared" si="12"/>
        <v>12.157685677409305</v>
      </c>
      <c r="AB46" s="197">
        <f t="shared" si="13"/>
        <v>43862</v>
      </c>
      <c r="AC46" s="424">
        <f>IF(OR(t&lt;Tnet,NoTnet),'2019'!Resal_s+('2019'!Salim-'2019'!Resal_s)*(1-EXP(('2019'!Tnet_s-t)/'2019'!Tau_j)),Resal_s+(Salim-Resal_s)*(1-EXP((Tnet_s-t)/Tau_j)))*Salcycl</f>
        <v>2.3817812862599451E-2</v>
      </c>
      <c r="AD46" s="230">
        <f>(INDEX(Models!$BJ46:$BT46,,AH46)*(1-AF46)+INDEX(Models!$BJ46:$BT46,,AH46+1)*AF46-ERP_i)*AE46*Ramure*Pc/MaxiM</f>
        <v>4.7010857680208811E-3</v>
      </c>
      <c r="AE46" s="304">
        <f t="shared" si="14"/>
        <v>0.7</v>
      </c>
      <c r="AF46" s="177">
        <f t="shared" si="15"/>
        <v>0.20036759800644266</v>
      </c>
      <c r="AG46" s="176">
        <f t="shared" si="16"/>
        <v>-1</v>
      </c>
      <c r="AH46" s="176">
        <f t="shared" si="17"/>
        <v>5</v>
      </c>
      <c r="AI46" s="224">
        <f t="shared" si="22"/>
        <v>-0.79963240199355734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43863</v>
      </c>
      <c r="B47" s="607">
        <v>28.234000000000002</v>
      </c>
      <c r="C47" s="388"/>
      <c r="D47" s="391">
        <f t="shared" si="0"/>
        <v>28.444730627047203</v>
      </c>
      <c r="E47" s="383">
        <f t="shared" si="1"/>
        <v>29.140286078146762</v>
      </c>
      <c r="F47" s="383">
        <f t="shared" si="2"/>
        <v>29.221052499006149</v>
      </c>
      <c r="G47" s="110">
        <f t="shared" si="23"/>
        <v>0.80726830040891673</v>
      </c>
      <c r="H47" s="412" t="b">
        <f>Wh_hp&gt;='2019'!Maxi_hp</f>
        <v>1</v>
      </c>
      <c r="I47" s="388">
        <f>IF(H47,Wh_hp,'2019'!Maxi_hp)</f>
        <v>29.221052499006149</v>
      </c>
      <c r="J47" s="85">
        <f>IF(H47,An,'2019'!An_max)</f>
        <v>2020</v>
      </c>
      <c r="K47" s="197">
        <f t="shared" si="3"/>
        <v>43863</v>
      </c>
      <c r="L47" s="147">
        <f>IF(t&lt;Tvie,1-EXP((T0-t)*PertePVj)+'2019'!Pspv,1-EXP((T0-t)*PertePVj)+Pspv)</f>
        <v>7.408424070179942E-3</v>
      </c>
      <c r="M47" s="832"/>
      <c r="N47" s="832"/>
      <c r="O47" s="48">
        <f>IF(t&lt;Tnet,'2019'!Resal+('2019'!Salim-'2019'!Resal)*(1-EXP(('2019'!Tnet-t)/('2019'!Tau_j))),Resal+(Salim-Resal)*(1-EXP((Tnet-t)/(Tau_j))))*Salcycl</f>
        <v>2.3869204620512605E-2</v>
      </c>
      <c r="P47" s="169">
        <f>(INDEX(Models!$BJ47:$BT47,,T47)*(1-R47)+INDEX(Models!$BJ47:$BT47,,T47+1)*R47-ERP_i)*Q47*Ramure*Pc/MaxiM</f>
        <v>3.80777902034272E-3</v>
      </c>
      <c r="Q47" s="304">
        <f t="shared" si="4"/>
        <v>0.7</v>
      </c>
      <c r="R47" s="177">
        <f t="shared" si="5"/>
        <v>0.13611832179880645</v>
      </c>
      <c r="S47" s="799">
        <f t="shared" si="6"/>
        <v>-1</v>
      </c>
      <c r="T47" s="176">
        <f t="shared" si="7"/>
        <v>5</v>
      </c>
      <c r="U47" s="250">
        <f t="shared" si="21"/>
        <v>-0.86388167820119355</v>
      </c>
      <c r="V47" s="382">
        <f t="shared" si="8"/>
        <v>34.938133576966628</v>
      </c>
      <c r="W47" s="58"/>
      <c r="X47" s="157">
        <f t="shared" si="9"/>
        <v>43863</v>
      </c>
      <c r="Y47" s="383">
        <f t="shared" si="10"/>
        <v>28.216512149606977</v>
      </c>
      <c r="Z47" s="383">
        <f t="shared" si="11"/>
        <v>28.427112252262344</v>
      </c>
      <c r="AA47" s="384">
        <f t="shared" si="12"/>
        <v>29.122236883440216</v>
      </c>
      <c r="AB47" s="197">
        <f t="shared" si="13"/>
        <v>43863</v>
      </c>
      <c r="AC47" s="424">
        <f>IF(OR(t&lt;Tnet,NoTnet),'2019'!Resal_s+('2019'!Salim-'2019'!Resal_s)*(1-EXP(('2019'!Tnet_s-t)/'2019'!Tau_j)),Resal_s+(Salim-Resal_s)*(1-EXP((Tnet_s-t)/Tau_j)))*Salcycl</f>
        <v>2.3869204620512605E-2</v>
      </c>
      <c r="AD47" s="230">
        <f>(INDEX(Models!$BJ47:$BT47,,AH47)*(1-AF47)+INDEX(Models!$BJ47:$BT47,,AH47+1)*AF47-ERP_i)*AE47*Ramure*Pc/MaxiM</f>
        <v>4.6587186089288492E-3</v>
      </c>
      <c r="AE47" s="304">
        <f t="shared" si="14"/>
        <v>0.7</v>
      </c>
      <c r="AF47" s="177">
        <f t="shared" si="15"/>
        <v>0.2004505440586386</v>
      </c>
      <c r="AG47" s="176">
        <f t="shared" si="16"/>
        <v>-1</v>
      </c>
      <c r="AH47" s="176">
        <f t="shared" si="17"/>
        <v>5</v>
      </c>
      <c r="AI47" s="224">
        <f t="shared" si="22"/>
        <v>-0.7995494559413614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43864</v>
      </c>
      <c r="B48" s="607">
        <v>26.494</v>
      </c>
      <c r="C48" s="388"/>
      <c r="D48" s="391">
        <f t="shared" si="0"/>
        <v>26.692255307907367</v>
      </c>
      <c r="E48" s="383">
        <f t="shared" si="1"/>
        <v>27.346397087913719</v>
      </c>
      <c r="F48" s="383">
        <f t="shared" si="2"/>
        <v>27.412753039742405</v>
      </c>
      <c r="G48" s="110">
        <f t="shared" si="23"/>
        <v>0.74982404634861488</v>
      </c>
      <c r="H48" s="412" t="b">
        <f>Wh_hp&gt;='2019'!Maxi_hp</f>
        <v>1</v>
      </c>
      <c r="I48" s="388">
        <f>IF(H48,Wh_hp,'2019'!Maxi_hp)</f>
        <v>27.412753039742405</v>
      </c>
      <c r="J48" s="85">
        <f>IF(H48,An,'2019'!An_max)</f>
        <v>2020</v>
      </c>
      <c r="K48" s="197">
        <f t="shared" si="3"/>
        <v>43864</v>
      </c>
      <c r="L48" s="147">
        <f>IF(t&lt;Tvie,1-EXP((T0-t)*PertePVj)+'2019'!Pspv,1-EXP((T0-t)*PertePVj)+Pspv)</f>
        <v>7.4274468612861577E-3</v>
      </c>
      <c r="M48" s="832"/>
      <c r="N48" s="832"/>
      <c r="O48" s="48">
        <f>IF(t&lt;Tnet,'2019'!Resal+('2019'!Salim-'2019'!Resal)*(1-EXP(('2019'!Tnet-t)/('2019'!Tau_j))),Resal+(Salim-Resal)*(1-EXP((Tnet-t)/(Tau_j))))*Salcycl</f>
        <v>2.3920583684329769E-2</v>
      </c>
      <c r="P48" s="169">
        <f>(INDEX(Models!$BJ48:$BT48,,T48)*(1-R48)+INDEX(Models!$BJ48:$BT48,,T48+1)*R48-ERP_i)*Q48*Ramure*Pc/MaxiM</f>
        <v>3.7584736905471277E-3</v>
      </c>
      <c r="Q48" s="304">
        <f t="shared" si="4"/>
        <v>0.7</v>
      </c>
      <c r="R48" s="177">
        <f t="shared" si="5"/>
        <v>0.13620471089851283</v>
      </c>
      <c r="S48" s="799">
        <f t="shared" si="6"/>
        <v>-1</v>
      </c>
      <c r="T48" s="176">
        <f t="shared" si="7"/>
        <v>5</v>
      </c>
      <c r="U48" s="250">
        <f t="shared" si="21"/>
        <v>-0.86379528910148717</v>
      </c>
      <c r="V48" s="382">
        <f t="shared" si="8"/>
        <v>35.286236973054386</v>
      </c>
      <c r="W48" s="58"/>
      <c r="X48" s="157">
        <f t="shared" si="9"/>
        <v>43864</v>
      </c>
      <c r="Y48" s="383">
        <f t="shared" si="10"/>
        <v>26.479484533330993</v>
      </c>
      <c r="Z48" s="383">
        <f t="shared" si="11"/>
        <v>26.677631221614522</v>
      </c>
      <c r="AA48" s="384">
        <f t="shared" si="12"/>
        <v>27.331414612053258</v>
      </c>
      <c r="AB48" s="197">
        <f t="shared" si="13"/>
        <v>43864</v>
      </c>
      <c r="AC48" s="424">
        <f>IF(OR(t&lt;Tnet,NoTnet),'2019'!Resal_s+('2019'!Salim-'2019'!Resal_s)*(1-EXP(('2019'!Tnet_s-t)/'2019'!Tau_j)),Resal_s+(Salim-Resal_s)*(1-EXP((Tnet_s-t)/Tau_j)))*Salcycl</f>
        <v>2.3920583684329769E-2</v>
      </c>
      <c r="AD48" s="230">
        <f>(INDEX(Models!$BJ48:$BT48,,AH48)*(1-AF48)+INDEX(Models!$BJ48:$BT48,,AH48+1)*AF48-ERP_i)*AE48*Ramure*Pc/MaxiM</f>
        <v>4.6070975108514307E-3</v>
      </c>
      <c r="AE48" s="304">
        <f t="shared" si="14"/>
        <v>0.7</v>
      </c>
      <c r="AF48" s="177">
        <f t="shared" si="15"/>
        <v>0.20053693315834498</v>
      </c>
      <c r="AG48" s="176">
        <f t="shared" si="16"/>
        <v>-1</v>
      </c>
      <c r="AH48" s="176">
        <f t="shared" si="17"/>
        <v>5</v>
      </c>
      <c r="AI48" s="224">
        <f t="shared" si="22"/>
        <v>-0.79946306684165502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43865</v>
      </c>
      <c r="B49" s="607">
        <v>16.218</v>
      </c>
      <c r="C49" s="388"/>
      <c r="D49" s="391">
        <f t="shared" si="0"/>
        <v>16.339672872216063</v>
      </c>
      <c r="E49" s="383">
        <f t="shared" si="1"/>
        <v>16.740986953344198</v>
      </c>
      <c r="F49" s="383">
        <f t="shared" si="2"/>
        <v>16.754733277342279</v>
      </c>
      <c r="G49" s="110">
        <f t="shared" si="23"/>
        <v>0.45383210427736309</v>
      </c>
      <c r="H49" s="412" t="b">
        <f>Wh_hp&gt;='2019'!Maxi_hp</f>
        <v>1</v>
      </c>
      <c r="I49" s="388">
        <f>IF(H49,Wh_hp,'2019'!Maxi_hp)</f>
        <v>16.754733277342279</v>
      </c>
      <c r="J49" s="85">
        <f>IF(H49,An,'2019'!An_max)</f>
        <v>2020</v>
      </c>
      <c r="K49" s="197">
        <f t="shared" si="3"/>
        <v>43865</v>
      </c>
      <c r="L49" s="147">
        <f>IF(t&lt;Tvie,1-EXP((T0-t)*PertePVj)+'2019'!Pspv,1-EXP((T0-t)*PertePVj)+Pspv)</f>
        <v>7.4464692878248862E-3</v>
      </c>
      <c r="M49" s="832"/>
      <c r="N49" s="832"/>
      <c r="O49" s="48">
        <f>IF(t&lt;Tnet,'2019'!Resal+('2019'!Salim-'2019'!Resal)*(1-EXP(('2019'!Tnet-t)/('2019'!Tau_j))),Resal+(Salim-Resal)*(1-EXP((Tnet-t)/(Tau_j))))*Salcycl</f>
        <v>2.3971948741526725E-2</v>
      </c>
      <c r="P49" s="169">
        <f>(INDEX(Models!$BJ49:$BT49,,T49)*(1-R49)+INDEX(Models!$BJ49:$BT49,,T49+1)*R49-ERP_i)*Q49*Ramure*Pc/MaxiM</f>
        <v>3.701778424146093E-3</v>
      </c>
      <c r="Q49" s="304">
        <f t="shared" si="4"/>
        <v>0.7</v>
      </c>
      <c r="R49" s="177">
        <f t="shared" si="5"/>
        <v>0.13629468437000558</v>
      </c>
      <c r="S49" s="799">
        <f t="shared" si="6"/>
        <v>-1</v>
      </c>
      <c r="T49" s="176">
        <f t="shared" si="7"/>
        <v>5</v>
      </c>
      <c r="U49" s="250">
        <f t="shared" si="21"/>
        <v>-0.86370531562999442</v>
      </c>
      <c r="V49" s="382">
        <f t="shared" si="8"/>
        <v>35.632631537033433</v>
      </c>
      <c r="W49" s="58"/>
      <c r="X49" s="157">
        <f t="shared" si="9"/>
        <v>43865</v>
      </c>
      <c r="Y49" s="383">
        <f t="shared" si="10"/>
        <v>16.214960870403107</v>
      </c>
      <c r="Z49" s="383">
        <f t="shared" si="11"/>
        <v>16.336610942050228</v>
      </c>
      <c r="AA49" s="384">
        <f t="shared" si="12"/>
        <v>16.737849819978116</v>
      </c>
      <c r="AB49" s="197">
        <f t="shared" si="13"/>
        <v>43865</v>
      </c>
      <c r="AC49" s="424">
        <f>IF(OR(t&lt;Tnet,NoTnet),'2019'!Resal_s+('2019'!Salim-'2019'!Resal_s)*(1-EXP(('2019'!Tnet_s-t)/'2019'!Tau_j)),Resal_s+(Salim-Resal_s)*(1-EXP((Tnet_s-t)/Tau_j)))*Salcycl</f>
        <v>2.3971948741526725E-2</v>
      </c>
      <c r="AD49" s="230">
        <f>(INDEX(Models!$BJ49:$BT49,,AH49)*(1-AF49)+INDEX(Models!$BJ49:$BT49,,AH49+1)*AF49-ERP_i)*AE49*Ramure*Pc/MaxiM</f>
        <v>4.5465841052759028E-3</v>
      </c>
      <c r="AE49" s="304">
        <f t="shared" si="14"/>
        <v>0.7</v>
      </c>
      <c r="AF49" s="177">
        <f t="shared" si="15"/>
        <v>0.20062690662983773</v>
      </c>
      <c r="AG49" s="176">
        <f t="shared" si="16"/>
        <v>-1</v>
      </c>
      <c r="AH49" s="176">
        <f t="shared" si="17"/>
        <v>5</v>
      </c>
      <c r="AI49" s="224">
        <f t="shared" si="22"/>
        <v>-0.79937309337016227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43866</v>
      </c>
      <c r="B50" s="607">
        <v>34.643999999999998</v>
      </c>
      <c r="C50" s="388"/>
      <c r="D50" s="391">
        <f t="shared" si="0"/>
        <v>34.904579838855483</v>
      </c>
      <c r="E50" s="383">
        <f t="shared" si="1"/>
        <v>35.763742900686864</v>
      </c>
      <c r="F50" s="383">
        <f t="shared" si="2"/>
        <v>35.887391837973411</v>
      </c>
      <c r="G50" s="110">
        <f t="shared" si="23"/>
        <v>0.96277375822866296</v>
      </c>
      <c r="H50" s="412" t="b">
        <f>Wh_hp&gt;='2019'!Maxi_hp</f>
        <v>1</v>
      </c>
      <c r="I50" s="388">
        <f>IF(H50,Wh_hp,'2019'!Maxi_hp)</f>
        <v>35.887391837973411</v>
      </c>
      <c r="J50" s="85">
        <f>IF(H50,An,'2019'!An_max)</f>
        <v>2020</v>
      </c>
      <c r="K50" s="197">
        <f t="shared" si="3"/>
        <v>43866</v>
      </c>
      <c r="L50" s="147">
        <f>IF(t&lt;Tvie,1-EXP((T0-t)*PertePVj)+'2019'!Pspv,1-EXP((T0-t)*PertePVj)+Pspv)</f>
        <v>7.4654913498031217E-3</v>
      </c>
      <c r="M50" s="832"/>
      <c r="N50" s="832"/>
      <c r="O50" s="48">
        <f>IF(t&lt;Tnet,'2019'!Resal+('2019'!Salim-'2019'!Resal)*(1-EXP(('2019'!Tnet-t)/('2019'!Tau_j))),Resal+(Salim-Resal)*(1-EXP((Tnet-t)/(Tau_j))))*Salcycl</f>
        <v>2.402329823858779E-2</v>
      </c>
      <c r="P50" s="169">
        <f>(INDEX(Models!$BJ50:$BT50,,T50)*(1-R50)+INDEX(Models!$BJ50:$BT50,,T50+1)*R50-ERP_i)*Q50*Ramure*Pc/MaxiM</f>
        <v>3.6379720317484591E-3</v>
      </c>
      <c r="Q50" s="304">
        <f t="shared" si="4"/>
        <v>0.7</v>
      </c>
      <c r="R50" s="177">
        <f t="shared" si="5"/>
        <v>0.1363883892026303</v>
      </c>
      <c r="S50" s="799">
        <f t="shared" si="6"/>
        <v>-1</v>
      </c>
      <c r="T50" s="176">
        <f t="shared" si="7"/>
        <v>5</v>
      </c>
      <c r="U50" s="250">
        <f t="shared" si="21"/>
        <v>-0.8636116107973697</v>
      </c>
      <c r="V50" s="382">
        <f t="shared" si="8"/>
        <v>35.976580802409053</v>
      </c>
      <c r="W50" s="58"/>
      <c r="X50" s="157">
        <f t="shared" si="9"/>
        <v>43866</v>
      </c>
      <c r="Y50" s="383">
        <f t="shared" si="10"/>
        <v>34.616358564860292</v>
      </c>
      <c r="Z50" s="383">
        <f t="shared" si="11"/>
        <v>34.876730494677723</v>
      </c>
      <c r="AA50" s="384">
        <f t="shared" si="12"/>
        <v>35.735208055410844</v>
      </c>
      <c r="AB50" s="197">
        <f t="shared" si="13"/>
        <v>43866</v>
      </c>
      <c r="AC50" s="424">
        <f>IF(OR(t&lt;Tnet,NoTnet),'2019'!Resal_s+('2019'!Salim-'2019'!Resal_s)*(1-EXP(('2019'!Tnet_s-t)/'2019'!Tau_j)),Resal_s+(Salim-Resal_s)*(1-EXP((Tnet_s-t)/Tau_j)))*Salcycl</f>
        <v>2.402329823858779E-2</v>
      </c>
      <c r="AD50" s="230">
        <f>(INDEX(Models!$BJ50:$BT50,,AH50)*(1-AF50)+INDEX(Models!$BJ50:$BT50,,AH50+1)*AF50-ERP_i)*AE50*Ramure*Pc/MaxiM</f>
        <v>4.4775180183334821E-3</v>
      </c>
      <c r="AE50" s="304">
        <f t="shared" si="14"/>
        <v>0.7</v>
      </c>
      <c r="AF50" s="177">
        <f t="shared" si="15"/>
        <v>0.20072061146246245</v>
      </c>
      <c r="AG50" s="176">
        <f t="shared" si="16"/>
        <v>-1</v>
      </c>
      <c r="AH50" s="176">
        <f t="shared" si="17"/>
        <v>5</v>
      </c>
      <c r="AI50" s="224">
        <f t="shared" si="22"/>
        <v>-0.79927938853753755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43867</v>
      </c>
      <c r="B51" s="607">
        <v>37.840000000000003</v>
      </c>
      <c r="C51" s="388"/>
      <c r="D51" s="391">
        <f t="shared" si="0"/>
        <v>38.125349677088295</v>
      </c>
      <c r="E51" s="383">
        <f t="shared" si="1"/>
        <v>39.06584546787758</v>
      </c>
      <c r="F51" s="383">
        <f t="shared" si="2"/>
        <v>39.205696557026307</v>
      </c>
      <c r="G51" s="110">
        <f t="shared" si="23"/>
        <v>1.0418668944962122</v>
      </c>
      <c r="H51" s="412" t="b">
        <f>Wh_hp&gt;='2019'!Maxi_hp</f>
        <v>1</v>
      </c>
      <c r="I51" s="388">
        <f>IF(H51,Wh_hp,'2019'!Maxi_hp)</f>
        <v>39.205696557026307</v>
      </c>
      <c r="J51" s="85">
        <f>IF(H51,An,'2019'!An_max)</f>
        <v>2020</v>
      </c>
      <c r="K51" s="197">
        <f t="shared" si="3"/>
        <v>43867</v>
      </c>
      <c r="L51" s="147">
        <f>IF(t&lt;Tvie,1-EXP((T0-t)*PertePVj)+'2019'!Pspv,1-EXP((T0-t)*PertePVj)+Pspv)</f>
        <v>7.4845130472278587E-3</v>
      </c>
      <c r="M51" s="832"/>
      <c r="N51" s="832"/>
      <c r="O51" s="48">
        <f>IF(t&lt;Tnet,'2019'!Resal+('2019'!Salim-'2019'!Resal)*(1-EXP(('2019'!Tnet-t)/('2019'!Tau_j))),Resal+(Salim-Resal)*(1-EXP((Tnet-t)/(Tau_j))))*Salcycl</f>
        <v>2.4074630397097604E-2</v>
      </c>
      <c r="P51" s="169">
        <f>(INDEX(Models!$BJ51:$BT51,,T51)*(1-R51)+INDEX(Models!$BJ51:$BT51,,T51+1)*R51-ERP_i)*Q51*Ramure*Pc/MaxiM</f>
        <v>3.567111451401081E-3</v>
      </c>
      <c r="Q51" s="304">
        <f t="shared" si="4"/>
        <v>0.7</v>
      </c>
      <c r="R51" s="177">
        <f t="shared" si="5"/>
        <v>0.1364859782663056</v>
      </c>
      <c r="S51" s="799">
        <f t="shared" si="6"/>
        <v>-1</v>
      </c>
      <c r="T51" s="176">
        <f t="shared" si="7"/>
        <v>5</v>
      </c>
      <c r="U51" s="250">
        <f t="shared" si="21"/>
        <v>-0.8635140217336944</v>
      </c>
      <c r="V51" s="382">
        <f t="shared" si="8"/>
        <v>36.319418727953042</v>
      </c>
      <c r="W51" s="58"/>
      <c r="X51" s="157">
        <f t="shared" si="9"/>
        <v>43867</v>
      </c>
      <c r="Y51" s="383">
        <f t="shared" si="10"/>
        <v>37.808371949388295</v>
      </c>
      <c r="Z51" s="383">
        <f t="shared" si="11"/>
        <v>38.09348312082043</v>
      </c>
      <c r="AA51" s="384">
        <f t="shared" si="12"/>
        <v>39.033192810963008</v>
      </c>
      <c r="AB51" s="197">
        <f t="shared" si="13"/>
        <v>43867</v>
      </c>
      <c r="AC51" s="424">
        <f>IF(OR(t&lt;Tnet,NoTnet),'2019'!Resal_s+('2019'!Salim-'2019'!Resal_s)*(1-EXP(('2019'!Tnet_s-t)/'2019'!Tau_j)),Resal_s+(Salim-Resal_s)*(1-EXP((Tnet_s-t)/Tau_j)))*Salcycl</f>
        <v>2.4074630397097604E-2</v>
      </c>
      <c r="AD51" s="230">
        <f>(INDEX(Models!$BJ51:$BT51,,AH51)*(1-AF51)+INDEX(Models!$BJ51:$BT51,,AH51+1)*AF51-ERP_i)*AE51*Ramure*Pc/MaxiM</f>
        <v>4.3999663623469224E-3</v>
      </c>
      <c r="AE51" s="304">
        <f t="shared" si="14"/>
        <v>0.7</v>
      </c>
      <c r="AF51" s="177">
        <f t="shared" si="15"/>
        <v>0.20081820052613775</v>
      </c>
      <c r="AG51" s="176">
        <f t="shared" si="16"/>
        <v>-1</v>
      </c>
      <c r="AH51" s="176">
        <f t="shared" si="17"/>
        <v>5</v>
      </c>
      <c r="AI51" s="224">
        <f t="shared" si="22"/>
        <v>-0.79918179947386225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43868</v>
      </c>
      <c r="B52" s="607">
        <v>26.003</v>
      </c>
      <c r="C52" s="388"/>
      <c r="D52" s="391">
        <f t="shared" si="0"/>
        <v>26.199589520713339</v>
      </c>
      <c r="E52" s="383">
        <f t="shared" si="1"/>
        <v>26.847306103748309</v>
      </c>
      <c r="F52" s="383">
        <f t="shared" si="2"/>
        <v>26.902092201697947</v>
      </c>
      <c r="G52" s="110">
        <f t="shared" si="23"/>
        <v>0.70821314966032967</v>
      </c>
      <c r="H52" s="412" t="b">
        <f>Wh_hp&gt;='2019'!Maxi_hp</f>
        <v>1</v>
      </c>
      <c r="I52" s="388">
        <f>IF(H52,Wh_hp,'2019'!Maxi_hp)</f>
        <v>26.902092201697947</v>
      </c>
      <c r="J52" s="85">
        <f>IF(H52,An,'2019'!An_max)</f>
        <v>2020</v>
      </c>
      <c r="K52" s="197">
        <f t="shared" si="3"/>
        <v>43868</v>
      </c>
      <c r="L52" s="147">
        <f>IF(t&lt;Tvie,1-EXP((T0-t)*PertePVj)+'2019'!Pspv,1-EXP((T0-t)*PertePVj)+Pspv)</f>
        <v>7.5035343801060916E-3</v>
      </c>
      <c r="M52" s="832"/>
      <c r="N52" s="832"/>
      <c r="O52" s="48">
        <f>IF(t&lt;Tnet,'2019'!Resal+('2019'!Salim-'2019'!Resal)*(1-EXP(('2019'!Tnet-t)/('2019'!Tau_j))),Resal+(Salim-Resal)*(1-EXP((Tnet-t)/(Tau_j))))*Salcycl</f>
        <v>2.4125943233631975E-2</v>
      </c>
      <c r="P52" s="169">
        <f>(INDEX(Models!$BJ52:$BT52,,T52)*(1-R52)+INDEX(Models!$BJ52:$BT52,,T52+1)*R52-ERP_i)*Q52*Ramure*Pc/MaxiM</f>
        <v>3.4833951786345844E-3</v>
      </c>
      <c r="Q52" s="304">
        <f t="shared" si="4"/>
        <v>0.7</v>
      </c>
      <c r="R52" s="177">
        <f t="shared" si="5"/>
        <v>0.13658761053422674</v>
      </c>
      <c r="S52" s="799">
        <f t="shared" si="6"/>
        <v>-1</v>
      </c>
      <c r="T52" s="176">
        <f t="shared" si="7"/>
        <v>5</v>
      </c>
      <c r="U52" s="250">
        <f t="shared" si="21"/>
        <v>-0.86341238946577326</v>
      </c>
      <c r="V52" s="382">
        <f t="shared" si="8"/>
        <v>36.663114216216812</v>
      </c>
      <c r="W52" s="58"/>
      <c r="X52" s="157">
        <f t="shared" si="9"/>
        <v>43868</v>
      </c>
      <c r="Y52" s="383">
        <f t="shared" si="10"/>
        <v>25.990459487169744</v>
      </c>
      <c r="Z52" s="383">
        <f t="shared" si="11"/>
        <v>26.186954198307003</v>
      </c>
      <c r="AA52" s="384">
        <f t="shared" si="12"/>
        <v>26.834358405919144</v>
      </c>
      <c r="AB52" s="197">
        <f t="shared" si="13"/>
        <v>43868</v>
      </c>
      <c r="AC52" s="424">
        <f>IF(OR(t&lt;Tnet,NoTnet),'2019'!Resal_s+('2019'!Salim-'2019'!Resal_s)*(1-EXP(('2019'!Tnet_s-t)/'2019'!Tau_j)),Resal_s+(Salim-Resal_s)*(1-EXP((Tnet_s-t)/Tau_j)))*Salcycl</f>
        <v>2.4125943233631975E-2</v>
      </c>
      <c r="AD52" s="230">
        <f>(INDEX(Models!$BJ52:$BT52,,AH52)*(1-AF52)+INDEX(Models!$BJ52:$BT52,,AH52+1)*AF52-ERP_i)*AE52*Ramure*Pc/MaxiM</f>
        <v>4.3066322749139817E-3</v>
      </c>
      <c r="AE52" s="304">
        <f t="shared" si="14"/>
        <v>0.7</v>
      </c>
      <c r="AF52" s="177">
        <f t="shared" si="15"/>
        <v>0.20091983279405889</v>
      </c>
      <c r="AG52" s="176">
        <f t="shared" si="16"/>
        <v>-1</v>
      </c>
      <c r="AH52" s="176">
        <f t="shared" si="17"/>
        <v>5</v>
      </c>
      <c r="AI52" s="224">
        <f t="shared" si="22"/>
        <v>-0.79908016720594111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43869</v>
      </c>
      <c r="B53" s="607">
        <v>32.597000000000001</v>
      </c>
      <c r="C53" s="388"/>
      <c r="D53" s="391">
        <f t="shared" si="0"/>
        <v>32.844071344557712</v>
      </c>
      <c r="E53" s="383">
        <f t="shared" si="1"/>
        <v>33.657824462138734</v>
      </c>
      <c r="F53" s="383">
        <f t="shared" si="2"/>
        <v>33.752735134746771</v>
      </c>
      <c r="G53" s="110">
        <f t="shared" si="23"/>
        <v>0.8803118580272481</v>
      </c>
      <c r="H53" s="412" t="b">
        <f>Wh_hp&gt;='2019'!Maxi_hp</f>
        <v>1</v>
      </c>
      <c r="I53" s="388">
        <f>IF(H53,Wh_hp,'2019'!Maxi_hp)</f>
        <v>33.752735134746771</v>
      </c>
      <c r="J53" s="85">
        <f>IF(H53,An,'2019'!An_max)</f>
        <v>2020</v>
      </c>
      <c r="K53" s="197">
        <f t="shared" si="3"/>
        <v>43869</v>
      </c>
      <c r="L53" s="147">
        <f>IF(t&lt;Tvie,1-EXP((T0-t)*PertePVj)+'2019'!Pspv,1-EXP((T0-t)*PertePVj)+Pspv)</f>
        <v>7.5225553484449259E-3</v>
      </c>
      <c r="M53" s="832"/>
      <c r="N53" s="832"/>
      <c r="O53" s="48">
        <f>IF(t&lt;Tnet,'2019'!Resal+('2019'!Salim-'2019'!Resal)*(1-EXP(('2019'!Tnet-t)/('2019'!Tau_j))),Resal+(Salim-Resal)*(1-EXP((Tnet-t)/(Tau_j))))*Salcycl</f>
        <v>2.4177234583191945E-2</v>
      </c>
      <c r="P53" s="169">
        <f>(INDEX(Models!$BJ53:$BT53,,T53)*(1-R53)+INDEX(Models!$BJ53:$BT53,,T53+1)*R53-ERP_i)*Q53*Ramure*Pc/MaxiM</f>
        <v>3.3889208797725748E-3</v>
      </c>
      <c r="Q53" s="304">
        <f t="shared" si="4"/>
        <v>0.7</v>
      </c>
      <c r="R53" s="177">
        <f t="shared" si="5"/>
        <v>0.13669345131291977</v>
      </c>
      <c r="S53" s="799">
        <f t="shared" si="6"/>
        <v>-1</v>
      </c>
      <c r="T53" s="176">
        <f t="shared" si="7"/>
        <v>5</v>
      </c>
      <c r="U53" s="250">
        <f t="shared" si="21"/>
        <v>-0.86330654868708023</v>
      </c>
      <c r="V53" s="382">
        <f t="shared" si="8"/>
        <v>37.007497772396469</v>
      </c>
      <c r="W53" s="58"/>
      <c r="X53" s="157">
        <f t="shared" si="9"/>
        <v>43869</v>
      </c>
      <c r="Y53" s="383">
        <f t="shared" si="10"/>
        <v>32.575006032402669</v>
      </c>
      <c r="Z53" s="383">
        <f t="shared" si="11"/>
        <v>32.82191067207507</v>
      </c>
      <c r="AA53" s="384">
        <f t="shared" si="12"/>
        <v>33.635114731162972</v>
      </c>
      <c r="AB53" s="197">
        <f t="shared" si="13"/>
        <v>43869</v>
      </c>
      <c r="AC53" s="424">
        <f>IF(OR(t&lt;Tnet,NoTnet),'2019'!Resal_s+('2019'!Salim-'2019'!Resal_s)*(1-EXP(('2019'!Tnet_s-t)/'2019'!Tau_j)),Resal_s+(Salim-Resal_s)*(1-EXP((Tnet_s-t)/Tau_j)))*Salcycl</f>
        <v>2.4177234583191945E-2</v>
      </c>
      <c r="AD53" s="230">
        <f>(INDEX(Models!$BJ53:$BT53,,AH53)*(1-AF53)+INDEX(Models!$BJ53:$BT53,,AH53+1)*AF53-ERP_i)*AE53*Ramure*Pc/MaxiM</f>
        <v>4.1998042015630611E-3</v>
      </c>
      <c r="AE53" s="304">
        <f t="shared" si="14"/>
        <v>0.7</v>
      </c>
      <c r="AF53" s="177">
        <f t="shared" si="15"/>
        <v>0.20102567357275192</v>
      </c>
      <c r="AG53" s="176">
        <f t="shared" si="16"/>
        <v>-1</v>
      </c>
      <c r="AH53" s="176">
        <f t="shared" si="17"/>
        <v>5</v>
      </c>
      <c r="AI53" s="224">
        <f t="shared" si="22"/>
        <v>-0.79897432642724808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43870</v>
      </c>
      <c r="B54" s="607">
        <v>26.629000000000001</v>
      </c>
      <c r="C54" s="388"/>
      <c r="D54" s="391">
        <f t="shared" si="0"/>
        <v>26.831350668971535</v>
      </c>
      <c r="E54" s="383">
        <f t="shared" si="1"/>
        <v>27.497575741275934</v>
      </c>
      <c r="F54" s="383">
        <f t="shared" si="2"/>
        <v>27.550945693764806</v>
      </c>
      <c r="G54" s="110">
        <f t="shared" si="23"/>
        <v>0.71194941189844885</v>
      </c>
      <c r="H54" s="412" t="b">
        <f>Wh_hp&gt;='2019'!Maxi_hp</f>
        <v>1</v>
      </c>
      <c r="I54" s="388">
        <f>IF(H54,Wh_hp,'2019'!Maxi_hp)</f>
        <v>27.550945693764806</v>
      </c>
      <c r="J54" s="85">
        <f>IF(H54,An,'2019'!An_max)</f>
        <v>2020</v>
      </c>
      <c r="K54" s="197">
        <f t="shared" si="3"/>
        <v>43870</v>
      </c>
      <c r="L54" s="147">
        <f>IF(t&lt;Tvie,1-EXP((T0-t)*PertePVj)+'2019'!Pspv,1-EXP((T0-t)*PertePVj)+Pspv)</f>
        <v>7.5415759522511339E-3</v>
      </c>
      <c r="M54" s="832"/>
      <c r="N54" s="832"/>
      <c r="O54" s="48">
        <f>IF(t&lt;Tnet,'2019'!Resal+('2019'!Salim-'2019'!Resal)*(1-EXP(('2019'!Tnet-t)/('2019'!Tau_j))),Resal+(Salim-Resal)*(1-EXP((Tnet-t)/(Tau_j))))*Salcycl</f>
        <v>2.4228502125892636E-2</v>
      </c>
      <c r="P54" s="169">
        <f>(INDEX(Models!$BJ54:$BT54,,T54)*(1-R54)+INDEX(Models!$BJ54:$BT54,,T54+1)*R54-ERP_i)*Q54*Ramure*Pc/MaxiM</f>
        <v>3.2839868442038176E-3</v>
      </c>
      <c r="Q54" s="304">
        <f t="shared" si="4"/>
        <v>0.7</v>
      </c>
      <c r="R54" s="177">
        <f t="shared" si="5"/>
        <v>0.13680367247979275</v>
      </c>
      <c r="S54" s="799">
        <f t="shared" si="6"/>
        <v>-1</v>
      </c>
      <c r="T54" s="176">
        <f t="shared" si="7"/>
        <v>5</v>
      </c>
      <c r="U54" s="250">
        <f t="shared" si="21"/>
        <v>-0.86319632752020725</v>
      </c>
      <c r="V54" s="382">
        <f t="shared" si="8"/>
        <v>37.352464482182711</v>
      </c>
      <c r="W54" s="58"/>
      <c r="X54" s="157">
        <f t="shared" si="9"/>
        <v>43870</v>
      </c>
      <c r="Y54" s="383">
        <f t="shared" si="10"/>
        <v>26.616474378161975</v>
      </c>
      <c r="Z54" s="383">
        <f t="shared" si="11"/>
        <v>26.818729866392278</v>
      </c>
      <c r="AA54" s="384">
        <f t="shared" si="12"/>
        <v>27.484641562929102</v>
      </c>
      <c r="AB54" s="197">
        <f t="shared" si="13"/>
        <v>43870</v>
      </c>
      <c r="AC54" s="424">
        <f>IF(OR(t&lt;Tnet,NoTnet),'2019'!Resal_s+('2019'!Salim-'2019'!Resal_s)*(1-EXP(('2019'!Tnet_s-t)/'2019'!Tau_j)),Resal_s+(Salim-Resal_s)*(1-EXP((Tnet_s-t)/Tau_j)))*Salcycl</f>
        <v>2.4228502125892636E-2</v>
      </c>
      <c r="AD54" s="230">
        <f>(INDEX(Models!$BJ54:$BT54,,AH54)*(1-AF54)+INDEX(Models!$BJ54:$BT54,,AH54+1)*AF54-ERP_i)*AE54*Ramure*Pc/MaxiM</f>
        <v>4.0798592321442178E-3</v>
      </c>
      <c r="AE54" s="304">
        <f t="shared" si="14"/>
        <v>0.7</v>
      </c>
      <c r="AF54" s="177">
        <f t="shared" si="15"/>
        <v>0.2011358947396249</v>
      </c>
      <c r="AG54" s="176">
        <f t="shared" si="16"/>
        <v>-1</v>
      </c>
      <c r="AH54" s="176">
        <f t="shared" si="17"/>
        <v>5</v>
      </c>
      <c r="AI54" s="224">
        <f t="shared" si="22"/>
        <v>-0.7988641052603751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20"/>
        <v>43871</v>
      </c>
      <c r="B55" s="607">
        <v>16.919</v>
      </c>
      <c r="C55" s="388"/>
      <c r="D55" s="391">
        <f t="shared" si="0"/>
        <v>17.047892229060682</v>
      </c>
      <c r="E55" s="383">
        <f t="shared" si="1"/>
        <v>17.472110591160323</v>
      </c>
      <c r="F55" s="383">
        <f t="shared" si="2"/>
        <v>17.483888338803496</v>
      </c>
      <c r="G55" s="110">
        <f t="shared" si="23"/>
        <v>0.44768409505558632</v>
      </c>
      <c r="H55" s="412" t="b">
        <f>Wh_hp&gt;='2019'!Maxi_hp</f>
        <v>1</v>
      </c>
      <c r="I55" s="388">
        <f>IF(H55,Wh_hp,'2019'!Maxi_hp)</f>
        <v>17.483888338803496</v>
      </c>
      <c r="J55" s="85">
        <f>IF(H55,An,'2019'!An_max)</f>
        <v>2020</v>
      </c>
      <c r="K55" s="197">
        <f t="shared" si="3"/>
        <v>43871</v>
      </c>
      <c r="L55" s="147">
        <f>IF(t&lt;Tvie,1-EXP((T0-t)*PertePVj)+'2019'!Pspv,1-EXP((T0-t)*PertePVj)+Pspv)</f>
        <v>7.560596191531932E-3</v>
      </c>
      <c r="M55" s="832"/>
      <c r="N55" s="832"/>
      <c r="O55" s="48">
        <f>IF(t&lt;Tnet,'2019'!Resal+('2019'!Salim-'2019'!Resal)*(1-EXP(('2019'!Tnet-t)/('2019'!Tau_j))),Resal+(Salim-Resal)*(1-EXP((Tnet-t)/(Tau_j))))*Salcycl</f>
        <v>2.4279743416589016E-2</v>
      </c>
      <c r="P55" s="169">
        <f>(INDEX(Models!$BJ55:$BT55,,T55)*(1-R55)+INDEX(Models!$BJ55:$BT55,,T55+1)*R55-ERP_i)*Q55*Ramure*Pc/MaxiM</f>
        <v>3.1688780962244902E-3</v>
      </c>
      <c r="Q55" s="304">
        <f t="shared" si="4"/>
        <v>0.7</v>
      </c>
      <c r="R55" s="177">
        <f t="shared" si="5"/>
        <v>0.1369184527283227</v>
      </c>
      <c r="S55" s="799">
        <f t="shared" si="6"/>
        <v>-1</v>
      </c>
      <c r="T55" s="176">
        <f t="shared" si="7"/>
        <v>5</v>
      </c>
      <c r="U55" s="250">
        <f t="shared" si="21"/>
        <v>-0.8630815472716773</v>
      </c>
      <c r="V55" s="382">
        <f t="shared" si="8"/>
        <v>37.697909528908887</v>
      </c>
      <c r="W55" s="58"/>
      <c r="X55" s="157">
        <f t="shared" si="9"/>
        <v>43871</v>
      </c>
      <c r="Y55" s="383">
        <f t="shared" si="10"/>
        <v>16.916198943024394</v>
      </c>
      <c r="Z55" s="383">
        <f t="shared" si="11"/>
        <v>17.045069833088842</v>
      </c>
      <c r="AA55" s="384">
        <f t="shared" si="12"/>
        <v>17.469217962916932</v>
      </c>
      <c r="AB55" s="197">
        <f t="shared" si="13"/>
        <v>43871</v>
      </c>
      <c r="AC55" s="424">
        <f>IF(OR(t&lt;Tnet,NoTnet),'2019'!Resal_s+('2019'!Salim-'2019'!Resal_s)*(1-EXP(('2019'!Tnet_s-t)/'2019'!Tau_j)),Resal_s+(Salim-Resal_s)*(1-EXP((Tnet_s-t)/Tau_j)))*Salcycl</f>
        <v>2.4279743416589016E-2</v>
      </c>
      <c r="AD55" s="230">
        <f>(INDEX(Models!$BJ55:$BT55,,AH55)*(1-AF55)+INDEX(Models!$BJ55:$BT55,,AH55+1)*AF55-ERP_i)*AE55*Ramure*Pc/MaxiM</f>
        <v>3.947158167992567E-3</v>
      </c>
      <c r="AE55" s="304">
        <f t="shared" si="14"/>
        <v>0.7</v>
      </c>
      <c r="AF55" s="177">
        <f t="shared" si="15"/>
        <v>0.20125067498815485</v>
      </c>
      <c r="AG55" s="176">
        <f t="shared" si="16"/>
        <v>-1</v>
      </c>
      <c r="AH55" s="176">
        <f t="shared" si="17"/>
        <v>5</v>
      </c>
      <c r="AI55" s="224">
        <f t="shared" si="22"/>
        <v>-0.79874932501184515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20"/>
        <v>43872</v>
      </c>
      <c r="B56" s="607">
        <v>8.4149999999999991</v>
      </c>
      <c r="C56" s="388"/>
      <c r="D56" s="391">
        <f t="shared" si="0"/>
        <v>8.4792696081523911</v>
      </c>
      <c r="E56" s="383">
        <f t="shared" si="1"/>
        <v>8.6907232114990549</v>
      </c>
      <c r="F56" s="383">
        <f t="shared" si="2"/>
        <v>8.6907232114990549</v>
      </c>
      <c r="G56" s="110">
        <f t="shared" si="23"/>
        <v>0.22051955105994672</v>
      </c>
      <c r="H56" s="412" t="b">
        <f>Wh_hp&gt;='2019'!Maxi_hp</f>
        <v>1</v>
      </c>
      <c r="I56" s="388">
        <f>IF(H56,Wh_hp,'2019'!Maxi_hp)</f>
        <v>8.6907232114990549</v>
      </c>
      <c r="J56" s="85">
        <f>IF(H56,An,'2019'!An_max)</f>
        <v>2020</v>
      </c>
      <c r="K56" s="197">
        <f t="shared" si="3"/>
        <v>43872</v>
      </c>
      <c r="L56" s="147">
        <f>IF(t&lt;Tvie,1-EXP((T0-t)*PertePVj)+'2019'!Pspv,1-EXP((T0-t)*PertePVj)+Pspv)</f>
        <v>7.5796160662940926E-3</v>
      </c>
      <c r="M56" s="832"/>
      <c r="N56" s="832"/>
      <c r="O56" s="48">
        <f>IF(t&lt;Tnet,'2019'!Resal+('2019'!Salim-'2019'!Resal)*(1-EXP(('2019'!Tnet-t)/('2019'!Tau_j))),Resal+(Salim-Resal)*(1-EXP((Tnet-t)/(Tau_j))))*Salcycl</f>
        <v>2.4330955917095658E-2</v>
      </c>
      <c r="P56" s="169">
        <f>(INDEX(Models!$BJ56:$BT56,,T56)*(1-R56)+INDEX(Models!$BJ56:$BT56,,T56+1)*R56-ERP_i)*Q56*Ramure*Pc/MaxiM</f>
        <v>3.0438665642839938E-3</v>
      </c>
      <c r="Q56" s="304">
        <f t="shared" si="4"/>
        <v>0.7</v>
      </c>
      <c r="R56" s="177">
        <f t="shared" si="5"/>
        <v>0.13703797782101168</v>
      </c>
      <c r="S56" s="799">
        <f t="shared" si="6"/>
        <v>-1</v>
      </c>
      <c r="T56" s="176">
        <f t="shared" si="7"/>
        <v>5</v>
      </c>
      <c r="U56" s="250">
        <f t="shared" si="21"/>
        <v>-0.86296202217898832</v>
      </c>
      <c r="V56" s="382">
        <f t="shared" si="8"/>
        <v>38.04372819796351</v>
      </c>
      <c r="W56" s="58"/>
      <c r="X56" s="157">
        <f t="shared" si="9"/>
        <v>43872</v>
      </c>
      <c r="Y56" s="383">
        <f t="shared" si="10"/>
        <v>8.4149999999999991</v>
      </c>
      <c r="Z56" s="383">
        <f t="shared" si="11"/>
        <v>8.4792696081523911</v>
      </c>
      <c r="AA56" s="384">
        <f t="shared" si="12"/>
        <v>8.6907232114990549</v>
      </c>
      <c r="AB56" s="197">
        <f t="shared" si="13"/>
        <v>43872</v>
      </c>
      <c r="AC56" s="424">
        <f>IF(OR(t&lt;Tnet,NoTnet),'2019'!Resal_s+('2019'!Salim-'2019'!Resal_s)*(1-EXP(('2019'!Tnet_s-t)/'2019'!Tau_j)),Resal_s+(Salim-Resal_s)*(1-EXP((Tnet_s-t)/Tau_j)))*Salcycl</f>
        <v>2.4330955917095658E-2</v>
      </c>
      <c r="AD56" s="230">
        <f>(INDEX(Models!$BJ56:$BT56,,AH56)*(1-AF56)+INDEX(Models!$BJ56:$BT56,,AH56+1)*AF56-ERP_i)*AE56*Ramure*Pc/MaxiM</f>
        <v>3.8020457389822361E-3</v>
      </c>
      <c r="AE56" s="304">
        <f t="shared" si="14"/>
        <v>0.7</v>
      </c>
      <c r="AF56" s="177">
        <f t="shared" si="15"/>
        <v>0.20137020008084383</v>
      </c>
      <c r="AG56" s="176">
        <f t="shared" si="16"/>
        <v>-1</v>
      </c>
      <c r="AH56" s="176">
        <f t="shared" si="17"/>
        <v>5</v>
      </c>
      <c r="AI56" s="224">
        <f t="shared" si="22"/>
        <v>-0.79862979991915617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20"/>
        <v>43873</v>
      </c>
      <c r="B57" s="607">
        <v>19.815999999999999</v>
      </c>
      <c r="C57" s="388"/>
      <c r="D57" s="391">
        <f t="shared" si="0"/>
        <v>19.967727484446062</v>
      </c>
      <c r="E57" s="383">
        <f t="shared" si="1"/>
        <v>20.466750602200772</v>
      </c>
      <c r="F57" s="383">
        <f t="shared" si="2"/>
        <v>20.485155317578489</v>
      </c>
      <c r="G57" s="110">
        <f t="shared" si="23"/>
        <v>0.51513971358421695</v>
      </c>
      <c r="H57" s="412" t="b">
        <f>Wh_hp&gt;='2019'!Maxi_hp</f>
        <v>1</v>
      </c>
      <c r="I57" s="388">
        <f>IF(H57,Wh_hp,'2019'!Maxi_hp)</f>
        <v>20.485155317578489</v>
      </c>
      <c r="J57" s="85">
        <f>IF(H57,An,'2019'!An_max)</f>
        <v>2020</v>
      </c>
      <c r="K57" s="197">
        <f t="shared" si="3"/>
        <v>43873</v>
      </c>
      <c r="L57" s="147">
        <f>IF(t&lt;Tvie,1-EXP((T0-t)*PertePVj)+'2019'!Pspv,1-EXP((T0-t)*PertePVj)+Pspv)</f>
        <v>7.5986355765447211E-3</v>
      </c>
      <c r="M57" s="832"/>
      <c r="N57" s="832"/>
      <c r="O57" s="48">
        <f>IF(t&lt;Tnet,'2019'!Resal+('2019'!Salim-'2019'!Resal)*(1-EXP(('2019'!Tnet-t)/('2019'!Tau_j))),Resal+(Salim-Resal)*(1-EXP((Tnet-t)/(Tau_j))))*Salcycl</f>
        <v>2.4382137030635912E-2</v>
      </c>
      <c r="P57" s="169">
        <f>(INDEX(Models!$BJ57:$BT57,,T57)*(1-R57)+INDEX(Models!$BJ57:$BT57,,T57+1)*R57-ERP_i)*Q57*Ramure*Pc/MaxiM</f>
        <v>2.9092112520815701E-3</v>
      </c>
      <c r="Q57" s="304">
        <f t="shared" si="4"/>
        <v>0.7</v>
      </c>
      <c r="R57" s="177">
        <f t="shared" si="5"/>
        <v>0.13716244085022988</v>
      </c>
      <c r="S57" s="799">
        <f t="shared" si="6"/>
        <v>-1</v>
      </c>
      <c r="T57" s="176">
        <f t="shared" si="7"/>
        <v>5</v>
      </c>
      <c r="U57" s="250">
        <f t="shared" si="21"/>
        <v>-0.86283755914977012</v>
      </c>
      <c r="V57" s="382">
        <f t="shared" si="8"/>
        <v>38.389815880587392</v>
      </c>
      <c r="W57" s="58"/>
      <c r="X57" s="157">
        <f t="shared" si="9"/>
        <v>43873</v>
      </c>
      <c r="Y57" s="383">
        <f t="shared" si="10"/>
        <v>19.811494053547669</v>
      </c>
      <c r="Z57" s="383">
        <f t="shared" si="11"/>
        <v>19.963187036786611</v>
      </c>
      <c r="AA57" s="384">
        <f t="shared" si="12"/>
        <v>20.462096682021787</v>
      </c>
      <c r="AB57" s="197">
        <f t="shared" si="13"/>
        <v>43873</v>
      </c>
      <c r="AC57" s="424">
        <f>IF(OR(t&lt;Tnet,NoTnet),'2019'!Resal_s+('2019'!Salim-'2019'!Resal_s)*(1-EXP(('2019'!Tnet_s-t)/'2019'!Tau_j)),Resal_s+(Salim-Resal_s)*(1-EXP((Tnet_s-t)/Tau_j)))*Salcycl</f>
        <v>2.4382137030635912E-2</v>
      </c>
      <c r="AD57" s="230">
        <f>(INDEX(Models!$BJ57:$BT57,,AH57)*(1-AF57)+INDEX(Models!$BJ57:$BT57,,AH57+1)*AF57-ERP_i)*AE57*Ramure*Pc/MaxiM</f>
        <v>3.6448508245022168E-3</v>
      </c>
      <c r="AE57" s="304">
        <f t="shared" si="14"/>
        <v>0.7</v>
      </c>
      <c r="AF57" s="177">
        <f t="shared" si="15"/>
        <v>0.20149466311006203</v>
      </c>
      <c r="AG57" s="176">
        <f t="shared" si="16"/>
        <v>-1</v>
      </c>
      <c r="AH57" s="176">
        <f t="shared" si="17"/>
        <v>5</v>
      </c>
      <c r="AI57" s="224">
        <f t="shared" si="22"/>
        <v>-0.79850533688993797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20"/>
        <v>43874</v>
      </c>
      <c r="B58" s="607">
        <v>21.074999999999999</v>
      </c>
      <c r="C58" s="388"/>
      <c r="D58" s="391">
        <f t="shared" si="0"/>
        <v>21.236774414907945</v>
      </c>
      <c r="E58" s="383">
        <f t="shared" si="1"/>
        <v>21.768654126485238</v>
      </c>
      <c r="F58" s="383">
        <f t="shared" si="2"/>
        <v>21.789674259995543</v>
      </c>
      <c r="G58" s="110">
        <f t="shared" si="23"/>
        <v>0.54308605362253215</v>
      </c>
      <c r="H58" s="412" t="b">
        <f>Wh_hp&gt;='2019'!Maxi_hp</f>
        <v>1</v>
      </c>
      <c r="I58" s="388">
        <f>IF(H58,Wh_hp,'2019'!Maxi_hp)</f>
        <v>21.789674259995543</v>
      </c>
      <c r="J58" s="85">
        <f>IF(H58,An,'2019'!An_max)</f>
        <v>2020</v>
      </c>
      <c r="K58" s="197">
        <f t="shared" si="3"/>
        <v>43874</v>
      </c>
      <c r="L58" s="147">
        <f>IF(t&lt;Tvie,1-EXP((T0-t)*PertePVj)+'2019'!Pspv,1-EXP((T0-t)*PertePVj)+Pspv)</f>
        <v>7.617654722290701E-3</v>
      </c>
      <c r="M58" s="832"/>
      <c r="N58" s="832"/>
      <c r="O58" s="48">
        <f>IF(t&lt;Tnet,'2019'!Resal+('2019'!Salim-'2019'!Resal)*(1-EXP(('2019'!Tnet-t)/('2019'!Tau_j))),Resal+(Salim-Resal)*(1-EXP((Tnet-t)/(Tau_j))))*Salcycl</f>
        <v>2.4433284138139343E-2</v>
      </c>
      <c r="P58" s="169">
        <f>(INDEX(Models!$BJ58:$BT58,,T58)*(1-R58)+INDEX(Models!$BJ58:$BT58,,T58+1)*R58-ERP_i)*Q58*Ramure*Pc/MaxiM</f>
        <v>2.766768973544791E-3</v>
      </c>
      <c r="Q58" s="304">
        <f t="shared" si="4"/>
        <v>0.7</v>
      </c>
      <c r="R58" s="177">
        <f t="shared" si="5"/>
        <v>0.13729204250706128</v>
      </c>
      <c r="S58" s="799">
        <f t="shared" si="6"/>
        <v>-1</v>
      </c>
      <c r="T58" s="176">
        <f t="shared" si="7"/>
        <v>5</v>
      </c>
      <c r="U58" s="250">
        <f t="shared" si="21"/>
        <v>-0.86270795749293872</v>
      </c>
      <c r="V58" s="382">
        <f t="shared" si="8"/>
        <v>38.736005518371421</v>
      </c>
      <c r="W58" s="58"/>
      <c r="X58" s="157">
        <f t="shared" si="9"/>
        <v>43874</v>
      </c>
      <c r="Y58" s="383">
        <f t="shared" si="10"/>
        <v>21.06977575171998</v>
      </c>
      <c r="Z58" s="383">
        <f t="shared" si="11"/>
        <v>21.231510064625134</v>
      </c>
      <c r="AA58" s="384">
        <f t="shared" si="12"/>
        <v>21.763257929385421</v>
      </c>
      <c r="AB58" s="197">
        <f t="shared" si="13"/>
        <v>43874</v>
      </c>
      <c r="AC58" s="424">
        <f>IF(OR(t&lt;Tnet,NoTnet),'2019'!Resal_s+('2019'!Salim-'2019'!Resal_s)*(1-EXP(('2019'!Tnet_s-t)/'2019'!Tau_j)),Resal_s+(Salim-Resal_s)*(1-EXP((Tnet_s-t)/Tau_j)))*Salcycl</f>
        <v>2.4433284138139343E-2</v>
      </c>
      <c r="AD58" s="230">
        <f>(INDEX(Models!$BJ58:$BT58,,AH58)*(1-AF58)+INDEX(Models!$BJ58:$BT58,,AH58+1)*AF58-ERP_i)*AE58*Ramure*Pc/MaxiM</f>
        <v>3.4770418509071257E-3</v>
      </c>
      <c r="AE58" s="304">
        <f t="shared" si="14"/>
        <v>0.7</v>
      </c>
      <c r="AF58" s="177">
        <f t="shared" si="15"/>
        <v>0.20162426476689344</v>
      </c>
      <c r="AG58" s="176">
        <f t="shared" si="16"/>
        <v>-1</v>
      </c>
      <c r="AH58" s="176">
        <f t="shared" si="17"/>
        <v>5</v>
      </c>
      <c r="AI58" s="224">
        <f t="shared" si="22"/>
        <v>-0.79837573523310656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43875</v>
      </c>
      <c r="B59" s="607">
        <v>28.605</v>
      </c>
      <c r="C59" s="388"/>
      <c r="D59" s="391">
        <f t="shared" si="0"/>
        <v>28.825128091935809</v>
      </c>
      <c r="E59" s="383">
        <f t="shared" si="1"/>
        <v>29.548607867918125</v>
      </c>
      <c r="F59" s="383">
        <f t="shared" si="2"/>
        <v>29.596508571718296</v>
      </c>
      <c r="G59" s="110">
        <f t="shared" si="23"/>
        <v>0.7311871751425093</v>
      </c>
      <c r="H59" s="412" t="b">
        <f>Wh_hp&gt;='2019'!Maxi_hp</f>
        <v>1</v>
      </c>
      <c r="I59" s="388">
        <f>IF(H59,Wh_hp,'2019'!Maxi_hp)</f>
        <v>29.596508571718296</v>
      </c>
      <c r="J59" s="85">
        <f>IF(H59,An,'2019'!An_max)</f>
        <v>2020</v>
      </c>
      <c r="K59" s="197">
        <f t="shared" si="3"/>
        <v>43875</v>
      </c>
      <c r="L59" s="147">
        <f>IF(t&lt;Tvie,1-EXP((T0-t)*PertePVj)+'2019'!Pspv,1-EXP((T0-t)*PertePVj)+Pspv)</f>
        <v>7.6366735035391375E-3</v>
      </c>
      <c r="M59" s="832"/>
      <c r="N59" s="832"/>
      <c r="O59" s="48">
        <f>IF(t&lt;Tnet,'2019'!Resal+('2019'!Salim-'2019'!Resal)*(1-EXP(('2019'!Tnet-t)/('2019'!Tau_j))),Resal+(Salim-Resal)*(1-EXP((Tnet-t)/(Tau_j))))*Salcycl</f>
        <v>2.4484394635993011E-2</v>
      </c>
      <c r="P59" s="169">
        <f>(INDEX(Models!$BJ59:$BT59,,T59)*(1-R59)+INDEX(Models!$BJ59:$BT59,,T59+1)*R59-ERP_i)*Q59*Ramure*Pc/MaxiM</f>
        <v>2.6229652041834077E-3</v>
      </c>
      <c r="Q59" s="304">
        <f t="shared" si="4"/>
        <v>0.7</v>
      </c>
      <c r="R59" s="177">
        <f t="shared" si="5"/>
        <v>0.13742699135824665</v>
      </c>
      <c r="S59" s="799">
        <f t="shared" si="6"/>
        <v>-1</v>
      </c>
      <c r="T59" s="176">
        <f t="shared" si="7"/>
        <v>5</v>
      </c>
      <c r="U59" s="250">
        <f t="shared" si="21"/>
        <v>-0.86257300864175335</v>
      </c>
      <c r="V59" s="382">
        <f t="shared" si="8"/>
        <v>39.081948454053887</v>
      </c>
      <c r="W59" s="58"/>
      <c r="X59" s="157">
        <f t="shared" si="9"/>
        <v>43875</v>
      </c>
      <c r="Y59" s="383">
        <f t="shared" si="10"/>
        <v>28.592916372890816</v>
      </c>
      <c r="Z59" s="383">
        <f t="shared" si="11"/>
        <v>28.812951475986239</v>
      </c>
      <c r="AA59" s="384">
        <f t="shared" si="12"/>
        <v>29.536125631977853</v>
      </c>
      <c r="AB59" s="197">
        <f t="shared" si="13"/>
        <v>43875</v>
      </c>
      <c r="AC59" s="424">
        <f>IF(OR(t&lt;Tnet,NoTnet),'2019'!Resal_s+('2019'!Salim-'2019'!Resal_s)*(1-EXP(('2019'!Tnet_s-t)/'2019'!Tau_j)),Resal_s+(Salim-Resal_s)*(1-EXP((Tnet_s-t)/Tau_j)))*Salcycl</f>
        <v>2.4484394635993011E-2</v>
      </c>
      <c r="AD59" s="230">
        <f>(INDEX(Models!$BJ59:$BT59,,AH59)*(1-AF59)+INDEX(Models!$BJ59:$BT59,,AH59+1)*AF59-ERP_i)*AE59*Ramure*Pc/MaxiM</f>
        <v>3.3064722916432893E-3</v>
      </c>
      <c r="AE59" s="304">
        <f t="shared" si="14"/>
        <v>0.7</v>
      </c>
      <c r="AF59" s="177">
        <f t="shared" si="15"/>
        <v>0.2017592136180788</v>
      </c>
      <c r="AG59" s="176">
        <f t="shared" si="16"/>
        <v>-1</v>
      </c>
      <c r="AH59" s="176">
        <f t="shared" si="17"/>
        <v>5</v>
      </c>
      <c r="AI59" s="224">
        <f t="shared" si="22"/>
        <v>-0.7982407863819212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43876</v>
      </c>
      <c r="B60" s="607">
        <v>39.381</v>
      </c>
      <c r="C60" s="388"/>
      <c r="D60" s="391">
        <f t="shared" si="0"/>
        <v>39.684814715374984</v>
      </c>
      <c r="E60" s="383">
        <f t="shared" si="1"/>
        <v>40.682990853208793</v>
      </c>
      <c r="F60" s="383">
        <f t="shared" si="2"/>
        <v>40.783875694870723</v>
      </c>
      <c r="G60" s="110">
        <f t="shared" si="23"/>
        <v>0.99881541651071959</v>
      </c>
      <c r="H60" s="412" t="b">
        <f>Wh_hp&gt;='2019'!Maxi_hp</f>
        <v>1</v>
      </c>
      <c r="I60" s="388">
        <f>IF(H60,Wh_hp,'2019'!Maxi_hp)</f>
        <v>40.783875694870723</v>
      </c>
      <c r="J60" s="85">
        <f>IF(H60,An,'2019'!An_max)</f>
        <v>2020</v>
      </c>
      <c r="K60" s="197">
        <f t="shared" si="3"/>
        <v>43876</v>
      </c>
      <c r="L60" s="147">
        <f>IF(t&lt;Tvie,1-EXP((T0-t)*PertePVj)+'2019'!Pspv,1-EXP((T0-t)*PertePVj)+Pspv)</f>
        <v>7.6556919202970253E-3</v>
      </c>
      <c r="M60" s="832"/>
      <c r="N60" s="832"/>
      <c r="O60" s="48">
        <f>IF(t&lt;Tnet,'2019'!Resal+('2019'!Salim-'2019'!Resal)*(1-EXP(('2019'!Tnet-t)/('2019'!Tau_j))),Resal+(Salim-Resal)*(1-EXP((Tnet-t)/(Tau_j))))*Salcycl</f>
        <v>2.4535465974844302E-2</v>
      </c>
      <c r="P60" s="169">
        <f>(INDEX(Models!$BJ60:$BT60,,T60)*(1-R60)+INDEX(Models!$BJ60:$BT60,,T60+1)*R60-ERP_i)*Q60*Ramure*Pc/MaxiM</f>
        <v>2.4778235988752828E-3</v>
      </c>
      <c r="Q60" s="304">
        <f t="shared" si="4"/>
        <v>0.7</v>
      </c>
      <c r="R60" s="177">
        <f t="shared" si="5"/>
        <v>0.13756750413131102</v>
      </c>
      <c r="S60" s="799">
        <f t="shared" si="6"/>
        <v>-1</v>
      </c>
      <c r="T60" s="176">
        <f t="shared" si="7"/>
        <v>5</v>
      </c>
      <c r="U60" s="250">
        <f t="shared" si="21"/>
        <v>-0.86243249586868898</v>
      </c>
      <c r="V60" s="382">
        <f t="shared" si="8"/>
        <v>39.427540258846861</v>
      </c>
      <c r="W60" s="58"/>
      <c r="X60" s="157">
        <f t="shared" si="9"/>
        <v>43876</v>
      </c>
      <c r="Y60" s="383">
        <f t="shared" si="10"/>
        <v>39.355170112251884</v>
      </c>
      <c r="Z60" s="383">
        <f t="shared" si="11"/>
        <v>39.658785556404844</v>
      </c>
      <c r="AA60" s="384">
        <f t="shared" si="12"/>
        <v>40.656306993301826</v>
      </c>
      <c r="AB60" s="197">
        <f t="shared" si="13"/>
        <v>43876</v>
      </c>
      <c r="AC60" s="424">
        <f>IF(OR(t&lt;Tnet,NoTnet),'2019'!Resal_s+('2019'!Salim-'2019'!Resal_s)*(1-EXP(('2019'!Tnet_s-t)/'2019'!Tau_j)),Resal_s+(Salim-Resal_s)*(1-EXP((Tnet_s-t)/Tau_j)))*Salcycl</f>
        <v>2.4535465974844302E-2</v>
      </c>
      <c r="AD60" s="230">
        <f>(INDEX(Models!$BJ60:$BT60,,AH60)*(1-AF60)+INDEX(Models!$BJ60:$BT60,,AH60+1)*AF60-ERP_i)*AE60*Ramure*Pc/MaxiM</f>
        <v>3.1332035023113889E-3</v>
      </c>
      <c r="AE60" s="304">
        <f t="shared" si="14"/>
        <v>0.7</v>
      </c>
      <c r="AF60" s="177">
        <f t="shared" si="15"/>
        <v>0.20189972639114317</v>
      </c>
      <c r="AG60" s="176">
        <f t="shared" si="16"/>
        <v>-1</v>
      </c>
      <c r="AH60" s="176">
        <f t="shared" si="17"/>
        <v>5</v>
      </c>
      <c r="AI60" s="224">
        <f t="shared" si="22"/>
        <v>-0.79810027360885683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20"/>
        <v>43877</v>
      </c>
      <c r="B61" s="607">
        <v>26.137</v>
      </c>
      <c r="C61" s="388"/>
      <c r="D61" s="391">
        <f t="shared" si="0"/>
        <v>26.339145301111444</v>
      </c>
      <c r="E61" s="383">
        <f t="shared" si="1"/>
        <v>27.00305581681268</v>
      </c>
      <c r="F61" s="383">
        <f t="shared" si="2"/>
        <v>27.035214945831001</v>
      </c>
      <c r="G61" s="110">
        <f t="shared" si="23"/>
        <v>0.65640843195122112</v>
      </c>
      <c r="H61" s="412" t="b">
        <f>Wh_hp&gt;='2019'!Maxi_hp</f>
        <v>1</v>
      </c>
      <c r="I61" s="388">
        <f>IF(H61,Wh_hp,'2019'!Maxi_hp)</f>
        <v>27.035214945831001</v>
      </c>
      <c r="J61" s="85">
        <f>IF(H61,An,'2019'!An_max)</f>
        <v>2020</v>
      </c>
      <c r="K61" s="197">
        <f t="shared" si="3"/>
        <v>43877</v>
      </c>
      <c r="L61" s="147">
        <f>IF(t&lt;Tvie,1-EXP((T0-t)*PertePVj)+'2019'!Pspv,1-EXP((T0-t)*PertePVj)+Pspv)</f>
        <v>7.6747099725712475E-3</v>
      </c>
      <c r="M61" s="832"/>
      <c r="N61" s="832"/>
      <c r="O61" s="48">
        <f>IF(t&lt;Tnet,'2019'!Resal+('2019'!Salim-'2019'!Resal)*(1-EXP(('2019'!Tnet-t)/('2019'!Tau_j))),Resal+(Salim-Resal)*(1-EXP((Tnet-t)/(Tau_j))))*Salcycl</f>
        <v>2.4586495699048718E-2</v>
      </c>
      <c r="P61" s="169">
        <f>(INDEX(Models!$BJ61:$BT61,,T61)*(1-R61)+INDEX(Models!$BJ61:$BT61,,T61+1)*R61-ERP_i)*Q61*Ramure*Pc/MaxiM</f>
        <v>2.3313637985404477E-3</v>
      </c>
      <c r="Q61" s="304">
        <f t="shared" si="4"/>
        <v>0.7</v>
      </c>
      <c r="R61" s="177">
        <f t="shared" si="5"/>
        <v>0.13771380600794147</v>
      </c>
      <c r="S61" s="799">
        <f t="shared" si="6"/>
        <v>-1</v>
      </c>
      <c r="T61" s="176">
        <f t="shared" si="7"/>
        <v>5</v>
      </c>
      <c r="U61" s="250">
        <f t="shared" si="21"/>
        <v>-0.86228619399205853</v>
      </c>
      <c r="V61" s="382">
        <f t="shared" si="8"/>
        <v>39.772676596753115</v>
      </c>
      <c r="W61" s="58"/>
      <c r="X61" s="157">
        <f t="shared" si="9"/>
        <v>43877</v>
      </c>
      <c r="Y61" s="383">
        <f t="shared" si="10"/>
        <v>26.128642798054134</v>
      </c>
      <c r="Z61" s="383">
        <f t="shared" si="11"/>
        <v>26.330723464008376</v>
      </c>
      <c r="AA61" s="384">
        <f t="shared" si="12"/>
        <v>26.994421696958963</v>
      </c>
      <c r="AB61" s="197">
        <f t="shared" si="13"/>
        <v>43877</v>
      </c>
      <c r="AC61" s="424">
        <f>IF(OR(t&lt;Tnet,NoTnet),'2019'!Resal_s+('2019'!Salim-'2019'!Resal_s)*(1-EXP(('2019'!Tnet_s-t)/'2019'!Tau_j)),Resal_s+(Salim-Resal_s)*(1-EXP((Tnet_s-t)/Tau_j)))*Salcycl</f>
        <v>2.4586495699048718E-2</v>
      </c>
      <c r="AD61" s="230">
        <f>(INDEX(Models!$BJ61:$BT61,,AH61)*(1-AF61)+INDEX(Models!$BJ61:$BT61,,AH61+1)*AF61-ERP_i)*AE61*Ramure*Pc/MaxiM</f>
        <v>2.9572910258527621E-3</v>
      </c>
      <c r="AE61" s="304">
        <f t="shared" si="14"/>
        <v>0.7</v>
      </c>
      <c r="AF61" s="177">
        <f t="shared" si="15"/>
        <v>0.20204602826777363</v>
      </c>
      <c r="AG61" s="176">
        <f t="shared" si="16"/>
        <v>-1</v>
      </c>
      <c r="AH61" s="176">
        <f t="shared" si="17"/>
        <v>5</v>
      </c>
      <c r="AI61" s="224">
        <f t="shared" si="22"/>
        <v>-0.79795397173222637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43878</v>
      </c>
      <c r="B62" s="607">
        <v>7.1340000000000003</v>
      </c>
      <c r="C62" s="388"/>
      <c r="D62" s="391">
        <f t="shared" si="0"/>
        <v>7.1893126133120777</v>
      </c>
      <c r="E62" s="383">
        <f t="shared" si="1"/>
        <v>7.3709133546241699</v>
      </c>
      <c r="F62" s="383">
        <f t="shared" si="2"/>
        <v>7.3709133546241699</v>
      </c>
      <c r="G62" s="110">
        <f t="shared" si="23"/>
        <v>0.17744041814077618</v>
      </c>
      <c r="H62" s="412" t="b">
        <f>Wh_hp&gt;='2019'!Maxi_hp</f>
        <v>1</v>
      </c>
      <c r="I62" s="388">
        <f>IF(H62,Wh_hp,'2019'!Maxi_hp)</f>
        <v>7.3709133546241699</v>
      </c>
      <c r="J62" s="85">
        <f>IF(H62,An,'2019'!An_max)</f>
        <v>2020</v>
      </c>
      <c r="K62" s="197">
        <f t="shared" si="3"/>
        <v>43878</v>
      </c>
      <c r="L62" s="147">
        <f>IF(t&lt;Tvie,1-EXP((T0-t)*PertePVj)+'2019'!Pspv,1-EXP((T0-t)*PertePVj)+Pspv)</f>
        <v>7.6937276603687987E-3</v>
      </c>
      <c r="M62" s="832"/>
      <c r="N62" s="832"/>
      <c r="O62" s="48">
        <f>IF(t&lt;Tnet,'2019'!Resal+('2019'!Salim-'2019'!Resal)*(1-EXP(('2019'!Tnet-t)/('2019'!Tau_j))),Resal+(Salim-Resal)*(1-EXP((Tnet-t)/(Tau_j))))*Salcycl</f>
        <v>2.4637481486356694E-2</v>
      </c>
      <c r="P62" s="169">
        <f>(INDEX(Models!$BJ62:$BT62,,T62)*(1-R62)+INDEX(Models!$BJ62:$BT62,,T62+1)*R62-ERP_i)*Q62*Ramure*Pc/MaxiM</f>
        <v>2.1836014676702591E-3</v>
      </c>
      <c r="Q62" s="304">
        <f t="shared" si="4"/>
        <v>0.7</v>
      </c>
      <c r="R62" s="177">
        <f t="shared" si="5"/>
        <v>0.13786613092566657</v>
      </c>
      <c r="S62" s="799">
        <f t="shared" si="6"/>
        <v>-1</v>
      </c>
      <c r="T62" s="176">
        <f t="shared" si="7"/>
        <v>5</v>
      </c>
      <c r="U62" s="250">
        <f t="shared" si="21"/>
        <v>-0.86213386907433343</v>
      </c>
      <c r="V62" s="382">
        <f t="shared" si="8"/>
        <v>40.117253226275011</v>
      </c>
      <c r="W62" s="58"/>
      <c r="X62" s="157">
        <f t="shared" si="9"/>
        <v>43878</v>
      </c>
      <c r="Y62" s="383">
        <f t="shared" si="10"/>
        <v>7.1340000000000003</v>
      </c>
      <c r="Z62" s="383">
        <f t="shared" si="11"/>
        <v>7.1893126133120777</v>
      </c>
      <c r="AA62" s="384">
        <f t="shared" si="12"/>
        <v>7.3709133546241699</v>
      </c>
      <c r="AB62" s="197">
        <f t="shared" si="13"/>
        <v>43878</v>
      </c>
      <c r="AC62" s="424">
        <f>IF(OR(t&lt;Tnet,NoTnet),'2019'!Resal_s+('2019'!Salim-'2019'!Resal_s)*(1-EXP(('2019'!Tnet_s-t)/'2019'!Tau_j)),Resal_s+(Salim-Resal_s)*(1-EXP((Tnet_s-t)/Tau_j)))*Salcycl</f>
        <v>2.4637481486356694E-2</v>
      </c>
      <c r="AD62" s="230">
        <f>(INDEX(Models!$BJ62:$BT62,,AH62)*(1-AF62)+INDEX(Models!$BJ62:$BT62,,AH62+1)*AF62-ERP_i)*AE62*Ramure*Pc/MaxiM</f>
        <v>2.7787846649462078E-3</v>
      </c>
      <c r="AE62" s="304">
        <f t="shared" si="14"/>
        <v>0.7</v>
      </c>
      <c r="AF62" s="177">
        <f t="shared" si="15"/>
        <v>0.20219835318549872</v>
      </c>
      <c r="AG62" s="176">
        <f t="shared" si="16"/>
        <v>-1</v>
      </c>
      <c r="AH62" s="176">
        <f t="shared" si="17"/>
        <v>5</v>
      </c>
      <c r="AI62" s="224">
        <f t="shared" si="22"/>
        <v>-0.79780164681450128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20"/>
        <v>43879</v>
      </c>
      <c r="B63" s="607">
        <v>37.378999999999998</v>
      </c>
      <c r="C63" s="388"/>
      <c r="D63" s="391">
        <f t="shared" si="0"/>
        <v>37.669535521128772</v>
      </c>
      <c r="E63" s="383">
        <f t="shared" si="1"/>
        <v>38.623078346912777</v>
      </c>
      <c r="F63" s="383">
        <f t="shared" si="2"/>
        <v>38.693234723420318</v>
      </c>
      <c r="G63" s="110">
        <f t="shared" si="23"/>
        <v>0.92361918246470165</v>
      </c>
      <c r="H63" s="412" t="b">
        <f>Wh_hp&gt;='2019'!Maxi_hp</f>
        <v>1</v>
      </c>
      <c r="I63" s="388">
        <f>IF(H63,Wh_hp,'2019'!Maxi_hp)</f>
        <v>38.693234723420318</v>
      </c>
      <c r="J63" s="85">
        <f>IF(H63,An,'2019'!An_max)</f>
        <v>2020</v>
      </c>
      <c r="K63" s="197">
        <f t="shared" si="3"/>
        <v>43879</v>
      </c>
      <c r="L63" s="147">
        <f>IF(t&lt;Tvie,1-EXP((T0-t)*PertePVj)+'2019'!Pspv,1-EXP((T0-t)*PertePVj)+Pspv)</f>
        <v>7.7127449836967843E-3</v>
      </c>
      <c r="M63" s="832"/>
      <c r="N63" s="832"/>
      <c r="O63" s="48">
        <f>IF(t&lt;Tnet,'2019'!Resal+('2019'!Salim-'2019'!Resal)*(1-EXP(('2019'!Tnet-t)/('2019'!Tau_j))),Resal+(Salim-Resal)*(1-EXP((Tnet-t)/(Tau_j))))*Salcycl</f>
        <v>2.4688421187438081E-2</v>
      </c>
      <c r="P63" s="169">
        <f>(INDEX(Models!$BJ63:$BT63,,T63)*(1-R63)+INDEX(Models!$BJ63:$BT63,,T63+1)*R63-ERP_i)*Q63*Ramure*Pc/MaxiM</f>
        <v>2.0345483175636665E-3</v>
      </c>
      <c r="Q63" s="304">
        <f t="shared" si="4"/>
        <v>0.7</v>
      </c>
      <c r="R63" s="177">
        <f t="shared" si="5"/>
        <v>0.13802472188786519</v>
      </c>
      <c r="S63" s="799">
        <f t="shared" si="6"/>
        <v>-1</v>
      </c>
      <c r="T63" s="176">
        <f t="shared" si="7"/>
        <v>5</v>
      </c>
      <c r="U63" s="250">
        <f t="shared" si="21"/>
        <v>-0.86197527811213481</v>
      </c>
      <c r="V63" s="382">
        <f t="shared" si="8"/>
        <v>40.46116600435036</v>
      </c>
      <c r="W63" s="58"/>
      <c r="X63" s="157">
        <f t="shared" si="9"/>
        <v>43879</v>
      </c>
      <c r="Y63" s="383">
        <f t="shared" si="10"/>
        <v>37.360205649203373</v>
      </c>
      <c r="Z63" s="383">
        <f t="shared" si="11"/>
        <v>37.650595087598447</v>
      </c>
      <c r="AA63" s="384">
        <f t="shared" si="12"/>
        <v>38.603658467213009</v>
      </c>
      <c r="AB63" s="197">
        <f t="shared" si="13"/>
        <v>43879</v>
      </c>
      <c r="AC63" s="424">
        <f>IF(OR(t&lt;Tnet,NoTnet),'2019'!Resal_s+('2019'!Salim-'2019'!Resal_s)*(1-EXP(('2019'!Tnet_s-t)/'2019'!Tau_j)),Resal_s+(Salim-Resal_s)*(1-EXP((Tnet_s-t)/Tau_j)))*Salcycl</f>
        <v>2.4688421187438081E-2</v>
      </c>
      <c r="AD63" s="230">
        <f>(INDEX(Models!$BJ63:$BT63,,AH63)*(1-AF63)+INDEX(Models!$BJ63:$BT63,,AH63+1)*AF63-ERP_i)*AE63*Ramure*Pc/MaxiM</f>
        <v>2.5977285377709134E-3</v>
      </c>
      <c r="AE63" s="304">
        <f t="shared" si="14"/>
        <v>0.7</v>
      </c>
      <c r="AF63" s="177">
        <f t="shared" si="15"/>
        <v>0.20235694414769734</v>
      </c>
      <c r="AG63" s="176">
        <f t="shared" si="16"/>
        <v>-1</v>
      </c>
      <c r="AH63" s="176">
        <f t="shared" si="17"/>
        <v>5</v>
      </c>
      <c r="AI63" s="224">
        <f t="shared" si="22"/>
        <v>-0.79764305585230266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43880</v>
      </c>
      <c r="B64" s="607">
        <v>32.387999999999998</v>
      </c>
      <c r="C64" s="388"/>
      <c r="D64" s="391">
        <f t="shared" si="0"/>
        <v>32.640367551626909</v>
      </c>
      <c r="E64" s="383">
        <f t="shared" si="1"/>
        <v>33.468351572243492</v>
      </c>
      <c r="F64" s="383">
        <f t="shared" si="2"/>
        <v>33.512890694989288</v>
      </c>
      <c r="G64" s="110">
        <f t="shared" si="23"/>
        <v>0.79329839495737986</v>
      </c>
      <c r="H64" s="412" t="b">
        <f>Wh_hp&gt;='2019'!Maxi_hp</f>
        <v>1</v>
      </c>
      <c r="I64" s="388">
        <f>IF(H64,Wh_hp,'2019'!Maxi_hp)</f>
        <v>33.512890694989288</v>
      </c>
      <c r="J64" s="85">
        <f>IF(H64,An,'2019'!An_max)</f>
        <v>2020</v>
      </c>
      <c r="K64" s="197">
        <f t="shared" si="3"/>
        <v>43880</v>
      </c>
      <c r="L64" s="147">
        <f>IF(t&lt;Tvie,1-EXP((T0-t)*PertePVj)+'2019'!Pspv,1-EXP((T0-t)*PertePVj)+Pspv)</f>
        <v>7.7317619425620876E-3</v>
      </c>
      <c r="M64" s="832"/>
      <c r="N64" s="832"/>
      <c r="O64" s="48">
        <f>IF(t&lt;Tnet,'2019'!Resal+('2019'!Salim-'2019'!Resal)*(1-EXP(('2019'!Tnet-t)/('2019'!Tau_j))),Resal+(Salim-Resal)*(1-EXP((Tnet-t)/(Tau_j))))*Salcycl</f>
        <v>2.4739312864851749E-2</v>
      </c>
      <c r="P64" s="169">
        <f>(INDEX(Models!$BJ64:$BT64,,T64)*(1-R64)+INDEX(Models!$BJ64:$BT64,,T64+1)*R64-ERP_i)*Q64*Ramure*Pc/MaxiM</f>
        <v>1.8842121151790674E-3</v>
      </c>
      <c r="Q64" s="304">
        <f t="shared" si="4"/>
        <v>0.7</v>
      </c>
      <c r="R64" s="177">
        <f t="shared" si="5"/>
        <v>0.13818983128211226</v>
      </c>
      <c r="S64" s="799">
        <f t="shared" si="6"/>
        <v>-1</v>
      </c>
      <c r="T64" s="176">
        <f t="shared" si="7"/>
        <v>5</v>
      </c>
      <c r="U64" s="250">
        <f t="shared" si="21"/>
        <v>-0.86181016871788774</v>
      </c>
      <c r="V64" s="382">
        <f t="shared" si="8"/>
        <v>40.804310887948574</v>
      </c>
      <c r="W64" s="58"/>
      <c r="X64" s="157">
        <f t="shared" si="9"/>
        <v>43880</v>
      </c>
      <c r="Y64" s="383">
        <f t="shared" si="10"/>
        <v>32.375877400612062</v>
      </c>
      <c r="Z64" s="383">
        <f t="shared" si="11"/>
        <v>32.62815049284886</v>
      </c>
      <c r="AA64" s="384">
        <f t="shared" si="12"/>
        <v>33.455824604901117</v>
      </c>
      <c r="AB64" s="197">
        <f t="shared" si="13"/>
        <v>43880</v>
      </c>
      <c r="AC64" s="424">
        <f>IF(OR(t&lt;Tnet,NoTnet),'2019'!Resal_s+('2019'!Salim-'2019'!Resal_s)*(1-EXP(('2019'!Tnet_s-t)/'2019'!Tau_j)),Resal_s+(Salim-Resal_s)*(1-EXP((Tnet_s-t)/Tau_j)))*Salcycl</f>
        <v>2.4739312864851749E-2</v>
      </c>
      <c r="AD64" s="230">
        <f>(INDEX(Models!$BJ64:$BT64,,AH64)*(1-AF64)+INDEX(Models!$BJ64:$BT64,,AH64+1)*AF64-ERP_i)*AE64*Ramure*Pc/MaxiM</f>
        <v>2.4141611168168528E-3</v>
      </c>
      <c r="AE64" s="304">
        <f t="shared" si="14"/>
        <v>0.7</v>
      </c>
      <c r="AF64" s="177">
        <f t="shared" si="15"/>
        <v>0.20252205354194441</v>
      </c>
      <c r="AG64" s="176">
        <f t="shared" si="16"/>
        <v>-1</v>
      </c>
      <c r="AH64" s="176">
        <f t="shared" si="17"/>
        <v>5</v>
      </c>
      <c r="AI64" s="224">
        <f t="shared" si="22"/>
        <v>-0.79747794645805559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20"/>
        <v>43881</v>
      </c>
      <c r="B65" s="607">
        <v>41.08</v>
      </c>
      <c r="C65" s="388"/>
      <c r="D65" s="391">
        <f t="shared" si="0"/>
        <v>41.400889122824736</v>
      </c>
      <c r="E65" s="383">
        <f t="shared" si="1"/>
        <v>42.45331333345343</v>
      </c>
      <c r="F65" s="383">
        <f t="shared" si="2"/>
        <v>42.526823693851945</v>
      </c>
      <c r="G65" s="110">
        <f t="shared" si="23"/>
        <v>0.99837138663673142</v>
      </c>
      <c r="H65" s="412" t="b">
        <f>Wh_hp&gt;='2019'!Maxi_hp</f>
        <v>1</v>
      </c>
      <c r="I65" s="388">
        <f>IF(H65,Wh_hp,'2019'!Maxi_hp)</f>
        <v>42.526823693851945</v>
      </c>
      <c r="J65" s="85">
        <f>IF(H65,An,'2019'!An_max)</f>
        <v>2020</v>
      </c>
      <c r="K65" s="197">
        <f t="shared" si="3"/>
        <v>43881</v>
      </c>
      <c r="L65" s="147">
        <f>IF(t&lt;Tvie,1-EXP((T0-t)*PertePVj)+'2019'!Pspv,1-EXP((T0-t)*PertePVj)+Pspv)</f>
        <v>7.750778536971703E-3</v>
      </c>
      <c r="M65" s="832"/>
      <c r="N65" s="832"/>
      <c r="O65" s="48">
        <f>IF(t&lt;Tnet,'2019'!Resal+('2019'!Salim-'2019'!Resal)*(1-EXP(('2019'!Tnet-t)/('2019'!Tau_j))),Resal+(Salim-Resal)*(1-EXP((Tnet-t)/(Tau_j))))*Salcycl</f>
        <v>2.4790154831080768E-2</v>
      </c>
      <c r="P65" s="169">
        <f>(INDEX(Models!$BJ65:$BT65,,T65)*(1-R65)+INDEX(Models!$BJ65:$BT65,,T65+1)*R65-ERP_i)*Q65*Ramure*Pc/MaxiM</f>
        <v>1.7325856262629797E-3</v>
      </c>
      <c r="Q65" s="304">
        <f t="shared" si="4"/>
        <v>0.7</v>
      </c>
      <c r="R65" s="177">
        <f t="shared" si="5"/>
        <v>0.13836172120684054</v>
      </c>
      <c r="S65" s="799">
        <f t="shared" si="6"/>
        <v>-1</v>
      </c>
      <c r="T65" s="176">
        <f t="shared" si="7"/>
        <v>5</v>
      </c>
      <c r="U65" s="250">
        <f t="shared" si="21"/>
        <v>-0.86163827879315946</v>
      </c>
      <c r="V65" s="382">
        <f t="shared" si="8"/>
        <v>41.146846833287256</v>
      </c>
      <c r="W65" s="58"/>
      <c r="X65" s="157">
        <f t="shared" si="9"/>
        <v>43881</v>
      </c>
      <c r="Y65" s="383">
        <f t="shared" si="10"/>
        <v>41.059656304075617</v>
      </c>
      <c r="Z65" s="383">
        <f t="shared" si="11"/>
        <v>41.380386515733356</v>
      </c>
      <c r="AA65" s="384">
        <f t="shared" si="12"/>
        <v>42.432289543350258</v>
      </c>
      <c r="AB65" s="197">
        <f t="shared" si="13"/>
        <v>43881</v>
      </c>
      <c r="AC65" s="424">
        <f>IF(OR(t&lt;Tnet,NoTnet),'2019'!Resal_s+('2019'!Salim-'2019'!Resal_s)*(1-EXP(('2019'!Tnet_s-t)/'2019'!Tau_j)),Resal_s+(Salim-Resal_s)*(1-EXP((Tnet_s-t)/Tau_j)))*Salcycl</f>
        <v>2.4790154831080768E-2</v>
      </c>
      <c r="AD65" s="230">
        <f>(INDEX(Models!$BJ65:$BT65,,AH65)*(1-AF65)+INDEX(Models!$BJ65:$BT65,,AH65+1)*AF65-ERP_i)*AE65*Ramure*Pc/MaxiM</f>
        <v>2.2281010385783659E-3</v>
      </c>
      <c r="AE65" s="304">
        <f t="shared" si="14"/>
        <v>0.7</v>
      </c>
      <c r="AF65" s="177">
        <f t="shared" si="15"/>
        <v>0.20269394346667269</v>
      </c>
      <c r="AG65" s="176">
        <f t="shared" si="16"/>
        <v>-1</v>
      </c>
      <c r="AH65" s="176">
        <f t="shared" si="17"/>
        <v>5</v>
      </c>
      <c r="AI65" s="224">
        <f t="shared" si="22"/>
        <v>-0.79730605653332731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20"/>
        <v>43882</v>
      </c>
      <c r="B66" s="607">
        <v>17.199000000000002</v>
      </c>
      <c r="C66" s="388"/>
      <c r="D66" s="391">
        <f t="shared" si="0"/>
        <v>17.333679129391236</v>
      </c>
      <c r="E66" s="383">
        <f t="shared" si="1"/>
        <v>17.775232719930052</v>
      </c>
      <c r="F66" s="383">
        <f t="shared" si="2"/>
        <v>17.7798438213004</v>
      </c>
      <c r="G66" s="110">
        <f t="shared" si="23"/>
        <v>0.413996114633015</v>
      </c>
      <c r="H66" s="412" t="b">
        <f>Wh_hp&gt;='2019'!Maxi_hp</f>
        <v>1</v>
      </c>
      <c r="I66" s="388">
        <f>IF(H66,Wh_hp,'2019'!Maxi_hp)</f>
        <v>17.7798438213004</v>
      </c>
      <c r="J66" s="85">
        <f>IF(H66,An,'2019'!An_max)</f>
        <v>2020</v>
      </c>
      <c r="K66" s="197">
        <f t="shared" si="3"/>
        <v>43882</v>
      </c>
      <c r="L66" s="147">
        <f>IF(t&lt;Tvie,1-EXP((T0-t)*PertePVj)+'2019'!Pspv,1-EXP((T0-t)*PertePVj)+Pspv)</f>
        <v>7.7697947669326251E-3</v>
      </c>
      <c r="M66" s="832"/>
      <c r="N66" s="832"/>
      <c r="O66" s="48">
        <f>IF(t&lt;Tnet,'2019'!Resal+('2019'!Salim-'2019'!Resal)*(1-EXP(('2019'!Tnet-t)/('2019'!Tau_j))),Resal+(Salim-Resal)*(1-EXP((Tnet-t)/(Tau_j))))*Salcycl</f>
        <v>2.484094568527E-2</v>
      </c>
      <c r="P66" s="169">
        <f>(INDEX(Models!$BJ66:$BT66,,T66)*(1-R66)+INDEX(Models!$BJ66:$BT66,,T66+1)*R66-ERP_i)*Q66*Ramure*Pc/MaxiM</f>
        <v>1.5848778009873298E-3</v>
      </c>
      <c r="Q66" s="304">
        <f t="shared" si="4"/>
        <v>0.7</v>
      </c>
      <c r="R66" s="177">
        <f t="shared" si="5"/>
        <v>0.13854066380626984</v>
      </c>
      <c r="S66" s="799">
        <f t="shared" si="6"/>
        <v>-1</v>
      </c>
      <c r="T66" s="176">
        <f t="shared" si="7"/>
        <v>5</v>
      </c>
      <c r="U66" s="250">
        <f t="shared" si="21"/>
        <v>-0.86145933619373016</v>
      </c>
      <c r="V66" s="382">
        <f t="shared" si="8"/>
        <v>41.488786074064635</v>
      </c>
      <c r="W66" s="58"/>
      <c r="X66" s="157">
        <f t="shared" si="9"/>
        <v>43882</v>
      </c>
      <c r="Y66" s="383">
        <f t="shared" si="10"/>
        <v>17.197703120640053</v>
      </c>
      <c r="Z66" s="383">
        <f t="shared" si="11"/>
        <v>17.332372094639513</v>
      </c>
      <c r="AA66" s="384">
        <f t="shared" si="12"/>
        <v>17.773892390118274</v>
      </c>
      <c r="AB66" s="197">
        <f t="shared" si="13"/>
        <v>43882</v>
      </c>
      <c r="AC66" s="424">
        <f>IF(OR(t&lt;Tnet,NoTnet),'2019'!Resal_s+('2019'!Salim-'2019'!Resal_s)*(1-EXP(('2019'!Tnet_s-t)/'2019'!Tau_j)),Resal_s+(Salim-Resal_s)*(1-EXP((Tnet_s-t)/Tau_j)))*Salcycl</f>
        <v>2.484094568527E-2</v>
      </c>
      <c r="AD66" s="230">
        <f>(INDEX(Models!$BJ66:$BT66,,AH66)*(1-AF66)+INDEX(Models!$BJ66:$BT66,,AH66+1)*AF66-ERP_i)*AE66*Ramure*Pc/MaxiM</f>
        <v>2.0455614412016113E-3</v>
      </c>
      <c r="AE66" s="304">
        <f t="shared" si="14"/>
        <v>0.7</v>
      </c>
      <c r="AF66" s="177">
        <f t="shared" si="15"/>
        <v>0.20287288606610199</v>
      </c>
      <c r="AG66" s="176">
        <f t="shared" si="16"/>
        <v>-1</v>
      </c>
      <c r="AH66" s="176">
        <f t="shared" si="17"/>
        <v>5</v>
      </c>
      <c r="AI66" s="224">
        <f t="shared" si="22"/>
        <v>-0.79712711393389801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20"/>
        <v>43883</v>
      </c>
      <c r="B67" s="607">
        <v>39.841999999999999</v>
      </c>
      <c r="C67" s="388"/>
      <c r="D67" s="391">
        <f t="shared" si="0"/>
        <v>40.154757804531464</v>
      </c>
      <c r="E67" s="383">
        <f t="shared" si="1"/>
        <v>41.179792193337562</v>
      </c>
      <c r="F67" s="383">
        <f t="shared" si="2"/>
        <v>41.235374874521426</v>
      </c>
      <c r="G67" s="110">
        <f t="shared" si="23"/>
        <v>0.95238261885370568</v>
      </c>
      <c r="H67" s="412" t="b">
        <f>Wh_hp&gt;='2019'!Maxi_hp</f>
        <v>1</v>
      </c>
      <c r="I67" s="388">
        <f>IF(H67,Wh_hp,'2019'!Maxi_hp)</f>
        <v>41.235374874521426</v>
      </c>
      <c r="J67" s="85">
        <f>IF(H67,An,'2019'!An_max)</f>
        <v>2020</v>
      </c>
      <c r="K67" s="197">
        <f t="shared" si="3"/>
        <v>43883</v>
      </c>
      <c r="L67" s="147">
        <f>IF(t&lt;Tvie,1-EXP((T0-t)*PertePVj)+'2019'!Pspv,1-EXP((T0-t)*PertePVj)+Pspv)</f>
        <v>7.788810632451848E-3</v>
      </c>
      <c r="M67" s="832"/>
      <c r="N67" s="832"/>
      <c r="O67" s="48">
        <f>IF(t&lt;Tnet,'2019'!Resal+('2019'!Salim-'2019'!Resal)*(1-EXP(('2019'!Tnet-t)/('2019'!Tau_j))),Resal+(Salim-Resal)*(1-EXP((Tnet-t)/(Tau_j))))*Salcycl</f>
        <v>2.4891684348323138E-2</v>
      </c>
      <c r="P67" s="169">
        <f>(INDEX(Models!$BJ67:$BT67,,T67)*(1-R67)+INDEX(Models!$BJ67:$BT67,,T67+1)*R67-ERP_i)*Q67*Ramure*Pc/MaxiM</f>
        <v>1.4461151372230951E-3</v>
      </c>
      <c r="Q67" s="304">
        <f t="shared" si="4"/>
        <v>0.7</v>
      </c>
      <c r="R67" s="177">
        <f t="shared" si="5"/>
        <v>0.13872694161352528</v>
      </c>
      <c r="S67" s="799">
        <f t="shared" si="6"/>
        <v>-1</v>
      </c>
      <c r="T67" s="176">
        <f t="shared" si="7"/>
        <v>5</v>
      </c>
      <c r="U67" s="250">
        <f t="shared" si="21"/>
        <v>-0.86127305838647472</v>
      </c>
      <c r="V67" s="382">
        <f t="shared" si="8"/>
        <v>41.829914062027449</v>
      </c>
      <c r="W67" s="58"/>
      <c r="X67" s="157">
        <f t="shared" si="9"/>
        <v>43883</v>
      </c>
      <c r="Y67" s="383">
        <f t="shared" si="10"/>
        <v>39.826129543452168</v>
      </c>
      <c r="Z67" s="383">
        <f t="shared" si="11"/>
        <v>40.138762765654761</v>
      </c>
      <c r="AA67" s="384">
        <f t="shared" si="12"/>
        <v>41.163388847555396</v>
      </c>
      <c r="AB67" s="197">
        <f t="shared" si="13"/>
        <v>43883</v>
      </c>
      <c r="AC67" s="424">
        <f>IF(OR(t&lt;Tnet,NoTnet),'2019'!Resal_s+('2019'!Salim-'2019'!Resal_s)*(1-EXP(('2019'!Tnet_s-t)/'2019'!Tau_j)),Resal_s+(Salim-Resal_s)*(1-EXP((Tnet_s-t)/Tau_j)))*Salcycl</f>
        <v>2.4891684348323138E-2</v>
      </c>
      <c r="AD67" s="230">
        <f>(INDEX(Models!$BJ67:$BT67,,AH67)*(1-AF67)+INDEX(Models!$BJ67:$BT67,,AH67+1)*AF67-ERP_i)*AE67*Ramure*Pc/MaxiM</f>
        <v>1.8728870404752045E-3</v>
      </c>
      <c r="AE67" s="304">
        <f t="shared" si="14"/>
        <v>0.7</v>
      </c>
      <c r="AF67" s="177">
        <f t="shared" si="15"/>
        <v>0.20305916387335743</v>
      </c>
      <c r="AG67" s="176">
        <f t="shared" si="16"/>
        <v>-1</v>
      </c>
      <c r="AH67" s="176">
        <f t="shared" si="17"/>
        <v>5</v>
      </c>
      <c r="AI67" s="224">
        <f t="shared" si="22"/>
        <v>-0.79694083612664257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20"/>
        <v>43884</v>
      </c>
      <c r="B68" s="607">
        <v>40.454999999999998</v>
      </c>
      <c r="C68" s="388"/>
      <c r="D68" s="391">
        <f t="shared" si="0"/>
        <v>40.773351237342773</v>
      </c>
      <c r="E68" s="383">
        <f t="shared" si="1"/>
        <v>41.81635011805281</v>
      </c>
      <c r="F68" s="383">
        <f t="shared" si="2"/>
        <v>41.868249695321026</v>
      </c>
      <c r="G68" s="110">
        <f t="shared" si="23"/>
        <v>0.95925255711079482</v>
      </c>
      <c r="H68" s="412" t="b">
        <f>Wh_hp&gt;='2019'!Maxi_hp</f>
        <v>1</v>
      </c>
      <c r="I68" s="388">
        <f>IF(H68,Wh_hp,'2019'!Maxi_hp)</f>
        <v>41.868249695321026</v>
      </c>
      <c r="J68" s="85">
        <f>IF(H68,An,'2019'!An_max)</f>
        <v>2020</v>
      </c>
      <c r="K68" s="197">
        <f t="shared" si="3"/>
        <v>43884</v>
      </c>
      <c r="L68" s="147">
        <f>IF(t&lt;Tvie,1-EXP((T0-t)*PertePVj)+'2019'!Pspv,1-EXP((T0-t)*PertePVj)+Pspv)</f>
        <v>7.8078261335362553E-3</v>
      </c>
      <c r="M68" s="832"/>
      <c r="N68" s="832"/>
      <c r="O68" s="48">
        <f>IF(t&lt;Tnet,'2019'!Resal+('2019'!Salim-'2019'!Resal)*(1-EXP(('2019'!Tnet-t)/('2019'!Tau_j))),Resal+(Salim-Resal)*(1-EXP((Tnet-t)/(Tau_j))))*Salcycl</f>
        <v>2.4942370096039519E-2</v>
      </c>
      <c r="P68" s="169">
        <f>(INDEX(Models!$BJ68:$BT68,,T68)*(1-R68)+INDEX(Models!$BJ68:$BT68,,T68+1)*R68-ERP_i)*Q68*Ramure*Pc/MaxiM</f>
        <v>1.3160635079931154E-3</v>
      </c>
      <c r="Q68" s="304">
        <f t="shared" si="4"/>
        <v>0.7</v>
      </c>
      <c r="R68" s="177">
        <f t="shared" si="5"/>
        <v>0.13892084790182757</v>
      </c>
      <c r="S68" s="799">
        <f t="shared" si="6"/>
        <v>-1</v>
      </c>
      <c r="T68" s="176">
        <f t="shared" si="7"/>
        <v>5</v>
      </c>
      <c r="U68" s="250">
        <f t="shared" si="21"/>
        <v>-0.86107915209817243</v>
      </c>
      <c r="V68" s="382">
        <f t="shared" si="8"/>
        <v>42.17023163979853</v>
      </c>
      <c r="W68" s="58"/>
      <c r="X68" s="157">
        <f t="shared" si="9"/>
        <v>43884</v>
      </c>
      <c r="Y68" s="383">
        <f t="shared" si="10"/>
        <v>40.439977638482816</v>
      </c>
      <c r="Z68" s="383">
        <f t="shared" si="11"/>
        <v>40.758210660836674</v>
      </c>
      <c r="AA68" s="384">
        <f t="shared" si="12"/>
        <v>41.80082223945184</v>
      </c>
      <c r="AB68" s="197">
        <f t="shared" si="13"/>
        <v>43884</v>
      </c>
      <c r="AC68" s="424">
        <f>IF(OR(t&lt;Tnet,NoTnet),'2019'!Resal_s+('2019'!Salim-'2019'!Resal_s)*(1-EXP(('2019'!Tnet_s-t)/'2019'!Tau_j)),Resal_s+(Salim-Resal_s)*(1-EXP((Tnet_s-t)/Tau_j)))*Salcycl</f>
        <v>2.4942370096039519E-2</v>
      </c>
      <c r="AD68" s="230">
        <f>(INDEX(Models!$BJ68:$BT68,,AH68)*(1-AF68)+INDEX(Models!$BJ68:$BT68,,AH68+1)*AF68-ERP_i)*AE68*Ramure*Pc/MaxiM</f>
        <v>1.7098176666766466E-3</v>
      </c>
      <c r="AE68" s="304">
        <f t="shared" si="14"/>
        <v>0.7</v>
      </c>
      <c r="AF68" s="177">
        <f t="shared" si="15"/>
        <v>0.20325307016165972</v>
      </c>
      <c r="AG68" s="176">
        <f t="shared" si="16"/>
        <v>-1</v>
      </c>
      <c r="AH68" s="176">
        <f t="shared" si="17"/>
        <v>5</v>
      </c>
      <c r="AI68" s="224">
        <f t="shared" si="22"/>
        <v>-0.79674692983834028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20"/>
        <v>43885</v>
      </c>
      <c r="B69" s="607">
        <v>40.593000000000004</v>
      </c>
      <c r="C69" s="388"/>
      <c r="D69" s="391">
        <f t="shared" si="0"/>
        <v>40.913221288880351</v>
      </c>
      <c r="E69" s="383">
        <f t="shared" si="1"/>
        <v>41.961977090997038</v>
      </c>
      <c r="F69" s="383">
        <f t="shared" si="2"/>
        <v>42.008924715628446</v>
      </c>
      <c r="G69" s="110">
        <f t="shared" si="23"/>
        <v>0.95483702993114361</v>
      </c>
      <c r="H69" s="412" t="b">
        <f>Wh_hp&gt;='2019'!Maxi_hp</f>
        <v>1</v>
      </c>
      <c r="I69" s="388">
        <f>IF(H69,Wh_hp,'2019'!Maxi_hp)</f>
        <v>42.008924715628446</v>
      </c>
      <c r="J69" s="85">
        <f>IF(H69,An,'2019'!An_max)</f>
        <v>2020</v>
      </c>
      <c r="K69" s="197">
        <f t="shared" si="3"/>
        <v>43885</v>
      </c>
      <c r="L69" s="147">
        <f>IF(t&lt;Tvie,1-EXP((T0-t)*PertePVj)+'2019'!Pspv,1-EXP((T0-t)*PertePVj)+Pspv)</f>
        <v>7.8268412701930634E-3</v>
      </c>
      <c r="M69" s="832"/>
      <c r="N69" s="832"/>
      <c r="O69" s="48">
        <f>IF(t&lt;Tnet,'2019'!Resal+('2019'!Salim-'2019'!Resal)*(1-EXP(('2019'!Tnet-t)/('2019'!Tau_j))),Resal+(Salim-Resal)*(1-EXP((Tnet-t)/(Tau_j))))*Salcycl</f>
        <v>2.4993002589997173E-2</v>
      </c>
      <c r="P69" s="169">
        <f>(INDEX(Models!$BJ69:$BT69,,T69)*(1-R69)+INDEX(Models!$BJ69:$BT69,,T69+1)*R69-ERP_i)*Q69*Ramure*Pc/MaxiM</f>
        <v>1.1945053204963619E-3</v>
      </c>
      <c r="Q69" s="304">
        <f t="shared" si="4"/>
        <v>0.7</v>
      </c>
      <c r="R69" s="177">
        <f t="shared" si="5"/>
        <v>0.1391226870436022</v>
      </c>
      <c r="S69" s="799">
        <f t="shared" si="6"/>
        <v>-1</v>
      </c>
      <c r="T69" s="176">
        <f t="shared" si="7"/>
        <v>5</v>
      </c>
      <c r="U69" s="250">
        <f t="shared" si="21"/>
        <v>-0.8608773129563978</v>
      </c>
      <c r="V69" s="382">
        <f t="shared" si="8"/>
        <v>42.509739272936727</v>
      </c>
      <c r="W69" s="58"/>
      <c r="X69" s="157">
        <f t="shared" si="9"/>
        <v>43885</v>
      </c>
      <c r="Y69" s="383">
        <f t="shared" si="10"/>
        <v>40.579251401165585</v>
      </c>
      <c r="Z69" s="383">
        <f t="shared" si="11"/>
        <v>40.899364233069633</v>
      </c>
      <c r="AA69" s="384">
        <f t="shared" si="12"/>
        <v>41.947764828061977</v>
      </c>
      <c r="AB69" s="197">
        <f t="shared" si="13"/>
        <v>43885</v>
      </c>
      <c r="AC69" s="424">
        <f>IF(OR(t&lt;Tnet,NoTnet),'2019'!Resal_s+('2019'!Salim-'2019'!Resal_s)*(1-EXP(('2019'!Tnet_s-t)/'2019'!Tau_j)),Resal_s+(Salim-Resal_s)*(1-EXP((Tnet_s-t)/Tau_j)))*Salcycl</f>
        <v>2.4993002589997173E-2</v>
      </c>
      <c r="AD69" s="230">
        <f>(INDEX(Models!$BJ69:$BT69,,AH69)*(1-AF69)+INDEX(Models!$BJ69:$BT69,,AH69+1)*AF69-ERP_i)*AE69*Ramure*Pc/MaxiM</f>
        <v>1.5561130445401622E-3</v>
      </c>
      <c r="AE69" s="304">
        <f t="shared" si="14"/>
        <v>0.7</v>
      </c>
      <c r="AF69" s="177">
        <f t="shared" si="15"/>
        <v>0.20345490930343435</v>
      </c>
      <c r="AG69" s="176">
        <f t="shared" si="16"/>
        <v>-1</v>
      </c>
      <c r="AH69" s="176">
        <f t="shared" si="17"/>
        <v>5</v>
      </c>
      <c r="AI69" s="224">
        <f t="shared" si="22"/>
        <v>-0.79654509069656565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20"/>
        <v>43886</v>
      </c>
      <c r="B70" s="607">
        <v>14.667999999999999</v>
      </c>
      <c r="C70" s="388"/>
      <c r="D70" s="391">
        <f t="shared" si="0"/>
        <v>14.783993081449317</v>
      </c>
      <c r="E70" s="383">
        <f t="shared" si="1"/>
        <v>15.163747637407392</v>
      </c>
      <c r="F70" s="383">
        <f t="shared" si="2"/>
        <v>15.164738994888854</v>
      </c>
      <c r="G70" s="110">
        <f t="shared" si="23"/>
        <v>0.34197509427551132</v>
      </c>
      <c r="H70" s="412" t="b">
        <f>Wh_hp&gt;='2019'!Maxi_hp</f>
        <v>1</v>
      </c>
      <c r="I70" s="388">
        <f>IF(H70,Wh_hp,'2019'!Maxi_hp)</f>
        <v>15.164738994888854</v>
      </c>
      <c r="J70" s="85">
        <f>IF(H70,An,'2019'!An_max)</f>
        <v>2020</v>
      </c>
      <c r="K70" s="197">
        <f t="shared" si="3"/>
        <v>43886</v>
      </c>
      <c r="L70" s="147">
        <f>IF(t&lt;Tvie,1-EXP((T0-t)*PertePVj)+'2019'!Pspv,1-EXP((T0-t)*PertePVj)+Pspv)</f>
        <v>7.8458560424290447E-3</v>
      </c>
      <c r="M70" s="832"/>
      <c r="N70" s="832"/>
      <c r="O70" s="48">
        <f>IF(t&lt;Tnet,'2019'!Resal+('2019'!Salim-'2019'!Resal)*(1-EXP(('2019'!Tnet-t)/('2019'!Tau_j))),Resal+(Salim-Resal)*(1-EXP((Tnet-t)/(Tau_j))))*Salcycl</f>
        <v>2.5043581905917451E-2</v>
      </c>
      <c r="P70" s="169">
        <f>(INDEX(Models!$BJ70:$BT70,,T70)*(1-R70)+INDEX(Models!$BJ70:$BT70,,T70+1)*R70-ERP_i)*Q70*Ramure*Pc/MaxiM</f>
        <v>1.0812305154057078E-3</v>
      </c>
      <c r="Q70" s="304">
        <f t="shared" si="4"/>
        <v>0.7</v>
      </c>
      <c r="R70" s="177">
        <f t="shared" si="5"/>
        <v>0.13933277487731099</v>
      </c>
      <c r="S70" s="799">
        <f t="shared" si="6"/>
        <v>-1</v>
      </c>
      <c r="T70" s="176">
        <f t="shared" si="7"/>
        <v>5</v>
      </c>
      <c r="U70" s="250">
        <f t="shared" si="21"/>
        <v>-0.86066722512268901</v>
      </c>
      <c r="V70" s="382">
        <f t="shared" si="8"/>
        <v>42.848437404722894</v>
      </c>
      <c r="W70" s="58"/>
      <c r="X70" s="157">
        <f t="shared" si="9"/>
        <v>43886</v>
      </c>
      <c r="Y70" s="383">
        <f t="shared" si="10"/>
        <v>14.6677070462349</v>
      </c>
      <c r="Z70" s="383">
        <f t="shared" si="11"/>
        <v>14.783697811035054</v>
      </c>
      <c r="AA70" s="384">
        <f t="shared" si="12"/>
        <v>15.163444782419432</v>
      </c>
      <c r="AB70" s="197">
        <f t="shared" si="13"/>
        <v>43886</v>
      </c>
      <c r="AC70" s="424">
        <f>IF(OR(t&lt;Tnet,NoTnet),'2019'!Resal_s+('2019'!Salim-'2019'!Resal_s)*(1-EXP(('2019'!Tnet_s-t)/'2019'!Tau_j)),Resal_s+(Salim-Resal_s)*(1-EXP((Tnet_s-t)/Tau_j)))*Salcycl</f>
        <v>2.5043581905917451E-2</v>
      </c>
      <c r="AD70" s="230">
        <f>(INDEX(Models!$BJ70:$BT70,,AH70)*(1-AF70)+INDEX(Models!$BJ70:$BT70,,AH70+1)*AF70-ERP_i)*AE70*Ramure*Pc/MaxiM</f>
        <v>1.4115412870959192E-3</v>
      </c>
      <c r="AE70" s="304">
        <f t="shared" si="14"/>
        <v>0.7</v>
      </c>
      <c r="AF70" s="177">
        <f t="shared" si="15"/>
        <v>0.20366499713714314</v>
      </c>
      <c r="AG70" s="176">
        <f t="shared" si="16"/>
        <v>-1</v>
      </c>
      <c r="AH70" s="176">
        <f t="shared" si="17"/>
        <v>5</v>
      </c>
      <c r="AI70" s="224">
        <f t="shared" si="22"/>
        <v>-0.79633500286285686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43887</v>
      </c>
      <c r="B71" s="607">
        <v>15.811999999999999</v>
      </c>
      <c r="C71" s="388"/>
      <c r="D71" s="391">
        <f t="shared" si="0"/>
        <v>15.937345154964735</v>
      </c>
      <c r="E71" s="383">
        <f t="shared" si="1"/>
        <v>16.34757292461574</v>
      </c>
      <c r="F71" s="383">
        <f t="shared" si="2"/>
        <v>16.349080533431195</v>
      </c>
      <c r="G71" s="110">
        <f t="shared" si="23"/>
        <v>0.36581077867649636</v>
      </c>
      <c r="H71" s="412" t="b">
        <f>Wh_hp&gt;='2019'!Maxi_hp</f>
        <v>1</v>
      </c>
      <c r="I71" s="388">
        <f>IF(H71,Wh_hp,'2019'!Maxi_hp)</f>
        <v>16.349080533431195</v>
      </c>
      <c r="J71" s="85">
        <f>IF(H71,An,'2019'!An_max)</f>
        <v>2020</v>
      </c>
      <c r="K71" s="197">
        <f t="shared" si="3"/>
        <v>43887</v>
      </c>
      <c r="L71" s="147">
        <f>IF(t&lt;Tvie,1-EXP((T0-t)*PertePVj)+'2019'!Pspv,1-EXP((T0-t)*PertePVj)+Pspv)</f>
        <v>7.8648704502511935E-3</v>
      </c>
      <c r="M71" s="832"/>
      <c r="N71" s="832"/>
      <c r="O71" s="48">
        <f>IF(t&lt;Tnet,'2019'!Resal+('2019'!Salim-'2019'!Resal)*(1-EXP(('2019'!Tnet-t)/('2019'!Tau_j))),Resal+(Salim-Resal)*(1-EXP((Tnet-t)/(Tau_j))))*Salcycl</f>
        <v>2.5094108559277104E-2</v>
      </c>
      <c r="P71" s="169">
        <f>(INDEX(Models!$BJ71:$BT71,,T71)*(1-R71)+INDEX(Models!$BJ71:$BT71,,T71+1)*R71-ERP_i)*Q71*Ramure*Pc/MaxiM</f>
        <v>9.7603617808835299E-4</v>
      </c>
      <c r="Q71" s="304">
        <f t="shared" si="4"/>
        <v>0.7</v>
      </c>
      <c r="R71" s="177">
        <f t="shared" si="5"/>
        <v>0.13955143908176326</v>
      </c>
      <c r="S71" s="799">
        <f t="shared" si="6"/>
        <v>-1</v>
      </c>
      <c r="T71" s="176">
        <f t="shared" si="7"/>
        <v>5</v>
      </c>
      <c r="U71" s="250">
        <f t="shared" si="21"/>
        <v>-0.86044856091823674</v>
      </c>
      <c r="V71" s="382">
        <f t="shared" si="8"/>
        <v>43.18632645803762</v>
      </c>
      <c r="W71" s="58"/>
      <c r="X71" s="157">
        <f t="shared" si="9"/>
        <v>43887</v>
      </c>
      <c r="Y71" s="383">
        <f t="shared" si="10"/>
        <v>15.811552029775839</v>
      </c>
      <c r="Z71" s="383">
        <f t="shared" si="11"/>
        <v>15.936893633583406</v>
      </c>
      <c r="AA71" s="384">
        <f t="shared" si="12"/>
        <v>16.347109781059739</v>
      </c>
      <c r="AB71" s="197">
        <f t="shared" si="13"/>
        <v>43887</v>
      </c>
      <c r="AC71" s="424">
        <f>IF(OR(t&lt;Tnet,NoTnet),'2019'!Resal_s+('2019'!Salim-'2019'!Resal_s)*(1-EXP(('2019'!Tnet_s-t)/'2019'!Tau_j)),Resal_s+(Salim-Resal_s)*(1-EXP((Tnet_s-t)/Tau_j)))*Salcycl</f>
        <v>2.5094108559277104E-2</v>
      </c>
      <c r="AD71" s="230">
        <f>(INDEX(Models!$BJ71:$BT71,,AH71)*(1-AF71)+INDEX(Models!$BJ71:$BT71,,AH71+1)*AF71-ERP_i)*AE71*Ramure*Pc/MaxiM</f>
        <v>1.2758784592369302E-3</v>
      </c>
      <c r="AE71" s="304">
        <f t="shared" si="14"/>
        <v>0.7</v>
      </c>
      <c r="AF71" s="177">
        <f t="shared" si="15"/>
        <v>0.20388366134159541</v>
      </c>
      <c r="AG71" s="176">
        <f t="shared" si="16"/>
        <v>-1</v>
      </c>
      <c r="AH71" s="176">
        <f t="shared" si="17"/>
        <v>5</v>
      </c>
      <c r="AI71" s="224">
        <f t="shared" si="22"/>
        <v>-0.79611633865840459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20"/>
        <v>43888</v>
      </c>
      <c r="B72" s="607">
        <v>6.5679999999999996</v>
      </c>
      <c r="C72" s="388"/>
      <c r="D72" s="391">
        <f t="shared" si="0"/>
        <v>6.6201928356420003</v>
      </c>
      <c r="E72" s="383">
        <f t="shared" si="1"/>
        <v>6.7909484050468132</v>
      </c>
      <c r="F72" s="383">
        <f t="shared" si="2"/>
        <v>6.7909484050468132</v>
      </c>
      <c r="G72" s="110">
        <f t="shared" si="23"/>
        <v>0.15077469811348532</v>
      </c>
      <c r="H72" s="412" t="b">
        <f>Wh_hp&gt;='2019'!Maxi_hp</f>
        <v>1</v>
      </c>
      <c r="I72" s="388">
        <f>IF(H72,Wh_hp,'2019'!Maxi_hp)</f>
        <v>6.7909484050468132</v>
      </c>
      <c r="J72" s="85">
        <f>IF(H72,An,'2019'!An_max)</f>
        <v>2020</v>
      </c>
      <c r="K72" s="197">
        <f t="shared" si="3"/>
        <v>43888</v>
      </c>
      <c r="L72" s="147">
        <f>IF(t&lt;Tvie,1-EXP((T0-t)*PertePVj)+'2019'!Pspv,1-EXP((T0-t)*PertePVj)+Pspv)</f>
        <v>7.8838844936666153E-3</v>
      </c>
      <c r="M72" s="832"/>
      <c r="N72" s="832"/>
      <c r="O72" s="48">
        <f>IF(t&lt;Tnet,'2019'!Resal+('2019'!Salim-'2019'!Resal)*(1-EXP(('2019'!Tnet-t)/('2019'!Tau_j))),Resal+(Salim-Resal)*(1-EXP((Tnet-t)/(Tau_j))))*Salcycl</f>
        <v>2.5144583527966943E-2</v>
      </c>
      <c r="P72" s="169">
        <f>(INDEX(Models!$BJ72:$BT72,,T72)*(1-R72)+INDEX(Models!$BJ72:$BT72,,T72+1)*R72-ERP_i)*Q72*Ramure*Pc/MaxiM</f>
        <v>8.8281667334549592E-4</v>
      </c>
      <c r="Q72" s="304">
        <f t="shared" si="4"/>
        <v>0.7</v>
      </c>
      <c r="R72" s="177">
        <f t="shared" si="5"/>
        <v>0.13977901955761141</v>
      </c>
      <c r="S72" s="799">
        <f t="shared" si="6"/>
        <v>-1</v>
      </c>
      <c r="T72" s="176">
        <f t="shared" si="7"/>
        <v>5</v>
      </c>
      <c r="U72" s="250">
        <f t="shared" si="21"/>
        <v>-0.86022098044238859</v>
      </c>
      <c r="V72" s="382">
        <f t="shared" si="8"/>
        <v>43.523228646428592</v>
      </c>
      <c r="W72" s="58"/>
      <c r="X72" s="157">
        <f t="shared" si="9"/>
        <v>43888</v>
      </c>
      <c r="Y72" s="383">
        <f t="shared" si="10"/>
        <v>6.5679999999999996</v>
      </c>
      <c r="Z72" s="383">
        <f t="shared" si="11"/>
        <v>6.6201928356420003</v>
      </c>
      <c r="AA72" s="384">
        <f t="shared" si="12"/>
        <v>6.7909484050468132</v>
      </c>
      <c r="AB72" s="197">
        <f t="shared" si="13"/>
        <v>43888</v>
      </c>
      <c r="AC72" s="424">
        <f>IF(OR(t&lt;Tnet,NoTnet),'2019'!Resal_s+('2019'!Salim-'2019'!Resal_s)*(1-EXP(('2019'!Tnet_s-t)/'2019'!Tau_j)),Resal_s+(Salim-Resal_s)*(1-EXP((Tnet_s-t)/Tau_j)))*Salcycl</f>
        <v>2.5144583527966943E-2</v>
      </c>
      <c r="AD72" s="230">
        <f>(INDEX(Models!$BJ72:$BT72,,AH72)*(1-AF72)+INDEX(Models!$BJ72:$BT72,,AH72+1)*AF72-ERP_i)*AE72*Ramure*Pc/MaxiM</f>
        <v>1.1543160859649527E-3</v>
      </c>
      <c r="AE72" s="304">
        <f t="shared" si="14"/>
        <v>0.7</v>
      </c>
      <c r="AF72" s="177">
        <f t="shared" si="15"/>
        <v>0.20411124181744356</v>
      </c>
      <c r="AG72" s="176">
        <f t="shared" si="16"/>
        <v>-1</v>
      </c>
      <c r="AH72" s="176">
        <f t="shared" si="17"/>
        <v>5</v>
      </c>
      <c r="AI72" s="224">
        <f t="shared" si="22"/>
        <v>-0.79588875818255644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20"/>
        <v>43889</v>
      </c>
      <c r="B73" s="607">
        <v>19.806000000000001</v>
      </c>
      <c r="C73" s="388"/>
      <c r="D73" s="391">
        <f t="shared" si="0"/>
        <v>19.963771654528422</v>
      </c>
      <c r="E73" s="383">
        <f t="shared" si="1"/>
        <v>20.479759361034773</v>
      </c>
      <c r="F73" s="383">
        <f t="shared" si="2"/>
        <v>20.483307343385675</v>
      </c>
      <c r="G73" s="110">
        <f t="shared" si="23"/>
        <v>0.45129832020029231</v>
      </c>
      <c r="H73" s="412" t="b">
        <f>Wh_hp&gt;='2019'!Maxi_hp</f>
        <v>1</v>
      </c>
      <c r="I73" s="388">
        <f>IF(H73,Wh_hp,'2019'!Maxi_hp)</f>
        <v>20.483307343385675</v>
      </c>
      <c r="J73" s="85">
        <f>IF(H73,An,'2019'!An_max)</f>
        <v>2020</v>
      </c>
      <c r="K73" s="197">
        <f t="shared" si="3"/>
        <v>43889</v>
      </c>
      <c r="L73" s="147">
        <f>IF(t&lt;Tvie,1-EXP((T0-t)*PertePVj)+'2019'!Pspv,1-EXP((T0-t)*PertePVj)+Pspv)</f>
        <v>7.9028981726823044E-3</v>
      </c>
      <c r="M73" s="832"/>
      <c r="N73" s="832"/>
      <c r="O73" s="48">
        <f>IF(t&lt;Tnet,'2019'!Resal+('2019'!Salim-'2019'!Resal)*(1-EXP(('2019'!Tnet-t)/('2019'!Tau_j))),Resal+(Salim-Resal)*(1-EXP((Tnet-t)/(Tau_j))))*Salcycl</f>
        <v>2.5195008271829605E-2</v>
      </c>
      <c r="P73" s="169">
        <f>(INDEX(Models!$BJ73:$BT73,,T73)*(1-R73)+INDEX(Models!$BJ73:$BT73,,T73+1)*R73-ERP_i)*Q73*Ramure*Pc/MaxiM</f>
        <v>7.99896117150108E-4</v>
      </c>
      <c r="Q73" s="304">
        <f t="shared" si="4"/>
        <v>0.7</v>
      </c>
      <c r="R73" s="177">
        <f t="shared" si="5"/>
        <v>0.14001586881568151</v>
      </c>
      <c r="S73" s="799">
        <f t="shared" si="6"/>
        <v>-1</v>
      </c>
      <c r="T73" s="176">
        <f t="shared" si="7"/>
        <v>5</v>
      </c>
      <c r="U73" s="250">
        <f t="shared" si="21"/>
        <v>-0.85998413118431849</v>
      </c>
      <c r="V73" s="382">
        <f t="shared" si="8"/>
        <v>43.859205507531186</v>
      </c>
      <c r="W73" s="58"/>
      <c r="X73" s="157">
        <f t="shared" si="9"/>
        <v>43889</v>
      </c>
      <c r="Y73" s="383">
        <f t="shared" si="10"/>
        <v>19.804946314701354</v>
      </c>
      <c r="Z73" s="383">
        <f t="shared" si="11"/>
        <v>19.962709575729171</v>
      </c>
      <c r="AA73" s="384">
        <f t="shared" si="12"/>
        <v>20.478669831530652</v>
      </c>
      <c r="AB73" s="197">
        <f t="shared" si="13"/>
        <v>43889</v>
      </c>
      <c r="AC73" s="424">
        <f>IF(OR(t&lt;Tnet,NoTnet),'2019'!Resal_s+('2019'!Salim-'2019'!Resal_s)*(1-EXP(('2019'!Tnet_s-t)/'2019'!Tau_j)),Resal_s+(Salim-Resal_s)*(1-EXP((Tnet_s-t)/Tau_j)))*Salcycl</f>
        <v>2.5195008271829605E-2</v>
      </c>
      <c r="AD73" s="230">
        <f>(INDEX(Models!$BJ73:$BT73,,AH73)*(1-AF73)+INDEX(Models!$BJ73:$BT73,,AH73+1)*AF73-ERP_i)*AE73*Ramure*Pc/MaxiM</f>
        <v>1.0455316174634028E-3</v>
      </c>
      <c r="AE73" s="304">
        <f t="shared" si="14"/>
        <v>0.7</v>
      </c>
      <c r="AF73" s="177">
        <f t="shared" si="15"/>
        <v>0.20434809107551366</v>
      </c>
      <c r="AG73" s="176">
        <f t="shared" si="16"/>
        <v>-1</v>
      </c>
      <c r="AH73" s="176">
        <f t="shared" si="17"/>
        <v>5</v>
      </c>
      <c r="AI73" s="224">
        <f t="shared" si="22"/>
        <v>-0.79565190892448634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20"/>
        <v>43890</v>
      </c>
      <c r="B74" s="607">
        <v>19.306000000000001</v>
      </c>
      <c r="C74" s="388"/>
      <c r="D74" s="391">
        <f t="shared" si="0"/>
        <v>19.460161678344491</v>
      </c>
      <c r="E74" s="383">
        <f t="shared" si="1"/>
        <v>19.964164697319617</v>
      </c>
      <c r="F74" s="383">
        <f t="shared" si="2"/>
        <v>19.96700265997525</v>
      </c>
      <c r="G74" s="110">
        <f t="shared" si="23"/>
        <v>0.43658854004030556</v>
      </c>
      <c r="H74" s="412" t="b">
        <f>Wh_hp&gt;='2019'!Maxi_hp</f>
        <v>1</v>
      </c>
      <c r="I74" s="388">
        <f>IF(H74,Wh_hp,'2019'!Maxi_hp)</f>
        <v>19.96700265997525</v>
      </c>
      <c r="J74" s="85">
        <f>IF(H74,An,'2019'!An_max)</f>
        <v>2020</v>
      </c>
      <c r="K74" s="197">
        <f t="shared" si="3"/>
        <v>43890</v>
      </c>
      <c r="L74" s="147">
        <f>IF(t&lt;Tvie,1-EXP((T0-t)*PertePVj)+'2019'!Pspv,1-EXP((T0-t)*PertePVj)+Pspv)</f>
        <v>7.9219114873050334E-3</v>
      </c>
      <c r="M74" s="832"/>
      <c r="N74" s="832"/>
      <c r="O74" s="48">
        <f>IF(t&lt;Tnet,'2019'!Resal+('2019'!Salim-'2019'!Resal)*(1-EXP(('2019'!Tnet-t)/('2019'!Tau_j))),Resal+(Salim-Resal)*(1-EXP((Tnet-t)/(Tau_j))))*Salcycl</f>
        <v>2.5245384748944305E-2</v>
      </c>
      <c r="P74" s="169">
        <f>(INDEX(Models!$BJ74:$BT74,,T74)*(1-R74)+INDEX(Models!$BJ74:$BT74,,T74+1)*R74-ERP_i)*Q74*Ramure*Pc/MaxiM</f>
        <v>7.2705251030997467E-4</v>
      </c>
      <c r="Q74" s="304">
        <f t="shared" si="4"/>
        <v>0.7</v>
      </c>
      <c r="R74" s="177">
        <f t="shared" si="5"/>
        <v>0.14026235237172857</v>
      </c>
      <c r="S74" s="799">
        <f t="shared" si="6"/>
        <v>-1</v>
      </c>
      <c r="T74" s="176">
        <f t="shared" si="7"/>
        <v>5</v>
      </c>
      <c r="U74" s="250">
        <f t="shared" si="21"/>
        <v>-0.85973764762827143</v>
      </c>
      <c r="V74" s="382">
        <f t="shared" si="8"/>
        <v>44.194256518520476</v>
      </c>
      <c r="W74" s="58"/>
      <c r="X74" s="157">
        <f t="shared" si="9"/>
        <v>43890</v>
      </c>
      <c r="Y74" s="383">
        <f t="shared" si="10"/>
        <v>19.305161286383203</v>
      </c>
      <c r="Z74" s="383">
        <f t="shared" si="11"/>
        <v>19.459316267457478</v>
      </c>
      <c r="AA74" s="384">
        <f t="shared" si="12"/>
        <v>19.963297390949595</v>
      </c>
      <c r="AB74" s="197">
        <f t="shared" si="13"/>
        <v>43890</v>
      </c>
      <c r="AC74" s="424">
        <f>IF(OR(t&lt;Tnet,NoTnet),'2019'!Resal_s+('2019'!Salim-'2019'!Resal_s)*(1-EXP(('2019'!Tnet_s-t)/'2019'!Tau_j)),Resal_s+(Salim-Resal_s)*(1-EXP((Tnet_s-t)/Tau_j)))*Salcycl</f>
        <v>2.5245384748944305E-2</v>
      </c>
      <c r="AD74" s="230">
        <f>(INDEX(Models!$BJ74:$BT74,,AH74)*(1-AF74)+INDEX(Models!$BJ74:$BT74,,AH74+1)*AF74-ERP_i)*AE74*Ramure*Pc/MaxiM</f>
        <v>9.4924615767226419E-4</v>
      </c>
      <c r="AE74" s="304">
        <f t="shared" si="14"/>
        <v>0.7</v>
      </c>
      <c r="AF74" s="177">
        <f t="shared" si="15"/>
        <v>0.20459457463156072</v>
      </c>
      <c r="AG74" s="176">
        <f t="shared" si="16"/>
        <v>-1</v>
      </c>
      <c r="AH74" s="176">
        <f t="shared" si="17"/>
        <v>5</v>
      </c>
      <c r="AI74" s="224">
        <f t="shared" si="22"/>
        <v>-0.79540542536843928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20"/>
        <v>43891</v>
      </c>
      <c r="B75" s="607">
        <v>32.094000000000001</v>
      </c>
      <c r="C75" s="388"/>
      <c r="D75" s="391">
        <f t="shared" si="0"/>
        <v>32.350896020787857</v>
      </c>
      <c r="E75" s="383">
        <f t="shared" si="1"/>
        <v>33.190472775044825</v>
      </c>
      <c r="F75" s="383">
        <f t="shared" si="2"/>
        <v>33.203726330911472</v>
      </c>
      <c r="G75" s="110">
        <f t="shared" si="23"/>
        <v>0.72056278912830019</v>
      </c>
      <c r="H75" s="412" t="b">
        <f>Wh_hp&gt;='2019'!Maxi_hp</f>
        <v>1</v>
      </c>
      <c r="I75" s="388">
        <f>IF(H75,Wh_hp,'2019'!Maxi_hp)</f>
        <v>33.203726330911472</v>
      </c>
      <c r="J75" s="85">
        <f>IF(H75,An,'2019'!An_max)</f>
        <v>2020</v>
      </c>
      <c r="K75" s="197">
        <f t="shared" si="3"/>
        <v>43891</v>
      </c>
      <c r="L75" s="147">
        <f>IF(t&lt;Tvie,1-EXP((T0-t)*PertePVj)+'2019'!Pspv,1-EXP((T0-t)*PertePVj)+Pspv)</f>
        <v>7.9409244375420185E-3</v>
      </c>
      <c r="M75" s="832"/>
      <c r="N75" s="832"/>
      <c r="O75" s="48">
        <f>IF(t&lt;Tnet,'2019'!Resal+('2019'!Salim-'2019'!Resal)*(1-EXP(('2019'!Tnet-t)/('2019'!Tau_j))),Resal+(Salim-Resal)*(1-EXP((Tnet-t)/(Tau_j))))*Salcycl</f>
        <v>2.5295715428561981E-2</v>
      </c>
      <c r="P75" s="169">
        <f>(INDEX(Models!$BJ75:$BT75,,T75)*(1-R75)+INDEX(Models!$BJ75:$BT75,,T75+1)*R75-ERP_i)*Q75*Ramure*Pc/MaxiM</f>
        <v>6.6407262424092732E-4</v>
      </c>
      <c r="Q75" s="304">
        <f t="shared" si="4"/>
        <v>0.7</v>
      </c>
      <c r="R75" s="177">
        <f t="shared" si="5"/>
        <v>0.14051884914713775</v>
      </c>
      <c r="S75" s="799">
        <f t="shared" si="6"/>
        <v>-1</v>
      </c>
      <c r="T75" s="176">
        <f t="shared" si="7"/>
        <v>5</v>
      </c>
      <c r="U75" s="250">
        <f t="shared" si="21"/>
        <v>-0.85948115085286225</v>
      </c>
      <c r="V75" s="382">
        <f t="shared" si="8"/>
        <v>44.528381067125423</v>
      </c>
      <c r="W75" s="58"/>
      <c r="X75" s="157">
        <f t="shared" si="9"/>
        <v>43891</v>
      </c>
      <c r="Y75" s="383">
        <f t="shared" si="10"/>
        <v>32.090118674856384</v>
      </c>
      <c r="Z75" s="383">
        <f t="shared" si="11"/>
        <v>32.346983627625768</v>
      </c>
      <c r="AA75" s="384">
        <f t="shared" si="12"/>
        <v>33.186458846693412</v>
      </c>
      <c r="AB75" s="197">
        <f t="shared" si="13"/>
        <v>43891</v>
      </c>
      <c r="AC75" s="424">
        <f>IF(OR(t&lt;Tnet,NoTnet),'2019'!Resal_s+('2019'!Salim-'2019'!Resal_s)*(1-EXP(('2019'!Tnet_s-t)/'2019'!Tau_j)),Resal_s+(Salim-Resal_s)*(1-EXP((Tnet_s-t)/Tau_j)))*Salcycl</f>
        <v>2.5295715428561981E-2</v>
      </c>
      <c r="AD75" s="230">
        <f>(INDEX(Models!$BJ75:$BT75,,AH75)*(1-AF75)+INDEX(Models!$BJ75:$BT75,,AH75+1)*AF75-ERP_i)*AE75*Ramure*Pc/MaxiM</f>
        <v>8.6519147571449348E-4</v>
      </c>
      <c r="AE75" s="304">
        <f t="shared" si="14"/>
        <v>0.7</v>
      </c>
      <c r="AF75" s="177">
        <f t="shared" si="15"/>
        <v>0.2048510714069699</v>
      </c>
      <c r="AG75" s="176">
        <f t="shared" si="16"/>
        <v>-1</v>
      </c>
      <c r="AH75" s="176">
        <f t="shared" si="17"/>
        <v>5</v>
      </c>
      <c r="AI75" s="224">
        <f t="shared" si="22"/>
        <v>-0.7951489285930301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20"/>
        <v>43892</v>
      </c>
      <c r="B76" s="607">
        <v>22.318000000000001</v>
      </c>
      <c r="C76" s="388"/>
      <c r="D76" s="391">
        <f t="shared" si="0"/>
        <v>22.497075302619542</v>
      </c>
      <c r="E76" s="383">
        <f t="shared" si="1"/>
        <v>23.082114656898806</v>
      </c>
      <c r="F76" s="383">
        <f t="shared" si="2"/>
        <v>23.086092549513975</v>
      </c>
      <c r="G76" s="110">
        <f t="shared" si="23"/>
        <v>0.49726768147346051</v>
      </c>
      <c r="H76" s="412" t="b">
        <f>Wh_hp&gt;='2019'!Maxi_hp</f>
        <v>1</v>
      </c>
      <c r="I76" s="388">
        <f>IF(H76,Wh_hp,'2019'!Maxi_hp)</f>
        <v>23.086092549513975</v>
      </c>
      <c r="J76" s="85">
        <f>IF(H76,An,'2019'!An_max)</f>
        <v>2020</v>
      </c>
      <c r="K76" s="197">
        <f t="shared" si="3"/>
        <v>43892</v>
      </c>
      <c r="L76" s="147">
        <f>IF(t&lt;Tvie,1-EXP((T0-t)*PertePVj)+'2019'!Pspv,1-EXP((T0-t)*PertePVj)+Pspv)</f>
        <v>7.9599370234001432E-3</v>
      </c>
      <c r="M76" s="832"/>
      <c r="N76" s="832"/>
      <c r="O76" s="48">
        <f>IF(t&lt;Tnet,'2019'!Resal+('2019'!Salim-'2019'!Resal)*(1-EXP(('2019'!Tnet-t)/('2019'!Tau_j))),Resal+(Salim-Resal)*(1-EXP((Tnet-t)/(Tau_j))))*Salcycl</f>
        <v>2.5346003300629399E-2</v>
      </c>
      <c r="P76" s="169">
        <f>(INDEX(Models!$BJ76:$BT76,,T76)*(1-R76)+INDEX(Models!$BJ76:$BT76,,T76+1)*R76-ERP_i)*Q76*Ramure*Pc/MaxiM</f>
        <v>6.1075172589057723E-4</v>
      </c>
      <c r="Q76" s="304">
        <f t="shared" si="4"/>
        <v>0.7</v>
      </c>
      <c r="R76" s="177">
        <f t="shared" si="5"/>
        <v>0.14078575187502407</v>
      </c>
      <c r="S76" s="799">
        <f t="shared" si="6"/>
        <v>-1</v>
      </c>
      <c r="T76" s="176">
        <f t="shared" si="7"/>
        <v>5</v>
      </c>
      <c r="U76" s="250">
        <f t="shared" si="21"/>
        <v>-0.85921424812497593</v>
      </c>
      <c r="V76" s="382">
        <f t="shared" si="8"/>
        <v>44.861578447071132</v>
      </c>
      <c r="W76" s="58"/>
      <c r="X76" s="157">
        <f t="shared" si="9"/>
        <v>43892</v>
      </c>
      <c r="Y76" s="383">
        <f t="shared" si="10"/>
        <v>22.316851601380183</v>
      </c>
      <c r="Z76" s="383">
        <f t="shared" si="11"/>
        <v>22.495917689471973</v>
      </c>
      <c r="AA76" s="384">
        <f t="shared" si="12"/>
        <v>23.080926939871542</v>
      </c>
      <c r="AB76" s="197">
        <f t="shared" si="13"/>
        <v>43892</v>
      </c>
      <c r="AC76" s="424">
        <f>IF(OR(t&lt;Tnet,NoTnet),'2019'!Resal_s+('2019'!Salim-'2019'!Resal_s)*(1-EXP(('2019'!Tnet_s-t)/'2019'!Tau_j)),Resal_s+(Salim-Resal_s)*(1-EXP((Tnet_s-t)/Tau_j)))*Salcycl</f>
        <v>2.5346003300629399E-2</v>
      </c>
      <c r="AD76" s="230">
        <f>(INDEX(Models!$BJ76:$BT76,,AH76)*(1-AF76)+INDEX(Models!$BJ76:$BT76,,AH76+1)*AF76-ERP_i)*AE76*Ramure*Pc/MaxiM</f>
        <v>7.9310964613831198E-4</v>
      </c>
      <c r="AE76" s="304">
        <f t="shared" si="14"/>
        <v>0.7</v>
      </c>
      <c r="AF76" s="177">
        <f t="shared" si="15"/>
        <v>0.20511797413485622</v>
      </c>
      <c r="AG76" s="176">
        <f t="shared" si="16"/>
        <v>-1</v>
      </c>
      <c r="AH76" s="176">
        <f t="shared" si="17"/>
        <v>5</v>
      </c>
      <c r="AI76" s="224">
        <f t="shared" si="22"/>
        <v>-0.79488202586514378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43893</v>
      </c>
      <c r="B77" s="607">
        <v>5.1680000000000001</v>
      </c>
      <c r="C77" s="388"/>
      <c r="D77" s="391">
        <f t="shared" si="0"/>
        <v>5.2095668696407049</v>
      </c>
      <c r="E77" s="383">
        <f t="shared" si="1"/>
        <v>5.3453179096632182</v>
      </c>
      <c r="F77" s="383">
        <f t="shared" si="2"/>
        <v>5.3453179096632182</v>
      </c>
      <c r="G77" s="110">
        <f t="shared" si="23"/>
        <v>0.11428702225379846</v>
      </c>
      <c r="H77" s="412" t="b">
        <f>Wh_hp&gt;='2019'!Maxi_hp</f>
        <v>1</v>
      </c>
      <c r="I77" s="388">
        <f>IF(H77,Wh_hp,'2019'!Maxi_hp)</f>
        <v>5.3453179096632182</v>
      </c>
      <c r="J77" s="85">
        <f>IF(H77,An,'2019'!An_max)</f>
        <v>2020</v>
      </c>
      <c r="K77" s="197">
        <f t="shared" si="3"/>
        <v>43893</v>
      </c>
      <c r="L77" s="147">
        <f>IF(t&lt;Tvie,1-EXP((T0-t)*PertePVj)+'2019'!Pspv,1-EXP((T0-t)*PertePVj)+Pspv)</f>
        <v>7.9789492448864019E-3</v>
      </c>
      <c r="M77" s="832"/>
      <c r="N77" s="832"/>
      <c r="O77" s="48">
        <f>IF(t&lt;Tnet,'2019'!Resal+('2019'!Salim-'2019'!Resal)*(1-EXP(('2019'!Tnet-t)/('2019'!Tau_j))),Resal+(Salim-Resal)*(1-EXP((Tnet-t)/(Tau_j))))*Salcycl</f>
        <v>2.5396251881876709E-2</v>
      </c>
      <c r="P77" s="169">
        <f>(INDEX(Models!$BJ77:$BT77,,T77)*(1-R77)+INDEX(Models!$BJ77:$BT77,,T77+1)*R77-ERP_i)*Q77*Ramure*Pc/MaxiM</f>
        <v>5.6689333407482331E-4</v>
      </c>
      <c r="Q77" s="304">
        <f t="shared" si="4"/>
        <v>0.7</v>
      </c>
      <c r="R77" s="177">
        <f t="shared" si="5"/>
        <v>0.14106346751110266</v>
      </c>
      <c r="S77" s="799">
        <f t="shared" si="6"/>
        <v>-1</v>
      </c>
      <c r="T77" s="176">
        <f t="shared" si="7"/>
        <v>5</v>
      </c>
      <c r="U77" s="250">
        <f t="shared" si="21"/>
        <v>-0.85893653248889734</v>
      </c>
      <c r="V77" s="382">
        <f t="shared" si="8"/>
        <v>45.19384785246546</v>
      </c>
      <c r="W77" s="58"/>
      <c r="X77" s="157">
        <f t="shared" si="9"/>
        <v>43893</v>
      </c>
      <c r="Y77" s="383">
        <f t="shared" si="10"/>
        <v>5.1680000000000001</v>
      </c>
      <c r="Z77" s="383">
        <f t="shared" si="11"/>
        <v>5.2095668696407049</v>
      </c>
      <c r="AA77" s="384">
        <f t="shared" si="12"/>
        <v>5.3453179096632182</v>
      </c>
      <c r="AB77" s="197">
        <f t="shared" si="13"/>
        <v>43893</v>
      </c>
      <c r="AC77" s="424">
        <f>IF(OR(t&lt;Tnet,NoTnet),'2019'!Resal_s+('2019'!Salim-'2019'!Resal_s)*(1-EXP(('2019'!Tnet_s-t)/'2019'!Tau_j)),Resal_s+(Salim-Resal_s)*(1-EXP((Tnet_s-t)/Tau_j)))*Salcycl</f>
        <v>2.5396251881876709E-2</v>
      </c>
      <c r="AD77" s="230">
        <f>(INDEX(Models!$BJ77:$BT77,,AH77)*(1-AF77)+INDEX(Models!$BJ77:$BT77,,AH77+1)*AF77-ERP_i)*AE77*Ramure*Pc/MaxiM</f>
        <v>7.3275272734324556E-4</v>
      </c>
      <c r="AE77" s="304">
        <f t="shared" si="14"/>
        <v>0.7</v>
      </c>
      <c r="AF77" s="177">
        <f t="shared" si="15"/>
        <v>0.20539568977093481</v>
      </c>
      <c r="AG77" s="176">
        <f t="shared" si="16"/>
        <v>-1</v>
      </c>
      <c r="AH77" s="176">
        <f t="shared" si="17"/>
        <v>5</v>
      </c>
      <c r="AI77" s="224">
        <f t="shared" si="22"/>
        <v>-0.79460431022906519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20"/>
        <v>43894</v>
      </c>
      <c r="B78" s="607">
        <v>7.2350000000000003</v>
      </c>
      <c r="C78" s="388"/>
      <c r="D78" s="391">
        <f t="shared" si="0"/>
        <v>7.2933317839117633</v>
      </c>
      <c r="E78" s="383">
        <f t="shared" si="1"/>
        <v>7.4837672058177827</v>
      </c>
      <c r="F78" s="383">
        <f t="shared" si="2"/>
        <v>7.4837672058177827</v>
      </c>
      <c r="G78" s="110">
        <f t="shared" si="23"/>
        <v>0.15883841457692618</v>
      </c>
      <c r="H78" s="412" t="b">
        <f>Wh_hp&gt;='2019'!Maxi_hp</f>
        <v>1</v>
      </c>
      <c r="I78" s="388">
        <f>IF(H78,Wh_hp,'2019'!Maxi_hp)</f>
        <v>7.4837672058177827</v>
      </c>
      <c r="J78" s="85">
        <f>IF(H78,An,'2019'!An_max)</f>
        <v>2020</v>
      </c>
      <c r="K78" s="197">
        <f t="shared" si="3"/>
        <v>43894</v>
      </c>
      <c r="L78" s="147">
        <f>IF(t&lt;Tvie,1-EXP((T0-t)*PertePVj)+'2019'!Pspv,1-EXP((T0-t)*PertePVj)+Pspv)</f>
        <v>7.997961102007678E-3</v>
      </c>
      <c r="M78" s="832"/>
      <c r="N78" s="832"/>
      <c r="O78" s="48">
        <f>IF(t&lt;Tnet,'2019'!Resal+('2019'!Salim-'2019'!Resal)*(1-EXP(('2019'!Tnet-t)/('2019'!Tau_j))),Resal+(Salim-Resal)*(1-EXP((Tnet-t)/(Tau_j))))*Salcycl</f>
        <v>2.5446465218476801E-2</v>
      </c>
      <c r="P78" s="169">
        <f>(INDEX(Models!$BJ78:$BT78,,T78)*(1-R78)+INDEX(Models!$BJ78:$BT78,,T78+1)*R78-ERP_i)*Q78*Ramure*Pc/MaxiM</f>
        <v>5.3230900618691309E-4</v>
      </c>
      <c r="Q78" s="304">
        <f t="shared" si="4"/>
        <v>0.7</v>
      </c>
      <c r="R78" s="177">
        <f t="shared" si="5"/>
        <v>0.14135241764861928</v>
      </c>
      <c r="S78" s="799">
        <f t="shared" si="6"/>
        <v>-1</v>
      </c>
      <c r="T78" s="176">
        <f t="shared" si="7"/>
        <v>5</v>
      </c>
      <c r="U78" s="250">
        <f t="shared" si="21"/>
        <v>-0.85864758235138072</v>
      </c>
      <c r="V78" s="382">
        <f t="shared" si="8"/>
        <v>45.525188372099734</v>
      </c>
      <c r="W78" s="58"/>
      <c r="X78" s="157">
        <f t="shared" si="9"/>
        <v>43894</v>
      </c>
      <c r="Y78" s="383">
        <f t="shared" si="10"/>
        <v>7.2350000000000003</v>
      </c>
      <c r="Z78" s="383">
        <f t="shared" si="11"/>
        <v>7.2933317839117633</v>
      </c>
      <c r="AA78" s="384">
        <f t="shared" si="12"/>
        <v>7.4837672058177827</v>
      </c>
      <c r="AB78" s="197">
        <f t="shared" si="13"/>
        <v>43894</v>
      </c>
      <c r="AC78" s="424">
        <f>IF(OR(t&lt;Tnet,NoTnet),'2019'!Resal_s+('2019'!Salim-'2019'!Resal_s)*(1-EXP(('2019'!Tnet_s-t)/'2019'!Tau_j)),Resal_s+(Salim-Resal_s)*(1-EXP((Tnet_s-t)/Tau_j)))*Salcycl</f>
        <v>2.5446465218476801E-2</v>
      </c>
      <c r="AD78" s="230">
        <f>(INDEX(Models!$BJ78:$BT78,,AH78)*(1-AF78)+INDEX(Models!$BJ78:$BT78,,AH78+1)*AF78-ERP_i)*AE78*Ramure*Pc/MaxiM</f>
        <v>6.8388247688319615E-4</v>
      </c>
      <c r="AE78" s="304">
        <f t="shared" si="14"/>
        <v>0.7</v>
      </c>
      <c r="AF78" s="177">
        <f t="shared" si="15"/>
        <v>0.20568463990845143</v>
      </c>
      <c r="AG78" s="176">
        <f t="shared" si="16"/>
        <v>-1</v>
      </c>
      <c r="AH78" s="176">
        <f t="shared" si="17"/>
        <v>5</v>
      </c>
      <c r="AI78" s="224">
        <f t="shared" si="22"/>
        <v>-0.79431536009154857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43895</v>
      </c>
      <c r="B79" s="607">
        <v>12.347</v>
      </c>
      <c r="C79" s="388"/>
      <c r="D79" s="391">
        <f t="shared" ref="D79:D142" si="24">Wh/(1-Ppv)</f>
        <v>12.446785538555593</v>
      </c>
      <c r="E79" s="383">
        <f t="shared" si="1"/>
        <v>12.772439942403437</v>
      </c>
      <c r="F79" s="383">
        <f t="shared" ref="F79:F142" si="25">Wh_sa/(1-Pvg*MEDIAN((-Sdif+Wh/Env_an)/Csdif,0,1))</f>
        <v>12.772439942403437</v>
      </c>
      <c r="G79" s="110">
        <f t="shared" si="23"/>
        <v>0.26911514559467875</v>
      </c>
      <c r="H79" s="412" t="b">
        <f>Wh_hp&gt;='2019'!Maxi_hp</f>
        <v>1</v>
      </c>
      <c r="I79" s="388">
        <f>IF(H79,Wh_hp,'2019'!Maxi_hp)</f>
        <v>12.772439942403437</v>
      </c>
      <c r="J79" s="85">
        <f>IF(H79,An,'2019'!An_max)</f>
        <v>2020</v>
      </c>
      <c r="K79" s="197">
        <f t="shared" ref="K79:K142" si="26">t</f>
        <v>43895</v>
      </c>
      <c r="L79" s="147">
        <f>IF(t&lt;Tvie,1-EXP((T0-t)*PertePVj)+'2019'!Pspv,1-EXP((T0-t)*PertePVj)+Pspv)</f>
        <v>8.0169725947711878E-3</v>
      </c>
      <c r="M79" s="832"/>
      <c r="N79" s="832"/>
      <c r="O79" s="48">
        <f>IF(t&lt;Tnet,'2019'!Resal+('2019'!Salim-'2019'!Resal)*(1-EXP(('2019'!Tnet-t)/('2019'!Tau_j))),Resal+(Salim-Resal)*(1-EXP((Tnet-t)/(Tau_j))))*Salcycl</f>
        <v>2.5496647885318909E-2</v>
      </c>
      <c r="P79" s="169">
        <f>(INDEX(Models!$BJ79:$BT79,,T79)*(1-R79)+INDEX(Models!$BJ79:$BT79,,T79+1)*R79-ERP_i)*Q79*Ramure*Pc/MaxiM</f>
        <v>5.0680558224848471E-4</v>
      </c>
      <c r="Q79" s="304">
        <f t="shared" ref="Q79:Q142" si="27">IF(OR(t&lt;Ttai,Notai),Dd+PousD*Croivg,Dens+PousD*(Croivg-Croi_tai))</f>
        <v>0.7</v>
      </c>
      <c r="R79" s="177">
        <f t="shared" ref="R79:R142" si="28">(Hp_vg-S79)/(INDEX(Echel_vg,T79+1)-S79)</f>
        <v>0.14165303893653769</v>
      </c>
      <c r="S79" s="799">
        <f t="shared" ref="S79:S142" si="29">INDEX(Echel_vg,T79)</f>
        <v>-1</v>
      </c>
      <c r="T79" s="176">
        <f t="shared" ref="T79:T142" si="30">MIN(MATCH(Hp_vg,Echel_vg),10)</f>
        <v>5</v>
      </c>
      <c r="U79" s="250">
        <f t="shared" ref="U79:U142" si="31">IF(OR(t&lt;Ttai,Notai),Hdd+PousH*Croivg,Hdtf+PousH*(Croivg-Croi_tai))</f>
        <v>-0.85834696106346231</v>
      </c>
      <c r="V79" s="382">
        <f t="shared" ref="V79:V142" si="32">MaxiM*(1-Ppv)*(1-Pvg)*(1-Psa)</f>
        <v>45.856737064002658</v>
      </c>
      <c r="W79" s="58"/>
      <c r="X79" s="157">
        <f t="shared" ref="X79:X142" si="33">t</f>
        <v>43895</v>
      </c>
      <c r="Y79" s="383">
        <f t="shared" ref="Y79:Y142" si="34">Wh_pvt_s*(1-Ppv)</f>
        <v>12.347</v>
      </c>
      <c r="Z79" s="383">
        <f t="shared" ref="Z79:Z142" si="35">Wh_sa_s*(1-Psa_s)</f>
        <v>12.446785538555593</v>
      </c>
      <c r="AA79" s="384">
        <f t="shared" ref="AA79:AA142" si="36">Wh_hp*(1-Pvg_s*MEDIAN((-Sdif+Wh/Env_an)/Csdif,0,1))</f>
        <v>12.772439942403437</v>
      </c>
      <c r="AB79" s="197">
        <f t="shared" ref="AB79:AB142" si="37">t</f>
        <v>43895</v>
      </c>
      <c r="AC79" s="424">
        <f>IF(OR(t&lt;Tnet,NoTnet),'2019'!Resal_s+('2019'!Salim-'2019'!Resal_s)*(1-EXP(('2019'!Tnet_s-t)/'2019'!Tau_j)),Resal_s+(Salim-Resal_s)*(1-EXP((Tnet_s-t)/Tau_j)))*Salcycl</f>
        <v>2.5496647885318909E-2</v>
      </c>
      <c r="AD79" s="230">
        <f>(INDEX(Models!$BJ79:$BT79,,AH79)*(1-AF79)+INDEX(Models!$BJ79:$BT79,,AH79+1)*AF79-ERP_i)*AE79*Ramure*Pc/MaxiM</f>
        <v>6.4625407114461176E-4</v>
      </c>
      <c r="AE79" s="304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0.20598526119636984</v>
      </c>
      <c r="AG79" s="176">
        <f t="shared" ref="AG79:AG142" si="40">INDEX(Echel_vg,AH79)</f>
        <v>-1</v>
      </c>
      <c r="AH79" s="176">
        <f t="shared" ref="AH79:AH142" si="41">MIN(MATCH(Hp_vg_s,Echel_vg),10)</f>
        <v>5</v>
      </c>
      <c r="AI79" s="224">
        <f t="shared" ref="AI79:AI142" si="42">IF(OR(t&lt;Ttai,Notai),Hdd_s+PousH*Croivg,Hdtai_s+PousH*(Croivg-Croi_tai))</f>
        <v>-0.79401473880363016</v>
      </c>
      <c r="AJ79" s="264" t="b">
        <f t="shared" ref="AJ79:AJ142" si="43">t&lt;Tnet</f>
        <v>0</v>
      </c>
      <c r="AK79" s="264" t="b">
        <f t="shared" ref="AK79:AK142" si="44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5">A79+1</f>
        <v>43896</v>
      </c>
      <c r="B80" s="607">
        <v>19.513999999999999</v>
      </c>
      <c r="C80" s="388"/>
      <c r="D80" s="391">
        <f t="shared" si="24"/>
        <v>19.672084551254979</v>
      </c>
      <c r="E80" s="383">
        <f t="shared" ref="E80:E143" si="46">Wh_pvt/(1-Psa)</f>
        <v>20.187818821704411</v>
      </c>
      <c r="F80" s="383">
        <f t="shared" si="25"/>
        <v>20.18955425967189</v>
      </c>
      <c r="G80" s="110">
        <f t="shared" ref="G80:G143" si="47">+Wh_hp/MaxiM</f>
        <v>0.42230817840683166</v>
      </c>
      <c r="H80" s="412" t="b">
        <f>Wh_hp&gt;='2019'!Maxi_hp</f>
        <v>1</v>
      </c>
      <c r="I80" s="388">
        <f>IF(H80,Wh_hp,'2019'!Maxi_hp)</f>
        <v>20.18955425967189</v>
      </c>
      <c r="J80" s="85">
        <f>IF(H80,An,'2019'!An_max)</f>
        <v>2020</v>
      </c>
      <c r="K80" s="197">
        <f t="shared" si="26"/>
        <v>43896</v>
      </c>
      <c r="L80" s="147">
        <f>IF(t&lt;Tvie,1-EXP((T0-t)*PertePVj)+'2019'!Pspv,1-EXP((T0-t)*PertePVj)+Pspv)</f>
        <v>8.0359837231837039E-3</v>
      </c>
      <c r="M80" s="832"/>
      <c r="N80" s="832"/>
      <c r="O80" s="48">
        <f>IF(t&lt;Tnet,'2019'!Resal+('2019'!Salim-'2019'!Resal)*(1-EXP(('2019'!Tnet-t)/('2019'!Tau_j))),Resal+(Salim-Resal)*(1-EXP((Tnet-t)/(Tau_j))))*Salcycl</f>
        <v>2.554680498197023E-2</v>
      </c>
      <c r="P80" s="169">
        <f>(INDEX(Models!$BJ80:$BT80,,T80)*(1-R80)+INDEX(Models!$BJ80:$BT80,,T80+1)*R80-ERP_i)*Q80*Ramure*Pc/MaxiM</f>
        <v>4.9126661786613908E-4</v>
      </c>
      <c r="Q80" s="304">
        <f t="shared" si="27"/>
        <v>0.7</v>
      </c>
      <c r="R80" s="177">
        <f t="shared" si="28"/>
        <v>0.14196578350008615</v>
      </c>
      <c r="S80" s="799">
        <f t="shared" si="29"/>
        <v>-1</v>
      </c>
      <c r="T80" s="176">
        <f t="shared" si="30"/>
        <v>5</v>
      </c>
      <c r="U80" s="250">
        <f t="shared" si="31"/>
        <v>-0.85803421649991385</v>
      </c>
      <c r="V80" s="382">
        <f t="shared" si="32"/>
        <v>46.189231253098754</v>
      </c>
      <c r="W80" s="58"/>
      <c r="X80" s="157">
        <f t="shared" si="33"/>
        <v>43896</v>
      </c>
      <c r="Y80" s="383">
        <f t="shared" si="34"/>
        <v>19.513555939491514</v>
      </c>
      <c r="Z80" s="383">
        <f t="shared" si="35"/>
        <v>19.671636893375055</v>
      </c>
      <c r="AA80" s="384">
        <f t="shared" si="36"/>
        <v>20.187359427777423</v>
      </c>
      <c r="AB80" s="197">
        <f t="shared" si="37"/>
        <v>43896</v>
      </c>
      <c r="AC80" s="424">
        <f>IF(OR(t&lt;Tnet,NoTnet),'2019'!Resal_s+('2019'!Salim-'2019'!Resal_s)*(1-EXP(('2019'!Tnet_s-t)/'2019'!Tau_j)),Resal_s+(Salim-Resal_s)*(1-EXP((Tnet_s-t)/Tau_j)))*Salcycl</f>
        <v>2.554680498197023E-2</v>
      </c>
      <c r="AD80" s="230">
        <f>(INDEX(Models!$BJ80:$BT80,,AH80)*(1-AF80)+INDEX(Models!$BJ80:$BT80,,AH80+1)*AF80-ERP_i)*AE80*Ramure*Pc/MaxiM</f>
        <v>6.2131154313009357E-4</v>
      </c>
      <c r="AE80" s="304">
        <f t="shared" si="38"/>
        <v>0.7</v>
      </c>
      <c r="AF80" s="177">
        <f t="shared" si="39"/>
        <v>0.2062980057599183</v>
      </c>
      <c r="AG80" s="176">
        <f t="shared" si="40"/>
        <v>-1</v>
      </c>
      <c r="AH80" s="176">
        <f t="shared" si="41"/>
        <v>5</v>
      </c>
      <c r="AI80" s="224">
        <f t="shared" si="42"/>
        <v>-0.7937019942400817</v>
      </c>
      <c r="AJ80" s="264" t="b">
        <f t="shared" si="43"/>
        <v>0</v>
      </c>
      <c r="AK80" s="264" t="b">
        <f t="shared" si="44"/>
        <v>0</v>
      </c>
      <c r="AL80" s="264"/>
      <c r="AM80" s="264"/>
      <c r="AN80" s="75"/>
    </row>
    <row r="81" spans="1:40" s="6" customFormat="1" ht="11.25" x14ac:dyDescent="0.2">
      <c r="A81" s="56">
        <f t="shared" si="45"/>
        <v>43897</v>
      </c>
      <c r="B81" s="607">
        <v>32.218000000000004</v>
      </c>
      <c r="C81" s="388"/>
      <c r="D81" s="391">
        <f t="shared" si="24"/>
        <v>32.479623185708924</v>
      </c>
      <c r="E81" s="383">
        <f t="shared" si="46"/>
        <v>33.332842013607326</v>
      </c>
      <c r="F81" s="383">
        <f t="shared" si="25"/>
        <v>33.341831675414262</v>
      </c>
      <c r="G81" s="110">
        <f t="shared" si="47"/>
        <v>0.69238087058301467</v>
      </c>
      <c r="H81" s="412" t="b">
        <f>Wh_hp&gt;='2019'!Maxi_hp</f>
        <v>1</v>
      </c>
      <c r="I81" s="388">
        <f>IF(H81,Wh_hp,'2019'!Maxi_hp)</f>
        <v>33.341831675414262</v>
      </c>
      <c r="J81" s="85">
        <f>IF(H81,An,'2019'!An_max)</f>
        <v>2020</v>
      </c>
      <c r="K81" s="197">
        <f t="shared" si="26"/>
        <v>43897</v>
      </c>
      <c r="L81" s="147">
        <f>IF(t&lt;Tvie,1-EXP((T0-t)*PertePVj)+'2019'!Pspv,1-EXP((T0-t)*PertePVj)+Pspv)</f>
        <v>8.0549944872523316E-3</v>
      </c>
      <c r="M81" s="832"/>
      <c r="N81" s="832"/>
      <c r="O81" s="48">
        <f>IF(t&lt;Tnet,'2019'!Resal+('2019'!Salim-'2019'!Resal)*(1-EXP(('2019'!Tnet-t)/('2019'!Tau_j))),Resal+(Salim-Resal)*(1-EXP((Tnet-t)/(Tau_j))))*Salcycl</f>
        <v>2.5596942125429872E-2</v>
      </c>
      <c r="P81" s="169">
        <f>(INDEX(Models!$BJ81:$BT81,,T81)*(1-R81)+INDEX(Models!$BJ81:$BT81,,T81+1)*R81-ERP_i)*Q81*Ramure*Pc/MaxiM</f>
        <v>4.8081965790864396E-4</v>
      </c>
      <c r="Q81" s="304">
        <f t="shared" si="27"/>
        <v>0.7</v>
      </c>
      <c r="R81" s="177">
        <f t="shared" si="28"/>
        <v>0.14229111936265426</v>
      </c>
      <c r="S81" s="799">
        <f t="shared" si="29"/>
        <v>-1</v>
      </c>
      <c r="T81" s="176">
        <f t="shared" si="30"/>
        <v>5</v>
      </c>
      <c r="U81" s="250">
        <f t="shared" si="31"/>
        <v>-0.85770888063734574</v>
      </c>
      <c r="V81" s="382">
        <f t="shared" si="32"/>
        <v>46.522362385739257</v>
      </c>
      <c r="W81" s="58"/>
      <c r="X81" s="157">
        <f t="shared" si="33"/>
        <v>43897</v>
      </c>
      <c r="Y81" s="383">
        <f t="shared" si="34"/>
        <v>32.215784275222276</v>
      </c>
      <c r="Z81" s="383">
        <f t="shared" si="35"/>
        <v>32.477389468350182</v>
      </c>
      <c r="AA81" s="384">
        <f t="shared" si="36"/>
        <v>33.33054961792908</v>
      </c>
      <c r="AB81" s="197">
        <f t="shared" si="37"/>
        <v>43897</v>
      </c>
      <c r="AC81" s="424">
        <f>IF(OR(t&lt;Tnet,NoTnet),'2019'!Resal_s+('2019'!Salim-'2019'!Resal_s)*(1-EXP(('2019'!Tnet_s-t)/'2019'!Tau_j)),Resal_s+(Salim-Resal_s)*(1-EXP((Tnet_s-t)/Tau_j)))*Salcycl</f>
        <v>2.5596942125429872E-2</v>
      </c>
      <c r="AD81" s="230">
        <f>(INDEX(Models!$BJ81:$BT81,,AH81)*(1-AF81)+INDEX(Models!$BJ81:$BT81,,AH81+1)*AF81-ERP_i)*AE81*Ramure*Pc/MaxiM</f>
        <v>6.0343037780847902E-4</v>
      </c>
      <c r="AE81" s="304">
        <f t="shared" si="38"/>
        <v>0.7</v>
      </c>
      <c r="AF81" s="177">
        <f t="shared" si="39"/>
        <v>0.20662334162248641</v>
      </c>
      <c r="AG81" s="176">
        <f t="shared" si="40"/>
        <v>-1</v>
      </c>
      <c r="AH81" s="176">
        <f t="shared" si="41"/>
        <v>5</v>
      </c>
      <c r="AI81" s="224">
        <f t="shared" si="42"/>
        <v>-0.79337665837751359</v>
      </c>
      <c r="AJ81" s="264" t="b">
        <f t="shared" si="43"/>
        <v>0</v>
      </c>
      <c r="AK81" s="264" t="b">
        <f t="shared" si="44"/>
        <v>0</v>
      </c>
      <c r="AL81" s="264"/>
      <c r="AM81" s="264"/>
      <c r="AN81" s="75"/>
    </row>
    <row r="82" spans="1:40" s="6" customFormat="1" ht="11.25" x14ac:dyDescent="0.2">
      <c r="A82" s="56">
        <f t="shared" si="45"/>
        <v>43898</v>
      </c>
      <c r="B82" s="607">
        <v>35.015000000000001</v>
      </c>
      <c r="C82" s="388"/>
      <c r="D82" s="391">
        <f t="shared" si="24"/>
        <v>35.300012473219368</v>
      </c>
      <c r="E82" s="383">
        <f t="shared" si="46"/>
        <v>36.229184745210652</v>
      </c>
      <c r="F82" s="383">
        <f t="shared" si="25"/>
        <v>36.240193419416393</v>
      </c>
      <c r="G82" s="110">
        <f t="shared" si="47"/>
        <v>0.74716760107762226</v>
      </c>
      <c r="H82" s="412" t="b">
        <f>Wh_hp&gt;='2019'!Maxi_hp</f>
        <v>1</v>
      </c>
      <c r="I82" s="388">
        <f>IF(H82,Wh_hp,'2019'!Maxi_hp)</f>
        <v>36.240193419416393</v>
      </c>
      <c r="J82" s="85">
        <f>IF(H82,An,'2019'!An_max)</f>
        <v>2020</v>
      </c>
      <c r="K82" s="197">
        <f t="shared" si="26"/>
        <v>43898</v>
      </c>
      <c r="L82" s="147">
        <f>IF(t&lt;Tvie,1-EXP((T0-t)*PertePVj)+'2019'!Pspv,1-EXP((T0-t)*PertePVj)+Pspv)</f>
        <v>8.0740048869839542E-3</v>
      </c>
      <c r="M82" s="832"/>
      <c r="N82" s="832"/>
      <c r="O82" s="48">
        <f>IF(t&lt;Tnet,'2019'!Resal+('2019'!Salim-'2019'!Resal)*(1-EXP(('2019'!Tnet-t)/('2019'!Tau_j))),Resal+(Salim-Resal)*(1-EXP((Tnet-t)/(Tau_j))))*Salcycl</f>
        <v>2.5647065439807274E-2</v>
      </c>
      <c r="P82" s="169">
        <f>(INDEX(Models!$BJ82:$BT82,,T82)*(1-R82)+INDEX(Models!$BJ82:$BT82,,T82+1)*R82-ERP_i)*Q82*Ramure*Pc/MaxiM</f>
        <v>4.7538737678415132E-4</v>
      </c>
      <c r="Q82" s="304">
        <f t="shared" si="27"/>
        <v>0.7</v>
      </c>
      <c r="R82" s="177">
        <f t="shared" si="28"/>
        <v>0.14262953086792374</v>
      </c>
      <c r="S82" s="799">
        <f t="shared" si="29"/>
        <v>-1</v>
      </c>
      <c r="T82" s="176">
        <f t="shared" si="30"/>
        <v>5</v>
      </c>
      <c r="U82" s="250">
        <f t="shared" si="31"/>
        <v>-0.85737046913207626</v>
      </c>
      <c r="V82" s="382">
        <f t="shared" si="32"/>
        <v>46.855603658484171</v>
      </c>
      <c r="W82" s="58"/>
      <c r="X82" s="157">
        <f t="shared" si="33"/>
        <v>43898</v>
      </c>
      <c r="Y82" s="383">
        <f t="shared" si="34"/>
        <v>35.012379035594101</v>
      </c>
      <c r="Z82" s="383">
        <f t="shared" si="35"/>
        <v>35.297370174883795</v>
      </c>
      <c r="AA82" s="384">
        <f t="shared" si="36"/>
        <v>36.226472895898304</v>
      </c>
      <c r="AB82" s="197">
        <f t="shared" si="37"/>
        <v>43898</v>
      </c>
      <c r="AC82" s="424">
        <f>IF(OR(t&lt;Tnet,NoTnet),'2019'!Resal_s+('2019'!Salim-'2019'!Resal_s)*(1-EXP(('2019'!Tnet_s-t)/'2019'!Tau_j)),Resal_s+(Salim-Resal_s)*(1-EXP((Tnet_s-t)/Tau_j)))*Salcycl</f>
        <v>2.5647065439807274E-2</v>
      </c>
      <c r="AD82" s="230">
        <f>(INDEX(Models!$BJ82:$BT82,,AH82)*(1-AF82)+INDEX(Models!$BJ82:$BT82,,AH82+1)*AF82-ERP_i)*AE82*Ramure*Pc/MaxiM</f>
        <v>5.9249311601637569E-4</v>
      </c>
      <c r="AE82" s="304">
        <f t="shared" si="38"/>
        <v>0.7</v>
      </c>
      <c r="AF82" s="177">
        <f t="shared" si="39"/>
        <v>0.20696175312775589</v>
      </c>
      <c r="AG82" s="176">
        <f t="shared" si="40"/>
        <v>-1</v>
      </c>
      <c r="AH82" s="176">
        <f t="shared" si="41"/>
        <v>5</v>
      </c>
      <c r="AI82" s="224">
        <f t="shared" si="42"/>
        <v>-0.79303824687224411</v>
      </c>
      <c r="AJ82" s="264" t="b">
        <f t="shared" si="43"/>
        <v>0</v>
      </c>
      <c r="AK82" s="264" t="b">
        <f t="shared" si="44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5"/>
        <v>43899</v>
      </c>
      <c r="B83" s="607">
        <v>21.094000000000001</v>
      </c>
      <c r="C83" s="388"/>
      <c r="D83" s="391">
        <f t="shared" si="24"/>
        <v>21.266106920649868</v>
      </c>
      <c r="E83" s="383">
        <f t="shared" si="46"/>
        <v>21.826999283786051</v>
      </c>
      <c r="F83" s="383">
        <f t="shared" si="25"/>
        <v>21.829176511100393</v>
      </c>
      <c r="G83" s="110">
        <f t="shared" si="47"/>
        <v>0.44684865376769561</v>
      </c>
      <c r="H83" s="412" t="b">
        <f>Wh_hp&gt;='2019'!Maxi_hp</f>
        <v>1</v>
      </c>
      <c r="I83" s="388">
        <f>IF(H83,Wh_hp,'2019'!Maxi_hp)</f>
        <v>21.829176511100393</v>
      </c>
      <c r="J83" s="85">
        <f>IF(H83,An,'2019'!An_max)</f>
        <v>2020</v>
      </c>
      <c r="K83" s="197">
        <f t="shared" si="26"/>
        <v>43899</v>
      </c>
      <c r="L83" s="147">
        <f>IF(t&lt;Tvie,1-EXP((T0-t)*PertePVj)+'2019'!Pspv,1-EXP((T0-t)*PertePVj)+Pspv)</f>
        <v>8.0930149223855663E-3</v>
      </c>
      <c r="M83" s="832"/>
      <c r="N83" s="832"/>
      <c r="O83" s="48">
        <f>IF(t&lt;Tnet,'2019'!Resal+('2019'!Salim-'2019'!Resal)*(1-EXP(('2019'!Tnet-t)/('2019'!Tau_j))),Resal+(Salim-Resal)*(1-EXP((Tnet-t)/(Tau_j))))*Salcycl</f>
        <v>2.5697181543082495E-2</v>
      </c>
      <c r="P83" s="169">
        <f>(INDEX(Models!$BJ83:$BT83,,T83)*(1-R83)+INDEX(Models!$BJ83:$BT83,,T83+1)*R83-ERP_i)*Q83*Ramure*Pc/MaxiM</f>
        <v>4.7489627263459474E-4</v>
      </c>
      <c r="Q83" s="304">
        <f t="shared" si="27"/>
        <v>0.7</v>
      </c>
      <c r="R83" s="177">
        <f t="shared" si="28"/>
        <v>0.14298151910099322</v>
      </c>
      <c r="S83" s="799">
        <f t="shared" si="29"/>
        <v>-1</v>
      </c>
      <c r="T83" s="176">
        <f t="shared" si="30"/>
        <v>5</v>
      </c>
      <c r="U83" s="250">
        <f t="shared" si="31"/>
        <v>-0.85701848089900678</v>
      </c>
      <c r="V83" s="382">
        <f t="shared" si="32"/>
        <v>47.188428279166558</v>
      </c>
      <c r="W83" s="58"/>
      <c r="X83" s="157">
        <f t="shared" si="33"/>
        <v>43899</v>
      </c>
      <c r="Y83" s="383">
        <f t="shared" si="34"/>
        <v>21.093497159807377</v>
      </c>
      <c r="Z83" s="383">
        <f t="shared" si="35"/>
        <v>21.265599977760878</v>
      </c>
      <c r="AA83" s="384">
        <f t="shared" si="36"/>
        <v>21.826478970307136</v>
      </c>
      <c r="AB83" s="197">
        <f t="shared" si="37"/>
        <v>43899</v>
      </c>
      <c r="AC83" s="424">
        <f>IF(OR(t&lt;Tnet,NoTnet),'2019'!Resal_s+('2019'!Salim-'2019'!Resal_s)*(1-EXP(('2019'!Tnet_s-t)/'2019'!Tau_j)),Resal_s+(Salim-Resal_s)*(1-EXP((Tnet_s-t)/Tau_j)))*Salcycl</f>
        <v>2.5697181543082495E-2</v>
      </c>
      <c r="AD83" s="230">
        <f>(INDEX(Models!$BJ83:$BT83,,AH83)*(1-AF83)+INDEX(Models!$BJ83:$BT83,,AH83+1)*AF83-ERP_i)*AE83*Ramure*Pc/MaxiM</f>
        <v>5.8838691741535298E-4</v>
      </c>
      <c r="AE83" s="304">
        <f t="shared" si="38"/>
        <v>0.7</v>
      </c>
      <c r="AF83" s="177">
        <f t="shared" si="39"/>
        <v>0.20731374136082537</v>
      </c>
      <c r="AG83" s="176">
        <f t="shared" si="40"/>
        <v>-1</v>
      </c>
      <c r="AH83" s="176">
        <f t="shared" si="41"/>
        <v>5</v>
      </c>
      <c r="AI83" s="224">
        <f t="shared" si="42"/>
        <v>-0.79268625863917463</v>
      </c>
      <c r="AJ83" s="264" t="b">
        <f t="shared" si="43"/>
        <v>0</v>
      </c>
      <c r="AK83" s="264" t="b">
        <f t="shared" si="44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5"/>
        <v>43900</v>
      </c>
      <c r="B84" s="607">
        <v>32.664000000000001</v>
      </c>
      <c r="C84" s="388"/>
      <c r="D84" s="391">
        <f t="shared" si="24"/>
        <v>32.931138202993452</v>
      </c>
      <c r="E84" s="383">
        <f t="shared" si="46"/>
        <v>33.801433775387096</v>
      </c>
      <c r="F84" s="383">
        <f t="shared" si="25"/>
        <v>33.810401128309692</v>
      </c>
      <c r="G84" s="110">
        <f t="shared" si="47"/>
        <v>0.68722208891427161</v>
      </c>
      <c r="H84" s="412" t="b">
        <f>Wh_hp&gt;='2019'!Maxi_hp</f>
        <v>1</v>
      </c>
      <c r="I84" s="388">
        <f>IF(H84,Wh_hp,'2019'!Maxi_hp)</f>
        <v>33.810401128309692</v>
      </c>
      <c r="J84" s="85">
        <f>IF(H84,An,'2019'!An_max)</f>
        <v>2020</v>
      </c>
      <c r="K84" s="197">
        <f t="shared" si="26"/>
        <v>43900</v>
      </c>
      <c r="L84" s="147">
        <f>IF(t&lt;Tvie,1-EXP((T0-t)*PertePVj)+'2019'!Pspv,1-EXP((T0-t)*PertePVj)+Pspv)</f>
        <v>8.1120245934642732E-3</v>
      </c>
      <c r="M84" s="832"/>
      <c r="N84" s="832"/>
      <c r="O84" s="48">
        <f>IF(t&lt;Tnet,'2019'!Resal+('2019'!Salim-'2019'!Resal)*(1-EXP(('2019'!Tnet-t)/('2019'!Tau_j))),Resal+(Salim-Resal)*(1-EXP((Tnet-t)/(Tau_j))))*Salcycl</f>
        <v>2.5747297531128924E-2</v>
      </c>
      <c r="P84" s="169">
        <f>(INDEX(Models!$BJ84:$BT84,,T84)*(1-R84)+INDEX(Models!$BJ84:$BT84,,T84+1)*R84-ERP_i)*Q84*Ramure*Pc/MaxiM</f>
        <v>4.7927726013607079E-4</v>
      </c>
      <c r="Q84" s="304">
        <f t="shared" si="27"/>
        <v>0.7</v>
      </c>
      <c r="R84" s="177">
        <f t="shared" si="28"/>
        <v>0.14334760230712507</v>
      </c>
      <c r="S84" s="799">
        <f t="shared" si="29"/>
        <v>-1</v>
      </c>
      <c r="T84" s="176">
        <f t="shared" si="30"/>
        <v>5</v>
      </c>
      <c r="U84" s="250">
        <f t="shared" si="31"/>
        <v>-0.85665239769287493</v>
      </c>
      <c r="V84" s="382">
        <f t="shared" si="32"/>
        <v>47.520309458216524</v>
      </c>
      <c r="W84" s="58"/>
      <c r="X84" s="157">
        <f t="shared" si="33"/>
        <v>43900</v>
      </c>
      <c r="Y84" s="383">
        <f t="shared" si="34"/>
        <v>32.661979912545732</v>
      </c>
      <c r="Z84" s="383">
        <f t="shared" si="35"/>
        <v>32.929101594521171</v>
      </c>
      <c r="AA84" s="384">
        <f t="shared" si="36"/>
        <v>33.799343343954753</v>
      </c>
      <c r="AB84" s="197">
        <f t="shared" si="37"/>
        <v>43900</v>
      </c>
      <c r="AC84" s="424">
        <f>IF(OR(t&lt;Tnet,NoTnet),'2019'!Resal_s+('2019'!Salim-'2019'!Resal_s)*(1-EXP(('2019'!Tnet_s-t)/'2019'!Tau_j)),Resal_s+(Salim-Resal_s)*(1-EXP((Tnet_s-t)/Tau_j)))*Salcycl</f>
        <v>2.5747297531128924E-2</v>
      </c>
      <c r="AD84" s="230">
        <f>(INDEX(Models!$BJ84:$BT84,,AH84)*(1-AF84)+INDEX(Models!$BJ84:$BT84,,AH84+1)*AF84-ERP_i)*AE84*Ramure*Pc/MaxiM</f>
        <v>5.910043503981415E-4</v>
      </c>
      <c r="AE84" s="304">
        <f t="shared" si="38"/>
        <v>0.7</v>
      </c>
      <c r="AF84" s="177">
        <f t="shared" si="39"/>
        <v>0.20767982456695722</v>
      </c>
      <c r="AG84" s="176">
        <f t="shared" si="40"/>
        <v>-1</v>
      </c>
      <c r="AH84" s="176">
        <f t="shared" si="41"/>
        <v>5</v>
      </c>
      <c r="AI84" s="224">
        <f t="shared" si="42"/>
        <v>-0.79232017543304278</v>
      </c>
      <c r="AJ84" s="264" t="b">
        <f t="shared" si="43"/>
        <v>0</v>
      </c>
      <c r="AK84" s="264" t="b">
        <f t="shared" si="44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5"/>
        <v>43901</v>
      </c>
      <c r="B85" s="607">
        <v>40.204999999999998</v>
      </c>
      <c r="C85" s="388"/>
      <c r="D85" s="391">
        <f t="shared" si="24"/>
        <v>40.534588110054585</v>
      </c>
      <c r="E85" s="383">
        <f t="shared" si="46"/>
        <v>41.607966332797929</v>
      </c>
      <c r="F85" s="383">
        <f t="shared" si="25"/>
        <v>41.623657136213509</v>
      </c>
      <c r="G85" s="110">
        <f t="shared" si="47"/>
        <v>0.84012351750334424</v>
      </c>
      <c r="H85" s="412" t="b">
        <f>Wh_hp&gt;='2019'!Maxi_hp</f>
        <v>0</v>
      </c>
      <c r="I85" s="388">
        <f>IF(H85,Wh_hp,'2019'!Maxi_hp)</f>
        <v>46.64301638858592</v>
      </c>
      <c r="J85" s="85">
        <f>IF(H85,An,'2019'!An_max)</f>
        <v>2018</v>
      </c>
      <c r="K85" s="197">
        <f t="shared" si="26"/>
        <v>43901</v>
      </c>
      <c r="L85" s="147">
        <f>IF(t&lt;Tvie,1-EXP((T0-t)*PertePVj)+'2019'!Pspv,1-EXP((T0-t)*PertePVj)+Pspv)</f>
        <v>8.1310339002268472E-3</v>
      </c>
      <c r="M85" s="832"/>
      <c r="N85" s="832"/>
      <c r="O85" s="48">
        <f>IF(t&lt;Tnet,'2019'!Resal+('2019'!Salim-'2019'!Resal)*(1-EXP(('2019'!Tnet-t)/('2019'!Tau_j))),Resal+(Salim-Resal)*(1-EXP((Tnet-t)/(Tau_j))))*Salcycl</f>
        <v>2.5797420959198472E-2</v>
      </c>
      <c r="P85" s="169">
        <f>(INDEX(Models!$BJ85:$BT85,,T85)*(1-R85)+INDEX(Models!$BJ85:$BT85,,T85+1)*R85-ERP_i)*Q85*Ramure*Pc/MaxiM</f>
        <v>4.8846623635645135E-4</v>
      </c>
      <c r="Q85" s="304">
        <f t="shared" si="27"/>
        <v>0.7</v>
      </c>
      <c r="R85" s="177">
        <f t="shared" si="28"/>
        <v>0.14372831630660932</v>
      </c>
      <c r="S85" s="799">
        <f t="shared" si="29"/>
        <v>-1</v>
      </c>
      <c r="T85" s="176">
        <f t="shared" si="30"/>
        <v>5</v>
      </c>
      <c r="U85" s="250">
        <f t="shared" si="31"/>
        <v>-0.85627168369339068</v>
      </c>
      <c r="V85" s="382">
        <f t="shared" si="32"/>
        <v>47.850720401732538</v>
      </c>
      <c r="W85" s="58"/>
      <c r="X85" s="157">
        <f t="shared" si="33"/>
        <v>43901</v>
      </c>
      <c r="Y85" s="383">
        <f t="shared" si="34"/>
        <v>40.201530473803814</v>
      </c>
      <c r="Z85" s="383">
        <f t="shared" si="35"/>
        <v>40.531090141759613</v>
      </c>
      <c r="AA85" s="384">
        <f t="shared" si="36"/>
        <v>41.604375736375559</v>
      </c>
      <c r="AB85" s="197">
        <f t="shared" si="37"/>
        <v>43901</v>
      </c>
      <c r="AC85" s="424">
        <f>IF(OR(t&lt;Tnet,NoTnet),'2019'!Resal_s+('2019'!Salim-'2019'!Resal_s)*(1-EXP(('2019'!Tnet_s-t)/'2019'!Tau_j)),Resal_s+(Salim-Resal_s)*(1-EXP((Tnet_s-t)/Tau_j)))*Salcycl</f>
        <v>2.5797420959198472E-2</v>
      </c>
      <c r="AD85" s="230">
        <f>(INDEX(Models!$BJ85:$BT85,,AH85)*(1-AF85)+INDEX(Models!$BJ85:$BT85,,AH85+1)*AF85-ERP_i)*AE85*Ramure*Pc/MaxiM</f>
        <v>6.0024414053732635E-4</v>
      </c>
      <c r="AE85" s="304">
        <f t="shared" si="38"/>
        <v>0.7</v>
      </c>
      <c r="AF85" s="177">
        <f t="shared" si="39"/>
        <v>0.20806053856644147</v>
      </c>
      <c r="AG85" s="176">
        <f t="shared" si="40"/>
        <v>-1</v>
      </c>
      <c r="AH85" s="176">
        <f t="shared" si="41"/>
        <v>5</v>
      </c>
      <c r="AI85" s="224">
        <f t="shared" si="42"/>
        <v>-0.79193946143355853</v>
      </c>
      <c r="AJ85" s="264" t="b">
        <f t="shared" si="43"/>
        <v>0</v>
      </c>
      <c r="AK85" s="264" t="b">
        <f t="shared" si="44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5"/>
        <v>43902</v>
      </c>
      <c r="B86" s="607">
        <v>16.282</v>
      </c>
      <c r="C86" s="388"/>
      <c r="D86" s="391">
        <f t="shared" si="24"/>
        <v>16.415789386798831</v>
      </c>
      <c r="E86" s="383">
        <f t="shared" si="46"/>
        <v>16.851355814274704</v>
      </c>
      <c r="F86" s="383">
        <f t="shared" si="25"/>
        <v>16.851813670669706</v>
      </c>
      <c r="G86" s="110">
        <f t="shared" si="47"/>
        <v>0.33778651794981313</v>
      </c>
      <c r="H86" s="412" t="b">
        <f>Wh_hp&gt;='2019'!Maxi_hp</f>
        <v>0</v>
      </c>
      <c r="I86" s="388">
        <f>IF(H86,Wh_hp,'2019'!Maxi_hp)</f>
        <v>24.602573055964974</v>
      </c>
      <c r="J86" s="85">
        <f>IF(H86,An,'2019'!An_max)</f>
        <v>2018</v>
      </c>
      <c r="K86" s="197">
        <f t="shared" si="26"/>
        <v>43902</v>
      </c>
      <c r="L86" s="147">
        <f>IF(t&lt;Tvie,1-EXP((T0-t)*PertePVj)+'2019'!Pspv,1-EXP((T0-t)*PertePVj)+Pspv)</f>
        <v>8.1500428426805049E-3</v>
      </c>
      <c r="M86" s="832"/>
      <c r="N86" s="832"/>
      <c r="O86" s="48">
        <f>IF(t&lt;Tnet,'2019'!Resal+('2019'!Salim-'2019'!Resal)*(1-EXP(('2019'!Tnet-t)/('2019'!Tau_j))),Resal+(Salim-Resal)*(1-EXP((Tnet-t)/(Tau_j))))*Salcycl</f>
        <v>2.5847559821086219E-2</v>
      </c>
      <c r="P86" s="169">
        <f>(INDEX(Models!$BJ86:$BT86,,T86)*(1-R86)+INDEX(Models!$BJ86:$BT86,,T86+1)*R86-ERP_i)*Q86*Ramure*Pc/MaxiM</f>
        <v>5.0119469029705113E-4</v>
      </c>
      <c r="Q86" s="304">
        <f t="shared" si="27"/>
        <v>0.7</v>
      </c>
      <c r="R86" s="177">
        <f t="shared" si="28"/>
        <v>0.14412421490408589</v>
      </c>
      <c r="S86" s="799">
        <f t="shared" si="29"/>
        <v>-1</v>
      </c>
      <c r="T86" s="176">
        <f t="shared" si="30"/>
        <v>5</v>
      </c>
      <c r="U86" s="250">
        <f t="shared" si="31"/>
        <v>-0.85587578509591411</v>
      </c>
      <c r="V86" s="382">
        <f t="shared" si="32"/>
        <v>48.179192621226122</v>
      </c>
      <c r="W86" s="58"/>
      <c r="X86" s="157">
        <f t="shared" si="33"/>
        <v>43902</v>
      </c>
      <c r="Y86" s="383">
        <f t="shared" si="34"/>
        <v>16.281899932172784</v>
      </c>
      <c r="Z86" s="383">
        <f t="shared" si="35"/>
        <v>16.415688496713095</v>
      </c>
      <c r="AA86" s="384">
        <f t="shared" si="36"/>
        <v>16.851252247233681</v>
      </c>
      <c r="AB86" s="197">
        <f t="shared" si="37"/>
        <v>43902</v>
      </c>
      <c r="AC86" s="424">
        <f>IF(OR(t&lt;Tnet,NoTnet),'2019'!Resal_s+('2019'!Salim-'2019'!Resal_s)*(1-EXP(('2019'!Tnet_s-t)/'2019'!Tau_j)),Resal_s+(Salim-Resal_s)*(1-EXP((Tnet_s-t)/Tau_j)))*Salcycl</f>
        <v>2.5847559821086219E-2</v>
      </c>
      <c r="AD86" s="230">
        <f>(INDEX(Models!$BJ86:$BT86,,AH86)*(1-AF86)+INDEX(Models!$BJ86:$BT86,,AH86+1)*AF86-ERP_i)*AE86*Ramure*Pc/MaxiM</f>
        <v>6.1456484656604335E-4</v>
      </c>
      <c r="AE86" s="304">
        <f t="shared" si="38"/>
        <v>0.7</v>
      </c>
      <c r="AF86" s="177">
        <f t="shared" si="39"/>
        <v>0.20845643716391804</v>
      </c>
      <c r="AG86" s="176">
        <f t="shared" si="40"/>
        <v>-1</v>
      </c>
      <c r="AH86" s="176">
        <f t="shared" si="41"/>
        <v>5</v>
      </c>
      <c r="AI86" s="224">
        <f t="shared" si="42"/>
        <v>-0.79154356283608196</v>
      </c>
      <c r="AJ86" s="264" t="b">
        <f t="shared" si="43"/>
        <v>0</v>
      </c>
      <c r="AK86" s="264" t="b">
        <f t="shared" si="44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5"/>
        <v>43903</v>
      </c>
      <c r="B87" s="607">
        <v>37.238999999999997</v>
      </c>
      <c r="C87" s="388"/>
      <c r="D87" s="391">
        <f t="shared" si="24"/>
        <v>37.545712858976778</v>
      </c>
      <c r="E87" s="383">
        <f t="shared" si="46"/>
        <v>38.543912407582702</v>
      </c>
      <c r="F87" s="383">
        <f t="shared" si="25"/>
        <v>38.557146236700596</v>
      </c>
      <c r="G87" s="110">
        <f t="shared" si="47"/>
        <v>0.7675983396656556</v>
      </c>
      <c r="H87" s="412" t="b">
        <f>Wh_hp&gt;='2019'!Maxi_hp</f>
        <v>1</v>
      </c>
      <c r="I87" s="388">
        <f>IF(H87,Wh_hp,'2019'!Maxi_hp)</f>
        <v>38.557146236700596</v>
      </c>
      <c r="J87" s="85">
        <f>IF(H87,An,'2019'!An_max)</f>
        <v>2020</v>
      </c>
      <c r="K87" s="197">
        <f t="shared" si="26"/>
        <v>43903</v>
      </c>
      <c r="L87" s="147">
        <f>IF(t&lt;Tvie,1-EXP((T0-t)*PertePVj)+'2019'!Pspv,1-EXP((T0-t)*PertePVj)+Pspv)</f>
        <v>8.1690514208321297E-3</v>
      </c>
      <c r="M87" s="832"/>
      <c r="N87" s="832"/>
      <c r="O87" s="48">
        <f>IF(t&lt;Tnet,'2019'!Resal+('2019'!Salim-'2019'!Resal)*(1-EXP(('2019'!Tnet-t)/('2019'!Tau_j))),Resal+(Salim-Resal)*(1-EXP((Tnet-t)/(Tau_j))))*Salcycl</f>
        <v>2.5897722526204932E-2</v>
      </c>
      <c r="P87" s="169">
        <f>(INDEX(Models!$BJ87:$BT87,,T87)*(1-R87)+INDEX(Models!$BJ87:$BT87,,T87+1)*R87-ERP_i)*Q87*Ramure*Pc/MaxiM</f>
        <v>5.1366995019091555E-4</v>
      </c>
      <c r="Q87" s="304">
        <f t="shared" si="27"/>
        <v>0.7</v>
      </c>
      <c r="R87" s="177">
        <f t="shared" si="28"/>
        <v>0.14453587029051596</v>
      </c>
      <c r="S87" s="799">
        <f t="shared" si="29"/>
        <v>-1</v>
      </c>
      <c r="T87" s="176">
        <f t="shared" si="30"/>
        <v>5</v>
      </c>
      <c r="U87" s="250">
        <f t="shared" si="31"/>
        <v>-0.85546412970948404</v>
      </c>
      <c r="V87" s="382">
        <f t="shared" si="32"/>
        <v>48.505381979152205</v>
      </c>
      <c r="W87" s="58"/>
      <c r="X87" s="157">
        <f t="shared" si="33"/>
        <v>43903</v>
      </c>
      <c r="Y87" s="383">
        <f t="shared" si="34"/>
        <v>37.236130271107946</v>
      </c>
      <c r="Z87" s="383">
        <f t="shared" si="35"/>
        <v>37.542819494037758</v>
      </c>
      <c r="AA87" s="384">
        <f t="shared" si="36"/>
        <v>38.540942118932392</v>
      </c>
      <c r="AB87" s="197">
        <f t="shared" si="37"/>
        <v>43903</v>
      </c>
      <c r="AC87" s="424">
        <f>IF(OR(t&lt;Tnet,NoTnet),'2019'!Resal_s+('2019'!Salim-'2019'!Resal_s)*(1-EXP(('2019'!Tnet_s-t)/'2019'!Tau_j)),Resal_s+(Salim-Resal_s)*(1-EXP((Tnet_s-t)/Tau_j)))*Salcycl</f>
        <v>2.5897722526204932E-2</v>
      </c>
      <c r="AD87" s="230">
        <f>(INDEX(Models!$BJ87:$BT87,,AH87)*(1-AF87)+INDEX(Models!$BJ87:$BT87,,AH87+1)*AF87-ERP_i)*AE87*Ramure*Pc/MaxiM</f>
        <v>6.2896145119682701E-4</v>
      </c>
      <c r="AE87" s="304">
        <f t="shared" si="38"/>
        <v>0.7</v>
      </c>
      <c r="AF87" s="177">
        <f t="shared" si="39"/>
        <v>0.20886809255034811</v>
      </c>
      <c r="AG87" s="176">
        <f t="shared" si="40"/>
        <v>-1</v>
      </c>
      <c r="AH87" s="176">
        <f t="shared" si="41"/>
        <v>5</v>
      </c>
      <c r="AI87" s="224">
        <f t="shared" si="42"/>
        <v>-0.79113190744965189</v>
      </c>
      <c r="AJ87" s="264" t="b">
        <f t="shared" si="43"/>
        <v>0</v>
      </c>
      <c r="AK87" s="264" t="b">
        <f t="shared" si="44"/>
        <v>0</v>
      </c>
      <c r="AL87" s="264"/>
      <c r="AM87" s="264"/>
      <c r="AN87" s="75"/>
    </row>
    <row r="88" spans="1:40" s="6" customFormat="1" ht="11.25" x14ac:dyDescent="0.2">
      <c r="A88" s="56">
        <f t="shared" si="45"/>
        <v>43904</v>
      </c>
      <c r="B88" s="607">
        <v>32.951000000000001</v>
      </c>
      <c r="C88" s="388"/>
      <c r="D88" s="391">
        <f t="shared" si="24"/>
        <v>33.223032168642021</v>
      </c>
      <c r="E88" s="383">
        <f t="shared" si="46"/>
        <v>34.108065449802126</v>
      </c>
      <c r="F88" s="383">
        <f t="shared" si="25"/>
        <v>34.117673354504483</v>
      </c>
      <c r="G88" s="110">
        <f t="shared" si="47"/>
        <v>0.67466275230852235</v>
      </c>
      <c r="H88" s="412" t="b">
        <f>Wh_hp&gt;='2019'!Maxi_hp</f>
        <v>1</v>
      </c>
      <c r="I88" s="388">
        <f>IF(H88,Wh_hp,'2019'!Maxi_hp)</f>
        <v>34.117673354504483</v>
      </c>
      <c r="J88" s="85">
        <f>IF(H88,An,'2019'!An_max)</f>
        <v>2020</v>
      </c>
      <c r="K88" s="197">
        <f t="shared" si="26"/>
        <v>43904</v>
      </c>
      <c r="L88" s="147">
        <f>IF(t&lt;Tvie,1-EXP((T0-t)*PertePVj)+'2019'!Pspv,1-EXP((T0-t)*PertePVj)+Pspv)</f>
        <v>8.1880596346886048E-3</v>
      </c>
      <c r="M88" s="832"/>
      <c r="N88" s="832"/>
      <c r="O88" s="48">
        <f>IF(t&lt;Tnet,'2019'!Resal+('2019'!Salim-'2019'!Resal)*(1-EXP(('2019'!Tnet-t)/('2019'!Tau_j))),Resal+(Salim-Resal)*(1-EXP((Tnet-t)/(Tau_j))))*Salcycl</f>
        <v>2.5947917874809778E-2</v>
      </c>
      <c r="P88" s="169">
        <f>(INDEX(Models!$BJ88:$BT88,,T88)*(1-R88)+INDEX(Models!$BJ88:$BT88,,T88+1)*R88-ERP_i)*Q88*Ramure*Pc/MaxiM</f>
        <v>5.2591515495806738E-4</v>
      </c>
      <c r="Q88" s="304">
        <f t="shared" si="27"/>
        <v>0.7</v>
      </c>
      <c r="R88" s="177">
        <f t="shared" si="28"/>
        <v>0.14496387343582129</v>
      </c>
      <c r="S88" s="799">
        <f t="shared" si="29"/>
        <v>-1</v>
      </c>
      <c r="T88" s="176">
        <f t="shared" si="30"/>
        <v>5</v>
      </c>
      <c r="U88" s="250">
        <f t="shared" si="31"/>
        <v>-0.85503612656417871</v>
      </c>
      <c r="V88" s="382">
        <f t="shared" si="32"/>
        <v>48.828763032027936</v>
      </c>
      <c r="W88" s="58"/>
      <c r="X88" s="157">
        <f t="shared" si="33"/>
        <v>43904</v>
      </c>
      <c r="Y88" s="383">
        <f t="shared" si="34"/>
        <v>32.94892556613825</v>
      </c>
      <c r="Z88" s="383">
        <f t="shared" si="35"/>
        <v>33.220940608964902</v>
      </c>
      <c r="AA88" s="384">
        <f t="shared" si="36"/>
        <v>34.105918172756574</v>
      </c>
      <c r="AB88" s="197">
        <f t="shared" si="37"/>
        <v>43904</v>
      </c>
      <c r="AC88" s="424">
        <f>IF(OR(t&lt;Tnet,NoTnet),'2019'!Resal_s+('2019'!Salim-'2019'!Resal_s)*(1-EXP(('2019'!Tnet_s-t)/'2019'!Tau_j)),Resal_s+(Salim-Resal_s)*(1-EXP((Tnet_s-t)/Tau_j)))*Salcycl</f>
        <v>2.5947917874809778E-2</v>
      </c>
      <c r="AD88" s="230">
        <f>(INDEX(Models!$BJ88:$BT88,,AH88)*(1-AF88)+INDEX(Models!$BJ88:$BT88,,AH88+1)*AF88-ERP_i)*AE88*Ramure*Pc/MaxiM</f>
        <v>6.4345228455481101E-4</v>
      </c>
      <c r="AE88" s="304">
        <f t="shared" si="38"/>
        <v>0.7</v>
      </c>
      <c r="AF88" s="177">
        <f t="shared" si="39"/>
        <v>0.20929609569565344</v>
      </c>
      <c r="AG88" s="176">
        <f t="shared" si="40"/>
        <v>-1</v>
      </c>
      <c r="AH88" s="176">
        <f t="shared" si="41"/>
        <v>5</v>
      </c>
      <c r="AI88" s="224">
        <f t="shared" si="42"/>
        <v>-0.79070390430434656</v>
      </c>
      <c r="AJ88" s="264" t="b">
        <f t="shared" si="43"/>
        <v>0</v>
      </c>
      <c r="AK88" s="264" t="b">
        <f t="shared" si="44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5"/>
        <v>43905</v>
      </c>
      <c r="B89" s="607">
        <v>51.286000000000001</v>
      </c>
      <c r="C89" s="388"/>
      <c r="D89" s="391">
        <f t="shared" si="24"/>
        <v>51.710390665831781</v>
      </c>
      <c r="E89" s="383">
        <f t="shared" si="46"/>
        <v>53.090649604991818</v>
      </c>
      <c r="F89" s="383">
        <f t="shared" si="25"/>
        <v>53.119225306767447</v>
      </c>
      <c r="G89" s="110">
        <f t="shared" si="47"/>
        <v>1.0434840551308171</v>
      </c>
      <c r="H89" s="412" t="b">
        <f>Wh_hp&gt;='2019'!Maxi_hp</f>
        <v>1</v>
      </c>
      <c r="I89" s="388">
        <f>IF(H89,Wh_hp,'2019'!Maxi_hp)</f>
        <v>53.119225306767447</v>
      </c>
      <c r="J89" s="85">
        <f>IF(H89,An,'2019'!An_max)</f>
        <v>2020</v>
      </c>
      <c r="K89" s="197">
        <f t="shared" si="26"/>
        <v>43905</v>
      </c>
      <c r="L89" s="147">
        <f>IF(t&lt;Tvie,1-EXP((T0-t)*PertePVj)+'2019'!Pspv,1-EXP((T0-t)*PertePVj)+Pspv)</f>
        <v>8.2070674842570357E-3</v>
      </c>
      <c r="M89" s="832"/>
      <c r="N89" s="832"/>
      <c r="O89" s="48">
        <f>IF(t&lt;Tnet,'2019'!Resal+('2019'!Salim-'2019'!Resal)*(1-EXP(('2019'!Tnet-t)/('2019'!Tau_j))),Resal+(Salim-Resal)*(1-EXP((Tnet-t)/(Tau_j))))*Salcycl</f>
        <v>2.5998155031620833E-2</v>
      </c>
      <c r="P89" s="169">
        <f>(INDEX(Models!$BJ89:$BT89,,T89)*(1-R89)+INDEX(Models!$BJ89:$BT89,,T89+1)*R89-ERP_i)*Q89*Ramure*Pc/MaxiM</f>
        <v>5.3795403849746411E-4</v>
      </c>
      <c r="Q89" s="304">
        <f t="shared" si="27"/>
        <v>0.7</v>
      </c>
      <c r="R89" s="177">
        <f t="shared" si="28"/>
        <v>0.14540883447003883</v>
      </c>
      <c r="S89" s="799">
        <f t="shared" si="29"/>
        <v>-1</v>
      </c>
      <c r="T89" s="176">
        <f t="shared" si="30"/>
        <v>5</v>
      </c>
      <c r="U89" s="250">
        <f t="shared" si="31"/>
        <v>-0.85459116552996117</v>
      </c>
      <c r="V89" s="382">
        <f t="shared" si="32"/>
        <v>49.148810418162554</v>
      </c>
      <c r="W89" s="58"/>
      <c r="X89" s="157">
        <f t="shared" si="33"/>
        <v>43905</v>
      </c>
      <c r="Y89" s="383">
        <f t="shared" si="34"/>
        <v>51.27983710260267</v>
      </c>
      <c r="Z89" s="383">
        <f t="shared" si="35"/>
        <v>51.704176770576751</v>
      </c>
      <c r="AA89" s="384">
        <f t="shared" si="36"/>
        <v>53.084269847820792</v>
      </c>
      <c r="AB89" s="197">
        <f t="shared" si="37"/>
        <v>43905</v>
      </c>
      <c r="AC89" s="424">
        <f>IF(OR(t&lt;Tnet,NoTnet),'2019'!Resal_s+('2019'!Salim-'2019'!Resal_s)*(1-EXP(('2019'!Tnet_s-t)/'2019'!Tau_j)),Resal_s+(Salim-Resal_s)*(1-EXP((Tnet_s-t)/Tau_j)))*Salcycl</f>
        <v>2.5998155031620833E-2</v>
      </c>
      <c r="AD89" s="230">
        <f>(INDEX(Models!$BJ89:$BT89,,AH89)*(1-AF89)+INDEX(Models!$BJ89:$BT89,,AH89+1)*AF89-ERP_i)*AE89*Ramure*Pc/MaxiM</f>
        <v>6.580566404120132E-4</v>
      </c>
      <c r="AE89" s="304">
        <f t="shared" si="38"/>
        <v>0.7</v>
      </c>
      <c r="AF89" s="177">
        <f t="shared" si="39"/>
        <v>0.20974105672987098</v>
      </c>
      <c r="AG89" s="176">
        <f t="shared" si="40"/>
        <v>-1</v>
      </c>
      <c r="AH89" s="176">
        <f t="shared" si="41"/>
        <v>5</v>
      </c>
      <c r="AI89" s="224">
        <f t="shared" si="42"/>
        <v>-0.79025894327012902</v>
      </c>
      <c r="AJ89" s="264" t="b">
        <f t="shared" si="43"/>
        <v>0</v>
      </c>
      <c r="AK89" s="264" t="b">
        <f t="shared" si="44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5"/>
        <v>43906</v>
      </c>
      <c r="B90" s="607">
        <v>7.2569999999999997</v>
      </c>
      <c r="C90" s="388"/>
      <c r="D90" s="391">
        <f t="shared" si="24"/>
        <v>7.3171917680505167</v>
      </c>
      <c r="E90" s="383">
        <f t="shared" si="46"/>
        <v>7.5128908816895486</v>
      </c>
      <c r="F90" s="383">
        <f t="shared" si="25"/>
        <v>7.5128908816895486</v>
      </c>
      <c r="G90" s="110">
        <f t="shared" si="47"/>
        <v>0.14662913554524515</v>
      </c>
      <c r="H90" s="412" t="b">
        <f>Wh_hp&gt;='2019'!Maxi_hp</f>
        <v>0</v>
      </c>
      <c r="I90" s="388">
        <f>IF(H90,Wh_hp,'2019'!Maxi_hp)</f>
        <v>17.260556483899389</v>
      </c>
      <c r="J90" s="85">
        <f>IF(H90,An,'2019'!An_max)</f>
        <v>2018</v>
      </c>
      <c r="K90" s="197">
        <f t="shared" si="26"/>
        <v>43906</v>
      </c>
      <c r="L90" s="147">
        <f>IF(t&lt;Tvie,1-EXP((T0-t)*PertePVj)+'2019'!Pspv,1-EXP((T0-t)*PertePVj)+Pspv)</f>
        <v>8.2260749695444169E-3</v>
      </c>
      <c r="M90" s="832"/>
      <c r="N90" s="832"/>
      <c r="O90" s="48">
        <f>IF(t&lt;Tnet,'2019'!Resal+('2019'!Salim-'2019'!Resal)*(1-EXP(('2019'!Tnet-t)/('2019'!Tau_j))),Resal+(Salim-Resal)*(1-EXP((Tnet-t)/(Tau_j))))*Salcycl</f>
        <v>2.6048443498093474E-2</v>
      </c>
      <c r="P90" s="169">
        <f>(INDEX(Models!$BJ90:$BT90,,T90)*(1-R90)+INDEX(Models!$BJ90:$BT90,,T90+1)*R90-ERP_i)*Q90*Ramure*Pc/MaxiM</f>
        <v>5.4981093998683801E-4</v>
      </c>
      <c r="Q90" s="304">
        <f t="shared" si="27"/>
        <v>0.7</v>
      </c>
      <c r="R90" s="177">
        <f t="shared" si="28"/>
        <v>0.14587138305065017</v>
      </c>
      <c r="S90" s="799">
        <f t="shared" si="29"/>
        <v>-1</v>
      </c>
      <c r="T90" s="176">
        <f t="shared" si="30"/>
        <v>5</v>
      </c>
      <c r="U90" s="250">
        <f t="shared" si="31"/>
        <v>-0.85412861694934983</v>
      </c>
      <c r="V90" s="382">
        <f t="shared" si="32"/>
        <v>49.464998856045668</v>
      </c>
      <c r="W90" s="58"/>
      <c r="X90" s="157">
        <f t="shared" si="33"/>
        <v>43906</v>
      </c>
      <c r="Y90" s="383">
        <f t="shared" si="34"/>
        <v>7.2569999999999997</v>
      </c>
      <c r="Z90" s="383">
        <f t="shared" si="35"/>
        <v>7.3171917680505167</v>
      </c>
      <c r="AA90" s="384">
        <f t="shared" si="36"/>
        <v>7.5128908816895486</v>
      </c>
      <c r="AB90" s="197">
        <f t="shared" si="37"/>
        <v>43906</v>
      </c>
      <c r="AC90" s="424">
        <f>IF(OR(t&lt;Tnet,NoTnet),'2019'!Resal_s+('2019'!Salim-'2019'!Resal_s)*(1-EXP(('2019'!Tnet_s-t)/'2019'!Tau_j)),Resal_s+(Salim-Resal_s)*(1-EXP((Tnet_s-t)/Tau_j)))*Salcycl</f>
        <v>2.6048443498093474E-2</v>
      </c>
      <c r="AD90" s="230">
        <f>(INDEX(Models!$BJ90:$BT90,,AH90)*(1-AF90)+INDEX(Models!$BJ90:$BT90,,AH90+1)*AF90-ERP_i)*AE90*Ramure*Pc/MaxiM</f>
        <v>6.7279481023551268E-4</v>
      </c>
      <c r="AE90" s="304">
        <f t="shared" si="38"/>
        <v>0.7</v>
      </c>
      <c r="AF90" s="177">
        <f t="shared" si="39"/>
        <v>0.21020360531048232</v>
      </c>
      <c r="AG90" s="176">
        <f t="shared" si="40"/>
        <v>-1</v>
      </c>
      <c r="AH90" s="176">
        <f t="shared" si="41"/>
        <v>5</v>
      </c>
      <c r="AI90" s="224">
        <f t="shared" si="42"/>
        <v>-0.78979639468951768</v>
      </c>
      <c r="AJ90" s="264" t="b">
        <f t="shared" si="43"/>
        <v>0</v>
      </c>
      <c r="AK90" s="264" t="b">
        <f t="shared" si="44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5"/>
        <v>43907</v>
      </c>
      <c r="B91" s="607">
        <v>11.275</v>
      </c>
      <c r="C91" s="388"/>
      <c r="D91" s="391">
        <f t="shared" si="24"/>
        <v>11.368736162929244</v>
      </c>
      <c r="E91" s="383">
        <f t="shared" si="46"/>
        <v>11.673397755533321</v>
      </c>
      <c r="F91" s="383">
        <f t="shared" si="25"/>
        <v>11.673397755533321</v>
      </c>
      <c r="G91" s="110">
        <f t="shared" si="47"/>
        <v>0.22638394299328343</v>
      </c>
      <c r="H91" s="412" t="b">
        <f>Wh_hp&gt;='2019'!Maxi_hp</f>
        <v>0</v>
      </c>
      <c r="I91" s="388">
        <f>IF(H91,Wh_hp,'2019'!Maxi_hp)</f>
        <v>34.313153622269041</v>
      </c>
      <c r="J91" s="85">
        <f>IF(H91,An,'2019'!An_max)</f>
        <v>2018</v>
      </c>
      <c r="K91" s="197">
        <f t="shared" si="26"/>
        <v>43907</v>
      </c>
      <c r="L91" s="147">
        <f>IF(t&lt;Tvie,1-EXP((T0-t)*PertePVj)+'2019'!Pspv,1-EXP((T0-t)*PertePVj)+Pspv)</f>
        <v>8.2450820905576316E-3</v>
      </c>
      <c r="M91" s="832"/>
      <c r="N91" s="832"/>
      <c r="O91" s="48">
        <f>IF(t&lt;Tnet,'2019'!Resal+('2019'!Salim-'2019'!Resal)*(1-EXP(('2019'!Tnet-t)/('2019'!Tau_j))),Resal+(Salim-Resal)*(1-EXP((Tnet-t)/(Tau_j))))*Salcycl</f>
        <v>2.6098793083587417E-2</v>
      </c>
      <c r="P91" s="169">
        <f>(INDEX(Models!$BJ91:$BT91,,T91)*(1-R91)+INDEX(Models!$BJ91:$BT91,,T91+1)*R91-ERP_i)*Q91*Ramure*Pc/MaxiM</f>
        <v>5.6151082074650861E-4</v>
      </c>
      <c r="Q91" s="304">
        <f t="shared" si="27"/>
        <v>0.7</v>
      </c>
      <c r="R91" s="177">
        <f t="shared" si="28"/>
        <v>0.14635216871355061</v>
      </c>
      <c r="S91" s="799">
        <f t="shared" si="29"/>
        <v>-1</v>
      </c>
      <c r="T91" s="176">
        <f t="shared" si="30"/>
        <v>5</v>
      </c>
      <c r="U91" s="250">
        <f t="shared" si="31"/>
        <v>-0.85364783128644939</v>
      </c>
      <c r="V91" s="382">
        <f t="shared" si="32"/>
        <v>49.776803144693048</v>
      </c>
      <c r="W91" s="58"/>
      <c r="X91" s="157">
        <f t="shared" si="33"/>
        <v>43907</v>
      </c>
      <c r="Y91" s="383">
        <f t="shared" si="34"/>
        <v>11.275</v>
      </c>
      <c r="Z91" s="383">
        <f t="shared" si="35"/>
        <v>11.368736162929244</v>
      </c>
      <c r="AA91" s="384">
        <f t="shared" si="36"/>
        <v>11.673397755533321</v>
      </c>
      <c r="AB91" s="197">
        <f t="shared" si="37"/>
        <v>43907</v>
      </c>
      <c r="AC91" s="424">
        <f>IF(OR(t&lt;Tnet,NoTnet),'2019'!Resal_s+('2019'!Salim-'2019'!Resal_s)*(1-EXP(('2019'!Tnet_s-t)/'2019'!Tau_j)),Resal_s+(Salim-Resal_s)*(1-EXP((Tnet_s-t)/Tau_j)))*Salcycl</f>
        <v>2.6098793083587417E-2</v>
      </c>
      <c r="AD91" s="230">
        <f>(INDEX(Models!$BJ91:$BT91,,AH91)*(1-AF91)+INDEX(Models!$BJ91:$BT91,,AH91+1)*AF91-ERP_i)*AE91*Ramure*Pc/MaxiM</f>
        <v>6.8768812248501572E-4</v>
      </c>
      <c r="AE91" s="304">
        <f t="shared" si="38"/>
        <v>0.7</v>
      </c>
      <c r="AF91" s="177">
        <f t="shared" si="39"/>
        <v>0.21068439097338276</v>
      </c>
      <c r="AG91" s="176">
        <f t="shared" si="40"/>
        <v>-1</v>
      </c>
      <c r="AH91" s="176">
        <f t="shared" si="41"/>
        <v>5</v>
      </c>
      <c r="AI91" s="224">
        <f t="shared" si="42"/>
        <v>-0.78931560902661724</v>
      </c>
      <c r="AJ91" s="264" t="b">
        <f t="shared" si="43"/>
        <v>0</v>
      </c>
      <c r="AK91" s="264" t="b">
        <f t="shared" si="44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5"/>
        <v>43908</v>
      </c>
      <c r="B92" s="607">
        <v>43.811999999999998</v>
      </c>
      <c r="C92" s="388"/>
      <c r="D92" s="391">
        <f t="shared" si="24"/>
        <v>44.177083341750965</v>
      </c>
      <c r="E92" s="383">
        <f t="shared" si="46"/>
        <v>45.363297921198637</v>
      </c>
      <c r="F92" s="383">
        <f t="shared" si="25"/>
        <v>45.384654125633041</v>
      </c>
      <c r="G92" s="110">
        <f t="shared" si="47"/>
        <v>0.8746859340958516</v>
      </c>
      <c r="H92" s="412" t="b">
        <f>Wh_hp&gt;='2019'!Maxi_hp</f>
        <v>1</v>
      </c>
      <c r="I92" s="388">
        <f>IF(H92,Wh_hp,'2019'!Maxi_hp)</f>
        <v>45.384654125633041</v>
      </c>
      <c r="J92" s="85">
        <f>IF(H92,An,'2019'!An_max)</f>
        <v>2020</v>
      </c>
      <c r="K92" s="197">
        <f t="shared" si="26"/>
        <v>43908</v>
      </c>
      <c r="L92" s="147">
        <f>IF(t&lt;Tvie,1-EXP((T0-t)*PertePVj)+'2019'!Pspv,1-EXP((T0-t)*PertePVj)+Pspv)</f>
        <v>8.2640888473036744E-3</v>
      </c>
      <c r="M92" s="832"/>
      <c r="N92" s="832"/>
      <c r="O92" s="48">
        <f>IF(t&lt;Tnet,'2019'!Resal+('2019'!Salim-'2019'!Resal)*(1-EXP(('2019'!Tnet-t)/('2019'!Tau_j))),Resal+(Salim-Resal)*(1-EXP((Tnet-t)/(Tau_j))))*Salcycl</f>
        <v>2.6149213875681282E-2</v>
      </c>
      <c r="P92" s="169">
        <f>(INDEX(Models!$BJ92:$BT92,,T92)*(1-R92)+INDEX(Models!$BJ92:$BT92,,T92+1)*R92-ERP_i)*Q92*Ramure*Pc/MaxiM</f>
        <v>5.7307928774920813E-4</v>
      </c>
      <c r="Q92" s="304">
        <f t="shared" si="27"/>
        <v>0.7</v>
      </c>
      <c r="R92" s="177">
        <f t="shared" si="28"/>
        <v>0.14685186120491589</v>
      </c>
      <c r="S92" s="799">
        <f t="shared" si="29"/>
        <v>-1</v>
      </c>
      <c r="T92" s="176">
        <f t="shared" si="30"/>
        <v>5</v>
      </c>
      <c r="U92" s="250">
        <f t="shared" si="31"/>
        <v>-0.85314813879508411</v>
      </c>
      <c r="V92" s="382">
        <f t="shared" si="32"/>
        <v>50.083698164452819</v>
      </c>
      <c r="W92" s="58"/>
      <c r="X92" s="157">
        <f t="shared" si="33"/>
        <v>43908</v>
      </c>
      <c r="Y92" s="383">
        <f t="shared" si="34"/>
        <v>43.807332655991935</v>
      </c>
      <c r="Z92" s="383">
        <f t="shared" si="35"/>
        <v>44.172377104984129</v>
      </c>
      <c r="AA92" s="384">
        <f t="shared" si="36"/>
        <v>45.358465315594273</v>
      </c>
      <c r="AB92" s="197">
        <f t="shared" si="37"/>
        <v>43908</v>
      </c>
      <c r="AC92" s="424">
        <f>IF(OR(t&lt;Tnet,NoTnet),'2019'!Resal_s+('2019'!Salim-'2019'!Resal_s)*(1-EXP(('2019'!Tnet_s-t)/'2019'!Tau_j)),Resal_s+(Salim-Resal_s)*(1-EXP((Tnet_s-t)/Tau_j)))*Salcycl</f>
        <v>2.6149213875681282E-2</v>
      </c>
      <c r="AD92" s="230">
        <f>(INDEX(Models!$BJ92:$BT92,,AH92)*(1-AF92)+INDEX(Models!$BJ92:$BT92,,AH92+1)*AF92-ERP_i)*AE92*Ramure*Pc/MaxiM</f>
        <v>7.0275898744622662E-4</v>
      </c>
      <c r="AE92" s="304">
        <f t="shared" si="38"/>
        <v>0.7</v>
      </c>
      <c r="AF92" s="177">
        <f t="shared" si="39"/>
        <v>0.21118408346474804</v>
      </c>
      <c r="AG92" s="176">
        <f t="shared" si="40"/>
        <v>-1</v>
      </c>
      <c r="AH92" s="176">
        <f t="shared" si="41"/>
        <v>5</v>
      </c>
      <c r="AI92" s="224">
        <f t="shared" si="42"/>
        <v>-0.78881591653525196</v>
      </c>
      <c r="AJ92" s="264" t="b">
        <f t="shared" si="43"/>
        <v>0</v>
      </c>
      <c r="AK92" s="264" t="b">
        <f t="shared" si="44"/>
        <v>0</v>
      </c>
      <c r="AL92" s="264"/>
      <c r="AM92" s="264"/>
      <c r="AN92" s="75"/>
    </row>
    <row r="93" spans="1:40" s="6" customFormat="1" ht="11.25" x14ac:dyDescent="0.2">
      <c r="A93" s="56">
        <f t="shared" si="45"/>
        <v>43909</v>
      </c>
      <c r="B93" s="607">
        <v>46.174999999999997</v>
      </c>
      <c r="C93" s="388"/>
      <c r="D93" s="391">
        <f t="shared" si="24"/>
        <v>46.56066643450508</v>
      </c>
      <c r="E93" s="383">
        <f t="shared" si="46"/>
        <v>47.813362975502919</v>
      </c>
      <c r="F93" s="383">
        <f t="shared" si="25"/>
        <v>47.837984509224405</v>
      </c>
      <c r="G93" s="110">
        <f t="shared" si="47"/>
        <v>0.91631953570348168</v>
      </c>
      <c r="H93" s="412" t="b">
        <f>Wh_hp&gt;='2019'!Maxi_hp</f>
        <v>0</v>
      </c>
      <c r="I93" s="388">
        <f>IF(H93,Wh_hp,'2019'!Maxi_hp)</f>
        <v>51.000305055199313</v>
      </c>
      <c r="J93" s="85">
        <f>IF(H93,An,'2019'!An_max)</f>
        <v>2018</v>
      </c>
      <c r="K93" s="197">
        <f t="shared" si="26"/>
        <v>43909</v>
      </c>
      <c r="L93" s="147">
        <f>IF(t&lt;Tvie,1-EXP((T0-t)*PertePVj)+'2019'!Pspv,1-EXP((T0-t)*PertePVj)+Pspv)</f>
        <v>8.2830952397896507E-3</v>
      </c>
      <c r="M93" s="832"/>
      <c r="N93" s="832"/>
      <c r="O93" s="48">
        <f>IF(t&lt;Tnet,'2019'!Resal+('2019'!Salim-'2019'!Resal)*(1-EXP(('2019'!Tnet-t)/('2019'!Tau_j))),Resal+(Salim-Resal)*(1-EXP((Tnet-t)/(Tau_j))))*Salcycl</f>
        <v>2.6199716209873224E-2</v>
      </c>
      <c r="P93" s="169">
        <f>(INDEX(Models!$BJ93:$BT93,,T93)*(1-R93)+INDEX(Models!$BJ93:$BT93,,T93+1)*R93-ERP_i)*Q93*Ramure*Pc/MaxiM</f>
        <v>5.8450634259220769E-4</v>
      </c>
      <c r="Q93" s="304">
        <f t="shared" si="27"/>
        <v>0.7</v>
      </c>
      <c r="R93" s="177">
        <f t="shared" si="28"/>
        <v>0.14737115079101304</v>
      </c>
      <c r="S93" s="799">
        <f t="shared" si="29"/>
        <v>-1</v>
      </c>
      <c r="T93" s="176">
        <f t="shared" si="30"/>
        <v>5</v>
      </c>
      <c r="U93" s="250">
        <f t="shared" si="31"/>
        <v>-0.85262884920898696</v>
      </c>
      <c r="V93" s="382">
        <f t="shared" si="32"/>
        <v>50.388289870004364</v>
      </c>
      <c r="W93" s="58"/>
      <c r="X93" s="157">
        <f t="shared" si="33"/>
        <v>43909</v>
      </c>
      <c r="Y93" s="383">
        <f t="shared" si="34"/>
        <v>46.169570000229356</v>
      </c>
      <c r="Z93" s="383">
        <f t="shared" si="35"/>
        <v>46.555191081867065</v>
      </c>
      <c r="AA93" s="384">
        <f t="shared" si="36"/>
        <v>47.807740310641179</v>
      </c>
      <c r="AB93" s="197">
        <f t="shared" si="37"/>
        <v>43909</v>
      </c>
      <c r="AC93" s="424">
        <f>IF(OR(t&lt;Tnet,NoTnet),'2019'!Resal_s+('2019'!Salim-'2019'!Resal_s)*(1-EXP(('2019'!Tnet_s-t)/'2019'!Tau_j)),Resal_s+(Salim-Resal_s)*(1-EXP((Tnet_s-t)/Tau_j)))*Salcycl</f>
        <v>2.6199716209873224E-2</v>
      </c>
      <c r="AD93" s="230">
        <f>(INDEX(Models!$BJ93:$BT93,,AH93)*(1-AF93)+INDEX(Models!$BJ93:$BT93,,AH93+1)*AF93-ERP_i)*AE93*Ramure*Pc/MaxiM</f>
        <v>7.1798638129061745E-4</v>
      </c>
      <c r="AE93" s="304">
        <f t="shared" si="38"/>
        <v>0.7</v>
      </c>
      <c r="AF93" s="177">
        <f t="shared" si="39"/>
        <v>0.21170337305084519</v>
      </c>
      <c r="AG93" s="176">
        <f t="shared" si="40"/>
        <v>-1</v>
      </c>
      <c r="AH93" s="176">
        <f t="shared" si="41"/>
        <v>5</v>
      </c>
      <c r="AI93" s="224">
        <f t="shared" si="42"/>
        <v>-0.78829662694915481</v>
      </c>
      <c r="AJ93" s="264" t="b">
        <f t="shared" si="43"/>
        <v>0</v>
      </c>
      <c r="AK93" s="264" t="b">
        <f t="shared" si="44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5"/>
        <v>43910</v>
      </c>
      <c r="B94" s="607">
        <v>49.783000000000001</v>
      </c>
      <c r="C94" s="388"/>
      <c r="D94" s="391">
        <f t="shared" si="24"/>
        <v>50.199763520376941</v>
      </c>
      <c r="E94" s="383">
        <f t="shared" si="46"/>
        <v>51.553047019007629</v>
      </c>
      <c r="F94" s="383">
        <f t="shared" si="25"/>
        <v>51.582949818940655</v>
      </c>
      <c r="G94" s="110">
        <f t="shared" si="47"/>
        <v>0.98203351592030297</v>
      </c>
      <c r="H94" s="412" t="b">
        <f>Wh_hp&gt;='2019'!Maxi_hp</f>
        <v>1</v>
      </c>
      <c r="I94" s="388">
        <f>IF(H94,Wh_hp,'2019'!Maxi_hp)</f>
        <v>51.582949818940655</v>
      </c>
      <c r="J94" s="85">
        <f>IF(H94,An,'2019'!An_max)</f>
        <v>2020</v>
      </c>
      <c r="K94" s="197">
        <f t="shared" si="26"/>
        <v>43910</v>
      </c>
      <c r="L94" s="147">
        <f>IF(t&lt;Tvie,1-EXP((T0-t)*PertePVj)+'2019'!Pspv,1-EXP((T0-t)*PertePVj)+Pspv)</f>
        <v>8.3021012680223327E-3</v>
      </c>
      <c r="M94" s="832"/>
      <c r="N94" s="832"/>
      <c r="O94" s="48">
        <f>IF(t&lt;Tnet,'2019'!Resal+('2019'!Salim-'2019'!Resal)*(1-EXP(('2019'!Tnet-t)/('2019'!Tau_j))),Resal+(Salim-Resal)*(1-EXP((Tnet-t)/(Tau_j))))*Salcycl</f>
        <v>2.6250310638898478E-2</v>
      </c>
      <c r="P94" s="169">
        <f>(INDEX(Models!$BJ94:$BT94,,T94)*(1-R94)+INDEX(Models!$BJ94:$BT94,,T94+1)*R94-ERP_i)*Q94*Ramure*Pc/MaxiM</f>
        <v>5.9496094405645547E-4</v>
      </c>
      <c r="Q94" s="304">
        <f t="shared" si="27"/>
        <v>0.7</v>
      </c>
      <c r="R94" s="177">
        <f t="shared" si="28"/>
        <v>0.1479107485427732</v>
      </c>
      <c r="S94" s="799">
        <f t="shared" si="29"/>
        <v>-1</v>
      </c>
      <c r="T94" s="176">
        <f t="shared" si="30"/>
        <v>5</v>
      </c>
      <c r="U94" s="250">
        <f t="shared" si="31"/>
        <v>-0.8520892514572268</v>
      </c>
      <c r="V94" s="382">
        <f t="shared" si="32"/>
        <v>50.693015233178969</v>
      </c>
      <c r="W94" s="58"/>
      <c r="X94" s="157">
        <f t="shared" si="33"/>
        <v>43910</v>
      </c>
      <c r="Y94" s="383">
        <f t="shared" si="34"/>
        <v>49.776341751744575</v>
      </c>
      <c r="Z94" s="383">
        <f t="shared" si="35"/>
        <v>50.193049531909345</v>
      </c>
      <c r="AA94" s="384">
        <f t="shared" si="36"/>
        <v>51.546152035069817</v>
      </c>
      <c r="AB94" s="197">
        <f t="shared" si="37"/>
        <v>43910</v>
      </c>
      <c r="AC94" s="424">
        <f>IF(OR(t&lt;Tnet,NoTnet),'2019'!Resal_s+('2019'!Salim-'2019'!Resal_s)*(1-EXP(('2019'!Tnet_s-t)/'2019'!Tau_j)),Resal_s+(Salim-Resal_s)*(1-EXP((Tnet_s-t)/Tau_j)))*Salcycl</f>
        <v>2.6250310638898478E-2</v>
      </c>
      <c r="AD94" s="230">
        <f>(INDEX(Models!$BJ94:$BT94,,AH94)*(1-AF94)+INDEX(Models!$BJ94:$BT94,,AH94+1)*AF94-ERP_i)*AE94*Ramure*Pc/MaxiM</f>
        <v>7.3214696550215526E-4</v>
      </c>
      <c r="AE94" s="304">
        <f t="shared" si="38"/>
        <v>0.7</v>
      </c>
      <c r="AF94" s="177">
        <f t="shared" si="39"/>
        <v>0.21224297080260535</v>
      </c>
      <c r="AG94" s="176">
        <f t="shared" si="40"/>
        <v>-1</v>
      </c>
      <c r="AH94" s="176">
        <f t="shared" si="41"/>
        <v>5</v>
      </c>
      <c r="AI94" s="224">
        <f t="shared" si="42"/>
        <v>-0.78775702919739465</v>
      </c>
      <c r="AJ94" s="264" t="b">
        <f t="shared" si="43"/>
        <v>0</v>
      </c>
      <c r="AK94" s="264" t="b">
        <f t="shared" si="44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5"/>
        <v>43911</v>
      </c>
      <c r="B95" s="607">
        <v>48.311999999999998</v>
      </c>
      <c r="C95" s="388"/>
      <c r="D95" s="391">
        <f t="shared" si="24"/>
        <v>48.717382549643162</v>
      </c>
      <c r="E95" s="383">
        <f t="shared" si="46"/>
        <v>50.033309005144787</v>
      </c>
      <c r="F95" s="383">
        <f t="shared" si="25"/>
        <v>50.061246590023678</v>
      </c>
      <c r="G95" s="110">
        <f t="shared" si="47"/>
        <v>0.94730522692096242</v>
      </c>
      <c r="H95" s="412" t="b">
        <f>Wh_hp&gt;='2019'!Maxi_hp</f>
        <v>1</v>
      </c>
      <c r="I95" s="388">
        <f>IF(H95,Wh_hp,'2019'!Maxi_hp)</f>
        <v>50.061246590023678</v>
      </c>
      <c r="J95" s="85">
        <f>IF(H95,An,'2019'!An_max)</f>
        <v>2020</v>
      </c>
      <c r="K95" s="197">
        <f t="shared" si="26"/>
        <v>43911</v>
      </c>
      <c r="L95" s="147">
        <f>IF(t&lt;Tvie,1-EXP((T0-t)*PertePVj)+'2019'!Pspv,1-EXP((T0-t)*PertePVj)+Pspv)</f>
        <v>8.321106932008937E-3</v>
      </c>
      <c r="M95" s="832"/>
      <c r="N95" s="832"/>
      <c r="O95" s="48">
        <f>IF(t&lt;Tnet,'2019'!Resal+('2019'!Salim-'2019'!Resal)*(1-EXP(('2019'!Tnet-t)/('2019'!Tau_j))),Resal+(Salim-Resal)*(1-EXP((Tnet-t)/(Tau_j))))*Salcycl</f>
        <v>2.6301007901882167E-2</v>
      </c>
      <c r="P95" s="169">
        <f>(INDEX(Models!$BJ95:$BT95,,T95)*(1-R95)+INDEX(Models!$BJ95:$BT95,,T95+1)*R95-ERP_i)*Q95*Ramure*Pc/MaxiM</f>
        <v>6.0345829434791407E-4</v>
      </c>
      <c r="Q95" s="304">
        <f t="shared" si="27"/>
        <v>0.7</v>
      </c>
      <c r="R95" s="177">
        <f t="shared" si="28"/>
        <v>0.14847138659171299</v>
      </c>
      <c r="S95" s="799">
        <f t="shared" si="29"/>
        <v>-1</v>
      </c>
      <c r="T95" s="176">
        <f t="shared" si="30"/>
        <v>5</v>
      </c>
      <c r="U95" s="250">
        <f t="shared" si="31"/>
        <v>-0.85152861340828701</v>
      </c>
      <c r="V95" s="382">
        <f t="shared" si="32"/>
        <v>50.997085745629903</v>
      </c>
      <c r="W95" s="58"/>
      <c r="X95" s="157">
        <f t="shared" si="33"/>
        <v>43911</v>
      </c>
      <c r="Y95" s="383">
        <f t="shared" si="34"/>
        <v>48.305730357223702</v>
      </c>
      <c r="Z95" s="383">
        <f t="shared" si="35"/>
        <v>48.71106029874106</v>
      </c>
      <c r="AA95" s="384">
        <f t="shared" si="36"/>
        <v>50.026815981167758</v>
      </c>
      <c r="AB95" s="197">
        <f t="shared" si="37"/>
        <v>43911</v>
      </c>
      <c r="AC95" s="424">
        <f>IF(OR(t&lt;Tnet,NoTnet),'2019'!Resal_s+('2019'!Salim-'2019'!Resal_s)*(1-EXP(('2019'!Tnet_s-t)/'2019'!Tau_j)),Resal_s+(Salim-Resal_s)*(1-EXP((Tnet_s-t)/Tau_j)))*Salcycl</f>
        <v>2.6301007901882167E-2</v>
      </c>
      <c r="AD95" s="230">
        <f>(INDEX(Models!$BJ95:$BT95,,AH95)*(1-AF95)+INDEX(Models!$BJ95:$BT95,,AH95+1)*AF95-ERP_i)*AE95*Ramure*Pc/MaxiM</f>
        <v>7.437091138559087E-4</v>
      </c>
      <c r="AE95" s="304">
        <f t="shared" si="38"/>
        <v>0.7</v>
      </c>
      <c r="AF95" s="177">
        <f t="shared" si="39"/>
        <v>0.21280360885154515</v>
      </c>
      <c r="AG95" s="176">
        <f t="shared" si="40"/>
        <v>-1</v>
      </c>
      <c r="AH95" s="176">
        <f t="shared" si="41"/>
        <v>5</v>
      </c>
      <c r="AI95" s="224">
        <f t="shared" si="42"/>
        <v>-0.78719639114845485</v>
      </c>
      <c r="AJ95" s="264" t="b">
        <f t="shared" si="43"/>
        <v>0</v>
      </c>
      <c r="AK95" s="264" t="b">
        <f t="shared" si="44"/>
        <v>0</v>
      </c>
      <c r="AL95" s="264"/>
      <c r="AM95" s="264"/>
      <c r="AN95" s="75"/>
    </row>
    <row r="96" spans="1:40" s="6" customFormat="1" ht="11.25" x14ac:dyDescent="0.2">
      <c r="A96" s="56">
        <f t="shared" si="45"/>
        <v>43912</v>
      </c>
      <c r="B96" s="607">
        <v>39.018000000000001</v>
      </c>
      <c r="C96" s="388"/>
      <c r="D96" s="391">
        <f t="shared" si="24"/>
        <v>39.346151317878771</v>
      </c>
      <c r="E96" s="383">
        <f t="shared" si="46"/>
        <v>40.411056150862606</v>
      </c>
      <c r="F96" s="383">
        <f t="shared" si="25"/>
        <v>40.427283405760605</v>
      </c>
      <c r="G96" s="110">
        <f t="shared" si="47"/>
        <v>0.76043105372132636</v>
      </c>
      <c r="H96" s="412" t="b">
        <f>Wh_hp&gt;='2019'!Maxi_hp</f>
        <v>0</v>
      </c>
      <c r="I96" s="388">
        <f>IF(H96,Wh_hp,'2019'!Maxi_hp)</f>
        <v>47.459774863265395</v>
      </c>
      <c r="J96" s="85">
        <f>IF(H96,An,'2019'!An_max)</f>
        <v>2018</v>
      </c>
      <c r="K96" s="197">
        <f t="shared" si="26"/>
        <v>43912</v>
      </c>
      <c r="L96" s="147">
        <f>IF(t&lt;Tvie,1-EXP((T0-t)*PertePVj)+'2019'!Pspv,1-EXP((T0-t)*PertePVj)+Pspv)</f>
        <v>8.3401122317562359E-3</v>
      </c>
      <c r="M96" s="832"/>
      <c r="N96" s="832"/>
      <c r="O96" s="48">
        <f>IF(t&lt;Tnet,'2019'!Resal+('2019'!Salim-'2019'!Resal)*(1-EXP(('2019'!Tnet-t)/('2019'!Tau_j))),Resal+(Salim-Resal)*(1-EXP((Tnet-t)/(Tau_j))))*Salcycl</f>
        <v>2.6351818893530728E-2</v>
      </c>
      <c r="P96" s="169">
        <f>(INDEX(Models!$BJ96:$BT96,,T96)*(1-R96)+INDEX(Models!$BJ96:$BT96,,T96+1)*R96-ERP_i)*Q96*Ramure*Pc/MaxiM</f>
        <v>6.100342461282936E-4</v>
      </c>
      <c r="Q96" s="304">
        <f t="shared" si="27"/>
        <v>0.7</v>
      </c>
      <c r="R96" s="177">
        <f t="shared" si="28"/>
        <v>0.14905381835354869</v>
      </c>
      <c r="S96" s="799">
        <f t="shared" si="29"/>
        <v>-1</v>
      </c>
      <c r="T96" s="176">
        <f t="shared" si="30"/>
        <v>5</v>
      </c>
      <c r="U96" s="250">
        <f t="shared" si="31"/>
        <v>-0.85094618164645131</v>
      </c>
      <c r="V96" s="382">
        <f t="shared" si="32"/>
        <v>51.299661950172691</v>
      </c>
      <c r="W96" s="58"/>
      <c r="X96" s="157">
        <f t="shared" si="33"/>
        <v>43912</v>
      </c>
      <c r="Y96" s="383">
        <f t="shared" si="34"/>
        <v>39.014335247063514</v>
      </c>
      <c r="Z96" s="383">
        <f t="shared" si="35"/>
        <v>39.34245574343668</v>
      </c>
      <c r="AA96" s="384">
        <f t="shared" si="36"/>
        <v>40.407260555581061</v>
      </c>
      <c r="AB96" s="197">
        <f t="shared" si="37"/>
        <v>43912</v>
      </c>
      <c r="AC96" s="424">
        <f>IF(OR(t&lt;Tnet,NoTnet),'2019'!Resal_s+('2019'!Salim-'2019'!Resal_s)*(1-EXP(('2019'!Tnet_s-t)/'2019'!Tau_j)),Resal_s+(Salim-Resal_s)*(1-EXP((Tnet_s-t)/Tau_j)))*Salcycl</f>
        <v>2.6351818893530728E-2</v>
      </c>
      <c r="AD96" s="230">
        <f>(INDEX(Models!$BJ96:$BT96,,AH96)*(1-AF96)+INDEX(Models!$BJ96:$BT96,,AH96+1)*AF96-ERP_i)*AE96*Ramure*Pc/MaxiM</f>
        <v>7.5272277359249697E-4</v>
      </c>
      <c r="AE96" s="304">
        <f t="shared" si="38"/>
        <v>0.7</v>
      </c>
      <c r="AF96" s="177">
        <f t="shared" si="39"/>
        <v>0.21338604061338085</v>
      </c>
      <c r="AG96" s="176">
        <f t="shared" si="40"/>
        <v>-1</v>
      </c>
      <c r="AH96" s="176">
        <f t="shared" si="41"/>
        <v>5</v>
      </c>
      <c r="AI96" s="224">
        <f t="shared" si="42"/>
        <v>-0.78661395938661915</v>
      </c>
      <c r="AJ96" s="264" t="b">
        <f t="shared" si="43"/>
        <v>0</v>
      </c>
      <c r="AK96" s="264" t="b">
        <f t="shared" si="44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5"/>
        <v>43913</v>
      </c>
      <c r="B97" s="607">
        <v>33.162999999999997</v>
      </c>
      <c r="C97" s="388"/>
      <c r="D97" s="391">
        <f t="shared" si="24"/>
        <v>33.442550195456171</v>
      </c>
      <c r="E97" s="383">
        <f t="shared" si="46"/>
        <v>34.349470845995192</v>
      </c>
      <c r="F97" s="383">
        <f t="shared" si="25"/>
        <v>34.359811302811707</v>
      </c>
      <c r="G97" s="110">
        <f t="shared" si="47"/>
        <v>0.64249326252952887</v>
      </c>
      <c r="H97" s="412" t="b">
        <f>Wh_hp&gt;='2019'!Maxi_hp</f>
        <v>0</v>
      </c>
      <c r="I97" s="388">
        <f>IF(H97,Wh_hp,'2019'!Maxi_hp)</f>
        <v>50.318836298014602</v>
      </c>
      <c r="J97" s="85">
        <f>IF(H97,An,'2019'!An_max)</f>
        <v>2018</v>
      </c>
      <c r="K97" s="197">
        <f t="shared" si="26"/>
        <v>43913</v>
      </c>
      <c r="L97" s="147">
        <f>IF(t&lt;Tvie,1-EXP((T0-t)*PertePVj)+'2019'!Pspv,1-EXP((T0-t)*PertePVj)+Pspv)</f>
        <v>8.3591171672713349E-3</v>
      </c>
      <c r="M97" s="832"/>
      <c r="N97" s="832"/>
      <c r="O97" s="48">
        <f>IF(t&lt;Tnet,'2019'!Resal+('2019'!Salim-'2019'!Resal)*(1-EXP(('2019'!Tnet-t)/('2019'!Tau_j))),Resal+(Salim-Resal)*(1-EXP((Tnet-t)/(Tau_j))))*Salcycl</f>
        <v>2.6402754633548006E-2</v>
      </c>
      <c r="P97" s="169">
        <f>(INDEX(Models!$BJ97:$BT97,,T97)*(1-R97)+INDEX(Models!$BJ97:$BT97,,T97+1)*R97-ERP_i)*Q97*Ramure*Pc/MaxiM</f>
        <v>6.147226921845697E-4</v>
      </c>
      <c r="Q97" s="304">
        <f t="shared" si="27"/>
        <v>0.7</v>
      </c>
      <c r="R97" s="177">
        <f t="shared" si="28"/>
        <v>0.1496588187155965</v>
      </c>
      <c r="S97" s="799">
        <f t="shared" si="29"/>
        <v>-1</v>
      </c>
      <c r="T97" s="176">
        <f t="shared" si="30"/>
        <v>5</v>
      </c>
      <c r="U97" s="250">
        <f t="shared" si="31"/>
        <v>-0.8503411812844035</v>
      </c>
      <c r="V97" s="382">
        <f t="shared" si="32"/>
        <v>51.599904673308416</v>
      </c>
      <c r="W97" s="58"/>
      <c r="X97" s="157">
        <f t="shared" si="33"/>
        <v>43913</v>
      </c>
      <c r="Y97" s="383">
        <f t="shared" si="34"/>
        <v>33.16065306622594</v>
      </c>
      <c r="Z97" s="383">
        <f t="shared" si="35"/>
        <v>33.440183478013708</v>
      </c>
      <c r="AA97" s="384">
        <f t="shared" si="36"/>
        <v>34.347039946099237</v>
      </c>
      <c r="AB97" s="197">
        <f t="shared" si="37"/>
        <v>43913</v>
      </c>
      <c r="AC97" s="424">
        <f>IF(OR(t&lt;Tnet,NoTnet),'2019'!Resal_s+('2019'!Salim-'2019'!Resal_s)*(1-EXP(('2019'!Tnet_s-t)/'2019'!Tau_j)),Resal_s+(Salim-Resal_s)*(1-EXP((Tnet_s-t)/Tau_j)))*Salcycl</f>
        <v>2.6402754633548006E-2</v>
      </c>
      <c r="AD97" s="230">
        <f>(INDEX(Models!$BJ97:$BT97,,AH97)*(1-AF97)+INDEX(Models!$BJ97:$BT97,,AH97+1)*AF97-ERP_i)*AE97*Ramure*Pc/MaxiM</f>
        <v>7.5923558508596484E-4</v>
      </c>
      <c r="AE97" s="304">
        <f t="shared" si="38"/>
        <v>0.7</v>
      </c>
      <c r="AF97" s="177">
        <f t="shared" si="39"/>
        <v>0.21399104097542865</v>
      </c>
      <c r="AG97" s="176">
        <f t="shared" si="40"/>
        <v>-1</v>
      </c>
      <c r="AH97" s="176">
        <f t="shared" si="41"/>
        <v>5</v>
      </c>
      <c r="AI97" s="224">
        <f t="shared" si="42"/>
        <v>-0.78600895902457135</v>
      </c>
      <c r="AJ97" s="264" t="b">
        <f t="shared" si="43"/>
        <v>0</v>
      </c>
      <c r="AK97" s="264" t="b">
        <f t="shared" si="44"/>
        <v>0</v>
      </c>
      <c r="AL97" s="264"/>
      <c r="AM97" s="264"/>
      <c r="AN97" s="75"/>
    </row>
    <row r="98" spans="1:40" s="6" customFormat="1" ht="11.25" x14ac:dyDescent="0.2">
      <c r="A98" s="56">
        <f t="shared" si="45"/>
        <v>43914</v>
      </c>
      <c r="B98" s="607">
        <v>50.212000000000003</v>
      </c>
      <c r="C98" s="388"/>
      <c r="D98" s="391">
        <f t="shared" si="24"/>
        <v>50.63623655423396</v>
      </c>
      <c r="E98" s="383">
        <f t="shared" si="46"/>
        <v>52.012157120892589</v>
      </c>
      <c r="F98" s="383">
        <f t="shared" si="25"/>
        <v>52.042805728748291</v>
      </c>
      <c r="G98" s="110">
        <f t="shared" si="47"/>
        <v>0.96750457734280482</v>
      </c>
      <c r="H98" s="412" t="b">
        <f>Wh_hp&gt;='2019'!Maxi_hp</f>
        <v>1</v>
      </c>
      <c r="I98" s="388">
        <f>IF(H98,Wh_hp,'2019'!Maxi_hp)</f>
        <v>52.042805728748291</v>
      </c>
      <c r="J98" s="85">
        <f>IF(H98,An,'2019'!An_max)</f>
        <v>2020</v>
      </c>
      <c r="K98" s="197">
        <f t="shared" si="26"/>
        <v>43914</v>
      </c>
      <c r="L98" s="147">
        <f>IF(t&lt;Tvie,1-EXP((T0-t)*PertePVj)+'2019'!Pspv,1-EXP((T0-t)*PertePVj)+Pspv)</f>
        <v>8.3781217385612283E-3</v>
      </c>
      <c r="M98" s="832"/>
      <c r="N98" s="832"/>
      <c r="O98" s="48">
        <f>IF(t&lt;Tnet,'2019'!Resal+('2019'!Salim-'2019'!Resal)*(1-EXP(('2019'!Tnet-t)/('2019'!Tau_j))),Resal+(Salim-Resal)*(1-EXP((Tnet-t)/(Tau_j))))*Salcycl</f>
        <v>2.6453826236442345E-2</v>
      </c>
      <c r="P98" s="169">
        <f>(INDEX(Models!$BJ98:$BT98,,T98)*(1-R98)+INDEX(Models!$BJ98:$BT98,,T98+1)*R98-ERP_i)*Q98*Ramure*Pc/MaxiM</f>
        <v>6.1755522516228226E-4</v>
      </c>
      <c r="Q98" s="304">
        <f t="shared" si="27"/>
        <v>0.7</v>
      </c>
      <c r="R98" s="177">
        <f t="shared" si="28"/>
        <v>0.15028718418379428</v>
      </c>
      <c r="S98" s="799">
        <f t="shared" si="29"/>
        <v>-1</v>
      </c>
      <c r="T98" s="176">
        <f t="shared" si="30"/>
        <v>5</v>
      </c>
      <c r="U98" s="250">
        <f t="shared" si="31"/>
        <v>-0.84971281581620572</v>
      </c>
      <c r="V98" s="382">
        <f t="shared" si="32"/>
        <v>51.896975033130133</v>
      </c>
      <c r="W98" s="58"/>
      <c r="X98" s="157">
        <f t="shared" si="33"/>
        <v>43914</v>
      </c>
      <c r="Y98" s="383">
        <f t="shared" si="34"/>
        <v>50.20501754586995</v>
      </c>
      <c r="Z98" s="383">
        <f t="shared" si="35"/>
        <v>50.629195105993333</v>
      </c>
      <c r="AA98" s="384">
        <f t="shared" si="36"/>
        <v>52.004924337866584</v>
      </c>
      <c r="AB98" s="197">
        <f t="shared" si="37"/>
        <v>43914</v>
      </c>
      <c r="AC98" s="424">
        <f>IF(OR(t&lt;Tnet,NoTnet),'2019'!Resal_s+('2019'!Salim-'2019'!Resal_s)*(1-EXP(('2019'!Tnet_s-t)/'2019'!Tau_j)),Resal_s+(Salim-Resal_s)*(1-EXP((Tnet_s-t)/Tau_j)))*Salcycl</f>
        <v>2.6453826236442345E-2</v>
      </c>
      <c r="AD98" s="230">
        <f>(INDEX(Models!$BJ98:$BT98,,AH98)*(1-AF98)+INDEX(Models!$BJ98:$BT98,,AH98+1)*AF98-ERP_i)*AE98*Ramure*Pc/MaxiM</f>
        <v>7.6329244661154879E-4</v>
      </c>
      <c r="AE98" s="304">
        <f t="shared" si="38"/>
        <v>0.7</v>
      </c>
      <c r="AF98" s="177">
        <f t="shared" si="39"/>
        <v>0.21461940644362643</v>
      </c>
      <c r="AG98" s="176">
        <f t="shared" si="40"/>
        <v>-1</v>
      </c>
      <c r="AH98" s="176">
        <f t="shared" si="41"/>
        <v>5</v>
      </c>
      <c r="AI98" s="224">
        <f t="shared" si="42"/>
        <v>-0.78538059355637357</v>
      </c>
      <c r="AJ98" s="264" t="b">
        <f t="shared" si="43"/>
        <v>0</v>
      </c>
      <c r="AK98" s="264" t="b">
        <f t="shared" si="44"/>
        <v>0</v>
      </c>
      <c r="AL98" s="264"/>
      <c r="AM98" s="264"/>
      <c r="AN98" s="75"/>
    </row>
    <row r="99" spans="1:40" s="6" customFormat="1" ht="11.25" x14ac:dyDescent="0.2">
      <c r="A99" s="56">
        <f t="shared" si="45"/>
        <v>43915</v>
      </c>
      <c r="B99" s="607">
        <v>52.487000000000002</v>
      </c>
      <c r="C99" s="388"/>
      <c r="D99" s="391">
        <f t="shared" si="24"/>
        <v>52.931472238877625</v>
      </c>
      <c r="E99" s="383">
        <f t="shared" si="46"/>
        <v>54.372620998795611</v>
      </c>
      <c r="F99" s="383">
        <f t="shared" si="25"/>
        <v>54.406274588280766</v>
      </c>
      <c r="G99" s="110">
        <f t="shared" si="47"/>
        <v>1.0056900814730914</v>
      </c>
      <c r="H99" s="412" t="b">
        <f>Wh_hp&gt;='2019'!Maxi_hp</f>
        <v>1</v>
      </c>
      <c r="I99" s="388">
        <f>IF(H99,Wh_hp,'2019'!Maxi_hp)</f>
        <v>54.406274588280766</v>
      </c>
      <c r="J99" s="85">
        <f>IF(H99,An,'2019'!An_max)</f>
        <v>2020</v>
      </c>
      <c r="K99" s="197">
        <f t="shared" si="26"/>
        <v>43915</v>
      </c>
      <c r="L99" s="147">
        <f>IF(t&lt;Tvie,1-EXP((T0-t)*PertePVj)+'2019'!Pspv,1-EXP((T0-t)*PertePVj)+Pspv)</f>
        <v>8.3971259456327996E-3</v>
      </c>
      <c r="M99" s="832"/>
      <c r="N99" s="832"/>
      <c r="O99" s="48">
        <f>IF(t&lt;Tnet,'2019'!Resal+('2019'!Salim-'2019'!Resal)*(1-EXP(('2019'!Tnet-t)/('2019'!Tau_j))),Resal+(Salim-Resal)*(1-EXP((Tnet-t)/(Tau_j))))*Salcycl</f>
        <v>2.6505044881869992E-2</v>
      </c>
      <c r="P99" s="169">
        <f>(INDEX(Models!$BJ99:$BT99,,T99)*(1-R99)+INDEX(Models!$BJ99:$BT99,,T99+1)*R99-ERP_i)*Q99*Ramure*Pc/MaxiM</f>
        <v>6.1856081380011604E-4</v>
      </c>
      <c r="Q99" s="304">
        <f t="shared" si="27"/>
        <v>0.7</v>
      </c>
      <c r="R99" s="177">
        <f t="shared" si="28"/>
        <v>0.15093973298491725</v>
      </c>
      <c r="S99" s="799">
        <f t="shared" si="29"/>
        <v>-1</v>
      </c>
      <c r="T99" s="176">
        <f t="shared" si="30"/>
        <v>5</v>
      </c>
      <c r="U99" s="250">
        <f t="shared" si="31"/>
        <v>-0.84906026701508275</v>
      </c>
      <c r="V99" s="382">
        <f t="shared" si="32"/>
        <v>52.190034451885325</v>
      </c>
      <c r="W99" s="58"/>
      <c r="X99" s="157">
        <f t="shared" si="33"/>
        <v>43915</v>
      </c>
      <c r="Y99" s="383">
        <f t="shared" si="34"/>
        <v>52.4793124975021</v>
      </c>
      <c r="Z99" s="383">
        <f t="shared" si="35"/>
        <v>52.923719636803703</v>
      </c>
      <c r="AA99" s="384">
        <f t="shared" si="36"/>
        <v>54.364657319032133</v>
      </c>
      <c r="AB99" s="197">
        <f t="shared" si="37"/>
        <v>43915</v>
      </c>
      <c r="AC99" s="424">
        <f>IF(OR(t&lt;Tnet,NoTnet),'2019'!Resal_s+('2019'!Salim-'2019'!Resal_s)*(1-EXP(('2019'!Tnet_s-t)/'2019'!Tau_j)),Resal_s+(Salim-Resal_s)*(1-EXP((Tnet_s-t)/Tau_j)))*Salcycl</f>
        <v>2.6505044881869992E-2</v>
      </c>
      <c r="AD99" s="230">
        <f>(INDEX(Models!$BJ99:$BT99,,AH99)*(1-AF99)+INDEX(Models!$BJ99:$BT99,,AH99+1)*AF99-ERP_i)*AE99*Ramure*Pc/MaxiM</f>
        <v>7.6493510286403067E-4</v>
      </c>
      <c r="AE99" s="304">
        <f t="shared" si="38"/>
        <v>0.7</v>
      </c>
      <c r="AF99" s="177">
        <f t="shared" si="39"/>
        <v>0.2152719552447494</v>
      </c>
      <c r="AG99" s="176">
        <f t="shared" si="40"/>
        <v>-1</v>
      </c>
      <c r="AH99" s="176">
        <f t="shared" si="41"/>
        <v>5</v>
      </c>
      <c r="AI99" s="224">
        <f t="shared" si="42"/>
        <v>-0.7847280447552506</v>
      </c>
      <c r="AJ99" s="264" t="b">
        <f t="shared" si="43"/>
        <v>0</v>
      </c>
      <c r="AK99" s="264" t="b">
        <f t="shared" si="44"/>
        <v>0</v>
      </c>
      <c r="AL99" s="264"/>
      <c r="AM99" s="264"/>
      <c r="AN99" s="75"/>
    </row>
    <row r="100" spans="1:40" s="6" customFormat="1" ht="11.25" x14ac:dyDescent="0.2">
      <c r="A100" s="56">
        <f t="shared" si="45"/>
        <v>43916</v>
      </c>
      <c r="B100" s="607">
        <v>33.567</v>
      </c>
      <c r="C100" s="388"/>
      <c r="D100" s="391">
        <f t="shared" si="24"/>
        <v>33.8519020008263</v>
      </c>
      <c r="E100" s="383">
        <f t="shared" si="46"/>
        <v>34.775412523571816</v>
      </c>
      <c r="F100" s="383">
        <f t="shared" si="25"/>
        <v>34.785832786801059</v>
      </c>
      <c r="G100" s="110">
        <f t="shared" si="47"/>
        <v>0.63943288575136159</v>
      </c>
      <c r="H100" s="412" t="b">
        <f>Wh_hp&gt;='2019'!Maxi_hp</f>
        <v>0</v>
      </c>
      <c r="I100" s="388">
        <f>IF(H100,Wh_hp,'2019'!Maxi_hp)</f>
        <v>53.384217171307384</v>
      </c>
      <c r="J100" s="85">
        <f>IF(H100,An,'2019'!An_max)</f>
        <v>2018</v>
      </c>
      <c r="K100" s="197">
        <f t="shared" si="26"/>
        <v>43916</v>
      </c>
      <c r="L100" s="147">
        <f>IF(t&lt;Tvie,1-EXP((T0-t)*PertePVj)+'2019'!Pspv,1-EXP((T0-t)*PertePVj)+Pspv)</f>
        <v>8.4161297884930431E-3</v>
      </c>
      <c r="M100" s="832"/>
      <c r="N100" s="832"/>
      <c r="O100" s="48">
        <f>IF(t&lt;Tnet,'2019'!Resal+('2019'!Salim-'2019'!Resal)*(1-EXP(('2019'!Tnet-t)/('2019'!Tau_j))),Resal+(Salim-Resal)*(1-EXP((Tnet-t)/(Tau_j))))*Salcycl</f>
        <v>2.6556421785637673E-2</v>
      </c>
      <c r="P100" s="169">
        <f>(INDEX(Models!$BJ100:$BT100,,T100)*(1-R100)+INDEX(Models!$BJ100:$BT100,,T100+1)*R100-ERP_i)*Q100*Ramure*Pc/MaxiM</f>
        <v>6.1739099774599899E-4</v>
      </c>
      <c r="Q100" s="304">
        <f t="shared" si="27"/>
        <v>0.7</v>
      </c>
      <c r="R100" s="177">
        <f t="shared" si="28"/>
        <v>0.15161730511928884</v>
      </c>
      <c r="S100" s="799">
        <f t="shared" si="29"/>
        <v>-1</v>
      </c>
      <c r="T100" s="176">
        <f t="shared" si="30"/>
        <v>5</v>
      </c>
      <c r="U100" s="250">
        <f t="shared" si="31"/>
        <v>-0.84838269488071116</v>
      </c>
      <c r="V100" s="382">
        <f t="shared" si="32"/>
        <v>52.478264323415708</v>
      </c>
      <c r="W100" s="58"/>
      <c r="X100" s="157">
        <f t="shared" si="33"/>
        <v>43916</v>
      </c>
      <c r="Y100" s="383">
        <f t="shared" si="34"/>
        <v>33.564616235346442</v>
      </c>
      <c r="Z100" s="383">
        <f t="shared" si="35"/>
        <v>33.849498003821942</v>
      </c>
      <c r="AA100" s="384">
        <f t="shared" si="36"/>
        <v>34.772942943353549</v>
      </c>
      <c r="AB100" s="197">
        <f t="shared" si="37"/>
        <v>43916</v>
      </c>
      <c r="AC100" s="424">
        <f>IF(OR(t&lt;Tnet,NoTnet),'2019'!Resal_s+('2019'!Salim-'2019'!Resal_s)*(1-EXP(('2019'!Tnet_s-t)/'2019'!Tau_j)),Resal_s+(Salim-Resal_s)*(1-EXP((Tnet_s-t)/Tau_j)))*Salcycl</f>
        <v>2.6556421785637673E-2</v>
      </c>
      <c r="AD100" s="230">
        <f>(INDEX(Models!$BJ100:$BT100,,AH100)*(1-AF100)+INDEX(Models!$BJ100:$BT100,,AH100+1)*AF100-ERP_i)*AE100*Ramure*Pc/MaxiM</f>
        <v>7.6371135083378361E-4</v>
      </c>
      <c r="AE100" s="304">
        <f t="shared" si="38"/>
        <v>0.7</v>
      </c>
      <c r="AF100" s="177">
        <f t="shared" si="39"/>
        <v>0.21594952737912099</v>
      </c>
      <c r="AG100" s="176">
        <f t="shared" si="40"/>
        <v>-1</v>
      </c>
      <c r="AH100" s="176">
        <f t="shared" si="41"/>
        <v>5</v>
      </c>
      <c r="AI100" s="224">
        <f t="shared" si="42"/>
        <v>-0.78405047262087901</v>
      </c>
      <c r="AJ100" s="264" t="b">
        <f t="shared" si="43"/>
        <v>0</v>
      </c>
      <c r="AK100" s="264" t="b">
        <f t="shared" si="44"/>
        <v>0</v>
      </c>
      <c r="AL100" s="264"/>
      <c r="AM100" s="264"/>
      <c r="AN100" s="75"/>
    </row>
    <row r="101" spans="1:40" s="6" customFormat="1" ht="11.25" x14ac:dyDescent="0.2">
      <c r="A101" s="56">
        <f t="shared" si="45"/>
        <v>43917</v>
      </c>
      <c r="B101" s="607">
        <v>45.75</v>
      </c>
      <c r="C101" s="388"/>
      <c r="D101" s="391">
        <f t="shared" si="24"/>
        <v>46.139190218329951</v>
      </c>
      <c r="E101" s="383">
        <f t="shared" si="46"/>
        <v>47.400419059992231</v>
      </c>
      <c r="F101" s="383">
        <f t="shared" si="25"/>
        <v>47.424056323936327</v>
      </c>
      <c r="G101" s="110">
        <f t="shared" si="47"/>
        <v>0.86702027217292998</v>
      </c>
      <c r="H101" s="412" t="b">
        <f>Wh_hp&gt;='2019'!Maxi_hp</f>
        <v>0</v>
      </c>
      <c r="I101" s="388">
        <f>IF(H101,Wh_hp,'2019'!Maxi_hp)</f>
        <v>52.152350805552508</v>
      </c>
      <c r="J101" s="85">
        <f>IF(H101,An,'2019'!An_max)</f>
        <v>2018</v>
      </c>
      <c r="K101" s="197">
        <f t="shared" si="26"/>
        <v>43917</v>
      </c>
      <c r="L101" s="147">
        <f>IF(t&lt;Tvie,1-EXP((T0-t)*PertePVj)+'2019'!Pspv,1-EXP((T0-t)*PertePVj)+Pspv)</f>
        <v>8.4351332671490642E-3</v>
      </c>
      <c r="M101" s="832"/>
      <c r="N101" s="832"/>
      <c r="O101" s="48">
        <f>IF(t&lt;Tnet,'2019'!Resal+('2019'!Salim-'2019'!Resal)*(1-EXP(('2019'!Tnet-t)/('2019'!Tau_j))),Resal+(Salim-Resal)*(1-EXP((Tnet-t)/(Tau_j))))*Salcycl</f>
        <v>2.6607968171463089E-2</v>
      </c>
      <c r="P101" s="169">
        <f>(INDEX(Models!$BJ101:$BT101,,T101)*(1-R101)+INDEX(Models!$BJ101:$BT101,,T101+1)*R101-ERP_i)*Q101*Ramure*Pc/MaxiM</f>
        <v>6.152057250319807E-4</v>
      </c>
      <c r="Q101" s="304">
        <f t="shared" si="27"/>
        <v>0.7</v>
      </c>
      <c r="R101" s="177">
        <f t="shared" si="28"/>
        <v>0.15232076235902026</v>
      </c>
      <c r="S101" s="799">
        <f t="shared" si="29"/>
        <v>-1</v>
      </c>
      <c r="T101" s="176">
        <f t="shared" si="30"/>
        <v>5</v>
      </c>
      <c r="U101" s="250">
        <f t="shared" si="31"/>
        <v>-0.84767923764097974</v>
      </c>
      <c r="V101" s="382">
        <f t="shared" si="32"/>
        <v>52.760766981923673</v>
      </c>
      <c r="W101" s="58"/>
      <c r="X101" s="157">
        <f t="shared" si="33"/>
        <v>43917</v>
      </c>
      <c r="Y101" s="383">
        <f t="shared" si="34"/>
        <v>45.744592952016703</v>
      </c>
      <c r="Z101" s="383">
        <f t="shared" si="35"/>
        <v>46.133737173184137</v>
      </c>
      <c r="AA101" s="384">
        <f t="shared" si="36"/>
        <v>47.394816954193637</v>
      </c>
      <c r="AB101" s="197">
        <f t="shared" si="37"/>
        <v>43917</v>
      </c>
      <c r="AC101" s="424">
        <f>IF(OR(t&lt;Tnet,NoTnet),'2019'!Resal_s+('2019'!Salim-'2019'!Resal_s)*(1-EXP(('2019'!Tnet_s-t)/'2019'!Tau_j)),Resal_s+(Salim-Resal_s)*(1-EXP((Tnet_s-t)/Tau_j)))*Salcycl</f>
        <v>2.6607968171463089E-2</v>
      </c>
      <c r="AD101" s="230">
        <f>(INDEX(Models!$BJ101:$BT101,,AH101)*(1-AF101)+INDEX(Models!$BJ101:$BT101,,AH101+1)*AF101-ERP_i)*AE101*Ramure*Pc/MaxiM</f>
        <v>7.6101141420491019E-4</v>
      </c>
      <c r="AE101" s="304">
        <f t="shared" si="38"/>
        <v>0.7</v>
      </c>
      <c r="AF101" s="177">
        <f t="shared" si="39"/>
        <v>0.21665298461885241</v>
      </c>
      <c r="AG101" s="176">
        <f t="shared" si="40"/>
        <v>-1</v>
      </c>
      <c r="AH101" s="176">
        <f t="shared" si="41"/>
        <v>5</v>
      </c>
      <c r="AI101" s="224">
        <f t="shared" si="42"/>
        <v>-0.78334701538114759</v>
      </c>
      <c r="AJ101" s="264" t="b">
        <f t="shared" si="43"/>
        <v>0</v>
      </c>
      <c r="AK101" s="264" t="b">
        <f t="shared" si="44"/>
        <v>0</v>
      </c>
      <c r="AL101" s="264"/>
      <c r="AM101" s="264"/>
      <c r="AN101" s="75"/>
    </row>
    <row r="102" spans="1:40" s="6" customFormat="1" ht="11.25" x14ac:dyDescent="0.2">
      <c r="A102" s="56">
        <f t="shared" si="45"/>
        <v>43918</v>
      </c>
      <c r="B102" s="607">
        <v>48.911000000000001</v>
      </c>
      <c r="C102" s="388"/>
      <c r="D102" s="391">
        <f t="shared" si="24"/>
        <v>49.328025858039332</v>
      </c>
      <c r="E102" s="383">
        <f t="shared" si="46"/>
        <v>50.679115636111632</v>
      </c>
      <c r="F102" s="383">
        <f t="shared" si="25"/>
        <v>50.706700297193429</v>
      </c>
      <c r="G102" s="110">
        <f t="shared" si="47"/>
        <v>0.92214763402154232</v>
      </c>
      <c r="H102" s="412" t="b">
        <f>Wh_hp&gt;='2019'!Maxi_hp</f>
        <v>0</v>
      </c>
      <c r="I102" s="388">
        <f>IF(H102,Wh_hp,'2019'!Maxi_hp)</f>
        <v>53.3181708151496</v>
      </c>
      <c r="J102" s="85">
        <f>IF(H102,An,'2019'!An_max)</f>
        <v>2018</v>
      </c>
      <c r="K102" s="197">
        <f t="shared" si="26"/>
        <v>43918</v>
      </c>
      <c r="L102" s="147">
        <f>IF(t&lt;Tvie,1-EXP((T0-t)*PertePVj)+'2019'!Pspv,1-EXP((T0-t)*PertePVj)+Pspv)</f>
        <v>8.4541363816076354E-3</v>
      </c>
      <c r="M102" s="832"/>
      <c r="N102" s="832"/>
      <c r="O102" s="48">
        <f>IF(t&lt;Tnet,'2019'!Resal+('2019'!Salim-'2019'!Resal)*(1-EXP(('2019'!Tnet-t)/('2019'!Tau_j))),Resal+(Salim-Resal)*(1-EXP((Tnet-t)/(Tau_j))))*Salcycl</f>
        <v>2.6659695243568357E-2</v>
      </c>
      <c r="P102" s="169">
        <f>(INDEX(Models!$BJ102:$BT102,,T102)*(1-R102)+INDEX(Models!$BJ102:$BT102,,T102+1)*R102-ERP_i)*Q102*Ramure*Pc/MaxiM</f>
        <v>6.1201643338258519E-4</v>
      </c>
      <c r="Q102" s="304">
        <f t="shared" si="27"/>
        <v>0.7</v>
      </c>
      <c r="R102" s="177">
        <f t="shared" si="28"/>
        <v>0.1530509881865294</v>
      </c>
      <c r="S102" s="799">
        <f t="shared" si="29"/>
        <v>-1</v>
      </c>
      <c r="T102" s="176">
        <f t="shared" si="30"/>
        <v>5</v>
      </c>
      <c r="U102" s="250">
        <f t="shared" si="31"/>
        <v>-0.8469490118134706</v>
      </c>
      <c r="V102" s="382">
        <f t="shared" si="32"/>
        <v>53.036704581418597</v>
      </c>
      <c r="W102" s="58"/>
      <c r="X102" s="157">
        <f t="shared" si="33"/>
        <v>43918</v>
      </c>
      <c r="Y102" s="383">
        <f t="shared" si="34"/>
        <v>48.904699586490018</v>
      </c>
      <c r="Z102" s="383">
        <f t="shared" si="35"/>
        <v>49.321671725829056</v>
      </c>
      <c r="AA102" s="384">
        <f t="shared" si="36"/>
        <v>50.672587464844881</v>
      </c>
      <c r="AB102" s="197">
        <f t="shared" si="37"/>
        <v>43918</v>
      </c>
      <c r="AC102" s="424">
        <f>IF(OR(t&lt;Tnet,NoTnet),'2019'!Resal_s+('2019'!Salim-'2019'!Resal_s)*(1-EXP(('2019'!Tnet_s-t)/'2019'!Tau_j)),Resal_s+(Salim-Resal_s)*(1-EXP((Tnet_s-t)/Tau_j)))*Salcycl</f>
        <v>2.6659695243568357E-2</v>
      </c>
      <c r="AD102" s="230">
        <f>(INDEX(Models!$BJ102:$BT102,,AH102)*(1-AF102)+INDEX(Models!$BJ102:$BT102,,AH102+1)*AF102-ERP_i)*AE102*Ramure*Pc/MaxiM</f>
        <v>7.5685591802721541E-4</v>
      </c>
      <c r="AE102" s="304">
        <f t="shared" si="38"/>
        <v>0.7</v>
      </c>
      <c r="AF102" s="177">
        <f t="shared" si="39"/>
        <v>0.21738321044636155</v>
      </c>
      <c r="AG102" s="176">
        <f t="shared" si="40"/>
        <v>-1</v>
      </c>
      <c r="AH102" s="176">
        <f t="shared" si="41"/>
        <v>5</v>
      </c>
      <c r="AI102" s="224">
        <f t="shared" si="42"/>
        <v>-0.78261678955363845</v>
      </c>
      <c r="AJ102" s="264" t="b">
        <f t="shared" si="43"/>
        <v>0</v>
      </c>
      <c r="AK102" s="264" t="b">
        <f t="shared" si="44"/>
        <v>0</v>
      </c>
      <c r="AL102" s="264"/>
      <c r="AM102" s="264"/>
      <c r="AN102" s="75"/>
    </row>
    <row r="103" spans="1:40" s="6" customFormat="1" ht="11.25" x14ac:dyDescent="0.2">
      <c r="A103" s="56">
        <f t="shared" si="45"/>
        <v>43919</v>
      </c>
      <c r="B103" s="607">
        <v>40.576999999999998</v>
      </c>
      <c r="C103" s="388"/>
      <c r="D103" s="391">
        <f t="shared" si="24"/>
        <v>40.923752650001944</v>
      </c>
      <c r="E103" s="383">
        <f t="shared" si="46"/>
        <v>42.046893033341938</v>
      </c>
      <c r="F103" s="383">
        <f t="shared" si="25"/>
        <v>42.063739206030206</v>
      </c>
      <c r="G103" s="110">
        <f t="shared" si="47"/>
        <v>0.76106183344581757</v>
      </c>
      <c r="H103" s="412" t="b">
        <f>Wh_hp&gt;='2019'!Maxi_hp</f>
        <v>0</v>
      </c>
      <c r="I103" s="388">
        <f>IF(H103,Wh_hp,'2019'!Maxi_hp)</f>
        <v>54.961612248927921</v>
      </c>
      <c r="J103" s="85">
        <f>IF(H103,An,'2019'!An_max)</f>
        <v>2018</v>
      </c>
      <c r="K103" s="197">
        <f t="shared" si="26"/>
        <v>43919</v>
      </c>
      <c r="L103" s="147">
        <f>IF(t&lt;Tvie,1-EXP((T0-t)*PertePVj)+'2019'!Pspv,1-EXP((T0-t)*PertePVj)+Pspv)</f>
        <v>8.473139131875973E-3</v>
      </c>
      <c r="M103" s="832"/>
      <c r="N103" s="832"/>
      <c r="O103" s="48">
        <f>IF(t&lt;Tnet,'2019'!Resal+('2019'!Salim-'2019'!Resal)*(1-EXP(('2019'!Tnet-t)/('2019'!Tau_j))),Resal+(Salim-Resal)*(1-EXP((Tnet-t)/(Tau_j))))*Salcycl</f>
        <v>2.6711614160156286E-2</v>
      </c>
      <c r="P103" s="169">
        <f>(INDEX(Models!$BJ103:$BT103,,T103)*(1-R103)+INDEX(Models!$BJ103:$BT103,,T103+1)*R103-ERP_i)*Q103*Ramure*Pc/MaxiM</f>
        <v>6.0783196678880535E-4</v>
      </c>
      <c r="Q103" s="304">
        <f t="shared" si="27"/>
        <v>0.7</v>
      </c>
      <c r="R103" s="177">
        <f t="shared" si="28"/>
        <v>0.15380888766782408</v>
      </c>
      <c r="S103" s="799">
        <f t="shared" si="29"/>
        <v>-1</v>
      </c>
      <c r="T103" s="176">
        <f t="shared" si="30"/>
        <v>5</v>
      </c>
      <c r="U103" s="250">
        <f t="shared" si="31"/>
        <v>-0.84619111233217592</v>
      </c>
      <c r="V103" s="382">
        <f t="shared" si="32"/>
        <v>53.305239593997406</v>
      </c>
      <c r="W103" s="58"/>
      <c r="X103" s="157">
        <f t="shared" si="33"/>
        <v>43919</v>
      </c>
      <c r="Y103" s="383">
        <f t="shared" si="34"/>
        <v>40.573163771560424</v>
      </c>
      <c r="Z103" s="383">
        <f t="shared" si="35"/>
        <v>40.919883638892941</v>
      </c>
      <c r="AA103" s="384">
        <f t="shared" si="36"/>
        <v>42.042917838358321</v>
      </c>
      <c r="AB103" s="197">
        <f t="shared" si="37"/>
        <v>43919</v>
      </c>
      <c r="AC103" s="424">
        <f>IF(OR(t&lt;Tnet,NoTnet),'2019'!Resal_s+('2019'!Salim-'2019'!Resal_s)*(1-EXP(('2019'!Tnet_s-t)/'2019'!Tau_j)),Resal_s+(Salim-Resal_s)*(1-EXP((Tnet_s-t)/Tau_j)))*Salcycl</f>
        <v>2.6711614160156286E-2</v>
      </c>
      <c r="AD103" s="230">
        <f>(INDEX(Models!$BJ103:$BT103,,AH103)*(1-AF103)+INDEX(Models!$BJ103:$BT103,,AH103+1)*AF103-ERP_i)*AE103*Ramure*Pc/MaxiM</f>
        <v>7.5126220640296486E-4</v>
      </c>
      <c r="AE103" s="304">
        <f t="shared" si="38"/>
        <v>0.7</v>
      </c>
      <c r="AF103" s="177">
        <f t="shared" si="39"/>
        <v>0.21814110992765623</v>
      </c>
      <c r="AG103" s="176">
        <f t="shared" si="40"/>
        <v>-1</v>
      </c>
      <c r="AH103" s="176">
        <f t="shared" si="41"/>
        <v>5</v>
      </c>
      <c r="AI103" s="224">
        <f t="shared" si="42"/>
        <v>-0.78185889007234377</v>
      </c>
      <c r="AJ103" s="264" t="b">
        <f t="shared" si="43"/>
        <v>0</v>
      </c>
      <c r="AK103" s="264" t="b">
        <f t="shared" si="44"/>
        <v>0</v>
      </c>
      <c r="AL103" s="264"/>
      <c r="AM103" s="264"/>
      <c r="AN103" s="75"/>
    </row>
    <row r="104" spans="1:40" s="6" customFormat="1" ht="11.25" x14ac:dyDescent="0.2">
      <c r="A104" s="56">
        <f t="shared" si="45"/>
        <v>43920</v>
      </c>
      <c r="B104" s="607">
        <v>18.213999999999999</v>
      </c>
      <c r="C104" s="388"/>
      <c r="D104" s="391">
        <f t="shared" si="24"/>
        <v>18.37000064516376</v>
      </c>
      <c r="E104" s="383">
        <f t="shared" si="46"/>
        <v>18.875170731729838</v>
      </c>
      <c r="F104" s="383">
        <f t="shared" si="25"/>
        <v>18.875821291410865</v>
      </c>
      <c r="G104" s="110">
        <f t="shared" si="47"/>
        <v>0.33983886533948843</v>
      </c>
      <c r="H104" s="412" t="b">
        <f>Wh_hp&gt;='2019'!Maxi_hp</f>
        <v>0</v>
      </c>
      <c r="I104" s="388">
        <f>IF(H104,Wh_hp,'2019'!Maxi_hp)</f>
        <v>49.106140962917586</v>
      </c>
      <c r="J104" s="85">
        <f>IF(H104,An,'2019'!An_max)</f>
        <v>2018</v>
      </c>
      <c r="K104" s="197">
        <f t="shared" si="26"/>
        <v>43920</v>
      </c>
      <c r="L104" s="147">
        <f>IF(t&lt;Tvie,1-EXP((T0-t)*PertePVj)+'2019'!Pspv,1-EXP((T0-t)*PertePVj)+Pspv)</f>
        <v>8.4921415179608495E-3</v>
      </c>
      <c r="M104" s="832"/>
      <c r="N104" s="832"/>
      <c r="O104" s="48">
        <f>IF(t&lt;Tnet,'2019'!Resal+('2019'!Salim-'2019'!Resal)*(1-EXP(('2019'!Tnet-t)/('2019'!Tau_j))),Resal+(Salim-Resal)*(1-EXP((Tnet-t)/(Tau_j))))*Salcycl</f>
        <v>2.6763736007795146E-2</v>
      </c>
      <c r="P104" s="169">
        <f>(INDEX(Models!$BJ104:$BT104,,T104)*(1-R104)+INDEX(Models!$BJ104:$BT104,,T104+1)*R104-ERP_i)*Q104*Ramure*Pc/MaxiM</f>
        <v>6.0265840195020029E-4</v>
      </c>
      <c r="Q104" s="304">
        <f t="shared" si="27"/>
        <v>0.7</v>
      </c>
      <c r="R104" s="177">
        <f t="shared" si="28"/>
        <v>0.15459538725475541</v>
      </c>
      <c r="S104" s="799">
        <f t="shared" si="29"/>
        <v>-1</v>
      </c>
      <c r="T104" s="176">
        <f t="shared" si="30"/>
        <v>5</v>
      </c>
      <c r="U104" s="250">
        <f t="shared" si="31"/>
        <v>-0.84540461274524459</v>
      </c>
      <c r="V104" s="382">
        <f t="shared" si="32"/>
        <v>53.56553481556314</v>
      </c>
      <c r="W104" s="58"/>
      <c r="X104" s="157">
        <f t="shared" si="33"/>
        <v>43920</v>
      </c>
      <c r="Y104" s="383">
        <f t="shared" si="34"/>
        <v>18.213852514331943</v>
      </c>
      <c r="Z104" s="383">
        <f t="shared" si="35"/>
        <v>18.369851896299298</v>
      </c>
      <c r="AA104" s="384">
        <f t="shared" si="36"/>
        <v>18.875017892311533</v>
      </c>
      <c r="AB104" s="197">
        <f t="shared" si="37"/>
        <v>43920</v>
      </c>
      <c r="AC104" s="424">
        <f>IF(OR(t&lt;Tnet,NoTnet),'2019'!Resal_s+('2019'!Salim-'2019'!Resal_s)*(1-EXP(('2019'!Tnet_s-t)/'2019'!Tau_j)),Resal_s+(Salim-Resal_s)*(1-EXP((Tnet_s-t)/Tau_j)))*Salcycl</f>
        <v>2.6763736007795146E-2</v>
      </c>
      <c r="AD104" s="230">
        <f>(INDEX(Models!$BJ104:$BT104,,AH104)*(1-AF104)+INDEX(Models!$BJ104:$BT104,,AH104+1)*AF104-ERP_i)*AE104*Ramure*Pc/MaxiM</f>
        <v>7.4424412002596727E-4</v>
      </c>
      <c r="AE104" s="304">
        <f t="shared" si="38"/>
        <v>0.7</v>
      </c>
      <c r="AF104" s="177">
        <f t="shared" si="39"/>
        <v>0.21892760951458756</v>
      </c>
      <c r="AG104" s="176">
        <f t="shared" si="40"/>
        <v>-1</v>
      </c>
      <c r="AH104" s="176">
        <f t="shared" si="41"/>
        <v>5</v>
      </c>
      <c r="AI104" s="224">
        <f t="shared" si="42"/>
        <v>-0.78107239048541244</v>
      </c>
      <c r="AJ104" s="264" t="b">
        <f t="shared" si="43"/>
        <v>0</v>
      </c>
      <c r="AK104" s="264" t="b">
        <f t="shared" si="44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5"/>
        <v>43921</v>
      </c>
      <c r="B105" s="607">
        <v>42.756999999999998</v>
      </c>
      <c r="C105" s="388"/>
      <c r="D105" s="391">
        <f t="shared" si="24"/>
        <v>43.124034850632057</v>
      </c>
      <c r="E105" s="383">
        <f t="shared" si="46"/>
        <v>44.312317127310493</v>
      </c>
      <c r="F105" s="383">
        <f t="shared" si="25"/>
        <v>44.330997205263358</v>
      </c>
      <c r="G105" s="110">
        <f t="shared" si="47"/>
        <v>0.79435317981864895</v>
      </c>
      <c r="H105" s="412" t="b">
        <f>Wh_hp&gt;='2019'!Maxi_hp</f>
        <v>1</v>
      </c>
      <c r="I105" s="388">
        <f>IF(H105,Wh_hp,'2019'!Maxi_hp)</f>
        <v>44.330997205263358</v>
      </c>
      <c r="J105" s="85">
        <f>IF(H105,An,'2019'!An_max)</f>
        <v>2020</v>
      </c>
      <c r="K105" s="197">
        <f t="shared" si="26"/>
        <v>43921</v>
      </c>
      <c r="L105" s="147">
        <f>IF(t&lt;Tvie,1-EXP((T0-t)*PertePVj)+'2019'!Pspv,1-EXP((T0-t)*PertePVj)+Pspv)</f>
        <v>8.5111435398693702E-3</v>
      </c>
      <c r="M105" s="832"/>
      <c r="N105" s="832"/>
      <c r="O105" s="48">
        <f>IF(t&lt;Tnet,'2019'!Resal+('2019'!Salim-'2019'!Resal)*(1-EXP(('2019'!Tnet-t)/('2019'!Tau_j))),Resal+(Salim-Resal)*(1-EXP((Tnet-t)/(Tau_j))))*Salcycl</f>
        <v>2.6816071776713142E-2</v>
      </c>
      <c r="P105" s="169">
        <f>(INDEX(Models!$BJ105:$BT105,,T105)*(1-R105)+INDEX(Models!$BJ105:$BT105,,T105+1)*R105-ERP_i)*Q105*Ramure*Pc/MaxiM</f>
        <v>5.9649887331925588E-4</v>
      </c>
      <c r="Q105" s="304">
        <f t="shared" si="27"/>
        <v>0.7</v>
      </c>
      <c r="R105" s="177">
        <f t="shared" si="28"/>
        <v>0.15541143451018358</v>
      </c>
      <c r="S105" s="799">
        <f t="shared" si="29"/>
        <v>-1</v>
      </c>
      <c r="T105" s="176">
        <f t="shared" si="30"/>
        <v>5</v>
      </c>
      <c r="U105" s="250">
        <f t="shared" si="31"/>
        <v>-0.84458856548981642</v>
      </c>
      <c r="V105" s="382">
        <f t="shared" si="32"/>
        <v>53.816753376823989</v>
      </c>
      <c r="W105" s="58"/>
      <c r="X105" s="157">
        <f t="shared" si="33"/>
        <v>43921</v>
      </c>
      <c r="Y105" s="383">
        <f t="shared" si="34"/>
        <v>42.752790377419544</v>
      </c>
      <c r="Z105" s="383">
        <f t="shared" si="35"/>
        <v>43.119789091788654</v>
      </c>
      <c r="AA105" s="384">
        <f t="shared" si="36"/>
        <v>44.307954376631741</v>
      </c>
      <c r="AB105" s="197">
        <f t="shared" si="37"/>
        <v>43921</v>
      </c>
      <c r="AC105" s="424">
        <f>IF(OR(t&lt;Tnet,NoTnet),'2019'!Resal_s+('2019'!Salim-'2019'!Resal_s)*(1-EXP(('2019'!Tnet_s-t)/'2019'!Tau_j)),Resal_s+(Salim-Resal_s)*(1-EXP((Tnet_s-t)/Tau_j)))*Salcycl</f>
        <v>2.6816071776713142E-2</v>
      </c>
      <c r="AD105" s="230">
        <f>(INDEX(Models!$BJ105:$BT105,,AH105)*(1-AF105)+INDEX(Models!$BJ105:$BT105,,AH105+1)*AF105-ERP_i)*AE105*Ramure*Pc/MaxiM</f>
        <v>7.3581177506469131E-4</v>
      </c>
      <c r="AE105" s="304">
        <f t="shared" si="38"/>
        <v>0.7</v>
      </c>
      <c r="AF105" s="177">
        <f t="shared" si="39"/>
        <v>0.21974365677001573</v>
      </c>
      <c r="AG105" s="176">
        <f t="shared" si="40"/>
        <v>-1</v>
      </c>
      <c r="AH105" s="176">
        <f t="shared" si="41"/>
        <v>5</v>
      </c>
      <c r="AI105" s="224">
        <f t="shared" si="42"/>
        <v>-0.78025634322998427</v>
      </c>
      <c r="AJ105" s="264" t="b">
        <f t="shared" si="43"/>
        <v>0</v>
      </c>
      <c r="AK105" s="264" t="b">
        <f t="shared" si="44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5"/>
        <v>43922</v>
      </c>
      <c r="B106" s="607">
        <v>40.999000000000002</v>
      </c>
      <c r="C106" s="388"/>
      <c r="D106" s="391">
        <f t="shared" si="24"/>
        <v>41.351736314939657</v>
      </c>
      <c r="E106" s="383">
        <f t="shared" si="46"/>
        <v>42.493477950717079</v>
      </c>
      <c r="F106" s="383">
        <f t="shared" si="25"/>
        <v>42.509885218631823</v>
      </c>
      <c r="G106" s="110">
        <f t="shared" si="47"/>
        <v>0.75827099507960904</v>
      </c>
      <c r="H106" s="412" t="b">
        <f>Wh_hp&gt;='2019'!Maxi_hp</f>
        <v>1</v>
      </c>
      <c r="I106" s="388">
        <f>IF(H106,Wh_hp,'2019'!Maxi_hp)</f>
        <v>42.509885218631823</v>
      </c>
      <c r="J106" s="85">
        <f>IF(H106,An,'2019'!An_max)</f>
        <v>2020</v>
      </c>
      <c r="K106" s="197">
        <f t="shared" si="26"/>
        <v>43922</v>
      </c>
      <c r="L106" s="147">
        <f>IF(t&lt;Tvie,1-EXP((T0-t)*PertePVj)+'2019'!Pspv,1-EXP((T0-t)*PertePVj)+Pspv)</f>
        <v>8.5301451976084186E-3</v>
      </c>
      <c r="M106" s="832"/>
      <c r="N106" s="832"/>
      <c r="O106" s="48">
        <f>IF(t&lt;Tnet,'2019'!Resal+('2019'!Salim-'2019'!Resal)*(1-EXP(('2019'!Tnet-t)/('2019'!Tau_j))),Resal+(Salim-Resal)*(1-EXP((Tnet-t)/(Tau_j))))*Salcycl</f>
        <v>2.6868632336980901E-2</v>
      </c>
      <c r="P106" s="169">
        <f>(INDEX(Models!$BJ106:$BT106,,T106)*(1-R106)+INDEX(Models!$BJ106:$BT106,,T106+1)*R106-ERP_i)*Q106*Ramure*Pc/MaxiM</f>
        <v>5.8935339482890365E-4</v>
      </c>
      <c r="Q106" s="304">
        <f t="shared" si="27"/>
        <v>0.7</v>
      </c>
      <c r="R106" s="177">
        <f t="shared" si="28"/>
        <v>0.15625799774973514</v>
      </c>
      <c r="S106" s="799">
        <f t="shared" si="29"/>
        <v>-1</v>
      </c>
      <c r="T106" s="176">
        <f t="shared" si="30"/>
        <v>5</v>
      </c>
      <c r="U106" s="250">
        <f t="shared" si="31"/>
        <v>-0.84374200225026486</v>
      </c>
      <c r="V106" s="382">
        <f t="shared" si="32"/>
        <v>54.058058751654848</v>
      </c>
      <c r="W106" s="58"/>
      <c r="X106" s="157">
        <f t="shared" si="33"/>
        <v>43922</v>
      </c>
      <c r="Y106" s="383">
        <f t="shared" si="34"/>
        <v>40.995330395852818</v>
      </c>
      <c r="Z106" s="383">
        <f t="shared" si="35"/>
        <v>41.348035139226234</v>
      </c>
      <c r="AA106" s="384">
        <f t="shared" si="36"/>
        <v>42.489674583734562</v>
      </c>
      <c r="AB106" s="197">
        <f t="shared" si="37"/>
        <v>43922</v>
      </c>
      <c r="AC106" s="424">
        <f>IF(OR(t&lt;Tnet,NoTnet),'2019'!Resal_s+('2019'!Salim-'2019'!Resal_s)*(1-EXP(('2019'!Tnet_s-t)/'2019'!Tau_j)),Resal_s+(Salim-Resal_s)*(1-EXP((Tnet_s-t)/Tau_j)))*Salcycl</f>
        <v>2.6868632336980901E-2</v>
      </c>
      <c r="AD106" s="230">
        <f>(INDEX(Models!$BJ106:$BT106,,AH106)*(1-AF106)+INDEX(Models!$BJ106:$BT106,,AH106+1)*AF106-ERP_i)*AE106*Ramure*Pc/MaxiM</f>
        <v>7.2597134088642407E-4</v>
      </c>
      <c r="AE106" s="304">
        <f t="shared" si="38"/>
        <v>0.7</v>
      </c>
      <c r="AF106" s="177">
        <f t="shared" si="39"/>
        <v>0.22059022000956729</v>
      </c>
      <c r="AG106" s="176">
        <f t="shared" si="40"/>
        <v>-1</v>
      </c>
      <c r="AH106" s="176">
        <f t="shared" si="41"/>
        <v>5</v>
      </c>
      <c r="AI106" s="224">
        <f t="shared" si="42"/>
        <v>-0.77940977999043271</v>
      </c>
      <c r="AJ106" s="264" t="b">
        <f t="shared" si="43"/>
        <v>0</v>
      </c>
      <c r="AK106" s="264" t="b">
        <f t="shared" si="44"/>
        <v>0</v>
      </c>
      <c r="AL106" s="264"/>
      <c r="AM106" s="264"/>
      <c r="AN106" s="75"/>
    </row>
    <row r="107" spans="1:40" s="6" customFormat="1" ht="11.25" x14ac:dyDescent="0.2">
      <c r="A107" s="56">
        <f t="shared" si="45"/>
        <v>43923</v>
      </c>
      <c r="B107" s="607">
        <v>20.565999999999999</v>
      </c>
      <c r="C107" s="388"/>
      <c r="D107" s="391">
        <f t="shared" si="24"/>
        <v>20.74333783385779</v>
      </c>
      <c r="E107" s="383">
        <f t="shared" si="46"/>
        <v>21.317228063178341</v>
      </c>
      <c r="F107" s="383">
        <f t="shared" si="25"/>
        <v>21.318623214112172</v>
      </c>
      <c r="G107" s="110">
        <f t="shared" si="47"/>
        <v>0.37862344283363825</v>
      </c>
      <c r="H107" s="412" t="b">
        <f>Wh_hp&gt;='2019'!Maxi_hp</f>
        <v>1</v>
      </c>
      <c r="I107" s="388">
        <f>IF(H107,Wh_hp,'2019'!Maxi_hp)</f>
        <v>21.318623214112172</v>
      </c>
      <c r="J107" s="85">
        <f>IF(H107,An,'2019'!An_max)</f>
        <v>2020</v>
      </c>
      <c r="K107" s="197">
        <f t="shared" si="26"/>
        <v>43923</v>
      </c>
      <c r="L107" s="147">
        <f>IF(t&lt;Tvie,1-EXP((T0-t)*PertePVj)+'2019'!Pspv,1-EXP((T0-t)*PertePVj)+Pspv)</f>
        <v>8.5491464911851001E-3</v>
      </c>
      <c r="M107" s="832"/>
      <c r="N107" s="832"/>
      <c r="O107" s="48">
        <f>IF(t&lt;Tnet,'2019'!Resal+('2019'!Salim-'2019'!Resal)*(1-EXP(('2019'!Tnet-t)/('2019'!Tau_j))),Resal+(Salim-Resal)*(1-EXP((Tnet-t)/(Tau_j))))*Salcycl</f>
        <v>2.6921428415537744E-2</v>
      </c>
      <c r="P107" s="169">
        <f>(INDEX(Models!$BJ107:$BT107,,T107)*(1-R107)+INDEX(Models!$BJ107:$BT107,,T107+1)*R107-ERP_i)*Q107*Ramure*Pc/MaxiM</f>
        <v>5.8120596254375E-4</v>
      </c>
      <c r="Q107" s="304">
        <f t="shared" si="27"/>
        <v>0.7</v>
      </c>
      <c r="R107" s="177">
        <f t="shared" si="28"/>
        <v>0.15713606559358595</v>
      </c>
      <c r="S107" s="799">
        <f t="shared" si="29"/>
        <v>-1</v>
      </c>
      <c r="T107" s="176">
        <f t="shared" si="30"/>
        <v>5</v>
      </c>
      <c r="U107" s="250">
        <f t="shared" si="31"/>
        <v>-0.84286393440641405</v>
      </c>
      <c r="V107" s="382">
        <f t="shared" si="32"/>
        <v>54.289802996009541</v>
      </c>
      <c r="W107" s="58"/>
      <c r="X107" s="157">
        <f t="shared" si="33"/>
        <v>43923</v>
      </c>
      <c r="Y107" s="383">
        <f t="shared" si="34"/>
        <v>20.565690826711631</v>
      </c>
      <c r="Z107" s="383">
        <f t="shared" si="35"/>
        <v>20.743025994610012</v>
      </c>
      <c r="AA107" s="384">
        <f t="shared" si="36"/>
        <v>21.316907596510092</v>
      </c>
      <c r="AB107" s="197">
        <f t="shared" si="37"/>
        <v>43923</v>
      </c>
      <c r="AC107" s="424">
        <f>IF(OR(t&lt;Tnet,NoTnet),'2019'!Resal_s+('2019'!Salim-'2019'!Resal_s)*(1-EXP(('2019'!Tnet_s-t)/'2019'!Tau_j)),Resal_s+(Salim-Resal_s)*(1-EXP((Tnet_s-t)/Tau_j)))*Salcycl</f>
        <v>2.6921428415537744E-2</v>
      </c>
      <c r="AD107" s="230">
        <f>(INDEX(Models!$BJ107:$BT107,,AH107)*(1-AF107)+INDEX(Models!$BJ107:$BT107,,AH107+1)*AF107-ERP_i)*AE107*Ramure*Pc/MaxiM</f>
        <v>7.1470917991377865E-4</v>
      </c>
      <c r="AE107" s="304">
        <f t="shared" si="38"/>
        <v>0.7</v>
      </c>
      <c r="AF107" s="177">
        <f t="shared" si="39"/>
        <v>0.2214682878534181</v>
      </c>
      <c r="AG107" s="176">
        <f t="shared" si="40"/>
        <v>-1</v>
      </c>
      <c r="AH107" s="176">
        <f t="shared" si="41"/>
        <v>5</v>
      </c>
      <c r="AI107" s="224">
        <f t="shared" si="42"/>
        <v>-0.7785317121465819</v>
      </c>
      <c r="AJ107" s="264" t="b">
        <f t="shared" si="43"/>
        <v>0</v>
      </c>
      <c r="AK107" s="264" t="b">
        <f t="shared" si="44"/>
        <v>0</v>
      </c>
      <c r="AL107" s="264"/>
      <c r="AM107" s="264"/>
      <c r="AN107" s="75"/>
    </row>
    <row r="108" spans="1:40" s="6" customFormat="1" ht="11.25" x14ac:dyDescent="0.2">
      <c r="A108" s="56">
        <f t="shared" si="45"/>
        <v>43924</v>
      </c>
      <c r="B108" s="607">
        <v>52.531999999999996</v>
      </c>
      <c r="C108" s="388"/>
      <c r="D108" s="391">
        <f t="shared" si="24"/>
        <v>52.985991788874102</v>
      </c>
      <c r="E108" s="383">
        <f t="shared" si="46"/>
        <v>54.454883439832294</v>
      </c>
      <c r="F108" s="383">
        <f t="shared" si="25"/>
        <v>54.48441415561728</v>
      </c>
      <c r="G108" s="110">
        <f t="shared" si="47"/>
        <v>0.96362796704518616</v>
      </c>
      <c r="H108" s="412" t="b">
        <f>Wh_hp&gt;='2019'!Maxi_hp</f>
        <v>1</v>
      </c>
      <c r="I108" s="388">
        <f>IF(H108,Wh_hp,'2019'!Maxi_hp)</f>
        <v>54.48441415561728</v>
      </c>
      <c r="J108" s="85">
        <f>IF(H108,An,'2019'!An_max)</f>
        <v>2020</v>
      </c>
      <c r="K108" s="197">
        <f t="shared" si="26"/>
        <v>43924</v>
      </c>
      <c r="L108" s="147">
        <f>IF(t&lt;Tvie,1-EXP((T0-t)*PertePVj)+'2019'!Pspv,1-EXP((T0-t)*PertePVj)+Pspv)</f>
        <v>8.568147420606298E-3</v>
      </c>
      <c r="M108" s="832"/>
      <c r="N108" s="832"/>
      <c r="O108" s="48">
        <f>IF(t&lt;Tnet,'2019'!Resal+('2019'!Salim-'2019'!Resal)*(1-EXP(('2019'!Tnet-t)/('2019'!Tau_j))),Resal+(Salim-Resal)*(1-EXP((Tnet-t)/(Tau_j))))*Salcycl</f>
        <v>2.697447057399693E-2</v>
      </c>
      <c r="P108" s="169">
        <f>(INDEX(Models!$BJ108:$BT108,,T108)*(1-R108)+INDEX(Models!$BJ108:$BT108,,T108+1)*R108-ERP_i)*Q108*Ramure*Pc/MaxiM</f>
        <v>5.716843720829436E-4</v>
      </c>
      <c r="Q108" s="304">
        <f t="shared" si="27"/>
        <v>0.7</v>
      </c>
      <c r="R108" s="177">
        <f t="shared" si="28"/>
        <v>0.15804664642146815</v>
      </c>
      <c r="S108" s="799">
        <f t="shared" si="29"/>
        <v>-1</v>
      </c>
      <c r="T108" s="176">
        <f t="shared" si="30"/>
        <v>5</v>
      </c>
      <c r="U108" s="250">
        <f t="shared" si="31"/>
        <v>-0.84195335357853185</v>
      </c>
      <c r="V108" s="382">
        <f t="shared" si="32"/>
        <v>54.513195682293485</v>
      </c>
      <c r="W108" s="58"/>
      <c r="X108" s="157">
        <f t="shared" si="33"/>
        <v>43924</v>
      </c>
      <c r="Y108" s="383">
        <f t="shared" si="34"/>
        <v>52.525524595199315</v>
      </c>
      <c r="Z108" s="383">
        <f t="shared" si="35"/>
        <v>52.979460422362294</v>
      </c>
      <c r="AA108" s="384">
        <f t="shared" si="36"/>
        <v>54.448171009053972</v>
      </c>
      <c r="AB108" s="197">
        <f t="shared" si="37"/>
        <v>43924</v>
      </c>
      <c r="AC108" s="424">
        <f>IF(OR(t&lt;Tnet,NoTnet),'2019'!Resal_s+('2019'!Salim-'2019'!Resal_s)*(1-EXP(('2019'!Tnet_s-t)/'2019'!Tau_j)),Resal_s+(Salim-Resal_s)*(1-EXP((Tnet_s-t)/Tau_j)))*Salcycl</f>
        <v>2.697447057399693E-2</v>
      </c>
      <c r="AD108" s="230">
        <f>(INDEX(Models!$BJ108:$BT108,,AH108)*(1-AF108)+INDEX(Models!$BJ108:$BT108,,AH108+1)*AF108-ERP_i)*AE108*Ramure*Pc/MaxiM</f>
        <v>7.0163014795213824E-4</v>
      </c>
      <c r="AE108" s="304">
        <f t="shared" si="38"/>
        <v>0.7</v>
      </c>
      <c r="AF108" s="177">
        <f t="shared" si="39"/>
        <v>0.2223788686813003</v>
      </c>
      <c r="AG108" s="176">
        <f t="shared" si="40"/>
        <v>-1</v>
      </c>
      <c r="AH108" s="176">
        <f t="shared" si="41"/>
        <v>5</v>
      </c>
      <c r="AI108" s="224">
        <f t="shared" si="42"/>
        <v>-0.7776211313186997</v>
      </c>
      <c r="AJ108" s="264" t="b">
        <f t="shared" si="43"/>
        <v>0</v>
      </c>
      <c r="AK108" s="264" t="b">
        <f t="shared" si="44"/>
        <v>0</v>
      </c>
      <c r="AL108" s="264"/>
      <c r="AM108" s="264"/>
      <c r="AN108" s="75"/>
    </row>
    <row r="109" spans="1:40" s="6" customFormat="1" ht="11.25" x14ac:dyDescent="0.2">
      <c r="A109" s="56">
        <f t="shared" si="45"/>
        <v>43925</v>
      </c>
      <c r="B109" s="607">
        <v>56.365000000000002</v>
      </c>
      <c r="C109" s="388"/>
      <c r="D109" s="391">
        <f t="shared" si="24"/>
        <v>56.85320690113182</v>
      </c>
      <c r="E109" s="383">
        <f t="shared" si="46"/>
        <v>58.432507219280822</v>
      </c>
      <c r="F109" s="383">
        <f t="shared" si="25"/>
        <v>58.465341345603605</v>
      </c>
      <c r="G109" s="110">
        <f t="shared" si="47"/>
        <v>1.0299000222896286</v>
      </c>
      <c r="H109" s="412" t="b">
        <f>Wh_hp&gt;='2019'!Maxi_hp</f>
        <v>1</v>
      </c>
      <c r="I109" s="388">
        <f>IF(H109,Wh_hp,'2019'!Maxi_hp)</f>
        <v>58.465341345603605</v>
      </c>
      <c r="J109" s="85">
        <f>IF(H109,An,'2019'!An_max)</f>
        <v>2020</v>
      </c>
      <c r="K109" s="197">
        <f t="shared" si="26"/>
        <v>43925</v>
      </c>
      <c r="L109" s="147">
        <f>IF(t&lt;Tvie,1-EXP((T0-t)*PertePVj)+'2019'!Pspv,1-EXP((T0-t)*PertePVj)+Pspv)</f>
        <v>8.5871479858790067E-3</v>
      </c>
      <c r="M109" s="832"/>
      <c r="N109" s="832"/>
      <c r="O109" s="48">
        <f>IF(t&lt;Tnet,'2019'!Resal+('2019'!Salim-'2019'!Resal)*(1-EXP(('2019'!Tnet-t)/('2019'!Tau_j))),Resal+(Salim-Resal)*(1-EXP((Tnet-t)/(Tau_j))))*Salcycl</f>
        <v>2.7027769187146614E-2</v>
      </c>
      <c r="P109" s="169">
        <f>(INDEX(Models!$BJ109:$BT109,,T109)*(1-R109)+INDEX(Models!$BJ109:$BT109,,T109+1)*R109-ERP_i)*Q109*Ramure*Pc/MaxiM</f>
        <v>5.6159983961588254E-4</v>
      </c>
      <c r="Q109" s="304">
        <f t="shared" si="27"/>
        <v>0.7</v>
      </c>
      <c r="R109" s="177">
        <f t="shared" si="28"/>
        <v>0.1589907677238831</v>
      </c>
      <c r="S109" s="799">
        <f t="shared" si="29"/>
        <v>-1</v>
      </c>
      <c r="T109" s="176">
        <f t="shared" si="30"/>
        <v>5</v>
      </c>
      <c r="U109" s="250">
        <f t="shared" si="31"/>
        <v>-0.8410092322761169</v>
      </c>
      <c r="V109" s="382">
        <f t="shared" si="32"/>
        <v>54.728613244120339</v>
      </c>
      <c r="W109" s="58"/>
      <c r="X109" s="157">
        <f t="shared" si="33"/>
        <v>43925</v>
      </c>
      <c r="Y109" s="383">
        <f t="shared" si="34"/>
        <v>56.357876913587788</v>
      </c>
      <c r="Z109" s="383">
        <f t="shared" si="35"/>
        <v>56.846022117922942</v>
      </c>
      <c r="AA109" s="384">
        <f t="shared" si="36"/>
        <v>58.425122853127974</v>
      </c>
      <c r="AB109" s="197">
        <f t="shared" si="37"/>
        <v>43925</v>
      </c>
      <c r="AC109" s="424">
        <f>IF(OR(t&lt;Tnet,NoTnet),'2019'!Resal_s+('2019'!Salim-'2019'!Resal_s)*(1-EXP(('2019'!Tnet_s-t)/'2019'!Tau_j)),Resal_s+(Salim-Resal_s)*(1-EXP((Tnet_s-t)/Tau_j)))*Salcycl</f>
        <v>2.7027769187146614E-2</v>
      </c>
      <c r="AD109" s="230">
        <f>(INDEX(Models!$BJ109:$BT109,,AH109)*(1-AF109)+INDEX(Models!$BJ109:$BT109,,AH109+1)*AF109-ERP_i)*AE109*Ramure*Pc/MaxiM</f>
        <v>6.8790314996853804E-4</v>
      </c>
      <c r="AE109" s="304">
        <f t="shared" si="38"/>
        <v>0.7</v>
      </c>
      <c r="AF109" s="177">
        <f t="shared" si="39"/>
        <v>0.22332298998371525</v>
      </c>
      <c r="AG109" s="176">
        <f t="shared" si="40"/>
        <v>-1</v>
      </c>
      <c r="AH109" s="176">
        <f t="shared" si="41"/>
        <v>5</v>
      </c>
      <c r="AI109" s="224">
        <f t="shared" si="42"/>
        <v>-0.77667701001628475</v>
      </c>
      <c r="AJ109" s="264" t="b">
        <f t="shared" si="43"/>
        <v>0</v>
      </c>
      <c r="AK109" s="264" t="b">
        <f t="shared" si="44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5"/>
        <v>43926</v>
      </c>
      <c r="B110" s="607">
        <v>57.277999999999999</v>
      </c>
      <c r="C110" s="388"/>
      <c r="D110" s="391">
        <f t="shared" si="24"/>
        <v>57.775222123129083</v>
      </c>
      <c r="E110" s="383">
        <f t="shared" si="46"/>
        <v>59.383403944468668</v>
      </c>
      <c r="F110" s="383">
        <f t="shared" si="25"/>
        <v>59.416138633229195</v>
      </c>
      <c r="G110" s="110">
        <f t="shared" si="47"/>
        <v>1.0426223804971275</v>
      </c>
      <c r="H110" s="412" t="b">
        <f>Wh_hp&gt;='2019'!Maxi_hp</f>
        <v>1</v>
      </c>
      <c r="I110" s="388">
        <f>IF(H110,Wh_hp,'2019'!Maxi_hp)</f>
        <v>59.416138633229195</v>
      </c>
      <c r="J110" s="85">
        <f>IF(H110,An,'2019'!An_max)</f>
        <v>2020</v>
      </c>
      <c r="K110" s="197">
        <f t="shared" si="26"/>
        <v>43926</v>
      </c>
      <c r="L110" s="147">
        <f>IF(t&lt;Tvie,1-EXP((T0-t)*PertePVj)+'2019'!Pspv,1-EXP((T0-t)*PertePVj)+Pspv)</f>
        <v>8.6061481870103318E-3</v>
      </c>
      <c r="M110" s="832"/>
      <c r="N110" s="832"/>
      <c r="O110" s="48">
        <f>IF(t&lt;Tnet,'2019'!Resal+('2019'!Salim-'2019'!Resal)*(1-EXP(('2019'!Tnet-t)/('2019'!Tau_j))),Resal+(Salim-Resal)*(1-EXP((Tnet-t)/(Tau_j))))*Salcycl</f>
        <v>2.7081334422045713E-2</v>
      </c>
      <c r="P110" s="169">
        <f>(INDEX(Models!$BJ110:$BT110,,T110)*(1-R110)+INDEX(Models!$BJ110:$BT110,,T110+1)*R110-ERP_i)*Q110*Ramure*Pc/MaxiM</f>
        <v>5.5093934936757574E-4</v>
      </c>
      <c r="Q110" s="304">
        <f t="shared" si="27"/>
        <v>0.7</v>
      </c>
      <c r="R110" s="177">
        <f t="shared" si="28"/>
        <v>0.1599694753423152</v>
      </c>
      <c r="S110" s="799">
        <f t="shared" si="29"/>
        <v>-1</v>
      </c>
      <c r="T110" s="176">
        <f t="shared" si="30"/>
        <v>5</v>
      </c>
      <c r="U110" s="250">
        <f t="shared" si="31"/>
        <v>-0.8400305246576848</v>
      </c>
      <c r="V110" s="382">
        <f t="shared" si="32"/>
        <v>54.936476591543688</v>
      </c>
      <c r="W110" s="58"/>
      <c r="X110" s="157">
        <f t="shared" si="33"/>
        <v>43926</v>
      </c>
      <c r="Y110" s="383">
        <f t="shared" si="34"/>
        <v>57.27097535364679</v>
      </c>
      <c r="Z110" s="383">
        <f t="shared" si="35"/>
        <v>57.76813649682591</v>
      </c>
      <c r="AA110" s="384">
        <f t="shared" si="36"/>
        <v>59.376121088713234</v>
      </c>
      <c r="AB110" s="197">
        <f t="shared" si="37"/>
        <v>43926</v>
      </c>
      <c r="AC110" s="424">
        <f>IF(OR(t&lt;Tnet,NoTnet),'2019'!Resal_s+('2019'!Salim-'2019'!Resal_s)*(1-EXP(('2019'!Tnet_s-t)/'2019'!Tau_j)),Resal_s+(Salim-Resal_s)*(1-EXP((Tnet_s-t)/Tau_j)))*Salcycl</f>
        <v>2.7081334422045713E-2</v>
      </c>
      <c r="AD110" s="230">
        <f>(INDEX(Models!$BJ110:$BT110,,AH110)*(1-AF110)+INDEX(Models!$BJ110:$BT110,,AH110+1)*AF110-ERP_i)*AE110*Ramure*Pc/MaxiM</f>
        <v>6.7351304605950835E-4</v>
      </c>
      <c r="AE110" s="304">
        <f t="shared" si="38"/>
        <v>0.7</v>
      </c>
      <c r="AF110" s="177">
        <f t="shared" si="39"/>
        <v>0.22430169760214735</v>
      </c>
      <c r="AG110" s="176">
        <f t="shared" si="40"/>
        <v>-1</v>
      </c>
      <c r="AH110" s="176">
        <f t="shared" si="41"/>
        <v>5</v>
      </c>
      <c r="AI110" s="224">
        <f t="shared" si="42"/>
        <v>-0.77569830239785265</v>
      </c>
      <c r="AJ110" s="264" t="b">
        <f t="shared" si="43"/>
        <v>0</v>
      </c>
      <c r="AK110" s="264" t="b">
        <f t="shared" si="44"/>
        <v>0</v>
      </c>
      <c r="AL110" s="264"/>
      <c r="AM110" s="264"/>
      <c r="AN110" s="75"/>
    </row>
    <row r="111" spans="1:40" s="6" customFormat="1" ht="11.25" x14ac:dyDescent="0.2">
      <c r="A111" s="56">
        <f t="shared" si="45"/>
        <v>43927</v>
      </c>
      <c r="B111" s="607">
        <v>30.641999999999999</v>
      </c>
      <c r="C111" s="388"/>
      <c r="D111" s="391">
        <f t="shared" si="24"/>
        <v>30.908591174090045</v>
      </c>
      <c r="E111" s="383">
        <f t="shared" si="46"/>
        <v>31.770694569797051</v>
      </c>
      <c r="F111" s="383">
        <f t="shared" si="25"/>
        <v>31.776960103076856</v>
      </c>
      <c r="G111" s="110">
        <f t="shared" si="47"/>
        <v>0.55555049724909433</v>
      </c>
      <c r="H111" s="412" t="b">
        <f>Wh_hp&gt;='2019'!Maxi_hp</f>
        <v>1</v>
      </c>
      <c r="I111" s="388">
        <f>IF(H111,Wh_hp,'2019'!Maxi_hp)</f>
        <v>31.776960103076856</v>
      </c>
      <c r="J111" s="85">
        <f>IF(H111,An,'2019'!An_max)</f>
        <v>2020</v>
      </c>
      <c r="K111" s="197">
        <f t="shared" si="26"/>
        <v>43927</v>
      </c>
      <c r="L111" s="147">
        <f>IF(t&lt;Tvie,1-EXP((T0-t)*PertePVj)+'2019'!Pspv,1-EXP((T0-t)*PertePVj)+Pspv)</f>
        <v>8.6251480240070455E-3</v>
      </c>
      <c r="M111" s="832"/>
      <c r="N111" s="832"/>
      <c r="O111" s="48">
        <f>IF(t&lt;Tnet,'2019'!Resal+('2019'!Salim-'2019'!Resal)*(1-EXP(('2019'!Tnet-t)/('2019'!Tau_j))),Resal+(Salim-Resal)*(1-EXP((Tnet-t)/(Tau_j))))*Salcycl</f>
        <v>2.7135176217600573E-2</v>
      </c>
      <c r="P111" s="169">
        <f>(INDEX(Models!$BJ111:$BT111,,T111)*(1-R111)+INDEX(Models!$BJ111:$BT111,,T111+1)*R111-ERP_i)*Q111*Ramure*Pc/MaxiM</f>
        <v>5.3968900214856896E-4</v>
      </c>
      <c r="Q111" s="304">
        <f t="shared" si="27"/>
        <v>0.7</v>
      </c>
      <c r="R111" s="177">
        <f t="shared" si="28"/>
        <v>0.16098383259107441</v>
      </c>
      <c r="S111" s="799">
        <f t="shared" si="29"/>
        <v>-1</v>
      </c>
      <c r="T111" s="176">
        <f t="shared" si="30"/>
        <v>5</v>
      </c>
      <c r="U111" s="250">
        <f t="shared" si="31"/>
        <v>-0.83901616740892559</v>
      </c>
      <c r="V111" s="382">
        <f t="shared" si="32"/>
        <v>55.137206576464834</v>
      </c>
      <c r="W111" s="58"/>
      <c r="X111" s="157">
        <f t="shared" si="33"/>
        <v>43927</v>
      </c>
      <c r="Y111" s="383">
        <f t="shared" si="34"/>
        <v>30.640670292470737</v>
      </c>
      <c r="Z111" s="383">
        <f t="shared" si="35"/>
        <v>30.907249897854712</v>
      </c>
      <c r="AA111" s="384">
        <f t="shared" si="36"/>
        <v>31.769315882642839</v>
      </c>
      <c r="AB111" s="197">
        <f t="shared" si="37"/>
        <v>43927</v>
      </c>
      <c r="AC111" s="424">
        <f>IF(OR(t&lt;Tnet,NoTnet),'2019'!Resal_s+('2019'!Salim-'2019'!Resal_s)*(1-EXP(('2019'!Tnet_s-t)/'2019'!Tau_j)),Resal_s+(Salim-Resal_s)*(1-EXP((Tnet_s-t)/Tau_j)))*Salcycl</f>
        <v>2.7135176217600573E-2</v>
      </c>
      <c r="AD111" s="230">
        <f>(INDEX(Models!$BJ111:$BT111,,AH111)*(1-AF111)+INDEX(Models!$BJ111:$BT111,,AH111+1)*AF111-ERP_i)*AE111*Ramure*Pc/MaxiM</f>
        <v>6.58443824970898E-4</v>
      </c>
      <c r="AE111" s="304">
        <f t="shared" si="38"/>
        <v>0.7</v>
      </c>
      <c r="AF111" s="177">
        <f t="shared" si="39"/>
        <v>0.22531605485090656</v>
      </c>
      <c r="AG111" s="176">
        <f t="shared" si="40"/>
        <v>-1</v>
      </c>
      <c r="AH111" s="176">
        <f t="shared" si="41"/>
        <v>5</v>
      </c>
      <c r="AI111" s="224">
        <f t="shared" si="42"/>
        <v>-0.77468394514909344</v>
      </c>
      <c r="AJ111" s="264" t="b">
        <f t="shared" si="43"/>
        <v>0</v>
      </c>
      <c r="AK111" s="264" t="b">
        <f t="shared" si="44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5"/>
        <v>43928</v>
      </c>
      <c r="B112" s="607">
        <v>38.957999999999998</v>
      </c>
      <c r="C112" s="388"/>
      <c r="D112" s="391">
        <f t="shared" si="24"/>
        <v>39.297695072493902</v>
      </c>
      <c r="E112" s="383">
        <f t="shared" si="46"/>
        <v>40.396035163637301</v>
      </c>
      <c r="F112" s="383">
        <f t="shared" si="25"/>
        <v>40.408347639474414</v>
      </c>
      <c r="G112" s="110">
        <f t="shared" si="47"/>
        <v>0.70392992838854396</v>
      </c>
      <c r="H112" s="412" t="b">
        <f>Wh_hp&gt;='2019'!Maxi_hp</f>
        <v>1</v>
      </c>
      <c r="I112" s="388">
        <f>IF(H112,Wh_hp,'2019'!Maxi_hp)</f>
        <v>40.408347639474414</v>
      </c>
      <c r="J112" s="85">
        <f>IF(H112,An,'2019'!An_max)</f>
        <v>2020</v>
      </c>
      <c r="K112" s="197">
        <f t="shared" si="26"/>
        <v>43928</v>
      </c>
      <c r="L112" s="147">
        <f>IF(t&lt;Tvie,1-EXP((T0-t)*PertePVj)+'2019'!Pspv,1-EXP((T0-t)*PertePVj)+Pspv)</f>
        <v>8.6441474968761423E-3</v>
      </c>
      <c r="M112" s="832"/>
      <c r="N112" s="832"/>
      <c r="O112" s="48">
        <f>IF(t&lt;Tnet,'2019'!Resal+('2019'!Salim-'2019'!Resal)*(1-EXP(('2019'!Tnet-t)/('2019'!Tau_j))),Resal+(Salim-Resal)*(1-EXP((Tnet-t)/(Tau_j))))*Salcycl</f>
        <v>2.7189304264495655E-2</v>
      </c>
      <c r="P112" s="169">
        <f>(INDEX(Models!$BJ112:$BT112,,T112)*(1-R112)+INDEX(Models!$BJ112:$BT112,,T112+1)*R112-ERP_i)*Q112*Ramure*Pc/MaxiM</f>
        <v>5.2783401438318814E-4</v>
      </c>
      <c r="Q112" s="304">
        <f t="shared" si="27"/>
        <v>0.7</v>
      </c>
      <c r="R112" s="177">
        <f t="shared" si="28"/>
        <v>0.16203491925326929</v>
      </c>
      <c r="S112" s="799">
        <f t="shared" si="29"/>
        <v>-1</v>
      </c>
      <c r="T112" s="176">
        <f t="shared" si="30"/>
        <v>5</v>
      </c>
      <c r="U112" s="250">
        <f t="shared" si="31"/>
        <v>-0.83796508074673071</v>
      </c>
      <c r="V112" s="382">
        <f t="shared" si="32"/>
        <v>55.33122399717994</v>
      </c>
      <c r="W112" s="58"/>
      <c r="X112" s="157">
        <f t="shared" si="33"/>
        <v>43928</v>
      </c>
      <c r="Y112" s="383">
        <f t="shared" si="34"/>
        <v>38.955416452347379</v>
      </c>
      <c r="Z112" s="383">
        <f t="shared" si="35"/>
        <v>39.295088997545029</v>
      </c>
      <c r="AA112" s="384">
        <f t="shared" si="36"/>
        <v>40.393356250915332</v>
      </c>
      <c r="AB112" s="197">
        <f t="shared" si="37"/>
        <v>43928</v>
      </c>
      <c r="AC112" s="424">
        <f>IF(OR(t&lt;Tnet,NoTnet),'2019'!Resal_s+('2019'!Salim-'2019'!Resal_s)*(1-EXP(('2019'!Tnet_s-t)/'2019'!Tau_j)),Resal_s+(Salim-Resal_s)*(1-EXP((Tnet_s-t)/Tau_j)))*Salcycl</f>
        <v>2.7189304264495655E-2</v>
      </c>
      <c r="AD112" s="230">
        <f>(INDEX(Models!$BJ112:$BT112,,AH112)*(1-AF112)+INDEX(Models!$BJ112:$BT112,,AH112+1)*AF112-ERP_i)*AE112*Ramure*Pc/MaxiM</f>
        <v>6.4267860574953131E-4</v>
      </c>
      <c r="AE112" s="304">
        <f t="shared" si="38"/>
        <v>0.7</v>
      </c>
      <c r="AF112" s="177">
        <f t="shared" si="39"/>
        <v>0.22636714151310144</v>
      </c>
      <c r="AG112" s="176">
        <f t="shared" si="40"/>
        <v>-1</v>
      </c>
      <c r="AH112" s="176">
        <f t="shared" si="41"/>
        <v>5</v>
      </c>
      <c r="AI112" s="224">
        <f t="shared" si="42"/>
        <v>-0.77363285848689856</v>
      </c>
      <c r="AJ112" s="264" t="b">
        <f t="shared" si="43"/>
        <v>0</v>
      </c>
      <c r="AK112" s="264" t="b">
        <f t="shared" si="44"/>
        <v>0</v>
      </c>
      <c r="AL112" s="264"/>
      <c r="AM112" s="264"/>
      <c r="AN112" s="75"/>
    </row>
    <row r="113" spans="1:40" s="6" customFormat="1" ht="11.25" x14ac:dyDescent="0.2">
      <c r="A113" s="56">
        <f t="shared" si="45"/>
        <v>43929</v>
      </c>
      <c r="B113" s="607">
        <v>41.165999999999997</v>
      </c>
      <c r="C113" s="388"/>
      <c r="D113" s="391">
        <f t="shared" si="24"/>
        <v>41.525743604755576</v>
      </c>
      <c r="E113" s="383">
        <f t="shared" si="46"/>
        <v>42.688744138089604</v>
      </c>
      <c r="F113" s="383">
        <f t="shared" si="25"/>
        <v>42.702623637389223</v>
      </c>
      <c r="G113" s="110">
        <f t="shared" si="47"/>
        <v>0.74133539174420082</v>
      </c>
      <c r="H113" s="412" t="b">
        <f>Wh_hp&gt;='2019'!Maxi_hp</f>
        <v>0</v>
      </c>
      <c r="I113" s="388">
        <f>IF(H113,Wh_hp,'2019'!Maxi_hp)</f>
        <v>44.615117230380669</v>
      </c>
      <c r="J113" s="85">
        <f>IF(H113,An,'2019'!An_max)</f>
        <v>2018</v>
      </c>
      <c r="K113" s="197">
        <f t="shared" si="26"/>
        <v>43929</v>
      </c>
      <c r="L113" s="147">
        <f>IF(t&lt;Tvie,1-EXP((T0-t)*PertePVj)+'2019'!Pspv,1-EXP((T0-t)*PertePVj)+Pspv)</f>
        <v>8.6631466056247275E-3</v>
      </c>
      <c r="M113" s="832"/>
      <c r="N113" s="832"/>
      <c r="O113" s="48">
        <f>IF(t&lt;Tnet,'2019'!Resal+('2019'!Salim-'2019'!Resal)*(1-EXP(('2019'!Tnet-t)/('2019'!Tau_j))),Resal+(Salim-Resal)*(1-EXP((Tnet-t)/(Tau_j))))*Salcycl</f>
        <v>2.7243727985343111E-2</v>
      </c>
      <c r="P113" s="169">
        <f>(INDEX(Models!$BJ113:$BT113,,T113)*(1-R113)+INDEX(Models!$BJ113:$BT113,,T113+1)*R113-ERP_i)*Q113*Ramure*Pc/MaxiM</f>
        <v>5.1535871726455227E-4</v>
      </c>
      <c r="Q113" s="304">
        <f t="shared" si="27"/>
        <v>0.7</v>
      </c>
      <c r="R113" s="177">
        <f t="shared" si="28"/>
        <v>0.16312383044332213</v>
      </c>
      <c r="S113" s="799">
        <f t="shared" si="29"/>
        <v>-1</v>
      </c>
      <c r="T113" s="176">
        <f t="shared" si="30"/>
        <v>5</v>
      </c>
      <c r="U113" s="250">
        <f t="shared" si="31"/>
        <v>-0.83687616955667787</v>
      </c>
      <c r="V113" s="382">
        <f t="shared" si="32"/>
        <v>55.518949599974228</v>
      </c>
      <c r="W113" s="58"/>
      <c r="X113" s="157">
        <f t="shared" si="33"/>
        <v>43929</v>
      </c>
      <c r="Y113" s="383">
        <f t="shared" si="34"/>
        <v>41.163121345147097</v>
      </c>
      <c r="Z113" s="383">
        <f t="shared" si="35"/>
        <v>41.52283979376233</v>
      </c>
      <c r="AA113" s="384">
        <f t="shared" si="36"/>
        <v>42.685759000828824</v>
      </c>
      <c r="AB113" s="197">
        <f t="shared" si="37"/>
        <v>43929</v>
      </c>
      <c r="AC113" s="424">
        <f>IF(OR(t&lt;Tnet,NoTnet),'2019'!Resal_s+('2019'!Salim-'2019'!Resal_s)*(1-EXP(('2019'!Tnet_s-t)/'2019'!Tau_j)),Resal_s+(Salim-Resal_s)*(1-EXP((Tnet_s-t)/Tau_j)))*Salcycl</f>
        <v>2.7243727985343111E-2</v>
      </c>
      <c r="AD113" s="230">
        <f>(INDEX(Models!$BJ113:$BT113,,AH113)*(1-AF113)+INDEX(Models!$BJ113:$BT113,,AH113+1)*AF113-ERP_i)*AE113*Ramure*Pc/MaxiM</f>
        <v>6.2619964000709466E-4</v>
      </c>
      <c r="AE113" s="304">
        <f t="shared" si="38"/>
        <v>0.7</v>
      </c>
      <c r="AF113" s="177">
        <f t="shared" si="39"/>
        <v>0.22745605270315428</v>
      </c>
      <c r="AG113" s="176">
        <f t="shared" si="40"/>
        <v>-1</v>
      </c>
      <c r="AH113" s="176">
        <f t="shared" si="41"/>
        <v>5</v>
      </c>
      <c r="AI113" s="224">
        <f t="shared" si="42"/>
        <v>-0.77254394729684572</v>
      </c>
      <c r="AJ113" s="264" t="b">
        <f t="shared" si="43"/>
        <v>0</v>
      </c>
      <c r="AK113" s="264" t="b">
        <f t="shared" si="44"/>
        <v>0</v>
      </c>
      <c r="AL113" s="264"/>
      <c r="AM113" s="264"/>
      <c r="AN113" s="75"/>
    </row>
    <row r="114" spans="1:40" s="6" customFormat="1" ht="11.25" x14ac:dyDescent="0.2">
      <c r="A114" s="56">
        <f t="shared" si="45"/>
        <v>43930</v>
      </c>
      <c r="B114" s="607">
        <v>55.289000000000001</v>
      </c>
      <c r="C114" s="388"/>
      <c r="D114" s="391">
        <f t="shared" si="24"/>
        <v>55.773231300807268</v>
      </c>
      <c r="E114" s="383">
        <f t="shared" si="46"/>
        <v>57.338483396435763</v>
      </c>
      <c r="F114" s="383">
        <f t="shared" si="25"/>
        <v>57.367035430270235</v>
      </c>
      <c r="G114" s="110">
        <f t="shared" si="47"/>
        <v>0.99260234842929596</v>
      </c>
      <c r="H114" s="412" t="b">
        <f>Wh_hp&gt;='2019'!Maxi_hp</f>
        <v>1</v>
      </c>
      <c r="I114" s="388">
        <f>IF(H114,Wh_hp,'2019'!Maxi_hp)</f>
        <v>57.367035430270235</v>
      </c>
      <c r="J114" s="85">
        <f>IF(H114,An,'2019'!An_max)</f>
        <v>2020</v>
      </c>
      <c r="K114" s="197">
        <f t="shared" si="26"/>
        <v>43930</v>
      </c>
      <c r="L114" s="147">
        <f>IF(t&lt;Tvie,1-EXP((T0-t)*PertePVj)+'2019'!Pspv,1-EXP((T0-t)*PertePVj)+Pspv)</f>
        <v>8.6821453502597956E-3</v>
      </c>
      <c r="M114" s="832"/>
      <c r="N114" s="832"/>
      <c r="O114" s="48">
        <f>IF(t&lt;Tnet,'2019'!Resal+('2019'!Salim-'2019'!Resal)*(1-EXP(('2019'!Tnet-t)/('2019'!Tau_j))),Resal+(Salim-Resal)*(1-EXP((Tnet-t)/(Tau_j))))*Salcycl</f>
        <v>2.7298456514910061E-2</v>
      </c>
      <c r="P114" s="169">
        <f>(INDEX(Models!$BJ114:$BT114,,T114)*(1-R114)+INDEX(Models!$BJ114:$BT114,,T114+1)*R114-ERP_i)*Q114*Ramure*Pc/MaxiM</f>
        <v>5.0302018719349472E-4</v>
      </c>
      <c r="Q114" s="304">
        <f t="shared" si="27"/>
        <v>0.7</v>
      </c>
      <c r="R114" s="177">
        <f t="shared" si="28"/>
        <v>0.16425167532839613</v>
      </c>
      <c r="S114" s="799">
        <f t="shared" si="29"/>
        <v>-1</v>
      </c>
      <c r="T114" s="176">
        <f t="shared" si="30"/>
        <v>5</v>
      </c>
      <c r="U114" s="250">
        <f t="shared" si="31"/>
        <v>-0.83574832467160387</v>
      </c>
      <c r="V114" s="382">
        <f t="shared" si="32"/>
        <v>55.700760971435393</v>
      </c>
      <c r="W114" s="58"/>
      <c r="X114" s="157">
        <f t="shared" si="33"/>
        <v>43930</v>
      </c>
      <c r="Y114" s="383">
        <f t="shared" si="34"/>
        <v>55.283144886054245</v>
      </c>
      <c r="Z114" s="383">
        <f t="shared" si="35"/>
        <v>55.767324906689282</v>
      </c>
      <c r="AA114" s="384">
        <f t="shared" si="36"/>
        <v>57.332411241870417</v>
      </c>
      <c r="AB114" s="197">
        <f t="shared" si="37"/>
        <v>43930</v>
      </c>
      <c r="AC114" s="424">
        <f>IF(OR(t&lt;Tnet,NoTnet),'2019'!Resal_s+('2019'!Salim-'2019'!Resal_s)*(1-EXP(('2019'!Tnet_s-t)/'2019'!Tau_j)),Resal_s+(Salim-Resal_s)*(1-EXP((Tnet_s-t)/Tau_j)))*Salcycl</f>
        <v>2.7298456514910061E-2</v>
      </c>
      <c r="AD114" s="230">
        <f>(INDEX(Models!$BJ114:$BT114,,AH114)*(1-AF114)+INDEX(Models!$BJ114:$BT114,,AH114+1)*AF114-ERP_i)*AE114*Ramure*Pc/MaxiM</f>
        <v>6.0999737641348971E-4</v>
      </c>
      <c r="AE114" s="304">
        <f t="shared" si="38"/>
        <v>0.7</v>
      </c>
      <c r="AF114" s="177">
        <f t="shared" si="39"/>
        <v>0.22858389758822828</v>
      </c>
      <c r="AG114" s="176">
        <f t="shared" si="40"/>
        <v>-1</v>
      </c>
      <c r="AH114" s="176">
        <f t="shared" si="41"/>
        <v>5</v>
      </c>
      <c r="AI114" s="224">
        <f t="shared" si="42"/>
        <v>-0.77141610241177172</v>
      </c>
      <c r="AJ114" s="264" t="b">
        <f t="shared" si="43"/>
        <v>0</v>
      </c>
      <c r="AK114" s="264" t="b">
        <f t="shared" si="44"/>
        <v>0</v>
      </c>
      <c r="AL114" s="264"/>
      <c r="AM114" s="264"/>
      <c r="AN114" s="75"/>
    </row>
    <row r="115" spans="1:40" s="6" customFormat="1" ht="11.25" customHeight="1" x14ac:dyDescent="0.2">
      <c r="A115" s="56">
        <f t="shared" si="45"/>
        <v>43931</v>
      </c>
      <c r="B115" s="607">
        <v>56.098999999999997</v>
      </c>
      <c r="C115" s="388"/>
      <c r="D115" s="391">
        <f t="shared" si="24"/>
        <v>56.591409992270712</v>
      </c>
      <c r="E115" s="383">
        <f t="shared" si="46"/>
        <v>58.182916316961517</v>
      </c>
      <c r="F115" s="383">
        <f t="shared" si="25"/>
        <v>58.211509097292016</v>
      </c>
      <c r="G115" s="110">
        <f t="shared" si="47"/>
        <v>1.0039719926445854</v>
      </c>
      <c r="H115" s="412" t="b">
        <f>Wh_hp&gt;='2019'!Maxi_hp</f>
        <v>1</v>
      </c>
      <c r="I115" s="388">
        <f>IF(H115,Wh_hp,'2019'!Maxi_hp)</f>
        <v>58.211509097292016</v>
      </c>
      <c r="J115" s="85">
        <f>IF(H115,An,'2019'!An_max)</f>
        <v>2020</v>
      </c>
      <c r="K115" s="197">
        <f t="shared" si="26"/>
        <v>43931</v>
      </c>
      <c r="L115" s="147">
        <f>IF(t&lt;Tvie,1-EXP((T0-t)*PertePVj)+'2019'!Pspv,1-EXP((T0-t)*PertePVj)+Pspv)</f>
        <v>8.70114373078823E-3</v>
      </c>
      <c r="M115" s="832"/>
      <c r="N115" s="832"/>
      <c r="O115" s="48">
        <f>IF(t&lt;Tnet,'2019'!Resal+('2019'!Salim-'2019'!Resal)*(1-EXP(('2019'!Tnet-t)/('2019'!Tau_j))),Resal+(Salim-Resal)*(1-EXP((Tnet-t)/(Tau_j))))*Salcycl</f>
        <v>2.7353498680279309E-2</v>
      </c>
      <c r="P115" s="169">
        <f>(INDEX(Models!$BJ115:$BT115,,T115)*(1-R115)+INDEX(Models!$BJ115:$BT115,,T115+1)*R115-ERP_i)*Q115*Ramure*Pc/MaxiM</f>
        <v>4.9118775262660863E-4</v>
      </c>
      <c r="Q115" s="304">
        <f t="shared" si="27"/>
        <v>0.7</v>
      </c>
      <c r="R115" s="177">
        <f t="shared" si="28"/>
        <v>0.16541957570111387</v>
      </c>
      <c r="S115" s="799">
        <f t="shared" si="29"/>
        <v>-1</v>
      </c>
      <c r="T115" s="176">
        <f t="shared" si="30"/>
        <v>5</v>
      </c>
      <c r="U115" s="250">
        <f t="shared" si="31"/>
        <v>-0.83458042429888613</v>
      </c>
      <c r="V115" s="382">
        <f t="shared" si="32"/>
        <v>55.877056741621203</v>
      </c>
      <c r="W115" s="58"/>
      <c r="X115" s="157">
        <f t="shared" si="33"/>
        <v>43931</v>
      </c>
      <c r="Y115" s="383">
        <f t="shared" si="34"/>
        <v>56.093198767559919</v>
      </c>
      <c r="Z115" s="383">
        <f t="shared" si="35"/>
        <v>56.585557839407436</v>
      </c>
      <c r="AA115" s="384">
        <f t="shared" si="36"/>
        <v>58.176899585440523</v>
      </c>
      <c r="AB115" s="197">
        <f t="shared" si="37"/>
        <v>43931</v>
      </c>
      <c r="AC115" s="424">
        <f>IF(OR(t&lt;Tnet,NoTnet),'2019'!Resal_s+('2019'!Salim-'2019'!Resal_s)*(1-EXP(('2019'!Tnet_s-t)/'2019'!Tau_j)),Resal_s+(Salim-Resal_s)*(1-EXP((Tnet_s-t)/Tau_j)))*Salcycl</f>
        <v>2.7353498680279309E-2</v>
      </c>
      <c r="AD115" s="230">
        <f>(INDEX(Models!$BJ115:$BT115,,AH115)*(1-AF115)+INDEX(Models!$BJ115:$BT115,,AH115+1)*AF115-ERP_i)*AE115*Ramure*Pc/MaxiM</f>
        <v>5.9454757982045181E-4</v>
      </c>
      <c r="AE115" s="304">
        <f t="shared" si="38"/>
        <v>0.7</v>
      </c>
      <c r="AF115" s="177">
        <f t="shared" si="39"/>
        <v>0.22975179796094602</v>
      </c>
      <c r="AG115" s="176">
        <f t="shared" si="40"/>
        <v>-1</v>
      </c>
      <c r="AH115" s="176">
        <f t="shared" si="41"/>
        <v>5</v>
      </c>
      <c r="AI115" s="224">
        <f t="shared" si="42"/>
        <v>-0.77024820203905398</v>
      </c>
      <c r="AJ115" s="264" t="b">
        <f t="shared" si="43"/>
        <v>0</v>
      </c>
      <c r="AK115" s="264" t="b">
        <f t="shared" si="44"/>
        <v>0</v>
      </c>
      <c r="AL115" s="264"/>
      <c r="AM115" s="264"/>
      <c r="AN115" s="75"/>
    </row>
    <row r="116" spans="1:40" s="6" customFormat="1" ht="11.25" x14ac:dyDescent="0.2">
      <c r="A116" s="56">
        <f t="shared" si="45"/>
        <v>43932</v>
      </c>
      <c r="B116" s="607">
        <v>55.496000000000002</v>
      </c>
      <c r="C116" s="388"/>
      <c r="D116" s="391">
        <f t="shared" si="24"/>
        <v>55.984190073040054</v>
      </c>
      <c r="E116" s="383">
        <f t="shared" si="46"/>
        <v>57.56189619886991</v>
      </c>
      <c r="F116" s="383">
        <f t="shared" si="25"/>
        <v>57.589141732142863</v>
      </c>
      <c r="G116" s="110">
        <f t="shared" si="47"/>
        <v>0.99014008183974467</v>
      </c>
      <c r="H116" s="412" t="b">
        <f>Wh_hp&gt;='2019'!Maxi_hp</f>
        <v>1</v>
      </c>
      <c r="I116" s="388">
        <f>IF(H116,Wh_hp,'2019'!Maxi_hp)</f>
        <v>57.589141732142863</v>
      </c>
      <c r="J116" s="85">
        <f>IF(H116,An,'2019'!An_max)</f>
        <v>2020</v>
      </c>
      <c r="K116" s="197">
        <f t="shared" si="26"/>
        <v>43932</v>
      </c>
      <c r="L116" s="147">
        <f>IF(t&lt;Tvie,1-EXP((T0-t)*PertePVj)+'2019'!Pspv,1-EXP((T0-t)*PertePVj)+Pspv)</f>
        <v>8.7201417472170251E-3</v>
      </c>
      <c r="M116" s="832"/>
      <c r="N116" s="832"/>
      <c r="O116" s="48">
        <f>IF(t&lt;Tnet,'2019'!Resal+('2019'!Salim-'2019'!Resal)*(1-EXP(('2019'!Tnet-t)/('2019'!Tau_j))),Resal+(Salim-Resal)*(1-EXP((Tnet-t)/(Tau_j))))*Salcycl</f>
        <v>2.740886298079994E-2</v>
      </c>
      <c r="P116" s="169">
        <f>(INDEX(Models!$BJ116:$BT116,,T116)*(1-R116)+INDEX(Models!$BJ116:$BT116,,T116+1)*R116-ERP_i)*Q116*Ramure*Pc/MaxiM</f>
        <v>4.7985639277177303E-4</v>
      </c>
      <c r="Q116" s="304">
        <f t="shared" si="27"/>
        <v>0.7</v>
      </c>
      <c r="R116" s="177">
        <f t="shared" si="28"/>
        <v>0.16662866439601653</v>
      </c>
      <c r="S116" s="799">
        <f t="shared" si="29"/>
        <v>-1</v>
      </c>
      <c r="T116" s="176">
        <f t="shared" si="30"/>
        <v>5</v>
      </c>
      <c r="U116" s="250">
        <f t="shared" si="31"/>
        <v>-0.83337133560398347</v>
      </c>
      <c r="V116" s="382">
        <f t="shared" si="32"/>
        <v>56.048256195221931</v>
      </c>
      <c r="W116" s="58"/>
      <c r="X116" s="157">
        <f t="shared" si="33"/>
        <v>43932</v>
      </c>
      <c r="Y116" s="383">
        <f t="shared" si="34"/>
        <v>55.490526753515979</v>
      </c>
      <c r="Z116" s="383">
        <f t="shared" si="35"/>
        <v>55.978668679219268</v>
      </c>
      <c r="AA116" s="384">
        <f t="shared" si="36"/>
        <v>57.556219205104874</v>
      </c>
      <c r="AB116" s="197">
        <f t="shared" si="37"/>
        <v>43932</v>
      </c>
      <c r="AC116" s="424">
        <f>IF(OR(t&lt;Tnet,NoTnet),'2019'!Resal_s+('2019'!Salim-'2019'!Resal_s)*(1-EXP(('2019'!Tnet_s-t)/'2019'!Tau_j)),Resal_s+(Salim-Resal_s)*(1-EXP((Tnet_s-t)/Tau_j)))*Salcycl</f>
        <v>2.740886298079994E-2</v>
      </c>
      <c r="AD116" s="230">
        <f>(INDEX(Models!$BJ116:$BT116,,AH116)*(1-AF116)+INDEX(Models!$BJ116:$BT116,,AH116+1)*AF116-ERP_i)*AE116*Ramure*Pc/MaxiM</f>
        <v>5.7984128653729692E-4</v>
      </c>
      <c r="AE116" s="304">
        <f t="shared" si="38"/>
        <v>0.7</v>
      </c>
      <c r="AF116" s="177">
        <f t="shared" si="39"/>
        <v>0.23096088665584869</v>
      </c>
      <c r="AG116" s="176">
        <f t="shared" si="40"/>
        <v>-1</v>
      </c>
      <c r="AH116" s="176">
        <f t="shared" si="41"/>
        <v>5</v>
      </c>
      <c r="AI116" s="224">
        <f t="shared" si="42"/>
        <v>-0.76903911334415131</v>
      </c>
      <c r="AJ116" s="264" t="b">
        <f t="shared" si="43"/>
        <v>0</v>
      </c>
      <c r="AK116" s="264" t="b">
        <f t="shared" si="44"/>
        <v>0</v>
      </c>
      <c r="AL116" s="264"/>
      <c r="AM116" s="264"/>
      <c r="AN116" s="75"/>
    </row>
    <row r="117" spans="1:40" s="6" customFormat="1" ht="11.25" x14ac:dyDescent="0.2">
      <c r="A117" s="56">
        <f t="shared" si="45"/>
        <v>43933</v>
      </c>
      <c r="B117" s="607">
        <v>42.853999999999999</v>
      </c>
      <c r="C117" s="388"/>
      <c r="D117" s="391">
        <f t="shared" si="24"/>
        <v>43.231808803629747</v>
      </c>
      <c r="E117" s="383">
        <f t="shared" si="46"/>
        <v>44.452682048797037</v>
      </c>
      <c r="F117" s="383">
        <f t="shared" si="25"/>
        <v>44.466456574097492</v>
      </c>
      <c r="G117" s="110">
        <f t="shared" si="47"/>
        <v>0.76220479000285724</v>
      </c>
      <c r="H117" s="412" t="b">
        <f>Wh_hp&gt;='2019'!Maxi_hp</f>
        <v>0</v>
      </c>
      <c r="I117" s="388">
        <f>IF(H117,Wh_hp,'2019'!Maxi_hp)</f>
        <v>56.994672036100951</v>
      </c>
      <c r="J117" s="85">
        <f>IF(H117,An,'2019'!An_max)</f>
        <v>2018</v>
      </c>
      <c r="K117" s="197">
        <f t="shared" si="26"/>
        <v>43933</v>
      </c>
      <c r="L117" s="147">
        <f>IF(t&lt;Tvie,1-EXP((T0-t)*PertePVj)+'2019'!Pspv,1-EXP((T0-t)*PertePVj)+Pspv)</f>
        <v>8.7391393995531752E-3</v>
      </c>
      <c r="M117" s="832"/>
      <c r="N117" s="832"/>
      <c r="O117" s="48">
        <f>IF(t&lt;Tnet,'2019'!Resal+('2019'!Salim-'2019'!Resal)*(1-EXP(('2019'!Tnet-t)/('2019'!Tau_j))),Resal+(Salim-Resal)*(1-EXP((Tnet-t)/(Tau_j))))*Salcycl</f>
        <v>2.7464557567687405E-2</v>
      </c>
      <c r="P117" s="169">
        <f>(INDEX(Models!$BJ117:$BT117,,T117)*(1-R117)+INDEX(Models!$BJ117:$BT117,,T117+1)*R117-ERP_i)*Q117*Ramure*Pc/MaxiM</f>
        <v>4.6902244561053663E-4</v>
      </c>
      <c r="Q117" s="304">
        <f t="shared" si="27"/>
        <v>0.7</v>
      </c>
      <c r="R117" s="177">
        <f t="shared" si="28"/>
        <v>0.16788008354235373</v>
      </c>
      <c r="S117" s="799">
        <f t="shared" si="29"/>
        <v>-1</v>
      </c>
      <c r="T117" s="176">
        <f t="shared" si="30"/>
        <v>5</v>
      </c>
      <c r="U117" s="250">
        <f t="shared" si="31"/>
        <v>-0.83211991645764627</v>
      </c>
      <c r="V117" s="382">
        <f t="shared" si="32"/>
        <v>56.214778480222499</v>
      </c>
      <c r="W117" s="58"/>
      <c r="X117" s="157">
        <f t="shared" si="33"/>
        <v>43933</v>
      </c>
      <c r="Y117" s="383">
        <f t="shared" si="34"/>
        <v>42.851257980310855</v>
      </c>
      <c r="Z117" s="383">
        <f t="shared" si="35"/>
        <v>43.229042609787008</v>
      </c>
      <c r="AA117" s="384">
        <f t="shared" si="36"/>
        <v>44.449837737194549</v>
      </c>
      <c r="AB117" s="197">
        <f t="shared" si="37"/>
        <v>43933</v>
      </c>
      <c r="AC117" s="424">
        <f>IF(OR(t&lt;Tnet,NoTnet),'2019'!Resal_s+('2019'!Salim-'2019'!Resal_s)*(1-EXP(('2019'!Tnet_s-t)/'2019'!Tau_j)),Resal_s+(Salim-Resal_s)*(1-EXP((Tnet_s-t)/Tau_j)))*Salcycl</f>
        <v>2.7464557567687405E-2</v>
      </c>
      <c r="AD117" s="230">
        <f>(INDEX(Models!$BJ117:$BT117,,AH117)*(1-AF117)+INDEX(Models!$BJ117:$BT117,,AH117+1)*AF117-ERP_i)*AE117*Ramure*Pc/MaxiM</f>
        <v>5.6587122658684089E-4</v>
      </c>
      <c r="AE117" s="304">
        <f t="shared" si="38"/>
        <v>0.7</v>
      </c>
      <c r="AF117" s="177">
        <f t="shared" si="39"/>
        <v>0.23221230580218588</v>
      </c>
      <c r="AG117" s="176">
        <f t="shared" si="40"/>
        <v>-1</v>
      </c>
      <c r="AH117" s="176">
        <f t="shared" si="41"/>
        <v>5</v>
      </c>
      <c r="AI117" s="224">
        <f t="shared" si="42"/>
        <v>-0.76778769419781412</v>
      </c>
      <c r="AJ117" s="264" t="b">
        <f t="shared" si="43"/>
        <v>0</v>
      </c>
      <c r="AK117" s="264" t="b">
        <f t="shared" si="44"/>
        <v>0</v>
      </c>
      <c r="AL117" s="264"/>
      <c r="AM117" s="264"/>
      <c r="AN117" s="75"/>
    </row>
    <row r="118" spans="1:40" s="6" customFormat="1" ht="11.25" x14ac:dyDescent="0.2">
      <c r="A118" s="56">
        <f t="shared" si="45"/>
        <v>43934</v>
      </c>
      <c r="B118" s="607">
        <v>20.120999999999999</v>
      </c>
      <c r="C118" s="388"/>
      <c r="D118" s="391">
        <f t="shared" si="24"/>
        <v>20.298779485328083</v>
      </c>
      <c r="E118" s="383">
        <f t="shared" si="46"/>
        <v>20.873222899378124</v>
      </c>
      <c r="F118" s="383">
        <f t="shared" si="25"/>
        <v>20.87400118260301</v>
      </c>
      <c r="G118" s="110">
        <f t="shared" si="47"/>
        <v>0.35675019107485439</v>
      </c>
      <c r="H118" s="412" t="b">
        <f>Wh_hp&gt;='2019'!Maxi_hp</f>
        <v>0</v>
      </c>
      <c r="I118" s="388">
        <f>IF(H118,Wh_hp,'2019'!Maxi_hp)</f>
        <v>28.182992395144829</v>
      </c>
      <c r="J118" s="85">
        <f>IF(H118,An,'2019'!An_max)</f>
        <v>2018</v>
      </c>
      <c r="K118" s="197">
        <f t="shared" si="26"/>
        <v>43934</v>
      </c>
      <c r="L118" s="147">
        <f>IF(t&lt;Tvie,1-EXP((T0-t)*PertePVj)+'2019'!Pspv,1-EXP((T0-t)*PertePVj)+Pspv)</f>
        <v>8.7581366878035638E-3</v>
      </c>
      <c r="M118" s="832"/>
      <c r="N118" s="832"/>
      <c r="O118" s="48">
        <f>IF(t&lt;Tnet,'2019'!Resal+('2019'!Salim-'2019'!Resal)*(1-EXP(('2019'!Tnet-t)/('2019'!Tau_j))),Resal+(Salim-Resal)*(1-EXP((Tnet-t)/(Tau_j))))*Salcycl</f>
        <v>2.7520590223139726E-2</v>
      </c>
      <c r="P118" s="169">
        <f>(INDEX(Models!$BJ118:$BT118,,T118)*(1-R118)+INDEX(Models!$BJ118:$BT118,,T118+1)*R118-ERP_i)*Q118*Ramure*Pc/MaxiM</f>
        <v>4.5868359185307424E-4</v>
      </c>
      <c r="Q118" s="304">
        <f t="shared" si="27"/>
        <v>0.7</v>
      </c>
      <c r="R118" s="177">
        <f t="shared" si="28"/>
        <v>0.16917498264600461</v>
      </c>
      <c r="S118" s="799">
        <f t="shared" si="29"/>
        <v>-1</v>
      </c>
      <c r="T118" s="176">
        <f t="shared" si="30"/>
        <v>5</v>
      </c>
      <c r="U118" s="250">
        <f t="shared" si="31"/>
        <v>-0.83082501735399539</v>
      </c>
      <c r="V118" s="382">
        <f t="shared" si="32"/>
        <v>56.377042597845893</v>
      </c>
      <c r="W118" s="58"/>
      <c r="X118" s="157">
        <f t="shared" si="33"/>
        <v>43934</v>
      </c>
      <c r="Y118" s="383">
        <f t="shared" si="34"/>
        <v>20.12084633571391</v>
      </c>
      <c r="Z118" s="383">
        <f t="shared" si="35"/>
        <v>20.298624463338221</v>
      </c>
      <c r="AA118" s="384">
        <f t="shared" si="36"/>
        <v>20.873063490357939</v>
      </c>
      <c r="AB118" s="197">
        <f t="shared" si="37"/>
        <v>43934</v>
      </c>
      <c r="AC118" s="424">
        <f>IF(OR(t&lt;Tnet,NoTnet),'2019'!Resal_s+('2019'!Salim-'2019'!Resal_s)*(1-EXP(('2019'!Tnet_s-t)/'2019'!Tau_j)),Resal_s+(Salim-Resal_s)*(1-EXP((Tnet_s-t)/Tau_j)))*Salcycl</f>
        <v>2.7520590223139726E-2</v>
      </c>
      <c r="AD118" s="230">
        <f>(INDEX(Models!$BJ118:$BT118,,AH118)*(1-AF118)+INDEX(Models!$BJ118:$BT118,,AH118+1)*AF118-ERP_i)*AE118*Ramure*Pc/MaxiM</f>
        <v>5.5263178399116034E-4</v>
      </c>
      <c r="AE118" s="304">
        <f t="shared" si="38"/>
        <v>0.7</v>
      </c>
      <c r="AF118" s="177">
        <f t="shared" si="39"/>
        <v>0.23350720490583676</v>
      </c>
      <c r="AG118" s="176">
        <f t="shared" si="40"/>
        <v>-1</v>
      </c>
      <c r="AH118" s="176">
        <f t="shared" si="41"/>
        <v>5</v>
      </c>
      <c r="AI118" s="224">
        <f t="shared" si="42"/>
        <v>-0.76649279509416324</v>
      </c>
      <c r="AJ118" s="264" t="b">
        <f t="shared" si="43"/>
        <v>0</v>
      </c>
      <c r="AK118" s="264" t="b">
        <f t="shared" si="44"/>
        <v>0</v>
      </c>
      <c r="AL118" s="264"/>
      <c r="AM118" s="264"/>
      <c r="AN118" s="75"/>
    </row>
    <row r="119" spans="1:40" s="6" customFormat="1" ht="11.25" x14ac:dyDescent="0.2">
      <c r="A119" s="56">
        <f t="shared" si="45"/>
        <v>43935</v>
      </c>
      <c r="B119" s="607">
        <v>48.603000000000002</v>
      </c>
      <c r="C119" s="388"/>
      <c r="D119" s="391">
        <f t="shared" si="24"/>
        <v>49.033372461540701</v>
      </c>
      <c r="E119" s="383">
        <f t="shared" si="46"/>
        <v>50.423911060373413</v>
      </c>
      <c r="F119" s="383">
        <f t="shared" si="25"/>
        <v>50.442013315576489</v>
      </c>
      <c r="G119" s="110">
        <f t="shared" si="47"/>
        <v>0.85961305407046507</v>
      </c>
      <c r="H119" s="412" t="b">
        <f>Wh_hp&gt;='2019'!Maxi_hp</f>
        <v>1</v>
      </c>
      <c r="I119" s="388">
        <f>IF(H119,Wh_hp,'2019'!Maxi_hp)</f>
        <v>50.442013315576489</v>
      </c>
      <c r="J119" s="85">
        <f>IF(H119,An,'2019'!An_max)</f>
        <v>2020</v>
      </c>
      <c r="K119" s="197">
        <f t="shared" si="26"/>
        <v>43935</v>
      </c>
      <c r="L119" s="147">
        <f>IF(t&lt;Tvie,1-EXP((T0-t)*PertePVj)+'2019'!Pspv,1-EXP((T0-t)*PertePVj)+Pspv)</f>
        <v>8.7771336119754073E-3</v>
      </c>
      <c r="M119" s="832"/>
      <c r="N119" s="832"/>
      <c r="O119" s="48">
        <f>IF(t&lt;Tnet,'2019'!Resal+('2019'!Salim-'2019'!Resal)*(1-EXP(('2019'!Tnet-t)/('2019'!Tau_j))),Resal+(Salim-Resal)*(1-EXP((Tnet-t)/(Tau_j))))*Salcycl</f>
        <v>2.7576968338846201E-2</v>
      </c>
      <c r="P119" s="169">
        <f>(INDEX(Models!$BJ119:$BT119,,T119)*(1-R119)+INDEX(Models!$BJ119:$BT119,,T119+1)*R119-ERP_i)*Q119*Ramure*Pc/MaxiM</f>
        <v>4.4883884240132742E-4</v>
      </c>
      <c r="Q119" s="304">
        <f t="shared" si="27"/>
        <v>0.7</v>
      </c>
      <c r="R119" s="177">
        <f t="shared" si="28"/>
        <v>0.17051451649362981</v>
      </c>
      <c r="S119" s="799">
        <f t="shared" si="29"/>
        <v>-1</v>
      </c>
      <c r="T119" s="176">
        <f t="shared" si="30"/>
        <v>5</v>
      </c>
      <c r="U119" s="250">
        <f t="shared" si="31"/>
        <v>-0.82948548350637019</v>
      </c>
      <c r="V119" s="382">
        <f t="shared" si="32"/>
        <v>56.535467405474819</v>
      </c>
      <c r="W119" s="58"/>
      <c r="X119" s="157">
        <f t="shared" si="33"/>
        <v>43935</v>
      </c>
      <c r="Y119" s="383">
        <f t="shared" si="34"/>
        <v>48.599451498467175</v>
      </c>
      <c r="Z119" s="383">
        <f t="shared" si="35"/>
        <v>49.029792538545422</v>
      </c>
      <c r="AA119" s="384">
        <f t="shared" si="36"/>
        <v>50.420229614255085</v>
      </c>
      <c r="AB119" s="197">
        <f t="shared" si="37"/>
        <v>43935</v>
      </c>
      <c r="AC119" s="424">
        <f>IF(OR(t&lt;Tnet,NoTnet),'2019'!Resal_s+('2019'!Salim-'2019'!Resal_s)*(1-EXP(('2019'!Tnet_s-t)/'2019'!Tau_j)),Resal_s+(Salim-Resal_s)*(1-EXP((Tnet_s-t)/Tau_j)))*Salcycl</f>
        <v>2.7576968338846201E-2</v>
      </c>
      <c r="AD119" s="230">
        <f>(INDEX(Models!$BJ119:$BT119,,AH119)*(1-AF119)+INDEX(Models!$BJ119:$BT119,,AH119+1)*AF119-ERP_i)*AE119*Ramure*Pc/MaxiM</f>
        <v>5.4011896167787538E-4</v>
      </c>
      <c r="AE119" s="304">
        <f t="shared" si="38"/>
        <v>0.7</v>
      </c>
      <c r="AF119" s="177">
        <f t="shared" si="39"/>
        <v>0.23484673875346196</v>
      </c>
      <c r="AG119" s="176">
        <f t="shared" si="40"/>
        <v>-1</v>
      </c>
      <c r="AH119" s="176">
        <f t="shared" si="41"/>
        <v>5</v>
      </c>
      <c r="AI119" s="224">
        <f t="shared" si="42"/>
        <v>-0.76515326124653804</v>
      </c>
      <c r="AJ119" s="264" t="b">
        <f t="shared" si="43"/>
        <v>0</v>
      </c>
      <c r="AK119" s="264" t="b">
        <f t="shared" si="44"/>
        <v>0</v>
      </c>
      <c r="AL119" s="264"/>
      <c r="AM119" s="264"/>
      <c r="AN119" s="75"/>
    </row>
    <row r="120" spans="1:40" s="6" customFormat="1" ht="11.25" x14ac:dyDescent="0.2">
      <c r="A120" s="56">
        <f t="shared" si="45"/>
        <v>43936</v>
      </c>
      <c r="B120" s="607">
        <v>55.656999999999996</v>
      </c>
      <c r="C120" s="388"/>
      <c r="D120" s="391">
        <f t="shared" si="24"/>
        <v>56.150910719973474</v>
      </c>
      <c r="E120" s="383">
        <f t="shared" si="46"/>
        <v>57.746664663401887</v>
      </c>
      <c r="F120" s="383">
        <f t="shared" si="25"/>
        <v>57.771393300679215</v>
      </c>
      <c r="G120" s="110">
        <f t="shared" si="47"/>
        <v>0.98175868213657191</v>
      </c>
      <c r="H120" s="412" t="b">
        <f>Wh_hp&gt;='2019'!Maxi_hp</f>
        <v>1</v>
      </c>
      <c r="I120" s="388">
        <f>IF(H120,Wh_hp,'2019'!Maxi_hp)</f>
        <v>57.771393300679215</v>
      </c>
      <c r="J120" s="85">
        <f>IF(H120,An,'2019'!An_max)</f>
        <v>2020</v>
      </c>
      <c r="K120" s="197">
        <f t="shared" si="26"/>
        <v>43936</v>
      </c>
      <c r="L120" s="147">
        <f>IF(t&lt;Tvie,1-EXP((T0-t)*PertePVj)+'2019'!Pspv,1-EXP((T0-t)*PertePVj)+Pspv)</f>
        <v>8.7961301720754781E-3</v>
      </c>
      <c r="M120" s="832"/>
      <c r="N120" s="832"/>
      <c r="O120" s="48">
        <f>IF(t&lt;Tnet,'2019'!Resal+('2019'!Salim-'2019'!Resal)*(1-EXP(('2019'!Tnet-t)/('2019'!Tau_j))),Resal+(Salim-Resal)*(1-EXP((Tnet-t)/(Tau_j))))*Salcycl</f>
        <v>2.7633698893777918E-2</v>
      </c>
      <c r="P120" s="169">
        <f>(INDEX(Models!$BJ120:$BT120,,T120)*(1-R120)+INDEX(Models!$BJ120:$BT120,,T120+1)*R120-ERP_i)*Q120*Ramure*Pc/MaxiM</f>
        <v>4.3948852893842407E-4</v>
      </c>
      <c r="Q120" s="304">
        <f t="shared" si="27"/>
        <v>0.7</v>
      </c>
      <c r="R120" s="177">
        <f t="shared" si="28"/>
        <v>0.17189984287254378</v>
      </c>
      <c r="S120" s="799">
        <f t="shared" si="29"/>
        <v>-1</v>
      </c>
      <c r="T120" s="176">
        <f t="shared" si="30"/>
        <v>5</v>
      </c>
      <c r="U120" s="250">
        <f t="shared" si="31"/>
        <v>-0.82810015712745622</v>
      </c>
      <c r="V120" s="382">
        <f t="shared" si="32"/>
        <v>56.690471612813987</v>
      </c>
      <c r="W120" s="58"/>
      <c r="X120" s="157">
        <f t="shared" si="33"/>
        <v>43936</v>
      </c>
      <c r="Y120" s="383">
        <f t="shared" si="34"/>
        <v>55.652182042297298</v>
      </c>
      <c r="Z120" s="383">
        <f t="shared" si="35"/>
        <v>56.146050006805012</v>
      </c>
      <c r="AA120" s="384">
        <f t="shared" si="36"/>
        <v>57.741665813520996</v>
      </c>
      <c r="AB120" s="197">
        <f t="shared" si="37"/>
        <v>43936</v>
      </c>
      <c r="AC120" s="424">
        <f>IF(OR(t&lt;Tnet,NoTnet),'2019'!Resal_s+('2019'!Salim-'2019'!Resal_s)*(1-EXP(('2019'!Tnet_s-t)/'2019'!Tau_j)),Resal_s+(Salim-Resal_s)*(1-EXP((Tnet_s-t)/Tau_j)))*Salcycl</f>
        <v>2.7633698893777918E-2</v>
      </c>
      <c r="AD120" s="230">
        <f>(INDEX(Models!$BJ120:$BT120,,AH120)*(1-AF120)+INDEX(Models!$BJ120:$BT120,,AH120+1)*AF120-ERP_i)*AE120*Ramure*Pc/MaxiM</f>
        <v>5.2833035050338752E-4</v>
      </c>
      <c r="AE120" s="304">
        <f t="shared" si="38"/>
        <v>0.7</v>
      </c>
      <c r="AF120" s="177">
        <f t="shared" si="39"/>
        <v>0.23623206513237593</v>
      </c>
      <c r="AG120" s="176">
        <f t="shared" si="40"/>
        <v>-1</v>
      </c>
      <c r="AH120" s="176">
        <f t="shared" si="41"/>
        <v>5</v>
      </c>
      <c r="AI120" s="224">
        <f t="shared" si="42"/>
        <v>-0.76376793486762407</v>
      </c>
      <c r="AJ120" s="264" t="b">
        <f t="shared" si="43"/>
        <v>0</v>
      </c>
      <c r="AK120" s="264" t="b">
        <f t="shared" si="44"/>
        <v>0</v>
      </c>
      <c r="AL120" s="264"/>
      <c r="AM120" s="264"/>
      <c r="AN120" s="75"/>
    </row>
    <row r="121" spans="1:40" s="6" customFormat="1" ht="11.25" x14ac:dyDescent="0.2">
      <c r="A121" s="56">
        <f t="shared" si="45"/>
        <v>43937</v>
      </c>
      <c r="B121" s="607">
        <v>44.582999999999998</v>
      </c>
      <c r="C121" s="388"/>
      <c r="D121" s="391">
        <f t="shared" si="24"/>
        <v>44.97949997626521</v>
      </c>
      <c r="E121" s="383">
        <f t="shared" si="46"/>
        <v>46.26048940099021</v>
      </c>
      <c r="F121" s="383">
        <f t="shared" si="25"/>
        <v>46.274277918461053</v>
      </c>
      <c r="G121" s="110">
        <f t="shared" si="47"/>
        <v>0.78424209295298231</v>
      </c>
      <c r="H121" s="412" t="b">
        <f>Wh_hp&gt;='2019'!Maxi_hp</f>
        <v>1</v>
      </c>
      <c r="I121" s="388">
        <f>IF(H121,Wh_hp,'2019'!Maxi_hp)</f>
        <v>46.274277918461053</v>
      </c>
      <c r="J121" s="85">
        <f>IF(H121,An,'2019'!An_max)</f>
        <v>2020</v>
      </c>
      <c r="K121" s="197">
        <f t="shared" si="26"/>
        <v>43937</v>
      </c>
      <c r="L121" s="147">
        <f>IF(t&lt;Tvie,1-EXP((T0-t)*PertePVj)+'2019'!Pspv,1-EXP((T0-t)*PertePVj)+Pspv)</f>
        <v>8.8151263681107705E-3</v>
      </c>
      <c r="M121" s="832"/>
      <c r="N121" s="832"/>
      <c r="O121" s="48">
        <f>IF(t&lt;Tnet,'2019'!Resal+('2019'!Salim-'2019'!Resal)*(1-EXP(('2019'!Tnet-t)/('2019'!Tau_j))),Resal+(Salim-Resal)*(1-EXP((Tnet-t)/(Tau_j))))*Salcycl</f>
        <v>2.7690788431165549E-2</v>
      </c>
      <c r="P121" s="169">
        <f>(INDEX(Models!$BJ121:$BT121,,T121)*(1-R121)+INDEX(Models!$BJ121:$BT121,,T121+1)*R121-ERP_i)*Q121*Ramure*Pc/MaxiM</f>
        <v>4.3064566523937331E-4</v>
      </c>
      <c r="Q121" s="304">
        <f t="shared" si="27"/>
        <v>0.7</v>
      </c>
      <c r="R121" s="177">
        <f t="shared" si="28"/>
        <v>0.1733321201002852</v>
      </c>
      <c r="S121" s="799">
        <f t="shared" si="29"/>
        <v>-1</v>
      </c>
      <c r="T121" s="176">
        <f t="shared" si="30"/>
        <v>5</v>
      </c>
      <c r="U121" s="250">
        <f t="shared" si="31"/>
        <v>-0.8266678798997148</v>
      </c>
      <c r="V121" s="382">
        <f t="shared" si="32"/>
        <v>56.840972606540397</v>
      </c>
      <c r="W121" s="58"/>
      <c r="X121" s="157">
        <f t="shared" si="33"/>
        <v>43937</v>
      </c>
      <c r="Y121" s="383">
        <f t="shared" si="34"/>
        <v>44.580326745095796</v>
      </c>
      <c r="Z121" s="383">
        <f t="shared" si="35"/>
        <v>44.976802946704616</v>
      </c>
      <c r="AA121" s="384">
        <f t="shared" si="36"/>
        <v>46.257715561630768</v>
      </c>
      <c r="AB121" s="197">
        <f t="shared" si="37"/>
        <v>43937</v>
      </c>
      <c r="AC121" s="424">
        <f>IF(OR(t&lt;Tnet,NoTnet),'2019'!Resal_s+('2019'!Salim-'2019'!Resal_s)*(1-EXP(('2019'!Tnet_s-t)/'2019'!Tau_j)),Resal_s+(Salim-Resal_s)*(1-EXP((Tnet_s-t)/Tau_j)))*Salcycl</f>
        <v>2.7690788431165549E-2</v>
      </c>
      <c r="AD121" s="230">
        <f>(INDEX(Models!$BJ121:$BT121,,AH121)*(1-AF121)+INDEX(Models!$BJ121:$BT121,,AH121+1)*AF121-ERP_i)*AE121*Ramure*Pc/MaxiM</f>
        <v>5.1727875677669418E-4</v>
      </c>
      <c r="AE121" s="304">
        <f t="shared" si="38"/>
        <v>0.7</v>
      </c>
      <c r="AF121" s="177">
        <f t="shared" si="39"/>
        <v>0.23766434236011735</v>
      </c>
      <c r="AG121" s="176">
        <f t="shared" si="40"/>
        <v>-1</v>
      </c>
      <c r="AH121" s="176">
        <f t="shared" si="41"/>
        <v>5</v>
      </c>
      <c r="AI121" s="224">
        <f t="shared" si="42"/>
        <v>-0.76233565763988265</v>
      </c>
      <c r="AJ121" s="264" t="b">
        <f t="shared" si="43"/>
        <v>0</v>
      </c>
      <c r="AK121" s="264" t="b">
        <f t="shared" si="44"/>
        <v>0</v>
      </c>
      <c r="AL121" s="264"/>
      <c r="AM121" s="264"/>
      <c r="AN121" s="75"/>
    </row>
    <row r="122" spans="1:40" s="18" customFormat="1" ht="11.25" x14ac:dyDescent="0.2">
      <c r="A122" s="56">
        <f t="shared" si="45"/>
        <v>43938</v>
      </c>
      <c r="B122" s="607">
        <v>26.702999999999999</v>
      </c>
      <c r="C122" s="388"/>
      <c r="D122" s="391">
        <f t="shared" si="24"/>
        <v>26.941000086960798</v>
      </c>
      <c r="E122" s="383">
        <f t="shared" si="46"/>
        <v>27.709901158779012</v>
      </c>
      <c r="F122" s="383">
        <f t="shared" si="25"/>
        <v>27.712721144693081</v>
      </c>
      <c r="G122" s="110">
        <f t="shared" si="47"/>
        <v>0.46844061460834607</v>
      </c>
      <c r="H122" s="412" t="b">
        <f>Wh_hp&gt;='2019'!Maxi_hp</f>
        <v>0</v>
      </c>
      <c r="I122" s="388">
        <f>IF(H122,Wh_hp,'2019'!Maxi_hp)</f>
        <v>27.868184565332012</v>
      </c>
      <c r="J122" s="85">
        <f>IF(H122,An,'2019'!An_max)</f>
        <v>2018</v>
      </c>
      <c r="K122" s="197">
        <f t="shared" si="26"/>
        <v>43938</v>
      </c>
      <c r="L122" s="147">
        <f>IF(t&lt;Tvie,1-EXP((T0-t)*PertePVj)+'2019'!Pspv,1-EXP((T0-t)*PertePVj)+Pspv)</f>
        <v>8.8341222000882791E-3</v>
      </c>
      <c r="M122" s="832"/>
      <c r="N122" s="832"/>
      <c r="O122" s="48">
        <f>IF(t&lt;Tnet,'2019'!Resal+('2019'!Salim-'2019'!Resal)*(1-EXP(('2019'!Tnet-t)/('2019'!Tau_j))),Resal+(Salim-Resal)*(1-EXP((Tnet-t)/(Tau_j))))*Salcycl</f>
        <v>2.7748243034587977E-2</v>
      </c>
      <c r="P122" s="169">
        <f>(INDEX(Models!$BJ122:$BT122,,T122)*(1-R122)+INDEX(Models!$BJ122:$BT122,,T122+1)*R122-ERP_i)*Q122*Ramure*Pc/MaxiM</f>
        <v>4.2250475737154019E-4</v>
      </c>
      <c r="Q122" s="304">
        <f t="shared" si="27"/>
        <v>0.7</v>
      </c>
      <c r="R122" s="177">
        <f t="shared" si="28"/>
        <v>0.17481250435846352</v>
      </c>
      <c r="S122" s="799">
        <f t="shared" si="29"/>
        <v>-1</v>
      </c>
      <c r="T122" s="176">
        <f t="shared" si="30"/>
        <v>5</v>
      </c>
      <c r="U122" s="250">
        <f t="shared" si="31"/>
        <v>-0.82518749564153648</v>
      </c>
      <c r="V122" s="382">
        <f t="shared" si="32"/>
        <v>56.985738192333756</v>
      </c>
      <c r="W122" s="58"/>
      <c r="X122" s="157">
        <f t="shared" si="33"/>
        <v>43938</v>
      </c>
      <c r="Y122" s="383">
        <f t="shared" si="34"/>
        <v>26.702454947299579</v>
      </c>
      <c r="Z122" s="383">
        <f t="shared" si="35"/>
        <v>26.940450176282244</v>
      </c>
      <c r="AA122" s="384">
        <f t="shared" si="36"/>
        <v>27.709335553549074</v>
      </c>
      <c r="AB122" s="197">
        <f t="shared" si="37"/>
        <v>43938</v>
      </c>
      <c r="AC122" s="424">
        <f>IF(OR(t&lt;Tnet,NoTnet),'2019'!Resal_s+('2019'!Salim-'2019'!Resal_s)*(1-EXP(('2019'!Tnet_s-t)/'2019'!Tau_j)),Resal_s+(Salim-Resal_s)*(1-EXP((Tnet_s-t)/Tau_j)))*Salcycl</f>
        <v>2.7748243034587977E-2</v>
      </c>
      <c r="AD122" s="230">
        <f>(INDEX(Models!$BJ122:$BT122,,AH122)*(1-AF122)+INDEX(Models!$BJ122:$BT122,,AH122+1)*AF122-ERP_i)*AE122*Ramure*Pc/MaxiM</f>
        <v>5.0724663471568316E-4</v>
      </c>
      <c r="AE122" s="304">
        <f t="shared" si="38"/>
        <v>0.7</v>
      </c>
      <c r="AF122" s="177">
        <f t="shared" si="39"/>
        <v>0.23914472661829567</v>
      </c>
      <c r="AG122" s="176">
        <f t="shared" si="40"/>
        <v>-1</v>
      </c>
      <c r="AH122" s="176">
        <f t="shared" si="41"/>
        <v>5</v>
      </c>
      <c r="AI122" s="224">
        <f t="shared" si="42"/>
        <v>-0.76085527338170433</v>
      </c>
      <c r="AJ122" s="264" t="b">
        <f t="shared" si="43"/>
        <v>0</v>
      </c>
      <c r="AK122" s="264" t="b">
        <f t="shared" si="44"/>
        <v>0</v>
      </c>
      <c r="AL122" s="264"/>
      <c r="AM122" s="264"/>
      <c r="AN122" s="264"/>
    </row>
    <row r="123" spans="1:40" s="18" customFormat="1" ht="11.25" x14ac:dyDescent="0.2">
      <c r="A123" s="56">
        <f t="shared" si="45"/>
        <v>43939</v>
      </c>
      <c r="B123" s="607">
        <v>41.055</v>
      </c>
      <c r="C123" s="388"/>
      <c r="D123" s="391">
        <f t="shared" si="24"/>
        <v>41.421711284007863</v>
      </c>
      <c r="E123" s="383">
        <f t="shared" si="46"/>
        <v>42.606428546318682</v>
      </c>
      <c r="F123" s="383">
        <f t="shared" si="25"/>
        <v>42.617017646833283</v>
      </c>
      <c r="G123" s="110">
        <f t="shared" si="47"/>
        <v>0.71856760598573666</v>
      </c>
      <c r="H123" s="412" t="b">
        <f>Wh_hp&gt;='2019'!Maxi_hp</f>
        <v>0</v>
      </c>
      <c r="I123" s="388">
        <f>IF(H123,Wh_hp,'2019'!Maxi_hp)</f>
        <v>47.411482109364925</v>
      </c>
      <c r="J123" s="85">
        <f>IF(H123,An,'2019'!An_max)</f>
        <v>2018</v>
      </c>
      <c r="K123" s="197">
        <f t="shared" si="26"/>
        <v>43939</v>
      </c>
      <c r="L123" s="147">
        <f>IF(t&lt;Tvie,1-EXP((T0-t)*PertePVj)+'2019'!Pspv,1-EXP((T0-t)*PertePVj)+Pspv)</f>
        <v>8.8531176680149981E-3</v>
      </c>
      <c r="M123" s="832"/>
      <c r="N123" s="832"/>
      <c r="O123" s="48">
        <f>IF(t&lt;Tnet,'2019'!Resal+('2019'!Salim-'2019'!Resal)*(1-EXP(('2019'!Tnet-t)/('2019'!Tau_j))),Resal+(Salim-Resal)*(1-EXP((Tnet-t)/(Tau_j))))*Salcycl</f>
        <v>2.7806068303117135E-2</v>
      </c>
      <c r="P123" s="169">
        <f>(INDEX(Models!$BJ123:$BT123,,T123)*(1-R123)+INDEX(Models!$BJ123:$BT123,,T123+1)*R123-ERP_i)*Q123*Ramure*Pc/MaxiM</f>
        <v>4.1541668849402578E-4</v>
      </c>
      <c r="Q123" s="304">
        <f t="shared" si="27"/>
        <v>0.7</v>
      </c>
      <c r="R123" s="177">
        <f t="shared" si="28"/>
        <v>0.176342146826173</v>
      </c>
      <c r="S123" s="799">
        <f t="shared" si="29"/>
        <v>-1</v>
      </c>
      <c r="T123" s="176">
        <f t="shared" si="30"/>
        <v>5</v>
      </c>
      <c r="U123" s="250">
        <f t="shared" si="31"/>
        <v>-0.823657853173827</v>
      </c>
      <c r="V123" s="382">
        <f t="shared" si="32"/>
        <v>57.124958050765564</v>
      </c>
      <c r="W123" s="58"/>
      <c r="X123" s="157">
        <f t="shared" si="33"/>
        <v>43939</v>
      </c>
      <c r="Y123" s="383">
        <f t="shared" si="34"/>
        <v>41.052956727315234</v>
      </c>
      <c r="Z123" s="383">
        <f t="shared" si="35"/>
        <v>41.419649760412135</v>
      </c>
      <c r="AA123" s="384">
        <f t="shared" si="36"/>
        <v>42.60430806034514</v>
      </c>
      <c r="AB123" s="197">
        <f t="shared" si="37"/>
        <v>43939</v>
      </c>
      <c r="AC123" s="424">
        <f>IF(OR(t&lt;Tnet,NoTnet),'2019'!Resal_s+('2019'!Salim-'2019'!Resal_s)*(1-EXP(('2019'!Tnet_s-t)/'2019'!Tau_j)),Resal_s+(Salim-Resal_s)*(1-EXP((Tnet_s-t)/Tau_j)))*Salcycl</f>
        <v>2.7806068303117135E-2</v>
      </c>
      <c r="AD123" s="230">
        <f>(INDEX(Models!$BJ123:$BT123,,AH123)*(1-AF123)+INDEX(Models!$BJ123:$BT123,,AH123+1)*AF123-ERP_i)*AE123*Ramure*Pc/MaxiM</f>
        <v>4.9860460987713527E-4</v>
      </c>
      <c r="AE123" s="304">
        <f t="shared" si="38"/>
        <v>0.7</v>
      </c>
      <c r="AF123" s="177">
        <f t="shared" si="39"/>
        <v>0.24067436908600515</v>
      </c>
      <c r="AG123" s="176">
        <f t="shared" si="40"/>
        <v>-1</v>
      </c>
      <c r="AH123" s="176">
        <f t="shared" si="41"/>
        <v>5</v>
      </c>
      <c r="AI123" s="224">
        <f t="shared" si="42"/>
        <v>-0.75932563091399485</v>
      </c>
      <c r="AJ123" s="264" t="b">
        <f t="shared" si="43"/>
        <v>0</v>
      </c>
      <c r="AK123" s="264" t="b">
        <f t="shared" si="44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5"/>
        <v>43940</v>
      </c>
      <c r="B124" s="607">
        <v>19.475000000000001</v>
      </c>
      <c r="C124" s="388"/>
      <c r="D124" s="391">
        <f t="shared" si="24"/>
        <v>19.649331081245169</v>
      </c>
      <c r="E124" s="383">
        <f t="shared" si="46"/>
        <v>20.21253870342936</v>
      </c>
      <c r="F124" s="383">
        <f t="shared" si="25"/>
        <v>20.213013009770165</v>
      </c>
      <c r="G124" s="110">
        <f t="shared" si="47"/>
        <v>0.33999088178967196</v>
      </c>
      <c r="H124" s="412" t="b">
        <f>Wh_hp&gt;='2019'!Maxi_hp</f>
        <v>0</v>
      </c>
      <c r="I124" s="388">
        <f>IF(H124,Wh_hp,'2019'!Maxi_hp)</f>
        <v>54.37744314192939</v>
      </c>
      <c r="J124" s="85">
        <f>IF(H124,An,'2019'!An_max)</f>
        <v>2018</v>
      </c>
      <c r="K124" s="197">
        <f t="shared" si="26"/>
        <v>43940</v>
      </c>
      <c r="L124" s="147">
        <f>IF(t&lt;Tvie,1-EXP((T0-t)*PertePVj)+'2019'!Pspv,1-EXP((T0-t)*PertePVj)+Pspv)</f>
        <v>8.872112771898033E-3</v>
      </c>
      <c r="M124" s="832"/>
      <c r="N124" s="832"/>
      <c r="O124" s="48">
        <f>IF(t&lt;Tnet,'2019'!Resal+('2019'!Salim-'2019'!Resal)*(1-EXP(('2019'!Tnet-t)/('2019'!Tau_j))),Resal+(Salim-Resal)*(1-EXP((Tnet-t)/(Tau_j))))*Salcycl</f>
        <v>2.7864269325487235E-2</v>
      </c>
      <c r="P124" s="169">
        <f>(INDEX(Models!$BJ124:$BT124,,T124)*(1-R124)+INDEX(Models!$BJ124:$BT124,,T124+1)*R124-ERP_i)*Q124*Ramure*Pc/MaxiM</f>
        <v>4.0939425262785488E-4</v>
      </c>
      <c r="Q124" s="304">
        <f t="shared" si="27"/>
        <v>0.7</v>
      </c>
      <c r="R124" s="177">
        <f t="shared" si="28"/>
        <v>0.17792219060910841</v>
      </c>
      <c r="S124" s="799">
        <f t="shared" si="29"/>
        <v>-1</v>
      </c>
      <c r="T124" s="176">
        <f t="shared" si="30"/>
        <v>5</v>
      </c>
      <c r="U124" s="250">
        <f t="shared" si="31"/>
        <v>-0.82207780939089159</v>
      </c>
      <c r="V124" s="382">
        <f t="shared" si="32"/>
        <v>57.25884105085435</v>
      </c>
      <c r="W124" s="58"/>
      <c r="X124" s="157">
        <f t="shared" si="33"/>
        <v>43940</v>
      </c>
      <c r="Y124" s="383">
        <f t="shared" si="34"/>
        <v>19.474908499323654</v>
      </c>
      <c r="Z124" s="383">
        <f t="shared" si="35"/>
        <v>19.64923876149761</v>
      </c>
      <c r="AA124" s="384">
        <f t="shared" si="36"/>
        <v>20.2124437375263</v>
      </c>
      <c r="AB124" s="197">
        <f t="shared" si="37"/>
        <v>43940</v>
      </c>
      <c r="AC124" s="424">
        <f>IF(OR(t&lt;Tnet,NoTnet),'2019'!Resal_s+('2019'!Salim-'2019'!Resal_s)*(1-EXP(('2019'!Tnet_s-t)/'2019'!Tau_j)),Resal_s+(Salim-Resal_s)*(1-EXP((Tnet_s-t)/Tau_j)))*Salcycl</f>
        <v>2.7864269325487235E-2</v>
      </c>
      <c r="AD124" s="230">
        <f>(INDEX(Models!$BJ124:$BT124,,AH124)*(1-AF124)+INDEX(Models!$BJ124:$BT124,,AH124+1)*AF124-ERP_i)*AE124*Ramure*Pc/MaxiM</f>
        <v>4.9136341804733772E-4</v>
      </c>
      <c r="AE124" s="304">
        <f t="shared" si="38"/>
        <v>0.7</v>
      </c>
      <c r="AF124" s="177">
        <f t="shared" si="39"/>
        <v>0.24225441286894056</v>
      </c>
      <c r="AG124" s="176">
        <f t="shared" si="40"/>
        <v>-1</v>
      </c>
      <c r="AH124" s="176">
        <f t="shared" si="41"/>
        <v>5</v>
      </c>
      <c r="AI124" s="224">
        <f t="shared" si="42"/>
        <v>-0.75774558713105944</v>
      </c>
      <c r="AJ124" s="264" t="b">
        <f t="shared" si="43"/>
        <v>0</v>
      </c>
      <c r="AK124" s="264" t="b">
        <f t="shared" si="44"/>
        <v>0</v>
      </c>
      <c r="AL124" s="264"/>
      <c r="AM124" s="264"/>
      <c r="AN124" s="75"/>
    </row>
    <row r="125" spans="1:40" s="6" customFormat="1" ht="11.25" x14ac:dyDescent="0.2">
      <c r="A125" s="56">
        <f t="shared" si="45"/>
        <v>43941</v>
      </c>
      <c r="B125" s="607">
        <v>11.715999999999999</v>
      </c>
      <c r="C125" s="388"/>
      <c r="D125" s="391">
        <f t="shared" si="24"/>
        <v>11.821102694968332</v>
      </c>
      <c r="E125" s="383">
        <f t="shared" si="46"/>
        <v>12.160663073823594</v>
      </c>
      <c r="F125" s="383">
        <f t="shared" si="25"/>
        <v>12.160663073823594</v>
      </c>
      <c r="G125" s="110">
        <f t="shared" si="47"/>
        <v>0.20407304477930241</v>
      </c>
      <c r="H125" s="412" t="b">
        <f>Wh_hp&gt;='2019'!Maxi_hp</f>
        <v>0</v>
      </c>
      <c r="I125" s="388">
        <f>IF(H125,Wh_hp,'2019'!Maxi_hp)</f>
        <v>21.299154139914371</v>
      </c>
      <c r="J125" s="85">
        <f>IF(H125,An,'2019'!An_max)</f>
        <v>2018</v>
      </c>
      <c r="K125" s="197">
        <f t="shared" si="26"/>
        <v>43941</v>
      </c>
      <c r="L125" s="147">
        <f>IF(t&lt;Tvie,1-EXP((T0-t)*PertePVj)+'2019'!Pspv,1-EXP((T0-t)*PertePVj)+Pspv)</f>
        <v>8.8911075117441563E-3</v>
      </c>
      <c r="M125" s="832"/>
      <c r="N125" s="832"/>
      <c r="O125" s="48">
        <f>IF(t&lt;Tnet,'2019'!Resal+('2019'!Salim-'2019'!Resal)*(1-EXP(('2019'!Tnet-t)/('2019'!Tau_j))),Resal+(Salim-Resal)*(1-EXP((Tnet-t)/(Tau_j))))*Salcycl</f>
        <v>2.7922850653282354E-2</v>
      </c>
      <c r="P125" s="169">
        <f>(INDEX(Models!$BJ125:$BT125,,T125)*(1-R125)+INDEX(Models!$BJ125:$BT125,,T125+1)*R125-ERP_i)*Q125*Ramure*Pc/MaxiM</f>
        <v>4.0445376826799982E-4</v>
      </c>
      <c r="Q125" s="304">
        <f t="shared" si="27"/>
        <v>0.7</v>
      </c>
      <c r="R125" s="177">
        <f t="shared" si="28"/>
        <v>0.17955376746148677</v>
      </c>
      <c r="S125" s="799">
        <f t="shared" si="29"/>
        <v>-1</v>
      </c>
      <c r="T125" s="176">
        <f t="shared" si="30"/>
        <v>5</v>
      </c>
      <c r="U125" s="250">
        <f t="shared" si="31"/>
        <v>-0.82044623253851323</v>
      </c>
      <c r="V125" s="382">
        <f t="shared" si="32"/>
        <v>57.387595859689732</v>
      </c>
      <c r="W125" s="58"/>
      <c r="X125" s="157">
        <f t="shared" si="33"/>
        <v>43941</v>
      </c>
      <c r="Y125" s="383">
        <f t="shared" si="34"/>
        <v>11.715999999999999</v>
      </c>
      <c r="Z125" s="383">
        <f t="shared" si="35"/>
        <v>11.821102694968332</v>
      </c>
      <c r="AA125" s="384">
        <f t="shared" si="36"/>
        <v>12.160663073823594</v>
      </c>
      <c r="AB125" s="197">
        <f t="shared" si="37"/>
        <v>43941</v>
      </c>
      <c r="AC125" s="424">
        <f>IF(OR(t&lt;Tnet,NoTnet),'2019'!Resal_s+('2019'!Salim-'2019'!Resal_s)*(1-EXP(('2019'!Tnet_s-t)/'2019'!Tau_j)),Resal_s+(Salim-Resal_s)*(1-EXP((Tnet_s-t)/Tau_j)))*Salcycl</f>
        <v>2.7922850653282354E-2</v>
      </c>
      <c r="AD125" s="230">
        <f>(INDEX(Models!$BJ125:$BT125,,AH125)*(1-AF125)+INDEX(Models!$BJ125:$BT125,,AH125+1)*AF125-ERP_i)*AE125*Ramure*Pc/MaxiM</f>
        <v>4.8553787525555144E-4</v>
      </c>
      <c r="AE125" s="304">
        <f t="shared" si="38"/>
        <v>0.7</v>
      </c>
      <c r="AF125" s="177">
        <f t="shared" si="39"/>
        <v>0.24388598972131892</v>
      </c>
      <c r="AG125" s="176">
        <f t="shared" si="40"/>
        <v>-1</v>
      </c>
      <c r="AH125" s="176">
        <f t="shared" si="41"/>
        <v>5</v>
      </c>
      <c r="AI125" s="224">
        <f t="shared" si="42"/>
        <v>-0.75611401027868108</v>
      </c>
      <c r="AJ125" s="264" t="b">
        <f t="shared" si="43"/>
        <v>0</v>
      </c>
      <c r="AK125" s="264" t="b">
        <f t="shared" si="44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5"/>
        <v>43942</v>
      </c>
      <c r="B126" s="607">
        <v>17.616</v>
      </c>
      <c r="C126" s="388"/>
      <c r="D126" s="391">
        <f t="shared" si="24"/>
        <v>17.774371460702202</v>
      </c>
      <c r="E126" s="383">
        <f t="shared" si="46"/>
        <v>18.28604830472727</v>
      </c>
      <c r="F126" s="383">
        <f t="shared" si="25"/>
        <v>18.286114281028905</v>
      </c>
      <c r="G126" s="110">
        <f t="shared" si="47"/>
        <v>0.30618271893647858</v>
      </c>
      <c r="H126" s="412" t="b">
        <f>Wh_hp&gt;='2019'!Maxi_hp</f>
        <v>0</v>
      </c>
      <c r="I126" s="388">
        <f>IF(H126,Wh_hp,'2019'!Maxi_hp)</f>
        <v>32.908170909496889</v>
      </c>
      <c r="J126" s="85">
        <f>IF(H126,An,'2019'!An_max)</f>
        <v>2018</v>
      </c>
      <c r="K126" s="197">
        <f t="shared" si="26"/>
        <v>43942</v>
      </c>
      <c r="L126" s="147">
        <f>IF(t&lt;Tvie,1-EXP((T0-t)*PertePVj)+'2019'!Pspv,1-EXP((T0-t)*PertePVj)+Pspv)</f>
        <v>8.9101018875603621E-3</v>
      </c>
      <c r="M126" s="832"/>
      <c r="N126" s="832"/>
      <c r="O126" s="48">
        <f>IF(t&lt;Tnet,'2019'!Resal+('2019'!Salim-'2019'!Resal)*(1-EXP(('2019'!Tnet-t)/('2019'!Tau_j))),Resal+(Salim-Resal)*(1-EXP((Tnet-t)/(Tau_j))))*Salcycl</f>
        <v>2.7981816273163301E-2</v>
      </c>
      <c r="P126" s="169">
        <f>(INDEX(Models!$BJ126:$BT126,,T126)*(1-R126)+INDEX(Models!$BJ126:$BT126,,T126+1)*R126-ERP_i)*Q126*Ramure*Pc/MaxiM</f>
        <v>4.006139351575243E-4</v>
      </c>
      <c r="Q126" s="304">
        <f t="shared" si="27"/>
        <v>0.7</v>
      </c>
      <c r="R126" s="177">
        <f t="shared" si="28"/>
        <v>0.18123799429899279</v>
      </c>
      <c r="S126" s="799">
        <f t="shared" si="29"/>
        <v>-1</v>
      </c>
      <c r="T126" s="176">
        <f t="shared" si="30"/>
        <v>5</v>
      </c>
      <c r="U126" s="250">
        <f t="shared" si="31"/>
        <v>-0.81876200570100721</v>
      </c>
      <c r="V126" s="382">
        <f t="shared" si="32"/>
        <v>57.51143101537199</v>
      </c>
      <c r="W126" s="58"/>
      <c r="X126" s="157">
        <f t="shared" si="33"/>
        <v>43942</v>
      </c>
      <c r="Y126" s="383">
        <f t="shared" si="34"/>
        <v>17.615987223396559</v>
      </c>
      <c r="Z126" s="383">
        <f t="shared" si="35"/>
        <v>17.774358569234469</v>
      </c>
      <c r="AA126" s="384">
        <f t="shared" si="36"/>
        <v>18.286035042148495</v>
      </c>
      <c r="AB126" s="197">
        <f t="shared" si="37"/>
        <v>43942</v>
      </c>
      <c r="AC126" s="424">
        <f>IF(OR(t&lt;Tnet,NoTnet),'2019'!Resal_s+('2019'!Salim-'2019'!Resal_s)*(1-EXP(('2019'!Tnet_s-t)/'2019'!Tau_j)),Resal_s+(Salim-Resal_s)*(1-EXP((Tnet_s-t)/Tau_j)))*Salcycl</f>
        <v>2.7981816273163301E-2</v>
      </c>
      <c r="AD126" s="230">
        <f>(INDEX(Models!$BJ126:$BT126,,AH126)*(1-AF126)+INDEX(Models!$BJ126:$BT126,,AH126+1)*AF126-ERP_i)*AE126*Ramure*Pc/MaxiM</f>
        <v>4.8114548576984713E-4</v>
      </c>
      <c r="AE126" s="304">
        <f t="shared" si="38"/>
        <v>0.7</v>
      </c>
      <c r="AF126" s="177">
        <f t="shared" si="39"/>
        <v>0.24557021655882494</v>
      </c>
      <c r="AG126" s="176">
        <f t="shared" si="40"/>
        <v>-1</v>
      </c>
      <c r="AH126" s="176">
        <f t="shared" si="41"/>
        <v>5</v>
      </c>
      <c r="AI126" s="224">
        <f t="shared" si="42"/>
        <v>-0.75442978344117506</v>
      </c>
      <c r="AJ126" s="264" t="b">
        <f t="shared" si="43"/>
        <v>0</v>
      </c>
      <c r="AK126" s="264" t="b">
        <f t="shared" si="44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5"/>
        <v>43943</v>
      </c>
      <c r="B127" s="607">
        <v>7.7149999999999999</v>
      </c>
      <c r="C127" s="388"/>
      <c r="D127" s="391">
        <f t="shared" si="24"/>
        <v>7.7845086240333403</v>
      </c>
      <c r="E127" s="383">
        <f t="shared" si="46"/>
        <v>8.009092957831319</v>
      </c>
      <c r="F127" s="383">
        <f t="shared" si="25"/>
        <v>8.009092957831319</v>
      </c>
      <c r="G127" s="110">
        <f t="shared" si="47"/>
        <v>0.13381669226984441</v>
      </c>
      <c r="H127" s="412" t="b">
        <f>Wh_hp&gt;='2019'!Maxi_hp</f>
        <v>0</v>
      </c>
      <c r="I127" s="388">
        <f>IF(H127,Wh_hp,'2019'!Maxi_hp)</f>
        <v>40.756692660795473</v>
      </c>
      <c r="J127" s="85">
        <f>IF(H127,An,'2019'!An_max)</f>
        <v>2018</v>
      </c>
      <c r="K127" s="197">
        <f t="shared" si="26"/>
        <v>43943</v>
      </c>
      <c r="L127" s="147">
        <f>IF(t&lt;Tvie,1-EXP((T0-t)*PertePVj)+'2019'!Pspv,1-EXP((T0-t)*PertePVj)+Pspv)</f>
        <v>8.9290958993537561E-3</v>
      </c>
      <c r="M127" s="832"/>
      <c r="N127" s="832"/>
      <c r="O127" s="48">
        <f>IF(t&lt;Tnet,'2019'!Resal+('2019'!Salim-'2019'!Resal)*(1-EXP(('2019'!Tnet-t)/('2019'!Tau_j))),Resal+(Salim-Resal)*(1-EXP((Tnet-t)/(Tau_j))))*Salcycl</f>
        <v>2.8041169578182954E-2</v>
      </c>
      <c r="P127" s="169">
        <f>(INDEX(Models!$BJ127:$BT127,,T127)*(1-R127)+INDEX(Models!$BJ127:$BT127,,T127+1)*R127-ERP_i)*Q127*Ramure*Pc/MaxiM</f>
        <v>3.9789474288549209E-4</v>
      </c>
      <c r="Q127" s="304">
        <f t="shared" si="27"/>
        <v>0.7</v>
      </c>
      <c r="R127" s="177">
        <f t="shared" si="28"/>
        <v>0.1829759695022195</v>
      </c>
      <c r="S127" s="799">
        <f t="shared" si="29"/>
        <v>-1</v>
      </c>
      <c r="T127" s="176">
        <f t="shared" si="30"/>
        <v>5</v>
      </c>
      <c r="U127" s="250">
        <f t="shared" si="31"/>
        <v>-0.8170240304977805</v>
      </c>
      <c r="V127" s="382">
        <f t="shared" si="32"/>
        <v>57.630554987171223</v>
      </c>
      <c r="W127" s="58"/>
      <c r="X127" s="157">
        <f t="shared" si="33"/>
        <v>43943</v>
      </c>
      <c r="Y127" s="383">
        <f t="shared" si="34"/>
        <v>7.7149999999999999</v>
      </c>
      <c r="Z127" s="383">
        <f t="shared" si="35"/>
        <v>7.7845086240333403</v>
      </c>
      <c r="AA127" s="384">
        <f t="shared" si="36"/>
        <v>8.009092957831319</v>
      </c>
      <c r="AB127" s="197">
        <f t="shared" si="37"/>
        <v>43943</v>
      </c>
      <c r="AC127" s="424">
        <f>IF(OR(t&lt;Tnet,NoTnet),'2019'!Resal_s+('2019'!Salim-'2019'!Resal_s)*(1-EXP(('2019'!Tnet_s-t)/'2019'!Tau_j)),Resal_s+(Salim-Resal_s)*(1-EXP((Tnet_s-t)/Tau_j)))*Salcycl</f>
        <v>2.8041169578182954E-2</v>
      </c>
      <c r="AD127" s="230">
        <f>(INDEX(Models!$BJ127:$BT127,,AH127)*(1-AF127)+INDEX(Models!$BJ127:$BT127,,AH127+1)*AF127-ERP_i)*AE127*Ramure*Pc/MaxiM</f>
        <v>4.782051115211841E-4</v>
      </c>
      <c r="AE127" s="304">
        <f t="shared" si="38"/>
        <v>0.7</v>
      </c>
      <c r="AF127" s="177">
        <f t="shared" si="39"/>
        <v>0.24730819176205165</v>
      </c>
      <c r="AG127" s="176">
        <f t="shared" si="40"/>
        <v>-1</v>
      </c>
      <c r="AH127" s="176">
        <f t="shared" si="41"/>
        <v>5</v>
      </c>
      <c r="AI127" s="224">
        <f t="shared" si="42"/>
        <v>-0.75269180823794835</v>
      </c>
      <c r="AJ127" s="264" t="b">
        <f t="shared" si="43"/>
        <v>0</v>
      </c>
      <c r="AK127" s="264" t="b">
        <f t="shared" si="44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5"/>
        <v>43944</v>
      </c>
      <c r="B128" s="607">
        <v>16.045000000000002</v>
      </c>
      <c r="C128" s="388"/>
      <c r="D128" s="391">
        <f t="shared" si="24"/>
        <v>16.189868392129043</v>
      </c>
      <c r="E128" s="383">
        <f t="shared" si="46"/>
        <v>16.657972637609763</v>
      </c>
      <c r="F128" s="383">
        <f t="shared" si="25"/>
        <v>16.657972637609763</v>
      </c>
      <c r="G128" s="110">
        <f t="shared" si="47"/>
        <v>0.27774858697443855</v>
      </c>
      <c r="H128" s="412" t="b">
        <f>Wh_hp&gt;='2019'!Maxi_hp</f>
        <v>0</v>
      </c>
      <c r="I128" s="388">
        <f>IF(H128,Wh_hp,'2019'!Maxi_hp)</f>
        <v>48.897474838886858</v>
      </c>
      <c r="J128" s="85">
        <f>IF(H128,An,'2019'!An_max)</f>
        <v>2018</v>
      </c>
      <c r="K128" s="197">
        <f t="shared" si="26"/>
        <v>43944</v>
      </c>
      <c r="L128" s="147">
        <f>IF(t&lt;Tvie,1-EXP((T0-t)*PertePVj)+'2019'!Pspv,1-EXP((T0-t)*PertePVj)+Pspv)</f>
        <v>8.9480895471312216E-3</v>
      </c>
      <c r="M128" s="832"/>
      <c r="N128" s="832"/>
      <c r="O128" s="48">
        <f>IF(t&lt;Tnet,'2019'!Resal+('2019'!Salim-'2019'!Resal)*(1-EXP(('2019'!Tnet-t)/('2019'!Tau_j))),Resal+(Salim-Resal)*(1-EXP((Tnet-t)/(Tau_j))))*Salcycl</f>
        <v>2.8100913338268637E-2</v>
      </c>
      <c r="P128" s="169">
        <f>(INDEX(Models!$BJ128:$BT128,,T128)*(1-R128)+INDEX(Models!$BJ128:$BT128,,T128+1)*R128-ERP_i)*Q128*Ramure*Pc/MaxiM</f>
        <v>3.953635199191954E-4</v>
      </c>
      <c r="Q128" s="304">
        <f t="shared" si="27"/>
        <v>0.7</v>
      </c>
      <c r="R128" s="177">
        <f t="shared" si="28"/>
        <v>0.18476876901148465</v>
      </c>
      <c r="S128" s="799">
        <f t="shared" si="29"/>
        <v>-1</v>
      </c>
      <c r="T128" s="176">
        <f t="shared" si="30"/>
        <v>5</v>
      </c>
      <c r="U128" s="250">
        <f t="shared" si="31"/>
        <v>-0.81523123098851535</v>
      </c>
      <c r="V128" s="382">
        <f t="shared" si="32"/>
        <v>57.745231279246624</v>
      </c>
      <c r="W128" s="58"/>
      <c r="X128" s="157">
        <f t="shared" si="33"/>
        <v>43944</v>
      </c>
      <c r="Y128" s="383">
        <f t="shared" si="34"/>
        <v>16.045000000000002</v>
      </c>
      <c r="Z128" s="383">
        <f t="shared" si="35"/>
        <v>16.189868392129043</v>
      </c>
      <c r="AA128" s="384">
        <f t="shared" si="36"/>
        <v>16.657972637609763</v>
      </c>
      <c r="AB128" s="197">
        <f t="shared" si="37"/>
        <v>43944</v>
      </c>
      <c r="AC128" s="424">
        <f>IF(OR(t&lt;Tnet,NoTnet),'2019'!Resal_s+('2019'!Salim-'2019'!Resal_s)*(1-EXP(('2019'!Tnet_s-t)/'2019'!Tau_j)),Resal_s+(Salim-Resal_s)*(1-EXP((Tnet_s-t)/Tau_j)))*Salcycl</f>
        <v>2.8100913338268637E-2</v>
      </c>
      <c r="AD128" s="230">
        <f>(INDEX(Models!$BJ128:$BT128,,AH128)*(1-AF128)+INDEX(Models!$BJ128:$BT128,,AH128+1)*AF128-ERP_i)*AE128*Ramure*Pc/MaxiM</f>
        <v>4.755196817942706E-4</v>
      </c>
      <c r="AE128" s="304">
        <f t="shared" si="38"/>
        <v>0.7</v>
      </c>
      <c r="AF128" s="177">
        <f t="shared" si="39"/>
        <v>0.2491009912713168</v>
      </c>
      <c r="AG128" s="176">
        <f t="shared" si="40"/>
        <v>-1</v>
      </c>
      <c r="AH128" s="176">
        <f t="shared" si="41"/>
        <v>5</v>
      </c>
      <c r="AI128" s="224">
        <f t="shared" si="42"/>
        <v>-0.7508990087286832</v>
      </c>
      <c r="AJ128" s="264" t="b">
        <f t="shared" si="43"/>
        <v>0</v>
      </c>
      <c r="AK128" s="264" t="b">
        <f t="shared" si="44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5"/>
        <v>43945</v>
      </c>
      <c r="B129" s="607">
        <v>47.402000000000001</v>
      </c>
      <c r="C129" s="388"/>
      <c r="D129" s="391">
        <f t="shared" si="24"/>
        <v>47.830903675131694</v>
      </c>
      <c r="E129" s="383">
        <f t="shared" si="46"/>
        <v>49.21690333453823</v>
      </c>
      <c r="F129" s="383">
        <f t="shared" si="25"/>
        <v>49.231227193041249</v>
      </c>
      <c r="G129" s="110">
        <f t="shared" si="47"/>
        <v>0.81923103510735229</v>
      </c>
      <c r="H129" s="412" t="b">
        <f>Wh_hp&gt;='2019'!Maxi_hp</f>
        <v>1</v>
      </c>
      <c r="I129" s="388">
        <f>IF(H129,Wh_hp,'2019'!Maxi_hp)</f>
        <v>49.231227193041249</v>
      </c>
      <c r="J129" s="85">
        <f>IF(H129,An,'2019'!An_max)</f>
        <v>2020</v>
      </c>
      <c r="K129" s="197">
        <f t="shared" si="26"/>
        <v>43945</v>
      </c>
      <c r="L129" s="147">
        <f>IF(t&lt;Tvie,1-EXP((T0-t)*PertePVj)+'2019'!Pspv,1-EXP((T0-t)*PertePVj)+Pspv)</f>
        <v>8.967082830899753E-3</v>
      </c>
      <c r="M129" s="832"/>
      <c r="N129" s="832"/>
      <c r="O129" s="48">
        <f>IF(t&lt;Tnet,'2019'!Resal+('2019'!Salim-'2019'!Resal)*(1-EXP(('2019'!Tnet-t)/('2019'!Tau_j))),Resal+(Salim-Resal)*(1-EXP((Tnet-t)/(Tau_j))))*Salcycl</f>
        <v>2.8161049669980023E-2</v>
      </c>
      <c r="P129" s="169">
        <f>(INDEX(Models!$BJ129:$BT129,,T129)*(1-R129)+INDEX(Models!$BJ129:$BT129,,T129+1)*R129-ERP_i)*Q129*Ramure*Pc/MaxiM</f>
        <v>3.9218174130258579E-4</v>
      </c>
      <c r="Q129" s="304">
        <f t="shared" si="27"/>
        <v>0.7</v>
      </c>
      <c r="R129" s="177">
        <f t="shared" si="28"/>
        <v>0.1866174422154574</v>
      </c>
      <c r="S129" s="799">
        <f t="shared" si="29"/>
        <v>-1</v>
      </c>
      <c r="T129" s="176">
        <f t="shared" si="30"/>
        <v>5</v>
      </c>
      <c r="U129" s="250">
        <f t="shared" si="31"/>
        <v>-0.8133825577845426</v>
      </c>
      <c r="V129" s="382">
        <f t="shared" si="32"/>
        <v>57.855718371271799</v>
      </c>
      <c r="W129" s="58"/>
      <c r="X129" s="157">
        <f t="shared" si="33"/>
        <v>43945</v>
      </c>
      <c r="Y129" s="383">
        <f t="shared" si="34"/>
        <v>47.39919159931695</v>
      </c>
      <c r="Z129" s="383">
        <f t="shared" si="35"/>
        <v>47.828069863424339</v>
      </c>
      <c r="AA129" s="384">
        <f t="shared" si="36"/>
        <v>49.213987407257903</v>
      </c>
      <c r="AB129" s="197">
        <f t="shared" si="37"/>
        <v>43945</v>
      </c>
      <c r="AC129" s="424">
        <f>IF(OR(t&lt;Tnet,NoTnet),'2019'!Resal_s+('2019'!Salim-'2019'!Resal_s)*(1-EXP(('2019'!Tnet_s-t)/'2019'!Tau_j)),Resal_s+(Salim-Resal_s)*(1-EXP((Tnet_s-t)/Tau_j)))*Salcycl</f>
        <v>2.8161049669980023E-2</v>
      </c>
      <c r="AD129" s="230">
        <f>(INDEX(Models!$BJ129:$BT129,,AH129)*(1-AF129)+INDEX(Models!$BJ129:$BT129,,AH129+1)*AF129-ERP_i)*AE129*Ramure*Pc/MaxiM</f>
        <v>4.7201870967744213E-4</v>
      </c>
      <c r="AE129" s="304">
        <f t="shared" si="38"/>
        <v>0.7</v>
      </c>
      <c r="AF129" s="177">
        <f t="shared" si="39"/>
        <v>0.25094966447528955</v>
      </c>
      <c r="AG129" s="176">
        <f t="shared" si="40"/>
        <v>-1</v>
      </c>
      <c r="AH129" s="176">
        <f t="shared" si="41"/>
        <v>5</v>
      </c>
      <c r="AI129" s="224">
        <f t="shared" si="42"/>
        <v>-0.74905033552471045</v>
      </c>
      <c r="AJ129" s="264" t="b">
        <f t="shared" si="43"/>
        <v>0</v>
      </c>
      <c r="AK129" s="264" t="b">
        <f t="shared" si="44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5"/>
        <v>43946</v>
      </c>
      <c r="B130" s="607">
        <v>46.468000000000004</v>
      </c>
      <c r="C130" s="388"/>
      <c r="D130" s="391">
        <f t="shared" si="24"/>
        <v>46.88935126234302</v>
      </c>
      <c r="E130" s="383">
        <f t="shared" si="46"/>
        <v>48.251072772965188</v>
      </c>
      <c r="F130" s="383">
        <f t="shared" si="25"/>
        <v>48.264505744969348</v>
      </c>
      <c r="G130" s="110">
        <f t="shared" si="47"/>
        <v>0.80160629702921338</v>
      </c>
      <c r="H130" s="412" t="b">
        <f>Wh_hp&gt;='2019'!Maxi_hp</f>
        <v>1</v>
      </c>
      <c r="I130" s="388">
        <f>IF(H130,Wh_hp,'2019'!Maxi_hp)</f>
        <v>48.264505744969348</v>
      </c>
      <c r="J130" s="85">
        <f>IF(H130,An,'2019'!An_max)</f>
        <v>2020</v>
      </c>
      <c r="K130" s="197">
        <f t="shared" si="26"/>
        <v>43946</v>
      </c>
      <c r="L130" s="147">
        <f>IF(t&lt;Tvie,1-EXP((T0-t)*PertePVj)+'2019'!Pspv,1-EXP((T0-t)*PertePVj)+Pspv)</f>
        <v>8.9860757506663447E-3</v>
      </c>
      <c r="M130" s="832"/>
      <c r="N130" s="832"/>
      <c r="O130" s="48">
        <f>IF(t&lt;Tnet,'2019'!Resal+('2019'!Salim-'2019'!Resal)*(1-EXP(('2019'!Tnet-t)/('2019'!Tau_j))),Resal+(Salim-Resal)*(1-EXP((Tnet-t)/(Tau_j))))*Salcycl</f>
        <v>2.8221580005680848E-2</v>
      </c>
      <c r="P130" s="169">
        <f>(INDEX(Models!$BJ130:$BT130,,T130)*(1-R130)+INDEX(Models!$BJ130:$BT130,,T130+1)*R130-ERP_i)*Q130*Ramure*Pc/MaxiM</f>
        <v>3.8833177816081758E-4</v>
      </c>
      <c r="Q130" s="304">
        <f t="shared" si="27"/>
        <v>0.7</v>
      </c>
      <c r="R130" s="177">
        <f t="shared" si="28"/>
        <v>0.18852300763774454</v>
      </c>
      <c r="S130" s="799">
        <f t="shared" si="29"/>
        <v>-1</v>
      </c>
      <c r="T130" s="176">
        <f t="shared" si="30"/>
        <v>5</v>
      </c>
      <c r="U130" s="250">
        <f t="shared" si="31"/>
        <v>-0.81147699236225546</v>
      </c>
      <c r="V130" s="382">
        <f t="shared" si="32"/>
        <v>57.962227488318796</v>
      </c>
      <c r="W130" s="58"/>
      <c r="X130" s="157">
        <f t="shared" si="33"/>
        <v>43946</v>
      </c>
      <c r="Y130" s="383">
        <f t="shared" si="34"/>
        <v>46.465356520691394</v>
      </c>
      <c r="Z130" s="383">
        <f t="shared" si="35"/>
        <v>46.886683813133757</v>
      </c>
      <c r="AA130" s="384">
        <f t="shared" si="36"/>
        <v>48.248327857916259</v>
      </c>
      <c r="AB130" s="197">
        <f t="shared" si="37"/>
        <v>43946</v>
      </c>
      <c r="AC130" s="424">
        <f>IF(OR(t&lt;Tnet,NoTnet),'2019'!Resal_s+('2019'!Salim-'2019'!Resal_s)*(1-EXP(('2019'!Tnet_s-t)/'2019'!Tau_j)),Resal_s+(Salim-Resal_s)*(1-EXP((Tnet_s-t)/Tau_j)))*Salcycl</f>
        <v>2.8221580005680848E-2</v>
      </c>
      <c r="AD130" s="230">
        <f>(INDEX(Models!$BJ130:$BT130,,AH130)*(1-AF130)+INDEX(Models!$BJ130:$BT130,,AH130+1)*AF130-ERP_i)*AE130*Ramure*Pc/MaxiM</f>
        <v>4.6768411668441626E-4</v>
      </c>
      <c r="AE130" s="304">
        <f t="shared" si="38"/>
        <v>0.7</v>
      </c>
      <c r="AF130" s="177">
        <f t="shared" si="39"/>
        <v>0.25285522989757669</v>
      </c>
      <c r="AG130" s="176">
        <f t="shared" si="40"/>
        <v>-1</v>
      </c>
      <c r="AH130" s="176">
        <f t="shared" si="41"/>
        <v>5</v>
      </c>
      <c r="AI130" s="224">
        <f t="shared" si="42"/>
        <v>-0.74714477010242331</v>
      </c>
      <c r="AJ130" s="264" t="b">
        <f t="shared" si="43"/>
        <v>0</v>
      </c>
      <c r="AK130" s="264" t="b">
        <f t="shared" si="44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5"/>
        <v>43947</v>
      </c>
      <c r="B131" s="607">
        <v>19.02</v>
      </c>
      <c r="C131" s="388"/>
      <c r="D131" s="391">
        <f t="shared" si="24"/>
        <v>19.192832770088689</v>
      </c>
      <c r="E131" s="383">
        <f t="shared" si="46"/>
        <v>19.751453349431625</v>
      </c>
      <c r="F131" s="383">
        <f t="shared" si="25"/>
        <v>19.751751853490621</v>
      </c>
      <c r="G131" s="110">
        <f t="shared" si="47"/>
        <v>0.32744333791813107</v>
      </c>
      <c r="H131" s="412" t="b">
        <f>Wh_hp&gt;='2019'!Maxi_hp</f>
        <v>0</v>
      </c>
      <c r="I131" s="388">
        <f>IF(H131,Wh_hp,'2019'!Maxi_hp)</f>
        <v>24.729378897725208</v>
      </c>
      <c r="J131" s="85">
        <f>IF(H131,An,'2019'!An_max)</f>
        <v>2018</v>
      </c>
      <c r="K131" s="197">
        <f t="shared" si="26"/>
        <v>43947</v>
      </c>
      <c r="L131" s="147">
        <f>IF(t&lt;Tvie,1-EXP((T0-t)*PertePVj)+'2019'!Pspv,1-EXP((T0-t)*PertePVj)+Pspv)</f>
        <v>9.0050683064379911E-3</v>
      </c>
      <c r="M131" s="832"/>
      <c r="N131" s="832"/>
      <c r="O131" s="48">
        <f>IF(t&lt;Tnet,'2019'!Resal+('2019'!Salim-'2019'!Resal)*(1-EXP(('2019'!Tnet-t)/('2019'!Tau_j))),Resal+(Salim-Resal)*(1-EXP((Tnet-t)/(Tau_j))))*Salcycl</f>
        <v>2.8282505062292611E-2</v>
      </c>
      <c r="P131" s="169">
        <f>(INDEX(Models!$BJ131:$BT131,,T131)*(1-R131)+INDEX(Models!$BJ131:$BT131,,T131+1)*R131-ERP_i)*Q131*Ramure*Pc/MaxiM</f>
        <v>3.837944929557092E-4</v>
      </c>
      <c r="Q131" s="304">
        <f t="shared" si="27"/>
        <v>0.7</v>
      </c>
      <c r="R131" s="177">
        <f t="shared" si="28"/>
        <v>0.19048644842745244</v>
      </c>
      <c r="S131" s="799">
        <f t="shared" si="29"/>
        <v>-1</v>
      </c>
      <c r="T131" s="176">
        <f t="shared" si="30"/>
        <v>5</v>
      </c>
      <c r="U131" s="250">
        <f t="shared" si="31"/>
        <v>-0.80951355157254756</v>
      </c>
      <c r="V131" s="382">
        <f t="shared" si="32"/>
        <v>58.064969923950322</v>
      </c>
      <c r="W131" s="58"/>
      <c r="X131" s="157">
        <f t="shared" si="33"/>
        <v>43947</v>
      </c>
      <c r="Y131" s="383">
        <f t="shared" si="34"/>
        <v>19.019941054994209</v>
      </c>
      <c r="Z131" s="383">
        <f t="shared" si="35"/>
        <v>19.192773289455737</v>
      </c>
      <c r="AA131" s="384">
        <f t="shared" si="36"/>
        <v>19.751392137573998</v>
      </c>
      <c r="AB131" s="197">
        <f t="shared" si="37"/>
        <v>43947</v>
      </c>
      <c r="AC131" s="424">
        <f>IF(OR(t&lt;Tnet,NoTnet),'2019'!Resal_s+('2019'!Salim-'2019'!Resal_s)*(1-EXP(('2019'!Tnet_s-t)/'2019'!Tau_j)),Resal_s+(Salim-Resal_s)*(1-EXP((Tnet_s-t)/Tau_j)))*Salcycl</f>
        <v>2.8282505062292611E-2</v>
      </c>
      <c r="AD131" s="230">
        <f>(INDEX(Models!$BJ131:$BT131,,AH131)*(1-AF131)+INDEX(Models!$BJ131:$BT131,,AH131+1)*AF131-ERP_i)*AE131*Ramure*Pc/MaxiM</f>
        <v>4.6249618277426926E-4</v>
      </c>
      <c r="AE131" s="304">
        <f t="shared" si="38"/>
        <v>0.7</v>
      </c>
      <c r="AF131" s="177">
        <f t="shared" si="39"/>
        <v>0.25481867068728459</v>
      </c>
      <c r="AG131" s="176">
        <f t="shared" si="40"/>
        <v>-1</v>
      </c>
      <c r="AH131" s="176">
        <f t="shared" si="41"/>
        <v>5</v>
      </c>
      <c r="AI131" s="224">
        <f t="shared" si="42"/>
        <v>-0.74518132931271541</v>
      </c>
      <c r="AJ131" s="264" t="b">
        <f t="shared" si="43"/>
        <v>0</v>
      </c>
      <c r="AK131" s="264" t="b">
        <f t="shared" si="44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5"/>
        <v>43948</v>
      </c>
      <c r="B132" s="607">
        <v>20.132999999999999</v>
      </c>
      <c r="C132" s="388"/>
      <c r="D132" s="391">
        <f t="shared" si="24"/>
        <v>20.316335843756246</v>
      </c>
      <c r="E132" s="383">
        <f t="shared" si="46"/>
        <v>20.908976202183794</v>
      </c>
      <c r="F132" s="383">
        <f t="shared" si="25"/>
        <v>20.90949794323253</v>
      </c>
      <c r="G132" s="110">
        <f t="shared" si="47"/>
        <v>0.34601861148219087</v>
      </c>
      <c r="H132" s="412" t="b">
        <f>Wh_hp&gt;='2019'!Maxi_hp</f>
        <v>0</v>
      </c>
      <c r="I132" s="388">
        <f>IF(H132,Wh_hp,'2019'!Maxi_hp)</f>
        <v>40.022734639116834</v>
      </c>
      <c r="J132" s="85">
        <f>IF(H132,An,'2019'!An_max)</f>
        <v>2018</v>
      </c>
      <c r="K132" s="197">
        <f t="shared" si="26"/>
        <v>43948</v>
      </c>
      <c r="L132" s="147">
        <f>IF(t&lt;Tvie,1-EXP((T0-t)*PertePVj)+'2019'!Pspv,1-EXP((T0-t)*PertePVj)+Pspv)</f>
        <v>9.0240604982216865E-3</v>
      </c>
      <c r="M132" s="832"/>
      <c r="N132" s="832"/>
      <c r="O132" s="48">
        <f>IF(t&lt;Tnet,'2019'!Resal+('2019'!Salim-'2019'!Resal)*(1-EXP(('2019'!Tnet-t)/('2019'!Tau_j))),Resal+(Salim-Resal)*(1-EXP((Tnet-t)/(Tau_j))))*Salcycl</f>
        <v>2.83438248098274E-2</v>
      </c>
      <c r="P132" s="169">
        <f>(INDEX(Models!$BJ132:$BT132,,T132)*(1-R132)+INDEX(Models!$BJ132:$BT132,,T132+1)*R132-ERP_i)*Q132*Ramure*Pc/MaxiM</f>
        <v>3.785492195846533E-4</v>
      </c>
      <c r="Q132" s="304">
        <f t="shared" si="27"/>
        <v>0.7</v>
      </c>
      <c r="R132" s="177">
        <f t="shared" si="28"/>
        <v>0.19250870766175432</v>
      </c>
      <c r="S132" s="799">
        <f t="shared" si="29"/>
        <v>-1</v>
      </c>
      <c r="T132" s="176">
        <f t="shared" si="30"/>
        <v>5</v>
      </c>
      <c r="U132" s="250">
        <f t="shared" si="31"/>
        <v>-0.80749129233824568</v>
      </c>
      <c r="V132" s="382">
        <f t="shared" si="32"/>
        <v>58.164157038590993</v>
      </c>
      <c r="W132" s="58"/>
      <c r="X132" s="157">
        <f t="shared" si="33"/>
        <v>43948</v>
      </c>
      <c r="Y132" s="383">
        <f t="shared" si="34"/>
        <v>20.132896638600933</v>
      </c>
      <c r="Z132" s="383">
        <f t="shared" si="35"/>
        <v>20.316231541123916</v>
      </c>
      <c r="AA132" s="384">
        <f t="shared" si="36"/>
        <v>20.908868856977751</v>
      </c>
      <c r="AB132" s="197">
        <f t="shared" si="37"/>
        <v>43948</v>
      </c>
      <c r="AC132" s="424">
        <f>IF(OR(t&lt;Tnet,NoTnet),'2019'!Resal_s+('2019'!Salim-'2019'!Resal_s)*(1-EXP(('2019'!Tnet_s-t)/'2019'!Tau_j)),Resal_s+(Salim-Resal_s)*(1-EXP((Tnet_s-t)/Tau_j)))*Salcycl</f>
        <v>2.83438248098274E-2</v>
      </c>
      <c r="AD132" s="230">
        <f>(INDEX(Models!$BJ132:$BT132,,AH132)*(1-AF132)+INDEX(Models!$BJ132:$BT132,,AH132+1)*AF132-ERP_i)*AE132*Ramure*Pc/MaxiM</f>
        <v>4.5643353417187911E-4</v>
      </c>
      <c r="AE132" s="304">
        <f t="shared" si="38"/>
        <v>0.7</v>
      </c>
      <c r="AF132" s="177">
        <f t="shared" si="39"/>
        <v>0.25684092992158647</v>
      </c>
      <c r="AG132" s="176">
        <f t="shared" si="40"/>
        <v>-1</v>
      </c>
      <c r="AH132" s="176">
        <f t="shared" si="41"/>
        <v>5</v>
      </c>
      <c r="AI132" s="224">
        <f t="shared" si="42"/>
        <v>-0.74315907007841353</v>
      </c>
      <c r="AJ132" s="264" t="b">
        <f t="shared" si="43"/>
        <v>0</v>
      </c>
      <c r="AK132" s="264" t="b">
        <f t="shared" si="44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5"/>
        <v>43949</v>
      </c>
      <c r="B133" s="607">
        <v>33.756999999999998</v>
      </c>
      <c r="C133" s="388"/>
      <c r="D133" s="391">
        <f t="shared" si="24"/>
        <v>34.065052048160254</v>
      </c>
      <c r="E133" s="383">
        <f t="shared" si="46"/>
        <v>35.060978006670076</v>
      </c>
      <c r="F133" s="383">
        <f t="shared" si="25"/>
        <v>35.066193075760246</v>
      </c>
      <c r="G133" s="110">
        <f t="shared" si="47"/>
        <v>0.57929011521503904</v>
      </c>
      <c r="H133" s="412" t="b">
        <f>Wh_hp&gt;='2019'!Maxi_hp</f>
        <v>0</v>
      </c>
      <c r="I133" s="388">
        <f>IF(H133,Wh_hp,'2019'!Maxi_hp)</f>
        <v>47.336974093030854</v>
      </c>
      <c r="J133" s="85">
        <f>IF(H133,An,'2019'!An_max)</f>
        <v>2018</v>
      </c>
      <c r="K133" s="197">
        <f t="shared" si="26"/>
        <v>43949</v>
      </c>
      <c r="L133" s="147">
        <f>IF(t&lt;Tvie,1-EXP((T0-t)*PertePVj)+'2019'!Pspv,1-EXP((T0-t)*PertePVj)+Pspv)</f>
        <v>9.0430523260243145E-3</v>
      </c>
      <c r="M133" s="832"/>
      <c r="N133" s="832"/>
      <c r="O133" s="48">
        <f>IF(t&lt;Tnet,'2019'!Resal+('2019'!Salim-'2019'!Resal)*(1-EXP(('2019'!Tnet-t)/('2019'!Tau_j))),Resal+(Salim-Resal)*(1-EXP((Tnet-t)/(Tau_j))))*Salcycl</f>
        <v>2.8405538439924626E-2</v>
      </c>
      <c r="P133" s="169">
        <f>(INDEX(Models!$BJ133:$BT133,,T133)*(1-R133)+INDEX(Models!$BJ133:$BT133,,T133+1)*R133-ERP_i)*Q133*Ramure*Pc/MaxiM</f>
        <v>3.7257374567488681E-4</v>
      </c>
      <c r="Q133" s="304">
        <f t="shared" si="27"/>
        <v>0.7</v>
      </c>
      <c r="R133" s="177">
        <f t="shared" si="28"/>
        <v>0.19459068347066</v>
      </c>
      <c r="S133" s="799">
        <f t="shared" si="29"/>
        <v>-1</v>
      </c>
      <c r="T133" s="176">
        <f t="shared" si="30"/>
        <v>5</v>
      </c>
      <c r="U133" s="250">
        <f t="shared" si="31"/>
        <v>-0.80540931652934</v>
      </c>
      <c r="V133" s="382">
        <f t="shared" si="32"/>
        <v>58.260000270358361</v>
      </c>
      <c r="W133" s="58"/>
      <c r="X133" s="157">
        <f t="shared" si="33"/>
        <v>43949</v>
      </c>
      <c r="Y133" s="383">
        <f t="shared" si="34"/>
        <v>33.755963640295136</v>
      </c>
      <c r="Z133" s="383">
        <f t="shared" si="35"/>
        <v>34.064006231076782</v>
      </c>
      <c r="AA133" s="384">
        <f t="shared" si="36"/>
        <v>35.059901614075379</v>
      </c>
      <c r="AB133" s="197">
        <f t="shared" si="37"/>
        <v>43949</v>
      </c>
      <c r="AC133" s="424">
        <f>IF(OR(t&lt;Tnet,NoTnet),'2019'!Resal_s+('2019'!Salim-'2019'!Resal_s)*(1-EXP(('2019'!Tnet_s-t)/'2019'!Tau_j)),Resal_s+(Salim-Resal_s)*(1-EXP((Tnet_s-t)/Tau_j)))*Salcycl</f>
        <v>2.8405538439924626E-2</v>
      </c>
      <c r="AD133" s="230">
        <f>(INDEX(Models!$BJ133:$BT133,,AH133)*(1-AF133)+INDEX(Models!$BJ133:$BT133,,AH133+1)*AF133-ERP_i)*AE133*Ramure*Pc/MaxiM</f>
        <v>4.4947313356177133E-4</v>
      </c>
      <c r="AE133" s="304">
        <f t="shared" si="38"/>
        <v>0.7</v>
      </c>
      <c r="AF133" s="177">
        <f t="shared" si="39"/>
        <v>0.25892290573049215</v>
      </c>
      <c r="AG133" s="176">
        <f t="shared" si="40"/>
        <v>-1</v>
      </c>
      <c r="AH133" s="176">
        <f t="shared" si="41"/>
        <v>5</v>
      </c>
      <c r="AI133" s="224">
        <f t="shared" si="42"/>
        <v>-0.74107709426950785</v>
      </c>
      <c r="AJ133" s="264" t="b">
        <f t="shared" si="43"/>
        <v>0</v>
      </c>
      <c r="AK133" s="264" t="b">
        <f t="shared" si="44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5"/>
        <v>43950</v>
      </c>
      <c r="B134" s="607">
        <v>54.847000000000001</v>
      </c>
      <c r="C134" s="388"/>
      <c r="D134" s="391">
        <f t="shared" si="24"/>
        <v>55.348571175699981</v>
      </c>
      <c r="E134" s="383">
        <f t="shared" si="46"/>
        <v>56.970383799306774</v>
      </c>
      <c r="F134" s="383">
        <f t="shared" si="25"/>
        <v>56.989443660977237</v>
      </c>
      <c r="G134" s="110">
        <f t="shared" si="47"/>
        <v>0.93989252995582317</v>
      </c>
      <c r="H134" s="412" t="b">
        <f>Wh_hp&gt;='2019'!Maxi_hp</f>
        <v>0</v>
      </c>
      <c r="I134" s="388">
        <f>IF(H134,Wh_hp,'2019'!Maxi_hp)</f>
        <v>57.134227383129591</v>
      </c>
      <c r="J134" s="85">
        <f>IF(H134,An,'2019'!An_max)</f>
        <v>2018</v>
      </c>
      <c r="K134" s="197">
        <f t="shared" si="26"/>
        <v>43950</v>
      </c>
      <c r="L134" s="147">
        <f>IF(t&lt;Tvie,1-EXP((T0-t)*PertePVj)+'2019'!Pspv,1-EXP((T0-t)*PertePVj)+Pspv)</f>
        <v>9.0620437898528694E-3</v>
      </c>
      <c r="M134" s="832"/>
      <c r="N134" s="832"/>
      <c r="O134" s="48">
        <f>IF(t&lt;Tnet,'2019'!Resal+('2019'!Salim-'2019'!Resal)*(1-EXP(('2019'!Tnet-t)/('2019'!Tau_j))),Resal+(Salim-Resal)*(1-EXP((Tnet-t)/(Tau_j))))*Salcycl</f>
        <v>2.846764433464331E-2</v>
      </c>
      <c r="P134" s="169">
        <f>(INDEX(Models!$BJ134:$BT134,,T134)*(1-R134)+INDEX(Models!$BJ134:$BT134,,T134+1)*R134-ERP_i)*Q134*Ramure*Pc/MaxiM</f>
        <v>3.658442978863975E-4</v>
      </c>
      <c r="Q134" s="304">
        <f t="shared" si="27"/>
        <v>0.7</v>
      </c>
      <c r="R134" s="177">
        <f t="shared" si="28"/>
        <v>0.1967332239964833</v>
      </c>
      <c r="S134" s="799">
        <f t="shared" si="29"/>
        <v>-1</v>
      </c>
      <c r="T134" s="176">
        <f t="shared" si="30"/>
        <v>5</v>
      </c>
      <c r="U134" s="250">
        <f t="shared" si="31"/>
        <v>-0.8032667760035167</v>
      </c>
      <c r="V134" s="382">
        <f t="shared" si="32"/>
        <v>58.352711128897134</v>
      </c>
      <c r="W134" s="58"/>
      <c r="X134" s="157">
        <f t="shared" si="33"/>
        <v>43950</v>
      </c>
      <c r="Y134" s="383">
        <f t="shared" si="34"/>
        <v>54.843200847292913</v>
      </c>
      <c r="Z134" s="383">
        <f t="shared" si="35"/>
        <v>55.344737280062745</v>
      </c>
      <c r="AA134" s="384">
        <f t="shared" si="36"/>
        <v>56.966437563635999</v>
      </c>
      <c r="AB134" s="197">
        <f t="shared" si="37"/>
        <v>43950</v>
      </c>
      <c r="AC134" s="424">
        <f>IF(OR(t&lt;Tnet,NoTnet),'2019'!Resal_s+('2019'!Salim-'2019'!Resal_s)*(1-EXP(('2019'!Tnet_s-t)/'2019'!Tau_j)),Resal_s+(Salim-Resal_s)*(1-EXP((Tnet_s-t)/Tau_j)))*Salcycl</f>
        <v>2.846764433464331E-2</v>
      </c>
      <c r="AD134" s="230">
        <f>(INDEX(Models!$BJ134:$BT134,,AH134)*(1-AF134)+INDEX(Models!$BJ134:$BT134,,AH134+1)*AF134-ERP_i)*AE134*Ramure*Pc/MaxiM</f>
        <v>4.4159027355126867E-4</v>
      </c>
      <c r="AE134" s="304">
        <f t="shared" si="38"/>
        <v>0.7</v>
      </c>
      <c r="AF134" s="177">
        <f t="shared" si="39"/>
        <v>0.26106544625631545</v>
      </c>
      <c r="AG134" s="176">
        <f t="shared" si="40"/>
        <v>-1</v>
      </c>
      <c r="AH134" s="176">
        <f t="shared" si="41"/>
        <v>5</v>
      </c>
      <c r="AI134" s="224">
        <f t="shared" si="42"/>
        <v>-0.73893455374368455</v>
      </c>
      <c r="AJ134" s="264" t="b">
        <f t="shared" si="43"/>
        <v>0</v>
      </c>
      <c r="AK134" s="264" t="b">
        <f t="shared" si="44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5"/>
        <v>43951</v>
      </c>
      <c r="B135" s="607">
        <v>40.588000000000001</v>
      </c>
      <c r="C135" s="388"/>
      <c r="D135" s="391">
        <f t="shared" si="24"/>
        <v>40.959958815081016</v>
      </c>
      <c r="E135" s="383">
        <f t="shared" si="46"/>
        <v>42.162871441621299</v>
      </c>
      <c r="F135" s="383">
        <f t="shared" si="25"/>
        <v>42.171388130659125</v>
      </c>
      <c r="G135" s="110">
        <f t="shared" si="47"/>
        <v>0.69439754353610983</v>
      </c>
      <c r="H135" s="412" t="b">
        <f>Wh_hp&gt;='2019'!Maxi_hp</f>
        <v>0</v>
      </c>
      <c r="I135" s="388">
        <f>IF(H135,Wh_hp,'2019'!Maxi_hp)</f>
        <v>55.014185059625483</v>
      </c>
      <c r="J135" s="85">
        <f>IF(H135,An,'2019'!An_max)</f>
        <v>2018</v>
      </c>
      <c r="K135" s="197">
        <f t="shared" si="26"/>
        <v>43951</v>
      </c>
      <c r="L135" s="147">
        <f>IF(t&lt;Tvie,1-EXP((T0-t)*PertePVj)+'2019'!Pspv,1-EXP((T0-t)*PertePVj)+Pspv)</f>
        <v>9.0810348897143456E-3</v>
      </c>
      <c r="M135" s="832"/>
      <c r="N135" s="832"/>
      <c r="O135" s="48">
        <f>IF(t&lt;Tnet,'2019'!Resal+('2019'!Salim-'2019'!Resal)*(1-EXP(('2019'!Tnet-t)/('2019'!Tau_j))),Resal+(Salim-Resal)*(1-EXP((Tnet-t)/(Tau_j))))*Salcycl</f>
        <v>2.8530140035785627E-2</v>
      </c>
      <c r="P135" s="169">
        <f>(INDEX(Models!$BJ135:$BT135,,T135)*(1-R135)+INDEX(Models!$BJ135:$BT135,,T135+1)*R135-ERP_i)*Q135*Ramure*Pc/MaxiM</f>
        <v>3.583415152883687E-4</v>
      </c>
      <c r="Q135" s="304">
        <f t="shared" si="27"/>
        <v>0.7</v>
      </c>
      <c r="R135" s="177">
        <f t="shared" si="28"/>
        <v>0.19893712220293125</v>
      </c>
      <c r="S135" s="799">
        <f t="shared" si="29"/>
        <v>-1</v>
      </c>
      <c r="T135" s="176">
        <f t="shared" si="30"/>
        <v>5</v>
      </c>
      <c r="U135" s="250">
        <f t="shared" si="31"/>
        <v>-0.80106287779706875</v>
      </c>
      <c r="V135" s="382">
        <f t="shared" si="32"/>
        <v>58.44152481145089</v>
      </c>
      <c r="W135" s="58"/>
      <c r="X135" s="157">
        <f t="shared" si="33"/>
        <v>43951</v>
      </c>
      <c r="Y135" s="383">
        <f t="shared" si="34"/>
        <v>40.586297230690825</v>
      </c>
      <c r="Z135" s="383">
        <f t="shared" si="35"/>
        <v>40.958240441158296</v>
      </c>
      <c r="AA135" s="384">
        <f t="shared" si="36"/>
        <v>42.161102602469889</v>
      </c>
      <c r="AB135" s="197">
        <f t="shared" si="37"/>
        <v>43951</v>
      </c>
      <c r="AC135" s="424">
        <f>IF(OR(t&lt;Tnet,NoTnet),'2019'!Resal_s+('2019'!Salim-'2019'!Resal_s)*(1-EXP(('2019'!Tnet_s-t)/'2019'!Tau_j)),Resal_s+(Salim-Resal_s)*(1-EXP((Tnet_s-t)/Tau_j)))*Salcycl</f>
        <v>2.8530140035785627E-2</v>
      </c>
      <c r="AD135" s="230">
        <f>(INDEX(Models!$BJ135:$BT135,,AH135)*(1-AF135)+INDEX(Models!$BJ135:$BT135,,AH135+1)*AF135-ERP_i)*AE135*Ramure*Pc/MaxiM</f>
        <v>4.3276580141693677E-4</v>
      </c>
      <c r="AE135" s="304">
        <f t="shared" si="38"/>
        <v>0.7</v>
      </c>
      <c r="AF135" s="177">
        <f t="shared" si="39"/>
        <v>0.2632693444627634</v>
      </c>
      <c r="AG135" s="176">
        <f t="shared" si="40"/>
        <v>-1</v>
      </c>
      <c r="AH135" s="176">
        <f t="shared" si="41"/>
        <v>5</v>
      </c>
      <c r="AI135" s="224">
        <f t="shared" si="42"/>
        <v>-0.7367306555372366</v>
      </c>
      <c r="AJ135" s="264" t="b">
        <f t="shared" si="43"/>
        <v>0</v>
      </c>
      <c r="AK135" s="264" t="b">
        <f t="shared" si="44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5"/>
        <v>43952</v>
      </c>
      <c r="B136" s="607">
        <v>23.271999999999998</v>
      </c>
      <c r="C136" s="388"/>
      <c r="D136" s="391">
        <f t="shared" si="24"/>
        <v>23.485720659840602</v>
      </c>
      <c r="E136" s="383">
        <f t="shared" si="46"/>
        <v>24.177014574667645</v>
      </c>
      <c r="F136" s="383">
        <f t="shared" si="25"/>
        <v>24.178194260762016</v>
      </c>
      <c r="G136" s="110">
        <f t="shared" si="47"/>
        <v>0.39751763894860864</v>
      </c>
      <c r="H136" s="412" t="b">
        <f>Wh_hp&gt;='2019'!Maxi_hp</f>
        <v>0</v>
      </c>
      <c r="I136" s="388">
        <f>IF(H136,Wh_hp,'2019'!Maxi_hp)</f>
        <v>32.837376520560724</v>
      </c>
      <c r="J136" s="85">
        <f>IF(H136,An,'2019'!An_max)</f>
        <v>2018</v>
      </c>
      <c r="K136" s="197">
        <f t="shared" si="26"/>
        <v>43952</v>
      </c>
      <c r="L136" s="147">
        <f>IF(t&lt;Tvie,1-EXP((T0-t)*PertePVj)+'2019'!Pspv,1-EXP((T0-t)*PertePVj)+Pspv)</f>
        <v>9.1000256256157375E-3</v>
      </c>
      <c r="M136" s="832"/>
      <c r="N136" s="832"/>
      <c r="O136" s="48">
        <f>IF(t&lt;Tnet,'2019'!Resal+('2019'!Salim-'2019'!Resal)*(1-EXP(('2019'!Tnet-t)/('2019'!Tau_j))),Resal+(Salim-Resal)*(1-EXP((Tnet-t)/(Tau_j))))*Salcycl</f>
        <v>2.8593022215049349E-2</v>
      </c>
      <c r="P136" s="169">
        <f>(INDEX(Models!$BJ136:$BT136,,T136)*(1-R136)+INDEX(Models!$BJ136:$BT136,,T136+1)*R136-ERP_i)*Q136*Ramure*Pc/MaxiM</f>
        <v>3.4980394614710856E-4</v>
      </c>
      <c r="Q136" s="304">
        <f t="shared" si="27"/>
        <v>0.7</v>
      </c>
      <c r="R136" s="177">
        <f t="shared" si="28"/>
        <v>0.20120311055127937</v>
      </c>
      <c r="S136" s="799">
        <f t="shared" si="29"/>
        <v>-1</v>
      </c>
      <c r="T136" s="176">
        <f t="shared" si="30"/>
        <v>5</v>
      </c>
      <c r="U136" s="250">
        <f t="shared" si="31"/>
        <v>-0.79879688944872063</v>
      </c>
      <c r="V136" s="382">
        <f t="shared" si="32"/>
        <v>58.525690970513544</v>
      </c>
      <c r="W136" s="58"/>
      <c r="X136" s="157">
        <f t="shared" si="33"/>
        <v>43952</v>
      </c>
      <c r="Y136" s="383">
        <f t="shared" si="34"/>
        <v>23.271763490964524</v>
      </c>
      <c r="Z136" s="383">
        <f t="shared" si="35"/>
        <v>23.485481978801555</v>
      </c>
      <c r="AA136" s="384">
        <f t="shared" si="36"/>
        <v>24.176768868136289</v>
      </c>
      <c r="AB136" s="197">
        <f t="shared" si="37"/>
        <v>43952</v>
      </c>
      <c r="AC136" s="424">
        <f>IF(OR(t&lt;Tnet,NoTnet),'2019'!Resal_s+('2019'!Salim-'2019'!Resal_s)*(1-EXP(('2019'!Tnet_s-t)/'2019'!Tau_j)),Resal_s+(Salim-Resal_s)*(1-EXP((Tnet_s-t)/Tau_j)))*Salcycl</f>
        <v>2.8593022215049349E-2</v>
      </c>
      <c r="AD136" s="230">
        <f>(INDEX(Models!$BJ136:$BT136,,AH136)*(1-AF136)+INDEX(Models!$BJ136:$BT136,,AH136+1)*AF136-ERP_i)*AE136*Ramure*Pc/MaxiM</f>
        <v>4.2266156028031911E-4</v>
      </c>
      <c r="AE136" s="304">
        <f t="shared" si="38"/>
        <v>0.7</v>
      </c>
      <c r="AF136" s="177">
        <f t="shared" si="39"/>
        <v>0.26553533281111152</v>
      </c>
      <c r="AG136" s="176">
        <f t="shared" si="40"/>
        <v>-1</v>
      </c>
      <c r="AH136" s="176">
        <f t="shared" si="41"/>
        <v>5</v>
      </c>
      <c r="AI136" s="224">
        <f t="shared" si="42"/>
        <v>-0.73446466718888848</v>
      </c>
      <c r="AJ136" s="264" t="b">
        <f t="shared" si="43"/>
        <v>0</v>
      </c>
      <c r="AK136" s="264" t="b">
        <f t="shared" si="44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5"/>
        <v>43953</v>
      </c>
      <c r="B137" s="607">
        <v>34.942</v>
      </c>
      <c r="C137" s="388"/>
      <c r="D137" s="391">
        <f t="shared" si="24"/>
        <v>35.263569050300902</v>
      </c>
      <c r="E137" s="383">
        <f t="shared" si="46"/>
        <v>36.303904133494797</v>
      </c>
      <c r="F137" s="383">
        <f t="shared" si="25"/>
        <v>36.30912790584226</v>
      </c>
      <c r="G137" s="110">
        <f t="shared" si="47"/>
        <v>0.59610762295486619</v>
      </c>
      <c r="H137" s="412" t="b">
        <f>Wh_hp&gt;='2019'!Maxi_hp</f>
        <v>1</v>
      </c>
      <c r="I137" s="388">
        <f>IF(H137,Wh_hp,'2019'!Maxi_hp)</f>
        <v>36.30912790584226</v>
      </c>
      <c r="J137" s="85">
        <f>IF(H137,An,'2019'!An_max)</f>
        <v>2020</v>
      </c>
      <c r="K137" s="197">
        <f t="shared" si="26"/>
        <v>43953</v>
      </c>
      <c r="L137" s="147">
        <f>IF(t&lt;Tvie,1-EXP((T0-t)*PertePVj)+'2019'!Pspv,1-EXP((T0-t)*PertePVj)+Pspv)</f>
        <v>9.1190159975640395E-3</v>
      </c>
      <c r="M137" s="832"/>
      <c r="N137" s="832"/>
      <c r="O137" s="48">
        <f>IF(t&lt;Tnet,'2019'!Resal+('2019'!Salim-'2019'!Resal)*(1-EXP(('2019'!Tnet-t)/('2019'!Tau_j))),Resal+(Salim-Resal)*(1-EXP((Tnet-t)/(Tau_j))))*Salcycl</f>
        <v>2.8656286645326781E-2</v>
      </c>
      <c r="P137" s="169">
        <f>(INDEX(Models!$BJ137:$BT137,,T137)*(1-R137)+INDEX(Models!$BJ137:$BT137,,T137+1)*R137-ERP_i)*Q137*Ramure*Pc/MaxiM</f>
        <v>3.399737598001214E-4</v>
      </c>
      <c r="Q137" s="304">
        <f t="shared" si="27"/>
        <v>0.7</v>
      </c>
      <c r="R137" s="177">
        <f t="shared" si="28"/>
        <v>0.20353185556373043</v>
      </c>
      <c r="S137" s="799">
        <f t="shared" si="29"/>
        <v>-1</v>
      </c>
      <c r="T137" s="176">
        <f t="shared" si="30"/>
        <v>5</v>
      </c>
      <c r="U137" s="250">
        <f t="shared" si="31"/>
        <v>-0.79646814443626957</v>
      </c>
      <c r="V137" s="382">
        <f t="shared" si="32"/>
        <v>58.605435310856201</v>
      </c>
      <c r="W137" s="58"/>
      <c r="X137" s="157">
        <f t="shared" si="33"/>
        <v>43953</v>
      </c>
      <c r="Y137" s="383">
        <f t="shared" si="34"/>
        <v>34.94095063869694</v>
      </c>
      <c r="Z137" s="383">
        <f t="shared" si="35"/>
        <v>35.262510031791102</v>
      </c>
      <c r="AA137" s="384">
        <f t="shared" si="36"/>
        <v>36.302813872143183</v>
      </c>
      <c r="AB137" s="197">
        <f t="shared" si="37"/>
        <v>43953</v>
      </c>
      <c r="AC137" s="424">
        <f>IF(OR(t&lt;Tnet,NoTnet),'2019'!Resal_s+('2019'!Salim-'2019'!Resal_s)*(1-EXP(('2019'!Tnet_s-t)/'2019'!Tau_j)),Resal_s+(Salim-Resal_s)*(1-EXP((Tnet_s-t)/Tau_j)))*Salcycl</f>
        <v>2.8656286645326781E-2</v>
      </c>
      <c r="AD137" s="230">
        <f>(INDEX(Models!$BJ137:$BT137,,AH137)*(1-AF137)+INDEX(Models!$BJ137:$BT137,,AH137+1)*AF137-ERP_i)*AE137*Ramure*Pc/MaxiM</f>
        <v>4.1093019247289201E-4</v>
      </c>
      <c r="AE137" s="304">
        <f t="shared" si="38"/>
        <v>0.7</v>
      </c>
      <c r="AF137" s="177">
        <f t="shared" si="39"/>
        <v>0.26786407782356259</v>
      </c>
      <c r="AG137" s="176">
        <f t="shared" si="40"/>
        <v>-1</v>
      </c>
      <c r="AH137" s="176">
        <f t="shared" si="41"/>
        <v>5</v>
      </c>
      <c r="AI137" s="224">
        <f t="shared" si="42"/>
        <v>-0.73213592217643741</v>
      </c>
      <c r="AJ137" s="264" t="b">
        <f t="shared" si="43"/>
        <v>0</v>
      </c>
      <c r="AK137" s="264" t="b">
        <f t="shared" si="44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5"/>
        <v>43954</v>
      </c>
      <c r="B138" s="607">
        <v>54.8</v>
      </c>
      <c r="C138" s="388"/>
      <c r="D138" s="391">
        <f t="shared" si="24"/>
        <v>55.30538090283018</v>
      </c>
      <c r="E138" s="383">
        <f t="shared" si="46"/>
        <v>56.940714122577482</v>
      </c>
      <c r="F138" s="383">
        <f t="shared" si="25"/>
        <v>56.957672371792654</v>
      </c>
      <c r="G138" s="110">
        <f t="shared" si="47"/>
        <v>0.93383418405838614</v>
      </c>
      <c r="H138" s="412" t="b">
        <f>Wh_hp&gt;='2019'!Maxi_hp</f>
        <v>1</v>
      </c>
      <c r="I138" s="388">
        <f>IF(H138,Wh_hp,'2019'!Maxi_hp)</f>
        <v>56.957672371792654</v>
      </c>
      <c r="J138" s="85">
        <f>IF(H138,An,'2019'!An_max)</f>
        <v>2020</v>
      </c>
      <c r="K138" s="197">
        <f t="shared" si="26"/>
        <v>43954</v>
      </c>
      <c r="L138" s="147">
        <f>IF(t&lt;Tvie,1-EXP((T0-t)*PertePVj)+'2019'!Pspv,1-EXP((T0-t)*PertePVj)+Pspv)</f>
        <v>9.138006005566135E-3</v>
      </c>
      <c r="M138" s="832"/>
      <c r="N138" s="832"/>
      <c r="O138" s="48">
        <f>IF(t&lt;Tnet,'2019'!Resal+('2019'!Salim-'2019'!Resal)*(1-EXP(('2019'!Tnet-t)/('2019'!Tau_j))),Resal+(Salim-Resal)*(1-EXP((Tnet-t)/(Tau_j))))*Salcycl</f>
        <v>2.871992817348374E-2</v>
      </c>
      <c r="P138" s="169">
        <f>(INDEX(Models!$BJ138:$BT138,,T138)*(1-R138)+INDEX(Models!$BJ138:$BT138,,T138+1)*R138-ERP_i)*Q138*Ramure*Pc/MaxiM</f>
        <v>3.2879959880940647E-4</v>
      </c>
      <c r="Q138" s="304">
        <f t="shared" si="27"/>
        <v>0.7</v>
      </c>
      <c r="R138" s="177">
        <f t="shared" si="28"/>
        <v>0.20592395229676275</v>
      </c>
      <c r="S138" s="799">
        <f t="shared" si="29"/>
        <v>-1</v>
      </c>
      <c r="T138" s="176">
        <f t="shared" si="30"/>
        <v>5</v>
      </c>
      <c r="U138" s="250">
        <f t="shared" si="31"/>
        <v>-0.79407604770323725</v>
      </c>
      <c r="V138" s="382">
        <f t="shared" si="32"/>
        <v>58.680971468726234</v>
      </c>
      <c r="W138" s="58"/>
      <c r="X138" s="157">
        <f t="shared" si="33"/>
        <v>43954</v>
      </c>
      <c r="Y138" s="383">
        <f t="shared" si="34"/>
        <v>54.796588994274558</v>
      </c>
      <c r="Z138" s="383">
        <f t="shared" si="35"/>
        <v>55.301938439857423</v>
      </c>
      <c r="AA138" s="384">
        <f t="shared" si="36"/>
        <v>56.937169868893491</v>
      </c>
      <c r="AB138" s="197">
        <f t="shared" si="37"/>
        <v>43954</v>
      </c>
      <c r="AC138" s="424">
        <f>IF(OR(t&lt;Tnet,NoTnet),'2019'!Resal_s+('2019'!Salim-'2019'!Resal_s)*(1-EXP(('2019'!Tnet_s-t)/'2019'!Tau_j)),Resal_s+(Salim-Resal_s)*(1-EXP((Tnet_s-t)/Tau_j)))*Salcycl</f>
        <v>2.871992817348374E-2</v>
      </c>
      <c r="AD138" s="230">
        <f>(INDEX(Models!$BJ138:$BT138,,AH138)*(1-AF138)+INDEX(Models!$BJ138:$BT138,,AH138+1)*AF138-ERP_i)*AE138*Ramure*Pc/MaxiM</f>
        <v>3.9751831939123825E-4</v>
      </c>
      <c r="AE138" s="304">
        <f t="shared" si="38"/>
        <v>0.7</v>
      </c>
      <c r="AF138" s="177">
        <f t="shared" si="39"/>
        <v>0.2702561745565949</v>
      </c>
      <c r="AG138" s="176">
        <f t="shared" si="40"/>
        <v>-1</v>
      </c>
      <c r="AH138" s="176">
        <f t="shared" si="41"/>
        <v>5</v>
      </c>
      <c r="AI138" s="224">
        <f t="shared" si="42"/>
        <v>-0.7297438254434051</v>
      </c>
      <c r="AJ138" s="264" t="b">
        <f t="shared" si="43"/>
        <v>0</v>
      </c>
      <c r="AK138" s="264" t="b">
        <f t="shared" si="44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5"/>
        <v>43955</v>
      </c>
      <c r="B139" s="607">
        <v>59.045000000000002</v>
      </c>
      <c r="C139" s="388"/>
      <c r="D139" s="391">
        <f t="shared" si="24"/>
        <v>59.590671519865886</v>
      </c>
      <c r="E139" s="383">
        <f t="shared" si="46"/>
        <v>61.356760886456819</v>
      </c>
      <c r="F139" s="383">
        <f t="shared" si="25"/>
        <v>61.376169686641241</v>
      </c>
      <c r="G139" s="110">
        <f t="shared" si="47"/>
        <v>1.0049782848028568</v>
      </c>
      <c r="H139" s="412" t="b">
        <f>Wh_hp&gt;='2019'!Maxi_hp</f>
        <v>1</v>
      </c>
      <c r="I139" s="388">
        <f>IF(H139,Wh_hp,'2019'!Maxi_hp)</f>
        <v>61.376169686641241</v>
      </c>
      <c r="J139" s="85">
        <f>IF(H139,An,'2019'!An_max)</f>
        <v>2020</v>
      </c>
      <c r="K139" s="197">
        <f t="shared" si="26"/>
        <v>43955</v>
      </c>
      <c r="L139" s="147">
        <f>IF(t&lt;Tvie,1-EXP((T0-t)*PertePVj)+'2019'!Pspv,1-EXP((T0-t)*PertePVj)+Pspv)</f>
        <v>9.1569956496290184E-3</v>
      </c>
      <c r="M139" s="832"/>
      <c r="N139" s="832"/>
      <c r="O139" s="48">
        <f>IF(t&lt;Tnet,'2019'!Resal+('2019'!Salim-'2019'!Resal)*(1-EXP(('2019'!Tnet-t)/('2019'!Tau_j))),Resal+(Salim-Resal)*(1-EXP((Tnet-t)/(Tau_j))))*Salcycl</f>
        <v>2.878394069496517E-2</v>
      </c>
      <c r="P139" s="169">
        <f>(INDEX(Models!$BJ139:$BT139,,T139)*(1-R139)+INDEX(Models!$BJ139:$BT139,,T139+1)*R139-ERP_i)*Q139*Ramure*Pc/MaxiM</f>
        <v>3.1622697023148312E-4</v>
      </c>
      <c r="Q139" s="304">
        <f t="shared" si="27"/>
        <v>0.7</v>
      </c>
      <c r="R139" s="177">
        <f t="shared" si="28"/>
        <v>0.20837991875002382</v>
      </c>
      <c r="S139" s="799">
        <f t="shared" si="29"/>
        <v>-1</v>
      </c>
      <c r="T139" s="176">
        <f t="shared" si="30"/>
        <v>5</v>
      </c>
      <c r="U139" s="250">
        <f t="shared" si="31"/>
        <v>-0.79162008124997618</v>
      </c>
      <c r="V139" s="382">
        <f t="shared" si="32"/>
        <v>58.752513256127379</v>
      </c>
      <c r="W139" s="58"/>
      <c r="X139" s="157">
        <f t="shared" si="33"/>
        <v>43955</v>
      </c>
      <c r="Y139" s="383">
        <f t="shared" si="34"/>
        <v>59.041093395728375</v>
      </c>
      <c r="Z139" s="383">
        <f t="shared" si="35"/>
        <v>59.586728812237659</v>
      </c>
      <c r="AA139" s="384">
        <f t="shared" si="36"/>
        <v>61.352701328760617</v>
      </c>
      <c r="AB139" s="197">
        <f t="shared" si="37"/>
        <v>43955</v>
      </c>
      <c r="AC139" s="424">
        <f>IF(OR(t&lt;Tnet,NoTnet),'2019'!Resal_s+('2019'!Salim-'2019'!Resal_s)*(1-EXP(('2019'!Tnet_s-t)/'2019'!Tau_j)),Resal_s+(Salim-Resal_s)*(1-EXP((Tnet_s-t)/Tau_j)))*Salcycl</f>
        <v>2.878394069496517E-2</v>
      </c>
      <c r="AD139" s="230">
        <f>(INDEX(Models!$BJ139:$BT139,,AH139)*(1-AF139)+INDEX(Models!$BJ139:$BT139,,AH139+1)*AF139-ERP_i)*AE139*Ramure*Pc/MaxiM</f>
        <v>3.8236921594232232E-4</v>
      </c>
      <c r="AE139" s="304">
        <f t="shared" si="38"/>
        <v>0.7</v>
      </c>
      <c r="AF139" s="177">
        <f t="shared" si="39"/>
        <v>0.27271214100985597</v>
      </c>
      <c r="AG139" s="176">
        <f t="shared" si="40"/>
        <v>-1</v>
      </c>
      <c r="AH139" s="176">
        <f t="shared" si="41"/>
        <v>5</v>
      </c>
      <c r="AI139" s="224">
        <f t="shared" si="42"/>
        <v>-0.72728785899014403</v>
      </c>
      <c r="AJ139" s="264" t="b">
        <f t="shared" si="43"/>
        <v>0</v>
      </c>
      <c r="AK139" s="264" t="b">
        <f t="shared" si="44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5"/>
        <v>43956</v>
      </c>
      <c r="B140" s="607">
        <v>50.018999999999998</v>
      </c>
      <c r="C140" s="388"/>
      <c r="D140" s="391">
        <f t="shared" si="24"/>
        <v>50.482224127817609</v>
      </c>
      <c r="E140" s="383">
        <f t="shared" si="46"/>
        <v>51.981811923200446</v>
      </c>
      <c r="F140" s="383">
        <f t="shared" si="25"/>
        <v>51.994165800948721</v>
      </c>
      <c r="G140" s="110">
        <f t="shared" si="47"/>
        <v>0.85031510721839476</v>
      </c>
      <c r="H140" s="412" t="b">
        <f>Wh_hp&gt;='2019'!Maxi_hp</f>
        <v>0</v>
      </c>
      <c r="I140" s="388">
        <f>IF(H140,Wh_hp,'2019'!Maxi_hp)</f>
        <v>58.310376218958538</v>
      </c>
      <c r="J140" s="85">
        <f>IF(H140,An,'2019'!An_max)</f>
        <v>2018</v>
      </c>
      <c r="K140" s="197">
        <f t="shared" si="26"/>
        <v>43956</v>
      </c>
      <c r="L140" s="147">
        <f>IF(t&lt;Tvie,1-EXP((T0-t)*PertePVj)+'2019'!Pspv,1-EXP((T0-t)*PertePVj)+Pspv)</f>
        <v>9.1759849297597951E-3</v>
      </c>
      <c r="M140" s="832"/>
      <c r="N140" s="832"/>
      <c r="O140" s="48">
        <f>IF(t&lt;Tnet,'2019'!Resal+('2019'!Salim-'2019'!Resal)*(1-EXP(('2019'!Tnet-t)/('2019'!Tau_j))),Resal+(Salim-Resal)*(1-EXP((Tnet-t)/(Tau_j))))*Salcycl</f>
        <v>2.8848317130583546E-2</v>
      </c>
      <c r="P140" s="169">
        <f>(INDEX(Models!$BJ140:$BT140,,T140)*(1-R140)+INDEX(Models!$BJ140:$BT140,,T140+1)*R140-ERP_i)*Q140*Ramure*Pc/MaxiM</f>
        <v>3.0219824011315559E-4</v>
      </c>
      <c r="Q140" s="304">
        <f t="shared" si="27"/>
        <v>0.7</v>
      </c>
      <c r="R140" s="177">
        <f t="shared" si="28"/>
        <v>0.2109001902390969</v>
      </c>
      <c r="S140" s="799">
        <f t="shared" si="29"/>
        <v>-1</v>
      </c>
      <c r="T140" s="176">
        <f t="shared" si="30"/>
        <v>5</v>
      </c>
      <c r="U140" s="250">
        <f t="shared" si="31"/>
        <v>-0.7890998097609031</v>
      </c>
      <c r="V140" s="382">
        <f t="shared" si="32"/>
        <v>58.820274660151014</v>
      </c>
      <c r="W140" s="58"/>
      <c r="X140" s="157">
        <f t="shared" si="33"/>
        <v>43956</v>
      </c>
      <c r="Y140" s="383">
        <f t="shared" si="34"/>
        <v>50.016512970481429</v>
      </c>
      <c r="Z140" s="383">
        <f t="shared" si="35"/>
        <v>50.47971406600972</v>
      </c>
      <c r="AA140" s="384">
        <f t="shared" si="36"/>
        <v>51.979227299343876</v>
      </c>
      <c r="AB140" s="197">
        <f t="shared" si="37"/>
        <v>43956</v>
      </c>
      <c r="AC140" s="424">
        <f>IF(OR(t&lt;Tnet,NoTnet),'2019'!Resal_s+('2019'!Salim-'2019'!Resal_s)*(1-EXP(('2019'!Tnet_s-t)/'2019'!Tau_j)),Resal_s+(Salim-Resal_s)*(1-EXP((Tnet_s-t)/Tau_j)))*Salcycl</f>
        <v>2.8848317130583546E-2</v>
      </c>
      <c r="AD140" s="230">
        <f>(INDEX(Models!$BJ140:$BT140,,AH140)*(1-AF140)+INDEX(Models!$BJ140:$BT140,,AH140+1)*AF140-ERP_i)*AE140*Ramure*Pc/MaxiM</f>
        <v>3.6542282406377578E-4</v>
      </c>
      <c r="AE140" s="304">
        <f t="shared" si="38"/>
        <v>0.7</v>
      </c>
      <c r="AF140" s="177">
        <f t="shared" si="39"/>
        <v>0.27523241249892905</v>
      </c>
      <c r="AG140" s="176">
        <f t="shared" si="40"/>
        <v>-1</v>
      </c>
      <c r="AH140" s="176">
        <f t="shared" si="41"/>
        <v>5</v>
      </c>
      <c r="AI140" s="224">
        <f t="shared" si="42"/>
        <v>-0.72476758750107095</v>
      </c>
      <c r="AJ140" s="264" t="b">
        <f t="shared" si="43"/>
        <v>0</v>
      </c>
      <c r="AK140" s="264" t="b">
        <f t="shared" si="44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5"/>
        <v>43957</v>
      </c>
      <c r="B141" s="607">
        <v>56.137</v>
      </c>
      <c r="C141" s="388"/>
      <c r="D141" s="391">
        <f t="shared" si="24"/>
        <v>56.657968538880532</v>
      </c>
      <c r="E141" s="383">
        <f t="shared" si="46"/>
        <v>58.344897441176613</v>
      </c>
      <c r="F141" s="383">
        <f t="shared" si="25"/>
        <v>58.360511547826988</v>
      </c>
      <c r="G141" s="110">
        <f t="shared" si="47"/>
        <v>0.95332313014986869</v>
      </c>
      <c r="H141" s="412" t="b">
        <f>Wh_hp&gt;='2019'!Maxi_hp</f>
        <v>1</v>
      </c>
      <c r="I141" s="388">
        <f>IF(H141,Wh_hp,'2019'!Maxi_hp)</f>
        <v>58.360511547826988</v>
      </c>
      <c r="J141" s="85">
        <f>IF(H141,An,'2019'!An_max)</f>
        <v>2020</v>
      </c>
      <c r="K141" s="197">
        <f t="shared" si="26"/>
        <v>43957</v>
      </c>
      <c r="L141" s="147">
        <f>IF(t&lt;Tvie,1-EXP((T0-t)*PertePVj)+'2019'!Pspv,1-EXP((T0-t)*PertePVj)+Pspv)</f>
        <v>9.1949738459653485E-3</v>
      </c>
      <c r="M141" s="832"/>
      <c r="N141" s="832"/>
      <c r="O141" s="48">
        <f>IF(t&lt;Tnet,'2019'!Resal+('2019'!Salim-'2019'!Resal)*(1-EXP(('2019'!Tnet-t)/('2019'!Tau_j))),Resal+(Salim-Resal)*(1-EXP((Tnet-t)/(Tau_j))))*Salcycl</f>
        <v>2.8913049405851633E-2</v>
      </c>
      <c r="P141" s="169">
        <f>(INDEX(Models!$BJ141:$BT141,,T141)*(1-R141)+INDEX(Models!$BJ141:$BT141,,T141+1)*R141-ERP_i)*Q141*Ramure*Pc/MaxiM</f>
        <v>2.8665263984436188E-4</v>
      </c>
      <c r="Q141" s="304">
        <f t="shared" si="27"/>
        <v>0.7</v>
      </c>
      <c r="R141" s="177">
        <f t="shared" si="28"/>
        <v>0.21348511376321877</v>
      </c>
      <c r="S141" s="799">
        <f t="shared" si="29"/>
        <v>-1</v>
      </c>
      <c r="T141" s="176">
        <f t="shared" si="30"/>
        <v>5</v>
      </c>
      <c r="U141" s="250">
        <f t="shared" si="31"/>
        <v>-0.78651488623678123</v>
      </c>
      <c r="V141" s="382">
        <f t="shared" si="32"/>
        <v>58.884469844424501</v>
      </c>
      <c r="W141" s="58"/>
      <c r="X141" s="157">
        <f t="shared" si="33"/>
        <v>43957</v>
      </c>
      <c r="Y141" s="383">
        <f t="shared" si="34"/>
        <v>56.133857379971857</v>
      </c>
      <c r="Z141" s="383">
        <f t="shared" si="35"/>
        <v>56.654796754376832</v>
      </c>
      <c r="AA141" s="384">
        <f t="shared" si="36"/>
        <v>58.341631220266365</v>
      </c>
      <c r="AB141" s="197">
        <f t="shared" si="37"/>
        <v>43957</v>
      </c>
      <c r="AC141" s="424">
        <f>IF(OR(t&lt;Tnet,NoTnet),'2019'!Resal_s+('2019'!Salim-'2019'!Resal_s)*(1-EXP(('2019'!Tnet_s-t)/'2019'!Tau_j)),Resal_s+(Salim-Resal_s)*(1-EXP((Tnet_s-t)/Tau_j)))*Salcycl</f>
        <v>2.8913049405851633E-2</v>
      </c>
      <c r="AD141" s="230">
        <f>(INDEX(Models!$BJ141:$BT141,,AH141)*(1-AF141)+INDEX(Models!$BJ141:$BT141,,AH141+1)*AF141-ERP_i)*AE141*Ramure*Pc/MaxiM</f>
        <v>3.4661577876754122E-4</v>
      </c>
      <c r="AE141" s="304">
        <f t="shared" si="38"/>
        <v>0.7</v>
      </c>
      <c r="AF141" s="177">
        <f t="shared" si="39"/>
        <v>0.27781733602305092</v>
      </c>
      <c r="AG141" s="176">
        <f t="shared" si="40"/>
        <v>-1</v>
      </c>
      <c r="AH141" s="176">
        <f t="shared" si="41"/>
        <v>5</v>
      </c>
      <c r="AI141" s="224">
        <f t="shared" si="42"/>
        <v>-0.72218266397694908</v>
      </c>
      <c r="AJ141" s="264" t="b">
        <f t="shared" si="43"/>
        <v>0</v>
      </c>
      <c r="AK141" s="264" t="b">
        <f t="shared" si="44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5"/>
        <v>43958</v>
      </c>
      <c r="B142" s="607">
        <v>51.828000000000003</v>
      </c>
      <c r="C142" s="388"/>
      <c r="D142" s="391">
        <f t="shared" si="24"/>
        <v>52.309982209128179</v>
      </c>
      <c r="E142" s="383">
        <f t="shared" si="46"/>
        <v>53.871064845042291</v>
      </c>
      <c r="F142" s="383">
        <f t="shared" si="25"/>
        <v>53.883111310881006</v>
      </c>
      <c r="G142" s="110">
        <f t="shared" si="47"/>
        <v>0.87921523693168802</v>
      </c>
      <c r="H142" s="412" t="b">
        <f>Wh_hp&gt;='2019'!Maxi_hp</f>
        <v>1</v>
      </c>
      <c r="I142" s="388">
        <f>IF(H142,Wh_hp,'2019'!Maxi_hp)</f>
        <v>53.883111310881006</v>
      </c>
      <c r="J142" s="85">
        <f>IF(H142,An,'2019'!An_max)</f>
        <v>2020</v>
      </c>
      <c r="K142" s="197">
        <f t="shared" si="26"/>
        <v>43958</v>
      </c>
      <c r="L142" s="147">
        <f>IF(t&lt;Tvie,1-EXP((T0-t)*PertePVj)+'2019'!Pspv,1-EXP((T0-t)*PertePVj)+Pspv)</f>
        <v>9.213962398252673E-3</v>
      </c>
      <c r="M142" s="832"/>
      <c r="N142" s="832"/>
      <c r="O142" s="48">
        <f>IF(t&lt;Tnet,'2019'!Resal+('2019'!Salim-'2019'!Resal)*(1-EXP(('2019'!Tnet-t)/('2019'!Tau_j))),Resal+(Salim-Resal)*(1-EXP((Tnet-t)/(Tau_j))))*Salcycl</f>
        <v>2.8978128433222776E-2</v>
      </c>
      <c r="P142" s="169">
        <f>(INDEX(Models!$BJ142:$BT142,,T142)*(1-R142)+INDEX(Models!$BJ142:$BT142,,T142+1)*R142-ERP_i)*Q142*Ramure*Pc/MaxiM</f>
        <v>2.7016825774001574E-4</v>
      </c>
      <c r="Q142" s="304">
        <f t="shared" si="27"/>
        <v>0.7</v>
      </c>
      <c r="R142" s="177">
        <f t="shared" si="28"/>
        <v>0.21613494240172515</v>
      </c>
      <c r="S142" s="799">
        <f t="shared" si="29"/>
        <v>-1</v>
      </c>
      <c r="T142" s="176">
        <f t="shared" si="30"/>
        <v>5</v>
      </c>
      <c r="U142" s="250">
        <f t="shared" si="31"/>
        <v>-0.78386505759827485</v>
      </c>
      <c r="V142" s="382">
        <f t="shared" si="32"/>
        <v>58.945275302354844</v>
      </c>
      <c r="W142" s="58"/>
      <c r="X142" s="157">
        <f t="shared" si="33"/>
        <v>43958</v>
      </c>
      <c r="Y142" s="383">
        <f t="shared" si="34"/>
        <v>51.825577756063126</v>
      </c>
      <c r="Z142" s="383">
        <f t="shared" si="35"/>
        <v>52.307537439172862</v>
      </c>
      <c r="AA142" s="384">
        <f t="shared" si="36"/>
        <v>53.868547116011761</v>
      </c>
      <c r="AB142" s="197">
        <f t="shared" si="37"/>
        <v>43958</v>
      </c>
      <c r="AC142" s="424">
        <f>IF(OR(t&lt;Tnet,NoTnet),'2019'!Resal_s+('2019'!Salim-'2019'!Resal_s)*(1-EXP(('2019'!Tnet_s-t)/'2019'!Tau_j)),Resal_s+(Salim-Resal_s)*(1-EXP((Tnet_s-t)/Tau_j)))*Salcycl</f>
        <v>2.8978128433222776E-2</v>
      </c>
      <c r="AD142" s="230">
        <f>(INDEX(Models!$BJ142:$BT142,,AH142)*(1-AF142)+INDEX(Models!$BJ142:$BT142,,AH142+1)*AF142-ERP_i)*AE142*Ramure*Pc/MaxiM</f>
        <v>3.2663381990131779E-4</v>
      </c>
      <c r="AE142" s="304">
        <f t="shared" si="38"/>
        <v>0.7</v>
      </c>
      <c r="AF142" s="177">
        <f t="shared" si="39"/>
        <v>0.2804671646615573</v>
      </c>
      <c r="AG142" s="176">
        <f t="shared" si="40"/>
        <v>-1</v>
      </c>
      <c r="AH142" s="176">
        <f t="shared" si="41"/>
        <v>5</v>
      </c>
      <c r="AI142" s="224">
        <f t="shared" si="42"/>
        <v>-0.7195328353384427</v>
      </c>
      <c r="AJ142" s="264" t="b">
        <f t="shared" si="43"/>
        <v>0</v>
      </c>
      <c r="AK142" s="264" t="b">
        <f t="shared" si="44"/>
        <v>0</v>
      </c>
      <c r="AL142" s="264"/>
      <c r="AM142" s="264"/>
      <c r="AN142" s="75"/>
    </row>
    <row r="143" spans="1:40" s="6" customFormat="1" ht="11.25" x14ac:dyDescent="0.2">
      <c r="A143" s="56">
        <f t="shared" si="45"/>
        <v>43959</v>
      </c>
      <c r="B143" s="607">
        <v>51.347000000000001</v>
      </c>
      <c r="C143" s="388"/>
      <c r="D143" s="391">
        <f t="shared" ref="D143:D206" si="48">Wh/(1-Ppv)</f>
        <v>51.825502301880476</v>
      </c>
      <c r="E143" s="383">
        <f t="shared" si="46"/>
        <v>53.375722450616131</v>
      </c>
      <c r="F143" s="383">
        <f t="shared" ref="F143:F206" si="49">Wh_sa/(1-Pvg*MEDIAN((-Sdif+Wh/Env_an)/Csdif,0,1))</f>
        <v>53.386760514738448</v>
      </c>
      <c r="G143" s="110">
        <f t="shared" si="47"/>
        <v>0.87020530923049078</v>
      </c>
      <c r="H143" s="412" t="b">
        <f>Wh_hp&gt;='2019'!Maxi_hp</f>
        <v>1</v>
      </c>
      <c r="I143" s="388">
        <f>IF(H143,Wh_hp,'2019'!Maxi_hp)</f>
        <v>53.386760514738448</v>
      </c>
      <c r="J143" s="85">
        <f>IF(H143,An,'2019'!An_max)</f>
        <v>2020</v>
      </c>
      <c r="K143" s="197">
        <f t="shared" ref="K143:K206" si="50">t</f>
        <v>43959</v>
      </c>
      <c r="L143" s="147">
        <f>IF(t&lt;Tvie,1-EXP((T0-t)*PertePVj)+'2019'!Pspv,1-EXP((T0-t)*PertePVj)+Pspv)</f>
        <v>9.2329505866286521E-3</v>
      </c>
      <c r="M143" s="832"/>
      <c r="N143" s="832"/>
      <c r="O143" s="48">
        <f>IF(t&lt;Tnet,'2019'!Resal+('2019'!Salim-'2019'!Resal)*(1-EXP(('2019'!Tnet-t)/('2019'!Tau_j))),Resal+(Salim-Resal)*(1-EXP((Tnet-t)/(Tau_j))))*Salcycl</f>
        <v>2.9043544097598694E-2</v>
      </c>
      <c r="P143" s="169">
        <f>(INDEX(Models!$BJ143:$BT143,,T143)*(1-R143)+INDEX(Models!$BJ143:$BT143,,T143+1)*R143-ERP_i)*Q143*Ramure*Pc/MaxiM</f>
        <v>2.5380194101233631E-4</v>
      </c>
      <c r="Q143" s="304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0.21884982977560141</v>
      </c>
      <c r="S143" s="799">
        <f t="shared" ref="S143:S206" si="53">INDEX(Echel_vg,T143)</f>
        <v>-1</v>
      </c>
      <c r="T143" s="176">
        <f t="shared" ref="T143:T206" si="54">MIN(MATCH(Hp_vg,Echel_vg),10)</f>
        <v>5</v>
      </c>
      <c r="U143" s="250">
        <f t="shared" ref="U143:U206" si="55">IF(OR(t&lt;Ttai,Notai),Hdd+PousH*Croivg,Hdtf+PousH*(Croivg-Croi_tai))</f>
        <v>-0.78115017022439859</v>
      </c>
      <c r="V143" s="382">
        <f t="shared" ref="V143:V206" si="56">MaxiM*(1-Ppv)*(1-Pvg)*(1-Psa)</f>
        <v>59.002839120570442</v>
      </c>
      <c r="W143" s="58"/>
      <c r="X143" s="157">
        <f t="shared" ref="X143:X206" si="57">t</f>
        <v>43959</v>
      </c>
      <c r="Y143" s="383">
        <f t="shared" ref="Y143:Y206" si="58">Wh_pvt_s*(1-Ppv)</f>
        <v>51.344782763703549</v>
      </c>
      <c r="Z143" s="383">
        <f t="shared" ref="Z143:Z206" si="59">Wh_sa_s*(1-Psa_s)</f>
        <v>51.823264403175862</v>
      </c>
      <c r="AA143" s="384">
        <f t="shared" ref="AA143:AA206" si="60">Wh_hp*(1-Pvg_s*MEDIAN((-Sdif+Wh/Env_an)/Csdif,0,1))</f>
        <v>53.373417611206492</v>
      </c>
      <c r="AB143" s="197">
        <f t="shared" ref="AB143:AB206" si="61">t</f>
        <v>43959</v>
      </c>
      <c r="AC143" s="424">
        <f>IF(OR(t&lt;Tnet,NoTnet),'2019'!Resal_s+('2019'!Salim-'2019'!Resal_s)*(1-EXP(('2019'!Tnet_s-t)/'2019'!Tau_j)),Resal_s+(Salim-Resal_s)*(1-EXP((Tnet_s-t)/Tau_j)))*Salcycl</f>
        <v>2.9043544097598694E-2</v>
      </c>
      <c r="AD143" s="230">
        <f>(INDEX(Models!$BJ143:$BT143,,AH143)*(1-AF143)+INDEX(Models!$BJ143:$BT143,,AH143+1)*AF143-ERP_i)*AE143*Ramure*Pc/MaxiM</f>
        <v>3.0679789296595659E-4</v>
      </c>
      <c r="AE143" s="304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0.28318205203543356</v>
      </c>
      <c r="AG143" s="176">
        <f t="shared" ref="AG143:AG206" si="64">INDEX(Echel_vg,AH143)</f>
        <v>-1</v>
      </c>
      <c r="AH143" s="176">
        <f t="shared" ref="AH143:AH206" si="65">MIN(MATCH(Hp_vg_s,Echel_vg),10)</f>
        <v>5</v>
      </c>
      <c r="AI143" s="224">
        <f t="shared" ref="AI143:AI206" si="66">IF(OR(t&lt;Ttai,Notai),Hdd_s+PousH*Croivg,Hdtai_s+PousH*(Croivg-Croi_tai))</f>
        <v>-0.71681794796456644</v>
      </c>
      <c r="AJ143" s="264" t="b">
        <f t="shared" ref="AJ143:AJ206" si="67">t&lt;Tnet</f>
        <v>0</v>
      </c>
      <c r="AK143" s="264" t="b">
        <f t="shared" ref="AK143:AK206" si="68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169" si="69">A143+1</f>
        <v>43960</v>
      </c>
      <c r="B144" s="607">
        <v>42.326999999999998</v>
      </c>
      <c r="C144" s="388"/>
      <c r="D144" s="391">
        <f t="shared" si="48"/>
        <v>42.722263753025778</v>
      </c>
      <c r="E144" s="383">
        <f t="shared" ref="E144:E169" si="70">Wh_pvt/(1-Psa)</f>
        <v>44.003164417765312</v>
      </c>
      <c r="F144" s="383">
        <f t="shared" si="49"/>
        <v>44.009387718660008</v>
      </c>
      <c r="G144" s="110">
        <f t="shared" ref="G144:G169" si="71">+Wh_hp/MaxiM</f>
        <v>0.71664093321362432</v>
      </c>
      <c r="H144" s="412" t="b">
        <f>Wh_hp&gt;='2019'!Maxi_hp</f>
        <v>1</v>
      </c>
      <c r="I144" s="388">
        <f>IF(H144,Wh_hp,'2019'!Maxi_hp)</f>
        <v>44.009387718660008</v>
      </c>
      <c r="J144" s="85">
        <f>IF(H144,An,'2019'!An_max)</f>
        <v>2020</v>
      </c>
      <c r="K144" s="197">
        <f t="shared" si="50"/>
        <v>43960</v>
      </c>
      <c r="L144" s="147">
        <f>IF(t&lt;Tvie,1-EXP((T0-t)*PertePVj)+'2019'!Pspv,1-EXP((T0-t)*PertePVj)+Pspv)</f>
        <v>9.2519384111003911E-3</v>
      </c>
      <c r="M144" s="832"/>
      <c r="N144" s="832"/>
      <c r="O144" s="48">
        <f>IF(t&lt;Tnet,'2019'!Resal+('2019'!Salim-'2019'!Resal)*(1-EXP(('2019'!Tnet-t)/('2019'!Tau_j))),Resal+(Salim-Resal)*(1-EXP((Tnet-t)/(Tau_j))))*Salcycl</f>
        <v>2.9109285245458451E-2</v>
      </c>
      <c r="P144" s="169">
        <f>(INDEX(Models!$BJ144:$BT144,,T144)*(1-R144)+INDEX(Models!$BJ144:$BT144,,T144+1)*R144-ERP_i)*Q144*Ramure*Pc/MaxiM</f>
        <v>2.3754164220937332E-4</v>
      </c>
      <c r="Q144" s="304">
        <f t="shared" si="51"/>
        <v>0.7</v>
      </c>
      <c r="R144" s="177">
        <f t="shared" si="52"/>
        <v>0.22162982461297609</v>
      </c>
      <c r="S144" s="799">
        <f t="shared" si="53"/>
        <v>-1</v>
      </c>
      <c r="T144" s="176">
        <f t="shared" si="54"/>
        <v>5</v>
      </c>
      <c r="U144" s="250">
        <f t="shared" si="55"/>
        <v>-0.77837017538702391</v>
      </c>
      <c r="V144" s="382">
        <f t="shared" si="56"/>
        <v>59.057372297504358</v>
      </c>
      <c r="W144" s="58"/>
      <c r="X144" s="157">
        <f t="shared" si="57"/>
        <v>43960</v>
      </c>
      <c r="Y144" s="383">
        <f t="shared" si="58"/>
        <v>42.325751219797503</v>
      </c>
      <c r="Z144" s="383">
        <f t="shared" si="59"/>
        <v>42.721003311294012</v>
      </c>
      <c r="AA144" s="384">
        <f t="shared" si="60"/>
        <v>44.001866185417832</v>
      </c>
      <c r="AB144" s="197">
        <f t="shared" si="61"/>
        <v>43960</v>
      </c>
      <c r="AC144" s="424">
        <f>IF(OR(t&lt;Tnet,NoTnet),'2019'!Resal_s+('2019'!Salim-'2019'!Resal_s)*(1-EXP(('2019'!Tnet_s-t)/'2019'!Tau_j)),Resal_s+(Salim-Resal_s)*(1-EXP((Tnet_s-t)/Tau_j)))*Salcycl</f>
        <v>2.9109285245458451E-2</v>
      </c>
      <c r="AD144" s="230">
        <f>(INDEX(Models!$BJ144:$BT144,,AH144)*(1-AF144)+INDEX(Models!$BJ144:$BT144,,AH144+1)*AF144-ERP_i)*AE144*Ramure*Pc/MaxiM</f>
        <v>2.8709480523445632E-4</v>
      </c>
      <c r="AE144" s="304">
        <f t="shared" si="62"/>
        <v>0.7</v>
      </c>
      <c r="AF144" s="177">
        <f t="shared" si="63"/>
        <v>0.28596204687280824</v>
      </c>
      <c r="AG144" s="176">
        <f t="shared" si="64"/>
        <v>-1</v>
      </c>
      <c r="AH144" s="176">
        <f t="shared" si="65"/>
        <v>5</v>
      </c>
      <c r="AI144" s="224">
        <f t="shared" si="66"/>
        <v>-0.71403795312719176</v>
      </c>
      <c r="AJ144" s="264" t="b">
        <f t="shared" si="67"/>
        <v>0</v>
      </c>
      <c r="AK144" s="264" t="b">
        <f t="shared" si="68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69"/>
        <v>43961</v>
      </c>
      <c r="B145" s="607">
        <v>12.794</v>
      </c>
      <c r="C145" s="388"/>
      <c r="D145" s="391">
        <f t="shared" si="48"/>
        <v>12.913722160880932</v>
      </c>
      <c r="E145" s="383">
        <f t="shared" si="70"/>
        <v>13.301806895384262</v>
      </c>
      <c r="F145" s="383">
        <f t="shared" si="49"/>
        <v>13.301806895384262</v>
      </c>
      <c r="G145" s="110">
        <f t="shared" si="71"/>
        <v>0.21639934943811995</v>
      </c>
      <c r="H145" s="412" t="b">
        <f>Wh_hp&gt;='2019'!Maxi_hp</f>
        <v>0</v>
      </c>
      <c r="I145" s="388">
        <f>IF(H145,Wh_hp,'2019'!Maxi_hp)</f>
        <v>32.848239841542608</v>
      </c>
      <c r="J145" s="85">
        <f>IF(H145,An,'2019'!An_max)</f>
        <v>2018</v>
      </c>
      <c r="K145" s="197">
        <f t="shared" si="50"/>
        <v>43961</v>
      </c>
      <c r="L145" s="147">
        <f>IF(t&lt;Tvie,1-EXP((T0-t)*PertePVj)+'2019'!Pspv,1-EXP((T0-t)*PertePVj)+Pspv)</f>
        <v>9.2709258716747733E-3</v>
      </c>
      <c r="M145" s="832"/>
      <c r="N145" s="832"/>
      <c r="O145" s="48">
        <f>IF(t&lt;Tnet,'2019'!Resal+('2019'!Salim-'2019'!Resal)*(1-EXP(('2019'!Tnet-t)/('2019'!Tau_j))),Resal+(Salim-Resal)*(1-EXP((Tnet-t)/(Tau_j))))*Salcycl</f>
        <v>2.9175339677949826E-2</v>
      </c>
      <c r="P145" s="169">
        <f>(INDEX(Models!$BJ145:$BT145,,T145)*(1-R145)+INDEX(Models!$BJ145:$BT145,,T145+1)*R145-ERP_i)*Q145*Ramure*Pc/MaxiM</f>
        <v>2.2137582860958465E-4</v>
      </c>
      <c r="Q145" s="304">
        <f t="shared" si="51"/>
        <v>0.7</v>
      </c>
      <c r="R145" s="177">
        <f t="shared" si="52"/>
        <v>0.22447486545966744</v>
      </c>
      <c r="S145" s="799">
        <f t="shared" si="53"/>
        <v>-1</v>
      </c>
      <c r="T145" s="176">
        <f t="shared" si="54"/>
        <v>5</v>
      </c>
      <c r="U145" s="250">
        <f t="shared" si="55"/>
        <v>-0.77552513454033256</v>
      </c>
      <c r="V145" s="382">
        <f t="shared" si="56"/>
        <v>59.109085821473059</v>
      </c>
      <c r="W145" s="58"/>
      <c r="X145" s="157">
        <f t="shared" si="57"/>
        <v>43961</v>
      </c>
      <c r="Y145" s="383">
        <f t="shared" si="58"/>
        <v>12.794</v>
      </c>
      <c r="Z145" s="383">
        <f t="shared" si="59"/>
        <v>12.913722160880932</v>
      </c>
      <c r="AA145" s="384">
        <f t="shared" si="60"/>
        <v>13.301806895384262</v>
      </c>
      <c r="AB145" s="197">
        <f t="shared" si="61"/>
        <v>43961</v>
      </c>
      <c r="AC145" s="424">
        <f>IF(OR(t&lt;Tnet,NoTnet),'2019'!Resal_s+('2019'!Salim-'2019'!Resal_s)*(1-EXP(('2019'!Tnet_s-t)/'2019'!Tau_j)),Resal_s+(Salim-Resal_s)*(1-EXP((Tnet_s-t)/Tau_j)))*Salcycl</f>
        <v>2.9175339677949826E-2</v>
      </c>
      <c r="AD145" s="230">
        <f>(INDEX(Models!$BJ145:$BT145,,AH145)*(1-AF145)+INDEX(Models!$BJ145:$BT145,,AH145+1)*AF145-ERP_i)*AE145*Ramure*Pc/MaxiM</f>
        <v>2.6751197496155816E-4</v>
      </c>
      <c r="AE145" s="304">
        <f t="shared" si="62"/>
        <v>0.7</v>
      </c>
      <c r="AF145" s="177">
        <f t="shared" si="63"/>
        <v>0.28880708771949959</v>
      </c>
      <c r="AG145" s="176">
        <f t="shared" si="64"/>
        <v>-1</v>
      </c>
      <c r="AH145" s="176">
        <f t="shared" si="65"/>
        <v>5</v>
      </c>
      <c r="AI145" s="224">
        <f t="shared" si="66"/>
        <v>-0.71119291228050041</v>
      </c>
      <c r="AJ145" s="264" t="b">
        <f t="shared" si="67"/>
        <v>0</v>
      </c>
      <c r="AK145" s="264" t="b">
        <f t="shared" si="68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69"/>
        <v>43962</v>
      </c>
      <c r="B146" s="607">
        <v>9.1519999999999992</v>
      </c>
      <c r="C146" s="388"/>
      <c r="D146" s="391">
        <f t="shared" si="48"/>
        <v>9.237818530162702</v>
      </c>
      <c r="E146" s="383">
        <f t="shared" si="70"/>
        <v>9.5160849765354936</v>
      </c>
      <c r="F146" s="383">
        <f t="shared" si="49"/>
        <v>9.5160849765354936</v>
      </c>
      <c r="G146" s="110">
        <f t="shared" si="71"/>
        <v>0.15467209276130317</v>
      </c>
      <c r="H146" s="412" t="b">
        <f>Wh_hp&gt;='2019'!Maxi_hp</f>
        <v>0</v>
      </c>
      <c r="I146" s="388">
        <f>IF(H146,Wh_hp,'2019'!Maxi_hp)</f>
        <v>46.526501167443257</v>
      </c>
      <c r="J146" s="85">
        <f>IF(H146,An,'2019'!An_max)</f>
        <v>2018</v>
      </c>
      <c r="K146" s="197">
        <f t="shared" si="50"/>
        <v>43962</v>
      </c>
      <c r="L146" s="147">
        <f>IF(t&lt;Tvie,1-EXP((T0-t)*PertePVj)+'2019'!Pspv,1-EXP((T0-t)*PertePVj)+Pspv)</f>
        <v>9.2899129683587933E-3</v>
      </c>
      <c r="M146" s="832"/>
      <c r="N146" s="832"/>
      <c r="O146" s="48">
        <f>IF(t&lt;Tnet,'2019'!Resal+('2019'!Salim-'2019'!Resal)*(1-EXP(('2019'!Tnet-t)/('2019'!Tau_j))),Resal+(Salim-Resal)*(1-EXP((Tnet-t)/(Tau_j))))*Salcycl</f>
        <v>2.9241694148269274E-2</v>
      </c>
      <c r="P146" s="169">
        <f>(INDEX(Models!$BJ146:$BT146,,T146)*(1-R146)+INDEX(Models!$BJ146:$BT146,,T146+1)*R146-ERP_i)*Q146*Ramure*Pc/MaxiM</f>
        <v>2.0529350595929741E-4</v>
      </c>
      <c r="Q146" s="304">
        <f t="shared" si="51"/>
        <v>0.7</v>
      </c>
      <c r="R146" s="177">
        <f t="shared" si="52"/>
        <v>0.22738477557793046</v>
      </c>
      <c r="S146" s="799">
        <f t="shared" si="53"/>
        <v>-1</v>
      </c>
      <c r="T146" s="176">
        <f t="shared" si="54"/>
        <v>5</v>
      </c>
      <c r="U146" s="250">
        <f t="shared" si="55"/>
        <v>-0.77261522442206954</v>
      </c>
      <c r="V146" s="382">
        <f t="shared" si="56"/>
        <v>59.158190663097386</v>
      </c>
      <c r="W146" s="58"/>
      <c r="X146" s="157">
        <f t="shared" si="57"/>
        <v>43962</v>
      </c>
      <c r="Y146" s="383">
        <f t="shared" si="58"/>
        <v>9.1519999999999992</v>
      </c>
      <c r="Z146" s="383">
        <f t="shared" si="59"/>
        <v>9.237818530162702</v>
      </c>
      <c r="AA146" s="384">
        <f t="shared" si="60"/>
        <v>9.5160849765354936</v>
      </c>
      <c r="AB146" s="197">
        <f t="shared" si="61"/>
        <v>43962</v>
      </c>
      <c r="AC146" s="424">
        <f>IF(OR(t&lt;Tnet,NoTnet),'2019'!Resal_s+('2019'!Salim-'2019'!Resal_s)*(1-EXP(('2019'!Tnet_s-t)/'2019'!Tau_j)),Resal_s+(Salim-Resal_s)*(1-EXP((Tnet_s-t)/Tau_j)))*Salcycl</f>
        <v>2.9241694148269274E-2</v>
      </c>
      <c r="AD146" s="230">
        <f>(INDEX(Models!$BJ146:$BT146,,AH146)*(1-AF146)+INDEX(Models!$BJ146:$BT146,,AH146+1)*AF146-ERP_i)*AE146*Ramure*Pc/MaxiM</f>
        <v>2.4803745516739466E-4</v>
      </c>
      <c r="AE146" s="304">
        <f t="shared" si="62"/>
        <v>0.7</v>
      </c>
      <c r="AF146" s="177">
        <f t="shared" si="63"/>
        <v>0.29171699783776261</v>
      </c>
      <c r="AG146" s="176">
        <f t="shared" si="64"/>
        <v>-1</v>
      </c>
      <c r="AH146" s="176">
        <f t="shared" si="65"/>
        <v>5</v>
      </c>
      <c r="AI146" s="224">
        <f t="shared" si="66"/>
        <v>-0.70828300216223739</v>
      </c>
      <c r="AJ146" s="264" t="b">
        <f t="shared" si="67"/>
        <v>0</v>
      </c>
      <c r="AK146" s="264" t="b">
        <f t="shared" si="68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69"/>
        <v>43963</v>
      </c>
      <c r="B147" s="607">
        <v>22.417999999999999</v>
      </c>
      <c r="C147" s="388"/>
      <c r="D147" s="391">
        <f t="shared" si="48"/>
        <v>22.628647812862802</v>
      </c>
      <c r="E147" s="383">
        <f t="shared" si="70"/>
        <v>23.311880192180237</v>
      </c>
      <c r="F147" s="383">
        <f t="shared" si="49"/>
        <v>23.312375993635666</v>
      </c>
      <c r="G147" s="110">
        <f t="shared" si="71"/>
        <v>0.37858748461192293</v>
      </c>
      <c r="H147" s="412" t="b">
        <f>Wh_hp&gt;='2019'!Maxi_hp</f>
        <v>0</v>
      </c>
      <c r="I147" s="388">
        <f>IF(H147,Wh_hp,'2019'!Maxi_hp)</f>
        <v>60.109259389460362</v>
      </c>
      <c r="J147" s="85">
        <f>IF(H147,An,'2019'!An_max)</f>
        <v>2018</v>
      </c>
      <c r="K147" s="197">
        <f t="shared" si="50"/>
        <v>43963</v>
      </c>
      <c r="L147" s="147">
        <f>IF(t&lt;Tvie,1-EXP((T0-t)*PertePVj)+'2019'!Pspv,1-EXP((T0-t)*PertePVj)+Pspv)</f>
        <v>9.3088997011595565E-3</v>
      </c>
      <c r="M147" s="832"/>
      <c r="N147" s="832"/>
      <c r="O147" s="48">
        <f>IF(t&lt;Tnet,'2019'!Resal+('2019'!Salim-'2019'!Resal)*(1-EXP(('2019'!Tnet-t)/('2019'!Tau_j))),Resal+(Salim-Resal)*(1-EXP((Tnet-t)/(Tau_j))))*Salcycl</f>
        <v>2.9308334363635752E-2</v>
      </c>
      <c r="P147" s="169">
        <f>(INDEX(Models!$BJ147:$BT147,,T147)*(1-R147)+INDEX(Models!$BJ147:$BT147,,T147+1)*R147-ERP_i)*Q147*Ramure*Pc/MaxiM</f>
        <v>1.8928424468908899E-4</v>
      </c>
      <c r="Q147" s="304">
        <f t="shared" si="51"/>
        <v>0.7</v>
      </c>
      <c r="R147" s="177">
        <f t="shared" si="52"/>
        <v>0.23035925807829216</v>
      </c>
      <c r="S147" s="799">
        <f t="shared" si="53"/>
        <v>-1</v>
      </c>
      <c r="T147" s="176">
        <f t="shared" si="54"/>
        <v>5</v>
      </c>
      <c r="U147" s="250">
        <f t="shared" si="55"/>
        <v>-0.76964074192170784</v>
      </c>
      <c r="V147" s="382">
        <f t="shared" si="56"/>
        <v>59.204897776198287</v>
      </c>
      <c r="W147" s="58"/>
      <c r="X147" s="157">
        <f t="shared" si="57"/>
        <v>43963</v>
      </c>
      <c r="Y147" s="383">
        <f t="shared" si="58"/>
        <v>22.417900816061611</v>
      </c>
      <c r="Z147" s="383">
        <f t="shared" si="59"/>
        <v>22.628547696955476</v>
      </c>
      <c r="AA147" s="384">
        <f t="shared" si="60"/>
        <v>23.311777053448477</v>
      </c>
      <c r="AB147" s="197">
        <f t="shared" si="61"/>
        <v>43963</v>
      </c>
      <c r="AC147" s="424">
        <f>IF(OR(t&lt;Tnet,NoTnet),'2019'!Resal_s+('2019'!Salim-'2019'!Resal_s)*(1-EXP(('2019'!Tnet_s-t)/'2019'!Tau_j)),Resal_s+(Salim-Resal_s)*(1-EXP((Tnet_s-t)/Tau_j)))*Salcycl</f>
        <v>2.9308334363635752E-2</v>
      </c>
      <c r="AD147" s="230">
        <f>(INDEX(Models!$BJ147:$BT147,,AH147)*(1-AF147)+INDEX(Models!$BJ147:$BT147,,AH147+1)*AF147-ERP_i)*AE147*Ramure*Pc/MaxiM</f>
        <v>2.2865995995982721E-4</v>
      </c>
      <c r="AE147" s="304">
        <f t="shared" si="62"/>
        <v>0.7</v>
      </c>
      <c r="AF147" s="177">
        <f t="shared" si="63"/>
        <v>0.29469148033812431</v>
      </c>
      <c r="AG147" s="176">
        <f t="shared" si="64"/>
        <v>-1</v>
      </c>
      <c r="AH147" s="176">
        <f t="shared" si="65"/>
        <v>5</v>
      </c>
      <c r="AI147" s="224">
        <f t="shared" si="66"/>
        <v>-0.70530851966187569</v>
      </c>
      <c r="AJ147" s="264" t="b">
        <f t="shared" si="67"/>
        <v>0</v>
      </c>
      <c r="AK147" s="264" t="b">
        <f t="shared" si="68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69"/>
        <v>43964</v>
      </c>
      <c r="B148" s="607">
        <v>36.042000000000002</v>
      </c>
      <c r="C148" s="388"/>
      <c r="D148" s="391">
        <f t="shared" si="48"/>
        <v>36.381361192276117</v>
      </c>
      <c r="E148" s="383">
        <f t="shared" si="70"/>
        <v>37.482416355619833</v>
      </c>
      <c r="F148" s="383">
        <f t="shared" si="49"/>
        <v>37.485278188648742</v>
      </c>
      <c r="G148" s="110">
        <f t="shared" si="71"/>
        <v>0.60825076570762338</v>
      </c>
      <c r="H148" s="412" t="b">
        <f>Wh_hp&gt;='2019'!Maxi_hp</f>
        <v>0</v>
      </c>
      <c r="I148" s="388">
        <f>IF(H148,Wh_hp,'2019'!Maxi_hp)</f>
        <v>59.065123459499134</v>
      </c>
      <c r="J148" s="85">
        <f>IF(H148,An,'2019'!An_max)</f>
        <v>2018</v>
      </c>
      <c r="K148" s="197">
        <f t="shared" si="50"/>
        <v>43964</v>
      </c>
      <c r="L148" s="147">
        <f>IF(t&lt;Tvie,1-EXP((T0-t)*PertePVj)+'2019'!Pspv,1-EXP((T0-t)*PertePVj)+Pspv)</f>
        <v>9.3278860700837241E-3</v>
      </c>
      <c r="M148" s="832"/>
      <c r="N148" s="832"/>
      <c r="O148" s="48">
        <f>IF(t&lt;Tnet,'2019'!Resal+('2019'!Salim-'2019'!Resal)*(1-EXP(('2019'!Tnet-t)/('2019'!Tau_j))),Resal+(Salim-Resal)*(1-EXP((Tnet-t)/(Tau_j))))*Salcycl</f>
        <v>2.937524499213965E-2</v>
      </c>
      <c r="P148" s="169">
        <f>(INDEX(Models!$BJ148:$BT148,,T148)*(1-R148)+INDEX(Models!$BJ148:$BT148,,T148+1)*R148-ERP_i)*Q148*Ramure*Pc/MaxiM</f>
        <v>1.7333820847184473E-4</v>
      </c>
      <c r="Q148" s="304">
        <f t="shared" si="51"/>
        <v>0.7</v>
      </c>
      <c r="R148" s="177">
        <f t="shared" si="52"/>
        <v>0.23339789133077404</v>
      </c>
      <c r="S148" s="799">
        <f t="shared" si="53"/>
        <v>-1</v>
      </c>
      <c r="T148" s="176">
        <f t="shared" si="54"/>
        <v>5</v>
      </c>
      <c r="U148" s="250">
        <f t="shared" si="55"/>
        <v>-0.76660210866922596</v>
      </c>
      <c r="V148" s="382">
        <f t="shared" si="56"/>
        <v>59.249418092651744</v>
      </c>
      <c r="W148" s="58"/>
      <c r="X148" s="157">
        <f t="shared" si="57"/>
        <v>43964</v>
      </c>
      <c r="Y148" s="383">
        <f t="shared" si="58"/>
        <v>36.041427989756862</v>
      </c>
      <c r="Z148" s="383">
        <f t="shared" si="59"/>
        <v>36.380783796147675</v>
      </c>
      <c r="AA148" s="384">
        <f t="shared" si="60"/>
        <v>37.481821485021833</v>
      </c>
      <c r="AB148" s="197">
        <f t="shared" si="61"/>
        <v>43964</v>
      </c>
      <c r="AC148" s="424">
        <f>IF(OR(t&lt;Tnet,NoTnet),'2019'!Resal_s+('2019'!Salim-'2019'!Resal_s)*(1-EXP(('2019'!Tnet_s-t)/'2019'!Tau_j)),Resal_s+(Salim-Resal_s)*(1-EXP((Tnet_s-t)/Tau_j)))*Salcycl</f>
        <v>2.937524499213965E-2</v>
      </c>
      <c r="AD148" s="230">
        <f>(INDEX(Models!$BJ148:$BT148,,AH148)*(1-AF148)+INDEX(Models!$BJ148:$BT148,,AH148+1)*AF148-ERP_i)*AE148*Ramure*Pc/MaxiM</f>
        <v>2.0936889324228974E-4</v>
      </c>
      <c r="AE148" s="304">
        <f t="shared" si="62"/>
        <v>0.7</v>
      </c>
      <c r="AF148" s="177">
        <f t="shared" si="63"/>
        <v>0.29773011359060619</v>
      </c>
      <c r="AG148" s="176">
        <f t="shared" si="64"/>
        <v>-1</v>
      </c>
      <c r="AH148" s="176">
        <f t="shared" si="65"/>
        <v>5</v>
      </c>
      <c r="AI148" s="224">
        <f t="shared" si="66"/>
        <v>-0.70226988640939381</v>
      </c>
      <c r="AJ148" s="264" t="b">
        <f t="shared" si="67"/>
        <v>0</v>
      </c>
      <c r="AK148" s="264" t="b">
        <f t="shared" si="68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69"/>
        <v>43965</v>
      </c>
      <c r="B149" s="607">
        <v>17.53</v>
      </c>
      <c r="C149" s="388"/>
      <c r="D149" s="391">
        <f t="shared" si="48"/>
        <v>17.695396608417724</v>
      </c>
      <c r="E149" s="383">
        <f t="shared" si="70"/>
        <v>18.23219640422073</v>
      </c>
      <c r="F149" s="383">
        <f t="shared" si="49"/>
        <v>18.23219640422073</v>
      </c>
      <c r="G149" s="110">
        <f t="shared" si="71"/>
        <v>0.29561164174856525</v>
      </c>
      <c r="H149" s="412" t="b">
        <f>Wh_hp&gt;='2019'!Maxi_hp</f>
        <v>0</v>
      </c>
      <c r="I149" s="388">
        <f>IF(H149,Wh_hp,'2019'!Maxi_hp)</f>
        <v>59.483162733669118</v>
      </c>
      <c r="J149" s="85">
        <f>IF(H149,An,'2019'!An_max)</f>
        <v>2018</v>
      </c>
      <c r="K149" s="197">
        <f t="shared" si="50"/>
        <v>43965</v>
      </c>
      <c r="L149" s="147">
        <f>IF(t&lt;Tvie,1-EXP((T0-t)*PertePVj)+'2019'!Pspv,1-EXP((T0-t)*PertePVj)+Pspv)</f>
        <v>9.3468720751386236E-3</v>
      </c>
      <c r="M149" s="832"/>
      <c r="N149" s="832"/>
      <c r="O149" s="48">
        <f>IF(t&lt;Tnet,'2019'!Resal+('2019'!Salim-'2019'!Resal)*(1-EXP(('2019'!Tnet-t)/('2019'!Tau_j))),Resal+(Salim-Resal)*(1-EXP((Tnet-t)/(Tau_j))))*Salcycl</f>
        <v>2.9442409674719113E-2</v>
      </c>
      <c r="P149" s="169">
        <f>(INDEX(Models!$BJ149:$BT149,,T149)*(1-R149)+INDEX(Models!$BJ149:$BT149,,T149+1)*R149-ERP_i)*Q149*Ramure*Pc/MaxiM</f>
        <v>1.5744757196057727E-4</v>
      </c>
      <c r="Q149" s="304">
        <f t="shared" si="51"/>
        <v>0.7</v>
      </c>
      <c r="R149" s="177">
        <f t="shared" si="52"/>
        <v>0.23650012470280579</v>
      </c>
      <c r="S149" s="799">
        <f t="shared" si="53"/>
        <v>-1</v>
      </c>
      <c r="T149" s="176">
        <f t="shared" si="54"/>
        <v>5</v>
      </c>
      <c r="U149" s="250">
        <f t="shared" si="55"/>
        <v>-0.76349987529719421</v>
      </c>
      <c r="V149" s="382">
        <f t="shared" si="56"/>
        <v>59.291440081278871</v>
      </c>
      <c r="W149" s="58"/>
      <c r="X149" s="157">
        <f t="shared" si="57"/>
        <v>43965</v>
      </c>
      <c r="Y149" s="383">
        <f t="shared" si="58"/>
        <v>17.53</v>
      </c>
      <c r="Z149" s="383">
        <f t="shared" si="59"/>
        <v>17.695396608417724</v>
      </c>
      <c r="AA149" s="384">
        <f t="shared" si="60"/>
        <v>18.23219640422073</v>
      </c>
      <c r="AB149" s="197">
        <f t="shared" si="61"/>
        <v>43965</v>
      </c>
      <c r="AC149" s="424">
        <f>IF(OR(t&lt;Tnet,NoTnet),'2019'!Resal_s+('2019'!Salim-'2019'!Resal_s)*(1-EXP(('2019'!Tnet_s-t)/'2019'!Tau_j)),Resal_s+(Salim-Resal_s)*(1-EXP((Tnet_s-t)/Tau_j)))*Salcycl</f>
        <v>2.9442409674719113E-2</v>
      </c>
      <c r="AD149" s="230">
        <f>(INDEX(Models!$BJ149:$BT149,,AH149)*(1-AF149)+INDEX(Models!$BJ149:$BT149,,AH149+1)*AF149-ERP_i)*AE149*Ramure*Pc/MaxiM</f>
        <v>1.9015605476795059E-4</v>
      </c>
      <c r="AE149" s="304">
        <f t="shared" si="62"/>
        <v>0.7</v>
      </c>
      <c r="AF149" s="177">
        <f t="shared" si="63"/>
        <v>0.30083234696263794</v>
      </c>
      <c r="AG149" s="176">
        <f t="shared" si="64"/>
        <v>-1</v>
      </c>
      <c r="AH149" s="176">
        <f t="shared" si="65"/>
        <v>5</v>
      </c>
      <c r="AI149" s="224">
        <f t="shared" si="66"/>
        <v>-0.69916765303736206</v>
      </c>
      <c r="AJ149" s="264" t="b">
        <f t="shared" si="67"/>
        <v>0</v>
      </c>
      <c r="AK149" s="264" t="b">
        <f t="shared" si="68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69"/>
        <v>43966</v>
      </c>
      <c r="B150" s="607">
        <v>19.306000000000001</v>
      </c>
      <c r="C150" s="388"/>
      <c r="D150" s="391">
        <f t="shared" si="48"/>
        <v>19.488526768817657</v>
      </c>
      <c r="E150" s="383">
        <f t="shared" si="70"/>
        <v>20.08111672901288</v>
      </c>
      <c r="F150" s="383">
        <f t="shared" si="49"/>
        <v>20.081220412332581</v>
      </c>
      <c r="G150" s="110">
        <f t="shared" si="71"/>
        <v>0.32535309146990193</v>
      </c>
      <c r="H150" s="412" t="b">
        <f>Wh_hp&gt;='2019'!Maxi_hp</f>
        <v>0</v>
      </c>
      <c r="I150" s="388">
        <f>IF(H150,Wh_hp,'2019'!Maxi_hp)</f>
        <v>55.435904399739371</v>
      </c>
      <c r="J150" s="85">
        <f>IF(H150,An,'2019'!An_max)</f>
        <v>2018</v>
      </c>
      <c r="K150" s="197">
        <f t="shared" si="50"/>
        <v>43966</v>
      </c>
      <c r="L150" s="147">
        <f>IF(t&lt;Tvie,1-EXP((T0-t)*PertePVj)+'2019'!Pspv,1-EXP((T0-t)*PertePVj)+Pspv)</f>
        <v>9.3658577163310275E-3</v>
      </c>
      <c r="M150" s="832"/>
      <c r="N150" s="832"/>
      <c r="O150" s="48">
        <f>IF(t&lt;Tnet,'2019'!Resal+('2019'!Salim-'2019'!Resal)*(1-EXP(('2019'!Tnet-t)/('2019'!Tau_j))),Resal+(Salim-Resal)*(1-EXP((Tnet-t)/(Tau_j))))*Salcycl</f>
        <v>2.9509811042483493E-2</v>
      </c>
      <c r="P150" s="169">
        <f>(INDEX(Models!$BJ150:$BT150,,T150)*(1-R150)+INDEX(Models!$BJ150:$BT150,,T150+1)*R150-ERP_i)*Q150*Ramure*Pc/MaxiM</f>
        <v>1.4230564954736423E-4</v>
      </c>
      <c r="Q150" s="304">
        <f t="shared" si="51"/>
        <v>0.7</v>
      </c>
      <c r="R150" s="177">
        <f t="shared" si="52"/>
        <v>0.23966527467170662</v>
      </c>
      <c r="S150" s="799">
        <f t="shared" si="53"/>
        <v>-1</v>
      </c>
      <c r="T150" s="176">
        <f t="shared" si="54"/>
        <v>5</v>
      </c>
      <c r="U150" s="250">
        <f t="shared" si="55"/>
        <v>-0.76033472532829338</v>
      </c>
      <c r="V150" s="382">
        <f t="shared" si="56"/>
        <v>59.330471479316387</v>
      </c>
      <c r="W150" s="58"/>
      <c r="X150" s="157">
        <f t="shared" si="57"/>
        <v>43966</v>
      </c>
      <c r="Y150" s="383">
        <f t="shared" si="58"/>
        <v>19.305979313421552</v>
      </c>
      <c r="Z150" s="383">
        <f t="shared" si="59"/>
        <v>19.48850588665989</v>
      </c>
      <c r="AA150" s="384">
        <f t="shared" si="60"/>
        <v>20.081095211888851</v>
      </c>
      <c r="AB150" s="197">
        <f t="shared" si="61"/>
        <v>43966</v>
      </c>
      <c r="AC150" s="424">
        <f>IF(OR(t&lt;Tnet,NoTnet),'2019'!Resal_s+('2019'!Salim-'2019'!Resal_s)*(1-EXP(('2019'!Tnet_s-t)/'2019'!Tau_j)),Resal_s+(Salim-Resal_s)*(1-EXP((Tnet_s-t)/Tau_j)))*Salcycl</f>
        <v>2.9509811042483493E-2</v>
      </c>
      <c r="AD150" s="230">
        <f>(INDEX(Models!$BJ150:$BT150,,AH150)*(1-AF150)+INDEX(Models!$BJ150:$BT150,,AH150+1)*AF150-ERP_i)*AE150*Ramure*Pc/MaxiM</f>
        <v>1.718379631371553E-4</v>
      </c>
      <c r="AE150" s="304">
        <f t="shared" si="62"/>
        <v>0.7</v>
      </c>
      <c r="AF150" s="177">
        <f t="shared" si="63"/>
        <v>0.30399749693153877</v>
      </c>
      <c r="AG150" s="176">
        <f t="shared" si="64"/>
        <v>-1</v>
      </c>
      <c r="AH150" s="176">
        <f t="shared" si="65"/>
        <v>5</v>
      </c>
      <c r="AI150" s="224">
        <f t="shared" si="66"/>
        <v>-0.69600250306846123</v>
      </c>
      <c r="AJ150" s="264" t="b">
        <f t="shared" si="67"/>
        <v>0</v>
      </c>
      <c r="AK150" s="264" t="b">
        <f t="shared" si="68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69"/>
        <v>43967</v>
      </c>
      <c r="B151" s="607">
        <v>27.986000000000001</v>
      </c>
      <c r="C151" s="388"/>
      <c r="D151" s="391">
        <f t="shared" si="48"/>
        <v>28.251132442364913</v>
      </c>
      <c r="E151" s="383">
        <f t="shared" si="70"/>
        <v>29.112196415521691</v>
      </c>
      <c r="F151" s="383">
        <f t="shared" si="49"/>
        <v>29.11311052031737</v>
      </c>
      <c r="G151" s="110">
        <f t="shared" si="71"/>
        <v>0.47136503420429698</v>
      </c>
      <c r="H151" s="412" t="b">
        <f>Wh_hp&gt;='2019'!Maxi_hp</f>
        <v>1</v>
      </c>
      <c r="I151" s="388">
        <f>IF(H151,Wh_hp,'2019'!Maxi_hp)</f>
        <v>29.11311052031737</v>
      </c>
      <c r="J151" s="85">
        <f>IF(H151,An,'2019'!An_max)</f>
        <v>2020</v>
      </c>
      <c r="K151" s="197">
        <f t="shared" si="50"/>
        <v>43967</v>
      </c>
      <c r="L151" s="147">
        <f>IF(t&lt;Tvie,1-EXP((T0-t)*PertePVj)+'2019'!Pspv,1-EXP((T0-t)*PertePVj)+Pspv)</f>
        <v>9.3848429936679301E-3</v>
      </c>
      <c r="M151" s="832"/>
      <c r="N151" s="832"/>
      <c r="O151" s="48">
        <f>IF(t&lt;Tnet,'2019'!Resal+('2019'!Salim-'2019'!Resal)*(1-EXP(('2019'!Tnet-t)/('2019'!Tau_j))),Resal+(Salim-Resal)*(1-EXP((Tnet-t)/(Tau_j))))*Salcycl</f>
        <v>2.9577430739567541E-2</v>
      </c>
      <c r="P151" s="169">
        <f>(INDEX(Models!$BJ151:$BT151,,T151)*(1-R151)+INDEX(Models!$BJ151:$BT151,,T151+1)*R151-ERP_i)*Q151*Ramure*Pc/MaxiM</f>
        <v>1.282234743868006E-4</v>
      </c>
      <c r="Q151" s="304">
        <f t="shared" si="51"/>
        <v>0.7</v>
      </c>
      <c r="R151" s="177">
        <f t="shared" si="52"/>
        <v>0.24289252135968564</v>
      </c>
      <c r="S151" s="799">
        <f t="shared" si="53"/>
        <v>-1</v>
      </c>
      <c r="T151" s="176">
        <f t="shared" si="54"/>
        <v>5</v>
      </c>
      <c r="U151" s="250">
        <f t="shared" si="55"/>
        <v>-0.75710747864031436</v>
      </c>
      <c r="V151" s="382">
        <f t="shared" si="56"/>
        <v>59.366495470627427</v>
      </c>
      <c r="W151" s="58"/>
      <c r="X151" s="157">
        <f t="shared" si="57"/>
        <v>43967</v>
      </c>
      <c r="Y151" s="383">
        <f t="shared" si="58"/>
        <v>27.985817835508733</v>
      </c>
      <c r="Z151" s="383">
        <f t="shared" si="59"/>
        <v>28.250948552092311</v>
      </c>
      <c r="AA151" s="384">
        <f t="shared" si="60"/>
        <v>29.112006920472393</v>
      </c>
      <c r="AB151" s="197">
        <f t="shared" si="61"/>
        <v>43967</v>
      </c>
      <c r="AC151" s="424">
        <f>IF(OR(t&lt;Tnet,NoTnet),'2019'!Resal_s+('2019'!Salim-'2019'!Resal_s)*(1-EXP(('2019'!Tnet_s-t)/'2019'!Tau_j)),Resal_s+(Salim-Resal_s)*(1-EXP((Tnet_s-t)/Tau_j)))*Salcycl</f>
        <v>2.9577430739567541E-2</v>
      </c>
      <c r="AD151" s="230">
        <f>(INDEX(Models!$BJ151:$BT151,,AH151)*(1-AF151)+INDEX(Models!$BJ151:$BT151,,AH151+1)*AF151-ERP_i)*AE151*Ramure*Pc/MaxiM</f>
        <v>1.5480435845476194E-4</v>
      </c>
      <c r="AE151" s="304">
        <f t="shared" si="62"/>
        <v>0.7</v>
      </c>
      <c r="AF151" s="177">
        <f t="shared" si="63"/>
        <v>0.30722474361951779</v>
      </c>
      <c r="AG151" s="176">
        <f t="shared" si="64"/>
        <v>-1</v>
      </c>
      <c r="AH151" s="176">
        <f t="shared" si="65"/>
        <v>5</v>
      </c>
      <c r="AI151" s="224">
        <f t="shared" si="66"/>
        <v>-0.69277525638048221</v>
      </c>
      <c r="AJ151" s="264" t="b">
        <f t="shared" si="67"/>
        <v>0</v>
      </c>
      <c r="AK151" s="264" t="b">
        <f t="shared" si="68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69"/>
        <v>43968</v>
      </c>
      <c r="B152" s="607">
        <v>58.484999999999999</v>
      </c>
      <c r="C152" s="388"/>
      <c r="D152" s="391">
        <f t="shared" si="48"/>
        <v>59.040203917241151</v>
      </c>
      <c r="E152" s="383">
        <f t="shared" si="70"/>
        <v>60.843937625778615</v>
      </c>
      <c r="F152" s="383">
        <f t="shared" si="49"/>
        <v>60.850795316552379</v>
      </c>
      <c r="G152" s="110">
        <f t="shared" si="71"/>
        <v>0.98460155356250068</v>
      </c>
      <c r="H152" s="412" t="b">
        <f>Wh_hp&gt;='2019'!Maxi_hp</f>
        <v>1</v>
      </c>
      <c r="I152" s="388">
        <f>IF(H152,Wh_hp,'2019'!Maxi_hp)</f>
        <v>60.850795316552379</v>
      </c>
      <c r="J152" s="85">
        <f>IF(H152,An,'2019'!An_max)</f>
        <v>2020</v>
      </c>
      <c r="K152" s="197">
        <f t="shared" si="50"/>
        <v>43968</v>
      </c>
      <c r="L152" s="147">
        <f>IF(t&lt;Tvie,1-EXP((T0-t)*PertePVj)+'2019'!Pspv,1-EXP((T0-t)*PertePVj)+Pspv)</f>
        <v>9.4038279071563258E-3</v>
      </c>
      <c r="M152" s="832"/>
      <c r="N152" s="832"/>
      <c r="O152" s="48">
        <f>IF(t&lt;Tnet,'2019'!Resal+('2019'!Salim-'2019'!Resal)*(1-EXP(('2019'!Tnet-t)/('2019'!Tau_j))),Resal+(Salim-Resal)*(1-EXP((Tnet-t)/(Tau_j))))*Salcycl</f>
        <v>2.9645249451660267E-2</v>
      </c>
      <c r="P152" s="169">
        <f>(INDEX(Models!$BJ152:$BT152,,T152)*(1-R152)+INDEX(Models!$BJ152:$BT152,,T152+1)*R152-ERP_i)*Q152*Ramure*Pc/MaxiM</f>
        <v>1.1523123479573462E-4</v>
      </c>
      <c r="Q152" s="304">
        <f t="shared" si="51"/>
        <v>0.7</v>
      </c>
      <c r="R152" s="177">
        <f t="shared" si="52"/>
        <v>0.2461809055388513</v>
      </c>
      <c r="S152" s="799">
        <f t="shared" si="53"/>
        <v>-1</v>
      </c>
      <c r="T152" s="176">
        <f t="shared" si="54"/>
        <v>5</v>
      </c>
      <c r="U152" s="250">
        <f t="shared" si="55"/>
        <v>-0.7538190944611487</v>
      </c>
      <c r="V152" s="382">
        <f t="shared" si="56"/>
        <v>59.399511961050912</v>
      </c>
      <c r="W152" s="58"/>
      <c r="X152" s="157">
        <f t="shared" si="57"/>
        <v>43968</v>
      </c>
      <c r="Y152" s="383">
        <f t="shared" si="58"/>
        <v>58.483635372777421</v>
      </c>
      <c r="Z152" s="383">
        <f t="shared" si="59"/>
        <v>59.038826335476735</v>
      </c>
      <c r="AA152" s="384">
        <f t="shared" si="60"/>
        <v>60.842517957596812</v>
      </c>
      <c r="AB152" s="197">
        <f t="shared" si="61"/>
        <v>43968</v>
      </c>
      <c r="AC152" s="424">
        <f>IF(OR(t&lt;Tnet,NoTnet),'2019'!Resal_s+('2019'!Salim-'2019'!Resal_s)*(1-EXP(('2019'!Tnet_s-t)/'2019'!Tau_j)),Resal_s+(Salim-Resal_s)*(1-EXP((Tnet_s-t)/Tau_j)))*Salcycl</f>
        <v>2.9645249451660267E-2</v>
      </c>
      <c r="AD152" s="230">
        <f>(INDEX(Models!$BJ152:$BT152,,AH152)*(1-AF152)+INDEX(Models!$BJ152:$BT152,,AH152+1)*AF152-ERP_i)*AE152*Ramure*Pc/MaxiM</f>
        <v>1.3908622082336612E-4</v>
      </c>
      <c r="AE152" s="304">
        <f t="shared" si="62"/>
        <v>0.7</v>
      </c>
      <c r="AF152" s="177">
        <f t="shared" si="63"/>
        <v>0.31051312779868345</v>
      </c>
      <c r="AG152" s="176">
        <f t="shared" si="64"/>
        <v>-1</v>
      </c>
      <c r="AH152" s="176">
        <f t="shared" si="65"/>
        <v>5</v>
      </c>
      <c r="AI152" s="224">
        <f t="shared" si="66"/>
        <v>-0.68948687220131655</v>
      </c>
      <c r="AJ152" s="264" t="b">
        <f t="shared" si="67"/>
        <v>0</v>
      </c>
      <c r="AK152" s="264" t="b">
        <f t="shared" si="68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69"/>
        <v>43969</v>
      </c>
      <c r="B153" s="607">
        <v>58.661999999999999</v>
      </c>
      <c r="C153" s="388"/>
      <c r="D153" s="391">
        <f t="shared" si="48"/>
        <v>59.220019133987854</v>
      </c>
      <c r="E153" s="383">
        <f t="shared" si="70"/>
        <v>61.033523282930695</v>
      </c>
      <c r="F153" s="383">
        <f t="shared" si="49"/>
        <v>61.039716032201341</v>
      </c>
      <c r="G153" s="110">
        <f t="shared" si="71"/>
        <v>0.98708331031990892</v>
      </c>
      <c r="H153" s="412" t="b">
        <f>Wh_hp&gt;='2019'!Maxi_hp</f>
        <v>1</v>
      </c>
      <c r="I153" s="388">
        <f>IF(H153,Wh_hp,'2019'!Maxi_hp)</f>
        <v>61.039716032201341</v>
      </c>
      <c r="J153" s="85">
        <f>IF(H153,An,'2019'!An_max)</f>
        <v>2020</v>
      </c>
      <c r="K153" s="197">
        <f t="shared" si="50"/>
        <v>43969</v>
      </c>
      <c r="L153" s="147">
        <f>IF(t&lt;Tvie,1-EXP((T0-t)*PertePVj)+'2019'!Pspv,1-EXP((T0-t)*PertePVj)+Pspv)</f>
        <v>9.422812456803098E-3</v>
      </c>
      <c r="M153" s="832"/>
      <c r="N153" s="832"/>
      <c r="O153" s="48">
        <f>IF(t&lt;Tnet,'2019'!Resal+('2019'!Salim-'2019'!Resal)*(1-EXP(('2019'!Tnet-t)/('2019'!Tau_j))),Resal+(Salim-Resal)*(1-EXP((Tnet-t)/(Tau_j))))*Salcycl</f>
        <v>2.9713246940309249E-2</v>
      </c>
      <c r="P153" s="169">
        <f>(INDEX(Models!$BJ153:$BT153,,T153)*(1-R153)+INDEX(Models!$BJ153:$BT153,,T153+1)*R153-ERP_i)*Q153*Ramure*Pc/MaxiM</f>
        <v>1.0336141426052419E-4</v>
      </c>
      <c r="Q153" s="304">
        <f t="shared" si="51"/>
        <v>0.7</v>
      </c>
      <c r="R153" s="177">
        <f t="shared" si="52"/>
        <v>0.24952932615268852</v>
      </c>
      <c r="S153" s="799">
        <f t="shared" si="53"/>
        <v>-1</v>
      </c>
      <c r="T153" s="176">
        <f t="shared" si="54"/>
        <v>5</v>
      </c>
      <c r="U153" s="250">
        <f t="shared" si="55"/>
        <v>-0.75047067384731148</v>
      </c>
      <c r="V153" s="382">
        <f t="shared" si="56"/>
        <v>59.42952079881951</v>
      </c>
      <c r="W153" s="58"/>
      <c r="X153" s="157">
        <f t="shared" si="57"/>
        <v>43969</v>
      </c>
      <c r="Y153" s="383">
        <f t="shared" si="58"/>
        <v>58.660770229875446</v>
      </c>
      <c r="Z153" s="383">
        <f t="shared" si="59"/>
        <v>59.218777665740845</v>
      </c>
      <c r="AA153" s="384">
        <f t="shared" si="60"/>
        <v>61.032243797002337</v>
      </c>
      <c r="AB153" s="197">
        <f t="shared" si="61"/>
        <v>43969</v>
      </c>
      <c r="AC153" s="424">
        <f>IF(OR(t&lt;Tnet,NoTnet),'2019'!Resal_s+('2019'!Salim-'2019'!Resal_s)*(1-EXP(('2019'!Tnet_s-t)/'2019'!Tau_j)),Resal_s+(Salim-Resal_s)*(1-EXP((Tnet_s-t)/Tau_j)))*Salcycl</f>
        <v>2.9713246940309249E-2</v>
      </c>
      <c r="AD153" s="230">
        <f>(INDEX(Models!$BJ153:$BT153,,AH153)*(1-AF153)+INDEX(Models!$BJ153:$BT153,,AH153+1)*AF153-ERP_i)*AE153*Ramure*Pc/MaxiM</f>
        <v>1.2471694946823765E-4</v>
      </c>
      <c r="AE153" s="304">
        <f t="shared" si="62"/>
        <v>0.7</v>
      </c>
      <c r="AF153" s="177">
        <f t="shared" si="63"/>
        <v>0.31386154841252067</v>
      </c>
      <c r="AG153" s="176">
        <f t="shared" si="64"/>
        <v>-1</v>
      </c>
      <c r="AH153" s="176">
        <f t="shared" si="65"/>
        <v>5</v>
      </c>
      <c r="AI153" s="224">
        <f t="shared" si="66"/>
        <v>-0.68613845158747933</v>
      </c>
      <c r="AJ153" s="264" t="b">
        <f t="shared" si="67"/>
        <v>0</v>
      </c>
      <c r="AK153" s="264" t="b">
        <f t="shared" si="68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69"/>
        <v>43970</v>
      </c>
      <c r="B154" s="607">
        <v>58.131</v>
      </c>
      <c r="C154" s="388"/>
      <c r="D154" s="391">
        <f t="shared" si="48"/>
        <v>58.685092711333446</v>
      </c>
      <c r="E154" s="383">
        <f t="shared" si="70"/>
        <v>60.486464429078318</v>
      </c>
      <c r="F154" s="383">
        <f t="shared" si="49"/>
        <v>60.491890433923544</v>
      </c>
      <c r="G154" s="110">
        <f t="shared" si="71"/>
        <v>0.97770314717242801</v>
      </c>
      <c r="H154" s="412" t="b">
        <f>Wh_hp&gt;='2019'!Maxi_hp</f>
        <v>1</v>
      </c>
      <c r="I154" s="388">
        <f>IF(H154,Wh_hp,'2019'!Maxi_hp)</f>
        <v>60.491890433923544</v>
      </c>
      <c r="J154" s="85">
        <f>IF(H154,An,'2019'!An_max)</f>
        <v>2020</v>
      </c>
      <c r="K154" s="197">
        <f t="shared" si="50"/>
        <v>43970</v>
      </c>
      <c r="L154" s="147">
        <f>IF(t&lt;Tvie,1-EXP((T0-t)*PertePVj)+'2019'!Pspv,1-EXP((T0-t)*PertePVj)+Pspv)</f>
        <v>9.4417966426154631E-3</v>
      </c>
      <c r="M154" s="832"/>
      <c r="N154" s="832"/>
      <c r="O154" s="48">
        <f>IF(t&lt;Tnet,'2019'!Resal+('2019'!Salim-'2019'!Resal)*(1-EXP(('2019'!Tnet-t)/('2019'!Tau_j))),Resal+(Salim-Resal)*(1-EXP((Tnet-t)/(Tau_j))))*Salcycl</f>
        <v>2.9781402083056505E-2</v>
      </c>
      <c r="P154" s="169">
        <f>(INDEX(Models!$BJ154:$BT154,,T154)*(1-R154)+INDEX(Models!$BJ154:$BT154,,T154+1)*R154-ERP_i)*Q154*Ramure*Pc/MaxiM</f>
        <v>9.2648780873678529E-5</v>
      </c>
      <c r="Q154" s="304">
        <f t="shared" si="51"/>
        <v>0.7</v>
      </c>
      <c r="R154" s="177">
        <f t="shared" si="52"/>
        <v>0.25293653839881713</v>
      </c>
      <c r="S154" s="799">
        <f t="shared" si="53"/>
        <v>-1</v>
      </c>
      <c r="T154" s="176">
        <f t="shared" si="54"/>
        <v>5</v>
      </c>
      <c r="U154" s="250">
        <f t="shared" si="55"/>
        <v>-0.74706346160118287</v>
      </c>
      <c r="V154" s="382">
        <f t="shared" si="56"/>
        <v>59.456521771477796</v>
      </c>
      <c r="W154" s="58"/>
      <c r="X154" s="157">
        <f t="shared" si="57"/>
        <v>43970</v>
      </c>
      <c r="Y154" s="383">
        <f t="shared" si="58"/>
        <v>58.129925888011819</v>
      </c>
      <c r="Z154" s="383">
        <f t="shared" si="59"/>
        <v>58.684008361131163</v>
      </c>
      <c r="AA154" s="384">
        <f t="shared" si="60"/>
        <v>60.485346794140575</v>
      </c>
      <c r="AB154" s="197">
        <f t="shared" si="61"/>
        <v>43970</v>
      </c>
      <c r="AC154" s="424">
        <f>IF(OR(t&lt;Tnet,NoTnet),'2019'!Resal_s+('2019'!Salim-'2019'!Resal_s)*(1-EXP(('2019'!Tnet_s-t)/'2019'!Tau_j)),Resal_s+(Salim-Resal_s)*(1-EXP((Tnet_s-t)/Tau_j)))*Salcycl</f>
        <v>2.9781402083056505E-2</v>
      </c>
      <c r="AD154" s="230">
        <f>(INDEX(Models!$BJ154:$BT154,,AH154)*(1-AF154)+INDEX(Models!$BJ154:$BT154,,AH154+1)*AF154-ERP_i)*AE154*Ramure*Pc/MaxiM</f>
        <v>1.117323455585072E-4</v>
      </c>
      <c r="AE154" s="304">
        <f t="shared" si="62"/>
        <v>0.7</v>
      </c>
      <c r="AF154" s="177">
        <f t="shared" si="63"/>
        <v>0.31726876065864928</v>
      </c>
      <c r="AG154" s="176">
        <f t="shared" si="64"/>
        <v>-1</v>
      </c>
      <c r="AH154" s="176">
        <f t="shared" si="65"/>
        <v>5</v>
      </c>
      <c r="AI154" s="224">
        <f t="shared" si="66"/>
        <v>-0.68273123934135072</v>
      </c>
      <c r="AJ154" s="264" t="b">
        <f t="shared" si="67"/>
        <v>0</v>
      </c>
      <c r="AK154" s="264" t="b">
        <f t="shared" si="68"/>
        <v>0</v>
      </c>
      <c r="AL154" s="264"/>
      <c r="AM154" s="264"/>
      <c r="AN154" s="75"/>
    </row>
    <row r="155" spans="1:40" s="6" customFormat="1" ht="11.25" x14ac:dyDescent="0.2">
      <c r="A155" s="56">
        <f t="shared" si="69"/>
        <v>43971</v>
      </c>
      <c r="B155" s="607">
        <v>57.453000000000003</v>
      </c>
      <c r="C155" s="388"/>
      <c r="D155" s="391">
        <f t="shared" si="48"/>
        <v>58.001741745215924</v>
      </c>
      <c r="E155" s="383">
        <f t="shared" si="70"/>
        <v>59.786345808369624</v>
      </c>
      <c r="F155" s="383">
        <f t="shared" si="49"/>
        <v>59.791074222210042</v>
      </c>
      <c r="G155" s="110">
        <f t="shared" si="71"/>
        <v>0.96590905081142964</v>
      </c>
      <c r="H155" s="412" t="b">
        <f>Wh_hp&gt;='2019'!Maxi_hp</f>
        <v>1</v>
      </c>
      <c r="I155" s="388">
        <f>IF(H155,Wh_hp,'2019'!Maxi_hp)</f>
        <v>59.791074222210042</v>
      </c>
      <c r="J155" s="85">
        <f>IF(H155,An,'2019'!An_max)</f>
        <v>2020</v>
      </c>
      <c r="K155" s="197">
        <f t="shared" si="50"/>
        <v>43971</v>
      </c>
      <c r="L155" s="147">
        <f>IF(t&lt;Tvie,1-EXP((T0-t)*PertePVj)+'2019'!Pspv,1-EXP((T0-t)*PertePVj)+Pspv)</f>
        <v>9.4607804646000826E-3</v>
      </c>
      <c r="M155" s="832"/>
      <c r="N155" s="832"/>
      <c r="O155" s="48">
        <f>IF(t&lt;Tnet,'2019'!Resal+('2019'!Salim-'2019'!Resal)*(1-EXP(('2019'!Tnet-t)/('2019'!Tau_j))),Resal+(Salim-Resal)*(1-EXP((Tnet-t)/(Tau_j))))*Salcycl</f>
        <v>2.9849692919413511E-2</v>
      </c>
      <c r="P155" s="169">
        <f>(INDEX(Models!$BJ155:$BT155,,T155)*(1-R155)+INDEX(Models!$BJ155:$BT155,,T155+1)*R155-ERP_i)*Q155*Ramure*Pc/MaxiM</f>
        <v>8.3130366602503182E-5</v>
      </c>
      <c r="Q155" s="304">
        <f t="shared" si="51"/>
        <v>0.7</v>
      </c>
      <c r="R155" s="177">
        <f t="shared" si="52"/>
        <v>0.25640115241557138</v>
      </c>
      <c r="S155" s="799">
        <f t="shared" si="53"/>
        <v>-1</v>
      </c>
      <c r="T155" s="176">
        <f t="shared" si="54"/>
        <v>5</v>
      </c>
      <c r="U155" s="250">
        <f t="shared" si="55"/>
        <v>-0.74359884758442862</v>
      </c>
      <c r="V155" s="382">
        <f t="shared" si="56"/>
        <v>59.480514607471761</v>
      </c>
      <c r="W155" s="58"/>
      <c r="X155" s="157">
        <f t="shared" si="57"/>
        <v>43971</v>
      </c>
      <c r="Y155" s="383">
        <f t="shared" si="58"/>
        <v>57.452068588430784</v>
      </c>
      <c r="Z155" s="383">
        <f t="shared" si="59"/>
        <v>58.000801437602803</v>
      </c>
      <c r="AA155" s="384">
        <f t="shared" si="60"/>
        <v>59.785376569266923</v>
      </c>
      <c r="AB155" s="197">
        <f t="shared" si="61"/>
        <v>43971</v>
      </c>
      <c r="AC155" s="424">
        <f>IF(OR(t&lt;Tnet,NoTnet),'2019'!Resal_s+('2019'!Salim-'2019'!Resal_s)*(1-EXP(('2019'!Tnet_s-t)/'2019'!Tau_j)),Resal_s+(Salim-Resal_s)*(1-EXP((Tnet_s-t)/Tau_j)))*Salcycl</f>
        <v>2.9849692919413511E-2</v>
      </c>
      <c r="AD155" s="230">
        <f>(INDEX(Models!$BJ155:$BT155,,AH155)*(1-AF155)+INDEX(Models!$BJ155:$BT155,,AH155+1)*AF155-ERP_i)*AE155*Ramure*Pc/MaxiM</f>
        <v>1.0017058445411547E-4</v>
      </c>
      <c r="AE155" s="304">
        <f t="shared" si="62"/>
        <v>0.7</v>
      </c>
      <c r="AF155" s="177">
        <f t="shared" si="63"/>
        <v>0.32073337467540353</v>
      </c>
      <c r="AG155" s="176">
        <f t="shared" si="64"/>
        <v>-1</v>
      </c>
      <c r="AH155" s="176">
        <f t="shared" si="65"/>
        <v>5</v>
      </c>
      <c r="AI155" s="224">
        <f t="shared" si="66"/>
        <v>-0.67926662532459647</v>
      </c>
      <c r="AJ155" s="264" t="b">
        <f t="shared" si="67"/>
        <v>0</v>
      </c>
      <c r="AK155" s="264" t="b">
        <f t="shared" si="68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69"/>
        <v>43972</v>
      </c>
      <c r="B156" s="607">
        <v>52.276000000000003</v>
      </c>
      <c r="C156" s="388"/>
      <c r="D156" s="391">
        <f t="shared" si="48"/>
        <v>52.776306930415686</v>
      </c>
      <c r="E156" s="383">
        <f t="shared" si="70"/>
        <v>54.403970170998846</v>
      </c>
      <c r="F156" s="383">
        <f t="shared" si="49"/>
        <v>54.407346829900497</v>
      </c>
      <c r="G156" s="110">
        <f t="shared" si="71"/>
        <v>0.87855487045064884</v>
      </c>
      <c r="H156" s="412" t="b">
        <f>Wh_hp&gt;='2019'!Maxi_hp</f>
        <v>0</v>
      </c>
      <c r="I156" s="388">
        <f>IF(H156,Wh_hp,'2019'!Maxi_hp)</f>
        <v>60.114527951171105</v>
      </c>
      <c r="J156" s="85">
        <f>IF(H156,An,'2019'!An_max)</f>
        <v>2018</v>
      </c>
      <c r="K156" s="197">
        <f t="shared" si="50"/>
        <v>43972</v>
      </c>
      <c r="L156" s="147">
        <f>IF(t&lt;Tvie,1-EXP((T0-t)*PertePVj)+'2019'!Pspv,1-EXP((T0-t)*PertePVj)+Pspv)</f>
        <v>9.4797639227641728E-3</v>
      </c>
      <c r="M156" s="832"/>
      <c r="N156" s="832"/>
      <c r="O156" s="48">
        <f>IF(t&lt;Tnet,'2019'!Resal+('2019'!Salim-'2019'!Resal)*(1-EXP(('2019'!Tnet-t)/('2019'!Tau_j))),Resal+(Salim-Resal)*(1-EXP((Tnet-t)/(Tau_j))))*Salcycl</f>
        <v>2.9918096702633977E-2</v>
      </c>
      <c r="P156" s="169">
        <f>(INDEX(Models!$BJ156:$BT156,,T156)*(1-R156)+INDEX(Models!$BJ156:$BT156,,T156+1)*R156-ERP_i)*Q156*Ramure*Pc/MaxiM</f>
        <v>7.5088691910219627E-5</v>
      </c>
      <c r="Q156" s="304">
        <f t="shared" si="51"/>
        <v>0.7</v>
      </c>
      <c r="R156" s="177">
        <f t="shared" si="52"/>
        <v>0.25992163261201584</v>
      </c>
      <c r="S156" s="799">
        <f t="shared" si="53"/>
        <v>-1</v>
      </c>
      <c r="T156" s="176">
        <f t="shared" si="54"/>
        <v>5</v>
      </c>
      <c r="U156" s="250">
        <f t="shared" si="55"/>
        <v>-0.74007836738798416</v>
      </c>
      <c r="V156" s="382">
        <f t="shared" si="56"/>
        <v>59.501484496394539</v>
      </c>
      <c r="W156" s="58"/>
      <c r="X156" s="157">
        <f t="shared" si="57"/>
        <v>43972</v>
      </c>
      <c r="Y156" s="383">
        <f t="shared" si="58"/>
        <v>52.275339519101344</v>
      </c>
      <c r="Z156" s="383">
        <f t="shared" si="59"/>
        <v>52.775640128391252</v>
      </c>
      <c r="AA156" s="384">
        <f t="shared" si="60"/>
        <v>54.403282804270155</v>
      </c>
      <c r="AB156" s="197">
        <f t="shared" si="61"/>
        <v>43972</v>
      </c>
      <c r="AC156" s="424">
        <f>IF(OR(t&lt;Tnet,NoTnet),'2019'!Resal_s+('2019'!Salim-'2019'!Resal_s)*(1-EXP(('2019'!Tnet_s-t)/'2019'!Tau_j)),Resal_s+(Salim-Resal_s)*(1-EXP((Tnet_s-t)/Tau_j)))*Salcycl</f>
        <v>2.9918096702633977E-2</v>
      </c>
      <c r="AD156" s="230">
        <f>(INDEX(Models!$BJ156:$BT156,,AH156)*(1-AF156)+INDEX(Models!$BJ156:$BT156,,AH156+1)*AF156-ERP_i)*AE156*Ramure*Pc/MaxiM</f>
        <v>9.0374058310249599E-5</v>
      </c>
      <c r="AE156" s="304">
        <f t="shared" si="62"/>
        <v>0.7</v>
      </c>
      <c r="AF156" s="177">
        <f t="shared" si="63"/>
        <v>0.32425385487184799</v>
      </c>
      <c r="AG156" s="176">
        <f t="shared" si="64"/>
        <v>-1</v>
      </c>
      <c r="AH156" s="176">
        <f t="shared" si="65"/>
        <v>5</v>
      </c>
      <c r="AI156" s="224">
        <f t="shared" si="66"/>
        <v>-0.67574614512815201</v>
      </c>
      <c r="AJ156" s="264" t="b">
        <f t="shared" si="67"/>
        <v>0</v>
      </c>
      <c r="AK156" s="264" t="b">
        <f t="shared" si="68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69"/>
        <v>43973</v>
      </c>
      <c r="B157" s="607">
        <v>56.115000000000002</v>
      </c>
      <c r="C157" s="388"/>
      <c r="D157" s="391">
        <f t="shared" si="48"/>
        <v>56.653133785555745</v>
      </c>
      <c r="E157" s="383">
        <f t="shared" si="70"/>
        <v>58.404485132896838</v>
      </c>
      <c r="F157" s="383">
        <f t="shared" si="49"/>
        <v>58.408123291599168</v>
      </c>
      <c r="G157" s="110">
        <f t="shared" si="71"/>
        <v>0.9427954332966143</v>
      </c>
      <c r="H157" s="412" t="b">
        <f>Wh_hp&gt;='2019'!Maxi_hp</f>
        <v>0</v>
      </c>
      <c r="I157" s="388">
        <f>IF(H157,Wh_hp,'2019'!Maxi_hp)</f>
        <v>59.059449252254765</v>
      </c>
      <c r="J157" s="85">
        <f>IF(H157,An,'2019'!An_max)</f>
        <v>2018</v>
      </c>
      <c r="K157" s="197">
        <f t="shared" si="50"/>
        <v>43973</v>
      </c>
      <c r="L157" s="147">
        <f>IF(t&lt;Tvie,1-EXP((T0-t)*PertePVj)+'2019'!Pspv,1-EXP((T0-t)*PertePVj)+Pspv)</f>
        <v>9.4987470171146171E-3</v>
      </c>
      <c r="M157" s="832"/>
      <c r="N157" s="832"/>
      <c r="O157" s="48">
        <f>IF(t&lt;Tnet,'2019'!Resal+('2019'!Salim-'2019'!Resal)*(1-EXP(('2019'!Tnet-t)/('2019'!Tau_j))),Resal+(Salim-Resal)*(1-EXP((Tnet-t)/(Tau_j))))*Salcycl</f>
        <v>2.9986589957191948E-2</v>
      </c>
      <c r="P157" s="169">
        <f>(INDEX(Models!$BJ157:$BT157,,T157)*(1-R157)+INDEX(Models!$BJ157:$BT157,,T157+1)*R157-ERP_i)*Q157*Ramure*Pc/MaxiM</f>
        <v>6.7831295874933042E-5</v>
      </c>
      <c r="Q157" s="304">
        <f t="shared" si="51"/>
        <v>0.7</v>
      </c>
      <c r="R157" s="177">
        <f t="shared" si="52"/>
        <v>0.26349629767743377</v>
      </c>
      <c r="S157" s="799">
        <f t="shared" si="53"/>
        <v>-1</v>
      </c>
      <c r="T157" s="176">
        <f t="shared" si="54"/>
        <v>5</v>
      </c>
      <c r="U157" s="250">
        <f t="shared" si="55"/>
        <v>-0.73650370232256623</v>
      </c>
      <c r="V157" s="382">
        <f t="shared" si="56"/>
        <v>59.519474712098678</v>
      </c>
      <c r="W157" s="58"/>
      <c r="X157" s="157">
        <f t="shared" si="57"/>
        <v>43973</v>
      </c>
      <c r="Y157" s="383">
        <f t="shared" si="58"/>
        <v>56.11429364097998</v>
      </c>
      <c r="Z157" s="383">
        <f t="shared" si="59"/>
        <v>56.652420652666819</v>
      </c>
      <c r="AA157" s="384">
        <f t="shared" si="60"/>
        <v>58.403749954515234</v>
      </c>
      <c r="AB157" s="197">
        <f t="shared" si="61"/>
        <v>43973</v>
      </c>
      <c r="AC157" s="424">
        <f>IF(OR(t&lt;Tnet,NoTnet),'2019'!Resal_s+('2019'!Salim-'2019'!Resal_s)*(1-EXP(('2019'!Tnet_s-t)/'2019'!Tau_j)),Resal_s+(Salim-Resal_s)*(1-EXP((Tnet_s-t)/Tau_j)))*Salcycl</f>
        <v>2.9986589957191948E-2</v>
      </c>
      <c r="AD157" s="230">
        <f>(INDEX(Models!$BJ157:$BT157,,AH157)*(1-AF157)+INDEX(Models!$BJ157:$BT157,,AH157+1)*AF157-ERP_i)*AE157*Ramure*Pc/MaxiM</f>
        <v>8.1538257666318028E-5</v>
      </c>
      <c r="AE157" s="304">
        <f t="shared" si="62"/>
        <v>0.7</v>
      </c>
      <c r="AF157" s="177">
        <f t="shared" si="63"/>
        <v>0.32782851993726592</v>
      </c>
      <c r="AG157" s="176">
        <f t="shared" si="64"/>
        <v>-1</v>
      </c>
      <c r="AH157" s="176">
        <f t="shared" si="65"/>
        <v>5</v>
      </c>
      <c r="AI157" s="224">
        <f t="shared" si="66"/>
        <v>-0.67217148006273408</v>
      </c>
      <c r="AJ157" s="264" t="b">
        <f t="shared" si="67"/>
        <v>0</v>
      </c>
      <c r="AK157" s="264" t="b">
        <f t="shared" si="68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69"/>
        <v>43974</v>
      </c>
      <c r="B158" s="607">
        <v>16.178999999999998</v>
      </c>
      <c r="C158" s="388"/>
      <c r="D158" s="391">
        <f t="shared" si="48"/>
        <v>16.334467042886221</v>
      </c>
      <c r="E158" s="383">
        <f t="shared" si="70"/>
        <v>16.840614204332944</v>
      </c>
      <c r="F158" s="383">
        <f t="shared" si="49"/>
        <v>16.840614204332944</v>
      </c>
      <c r="G158" s="110">
        <f t="shared" si="71"/>
        <v>0.27174177504089947</v>
      </c>
      <c r="H158" s="412" t="b">
        <f>Wh_hp&gt;='2019'!Maxi_hp</f>
        <v>1</v>
      </c>
      <c r="I158" s="388">
        <f>IF(H158,Wh_hp,'2019'!Maxi_hp)</f>
        <v>16.840614204332944</v>
      </c>
      <c r="J158" s="85">
        <f>IF(H158,An,'2019'!An_max)</f>
        <v>2020</v>
      </c>
      <c r="K158" s="197">
        <f t="shared" si="50"/>
        <v>43974</v>
      </c>
      <c r="L158" s="147">
        <f>IF(t&lt;Tvie,1-EXP((T0-t)*PertePVj)+'2019'!Pspv,1-EXP((T0-t)*PertePVj)+Pspv)</f>
        <v>9.51772974765841E-3</v>
      </c>
      <c r="M158" s="832"/>
      <c r="N158" s="832"/>
      <c r="O158" s="48">
        <f>IF(t&lt;Tnet,'2019'!Resal+('2019'!Salim-'2019'!Resal)*(1-EXP(('2019'!Tnet-t)/('2019'!Tau_j))),Resal+(Salim-Resal)*(1-EXP((Tnet-t)/(Tau_j))))*Salcycl</f>
        <v>3.0055148541820727E-2</v>
      </c>
      <c r="P158" s="169">
        <f>(INDEX(Models!$BJ158:$BT158,,T158)*(1-R158)+INDEX(Models!$BJ158:$BT158,,T158+1)*R158-ERP_i)*Q158*Ramure*Pc/MaxiM</f>
        <v>6.1388934441956934E-5</v>
      </c>
      <c r="Q158" s="304">
        <f t="shared" si="51"/>
        <v>0.7</v>
      </c>
      <c r="R158" s="177">
        <f t="shared" si="52"/>
        <v>0.26712332130209737</v>
      </c>
      <c r="S158" s="799">
        <f t="shared" si="53"/>
        <v>-1</v>
      </c>
      <c r="T158" s="176">
        <f t="shared" si="54"/>
        <v>5</v>
      </c>
      <c r="U158" s="250">
        <f t="shared" si="55"/>
        <v>-0.73287667869790263</v>
      </c>
      <c r="V158" s="382">
        <f t="shared" si="56"/>
        <v>59.534485582846926</v>
      </c>
      <c r="W158" s="58"/>
      <c r="X158" s="157">
        <f t="shared" si="57"/>
        <v>43974</v>
      </c>
      <c r="Y158" s="383">
        <f t="shared" si="58"/>
        <v>16.178999999999998</v>
      </c>
      <c r="Z158" s="383">
        <f t="shared" si="59"/>
        <v>16.334467042886221</v>
      </c>
      <c r="AA158" s="384">
        <f t="shared" si="60"/>
        <v>16.840614204332944</v>
      </c>
      <c r="AB158" s="197">
        <f t="shared" si="61"/>
        <v>43974</v>
      </c>
      <c r="AC158" s="424">
        <f>IF(OR(t&lt;Tnet,NoTnet),'2019'!Resal_s+('2019'!Salim-'2019'!Resal_s)*(1-EXP(('2019'!Tnet_s-t)/'2019'!Tau_j)),Resal_s+(Salim-Resal_s)*(1-EXP((Tnet_s-t)/Tau_j)))*Salcycl</f>
        <v>3.0055148541820727E-2</v>
      </c>
      <c r="AD158" s="230">
        <f>(INDEX(Models!$BJ158:$BT158,,AH158)*(1-AF158)+INDEX(Models!$BJ158:$BT158,,AH158+1)*AF158-ERP_i)*AE158*Ramure*Pc/MaxiM</f>
        <v>7.3694948421555067E-5</v>
      </c>
      <c r="AE158" s="304">
        <f t="shared" si="62"/>
        <v>0.7</v>
      </c>
      <c r="AF158" s="177">
        <f t="shared" si="63"/>
        <v>0.33145554356192952</v>
      </c>
      <c r="AG158" s="176">
        <f t="shared" si="64"/>
        <v>-1</v>
      </c>
      <c r="AH158" s="176">
        <f t="shared" si="65"/>
        <v>5</v>
      </c>
      <c r="AI158" s="224">
        <f t="shared" si="66"/>
        <v>-0.66854445643807048</v>
      </c>
      <c r="AJ158" s="264" t="b">
        <f t="shared" si="67"/>
        <v>0</v>
      </c>
      <c r="AK158" s="264" t="b">
        <f t="shared" si="68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69"/>
        <v>43975</v>
      </c>
      <c r="B159" s="607">
        <v>54.628999999999998</v>
      </c>
      <c r="C159" s="388"/>
      <c r="D159" s="391">
        <f t="shared" si="48"/>
        <v>55.154997331218468</v>
      </c>
      <c r="E159" s="383">
        <f t="shared" si="70"/>
        <v>56.868076933980781</v>
      </c>
      <c r="F159" s="383">
        <f t="shared" si="49"/>
        <v>56.87087566419774</v>
      </c>
      <c r="G159" s="110">
        <f t="shared" si="71"/>
        <v>0.91741117381173898</v>
      </c>
      <c r="H159" s="412" t="b">
        <f>Wh_hp&gt;='2019'!Maxi_hp</f>
        <v>1</v>
      </c>
      <c r="I159" s="388">
        <f>IF(H159,Wh_hp,'2019'!Maxi_hp)</f>
        <v>56.87087566419774</v>
      </c>
      <c r="J159" s="85">
        <f>IF(H159,An,'2019'!An_max)</f>
        <v>2020</v>
      </c>
      <c r="K159" s="197">
        <f t="shared" si="50"/>
        <v>43975</v>
      </c>
      <c r="L159" s="147">
        <f>IF(t&lt;Tvie,1-EXP((T0-t)*PertePVj)+'2019'!Pspv,1-EXP((T0-t)*PertePVj)+Pspv)</f>
        <v>9.5367121144025457E-3</v>
      </c>
      <c r="M159" s="832"/>
      <c r="N159" s="832"/>
      <c r="O159" s="48">
        <f>IF(t&lt;Tnet,'2019'!Resal+('2019'!Salim-'2019'!Resal)*(1-EXP(('2019'!Tnet-t)/('2019'!Tau_j))),Resal+(Salim-Resal)*(1-EXP((Tnet-t)/(Tau_j))))*Salcycl</f>
        <v>3.0123747717916684E-2</v>
      </c>
      <c r="P159" s="169">
        <f>(INDEX(Models!$BJ159:$BT159,,T159)*(1-R159)+INDEX(Models!$BJ159:$BT159,,T159+1)*R159-ERP_i)*Q159*Ramure*Pc/MaxiM</f>
        <v>5.5794376472574315E-5</v>
      </c>
      <c r="Q159" s="304">
        <f t="shared" si="51"/>
        <v>0.7</v>
      </c>
      <c r="R159" s="177">
        <f t="shared" si="52"/>
        <v>0.270800733636271</v>
      </c>
      <c r="S159" s="799">
        <f t="shared" si="53"/>
        <v>-1</v>
      </c>
      <c r="T159" s="176">
        <f t="shared" si="54"/>
        <v>5</v>
      </c>
      <c r="U159" s="250">
        <f t="shared" si="55"/>
        <v>-0.729199266363729</v>
      </c>
      <c r="V159" s="382">
        <f t="shared" si="56"/>
        <v>59.546517367277957</v>
      </c>
      <c r="W159" s="58"/>
      <c r="X159" s="157">
        <f t="shared" si="57"/>
        <v>43975</v>
      </c>
      <c r="Y159" s="383">
        <f t="shared" si="58"/>
        <v>54.628465916255792</v>
      </c>
      <c r="Z159" s="383">
        <f t="shared" si="59"/>
        <v>55.154458105029335</v>
      </c>
      <c r="AA159" s="384">
        <f t="shared" si="60"/>
        <v>56.867520959764626</v>
      </c>
      <c r="AB159" s="197">
        <f t="shared" si="61"/>
        <v>43975</v>
      </c>
      <c r="AC159" s="424">
        <f>IF(OR(t&lt;Tnet,NoTnet),'2019'!Resal_s+('2019'!Salim-'2019'!Resal_s)*(1-EXP(('2019'!Tnet_s-t)/'2019'!Tau_j)),Resal_s+(Salim-Resal_s)*(1-EXP((Tnet_s-t)/Tau_j)))*Salcycl</f>
        <v>3.0123747717916684E-2</v>
      </c>
      <c r="AD159" s="230">
        <f>(INDEX(Models!$BJ159:$BT159,,AH159)*(1-AF159)+INDEX(Models!$BJ159:$BT159,,AH159+1)*AF159-ERP_i)*AE159*Ramure*Pc/MaxiM</f>
        <v>6.6878058114142058E-5</v>
      </c>
      <c r="AE159" s="304">
        <f t="shared" si="62"/>
        <v>0.7</v>
      </c>
      <c r="AF159" s="177">
        <f t="shared" si="63"/>
        <v>0.33513295589610315</v>
      </c>
      <c r="AG159" s="176">
        <f t="shared" si="64"/>
        <v>-1</v>
      </c>
      <c r="AH159" s="176">
        <f t="shared" si="65"/>
        <v>5</v>
      </c>
      <c r="AI159" s="224">
        <f t="shared" si="66"/>
        <v>-0.66486704410389685</v>
      </c>
      <c r="AJ159" s="264" t="b">
        <f t="shared" si="67"/>
        <v>0</v>
      </c>
      <c r="AK159" s="264" t="b">
        <f t="shared" si="68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69"/>
        <v>43976</v>
      </c>
      <c r="B160" s="607">
        <v>58.448999999999998</v>
      </c>
      <c r="C160" s="388"/>
      <c r="D160" s="391">
        <f t="shared" si="48"/>
        <v>59.012909310344796</v>
      </c>
      <c r="E160" s="383">
        <f t="shared" si="70"/>
        <v>60.850118117875638</v>
      </c>
      <c r="F160" s="383">
        <f t="shared" si="49"/>
        <v>60.853144099626277</v>
      </c>
      <c r="G160" s="110">
        <f t="shared" si="71"/>
        <v>0.98141820263877821</v>
      </c>
      <c r="H160" s="412" t="b">
        <f>Wh_hp&gt;='2019'!Maxi_hp</f>
        <v>1</v>
      </c>
      <c r="I160" s="388">
        <f>IF(H160,Wh_hp,'2019'!Maxi_hp)</f>
        <v>60.853144099626277</v>
      </c>
      <c r="J160" s="85">
        <f>IF(H160,An,'2019'!An_max)</f>
        <v>2020</v>
      </c>
      <c r="K160" s="197">
        <f t="shared" si="50"/>
        <v>43976</v>
      </c>
      <c r="L160" s="147">
        <f>IF(t&lt;Tvie,1-EXP((T0-t)*PertePVj)+'2019'!Pspv,1-EXP((T0-t)*PertePVj)+Pspv)</f>
        <v>9.5556941173537968E-3</v>
      </c>
      <c r="M160" s="832"/>
      <c r="N160" s="832"/>
      <c r="O160" s="48">
        <f>IF(t&lt;Tnet,'2019'!Resal+('2019'!Salim-'2019'!Resal)*(1-EXP(('2019'!Tnet-t)/('2019'!Tau_j))),Resal+(Salim-Resal)*(1-EXP((Tnet-t)/(Tau_j))))*Salcycl</f>
        <v>3.0192362223059325E-2</v>
      </c>
      <c r="P160" s="169">
        <f>(INDEX(Models!$BJ160:$BT160,,T160)*(1-R160)+INDEX(Models!$BJ160:$BT160,,T160+1)*R160-ERP_i)*Q160*Ramure*Pc/MaxiM</f>
        <v>5.1081864872460711E-5</v>
      </c>
      <c r="Q160" s="304">
        <f t="shared" si="51"/>
        <v>0.7</v>
      </c>
      <c r="R160" s="177">
        <f t="shared" si="52"/>
        <v>0.27452642350893686</v>
      </c>
      <c r="S160" s="799">
        <f t="shared" si="53"/>
        <v>-1</v>
      </c>
      <c r="T160" s="176">
        <f t="shared" si="54"/>
        <v>5</v>
      </c>
      <c r="U160" s="250">
        <f t="shared" si="55"/>
        <v>-0.72547357649106314</v>
      </c>
      <c r="V160" s="382">
        <f t="shared" si="56"/>
        <v>59.555570284240851</v>
      </c>
      <c r="W160" s="58"/>
      <c r="X160" s="157">
        <f t="shared" si="57"/>
        <v>43976</v>
      </c>
      <c r="Y160" s="383">
        <f t="shared" si="58"/>
        <v>58.448428653786365</v>
      </c>
      <c r="Z160" s="383">
        <f t="shared" si="59"/>
        <v>59.012332451847811</v>
      </c>
      <c r="AA160" s="384">
        <f t="shared" si="60"/>
        <v>60.849523300435031</v>
      </c>
      <c r="AB160" s="197">
        <f t="shared" si="61"/>
        <v>43976</v>
      </c>
      <c r="AC160" s="424">
        <f>IF(OR(t&lt;Tnet,NoTnet),'2019'!Resal_s+('2019'!Salim-'2019'!Resal_s)*(1-EXP(('2019'!Tnet_s-t)/'2019'!Tau_j)),Resal_s+(Salim-Resal_s)*(1-EXP((Tnet_s-t)/Tau_j)))*Salcycl</f>
        <v>3.0192362223059325E-2</v>
      </c>
      <c r="AD160" s="230">
        <f>(INDEX(Models!$BJ160:$BT160,,AH160)*(1-AF160)+INDEX(Models!$BJ160:$BT160,,AH160+1)*AF160-ERP_i)*AE160*Ramure*Pc/MaxiM</f>
        <v>6.1123030559803702E-5</v>
      </c>
      <c r="AE160" s="304">
        <f t="shared" si="62"/>
        <v>0.7</v>
      </c>
      <c r="AF160" s="177">
        <f t="shared" si="63"/>
        <v>0.33885864576876901</v>
      </c>
      <c r="AG160" s="176">
        <f t="shared" si="64"/>
        <v>-1</v>
      </c>
      <c r="AH160" s="176">
        <f t="shared" si="65"/>
        <v>5</v>
      </c>
      <c r="AI160" s="224">
        <f t="shared" si="66"/>
        <v>-0.66114135423123099</v>
      </c>
      <c r="AJ160" s="264" t="b">
        <f t="shared" si="67"/>
        <v>0</v>
      </c>
      <c r="AK160" s="264" t="b">
        <f t="shared" si="68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69"/>
        <v>43977</v>
      </c>
      <c r="B161" s="607">
        <v>57.865000000000002</v>
      </c>
      <c r="C161" s="388"/>
      <c r="D161" s="391">
        <f t="shared" si="48"/>
        <v>58.424394634900104</v>
      </c>
      <c r="E161" s="383">
        <f t="shared" si="70"/>
        <v>60.247543522051821</v>
      </c>
      <c r="F161" s="383">
        <f t="shared" si="49"/>
        <v>60.25027664261691</v>
      </c>
      <c r="G161" s="110">
        <f t="shared" si="71"/>
        <v>0.97151260881652812</v>
      </c>
      <c r="H161" s="412" t="b">
        <f>Wh_hp&gt;='2019'!Maxi_hp</f>
        <v>1</v>
      </c>
      <c r="I161" s="388">
        <f>IF(H161,Wh_hp,'2019'!Maxi_hp)</f>
        <v>60.25027664261691</v>
      </c>
      <c r="J161" s="85">
        <f>IF(H161,An,'2019'!An_max)</f>
        <v>2020</v>
      </c>
      <c r="K161" s="197">
        <f t="shared" si="50"/>
        <v>43977</v>
      </c>
      <c r="L161" s="147">
        <f>IF(t&lt;Tvie,1-EXP((T0-t)*PertePVj)+'2019'!Pspv,1-EXP((T0-t)*PertePVj)+Pspv)</f>
        <v>9.5746757565193796E-3</v>
      </c>
      <c r="M161" s="832"/>
      <c r="N161" s="832"/>
      <c r="O161" s="48">
        <f>IF(t&lt;Tnet,'2019'!Resal+('2019'!Salim-'2019'!Resal)*(1-EXP(('2019'!Tnet-t)/('2019'!Tau_j))),Resal+(Salim-Resal)*(1-EXP((Tnet-t)/(Tau_j))))*Salcycl</f>
        <v>3.0260966349348464E-2</v>
      </c>
      <c r="P161" s="169">
        <f>(INDEX(Models!$BJ161:$BT161,,T161)*(1-R161)+INDEX(Models!$BJ161:$BT161,,T161+1)*R161-ERP_i)*Q161*Ramure*Pc/MaxiM</f>
        <v>4.7287069860345376E-5</v>
      </c>
      <c r="Q161" s="304">
        <f t="shared" si="51"/>
        <v>0.7</v>
      </c>
      <c r="R161" s="177">
        <f t="shared" si="52"/>
        <v>0.27829814142171749</v>
      </c>
      <c r="S161" s="799">
        <f t="shared" si="53"/>
        <v>-1</v>
      </c>
      <c r="T161" s="176">
        <f t="shared" si="54"/>
        <v>5</v>
      </c>
      <c r="U161" s="250">
        <f t="shared" si="55"/>
        <v>-0.72170185857828251</v>
      </c>
      <c r="V161" s="382">
        <f t="shared" si="56"/>
        <v>59.561644513194373</v>
      </c>
      <c r="W161" s="58"/>
      <c r="X161" s="157">
        <f t="shared" si="57"/>
        <v>43977</v>
      </c>
      <c r="Y161" s="383">
        <f t="shared" si="58"/>
        <v>57.864490409016369</v>
      </c>
      <c r="Z161" s="383">
        <f t="shared" si="59"/>
        <v>58.423880117579955</v>
      </c>
      <c r="AA161" s="384">
        <f t="shared" si="60"/>
        <v>60.247012949080855</v>
      </c>
      <c r="AB161" s="197">
        <f t="shared" si="61"/>
        <v>43977</v>
      </c>
      <c r="AC161" s="424">
        <f>IF(OR(t&lt;Tnet,NoTnet),'2019'!Resal_s+('2019'!Salim-'2019'!Resal_s)*(1-EXP(('2019'!Tnet_s-t)/'2019'!Tau_j)),Resal_s+(Salim-Resal_s)*(1-EXP((Tnet_s-t)/Tau_j)))*Salcycl</f>
        <v>3.0260966349348464E-2</v>
      </c>
      <c r="AD161" s="230">
        <f>(INDEX(Models!$BJ161:$BT161,,AH161)*(1-AF161)+INDEX(Models!$BJ161:$BT161,,AH161+1)*AF161-ERP_i)*AE161*Ramure*Pc/MaxiM</f>
        <v>5.6466775089869536E-5</v>
      </c>
      <c r="AE161" s="304">
        <f t="shared" si="62"/>
        <v>0.7</v>
      </c>
      <c r="AF161" s="177">
        <f t="shared" si="63"/>
        <v>0.34263036368154964</v>
      </c>
      <c r="AG161" s="176">
        <f t="shared" si="64"/>
        <v>-1</v>
      </c>
      <c r="AH161" s="176">
        <f t="shared" si="65"/>
        <v>5</v>
      </c>
      <c r="AI161" s="224">
        <f t="shared" si="66"/>
        <v>-0.65736963631845036</v>
      </c>
      <c r="AJ161" s="264" t="b">
        <f t="shared" si="67"/>
        <v>0</v>
      </c>
      <c r="AK161" s="264" t="b">
        <f t="shared" si="68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69"/>
        <v>43978</v>
      </c>
      <c r="B162" s="607">
        <v>57.683</v>
      </c>
      <c r="C162" s="388"/>
      <c r="D162" s="391">
        <f t="shared" si="48"/>
        <v>58.241751387751634</v>
      </c>
      <c r="E162" s="383">
        <f t="shared" si="70"/>
        <v>60.063447770642782</v>
      </c>
      <c r="F162" s="383">
        <f t="shared" si="49"/>
        <v>60.065997038035896</v>
      </c>
      <c r="G162" s="110">
        <f t="shared" si="71"/>
        <v>0.96840654565697737</v>
      </c>
      <c r="H162" s="412" t="b">
        <f>Wh_hp&gt;='2019'!Maxi_hp</f>
        <v>1</v>
      </c>
      <c r="I162" s="388">
        <f>IF(H162,Wh_hp,'2019'!Maxi_hp)</f>
        <v>60.065997038035896</v>
      </c>
      <c r="J162" s="85">
        <f>IF(H162,An,'2019'!An_max)</f>
        <v>2020</v>
      </c>
      <c r="K162" s="197">
        <f t="shared" si="50"/>
        <v>43978</v>
      </c>
      <c r="L162" s="147">
        <f>IF(t&lt;Tvie,1-EXP((T0-t)*PertePVj)+'2019'!Pspv,1-EXP((T0-t)*PertePVj)+Pspv)</f>
        <v>9.5936570319061776E-3</v>
      </c>
      <c r="M162" s="832"/>
      <c r="N162" s="832"/>
      <c r="O162" s="48">
        <f>IF(t&lt;Tnet,'2019'!Resal+('2019'!Salim-'2019'!Resal)*(1-EXP(('2019'!Tnet-t)/('2019'!Tau_j))),Resal+(Salim-Resal)*(1-EXP((Tnet-t)/(Tau_j))))*Salcycl</f>
        <v>3.0329534026209238E-2</v>
      </c>
      <c r="P162" s="169">
        <f>(INDEX(Models!$BJ162:$BT162,,T162)*(1-R162)+INDEX(Models!$BJ162:$BT162,,T162+1)*R162-ERP_i)*Q162*Ramure*Pc/MaxiM</f>
        <v>4.4447033893618486E-5</v>
      </c>
      <c r="Q162" s="304">
        <f t="shared" si="51"/>
        <v>0.7</v>
      </c>
      <c r="R162" s="177">
        <f t="shared" si="52"/>
        <v>0.2821135033269514</v>
      </c>
      <c r="S162" s="799">
        <f t="shared" si="53"/>
        <v>-1</v>
      </c>
      <c r="T162" s="176">
        <f t="shared" si="54"/>
        <v>5</v>
      </c>
      <c r="U162" s="250">
        <f t="shared" si="55"/>
        <v>-0.7178864966730486</v>
      </c>
      <c r="V162" s="382">
        <f t="shared" si="56"/>
        <v>59.564740186738057</v>
      </c>
      <c r="W162" s="58"/>
      <c r="X162" s="157">
        <f t="shared" si="57"/>
        <v>43978</v>
      </c>
      <c r="Y162" s="383">
        <f t="shared" si="58"/>
        <v>57.682531770887877</v>
      </c>
      <c r="Z162" s="383">
        <f t="shared" si="59"/>
        <v>58.241278623097564</v>
      </c>
      <c r="AA162" s="384">
        <f t="shared" si="60"/>
        <v>60.062960218767522</v>
      </c>
      <c r="AB162" s="197">
        <f t="shared" si="61"/>
        <v>43978</v>
      </c>
      <c r="AC162" s="424">
        <f>IF(OR(t&lt;Tnet,NoTnet),'2019'!Resal_s+('2019'!Salim-'2019'!Resal_s)*(1-EXP(('2019'!Tnet_s-t)/'2019'!Tau_j)),Resal_s+(Salim-Resal_s)*(1-EXP((Tnet_s-t)/Tau_j)))*Salcycl</f>
        <v>3.0329534026209238E-2</v>
      </c>
      <c r="AD162" s="230">
        <f>(INDEX(Models!$BJ162:$BT162,,AH162)*(1-AF162)+INDEX(Models!$BJ162:$BT162,,AH162+1)*AF162-ERP_i)*AE162*Ramure*Pc/MaxiM</f>
        <v>5.2947607345778399E-5</v>
      </c>
      <c r="AE162" s="304">
        <f t="shared" si="62"/>
        <v>0.7</v>
      </c>
      <c r="AF162" s="177">
        <f t="shared" si="63"/>
        <v>0.34644572558678355</v>
      </c>
      <c r="AG162" s="176">
        <f t="shared" si="64"/>
        <v>-1</v>
      </c>
      <c r="AH162" s="176">
        <f t="shared" si="65"/>
        <v>5</v>
      </c>
      <c r="AI162" s="224">
        <f t="shared" si="66"/>
        <v>-0.65355427441321645</v>
      </c>
      <c r="AJ162" s="264" t="b">
        <f t="shared" si="67"/>
        <v>0</v>
      </c>
      <c r="AK162" s="264" t="b">
        <f t="shared" si="68"/>
        <v>0</v>
      </c>
      <c r="AL162" s="264"/>
      <c r="AM162" s="264"/>
      <c r="AN162" s="75"/>
    </row>
    <row r="163" spans="1:40" s="6" customFormat="1" ht="11.25" x14ac:dyDescent="0.2">
      <c r="A163" s="56">
        <f t="shared" si="69"/>
        <v>43979</v>
      </c>
      <c r="B163" s="607">
        <v>57.277999999999999</v>
      </c>
      <c r="C163" s="388"/>
      <c r="D163" s="391">
        <f t="shared" si="48"/>
        <v>57.833936694290742</v>
      </c>
      <c r="E163" s="383">
        <f t="shared" si="70"/>
        <v>59.647091296218527</v>
      </c>
      <c r="F163" s="383">
        <f t="shared" si="49"/>
        <v>59.649493001374822</v>
      </c>
      <c r="G163" s="110">
        <f t="shared" si="71"/>
        <v>0.96160502468076947</v>
      </c>
      <c r="H163" s="412" t="b">
        <f>Wh_hp&gt;='2019'!Maxi_hp</f>
        <v>1</v>
      </c>
      <c r="I163" s="388">
        <f>IF(H163,Wh_hp,'2019'!Maxi_hp)</f>
        <v>59.649493001374822</v>
      </c>
      <c r="J163" s="85">
        <f>IF(H163,An,'2019'!An_max)</f>
        <v>2020</v>
      </c>
      <c r="K163" s="197">
        <f t="shared" si="50"/>
        <v>43979</v>
      </c>
      <c r="L163" s="147">
        <f>IF(t&lt;Tvie,1-EXP((T0-t)*PertePVj)+'2019'!Pspv,1-EXP((T0-t)*PertePVj)+Pspv)</f>
        <v>9.6126379435211851E-3</v>
      </c>
      <c r="M163" s="832"/>
      <c r="N163" s="832"/>
      <c r="O163" s="48">
        <f>IF(t&lt;Tnet,'2019'!Resal+('2019'!Salim-'2019'!Resal)*(1-EXP(('2019'!Tnet-t)/('2019'!Tau_j))),Resal+(Salim-Resal)*(1-EXP((Tnet-t)/(Tau_j))))*Salcycl</f>
        <v>3.0398038907267402E-2</v>
      </c>
      <c r="P163" s="169">
        <f>(INDEX(Models!$BJ163:$BT163,,T163)*(1-R163)+INDEX(Models!$BJ163:$BT163,,T163+1)*R163-ERP_i)*Q163*Ramure*Pc/MaxiM</f>
        <v>4.260010838197951E-5</v>
      </c>
      <c r="Q163" s="304">
        <f t="shared" si="51"/>
        <v>0.7</v>
      </c>
      <c r="R163" s="177">
        <f t="shared" si="52"/>
        <v>0.28596999519192901</v>
      </c>
      <c r="S163" s="799">
        <f t="shared" si="53"/>
        <v>-1</v>
      </c>
      <c r="T163" s="176">
        <f t="shared" si="54"/>
        <v>5</v>
      </c>
      <c r="U163" s="250">
        <f t="shared" si="55"/>
        <v>-0.71403000480807099</v>
      </c>
      <c r="V163" s="382">
        <f t="shared" si="56"/>
        <v>59.564857395432497</v>
      </c>
      <c r="W163" s="58"/>
      <c r="X163" s="157">
        <f t="shared" si="57"/>
        <v>43979</v>
      </c>
      <c r="Y163" s="383">
        <f t="shared" si="58"/>
        <v>57.277566615992711</v>
      </c>
      <c r="Z163" s="383">
        <f t="shared" si="59"/>
        <v>57.833499103885316</v>
      </c>
      <c r="AA163" s="384">
        <f t="shared" si="60"/>
        <v>59.646639986894719</v>
      </c>
      <c r="AB163" s="197">
        <f t="shared" si="61"/>
        <v>43979</v>
      </c>
      <c r="AC163" s="424">
        <f>IF(OR(t&lt;Tnet,NoTnet),'2019'!Resal_s+('2019'!Salim-'2019'!Resal_s)*(1-EXP(('2019'!Tnet_s-t)/'2019'!Tau_j)),Resal_s+(Salim-Resal_s)*(1-EXP((Tnet_s-t)/Tau_j)))*Salcycl</f>
        <v>3.0398038907267402E-2</v>
      </c>
      <c r="AD163" s="230">
        <f>(INDEX(Models!$BJ163:$BT163,,AH163)*(1-AF163)+INDEX(Models!$BJ163:$BT163,,AH163+1)*AF163-ERP_i)*AE163*Ramure*Pc/MaxiM</f>
        <v>5.0605181801318223E-5</v>
      </c>
      <c r="AE163" s="304">
        <f t="shared" si="62"/>
        <v>0.7</v>
      </c>
      <c r="AF163" s="177">
        <f t="shared" si="63"/>
        <v>0.35030221745176116</v>
      </c>
      <c r="AG163" s="176">
        <f t="shared" si="64"/>
        <v>-1</v>
      </c>
      <c r="AH163" s="176">
        <f t="shared" si="65"/>
        <v>5</v>
      </c>
      <c r="AI163" s="224">
        <f t="shared" si="66"/>
        <v>-0.64969778254823884</v>
      </c>
      <c r="AJ163" s="264" t="b">
        <f t="shared" si="67"/>
        <v>0</v>
      </c>
      <c r="AK163" s="264" t="b">
        <f t="shared" si="68"/>
        <v>0</v>
      </c>
      <c r="AL163" s="264"/>
      <c r="AM163" s="264"/>
      <c r="AN163" s="75"/>
    </row>
    <row r="164" spans="1:40" s="6" customFormat="1" ht="11.25" x14ac:dyDescent="0.2">
      <c r="A164" s="56">
        <f t="shared" si="69"/>
        <v>43980</v>
      </c>
      <c r="B164" s="607">
        <v>55.784999999999997</v>
      </c>
      <c r="C164" s="388"/>
      <c r="D164" s="391">
        <f t="shared" si="48"/>
        <v>56.327525233613258</v>
      </c>
      <c r="E164" s="383">
        <f t="shared" si="70"/>
        <v>58.097551645095564</v>
      </c>
      <c r="F164" s="383">
        <f t="shared" si="49"/>
        <v>58.099758897145726</v>
      </c>
      <c r="G164" s="110">
        <f t="shared" si="71"/>
        <v>0.93658359114298428</v>
      </c>
      <c r="H164" s="412" t="b">
        <f>Wh_hp&gt;='2019'!Maxi_hp</f>
        <v>0</v>
      </c>
      <c r="I164" s="388">
        <f>IF(H164,Wh_hp,'2019'!Maxi_hp)</f>
        <v>61.091879244383499</v>
      </c>
      <c r="J164" s="85">
        <f>IF(H164,An,'2019'!An_max)</f>
        <v>2018</v>
      </c>
      <c r="K164" s="197">
        <f t="shared" si="50"/>
        <v>43980</v>
      </c>
      <c r="L164" s="147">
        <f>IF(t&lt;Tvie,1-EXP((T0-t)*PertePVj)+'2019'!Pspv,1-EXP((T0-t)*PertePVj)+Pspv)</f>
        <v>9.6316184913713965E-3</v>
      </c>
      <c r="M164" s="832"/>
      <c r="N164" s="832"/>
      <c r="O164" s="48">
        <f>IF(t&lt;Tnet,'2019'!Resal+('2019'!Salim-'2019'!Resal)*(1-EXP(('2019'!Tnet-t)/('2019'!Tau_j))),Resal+(Salim-Resal)*(1-EXP((Tnet-t)/(Tau_j))))*Salcycl</f>
        <v>3.0466454460852051E-2</v>
      </c>
      <c r="P164" s="169">
        <f>(INDEX(Models!$BJ164:$BT164,,T164)*(1-R164)+INDEX(Models!$BJ164:$BT164,,T164+1)*R164-ERP_i)*Q164*Ramure*Pc/MaxiM</f>
        <v>4.177512717579853E-5</v>
      </c>
      <c r="Q164" s="304">
        <f t="shared" si="51"/>
        <v>0.7</v>
      </c>
      <c r="R164" s="177">
        <f t="shared" si="52"/>
        <v>0.28986497834399905</v>
      </c>
      <c r="S164" s="799">
        <f t="shared" si="53"/>
        <v>-1</v>
      </c>
      <c r="T164" s="176">
        <f t="shared" si="54"/>
        <v>5</v>
      </c>
      <c r="U164" s="250">
        <f t="shared" si="55"/>
        <v>-0.71013502165600095</v>
      </c>
      <c r="V164" s="382">
        <f t="shared" si="56"/>
        <v>59.561996821991528</v>
      </c>
      <c r="W164" s="58"/>
      <c r="X164" s="157">
        <f t="shared" si="57"/>
        <v>43980</v>
      </c>
      <c r="Y164" s="383">
        <f t="shared" si="58"/>
        <v>55.784609676181979</v>
      </c>
      <c r="Z164" s="383">
        <f t="shared" si="59"/>
        <v>56.327131113783395</v>
      </c>
      <c r="AA164" s="384">
        <f t="shared" si="60"/>
        <v>58.097145140512325</v>
      </c>
      <c r="AB164" s="197">
        <f t="shared" si="61"/>
        <v>43980</v>
      </c>
      <c r="AC164" s="424">
        <f>IF(OR(t&lt;Tnet,NoTnet),'2019'!Resal_s+('2019'!Salim-'2019'!Resal_s)*(1-EXP(('2019'!Tnet_s-t)/'2019'!Tau_j)),Resal_s+(Salim-Resal_s)*(1-EXP((Tnet_s-t)/Tau_j)))*Salcycl</f>
        <v>3.0466454460852051E-2</v>
      </c>
      <c r="AD164" s="230">
        <f>(INDEX(Models!$BJ164:$BT164,,AH164)*(1-AF164)+INDEX(Models!$BJ164:$BT164,,AH164+1)*AF164-ERP_i)*AE164*Ramure*Pc/MaxiM</f>
        <v>4.9468757208236645E-5</v>
      </c>
      <c r="AE164" s="304">
        <f t="shared" si="62"/>
        <v>0.7</v>
      </c>
      <c r="AF164" s="177">
        <f t="shared" si="63"/>
        <v>0.3541972006038312</v>
      </c>
      <c r="AG164" s="176">
        <f t="shared" si="64"/>
        <v>-1</v>
      </c>
      <c r="AH164" s="176">
        <f t="shared" si="65"/>
        <v>5</v>
      </c>
      <c r="AI164" s="224">
        <f t="shared" si="66"/>
        <v>-0.6458027993961688</v>
      </c>
      <c r="AJ164" s="264" t="b">
        <f t="shared" si="67"/>
        <v>0</v>
      </c>
      <c r="AK164" s="264" t="b">
        <f t="shared" si="68"/>
        <v>0</v>
      </c>
      <c r="AL164" s="264"/>
      <c r="AM164" s="264"/>
      <c r="AN164" s="75"/>
    </row>
    <row r="165" spans="1:40" s="6" customFormat="1" ht="11.25" x14ac:dyDescent="0.2">
      <c r="A165" s="56">
        <f t="shared" si="69"/>
        <v>43981</v>
      </c>
      <c r="B165" s="607">
        <v>58.965000000000003</v>
      </c>
      <c r="C165" s="388"/>
      <c r="D165" s="391">
        <f t="shared" si="48"/>
        <v>59.539592714589055</v>
      </c>
      <c r="E165" s="383">
        <f t="shared" si="70"/>
        <v>61.414881001827567</v>
      </c>
      <c r="F165" s="383">
        <f t="shared" si="49"/>
        <v>61.417374262134985</v>
      </c>
      <c r="G165" s="110">
        <f t="shared" si="71"/>
        <v>0.99007252874653517</v>
      </c>
      <c r="H165" s="412" t="b">
        <f>Wh_hp&gt;='2019'!Maxi_hp</f>
        <v>0</v>
      </c>
      <c r="I165" s="388">
        <f>IF(H165,Wh_hp,'2019'!Maxi_hp)</f>
        <v>61.846036188985813</v>
      </c>
      <c r="J165" s="85">
        <f>IF(H165,An,'2019'!An_max)</f>
        <v>2018</v>
      </c>
      <c r="K165" s="197">
        <f t="shared" si="50"/>
        <v>43981</v>
      </c>
      <c r="L165" s="147">
        <f>IF(t&lt;Tvie,1-EXP((T0-t)*PertePVj)+'2019'!Pspv,1-EXP((T0-t)*PertePVj)+Pspv)</f>
        <v>9.6505986754635842E-3</v>
      </c>
      <c r="M165" s="832"/>
      <c r="N165" s="832"/>
      <c r="O165" s="48">
        <f>IF(t&lt;Tnet,'2019'!Resal+('2019'!Salim-'2019'!Resal)*(1-EXP(('2019'!Tnet-t)/('2019'!Tau_j))),Resal+(Salim-Resal)*(1-EXP((Tnet-t)/(Tau_j))))*Salcycl</f>
        <v>3.0534754063639782E-2</v>
      </c>
      <c r="P165" s="169">
        <f>(INDEX(Models!$BJ165:$BT165,,T165)*(1-R165)+INDEX(Models!$BJ165:$BT165,,T165+1)*R165-ERP_i)*Q165*Ramure*Pc/MaxiM</f>
        <v>4.117933368021112E-5</v>
      </c>
      <c r="Q165" s="304">
        <f t="shared" si="51"/>
        <v>0.7</v>
      </c>
      <c r="R165" s="177">
        <f t="shared" si="52"/>
        <v>0.29379569558370044</v>
      </c>
      <c r="S165" s="799">
        <f t="shared" si="53"/>
        <v>-1</v>
      </c>
      <c r="T165" s="176">
        <f t="shared" si="54"/>
        <v>5</v>
      </c>
      <c r="U165" s="250">
        <f t="shared" si="55"/>
        <v>-0.70620430441629956</v>
      </c>
      <c r="V165" s="382">
        <f t="shared" si="56"/>
        <v>59.556208108449454</v>
      </c>
      <c r="W165" s="58"/>
      <c r="X165" s="157">
        <f t="shared" si="57"/>
        <v>43981</v>
      </c>
      <c r="Y165" s="383">
        <f t="shared" si="58"/>
        <v>58.964567523628453</v>
      </c>
      <c r="Z165" s="383">
        <f t="shared" si="59"/>
        <v>59.539156023890833</v>
      </c>
      <c r="AA165" s="384">
        <f t="shared" si="60"/>
        <v>61.414430556904392</v>
      </c>
      <c r="AB165" s="197">
        <f t="shared" si="61"/>
        <v>43981</v>
      </c>
      <c r="AC165" s="424">
        <f>IF(OR(t&lt;Tnet,NoTnet),'2019'!Resal_s+('2019'!Salim-'2019'!Resal_s)*(1-EXP(('2019'!Tnet_s-t)/'2019'!Tau_j)),Resal_s+(Salim-Resal_s)*(1-EXP((Tnet_s-t)/Tau_j)))*Salcycl</f>
        <v>3.0534754063639782E-2</v>
      </c>
      <c r="AD165" s="230">
        <f>(INDEX(Models!$BJ165:$BT165,,AH165)*(1-AF165)+INDEX(Models!$BJ165:$BT165,,AH165+1)*AF165-ERP_i)*AE165*Ramure*Pc/MaxiM</f>
        <v>4.8618998820966177E-5</v>
      </c>
      <c r="AE165" s="304">
        <f t="shared" si="62"/>
        <v>0.7</v>
      </c>
      <c r="AF165" s="177">
        <f t="shared" si="63"/>
        <v>0.35812791784353259</v>
      </c>
      <c r="AG165" s="176">
        <f t="shared" si="64"/>
        <v>-1</v>
      </c>
      <c r="AH165" s="176">
        <f t="shared" si="65"/>
        <v>5</v>
      </c>
      <c r="AI165" s="224">
        <f t="shared" si="66"/>
        <v>-0.64187208215646741</v>
      </c>
      <c r="AJ165" s="264" t="b">
        <f t="shared" si="67"/>
        <v>0</v>
      </c>
      <c r="AK165" s="264" t="b">
        <f t="shared" si="68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69"/>
        <v>43982</v>
      </c>
      <c r="B166" s="607">
        <v>56.277999999999999</v>
      </c>
      <c r="C166" s="388"/>
      <c r="D166" s="391">
        <f t="shared" si="48"/>
        <v>56.827497952168692</v>
      </c>
      <c r="E166" s="383">
        <f t="shared" si="70"/>
        <v>58.621486079013771</v>
      </c>
      <c r="F166" s="383">
        <f t="shared" si="49"/>
        <v>58.62369163563416</v>
      </c>
      <c r="G166" s="110">
        <f t="shared" si="71"/>
        <v>0.94509133753319463</v>
      </c>
      <c r="H166" s="412" t="b">
        <f>Wh_hp&gt;='2019'!Maxi_hp</f>
        <v>0</v>
      </c>
      <c r="I166" s="388">
        <f>IF(H166,Wh_hp,'2019'!Maxi_hp)</f>
        <v>63.6031019014615</v>
      </c>
      <c r="J166" s="85">
        <f>IF(H166,An,'2019'!An_max)</f>
        <v>2018</v>
      </c>
      <c r="K166" s="197">
        <f t="shared" si="50"/>
        <v>43982</v>
      </c>
      <c r="L166" s="147">
        <f>IF(t&lt;Tvie,1-EXP((T0-t)*PertePVj)+'2019'!Pspv,1-EXP((T0-t)*PertePVj)+Pspv)</f>
        <v>9.6695784958049646E-3</v>
      </c>
      <c r="M166" s="832"/>
      <c r="N166" s="832"/>
      <c r="O166" s="48">
        <f>IF(t&lt;Tnet,'2019'!Resal+('2019'!Salim-'2019'!Resal)*(1-EXP(('2019'!Tnet-t)/('2019'!Tau_j))),Resal+(Salim-Resal)*(1-EXP((Tnet-t)/(Tau_j))))*Salcycl</f>
        <v>3.0602911096914747E-2</v>
      </c>
      <c r="P166" s="169">
        <f>(INDEX(Models!$BJ166:$BT166,,T166)*(1-R166)+INDEX(Models!$BJ166:$BT166,,T166+1)*R166-ERP_i)*Q166*Ramure*Pc/MaxiM</f>
        <v>4.0824402814356992E-5</v>
      </c>
      <c r="Q166" s="304">
        <f t="shared" si="51"/>
        <v>0.7</v>
      </c>
      <c r="R166" s="177">
        <f t="shared" si="52"/>
        <v>0.29775927804536628</v>
      </c>
      <c r="S166" s="799">
        <f t="shared" si="53"/>
        <v>-1</v>
      </c>
      <c r="T166" s="176">
        <f t="shared" si="54"/>
        <v>5</v>
      </c>
      <c r="U166" s="250">
        <f t="shared" si="55"/>
        <v>-0.70224072195463372</v>
      </c>
      <c r="V166" s="382">
        <f t="shared" si="56"/>
        <v>59.547492976431315</v>
      </c>
      <c r="W166" s="58"/>
      <c r="X166" s="157">
        <f t="shared" si="57"/>
        <v>43982</v>
      </c>
      <c r="Y166" s="383">
        <f t="shared" si="58"/>
        <v>56.277624306220332</v>
      </c>
      <c r="Z166" s="383">
        <f t="shared" si="59"/>
        <v>56.827118590117898</v>
      </c>
      <c r="AA166" s="384">
        <f t="shared" si="60"/>
        <v>58.621094740876764</v>
      </c>
      <c r="AB166" s="197">
        <f t="shared" si="61"/>
        <v>43982</v>
      </c>
      <c r="AC166" s="424">
        <f>IF(OR(t&lt;Tnet,NoTnet),'2019'!Resal_s+('2019'!Salim-'2019'!Resal_s)*(1-EXP(('2019'!Tnet_s-t)/'2019'!Tau_j)),Resal_s+(Salim-Resal_s)*(1-EXP((Tnet_s-t)/Tau_j)))*Salcycl</f>
        <v>3.0602911096914747E-2</v>
      </c>
      <c r="AD166" s="230">
        <f>(INDEX(Models!$BJ166:$BT166,,AH166)*(1-AF166)+INDEX(Models!$BJ166:$BT166,,AH166+1)*AF166-ERP_i)*AE166*Ramure*Pc/MaxiM</f>
        <v>4.8067991844871099E-5</v>
      </c>
      <c r="AE166" s="304">
        <f t="shared" si="62"/>
        <v>0.7</v>
      </c>
      <c r="AF166" s="177">
        <f t="shared" si="63"/>
        <v>0.36209150030519843</v>
      </c>
      <c r="AG166" s="176">
        <f t="shared" si="64"/>
        <v>-1</v>
      </c>
      <c r="AH166" s="176">
        <f t="shared" si="65"/>
        <v>5</v>
      </c>
      <c r="AI166" s="224">
        <f t="shared" si="66"/>
        <v>-0.63790849969480157</v>
      </c>
      <c r="AJ166" s="264" t="b">
        <f t="shared" si="67"/>
        <v>0</v>
      </c>
      <c r="AK166" s="264" t="b">
        <f t="shared" si="68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69"/>
        <v>43983</v>
      </c>
      <c r="B167" s="607">
        <v>27.395</v>
      </c>
      <c r="C167" s="388"/>
      <c r="D167" s="391">
        <f t="shared" si="48"/>
        <v>27.663014721265139</v>
      </c>
      <c r="E167" s="383">
        <f t="shared" si="70"/>
        <v>28.538310357140553</v>
      </c>
      <c r="F167" s="383">
        <f t="shared" si="49"/>
        <v>28.53857623045019</v>
      </c>
      <c r="G167" s="110">
        <f t="shared" si="71"/>
        <v>0.46012844671627967</v>
      </c>
      <c r="H167" s="412" t="b">
        <f>Wh_hp&gt;='2019'!Maxi_hp</f>
        <v>0</v>
      </c>
      <c r="I167" s="388">
        <f>IF(H167,Wh_hp,'2019'!Maxi_hp)</f>
        <v>62.818886290602684</v>
      </c>
      <c r="J167" s="85">
        <f>IF(H167,An,'2019'!An_max)</f>
        <v>2018</v>
      </c>
      <c r="K167" s="197">
        <f t="shared" si="50"/>
        <v>43983</v>
      </c>
      <c r="L167" s="147">
        <f>IF(t&lt;Tvie,1-EXP((T0-t)*PertePVj)+'2019'!Pspv,1-EXP((T0-t)*PertePVj)+Pspv)</f>
        <v>9.6885579524024212E-3</v>
      </c>
      <c r="M167" s="832"/>
      <c r="N167" s="832"/>
      <c r="O167" s="48">
        <f>IF(t&lt;Tnet,'2019'!Resal+('2019'!Salim-'2019'!Resal)*(1-EXP(('2019'!Tnet-t)/('2019'!Tau_j))),Resal+(Salim-Resal)*(1-EXP((Tnet-t)/(Tau_j))))*Salcycl</f>
        <v>3.0670899044883675E-2</v>
      </c>
      <c r="P167" s="169">
        <f>(INDEX(Models!$BJ167:$BT167,,T167)*(1-R167)+INDEX(Models!$BJ167:$BT167,,T167+1)*R167-ERP_i)*Q167*Ramure*Pc/MaxiM</f>
        <v>4.0722346542026175E-5</v>
      </c>
      <c r="Q167" s="304">
        <f t="shared" si="51"/>
        <v>0.7</v>
      </c>
      <c r="R167" s="177">
        <f t="shared" si="52"/>
        <v>0.30175275277689628</v>
      </c>
      <c r="S167" s="799">
        <f t="shared" si="53"/>
        <v>-1</v>
      </c>
      <c r="T167" s="176">
        <f t="shared" si="54"/>
        <v>5</v>
      </c>
      <c r="U167" s="250">
        <f t="shared" si="55"/>
        <v>-0.69824724722310372</v>
      </c>
      <c r="V167" s="382">
        <f t="shared" si="56"/>
        <v>59.535853125873061</v>
      </c>
      <c r="W167" s="58"/>
      <c r="X167" s="157">
        <f t="shared" si="57"/>
        <v>43983</v>
      </c>
      <c r="Y167" s="383">
        <f t="shared" si="58"/>
        <v>27.394955465241271</v>
      </c>
      <c r="Z167" s="383">
        <f t="shared" si="59"/>
        <v>27.662969750807523</v>
      </c>
      <c r="AA167" s="384">
        <f t="shared" si="60"/>
        <v>28.538263963756126</v>
      </c>
      <c r="AB167" s="197">
        <f t="shared" si="61"/>
        <v>43983</v>
      </c>
      <c r="AC167" s="424">
        <f>IF(OR(t&lt;Tnet,NoTnet),'2019'!Resal_s+('2019'!Salim-'2019'!Resal_s)*(1-EXP(('2019'!Tnet_s-t)/'2019'!Tau_j)),Resal_s+(Salim-Resal_s)*(1-EXP((Tnet_s-t)/Tau_j)))*Salcycl</f>
        <v>3.0670899044883675E-2</v>
      </c>
      <c r="AD167" s="230">
        <f>(INDEX(Models!$BJ167:$BT167,,AH167)*(1-AF167)+INDEX(Models!$BJ167:$BT167,,AH167+1)*AF167-ERP_i)*AE167*Ramure*Pc/MaxiM</f>
        <v>4.7828165025492705E-5</v>
      </c>
      <c r="AE167" s="304">
        <f t="shared" si="62"/>
        <v>0.7</v>
      </c>
      <c r="AF167" s="177">
        <f t="shared" si="63"/>
        <v>0.36608497503672843</v>
      </c>
      <c r="AG167" s="176">
        <f t="shared" si="64"/>
        <v>-1</v>
      </c>
      <c r="AH167" s="176">
        <f t="shared" si="65"/>
        <v>5</v>
      </c>
      <c r="AI167" s="224">
        <f t="shared" si="66"/>
        <v>-0.63391502496327157</v>
      </c>
      <c r="AJ167" s="264" t="b">
        <f t="shared" si="67"/>
        <v>0</v>
      </c>
      <c r="AK167" s="264" t="b">
        <f t="shared" si="68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69"/>
        <v>43984</v>
      </c>
      <c r="B168" s="607">
        <v>54.402999999999999</v>
      </c>
      <c r="C168" s="388"/>
      <c r="D168" s="391">
        <f t="shared" si="48"/>
        <v>54.936296129809662</v>
      </c>
      <c r="E168" s="383">
        <f t="shared" si="70"/>
        <v>56.678519665848327</v>
      </c>
      <c r="F168" s="383">
        <f t="shared" si="49"/>
        <v>56.680552397344698</v>
      </c>
      <c r="G168" s="110">
        <f t="shared" si="71"/>
        <v>0.91400449391286065</v>
      </c>
      <c r="H168" s="412" t="b">
        <f>Wh_hp&gt;='2019'!Maxi_hp</f>
        <v>1</v>
      </c>
      <c r="I168" s="388">
        <f>IF(H168,Wh_hp,'2019'!Maxi_hp)</f>
        <v>56.680552397344698</v>
      </c>
      <c r="J168" s="85">
        <f>IF(H168,An,'2019'!An_max)</f>
        <v>2020</v>
      </c>
      <c r="K168" s="197">
        <f t="shared" si="50"/>
        <v>43984</v>
      </c>
      <c r="L168" s="147">
        <f>IF(t&lt;Tvie,1-EXP((T0-t)*PertePVj)+'2019'!Pspv,1-EXP((T0-t)*PertePVj)+Pspv)</f>
        <v>9.7075370452629484E-3</v>
      </c>
      <c r="M168" s="832"/>
      <c r="N168" s="832"/>
      <c r="O168" s="48">
        <f>IF(t&lt;Tnet,'2019'!Resal+('2019'!Salim-'2019'!Resal)*(1-EXP(('2019'!Tnet-t)/('2019'!Tau_j))),Resal+(Salim-Resal)*(1-EXP((Tnet-t)/(Tau_j))))*Salcycl</f>
        <v>3.0738691594453148E-2</v>
      </c>
      <c r="P168" s="169">
        <f>(INDEX(Models!$BJ168:$BT168,,T168)*(1-R168)+INDEX(Models!$BJ168:$BT168,,T168+1)*R168-ERP_i)*Q168*Ramure*Pc/MaxiM</f>
        <v>4.0885487966858915E-5</v>
      </c>
      <c r="Q168" s="304">
        <f t="shared" si="51"/>
        <v>0.7</v>
      </c>
      <c r="R168" s="177">
        <f t="shared" si="52"/>
        <v>0.3057730510027139</v>
      </c>
      <c r="S168" s="799">
        <f t="shared" si="53"/>
        <v>-1</v>
      </c>
      <c r="T168" s="176">
        <f t="shared" si="54"/>
        <v>5</v>
      </c>
      <c r="U168" s="250">
        <f t="shared" si="55"/>
        <v>-0.6942269489972861</v>
      </c>
      <c r="V168" s="382">
        <f t="shared" si="56"/>
        <v>59.521290224582515</v>
      </c>
      <c r="W168" s="58"/>
      <c r="X168" s="157">
        <f t="shared" si="57"/>
        <v>43984</v>
      </c>
      <c r="Y168" s="383">
        <f t="shared" si="58"/>
        <v>54.402664670883638</v>
      </c>
      <c r="Z168" s="383">
        <f t="shared" si="59"/>
        <v>54.935957513563551</v>
      </c>
      <c r="AA168" s="384">
        <f t="shared" si="60"/>
        <v>56.678170310887822</v>
      </c>
      <c r="AB168" s="197">
        <f t="shared" si="61"/>
        <v>43984</v>
      </c>
      <c r="AC168" s="424">
        <f>IF(OR(t&lt;Tnet,NoTnet),'2019'!Resal_s+('2019'!Salim-'2019'!Resal_s)*(1-EXP(('2019'!Tnet_s-t)/'2019'!Tau_j)),Resal_s+(Salim-Resal_s)*(1-EXP((Tnet_s-t)/Tau_j)))*Salcycl</f>
        <v>3.0738691594453148E-2</v>
      </c>
      <c r="AD168" s="230">
        <f>(INDEX(Models!$BJ168:$BT168,,AH168)*(1-AF168)+INDEX(Models!$BJ168:$BT168,,AH168+1)*AF168-ERP_i)*AE168*Ramure*Pc/MaxiM</f>
        <v>4.7912263544245561E-5</v>
      </c>
      <c r="AE168" s="304">
        <f t="shared" si="62"/>
        <v>0.7</v>
      </c>
      <c r="AF168" s="177">
        <f t="shared" si="63"/>
        <v>0.37010527326254605</v>
      </c>
      <c r="AG168" s="176">
        <f t="shared" si="64"/>
        <v>-1</v>
      </c>
      <c r="AH168" s="176">
        <f t="shared" si="65"/>
        <v>5</v>
      </c>
      <c r="AI168" s="224">
        <f t="shared" si="66"/>
        <v>-0.62989472673745395</v>
      </c>
      <c r="AJ168" s="264" t="b">
        <f t="shared" si="67"/>
        <v>0</v>
      </c>
      <c r="AK168" s="264" t="b">
        <f t="shared" si="68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69"/>
        <v>43985</v>
      </c>
      <c r="B169" s="607">
        <v>30.951000000000001</v>
      </c>
      <c r="C169" s="388"/>
      <c r="D169" s="391">
        <f t="shared" si="48"/>
        <v>31.255002272633472</v>
      </c>
      <c r="E169" s="383">
        <f t="shared" si="70"/>
        <v>32.248456702640702</v>
      </c>
      <c r="F169" s="383">
        <f t="shared" si="49"/>
        <v>32.24887584959896</v>
      </c>
      <c r="G169" s="110">
        <f t="shared" si="71"/>
        <v>0.5201368668860209</v>
      </c>
      <c r="H169" s="412" t="b">
        <f>Wh_hp&gt;='2019'!Maxi_hp</f>
        <v>0</v>
      </c>
      <c r="I169" s="388">
        <f>IF(H169,Wh_hp,'2019'!Maxi_hp)</f>
        <v>60.619800166760626</v>
      </c>
      <c r="J169" s="85">
        <f>IF(H169,An,'2019'!An_max)</f>
        <v>2018</v>
      </c>
      <c r="K169" s="197">
        <f t="shared" si="50"/>
        <v>43985</v>
      </c>
      <c r="L169" s="147">
        <f>IF(t&lt;Tvie,1-EXP((T0-t)*PertePVj)+'2019'!Pspv,1-EXP((T0-t)*PertePVj)+Pspv)</f>
        <v>9.7265157743934294E-3</v>
      </c>
      <c r="M169" s="832"/>
      <c r="N169" s="832"/>
      <c r="O169" s="48">
        <f>IF(t&lt;Tnet,'2019'!Resal+('2019'!Salim-'2019'!Resal)*(1-EXP(('2019'!Tnet-t)/('2019'!Tau_j))),Resal+(Salim-Resal)*(1-EXP((Tnet-t)/(Tau_j))))*Salcycl</f>
        <v>3.0806262735849858E-2</v>
      </c>
      <c r="P169" s="169">
        <f>(INDEX(Models!$BJ169:$BT169,,T169)*(1-R169)+INDEX(Models!$BJ169:$BT169,,T169+1)*R169-ERP_i)*Q169*Ramure*Pc/MaxiM</f>
        <v>4.1326433535494997E-5</v>
      </c>
      <c r="Q169" s="304">
        <f t="shared" si="51"/>
        <v>0.7</v>
      </c>
      <c r="R169" s="177">
        <f t="shared" si="52"/>
        <v>0.30981701702644171</v>
      </c>
      <c r="S169" s="799">
        <f t="shared" si="53"/>
        <v>-1</v>
      </c>
      <c r="T169" s="176">
        <f t="shared" si="54"/>
        <v>5</v>
      </c>
      <c r="U169" s="250">
        <f t="shared" si="55"/>
        <v>-0.69018298297355829</v>
      </c>
      <c r="V169" s="382">
        <f t="shared" si="56"/>
        <v>59.503805907056623</v>
      </c>
      <c r="W169" s="58"/>
      <c r="X169" s="157">
        <f t="shared" si="57"/>
        <v>43985</v>
      </c>
      <c r="Y169" s="383">
        <f t="shared" si="58"/>
        <v>30.950931792956293</v>
      </c>
      <c r="Z169" s="383">
        <f t="shared" si="59"/>
        <v>31.254933395656764</v>
      </c>
      <c r="AA169" s="384">
        <f t="shared" si="60"/>
        <v>32.248385636378032</v>
      </c>
      <c r="AB169" s="197">
        <f t="shared" si="61"/>
        <v>43985</v>
      </c>
      <c r="AC169" s="424">
        <f>IF(OR(t&lt;Tnet,NoTnet),'2019'!Resal_s+('2019'!Salim-'2019'!Resal_s)*(1-EXP(('2019'!Tnet_s-t)/'2019'!Tau_j)),Resal_s+(Salim-Resal_s)*(1-EXP((Tnet_s-t)/Tau_j)))*Salcycl</f>
        <v>3.0806262735849858E-2</v>
      </c>
      <c r="AD169" s="230">
        <f>(INDEX(Models!$BJ169:$BT169,,AH169)*(1-AF169)+INDEX(Models!$BJ169:$BT169,,AH169+1)*AF169-ERP_i)*AE169*Ramure*Pc/MaxiM</f>
        <v>4.8333320077505908E-5</v>
      </c>
      <c r="AE169" s="304">
        <f t="shared" si="62"/>
        <v>0.7</v>
      </c>
      <c r="AF169" s="177">
        <f t="shared" si="63"/>
        <v>0.37414923928627386</v>
      </c>
      <c r="AG169" s="176">
        <f t="shared" si="64"/>
        <v>-1</v>
      </c>
      <c r="AH169" s="176">
        <f t="shared" si="65"/>
        <v>5</v>
      </c>
      <c r="AI169" s="224">
        <f t="shared" si="66"/>
        <v>-0.62585076071372614</v>
      </c>
      <c r="AJ169" s="264" t="b">
        <f t="shared" si="67"/>
        <v>0</v>
      </c>
      <c r="AK169" s="264" t="b">
        <f t="shared" si="68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ref="A170:A207" si="72">A169+1</f>
        <v>43986</v>
      </c>
      <c r="B170" s="607">
        <v>35.801000000000002</v>
      </c>
      <c r="C170" s="388"/>
      <c r="D170" s="391">
        <f t="shared" si="48"/>
        <v>36.153332085978178</v>
      </c>
      <c r="E170" s="383">
        <f t="shared" ref="E170:E232" si="73">Wh_pvt/(1-Psa)</f>
        <v>37.30507351354575</v>
      </c>
      <c r="F170" s="383">
        <f t="shared" si="49"/>
        <v>37.305749823236468</v>
      </c>
      <c r="G170" s="110">
        <f t="shared" ref="G170:G232" si="74">+Wh_hp/MaxiM</f>
        <v>0.60185097406368959</v>
      </c>
      <c r="H170" s="412" t="b">
        <f>Wh_hp&gt;='2019'!Maxi_hp</f>
        <v>1</v>
      </c>
      <c r="I170" s="388">
        <f>IF(H170,Wh_hp,'2019'!Maxi_hp)</f>
        <v>37.305749823236468</v>
      </c>
      <c r="J170" s="85">
        <f>IF(H170,An,'2019'!An_max)</f>
        <v>2020</v>
      </c>
      <c r="K170" s="197">
        <f t="shared" si="50"/>
        <v>43986</v>
      </c>
      <c r="L170" s="147">
        <f>IF(t&lt;Tvie,1-EXP((T0-t)*PertePVj)+'2019'!Pspv,1-EXP((T0-t)*PertePVj)+Pspv)</f>
        <v>9.7454941398009698E-3</v>
      </c>
      <c r="M170" s="832"/>
      <c r="N170" s="832"/>
      <c r="O170" s="48">
        <f>IF(t&lt;Tnet,'2019'!Resal+('2019'!Salim-'2019'!Resal)*(1-EXP(('2019'!Tnet-t)/('2019'!Tau_j))),Resal+(Salim-Resal)*(1-EXP((Tnet-t)/(Tau_j))))*Salcycl</f>
        <v>3.0873586863442787E-2</v>
      </c>
      <c r="P170" s="169">
        <f>(INDEX(Models!$BJ170:$BT170,,T170)*(1-R170)+INDEX(Models!$BJ170:$BT170,,T170+1)*R170-ERP_i)*Q170*Ramure*Pc/MaxiM</f>
        <v>4.2039214270616341E-5</v>
      </c>
      <c r="Q170" s="304">
        <f t="shared" si="51"/>
        <v>0.7</v>
      </c>
      <c r="R170" s="177">
        <f t="shared" si="52"/>
        <v>0.31388141772265921</v>
      </c>
      <c r="S170" s="799">
        <f t="shared" si="53"/>
        <v>-1</v>
      </c>
      <c r="T170" s="176">
        <f t="shared" si="54"/>
        <v>5</v>
      </c>
      <c r="U170" s="250">
        <f t="shared" si="55"/>
        <v>-0.68611858227734079</v>
      </c>
      <c r="V170" s="382">
        <f t="shared" si="56"/>
        <v>59.483402888230202</v>
      </c>
      <c r="W170" s="58"/>
      <c r="X170" s="157">
        <f t="shared" si="57"/>
        <v>43986</v>
      </c>
      <c r="Y170" s="383">
        <f t="shared" si="58"/>
        <v>35.800891249286273</v>
      </c>
      <c r="Z170" s="383">
        <f t="shared" si="59"/>
        <v>36.1532222650048</v>
      </c>
      <c r="AA170" s="384">
        <f t="shared" si="60"/>
        <v>37.304960193991263</v>
      </c>
      <c r="AB170" s="197">
        <f t="shared" si="61"/>
        <v>43986</v>
      </c>
      <c r="AC170" s="424">
        <f>IF(OR(t&lt;Tnet,NoTnet),'2019'!Resal_s+('2019'!Salim-'2019'!Resal_s)*(1-EXP(('2019'!Tnet_s-t)/'2019'!Tau_j)),Resal_s+(Salim-Resal_s)*(1-EXP((Tnet_s-t)/Tau_j)))*Salcycl</f>
        <v>3.0873586863442787E-2</v>
      </c>
      <c r="AD170" s="230">
        <f>(INDEX(Models!$BJ170:$BT170,,AH170)*(1-AF170)+INDEX(Models!$BJ170:$BT170,,AH170+1)*AF170-ERP_i)*AE170*Ramure*Pc/MaxiM</f>
        <v>4.9083124918994132E-5</v>
      </c>
      <c r="AE170" s="304">
        <f t="shared" si="62"/>
        <v>0.7</v>
      </c>
      <c r="AF170" s="177">
        <f t="shared" si="63"/>
        <v>0.37821363998249136</v>
      </c>
      <c r="AG170" s="176">
        <f t="shared" si="64"/>
        <v>-1</v>
      </c>
      <c r="AH170" s="176">
        <f t="shared" si="65"/>
        <v>5</v>
      </c>
      <c r="AI170" s="224">
        <f t="shared" si="66"/>
        <v>-0.62178636001750864</v>
      </c>
      <c r="AJ170" s="264" t="b">
        <f t="shared" si="67"/>
        <v>0</v>
      </c>
      <c r="AK170" s="264" t="b">
        <f t="shared" si="68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72"/>
        <v>43987</v>
      </c>
      <c r="B171" s="607">
        <v>23.802</v>
      </c>
      <c r="C171" s="388"/>
      <c r="D171" s="391">
        <f t="shared" si="48"/>
        <v>24.036705743606699</v>
      </c>
      <c r="E171" s="383">
        <f t="shared" si="73"/>
        <v>24.80416237425284</v>
      </c>
      <c r="F171" s="383">
        <f t="shared" si="49"/>
        <v>24.804314240907328</v>
      </c>
      <c r="G171" s="110">
        <f t="shared" si="74"/>
        <v>0.40028739067634483</v>
      </c>
      <c r="H171" s="412" t="b">
        <f>Wh_hp&gt;='2019'!Maxi_hp</f>
        <v>0</v>
      </c>
      <c r="I171" s="388">
        <f>IF(H171,Wh_hp,'2019'!Maxi_hp)</f>
        <v>54.078564517697089</v>
      </c>
      <c r="J171" s="85">
        <f>IF(H171,An,'2019'!An_max)</f>
        <v>2018</v>
      </c>
      <c r="K171" s="197">
        <f t="shared" si="50"/>
        <v>43987</v>
      </c>
      <c r="L171" s="147">
        <f>IF(t&lt;Tvie,1-EXP((T0-t)*PertePVj)+'2019'!Pspv,1-EXP((T0-t)*PertePVj)+Pspv)</f>
        <v>9.7644721414924529E-3</v>
      </c>
      <c r="M171" s="832"/>
      <c r="N171" s="832"/>
      <c r="O171" s="48">
        <f>IF(t&lt;Tnet,'2019'!Resal+('2019'!Salim-'2019'!Resal)*(1-EXP(('2019'!Tnet-t)/('2019'!Tau_j))),Resal+(Salim-Resal)*(1-EXP((Tnet-t)/(Tau_j))))*Salcycl</f>
        <v>3.0940638876109573E-2</v>
      </c>
      <c r="P171" s="169">
        <f>(INDEX(Models!$BJ171:$BT171,,T171)*(1-R171)+INDEX(Models!$BJ171:$BT171,,T171+1)*R171-ERP_i)*Q171*Ramure*Pc/MaxiM</f>
        <v>4.2729071528067137E-5</v>
      </c>
      <c r="Q171" s="304">
        <f t="shared" si="51"/>
        <v>0.7</v>
      </c>
      <c r="R171" s="177">
        <f t="shared" si="52"/>
        <v>0.31796295256037121</v>
      </c>
      <c r="S171" s="799">
        <f t="shared" si="53"/>
        <v>-1</v>
      </c>
      <c r="T171" s="176">
        <f t="shared" si="54"/>
        <v>5</v>
      </c>
      <c r="U171" s="250">
        <f t="shared" si="55"/>
        <v>-0.68203704743962879</v>
      </c>
      <c r="V171" s="382">
        <f t="shared" si="56"/>
        <v>59.460101021379359</v>
      </c>
      <c r="W171" s="58"/>
      <c r="X171" s="157">
        <f t="shared" si="57"/>
        <v>43987</v>
      </c>
      <c r="Y171" s="383">
        <f t="shared" si="58"/>
        <v>23.801975861819532</v>
      </c>
      <c r="Z171" s="383">
        <f t="shared" si="59"/>
        <v>24.036681367405492</v>
      </c>
      <c r="AA171" s="384">
        <f t="shared" si="60"/>
        <v>24.804137219755411</v>
      </c>
      <c r="AB171" s="197">
        <f t="shared" si="61"/>
        <v>43987</v>
      </c>
      <c r="AC171" s="424">
        <f>IF(OR(t&lt;Tnet,NoTnet),'2019'!Resal_s+('2019'!Salim-'2019'!Resal_s)*(1-EXP(('2019'!Tnet_s-t)/'2019'!Tau_j)),Resal_s+(Salim-Resal_s)*(1-EXP((Tnet_s-t)/Tau_j)))*Salcycl</f>
        <v>3.0940638876109573E-2</v>
      </c>
      <c r="AD171" s="230">
        <f>(INDEX(Models!$BJ171:$BT171,,AH171)*(1-AF171)+INDEX(Models!$BJ171:$BT171,,AH171+1)*AF171-ERP_i)*AE171*Ramure*Pc/MaxiM</f>
        <v>4.9806519329857686E-5</v>
      </c>
      <c r="AE171" s="304">
        <f t="shared" si="62"/>
        <v>0.7</v>
      </c>
      <c r="AF171" s="177">
        <f t="shared" si="63"/>
        <v>0.38229517482020337</v>
      </c>
      <c r="AG171" s="176">
        <f t="shared" si="64"/>
        <v>-1</v>
      </c>
      <c r="AH171" s="176">
        <f t="shared" si="65"/>
        <v>5</v>
      </c>
      <c r="AI171" s="224">
        <f t="shared" si="66"/>
        <v>-0.61770482517979663</v>
      </c>
      <c r="AJ171" s="264" t="b">
        <f t="shared" si="67"/>
        <v>0</v>
      </c>
      <c r="AK171" s="264" t="b">
        <f t="shared" si="68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72"/>
        <v>43988</v>
      </c>
      <c r="B172" s="607">
        <v>26.771000000000001</v>
      </c>
      <c r="C172" s="388"/>
      <c r="D172" s="391">
        <f t="shared" si="48"/>
        <v>27.035500461023389</v>
      </c>
      <c r="E172" s="383">
        <f t="shared" si="73"/>
        <v>27.900626177468808</v>
      </c>
      <c r="F172" s="383">
        <f t="shared" si="49"/>
        <v>27.900886373257602</v>
      </c>
      <c r="G172" s="110">
        <f t="shared" si="74"/>
        <v>0.4504178042736896</v>
      </c>
      <c r="H172" s="412" t="b">
        <f>Wh_hp&gt;='2019'!Maxi_hp</f>
        <v>1</v>
      </c>
      <c r="I172" s="388">
        <f>IF(H172,Wh_hp,'2019'!Maxi_hp)</f>
        <v>27.900886373257602</v>
      </c>
      <c r="J172" s="85">
        <f>IF(H172,An,'2019'!An_max)</f>
        <v>2020</v>
      </c>
      <c r="K172" s="197">
        <f t="shared" si="50"/>
        <v>43988</v>
      </c>
      <c r="L172" s="147">
        <f>IF(t&lt;Tvie,1-EXP((T0-t)*PertePVj)+'2019'!Pspv,1-EXP((T0-t)*PertePVj)+Pspv)</f>
        <v>9.7834497794747621E-3</v>
      </c>
      <c r="M172" s="832"/>
      <c r="N172" s="832"/>
      <c r="O172" s="48">
        <f>IF(t&lt;Tnet,'2019'!Resal+('2019'!Salim-'2019'!Resal)*(1-EXP(('2019'!Tnet-t)/('2019'!Tau_j))),Resal+(Salim-Resal)*(1-EXP((Tnet-t)/(Tau_j))))*Salcycl</f>
        <v>3.1007394276478799E-2</v>
      </c>
      <c r="P172" s="169">
        <f>(INDEX(Models!$BJ172:$BT172,,T172)*(1-R172)+INDEX(Models!$BJ172:$BT172,,T172+1)*R172-ERP_i)*Q172*Ramure*Pc/MaxiM</f>
        <v>4.339470623885111E-5</v>
      </c>
      <c r="Q172" s="304">
        <f t="shared" si="51"/>
        <v>0.7</v>
      </c>
      <c r="R172" s="177">
        <f t="shared" si="52"/>
        <v>0.32205826409463201</v>
      </c>
      <c r="S172" s="799">
        <f t="shared" si="53"/>
        <v>-1</v>
      </c>
      <c r="T172" s="176">
        <f t="shared" si="54"/>
        <v>5</v>
      </c>
      <c r="U172" s="250">
        <f t="shared" si="55"/>
        <v>-0.67794173590536799</v>
      </c>
      <c r="V172" s="382">
        <f t="shared" si="56"/>
        <v>59.433902649049422</v>
      </c>
      <c r="W172" s="58"/>
      <c r="X172" s="157">
        <f t="shared" si="57"/>
        <v>43988</v>
      </c>
      <c r="Y172" s="383">
        <f t="shared" si="58"/>
        <v>26.770959108915839</v>
      </c>
      <c r="Z172" s="383">
        <f t="shared" si="59"/>
        <v>27.035459165930764</v>
      </c>
      <c r="AA172" s="384">
        <f t="shared" si="60"/>
        <v>27.900583560948952</v>
      </c>
      <c r="AB172" s="197">
        <f t="shared" si="61"/>
        <v>43988</v>
      </c>
      <c r="AC172" s="424">
        <f>IF(OR(t&lt;Tnet,NoTnet),'2019'!Resal_s+('2019'!Salim-'2019'!Resal_s)*(1-EXP(('2019'!Tnet_s-t)/'2019'!Tau_j)),Resal_s+(Salim-Resal_s)*(1-EXP((Tnet_s-t)/Tau_j)))*Salcycl</f>
        <v>3.1007394276478799E-2</v>
      </c>
      <c r="AD172" s="230">
        <f>(INDEX(Models!$BJ172:$BT172,,AH172)*(1-AF172)+INDEX(Models!$BJ172:$BT172,,AH172+1)*AF172-ERP_i)*AE172*Ramure*Pc/MaxiM</f>
        <v>5.0502167003988552E-5</v>
      </c>
      <c r="AE172" s="304">
        <f t="shared" si="62"/>
        <v>0.7</v>
      </c>
      <c r="AF172" s="177">
        <f t="shared" si="63"/>
        <v>0.38639048635446416</v>
      </c>
      <c r="AG172" s="176">
        <f t="shared" si="64"/>
        <v>-1</v>
      </c>
      <c r="AH172" s="176">
        <f t="shared" si="65"/>
        <v>5</v>
      </c>
      <c r="AI172" s="224">
        <f t="shared" si="66"/>
        <v>-0.61360951364553584</v>
      </c>
      <c r="AJ172" s="264" t="b">
        <f t="shared" si="67"/>
        <v>0</v>
      </c>
      <c r="AK172" s="264" t="b">
        <f t="shared" si="68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72"/>
        <v>43989</v>
      </c>
      <c r="B173" s="607">
        <v>34.466000000000001</v>
      </c>
      <c r="C173" s="388"/>
      <c r="D173" s="391">
        <f t="shared" si="48"/>
        <v>34.807194989833675</v>
      </c>
      <c r="E173" s="383">
        <f t="shared" si="73"/>
        <v>35.923474916103402</v>
      </c>
      <c r="F173" s="383">
        <f t="shared" si="49"/>
        <v>35.924108106911326</v>
      </c>
      <c r="G173" s="110">
        <f t="shared" si="74"/>
        <v>0.58017338553288889</v>
      </c>
      <c r="H173" s="412" t="b">
        <f>Wh_hp&gt;='2019'!Maxi_hp</f>
        <v>0</v>
      </c>
      <c r="I173" s="388">
        <f>IF(H173,Wh_hp,'2019'!Maxi_hp)</f>
        <v>64.215122991320413</v>
      </c>
      <c r="J173" s="85">
        <f>IF(H173,An,'2019'!An_max)</f>
        <v>2018</v>
      </c>
      <c r="K173" s="197">
        <f t="shared" si="50"/>
        <v>43989</v>
      </c>
      <c r="L173" s="147">
        <f>IF(t&lt;Tvie,1-EXP((T0-t)*PertePVj)+'2019'!Pspv,1-EXP((T0-t)*PertePVj)+Pspv)</f>
        <v>9.8024270537551139E-3</v>
      </c>
      <c r="M173" s="832"/>
      <c r="N173" s="832"/>
      <c r="O173" s="48">
        <f>IF(t&lt;Tnet,'2019'!Resal+('2019'!Salim-'2019'!Resal)*(1-EXP(('2019'!Tnet-t)/('2019'!Tau_j))),Resal+(Salim-Resal)*(1-EXP((Tnet-t)/(Tau_j))))*Salcycl</f>
        <v>3.1073829268374379E-2</v>
      </c>
      <c r="P173" s="169">
        <f>(INDEX(Models!$BJ173:$BT173,,T173)*(1-R173)+INDEX(Models!$BJ173:$BT173,,T173+1)*R173-ERP_i)*Q173*Ramure*Pc/MaxiM</f>
        <v>4.4034798996539584E-5</v>
      </c>
      <c r="Q173" s="304">
        <f t="shared" si="51"/>
        <v>0.7</v>
      </c>
      <c r="R173" s="177">
        <f t="shared" si="52"/>
        <v>0.3261639488572452</v>
      </c>
      <c r="S173" s="799">
        <f t="shared" si="53"/>
        <v>-1</v>
      </c>
      <c r="T173" s="176">
        <f t="shared" si="54"/>
        <v>5</v>
      </c>
      <c r="U173" s="250">
        <f t="shared" si="55"/>
        <v>-0.6738360511427548</v>
      </c>
      <c r="V173" s="382">
        <f t="shared" si="56"/>
        <v>59.4048100628019</v>
      </c>
      <c r="W173" s="58"/>
      <c r="X173" s="157">
        <f t="shared" si="57"/>
        <v>43989</v>
      </c>
      <c r="Y173" s="383">
        <f t="shared" si="58"/>
        <v>34.465901580999834</v>
      </c>
      <c r="Z173" s="383">
        <f t="shared" si="59"/>
        <v>34.807095596537977</v>
      </c>
      <c r="AA173" s="384">
        <f t="shared" si="60"/>
        <v>35.923372335227064</v>
      </c>
      <c r="AB173" s="197">
        <f t="shared" si="61"/>
        <v>43989</v>
      </c>
      <c r="AC173" s="424">
        <f>IF(OR(t&lt;Tnet,NoTnet),'2019'!Resal_s+('2019'!Salim-'2019'!Resal_s)*(1-EXP(('2019'!Tnet_s-t)/'2019'!Tau_j)),Resal_s+(Salim-Resal_s)*(1-EXP((Tnet_s-t)/Tau_j)))*Salcycl</f>
        <v>3.1073829268374379E-2</v>
      </c>
      <c r="AD173" s="230">
        <f>(INDEX(Models!$BJ173:$BT173,,AH173)*(1-AF173)+INDEX(Models!$BJ173:$BT173,,AH173+1)*AF173-ERP_i)*AE173*Ramure*Pc/MaxiM</f>
        <v>5.1168712208068449E-5</v>
      </c>
      <c r="AE173" s="304">
        <f t="shared" si="62"/>
        <v>0.7</v>
      </c>
      <c r="AF173" s="177">
        <f t="shared" si="63"/>
        <v>0.39049617111707735</v>
      </c>
      <c r="AG173" s="176">
        <f t="shared" si="64"/>
        <v>-1</v>
      </c>
      <c r="AH173" s="176">
        <f t="shared" si="65"/>
        <v>5</v>
      </c>
      <c r="AI173" s="224">
        <f t="shared" si="66"/>
        <v>-0.60950382888292265</v>
      </c>
      <c r="AJ173" s="264" t="b">
        <f t="shared" si="67"/>
        <v>0</v>
      </c>
      <c r="AK173" s="264" t="b">
        <f t="shared" si="68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72"/>
        <v>43990</v>
      </c>
      <c r="B174" s="607">
        <v>41.418999999999997</v>
      </c>
      <c r="C174" s="388"/>
      <c r="D174" s="391">
        <f t="shared" si="48"/>
        <v>41.829827634961674</v>
      </c>
      <c r="E174" s="383">
        <f t="shared" si="73"/>
        <v>43.17427101727327</v>
      </c>
      <c r="F174" s="383">
        <f t="shared" si="49"/>
        <v>43.175365971644396</v>
      </c>
      <c r="G174" s="110">
        <f t="shared" si="74"/>
        <v>0.69759525115313514</v>
      </c>
      <c r="H174" s="412" t="b">
        <f>Wh_hp&gt;='2019'!Maxi_hp</f>
        <v>0</v>
      </c>
      <c r="I174" s="388">
        <f>IF(H174,Wh_hp,'2019'!Maxi_hp)</f>
        <v>50.154521617664521</v>
      </c>
      <c r="J174" s="85">
        <f>IF(H174,An,'2019'!An_max)</f>
        <v>2018</v>
      </c>
      <c r="K174" s="197">
        <f t="shared" si="50"/>
        <v>43990</v>
      </c>
      <c r="L174" s="147">
        <f>IF(t&lt;Tvie,1-EXP((T0-t)*PertePVj)+'2019'!Pspv,1-EXP((T0-t)*PertePVj)+Pspv)</f>
        <v>9.8214039643401696E-3</v>
      </c>
      <c r="M174" s="832"/>
      <c r="N174" s="832"/>
      <c r="O174" s="48">
        <f>IF(t&lt;Tnet,'2019'!Resal+('2019'!Salim-'2019'!Resal)*(1-EXP(('2019'!Tnet-t)/('2019'!Tau_j))),Resal+(Salim-Resal)*(1-EXP((Tnet-t)/(Tau_j))))*Salcycl</f>
        <v>3.1139920851789377E-2</v>
      </c>
      <c r="P174" s="169">
        <f>(INDEX(Models!$BJ174:$BT174,,T174)*(1-R174)+INDEX(Models!$BJ174:$BT174,,T174+1)*R174-ERP_i)*Q174*Ramure*Pc/MaxiM</f>
        <v>4.4648014286488723E-5</v>
      </c>
      <c r="Q174" s="304">
        <f t="shared" si="51"/>
        <v>0.7</v>
      </c>
      <c r="R174" s="177">
        <f t="shared" si="52"/>
        <v>0.33027656857268983</v>
      </c>
      <c r="S174" s="799">
        <f t="shared" si="53"/>
        <v>-1</v>
      </c>
      <c r="T174" s="176">
        <f t="shared" si="54"/>
        <v>5</v>
      </c>
      <c r="U174" s="250">
        <f t="shared" si="55"/>
        <v>-0.66972343142731017</v>
      </c>
      <c r="V174" s="382">
        <f t="shared" si="56"/>
        <v>59.372825498739019</v>
      </c>
      <c r="W174" s="58"/>
      <c r="X174" s="157">
        <f t="shared" si="57"/>
        <v>43990</v>
      </c>
      <c r="Y174" s="383">
        <f t="shared" si="58"/>
        <v>41.418831621932405</v>
      </c>
      <c r="Z174" s="383">
        <f t="shared" si="59"/>
        <v>41.829657586782218</v>
      </c>
      <c r="AA174" s="384">
        <f t="shared" si="60"/>
        <v>43.1740955036123</v>
      </c>
      <c r="AB174" s="197">
        <f t="shared" si="61"/>
        <v>43990</v>
      </c>
      <c r="AC174" s="424">
        <f>IF(OR(t&lt;Tnet,NoTnet),'2019'!Resal_s+('2019'!Salim-'2019'!Resal_s)*(1-EXP(('2019'!Tnet_s-t)/'2019'!Tau_j)),Resal_s+(Salim-Resal_s)*(1-EXP((Tnet_s-t)/Tau_j)))*Salcycl</f>
        <v>3.1139920851789377E-2</v>
      </c>
      <c r="AD174" s="230">
        <f>(INDEX(Models!$BJ174:$BT174,,AH174)*(1-AF174)+INDEX(Models!$BJ174:$BT174,,AH174+1)*AF174-ERP_i)*AE174*Ramure*Pc/MaxiM</f>
        <v>5.1804784147450972E-5</v>
      </c>
      <c r="AE174" s="304">
        <f t="shared" si="62"/>
        <v>0.7</v>
      </c>
      <c r="AF174" s="177">
        <f t="shared" si="63"/>
        <v>0.39460879083252198</v>
      </c>
      <c r="AG174" s="176">
        <f t="shared" si="64"/>
        <v>-1</v>
      </c>
      <c r="AH174" s="176">
        <f t="shared" si="65"/>
        <v>5</v>
      </c>
      <c r="AI174" s="224">
        <f t="shared" si="66"/>
        <v>-0.60539120916747802</v>
      </c>
      <c r="AJ174" s="264" t="b">
        <f t="shared" si="67"/>
        <v>0</v>
      </c>
      <c r="AK174" s="264" t="b">
        <f t="shared" si="68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72"/>
        <v>43991</v>
      </c>
      <c r="B175" s="607">
        <v>23.725000000000001</v>
      </c>
      <c r="C175" s="388"/>
      <c r="D175" s="391">
        <f t="shared" si="48"/>
        <v>23.960783224274127</v>
      </c>
      <c r="E175" s="383">
        <f t="shared" si="73"/>
        <v>24.732579363171631</v>
      </c>
      <c r="F175" s="383">
        <f t="shared" si="49"/>
        <v>24.732738908416316</v>
      </c>
      <c r="G175" s="110">
        <f t="shared" si="74"/>
        <v>0.39981292637263283</v>
      </c>
      <c r="H175" s="412" t="b">
        <f>Wh_hp&gt;='2019'!Maxi_hp</f>
        <v>1</v>
      </c>
      <c r="I175" s="388">
        <f>IF(H175,Wh_hp,'2019'!Maxi_hp)</f>
        <v>24.732738908416316</v>
      </c>
      <c r="J175" s="85">
        <f>IF(H175,An,'2019'!An_max)</f>
        <v>2020</v>
      </c>
      <c r="K175" s="197">
        <f t="shared" si="50"/>
        <v>43991</v>
      </c>
      <c r="L175" s="147">
        <f>IF(t&lt;Tvie,1-EXP((T0-t)*PertePVj)+'2019'!Pspv,1-EXP((T0-t)*PertePVj)+Pspv)</f>
        <v>9.8403805112371456E-3</v>
      </c>
      <c r="M175" s="832"/>
      <c r="N175" s="832"/>
      <c r="O175" s="48">
        <f>IF(t&lt;Tnet,'2019'!Resal+('2019'!Salim-'2019'!Resal)*(1-EXP(('2019'!Tnet-t)/('2019'!Tau_j))),Resal+(Salim-Resal)*(1-EXP((Tnet-t)/(Tau_j))))*Salcycl</f>
        <v>3.120564691472311E-2</v>
      </c>
      <c r="P175" s="169">
        <f>(INDEX(Models!$BJ175:$BT175,,T175)*(1-R175)+INDEX(Models!$BJ175:$BT175,,T175+1)*R175-ERP_i)*Q175*Ramure*Pc/MaxiM</f>
        <v>4.5233004808376122E-5</v>
      </c>
      <c r="Q175" s="304">
        <f t="shared" si="51"/>
        <v>0.7</v>
      </c>
      <c r="R175" s="177">
        <f t="shared" si="52"/>
        <v>0.33439266162149917</v>
      </c>
      <c r="S175" s="799">
        <f t="shared" si="53"/>
        <v>-1</v>
      </c>
      <c r="T175" s="176">
        <f t="shared" si="54"/>
        <v>5</v>
      </c>
      <c r="U175" s="250">
        <f t="shared" si="55"/>
        <v>-0.66560733837850083</v>
      </c>
      <c r="V175" s="382">
        <f t="shared" si="56"/>
        <v>59.337951128337373</v>
      </c>
      <c r="W175" s="58"/>
      <c r="X175" s="157">
        <f t="shared" si="57"/>
        <v>43991</v>
      </c>
      <c r="Y175" s="383">
        <f t="shared" si="58"/>
        <v>23.72497572006834</v>
      </c>
      <c r="Z175" s="383">
        <f t="shared" si="59"/>
        <v>23.960758703044231</v>
      </c>
      <c r="AA175" s="384">
        <f t="shared" si="60"/>
        <v>24.732554052093157</v>
      </c>
      <c r="AB175" s="197">
        <f t="shared" si="61"/>
        <v>43991</v>
      </c>
      <c r="AC175" s="424">
        <f>IF(OR(t&lt;Tnet,NoTnet),'2019'!Resal_s+('2019'!Salim-'2019'!Resal_s)*(1-EXP(('2019'!Tnet_s-t)/'2019'!Tau_j)),Resal_s+(Salim-Resal_s)*(1-EXP((Tnet_s-t)/Tau_j)))*Salcycl</f>
        <v>3.120564691472311E-2</v>
      </c>
      <c r="AD175" s="230">
        <f>(INDEX(Models!$BJ175:$BT175,,AH175)*(1-AF175)+INDEX(Models!$BJ175:$BT175,,AH175+1)*AF175-ERP_i)*AE175*Ramure*Pc/MaxiM</f>
        <v>5.2409001414641806E-5</v>
      </c>
      <c r="AE175" s="304">
        <f t="shared" si="62"/>
        <v>0.7</v>
      </c>
      <c r="AF175" s="177">
        <f t="shared" si="63"/>
        <v>0.39872488388133132</v>
      </c>
      <c r="AG175" s="176">
        <f t="shared" si="64"/>
        <v>-1</v>
      </c>
      <c r="AH175" s="176">
        <f t="shared" si="65"/>
        <v>5</v>
      </c>
      <c r="AI175" s="224">
        <f t="shared" si="66"/>
        <v>-0.60127511611866868</v>
      </c>
      <c r="AJ175" s="264" t="b">
        <f t="shared" si="67"/>
        <v>0</v>
      </c>
      <c r="AK175" s="264" t="b">
        <f t="shared" si="68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72"/>
        <v>43992</v>
      </c>
      <c r="B176" s="607">
        <v>46.826999999999998</v>
      </c>
      <c r="C176" s="388"/>
      <c r="D176" s="391">
        <f t="shared" si="48"/>
        <v>47.293281329882426</v>
      </c>
      <c r="E176" s="383">
        <f t="shared" si="73"/>
        <v>48.819928650928979</v>
      </c>
      <c r="F176" s="383">
        <f t="shared" si="49"/>
        <v>48.821492386976132</v>
      </c>
      <c r="G176" s="110">
        <f t="shared" si="74"/>
        <v>0.78964934925862496</v>
      </c>
      <c r="H176" s="412" t="b">
        <f>Wh_hp&gt;='2019'!Maxi_hp</f>
        <v>1</v>
      </c>
      <c r="I176" s="388">
        <f>IF(H176,Wh_hp,'2019'!Maxi_hp)</f>
        <v>48.821492386976132</v>
      </c>
      <c r="J176" s="85">
        <f>IF(H176,An,'2019'!An_max)</f>
        <v>2020</v>
      </c>
      <c r="K176" s="197">
        <f t="shared" si="50"/>
        <v>43992</v>
      </c>
      <c r="L176" s="147">
        <f>IF(t&lt;Tvie,1-EXP((T0-t)*PertePVj)+'2019'!Pspv,1-EXP((T0-t)*PertePVj)+Pspv)</f>
        <v>9.8593566944530364E-3</v>
      </c>
      <c r="M176" s="832"/>
      <c r="N176" s="832"/>
      <c r="O176" s="48">
        <f>IF(t&lt;Tnet,'2019'!Resal+('2019'!Salim-'2019'!Resal)*(1-EXP(('2019'!Tnet-t)/('2019'!Tau_j))),Resal+(Salim-Resal)*(1-EXP((Tnet-t)/(Tau_j))))*Salcycl</f>
        <v>3.1270986321228517E-2</v>
      </c>
      <c r="P176" s="169">
        <f>(INDEX(Models!$BJ176:$BT176,,T176)*(1-R176)+INDEX(Models!$BJ176:$BT176,,T176+1)*R176-ERP_i)*Q176*Ramure*Pc/MaxiM</f>
        <v>4.5788415844934187E-5</v>
      </c>
      <c r="Q176" s="304">
        <f t="shared" si="51"/>
        <v>0.7</v>
      </c>
      <c r="R176" s="177">
        <f t="shared" si="52"/>
        <v>0.33850875467030828</v>
      </c>
      <c r="S176" s="799">
        <f t="shared" si="53"/>
        <v>-1</v>
      </c>
      <c r="T176" s="176">
        <f t="shared" si="54"/>
        <v>5</v>
      </c>
      <c r="U176" s="250">
        <f t="shared" si="55"/>
        <v>-0.66149124532969172</v>
      </c>
      <c r="V176" s="382">
        <f t="shared" si="56"/>
        <v>59.300189055182848</v>
      </c>
      <c r="W176" s="58"/>
      <c r="X176" s="157">
        <f t="shared" si="57"/>
        <v>43992</v>
      </c>
      <c r="Y176" s="383">
        <f t="shared" si="58"/>
        <v>46.826764424473652</v>
      </c>
      <c r="Z176" s="383">
        <f t="shared" si="59"/>
        <v>47.293043408605342</v>
      </c>
      <c r="AA176" s="384">
        <f t="shared" si="60"/>
        <v>48.819683049451449</v>
      </c>
      <c r="AB176" s="197">
        <f t="shared" si="61"/>
        <v>43992</v>
      </c>
      <c r="AC176" s="424">
        <f>IF(OR(t&lt;Tnet,NoTnet),'2019'!Resal_s+('2019'!Salim-'2019'!Resal_s)*(1-EXP(('2019'!Tnet_s-t)/'2019'!Tau_j)),Resal_s+(Salim-Resal_s)*(1-EXP((Tnet_s-t)/Tau_j)))*Salcycl</f>
        <v>3.1270986321228517E-2</v>
      </c>
      <c r="AD176" s="230">
        <f>(INDEX(Models!$BJ176:$BT176,,AH176)*(1-AF176)+INDEX(Models!$BJ176:$BT176,,AH176+1)*AF176-ERP_i)*AE176*Ramure*Pc/MaxiM</f>
        <v>5.2979976470509637E-5</v>
      </c>
      <c r="AE176" s="304">
        <f t="shared" si="62"/>
        <v>0.7</v>
      </c>
      <c r="AF176" s="177">
        <f t="shared" si="63"/>
        <v>0.40284097693014043</v>
      </c>
      <c r="AG176" s="176">
        <f t="shared" si="64"/>
        <v>-1</v>
      </c>
      <c r="AH176" s="176">
        <f t="shared" si="65"/>
        <v>5</v>
      </c>
      <c r="AI176" s="224">
        <f t="shared" si="66"/>
        <v>-0.59715902306985957</v>
      </c>
      <c r="AJ176" s="264" t="b">
        <f t="shared" si="67"/>
        <v>0</v>
      </c>
      <c r="AK176" s="264" t="b">
        <f t="shared" si="68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72"/>
        <v>43993</v>
      </c>
      <c r="B177" s="607">
        <v>28.925000000000001</v>
      </c>
      <c r="C177" s="388"/>
      <c r="D177" s="391">
        <f t="shared" si="48"/>
        <v>29.213581471702142</v>
      </c>
      <c r="E177" s="383">
        <f t="shared" si="73"/>
        <v>30.158629853802136</v>
      </c>
      <c r="F177" s="383">
        <f t="shared" si="49"/>
        <v>30.159005194734195</v>
      </c>
      <c r="G177" s="110">
        <f t="shared" si="74"/>
        <v>0.48809052066159847</v>
      </c>
      <c r="H177" s="412" t="b">
        <f>Wh_hp&gt;='2019'!Maxi_hp</f>
        <v>0</v>
      </c>
      <c r="I177" s="388">
        <f>IF(H177,Wh_hp,'2019'!Maxi_hp)</f>
        <v>60.295662422048899</v>
      </c>
      <c r="J177" s="85">
        <f>IF(H177,An,'2019'!An_max)</f>
        <v>2018</v>
      </c>
      <c r="K177" s="197">
        <f t="shared" si="50"/>
        <v>43993</v>
      </c>
      <c r="L177" s="147">
        <f>IF(t&lt;Tvie,1-EXP((T0-t)*PertePVj)+'2019'!Pspv,1-EXP((T0-t)*PertePVj)+Pspv)</f>
        <v>9.8783325139945033E-3</v>
      </c>
      <c r="M177" s="832"/>
      <c r="N177" s="832"/>
      <c r="O177" s="48">
        <f>IF(t&lt;Tnet,'2019'!Resal+('2019'!Salim-'2019'!Resal)*(1-EXP(('2019'!Tnet-t)/('2019'!Tau_j))),Resal+(Salim-Resal)*(1-EXP((Tnet-t)/(Tau_j))))*Salcycl</f>
        <v>3.1335918995035218E-2</v>
      </c>
      <c r="P177" s="169">
        <f>(INDEX(Models!$BJ177:$BT177,,T177)*(1-R177)+INDEX(Models!$BJ177:$BT177,,T177+1)*R177-ERP_i)*Q177*Ramure*Pc/MaxiM</f>
        <v>4.6312889645719845E-5</v>
      </c>
      <c r="Q177" s="304">
        <f t="shared" si="51"/>
        <v>0.7</v>
      </c>
      <c r="R177" s="177">
        <f t="shared" si="52"/>
        <v>0.34262137438575302</v>
      </c>
      <c r="S177" s="799">
        <f t="shared" si="53"/>
        <v>-1</v>
      </c>
      <c r="T177" s="176">
        <f t="shared" si="54"/>
        <v>5</v>
      </c>
      <c r="U177" s="250">
        <f t="shared" si="55"/>
        <v>-0.65737862561424698</v>
      </c>
      <c r="V177" s="382">
        <f t="shared" si="56"/>
        <v>59.259541307032372</v>
      </c>
      <c r="W177" s="58"/>
      <c r="X177" s="157">
        <f t="shared" si="57"/>
        <v>43993</v>
      </c>
      <c r="Y177" s="383">
        <f t="shared" si="58"/>
        <v>28.92494400810337</v>
      </c>
      <c r="Z177" s="383">
        <f t="shared" si="59"/>
        <v>29.213524921180657</v>
      </c>
      <c r="AA177" s="384">
        <f t="shared" si="60"/>
        <v>30.158571473892533</v>
      </c>
      <c r="AB177" s="197">
        <f t="shared" si="61"/>
        <v>43993</v>
      </c>
      <c r="AC177" s="424">
        <f>IF(OR(t&lt;Tnet,NoTnet),'2019'!Resal_s+('2019'!Salim-'2019'!Resal_s)*(1-EXP(('2019'!Tnet_s-t)/'2019'!Tau_j)),Resal_s+(Salim-Resal_s)*(1-EXP((Tnet_s-t)/Tau_j)))*Salcycl</f>
        <v>3.1335918995035218E-2</v>
      </c>
      <c r="AD177" s="230">
        <f>(INDEX(Models!$BJ177:$BT177,,AH177)*(1-AF177)+INDEX(Models!$BJ177:$BT177,,AH177+1)*AF177-ERP_i)*AE177*Ramure*Pc/MaxiM</f>
        <v>5.3516320127236955E-5</v>
      </c>
      <c r="AE177" s="304">
        <f t="shared" si="62"/>
        <v>0.7</v>
      </c>
      <c r="AF177" s="177">
        <f t="shared" si="63"/>
        <v>0.40695359664558517</v>
      </c>
      <c r="AG177" s="176">
        <f t="shared" si="64"/>
        <v>-1</v>
      </c>
      <c r="AH177" s="176">
        <f t="shared" si="65"/>
        <v>5</v>
      </c>
      <c r="AI177" s="224">
        <f t="shared" si="66"/>
        <v>-0.59304640335441483</v>
      </c>
      <c r="AJ177" s="264" t="b">
        <f t="shared" si="67"/>
        <v>0</v>
      </c>
      <c r="AK177" s="264" t="b">
        <f t="shared" si="68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72"/>
        <v>43994</v>
      </c>
      <c r="B178" s="607">
        <v>50.988999999999997</v>
      </c>
      <c r="C178" s="388"/>
      <c r="D178" s="391">
        <f t="shared" si="48"/>
        <v>51.498698478893019</v>
      </c>
      <c r="E178" s="383">
        <f t="shared" si="73"/>
        <v>53.168202693008894</v>
      </c>
      <c r="F178" s="383">
        <f t="shared" si="49"/>
        <v>53.170197976171465</v>
      </c>
      <c r="G178" s="110">
        <f t="shared" si="74"/>
        <v>0.86105982175613272</v>
      </c>
      <c r="H178" s="412" t="b">
        <f>Wh_hp&gt;='2019'!Maxi_hp</f>
        <v>0</v>
      </c>
      <c r="I178" s="388">
        <f>IF(H178,Wh_hp,'2019'!Maxi_hp)</f>
        <v>64.172787836056131</v>
      </c>
      <c r="J178" s="85">
        <f>IF(H178,An,'2019'!An_max)</f>
        <v>2018</v>
      </c>
      <c r="K178" s="197">
        <f t="shared" si="50"/>
        <v>43994</v>
      </c>
      <c r="L178" s="147">
        <f>IF(t&lt;Tvie,1-EXP((T0-t)*PertePVj)+'2019'!Pspv,1-EXP((T0-t)*PertePVj)+Pspv)</f>
        <v>9.8973079698688737E-3</v>
      </c>
      <c r="M178" s="832"/>
      <c r="N178" s="832"/>
      <c r="O178" s="48">
        <f>IF(t&lt;Tnet,'2019'!Resal+('2019'!Salim-'2019'!Resal)*(1-EXP(('2019'!Tnet-t)/('2019'!Tau_j))),Resal+(Salim-Resal)*(1-EXP((Tnet-t)/(Tau_j))))*Salcycl</f>
        <v>3.1400425998138845E-2</v>
      </c>
      <c r="P178" s="169">
        <f>(INDEX(Models!$BJ178:$BT178,,T178)*(1-R178)+INDEX(Models!$BJ178:$BT178,,T178+1)*R178-ERP_i)*Q178*Ramure*Pc/MaxiM</f>
        <v>4.6818655438411077E-5</v>
      </c>
      <c r="Q178" s="304">
        <f t="shared" si="51"/>
        <v>0.7</v>
      </c>
      <c r="R178" s="177">
        <f t="shared" si="52"/>
        <v>0.34672705914836621</v>
      </c>
      <c r="S178" s="799">
        <f t="shared" si="53"/>
        <v>-1</v>
      </c>
      <c r="T178" s="176">
        <f t="shared" si="54"/>
        <v>5</v>
      </c>
      <c r="U178" s="250">
        <f t="shared" si="55"/>
        <v>-0.65327294085163379</v>
      </c>
      <c r="V178" s="382">
        <f t="shared" si="56"/>
        <v>59.216009025461048</v>
      </c>
      <c r="W178" s="58"/>
      <c r="X178" s="157">
        <f t="shared" si="57"/>
        <v>43994</v>
      </c>
      <c r="Y178" s="383">
        <f t="shared" si="58"/>
        <v>50.988705189555212</v>
      </c>
      <c r="Z178" s="383">
        <f t="shared" si="59"/>
        <v>51.498400721451134</v>
      </c>
      <c r="AA178" s="384">
        <f t="shared" si="60"/>
        <v>53.167895282754046</v>
      </c>
      <c r="AB178" s="197">
        <f t="shared" si="61"/>
        <v>43994</v>
      </c>
      <c r="AC178" s="424">
        <f>IF(OR(t&lt;Tnet,NoTnet),'2019'!Resal_s+('2019'!Salim-'2019'!Resal_s)*(1-EXP(('2019'!Tnet_s-t)/'2019'!Tau_j)),Resal_s+(Salim-Resal_s)*(1-EXP((Tnet_s-t)/Tau_j)))*Salcycl</f>
        <v>3.1400425998138845E-2</v>
      </c>
      <c r="AD178" s="230">
        <f>(INDEX(Models!$BJ178:$BT178,,AH178)*(1-AF178)+INDEX(Models!$BJ178:$BT178,,AH178+1)*AF178-ERP_i)*AE178*Ramure*Pc/MaxiM</f>
        <v>5.4031934771320622E-5</v>
      </c>
      <c r="AE178" s="304">
        <f t="shared" si="62"/>
        <v>0.7</v>
      </c>
      <c r="AF178" s="177">
        <f t="shared" si="63"/>
        <v>0.41105928140819836</v>
      </c>
      <c r="AG178" s="176">
        <f t="shared" si="64"/>
        <v>-1</v>
      </c>
      <c r="AH178" s="176">
        <f t="shared" si="65"/>
        <v>5</v>
      </c>
      <c r="AI178" s="224">
        <f t="shared" si="66"/>
        <v>-0.58894071859180164</v>
      </c>
      <c r="AJ178" s="264" t="b">
        <f t="shared" si="67"/>
        <v>0</v>
      </c>
      <c r="AK178" s="264" t="b">
        <f t="shared" si="68"/>
        <v>0</v>
      </c>
      <c r="AL178" s="264"/>
      <c r="AM178" s="264"/>
      <c r="AN178" s="75"/>
    </row>
    <row r="179" spans="1:40" s="6" customFormat="1" ht="11.25" x14ac:dyDescent="0.2">
      <c r="A179" s="56">
        <f t="shared" si="72"/>
        <v>43995</v>
      </c>
      <c r="B179" s="607">
        <v>45.453000000000003</v>
      </c>
      <c r="C179" s="388"/>
      <c r="D179" s="391">
        <f t="shared" si="48"/>
        <v>45.908239093735261</v>
      </c>
      <c r="E179" s="383">
        <f t="shared" si="73"/>
        <v>47.399644722323558</v>
      </c>
      <c r="F179" s="383">
        <f t="shared" si="49"/>
        <v>47.401144824742019</v>
      </c>
      <c r="G179" s="110">
        <f t="shared" si="74"/>
        <v>0.76816968261978291</v>
      </c>
      <c r="H179" s="412" t="b">
        <f>Wh_hp&gt;='2019'!Maxi_hp</f>
        <v>1</v>
      </c>
      <c r="I179" s="388">
        <f>IF(H179,Wh_hp,'2019'!Maxi_hp)</f>
        <v>47.401144824742019</v>
      </c>
      <c r="J179" s="85">
        <f>IF(H179,An,'2019'!An_max)</f>
        <v>2020</v>
      </c>
      <c r="K179" s="197">
        <f t="shared" si="50"/>
        <v>43995</v>
      </c>
      <c r="L179" s="147">
        <f>IF(t&lt;Tvie,1-EXP((T0-t)*PertePVj)+'2019'!Pspv,1-EXP((T0-t)*PertePVj)+Pspv)</f>
        <v>9.9162830620829201E-3</v>
      </c>
      <c r="M179" s="832"/>
      <c r="N179" s="832"/>
      <c r="O179" s="48">
        <f>IF(t&lt;Tnet,'2019'!Resal+('2019'!Salim-'2019'!Resal)*(1-EXP(('2019'!Tnet-t)/('2019'!Tau_j))),Resal+(Salim-Resal)*(1-EXP((Tnet-t)/(Tau_j))))*Salcycl</f>
        <v>3.1464489603777415E-2</v>
      </c>
      <c r="P179" s="169">
        <f>(INDEX(Models!$BJ179:$BT179,,T179)*(1-R179)+INDEX(Models!$BJ179:$BT179,,T179+1)*R179-ERP_i)*Q179*Ramure*Pc/MaxiM</f>
        <v>4.7316832838021806E-5</v>
      </c>
      <c r="Q179" s="304">
        <f t="shared" si="51"/>
        <v>0.7</v>
      </c>
      <c r="R179" s="177">
        <f t="shared" si="52"/>
        <v>0.350822370682627</v>
      </c>
      <c r="S179" s="799">
        <f t="shared" si="53"/>
        <v>-1</v>
      </c>
      <c r="T179" s="176">
        <f t="shared" si="54"/>
        <v>5</v>
      </c>
      <c r="U179" s="250">
        <f t="shared" si="55"/>
        <v>-0.649177629317373</v>
      </c>
      <c r="V179" s="382">
        <f t="shared" si="56"/>
        <v>59.169593337750499</v>
      </c>
      <c r="W179" s="58"/>
      <c r="X179" s="157">
        <f t="shared" si="57"/>
        <v>43995</v>
      </c>
      <c r="Y179" s="383">
        <f t="shared" si="58"/>
        <v>45.452780440658245</v>
      </c>
      <c r="Z179" s="383">
        <f t="shared" si="59"/>
        <v>45.908017335374829</v>
      </c>
      <c r="AA179" s="384">
        <f t="shared" si="60"/>
        <v>47.399415759773341</v>
      </c>
      <c r="AB179" s="197">
        <f t="shared" si="61"/>
        <v>43995</v>
      </c>
      <c r="AC179" s="424">
        <f>IF(OR(t&lt;Tnet,NoTnet),'2019'!Resal_s+('2019'!Salim-'2019'!Resal_s)*(1-EXP(('2019'!Tnet_s-t)/'2019'!Tau_j)),Resal_s+(Salim-Resal_s)*(1-EXP((Tnet_s-t)/Tau_j)))*Salcycl</f>
        <v>3.1464489603777415E-2</v>
      </c>
      <c r="AD179" s="230">
        <f>(INDEX(Models!$BJ179:$BT179,,AH179)*(1-AF179)+INDEX(Models!$BJ179:$BT179,,AH179+1)*AF179-ERP_i)*AE179*Ramure*Pc/MaxiM</f>
        <v>5.4538861535175603E-5</v>
      </c>
      <c r="AE179" s="304">
        <f t="shared" si="62"/>
        <v>0.7</v>
      </c>
      <c r="AF179" s="177">
        <f t="shared" si="63"/>
        <v>0.41515459294245916</v>
      </c>
      <c r="AG179" s="176">
        <f t="shared" si="64"/>
        <v>-1</v>
      </c>
      <c r="AH179" s="176">
        <f t="shared" si="65"/>
        <v>5</v>
      </c>
      <c r="AI179" s="224">
        <f t="shared" si="66"/>
        <v>-0.58484540705754084</v>
      </c>
      <c r="AJ179" s="264" t="b">
        <f t="shared" si="67"/>
        <v>0</v>
      </c>
      <c r="AK179" s="264" t="b">
        <f t="shared" si="68"/>
        <v>0</v>
      </c>
      <c r="AL179" s="264"/>
      <c r="AM179" s="264"/>
      <c r="AN179" s="75"/>
    </row>
    <row r="180" spans="1:40" s="6" customFormat="1" ht="11.25" customHeight="1" x14ac:dyDescent="0.2">
      <c r="A180" s="56">
        <f t="shared" si="72"/>
        <v>43996</v>
      </c>
      <c r="B180" s="607">
        <v>46.396000000000001</v>
      </c>
      <c r="C180" s="388"/>
      <c r="D180" s="391">
        <f t="shared" si="48"/>
        <v>46.86158189662028</v>
      </c>
      <c r="E180" s="383">
        <f t="shared" si="73"/>
        <v>48.387136039245988</v>
      </c>
      <c r="F180" s="383">
        <f t="shared" si="49"/>
        <v>48.3887380812575</v>
      </c>
      <c r="G180" s="110">
        <f t="shared" si="74"/>
        <v>0.78476126067470275</v>
      </c>
      <c r="H180" s="412" t="b">
        <f>Wh_hp&gt;='2019'!Maxi_hp</f>
        <v>1</v>
      </c>
      <c r="I180" s="388">
        <f>IF(H180,Wh_hp,'2019'!Maxi_hp)</f>
        <v>48.3887380812575</v>
      </c>
      <c r="J180" s="85">
        <f>IF(H180,An,'2019'!An_max)</f>
        <v>2020</v>
      </c>
      <c r="K180" s="197">
        <f t="shared" si="50"/>
        <v>43996</v>
      </c>
      <c r="L180" s="147">
        <f>IF(t&lt;Tvie,1-EXP((T0-t)*PertePVj)+'2019'!Pspv,1-EXP((T0-t)*PertePVj)+Pspv)</f>
        <v>9.9352577906436368E-3</v>
      </c>
      <c r="M180" s="832"/>
      <c r="N180" s="832"/>
      <c r="O180" s="48">
        <f>IF(t&lt;Tnet,'2019'!Resal+('2019'!Salim-'2019'!Resal)*(1-EXP(('2019'!Tnet-t)/('2019'!Tau_j))),Resal+(Salim-Resal)*(1-EXP((Tnet-t)/(Tau_j))))*Salcycl</f>
        <v>3.1528093363251679E-2</v>
      </c>
      <c r="P180" s="169">
        <f>(INDEX(Models!$BJ180:$BT180,,T180)*(1-R180)+INDEX(Models!$BJ180:$BT180,,T180+1)*R180-ERP_i)*Q180*Ramure*Pc/MaxiM</f>
        <v>4.7806770136226922E-5</v>
      </c>
      <c r="Q180" s="304">
        <f t="shared" si="51"/>
        <v>0.7</v>
      </c>
      <c r="R180" s="177">
        <f t="shared" si="52"/>
        <v>0.35490390552033901</v>
      </c>
      <c r="S180" s="799">
        <f t="shared" si="53"/>
        <v>-1</v>
      </c>
      <c r="T180" s="176">
        <f t="shared" si="54"/>
        <v>5</v>
      </c>
      <c r="U180" s="250">
        <f t="shared" si="55"/>
        <v>-0.64509609447966099</v>
      </c>
      <c r="V180" s="382">
        <f t="shared" si="56"/>
        <v>59.120295975837976</v>
      </c>
      <c r="W180" s="58"/>
      <c r="X180" s="157">
        <f t="shared" si="57"/>
        <v>43996</v>
      </c>
      <c r="Y180" s="383">
        <f t="shared" si="58"/>
        <v>46.39576769763471</v>
      </c>
      <c r="Z180" s="383">
        <f t="shared" si="59"/>
        <v>46.861347263110588</v>
      </c>
      <c r="AA180" s="384">
        <f t="shared" si="60"/>
        <v>48.386893767365841</v>
      </c>
      <c r="AB180" s="197">
        <f t="shared" si="61"/>
        <v>43996</v>
      </c>
      <c r="AC180" s="424">
        <f>IF(OR(t&lt;Tnet,NoTnet),'2019'!Resal_s+('2019'!Salim-'2019'!Resal_s)*(1-EXP(('2019'!Tnet_s-t)/'2019'!Tau_j)),Resal_s+(Salim-Resal_s)*(1-EXP((Tnet_s-t)/Tau_j)))*Salcycl</f>
        <v>3.1528093363251679E-2</v>
      </c>
      <c r="AD180" s="230">
        <f>(INDEX(Models!$BJ180:$BT180,,AH180)*(1-AF180)+INDEX(Models!$BJ180:$BT180,,AH180+1)*AF180-ERP_i)*AE180*Ramure*Pc/MaxiM</f>
        <v>5.5036440769843014E-5</v>
      </c>
      <c r="AE180" s="304">
        <f t="shared" si="62"/>
        <v>0.7</v>
      </c>
      <c r="AF180" s="177">
        <f t="shared" si="63"/>
        <v>0.41923612778017116</v>
      </c>
      <c r="AG180" s="176">
        <f t="shared" si="64"/>
        <v>-1</v>
      </c>
      <c r="AH180" s="176">
        <f t="shared" si="65"/>
        <v>5</v>
      </c>
      <c r="AI180" s="224">
        <f t="shared" si="66"/>
        <v>-0.58076387221982884</v>
      </c>
      <c r="AJ180" s="264" t="b">
        <f t="shared" si="67"/>
        <v>0</v>
      </c>
      <c r="AK180" s="264" t="b">
        <f t="shared" si="68"/>
        <v>0</v>
      </c>
      <c r="AL180" s="264"/>
      <c r="AM180" s="264"/>
      <c r="AN180" s="75"/>
    </row>
    <row r="181" spans="1:40" s="6" customFormat="1" ht="11.25" x14ac:dyDescent="0.2">
      <c r="A181" s="56">
        <f t="shared" si="72"/>
        <v>43997</v>
      </c>
      <c r="B181" s="607">
        <v>48.817999999999998</v>
      </c>
      <c r="C181" s="388"/>
      <c r="D181" s="391">
        <f t="shared" si="48"/>
        <v>49.30883155663404</v>
      </c>
      <c r="E181" s="383">
        <f t="shared" si="73"/>
        <v>50.917373618737258</v>
      </c>
      <c r="F181" s="383">
        <f t="shared" si="49"/>
        <v>50.919222864543073</v>
      </c>
      <c r="G181" s="110">
        <f t="shared" si="74"/>
        <v>0.82645963290618818</v>
      </c>
      <c r="H181" s="412" t="b">
        <f>Wh_hp&gt;='2019'!Maxi_hp</f>
        <v>0</v>
      </c>
      <c r="I181" s="388">
        <f>IF(H181,Wh_hp,'2019'!Maxi_hp)</f>
        <v>62.895191551516874</v>
      </c>
      <c r="J181" s="85">
        <f>IF(H181,An,'2019'!An_max)</f>
        <v>2018</v>
      </c>
      <c r="K181" s="197">
        <f t="shared" si="50"/>
        <v>43997</v>
      </c>
      <c r="L181" s="147">
        <f>IF(t&lt;Tvie,1-EXP((T0-t)*PertePVj)+'2019'!Pspv,1-EXP((T0-t)*PertePVj)+Pspv)</f>
        <v>9.9542321555580182E-3</v>
      </c>
      <c r="M181" s="832"/>
      <c r="N181" s="832"/>
      <c r="O181" s="48">
        <f>IF(t&lt;Tnet,'2019'!Resal+('2019'!Salim-'2019'!Resal)*(1-EXP(('2019'!Tnet-t)/('2019'!Tau_j))),Resal+(Salim-Resal)*(1-EXP((Tnet-t)/(Tau_j))))*Salcycl</f>
        <v>3.159122216608768E-2</v>
      </c>
      <c r="P181" s="169">
        <f>(INDEX(Models!$BJ181:$BT181,,T181)*(1-R181)+INDEX(Models!$BJ181:$BT181,,T181+1)*R181-ERP_i)*Q181*Ramure*Pc/MaxiM</f>
        <v>4.8287828699517699E-5</v>
      </c>
      <c r="Q181" s="304">
        <f t="shared" si="51"/>
        <v>0.7</v>
      </c>
      <c r="R181" s="177">
        <f t="shared" si="52"/>
        <v>0.35896830621655651</v>
      </c>
      <c r="S181" s="799">
        <f t="shared" si="53"/>
        <v>-1</v>
      </c>
      <c r="T181" s="176">
        <f t="shared" si="54"/>
        <v>5</v>
      </c>
      <c r="U181" s="250">
        <f t="shared" si="55"/>
        <v>-0.64103169378344349</v>
      </c>
      <c r="V181" s="382">
        <f t="shared" si="56"/>
        <v>59.068118580789516</v>
      </c>
      <c r="W181" s="58"/>
      <c r="X181" s="157">
        <f t="shared" si="57"/>
        <v>43997</v>
      </c>
      <c r="Y181" s="383">
        <f t="shared" si="58"/>
        <v>48.817734306188228</v>
      </c>
      <c r="Z181" s="383">
        <f t="shared" si="59"/>
        <v>49.308563191452954</v>
      </c>
      <c r="AA181" s="384">
        <f t="shared" si="60"/>
        <v>50.917096499005147</v>
      </c>
      <c r="AB181" s="197">
        <f t="shared" si="61"/>
        <v>43997</v>
      </c>
      <c r="AC181" s="424">
        <f>IF(OR(t&lt;Tnet,NoTnet),'2019'!Resal_s+('2019'!Salim-'2019'!Resal_s)*(1-EXP(('2019'!Tnet_s-t)/'2019'!Tau_j)),Resal_s+(Salim-Resal_s)*(1-EXP((Tnet_s-t)/Tau_j)))*Salcycl</f>
        <v>3.159122216608768E-2</v>
      </c>
      <c r="AD181" s="230">
        <f>(INDEX(Models!$BJ181:$BT181,,AH181)*(1-AF181)+INDEX(Models!$BJ181:$BT181,,AH181+1)*AF181-ERP_i)*AE181*Ramure*Pc/MaxiM</f>
        <v>5.5524027430536791E-5</v>
      </c>
      <c r="AE181" s="304">
        <f t="shared" si="62"/>
        <v>0.7</v>
      </c>
      <c r="AF181" s="177">
        <f t="shared" si="63"/>
        <v>0.42330052847638866</v>
      </c>
      <c r="AG181" s="176">
        <f t="shared" si="64"/>
        <v>-1</v>
      </c>
      <c r="AH181" s="176">
        <f t="shared" si="65"/>
        <v>5</v>
      </c>
      <c r="AI181" s="224">
        <f t="shared" si="66"/>
        <v>-0.57669947152361134</v>
      </c>
      <c r="AJ181" s="264" t="b">
        <f t="shared" si="67"/>
        <v>0</v>
      </c>
      <c r="AK181" s="264" t="b">
        <f t="shared" si="68"/>
        <v>0</v>
      </c>
      <c r="AL181" s="264"/>
      <c r="AM181" s="264"/>
      <c r="AN181" s="75"/>
    </row>
    <row r="182" spans="1:40" s="6" customFormat="1" ht="11.25" x14ac:dyDescent="0.2">
      <c r="A182" s="56">
        <f t="shared" si="72"/>
        <v>43998</v>
      </c>
      <c r="B182" s="607">
        <v>34.445</v>
      </c>
      <c r="C182" s="388"/>
      <c r="D182" s="391">
        <f t="shared" si="48"/>
        <v>34.791987665594974</v>
      </c>
      <c r="E182" s="383">
        <f t="shared" si="73"/>
        <v>35.929288413318723</v>
      </c>
      <c r="F182" s="383">
        <f t="shared" si="49"/>
        <v>35.929998404132036</v>
      </c>
      <c r="G182" s="110">
        <f t="shared" si="74"/>
        <v>0.58366740408269235</v>
      </c>
      <c r="H182" s="412" t="b">
        <f>Wh_hp&gt;='2019'!Maxi_hp</f>
        <v>0</v>
      </c>
      <c r="I182" s="388">
        <f>IF(H182,Wh_hp,'2019'!Maxi_hp)</f>
        <v>61.943350764633465</v>
      </c>
      <c r="J182" s="85">
        <f>IF(H182,An,'2019'!An_max)</f>
        <v>2018</v>
      </c>
      <c r="K182" s="197">
        <f t="shared" si="50"/>
        <v>43998</v>
      </c>
      <c r="L182" s="147">
        <f>IF(t&lt;Tvie,1-EXP((T0-t)*PertePVj)+'2019'!Pspv,1-EXP((T0-t)*PertePVj)+Pspv)</f>
        <v>9.9732061568330588E-3</v>
      </c>
      <c r="M182" s="832"/>
      <c r="N182" s="832"/>
      <c r="O182" s="48">
        <f>IF(t&lt;Tnet,'2019'!Resal+('2019'!Salim-'2019'!Resal)*(1-EXP(('2019'!Tnet-t)/('2019'!Tau_j))),Resal+(Salim-Resal)*(1-EXP((Tnet-t)/(Tau_j))))*Salcycl</f>
        <v>3.1653862293085727E-2</v>
      </c>
      <c r="P182" s="169">
        <f>(INDEX(Models!$BJ182:$BT182,,T182)*(1-R182)+INDEX(Models!$BJ182:$BT182,,T182+1)*R182-ERP_i)*Q182*Ramure*Pc/MaxiM</f>
        <v>4.8759385452483671E-5</v>
      </c>
      <c r="Q182" s="304">
        <f t="shared" si="51"/>
        <v>0.7</v>
      </c>
      <c r="R182" s="177">
        <f t="shared" si="52"/>
        <v>0.36301227224028443</v>
      </c>
      <c r="S182" s="799">
        <f t="shared" si="53"/>
        <v>-1</v>
      </c>
      <c r="T182" s="176">
        <f t="shared" si="54"/>
        <v>5</v>
      </c>
      <c r="U182" s="250">
        <f t="shared" si="55"/>
        <v>-0.63698772775971557</v>
      </c>
      <c r="V182" s="382">
        <f t="shared" si="56"/>
        <v>59.013062694544558</v>
      </c>
      <c r="W182" s="58"/>
      <c r="X182" s="157">
        <f t="shared" si="57"/>
        <v>43998</v>
      </c>
      <c r="Y182" s="383">
        <f t="shared" si="58"/>
        <v>34.444898910255439</v>
      </c>
      <c r="Z182" s="383">
        <f t="shared" si="59"/>
        <v>34.791885557505381</v>
      </c>
      <c r="AA182" s="384">
        <f t="shared" si="60"/>
        <v>35.929182967460456</v>
      </c>
      <c r="AB182" s="197">
        <f t="shared" si="61"/>
        <v>43998</v>
      </c>
      <c r="AC182" s="424">
        <f>IF(OR(t&lt;Tnet,NoTnet),'2019'!Resal_s+('2019'!Salim-'2019'!Resal_s)*(1-EXP(('2019'!Tnet_s-t)/'2019'!Tau_j)),Resal_s+(Salim-Resal_s)*(1-EXP((Tnet_s-t)/Tau_j)))*Salcycl</f>
        <v>3.1653862293085727E-2</v>
      </c>
      <c r="AD182" s="230">
        <f>(INDEX(Models!$BJ182:$BT182,,AH182)*(1-AF182)+INDEX(Models!$BJ182:$BT182,,AH182+1)*AF182-ERP_i)*AE182*Ramure*Pc/MaxiM</f>
        <v>5.6000993585198728E-5</v>
      </c>
      <c r="AE182" s="304">
        <f t="shared" si="62"/>
        <v>0.7</v>
      </c>
      <c r="AF182" s="177">
        <f t="shared" si="63"/>
        <v>0.42734449450011658</v>
      </c>
      <c r="AG182" s="176">
        <f t="shared" si="64"/>
        <v>-1</v>
      </c>
      <c r="AH182" s="176">
        <f t="shared" si="65"/>
        <v>5</v>
      </c>
      <c r="AI182" s="224">
        <f t="shared" si="66"/>
        <v>-0.57265550549988342</v>
      </c>
      <c r="AJ182" s="264" t="b">
        <f t="shared" si="67"/>
        <v>0</v>
      </c>
      <c r="AK182" s="264" t="b">
        <f t="shared" si="68"/>
        <v>0</v>
      </c>
      <c r="AL182" s="264"/>
      <c r="AM182" s="264"/>
      <c r="AN182" s="75"/>
    </row>
    <row r="183" spans="1:40" s="6" customFormat="1" ht="11.25" x14ac:dyDescent="0.2">
      <c r="A183" s="56">
        <f t="shared" si="72"/>
        <v>43999</v>
      </c>
      <c r="B183" s="607">
        <v>51.878999999999998</v>
      </c>
      <c r="C183" s="388"/>
      <c r="D183" s="391">
        <f t="shared" si="48"/>
        <v>52.402616364414158</v>
      </c>
      <c r="E183" s="383">
        <f t="shared" si="73"/>
        <v>54.119056437499914</v>
      </c>
      <c r="F183" s="383">
        <f t="shared" si="49"/>
        <v>54.121263566047851</v>
      </c>
      <c r="G183" s="110">
        <f t="shared" si="74"/>
        <v>0.87996688927229039</v>
      </c>
      <c r="H183" s="412" t="b">
        <f>Wh_hp&gt;='2019'!Maxi_hp</f>
        <v>0</v>
      </c>
      <c r="I183" s="388">
        <f>IF(H183,Wh_hp,'2019'!Maxi_hp)</f>
        <v>57.79462411948343</v>
      </c>
      <c r="J183" s="85">
        <f>IF(H183,An,'2019'!An_max)</f>
        <v>2018</v>
      </c>
      <c r="K183" s="197">
        <f t="shared" si="50"/>
        <v>43999</v>
      </c>
      <c r="L183" s="147">
        <f>IF(t&lt;Tvie,1-EXP((T0-t)*PertePVj)+'2019'!Pspv,1-EXP((T0-t)*PertePVj)+Pspv)</f>
        <v>9.9921797944756419E-3</v>
      </c>
      <c r="M183" s="832"/>
      <c r="N183" s="832"/>
      <c r="O183" s="48">
        <f>IF(t&lt;Tnet,'2019'!Resal+('2019'!Salim-'2019'!Resal)*(1-EXP(('2019'!Tnet-t)/('2019'!Tau_j))),Resal+(Salim-Resal)*(1-EXP((Tnet-t)/(Tau_j))))*Salcycl</f>
        <v>3.1716001461851294E-2</v>
      </c>
      <c r="P183" s="169">
        <f>(INDEX(Models!$BJ183:$BT183,,T183)*(1-R183)+INDEX(Models!$BJ183:$BT183,,T183+1)*R183-ERP_i)*Q183*Ramure*Pc/MaxiM</f>
        <v>4.9220835242065242E-5</v>
      </c>
      <c r="Q183" s="304">
        <f t="shared" si="51"/>
        <v>0.7</v>
      </c>
      <c r="R183" s="177">
        <f t="shared" si="52"/>
        <v>0.36703257046610194</v>
      </c>
      <c r="S183" s="799">
        <f t="shared" si="53"/>
        <v>-1</v>
      </c>
      <c r="T183" s="176">
        <f t="shared" si="54"/>
        <v>5</v>
      </c>
      <c r="U183" s="250">
        <f t="shared" si="55"/>
        <v>-0.63296742953389806</v>
      </c>
      <c r="V183" s="382">
        <f t="shared" si="56"/>
        <v>58.955129759196389</v>
      </c>
      <c r="W183" s="58"/>
      <c r="X183" s="157">
        <f t="shared" si="57"/>
        <v>43999</v>
      </c>
      <c r="Y183" s="383">
        <f t="shared" si="58"/>
        <v>51.878688532957867</v>
      </c>
      <c r="Z183" s="383">
        <f t="shared" si="59"/>
        <v>52.40230175372546</v>
      </c>
      <c r="AA183" s="384">
        <f t="shared" si="60"/>
        <v>54.118731521783893</v>
      </c>
      <c r="AB183" s="197">
        <f t="shared" si="61"/>
        <v>43999</v>
      </c>
      <c r="AC183" s="424">
        <f>IF(OR(t&lt;Tnet,NoTnet),'2019'!Resal_s+('2019'!Salim-'2019'!Resal_s)*(1-EXP(('2019'!Tnet_s-t)/'2019'!Tau_j)),Resal_s+(Salim-Resal_s)*(1-EXP((Tnet_s-t)/Tau_j)))*Salcycl</f>
        <v>3.1716001461851294E-2</v>
      </c>
      <c r="AD183" s="230">
        <f>(INDEX(Models!$BJ183:$BT183,,AH183)*(1-AF183)+INDEX(Models!$BJ183:$BT183,,AH183+1)*AF183-ERP_i)*AE183*Ramure*Pc/MaxiM</f>
        <v>5.6466730793150689E-5</v>
      </c>
      <c r="AE183" s="304">
        <f t="shared" si="62"/>
        <v>0.7</v>
      </c>
      <c r="AF183" s="177">
        <f t="shared" si="63"/>
        <v>0.43136479272593409</v>
      </c>
      <c r="AG183" s="176">
        <f t="shared" si="64"/>
        <v>-1</v>
      </c>
      <c r="AH183" s="176">
        <f t="shared" si="65"/>
        <v>5</v>
      </c>
      <c r="AI183" s="224">
        <f t="shared" si="66"/>
        <v>-0.56863520727406591</v>
      </c>
      <c r="AJ183" s="264" t="b">
        <f t="shared" si="67"/>
        <v>0</v>
      </c>
      <c r="AK183" s="264" t="b">
        <f t="shared" si="68"/>
        <v>0</v>
      </c>
      <c r="AL183" s="264"/>
      <c r="AM183" s="264"/>
      <c r="AN183" s="75"/>
    </row>
    <row r="184" spans="1:40" s="6" customFormat="1" ht="11.25" x14ac:dyDescent="0.2">
      <c r="A184" s="56">
        <f t="shared" si="72"/>
        <v>44000</v>
      </c>
      <c r="B184" s="607">
        <v>36.356999999999999</v>
      </c>
      <c r="C184" s="388"/>
      <c r="D184" s="391">
        <f t="shared" si="48"/>
        <v>36.724656154146928</v>
      </c>
      <c r="E184" s="383">
        <f t="shared" si="73"/>
        <v>37.929981013634112</v>
      </c>
      <c r="F184" s="383">
        <f t="shared" si="49"/>
        <v>37.930835360825107</v>
      </c>
      <c r="G184" s="110">
        <f t="shared" si="74"/>
        <v>0.61730931401139788</v>
      </c>
      <c r="H184" s="412" t="b">
        <f>Wh_hp&gt;='2019'!Maxi_hp</f>
        <v>0</v>
      </c>
      <c r="I184" s="388">
        <f>IF(H184,Wh_hp,'2019'!Maxi_hp)</f>
        <v>53.558889603798256</v>
      </c>
      <c r="J184" s="85">
        <f>IF(H184,An,'2019'!An_max)</f>
        <v>2018</v>
      </c>
      <c r="K184" s="197">
        <f t="shared" si="50"/>
        <v>44000</v>
      </c>
      <c r="L184" s="147">
        <f>IF(t&lt;Tvie,1-EXP((T0-t)*PertePVj)+'2019'!Pspv,1-EXP((T0-t)*PertePVj)+Pspv)</f>
        <v>1.0011153068492762E-2</v>
      </c>
      <c r="M184" s="832"/>
      <c r="N184" s="832"/>
      <c r="O184" s="48">
        <f>IF(t&lt;Tnet,'2019'!Resal+('2019'!Salim-'2019'!Resal)*(1-EXP(('2019'!Tnet-t)/('2019'!Tau_j))),Resal+(Salim-Resal)*(1-EXP((Tnet-t)/(Tau_j))))*Salcycl</f>
        <v>3.1777628864457515E-2</v>
      </c>
      <c r="P184" s="169">
        <f>(INDEX(Models!$BJ184:$BT184,,T184)*(1-R184)+INDEX(Models!$BJ184:$BT184,,T184+1)*R184-ERP_i)*Q184*Ramure*Pc/MaxiM</f>
        <v>4.9686025563388034E-5</v>
      </c>
      <c r="Q184" s="304">
        <f t="shared" si="51"/>
        <v>0.7</v>
      </c>
      <c r="R184" s="177">
        <f t="shared" si="52"/>
        <v>0.37102604519763194</v>
      </c>
      <c r="S184" s="799">
        <f t="shared" si="53"/>
        <v>-1</v>
      </c>
      <c r="T184" s="176">
        <f t="shared" si="54"/>
        <v>5</v>
      </c>
      <c r="U184" s="250">
        <f t="shared" si="55"/>
        <v>-0.62897395480236806</v>
      </c>
      <c r="V184" s="382">
        <f t="shared" si="56"/>
        <v>58.894320263998488</v>
      </c>
      <c r="W184" s="58"/>
      <c r="X184" s="157">
        <f t="shared" si="57"/>
        <v>44000</v>
      </c>
      <c r="Y184" s="383">
        <f t="shared" si="58"/>
        <v>36.356880493731659</v>
      </c>
      <c r="Z184" s="383">
        <f t="shared" si="59"/>
        <v>36.724535439384624</v>
      </c>
      <c r="AA184" s="384">
        <f t="shared" si="60"/>
        <v>37.929856336942166</v>
      </c>
      <c r="AB184" s="197">
        <f t="shared" si="61"/>
        <v>44000</v>
      </c>
      <c r="AC184" s="424">
        <f>IF(OR(t&lt;Tnet,NoTnet),'2019'!Resal_s+('2019'!Salim-'2019'!Resal_s)*(1-EXP(('2019'!Tnet_s-t)/'2019'!Tau_j)),Resal_s+(Salim-Resal_s)*(1-EXP((Tnet_s-t)/Tau_j)))*Salcycl</f>
        <v>3.1777628864457515E-2</v>
      </c>
      <c r="AD184" s="230">
        <f>(INDEX(Models!$BJ184:$BT184,,AH184)*(1-AF184)+INDEX(Models!$BJ184:$BT184,,AH184+1)*AF184-ERP_i)*AE184*Ramure*Pc/MaxiM</f>
        <v>5.6936812326391068E-5</v>
      </c>
      <c r="AE184" s="304">
        <f t="shared" si="62"/>
        <v>0.7</v>
      </c>
      <c r="AF184" s="177">
        <f t="shared" si="63"/>
        <v>0.43535826745746409</v>
      </c>
      <c r="AG184" s="176">
        <f t="shared" si="64"/>
        <v>-1</v>
      </c>
      <c r="AH184" s="176">
        <f t="shared" si="65"/>
        <v>5</v>
      </c>
      <c r="AI184" s="224">
        <f t="shared" si="66"/>
        <v>-0.56464173254253591</v>
      </c>
      <c r="AJ184" s="264" t="b">
        <f t="shared" si="67"/>
        <v>0</v>
      </c>
      <c r="AK184" s="264" t="b">
        <f t="shared" si="68"/>
        <v>0</v>
      </c>
      <c r="AL184" s="264"/>
      <c r="AM184" s="264"/>
      <c r="AN184" s="75"/>
    </row>
    <row r="185" spans="1:40" s="6" customFormat="1" ht="11.25" x14ac:dyDescent="0.2">
      <c r="A185" s="56">
        <f t="shared" si="72"/>
        <v>44001</v>
      </c>
      <c r="B185" s="607">
        <v>53.604999999999997</v>
      </c>
      <c r="C185" s="388"/>
      <c r="D185" s="391">
        <f t="shared" si="48"/>
        <v>54.148112388778614</v>
      </c>
      <c r="E185" s="383">
        <f t="shared" si="73"/>
        <v>55.928815123370669</v>
      </c>
      <c r="F185" s="383">
        <f t="shared" si="49"/>
        <v>55.931265464438617</v>
      </c>
      <c r="G185" s="110">
        <f t="shared" si="74"/>
        <v>0.91116914650681069</v>
      </c>
      <c r="H185" s="412" t="b">
        <f>Wh_hp&gt;='2019'!Maxi_hp</f>
        <v>1</v>
      </c>
      <c r="I185" s="388">
        <f>IF(H185,Wh_hp,'2019'!Maxi_hp)</f>
        <v>55.931265464438617</v>
      </c>
      <c r="J185" s="85">
        <f>IF(H185,An,'2019'!An_max)</f>
        <v>2020</v>
      </c>
      <c r="K185" s="197">
        <f t="shared" si="50"/>
        <v>44001</v>
      </c>
      <c r="L185" s="147">
        <f>IF(t&lt;Tvie,1-EXP((T0-t)*PertePVj)+'2019'!Pspv,1-EXP((T0-t)*PertePVj)+Pspv)</f>
        <v>1.0030125978891413E-2</v>
      </c>
      <c r="M185" s="832"/>
      <c r="N185" s="832"/>
      <c r="O185" s="48">
        <f>IF(t&lt;Tnet,'2019'!Resal+('2019'!Salim-'2019'!Resal)*(1-EXP(('2019'!Tnet-t)/('2019'!Tau_j))),Resal+(Salim-Resal)*(1-EXP((Tnet-t)/(Tau_j))))*Salcycl</f>
        <v>3.1838735196947916E-2</v>
      </c>
      <c r="P185" s="169">
        <f>(INDEX(Models!$BJ185:$BT185,,T185)*(1-R185)+INDEX(Models!$BJ185:$BT185,,T185+1)*R185-ERP_i)*Q185*Ramure*Pc/MaxiM</f>
        <v>5.0176964986191495E-5</v>
      </c>
      <c r="Q185" s="304">
        <f t="shared" si="51"/>
        <v>0.7</v>
      </c>
      <c r="R185" s="177">
        <f t="shared" si="52"/>
        <v>0.37498962765929778</v>
      </c>
      <c r="S185" s="799">
        <f t="shared" si="53"/>
        <v>-1</v>
      </c>
      <c r="T185" s="176">
        <f t="shared" si="54"/>
        <v>5</v>
      </c>
      <c r="U185" s="250">
        <f t="shared" si="55"/>
        <v>-0.62501037234070222</v>
      </c>
      <c r="V185" s="382">
        <f t="shared" si="56"/>
        <v>58.830634116664463</v>
      </c>
      <c r="W185" s="58"/>
      <c r="X185" s="157">
        <f t="shared" si="57"/>
        <v>44001</v>
      </c>
      <c r="Y185" s="383">
        <f t="shared" si="58"/>
        <v>53.604660239938482</v>
      </c>
      <c r="Z185" s="383">
        <f t="shared" si="59"/>
        <v>54.147769186353543</v>
      </c>
      <c r="AA185" s="384">
        <f t="shared" si="60"/>
        <v>55.928460634467271</v>
      </c>
      <c r="AB185" s="197">
        <f t="shared" si="61"/>
        <v>44001</v>
      </c>
      <c r="AC185" s="424">
        <f>IF(OR(t&lt;Tnet,NoTnet),'2019'!Resal_s+('2019'!Salim-'2019'!Resal_s)*(1-EXP(('2019'!Tnet_s-t)/'2019'!Tau_j)),Resal_s+(Salim-Resal_s)*(1-EXP((Tnet_s-t)/Tau_j)))*Salcycl</f>
        <v>3.1838735196947916E-2</v>
      </c>
      <c r="AD185" s="230">
        <f>(INDEX(Models!$BJ185:$BT185,,AH185)*(1-AF185)+INDEX(Models!$BJ185:$BT185,,AH185+1)*AF185-ERP_i)*AE185*Ramure*Pc/MaxiM</f>
        <v>5.7436026806758768E-5</v>
      </c>
      <c r="AE185" s="304">
        <f t="shared" si="62"/>
        <v>0.7</v>
      </c>
      <c r="AF185" s="177">
        <f t="shared" si="63"/>
        <v>0.43932184991912993</v>
      </c>
      <c r="AG185" s="176">
        <f t="shared" si="64"/>
        <v>-1</v>
      </c>
      <c r="AH185" s="176">
        <f t="shared" si="65"/>
        <v>5</v>
      </c>
      <c r="AI185" s="224">
        <f t="shared" si="66"/>
        <v>-0.56067815008087007</v>
      </c>
      <c r="AJ185" s="264" t="b">
        <f t="shared" si="67"/>
        <v>0</v>
      </c>
      <c r="AK185" s="264" t="b">
        <f t="shared" si="68"/>
        <v>0</v>
      </c>
      <c r="AL185" s="264"/>
      <c r="AM185" s="264"/>
      <c r="AN185" s="75"/>
    </row>
    <row r="186" spans="1:40" s="6" customFormat="1" ht="11.25" x14ac:dyDescent="0.2">
      <c r="A186" s="56">
        <f t="shared" si="72"/>
        <v>44002</v>
      </c>
      <c r="B186" s="607">
        <v>53.915999999999997</v>
      </c>
      <c r="C186" s="388"/>
      <c r="D186" s="391">
        <f t="shared" si="48"/>
        <v>54.463307139478921</v>
      </c>
      <c r="E186" s="383">
        <f t="shared" si="73"/>
        <v>56.257895333465122</v>
      </c>
      <c r="F186" s="383">
        <f t="shared" si="49"/>
        <v>56.260411269728877</v>
      </c>
      <c r="G186" s="110">
        <f t="shared" si="74"/>
        <v>0.91749389821272154</v>
      </c>
      <c r="H186" s="412" t="b">
        <f>Wh_hp&gt;='2019'!Maxi_hp</f>
        <v>1</v>
      </c>
      <c r="I186" s="388">
        <f>IF(H186,Wh_hp,'2019'!Maxi_hp)</f>
        <v>56.260411269728877</v>
      </c>
      <c r="J186" s="85">
        <f>IF(H186,An,'2019'!An_max)</f>
        <v>2020</v>
      </c>
      <c r="K186" s="197">
        <f t="shared" si="50"/>
        <v>44002</v>
      </c>
      <c r="L186" s="147">
        <f>IF(t&lt;Tvie,1-EXP((T0-t)*PertePVj)+'2019'!Pspv,1-EXP((T0-t)*PertePVj)+Pspv)</f>
        <v>1.0049098525678701E-2</v>
      </c>
      <c r="M186" s="832"/>
      <c r="N186" s="832"/>
      <c r="O186" s="48">
        <f>IF(t&lt;Tnet,'2019'!Resal+('2019'!Salim-'2019'!Resal)*(1-EXP(('2019'!Tnet-t)/('2019'!Tau_j))),Resal+(Salim-Resal)*(1-EXP((Tnet-t)/(Tau_j))))*Salcycl</f>
        <v>3.1899312680449453E-2</v>
      </c>
      <c r="P186" s="169">
        <f>(INDEX(Models!$BJ186:$BT186,,T186)*(1-R186)+INDEX(Models!$BJ186:$BT186,,T186+1)*R186-ERP_i)*Q186*Ramure*Pc/MaxiM</f>
        <v>5.0694196779524309E-5</v>
      </c>
      <c r="Q186" s="304">
        <f t="shared" si="51"/>
        <v>0.7</v>
      </c>
      <c r="R186" s="177">
        <f t="shared" si="52"/>
        <v>0.37892034489899917</v>
      </c>
      <c r="S186" s="799">
        <f t="shared" si="53"/>
        <v>-1</v>
      </c>
      <c r="T186" s="176">
        <f t="shared" si="54"/>
        <v>5</v>
      </c>
      <c r="U186" s="250">
        <f t="shared" si="55"/>
        <v>-0.62107965510100083</v>
      </c>
      <c r="V186" s="382">
        <f t="shared" si="56"/>
        <v>58.76407239080482</v>
      </c>
      <c r="W186" s="58"/>
      <c r="X186" s="157">
        <f t="shared" si="57"/>
        <v>44002</v>
      </c>
      <c r="Y186" s="383">
        <f t="shared" si="58"/>
        <v>53.915654176106564</v>
      </c>
      <c r="Z186" s="383">
        <f t="shared" si="59"/>
        <v>54.462957805089793</v>
      </c>
      <c r="AA186" s="384">
        <f t="shared" si="60"/>
        <v>56.25753448836533</v>
      </c>
      <c r="AB186" s="197">
        <f t="shared" si="61"/>
        <v>44002</v>
      </c>
      <c r="AC186" s="424">
        <f>IF(OR(t&lt;Tnet,NoTnet),'2019'!Resal_s+('2019'!Salim-'2019'!Resal_s)*(1-EXP(('2019'!Tnet_s-t)/'2019'!Tau_j)),Resal_s+(Salim-Resal_s)*(1-EXP((Tnet_s-t)/Tau_j)))*Salcycl</f>
        <v>3.1899312680449453E-2</v>
      </c>
      <c r="AD186" s="230">
        <f>(INDEX(Models!$BJ186:$BT186,,AH186)*(1-AF186)+INDEX(Models!$BJ186:$BT186,,AH186+1)*AF186-ERP_i)*AE186*Ramure*Pc/MaxiM</f>
        <v>5.7964950319299391E-5</v>
      </c>
      <c r="AE186" s="304">
        <f t="shared" si="62"/>
        <v>0.7</v>
      </c>
      <c r="AF186" s="177">
        <f t="shared" si="63"/>
        <v>0.44325256715883132</v>
      </c>
      <c r="AG186" s="176">
        <f t="shared" si="64"/>
        <v>-1</v>
      </c>
      <c r="AH186" s="176">
        <f t="shared" si="65"/>
        <v>5</v>
      </c>
      <c r="AI186" s="224">
        <f t="shared" si="66"/>
        <v>-0.55674743284116868</v>
      </c>
      <c r="AJ186" s="264" t="b">
        <f t="shared" si="67"/>
        <v>0</v>
      </c>
      <c r="AK186" s="264" t="b">
        <f t="shared" si="68"/>
        <v>0</v>
      </c>
      <c r="AL186" s="264"/>
      <c r="AM186" s="264"/>
      <c r="AN186" s="75"/>
    </row>
    <row r="187" spans="1:40" s="6" customFormat="1" ht="11.25" x14ac:dyDescent="0.2">
      <c r="A187" s="56">
        <f t="shared" si="72"/>
        <v>44003</v>
      </c>
      <c r="B187" s="607">
        <v>57.667999999999999</v>
      </c>
      <c r="C187" s="388"/>
      <c r="D187" s="391">
        <f t="shared" si="48"/>
        <v>58.254510531137598</v>
      </c>
      <c r="E187" s="383">
        <f t="shared" si="73"/>
        <v>60.177752697124106</v>
      </c>
      <c r="F187" s="383">
        <f t="shared" si="49"/>
        <v>60.180759205917369</v>
      </c>
      <c r="G187" s="110">
        <f t="shared" si="74"/>
        <v>0.98250760279764393</v>
      </c>
      <c r="H187" s="412" t="b">
        <f>Wh_hp&gt;='2019'!Maxi_hp</f>
        <v>1</v>
      </c>
      <c r="I187" s="388">
        <f>IF(H187,Wh_hp,'2019'!Maxi_hp)</f>
        <v>60.180759205917369</v>
      </c>
      <c r="J187" s="85">
        <f>IF(H187,An,'2019'!An_max)</f>
        <v>2020</v>
      </c>
      <c r="K187" s="197">
        <f t="shared" si="50"/>
        <v>44003</v>
      </c>
      <c r="L187" s="147">
        <f>IF(t&lt;Tvie,1-EXP((T0-t)*PertePVj)+'2019'!Pspv,1-EXP((T0-t)*PertePVj)+Pspv)</f>
        <v>1.0068070708861288E-2</v>
      </c>
      <c r="M187" s="832"/>
      <c r="N187" s="832"/>
      <c r="O187" s="48">
        <f>IF(t&lt;Tnet,'2019'!Resal+('2019'!Salim-'2019'!Resal)*(1-EXP(('2019'!Tnet-t)/('2019'!Tau_j))),Resal+(Salim-Resal)*(1-EXP((Tnet-t)/(Tau_j))))*Salcycl</f>
        <v>3.1959355073730086E-2</v>
      </c>
      <c r="P187" s="169">
        <f>(INDEX(Models!$BJ187:$BT187,,T187)*(1-R187)+INDEX(Models!$BJ187:$BT187,,T187+1)*R187-ERP_i)*Q187*Ramure*Pc/MaxiM</f>
        <v>5.1238282296846001E-5</v>
      </c>
      <c r="Q187" s="304">
        <f t="shared" si="51"/>
        <v>0.7</v>
      </c>
      <c r="R187" s="177">
        <f t="shared" si="52"/>
        <v>0.38281532805106921</v>
      </c>
      <c r="S187" s="799">
        <f t="shared" si="53"/>
        <v>-1</v>
      </c>
      <c r="T187" s="176">
        <f t="shared" si="54"/>
        <v>5</v>
      </c>
      <c r="U187" s="250">
        <f t="shared" si="55"/>
        <v>-0.61718467194893079</v>
      </c>
      <c r="V187" s="382">
        <f t="shared" si="56"/>
        <v>58.694636050933056</v>
      </c>
      <c r="W187" s="58"/>
      <c r="X187" s="157">
        <f t="shared" si="57"/>
        <v>44003</v>
      </c>
      <c r="Y187" s="383">
        <f t="shared" si="58"/>
        <v>57.667590315225887</v>
      </c>
      <c r="Z187" s="383">
        <f t="shared" si="59"/>
        <v>58.254096679677723</v>
      </c>
      <c r="AA187" s="384">
        <f t="shared" si="60"/>
        <v>60.177325182574954</v>
      </c>
      <c r="AB187" s="197">
        <f t="shared" si="61"/>
        <v>44003</v>
      </c>
      <c r="AC187" s="424">
        <f>IF(OR(t&lt;Tnet,NoTnet),'2019'!Resal_s+('2019'!Salim-'2019'!Resal_s)*(1-EXP(('2019'!Tnet_s-t)/'2019'!Tau_j)),Resal_s+(Salim-Resal_s)*(1-EXP((Tnet_s-t)/Tau_j)))*Salcycl</f>
        <v>3.1959355073730086E-2</v>
      </c>
      <c r="AD187" s="230">
        <f>(INDEX(Models!$BJ187:$BT187,,AH187)*(1-AF187)+INDEX(Models!$BJ187:$BT187,,AH187+1)*AF187-ERP_i)*AE187*Ramure*Pc/MaxiM</f>
        <v>5.8524178551204493E-5</v>
      </c>
      <c r="AE187" s="304">
        <f t="shared" si="62"/>
        <v>0.7</v>
      </c>
      <c r="AF187" s="177">
        <f t="shared" si="63"/>
        <v>0.44714755031090136</v>
      </c>
      <c r="AG187" s="176">
        <f t="shared" si="64"/>
        <v>-1</v>
      </c>
      <c r="AH187" s="176">
        <f t="shared" si="65"/>
        <v>5</v>
      </c>
      <c r="AI187" s="224">
        <f t="shared" si="66"/>
        <v>-0.55285244968909864</v>
      </c>
      <c r="AJ187" s="264" t="b">
        <f t="shared" si="67"/>
        <v>0</v>
      </c>
      <c r="AK187" s="264" t="b">
        <f t="shared" si="68"/>
        <v>0</v>
      </c>
      <c r="AL187" s="264"/>
      <c r="AM187" s="264"/>
      <c r="AN187" s="75"/>
    </row>
    <row r="188" spans="1:40" s="6" customFormat="1" ht="11.25" x14ac:dyDescent="0.2">
      <c r="A188" s="56">
        <f t="shared" si="72"/>
        <v>44004</v>
      </c>
      <c r="B188" s="607">
        <v>43.320999999999998</v>
      </c>
      <c r="C188" s="388"/>
      <c r="D188" s="391">
        <f t="shared" si="48"/>
        <v>43.762433528146722</v>
      </c>
      <c r="E188" s="383">
        <f t="shared" si="73"/>
        <v>45.210006284965893</v>
      </c>
      <c r="F188" s="383">
        <f t="shared" si="49"/>
        <v>45.211475236515255</v>
      </c>
      <c r="G188" s="110">
        <f t="shared" si="74"/>
        <v>0.73897038950618699</v>
      </c>
      <c r="H188" s="412" t="b">
        <f>Wh_hp&gt;='2019'!Maxi_hp</f>
        <v>0</v>
      </c>
      <c r="I188" s="388">
        <f>IF(H188,Wh_hp,'2019'!Maxi_hp)</f>
        <v>53.862501168142678</v>
      </c>
      <c r="J188" s="85">
        <f>IF(H188,An,'2019'!An_max)</f>
        <v>2018</v>
      </c>
      <c r="K188" s="197">
        <f t="shared" si="50"/>
        <v>44004</v>
      </c>
      <c r="L188" s="147">
        <f>IF(t&lt;Tvie,1-EXP((T0-t)*PertePVj)+'2019'!Pspv,1-EXP((T0-t)*PertePVj)+Pspv)</f>
        <v>1.0087042528446388E-2</v>
      </c>
      <c r="M188" s="832"/>
      <c r="N188" s="832"/>
      <c r="O188" s="48">
        <f>IF(t&lt;Tnet,'2019'!Resal+('2019'!Salim-'2019'!Resal)*(1-EXP(('2019'!Tnet-t)/('2019'!Tau_j))),Resal+(Salim-Resal)*(1-EXP((Tnet-t)/(Tau_j))))*Salcycl</f>
        <v>3.2018857677101151E-2</v>
      </c>
      <c r="P188" s="169">
        <f>(INDEX(Models!$BJ188:$BT188,,T188)*(1-R188)+INDEX(Models!$BJ188:$BT188,,T188+1)*R188-ERP_i)*Q188*Ramure*Pc/MaxiM</f>
        <v>5.1809271189832362E-5</v>
      </c>
      <c r="Q188" s="304">
        <f t="shared" si="51"/>
        <v>0.7</v>
      </c>
      <c r="R188" s="177">
        <f t="shared" si="52"/>
        <v>0.38667181991604682</v>
      </c>
      <c r="S188" s="799">
        <f t="shared" si="53"/>
        <v>-1</v>
      </c>
      <c r="T188" s="176">
        <f t="shared" si="54"/>
        <v>5</v>
      </c>
      <c r="U188" s="250">
        <f t="shared" si="55"/>
        <v>-0.61332818008395318</v>
      </c>
      <c r="V188" s="382">
        <f t="shared" si="56"/>
        <v>58.622325992037844</v>
      </c>
      <c r="W188" s="58"/>
      <c r="X188" s="157">
        <f t="shared" si="57"/>
        <v>44004</v>
      </c>
      <c r="Y188" s="383">
        <f t="shared" si="58"/>
        <v>43.3208015498262</v>
      </c>
      <c r="Z188" s="383">
        <f t="shared" si="59"/>
        <v>43.762233055799832</v>
      </c>
      <c r="AA188" s="384">
        <f t="shared" si="60"/>
        <v>45.209799181399383</v>
      </c>
      <c r="AB188" s="197">
        <f t="shared" si="61"/>
        <v>44004</v>
      </c>
      <c r="AC188" s="424">
        <f>IF(OR(t&lt;Tnet,NoTnet),'2019'!Resal_s+('2019'!Salim-'2019'!Resal_s)*(1-EXP(('2019'!Tnet_s-t)/'2019'!Tau_j)),Resal_s+(Salim-Resal_s)*(1-EXP((Tnet_s-t)/Tau_j)))*Salcycl</f>
        <v>3.2018857677101151E-2</v>
      </c>
      <c r="AD188" s="230">
        <f>(INDEX(Models!$BJ188:$BT188,,AH188)*(1-AF188)+INDEX(Models!$BJ188:$BT188,,AH188+1)*AF188-ERP_i)*AE188*Ramure*Pc/MaxiM</f>
        <v>5.9113722345094799E-5</v>
      </c>
      <c r="AE188" s="304">
        <f t="shared" si="62"/>
        <v>0.7</v>
      </c>
      <c r="AF188" s="177">
        <f t="shared" si="63"/>
        <v>0.45100404217587897</v>
      </c>
      <c r="AG188" s="176">
        <f t="shared" si="64"/>
        <v>-1</v>
      </c>
      <c r="AH188" s="176">
        <f t="shared" si="65"/>
        <v>5</v>
      </c>
      <c r="AI188" s="224">
        <f t="shared" si="66"/>
        <v>-0.54899595782412103</v>
      </c>
      <c r="AJ188" s="264" t="b">
        <f t="shared" si="67"/>
        <v>0</v>
      </c>
      <c r="AK188" s="264" t="b">
        <f t="shared" si="68"/>
        <v>0</v>
      </c>
      <c r="AL188" s="264"/>
      <c r="AM188" s="264"/>
      <c r="AN188" s="75"/>
    </row>
    <row r="189" spans="1:40" s="6" customFormat="1" ht="11.25" x14ac:dyDescent="0.2">
      <c r="A189" s="56">
        <f t="shared" si="72"/>
        <v>44005</v>
      </c>
      <c r="B189" s="607">
        <v>58.082999999999998</v>
      </c>
      <c r="C189" s="388"/>
      <c r="D189" s="391">
        <f t="shared" si="48"/>
        <v>58.67598027723249</v>
      </c>
      <c r="E189" s="383">
        <f t="shared" si="73"/>
        <v>60.620555378978985</v>
      </c>
      <c r="F189" s="383">
        <f t="shared" si="49"/>
        <v>60.623696514192886</v>
      </c>
      <c r="G189" s="110">
        <f t="shared" si="74"/>
        <v>0.99207173133464932</v>
      </c>
      <c r="H189" s="412" t="b">
        <f>Wh_hp&gt;='2019'!Maxi_hp</f>
        <v>1</v>
      </c>
      <c r="I189" s="388">
        <f>IF(H189,Wh_hp,'2019'!Maxi_hp)</f>
        <v>60.623696514192886</v>
      </c>
      <c r="J189" s="85">
        <f>IF(H189,An,'2019'!An_max)</f>
        <v>2020</v>
      </c>
      <c r="K189" s="197">
        <f t="shared" si="50"/>
        <v>44005</v>
      </c>
      <c r="L189" s="147">
        <f>IF(t&lt;Tvie,1-EXP((T0-t)*PertePVj)+'2019'!Pspv,1-EXP((T0-t)*PertePVj)+Pspv)</f>
        <v>1.0106013984440887E-2</v>
      </c>
      <c r="M189" s="832"/>
      <c r="N189" s="832"/>
      <c r="O189" s="48">
        <f>IF(t&lt;Tnet,'2019'!Resal+('2019'!Salim-'2019'!Resal)*(1-EXP(('2019'!Tnet-t)/('2019'!Tau_j))),Resal+(Salim-Resal)*(1-EXP((Tnet-t)/(Tau_j))))*Salcycl</f>
        <v>3.207781732763218E-2</v>
      </c>
      <c r="P189" s="169">
        <f>(INDEX(Models!$BJ189:$BT189,,T189)*(1-R189)+INDEX(Models!$BJ189:$BT189,,T189+1)*R189-ERP_i)*Q189*Ramure*Pc/MaxiM</f>
        <v>5.240717840330938E-5</v>
      </c>
      <c r="Q189" s="304">
        <f t="shared" si="51"/>
        <v>0.7</v>
      </c>
      <c r="R189" s="177">
        <f t="shared" si="52"/>
        <v>0.39048718182128073</v>
      </c>
      <c r="S189" s="799">
        <f t="shared" si="53"/>
        <v>-1</v>
      </c>
      <c r="T189" s="176">
        <f t="shared" si="54"/>
        <v>5</v>
      </c>
      <c r="U189" s="250">
        <f t="shared" si="55"/>
        <v>-0.60951281817871927</v>
      </c>
      <c r="V189" s="382">
        <f t="shared" si="56"/>
        <v>58.547143003838336</v>
      </c>
      <c r="W189" s="58"/>
      <c r="X189" s="157">
        <f t="shared" si="57"/>
        <v>44005</v>
      </c>
      <c r="Y189" s="383">
        <f t="shared" si="58"/>
        <v>58.082579259619621</v>
      </c>
      <c r="Z189" s="383">
        <f t="shared" si="59"/>
        <v>58.675555241434388</v>
      </c>
      <c r="AA189" s="384">
        <f t="shared" si="60"/>
        <v>60.620116257109778</v>
      </c>
      <c r="AB189" s="197">
        <f t="shared" si="61"/>
        <v>44005</v>
      </c>
      <c r="AC189" s="424">
        <f>IF(OR(t&lt;Tnet,NoTnet),'2019'!Resal_s+('2019'!Salim-'2019'!Resal_s)*(1-EXP(('2019'!Tnet_s-t)/'2019'!Tau_j)),Resal_s+(Salim-Resal_s)*(1-EXP((Tnet_s-t)/Tau_j)))*Salcycl</f>
        <v>3.207781732763218E-2</v>
      </c>
      <c r="AD189" s="230">
        <f>(INDEX(Models!$BJ189:$BT189,,AH189)*(1-AF189)+INDEX(Models!$BJ189:$BT189,,AH189+1)*AF189-ERP_i)*AE189*Ramure*Pc/MaxiM</f>
        <v>5.9733554561350182E-5</v>
      </c>
      <c r="AE189" s="304">
        <f t="shared" si="62"/>
        <v>0.7</v>
      </c>
      <c r="AF189" s="177">
        <f t="shared" si="63"/>
        <v>0.45481940408111288</v>
      </c>
      <c r="AG189" s="176">
        <f t="shared" si="64"/>
        <v>-1</v>
      </c>
      <c r="AH189" s="176">
        <f t="shared" si="65"/>
        <v>5</v>
      </c>
      <c r="AI189" s="224">
        <f t="shared" si="66"/>
        <v>-0.54518059591888712</v>
      </c>
      <c r="AJ189" s="264" t="b">
        <f t="shared" si="67"/>
        <v>0</v>
      </c>
      <c r="AK189" s="264" t="b">
        <f t="shared" si="68"/>
        <v>0</v>
      </c>
      <c r="AL189" s="264"/>
      <c r="AM189" s="264"/>
      <c r="AN189" s="75"/>
    </row>
    <row r="190" spans="1:40" s="6" customFormat="1" ht="11.25" x14ac:dyDescent="0.2">
      <c r="A190" s="56">
        <f t="shared" si="72"/>
        <v>44006</v>
      </c>
      <c r="B190" s="607">
        <v>58.779000000000003</v>
      </c>
      <c r="C190" s="388"/>
      <c r="D190" s="391">
        <f t="shared" si="48"/>
        <v>59.38022388065172</v>
      </c>
      <c r="E190" s="383">
        <f t="shared" si="73"/>
        <v>61.351840897009374</v>
      </c>
      <c r="F190" s="383">
        <f t="shared" si="49"/>
        <v>61.35509471330375</v>
      </c>
      <c r="G190" s="110">
        <f t="shared" si="74"/>
        <v>1.0053004462170367</v>
      </c>
      <c r="H190" s="412" t="b">
        <f>Wh_hp&gt;='2019'!Maxi_hp</f>
        <v>1</v>
      </c>
      <c r="I190" s="388">
        <f>IF(H190,Wh_hp,'2019'!Maxi_hp)</f>
        <v>61.35509471330375</v>
      </c>
      <c r="J190" s="85">
        <f>IF(H190,An,'2019'!An_max)</f>
        <v>2020</v>
      </c>
      <c r="K190" s="197">
        <f t="shared" si="50"/>
        <v>44006</v>
      </c>
      <c r="L190" s="147">
        <f>IF(t&lt;Tvie,1-EXP((T0-t)*PertePVj)+'2019'!Pspv,1-EXP((T0-t)*PertePVj)+Pspv)</f>
        <v>1.0124985076851778E-2</v>
      </c>
      <c r="M190" s="832"/>
      <c r="N190" s="832"/>
      <c r="O190" s="48">
        <f>IF(t&lt;Tnet,'2019'!Resal+('2019'!Salim-'2019'!Resal)*(1-EXP(('2019'!Tnet-t)/('2019'!Tau_j))),Resal+(Salim-Resal)*(1-EXP((Tnet-t)/(Tau_j))))*Salcycl</f>
        <v>3.213623238571419E-2</v>
      </c>
      <c r="P190" s="169">
        <f>(INDEX(Models!$BJ190:$BT190,,T190)*(1-R190)+INDEX(Models!$BJ190:$BT190,,T190+1)*R190-ERP_i)*Q190*Ramure*Pc/MaxiM</f>
        <v>5.3032536410850163E-5</v>
      </c>
      <c r="Q190" s="304">
        <f t="shared" si="51"/>
        <v>0.7</v>
      </c>
      <c r="R190" s="177">
        <f t="shared" si="52"/>
        <v>0.39425889973406147</v>
      </c>
      <c r="S190" s="799">
        <f t="shared" si="53"/>
        <v>-1</v>
      </c>
      <c r="T190" s="176">
        <f t="shared" si="54"/>
        <v>5</v>
      </c>
      <c r="U190" s="250">
        <f t="shared" si="55"/>
        <v>-0.60574110026593853</v>
      </c>
      <c r="V190" s="382">
        <f t="shared" si="56"/>
        <v>58.469087745048164</v>
      </c>
      <c r="W190" s="58"/>
      <c r="X190" s="157">
        <f t="shared" si="57"/>
        <v>44006</v>
      </c>
      <c r="Y190" s="383">
        <f t="shared" si="58"/>
        <v>58.778567851349301</v>
      </c>
      <c r="Z190" s="383">
        <f t="shared" si="59"/>
        <v>59.379787311747378</v>
      </c>
      <c r="AA190" s="384">
        <f t="shared" si="60"/>
        <v>61.351389832594165</v>
      </c>
      <c r="AB190" s="197">
        <f t="shared" si="61"/>
        <v>44006</v>
      </c>
      <c r="AC190" s="424">
        <f>IF(OR(t&lt;Tnet,NoTnet),'2019'!Resal_s+('2019'!Salim-'2019'!Resal_s)*(1-EXP(('2019'!Tnet_s-t)/'2019'!Tau_j)),Resal_s+(Salim-Resal_s)*(1-EXP((Tnet_s-t)/Tau_j)))*Salcycl</f>
        <v>3.213623238571419E-2</v>
      </c>
      <c r="AD190" s="230">
        <f>(INDEX(Models!$BJ190:$BT190,,AH190)*(1-AF190)+INDEX(Models!$BJ190:$BT190,,AH190+1)*AF190-ERP_i)*AE190*Ramure*Pc/MaxiM</f>
        <v>6.0384239106750766E-5</v>
      </c>
      <c r="AE190" s="304">
        <f t="shared" si="62"/>
        <v>0.7</v>
      </c>
      <c r="AF190" s="177">
        <f t="shared" si="63"/>
        <v>0.45859112199389362</v>
      </c>
      <c r="AG190" s="176">
        <f t="shared" si="64"/>
        <v>-1</v>
      </c>
      <c r="AH190" s="176">
        <f t="shared" si="65"/>
        <v>5</v>
      </c>
      <c r="AI190" s="224">
        <f t="shared" si="66"/>
        <v>-0.54140887800610638</v>
      </c>
      <c r="AJ190" s="264" t="b">
        <f t="shared" si="67"/>
        <v>0</v>
      </c>
      <c r="AK190" s="264" t="b">
        <f t="shared" si="68"/>
        <v>0</v>
      </c>
      <c r="AL190" s="264"/>
      <c r="AM190" s="264"/>
      <c r="AN190" s="75"/>
    </row>
    <row r="191" spans="1:40" s="6" customFormat="1" ht="11.25" x14ac:dyDescent="0.2">
      <c r="A191" s="56">
        <f t="shared" si="72"/>
        <v>44007</v>
      </c>
      <c r="B191" s="607">
        <v>52.85</v>
      </c>
      <c r="C191" s="388"/>
      <c r="D191" s="391">
        <f t="shared" si="48"/>
        <v>53.39160205160627</v>
      </c>
      <c r="E191" s="383">
        <f t="shared" si="73"/>
        <v>55.167675875173238</v>
      </c>
      <c r="F191" s="383">
        <f t="shared" si="49"/>
        <v>55.17023647686171</v>
      </c>
      <c r="G191" s="110">
        <f t="shared" si="74"/>
        <v>0.90515315745108271</v>
      </c>
      <c r="H191" s="412" t="b">
        <f>Wh_hp&gt;='2019'!Maxi_hp</f>
        <v>0</v>
      </c>
      <c r="I191" s="388">
        <f>IF(H191,Wh_hp,'2019'!Maxi_hp)</f>
        <v>61.449694288761741</v>
      </c>
      <c r="J191" s="85">
        <f>IF(H191,An,'2019'!An_max)</f>
        <v>2018</v>
      </c>
      <c r="K191" s="197">
        <f t="shared" si="50"/>
        <v>44007</v>
      </c>
      <c r="L191" s="147">
        <f>IF(t&lt;Tvie,1-EXP((T0-t)*PertePVj)+'2019'!Pspv,1-EXP((T0-t)*PertePVj)+Pspv)</f>
        <v>1.0143955805686056E-2</v>
      </c>
      <c r="M191" s="832"/>
      <c r="N191" s="832"/>
      <c r="O191" s="48">
        <f>IF(t&lt;Tnet,'2019'!Resal+('2019'!Salim-'2019'!Resal)*(1-EXP(('2019'!Tnet-t)/('2019'!Tau_j))),Resal+(Salim-Resal)*(1-EXP((Tnet-t)/(Tau_j))))*Salcycl</f>
        <v>3.2194102713075247E-2</v>
      </c>
      <c r="P191" s="169">
        <f>(INDEX(Models!$BJ191:$BT191,,T191)*(1-R191)+INDEX(Models!$BJ191:$BT191,,T191+1)*R191-ERP_i)*Q191*Ramure*Pc/MaxiM</f>
        <v>5.3686512539528465E-5</v>
      </c>
      <c r="Q191" s="304">
        <f t="shared" si="51"/>
        <v>0.7</v>
      </c>
      <c r="R191" s="177">
        <f t="shared" si="52"/>
        <v>0.39798458960672722</v>
      </c>
      <c r="S191" s="799">
        <f t="shared" si="53"/>
        <v>-1</v>
      </c>
      <c r="T191" s="176">
        <f t="shared" si="54"/>
        <v>5</v>
      </c>
      <c r="U191" s="250">
        <f t="shared" si="55"/>
        <v>-0.60201541039327278</v>
      </c>
      <c r="V191" s="382">
        <f t="shared" si="56"/>
        <v>58.387484071708862</v>
      </c>
      <c r="W191" s="58"/>
      <c r="X191" s="157">
        <f t="shared" si="57"/>
        <v>44007</v>
      </c>
      <c r="Y191" s="383">
        <f t="shared" si="58"/>
        <v>52.849662770313309</v>
      </c>
      <c r="Z191" s="383">
        <f t="shared" si="59"/>
        <v>53.391261366020046</v>
      </c>
      <c r="AA191" s="384">
        <f t="shared" si="60"/>
        <v>55.167323856667068</v>
      </c>
      <c r="AB191" s="197">
        <f t="shared" si="61"/>
        <v>44007</v>
      </c>
      <c r="AC191" s="424">
        <f>IF(OR(t&lt;Tnet,NoTnet),'2019'!Resal_s+('2019'!Salim-'2019'!Resal_s)*(1-EXP(('2019'!Tnet_s-t)/'2019'!Tau_j)),Resal_s+(Salim-Resal_s)*(1-EXP((Tnet_s-t)/Tau_j)))*Salcycl</f>
        <v>3.2194102713075247E-2</v>
      </c>
      <c r="AD191" s="230">
        <f>(INDEX(Models!$BJ191:$BT191,,AH191)*(1-AF191)+INDEX(Models!$BJ191:$BT191,,AH191+1)*AF191-ERP_i)*AE191*Ramure*Pc/MaxiM</f>
        <v>6.1067061427979473E-5</v>
      </c>
      <c r="AE191" s="304">
        <f t="shared" si="62"/>
        <v>0.7</v>
      </c>
      <c r="AF191" s="177">
        <f t="shared" si="63"/>
        <v>0.46231681186655937</v>
      </c>
      <c r="AG191" s="176">
        <f t="shared" si="64"/>
        <v>-1</v>
      </c>
      <c r="AH191" s="176">
        <f t="shared" si="65"/>
        <v>5</v>
      </c>
      <c r="AI191" s="224">
        <f t="shared" si="66"/>
        <v>-0.53768318813344063</v>
      </c>
      <c r="AJ191" s="264" t="b">
        <f t="shared" si="67"/>
        <v>0</v>
      </c>
      <c r="AK191" s="264" t="b">
        <f t="shared" si="68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72"/>
        <v>44008</v>
      </c>
      <c r="B192" s="607">
        <v>53.116999999999997</v>
      </c>
      <c r="C192" s="388"/>
      <c r="D192" s="391">
        <f t="shared" si="48"/>
        <v>53.662366670632103</v>
      </c>
      <c r="E192" s="383">
        <f t="shared" si="73"/>
        <v>55.450732054095454</v>
      </c>
      <c r="F192" s="383">
        <f t="shared" si="49"/>
        <v>55.453362873538488</v>
      </c>
      <c r="G192" s="110">
        <f t="shared" si="74"/>
        <v>0.91106232628525574</v>
      </c>
      <c r="H192" s="412" t="b">
        <f>Wh_hp&gt;='2019'!Maxi_hp</f>
        <v>0</v>
      </c>
      <c r="I192" s="388">
        <f>IF(H192,Wh_hp,'2019'!Maxi_hp)</f>
        <v>60.093655665818403</v>
      </c>
      <c r="J192" s="85">
        <f>IF(H192,An,'2019'!An_max)</f>
        <v>2018</v>
      </c>
      <c r="K192" s="197">
        <f t="shared" si="50"/>
        <v>44008</v>
      </c>
      <c r="L192" s="147">
        <f>IF(t&lt;Tvie,1-EXP((T0-t)*PertePVj)+'2019'!Pspv,1-EXP((T0-t)*PertePVj)+Pspv)</f>
        <v>1.0162926170950493E-2</v>
      </c>
      <c r="M192" s="832"/>
      <c r="N192" s="832"/>
      <c r="O192" s="48">
        <f>IF(t&lt;Tnet,'2019'!Resal+('2019'!Salim-'2019'!Resal)*(1-EXP(('2019'!Tnet-t)/('2019'!Tau_j))),Resal+(Salim-Resal)*(1-EXP((Tnet-t)/(Tau_j))))*Salcycl</f>
        <v>3.2251429642420094E-2</v>
      </c>
      <c r="P192" s="169">
        <f>(INDEX(Models!$BJ192:$BT192,,T192)*(1-R192)+INDEX(Models!$BJ192:$BT192,,T192+1)*R192-ERP_i)*Q192*Ramure*Pc/MaxiM</f>
        <v>5.4346454259672207E-5</v>
      </c>
      <c r="Q192" s="304">
        <f t="shared" si="51"/>
        <v>0.7</v>
      </c>
      <c r="R192" s="177">
        <f t="shared" si="52"/>
        <v>0.40166200194090096</v>
      </c>
      <c r="S192" s="799">
        <f t="shared" si="53"/>
        <v>-1</v>
      </c>
      <c r="T192" s="176">
        <f t="shared" si="54"/>
        <v>5</v>
      </c>
      <c r="U192" s="250">
        <f t="shared" si="55"/>
        <v>-0.59833799805909904</v>
      </c>
      <c r="V192" s="382">
        <f t="shared" si="56"/>
        <v>58.301865533436271</v>
      </c>
      <c r="W192" s="58"/>
      <c r="X192" s="157">
        <f t="shared" si="57"/>
        <v>44008</v>
      </c>
      <c r="Y192" s="383">
        <f t="shared" si="58"/>
        <v>53.116656382063177</v>
      </c>
      <c r="Z192" s="383">
        <f t="shared" si="59"/>
        <v>53.662019524676566</v>
      </c>
      <c r="AA192" s="384">
        <f t="shared" si="60"/>
        <v>55.450373339067426</v>
      </c>
      <c r="AB192" s="197">
        <f t="shared" si="61"/>
        <v>44008</v>
      </c>
      <c r="AC192" s="424">
        <f>IF(OR(t&lt;Tnet,NoTnet),'2019'!Resal_s+('2019'!Salim-'2019'!Resal_s)*(1-EXP(('2019'!Tnet_s-t)/'2019'!Tau_j)),Resal_s+(Salim-Resal_s)*(1-EXP((Tnet_s-t)/Tau_j)))*Salcycl</f>
        <v>3.2251429642420094E-2</v>
      </c>
      <c r="AD192" s="230">
        <f>(INDEX(Models!$BJ192:$BT192,,AH192)*(1-AF192)+INDEX(Models!$BJ192:$BT192,,AH192+1)*AF192-ERP_i)*AE192*Ramure*Pc/MaxiM</f>
        <v>6.1756651076846567E-5</v>
      </c>
      <c r="AE192" s="304">
        <f t="shared" si="62"/>
        <v>0.7</v>
      </c>
      <c r="AF192" s="177">
        <f t="shared" si="63"/>
        <v>0.46599422420073311</v>
      </c>
      <c r="AG192" s="176">
        <f t="shared" si="64"/>
        <v>-1</v>
      </c>
      <c r="AH192" s="176">
        <f t="shared" si="65"/>
        <v>5</v>
      </c>
      <c r="AI192" s="224">
        <f t="shared" si="66"/>
        <v>-0.53400577579926689</v>
      </c>
      <c r="AJ192" s="264" t="b">
        <f t="shared" si="67"/>
        <v>0</v>
      </c>
      <c r="AK192" s="264" t="b">
        <f t="shared" si="68"/>
        <v>0</v>
      </c>
      <c r="AL192" s="264"/>
      <c r="AM192" s="264"/>
      <c r="AN192" s="75"/>
    </row>
    <row r="193" spans="1:40" s="6" customFormat="1" ht="11.25" x14ac:dyDescent="0.2">
      <c r="A193" s="56">
        <f t="shared" si="72"/>
        <v>44009</v>
      </c>
      <c r="B193" s="607">
        <v>36.140999999999998</v>
      </c>
      <c r="C193" s="388"/>
      <c r="D193" s="391">
        <f t="shared" si="48"/>
        <v>36.512769225227274</v>
      </c>
      <c r="E193" s="383">
        <f t="shared" si="73"/>
        <v>37.731816913848121</v>
      </c>
      <c r="F193" s="383">
        <f t="shared" si="49"/>
        <v>37.732768067577297</v>
      </c>
      <c r="G193" s="110">
        <f t="shared" si="74"/>
        <v>0.62082705320304454</v>
      </c>
      <c r="H193" s="412" t="b">
        <f>Wh_hp&gt;='2019'!Maxi_hp</f>
        <v>0</v>
      </c>
      <c r="I193" s="388">
        <f>IF(H193,Wh_hp,'2019'!Maxi_hp)</f>
        <v>49.574216541941631</v>
      </c>
      <c r="J193" s="85">
        <f>IF(H193,An,'2019'!An_max)</f>
        <v>2018</v>
      </c>
      <c r="K193" s="197">
        <f t="shared" si="50"/>
        <v>44009</v>
      </c>
      <c r="L193" s="147">
        <f>IF(t&lt;Tvie,1-EXP((T0-t)*PertePVj)+'2019'!Pspv,1-EXP((T0-t)*PertePVj)+Pspv)</f>
        <v>1.0181896172652305E-2</v>
      </c>
      <c r="M193" s="832"/>
      <c r="N193" s="832"/>
      <c r="O193" s="48">
        <f>IF(t&lt;Tnet,'2019'!Resal+('2019'!Salim-'2019'!Resal)*(1-EXP(('2019'!Tnet-t)/('2019'!Tau_j))),Resal+(Salim-Resal)*(1-EXP((Tnet-t)/(Tau_j))))*Salcycl</f>
        <v>3.2308215938931836E-2</v>
      </c>
      <c r="P193" s="169">
        <f>(INDEX(Models!$BJ193:$BT193,,T193)*(1-R193)+INDEX(Models!$BJ193:$BT193,,T193+1)*R193-ERP_i)*Q193*Ramure*Pc/MaxiM</f>
        <v>5.4996375883258391E-5</v>
      </c>
      <c r="Q193" s="304">
        <f t="shared" si="51"/>
        <v>0.7</v>
      </c>
      <c r="R193" s="177">
        <f t="shared" si="52"/>
        <v>0.40528902556556456</v>
      </c>
      <c r="S193" s="799">
        <f t="shared" si="53"/>
        <v>-1</v>
      </c>
      <c r="T193" s="176">
        <f t="shared" si="54"/>
        <v>5</v>
      </c>
      <c r="U193" s="250">
        <f t="shared" si="55"/>
        <v>-0.59471097443443544</v>
      </c>
      <c r="V193" s="382">
        <f t="shared" si="56"/>
        <v>58.212545976223709</v>
      </c>
      <c r="W193" s="58"/>
      <c r="X193" s="157">
        <f t="shared" si="57"/>
        <v>44009</v>
      </c>
      <c r="Y193" s="383">
        <f t="shared" si="58"/>
        <v>36.14087677024304</v>
      </c>
      <c r="Z193" s="383">
        <f t="shared" si="59"/>
        <v>36.512644727850962</v>
      </c>
      <c r="AA193" s="384">
        <f t="shared" si="60"/>
        <v>37.73168825989201</v>
      </c>
      <c r="AB193" s="197">
        <f t="shared" si="61"/>
        <v>44009</v>
      </c>
      <c r="AC193" s="424">
        <f>IF(OR(t&lt;Tnet,NoTnet),'2019'!Resal_s+('2019'!Salim-'2019'!Resal_s)*(1-EXP(('2019'!Tnet_s-t)/'2019'!Tau_j)),Resal_s+(Salim-Resal_s)*(1-EXP((Tnet_s-t)/Tau_j)))*Salcycl</f>
        <v>3.2308215938931836E-2</v>
      </c>
      <c r="AD193" s="230">
        <f>(INDEX(Models!$BJ193:$BT193,,AH193)*(1-AF193)+INDEX(Models!$BJ193:$BT193,,AH193+1)*AF193-ERP_i)*AE193*Ramure*Pc/MaxiM</f>
        <v>6.2435237879892048E-5</v>
      </c>
      <c r="AE193" s="304">
        <f t="shared" si="62"/>
        <v>0.7</v>
      </c>
      <c r="AF193" s="177">
        <f t="shared" si="63"/>
        <v>0.46962124782539671</v>
      </c>
      <c r="AG193" s="176">
        <f t="shared" si="64"/>
        <v>-1</v>
      </c>
      <c r="AH193" s="176">
        <f t="shared" si="65"/>
        <v>5</v>
      </c>
      <c r="AI193" s="224">
        <f t="shared" si="66"/>
        <v>-0.53037875217460329</v>
      </c>
      <c r="AJ193" s="264" t="b">
        <f t="shared" si="67"/>
        <v>0</v>
      </c>
      <c r="AK193" s="264" t="b">
        <f t="shared" si="68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72"/>
        <v>44010</v>
      </c>
      <c r="B194" s="607">
        <v>46.262</v>
      </c>
      <c r="C194" s="388"/>
      <c r="D194" s="391">
        <f t="shared" si="48"/>
        <v>46.73877598195287</v>
      </c>
      <c r="E194" s="383">
        <f t="shared" si="73"/>
        <v>48.302045892071973</v>
      </c>
      <c r="F194" s="383">
        <f t="shared" si="49"/>
        <v>48.303950027703571</v>
      </c>
      <c r="G194" s="110">
        <f t="shared" si="74"/>
        <v>0.79596315582722799</v>
      </c>
      <c r="H194" s="412" t="b">
        <f>Wh_hp&gt;='2019'!Maxi_hp</f>
        <v>0</v>
      </c>
      <c r="I194" s="388">
        <f>IF(H194,Wh_hp,'2019'!Maxi_hp)</f>
        <v>57.500643612557823</v>
      </c>
      <c r="J194" s="85">
        <f>IF(H194,An,'2019'!An_max)</f>
        <v>2018</v>
      </c>
      <c r="K194" s="197">
        <f t="shared" si="50"/>
        <v>44010</v>
      </c>
      <c r="L194" s="147">
        <f>IF(t&lt;Tvie,1-EXP((T0-t)*PertePVj)+'2019'!Pspv,1-EXP((T0-t)*PertePVj)+Pspv)</f>
        <v>1.0200865810798376E-2</v>
      </c>
      <c r="M194" s="832"/>
      <c r="N194" s="832"/>
      <c r="O194" s="48">
        <f>IF(t&lt;Tnet,'2019'!Resal+('2019'!Salim-'2019'!Resal)*(1-EXP(('2019'!Tnet-t)/('2019'!Tau_j))),Resal+(Salim-Resal)*(1-EXP((Tnet-t)/(Tau_j))))*Salcycl</f>
        <v>3.2364465753937956E-2</v>
      </c>
      <c r="P194" s="169">
        <f>(INDEX(Models!$BJ194:$BT194,,T194)*(1-R194)+INDEX(Models!$BJ194:$BT194,,T194+1)*R194-ERP_i)*Q194*Ramure*Pc/MaxiM</f>
        <v>5.5635571826603299E-5</v>
      </c>
      <c r="Q194" s="304">
        <f t="shared" si="51"/>
        <v>0.7</v>
      </c>
      <c r="R194" s="177">
        <f t="shared" si="52"/>
        <v>0.40886369063098238</v>
      </c>
      <c r="S194" s="799">
        <f t="shared" si="53"/>
        <v>-1</v>
      </c>
      <c r="T194" s="176">
        <f t="shared" si="54"/>
        <v>5</v>
      </c>
      <c r="U194" s="250">
        <f t="shared" si="55"/>
        <v>-0.59113630936901762</v>
      </c>
      <c r="V194" s="382">
        <f t="shared" si="56"/>
        <v>58.119838162287138</v>
      </c>
      <c r="W194" s="58"/>
      <c r="X194" s="157">
        <f t="shared" si="57"/>
        <v>44010</v>
      </c>
      <c r="Y194" s="383">
        <f t="shared" si="58"/>
        <v>46.26175525040825</v>
      </c>
      <c r="Z194" s="383">
        <f t="shared" si="59"/>
        <v>46.738528709972833</v>
      </c>
      <c r="AA194" s="384">
        <f t="shared" si="60"/>
        <v>48.301790349596232</v>
      </c>
      <c r="AB194" s="197">
        <f t="shared" si="61"/>
        <v>44010</v>
      </c>
      <c r="AC194" s="424">
        <f>IF(OR(t&lt;Tnet,NoTnet),'2019'!Resal_s+('2019'!Salim-'2019'!Resal_s)*(1-EXP(('2019'!Tnet_s-t)/'2019'!Tau_j)),Resal_s+(Salim-Resal_s)*(1-EXP((Tnet_s-t)/Tau_j)))*Salcycl</f>
        <v>3.2364465753937956E-2</v>
      </c>
      <c r="AD194" s="230">
        <f>(INDEX(Models!$BJ194:$BT194,,AH194)*(1-AF194)+INDEX(Models!$BJ194:$BT194,,AH194+1)*AF194-ERP_i)*AE194*Ramure*Pc/MaxiM</f>
        <v>6.3102083942481973E-5</v>
      </c>
      <c r="AE194" s="304">
        <f t="shared" si="62"/>
        <v>0.7</v>
      </c>
      <c r="AF194" s="177">
        <f t="shared" si="63"/>
        <v>0.47319591289081453</v>
      </c>
      <c r="AG194" s="176">
        <f t="shared" si="64"/>
        <v>-1</v>
      </c>
      <c r="AH194" s="176">
        <f t="shared" si="65"/>
        <v>5</v>
      </c>
      <c r="AI194" s="224">
        <f t="shared" si="66"/>
        <v>-0.52680408710918547</v>
      </c>
      <c r="AJ194" s="264" t="b">
        <f t="shared" si="67"/>
        <v>0</v>
      </c>
      <c r="AK194" s="264" t="b">
        <f t="shared" si="68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72"/>
        <v>44011</v>
      </c>
      <c r="B195" s="607">
        <v>20.654</v>
      </c>
      <c r="C195" s="388"/>
      <c r="D195" s="391">
        <f t="shared" si="48"/>
        <v>20.867259955428562</v>
      </c>
      <c r="E195" s="383">
        <f t="shared" si="73"/>
        <v>21.566448186167285</v>
      </c>
      <c r="F195" s="383">
        <f t="shared" si="49"/>
        <v>21.566545182074766</v>
      </c>
      <c r="G195" s="110">
        <f t="shared" si="74"/>
        <v>0.35593739430833671</v>
      </c>
      <c r="H195" s="412" t="b">
        <f>Wh_hp&gt;='2019'!Maxi_hp</f>
        <v>0</v>
      </c>
      <c r="I195" s="388">
        <f>IF(H195,Wh_hp,'2019'!Maxi_hp)</f>
        <v>46.176742952915681</v>
      </c>
      <c r="J195" s="85">
        <f>IF(H195,An,'2019'!An_max)</f>
        <v>2018</v>
      </c>
      <c r="K195" s="197">
        <f t="shared" si="50"/>
        <v>44011</v>
      </c>
      <c r="L195" s="147">
        <f>IF(t&lt;Tvie,1-EXP((T0-t)*PertePVj)+'2019'!Pspv,1-EXP((T0-t)*PertePVj)+Pspv)</f>
        <v>1.0219835085395701E-2</v>
      </c>
      <c r="M195" s="832"/>
      <c r="N195" s="832"/>
      <c r="O195" s="48">
        <f>IF(t&lt;Tnet,'2019'!Resal+('2019'!Salim-'2019'!Resal)*(1-EXP(('2019'!Tnet-t)/('2019'!Tau_j))),Resal+(Salim-Resal)*(1-EXP((Tnet-t)/(Tau_j))))*Salcycl</f>
        <v>3.2420184571105397E-2</v>
      </c>
      <c r="P195" s="169">
        <f>(INDEX(Models!$BJ195:$BT195,,T195)*(1-R195)+INDEX(Models!$BJ195:$BT195,,T195+1)*R195-ERP_i)*Q195*Ramure*Pc/MaxiM</f>
        <v>5.6263351777430021E-5</v>
      </c>
      <c r="Q195" s="304">
        <f t="shared" si="51"/>
        <v>0.7</v>
      </c>
      <c r="R195" s="177">
        <f t="shared" si="52"/>
        <v>0.41238417082742695</v>
      </c>
      <c r="S195" s="799">
        <f t="shared" si="53"/>
        <v>-1</v>
      </c>
      <c r="T195" s="176">
        <f t="shared" si="54"/>
        <v>5</v>
      </c>
      <c r="U195" s="250">
        <f t="shared" si="55"/>
        <v>-0.58761582917257305</v>
      </c>
      <c r="V195" s="382">
        <f t="shared" si="56"/>
        <v>58.024054662131547</v>
      </c>
      <c r="W195" s="58"/>
      <c r="X195" s="157">
        <f t="shared" si="57"/>
        <v>44011</v>
      </c>
      <c r="Y195" s="383">
        <f t="shared" si="58"/>
        <v>20.653987628687389</v>
      </c>
      <c r="Z195" s="383">
        <f t="shared" si="59"/>
        <v>20.867247456377712</v>
      </c>
      <c r="AA195" s="384">
        <f t="shared" si="60"/>
        <v>21.566435268317356</v>
      </c>
      <c r="AB195" s="197">
        <f t="shared" si="61"/>
        <v>44011</v>
      </c>
      <c r="AC195" s="424">
        <f>IF(OR(t&lt;Tnet,NoTnet),'2019'!Resal_s+('2019'!Salim-'2019'!Resal_s)*(1-EXP(('2019'!Tnet_s-t)/'2019'!Tau_j)),Resal_s+(Salim-Resal_s)*(1-EXP((Tnet_s-t)/Tau_j)))*Salcycl</f>
        <v>3.2420184571105397E-2</v>
      </c>
      <c r="AD195" s="230">
        <f>(INDEX(Models!$BJ195:$BT195,,AH195)*(1-AF195)+INDEX(Models!$BJ195:$BT195,,AH195+1)*AF195-ERP_i)*AE195*Ramure*Pc/MaxiM</f>
        <v>6.3756467246605059E-5</v>
      </c>
      <c r="AE195" s="304">
        <f t="shared" si="62"/>
        <v>0.7</v>
      </c>
      <c r="AF195" s="177">
        <f t="shared" si="63"/>
        <v>0.4767163930872591</v>
      </c>
      <c r="AG195" s="176">
        <f t="shared" si="64"/>
        <v>-1</v>
      </c>
      <c r="AH195" s="176">
        <f t="shared" si="65"/>
        <v>5</v>
      </c>
      <c r="AI195" s="224">
        <f t="shared" si="66"/>
        <v>-0.5232836069127409</v>
      </c>
      <c r="AJ195" s="264" t="b">
        <f t="shared" si="67"/>
        <v>0</v>
      </c>
      <c r="AK195" s="264" t="b">
        <f t="shared" si="68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72"/>
        <v>44012</v>
      </c>
      <c r="B196" s="607">
        <v>57.792000000000002</v>
      </c>
      <c r="C196" s="388"/>
      <c r="D196" s="391">
        <f t="shared" si="48"/>
        <v>58.389842149148862</v>
      </c>
      <c r="E196" s="383">
        <f t="shared" si="73"/>
        <v>60.349722260902581</v>
      </c>
      <c r="F196" s="383">
        <f t="shared" si="49"/>
        <v>60.353143786946767</v>
      </c>
      <c r="G196" s="110">
        <f t="shared" si="74"/>
        <v>0.9976949932391671</v>
      </c>
      <c r="H196" s="412" t="b">
        <f>Wh_hp&gt;='2019'!Maxi_hp</f>
        <v>1</v>
      </c>
      <c r="I196" s="388">
        <f>IF(H196,Wh_hp,'2019'!Maxi_hp)</f>
        <v>60.353143786946767</v>
      </c>
      <c r="J196" s="85">
        <f>IF(H196,An,'2019'!An_max)</f>
        <v>2020</v>
      </c>
      <c r="K196" s="197">
        <f t="shared" si="50"/>
        <v>44012</v>
      </c>
      <c r="L196" s="147">
        <f>IF(t&lt;Tvie,1-EXP((T0-t)*PertePVj)+'2019'!Pspv,1-EXP((T0-t)*PertePVj)+Pspv)</f>
        <v>1.0238803996451162E-2</v>
      </c>
      <c r="M196" s="832"/>
      <c r="N196" s="832"/>
      <c r="O196" s="48">
        <f>IF(t&lt;Tnet,'2019'!Resal+('2019'!Salim-'2019'!Resal)*(1-EXP(('2019'!Tnet-t)/('2019'!Tau_j))),Resal+(Salim-Resal)*(1-EXP((Tnet-t)/(Tau_j))))*Salcycl</f>
        <v>3.2475379145587645E-2</v>
      </c>
      <c r="P196" s="169">
        <f>(INDEX(Models!$BJ196:$BT196,,T196)*(1-R196)+INDEX(Models!$BJ196:$BT196,,T196+1)*R196-ERP_i)*Q196*Ramure*Pc/MaxiM</f>
        <v>5.6879041604131756E-5</v>
      </c>
      <c r="Q196" s="304">
        <f t="shared" si="51"/>
        <v>0.7</v>
      </c>
      <c r="R196" s="177">
        <f t="shared" si="52"/>
        <v>0.4158487848441812</v>
      </c>
      <c r="S196" s="799">
        <f t="shared" si="53"/>
        <v>-1</v>
      </c>
      <c r="T196" s="176">
        <f t="shared" si="54"/>
        <v>5</v>
      </c>
      <c r="U196" s="250">
        <f t="shared" si="55"/>
        <v>-0.5841512151558188</v>
      </c>
      <c r="V196" s="382">
        <f t="shared" si="56"/>
        <v>57.925507863354689</v>
      </c>
      <c r="W196" s="58"/>
      <c r="X196" s="157">
        <f t="shared" si="57"/>
        <v>44012</v>
      </c>
      <c r="Y196" s="383">
        <f t="shared" si="58"/>
        <v>57.791566888842034</v>
      </c>
      <c r="Z196" s="383">
        <f t="shared" si="59"/>
        <v>58.389404557576555</v>
      </c>
      <c r="AA196" s="384">
        <f t="shared" si="60"/>
        <v>60.34926998138134</v>
      </c>
      <c r="AB196" s="197">
        <f t="shared" si="61"/>
        <v>44012</v>
      </c>
      <c r="AC196" s="424">
        <f>IF(OR(t&lt;Tnet,NoTnet),'2019'!Resal_s+('2019'!Salim-'2019'!Resal_s)*(1-EXP(('2019'!Tnet_s-t)/'2019'!Tau_j)),Resal_s+(Salim-Resal_s)*(1-EXP((Tnet_s-t)/Tau_j)))*Salcycl</f>
        <v>3.2475379145587645E-2</v>
      </c>
      <c r="AD196" s="230">
        <f>(INDEX(Models!$BJ196:$BT196,,AH196)*(1-AF196)+INDEX(Models!$BJ196:$BT196,,AH196+1)*AF196-ERP_i)*AE196*Ramure*Pc/MaxiM</f>
        <v>6.4397682518391413E-5</v>
      </c>
      <c r="AE196" s="304">
        <f t="shared" si="62"/>
        <v>0.7</v>
      </c>
      <c r="AF196" s="177">
        <f t="shared" si="63"/>
        <v>0.48018100710401335</v>
      </c>
      <c r="AG196" s="176">
        <f t="shared" si="64"/>
        <v>-1</v>
      </c>
      <c r="AH196" s="176">
        <f t="shared" si="65"/>
        <v>5</v>
      </c>
      <c r="AI196" s="224">
        <f t="shared" si="66"/>
        <v>-0.51981899289598665</v>
      </c>
      <c r="AJ196" s="264" t="b">
        <f t="shared" si="67"/>
        <v>0</v>
      </c>
      <c r="AK196" s="264" t="b">
        <f t="shared" si="68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72"/>
        <v>44013</v>
      </c>
      <c r="B197" s="607">
        <v>49.758000000000003</v>
      </c>
      <c r="C197" s="388"/>
      <c r="D197" s="391">
        <f t="shared" si="48"/>
        <v>50.273696139948342</v>
      </c>
      <c r="E197" s="383">
        <f t="shared" si="73"/>
        <v>51.964091004981228</v>
      </c>
      <c r="F197" s="383">
        <f t="shared" si="49"/>
        <v>51.966482848559131</v>
      </c>
      <c r="G197" s="110">
        <f t="shared" si="74"/>
        <v>0.86049030069060617</v>
      </c>
      <c r="H197" s="412" t="b">
        <f>Wh_hp&gt;='2019'!Maxi_hp</f>
        <v>1</v>
      </c>
      <c r="I197" s="388">
        <f>IF(H197,Wh_hp,'2019'!Maxi_hp)</f>
        <v>51.966482848559131</v>
      </c>
      <c r="J197" s="85">
        <f>IF(H197,An,'2019'!An_max)</f>
        <v>2020</v>
      </c>
      <c r="K197" s="197">
        <f t="shared" si="50"/>
        <v>44013</v>
      </c>
      <c r="L197" s="147">
        <f>IF(t&lt;Tvie,1-EXP((T0-t)*PertePVj)+'2019'!Pspv,1-EXP((T0-t)*PertePVj)+Pspv)</f>
        <v>1.0257772543971755E-2</v>
      </c>
      <c r="M197" s="832"/>
      <c r="N197" s="832"/>
      <c r="O197" s="48">
        <f>IF(t&lt;Tnet,'2019'!Resal+('2019'!Salim-'2019'!Resal)*(1-EXP(('2019'!Tnet-t)/('2019'!Tau_j))),Resal+(Salim-Resal)*(1-EXP((Tnet-t)/(Tau_j))))*Salcycl</f>
        <v>3.2530057436602623E-2</v>
      </c>
      <c r="P197" s="169">
        <f>(INDEX(Models!$BJ197:$BT197,,T197)*(1-R197)+INDEX(Models!$BJ197:$BT197,,T197+1)*R197-ERP_i)*Q197*Ramure*Pc/MaxiM</f>
        <v>5.7481984102427194E-5</v>
      </c>
      <c r="Q197" s="304">
        <f t="shared" si="51"/>
        <v>0.7</v>
      </c>
      <c r="R197" s="177">
        <f t="shared" si="52"/>
        <v>0.4192559970903097</v>
      </c>
      <c r="S197" s="799">
        <f t="shared" si="53"/>
        <v>-1</v>
      </c>
      <c r="T197" s="176">
        <f t="shared" si="54"/>
        <v>5</v>
      </c>
      <c r="U197" s="250">
        <f t="shared" si="55"/>
        <v>-0.5807440029096903</v>
      </c>
      <c r="V197" s="382">
        <f t="shared" si="56"/>
        <v>57.824509979666466</v>
      </c>
      <c r="W197" s="58"/>
      <c r="X197" s="157">
        <f t="shared" si="57"/>
        <v>44013</v>
      </c>
      <c r="Y197" s="383">
        <f t="shared" si="58"/>
        <v>49.757699456013931</v>
      </c>
      <c r="Z197" s="383">
        <f t="shared" si="59"/>
        <v>50.27339248109886</v>
      </c>
      <c r="AA197" s="384">
        <f t="shared" si="60"/>
        <v>51.963777135954274</v>
      </c>
      <c r="AB197" s="197">
        <f t="shared" si="61"/>
        <v>44013</v>
      </c>
      <c r="AC197" s="424">
        <f>IF(OR(t&lt;Tnet,NoTnet),'2019'!Resal_s+('2019'!Salim-'2019'!Resal_s)*(1-EXP(('2019'!Tnet_s-t)/'2019'!Tau_j)),Resal_s+(Salim-Resal_s)*(1-EXP((Tnet_s-t)/Tau_j)))*Salcycl</f>
        <v>3.2530057436602623E-2</v>
      </c>
      <c r="AD197" s="230">
        <f>(INDEX(Models!$BJ197:$BT197,,AH197)*(1-AF197)+INDEX(Models!$BJ197:$BT197,,AH197+1)*AF197-ERP_i)*AE197*Ramure*Pc/MaxiM</f>
        <v>6.5025041927938397E-5</v>
      </c>
      <c r="AE197" s="304">
        <f t="shared" si="62"/>
        <v>0.7</v>
      </c>
      <c r="AF197" s="177">
        <f t="shared" si="63"/>
        <v>0.48358821935014185</v>
      </c>
      <c r="AG197" s="176">
        <f t="shared" si="64"/>
        <v>-1</v>
      </c>
      <c r="AH197" s="176">
        <f t="shared" si="65"/>
        <v>5</v>
      </c>
      <c r="AI197" s="224">
        <f t="shared" si="66"/>
        <v>-0.51641178064985815</v>
      </c>
      <c r="AJ197" s="264" t="b">
        <f t="shared" si="67"/>
        <v>0</v>
      </c>
      <c r="AK197" s="264" t="b">
        <f t="shared" si="68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72"/>
        <v>44014</v>
      </c>
      <c r="B198" s="607">
        <v>18.911000000000001</v>
      </c>
      <c r="C198" s="388"/>
      <c r="D198" s="391">
        <f t="shared" si="48"/>
        <v>19.107361399094003</v>
      </c>
      <c r="E198" s="383">
        <f t="shared" si="73"/>
        <v>19.75093022324678</v>
      </c>
      <c r="F198" s="383">
        <f t="shared" si="49"/>
        <v>19.750975477912665</v>
      </c>
      <c r="G198" s="110">
        <f t="shared" si="74"/>
        <v>0.32760733393173325</v>
      </c>
      <c r="H198" s="412" t="b">
        <f>Wh_hp&gt;='2019'!Maxi_hp</f>
        <v>0</v>
      </c>
      <c r="I198" s="388">
        <f>IF(H198,Wh_hp,'2019'!Maxi_hp)</f>
        <v>48.384320538752554</v>
      </c>
      <c r="J198" s="85">
        <f>IF(H198,An,'2019'!An_max)</f>
        <v>2018</v>
      </c>
      <c r="K198" s="197">
        <f t="shared" si="50"/>
        <v>44014</v>
      </c>
      <c r="L198" s="147">
        <f>IF(t&lt;Tvie,1-EXP((T0-t)*PertePVj)+'2019'!Pspv,1-EXP((T0-t)*PertePVj)+Pspv)</f>
        <v>1.0276740727964362E-2</v>
      </c>
      <c r="M198" s="832"/>
      <c r="N198" s="832"/>
      <c r="O198" s="48">
        <f>IF(t&lt;Tnet,'2019'!Resal+('2019'!Salim-'2019'!Resal)*(1-EXP(('2019'!Tnet-t)/('2019'!Tau_j))),Resal+(Salim-Resal)*(1-EXP((Tnet-t)/(Tau_j))))*Salcycl</f>
        <v>3.2584228533970361E-2</v>
      </c>
      <c r="P198" s="169">
        <f>(INDEX(Models!$BJ198:$BT198,,T198)*(1-R198)+INDEX(Models!$BJ198:$BT198,,T198+1)*R198-ERP_i)*Q198*Ramure*Pc/MaxiM</f>
        <v>5.8057865168315438E-5</v>
      </c>
      <c r="Q198" s="304">
        <f t="shared" si="51"/>
        <v>0.7</v>
      </c>
      <c r="R198" s="177">
        <f t="shared" si="52"/>
        <v>0.42260441770414681</v>
      </c>
      <c r="S198" s="799">
        <f t="shared" si="53"/>
        <v>-1</v>
      </c>
      <c r="T198" s="176">
        <f t="shared" si="54"/>
        <v>5</v>
      </c>
      <c r="U198" s="250">
        <f t="shared" si="55"/>
        <v>-0.57739558229585319</v>
      </c>
      <c r="V198" s="382">
        <f t="shared" si="56"/>
        <v>57.721373842313312</v>
      </c>
      <c r="W198" s="58"/>
      <c r="X198" s="157">
        <f t="shared" si="57"/>
        <v>44014</v>
      </c>
      <c r="Y198" s="383">
        <f t="shared" si="58"/>
        <v>18.910994353768903</v>
      </c>
      <c r="Z198" s="383">
        <f t="shared" si="59"/>
        <v>19.107355694235554</v>
      </c>
      <c r="AA198" s="384">
        <f t="shared" si="60"/>
        <v>19.750924326238877</v>
      </c>
      <c r="AB198" s="197">
        <f t="shared" si="61"/>
        <v>44014</v>
      </c>
      <c r="AC198" s="424">
        <f>IF(OR(t&lt;Tnet,NoTnet),'2019'!Resal_s+('2019'!Salim-'2019'!Resal_s)*(1-EXP(('2019'!Tnet_s-t)/'2019'!Tau_j)),Resal_s+(Salim-Resal_s)*(1-EXP((Tnet_s-t)/Tau_j)))*Salcycl</f>
        <v>3.2584228533970361E-2</v>
      </c>
      <c r="AD198" s="230">
        <f>(INDEX(Models!$BJ198:$BT198,,AH198)*(1-AF198)+INDEX(Models!$BJ198:$BT198,,AH198+1)*AF198-ERP_i)*AE198*Ramure*Pc/MaxiM</f>
        <v>6.5623221870179189E-5</v>
      </c>
      <c r="AE198" s="304">
        <f t="shared" si="62"/>
        <v>0.7</v>
      </c>
      <c r="AF198" s="177">
        <f t="shared" si="63"/>
        <v>0.48693663996397896</v>
      </c>
      <c r="AG198" s="176">
        <f t="shared" si="64"/>
        <v>-1</v>
      </c>
      <c r="AH198" s="176">
        <f t="shared" si="65"/>
        <v>5</v>
      </c>
      <c r="AI198" s="224">
        <f t="shared" si="66"/>
        <v>-0.51306336003602104</v>
      </c>
      <c r="AJ198" s="264" t="b">
        <f t="shared" si="67"/>
        <v>0</v>
      </c>
      <c r="AK198" s="264" t="b">
        <f t="shared" si="68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72"/>
        <v>44015</v>
      </c>
      <c r="B199" s="607">
        <v>50.337000000000003</v>
      </c>
      <c r="C199" s="388"/>
      <c r="D199" s="391">
        <f t="shared" si="48"/>
        <v>50.860646391835417</v>
      </c>
      <c r="E199" s="383">
        <f t="shared" si="73"/>
        <v>52.576637566677832</v>
      </c>
      <c r="F199" s="383">
        <f t="shared" si="49"/>
        <v>52.579162134209639</v>
      </c>
      <c r="G199" s="110">
        <f t="shared" si="74"/>
        <v>0.87364807476429296</v>
      </c>
      <c r="H199" s="412" t="b">
        <f>Wh_hp&gt;='2019'!Maxi_hp</f>
        <v>0</v>
      </c>
      <c r="I199" s="388">
        <f>IF(H199,Wh_hp,'2019'!Maxi_hp)</f>
        <v>58.802223324731905</v>
      </c>
      <c r="J199" s="85">
        <f>IF(H199,An,'2019'!An_max)</f>
        <v>2018</v>
      </c>
      <c r="K199" s="197">
        <f t="shared" si="50"/>
        <v>44015</v>
      </c>
      <c r="L199" s="147">
        <f>IF(t&lt;Tvie,1-EXP((T0-t)*PertePVj)+'2019'!Pspv,1-EXP((T0-t)*PertePVj)+Pspv)</f>
        <v>1.02957085484362E-2</v>
      </c>
      <c r="M199" s="832"/>
      <c r="N199" s="832"/>
      <c r="O199" s="48">
        <f>IF(t&lt;Tnet,'2019'!Resal+('2019'!Salim-'2019'!Resal)*(1-EXP(('2019'!Tnet-t)/('2019'!Tau_j))),Resal+(Salim-Resal)*(1-EXP((Tnet-t)/(Tau_j))))*Salcycl</f>
        <v>3.2637902579186355E-2</v>
      </c>
      <c r="P199" s="169">
        <f>(INDEX(Models!$BJ199:$BT199,,T199)*(1-R199)+INDEX(Models!$BJ199:$BT199,,T199+1)*R199-ERP_i)*Q199*Ramure*Pc/MaxiM</f>
        <v>5.8589371092818886E-5</v>
      </c>
      <c r="Q199" s="304">
        <f t="shared" si="51"/>
        <v>0.7</v>
      </c>
      <c r="R199" s="177">
        <f t="shared" si="52"/>
        <v>0.42589280188331258</v>
      </c>
      <c r="S199" s="799">
        <f t="shared" si="53"/>
        <v>-1</v>
      </c>
      <c r="T199" s="176">
        <f t="shared" si="54"/>
        <v>5</v>
      </c>
      <c r="U199" s="250">
        <f t="shared" si="55"/>
        <v>-0.57410719811668742</v>
      </c>
      <c r="V199" s="382">
        <f t="shared" si="56"/>
        <v>57.616412290335788</v>
      </c>
      <c r="W199" s="58"/>
      <c r="X199" s="157">
        <f t="shared" si="57"/>
        <v>44015</v>
      </c>
      <c r="Y199" s="383">
        <f t="shared" si="58"/>
        <v>50.336687143880198</v>
      </c>
      <c r="Z199" s="383">
        <f t="shared" si="59"/>
        <v>50.860330281131937</v>
      </c>
      <c r="AA199" s="384">
        <f t="shared" si="60"/>
        <v>52.576310790691551</v>
      </c>
      <c r="AB199" s="197">
        <f t="shared" si="61"/>
        <v>44015</v>
      </c>
      <c r="AC199" s="424">
        <f>IF(OR(t&lt;Tnet,NoTnet),'2019'!Resal_s+('2019'!Salim-'2019'!Resal_s)*(1-EXP(('2019'!Tnet_s-t)/'2019'!Tau_j)),Resal_s+(Salim-Resal_s)*(1-EXP((Tnet_s-t)/Tau_j)))*Salcycl</f>
        <v>3.2637902579186355E-2</v>
      </c>
      <c r="AD199" s="230">
        <f>(INDEX(Models!$BJ199:$BT199,,AH199)*(1-AF199)+INDEX(Models!$BJ199:$BT199,,AH199+1)*AF199-ERP_i)*AE199*Ramure*Pc/MaxiM</f>
        <v>6.6173085643119378E-5</v>
      </c>
      <c r="AE199" s="304">
        <f t="shared" si="62"/>
        <v>0.7</v>
      </c>
      <c r="AF199" s="177">
        <f t="shared" si="63"/>
        <v>0.49022502414314473</v>
      </c>
      <c r="AG199" s="176">
        <f t="shared" si="64"/>
        <v>-1</v>
      </c>
      <c r="AH199" s="176">
        <f t="shared" si="65"/>
        <v>5</v>
      </c>
      <c r="AI199" s="224">
        <f t="shared" si="66"/>
        <v>-0.50977497585685527</v>
      </c>
      <c r="AJ199" s="264" t="b">
        <f t="shared" si="67"/>
        <v>0</v>
      </c>
      <c r="AK199" s="264" t="b">
        <f t="shared" si="68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72"/>
        <v>44016</v>
      </c>
      <c r="B200" s="607">
        <v>56.395000000000003</v>
      </c>
      <c r="C200" s="388"/>
      <c r="D200" s="391">
        <f t="shared" si="48"/>
        <v>56.982758693820308</v>
      </c>
      <c r="E200" s="383">
        <f t="shared" si="73"/>
        <v>58.908543222221667</v>
      </c>
      <c r="F200" s="383">
        <f t="shared" si="49"/>
        <v>58.911927074383357</v>
      </c>
      <c r="G200" s="110">
        <f t="shared" si="74"/>
        <v>0.98061153593117378</v>
      </c>
      <c r="H200" s="412" t="b">
        <f>Wh_hp&gt;='2019'!Maxi_hp</f>
        <v>1</v>
      </c>
      <c r="I200" s="388">
        <f>IF(H200,Wh_hp,'2019'!Maxi_hp)</f>
        <v>58.911927074383357</v>
      </c>
      <c r="J200" s="85">
        <f>IF(H200,An,'2019'!An_max)</f>
        <v>2020</v>
      </c>
      <c r="K200" s="197">
        <f t="shared" si="50"/>
        <v>44016</v>
      </c>
      <c r="L200" s="147">
        <f>IF(t&lt;Tvie,1-EXP((T0-t)*PertePVj)+'2019'!Pspv,1-EXP((T0-t)*PertePVj)+Pspv)</f>
        <v>1.0314676005394041E-2</v>
      </c>
      <c r="M200" s="832"/>
      <c r="N200" s="832"/>
      <c r="O200" s="48">
        <f>IF(t&lt;Tnet,'2019'!Resal+('2019'!Salim-'2019'!Resal)*(1-EXP(('2019'!Tnet-t)/('2019'!Tau_j))),Resal+(Salim-Resal)*(1-EXP((Tnet-t)/(Tau_j))))*Salcycl</f>
        <v>3.2691090681646807E-2</v>
      </c>
      <c r="P200" s="169">
        <f>(INDEX(Models!$BJ200:$BT200,,T200)*(1-R200)+INDEX(Models!$BJ200:$BT200,,T200+1)*R200-ERP_i)*Q200*Ramure*Pc/MaxiM</f>
        <v>5.9075289948034962E-5</v>
      </c>
      <c r="Q200" s="304">
        <f t="shared" si="51"/>
        <v>0.7</v>
      </c>
      <c r="R200" s="177">
        <f t="shared" si="52"/>
        <v>0.4291200485712916</v>
      </c>
      <c r="S200" s="799">
        <f t="shared" si="53"/>
        <v>-1</v>
      </c>
      <c r="T200" s="176">
        <f t="shared" si="54"/>
        <v>5</v>
      </c>
      <c r="U200" s="250">
        <f t="shared" si="55"/>
        <v>-0.5708799514287084</v>
      </c>
      <c r="V200" s="382">
        <f t="shared" si="56"/>
        <v>57.509937074248732</v>
      </c>
      <c r="W200" s="58"/>
      <c r="X200" s="157">
        <f t="shared" si="57"/>
        <v>44016</v>
      </c>
      <c r="Y200" s="383">
        <f t="shared" si="58"/>
        <v>56.394583349466167</v>
      </c>
      <c r="Z200" s="383">
        <f t="shared" si="59"/>
        <v>56.982337700880699</v>
      </c>
      <c r="AA200" s="384">
        <f t="shared" si="60"/>
        <v>58.908108001440013</v>
      </c>
      <c r="AB200" s="197">
        <f t="shared" si="61"/>
        <v>44016</v>
      </c>
      <c r="AC200" s="424">
        <f>IF(OR(t&lt;Tnet,NoTnet),'2019'!Resal_s+('2019'!Salim-'2019'!Resal_s)*(1-EXP(('2019'!Tnet_s-t)/'2019'!Tau_j)),Resal_s+(Salim-Resal_s)*(1-EXP((Tnet_s-t)/Tau_j)))*Salcycl</f>
        <v>3.2691090681646807E-2</v>
      </c>
      <c r="AD200" s="230">
        <f>(INDEX(Models!$BJ200:$BT200,,AH200)*(1-AF200)+INDEX(Models!$BJ200:$BT200,,AH200+1)*AF200-ERP_i)*AE200*Ramure*Pc/MaxiM</f>
        <v>6.6673374213973397E-5</v>
      </c>
      <c r="AE200" s="304">
        <f t="shared" si="62"/>
        <v>0.7</v>
      </c>
      <c r="AF200" s="177">
        <f t="shared" si="63"/>
        <v>0.49345227083112375</v>
      </c>
      <c r="AG200" s="176">
        <f t="shared" si="64"/>
        <v>-1</v>
      </c>
      <c r="AH200" s="176">
        <f t="shared" si="65"/>
        <v>5</v>
      </c>
      <c r="AI200" s="224">
        <f t="shared" si="66"/>
        <v>-0.50654772916887625</v>
      </c>
      <c r="AJ200" s="264" t="b">
        <f t="shared" si="67"/>
        <v>0</v>
      </c>
      <c r="AK200" s="264" t="b">
        <f t="shared" si="68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si="72"/>
        <v>44017</v>
      </c>
      <c r="B201" s="607">
        <v>56.055999999999997</v>
      </c>
      <c r="C201" s="388"/>
      <c r="D201" s="391">
        <f t="shared" si="48"/>
        <v>56.641311093490778</v>
      </c>
      <c r="E201" s="383">
        <f t="shared" si="73"/>
        <v>58.558747285744161</v>
      </c>
      <c r="F201" s="383">
        <f t="shared" si="49"/>
        <v>58.562115804958381</v>
      </c>
      <c r="G201" s="110">
        <f t="shared" si="74"/>
        <v>0.97654497255850969</v>
      </c>
      <c r="H201" s="412" t="b">
        <f>Wh_hp&gt;='2019'!Maxi_hp</f>
        <v>1</v>
      </c>
      <c r="I201" s="388">
        <f>IF(H201,Wh_hp,'2019'!Maxi_hp)</f>
        <v>58.562115804958381</v>
      </c>
      <c r="J201" s="85">
        <f>IF(H201,An,'2019'!An_max)</f>
        <v>2020</v>
      </c>
      <c r="K201" s="197">
        <f t="shared" si="50"/>
        <v>44017</v>
      </c>
      <c r="L201" s="147">
        <f>IF(t&lt;Tvie,1-EXP((T0-t)*PertePVj)+'2019'!Pspv,1-EXP((T0-t)*PertePVj)+Pspv)</f>
        <v>1.033364309884488E-2</v>
      </c>
      <c r="M201" s="832"/>
      <c r="N201" s="832"/>
      <c r="O201" s="48">
        <f>IF(t&lt;Tnet,'2019'!Resal+('2019'!Salim-'2019'!Resal)*(1-EXP(('2019'!Tnet-t)/('2019'!Tau_j))),Resal+(Salim-Resal)*(1-EXP((Tnet-t)/(Tau_j))))*Salcycl</f>
        <v>3.2743804830677771E-2</v>
      </c>
      <c r="P201" s="169">
        <f>(INDEX(Models!$BJ201:$BT201,,T201)*(1-R201)+INDEX(Models!$BJ201:$BT201,,T201+1)*R201-ERP_i)*Q201*Ramure*Pc/MaxiM</f>
        <v>5.9514445102810952E-5</v>
      </c>
      <c r="Q201" s="304">
        <f t="shared" si="51"/>
        <v>0.7</v>
      </c>
      <c r="R201" s="177">
        <f t="shared" si="52"/>
        <v>0.43228519854019254</v>
      </c>
      <c r="S201" s="799">
        <f t="shared" si="53"/>
        <v>-1</v>
      </c>
      <c r="T201" s="176">
        <f t="shared" si="54"/>
        <v>5</v>
      </c>
      <c r="U201" s="250">
        <f t="shared" si="55"/>
        <v>-0.56771480145980746</v>
      </c>
      <c r="V201" s="382">
        <f t="shared" si="56"/>
        <v>57.40225979688207</v>
      </c>
      <c r="W201" s="58"/>
      <c r="X201" s="157">
        <f t="shared" si="57"/>
        <v>44017</v>
      </c>
      <c r="Y201" s="383">
        <f t="shared" si="58"/>
        <v>56.055587768273853</v>
      </c>
      <c r="Z201" s="383">
        <f t="shared" si="59"/>
        <v>56.640894557429633</v>
      </c>
      <c r="AA201" s="384">
        <f t="shared" si="60"/>
        <v>58.558316648997433</v>
      </c>
      <c r="AB201" s="197">
        <f t="shared" si="61"/>
        <v>44017</v>
      </c>
      <c r="AC201" s="424">
        <f>IF(OR(t&lt;Tnet,NoTnet),'2019'!Resal_s+('2019'!Salim-'2019'!Resal_s)*(1-EXP(('2019'!Tnet_s-t)/'2019'!Tau_j)),Resal_s+(Salim-Resal_s)*(1-EXP((Tnet_s-t)/Tau_j)))*Salcycl</f>
        <v>3.2743804830677771E-2</v>
      </c>
      <c r="AD201" s="230">
        <f>(INDEX(Models!$BJ201:$BT201,,AH201)*(1-AF201)+INDEX(Models!$BJ201:$BT201,,AH201+1)*AF201-ERP_i)*AE201*Ramure*Pc/MaxiM</f>
        <v>6.7122864527483306E-5</v>
      </c>
      <c r="AE201" s="304">
        <f t="shared" si="62"/>
        <v>0.7</v>
      </c>
      <c r="AF201" s="177">
        <f t="shared" si="63"/>
        <v>0.49661742080002469</v>
      </c>
      <c r="AG201" s="176">
        <f t="shared" si="64"/>
        <v>-1</v>
      </c>
      <c r="AH201" s="176">
        <f t="shared" si="65"/>
        <v>5</v>
      </c>
      <c r="AI201" s="224">
        <f t="shared" si="66"/>
        <v>-0.50338257919997531</v>
      </c>
      <c r="AJ201" s="264" t="b">
        <f t="shared" si="67"/>
        <v>0</v>
      </c>
      <c r="AK201" s="264" t="b">
        <f t="shared" si="68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72"/>
        <v>44018</v>
      </c>
      <c r="B202" s="607">
        <v>31.082999999999998</v>
      </c>
      <c r="C202" s="388"/>
      <c r="D202" s="391">
        <f t="shared" si="48"/>
        <v>31.408156388532269</v>
      </c>
      <c r="E202" s="383">
        <f t="shared" si="73"/>
        <v>32.473147614786228</v>
      </c>
      <c r="F202" s="383">
        <f t="shared" si="49"/>
        <v>32.473821602320676</v>
      </c>
      <c r="G202" s="110">
        <f t="shared" si="74"/>
        <v>0.5424992177323249</v>
      </c>
      <c r="H202" s="412" t="b">
        <f>Wh_hp&gt;='2019'!Maxi_hp</f>
        <v>0</v>
      </c>
      <c r="I202" s="388">
        <f>IF(H202,Wh_hp,'2019'!Maxi_hp)</f>
        <v>48.064963584143612</v>
      </c>
      <c r="J202" s="85">
        <f>IF(H202,An,'2019'!An_max)</f>
        <v>2018</v>
      </c>
      <c r="K202" s="197">
        <f t="shared" si="50"/>
        <v>44018</v>
      </c>
      <c r="L202" s="147">
        <f>IF(t&lt;Tvie,1-EXP((T0-t)*PertePVj)+'2019'!Pspv,1-EXP((T0-t)*PertePVj)+Pspv)</f>
        <v>1.0352609828795711E-2</v>
      </c>
      <c r="M202" s="832"/>
      <c r="N202" s="832"/>
      <c r="O202" s="48">
        <f>IF(t&lt;Tnet,'2019'!Resal+('2019'!Salim-'2019'!Resal)*(1-EXP(('2019'!Tnet-t)/('2019'!Tau_j))),Resal+(Salim-Resal)*(1-EXP((Tnet-t)/(Tau_j))))*Salcycl</f>
        <v>3.2796057804049455E-2</v>
      </c>
      <c r="P202" s="169">
        <f>(INDEX(Models!$BJ202:$BT202,,T202)*(1-R202)+INDEX(Models!$BJ202:$BT202,,T202+1)*R202-ERP_i)*Q202*Ramure*Pc/MaxiM</f>
        <v>5.9905696706251871E-5</v>
      </c>
      <c r="Q202" s="304">
        <f t="shared" si="51"/>
        <v>0.7</v>
      </c>
      <c r="R202" s="177">
        <f t="shared" si="52"/>
        <v>0.43538743191222418</v>
      </c>
      <c r="S202" s="799">
        <f t="shared" si="53"/>
        <v>-1</v>
      </c>
      <c r="T202" s="176">
        <f t="shared" si="54"/>
        <v>5</v>
      </c>
      <c r="U202" s="250">
        <f t="shared" si="55"/>
        <v>-0.56461256808777582</v>
      </c>
      <c r="V202" s="382">
        <f t="shared" si="56"/>
        <v>57.293691919430444</v>
      </c>
      <c r="W202" s="58"/>
      <c r="X202" s="157">
        <f t="shared" si="57"/>
        <v>44018</v>
      </c>
      <c r="Y202" s="383">
        <f t="shared" si="58"/>
        <v>31.082917996268542</v>
      </c>
      <c r="Z202" s="383">
        <f t="shared" si="59"/>
        <v>31.408073526967364</v>
      </c>
      <c r="AA202" s="384">
        <f t="shared" si="60"/>
        <v>32.473061943542255</v>
      </c>
      <c r="AB202" s="197">
        <f t="shared" si="61"/>
        <v>44018</v>
      </c>
      <c r="AC202" s="424">
        <f>IF(OR(t&lt;Tnet,NoTnet),'2019'!Resal_s+('2019'!Salim-'2019'!Resal_s)*(1-EXP(('2019'!Tnet_s-t)/'2019'!Tau_j)),Resal_s+(Salim-Resal_s)*(1-EXP((Tnet_s-t)/Tau_j)))*Salcycl</f>
        <v>3.2796057804049455E-2</v>
      </c>
      <c r="AD202" s="230">
        <f>(INDEX(Models!$BJ202:$BT202,,AH202)*(1-AF202)+INDEX(Models!$BJ202:$BT202,,AH202+1)*AF202-ERP_i)*AE202*Ramure*Pc/MaxiM</f>
        <v>6.7520371007120849E-5</v>
      </c>
      <c r="AE202" s="304">
        <f t="shared" si="62"/>
        <v>0.7</v>
      </c>
      <c r="AF202" s="177">
        <f t="shared" si="63"/>
        <v>0.49971965417205633</v>
      </c>
      <c r="AG202" s="176">
        <f t="shared" si="64"/>
        <v>-1</v>
      </c>
      <c r="AH202" s="176">
        <f t="shared" si="65"/>
        <v>5</v>
      </c>
      <c r="AI202" s="224">
        <f t="shared" si="66"/>
        <v>-0.50028034582794367</v>
      </c>
      <c r="AJ202" s="264" t="b">
        <f t="shared" si="67"/>
        <v>0</v>
      </c>
      <c r="AK202" s="264" t="b">
        <f t="shared" si="68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72"/>
        <v>44019</v>
      </c>
      <c r="B203" s="607">
        <v>59.081000000000003</v>
      </c>
      <c r="C203" s="388"/>
      <c r="D203" s="391">
        <f t="shared" si="48"/>
        <v>59.700185017782673</v>
      </c>
      <c r="E203" s="383">
        <f t="shared" si="73"/>
        <v>61.727811725168912</v>
      </c>
      <c r="F203" s="383">
        <f t="shared" si="49"/>
        <v>61.731530922923696</v>
      </c>
      <c r="G203" s="110">
        <f t="shared" si="74"/>
        <v>1.033163772445417</v>
      </c>
      <c r="H203" s="412" t="b">
        <f>Wh_hp&gt;='2019'!Maxi_hp</f>
        <v>1</v>
      </c>
      <c r="I203" s="388">
        <f>IF(H203,Wh_hp,'2019'!Maxi_hp)</f>
        <v>61.731530922923696</v>
      </c>
      <c r="J203" s="85">
        <f>IF(H203,An,'2019'!An_max)</f>
        <v>2020</v>
      </c>
      <c r="K203" s="197">
        <f t="shared" si="50"/>
        <v>44019</v>
      </c>
      <c r="L203" s="147">
        <f>IF(t&lt;Tvie,1-EXP((T0-t)*PertePVj)+'2019'!Pspv,1-EXP((T0-t)*PertePVj)+Pspv)</f>
        <v>1.0371576195253529E-2</v>
      </c>
      <c r="M203" s="832"/>
      <c r="N203" s="832"/>
      <c r="O203" s="48">
        <f>IF(t&lt;Tnet,'2019'!Resal+('2019'!Salim-'2019'!Resal)*(1-EXP(('2019'!Tnet-t)/('2019'!Tau_j))),Resal+(Salim-Resal)*(1-EXP((Tnet-t)/(Tau_j))))*Salcycl</f>
        <v>3.2847863073679949E-2</v>
      </c>
      <c r="P203" s="169">
        <f>(INDEX(Models!$BJ203:$BT203,,T203)*(1-R203)+INDEX(Models!$BJ203:$BT203,,T203+1)*R203-ERP_i)*Q203*Ramure*Pc/MaxiM</f>
        <v>6.0247942974705191E-5</v>
      </c>
      <c r="Q203" s="304">
        <f t="shared" si="51"/>
        <v>0.7</v>
      </c>
      <c r="R203" s="177">
        <f t="shared" si="52"/>
        <v>0.43842606516470606</v>
      </c>
      <c r="S203" s="799">
        <f t="shared" si="53"/>
        <v>-1</v>
      </c>
      <c r="T203" s="176">
        <f t="shared" si="54"/>
        <v>5</v>
      </c>
      <c r="U203" s="250">
        <f t="shared" si="55"/>
        <v>-0.56157393483529394</v>
      </c>
      <c r="V203" s="382">
        <f t="shared" si="56"/>
        <v>57.184544769857688</v>
      </c>
      <c r="W203" s="58"/>
      <c r="X203" s="157">
        <f t="shared" si="57"/>
        <v>44019</v>
      </c>
      <c r="Y203" s="383">
        <f t="shared" si="58"/>
        <v>59.080549964496015</v>
      </c>
      <c r="Z203" s="383">
        <f t="shared" si="59"/>
        <v>59.699730265783671</v>
      </c>
      <c r="AA203" s="384">
        <f t="shared" si="60"/>
        <v>61.727341528204406</v>
      </c>
      <c r="AB203" s="197">
        <f t="shared" si="61"/>
        <v>44019</v>
      </c>
      <c r="AC203" s="424">
        <f>IF(OR(t&lt;Tnet,NoTnet),'2019'!Resal_s+('2019'!Salim-'2019'!Resal_s)*(1-EXP(('2019'!Tnet_s-t)/'2019'!Tau_j)),Resal_s+(Salim-Resal_s)*(1-EXP((Tnet_s-t)/Tau_j)))*Salcycl</f>
        <v>3.2847863073679949E-2</v>
      </c>
      <c r="AD203" s="230">
        <f>(INDEX(Models!$BJ203:$BT203,,AH203)*(1-AF203)+INDEX(Models!$BJ203:$BT203,,AH203+1)*AF203-ERP_i)*AE203*Ramure*Pc/MaxiM</f>
        <v>6.7864746858785618E-5</v>
      </c>
      <c r="AE203" s="304">
        <f t="shared" si="62"/>
        <v>0.7</v>
      </c>
      <c r="AF203" s="177">
        <f t="shared" si="63"/>
        <v>0.50275828742453821</v>
      </c>
      <c r="AG203" s="176">
        <f t="shared" si="64"/>
        <v>-1</v>
      </c>
      <c r="AH203" s="176">
        <f t="shared" si="65"/>
        <v>5</v>
      </c>
      <c r="AI203" s="224">
        <f t="shared" si="66"/>
        <v>-0.49724171257546174</v>
      </c>
      <c r="AJ203" s="264" t="b">
        <f t="shared" si="67"/>
        <v>0</v>
      </c>
      <c r="AK203" s="264" t="b">
        <f t="shared" si="68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72"/>
        <v>44020</v>
      </c>
      <c r="B204" s="607">
        <v>57.222999999999999</v>
      </c>
      <c r="C204" s="388"/>
      <c r="D204" s="391">
        <f t="shared" si="48"/>
        <v>57.823820850610886</v>
      </c>
      <c r="E204" s="383">
        <f t="shared" si="73"/>
        <v>59.790895557017429</v>
      </c>
      <c r="F204" s="383">
        <f t="shared" si="49"/>
        <v>59.794515524240495</v>
      </c>
      <c r="G204" s="110">
        <f t="shared" si="74"/>
        <v>1.0025908035580675</v>
      </c>
      <c r="H204" s="412" t="b">
        <f>Wh_hp&gt;='2019'!Maxi_hp</f>
        <v>1</v>
      </c>
      <c r="I204" s="388">
        <f>IF(H204,Wh_hp,'2019'!Maxi_hp)</f>
        <v>59.794515524240495</v>
      </c>
      <c r="J204" s="85">
        <f>IF(H204,An,'2019'!An_max)</f>
        <v>2020</v>
      </c>
      <c r="K204" s="197">
        <f t="shared" si="50"/>
        <v>44020</v>
      </c>
      <c r="L204" s="147">
        <f>IF(t&lt;Tvie,1-EXP((T0-t)*PertePVj)+'2019'!Pspv,1-EXP((T0-t)*PertePVj)+Pspv)</f>
        <v>1.0390542198225217E-2</v>
      </c>
      <c r="M204" s="832"/>
      <c r="N204" s="832"/>
      <c r="O204" s="48">
        <f>IF(t&lt;Tnet,'2019'!Resal+('2019'!Salim-'2019'!Resal)*(1-EXP(('2019'!Tnet-t)/('2019'!Tau_j))),Resal+(Salim-Resal)*(1-EXP((Tnet-t)/(Tau_j))))*Salcycl</f>
        <v>3.2899234709249534E-2</v>
      </c>
      <c r="P204" s="169">
        <f>(INDEX(Models!$BJ204:$BT204,,T204)*(1-R204)+INDEX(Models!$BJ204:$BT204,,T204+1)*R204-ERP_i)*Q204*Ramure*Pc/MaxiM</f>
        <v>6.0540121302538733E-5</v>
      </c>
      <c r="Q204" s="304">
        <f t="shared" si="51"/>
        <v>0.7</v>
      </c>
      <c r="R204" s="177">
        <f t="shared" si="52"/>
        <v>0.44140054766506776</v>
      </c>
      <c r="S204" s="799">
        <f t="shared" si="53"/>
        <v>-1</v>
      </c>
      <c r="T204" s="176">
        <f t="shared" si="54"/>
        <v>5</v>
      </c>
      <c r="U204" s="250">
        <f t="shared" si="55"/>
        <v>-0.55859945233493224</v>
      </c>
      <c r="V204" s="382">
        <f t="shared" si="56"/>
        <v>57.075129551281385</v>
      </c>
      <c r="W204" s="58"/>
      <c r="X204" s="157">
        <f t="shared" si="57"/>
        <v>44020</v>
      </c>
      <c r="Y204" s="383">
        <f t="shared" si="58"/>
        <v>57.22256423398423</v>
      </c>
      <c r="Z204" s="383">
        <f t="shared" si="59"/>
        <v>57.823380509209201</v>
      </c>
      <c r="AA204" s="384">
        <f t="shared" si="60"/>
        <v>59.79044023589941</v>
      </c>
      <c r="AB204" s="197">
        <f t="shared" si="61"/>
        <v>44020</v>
      </c>
      <c r="AC204" s="424">
        <f>IF(OR(t&lt;Tnet,NoTnet),'2019'!Resal_s+('2019'!Salim-'2019'!Resal_s)*(1-EXP(('2019'!Tnet_s-t)/'2019'!Tau_j)),Resal_s+(Salim-Resal_s)*(1-EXP((Tnet_s-t)/Tau_j)))*Salcycl</f>
        <v>3.2899234709249534E-2</v>
      </c>
      <c r="AD204" s="230">
        <f>(INDEX(Models!$BJ204:$BT204,,AH204)*(1-AF204)+INDEX(Models!$BJ204:$BT204,,AH204+1)*AF204-ERP_i)*AE204*Ramure*Pc/MaxiM</f>
        <v>6.8154885199006812E-5</v>
      </c>
      <c r="AE204" s="304">
        <f t="shared" si="62"/>
        <v>0.7</v>
      </c>
      <c r="AF204" s="177">
        <f t="shared" si="63"/>
        <v>0.50573276992489991</v>
      </c>
      <c r="AG204" s="176">
        <f t="shared" si="64"/>
        <v>-1</v>
      </c>
      <c r="AH204" s="176">
        <f t="shared" si="65"/>
        <v>5</v>
      </c>
      <c r="AI204" s="224">
        <f t="shared" si="66"/>
        <v>-0.49426723007510009</v>
      </c>
      <c r="AJ204" s="264" t="b">
        <f t="shared" si="67"/>
        <v>0</v>
      </c>
      <c r="AK204" s="264" t="b">
        <f t="shared" si="68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72"/>
        <v>44021</v>
      </c>
      <c r="B205" s="607">
        <v>53.756999999999998</v>
      </c>
      <c r="C205" s="388"/>
      <c r="D205" s="391">
        <f t="shared" si="48"/>
        <v>54.322470179093465</v>
      </c>
      <c r="E205" s="383">
        <f t="shared" si="73"/>
        <v>56.173394032648091</v>
      </c>
      <c r="F205" s="383">
        <f t="shared" si="49"/>
        <v>56.176533889654159</v>
      </c>
      <c r="G205" s="110">
        <f t="shared" si="74"/>
        <v>0.94368421211364251</v>
      </c>
      <c r="H205" s="412" t="b">
        <f>Wh_hp&gt;='2019'!Maxi_hp</f>
        <v>0</v>
      </c>
      <c r="I205" s="388">
        <f>IF(H205,Wh_hp,'2019'!Maxi_hp)</f>
        <v>57.754614952040882</v>
      </c>
      <c r="J205" s="85">
        <f>IF(H205,An,'2019'!An_max)</f>
        <v>2018</v>
      </c>
      <c r="K205" s="197">
        <f t="shared" si="50"/>
        <v>44021</v>
      </c>
      <c r="L205" s="147">
        <f>IF(t&lt;Tvie,1-EXP((T0-t)*PertePVj)+'2019'!Pspv,1-EXP((T0-t)*PertePVj)+Pspv)</f>
        <v>1.0409507837717769E-2</v>
      </c>
      <c r="M205" s="832"/>
      <c r="N205" s="832"/>
      <c r="O205" s="48">
        <f>IF(t&lt;Tnet,'2019'!Resal+('2019'!Salim-'2019'!Resal)*(1-EXP(('2019'!Tnet-t)/('2019'!Tau_j))),Resal+(Salim-Resal)*(1-EXP((Tnet-t)/(Tau_j))))*Salcycl</f>
        <v>3.2950187280456414E-2</v>
      </c>
      <c r="P205" s="169">
        <f>(INDEX(Models!$BJ205:$BT205,,T205)*(1-R205)+INDEX(Models!$BJ205:$BT205,,T205+1)*R205-ERP_i)*Q205*Ramure*Pc/MaxiM</f>
        <v>6.0782281834683861E-5</v>
      </c>
      <c r="Q205" s="304">
        <f t="shared" si="51"/>
        <v>0.7</v>
      </c>
      <c r="R205" s="177">
        <f t="shared" si="52"/>
        <v>0.44431045778333078</v>
      </c>
      <c r="S205" s="799">
        <f t="shared" si="53"/>
        <v>-1</v>
      </c>
      <c r="T205" s="176">
        <f t="shared" si="54"/>
        <v>5</v>
      </c>
      <c r="U205" s="250">
        <f t="shared" si="55"/>
        <v>-0.55568954221666922</v>
      </c>
      <c r="V205" s="382">
        <f t="shared" si="56"/>
        <v>56.964752027114884</v>
      </c>
      <c r="W205" s="58"/>
      <c r="X205" s="157">
        <f t="shared" si="57"/>
        <v>44021</v>
      </c>
      <c r="Y205" s="383">
        <f t="shared" si="58"/>
        <v>53.756623864299947</v>
      </c>
      <c r="Z205" s="383">
        <f t="shared" si="59"/>
        <v>54.322090086819912</v>
      </c>
      <c r="AA205" s="384">
        <f t="shared" si="60"/>
        <v>56.173000989530195</v>
      </c>
      <c r="AB205" s="197">
        <f t="shared" si="61"/>
        <v>44021</v>
      </c>
      <c r="AC205" s="424">
        <f>IF(OR(t&lt;Tnet,NoTnet),'2019'!Resal_s+('2019'!Salim-'2019'!Resal_s)*(1-EXP(('2019'!Tnet_s-t)/'2019'!Tau_j)),Resal_s+(Salim-Resal_s)*(1-EXP((Tnet_s-t)/Tau_j)))*Salcycl</f>
        <v>3.2950187280456414E-2</v>
      </c>
      <c r="AD205" s="230">
        <f>(INDEX(Models!$BJ205:$BT205,,AH205)*(1-AF205)+INDEX(Models!$BJ205:$BT205,,AH205+1)*AF205-ERP_i)*AE205*Ramure*Pc/MaxiM</f>
        <v>6.839092691593138E-5</v>
      </c>
      <c r="AE205" s="304">
        <f t="shared" si="62"/>
        <v>0.7</v>
      </c>
      <c r="AF205" s="177">
        <f t="shared" si="63"/>
        <v>0.50864268004316293</v>
      </c>
      <c r="AG205" s="176">
        <f t="shared" si="64"/>
        <v>-1</v>
      </c>
      <c r="AH205" s="176">
        <f t="shared" si="65"/>
        <v>5</v>
      </c>
      <c r="AI205" s="224">
        <f t="shared" si="66"/>
        <v>-0.49135731995683707</v>
      </c>
      <c r="AJ205" s="264" t="b">
        <f t="shared" si="67"/>
        <v>0</v>
      </c>
      <c r="AK205" s="264" t="b">
        <f t="shared" si="68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72"/>
        <v>44022</v>
      </c>
      <c r="B206" s="607">
        <v>45.795999999999999</v>
      </c>
      <c r="C206" s="388"/>
      <c r="D206" s="391">
        <f t="shared" si="48"/>
        <v>46.278615295348573</v>
      </c>
      <c r="E206" s="383">
        <f t="shared" si="73"/>
        <v>47.857963296027876</v>
      </c>
      <c r="F206" s="383">
        <f t="shared" si="49"/>
        <v>47.860086850550182</v>
      </c>
      <c r="G206" s="110">
        <f t="shared" si="74"/>
        <v>0.80550856190022913</v>
      </c>
      <c r="H206" s="412" t="b">
        <f>Wh_hp&gt;='2019'!Maxi_hp</f>
        <v>0</v>
      </c>
      <c r="I206" s="388">
        <f>IF(H206,Wh_hp,'2019'!Maxi_hp)</f>
        <v>58.03207866600949</v>
      </c>
      <c r="J206" s="85">
        <f>IF(H206,An,'2019'!An_max)</f>
        <v>2018</v>
      </c>
      <c r="K206" s="197">
        <f t="shared" si="50"/>
        <v>44022</v>
      </c>
      <c r="L206" s="147">
        <f>IF(t&lt;Tvie,1-EXP((T0-t)*PertePVj)+'2019'!Pspv,1-EXP((T0-t)*PertePVj)+Pspv)</f>
        <v>1.0428473113738179E-2</v>
      </c>
      <c r="M206" s="832"/>
      <c r="N206" s="832"/>
      <c r="O206" s="48">
        <f>IF(t&lt;Tnet,'2019'!Resal+('2019'!Salim-'2019'!Resal)*(1-EXP(('2019'!Tnet-t)/('2019'!Tau_j))),Resal+(Salim-Resal)*(1-EXP((Tnet-t)/(Tau_j))))*Salcycl</f>
        <v>3.3000735758648252E-2</v>
      </c>
      <c r="P206" s="169">
        <f>(INDEX(Models!$BJ206:$BT206,,T206)*(1-R206)+INDEX(Models!$BJ206:$BT206,,T206+1)*R206-ERP_i)*Q206*Ramure*Pc/MaxiM</f>
        <v>6.1439496042698337E-5</v>
      </c>
      <c r="Q206" s="304">
        <f t="shared" si="51"/>
        <v>0.7</v>
      </c>
      <c r="R206" s="177">
        <f t="shared" si="52"/>
        <v>0.44715549863002213</v>
      </c>
      <c r="S206" s="799">
        <f t="shared" si="53"/>
        <v>-1</v>
      </c>
      <c r="T206" s="176">
        <f t="shared" si="54"/>
        <v>5</v>
      </c>
      <c r="U206" s="250">
        <f t="shared" si="55"/>
        <v>-0.55284450136997787</v>
      </c>
      <c r="V206" s="382">
        <f t="shared" si="56"/>
        <v>56.852553056670779</v>
      </c>
      <c r="W206" s="58"/>
      <c r="X206" s="157">
        <f t="shared" si="57"/>
        <v>44022</v>
      </c>
      <c r="Y206" s="383">
        <f t="shared" si="58"/>
        <v>45.795746506335036</v>
      </c>
      <c r="Z206" s="383">
        <f t="shared" si="59"/>
        <v>46.27835913027301</v>
      </c>
      <c r="AA206" s="384">
        <f t="shared" si="60"/>
        <v>47.857698388819529</v>
      </c>
      <c r="AB206" s="197">
        <f t="shared" si="61"/>
        <v>44022</v>
      </c>
      <c r="AC206" s="424">
        <f>IF(OR(t&lt;Tnet,NoTnet),'2019'!Resal_s+('2019'!Salim-'2019'!Resal_s)*(1-EXP(('2019'!Tnet_s-t)/'2019'!Tau_j)),Resal_s+(Salim-Resal_s)*(1-EXP((Tnet_s-t)/Tau_j)))*Salcycl</f>
        <v>3.3000735758648252E-2</v>
      </c>
      <c r="AD206" s="230">
        <f>(INDEX(Models!$BJ206:$BT206,,AH206)*(1-AF206)+INDEX(Models!$BJ206:$BT206,,AH206+1)*AF206-ERP_i)*AE206*Ramure*Pc/MaxiM</f>
        <v>6.9103893263448106E-5</v>
      </c>
      <c r="AE206" s="304">
        <f t="shared" si="62"/>
        <v>0.7</v>
      </c>
      <c r="AF206" s="177">
        <f t="shared" si="63"/>
        <v>0.51148772088985428</v>
      </c>
      <c r="AG206" s="176">
        <f t="shared" si="64"/>
        <v>-1</v>
      </c>
      <c r="AH206" s="176">
        <f t="shared" si="65"/>
        <v>5</v>
      </c>
      <c r="AI206" s="224">
        <f t="shared" si="66"/>
        <v>-0.48851227911014566</v>
      </c>
      <c r="AJ206" s="264" t="b">
        <f t="shared" si="67"/>
        <v>0</v>
      </c>
      <c r="AK206" s="264" t="b">
        <f t="shared" si="68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72"/>
        <v>44023</v>
      </c>
      <c r="B207" s="607">
        <v>36.046999999999997</v>
      </c>
      <c r="C207" s="388"/>
      <c r="D207" s="391">
        <f t="shared" ref="D207:D270" si="75">Wh/(1-Ppv)</f>
        <v>36.427574830489704</v>
      </c>
      <c r="E207" s="383">
        <f t="shared" si="73"/>
        <v>37.672691000896037</v>
      </c>
      <c r="F207" s="383">
        <f t="shared" ref="F207:F270" si="76">Wh_sa/(1-Pvg*MEDIAN((-Sdif+Wh/Env_an)/Csdif,0,1))</f>
        <v>37.673819801586731</v>
      </c>
      <c r="G207" s="110">
        <f t="shared" si="74"/>
        <v>0.63529596630136109</v>
      </c>
      <c r="H207" s="412" t="b">
        <f>Wh_hp&gt;='2019'!Maxi_hp</f>
        <v>0</v>
      </c>
      <c r="I207" s="388">
        <f>IF(H207,Wh_hp,'2019'!Maxi_hp)</f>
        <v>56.604609123594045</v>
      </c>
      <c r="J207" s="85">
        <f>IF(H207,An,'2019'!An_max)</f>
        <v>2018</v>
      </c>
      <c r="K207" s="197">
        <f t="shared" ref="K207:K270" si="77">t</f>
        <v>44023</v>
      </c>
      <c r="L207" s="147">
        <f>IF(t&lt;Tvie,1-EXP((T0-t)*PertePVj)+'2019'!Pspv,1-EXP((T0-t)*PertePVj)+Pspv)</f>
        <v>1.0447438026293443E-2</v>
      </c>
      <c r="M207" s="832"/>
      <c r="N207" s="832"/>
      <c r="O207" s="48">
        <f>IF(t&lt;Tnet,'2019'!Resal+('2019'!Salim-'2019'!Resal)*(1-EXP(('2019'!Tnet-t)/('2019'!Tau_j))),Resal+(Salim-Resal)*(1-EXP((Tnet-t)/(Tau_j))))*Salcycl</f>
        <v>3.3050895418559871E-2</v>
      </c>
      <c r="P207" s="169">
        <f>(INDEX(Models!$BJ207:$BT207,,T207)*(1-R207)+INDEX(Models!$BJ207:$BT207,,T207+1)*R207-ERP_i)*Q207*Ramure*Pc/MaxiM</f>
        <v>6.2549019491776019E-5</v>
      </c>
      <c r="Q207" s="304">
        <f t="shared" ref="Q207:Q270" si="78">IF(OR(t&lt;Ttai,Notai),Dd+PousD*Croivg,Dens+PousD*(Croivg-Croi_tai))</f>
        <v>0.7</v>
      </c>
      <c r="R207" s="177">
        <f t="shared" ref="R207:R270" si="79">(Hp_vg-S207)/(INDEX(Echel_vg,T207+1)-S207)</f>
        <v>0.4499354934673967</v>
      </c>
      <c r="S207" s="799">
        <f t="shared" ref="S207:S270" si="80">INDEX(Echel_vg,T207)</f>
        <v>-1</v>
      </c>
      <c r="T207" s="176">
        <f t="shared" ref="T207:T270" si="81">MIN(MATCH(Hp_vg,Echel_vg),10)</f>
        <v>5</v>
      </c>
      <c r="U207" s="250">
        <f t="shared" ref="U207:U270" si="82">IF(OR(t&lt;Ttai,Notai),Hdd+PousH*Croivg,Hdtf+PousH*(Croivg-Croi_tai))</f>
        <v>-0.5500645065326033</v>
      </c>
      <c r="V207" s="382">
        <f t="shared" ref="V207:V270" si="83">MaxiM*(1-Ppv)*(1-Pvg)*(1-Psa)</f>
        <v>56.738634005981673</v>
      </c>
      <c r="W207" s="58"/>
      <c r="X207" s="157">
        <f t="shared" ref="X207:X270" si="84">t</f>
        <v>44023</v>
      </c>
      <c r="Y207" s="383">
        <f t="shared" ref="Y207:Y270" si="85">Wh_pvt_s*(1-Ppv)</f>
        <v>36.046865564258901</v>
      </c>
      <c r="Z207" s="383">
        <f t="shared" ref="Z207:Z270" si="86">Wh_sa_s*(1-Psa_s)</f>
        <v>36.427438975411093</v>
      </c>
      <c r="AA207" s="384">
        <f t="shared" ref="AA207:AA270" si="87">Wh_hp*(1-Pvg_s*MEDIAN((-Sdif+Wh/Env_an)/Csdif,0,1))</f>
        <v>37.672550502210051</v>
      </c>
      <c r="AB207" s="197">
        <f t="shared" ref="AB207:AB270" si="88">t</f>
        <v>44023</v>
      </c>
      <c r="AC207" s="424">
        <f>IF(OR(t&lt;Tnet,NoTnet),'2019'!Resal_s+('2019'!Salim-'2019'!Resal_s)*(1-EXP(('2019'!Tnet_s-t)/'2019'!Tau_j)),Resal_s+(Salim-Resal_s)*(1-EXP((Tnet_s-t)/Tau_j)))*Salcycl</f>
        <v>3.3050895418559871E-2</v>
      </c>
      <c r="AD207" s="230">
        <f>(INDEX(Models!$BJ207:$BT207,,AH207)*(1-AF207)+INDEX(Models!$BJ207:$BT207,,AH207+1)*AF207-ERP_i)*AE207*Ramure*Pc/MaxiM</f>
        <v>7.0334322177233928E-5</v>
      </c>
      <c r="AE207" s="304">
        <f t="shared" ref="AE207:AE270" si="89">IF(OR(t&lt;Ttai,Notai),Dd_s+PousD*Croivg,Dens_s+PousD*(Croivg-Croi_tai))</f>
        <v>0.7</v>
      </c>
      <c r="AF207" s="177">
        <f t="shared" ref="AF207:AF270" si="90">(Hp_vg_s-AG207)/(INDEX(Echel_vg,AH207+1)-AG207)</f>
        <v>0.51426771572722885</v>
      </c>
      <c r="AG207" s="176">
        <f t="shared" ref="AG207:AG270" si="91">INDEX(Echel_vg,AH207)</f>
        <v>-1</v>
      </c>
      <c r="AH207" s="176">
        <f t="shared" ref="AH207:AH270" si="92">MIN(MATCH(Hp_vg_s,Echel_vg),10)</f>
        <v>5</v>
      </c>
      <c r="AI207" s="224">
        <f t="shared" ref="AI207:AI270" si="93">IF(OR(t&lt;Ttai,Notai),Hdd_s+PousH*Croivg,Hdtai_s+PousH*(Croivg-Croi_tai))</f>
        <v>-0.4857322842727711</v>
      </c>
      <c r="AJ207" s="264" t="b">
        <f t="shared" ref="AJ207:AJ270" si="94">t&lt;Tnet</f>
        <v>0</v>
      </c>
      <c r="AK207" s="264" t="b">
        <f t="shared" ref="AK207:AK270" si="95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6">A207+1</f>
        <v>44024</v>
      </c>
      <c r="B208" s="607">
        <v>39.826000000000001</v>
      </c>
      <c r="C208" s="388"/>
      <c r="D208" s="391">
        <f t="shared" si="75"/>
        <v>40.247243856754707</v>
      </c>
      <c r="E208" s="383">
        <f t="shared" si="73"/>
        <v>41.625061779150741</v>
      </c>
      <c r="F208" s="383">
        <f t="shared" si="76"/>
        <v>41.626599802450137</v>
      </c>
      <c r="G208" s="110">
        <f t="shared" si="74"/>
        <v>0.70333343366955059</v>
      </c>
      <c r="H208" s="412" t="b">
        <f>Wh_hp&gt;='2019'!Maxi_hp</f>
        <v>0</v>
      </c>
      <c r="I208" s="388">
        <f>IF(H208,Wh_hp,'2019'!Maxi_hp)</f>
        <v>51.873409917799727</v>
      </c>
      <c r="J208" s="85">
        <f>IF(H208,An,'2019'!An_max)</f>
        <v>2018</v>
      </c>
      <c r="K208" s="197">
        <f t="shared" si="77"/>
        <v>44024</v>
      </c>
      <c r="L208" s="147">
        <f>IF(t&lt;Tvie,1-EXP((T0-t)*PertePVj)+'2019'!Pspv,1-EXP((T0-t)*PertePVj)+Pspv)</f>
        <v>1.0466402575390443E-2</v>
      </c>
      <c r="M208" s="832"/>
      <c r="N208" s="832"/>
      <c r="O208" s="48">
        <f>IF(t&lt;Tnet,'2019'!Resal+('2019'!Salim-'2019'!Resal)*(1-EXP(('2019'!Tnet-t)/('2019'!Tau_j))),Resal+(Salim-Resal)*(1-EXP((Tnet-t)/(Tau_j))))*Salcycl</f>
        <v>3.3100681740877561E-2</v>
      </c>
      <c r="P208" s="169">
        <f>(INDEX(Models!$BJ208:$BT208,,T208)*(1-R208)+INDEX(Models!$BJ208:$BT208,,T208+1)*R208-ERP_i)*Q208*Ramure*Pc/MaxiM</f>
        <v>6.4121727359227934E-5</v>
      </c>
      <c r="Q208" s="304">
        <f t="shared" si="78"/>
        <v>0.7</v>
      </c>
      <c r="R208" s="177">
        <f t="shared" si="79"/>
        <v>0.45265038084127318</v>
      </c>
      <c r="S208" s="799">
        <f t="shared" si="80"/>
        <v>-1</v>
      </c>
      <c r="T208" s="176">
        <f t="shared" si="81"/>
        <v>5</v>
      </c>
      <c r="U208" s="250">
        <f t="shared" si="82"/>
        <v>-0.54734961915872682</v>
      </c>
      <c r="V208" s="382">
        <f t="shared" si="83"/>
        <v>56.623097717530385</v>
      </c>
      <c r="W208" s="58"/>
      <c r="X208" s="157">
        <f t="shared" si="84"/>
        <v>44024</v>
      </c>
      <c r="Y208" s="383">
        <f t="shared" si="85"/>
        <v>39.825817053692901</v>
      </c>
      <c r="Z208" s="383">
        <f t="shared" si="86"/>
        <v>40.247058975404968</v>
      </c>
      <c r="AA208" s="384">
        <f t="shared" si="87"/>
        <v>41.624870568601466</v>
      </c>
      <c r="AB208" s="197">
        <f t="shared" si="88"/>
        <v>44024</v>
      </c>
      <c r="AC208" s="424">
        <f>IF(OR(t&lt;Tnet,NoTnet),'2019'!Resal_s+('2019'!Salim-'2019'!Resal_s)*(1-EXP(('2019'!Tnet_s-t)/'2019'!Tau_j)),Resal_s+(Salim-Resal_s)*(1-EXP((Tnet_s-t)/Tau_j)))*Salcycl</f>
        <v>3.3100681740877561E-2</v>
      </c>
      <c r="AD208" s="230">
        <f>(INDEX(Models!$BJ208:$BT208,,AH208)*(1-AF208)+INDEX(Models!$BJ208:$BT208,,AH208+1)*AF208-ERP_i)*AE208*Ramure*Pc/MaxiM</f>
        <v>7.2093486118381798E-5</v>
      </c>
      <c r="AE208" s="304">
        <f t="shared" si="89"/>
        <v>0.7</v>
      </c>
      <c r="AF208" s="177">
        <f t="shared" si="90"/>
        <v>0.51698260310110533</v>
      </c>
      <c r="AG208" s="176">
        <f t="shared" si="91"/>
        <v>-1</v>
      </c>
      <c r="AH208" s="176">
        <f t="shared" si="92"/>
        <v>5</v>
      </c>
      <c r="AI208" s="224">
        <f t="shared" si="93"/>
        <v>-0.48301739689889472</v>
      </c>
      <c r="AJ208" s="264" t="b">
        <f t="shared" si="94"/>
        <v>0</v>
      </c>
      <c r="AK208" s="264" t="b">
        <f t="shared" si="95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6"/>
        <v>44025</v>
      </c>
      <c r="B209" s="607">
        <v>55.406999999999996</v>
      </c>
      <c r="C209" s="388"/>
      <c r="D209" s="391">
        <f t="shared" si="75"/>
        <v>55.994118872842812</v>
      </c>
      <c r="E209" s="383">
        <f t="shared" si="73"/>
        <v>57.913973482649851</v>
      </c>
      <c r="F209" s="383">
        <f t="shared" si="76"/>
        <v>57.917699308209308</v>
      </c>
      <c r="G209" s="110">
        <f t="shared" si="74"/>
        <v>0.98054811902157313</v>
      </c>
      <c r="H209" s="412" t="b">
        <f>Wh_hp&gt;='2019'!Maxi_hp</f>
        <v>0</v>
      </c>
      <c r="I209" s="388">
        <f>IF(H209,Wh_hp,'2019'!Maxi_hp)</f>
        <v>58.629820417743659</v>
      </c>
      <c r="J209" s="85">
        <f>IF(H209,An,'2019'!An_max)</f>
        <v>2018</v>
      </c>
      <c r="K209" s="197">
        <f t="shared" si="77"/>
        <v>44025</v>
      </c>
      <c r="L209" s="147">
        <f>IF(t&lt;Tvie,1-EXP((T0-t)*PertePVj)+'2019'!Pspv,1-EXP((T0-t)*PertePVj)+Pspv)</f>
        <v>1.0485366761036174E-2</v>
      </c>
      <c r="M209" s="832"/>
      <c r="N209" s="832"/>
      <c r="O209" s="48">
        <f>IF(t&lt;Tnet,'2019'!Resal+('2019'!Salim-'2019'!Resal)*(1-EXP(('2019'!Tnet-t)/('2019'!Tau_j))),Resal+(Salim-Resal)*(1-EXP((Tnet-t)/(Tau_j))))*Salcycl</f>
        <v>3.3150110316333248E-2</v>
      </c>
      <c r="P209" s="169">
        <f>(INDEX(Models!$BJ209:$BT209,,T209)*(1-R209)+INDEX(Models!$BJ209:$BT209,,T209+1)*R209-ERP_i)*Q209*Ramure*Pc/MaxiM</f>
        <v>6.6168191898853207E-5</v>
      </c>
      <c r="Q209" s="304">
        <f t="shared" si="78"/>
        <v>0.7</v>
      </c>
      <c r="R209" s="177">
        <f t="shared" si="79"/>
        <v>0.45530020947977945</v>
      </c>
      <c r="S209" s="799">
        <f t="shared" si="80"/>
        <v>-1</v>
      </c>
      <c r="T209" s="176">
        <f t="shared" si="81"/>
        <v>5</v>
      </c>
      <c r="U209" s="250">
        <f t="shared" si="82"/>
        <v>-0.54469979052022055</v>
      </c>
      <c r="V209" s="382">
        <f t="shared" si="83"/>
        <v>56.506047026908277</v>
      </c>
      <c r="W209" s="58"/>
      <c r="X209" s="157">
        <f t="shared" si="84"/>
        <v>44025</v>
      </c>
      <c r="Y209" s="383">
        <f t="shared" si="85"/>
        <v>55.406556956545863</v>
      </c>
      <c r="Z209" s="383">
        <f t="shared" si="86"/>
        <v>55.993671134689933</v>
      </c>
      <c r="AA209" s="384">
        <f t="shared" si="87"/>
        <v>57.913510393024815</v>
      </c>
      <c r="AB209" s="197">
        <f t="shared" si="88"/>
        <v>44025</v>
      </c>
      <c r="AC209" s="424">
        <f>IF(OR(t&lt;Tnet,NoTnet),'2019'!Resal_s+('2019'!Salim-'2019'!Resal_s)*(1-EXP(('2019'!Tnet_s-t)/'2019'!Tau_j)),Resal_s+(Salim-Resal_s)*(1-EXP((Tnet_s-t)/Tau_j)))*Salcycl</f>
        <v>3.3150110316333248E-2</v>
      </c>
      <c r="AD209" s="230">
        <f>(INDEX(Models!$BJ209:$BT209,,AH209)*(1-AF209)+INDEX(Models!$BJ209:$BT209,,AH209+1)*AF209-ERP_i)*AE209*Ramure*Pc/MaxiM</f>
        <v>7.439235663397527E-5</v>
      </c>
      <c r="AE209" s="304">
        <f t="shared" si="89"/>
        <v>0.7</v>
      </c>
      <c r="AF209" s="177">
        <f t="shared" si="90"/>
        <v>0.5196324317396116</v>
      </c>
      <c r="AG209" s="176">
        <f t="shared" si="91"/>
        <v>-1</v>
      </c>
      <c r="AH209" s="176">
        <f t="shared" si="92"/>
        <v>5</v>
      </c>
      <c r="AI209" s="224">
        <f t="shared" si="93"/>
        <v>-0.4803675682603884</v>
      </c>
      <c r="AJ209" s="264" t="b">
        <f t="shared" si="94"/>
        <v>0</v>
      </c>
      <c r="AK209" s="264" t="b">
        <f t="shared" si="95"/>
        <v>0</v>
      </c>
      <c r="AL209" s="264"/>
      <c r="AM209" s="264"/>
      <c r="AN209" s="75"/>
    </row>
    <row r="210" spans="1:40" s="6" customFormat="1" ht="11.25" x14ac:dyDescent="0.2">
      <c r="A210" s="56">
        <f t="shared" si="96"/>
        <v>44026</v>
      </c>
      <c r="B210" s="607">
        <v>46.722999999999999</v>
      </c>
      <c r="C210" s="388"/>
      <c r="D210" s="391">
        <f t="shared" si="75"/>
        <v>47.219004028122626</v>
      </c>
      <c r="E210" s="383">
        <f t="shared" si="73"/>
        <v>48.840468346208638</v>
      </c>
      <c r="F210" s="383">
        <f t="shared" si="76"/>
        <v>48.843002211338245</v>
      </c>
      <c r="G210" s="110">
        <f t="shared" si="74"/>
        <v>0.82859044639053958</v>
      </c>
      <c r="H210" s="412" t="b">
        <f>Wh_hp&gt;='2019'!Maxi_hp</f>
        <v>0</v>
      </c>
      <c r="I210" s="388">
        <f>IF(H210,Wh_hp,'2019'!Maxi_hp)</f>
        <v>60.732811241786656</v>
      </c>
      <c r="J210" s="85">
        <f>IF(H210,An,'2019'!An_max)</f>
        <v>2018</v>
      </c>
      <c r="K210" s="197">
        <f t="shared" si="77"/>
        <v>44026</v>
      </c>
      <c r="L210" s="147">
        <f>IF(t&lt;Tvie,1-EXP((T0-t)*PertePVj)+'2019'!Pspv,1-EXP((T0-t)*PertePVj)+Pspv)</f>
        <v>1.0504330583237631E-2</v>
      </c>
      <c r="M210" s="832"/>
      <c r="N210" s="832"/>
      <c r="O210" s="48">
        <f>IF(t&lt;Tnet,'2019'!Resal+('2019'!Salim-'2019'!Resal)*(1-EXP(('2019'!Tnet-t)/('2019'!Tau_j))),Resal+(Salim-Resal)*(1-EXP((Tnet-t)/(Tau_j))))*Salcycl</f>
        <v>3.3199196752008171E-2</v>
      </c>
      <c r="P210" s="169">
        <f>(INDEX(Models!$BJ210:$BT210,,T210)*(1-R210)+INDEX(Models!$BJ210:$BT210,,T210+1)*R210-ERP_i)*Q210*Ramure*Pc/MaxiM</f>
        <v>6.8698684793817773E-5</v>
      </c>
      <c r="Q210" s="304">
        <f t="shared" si="78"/>
        <v>0.7</v>
      </c>
      <c r="R210" s="177">
        <f t="shared" si="79"/>
        <v>0.45788513300390132</v>
      </c>
      <c r="S210" s="799">
        <f t="shared" si="80"/>
        <v>-1</v>
      </c>
      <c r="T210" s="176">
        <f t="shared" si="81"/>
        <v>5</v>
      </c>
      <c r="U210" s="250">
        <f t="shared" si="82"/>
        <v>-0.54211486699609868</v>
      </c>
      <c r="V210" s="382">
        <f t="shared" si="83"/>
        <v>56.387584769154415</v>
      </c>
      <c r="W210" s="58"/>
      <c r="X210" s="157">
        <f t="shared" si="84"/>
        <v>44026</v>
      </c>
      <c r="Y210" s="383">
        <f t="shared" si="85"/>
        <v>46.72269856585698</v>
      </c>
      <c r="Z210" s="383">
        <f t="shared" si="86"/>
        <v>47.218699394002101</v>
      </c>
      <c r="AA210" s="384">
        <f t="shared" si="87"/>
        <v>48.840153251186472</v>
      </c>
      <c r="AB210" s="197">
        <f t="shared" si="88"/>
        <v>44026</v>
      </c>
      <c r="AC210" s="424">
        <f>IF(OR(t&lt;Tnet,NoTnet),'2019'!Resal_s+('2019'!Salim-'2019'!Resal_s)*(1-EXP(('2019'!Tnet_s-t)/'2019'!Tau_j)),Resal_s+(Salim-Resal_s)*(1-EXP((Tnet_s-t)/Tau_j)))*Salcycl</f>
        <v>3.3199196752008171E-2</v>
      </c>
      <c r="AD210" s="230">
        <f>(INDEX(Models!$BJ210:$BT210,,AH210)*(1-AF210)+INDEX(Models!$BJ210:$BT210,,AH210+1)*AF210-ERP_i)*AE210*Ramure*Pc/MaxiM</f>
        <v>7.7241607365182522E-5</v>
      </c>
      <c r="AE210" s="304">
        <f t="shared" si="89"/>
        <v>0.7</v>
      </c>
      <c r="AF210" s="177">
        <f t="shared" si="90"/>
        <v>0.52221735526373347</v>
      </c>
      <c r="AG210" s="176">
        <f t="shared" si="91"/>
        <v>-1</v>
      </c>
      <c r="AH210" s="176">
        <f t="shared" si="92"/>
        <v>5</v>
      </c>
      <c r="AI210" s="224">
        <f t="shared" si="93"/>
        <v>-0.47778264473626653</v>
      </c>
      <c r="AJ210" s="264" t="b">
        <f t="shared" si="94"/>
        <v>0</v>
      </c>
      <c r="AK210" s="264" t="b">
        <f t="shared" si="95"/>
        <v>0</v>
      </c>
      <c r="AL210" s="264"/>
      <c r="AM210" s="264"/>
      <c r="AN210" s="75"/>
    </row>
    <row r="211" spans="1:40" s="6" customFormat="1" ht="11.25" x14ac:dyDescent="0.2">
      <c r="A211" s="56">
        <f t="shared" si="96"/>
        <v>44027</v>
      </c>
      <c r="B211" s="607">
        <v>20.6</v>
      </c>
      <c r="C211" s="388"/>
      <c r="D211" s="391">
        <f t="shared" si="75"/>
        <v>20.819085356896153</v>
      </c>
      <c r="E211" s="383">
        <f t="shared" si="73"/>
        <v>21.535082856672176</v>
      </c>
      <c r="F211" s="383">
        <f t="shared" si="76"/>
        <v>21.535228722550386</v>
      </c>
      <c r="G211" s="110">
        <f t="shared" si="74"/>
        <v>0.36608250151579053</v>
      </c>
      <c r="H211" s="412" t="b">
        <f>Wh_hp&gt;='2019'!Maxi_hp</f>
        <v>0</v>
      </c>
      <c r="I211" s="388">
        <f>IF(H211,Wh_hp,'2019'!Maxi_hp)</f>
        <v>60.019024315602991</v>
      </c>
      <c r="J211" s="85">
        <f>IF(H211,An,'2019'!An_max)</f>
        <v>2018</v>
      </c>
      <c r="K211" s="197">
        <f t="shared" si="77"/>
        <v>44027</v>
      </c>
      <c r="L211" s="147">
        <f>IF(t&lt;Tvie,1-EXP((T0-t)*PertePVj)+'2019'!Pspv,1-EXP((T0-t)*PertePVj)+Pspv)</f>
        <v>1.0523294042001807E-2</v>
      </c>
      <c r="M211" s="832"/>
      <c r="N211" s="832"/>
      <c r="O211" s="48">
        <f>IF(t&lt;Tnet,'2019'!Resal+('2019'!Salim-'2019'!Resal)*(1-EXP(('2019'!Tnet-t)/('2019'!Tau_j))),Resal+(Salim-Resal)*(1-EXP((Tnet-t)/(Tau_j))))*Salcycl</f>
        <v>3.324795658049616E-2</v>
      </c>
      <c r="P211" s="169">
        <f>(INDEX(Models!$BJ211:$BT211,,T211)*(1-R211)+INDEX(Models!$BJ211:$BT211,,T211+1)*R211-ERP_i)*Q211*Ramure*Pc/MaxiM</f>
        <v>7.1723180913854946E-5</v>
      </c>
      <c r="Q211" s="304">
        <f t="shared" si="78"/>
        <v>0.7</v>
      </c>
      <c r="R211" s="177">
        <f t="shared" si="79"/>
        <v>0.4604054044929744</v>
      </c>
      <c r="S211" s="799">
        <f t="shared" si="80"/>
        <v>-1</v>
      </c>
      <c r="T211" s="176">
        <f t="shared" si="81"/>
        <v>5</v>
      </c>
      <c r="U211" s="250">
        <f t="shared" si="82"/>
        <v>-0.5395945955070256</v>
      </c>
      <c r="V211" s="382">
        <f t="shared" si="83"/>
        <v>56.267813783387147</v>
      </c>
      <c r="W211" s="58"/>
      <c r="X211" s="157">
        <f t="shared" si="84"/>
        <v>44027</v>
      </c>
      <c r="Y211" s="383">
        <f t="shared" si="85"/>
        <v>20.59998263038046</v>
      </c>
      <c r="Z211" s="383">
        <f t="shared" si="86"/>
        <v>20.819067802547035</v>
      </c>
      <c r="AA211" s="384">
        <f t="shared" si="87"/>
        <v>21.535064698604412</v>
      </c>
      <c r="AB211" s="197">
        <f t="shared" si="88"/>
        <v>44027</v>
      </c>
      <c r="AC211" s="424">
        <f>IF(OR(t&lt;Tnet,NoTnet),'2019'!Resal_s+('2019'!Salim-'2019'!Resal_s)*(1-EXP(('2019'!Tnet_s-t)/'2019'!Tau_j)),Resal_s+(Salim-Resal_s)*(1-EXP((Tnet_s-t)/Tau_j)))*Salcycl</f>
        <v>3.324795658049616E-2</v>
      </c>
      <c r="AD211" s="230">
        <f>(INDEX(Models!$BJ211:$BT211,,AH211)*(1-AF211)+INDEX(Models!$BJ211:$BT211,,AH211+1)*AF211-ERP_i)*AE211*Ramure*Pc/MaxiM</f>
        <v>8.0651618428298762E-5</v>
      </c>
      <c r="AE211" s="304">
        <f t="shared" si="89"/>
        <v>0.7</v>
      </c>
      <c r="AF211" s="177">
        <f t="shared" si="90"/>
        <v>0.52473762675280655</v>
      </c>
      <c r="AG211" s="176">
        <f t="shared" si="91"/>
        <v>-1</v>
      </c>
      <c r="AH211" s="176">
        <f t="shared" si="92"/>
        <v>5</v>
      </c>
      <c r="AI211" s="224">
        <f t="shared" si="93"/>
        <v>-0.47526237324719339</v>
      </c>
      <c r="AJ211" s="264" t="b">
        <f t="shared" si="94"/>
        <v>0</v>
      </c>
      <c r="AK211" s="264" t="b">
        <f t="shared" si="95"/>
        <v>0</v>
      </c>
      <c r="AL211" s="264"/>
      <c r="AM211" s="264"/>
      <c r="AN211" s="75"/>
    </row>
    <row r="212" spans="1:40" s="6" customFormat="1" ht="11.25" x14ac:dyDescent="0.2">
      <c r="A212" s="56">
        <f t="shared" si="96"/>
        <v>44028</v>
      </c>
      <c r="B212" s="607">
        <v>23.827999999999999</v>
      </c>
      <c r="C212" s="388"/>
      <c r="D212" s="391">
        <f t="shared" si="75"/>
        <v>24.081877343302875</v>
      </c>
      <c r="E212" s="383">
        <f t="shared" si="73"/>
        <v>24.91133525535416</v>
      </c>
      <c r="F212" s="383">
        <f t="shared" si="76"/>
        <v>24.911674129457332</v>
      </c>
      <c r="G212" s="110">
        <f t="shared" si="74"/>
        <v>0.42436105632249826</v>
      </c>
      <c r="H212" s="412" t="b">
        <f>Wh_hp&gt;='2019'!Maxi_hp</f>
        <v>0</v>
      </c>
      <c r="I212" s="388">
        <f>IF(H212,Wh_hp,'2019'!Maxi_hp)</f>
        <v>52.470076422533865</v>
      </c>
      <c r="J212" s="85">
        <f>IF(H212,An,'2019'!An_max)</f>
        <v>2018</v>
      </c>
      <c r="K212" s="197">
        <f t="shared" si="77"/>
        <v>44028</v>
      </c>
      <c r="L212" s="147">
        <f>IF(t&lt;Tvie,1-EXP((T0-t)*PertePVj)+'2019'!Pspv,1-EXP((T0-t)*PertePVj)+Pspv)</f>
        <v>1.0542257137335587E-2</v>
      </c>
      <c r="M212" s="832"/>
      <c r="N212" s="832"/>
      <c r="O212" s="48">
        <f>IF(t&lt;Tnet,'2019'!Resal+('2019'!Salim-'2019'!Resal)*(1-EXP(('2019'!Tnet-t)/('2019'!Tau_j))),Resal+(Salim-Resal)*(1-EXP((Tnet-t)/(Tau_j))))*Salcycl</f>
        <v>3.3296405172541232E-2</v>
      </c>
      <c r="P212" s="169">
        <f>(INDEX(Models!$BJ212:$BT212,,T212)*(1-R212)+INDEX(Models!$BJ212:$BT212,,T212+1)*R212-ERP_i)*Q212*Ramure*Pc/MaxiM</f>
        <v>7.6551872836895865E-5</v>
      </c>
      <c r="Q212" s="304">
        <f t="shared" si="78"/>
        <v>0.7</v>
      </c>
      <c r="R212" s="177">
        <f t="shared" si="79"/>
        <v>0.46286137094623547</v>
      </c>
      <c r="S212" s="799">
        <f t="shared" si="80"/>
        <v>-1</v>
      </c>
      <c r="T212" s="176">
        <f t="shared" si="81"/>
        <v>5</v>
      </c>
      <c r="U212" s="250">
        <f t="shared" si="82"/>
        <v>-0.53713862905376453</v>
      </c>
      <c r="V212" s="382">
        <f t="shared" si="83"/>
        <v>56.146763892303603</v>
      </c>
      <c r="W212" s="58"/>
      <c r="X212" s="157">
        <f t="shared" si="84"/>
        <v>44028</v>
      </c>
      <c r="Y212" s="383">
        <f t="shared" si="85"/>
        <v>23.827959675948083</v>
      </c>
      <c r="Z212" s="383">
        <f t="shared" si="86"/>
        <v>24.081836589615101</v>
      </c>
      <c r="AA212" s="384">
        <f t="shared" si="87"/>
        <v>24.911293097977282</v>
      </c>
      <c r="AB212" s="197">
        <f t="shared" si="88"/>
        <v>44028</v>
      </c>
      <c r="AC212" s="424">
        <f>IF(OR(t&lt;Tnet,NoTnet),'2019'!Resal_s+('2019'!Salim-'2019'!Resal_s)*(1-EXP(('2019'!Tnet_s-t)/'2019'!Tau_j)),Resal_s+(Salim-Resal_s)*(1-EXP((Tnet_s-t)/Tau_j)))*Salcycl</f>
        <v>3.3296405172541232E-2</v>
      </c>
      <c r="AD212" s="230">
        <f>(INDEX(Models!$BJ212:$BT212,,AH212)*(1-AF212)+INDEX(Models!$BJ212:$BT212,,AH212+1)*AF212-ERP_i)*AE212*Ramure*Pc/MaxiM</f>
        <v>8.6075250762980224E-5</v>
      </c>
      <c r="AE212" s="304">
        <f t="shared" si="89"/>
        <v>0.7</v>
      </c>
      <c r="AF212" s="177">
        <f t="shared" si="90"/>
        <v>0.52719359320606762</v>
      </c>
      <c r="AG212" s="176">
        <f t="shared" si="91"/>
        <v>-1</v>
      </c>
      <c r="AH212" s="176">
        <f t="shared" si="92"/>
        <v>5</v>
      </c>
      <c r="AI212" s="224">
        <f t="shared" si="93"/>
        <v>-0.47280640679393232</v>
      </c>
      <c r="AJ212" s="264" t="b">
        <f t="shared" si="94"/>
        <v>0</v>
      </c>
      <c r="AK212" s="264" t="b">
        <f t="shared" si="95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6"/>
        <v>44029</v>
      </c>
      <c r="B213" s="607">
        <v>25.207999999999998</v>
      </c>
      <c r="C213" s="388"/>
      <c r="D213" s="391">
        <f t="shared" si="75"/>
        <v>25.477068926557305</v>
      </c>
      <c r="E213" s="383">
        <f t="shared" si="73"/>
        <v>26.35589457265047</v>
      </c>
      <c r="F213" s="383">
        <f t="shared" si="76"/>
        <v>26.356364483239229</v>
      </c>
      <c r="G213" s="110">
        <f t="shared" si="74"/>
        <v>0.4499162858572236</v>
      </c>
      <c r="H213" s="412" t="b">
        <f>Wh_hp&gt;='2019'!Maxi_hp</f>
        <v>0</v>
      </c>
      <c r="I213" s="388">
        <f>IF(H213,Wh_hp,'2019'!Maxi_hp)</f>
        <v>31.559948812347379</v>
      </c>
      <c r="J213" s="85">
        <f>IF(H213,An,'2019'!An_max)</f>
        <v>2018</v>
      </c>
      <c r="K213" s="197">
        <f t="shared" si="77"/>
        <v>44029</v>
      </c>
      <c r="L213" s="147">
        <f>IF(t&lt;Tvie,1-EXP((T0-t)*PertePVj)+'2019'!Pspv,1-EXP((T0-t)*PertePVj)+Pspv)</f>
        <v>1.0561219869245964E-2</v>
      </c>
      <c r="M213" s="832"/>
      <c r="N213" s="832"/>
      <c r="O213" s="48">
        <f>IF(t&lt;Tnet,'2019'!Resal+('2019'!Salim-'2019'!Resal)*(1-EXP(('2019'!Tnet-t)/('2019'!Tau_j))),Resal+(Salim-Resal)*(1-EXP((Tnet-t)/(Tau_j))))*Salcycl</f>
        <v>3.3344557653722177E-2</v>
      </c>
      <c r="P213" s="169">
        <f>(INDEX(Models!$BJ213:$BT213,,T213)*(1-R213)+INDEX(Models!$BJ213:$BT213,,T213+1)*R213-ERP_i)*Q213*Ramure*Pc/MaxiM</f>
        <v>8.323264744526429E-5</v>
      </c>
      <c r="Q213" s="304">
        <f t="shared" si="78"/>
        <v>0.7</v>
      </c>
      <c r="R213" s="177">
        <f t="shared" si="79"/>
        <v>0.4652534676792679</v>
      </c>
      <c r="S213" s="799">
        <f t="shared" si="80"/>
        <v>-1</v>
      </c>
      <c r="T213" s="176">
        <f t="shared" si="81"/>
        <v>5</v>
      </c>
      <c r="U213" s="250">
        <f t="shared" si="82"/>
        <v>-0.5347465323207321</v>
      </c>
      <c r="V213" s="382">
        <f t="shared" si="83"/>
        <v>56.024536276279797</v>
      </c>
      <c r="W213" s="58"/>
      <c r="X213" s="157">
        <f t="shared" si="84"/>
        <v>44029</v>
      </c>
      <c r="Y213" s="383">
        <f t="shared" si="85"/>
        <v>25.207944219369107</v>
      </c>
      <c r="Z213" s="383">
        <f t="shared" si="86"/>
        <v>25.477012550526759</v>
      </c>
      <c r="AA213" s="384">
        <f t="shared" si="87"/>
        <v>26.355836251941689</v>
      </c>
      <c r="AB213" s="197">
        <f t="shared" si="88"/>
        <v>44029</v>
      </c>
      <c r="AC213" s="424">
        <f>IF(OR(t&lt;Tnet,NoTnet),'2019'!Resal_s+('2019'!Salim-'2019'!Resal_s)*(1-EXP(('2019'!Tnet_s-t)/'2019'!Tau_j)),Resal_s+(Salim-Resal_s)*(1-EXP((Tnet_s-t)/Tau_j)))*Salcycl</f>
        <v>3.3344557653722177E-2</v>
      </c>
      <c r="AD213" s="230">
        <f>(INDEX(Models!$BJ213:$BT213,,AH213)*(1-AF213)+INDEX(Models!$BJ213:$BT213,,AH213+1)*AF213-ERP_i)*AE213*Ramure*Pc/MaxiM</f>
        <v>9.3562670025852505E-5</v>
      </c>
      <c r="AE213" s="304">
        <f t="shared" si="89"/>
        <v>0.7</v>
      </c>
      <c r="AF213" s="177">
        <f t="shared" si="90"/>
        <v>0.52958568993910005</v>
      </c>
      <c r="AG213" s="176">
        <f t="shared" si="91"/>
        <v>-1</v>
      </c>
      <c r="AH213" s="176">
        <f t="shared" si="92"/>
        <v>5</v>
      </c>
      <c r="AI213" s="224">
        <f t="shared" si="93"/>
        <v>-0.47041431006089995</v>
      </c>
      <c r="AJ213" s="264" t="b">
        <f t="shared" si="94"/>
        <v>0</v>
      </c>
      <c r="AK213" s="264" t="b">
        <f t="shared" si="95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6"/>
        <v>44030</v>
      </c>
      <c r="B214" s="607">
        <v>56.250999999999998</v>
      </c>
      <c r="C214" s="388"/>
      <c r="D214" s="391">
        <f t="shared" si="75"/>
        <v>56.852509915579745</v>
      </c>
      <c r="E214" s="383">
        <f t="shared" si="73"/>
        <v>58.816536939093254</v>
      </c>
      <c r="F214" s="383">
        <f t="shared" si="76"/>
        <v>58.821936669758294</v>
      </c>
      <c r="G214" s="110">
        <f t="shared" si="74"/>
        <v>1.0062568743506515</v>
      </c>
      <c r="H214" s="412" t="b">
        <f>Wh_hp&gt;='2019'!Maxi_hp</f>
        <v>1</v>
      </c>
      <c r="I214" s="388">
        <f>IF(H214,Wh_hp,'2019'!Maxi_hp)</f>
        <v>58.821936669758294</v>
      </c>
      <c r="J214" s="85">
        <f>IF(H214,An,'2019'!An_max)</f>
        <v>2020</v>
      </c>
      <c r="K214" s="197">
        <f t="shared" si="77"/>
        <v>44030</v>
      </c>
      <c r="L214" s="147">
        <f>IF(t&lt;Tvie,1-EXP((T0-t)*PertePVj)+'2019'!Pspv,1-EXP((T0-t)*PertePVj)+Pspv)</f>
        <v>1.0580182237739821E-2</v>
      </c>
      <c r="M214" s="832"/>
      <c r="N214" s="832"/>
      <c r="O214" s="48">
        <f>IF(t&lt;Tnet,'2019'!Resal+('2019'!Salim-'2019'!Resal)*(1-EXP(('2019'!Tnet-t)/('2019'!Tau_j))),Resal+(Salim-Resal)*(1-EXP((Tnet-t)/(Tau_j))))*Salcycl</f>
        <v>3.3392428825711605E-2</v>
      </c>
      <c r="P214" s="169">
        <f>(INDEX(Models!$BJ214:$BT214,,T214)*(1-R214)+INDEX(Models!$BJ214:$BT214,,T214+1)*R214-ERP_i)*Q214*Ramure*Pc/MaxiM</f>
        <v>9.1797906882180383E-5</v>
      </c>
      <c r="Q214" s="304">
        <f t="shared" si="78"/>
        <v>0.7</v>
      </c>
      <c r="R214" s="177">
        <f t="shared" si="79"/>
        <v>0.46758221269171885</v>
      </c>
      <c r="S214" s="799">
        <f t="shared" si="80"/>
        <v>-1</v>
      </c>
      <c r="T214" s="176">
        <f t="shared" si="81"/>
        <v>5</v>
      </c>
      <c r="U214" s="250">
        <f t="shared" si="82"/>
        <v>-0.53241778730828115</v>
      </c>
      <c r="V214" s="382">
        <f t="shared" si="83"/>
        <v>55.901233009016096</v>
      </c>
      <c r="W214" s="58"/>
      <c r="X214" s="157">
        <f t="shared" si="84"/>
        <v>44030</v>
      </c>
      <c r="Y214" s="383">
        <f t="shared" si="85"/>
        <v>56.250361511656564</v>
      </c>
      <c r="Z214" s="383">
        <f t="shared" si="86"/>
        <v>56.851864599676453</v>
      </c>
      <c r="AA214" s="384">
        <f t="shared" si="87"/>
        <v>58.815869330104313</v>
      </c>
      <c r="AB214" s="197">
        <f t="shared" si="88"/>
        <v>44030</v>
      </c>
      <c r="AC214" s="424">
        <f>IF(OR(t&lt;Tnet,NoTnet),'2019'!Resal_s+('2019'!Salim-'2019'!Resal_s)*(1-EXP(('2019'!Tnet_s-t)/'2019'!Tau_j)),Resal_s+(Salim-Resal_s)*(1-EXP((Tnet_s-t)/Tau_j)))*Salcycl</f>
        <v>3.3392428825711605E-2</v>
      </c>
      <c r="AD214" s="230">
        <f>(INDEX(Models!$BJ214:$BT214,,AH214)*(1-AF214)+INDEX(Models!$BJ214:$BT214,,AH214+1)*AF214-ERP_i)*AE214*Ramure*Pc/MaxiM</f>
        <v>1.0314756700459308E-4</v>
      </c>
      <c r="AE214" s="304">
        <f t="shared" si="89"/>
        <v>0.7</v>
      </c>
      <c r="AF214" s="177">
        <f t="shared" si="90"/>
        <v>0.531914434951551</v>
      </c>
      <c r="AG214" s="176">
        <f t="shared" si="91"/>
        <v>-1</v>
      </c>
      <c r="AH214" s="176">
        <f t="shared" si="92"/>
        <v>5</v>
      </c>
      <c r="AI214" s="224">
        <f t="shared" si="93"/>
        <v>-0.468085565048449</v>
      </c>
      <c r="AJ214" s="264" t="b">
        <f t="shared" si="94"/>
        <v>0</v>
      </c>
      <c r="AK214" s="264" t="b">
        <f t="shared" si="95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6"/>
        <v>44031</v>
      </c>
      <c r="B215" s="607">
        <v>55.429000000000002</v>
      </c>
      <c r="C215" s="388"/>
      <c r="D215" s="391">
        <f t="shared" si="75"/>
        <v>56.022793671004969</v>
      </c>
      <c r="E215" s="383">
        <f t="shared" si="73"/>
        <v>57.961011824495813</v>
      </c>
      <c r="F215" s="383">
        <f t="shared" si="76"/>
        <v>57.966887791855576</v>
      </c>
      <c r="G215" s="110">
        <f t="shared" si="74"/>
        <v>0.99376074295495143</v>
      </c>
      <c r="H215" s="412" t="b">
        <f>Wh_hp&gt;='2019'!Maxi_hp</f>
        <v>1</v>
      </c>
      <c r="I215" s="388">
        <f>IF(H215,Wh_hp,'2019'!Maxi_hp)</f>
        <v>57.966887791855576</v>
      </c>
      <c r="J215" s="85">
        <f>IF(H215,An,'2019'!An_max)</f>
        <v>2020</v>
      </c>
      <c r="K215" s="197">
        <f t="shared" si="77"/>
        <v>44031</v>
      </c>
      <c r="L215" s="147">
        <f>IF(t&lt;Tvie,1-EXP((T0-t)*PertePVj)+'2019'!Pspv,1-EXP((T0-t)*PertePVj)+Pspv)</f>
        <v>1.0599144242824377E-2</v>
      </c>
      <c r="M215" s="832"/>
      <c r="N215" s="832"/>
      <c r="O215" s="48">
        <f>IF(t&lt;Tnet,'2019'!Resal+('2019'!Salim-'2019'!Resal)*(1-EXP(('2019'!Tnet-t)/('2019'!Tau_j))),Resal+(Salim-Resal)*(1-EXP((Tnet-t)/(Tau_j))))*Salcycl</f>
        <v>3.3440033092584941E-2</v>
      </c>
      <c r="P215" s="169">
        <f>(INDEX(Models!$BJ215:$BT215,,T215)*(1-R215)+INDEX(Models!$BJ215:$BT215,,T215+1)*R215-ERP_i)*Q215*Ramure*Pc/MaxiM</f>
        <v>1.0227915758471774E-4</v>
      </c>
      <c r="Q215" s="304">
        <f t="shared" si="78"/>
        <v>0.7</v>
      </c>
      <c r="R215" s="177">
        <f t="shared" si="79"/>
        <v>0.46984820104006697</v>
      </c>
      <c r="S215" s="799">
        <f t="shared" si="80"/>
        <v>-1</v>
      </c>
      <c r="T215" s="176">
        <f t="shared" si="81"/>
        <v>5</v>
      </c>
      <c r="U215" s="250">
        <f t="shared" si="82"/>
        <v>-0.53015179895993303</v>
      </c>
      <c r="V215" s="382">
        <f t="shared" si="83"/>
        <v>55.776956238244118</v>
      </c>
      <c r="W215" s="58"/>
      <c r="X215" s="157">
        <f t="shared" si="84"/>
        <v>44031</v>
      </c>
      <c r="Y215" s="383">
        <f t="shared" si="85"/>
        <v>55.428308649906747</v>
      </c>
      <c r="Z215" s="383">
        <f t="shared" si="86"/>
        <v>56.022094914692772</v>
      </c>
      <c r="AA215" s="384">
        <f t="shared" si="87"/>
        <v>57.960288893341911</v>
      </c>
      <c r="AB215" s="197">
        <f t="shared" si="88"/>
        <v>44031</v>
      </c>
      <c r="AC215" s="424">
        <f>IF(OR(t&lt;Tnet,NoTnet),'2019'!Resal_s+('2019'!Salim-'2019'!Resal_s)*(1-EXP(('2019'!Tnet_s-t)/'2019'!Tau_j)),Resal_s+(Salim-Resal_s)*(1-EXP((Tnet_s-t)/Tau_j)))*Salcycl</f>
        <v>3.3440033092584941E-2</v>
      </c>
      <c r="AD215" s="230">
        <f>(INDEX(Models!$BJ215:$BT215,,AH215)*(1-AF215)+INDEX(Models!$BJ215:$BT215,,AH215+1)*AF215-ERP_i)*AE215*Ramure*Pc/MaxiM</f>
        <v>1.1486275189110879E-4</v>
      </c>
      <c r="AE215" s="304">
        <f t="shared" si="89"/>
        <v>0.7</v>
      </c>
      <c r="AF215" s="177">
        <f t="shared" si="90"/>
        <v>0.53418042329989912</v>
      </c>
      <c r="AG215" s="176">
        <f t="shared" si="91"/>
        <v>-1</v>
      </c>
      <c r="AH215" s="176">
        <f t="shared" si="92"/>
        <v>5</v>
      </c>
      <c r="AI215" s="224">
        <f t="shared" si="93"/>
        <v>-0.46581957670010088</v>
      </c>
      <c r="AJ215" s="264" t="b">
        <f t="shared" si="94"/>
        <v>0</v>
      </c>
      <c r="AK215" s="264" t="b">
        <f t="shared" si="95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6"/>
        <v>44032</v>
      </c>
      <c r="B216" s="607">
        <v>49.69</v>
      </c>
      <c r="C216" s="388"/>
      <c r="D216" s="391">
        <f t="shared" si="75"/>
        <v>50.223276063104834</v>
      </c>
      <c r="E216" s="383">
        <f t="shared" si="73"/>
        <v>51.963394219683607</v>
      </c>
      <c r="F216" s="383">
        <f t="shared" si="76"/>
        <v>51.968443080988827</v>
      </c>
      <c r="G216" s="110">
        <f t="shared" si="74"/>
        <v>0.89285737962063871</v>
      </c>
      <c r="H216" s="412" t="b">
        <f>Wh_hp&gt;='2019'!Maxi_hp</f>
        <v>1</v>
      </c>
      <c r="I216" s="388">
        <f>IF(H216,Wh_hp,'2019'!Maxi_hp)</f>
        <v>51.968443080988827</v>
      </c>
      <c r="J216" s="85">
        <f>IF(H216,An,'2019'!An_max)</f>
        <v>2020</v>
      </c>
      <c r="K216" s="197">
        <f t="shared" si="77"/>
        <v>44032</v>
      </c>
      <c r="L216" s="147">
        <f>IF(t&lt;Tvie,1-EXP((T0-t)*PertePVj)+'2019'!Pspv,1-EXP((T0-t)*PertePVj)+Pspv)</f>
        <v>1.061810588450629E-2</v>
      </c>
      <c r="M216" s="832"/>
      <c r="N216" s="832"/>
      <c r="O216" s="48">
        <f>IF(t&lt;Tnet,'2019'!Resal+('2019'!Salim-'2019'!Resal)*(1-EXP(('2019'!Tnet-t)/('2019'!Tau_j))),Resal+(Salim-Resal)*(1-EXP((Tnet-t)/(Tau_j))))*Salcycl</f>
        <v>3.3487384392600371E-2</v>
      </c>
      <c r="P216" s="169">
        <f>(INDEX(Models!$BJ216:$BT216,,T216)*(1-R216)+INDEX(Models!$BJ216:$BT216,,T216+1)*R216-ERP_i)*Q216*Ramure*Pc/MaxiM</f>
        <v>1.1470703697496531E-4</v>
      </c>
      <c r="Q216" s="304">
        <f t="shared" si="78"/>
        <v>0.7</v>
      </c>
      <c r="R216" s="177">
        <f t="shared" si="79"/>
        <v>0.47205209924651492</v>
      </c>
      <c r="S216" s="799">
        <f t="shared" si="80"/>
        <v>-1</v>
      </c>
      <c r="T216" s="176">
        <f t="shared" si="81"/>
        <v>5</v>
      </c>
      <c r="U216" s="250">
        <f t="shared" si="82"/>
        <v>-0.52794790075348508</v>
      </c>
      <c r="V216" s="382">
        <f t="shared" si="83"/>
        <v>55.651808185402444</v>
      </c>
      <c r="W216" s="58"/>
      <c r="X216" s="157">
        <f t="shared" si="84"/>
        <v>44032</v>
      </c>
      <c r="Y216" s="383">
        <f t="shared" si="85"/>
        <v>49.689409350435348</v>
      </c>
      <c r="Z216" s="383">
        <f t="shared" si="86"/>
        <v>50.222679074653598</v>
      </c>
      <c r="AA216" s="384">
        <f t="shared" si="87"/>
        <v>51.962776546989431</v>
      </c>
      <c r="AB216" s="197">
        <f t="shared" si="88"/>
        <v>44032</v>
      </c>
      <c r="AC216" s="424">
        <f>IF(OR(t&lt;Tnet,NoTnet),'2019'!Resal_s+('2019'!Salim-'2019'!Resal_s)*(1-EXP(('2019'!Tnet_s-t)/'2019'!Tau_j)),Resal_s+(Salim-Resal_s)*(1-EXP((Tnet_s-t)/Tau_j)))*Salcycl</f>
        <v>3.3487384392600371E-2</v>
      </c>
      <c r="AD216" s="230">
        <f>(INDEX(Models!$BJ216:$BT216,,AH216)*(1-AF216)+INDEX(Models!$BJ216:$BT216,,AH216+1)*AF216-ERP_i)*AE216*Ramure*Pc/MaxiM</f>
        <v>1.2874018232918069E-4</v>
      </c>
      <c r="AE216" s="304">
        <f t="shared" si="89"/>
        <v>0.7</v>
      </c>
      <c r="AF216" s="177">
        <f t="shared" si="90"/>
        <v>0.53638432150634707</v>
      </c>
      <c r="AG216" s="176">
        <f t="shared" si="91"/>
        <v>-1</v>
      </c>
      <c r="AH216" s="176">
        <f t="shared" si="92"/>
        <v>5</v>
      </c>
      <c r="AI216" s="224">
        <f t="shared" si="93"/>
        <v>-0.46361567849365293</v>
      </c>
      <c r="AJ216" s="264" t="b">
        <f t="shared" si="94"/>
        <v>0</v>
      </c>
      <c r="AK216" s="264" t="b">
        <f t="shared" si="95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6"/>
        <v>44033</v>
      </c>
      <c r="B217" s="607">
        <v>52.408999999999999</v>
      </c>
      <c r="C217" s="388"/>
      <c r="D217" s="391">
        <f t="shared" si="75"/>
        <v>52.972471739674056</v>
      </c>
      <c r="E217" s="383">
        <f t="shared" si="73"/>
        <v>54.810514734230985</v>
      </c>
      <c r="F217" s="383">
        <f t="shared" si="76"/>
        <v>54.817024678847744</v>
      </c>
      <c r="G217" s="110">
        <f t="shared" si="74"/>
        <v>0.94385621249572627</v>
      </c>
      <c r="H217" s="412" t="b">
        <f>Wh_hp&gt;='2019'!Maxi_hp</f>
        <v>1</v>
      </c>
      <c r="I217" s="388">
        <f>IF(H217,Wh_hp,'2019'!Maxi_hp)</f>
        <v>54.817024678847744</v>
      </c>
      <c r="J217" s="85">
        <f>IF(H217,An,'2019'!An_max)</f>
        <v>2020</v>
      </c>
      <c r="K217" s="197">
        <f t="shared" si="77"/>
        <v>44033</v>
      </c>
      <c r="L217" s="147">
        <f>IF(t&lt;Tvie,1-EXP((T0-t)*PertePVj)+'2019'!Pspv,1-EXP((T0-t)*PertePVj)+Pspv)</f>
        <v>1.0637067162792779E-2</v>
      </c>
      <c r="M217" s="832"/>
      <c r="N217" s="832"/>
      <c r="O217" s="48">
        <f>IF(t&lt;Tnet,'2019'!Resal+('2019'!Salim-'2019'!Resal)*(1-EXP(('2019'!Tnet-t)/('2019'!Tau_j))),Resal+(Salim-Resal)*(1-EXP((Tnet-t)/(Tau_j))))*Salcycl</f>
        <v>3.353449613581181E-2</v>
      </c>
      <c r="P217" s="169">
        <f>(INDEX(Models!$BJ217:$BT217,,T217)*(1-R217)+INDEX(Models!$BJ217:$BT217,,T217+1)*R217-ERP_i)*Q217*Ramure*Pc/MaxiM</f>
        <v>1.2911134084868451E-4</v>
      </c>
      <c r="Q217" s="304">
        <f t="shared" si="78"/>
        <v>0.7</v>
      </c>
      <c r="R217" s="177">
        <f t="shared" si="79"/>
        <v>0.47419463977233822</v>
      </c>
      <c r="S217" s="799">
        <f t="shared" si="80"/>
        <v>-1</v>
      </c>
      <c r="T217" s="176">
        <f t="shared" si="81"/>
        <v>5</v>
      </c>
      <c r="U217" s="250">
        <f t="shared" si="82"/>
        <v>-0.52580536022766178</v>
      </c>
      <c r="V217" s="382">
        <f t="shared" si="83"/>
        <v>55.525891145875846</v>
      </c>
      <c r="W217" s="58"/>
      <c r="X217" s="157">
        <f t="shared" si="84"/>
        <v>44033</v>
      </c>
      <c r="Y217" s="383">
        <f t="shared" si="85"/>
        <v>52.408243088866364</v>
      </c>
      <c r="Z217" s="383">
        <f t="shared" si="86"/>
        <v>52.9717066906627</v>
      </c>
      <c r="AA217" s="384">
        <f t="shared" si="87"/>
        <v>54.809723139488803</v>
      </c>
      <c r="AB217" s="197">
        <f t="shared" si="88"/>
        <v>44033</v>
      </c>
      <c r="AC217" s="424">
        <f>IF(OR(t&lt;Tnet,NoTnet),'2019'!Resal_s+('2019'!Salim-'2019'!Resal_s)*(1-EXP(('2019'!Tnet_s-t)/'2019'!Tau_j)),Resal_s+(Salim-Resal_s)*(1-EXP((Tnet_s-t)/Tau_j)))*Salcycl</f>
        <v>3.353449613581181E-2</v>
      </c>
      <c r="AD217" s="230">
        <f>(INDEX(Models!$BJ217:$BT217,,AH217)*(1-AF217)+INDEX(Models!$BJ217:$BT217,,AH217+1)*AF217-ERP_i)*AE217*Ramure*Pc/MaxiM</f>
        <v>1.4481099185793031E-4</v>
      </c>
      <c r="AE217" s="304">
        <f t="shared" si="89"/>
        <v>0.7</v>
      </c>
      <c r="AF217" s="177">
        <f t="shared" si="90"/>
        <v>0.53852686203217037</v>
      </c>
      <c r="AG217" s="176">
        <f t="shared" si="91"/>
        <v>-1</v>
      </c>
      <c r="AH217" s="176">
        <f t="shared" si="92"/>
        <v>5</v>
      </c>
      <c r="AI217" s="224">
        <f t="shared" si="93"/>
        <v>-0.46147313796782963</v>
      </c>
      <c r="AJ217" s="264" t="b">
        <f t="shared" si="94"/>
        <v>0</v>
      </c>
      <c r="AK217" s="264" t="b">
        <f t="shared" si="95"/>
        <v>0</v>
      </c>
      <c r="AL217" s="264"/>
      <c r="AM217" s="264"/>
      <c r="AN217" s="75"/>
    </row>
    <row r="218" spans="1:40" s="6" customFormat="1" ht="11.25" x14ac:dyDescent="0.2">
      <c r="A218" s="56">
        <f t="shared" si="96"/>
        <v>44034</v>
      </c>
      <c r="B218" s="607">
        <v>45.911999999999999</v>
      </c>
      <c r="C218" s="388"/>
      <c r="D218" s="391">
        <f t="shared" si="75"/>
        <v>46.406509063568997</v>
      </c>
      <c r="E218" s="383">
        <f t="shared" si="73"/>
        <v>48.019055260634374</v>
      </c>
      <c r="F218" s="383">
        <f t="shared" si="76"/>
        <v>48.024334081240781</v>
      </c>
      <c r="G218" s="110">
        <f t="shared" si="74"/>
        <v>0.82871731385513725</v>
      </c>
      <c r="H218" s="412" t="b">
        <f>Wh_hp&gt;='2019'!Maxi_hp</f>
        <v>0</v>
      </c>
      <c r="I218" s="388">
        <f>IF(H218,Wh_hp,'2019'!Maxi_hp)</f>
        <v>56.499257606465072</v>
      </c>
      <c r="J218" s="85">
        <f>IF(H218,An,'2019'!An_max)</f>
        <v>2018</v>
      </c>
      <c r="K218" s="197">
        <f t="shared" si="77"/>
        <v>44034</v>
      </c>
      <c r="L218" s="147">
        <f>IF(t&lt;Tvie,1-EXP((T0-t)*PertePVj)+'2019'!Pspv,1-EXP((T0-t)*PertePVj)+Pspv)</f>
        <v>1.0656028077690616E-2</v>
      </c>
      <c r="M218" s="832"/>
      <c r="N218" s="832"/>
      <c r="O218" s="48">
        <f>IF(t&lt;Tnet,'2019'!Resal+('2019'!Salim-'2019'!Resal)*(1-EXP(('2019'!Tnet-t)/('2019'!Tau_j))),Resal+(Salim-Resal)*(1-EXP((Tnet-t)/(Tau_j))))*Salcycl</f>
        <v>3.358138114781551E-2</v>
      </c>
      <c r="P218" s="169">
        <f>(INDEX(Models!$BJ218:$BT218,,T218)*(1-R218)+INDEX(Models!$BJ218:$BT218,,T218+1)*R218-ERP_i)*Q218*Ramure*Pc/MaxiM</f>
        <v>1.455210507927727E-4</v>
      </c>
      <c r="Q218" s="304">
        <f t="shared" si="78"/>
        <v>0.7</v>
      </c>
      <c r="R218" s="177">
        <f t="shared" si="79"/>
        <v>0.4762766155812439</v>
      </c>
      <c r="S218" s="799">
        <f t="shared" si="80"/>
        <v>-1</v>
      </c>
      <c r="T218" s="176">
        <f t="shared" si="81"/>
        <v>5</v>
      </c>
      <c r="U218" s="250">
        <f t="shared" si="82"/>
        <v>-0.5237233844187561</v>
      </c>
      <c r="V218" s="382">
        <f t="shared" si="83"/>
        <v>55.399307488492028</v>
      </c>
      <c r="W218" s="58"/>
      <c r="X218" s="157">
        <f t="shared" si="84"/>
        <v>44034</v>
      </c>
      <c r="Y218" s="383">
        <f t="shared" si="85"/>
        <v>45.911390108055649</v>
      </c>
      <c r="Z218" s="383">
        <f t="shared" si="86"/>
        <v>46.405892602599245</v>
      </c>
      <c r="AA218" s="384">
        <f t="shared" si="87"/>
        <v>48.018417378708541</v>
      </c>
      <c r="AB218" s="197">
        <f t="shared" si="88"/>
        <v>44034</v>
      </c>
      <c r="AC218" s="424">
        <f>IF(OR(t&lt;Tnet,NoTnet),'2019'!Resal_s+('2019'!Salim-'2019'!Resal_s)*(1-EXP(('2019'!Tnet_s-t)/'2019'!Tau_j)),Resal_s+(Salim-Resal_s)*(1-EXP((Tnet_s-t)/Tau_j)))*Salcycl</f>
        <v>3.358138114781551E-2</v>
      </c>
      <c r="AD218" s="230">
        <f>(INDEX(Models!$BJ218:$BT218,,AH218)*(1-AF218)+INDEX(Models!$BJ218:$BT218,,AH218+1)*AF218-ERP_i)*AE218*Ramure*Pc/MaxiM</f>
        <v>1.6310551805357544E-4</v>
      </c>
      <c r="AE218" s="304">
        <f t="shared" si="89"/>
        <v>0.7</v>
      </c>
      <c r="AF218" s="177">
        <f t="shared" si="90"/>
        <v>0.54060883784107605</v>
      </c>
      <c r="AG218" s="176">
        <f t="shared" si="91"/>
        <v>-1</v>
      </c>
      <c r="AH218" s="176">
        <f t="shared" si="92"/>
        <v>5</v>
      </c>
      <c r="AI218" s="224">
        <f t="shared" si="93"/>
        <v>-0.45939116215892395</v>
      </c>
      <c r="AJ218" s="264" t="b">
        <f t="shared" si="94"/>
        <v>0</v>
      </c>
      <c r="AK218" s="264" t="b">
        <f t="shared" si="95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6"/>
        <v>44035</v>
      </c>
      <c r="B219" s="607">
        <v>50.003</v>
      </c>
      <c r="C219" s="388"/>
      <c r="D219" s="391">
        <f t="shared" si="75"/>
        <v>50.542541051010765</v>
      </c>
      <c r="E219" s="383">
        <f t="shared" si="73"/>
        <v>52.301332976119554</v>
      </c>
      <c r="F219" s="383">
        <f t="shared" si="76"/>
        <v>52.308741847993431</v>
      </c>
      <c r="G219" s="110">
        <f t="shared" si="74"/>
        <v>0.90465656299170361</v>
      </c>
      <c r="H219" s="412" t="b">
        <f>Wh_hp&gt;='2019'!Maxi_hp</f>
        <v>0</v>
      </c>
      <c r="I219" s="388">
        <f>IF(H219,Wh_hp,'2019'!Maxi_hp)</f>
        <v>56.062614261064951</v>
      </c>
      <c r="J219" s="85">
        <f>IF(H219,An,'2019'!An_max)</f>
        <v>2018</v>
      </c>
      <c r="K219" s="197">
        <f t="shared" si="77"/>
        <v>44035</v>
      </c>
      <c r="L219" s="147">
        <f>IF(t&lt;Tvie,1-EXP((T0-t)*PertePVj)+'2019'!Pspv,1-EXP((T0-t)*PertePVj)+Pspv)</f>
        <v>1.0674988629206905E-2</v>
      </c>
      <c r="M219" s="832"/>
      <c r="N219" s="832"/>
      <c r="O219" s="48">
        <f>IF(t&lt;Tnet,'2019'!Resal+('2019'!Salim-'2019'!Resal)*(1-EXP(('2019'!Tnet-t)/('2019'!Tau_j))),Resal+(Salim-Resal)*(1-EXP((Tnet-t)/(Tau_j))))*Salcycl</f>
        <v>3.3628051619866685E-2</v>
      </c>
      <c r="P219" s="169">
        <f>(INDEX(Models!$BJ219:$BT219,,T219)*(1-R219)+INDEX(Models!$BJ219:$BT219,,T219+1)*R219-ERP_i)*Q219*Ramure*Pc/MaxiM</f>
        <v>1.6396553432282659E-4</v>
      </c>
      <c r="Q219" s="304">
        <f t="shared" si="78"/>
        <v>0.7</v>
      </c>
      <c r="R219" s="177">
        <f t="shared" si="79"/>
        <v>0.47829887481554567</v>
      </c>
      <c r="S219" s="799">
        <f t="shared" si="80"/>
        <v>-1</v>
      </c>
      <c r="T219" s="176">
        <f t="shared" si="81"/>
        <v>5</v>
      </c>
      <c r="U219" s="250">
        <f t="shared" si="82"/>
        <v>-0.52170112518445433</v>
      </c>
      <c r="V219" s="382">
        <f t="shared" si="83"/>
        <v>55.271674811675894</v>
      </c>
      <c r="W219" s="58"/>
      <c r="X219" s="157">
        <f t="shared" si="84"/>
        <v>44035</v>
      </c>
      <c r="Y219" s="383">
        <f t="shared" si="85"/>
        <v>50.002149432281584</v>
      </c>
      <c r="Z219" s="383">
        <f t="shared" si="86"/>
        <v>50.541681305518999</v>
      </c>
      <c r="AA219" s="384">
        <f t="shared" si="87"/>
        <v>52.300443312990147</v>
      </c>
      <c r="AB219" s="197">
        <f t="shared" si="88"/>
        <v>44035</v>
      </c>
      <c r="AC219" s="424">
        <f>IF(OR(t&lt;Tnet,NoTnet),'2019'!Resal_s+('2019'!Salim-'2019'!Resal_s)*(1-EXP(('2019'!Tnet_s-t)/'2019'!Tau_j)),Resal_s+(Salim-Resal_s)*(1-EXP((Tnet_s-t)/Tau_j)))*Salcycl</f>
        <v>3.3628051619866685E-2</v>
      </c>
      <c r="AD219" s="230">
        <f>(INDEX(Models!$BJ219:$BT219,,AH219)*(1-AF219)+INDEX(Models!$BJ219:$BT219,,AH219+1)*AF219-ERP_i)*AE219*Ramure*Pc/MaxiM</f>
        <v>1.8365464392868549E-4</v>
      </c>
      <c r="AE219" s="304">
        <f t="shared" si="89"/>
        <v>0.7</v>
      </c>
      <c r="AF219" s="177">
        <f t="shared" si="90"/>
        <v>0.54263109707537782</v>
      </c>
      <c r="AG219" s="176">
        <f t="shared" si="91"/>
        <v>-1</v>
      </c>
      <c r="AH219" s="176">
        <f t="shared" si="92"/>
        <v>5</v>
      </c>
      <c r="AI219" s="224">
        <f t="shared" si="93"/>
        <v>-0.45736890292462212</v>
      </c>
      <c r="AJ219" s="264" t="b">
        <f t="shared" si="94"/>
        <v>0</v>
      </c>
      <c r="AK219" s="264" t="b">
        <f t="shared" si="95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6"/>
        <v>44036</v>
      </c>
      <c r="B220" s="607">
        <v>49.805</v>
      </c>
      <c r="C220" s="388"/>
      <c r="D220" s="391">
        <f t="shared" si="75"/>
        <v>50.343369415825713</v>
      </c>
      <c r="E220" s="383">
        <f t="shared" si="73"/>
        <v>52.097735606787836</v>
      </c>
      <c r="F220" s="383">
        <f t="shared" si="76"/>
        <v>52.106077034310118</v>
      </c>
      <c r="G220" s="110">
        <f t="shared" si="74"/>
        <v>0.90318148349246263</v>
      </c>
      <c r="H220" s="412" t="b">
        <f>Wh_hp&gt;='2019'!Maxi_hp</f>
        <v>0</v>
      </c>
      <c r="I220" s="388">
        <f>IF(H220,Wh_hp,'2019'!Maxi_hp)</f>
        <v>57.091704599474085</v>
      </c>
      <c r="J220" s="85">
        <f>IF(H220,An,'2019'!An_max)</f>
        <v>2018</v>
      </c>
      <c r="K220" s="197">
        <f t="shared" si="77"/>
        <v>44036</v>
      </c>
      <c r="L220" s="147">
        <f>IF(t&lt;Tvie,1-EXP((T0-t)*PertePVj)+'2019'!Pspv,1-EXP((T0-t)*PertePVj)+Pspv)</f>
        <v>1.0693948817348531E-2</v>
      </c>
      <c r="M220" s="832"/>
      <c r="N220" s="832"/>
      <c r="O220" s="48">
        <f>IF(t&lt;Tnet,'2019'!Resal+('2019'!Salim-'2019'!Resal)*(1-EXP(('2019'!Tnet-t)/('2019'!Tau_j))),Resal+(Salim-Resal)*(1-EXP((Tnet-t)/(Tau_j))))*Salcycl</f>
        <v>3.3674519065537728E-2</v>
      </c>
      <c r="P220" s="169">
        <f>(INDEX(Models!$BJ220:$BT220,,T220)*(1-R220)+INDEX(Models!$BJ220:$BT220,,T220+1)*R220-ERP_i)*Q220*Ramure*Pc/MaxiM</f>
        <v>1.8577417200214827E-4</v>
      </c>
      <c r="Q220" s="304">
        <f t="shared" si="78"/>
        <v>0.7</v>
      </c>
      <c r="R220" s="177">
        <f t="shared" si="79"/>
        <v>0.48026231560525368</v>
      </c>
      <c r="S220" s="799">
        <f t="shared" si="80"/>
        <v>-1</v>
      </c>
      <c r="T220" s="176">
        <f t="shared" si="81"/>
        <v>5</v>
      </c>
      <c r="U220" s="250">
        <f t="shared" si="82"/>
        <v>-0.51973768439474632</v>
      </c>
      <c r="V220" s="382">
        <f t="shared" si="83"/>
        <v>55.142539214133592</v>
      </c>
      <c r="W220" s="58"/>
      <c r="X220" s="157">
        <f t="shared" si="84"/>
        <v>44036</v>
      </c>
      <c r="Y220" s="383">
        <f t="shared" si="85"/>
        <v>49.804049375376032</v>
      </c>
      <c r="Z220" s="383">
        <f t="shared" si="86"/>
        <v>50.342408515381571</v>
      </c>
      <c r="AA220" s="384">
        <f t="shared" si="87"/>
        <v>52.096741220876361</v>
      </c>
      <c r="AB220" s="197">
        <f t="shared" si="88"/>
        <v>44036</v>
      </c>
      <c r="AC220" s="424">
        <f>IF(OR(t&lt;Tnet,NoTnet),'2019'!Resal_s+('2019'!Salim-'2019'!Resal_s)*(1-EXP(('2019'!Tnet_s-t)/'2019'!Tau_j)),Resal_s+(Salim-Resal_s)*(1-EXP((Tnet_s-t)/Tau_j)))*Salcycl</f>
        <v>3.3674519065537728E-2</v>
      </c>
      <c r="AD220" s="230">
        <f>(INDEX(Models!$BJ220:$BT220,,AH220)*(1-AF220)+INDEX(Models!$BJ220:$BT220,,AH220+1)*AF220-ERP_i)*AE220*Ramure*Pc/MaxiM</f>
        <v>2.0792040762699355E-4</v>
      </c>
      <c r="AE220" s="304">
        <f t="shared" si="89"/>
        <v>0.7</v>
      </c>
      <c r="AF220" s="177">
        <f t="shared" si="90"/>
        <v>0.54459453786508583</v>
      </c>
      <c r="AG220" s="176">
        <f t="shared" si="91"/>
        <v>-1</v>
      </c>
      <c r="AH220" s="176">
        <f t="shared" si="92"/>
        <v>5</v>
      </c>
      <c r="AI220" s="224">
        <f t="shared" si="93"/>
        <v>-0.45540546213491412</v>
      </c>
      <c r="AJ220" s="264" t="b">
        <f t="shared" si="94"/>
        <v>0</v>
      </c>
      <c r="AK220" s="264" t="b">
        <f t="shared" si="95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6"/>
        <v>44037</v>
      </c>
      <c r="B221" s="607">
        <v>54.447000000000003</v>
      </c>
      <c r="C221" s="388"/>
      <c r="D221" s="391">
        <f t="shared" si="75"/>
        <v>55.036602090164784</v>
      </c>
      <c r="E221" s="383">
        <f t="shared" si="73"/>
        <v>56.957245653842527</v>
      </c>
      <c r="F221" s="383">
        <f t="shared" si="76"/>
        <v>56.969060465949205</v>
      </c>
      <c r="G221" s="110">
        <f t="shared" si="74"/>
        <v>0.98972589317378212</v>
      </c>
      <c r="H221" s="412" t="b">
        <f>Wh_hp&gt;='2019'!Maxi_hp</f>
        <v>1</v>
      </c>
      <c r="I221" s="388">
        <f>IF(H221,Wh_hp,'2019'!Maxi_hp)</f>
        <v>56.969060465949205</v>
      </c>
      <c r="J221" s="85">
        <f>IF(H221,An,'2019'!An_max)</f>
        <v>2020</v>
      </c>
      <c r="K221" s="197">
        <f t="shared" si="77"/>
        <v>44037</v>
      </c>
      <c r="L221" s="147">
        <f>IF(t&lt;Tvie,1-EXP((T0-t)*PertePVj)+'2019'!Pspv,1-EXP((T0-t)*PertePVj)+Pspv)</f>
        <v>1.0712908642122487E-2</v>
      </c>
      <c r="M221" s="832"/>
      <c r="N221" s="832"/>
      <c r="O221" s="48">
        <f>IF(t&lt;Tnet,'2019'!Resal+('2019'!Salim-'2019'!Resal)*(1-EXP(('2019'!Tnet-t)/('2019'!Tau_j))),Resal+(Salim-Resal)*(1-EXP((Tnet-t)/(Tau_j))))*Salcycl</f>
        <v>3.3720794284022214E-2</v>
      </c>
      <c r="P221" s="169">
        <f>(INDEX(Models!$BJ221:$BT221,,T221)*(1-R221)+INDEX(Models!$BJ221:$BT221,,T221+1)*R221-ERP_i)*Q221*Ramure*Pc/MaxiM</f>
        <v>2.1047830949418514E-4</v>
      </c>
      <c r="Q221" s="304">
        <f t="shared" si="78"/>
        <v>0.7</v>
      </c>
      <c r="R221" s="177">
        <f t="shared" si="79"/>
        <v>0.48216788102754093</v>
      </c>
      <c r="S221" s="799">
        <f t="shared" si="80"/>
        <v>-1</v>
      </c>
      <c r="T221" s="176">
        <f t="shared" si="81"/>
        <v>5</v>
      </c>
      <c r="U221" s="250">
        <f t="shared" si="82"/>
        <v>-0.51783211897245907</v>
      </c>
      <c r="V221" s="382">
        <f t="shared" si="83"/>
        <v>55.01203130096247</v>
      </c>
      <c r="W221" s="58"/>
      <c r="X221" s="157">
        <f t="shared" si="84"/>
        <v>44037</v>
      </c>
      <c r="Y221" s="383">
        <f t="shared" si="85"/>
        <v>54.445664405102143</v>
      </c>
      <c r="Z221" s="383">
        <f t="shared" si="86"/>
        <v>55.035252032219496</v>
      </c>
      <c r="AA221" s="384">
        <f t="shared" si="87"/>
        <v>56.955848482158295</v>
      </c>
      <c r="AB221" s="197">
        <f t="shared" si="88"/>
        <v>44037</v>
      </c>
      <c r="AC221" s="424">
        <f>IF(OR(t&lt;Tnet,NoTnet),'2019'!Resal_s+('2019'!Salim-'2019'!Resal_s)*(1-EXP(('2019'!Tnet_s-t)/'2019'!Tau_j)),Resal_s+(Salim-Resal_s)*(1-EXP((Tnet_s-t)/Tau_j)))*Salcycl</f>
        <v>3.3720794284022214E-2</v>
      </c>
      <c r="AD221" s="230">
        <f>(INDEX(Models!$BJ221:$BT221,,AH221)*(1-AF221)+INDEX(Models!$BJ221:$BT221,,AH221+1)*AF221-ERP_i)*AE221*Ramure*Pc/MaxiM</f>
        <v>2.353686193454932E-4</v>
      </c>
      <c r="AE221" s="304">
        <f t="shared" si="89"/>
        <v>0.7</v>
      </c>
      <c r="AF221" s="177">
        <f t="shared" si="90"/>
        <v>0.54650010328737308</v>
      </c>
      <c r="AG221" s="176">
        <f t="shared" si="91"/>
        <v>-1</v>
      </c>
      <c r="AH221" s="176">
        <f t="shared" si="92"/>
        <v>5</v>
      </c>
      <c r="AI221" s="224">
        <f t="shared" si="93"/>
        <v>-0.45349989671262697</v>
      </c>
      <c r="AJ221" s="264" t="b">
        <f t="shared" si="94"/>
        <v>0</v>
      </c>
      <c r="AK221" s="264" t="b">
        <f t="shared" si="95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6"/>
        <v>44038</v>
      </c>
      <c r="B222" s="607">
        <v>39.436</v>
      </c>
      <c r="C222" s="388"/>
      <c r="D222" s="391">
        <f t="shared" si="75"/>
        <v>39.863813185207633</v>
      </c>
      <c r="E222" s="383">
        <f t="shared" si="73"/>
        <v>41.256931337259495</v>
      </c>
      <c r="F222" s="383">
        <f t="shared" si="76"/>
        <v>41.262806623882767</v>
      </c>
      <c r="G222" s="110">
        <f t="shared" si="74"/>
        <v>0.7185138855959029</v>
      </c>
      <c r="H222" s="412" t="b">
        <f>Wh_hp&gt;='2019'!Maxi_hp</f>
        <v>1</v>
      </c>
      <c r="I222" s="388">
        <f>IF(H222,Wh_hp,'2019'!Maxi_hp)</f>
        <v>41.262806623882767</v>
      </c>
      <c r="J222" s="85">
        <f>IF(H222,An,'2019'!An_max)</f>
        <v>2020</v>
      </c>
      <c r="K222" s="197">
        <f t="shared" si="77"/>
        <v>44038</v>
      </c>
      <c r="L222" s="147">
        <f>IF(t&lt;Tvie,1-EXP((T0-t)*PertePVj)+'2019'!Pspv,1-EXP((T0-t)*PertePVj)+Pspv)</f>
        <v>1.0731868103535658E-2</v>
      </c>
      <c r="M222" s="832"/>
      <c r="N222" s="832"/>
      <c r="O222" s="48">
        <f>IF(t&lt;Tnet,'2019'!Resal+('2019'!Salim-'2019'!Resal)*(1-EXP(('2019'!Tnet-t)/('2019'!Tau_j))),Resal+(Salim-Resal)*(1-EXP((Tnet-t)/(Tau_j))))*Salcycl</f>
        <v>3.3766887330122966E-2</v>
      </c>
      <c r="P222" s="169">
        <f>(INDEX(Models!$BJ222:$BT222,,T222)*(1-R222)+INDEX(Models!$BJ222:$BT222,,T222+1)*R222-ERP_i)*Q222*Ramure*Pc/MaxiM</f>
        <v>2.381151758778665E-4</v>
      </c>
      <c r="Q222" s="304">
        <f t="shared" si="78"/>
        <v>0.7</v>
      </c>
      <c r="R222" s="177">
        <f t="shared" si="79"/>
        <v>0.48401655423151357</v>
      </c>
      <c r="S222" s="799">
        <f t="shared" si="80"/>
        <v>-1</v>
      </c>
      <c r="T222" s="176">
        <f t="shared" si="81"/>
        <v>5</v>
      </c>
      <c r="U222" s="250">
        <f t="shared" si="82"/>
        <v>-0.51598344576848643</v>
      </c>
      <c r="V222" s="382">
        <f t="shared" si="83"/>
        <v>54.880253695793201</v>
      </c>
      <c r="W222" s="58"/>
      <c r="X222" s="157">
        <f t="shared" si="84"/>
        <v>44038</v>
      </c>
      <c r="Y222" s="383">
        <f t="shared" si="85"/>
        <v>39.435341426410758</v>
      </c>
      <c r="Z222" s="383">
        <f t="shared" si="86"/>
        <v>39.863147467220763</v>
      </c>
      <c r="AA222" s="384">
        <f t="shared" si="87"/>
        <v>41.256242354468341</v>
      </c>
      <c r="AB222" s="197">
        <f t="shared" si="88"/>
        <v>44038</v>
      </c>
      <c r="AC222" s="424">
        <f>IF(OR(t&lt;Tnet,NoTnet),'2019'!Resal_s+('2019'!Salim-'2019'!Resal_s)*(1-EXP(('2019'!Tnet_s-t)/'2019'!Tau_j)),Resal_s+(Salim-Resal_s)*(1-EXP((Tnet_s-t)/Tau_j)))*Salcycl</f>
        <v>3.3766887330122966E-2</v>
      </c>
      <c r="AD222" s="230">
        <f>(INDEX(Models!$BJ222:$BT222,,AH222)*(1-AF222)+INDEX(Models!$BJ222:$BT222,,AH222+1)*AF222-ERP_i)*AE222*Ramure*Pc/MaxiM</f>
        <v>2.6603845332968045E-4</v>
      </c>
      <c r="AE222" s="304">
        <f t="shared" si="89"/>
        <v>0.7</v>
      </c>
      <c r="AF222" s="177">
        <f t="shared" si="90"/>
        <v>0.54834877649134572</v>
      </c>
      <c r="AG222" s="176">
        <f t="shared" si="91"/>
        <v>-1</v>
      </c>
      <c r="AH222" s="176">
        <f t="shared" si="92"/>
        <v>5</v>
      </c>
      <c r="AI222" s="224">
        <f t="shared" si="93"/>
        <v>-0.45165122350865428</v>
      </c>
      <c r="AJ222" s="264" t="b">
        <f t="shared" si="94"/>
        <v>0</v>
      </c>
      <c r="AK222" s="264" t="b">
        <f t="shared" si="95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6"/>
        <v>44039</v>
      </c>
      <c r="B223" s="607">
        <v>52.780999999999999</v>
      </c>
      <c r="C223" s="388"/>
      <c r="D223" s="391">
        <f t="shared" si="75"/>
        <v>53.354606151140068</v>
      </c>
      <c r="E223" s="383">
        <f t="shared" si="73"/>
        <v>55.221810602335545</v>
      </c>
      <c r="F223" s="383">
        <f t="shared" si="76"/>
        <v>55.235892081296527</v>
      </c>
      <c r="G223" s="110">
        <f t="shared" si="74"/>
        <v>0.96407061714241649</v>
      </c>
      <c r="H223" s="412" t="b">
        <f>Wh_hp&gt;='2019'!Maxi_hp</f>
        <v>1</v>
      </c>
      <c r="I223" s="388">
        <f>IF(H223,Wh_hp,'2019'!Maxi_hp)</f>
        <v>55.235892081296527</v>
      </c>
      <c r="J223" s="85">
        <f>IF(H223,An,'2019'!An_max)</f>
        <v>2020</v>
      </c>
      <c r="K223" s="197">
        <f t="shared" si="77"/>
        <v>44039</v>
      </c>
      <c r="L223" s="147">
        <f>IF(t&lt;Tvie,1-EXP((T0-t)*PertePVj)+'2019'!Pspv,1-EXP((T0-t)*PertePVj)+Pspv)</f>
        <v>1.0750827201595148E-2</v>
      </c>
      <c r="M223" s="832"/>
      <c r="N223" s="832"/>
      <c r="O223" s="48">
        <f>IF(t&lt;Tnet,'2019'!Resal+('2019'!Salim-'2019'!Resal)*(1-EXP(('2019'!Tnet-t)/('2019'!Tau_j))),Resal+(Salim-Resal)*(1-EXP((Tnet-t)/(Tau_j))))*Salcycl</f>
        <v>3.3812807490895803E-2</v>
      </c>
      <c r="P223" s="169">
        <f>(INDEX(Models!$BJ223:$BT223,,T223)*(1-R223)+INDEX(Models!$BJ223:$BT223,,T223+1)*R223-ERP_i)*Q223*Ramure*Pc/MaxiM</f>
        <v>2.6872122975675494E-4</v>
      </c>
      <c r="Q223" s="304">
        <f t="shared" si="78"/>
        <v>0.7</v>
      </c>
      <c r="R223" s="177">
        <f t="shared" si="79"/>
        <v>0.48580935374077883</v>
      </c>
      <c r="S223" s="799">
        <f t="shared" si="80"/>
        <v>-1</v>
      </c>
      <c r="T223" s="176">
        <f t="shared" si="81"/>
        <v>5</v>
      </c>
      <c r="U223" s="250">
        <f t="shared" si="82"/>
        <v>-0.51419064625922117</v>
      </c>
      <c r="V223" s="382">
        <f t="shared" si="83"/>
        <v>54.747309113509132</v>
      </c>
      <c r="W223" s="58"/>
      <c r="X223" s="157">
        <f t="shared" si="84"/>
        <v>44039</v>
      </c>
      <c r="Y223" s="383">
        <f t="shared" si="85"/>
        <v>52.779434967980848</v>
      </c>
      <c r="Z223" s="383">
        <f t="shared" si="86"/>
        <v>53.353024110879453</v>
      </c>
      <c r="AA223" s="384">
        <f t="shared" si="87"/>
        <v>55.220173196796658</v>
      </c>
      <c r="AB223" s="197">
        <f t="shared" si="88"/>
        <v>44039</v>
      </c>
      <c r="AC223" s="424">
        <f>IF(OR(t&lt;Tnet,NoTnet),'2019'!Resal_s+('2019'!Salim-'2019'!Resal_s)*(1-EXP(('2019'!Tnet_s-t)/'2019'!Tau_j)),Resal_s+(Salim-Resal_s)*(1-EXP((Tnet_s-t)/Tau_j)))*Salcycl</f>
        <v>3.3812807490895803E-2</v>
      </c>
      <c r="AD223" s="230">
        <f>(INDEX(Models!$BJ223:$BT223,,AH223)*(1-AF223)+INDEX(Models!$BJ223:$BT223,,AH223+1)*AF223-ERP_i)*AE223*Ramure*Pc/MaxiM</f>
        <v>2.9996834742389148E-4</v>
      </c>
      <c r="AE223" s="304">
        <f t="shared" si="89"/>
        <v>0.7</v>
      </c>
      <c r="AF223" s="177">
        <f t="shared" si="90"/>
        <v>0.55014157600061098</v>
      </c>
      <c r="AG223" s="176">
        <f t="shared" si="91"/>
        <v>-1</v>
      </c>
      <c r="AH223" s="176">
        <f t="shared" si="92"/>
        <v>5</v>
      </c>
      <c r="AI223" s="224">
        <f t="shared" si="93"/>
        <v>-0.44985842399938908</v>
      </c>
      <c r="AJ223" s="264" t="b">
        <f t="shared" si="94"/>
        <v>0</v>
      </c>
      <c r="AK223" s="264" t="b">
        <f t="shared" si="95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6"/>
        <v>44040</v>
      </c>
      <c r="B224" s="607">
        <v>29.492000000000001</v>
      </c>
      <c r="C224" s="388"/>
      <c r="D224" s="391">
        <f t="shared" si="75"/>
        <v>29.813080495033425</v>
      </c>
      <c r="E224" s="383">
        <f t="shared" si="73"/>
        <v>30.857884116743186</v>
      </c>
      <c r="F224" s="383">
        <f t="shared" si="76"/>
        <v>30.86108327567759</v>
      </c>
      <c r="G224" s="110">
        <f t="shared" si="74"/>
        <v>0.53990767918761651</v>
      </c>
      <c r="H224" s="412" t="b">
        <f>Wh_hp&gt;='2019'!Maxi_hp</f>
        <v>0</v>
      </c>
      <c r="I224" s="388">
        <f>IF(H224,Wh_hp,'2019'!Maxi_hp)</f>
        <v>58.807397280234632</v>
      </c>
      <c r="J224" s="85">
        <f>IF(H224,An,'2019'!An_max)</f>
        <v>2018</v>
      </c>
      <c r="K224" s="197">
        <f t="shared" si="77"/>
        <v>44040</v>
      </c>
      <c r="L224" s="147">
        <f>IF(t&lt;Tvie,1-EXP((T0-t)*PertePVj)+'2019'!Pspv,1-EXP((T0-t)*PertePVj)+Pspv)</f>
        <v>1.0769785936307841E-2</v>
      </c>
      <c r="M224" s="832"/>
      <c r="N224" s="832"/>
      <c r="O224" s="48">
        <f>IF(t&lt;Tnet,'2019'!Resal+('2019'!Salim-'2019'!Resal)*(1-EXP(('2019'!Tnet-t)/('2019'!Tau_j))),Resal+(Salim-Resal)*(1-EXP((Tnet-t)/(Tau_j))))*Salcycl</f>
        <v>3.3858563268855467E-2</v>
      </c>
      <c r="P224" s="169">
        <f>(INDEX(Models!$BJ224:$BT224,,T224)*(1-R224)+INDEX(Models!$BJ224:$BT224,,T224+1)*R224-ERP_i)*Q224*Ramure*Pc/MaxiM</f>
        <v>3.02332163421382E-4</v>
      </c>
      <c r="Q224" s="304">
        <f t="shared" si="78"/>
        <v>0.7</v>
      </c>
      <c r="R224" s="177">
        <f t="shared" si="79"/>
        <v>0.48754732894400554</v>
      </c>
      <c r="S224" s="799">
        <f t="shared" si="80"/>
        <v>-1</v>
      </c>
      <c r="T224" s="176">
        <f t="shared" si="81"/>
        <v>5</v>
      </c>
      <c r="U224" s="250">
        <f t="shared" si="82"/>
        <v>-0.51245267105599446</v>
      </c>
      <c r="V224" s="382">
        <f t="shared" si="83"/>
        <v>54.613300355592031</v>
      </c>
      <c r="W224" s="58"/>
      <c r="X224" s="157">
        <f t="shared" si="84"/>
        <v>44040</v>
      </c>
      <c r="Y224" s="383">
        <f t="shared" si="85"/>
        <v>29.491647414241555</v>
      </c>
      <c r="Z224" s="383">
        <f t="shared" si="86"/>
        <v>29.812724070660785</v>
      </c>
      <c r="AA224" s="384">
        <f t="shared" si="87"/>
        <v>30.857515201428004</v>
      </c>
      <c r="AB224" s="197">
        <f t="shared" si="88"/>
        <v>44040</v>
      </c>
      <c r="AC224" s="424">
        <f>IF(OR(t&lt;Tnet,NoTnet),'2019'!Resal_s+('2019'!Salim-'2019'!Resal_s)*(1-EXP(('2019'!Tnet_s-t)/'2019'!Tau_j)),Resal_s+(Salim-Resal_s)*(1-EXP((Tnet_s-t)/Tau_j)))*Salcycl</f>
        <v>3.3858563268855467E-2</v>
      </c>
      <c r="AD224" s="230">
        <f>(INDEX(Models!$BJ224:$BT224,,AH224)*(1-AF224)+INDEX(Models!$BJ224:$BT224,,AH224+1)*AF224-ERP_i)*AE224*Ramure*Pc/MaxiM</f>
        <v>3.3719600346353605E-4</v>
      </c>
      <c r="AE224" s="304">
        <f t="shared" si="89"/>
        <v>0.7</v>
      </c>
      <c r="AF224" s="177">
        <f t="shared" si="90"/>
        <v>0.55187955120383769</v>
      </c>
      <c r="AG224" s="176">
        <f t="shared" si="91"/>
        <v>-1</v>
      </c>
      <c r="AH224" s="176">
        <f t="shared" si="92"/>
        <v>5</v>
      </c>
      <c r="AI224" s="224">
        <f t="shared" si="93"/>
        <v>-0.44812044879616236</v>
      </c>
      <c r="AJ224" s="264" t="b">
        <f t="shared" si="94"/>
        <v>0</v>
      </c>
      <c r="AK224" s="264" t="b">
        <f t="shared" si="95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6"/>
        <v>44041</v>
      </c>
      <c r="B225" s="607">
        <v>46.508000000000003</v>
      </c>
      <c r="C225" s="388"/>
      <c r="D225" s="391">
        <f t="shared" si="75"/>
        <v>47.015235352786647</v>
      </c>
      <c r="E225" s="383">
        <f t="shared" si="73"/>
        <v>48.665187781162977</v>
      </c>
      <c r="F225" s="383">
        <f t="shared" si="76"/>
        <v>48.678240079056877</v>
      </c>
      <c r="G225" s="110">
        <f t="shared" si="74"/>
        <v>0.85363673627448478</v>
      </c>
      <c r="H225" s="412" t="b">
        <f>Wh_hp&gt;='2019'!Maxi_hp</f>
        <v>1</v>
      </c>
      <c r="I225" s="388">
        <f>IF(H225,Wh_hp,'2019'!Maxi_hp)</f>
        <v>48.678240079056877</v>
      </c>
      <c r="J225" s="85">
        <f>IF(H225,An,'2019'!An_max)</f>
        <v>2020</v>
      </c>
      <c r="K225" s="197">
        <f t="shared" si="77"/>
        <v>44041</v>
      </c>
      <c r="L225" s="147">
        <f>IF(t&lt;Tvie,1-EXP((T0-t)*PertePVj)+'2019'!Pspv,1-EXP((T0-t)*PertePVj)+Pspv)</f>
        <v>1.078874430768062E-2</v>
      </c>
      <c r="M225" s="832"/>
      <c r="N225" s="832"/>
      <c r="O225" s="48">
        <f>IF(t&lt;Tnet,'2019'!Resal+('2019'!Salim-'2019'!Resal)*(1-EXP(('2019'!Tnet-t)/('2019'!Tau_j))),Resal+(Salim-Resal)*(1-EXP((Tnet-t)/(Tau_j))))*Salcycl</f>
        <v>3.3904162371587214E-2</v>
      </c>
      <c r="P225" s="169">
        <f>(INDEX(Models!$BJ225:$BT225,,T225)*(1-R225)+INDEX(Models!$BJ225:$BT225,,T225+1)*R225-ERP_i)*Q225*Ramure*Pc/MaxiM</f>
        <v>3.3898290207707232E-4</v>
      </c>
      <c r="Q225" s="304">
        <f t="shared" si="78"/>
        <v>0.7</v>
      </c>
      <c r="R225" s="177">
        <f t="shared" si="79"/>
        <v>0.48923155578151145</v>
      </c>
      <c r="S225" s="799">
        <f t="shared" si="80"/>
        <v>-1</v>
      </c>
      <c r="T225" s="176">
        <f t="shared" si="81"/>
        <v>5</v>
      </c>
      <c r="U225" s="250">
        <f t="shared" si="82"/>
        <v>-0.51076844421848855</v>
      </c>
      <c r="V225" s="382">
        <f t="shared" si="83"/>
        <v>54.478330308094669</v>
      </c>
      <c r="W225" s="58"/>
      <c r="X225" s="157">
        <f t="shared" si="84"/>
        <v>44041</v>
      </c>
      <c r="Y225" s="383">
        <f t="shared" si="85"/>
        <v>46.506573158843615</v>
      </c>
      <c r="Z225" s="383">
        <f t="shared" si="86"/>
        <v>47.013792949914482</v>
      </c>
      <c r="AA225" s="384">
        <f t="shared" si="87"/>
        <v>48.663694758611818</v>
      </c>
      <c r="AB225" s="197">
        <f t="shared" si="88"/>
        <v>44041</v>
      </c>
      <c r="AC225" s="424">
        <f>IF(OR(t&lt;Tnet,NoTnet),'2019'!Resal_s+('2019'!Salim-'2019'!Resal_s)*(1-EXP(('2019'!Tnet_s-t)/'2019'!Tau_j)),Resal_s+(Salim-Resal_s)*(1-EXP((Tnet_s-t)/Tau_j)))*Salcycl</f>
        <v>3.3904162371587214E-2</v>
      </c>
      <c r="AD225" s="230">
        <f>(INDEX(Models!$BJ225:$BT225,,AH225)*(1-AF225)+INDEX(Models!$BJ225:$BT225,,AH225+1)*AF225-ERP_i)*AE225*Ramure*Pc/MaxiM</f>
        <v>3.7775838217828263E-4</v>
      </c>
      <c r="AE225" s="304">
        <f t="shared" si="89"/>
        <v>0.7</v>
      </c>
      <c r="AF225" s="177">
        <f t="shared" si="90"/>
        <v>0.5535637780413436</v>
      </c>
      <c r="AG225" s="176">
        <f t="shared" si="91"/>
        <v>-1</v>
      </c>
      <c r="AH225" s="176">
        <f t="shared" si="92"/>
        <v>5</v>
      </c>
      <c r="AI225" s="224">
        <f t="shared" si="93"/>
        <v>-0.4464362219586564</v>
      </c>
      <c r="AJ225" s="264" t="b">
        <f t="shared" si="94"/>
        <v>0</v>
      </c>
      <c r="AK225" s="264" t="b">
        <f t="shared" si="95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6"/>
        <v>44042</v>
      </c>
      <c r="B226" s="607">
        <v>51.868000000000002</v>
      </c>
      <c r="C226" s="388"/>
      <c r="D226" s="391">
        <f t="shared" si="75"/>
        <v>52.434698613630651</v>
      </c>
      <c r="E226" s="383">
        <f t="shared" si="73"/>
        <v>54.277395101835047</v>
      </c>
      <c r="F226" s="383">
        <f t="shared" si="76"/>
        <v>54.296584024053573</v>
      </c>
      <c r="G226" s="110">
        <f t="shared" si="74"/>
        <v>0.9544405487074793</v>
      </c>
      <c r="H226" s="412" t="b">
        <f>Wh_hp&gt;='2019'!Maxi_hp</f>
        <v>0</v>
      </c>
      <c r="I226" s="388">
        <f>IF(H226,Wh_hp,'2019'!Maxi_hp)</f>
        <v>56.188132676281505</v>
      </c>
      <c r="J226" s="85">
        <f>IF(H226,An,'2019'!An_max)</f>
        <v>2018</v>
      </c>
      <c r="K226" s="197">
        <f t="shared" si="77"/>
        <v>44042</v>
      </c>
      <c r="L226" s="147">
        <f>IF(t&lt;Tvie,1-EXP((T0-t)*PertePVj)+'2019'!Pspv,1-EXP((T0-t)*PertePVj)+Pspv)</f>
        <v>1.0807702315720591E-2</v>
      </c>
      <c r="M226" s="832"/>
      <c r="N226" s="832"/>
      <c r="O226" s="48">
        <f>IF(t&lt;Tnet,'2019'!Resal+('2019'!Salim-'2019'!Resal)*(1-EXP(('2019'!Tnet-t)/('2019'!Tau_j))),Resal+(Salim-Resal)*(1-EXP((Tnet-t)/(Tau_j))))*Salcycl</f>
        <v>3.394961170754663E-2</v>
      </c>
      <c r="P226" s="169">
        <f>(INDEX(Models!$BJ226:$BT226,,T226)*(1-R226)+INDEX(Models!$BJ226:$BT226,,T226+1)*R226-ERP_i)*Q226*Ramure*Pc/MaxiM</f>
        <v>3.7799872491994649E-4</v>
      </c>
      <c r="Q226" s="304">
        <f t="shared" si="78"/>
        <v>0.7</v>
      </c>
      <c r="R226" s="177">
        <f t="shared" si="79"/>
        <v>0.49086313263388992</v>
      </c>
      <c r="S226" s="799">
        <f t="shared" si="80"/>
        <v>-1</v>
      </c>
      <c r="T226" s="176">
        <f t="shared" si="81"/>
        <v>5</v>
      </c>
      <c r="U226" s="250">
        <f t="shared" si="82"/>
        <v>-0.50913686736611008</v>
      </c>
      <c r="V226" s="382">
        <f t="shared" si="83"/>
        <v>54.342540474957673</v>
      </c>
      <c r="W226" s="58"/>
      <c r="X226" s="157">
        <f t="shared" si="84"/>
        <v>44042</v>
      </c>
      <c r="Y226" s="383">
        <f t="shared" si="85"/>
        <v>51.865919303022622</v>
      </c>
      <c r="Z226" s="383">
        <f t="shared" si="86"/>
        <v>52.432595183405553</v>
      </c>
      <c r="AA226" s="384">
        <f t="shared" si="87"/>
        <v>54.275217751408412</v>
      </c>
      <c r="AB226" s="197">
        <f t="shared" si="88"/>
        <v>44042</v>
      </c>
      <c r="AC226" s="424">
        <f>IF(OR(t&lt;Tnet,NoTnet),'2019'!Resal_s+('2019'!Salim-'2019'!Resal_s)*(1-EXP(('2019'!Tnet_s-t)/'2019'!Tau_j)),Resal_s+(Salim-Resal_s)*(1-EXP((Tnet_s-t)/Tau_j)))*Salcycl</f>
        <v>3.394961170754663E-2</v>
      </c>
      <c r="AD226" s="230">
        <f>(INDEX(Models!$BJ226:$BT226,,AH226)*(1-AF226)+INDEX(Models!$BJ226:$BT226,,AH226+1)*AF226-ERP_i)*AE226*Ramure*Pc/MaxiM</f>
        <v>4.2088991367977699E-4</v>
      </c>
      <c r="AE226" s="304">
        <f t="shared" si="89"/>
        <v>0.7</v>
      </c>
      <c r="AF226" s="177">
        <f t="shared" si="90"/>
        <v>0.55519535489372207</v>
      </c>
      <c r="AG226" s="176">
        <f t="shared" si="91"/>
        <v>-1</v>
      </c>
      <c r="AH226" s="176">
        <f t="shared" si="92"/>
        <v>5</v>
      </c>
      <c r="AI226" s="224">
        <f t="shared" si="93"/>
        <v>-0.44480464510627793</v>
      </c>
      <c r="AJ226" s="264" t="b">
        <f t="shared" si="94"/>
        <v>0</v>
      </c>
      <c r="AK226" s="264" t="b">
        <f t="shared" si="95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6"/>
        <v>44043</v>
      </c>
      <c r="B227" s="607">
        <v>51.427</v>
      </c>
      <c r="C227" s="388"/>
      <c r="D227" s="391">
        <f t="shared" si="75"/>
        <v>51.989876716595504</v>
      </c>
      <c r="E227" s="383">
        <f t="shared" si="73"/>
        <v>53.819464982530754</v>
      </c>
      <c r="F227" s="383">
        <f t="shared" si="76"/>
        <v>53.840321505322102</v>
      </c>
      <c r="G227" s="110">
        <f t="shared" si="74"/>
        <v>0.9487016192706168</v>
      </c>
      <c r="H227" s="412" t="b">
        <f>Wh_hp&gt;='2019'!Maxi_hp</f>
        <v>1</v>
      </c>
      <c r="I227" s="388">
        <f>IF(H227,Wh_hp,'2019'!Maxi_hp)</f>
        <v>53.840321505322102</v>
      </c>
      <c r="J227" s="85">
        <f>IF(H227,An,'2019'!An_max)</f>
        <v>2020</v>
      </c>
      <c r="K227" s="197">
        <f t="shared" si="77"/>
        <v>44043</v>
      </c>
      <c r="L227" s="147">
        <f>IF(t&lt;Tvie,1-EXP((T0-t)*PertePVj)+'2019'!Pspv,1-EXP((T0-t)*PertePVj)+Pspv)</f>
        <v>1.0826659960434748E-2</v>
      </c>
      <c r="M227" s="832"/>
      <c r="N227" s="832"/>
      <c r="O227" s="48">
        <f>IF(t&lt;Tnet,'2019'!Resal+('2019'!Salim-'2019'!Resal)*(1-EXP(('2019'!Tnet-t)/('2019'!Tau_j))),Resal+(Salim-Resal)*(1-EXP((Tnet-t)/(Tau_j))))*Salcycl</f>
        <v>3.3994917387772543E-2</v>
      </c>
      <c r="P227" s="169">
        <f>(INDEX(Models!$BJ227:$BT227,,T227)*(1-R227)+INDEX(Models!$BJ227:$BT227,,T227+1)*R227-ERP_i)*Q227*Ramure*Pc/MaxiM</f>
        <v>4.1799189966769027E-4</v>
      </c>
      <c r="Q227" s="304">
        <f t="shared" si="78"/>
        <v>0.7</v>
      </c>
      <c r="R227" s="177">
        <f t="shared" si="79"/>
        <v>0.49244317641682533</v>
      </c>
      <c r="S227" s="799">
        <f t="shared" si="80"/>
        <v>-1</v>
      </c>
      <c r="T227" s="176">
        <f t="shared" si="81"/>
        <v>5</v>
      </c>
      <c r="U227" s="250">
        <f t="shared" si="82"/>
        <v>-0.50755682358317467</v>
      </c>
      <c r="V227" s="382">
        <f t="shared" si="83"/>
        <v>54.20611068062604</v>
      </c>
      <c r="W227" s="58"/>
      <c r="X227" s="157">
        <f t="shared" si="84"/>
        <v>44043</v>
      </c>
      <c r="Y227" s="383">
        <f t="shared" si="85"/>
        <v>51.424755964947614</v>
      </c>
      <c r="Z227" s="383">
        <f t="shared" si="86"/>
        <v>51.987608120221587</v>
      </c>
      <c r="AA227" s="384">
        <f t="shared" si="87"/>
        <v>53.817116551435767</v>
      </c>
      <c r="AB227" s="197">
        <f t="shared" si="88"/>
        <v>44043</v>
      </c>
      <c r="AC227" s="424">
        <f>IF(OR(t&lt;Tnet,NoTnet),'2019'!Resal_s+('2019'!Salim-'2019'!Resal_s)*(1-EXP(('2019'!Tnet_s-t)/'2019'!Tau_j)),Resal_s+(Salim-Resal_s)*(1-EXP((Tnet_s-t)/Tau_j)))*Salcycl</f>
        <v>3.3994917387772543E-2</v>
      </c>
      <c r="AD227" s="230">
        <f>(INDEX(Models!$BJ227:$BT227,,AH227)*(1-AF227)+INDEX(Models!$BJ227:$BT227,,AH227+1)*AF227-ERP_i)*AE227*Ramure*Pc/MaxiM</f>
        <v>4.650575195916122E-4</v>
      </c>
      <c r="AE227" s="304">
        <f t="shared" si="89"/>
        <v>0.7</v>
      </c>
      <c r="AF227" s="177">
        <f t="shared" si="90"/>
        <v>0.55677539867665748</v>
      </c>
      <c r="AG227" s="176">
        <f t="shared" si="91"/>
        <v>-1</v>
      </c>
      <c r="AH227" s="176">
        <f t="shared" si="92"/>
        <v>5</v>
      </c>
      <c r="AI227" s="224">
        <f t="shared" si="93"/>
        <v>-0.44322460132334257</v>
      </c>
      <c r="AJ227" s="264" t="b">
        <f t="shared" si="94"/>
        <v>0</v>
      </c>
      <c r="AK227" s="264" t="b">
        <f t="shared" si="95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6"/>
        <v>44044</v>
      </c>
      <c r="B228" s="607">
        <v>35.595999999999997</v>
      </c>
      <c r="C228" s="388"/>
      <c r="D228" s="391">
        <f t="shared" si="75"/>
        <v>35.986293565968616</v>
      </c>
      <c r="E228" s="383">
        <f t="shared" si="73"/>
        <v>37.254437784852122</v>
      </c>
      <c r="F228" s="383">
        <f t="shared" si="76"/>
        <v>37.263192829241902</v>
      </c>
      <c r="G228" s="110">
        <f t="shared" si="74"/>
        <v>0.6581946925711174</v>
      </c>
      <c r="H228" s="412" t="b">
        <f>Wh_hp&gt;='2019'!Maxi_hp</f>
        <v>0</v>
      </c>
      <c r="I228" s="388">
        <f>IF(H228,Wh_hp,'2019'!Maxi_hp)</f>
        <v>55.293459971427438</v>
      </c>
      <c r="J228" s="85">
        <f>IF(H228,An,'2019'!An_max)</f>
        <v>2018</v>
      </c>
      <c r="K228" s="197">
        <f t="shared" si="77"/>
        <v>44044</v>
      </c>
      <c r="L228" s="147">
        <f>IF(t&lt;Tvie,1-EXP((T0-t)*PertePVj)+'2019'!Pspv,1-EXP((T0-t)*PertePVj)+Pspv)</f>
        <v>1.0845617241829864E-2</v>
      </c>
      <c r="M228" s="832"/>
      <c r="N228" s="832"/>
      <c r="O228" s="48">
        <f>IF(t&lt;Tnet,'2019'!Resal+('2019'!Salim-'2019'!Resal)*(1-EXP(('2019'!Tnet-t)/('2019'!Tau_j))),Resal+(Salim-Resal)*(1-EXP((Tnet-t)/(Tau_j))))*Salcycl</f>
        <v>3.4040084733184164E-2</v>
      </c>
      <c r="P228" s="169">
        <f>(INDEX(Models!$BJ228:$BT228,,T228)*(1-R228)+INDEX(Models!$BJ228:$BT228,,T228+1)*R228-ERP_i)*Q228*Ramure*Pc/MaxiM</f>
        <v>4.5896373179705877E-4</v>
      </c>
      <c r="Q228" s="304">
        <f t="shared" si="78"/>
        <v>0.7</v>
      </c>
      <c r="R228" s="177">
        <f t="shared" si="79"/>
        <v>0.4939728188845347</v>
      </c>
      <c r="S228" s="799">
        <f t="shared" si="80"/>
        <v>-1</v>
      </c>
      <c r="T228" s="176">
        <f t="shared" si="81"/>
        <v>5</v>
      </c>
      <c r="U228" s="250">
        <f t="shared" si="82"/>
        <v>-0.5060271811154653</v>
      </c>
      <c r="V228" s="382">
        <f t="shared" si="83"/>
        <v>54.069144874033171</v>
      </c>
      <c r="W228" s="58"/>
      <c r="X228" s="157">
        <f t="shared" si="84"/>
        <v>44044</v>
      </c>
      <c r="Y228" s="383">
        <f t="shared" si="85"/>
        <v>35.595064994667517</v>
      </c>
      <c r="Z228" s="383">
        <f t="shared" si="86"/>
        <v>35.985348308738018</v>
      </c>
      <c r="AA228" s="384">
        <f t="shared" si="87"/>
        <v>37.25345921709205</v>
      </c>
      <c r="AB228" s="197">
        <f t="shared" si="88"/>
        <v>44044</v>
      </c>
      <c r="AC228" s="424">
        <f>IF(OR(t&lt;Tnet,NoTnet),'2019'!Resal_s+('2019'!Salim-'2019'!Resal_s)*(1-EXP(('2019'!Tnet_s-t)/'2019'!Tau_j)),Resal_s+(Salim-Resal_s)*(1-EXP((Tnet_s-t)/Tau_j)))*Salcycl</f>
        <v>3.4040084733184164E-2</v>
      </c>
      <c r="AD228" s="230">
        <f>(INDEX(Models!$BJ228:$BT228,,AH228)*(1-AF228)+INDEX(Models!$BJ228:$BT228,,AH228+1)*AF228-ERP_i)*AE228*Ramure*Pc/MaxiM</f>
        <v>5.1026297038273677E-4</v>
      </c>
      <c r="AE228" s="304">
        <f t="shared" si="89"/>
        <v>0.7</v>
      </c>
      <c r="AF228" s="177">
        <f t="shared" si="90"/>
        <v>0.55830504114436685</v>
      </c>
      <c r="AG228" s="176">
        <f t="shared" si="91"/>
        <v>-1</v>
      </c>
      <c r="AH228" s="176">
        <f t="shared" si="92"/>
        <v>5</v>
      </c>
      <c r="AI228" s="224">
        <f t="shared" si="93"/>
        <v>-0.44169495885563315</v>
      </c>
      <c r="AJ228" s="264" t="b">
        <f t="shared" si="94"/>
        <v>0</v>
      </c>
      <c r="AK228" s="264" t="b">
        <f t="shared" si="95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6"/>
        <v>44045</v>
      </c>
      <c r="B229" s="607">
        <v>31.611000000000001</v>
      </c>
      <c r="C229" s="388"/>
      <c r="D229" s="391">
        <f t="shared" si="75"/>
        <v>31.958212368293577</v>
      </c>
      <c r="E229" s="383">
        <f t="shared" si="73"/>
        <v>33.085950919008646</v>
      </c>
      <c r="F229" s="383">
        <f t="shared" si="76"/>
        <v>33.092726739370121</v>
      </c>
      <c r="G229" s="110">
        <f t="shared" si="74"/>
        <v>0.58595609872340271</v>
      </c>
      <c r="H229" s="412" t="b">
        <f>Wh_hp&gt;='2019'!Maxi_hp</f>
        <v>0</v>
      </c>
      <c r="I229" s="388">
        <f>IF(H229,Wh_hp,'2019'!Maxi_hp)</f>
        <v>56.877146530332794</v>
      </c>
      <c r="J229" s="85">
        <f>IF(H229,An,'2019'!An_max)</f>
        <v>2018</v>
      </c>
      <c r="K229" s="197">
        <f t="shared" si="77"/>
        <v>44045</v>
      </c>
      <c r="L229" s="147">
        <f>IF(t&lt;Tvie,1-EXP((T0-t)*PertePVj)+'2019'!Pspv,1-EXP((T0-t)*PertePVj)+Pspv)</f>
        <v>1.0864574159913043E-2</v>
      </c>
      <c r="M229" s="832"/>
      <c r="N229" s="832"/>
      <c r="O229" s="48">
        <f>IF(t&lt;Tnet,'2019'!Resal+('2019'!Salim-'2019'!Resal)*(1-EXP(('2019'!Tnet-t)/('2019'!Tau_j))),Resal+(Salim-Resal)*(1-EXP((Tnet-t)/(Tau_j))))*Salcycl</f>
        <v>3.4085118287084055E-2</v>
      </c>
      <c r="P229" s="169">
        <f>(INDEX(Models!$BJ229:$BT229,,T229)*(1-R229)+INDEX(Models!$BJ229:$BT229,,T229+1)*R229-ERP_i)*Q229*Ramure*Pc/MaxiM</f>
        <v>5.0091541220252255E-4</v>
      </c>
      <c r="Q229" s="304">
        <f t="shared" si="78"/>
        <v>0.7</v>
      </c>
      <c r="R229" s="177">
        <f t="shared" si="79"/>
        <v>0.49545320314271302</v>
      </c>
      <c r="S229" s="799">
        <f t="shared" si="80"/>
        <v>-1</v>
      </c>
      <c r="T229" s="176">
        <f t="shared" si="81"/>
        <v>5</v>
      </c>
      <c r="U229" s="250">
        <f t="shared" si="82"/>
        <v>-0.50454679685728698</v>
      </c>
      <c r="V229" s="382">
        <f t="shared" si="83"/>
        <v>53.931747015676613</v>
      </c>
      <c r="W229" s="58"/>
      <c r="X229" s="157">
        <f t="shared" si="84"/>
        <v>44045</v>
      </c>
      <c r="Y229" s="383">
        <f t="shared" si="85"/>
        <v>31.610281530725779</v>
      </c>
      <c r="Z229" s="383">
        <f t="shared" si="86"/>
        <v>31.957486007417753</v>
      </c>
      <c r="AA229" s="384">
        <f t="shared" si="87"/>
        <v>33.08519892637495</v>
      </c>
      <c r="AB229" s="197">
        <f t="shared" si="88"/>
        <v>44045</v>
      </c>
      <c r="AC229" s="424">
        <f>IF(OR(t&lt;Tnet,NoTnet),'2019'!Resal_s+('2019'!Salim-'2019'!Resal_s)*(1-EXP(('2019'!Tnet_s-t)/'2019'!Tau_j)),Resal_s+(Salim-Resal_s)*(1-EXP((Tnet_s-t)/Tau_j)))*Salcycl</f>
        <v>3.4085118287084055E-2</v>
      </c>
      <c r="AD229" s="230">
        <f>(INDEX(Models!$BJ229:$BT229,,AH229)*(1-AF229)+INDEX(Models!$BJ229:$BT229,,AH229+1)*AF229-ERP_i)*AE229*Ramure*Pc/MaxiM</f>
        <v>5.5650789842370634E-4</v>
      </c>
      <c r="AE229" s="304">
        <f t="shared" si="89"/>
        <v>0.7</v>
      </c>
      <c r="AF229" s="177">
        <f t="shared" si="90"/>
        <v>0.55978542540254517</v>
      </c>
      <c r="AG229" s="176">
        <f t="shared" si="91"/>
        <v>-1</v>
      </c>
      <c r="AH229" s="176">
        <f t="shared" si="92"/>
        <v>5</v>
      </c>
      <c r="AI229" s="224">
        <f t="shared" si="93"/>
        <v>-0.44021457459745478</v>
      </c>
      <c r="AJ229" s="264" t="b">
        <f t="shared" si="94"/>
        <v>0</v>
      </c>
      <c r="AK229" s="264" t="b">
        <f t="shared" si="95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6"/>
        <v>44046</v>
      </c>
      <c r="B230" s="607">
        <v>49.326999999999998</v>
      </c>
      <c r="C230" s="388"/>
      <c r="D230" s="391">
        <f t="shared" si="75"/>
        <v>49.869759054402849</v>
      </c>
      <c r="E230" s="383">
        <f t="shared" si="73"/>
        <v>51.631958940286665</v>
      </c>
      <c r="F230" s="383">
        <f t="shared" si="76"/>
        <v>51.656719688788385</v>
      </c>
      <c r="G230" s="110">
        <f t="shared" si="74"/>
        <v>0.91690145363980147</v>
      </c>
      <c r="H230" s="412" t="b">
        <f>Wh_hp&gt;='2019'!Maxi_hp</f>
        <v>0</v>
      </c>
      <c r="I230" s="388">
        <f>IF(H230,Wh_hp,'2019'!Maxi_hp)</f>
        <v>54.940621976631377</v>
      </c>
      <c r="J230" s="85">
        <f>IF(H230,An,'2019'!An_max)</f>
        <v>2018</v>
      </c>
      <c r="K230" s="197">
        <f t="shared" si="77"/>
        <v>44046</v>
      </c>
      <c r="L230" s="147">
        <f>IF(t&lt;Tvie,1-EXP((T0-t)*PertePVj)+'2019'!Pspv,1-EXP((T0-t)*PertePVj)+Pspv)</f>
        <v>1.0883530714691281E-2</v>
      </c>
      <c r="M230" s="832"/>
      <c r="N230" s="832"/>
      <c r="O230" s="48">
        <f>IF(t&lt;Tnet,'2019'!Resal+('2019'!Salim-'2019'!Resal)*(1-EXP(('2019'!Tnet-t)/('2019'!Tau_j))),Resal+(Salim-Resal)*(1-EXP((Tnet-t)/(Tau_j))))*Salcycl</f>
        <v>3.4130021832443569E-2</v>
      </c>
      <c r="P230" s="169">
        <f>(INDEX(Models!$BJ230:$BT230,,T230)*(1-R230)+INDEX(Models!$BJ230:$BT230,,T230+1)*R230-ERP_i)*Q230*Ramure*Pc/MaxiM</f>
        <v>5.4384798833871358E-4</v>
      </c>
      <c r="Q230" s="304">
        <f t="shared" si="78"/>
        <v>0.7</v>
      </c>
      <c r="R230" s="177">
        <f t="shared" si="79"/>
        <v>0.49688548037045455</v>
      </c>
      <c r="S230" s="799">
        <f t="shared" si="80"/>
        <v>-1</v>
      </c>
      <c r="T230" s="176">
        <f t="shared" si="81"/>
        <v>5</v>
      </c>
      <c r="U230" s="250">
        <f t="shared" si="82"/>
        <v>-0.50311451962954545</v>
      </c>
      <c r="V230" s="382">
        <f t="shared" si="83"/>
        <v>53.794021076426326</v>
      </c>
      <c r="W230" s="58"/>
      <c r="X230" s="157">
        <f t="shared" si="84"/>
        <v>44046</v>
      </c>
      <c r="Y230" s="383">
        <f t="shared" si="85"/>
        <v>49.324392580308334</v>
      </c>
      <c r="Z230" s="383">
        <f t="shared" si="86"/>
        <v>49.867122944528397</v>
      </c>
      <c r="AA230" s="384">
        <f t="shared" si="87"/>
        <v>51.629229680723746</v>
      </c>
      <c r="AB230" s="197">
        <f t="shared" si="88"/>
        <v>44046</v>
      </c>
      <c r="AC230" s="424">
        <f>IF(OR(t&lt;Tnet,NoTnet),'2019'!Resal_s+('2019'!Salim-'2019'!Resal_s)*(1-EXP(('2019'!Tnet_s-t)/'2019'!Tau_j)),Resal_s+(Salim-Resal_s)*(1-EXP((Tnet_s-t)/Tau_j)))*Salcycl</f>
        <v>3.4130021832443569E-2</v>
      </c>
      <c r="AD230" s="230">
        <f>(INDEX(Models!$BJ230:$BT230,,AH230)*(1-AF230)+INDEX(Models!$BJ230:$BT230,,AH230+1)*AF230-ERP_i)*AE230*Ramure*Pc/MaxiM</f>
        <v>6.0379376594093626E-4</v>
      </c>
      <c r="AE230" s="304">
        <f t="shared" si="89"/>
        <v>0.7</v>
      </c>
      <c r="AF230" s="177">
        <f t="shared" si="90"/>
        <v>0.5612177026302867</v>
      </c>
      <c r="AG230" s="176">
        <f t="shared" si="91"/>
        <v>-1</v>
      </c>
      <c r="AH230" s="176">
        <f t="shared" si="92"/>
        <v>5</v>
      </c>
      <c r="AI230" s="224">
        <f t="shared" si="93"/>
        <v>-0.4387822973697133</v>
      </c>
      <c r="AJ230" s="264" t="b">
        <f t="shared" si="94"/>
        <v>0</v>
      </c>
      <c r="AK230" s="264" t="b">
        <f t="shared" si="95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6"/>
        <v>44047</v>
      </c>
      <c r="B231" s="607">
        <v>48.404000000000003</v>
      </c>
      <c r="C231" s="388"/>
      <c r="D231" s="391">
        <f t="shared" si="75"/>
        <v>48.937540898870161</v>
      </c>
      <c r="E231" s="383">
        <f t="shared" si="73"/>
        <v>50.669148846482749</v>
      </c>
      <c r="F231" s="383">
        <f t="shared" si="76"/>
        <v>50.694778758105706</v>
      </c>
      <c r="G231" s="110">
        <f t="shared" si="74"/>
        <v>0.90204181483944723</v>
      </c>
      <c r="H231" s="412" t="b">
        <f>Wh_hp&gt;='2019'!Maxi_hp</f>
        <v>0</v>
      </c>
      <c r="I231" s="388">
        <f>IF(H231,Wh_hp,'2019'!Maxi_hp)</f>
        <v>53.590627988169963</v>
      </c>
      <c r="J231" s="85">
        <f>IF(H231,An,'2019'!An_max)</f>
        <v>2018</v>
      </c>
      <c r="K231" s="197">
        <f t="shared" si="77"/>
        <v>44047</v>
      </c>
      <c r="L231" s="147">
        <f>IF(t&lt;Tvie,1-EXP((T0-t)*PertePVj)+'2019'!Pspv,1-EXP((T0-t)*PertePVj)+Pspv)</f>
        <v>1.0902486906171349E-2</v>
      </c>
      <c r="M231" s="832"/>
      <c r="N231" s="832"/>
      <c r="O231" s="48">
        <f>IF(t&lt;Tnet,'2019'!Resal+('2019'!Salim-'2019'!Resal)*(1-EXP(('2019'!Tnet-t)/('2019'!Tau_j))),Resal+(Salim-Resal)*(1-EXP((Tnet-t)/(Tau_j))))*Salcycl</f>
        <v>3.4174798413508248E-2</v>
      </c>
      <c r="P231" s="169">
        <f>(INDEX(Models!$BJ231:$BT231,,T231)*(1-R231)+INDEX(Models!$BJ231:$BT231,,T231+1)*R231-ERP_i)*Q231*Ramure*Pc/MaxiM</f>
        <v>5.8776233368276678E-4</v>
      </c>
      <c r="Q231" s="304">
        <f t="shared" si="78"/>
        <v>0.7</v>
      </c>
      <c r="R231" s="177">
        <f t="shared" si="79"/>
        <v>0.49827080674936841</v>
      </c>
      <c r="S231" s="799">
        <f t="shared" si="80"/>
        <v>-1</v>
      </c>
      <c r="T231" s="176">
        <f t="shared" si="81"/>
        <v>5</v>
      </c>
      <c r="U231" s="250">
        <f t="shared" si="82"/>
        <v>-0.50172919325063159</v>
      </c>
      <c r="V231" s="382">
        <f t="shared" si="83"/>
        <v>53.656071037021107</v>
      </c>
      <c r="W231" s="58"/>
      <c r="X231" s="157">
        <f t="shared" si="84"/>
        <v>44047</v>
      </c>
      <c r="Y231" s="383">
        <f t="shared" si="85"/>
        <v>48.401319007210475</v>
      </c>
      <c r="Z231" s="383">
        <f t="shared" si="86"/>
        <v>48.934830354405094</v>
      </c>
      <c r="AA231" s="384">
        <f t="shared" si="87"/>
        <v>50.666342392001532</v>
      </c>
      <c r="AB231" s="197">
        <f t="shared" si="88"/>
        <v>44047</v>
      </c>
      <c r="AC231" s="424">
        <f>IF(OR(t&lt;Tnet,NoTnet),'2019'!Resal_s+('2019'!Salim-'2019'!Resal_s)*(1-EXP(('2019'!Tnet_s-t)/'2019'!Tau_j)),Resal_s+(Salim-Resal_s)*(1-EXP((Tnet_s-t)/Tau_j)))*Salcycl</f>
        <v>3.4174798413508248E-2</v>
      </c>
      <c r="AD231" s="230">
        <f>(INDEX(Models!$BJ231:$BT231,,AH231)*(1-AF231)+INDEX(Models!$BJ231:$BT231,,AH231+1)*AF231-ERP_i)*AE231*Ramure*Pc/MaxiM</f>
        <v>6.5212183126986531E-4</v>
      </c>
      <c r="AE231" s="304">
        <f t="shared" si="89"/>
        <v>0.7</v>
      </c>
      <c r="AF231" s="177">
        <f t="shared" si="90"/>
        <v>0.56260302900920056</v>
      </c>
      <c r="AG231" s="176">
        <f t="shared" si="91"/>
        <v>-1</v>
      </c>
      <c r="AH231" s="176">
        <f t="shared" si="92"/>
        <v>5</v>
      </c>
      <c r="AI231" s="224">
        <f t="shared" si="93"/>
        <v>-0.43739697099079944</v>
      </c>
      <c r="AJ231" s="264" t="b">
        <f t="shared" si="94"/>
        <v>0</v>
      </c>
      <c r="AK231" s="264" t="b">
        <f t="shared" si="95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6"/>
        <v>44048</v>
      </c>
      <c r="B232" s="607">
        <v>54.075000000000003</v>
      </c>
      <c r="C232" s="388"/>
      <c r="D232" s="391">
        <f t="shared" si="75"/>
        <v>54.672098189544435</v>
      </c>
      <c r="E232" s="383">
        <f t="shared" si="73"/>
        <v>56.609235100037182</v>
      </c>
      <c r="F232" s="383">
        <f t="shared" si="76"/>
        <v>56.645072121276598</v>
      </c>
      <c r="G232" s="110">
        <f t="shared" si="74"/>
        <v>1.0104076965542073</v>
      </c>
      <c r="H232" s="412" t="b">
        <f>Wh_hp&gt;='2019'!Maxi_hp</f>
        <v>1</v>
      </c>
      <c r="I232" s="388">
        <f>IF(H232,Wh_hp,'2019'!Maxi_hp)</f>
        <v>56.645072121276598</v>
      </c>
      <c r="J232" s="85">
        <f>IF(H232,An,'2019'!An_max)</f>
        <v>2020</v>
      </c>
      <c r="K232" s="197">
        <f t="shared" si="77"/>
        <v>44048</v>
      </c>
      <c r="L232" s="147">
        <f>IF(t&lt;Tvie,1-EXP((T0-t)*PertePVj)+'2019'!Pspv,1-EXP((T0-t)*PertePVj)+Pspv)</f>
        <v>1.0921442734360354E-2</v>
      </c>
      <c r="M232" s="832"/>
      <c r="N232" s="832"/>
      <c r="O232" s="48">
        <f>IF(t&lt;Tnet,'2019'!Resal+('2019'!Salim-'2019'!Resal)*(1-EXP(('2019'!Tnet-t)/('2019'!Tau_j))),Resal+(Salim-Resal)*(1-EXP((Tnet-t)/(Tau_j))))*Salcycl</f>
        <v>3.4219450361226839E-2</v>
      </c>
      <c r="P232" s="169">
        <f>(INDEX(Models!$BJ232:$BT232,,T232)*(1-R232)+INDEX(Models!$BJ232:$BT232,,T232+1)*R232-ERP_i)*Q232*Ramure*Pc/MaxiM</f>
        <v>6.3265911574254265E-4</v>
      </c>
      <c r="Q232" s="304">
        <f t="shared" si="78"/>
        <v>0.7</v>
      </c>
      <c r="R232" s="177">
        <f t="shared" si="79"/>
        <v>0.49961034059699361</v>
      </c>
      <c r="S232" s="799">
        <f t="shared" si="80"/>
        <v>-1</v>
      </c>
      <c r="T232" s="176">
        <f t="shared" si="81"/>
        <v>5</v>
      </c>
      <c r="U232" s="250">
        <f t="shared" si="82"/>
        <v>-0.50038965940300639</v>
      </c>
      <c r="V232" s="382">
        <f t="shared" si="83"/>
        <v>53.51800088658463</v>
      </c>
      <c r="W232" s="58"/>
      <c r="X232" s="157">
        <f t="shared" si="84"/>
        <v>44048</v>
      </c>
      <c r="Y232" s="383">
        <f t="shared" si="85"/>
        <v>54.071275445189649</v>
      </c>
      <c r="Z232" s="383">
        <f t="shared" si="86"/>
        <v>54.668332508059393</v>
      </c>
      <c r="AA232" s="384">
        <f t="shared" si="87"/>
        <v>56.60533599326137</v>
      </c>
      <c r="AB232" s="197">
        <f t="shared" si="88"/>
        <v>44048</v>
      </c>
      <c r="AC232" s="424">
        <f>IF(OR(t&lt;Tnet,NoTnet),'2019'!Resal_s+('2019'!Salim-'2019'!Resal_s)*(1-EXP(('2019'!Tnet_s-t)/'2019'!Tau_j)),Resal_s+(Salim-Resal_s)*(1-EXP((Tnet_s-t)/Tau_j)))*Salcycl</f>
        <v>3.4219450361226839E-2</v>
      </c>
      <c r="AD232" s="230">
        <f>(INDEX(Models!$BJ232:$BT232,,AH232)*(1-AF232)+INDEX(Models!$BJ232:$BT232,,AH232+1)*AF232-ERP_i)*AE232*Ramure*Pc/MaxiM</f>
        <v>7.0149311364898451E-4</v>
      </c>
      <c r="AE232" s="304">
        <f t="shared" si="89"/>
        <v>0.7</v>
      </c>
      <c r="AF232" s="177">
        <f t="shared" si="90"/>
        <v>0.56394256285682576</v>
      </c>
      <c r="AG232" s="176">
        <f t="shared" si="91"/>
        <v>-1</v>
      </c>
      <c r="AH232" s="176">
        <f t="shared" si="92"/>
        <v>5</v>
      </c>
      <c r="AI232" s="224">
        <f t="shared" si="93"/>
        <v>-0.43605743714317424</v>
      </c>
      <c r="AJ232" s="264" t="b">
        <f t="shared" si="94"/>
        <v>0</v>
      </c>
      <c r="AK232" s="264" t="b">
        <f t="shared" si="95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6"/>
        <v>44049</v>
      </c>
      <c r="B233" s="607">
        <v>52.835000000000001</v>
      </c>
      <c r="C233" s="388"/>
      <c r="D233" s="391">
        <f t="shared" si="75"/>
        <v>53.419429833961246</v>
      </c>
      <c r="E233" s="383">
        <f t="shared" ref="E233:E296" si="97">Wh_pvt/(1-Psa)</f>
        <v>55.314732691089588</v>
      </c>
      <c r="F233" s="383">
        <f t="shared" si="76"/>
        <v>55.351742573370771</v>
      </c>
      <c r="G233" s="110">
        <f t="shared" ref="G233:G296" si="98">+Wh_hp/MaxiM</f>
        <v>0.98977425980853706</v>
      </c>
      <c r="H233" s="412" t="b">
        <f>Wh_hp&gt;='2019'!Maxi_hp</f>
        <v>1</v>
      </c>
      <c r="I233" s="388">
        <f>IF(H233,Wh_hp,'2019'!Maxi_hp)</f>
        <v>55.351742573370771</v>
      </c>
      <c r="J233" s="85">
        <f>IF(H233,An,'2019'!An_max)</f>
        <v>2020</v>
      </c>
      <c r="K233" s="197">
        <f t="shared" si="77"/>
        <v>44049</v>
      </c>
      <c r="L233" s="147">
        <f>IF(t&lt;Tvie,1-EXP((T0-t)*PertePVj)+'2019'!Pspv,1-EXP((T0-t)*PertePVj)+Pspv)</f>
        <v>1.0940398199265289E-2</v>
      </c>
      <c r="M233" s="832"/>
      <c r="N233" s="832"/>
      <c r="O233" s="48">
        <f>IF(t&lt;Tnet,'2019'!Resal+('2019'!Salim-'2019'!Resal)*(1-EXP(('2019'!Tnet-t)/('2019'!Tau_j))),Resal+(Salim-Resal)*(1-EXP((Tnet-t)/(Tau_j))))*Salcycl</f>
        <v>3.4263979321979998E-2</v>
      </c>
      <c r="P233" s="169">
        <f>(INDEX(Models!$BJ233:$BT233,,T233)*(1-R233)+INDEX(Models!$BJ233:$BT233,,T233+1)*R233-ERP_i)*Q233*Ramure*Pc/MaxiM</f>
        <v>6.7853348852116638E-4</v>
      </c>
      <c r="Q233" s="304">
        <f t="shared" si="78"/>
        <v>0.7</v>
      </c>
      <c r="R233" s="177">
        <f t="shared" si="79"/>
        <v>0.50090523970064449</v>
      </c>
      <c r="S233" s="799">
        <f t="shared" si="80"/>
        <v>-1</v>
      </c>
      <c r="T233" s="176">
        <f t="shared" si="81"/>
        <v>5</v>
      </c>
      <c r="U233" s="250">
        <f t="shared" si="82"/>
        <v>-0.49909476029935551</v>
      </c>
      <c r="V233" s="382">
        <f t="shared" si="83"/>
        <v>53.380329827795194</v>
      </c>
      <c r="W233" s="58"/>
      <c r="X233" s="157">
        <f t="shared" si="84"/>
        <v>44049</v>
      </c>
      <c r="Y233" s="383">
        <f t="shared" si="85"/>
        <v>52.831177565515283</v>
      </c>
      <c r="Z233" s="383">
        <f t="shared" si="86"/>
        <v>53.415565117944382</v>
      </c>
      <c r="AA233" s="384">
        <f t="shared" si="87"/>
        <v>55.310730856287833</v>
      </c>
      <c r="AB233" s="197">
        <f t="shared" si="88"/>
        <v>44049</v>
      </c>
      <c r="AC233" s="424">
        <f>IF(OR(t&lt;Tnet,NoTnet),'2019'!Resal_s+('2019'!Salim-'2019'!Resal_s)*(1-EXP(('2019'!Tnet_s-t)/'2019'!Tau_j)),Resal_s+(Salim-Resal_s)*(1-EXP((Tnet_s-t)/Tau_j)))*Salcycl</f>
        <v>3.4263979321979998E-2</v>
      </c>
      <c r="AD233" s="230">
        <f>(INDEX(Models!$BJ233:$BT233,,AH233)*(1-AF233)+INDEX(Models!$BJ233:$BT233,,AH233+1)*AF233-ERP_i)*AE233*Ramure*Pc/MaxiM</f>
        <v>7.5190251217509708E-4</v>
      </c>
      <c r="AE233" s="304">
        <f t="shared" si="89"/>
        <v>0.7</v>
      </c>
      <c r="AF233" s="177">
        <f t="shared" si="90"/>
        <v>0.56523746196047664</v>
      </c>
      <c r="AG233" s="176">
        <f t="shared" si="91"/>
        <v>-1</v>
      </c>
      <c r="AH233" s="176">
        <f t="shared" si="92"/>
        <v>5</v>
      </c>
      <c r="AI233" s="224">
        <f t="shared" si="93"/>
        <v>-0.43476253803952336</v>
      </c>
      <c r="AJ233" s="264" t="b">
        <f t="shared" si="94"/>
        <v>0</v>
      </c>
      <c r="AK233" s="264" t="b">
        <f t="shared" si="95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6"/>
        <v>44050</v>
      </c>
      <c r="B234" s="607">
        <v>51.881999999999998</v>
      </c>
      <c r="C234" s="388"/>
      <c r="D234" s="391">
        <f t="shared" si="75"/>
        <v>52.456893630362508</v>
      </c>
      <c r="E234" s="383">
        <f t="shared" si="97"/>
        <v>54.320543831567939</v>
      </c>
      <c r="F234" s="383">
        <f t="shared" si="76"/>
        <v>54.358388066695056</v>
      </c>
      <c r="G234" s="110">
        <f t="shared" si="98"/>
        <v>0.974404002996763</v>
      </c>
      <c r="H234" s="412" t="b">
        <f>Wh_hp&gt;='2019'!Maxi_hp</f>
        <v>1</v>
      </c>
      <c r="I234" s="388">
        <f>IF(H234,Wh_hp,'2019'!Maxi_hp)</f>
        <v>54.358388066695056</v>
      </c>
      <c r="J234" s="85">
        <f>IF(H234,An,'2019'!An_max)</f>
        <v>2020</v>
      </c>
      <c r="K234" s="197">
        <f t="shared" si="77"/>
        <v>44050</v>
      </c>
      <c r="L234" s="147">
        <f>IF(t&lt;Tvie,1-EXP((T0-t)*PertePVj)+'2019'!Pspv,1-EXP((T0-t)*PertePVj)+Pspv)</f>
        <v>1.0959353300893038E-2</v>
      </c>
      <c r="M234" s="832"/>
      <c r="N234" s="832"/>
      <c r="O234" s="48">
        <f>IF(t&lt;Tnet,'2019'!Resal+('2019'!Salim-'2019'!Resal)*(1-EXP(('2019'!Tnet-t)/('2019'!Tau_j))),Resal+(Salim-Resal)*(1-EXP((Tnet-t)/(Tau_j))))*Salcycl</f>
        <v>3.4308386289063415E-2</v>
      </c>
      <c r="P234" s="169">
        <f>(INDEX(Models!$BJ234:$BT234,,T234)*(1-R234)+INDEX(Models!$BJ234:$BT234,,T234+1)*R234-ERP_i)*Q234*Ramure*Pc/MaxiM</f>
        <v>7.2259422845440905E-4</v>
      </c>
      <c r="Q234" s="304">
        <f t="shared" si="78"/>
        <v>0.7</v>
      </c>
      <c r="R234" s="177">
        <f t="shared" si="79"/>
        <v>0.50215665884698168</v>
      </c>
      <c r="S234" s="799">
        <f t="shared" si="80"/>
        <v>-1</v>
      </c>
      <c r="T234" s="176">
        <f t="shared" si="81"/>
        <v>5</v>
      </c>
      <c r="U234" s="250">
        <f t="shared" si="82"/>
        <v>-0.49784334115301832</v>
      </c>
      <c r="V234" s="382">
        <f t="shared" si="83"/>
        <v>53.243448743805395</v>
      </c>
      <c r="W234" s="58"/>
      <c r="X234" s="157">
        <f t="shared" si="84"/>
        <v>44050</v>
      </c>
      <c r="Y234" s="383">
        <f t="shared" si="85"/>
        <v>51.878116385450646</v>
      </c>
      <c r="Z234" s="383">
        <f t="shared" si="86"/>
        <v>52.452966982289638</v>
      </c>
      <c r="AA234" s="384">
        <f t="shared" si="87"/>
        <v>54.316477680410451</v>
      </c>
      <c r="AB234" s="197">
        <f t="shared" si="88"/>
        <v>44050</v>
      </c>
      <c r="AC234" s="424">
        <f>IF(OR(t&lt;Tnet,NoTnet),'2019'!Resal_s+('2019'!Salim-'2019'!Resal_s)*(1-EXP(('2019'!Tnet_s-t)/'2019'!Tau_j)),Resal_s+(Salim-Resal_s)*(1-EXP((Tnet_s-t)/Tau_j)))*Salcycl</f>
        <v>3.4308386289063415E-2</v>
      </c>
      <c r="AD234" s="230">
        <f>(INDEX(Models!$BJ234:$BT234,,AH234)*(1-AF234)+INDEX(Models!$BJ234:$BT234,,AH234+1)*AF234-ERP_i)*AE234*Ramure*Pc/MaxiM</f>
        <v>8.0023293217137362E-4</v>
      </c>
      <c r="AE234" s="304">
        <f t="shared" si="89"/>
        <v>0.7</v>
      </c>
      <c r="AF234" s="177">
        <f t="shared" si="90"/>
        <v>0.56648888110681384</v>
      </c>
      <c r="AG234" s="176">
        <f t="shared" si="91"/>
        <v>-1</v>
      </c>
      <c r="AH234" s="176">
        <f t="shared" si="92"/>
        <v>5</v>
      </c>
      <c r="AI234" s="224">
        <f t="shared" si="93"/>
        <v>-0.43351111889318616</v>
      </c>
      <c r="AJ234" s="264" t="b">
        <f t="shared" si="94"/>
        <v>0</v>
      </c>
      <c r="AK234" s="264" t="b">
        <f t="shared" si="95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6"/>
        <v>44051</v>
      </c>
      <c r="B235" s="607">
        <v>49.68</v>
      </c>
      <c r="C235" s="388"/>
      <c r="D235" s="391">
        <f t="shared" si="75"/>
        <v>50.231456401637359</v>
      </c>
      <c r="E235" s="383">
        <f t="shared" si="97"/>
        <v>52.01842839120004</v>
      </c>
      <c r="F235" s="383">
        <f t="shared" si="76"/>
        <v>52.054504078730318</v>
      </c>
      <c r="G235" s="110">
        <f t="shared" si="98"/>
        <v>0.93540188166575078</v>
      </c>
      <c r="H235" s="412" t="b">
        <f>Wh_hp&gt;='2019'!Maxi_hp</f>
        <v>0</v>
      </c>
      <c r="I235" s="388">
        <f>IF(H235,Wh_hp,'2019'!Maxi_hp)</f>
        <v>54.928479355291955</v>
      </c>
      <c r="J235" s="85">
        <f>IF(H235,An,'2019'!An_max)</f>
        <v>2018</v>
      </c>
      <c r="K235" s="197">
        <f t="shared" si="77"/>
        <v>44051</v>
      </c>
      <c r="L235" s="147">
        <f>IF(t&lt;Tvie,1-EXP((T0-t)*PertePVj)+'2019'!Pspv,1-EXP((T0-t)*PertePVj)+Pspv)</f>
        <v>1.0978308039250595E-2</v>
      </c>
      <c r="M235" s="832"/>
      <c r="N235" s="832"/>
      <c r="O235" s="48">
        <f>IF(t&lt;Tnet,'2019'!Resal+('2019'!Salim-'2019'!Resal)*(1-EXP(('2019'!Tnet-t)/('2019'!Tau_j))),Resal+(Salim-Resal)*(1-EXP((Tnet-t)/(Tau_j))))*Salcycl</f>
        <v>3.4352671636365371E-2</v>
      </c>
      <c r="P235" s="169">
        <f>(INDEX(Models!$BJ235:$BT235,,T235)*(1-R235)+INDEX(Models!$BJ235:$BT235,,T235+1)*R235-ERP_i)*Q235*Ramure*Pc/MaxiM</f>
        <v>7.6341522808038263E-4</v>
      </c>
      <c r="Q235" s="304">
        <f t="shared" si="78"/>
        <v>0.7</v>
      </c>
      <c r="R235" s="177">
        <f t="shared" si="79"/>
        <v>0.50336574754188435</v>
      </c>
      <c r="S235" s="799">
        <f t="shared" si="80"/>
        <v>-1</v>
      </c>
      <c r="T235" s="176">
        <f t="shared" si="81"/>
        <v>5</v>
      </c>
      <c r="U235" s="250">
        <f t="shared" si="82"/>
        <v>-0.49663425245811565</v>
      </c>
      <c r="V235" s="382">
        <f t="shared" si="83"/>
        <v>53.107121280305975</v>
      </c>
      <c r="W235" s="58"/>
      <c r="X235" s="157">
        <f t="shared" si="84"/>
        <v>44051</v>
      </c>
      <c r="Y235" s="383">
        <f t="shared" si="85"/>
        <v>49.676321524098817</v>
      </c>
      <c r="Z235" s="383">
        <f t="shared" si="86"/>
        <v>50.227737094031589</v>
      </c>
      <c r="AA235" s="384">
        <f t="shared" si="87"/>
        <v>52.014576770120037</v>
      </c>
      <c r="AB235" s="197">
        <f t="shared" si="88"/>
        <v>44051</v>
      </c>
      <c r="AC235" s="424">
        <f>IF(OR(t&lt;Tnet,NoTnet),'2019'!Resal_s+('2019'!Salim-'2019'!Resal_s)*(1-EXP(('2019'!Tnet_s-t)/'2019'!Tau_j)),Resal_s+(Salim-Resal_s)*(1-EXP((Tnet_s-t)/Tau_j)))*Salcycl</f>
        <v>3.4352671636365371E-2</v>
      </c>
      <c r="AD235" s="230">
        <f>(INDEX(Models!$BJ235:$BT235,,AH235)*(1-AF235)+INDEX(Models!$BJ235:$BT235,,AH235+1)*AF235-ERP_i)*AE235*Ramure*Pc/MaxiM</f>
        <v>8.4492126127240703E-4</v>
      </c>
      <c r="AE235" s="304">
        <f t="shared" si="89"/>
        <v>0.7</v>
      </c>
      <c r="AF235" s="177">
        <f t="shared" si="90"/>
        <v>0.5676979698017165</v>
      </c>
      <c r="AG235" s="176">
        <f t="shared" si="91"/>
        <v>-1</v>
      </c>
      <c r="AH235" s="176">
        <f t="shared" si="92"/>
        <v>5</v>
      </c>
      <c r="AI235" s="224">
        <f t="shared" si="93"/>
        <v>-0.4323020301982835</v>
      </c>
      <c r="AJ235" s="264" t="b">
        <f t="shared" si="94"/>
        <v>0</v>
      </c>
      <c r="AK235" s="264" t="b">
        <f t="shared" si="95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6"/>
        <v>44052</v>
      </c>
      <c r="B236" s="607">
        <v>42.253</v>
      </c>
      <c r="C236" s="388"/>
      <c r="D236" s="391">
        <f t="shared" si="75"/>
        <v>42.722834218990798</v>
      </c>
      <c r="E236" s="383">
        <f t="shared" si="97"/>
        <v>44.244712294195857</v>
      </c>
      <c r="F236" s="383">
        <f t="shared" si="76"/>
        <v>44.269920970390679</v>
      </c>
      <c r="G236" s="110">
        <f t="shared" si="98"/>
        <v>0.79747753070094707</v>
      </c>
      <c r="H236" s="412" t="b">
        <f>Wh_hp&gt;='2019'!Maxi_hp</f>
        <v>1</v>
      </c>
      <c r="I236" s="388">
        <f>IF(H236,Wh_hp,'2019'!Maxi_hp)</f>
        <v>44.269920970390679</v>
      </c>
      <c r="J236" s="85">
        <f>IF(H236,An,'2019'!An_max)</f>
        <v>2020</v>
      </c>
      <c r="K236" s="197">
        <f t="shared" si="77"/>
        <v>44052</v>
      </c>
      <c r="L236" s="147">
        <f>IF(t&lt;Tvie,1-EXP((T0-t)*PertePVj)+'2019'!Pspv,1-EXP((T0-t)*PertePVj)+Pspv)</f>
        <v>1.0997262414344955E-2</v>
      </c>
      <c r="M236" s="832"/>
      <c r="N236" s="832"/>
      <c r="O236" s="48">
        <f>IF(t&lt;Tnet,'2019'!Resal+('2019'!Salim-'2019'!Resal)*(1-EXP(('2019'!Tnet-t)/('2019'!Tau_j))),Resal+(Salim-Resal)*(1-EXP((Tnet-t)/(Tau_j))))*Salcycl</f>
        <v>3.4396835153671139E-2</v>
      </c>
      <c r="P236" s="169">
        <f>(INDEX(Models!$BJ236:$BT236,,T236)*(1-R236)+INDEX(Models!$BJ236:$BT236,,T236+1)*R236-ERP_i)*Q236*Ramure*Pc/MaxiM</f>
        <v>8.0094848331838499E-4</v>
      </c>
      <c r="Q236" s="304">
        <f t="shared" si="78"/>
        <v>0.7</v>
      </c>
      <c r="R236" s="177">
        <f t="shared" si="79"/>
        <v>0.50453364791460209</v>
      </c>
      <c r="S236" s="799">
        <f t="shared" si="80"/>
        <v>-1</v>
      </c>
      <c r="T236" s="176">
        <f t="shared" si="81"/>
        <v>5</v>
      </c>
      <c r="U236" s="250">
        <f t="shared" si="82"/>
        <v>-0.49546635208539791</v>
      </c>
      <c r="V236" s="382">
        <f t="shared" si="83"/>
        <v>52.971037430309948</v>
      </c>
      <c r="W236" s="58"/>
      <c r="X236" s="157">
        <f t="shared" si="84"/>
        <v>44052</v>
      </c>
      <c r="Y236" s="383">
        <f t="shared" si="85"/>
        <v>42.250446120318834</v>
      </c>
      <c r="Z236" s="383">
        <f t="shared" si="86"/>
        <v>42.720251941324513</v>
      </c>
      <c r="AA236" s="384">
        <f t="shared" si="87"/>
        <v>44.242038030315733</v>
      </c>
      <c r="AB236" s="197">
        <f t="shared" si="88"/>
        <v>44052</v>
      </c>
      <c r="AC236" s="424">
        <f>IF(OR(t&lt;Tnet,NoTnet),'2019'!Resal_s+('2019'!Salim-'2019'!Resal_s)*(1-EXP(('2019'!Tnet_s-t)/'2019'!Tau_j)),Resal_s+(Salim-Resal_s)*(1-EXP((Tnet_s-t)/Tau_j)))*Salcycl</f>
        <v>3.4396835153671139E-2</v>
      </c>
      <c r="AD236" s="230">
        <f>(INDEX(Models!$BJ236:$BT236,,AH236)*(1-AF236)+INDEX(Models!$BJ236:$BT236,,AH236+1)*AF236-ERP_i)*AE236*Ramure*Pc/MaxiM</f>
        <v>8.859171497499149E-4</v>
      </c>
      <c r="AE236" s="304">
        <f t="shared" si="89"/>
        <v>0.7</v>
      </c>
      <c r="AF236" s="177">
        <f t="shared" si="90"/>
        <v>0.56886587017443424</v>
      </c>
      <c r="AG236" s="176">
        <f t="shared" si="91"/>
        <v>-1</v>
      </c>
      <c r="AH236" s="176">
        <f t="shared" si="92"/>
        <v>5</v>
      </c>
      <c r="AI236" s="224">
        <f t="shared" si="93"/>
        <v>-0.43113412982556576</v>
      </c>
      <c r="AJ236" s="264" t="b">
        <f t="shared" si="94"/>
        <v>0</v>
      </c>
      <c r="AK236" s="264" t="b">
        <f t="shared" si="95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6"/>
        <v>44053</v>
      </c>
      <c r="B237" s="607">
        <v>41.481999999999999</v>
      </c>
      <c r="C237" s="388"/>
      <c r="D237" s="391">
        <f t="shared" si="75"/>
        <v>41.944064896695863</v>
      </c>
      <c r="E237" s="383">
        <f t="shared" si="97"/>
        <v>43.440182851301472</v>
      </c>
      <c r="F237" s="383">
        <f t="shared" si="76"/>
        <v>43.465340058122884</v>
      </c>
      <c r="G237" s="110">
        <f t="shared" si="98"/>
        <v>0.78492378220711967</v>
      </c>
      <c r="H237" s="412" t="b">
        <f>Wh_hp&gt;='2019'!Maxi_hp</f>
        <v>1</v>
      </c>
      <c r="I237" s="388">
        <f>IF(H237,Wh_hp,'2019'!Maxi_hp)</f>
        <v>43.465340058122884</v>
      </c>
      <c r="J237" s="85">
        <f>IF(H237,An,'2019'!An_max)</f>
        <v>2020</v>
      </c>
      <c r="K237" s="197">
        <f t="shared" si="77"/>
        <v>44053</v>
      </c>
      <c r="L237" s="147">
        <f>IF(t&lt;Tvie,1-EXP((T0-t)*PertePVj)+'2019'!Pspv,1-EXP((T0-t)*PertePVj)+Pspv)</f>
        <v>1.1016216426183001E-2</v>
      </c>
      <c r="M237" s="832"/>
      <c r="N237" s="832"/>
      <c r="O237" s="48">
        <f>IF(t&lt;Tnet,'2019'!Resal+('2019'!Salim-'2019'!Resal)*(1-EXP(('2019'!Tnet-t)/('2019'!Tau_j))),Resal+(Salim-Resal)*(1-EXP((Tnet-t)/(Tau_j))))*Salcycl</f>
        <v>3.4440876083024735E-2</v>
      </c>
      <c r="P237" s="169">
        <f>(INDEX(Models!$BJ237:$BT237,,T237)*(1-R237)+INDEX(Models!$BJ237:$BT237,,T237+1)*R237-ERP_i)*Q237*Ramure*Pc/MaxiM</f>
        <v>8.3514823398209126E-4</v>
      </c>
      <c r="Q237" s="304">
        <f t="shared" si="78"/>
        <v>0.7</v>
      </c>
      <c r="R237" s="177">
        <f t="shared" si="79"/>
        <v>0.50566149279967609</v>
      </c>
      <c r="S237" s="799">
        <f t="shared" si="80"/>
        <v>-1</v>
      </c>
      <c r="T237" s="176">
        <f t="shared" si="81"/>
        <v>5</v>
      </c>
      <c r="U237" s="250">
        <f t="shared" si="82"/>
        <v>-0.49433850720032391</v>
      </c>
      <c r="V237" s="382">
        <f t="shared" si="83"/>
        <v>52.834887203472192</v>
      </c>
      <c r="W237" s="58"/>
      <c r="X237" s="157">
        <f t="shared" si="84"/>
        <v>44053</v>
      </c>
      <c r="Y237" s="383">
        <f t="shared" si="85"/>
        <v>41.479467965973271</v>
      </c>
      <c r="Z237" s="383">
        <f t="shared" si="86"/>
        <v>41.941504658531414</v>
      </c>
      <c r="AA237" s="384">
        <f t="shared" si="87"/>
        <v>43.437531291080006</v>
      </c>
      <c r="AB237" s="197">
        <f t="shared" si="88"/>
        <v>44053</v>
      </c>
      <c r="AC237" s="424">
        <f>IF(OR(t&lt;Tnet,NoTnet),'2019'!Resal_s+('2019'!Salim-'2019'!Resal_s)*(1-EXP(('2019'!Tnet_s-t)/'2019'!Tau_j)),Resal_s+(Salim-Resal_s)*(1-EXP((Tnet_s-t)/Tau_j)))*Salcycl</f>
        <v>3.4440876083024735E-2</v>
      </c>
      <c r="AD237" s="230">
        <f>(INDEX(Models!$BJ237:$BT237,,AH237)*(1-AF237)+INDEX(Models!$BJ237:$BT237,,AH237+1)*AF237-ERP_i)*AE237*Ramure*Pc/MaxiM</f>
        <v>9.2317254653685884E-4</v>
      </c>
      <c r="AE237" s="304">
        <f t="shared" si="89"/>
        <v>0.7</v>
      </c>
      <c r="AF237" s="177">
        <f t="shared" si="90"/>
        <v>0.56999371505950824</v>
      </c>
      <c r="AG237" s="176">
        <f t="shared" si="91"/>
        <v>-1</v>
      </c>
      <c r="AH237" s="176">
        <f t="shared" si="92"/>
        <v>5</v>
      </c>
      <c r="AI237" s="224">
        <f t="shared" si="93"/>
        <v>-0.43000628494049176</v>
      </c>
      <c r="AJ237" s="264" t="b">
        <f t="shared" si="94"/>
        <v>0</v>
      </c>
      <c r="AK237" s="264" t="b">
        <f t="shared" si="95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6"/>
        <v>44054</v>
      </c>
      <c r="B238" s="607">
        <v>45.851999999999997</v>
      </c>
      <c r="C238" s="388"/>
      <c r="D238" s="391">
        <f t="shared" si="75"/>
        <v>46.363630548385309</v>
      </c>
      <c r="E238" s="383">
        <f t="shared" si="97"/>
        <v>48.019575683240824</v>
      </c>
      <c r="F238" s="383">
        <f t="shared" si="76"/>
        <v>48.053465461484848</v>
      </c>
      <c r="G238" s="110">
        <f t="shared" si="98"/>
        <v>0.86994405434254318</v>
      </c>
      <c r="H238" s="412" t="b">
        <f>Wh_hp&gt;='2019'!Maxi_hp</f>
        <v>1</v>
      </c>
      <c r="I238" s="388">
        <f>IF(H238,Wh_hp,'2019'!Maxi_hp)</f>
        <v>48.053465461484848</v>
      </c>
      <c r="J238" s="85">
        <f>IF(H238,An,'2019'!An_max)</f>
        <v>2020</v>
      </c>
      <c r="K238" s="197">
        <f t="shared" si="77"/>
        <v>44054</v>
      </c>
      <c r="L238" s="147">
        <f>IF(t&lt;Tvie,1-EXP((T0-t)*PertePVj)+'2019'!Pspv,1-EXP((T0-t)*PertePVj)+Pspv)</f>
        <v>1.1035170074771727E-2</v>
      </c>
      <c r="M238" s="832"/>
      <c r="N238" s="832"/>
      <c r="O238" s="48">
        <f>IF(t&lt;Tnet,'2019'!Resal+('2019'!Salim-'2019'!Resal)*(1-EXP(('2019'!Tnet-t)/('2019'!Tau_j))),Resal+(Salim-Resal)*(1-EXP((Tnet-t)/(Tau_j))))*Salcycl</f>
        <v>3.4484793155584809E-2</v>
      </c>
      <c r="P238" s="169">
        <f>(INDEX(Models!$BJ238:$BT238,,T238)*(1-R238)+INDEX(Models!$BJ238:$BT238,,T238+1)*R238-ERP_i)*Q238*Ramure*Pc/MaxiM</f>
        <v>8.6597071933575045E-4</v>
      </c>
      <c r="Q238" s="304">
        <f t="shared" si="78"/>
        <v>0.7</v>
      </c>
      <c r="R238" s="177">
        <f t="shared" si="79"/>
        <v>0.50675040398972893</v>
      </c>
      <c r="S238" s="799">
        <f t="shared" si="80"/>
        <v>-1</v>
      </c>
      <c r="T238" s="176">
        <f t="shared" si="81"/>
        <v>5</v>
      </c>
      <c r="U238" s="250">
        <f t="shared" si="82"/>
        <v>-0.49324959601027107</v>
      </c>
      <c r="V238" s="382">
        <f t="shared" si="83"/>
        <v>52.698360627096726</v>
      </c>
      <c r="W238" s="58"/>
      <c r="X238" s="157">
        <f t="shared" si="84"/>
        <v>44054</v>
      </c>
      <c r="Y238" s="383">
        <f t="shared" si="85"/>
        <v>45.848611772866164</v>
      </c>
      <c r="Z238" s="383">
        <f t="shared" si="86"/>
        <v>46.360204514383589</v>
      </c>
      <c r="AA238" s="384">
        <f t="shared" si="87"/>
        <v>48.016027283404718</v>
      </c>
      <c r="AB238" s="197">
        <f t="shared" si="88"/>
        <v>44054</v>
      </c>
      <c r="AC238" s="424">
        <f>IF(OR(t&lt;Tnet,NoTnet),'2019'!Resal_s+('2019'!Salim-'2019'!Resal_s)*(1-EXP(('2019'!Tnet_s-t)/'2019'!Tau_j)),Resal_s+(Salim-Resal_s)*(1-EXP((Tnet_s-t)/Tau_j)))*Salcycl</f>
        <v>3.4484793155584809E-2</v>
      </c>
      <c r="AD238" s="230">
        <f>(INDEX(Models!$BJ238:$BT238,,AH238)*(1-AF238)+INDEX(Models!$BJ238:$BT238,,AH238+1)*AF238-ERP_i)*AE238*Ramure*Pc/MaxiM</f>
        <v>9.5664143238777222E-4</v>
      </c>
      <c r="AE238" s="304">
        <f t="shared" si="89"/>
        <v>0.7</v>
      </c>
      <c r="AF238" s="177">
        <f t="shared" si="90"/>
        <v>0.57108262624956108</v>
      </c>
      <c r="AG238" s="176">
        <f t="shared" si="91"/>
        <v>-1</v>
      </c>
      <c r="AH238" s="176">
        <f t="shared" si="92"/>
        <v>5</v>
      </c>
      <c r="AI238" s="224">
        <f t="shared" si="93"/>
        <v>-0.42891737375043892</v>
      </c>
      <c r="AJ238" s="264" t="b">
        <f t="shared" si="94"/>
        <v>0</v>
      </c>
      <c r="AK238" s="264" t="b">
        <f t="shared" si="95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6"/>
        <v>44055</v>
      </c>
      <c r="B239" s="607">
        <v>31.888000000000002</v>
      </c>
      <c r="C239" s="388"/>
      <c r="D239" s="391">
        <f t="shared" si="75"/>
        <v>32.244433950566744</v>
      </c>
      <c r="E239" s="383">
        <f t="shared" si="97"/>
        <v>33.397606016286851</v>
      </c>
      <c r="F239" s="383">
        <f t="shared" si="76"/>
        <v>33.41068311828559</v>
      </c>
      <c r="G239" s="110">
        <f t="shared" si="98"/>
        <v>0.60637920418186175</v>
      </c>
      <c r="H239" s="412" t="b">
        <f>Wh_hp&gt;='2019'!Maxi_hp</f>
        <v>0</v>
      </c>
      <c r="I239" s="388">
        <f>IF(H239,Wh_hp,'2019'!Maxi_hp)</f>
        <v>44.585045141201746</v>
      </c>
      <c r="J239" s="85">
        <f>IF(H239,An,'2019'!An_max)</f>
        <v>2018</v>
      </c>
      <c r="K239" s="197">
        <f t="shared" si="77"/>
        <v>44055</v>
      </c>
      <c r="L239" s="147">
        <f>IF(t&lt;Tvie,1-EXP((T0-t)*PertePVj)+'2019'!Pspv,1-EXP((T0-t)*PertePVj)+Pspv)</f>
        <v>1.1054123360118129E-2</v>
      </c>
      <c r="M239" s="832"/>
      <c r="N239" s="832"/>
      <c r="O239" s="48">
        <f>IF(t&lt;Tnet,'2019'!Resal+('2019'!Salim-'2019'!Resal)*(1-EXP(('2019'!Tnet-t)/('2019'!Tau_j))),Resal+(Salim-Resal)*(1-EXP((Tnet-t)/(Tau_j))))*Salcycl</f>
        <v>3.4528584628423585E-2</v>
      </c>
      <c r="P239" s="169">
        <f>(INDEX(Models!$BJ239:$BT239,,T239)*(1-R239)+INDEX(Models!$BJ239:$BT239,,T239+1)*R239-ERP_i)*Q239*Ramure*Pc/MaxiM</f>
        <v>8.9337393024282812E-4</v>
      </c>
      <c r="Q239" s="304">
        <f t="shared" si="78"/>
        <v>0.7</v>
      </c>
      <c r="R239" s="177">
        <f t="shared" si="79"/>
        <v>0.50780149065192381</v>
      </c>
      <c r="S239" s="799">
        <f t="shared" si="80"/>
        <v>-1</v>
      </c>
      <c r="T239" s="176">
        <f t="shared" si="81"/>
        <v>5</v>
      </c>
      <c r="U239" s="250">
        <f t="shared" si="82"/>
        <v>-0.49219850934807619</v>
      </c>
      <c r="V239" s="382">
        <f t="shared" si="83"/>
        <v>52.561147745876568</v>
      </c>
      <c r="W239" s="58"/>
      <c r="X239" s="157">
        <f t="shared" si="84"/>
        <v>44055</v>
      </c>
      <c r="Y239" s="383">
        <f t="shared" si="85"/>
        <v>31.886701529274294</v>
      </c>
      <c r="Z239" s="383">
        <f t="shared" si="86"/>
        <v>32.243120965947085</v>
      </c>
      <c r="AA239" s="384">
        <f t="shared" si="87"/>
        <v>33.396246074812922</v>
      </c>
      <c r="AB239" s="197">
        <f t="shared" si="88"/>
        <v>44055</v>
      </c>
      <c r="AC239" s="424">
        <f>IF(OR(t&lt;Tnet,NoTnet),'2019'!Resal_s+('2019'!Salim-'2019'!Resal_s)*(1-EXP(('2019'!Tnet_s-t)/'2019'!Tau_j)),Resal_s+(Salim-Resal_s)*(1-EXP((Tnet_s-t)/Tau_j)))*Salcycl</f>
        <v>3.4528584628423585E-2</v>
      </c>
      <c r="AD239" s="230">
        <f>(INDEX(Models!$BJ239:$BT239,,AH239)*(1-AF239)+INDEX(Models!$BJ239:$BT239,,AH239+1)*AF239-ERP_i)*AE239*Ramure*Pc/MaxiM</f>
        <v>9.8627954951432104E-4</v>
      </c>
      <c r="AE239" s="304">
        <f t="shared" si="89"/>
        <v>0.7</v>
      </c>
      <c r="AF239" s="177">
        <f t="shared" si="90"/>
        <v>0.57213371291175597</v>
      </c>
      <c r="AG239" s="176">
        <f t="shared" si="91"/>
        <v>-1</v>
      </c>
      <c r="AH239" s="176">
        <f t="shared" si="92"/>
        <v>5</v>
      </c>
      <c r="AI239" s="224">
        <f t="shared" si="93"/>
        <v>-0.42786628708824403</v>
      </c>
      <c r="AJ239" s="264" t="b">
        <f t="shared" si="94"/>
        <v>0</v>
      </c>
      <c r="AK239" s="264" t="b">
        <f t="shared" si="95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6"/>
        <v>44056</v>
      </c>
      <c r="B240" s="607">
        <v>16.521000000000001</v>
      </c>
      <c r="C240" s="388"/>
      <c r="D240" s="391">
        <f t="shared" si="75"/>
        <v>16.705986664708217</v>
      </c>
      <c r="E240" s="383">
        <f t="shared" si="97"/>
        <v>17.30423290158155</v>
      </c>
      <c r="F240" s="383">
        <f t="shared" si="76"/>
        <v>17.304576720691347</v>
      </c>
      <c r="G240" s="110">
        <f t="shared" si="98"/>
        <v>0.31486546517170777</v>
      </c>
      <c r="H240" s="412" t="b">
        <f>Wh_hp&gt;='2019'!Maxi_hp</f>
        <v>0</v>
      </c>
      <c r="I240" s="388">
        <f>IF(H240,Wh_hp,'2019'!Maxi_hp)</f>
        <v>56.167943192678834</v>
      </c>
      <c r="J240" s="85">
        <f>IF(H240,An,'2019'!An_max)</f>
        <v>2018</v>
      </c>
      <c r="K240" s="197">
        <f t="shared" si="77"/>
        <v>44056</v>
      </c>
      <c r="L240" s="147">
        <f>IF(t&lt;Tvie,1-EXP((T0-t)*PertePVj)+'2019'!Pspv,1-EXP((T0-t)*PertePVj)+Pspv)</f>
        <v>1.1073076282229088E-2</v>
      </c>
      <c r="M240" s="832"/>
      <c r="N240" s="832"/>
      <c r="O240" s="48">
        <f>IF(t&lt;Tnet,'2019'!Resal+('2019'!Salim-'2019'!Resal)*(1-EXP(('2019'!Tnet-t)/('2019'!Tau_j))),Resal+(Salim-Resal)*(1-EXP((Tnet-t)/(Tau_j))))*Salcycl</f>
        <v>3.4572248320736354E-2</v>
      </c>
      <c r="P240" s="169">
        <f>(INDEX(Models!$BJ240:$BT240,,T240)*(1-R240)+INDEX(Models!$BJ240:$BT240,,T240+1)*R240-ERP_i)*Q240*Ramure*Pc/MaxiM</f>
        <v>9.1811265804879764E-4</v>
      </c>
      <c r="Q240" s="304">
        <f t="shared" si="78"/>
        <v>0.7</v>
      </c>
      <c r="R240" s="177">
        <f t="shared" si="79"/>
        <v>0.50881584790068302</v>
      </c>
      <c r="S240" s="799">
        <f t="shared" si="80"/>
        <v>-1</v>
      </c>
      <c r="T240" s="176">
        <f t="shared" si="81"/>
        <v>5</v>
      </c>
      <c r="U240" s="250">
        <f t="shared" si="82"/>
        <v>-0.49118415209931704</v>
      </c>
      <c r="V240" s="382">
        <f t="shared" si="83"/>
        <v>52.422896894691846</v>
      </c>
      <c r="W240" s="58"/>
      <c r="X240" s="157">
        <f t="shared" si="84"/>
        <v>44056</v>
      </c>
      <c r="Y240" s="383">
        <f t="shared" si="85"/>
        <v>16.520966092632694</v>
      </c>
      <c r="Z240" s="383">
        <f t="shared" si="86"/>
        <v>16.70595237767801</v>
      </c>
      <c r="AA240" s="384">
        <f t="shared" si="87"/>
        <v>17.30419738672283</v>
      </c>
      <c r="AB240" s="197">
        <f t="shared" si="88"/>
        <v>44056</v>
      </c>
      <c r="AC240" s="424">
        <f>IF(OR(t&lt;Tnet,NoTnet),'2019'!Resal_s+('2019'!Salim-'2019'!Resal_s)*(1-EXP(('2019'!Tnet_s-t)/'2019'!Tau_j)),Resal_s+(Salim-Resal_s)*(1-EXP((Tnet_s-t)/Tau_j)))*Salcycl</f>
        <v>3.4572248320736354E-2</v>
      </c>
      <c r="AD240" s="230">
        <f>(INDEX(Models!$BJ240:$BT240,,AH240)*(1-AF240)+INDEX(Models!$BJ240:$BT240,,AH240+1)*AF240-ERP_i)*AE240*Ramure*Pc/MaxiM</f>
        <v>1.0129492753597493E-3</v>
      </c>
      <c r="AE240" s="304">
        <f t="shared" si="89"/>
        <v>0.7</v>
      </c>
      <c r="AF240" s="177">
        <f t="shared" si="90"/>
        <v>0.57314807016051517</v>
      </c>
      <c r="AG240" s="176">
        <f t="shared" si="91"/>
        <v>-1</v>
      </c>
      <c r="AH240" s="176">
        <f t="shared" si="92"/>
        <v>5</v>
      </c>
      <c r="AI240" s="224">
        <f t="shared" si="93"/>
        <v>-0.42685192983948489</v>
      </c>
      <c r="AJ240" s="264" t="b">
        <f t="shared" si="94"/>
        <v>0</v>
      </c>
      <c r="AK240" s="264" t="b">
        <f t="shared" si="95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6"/>
        <v>44057</v>
      </c>
      <c r="B241" s="607">
        <v>45.802</v>
      </c>
      <c r="C241" s="388"/>
      <c r="D241" s="391">
        <f t="shared" si="75"/>
        <v>46.315735473671261</v>
      </c>
      <c r="E241" s="383">
        <f t="shared" si="97"/>
        <v>47.976478787670985</v>
      </c>
      <c r="F241" s="383">
        <f t="shared" si="76"/>
        <v>48.01365532613444</v>
      </c>
      <c r="G241" s="110">
        <f t="shared" si="98"/>
        <v>0.87588960277475636</v>
      </c>
      <c r="H241" s="412" t="b">
        <f>Wh_hp&gt;='2019'!Maxi_hp</f>
        <v>1</v>
      </c>
      <c r="I241" s="388">
        <f>IF(H241,Wh_hp,'2019'!Maxi_hp)</f>
        <v>48.01365532613444</v>
      </c>
      <c r="J241" s="85">
        <f>IF(H241,An,'2019'!An_max)</f>
        <v>2020</v>
      </c>
      <c r="K241" s="197">
        <f t="shared" si="77"/>
        <v>44057</v>
      </c>
      <c r="L241" s="147">
        <f>IF(t&lt;Tvie,1-EXP((T0-t)*PertePVj)+'2019'!Pspv,1-EXP((T0-t)*PertePVj)+Pspv)</f>
        <v>1.1092028841111712E-2</v>
      </c>
      <c r="M241" s="832"/>
      <c r="N241" s="832"/>
      <c r="O241" s="48">
        <f>IF(t&lt;Tnet,'2019'!Resal+('2019'!Salim-'2019'!Resal)*(1-EXP(('2019'!Tnet-t)/('2019'!Tau_j))),Resal+(Salim-Resal)*(1-EXP((Tnet-t)/(Tau_j))))*Salcycl</f>
        <v>3.4615781648954687E-2</v>
      </c>
      <c r="P241" s="169">
        <f>(INDEX(Models!$BJ241:$BT241,,T241)*(1-R241)+INDEX(Models!$BJ241:$BT241,,T241+1)*R241-ERP_i)*Q241*Ramure*Pc/MaxiM</f>
        <v>9.4092027696604985E-4</v>
      </c>
      <c r="Q241" s="304">
        <f t="shared" si="78"/>
        <v>0.7</v>
      </c>
      <c r="R241" s="177">
        <f t="shared" si="79"/>
        <v>0.50979455551911512</v>
      </c>
      <c r="S241" s="799">
        <f t="shared" si="80"/>
        <v>-1</v>
      </c>
      <c r="T241" s="176">
        <f t="shared" si="81"/>
        <v>5</v>
      </c>
      <c r="U241" s="250">
        <f t="shared" si="82"/>
        <v>-0.49020544448088488</v>
      </c>
      <c r="V241" s="382">
        <f t="shared" si="83"/>
        <v>52.283258054716264</v>
      </c>
      <c r="W241" s="58"/>
      <c r="X241" s="157">
        <f t="shared" si="84"/>
        <v>44057</v>
      </c>
      <c r="Y241" s="383">
        <f t="shared" si="85"/>
        <v>45.798357814906552</v>
      </c>
      <c r="Z241" s="383">
        <f t="shared" si="86"/>
        <v>46.312052436220185</v>
      </c>
      <c r="AA241" s="384">
        <f t="shared" si="87"/>
        <v>47.972663687547055</v>
      </c>
      <c r="AB241" s="197">
        <f t="shared" si="88"/>
        <v>44057</v>
      </c>
      <c r="AC241" s="424">
        <f>IF(OR(t&lt;Tnet,NoTnet),'2019'!Resal_s+('2019'!Salim-'2019'!Resal_s)*(1-EXP(('2019'!Tnet_s-t)/'2019'!Tau_j)),Resal_s+(Salim-Resal_s)*(1-EXP((Tnet_s-t)/Tau_j)))*Salcycl</f>
        <v>3.4615781648954687E-2</v>
      </c>
      <c r="AD241" s="230">
        <f>(INDEX(Models!$BJ241:$BT241,,AH241)*(1-AF241)+INDEX(Models!$BJ241:$BT241,,AH241+1)*AF241-ERP_i)*AE241*Ramure*Pc/MaxiM</f>
        <v>1.037478622999034E-3</v>
      </c>
      <c r="AE241" s="304">
        <f t="shared" si="89"/>
        <v>0.7</v>
      </c>
      <c r="AF241" s="177">
        <f t="shared" si="90"/>
        <v>0.57412677777894727</v>
      </c>
      <c r="AG241" s="176">
        <f t="shared" si="91"/>
        <v>-1</v>
      </c>
      <c r="AH241" s="176">
        <f t="shared" si="92"/>
        <v>5</v>
      </c>
      <c r="AI241" s="224">
        <f t="shared" si="93"/>
        <v>-0.42587322222105273</v>
      </c>
      <c r="AJ241" s="264" t="b">
        <f t="shared" si="94"/>
        <v>0</v>
      </c>
      <c r="AK241" s="264" t="b">
        <f t="shared" si="95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6"/>
        <v>44058</v>
      </c>
      <c r="B242" s="607">
        <v>48.857999999999997</v>
      </c>
      <c r="C242" s="388"/>
      <c r="D242" s="391">
        <f t="shared" si="75"/>
        <v>49.406959793348484</v>
      </c>
      <c r="E242" s="383">
        <f t="shared" si="97"/>
        <v>51.180846033552591</v>
      </c>
      <c r="F242" s="383">
        <f t="shared" si="76"/>
        <v>51.225681091805662</v>
      </c>
      <c r="G242" s="110">
        <f t="shared" si="98"/>
        <v>0.93693840937366835</v>
      </c>
      <c r="H242" s="412" t="b">
        <f>Wh_hp&gt;='2019'!Maxi_hp</f>
        <v>0</v>
      </c>
      <c r="I242" s="388">
        <f>IF(H242,Wh_hp,'2019'!Maxi_hp)</f>
        <v>56.53449474291795</v>
      </c>
      <c r="J242" s="85">
        <f>IF(H242,An,'2019'!An_max)</f>
        <v>2018</v>
      </c>
      <c r="K242" s="197">
        <f t="shared" si="77"/>
        <v>44058</v>
      </c>
      <c r="L242" s="147">
        <f>IF(t&lt;Tvie,1-EXP((T0-t)*PertePVj)+'2019'!Pspv,1-EXP((T0-t)*PertePVj)+Pspv)</f>
        <v>1.1110981036772771E-2</v>
      </c>
      <c r="M242" s="832"/>
      <c r="N242" s="832"/>
      <c r="O242" s="48">
        <f>IF(t&lt;Tnet,'2019'!Resal+('2019'!Salim-'2019'!Resal)*(1-EXP(('2019'!Tnet-t)/('2019'!Tau_j))),Resal+(Salim-Resal)*(1-EXP((Tnet-t)/(Tau_j))))*Salcycl</f>
        <v>3.4659181660287634E-2</v>
      </c>
      <c r="P242" s="169">
        <f>(INDEX(Models!$BJ242:$BT242,,T242)*(1-R242)+INDEX(Models!$BJ242:$BT242,,T242+1)*R242-ERP_i)*Q242*Ramure*Pc/MaxiM</f>
        <v>9.6177894772935674E-4</v>
      </c>
      <c r="Q242" s="304">
        <f t="shared" si="78"/>
        <v>0.7</v>
      </c>
      <c r="R242" s="177">
        <f t="shared" si="79"/>
        <v>0.51073867682153007</v>
      </c>
      <c r="S242" s="799">
        <f t="shared" si="80"/>
        <v>-1</v>
      </c>
      <c r="T242" s="176">
        <f t="shared" si="81"/>
        <v>5</v>
      </c>
      <c r="U242" s="250">
        <f t="shared" si="82"/>
        <v>-0.48926132317846988</v>
      </c>
      <c r="V242" s="382">
        <f t="shared" si="83"/>
        <v>52.141920928073226</v>
      </c>
      <c r="W242" s="58"/>
      <c r="X242" s="157">
        <f t="shared" si="84"/>
        <v>44058</v>
      </c>
      <c r="Y242" s="383">
        <f t="shared" si="85"/>
        <v>48.853635779061065</v>
      </c>
      <c r="Z242" s="383">
        <f t="shared" si="86"/>
        <v>49.402546536799733</v>
      </c>
      <c r="AA242" s="384">
        <f t="shared" si="87"/>
        <v>51.176274325338348</v>
      </c>
      <c r="AB242" s="197">
        <f t="shared" si="88"/>
        <v>44058</v>
      </c>
      <c r="AC242" s="424">
        <f>IF(OR(t&lt;Tnet,NoTnet),'2019'!Resal_s+('2019'!Salim-'2019'!Resal_s)*(1-EXP(('2019'!Tnet_s-t)/'2019'!Tau_j)),Resal_s+(Salim-Resal_s)*(1-EXP((Tnet_s-t)/Tau_j)))*Salcycl</f>
        <v>3.4659181660287634E-2</v>
      </c>
      <c r="AD242" s="230">
        <f>(INDEX(Models!$BJ242:$BT242,,AH242)*(1-AF242)+INDEX(Models!$BJ242:$BT242,,AH242+1)*AF242-ERP_i)*AE242*Ramure*Pc/MaxiM</f>
        <v>1.0598489154498365E-3</v>
      </c>
      <c r="AE242" s="304">
        <f t="shared" si="89"/>
        <v>0.7</v>
      </c>
      <c r="AF242" s="177">
        <f t="shared" si="90"/>
        <v>0.57507089908136222</v>
      </c>
      <c r="AG242" s="176">
        <f t="shared" si="91"/>
        <v>-1</v>
      </c>
      <c r="AH242" s="176">
        <f t="shared" si="92"/>
        <v>5</v>
      </c>
      <c r="AI242" s="224">
        <f t="shared" si="93"/>
        <v>-0.42492910091863773</v>
      </c>
      <c r="AJ242" s="264" t="b">
        <f t="shared" si="94"/>
        <v>0</v>
      </c>
      <c r="AK242" s="264" t="b">
        <f t="shared" si="95"/>
        <v>0</v>
      </c>
      <c r="AL242" s="264"/>
      <c r="AM242" s="264"/>
      <c r="AN242" s="75"/>
    </row>
    <row r="243" spans="1:40" s="6" customFormat="1" ht="11.25" x14ac:dyDescent="0.2">
      <c r="A243" s="56">
        <f t="shared" si="96"/>
        <v>44059</v>
      </c>
      <c r="B243" s="607">
        <v>16.067</v>
      </c>
      <c r="C243" s="388"/>
      <c r="D243" s="391">
        <f t="shared" si="75"/>
        <v>16.247837338851411</v>
      </c>
      <c r="E243" s="383">
        <f t="shared" si="97"/>
        <v>16.831947056918526</v>
      </c>
      <c r="F243" s="383">
        <f t="shared" si="76"/>
        <v>16.832159033594145</v>
      </c>
      <c r="G243" s="110">
        <f t="shared" si="98"/>
        <v>0.30869010566699084</v>
      </c>
      <c r="H243" s="412" t="b">
        <f>Wh_hp&gt;='2019'!Maxi_hp</f>
        <v>0</v>
      </c>
      <c r="I243" s="388">
        <f>IF(H243,Wh_hp,'2019'!Maxi_hp)</f>
        <v>53.858600637454124</v>
      </c>
      <c r="J243" s="85">
        <f>IF(H243,An,'2019'!An_max)</f>
        <v>2018</v>
      </c>
      <c r="K243" s="197">
        <f t="shared" si="77"/>
        <v>44059</v>
      </c>
      <c r="L243" s="147">
        <f>IF(t&lt;Tvie,1-EXP((T0-t)*PertePVj)+'2019'!Pspv,1-EXP((T0-t)*PertePVj)+Pspv)</f>
        <v>1.1129932869219372E-2</v>
      </c>
      <c r="M243" s="832"/>
      <c r="N243" s="832"/>
      <c r="O243" s="48">
        <f>IF(t&lt;Tnet,'2019'!Resal+('2019'!Salim-'2019'!Resal)*(1-EXP(('2019'!Tnet-t)/('2019'!Tau_j))),Resal+(Salim-Resal)*(1-EXP((Tnet-t)/(Tau_j))))*Salcycl</f>
        <v>3.4702445064252005E-2</v>
      </c>
      <c r="P243" s="169">
        <f>(INDEX(Models!$BJ243:$BT243,,T243)*(1-R243)+INDEX(Models!$BJ243:$BT243,,T243+1)*R243-ERP_i)*Q243*Ramure*Pc/MaxiM</f>
        <v>9.8067149602158125E-4</v>
      </c>
      <c r="Q243" s="304">
        <f t="shared" si="78"/>
        <v>0.7</v>
      </c>
      <c r="R243" s="177">
        <f t="shared" si="79"/>
        <v>0.51164925764941227</v>
      </c>
      <c r="S243" s="799">
        <f t="shared" si="80"/>
        <v>-1</v>
      </c>
      <c r="T243" s="176">
        <f t="shared" si="81"/>
        <v>5</v>
      </c>
      <c r="U243" s="250">
        <f t="shared" si="82"/>
        <v>-0.48835074235058773</v>
      </c>
      <c r="V243" s="382">
        <f t="shared" si="83"/>
        <v>51.9985752737756</v>
      </c>
      <c r="W243" s="58"/>
      <c r="X243" s="157">
        <f t="shared" si="84"/>
        <v>44059</v>
      </c>
      <c r="Y243" s="383">
        <f t="shared" si="85"/>
        <v>16.066979496736572</v>
      </c>
      <c r="Z243" s="383">
        <f t="shared" si="86"/>
        <v>16.247816604819601</v>
      </c>
      <c r="AA243" s="384">
        <f t="shared" si="87"/>
        <v>16.831925577498314</v>
      </c>
      <c r="AB243" s="197">
        <f t="shared" si="88"/>
        <v>44059</v>
      </c>
      <c r="AC243" s="424">
        <f>IF(OR(t&lt;Tnet,NoTnet),'2019'!Resal_s+('2019'!Salim-'2019'!Resal_s)*(1-EXP(('2019'!Tnet_s-t)/'2019'!Tau_j)),Resal_s+(Salim-Resal_s)*(1-EXP((Tnet_s-t)/Tau_j)))*Salcycl</f>
        <v>3.4702445064252005E-2</v>
      </c>
      <c r="AD243" s="230">
        <f>(INDEX(Models!$BJ243:$BT243,,AH243)*(1-AF243)+INDEX(Models!$BJ243:$BT243,,AH243+1)*AF243-ERP_i)*AE243*Ramure*Pc/MaxiM</f>
        <v>1.0800421229701081E-3</v>
      </c>
      <c r="AE243" s="304">
        <f t="shared" si="89"/>
        <v>0.7</v>
      </c>
      <c r="AF243" s="177">
        <f t="shared" si="90"/>
        <v>0.57598147990924442</v>
      </c>
      <c r="AG243" s="176">
        <f t="shared" si="91"/>
        <v>-1</v>
      </c>
      <c r="AH243" s="176">
        <f t="shared" si="92"/>
        <v>5</v>
      </c>
      <c r="AI243" s="224">
        <f t="shared" si="93"/>
        <v>-0.42401852009075558</v>
      </c>
      <c r="AJ243" s="264" t="b">
        <f t="shared" si="94"/>
        <v>0</v>
      </c>
      <c r="AK243" s="264" t="b">
        <f t="shared" si="95"/>
        <v>0</v>
      </c>
      <c r="AL243" s="264"/>
      <c r="AM243" s="264"/>
      <c r="AN243" s="75"/>
    </row>
    <row r="244" spans="1:40" s="6" customFormat="1" ht="11.25" x14ac:dyDescent="0.2">
      <c r="A244" s="56">
        <f t="shared" si="96"/>
        <v>44060</v>
      </c>
      <c r="B244" s="607">
        <v>42.59</v>
      </c>
      <c r="C244" s="388"/>
      <c r="D244" s="391">
        <f t="shared" si="75"/>
        <v>43.070184505487752</v>
      </c>
      <c r="E244" s="383">
        <f t="shared" si="97"/>
        <v>44.62055090275846</v>
      </c>
      <c r="F244" s="383">
        <f t="shared" si="76"/>
        <v>44.653728671836788</v>
      </c>
      <c r="G244" s="110">
        <f t="shared" si="98"/>
        <v>0.82115253751328365</v>
      </c>
      <c r="H244" s="412" t="b">
        <f>Wh_hp&gt;='2019'!Maxi_hp</f>
        <v>1</v>
      </c>
      <c r="I244" s="388">
        <f>IF(H244,Wh_hp,'2019'!Maxi_hp)</f>
        <v>44.653728671836788</v>
      </c>
      <c r="J244" s="85">
        <f>IF(H244,An,'2019'!An_max)</f>
        <v>2020</v>
      </c>
      <c r="K244" s="197">
        <f t="shared" si="77"/>
        <v>44060</v>
      </c>
      <c r="L244" s="147">
        <f>IF(t&lt;Tvie,1-EXP((T0-t)*PertePVj)+'2019'!Pspv,1-EXP((T0-t)*PertePVj)+Pspv)</f>
        <v>1.1148884338458398E-2</v>
      </c>
      <c r="M244" s="832"/>
      <c r="N244" s="832"/>
      <c r="O244" s="48">
        <f>IF(t&lt;Tnet,'2019'!Resal+('2019'!Salim-'2019'!Resal)*(1-EXP(('2019'!Tnet-t)/('2019'!Tau_j))),Resal+(Salim-Resal)*(1-EXP((Tnet-t)/(Tau_j))))*Salcycl</f>
        <v>3.4745568261795291E-2</v>
      </c>
      <c r="P244" s="169">
        <f>(INDEX(Models!$BJ244:$BT244,,T244)*(1-R244)+INDEX(Models!$BJ244:$BT244,,T244+1)*R244-ERP_i)*Q244*Ramure*Pc/MaxiM</f>
        <v>9.9758127197292854E-4</v>
      </c>
      <c r="Q244" s="304">
        <f t="shared" si="78"/>
        <v>0.7</v>
      </c>
      <c r="R244" s="177">
        <f t="shared" si="79"/>
        <v>0.51252732549326319</v>
      </c>
      <c r="S244" s="799">
        <f t="shared" si="80"/>
        <v>-1</v>
      </c>
      <c r="T244" s="176">
        <f t="shared" si="81"/>
        <v>5</v>
      </c>
      <c r="U244" s="250">
        <f t="shared" si="82"/>
        <v>-0.48747267450673687</v>
      </c>
      <c r="V244" s="382">
        <f t="shared" si="83"/>
        <v>51.852910906132422</v>
      </c>
      <c r="W244" s="58"/>
      <c r="X244" s="157">
        <f t="shared" si="84"/>
        <v>44060</v>
      </c>
      <c r="Y244" s="383">
        <f t="shared" si="85"/>
        <v>42.586810942472319</v>
      </c>
      <c r="Z244" s="383">
        <f t="shared" si="86"/>
        <v>43.066959492665113</v>
      </c>
      <c r="AA244" s="384">
        <f t="shared" si="87"/>
        <v>44.617209801473038</v>
      </c>
      <c r="AB244" s="197">
        <f t="shared" si="88"/>
        <v>44060</v>
      </c>
      <c r="AC244" s="424">
        <f>IF(OR(t&lt;Tnet,NoTnet),'2019'!Resal_s+('2019'!Salim-'2019'!Resal_s)*(1-EXP(('2019'!Tnet_s-t)/'2019'!Tau_j)),Resal_s+(Salim-Resal_s)*(1-EXP((Tnet_s-t)/Tau_j)))*Salcycl</f>
        <v>3.4745568261795291E-2</v>
      </c>
      <c r="AD244" s="230">
        <f>(INDEX(Models!$BJ244:$BT244,,AH244)*(1-AF244)+INDEX(Models!$BJ244:$BT244,,AH244+1)*AF244-ERP_i)*AE244*Ramure*Pc/MaxiM</f>
        <v>1.0980407110096424E-3</v>
      </c>
      <c r="AE244" s="304">
        <f t="shared" si="89"/>
        <v>0.7</v>
      </c>
      <c r="AF244" s="177">
        <f t="shared" si="90"/>
        <v>0.57685954775309534</v>
      </c>
      <c r="AG244" s="176">
        <f t="shared" si="91"/>
        <v>-1</v>
      </c>
      <c r="AH244" s="176">
        <f t="shared" si="92"/>
        <v>5</v>
      </c>
      <c r="AI244" s="224">
        <f t="shared" si="93"/>
        <v>-0.42314045224690472</v>
      </c>
      <c r="AJ244" s="264" t="b">
        <f t="shared" si="94"/>
        <v>0</v>
      </c>
      <c r="AK244" s="264" t="b">
        <f t="shared" si="95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6"/>
        <v>44061</v>
      </c>
      <c r="B245" s="607">
        <v>35.029000000000003</v>
      </c>
      <c r="C245" s="388"/>
      <c r="D245" s="391">
        <f t="shared" si="75"/>
        <v>35.424616285359342</v>
      </c>
      <c r="E245" s="383">
        <f t="shared" si="97"/>
        <v>36.701404846467199</v>
      </c>
      <c r="F245" s="383">
        <f t="shared" si="76"/>
        <v>36.72145468362379</v>
      </c>
      <c r="G245" s="110">
        <f t="shared" si="98"/>
        <v>0.67716679500047738</v>
      </c>
      <c r="H245" s="412" t="b">
        <f>Wh_hp&gt;='2019'!Maxi_hp</f>
        <v>1</v>
      </c>
      <c r="I245" s="388">
        <f>IF(H245,Wh_hp,'2019'!Maxi_hp)</f>
        <v>36.72145468362379</v>
      </c>
      <c r="J245" s="85">
        <f>IF(H245,An,'2019'!An_max)</f>
        <v>2020</v>
      </c>
      <c r="K245" s="197">
        <f t="shared" si="77"/>
        <v>44061</v>
      </c>
      <c r="L245" s="147">
        <f>IF(t&lt;Tvie,1-EXP((T0-t)*PertePVj)+'2019'!Pspv,1-EXP((T0-t)*PertePVj)+Pspv)</f>
        <v>1.1167835444496843E-2</v>
      </c>
      <c r="M245" s="832"/>
      <c r="N245" s="832"/>
      <c r="O245" s="48">
        <f>IF(t&lt;Tnet,'2019'!Resal+('2019'!Salim-'2019'!Resal)*(1-EXP(('2019'!Tnet-t)/('2019'!Tau_j))),Resal+(Salim-Resal)*(1-EXP((Tnet-t)/(Tau_j))))*Salcycl</f>
        <v>3.4788547371661684E-2</v>
      </c>
      <c r="P245" s="169">
        <f>(INDEX(Models!$BJ245:$BT245,,T245)*(1-R245)+INDEX(Models!$BJ245:$BT245,,T245+1)*R245-ERP_i)*Q245*Ramure*Pc/MaxiM</f>
        <v>1.0124920080398486E-3</v>
      </c>
      <c r="Q245" s="304">
        <f t="shared" si="78"/>
        <v>0.7</v>
      </c>
      <c r="R245" s="177">
        <f t="shared" si="79"/>
        <v>0.51337388873281453</v>
      </c>
      <c r="S245" s="799">
        <f t="shared" si="80"/>
        <v>-1</v>
      </c>
      <c r="T245" s="176">
        <f t="shared" si="81"/>
        <v>5</v>
      </c>
      <c r="U245" s="250">
        <f t="shared" si="82"/>
        <v>-0.48662611126718541</v>
      </c>
      <c r="V245" s="382">
        <f t="shared" si="83"/>
        <v>51.704617694596017</v>
      </c>
      <c r="W245" s="58"/>
      <c r="X245" s="157">
        <f t="shared" si="84"/>
        <v>44061</v>
      </c>
      <c r="Y245" s="383">
        <f t="shared" si="85"/>
        <v>35.027084748467672</v>
      </c>
      <c r="Z245" s="383">
        <f t="shared" si="86"/>
        <v>35.422679403044036</v>
      </c>
      <c r="AA245" s="384">
        <f t="shared" si="87"/>
        <v>36.699398154244442</v>
      </c>
      <c r="AB245" s="197">
        <f t="shared" si="88"/>
        <v>44061</v>
      </c>
      <c r="AC245" s="424">
        <f>IF(OR(t&lt;Tnet,NoTnet),'2019'!Resal_s+('2019'!Salim-'2019'!Resal_s)*(1-EXP(('2019'!Tnet_s-t)/'2019'!Tau_j)),Resal_s+(Salim-Resal_s)*(1-EXP((Tnet_s-t)/Tau_j)))*Salcycl</f>
        <v>3.4788547371661684E-2</v>
      </c>
      <c r="AD245" s="230">
        <f>(INDEX(Models!$BJ245:$BT245,,AH245)*(1-AF245)+INDEX(Models!$BJ245:$BT245,,AH245+1)*AF245-ERP_i)*AE245*Ramure*Pc/MaxiM</f>
        <v>1.1138274863416249E-3</v>
      </c>
      <c r="AE245" s="304">
        <f t="shared" si="89"/>
        <v>0.7</v>
      </c>
      <c r="AF245" s="177">
        <f t="shared" si="90"/>
        <v>0.57770611099264668</v>
      </c>
      <c r="AG245" s="176">
        <f t="shared" si="91"/>
        <v>-1</v>
      </c>
      <c r="AH245" s="176">
        <f t="shared" si="92"/>
        <v>5</v>
      </c>
      <c r="AI245" s="224">
        <f t="shared" si="93"/>
        <v>-0.42229388900735326</v>
      </c>
      <c r="AJ245" s="264" t="b">
        <f t="shared" si="94"/>
        <v>0</v>
      </c>
      <c r="AK245" s="264" t="b">
        <f t="shared" si="95"/>
        <v>0</v>
      </c>
      <c r="AL245" s="264"/>
      <c r="AM245" s="264"/>
      <c r="AN245" s="75"/>
    </row>
    <row r="246" spans="1:40" s="6" customFormat="1" ht="11.25" x14ac:dyDescent="0.2">
      <c r="A246" s="56">
        <f t="shared" si="96"/>
        <v>44062</v>
      </c>
      <c r="B246" s="607">
        <v>49.976999999999997</v>
      </c>
      <c r="C246" s="388"/>
      <c r="D246" s="391">
        <f t="shared" si="75"/>
        <v>50.542407101639618</v>
      </c>
      <c r="E246" s="383">
        <f t="shared" si="97"/>
        <v>52.366401023473301</v>
      </c>
      <c r="F246" s="383">
        <f t="shared" si="76"/>
        <v>52.417801720953385</v>
      </c>
      <c r="G246" s="110">
        <f t="shared" si="98"/>
        <v>0.96937880445937963</v>
      </c>
      <c r="H246" s="412" t="b">
        <f>Wh_hp&gt;='2019'!Maxi_hp</f>
        <v>1</v>
      </c>
      <c r="I246" s="388">
        <f>IF(H246,Wh_hp,'2019'!Maxi_hp)</f>
        <v>52.417801720953385</v>
      </c>
      <c r="J246" s="85">
        <f>IF(H246,An,'2019'!An_max)</f>
        <v>2020</v>
      </c>
      <c r="K246" s="197">
        <f t="shared" si="77"/>
        <v>44062</v>
      </c>
      <c r="L246" s="147">
        <f>IF(t&lt;Tvie,1-EXP((T0-t)*PertePVj)+'2019'!Pspv,1-EXP((T0-t)*PertePVj)+Pspv)</f>
        <v>1.1186786187341702E-2</v>
      </c>
      <c r="M246" s="832"/>
      <c r="N246" s="832"/>
      <c r="O246" s="48">
        <f>IF(t&lt;Tnet,'2019'!Resal+('2019'!Salim-'2019'!Resal)*(1-EXP(('2019'!Tnet-t)/('2019'!Tau_j))),Resal+(Salim-Resal)*(1-EXP((Tnet-t)/(Tau_j))))*Salcycl</f>
        <v>3.4831378253702742E-2</v>
      </c>
      <c r="P246" s="169">
        <f>(INDEX(Models!$BJ246:$BT246,,T246)*(1-R246)+INDEX(Models!$BJ246:$BT246,,T246+1)*R246-ERP_i)*Q246*Ramure*Pc/MaxiM</f>
        <v>1.0253876751176129E-3</v>
      </c>
      <c r="Q246" s="304">
        <f t="shared" si="78"/>
        <v>0.7</v>
      </c>
      <c r="R246" s="177">
        <f t="shared" si="79"/>
        <v>0.51418993598824281</v>
      </c>
      <c r="S246" s="799">
        <f t="shared" si="80"/>
        <v>-1</v>
      </c>
      <c r="T246" s="176">
        <f t="shared" si="81"/>
        <v>5</v>
      </c>
      <c r="U246" s="250">
        <f t="shared" si="82"/>
        <v>-0.48581006401175719</v>
      </c>
      <c r="V246" s="382">
        <f t="shared" si="83"/>
        <v>51.553385559470094</v>
      </c>
      <c r="W246" s="58"/>
      <c r="X246" s="157">
        <f t="shared" si="84"/>
        <v>44062</v>
      </c>
      <c r="Y246" s="383">
        <f t="shared" si="85"/>
        <v>49.972120345930641</v>
      </c>
      <c r="Z246" s="383">
        <f t="shared" si="86"/>
        <v>50.537472242354575</v>
      </c>
      <c r="AA246" s="384">
        <f t="shared" si="87"/>
        <v>52.361288073079088</v>
      </c>
      <c r="AB246" s="197">
        <f t="shared" si="88"/>
        <v>44062</v>
      </c>
      <c r="AC246" s="424">
        <f>IF(OR(t&lt;Tnet,NoTnet),'2019'!Resal_s+('2019'!Salim-'2019'!Resal_s)*(1-EXP(('2019'!Tnet_s-t)/'2019'!Tau_j)),Resal_s+(Salim-Resal_s)*(1-EXP((Tnet_s-t)/Tau_j)))*Salcycl</f>
        <v>3.4831378253702742E-2</v>
      </c>
      <c r="AD246" s="230">
        <f>(INDEX(Models!$BJ246:$BT246,,AH246)*(1-AF246)+INDEX(Models!$BJ246:$BT246,,AH246+1)*AF246-ERP_i)*AE246*Ramure*Pc/MaxiM</f>
        <v>1.1273854411936455E-3</v>
      </c>
      <c r="AE246" s="304">
        <f t="shared" si="89"/>
        <v>0.7</v>
      </c>
      <c r="AF246" s="177">
        <f t="shared" si="90"/>
        <v>0.57852215824807496</v>
      </c>
      <c r="AG246" s="176">
        <f t="shared" si="91"/>
        <v>-1</v>
      </c>
      <c r="AH246" s="176">
        <f t="shared" si="92"/>
        <v>5</v>
      </c>
      <c r="AI246" s="224">
        <f t="shared" si="93"/>
        <v>-0.42147784175192504</v>
      </c>
      <c r="AJ246" s="264" t="b">
        <f t="shared" si="94"/>
        <v>0</v>
      </c>
      <c r="AK246" s="264" t="b">
        <f t="shared" si="95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6"/>
        <v>44063</v>
      </c>
      <c r="B247" s="607">
        <v>51.463000000000001</v>
      </c>
      <c r="C247" s="388"/>
      <c r="D247" s="391">
        <f t="shared" si="75"/>
        <v>52.046216187910851</v>
      </c>
      <c r="E247" s="383">
        <f t="shared" si="97"/>
        <v>53.92686471645839</v>
      </c>
      <c r="F247" s="383">
        <f t="shared" si="76"/>
        <v>53.982802943625828</v>
      </c>
      <c r="G247" s="110">
        <f t="shared" si="98"/>
        <v>1.0012187387995131</v>
      </c>
      <c r="H247" s="412" t="b">
        <f>Wh_hp&gt;='2019'!Maxi_hp</f>
        <v>1</v>
      </c>
      <c r="I247" s="388">
        <f>IF(H247,Wh_hp,'2019'!Maxi_hp)</f>
        <v>53.982802943625828</v>
      </c>
      <c r="J247" s="85">
        <f>IF(H247,An,'2019'!An_max)</f>
        <v>2020</v>
      </c>
      <c r="K247" s="197">
        <f t="shared" si="77"/>
        <v>44063</v>
      </c>
      <c r="L247" s="147">
        <f>IF(t&lt;Tvie,1-EXP((T0-t)*PertePVj)+'2019'!Pspv,1-EXP((T0-t)*PertePVj)+Pspv)</f>
        <v>1.1205736566999858E-2</v>
      </c>
      <c r="M247" s="832"/>
      <c r="N247" s="832"/>
      <c r="O247" s="48">
        <f>IF(t&lt;Tnet,'2019'!Resal+('2019'!Salim-'2019'!Resal)*(1-EXP(('2019'!Tnet-t)/('2019'!Tau_j))),Resal+(Salim-Resal)*(1-EXP((Tnet-t)/(Tau_j))))*Salcycl</f>
        <v>3.4874056528889412E-2</v>
      </c>
      <c r="P247" s="169">
        <f>(INDEX(Models!$BJ247:$BT247,,T247)*(1-R247)+INDEX(Models!$BJ247:$BT247,,T247+1)*R247-ERP_i)*Q247*Ramure*Pc/MaxiM</f>
        <v>1.0362230954523652E-3</v>
      </c>
      <c r="Q247" s="304">
        <f t="shared" si="78"/>
        <v>0.7</v>
      </c>
      <c r="R247" s="177">
        <f t="shared" si="79"/>
        <v>0.51497643557517425</v>
      </c>
      <c r="S247" s="799">
        <f t="shared" si="80"/>
        <v>-1</v>
      </c>
      <c r="T247" s="176">
        <f t="shared" si="81"/>
        <v>5</v>
      </c>
      <c r="U247" s="250">
        <f t="shared" si="82"/>
        <v>-0.4850235644248258</v>
      </c>
      <c r="V247" s="382">
        <f t="shared" si="83"/>
        <v>51.40035639135705</v>
      </c>
      <c r="W247" s="58"/>
      <c r="X247" s="157">
        <f t="shared" si="84"/>
        <v>44063</v>
      </c>
      <c r="Y247" s="383">
        <f t="shared" si="85"/>
        <v>51.457722539808692</v>
      </c>
      <c r="Z247" s="383">
        <f t="shared" si="86"/>
        <v>52.040878919697967</v>
      </c>
      <c r="AA247" s="384">
        <f t="shared" si="87"/>
        <v>53.921334590313727</v>
      </c>
      <c r="AB247" s="197">
        <f t="shared" si="88"/>
        <v>44063</v>
      </c>
      <c r="AC247" s="424">
        <f>IF(OR(t&lt;Tnet,NoTnet),'2019'!Resal_s+('2019'!Salim-'2019'!Resal_s)*(1-EXP(('2019'!Tnet_s-t)/'2019'!Tau_j)),Resal_s+(Salim-Resal_s)*(1-EXP((Tnet_s-t)/Tau_j)))*Salcycl</f>
        <v>3.4874056528889412E-2</v>
      </c>
      <c r="AD247" s="230">
        <f>(INDEX(Models!$BJ247:$BT247,,AH247)*(1-AF247)+INDEX(Models!$BJ247:$BT247,,AH247+1)*AF247-ERP_i)*AE247*Ramure*Pc/MaxiM</f>
        <v>1.1386654630789279E-3</v>
      </c>
      <c r="AE247" s="304">
        <f t="shared" si="89"/>
        <v>0.7</v>
      </c>
      <c r="AF247" s="177">
        <f t="shared" si="90"/>
        <v>0.5793086578350064</v>
      </c>
      <c r="AG247" s="176">
        <f t="shared" si="91"/>
        <v>-1</v>
      </c>
      <c r="AH247" s="176">
        <f t="shared" si="92"/>
        <v>5</v>
      </c>
      <c r="AI247" s="224">
        <f t="shared" si="93"/>
        <v>-0.42069134216499365</v>
      </c>
      <c r="AJ247" s="264" t="b">
        <f t="shared" si="94"/>
        <v>0</v>
      </c>
      <c r="AK247" s="264" t="b">
        <f t="shared" si="95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6"/>
        <v>44064</v>
      </c>
      <c r="B248" s="607">
        <v>40.396999999999998</v>
      </c>
      <c r="C248" s="388"/>
      <c r="D248" s="391">
        <f t="shared" si="75"/>
        <v>40.855591206475395</v>
      </c>
      <c r="E248" s="383">
        <f t="shared" si="97"/>
        <v>42.333740543069638</v>
      </c>
      <c r="F248" s="383">
        <f t="shared" si="76"/>
        <v>42.364697157944441</v>
      </c>
      <c r="G248" s="110">
        <f t="shared" si="98"/>
        <v>0.78803745094799604</v>
      </c>
      <c r="H248" s="412" t="b">
        <f>Wh_hp&gt;='2019'!Maxi_hp</f>
        <v>0</v>
      </c>
      <c r="I248" s="388">
        <f>IF(H248,Wh_hp,'2019'!Maxi_hp)</f>
        <v>55.500972969341134</v>
      </c>
      <c r="J248" s="85">
        <f>IF(H248,An,'2019'!An_max)</f>
        <v>2018</v>
      </c>
      <c r="K248" s="197">
        <f t="shared" si="77"/>
        <v>44064</v>
      </c>
      <c r="L248" s="147">
        <f>IF(t&lt;Tvie,1-EXP((T0-t)*PertePVj)+'2019'!Pspv,1-EXP((T0-t)*PertePVj)+Pspv)</f>
        <v>1.1224686583478305E-2</v>
      </c>
      <c r="M248" s="832"/>
      <c r="N248" s="832"/>
      <c r="O248" s="48">
        <f>IF(t&lt;Tnet,'2019'!Resal+('2019'!Salim-'2019'!Resal)*(1-EXP(('2019'!Tnet-t)/('2019'!Tau_j))),Resal+(Salim-Resal)*(1-EXP((Tnet-t)/(Tau_j))))*Salcycl</f>
        <v>3.4916577595839784E-2</v>
      </c>
      <c r="P248" s="169">
        <f>(INDEX(Models!$BJ248:$BT248,,T248)*(1-R248)+INDEX(Models!$BJ248:$BT248,,T248+1)*R248-ERP_i)*Q248*Ramure*Pc/MaxiM</f>
        <v>1.0475430868360067E-3</v>
      </c>
      <c r="Q248" s="304">
        <f t="shared" si="78"/>
        <v>0.7</v>
      </c>
      <c r="R248" s="177">
        <f t="shared" si="79"/>
        <v>0.51573433505646893</v>
      </c>
      <c r="S248" s="799">
        <f t="shared" si="80"/>
        <v>-1</v>
      </c>
      <c r="T248" s="176">
        <f t="shared" si="81"/>
        <v>5</v>
      </c>
      <c r="U248" s="250">
        <f t="shared" si="82"/>
        <v>-0.48426566494353107</v>
      </c>
      <c r="V248" s="382">
        <f t="shared" si="83"/>
        <v>51.246538827325637</v>
      </c>
      <c r="W248" s="58"/>
      <c r="X248" s="157">
        <f t="shared" si="84"/>
        <v>44064</v>
      </c>
      <c r="Y248" s="383">
        <f t="shared" si="85"/>
        <v>40.394096522870782</v>
      </c>
      <c r="Z248" s="383">
        <f t="shared" si="86"/>
        <v>40.852654768753077</v>
      </c>
      <c r="AA248" s="384">
        <f t="shared" si="87"/>
        <v>42.330697865458404</v>
      </c>
      <c r="AB248" s="197">
        <f t="shared" si="88"/>
        <v>44064</v>
      </c>
      <c r="AC248" s="424">
        <f>IF(OR(t&lt;Tnet,NoTnet),'2019'!Resal_s+('2019'!Salim-'2019'!Resal_s)*(1-EXP(('2019'!Tnet_s-t)/'2019'!Tau_j)),Resal_s+(Salim-Resal_s)*(1-EXP((Tnet_s-t)/Tau_j)))*Salcycl</f>
        <v>3.4916577595839784E-2</v>
      </c>
      <c r="AD248" s="230">
        <f>(INDEX(Models!$BJ248:$BT248,,AH248)*(1-AF248)+INDEX(Models!$BJ248:$BT248,,AH248+1)*AF248-ERP_i)*AE248*Ramure*Pc/MaxiM</f>
        <v>1.1505044703724822E-3</v>
      </c>
      <c r="AE248" s="304">
        <f t="shared" si="89"/>
        <v>0.7</v>
      </c>
      <c r="AF248" s="177">
        <f t="shared" si="90"/>
        <v>0.58006655731630108</v>
      </c>
      <c r="AG248" s="176">
        <f t="shared" si="91"/>
        <v>-1</v>
      </c>
      <c r="AH248" s="176">
        <f t="shared" si="92"/>
        <v>5</v>
      </c>
      <c r="AI248" s="224">
        <f t="shared" si="93"/>
        <v>-0.41993344268369892</v>
      </c>
      <c r="AJ248" s="264" t="b">
        <f t="shared" si="94"/>
        <v>0</v>
      </c>
      <c r="AK248" s="264" t="b">
        <f t="shared" si="95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6"/>
        <v>44065</v>
      </c>
      <c r="B249" s="607">
        <v>32.052</v>
      </c>
      <c r="C249" s="388"/>
      <c r="D249" s="391">
        <f t="shared" si="75"/>
        <v>32.416479099067224</v>
      </c>
      <c r="E249" s="383">
        <f t="shared" si="97"/>
        <v>33.590776941996381</v>
      </c>
      <c r="F249" s="383">
        <f t="shared" si="76"/>
        <v>33.607472594659832</v>
      </c>
      <c r="G249" s="110">
        <f t="shared" si="98"/>
        <v>0.62699045478819593</v>
      </c>
      <c r="H249" s="412" t="b">
        <f>Wh_hp&gt;='2019'!Maxi_hp</f>
        <v>0</v>
      </c>
      <c r="I249" s="388">
        <f>IF(H249,Wh_hp,'2019'!Maxi_hp)</f>
        <v>53.062243382697936</v>
      </c>
      <c r="J249" s="85">
        <f>IF(H249,An,'2019'!An_max)</f>
        <v>2018</v>
      </c>
      <c r="K249" s="197">
        <f t="shared" si="77"/>
        <v>44065</v>
      </c>
      <c r="L249" s="147">
        <f>IF(t&lt;Tvie,1-EXP((T0-t)*PertePVj)+'2019'!Pspv,1-EXP((T0-t)*PertePVj)+Pspv)</f>
        <v>1.1243636236784038E-2</v>
      </c>
      <c r="M249" s="832"/>
      <c r="N249" s="832"/>
      <c r="O249" s="48">
        <f>IF(t&lt;Tnet,'2019'!Resal+('2019'!Salim-'2019'!Resal)*(1-EXP(('2019'!Tnet-t)/('2019'!Tau_j))),Resal+(Salim-Resal)*(1-EXP((Tnet-t)/(Tau_j))))*Salcycl</f>
        <v>3.4958936643737032E-2</v>
      </c>
      <c r="P249" s="169">
        <f>(INDEX(Models!$BJ249:$BT249,,T249)*(1-R249)+INDEX(Models!$BJ249:$BT249,,T249+1)*R249-ERP_i)*Q249*Ramure*Pc/MaxiM</f>
        <v>1.0623296773525327E-3</v>
      </c>
      <c r="Q249" s="304">
        <f t="shared" si="78"/>
        <v>0.7</v>
      </c>
      <c r="R249" s="177">
        <f t="shared" si="79"/>
        <v>0.51646456088397796</v>
      </c>
      <c r="S249" s="799">
        <f t="shared" si="80"/>
        <v>-1</v>
      </c>
      <c r="T249" s="176">
        <f t="shared" si="81"/>
        <v>5</v>
      </c>
      <c r="U249" s="250">
        <f t="shared" si="82"/>
        <v>-0.48353543911602204</v>
      </c>
      <c r="V249" s="382">
        <f t="shared" si="83"/>
        <v>51.09147017117958</v>
      </c>
      <c r="W249" s="58"/>
      <c r="X249" s="157">
        <f t="shared" si="84"/>
        <v>44065</v>
      </c>
      <c r="Y249" s="383">
        <f t="shared" si="85"/>
        <v>32.050441991026197</v>
      </c>
      <c r="Z249" s="383">
        <f t="shared" si="86"/>
        <v>32.414903373205021</v>
      </c>
      <c r="AA249" s="384">
        <f t="shared" si="87"/>
        <v>33.589144134935587</v>
      </c>
      <c r="AB249" s="197">
        <f t="shared" si="88"/>
        <v>44065</v>
      </c>
      <c r="AC249" s="424">
        <f>IF(OR(t&lt;Tnet,NoTnet),'2019'!Resal_s+('2019'!Salim-'2019'!Resal_s)*(1-EXP(('2019'!Tnet_s-t)/'2019'!Tau_j)),Resal_s+(Salim-Resal_s)*(1-EXP((Tnet_s-t)/Tau_j)))*Salcycl</f>
        <v>3.4958936643737032E-2</v>
      </c>
      <c r="AD249" s="230">
        <f>(INDEX(Models!$BJ249:$BT249,,AH249)*(1-AF249)+INDEX(Models!$BJ249:$BT249,,AH249+1)*AF249-ERP_i)*AE249*Ramure*Pc/MaxiM</f>
        <v>1.1662237528369407E-3</v>
      </c>
      <c r="AE249" s="304">
        <f t="shared" si="89"/>
        <v>0.7</v>
      </c>
      <c r="AF249" s="177">
        <f t="shared" si="90"/>
        <v>0.58079678314381011</v>
      </c>
      <c r="AG249" s="176">
        <f t="shared" si="91"/>
        <v>-1</v>
      </c>
      <c r="AH249" s="176">
        <f t="shared" si="92"/>
        <v>5</v>
      </c>
      <c r="AI249" s="224">
        <f t="shared" si="93"/>
        <v>-0.41920321685618989</v>
      </c>
      <c r="AJ249" s="264" t="b">
        <f t="shared" si="94"/>
        <v>0</v>
      </c>
      <c r="AK249" s="264" t="b">
        <f t="shared" si="95"/>
        <v>0</v>
      </c>
      <c r="AL249" s="264"/>
      <c r="AM249" s="264"/>
      <c r="AN249" s="75"/>
    </row>
    <row r="250" spans="1:40" s="6" customFormat="1" ht="11.25" x14ac:dyDescent="0.2">
      <c r="A250" s="56">
        <f t="shared" si="96"/>
        <v>44066</v>
      </c>
      <c r="B250" s="607">
        <v>42.792000000000002</v>
      </c>
      <c r="C250" s="388"/>
      <c r="D250" s="391">
        <f t="shared" si="75"/>
        <v>43.279438376269979</v>
      </c>
      <c r="E250" s="383">
        <f t="shared" si="97"/>
        <v>44.849211394664785</v>
      </c>
      <c r="F250" s="383">
        <f t="shared" si="76"/>
        <v>44.886639461696795</v>
      </c>
      <c r="G250" s="110">
        <f t="shared" si="98"/>
        <v>0.83992471369380706</v>
      </c>
      <c r="H250" s="412" t="b">
        <f>Wh_hp&gt;='2019'!Maxi_hp</f>
        <v>0</v>
      </c>
      <c r="I250" s="388">
        <f>IF(H250,Wh_hp,'2019'!Maxi_hp)</f>
        <v>53.484889731597349</v>
      </c>
      <c r="J250" s="85">
        <f>IF(H250,An,'2019'!An_max)</f>
        <v>2018</v>
      </c>
      <c r="K250" s="197">
        <f t="shared" si="77"/>
        <v>44066</v>
      </c>
      <c r="L250" s="147">
        <f>IF(t&lt;Tvie,1-EXP((T0-t)*PertePVj)+'2019'!Pspv,1-EXP((T0-t)*PertePVj)+Pspv)</f>
        <v>1.1262585526924052E-2</v>
      </c>
      <c r="M250" s="832"/>
      <c r="N250" s="832"/>
      <c r="O250" s="48">
        <f>IF(t&lt;Tnet,'2019'!Resal+('2019'!Salim-'2019'!Resal)*(1-EXP(('2019'!Tnet-t)/('2019'!Tau_j))),Resal+(Salim-Resal)*(1-EXP((Tnet-t)/(Tau_j))))*Salcycl</f>
        <v>3.5001128661574336E-2</v>
      </c>
      <c r="P250" s="169">
        <f>(INDEX(Models!$BJ250:$BT250,,T250)*(1-R250)+INDEX(Models!$BJ250:$BT250,,T250+1)*R250-ERP_i)*Q250*Ramure*Pc/MaxiM</f>
        <v>1.0806330708644342E-3</v>
      </c>
      <c r="Q250" s="304">
        <f t="shared" si="78"/>
        <v>0.7</v>
      </c>
      <c r="R250" s="177">
        <f t="shared" si="79"/>
        <v>0.51716801812370927</v>
      </c>
      <c r="S250" s="799">
        <f t="shared" si="80"/>
        <v>-1</v>
      </c>
      <c r="T250" s="176">
        <f t="shared" si="81"/>
        <v>5</v>
      </c>
      <c r="U250" s="250">
        <f t="shared" si="82"/>
        <v>-0.48283198187629067</v>
      </c>
      <c r="V250" s="382">
        <f t="shared" si="83"/>
        <v>50.934839184121444</v>
      </c>
      <c r="W250" s="58"/>
      <c r="X250" s="157">
        <f t="shared" si="84"/>
        <v>44066</v>
      </c>
      <c r="Y250" s="383">
        <f t="shared" si="85"/>
        <v>42.788522025708794</v>
      </c>
      <c r="Z250" s="383">
        <f t="shared" si="86"/>
        <v>43.275920784804036</v>
      </c>
      <c r="AA250" s="384">
        <f t="shared" si="87"/>
        <v>44.845566217897833</v>
      </c>
      <c r="AB250" s="197">
        <f t="shared" si="88"/>
        <v>44066</v>
      </c>
      <c r="AC250" s="424">
        <f>IF(OR(t&lt;Tnet,NoTnet),'2019'!Resal_s+('2019'!Salim-'2019'!Resal_s)*(1-EXP(('2019'!Tnet_s-t)/'2019'!Tau_j)),Resal_s+(Salim-Resal_s)*(1-EXP((Tnet_s-t)/Tau_j)))*Salcycl</f>
        <v>3.5001128661574336E-2</v>
      </c>
      <c r="AD250" s="230">
        <f>(INDEX(Models!$BJ250:$BT250,,AH250)*(1-AF250)+INDEX(Models!$BJ250:$BT250,,AH250+1)*AF250-ERP_i)*AE250*Ramure*Pc/MaxiM</f>
        <v>1.1858775805567289E-3</v>
      </c>
      <c r="AE250" s="304">
        <f t="shared" si="89"/>
        <v>0.7</v>
      </c>
      <c r="AF250" s="177">
        <f t="shared" si="90"/>
        <v>0.58150024038354142</v>
      </c>
      <c r="AG250" s="176">
        <f t="shared" si="91"/>
        <v>-1</v>
      </c>
      <c r="AH250" s="176">
        <f t="shared" si="92"/>
        <v>5</v>
      </c>
      <c r="AI250" s="224">
        <f t="shared" si="93"/>
        <v>-0.41849975961645852</v>
      </c>
      <c r="AJ250" s="264" t="b">
        <f t="shared" si="94"/>
        <v>0</v>
      </c>
      <c r="AK250" s="264" t="b">
        <f t="shared" si="95"/>
        <v>0</v>
      </c>
      <c r="AL250" s="264"/>
      <c r="AM250" s="264"/>
      <c r="AN250" s="75"/>
    </row>
    <row r="251" spans="1:40" s="6" customFormat="1" ht="11.25" x14ac:dyDescent="0.2">
      <c r="A251" s="56">
        <f t="shared" si="96"/>
        <v>44067</v>
      </c>
      <c r="B251" s="607">
        <v>43.518000000000001</v>
      </c>
      <c r="C251" s="388"/>
      <c r="D251" s="391">
        <f t="shared" si="75"/>
        <v>44.014551681265381</v>
      </c>
      <c r="E251" s="383">
        <f t="shared" si="97"/>
        <v>45.612973896479495</v>
      </c>
      <c r="F251" s="383">
        <f t="shared" si="76"/>
        <v>45.653028105541793</v>
      </c>
      <c r="G251" s="110">
        <f t="shared" si="98"/>
        <v>0.85685967382664607</v>
      </c>
      <c r="H251" s="412" t="b">
        <f>Wh_hp&gt;='2019'!Maxi_hp</f>
        <v>1</v>
      </c>
      <c r="I251" s="388">
        <f>IF(H251,Wh_hp,'2019'!Maxi_hp)</f>
        <v>45.653028105541793</v>
      </c>
      <c r="J251" s="85">
        <f>IF(H251,An,'2019'!An_max)</f>
        <v>2020</v>
      </c>
      <c r="K251" s="197">
        <f t="shared" si="77"/>
        <v>44067</v>
      </c>
      <c r="L251" s="147">
        <f>IF(t&lt;Tvie,1-EXP((T0-t)*PertePVj)+'2019'!Pspv,1-EXP((T0-t)*PertePVj)+Pspv)</f>
        <v>1.1281534453905118E-2</v>
      </c>
      <c r="M251" s="832"/>
      <c r="N251" s="832"/>
      <c r="O251" s="48">
        <f>IF(t&lt;Tnet,'2019'!Resal+('2019'!Salim-'2019'!Resal)*(1-EXP(('2019'!Tnet-t)/('2019'!Tau_j))),Resal+(Salim-Resal)*(1-EXP((Tnet-t)/(Tau_j))))*Salcycl</f>
        <v>3.5043148443725705E-2</v>
      </c>
      <c r="P251" s="169">
        <f>(INDEX(Models!$BJ251:$BT251,,T251)*(1-R251)+INDEX(Models!$BJ251:$BT251,,T251+1)*R251-ERP_i)*Q251*Ramure*Pc/MaxiM</f>
        <v>1.1025041879579765E-3</v>
      </c>
      <c r="Q251" s="304">
        <f t="shared" si="78"/>
        <v>0.7</v>
      </c>
      <c r="R251" s="177">
        <f t="shared" si="79"/>
        <v>0.51784559025808097</v>
      </c>
      <c r="S251" s="799">
        <f t="shared" si="80"/>
        <v>-1</v>
      </c>
      <c r="T251" s="176">
        <f t="shared" si="81"/>
        <v>5</v>
      </c>
      <c r="U251" s="250">
        <f t="shared" si="82"/>
        <v>-0.48215440974191898</v>
      </c>
      <c r="V251" s="382">
        <f t="shared" si="83"/>
        <v>50.776334755407625</v>
      </c>
      <c r="W251" s="58"/>
      <c r="X251" s="157">
        <f t="shared" si="84"/>
        <v>44067</v>
      </c>
      <c r="Y251" s="383">
        <f t="shared" si="85"/>
        <v>43.51429062400419</v>
      </c>
      <c r="Z251" s="383">
        <f t="shared" si="86"/>
        <v>44.010799980326169</v>
      </c>
      <c r="AA251" s="384">
        <f t="shared" si="87"/>
        <v>45.609085949642122</v>
      </c>
      <c r="AB251" s="197">
        <f t="shared" si="88"/>
        <v>44067</v>
      </c>
      <c r="AC251" s="424">
        <f>IF(OR(t&lt;Tnet,NoTnet),'2019'!Resal_s+('2019'!Salim-'2019'!Resal_s)*(1-EXP(('2019'!Tnet_s-t)/'2019'!Tau_j)),Resal_s+(Salim-Resal_s)*(1-EXP((Tnet_s-t)/Tau_j)))*Salcycl</f>
        <v>3.5043148443725705E-2</v>
      </c>
      <c r="AD251" s="230">
        <f>(INDEX(Models!$BJ251:$BT251,,AH251)*(1-AF251)+INDEX(Models!$BJ251:$BT251,,AH251+1)*AF251-ERP_i)*AE251*Ramure*Pc/MaxiM</f>
        <v>1.2095210975692371E-3</v>
      </c>
      <c r="AE251" s="304">
        <f t="shared" si="89"/>
        <v>0.7</v>
      </c>
      <c r="AF251" s="177">
        <f t="shared" si="90"/>
        <v>0.58217781251791312</v>
      </c>
      <c r="AG251" s="176">
        <f t="shared" si="91"/>
        <v>-1</v>
      </c>
      <c r="AH251" s="176">
        <f t="shared" si="92"/>
        <v>5</v>
      </c>
      <c r="AI251" s="224">
        <f t="shared" si="93"/>
        <v>-0.41782218748208683</v>
      </c>
      <c r="AJ251" s="264" t="b">
        <f t="shared" si="94"/>
        <v>0</v>
      </c>
      <c r="AK251" s="264" t="b">
        <f t="shared" si="95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6"/>
        <v>44068</v>
      </c>
      <c r="B252" s="607">
        <v>50.081000000000003</v>
      </c>
      <c r="C252" s="388"/>
      <c r="D252" s="391">
        <f t="shared" si="75"/>
        <v>50.653407976630284</v>
      </c>
      <c r="E252" s="383">
        <f t="shared" si="97"/>
        <v>52.495201632009497</v>
      </c>
      <c r="F252" s="383">
        <f t="shared" si="76"/>
        <v>52.553587232779272</v>
      </c>
      <c r="G252" s="110">
        <f t="shared" si="98"/>
        <v>0.98942028044598995</v>
      </c>
      <c r="H252" s="412" t="b">
        <f>Wh_hp&gt;='2019'!Maxi_hp</f>
        <v>1</v>
      </c>
      <c r="I252" s="388">
        <f>IF(H252,Wh_hp,'2019'!Maxi_hp)</f>
        <v>52.553587232779272</v>
      </c>
      <c r="J252" s="85">
        <f>IF(H252,An,'2019'!An_max)</f>
        <v>2020</v>
      </c>
      <c r="K252" s="197">
        <f t="shared" si="77"/>
        <v>44068</v>
      </c>
      <c r="L252" s="147">
        <f>IF(t&lt;Tvie,1-EXP((T0-t)*PertePVj)+'2019'!Pspv,1-EXP((T0-t)*PertePVj)+Pspv)</f>
        <v>1.1300483017734342E-2</v>
      </c>
      <c r="M252" s="832"/>
      <c r="N252" s="832"/>
      <c r="O252" s="48">
        <f>IF(t&lt;Tnet,'2019'!Resal+('2019'!Salim-'2019'!Resal)*(1-EXP(('2019'!Tnet-t)/('2019'!Tau_j))),Resal+(Salim-Resal)*(1-EXP((Tnet-t)/(Tau_j))))*Salcycl</f>
        <v>3.5084990591905035E-2</v>
      </c>
      <c r="P252" s="169">
        <f>(INDEX(Models!$BJ252:$BT252,,T252)*(1-R252)+INDEX(Models!$BJ252:$BT252,,T252+1)*R252-ERP_i)*Q252*Ramure*Pc/MaxiM</f>
        <v>1.1279939027256127E-3</v>
      </c>
      <c r="Q252" s="304">
        <f t="shared" si="78"/>
        <v>0.7</v>
      </c>
      <c r="R252" s="177">
        <f t="shared" si="79"/>
        <v>0.51849813905920394</v>
      </c>
      <c r="S252" s="799">
        <f t="shared" si="80"/>
        <v>-1</v>
      </c>
      <c r="T252" s="176">
        <f t="shared" si="81"/>
        <v>5</v>
      </c>
      <c r="U252" s="250">
        <f t="shared" si="82"/>
        <v>-0.48150186094079606</v>
      </c>
      <c r="V252" s="382">
        <f t="shared" si="83"/>
        <v>50.615645952341538</v>
      </c>
      <c r="W252" s="58"/>
      <c r="X252" s="157">
        <f t="shared" si="84"/>
        <v>44068</v>
      </c>
      <c r="Y252" s="383">
        <f t="shared" si="85"/>
        <v>50.075606918418359</v>
      </c>
      <c r="Z252" s="383">
        <f t="shared" si="86"/>
        <v>50.647953254048737</v>
      </c>
      <c r="AA252" s="384">
        <f t="shared" si="87"/>
        <v>52.489548571866003</v>
      </c>
      <c r="AB252" s="197">
        <f t="shared" si="88"/>
        <v>44068</v>
      </c>
      <c r="AC252" s="424">
        <f>IF(OR(t&lt;Tnet,NoTnet),'2019'!Resal_s+('2019'!Salim-'2019'!Resal_s)*(1-EXP(('2019'!Tnet_s-t)/'2019'!Tau_j)),Resal_s+(Salim-Resal_s)*(1-EXP((Tnet_s-t)/Tau_j)))*Salcycl</f>
        <v>3.5084990591905035E-2</v>
      </c>
      <c r="AD252" s="230">
        <f>(INDEX(Models!$BJ252:$BT252,,AH252)*(1-AF252)+INDEX(Models!$BJ252:$BT252,,AH252+1)*AF252-ERP_i)*AE252*Ramure*Pc/MaxiM</f>
        <v>1.2372094848130389E-3</v>
      </c>
      <c r="AE252" s="304">
        <f t="shared" si="89"/>
        <v>0.7</v>
      </c>
      <c r="AF252" s="177">
        <f t="shared" si="90"/>
        <v>0.58283036131903609</v>
      </c>
      <c r="AG252" s="176">
        <f t="shared" si="91"/>
        <v>-1</v>
      </c>
      <c r="AH252" s="176">
        <f t="shared" si="92"/>
        <v>5</v>
      </c>
      <c r="AI252" s="224">
        <f t="shared" si="93"/>
        <v>-0.41716963868096391</v>
      </c>
      <c r="AJ252" s="264" t="b">
        <f t="shared" si="94"/>
        <v>0</v>
      </c>
      <c r="AK252" s="264" t="b">
        <f t="shared" si="95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6"/>
        <v>44069</v>
      </c>
      <c r="B253" s="607">
        <v>20.927</v>
      </c>
      <c r="C253" s="388"/>
      <c r="D253" s="391">
        <f t="shared" si="75"/>
        <v>21.166593802677617</v>
      </c>
      <c r="E253" s="383">
        <f t="shared" si="97"/>
        <v>21.937173196884551</v>
      </c>
      <c r="F253" s="383">
        <f t="shared" si="76"/>
        <v>21.941336586039995</v>
      </c>
      <c r="G253" s="110">
        <f t="shared" si="98"/>
        <v>0.41438515568165429</v>
      </c>
      <c r="H253" s="412" t="b">
        <f>Wh_hp&gt;='2019'!Maxi_hp</f>
        <v>0</v>
      </c>
      <c r="I253" s="388">
        <f>IF(H253,Wh_hp,'2019'!Maxi_hp)</f>
        <v>28.954838082654295</v>
      </c>
      <c r="J253" s="85">
        <f>IF(H253,An,'2019'!An_max)</f>
        <v>2018</v>
      </c>
      <c r="K253" s="197">
        <f t="shared" si="77"/>
        <v>44069</v>
      </c>
      <c r="L253" s="147">
        <f>IF(t&lt;Tvie,1-EXP((T0-t)*PertePVj)+'2019'!Pspv,1-EXP((T0-t)*PertePVj)+Pspv)</f>
        <v>1.1319431218418718E-2</v>
      </c>
      <c r="M253" s="832"/>
      <c r="N253" s="832"/>
      <c r="O253" s="48">
        <f>IF(t&lt;Tnet,'2019'!Resal+('2019'!Salim-'2019'!Resal)*(1-EXP(('2019'!Tnet-t)/('2019'!Tau_j))),Resal+(Salim-Resal)*(1-EXP((Tnet-t)/(Tau_j))))*Salcycl</f>
        <v>3.5126649513637857E-2</v>
      </c>
      <c r="P253" s="169">
        <f>(INDEX(Models!$BJ253:$BT253,,T253)*(1-R253)+INDEX(Models!$BJ253:$BT253,,T253+1)*R253-ERP_i)*Q253*Ramure*Pc/MaxiM</f>
        <v>1.1571540037569358E-3</v>
      </c>
      <c r="Q253" s="304">
        <f t="shared" si="78"/>
        <v>0.7</v>
      </c>
      <c r="R253" s="177">
        <f t="shared" si="79"/>
        <v>0.51912650452740172</v>
      </c>
      <c r="S253" s="799">
        <f t="shared" si="80"/>
        <v>-1</v>
      </c>
      <c r="T253" s="176">
        <f t="shared" si="81"/>
        <v>5</v>
      </c>
      <c r="U253" s="250">
        <f t="shared" si="82"/>
        <v>-0.48087349547259828</v>
      </c>
      <c r="V253" s="382">
        <f t="shared" si="83"/>
        <v>50.452461984078191</v>
      </c>
      <c r="W253" s="58"/>
      <c r="X253" s="157">
        <f t="shared" si="84"/>
        <v>44069</v>
      </c>
      <c r="Y253" s="383">
        <f t="shared" si="85"/>
        <v>20.926616117093641</v>
      </c>
      <c r="Z253" s="383">
        <f t="shared" si="86"/>
        <v>21.166205524685228</v>
      </c>
      <c r="AA253" s="384">
        <f t="shared" si="87"/>
        <v>21.936770783456723</v>
      </c>
      <c r="AB253" s="197">
        <f t="shared" si="88"/>
        <v>44069</v>
      </c>
      <c r="AC253" s="424">
        <f>IF(OR(t&lt;Tnet,NoTnet),'2019'!Resal_s+('2019'!Salim-'2019'!Resal_s)*(1-EXP(('2019'!Tnet_s-t)/'2019'!Tau_j)),Resal_s+(Salim-Resal_s)*(1-EXP((Tnet_s-t)/Tau_j)))*Salcycl</f>
        <v>3.5126649513637857E-2</v>
      </c>
      <c r="AD253" s="230">
        <f>(INDEX(Models!$BJ253:$BT253,,AH253)*(1-AF253)+INDEX(Models!$BJ253:$BT253,,AH253+1)*AF253-ERP_i)*AE253*Ramure*Pc/MaxiM</f>
        <v>1.2689990155478443E-3</v>
      </c>
      <c r="AE253" s="304">
        <f t="shared" si="89"/>
        <v>0.7</v>
      </c>
      <c r="AF253" s="177">
        <f t="shared" si="90"/>
        <v>0.58345872678723387</v>
      </c>
      <c r="AG253" s="176">
        <f t="shared" si="91"/>
        <v>-1</v>
      </c>
      <c r="AH253" s="176">
        <f t="shared" si="92"/>
        <v>5</v>
      </c>
      <c r="AI253" s="224">
        <f t="shared" si="93"/>
        <v>-0.41654127321276613</v>
      </c>
      <c r="AJ253" s="264" t="b">
        <f t="shared" si="94"/>
        <v>0</v>
      </c>
      <c r="AK253" s="264" t="b">
        <f t="shared" si="95"/>
        <v>0</v>
      </c>
      <c r="AL253" s="264"/>
      <c r="AM253" s="264"/>
      <c r="AN253" s="75"/>
    </row>
    <row r="254" spans="1:40" s="6" customFormat="1" ht="11.25" x14ac:dyDescent="0.2">
      <c r="A254" s="56">
        <f t="shared" si="96"/>
        <v>44070</v>
      </c>
      <c r="B254" s="607">
        <v>48.41</v>
      </c>
      <c r="C254" s="388"/>
      <c r="D254" s="391">
        <f t="shared" si="75"/>
        <v>48.965185837572164</v>
      </c>
      <c r="E254" s="383">
        <f t="shared" si="97"/>
        <v>50.749966727889245</v>
      </c>
      <c r="F254" s="383">
        <f t="shared" si="76"/>
        <v>50.80717736764138</v>
      </c>
      <c r="G254" s="110">
        <f t="shared" si="98"/>
        <v>0.96262266988209533</v>
      </c>
      <c r="H254" s="412" t="b">
        <f>Wh_hp&gt;='2019'!Maxi_hp</f>
        <v>1</v>
      </c>
      <c r="I254" s="388">
        <f>IF(H254,Wh_hp,'2019'!Maxi_hp)</f>
        <v>50.80717736764138</v>
      </c>
      <c r="J254" s="85">
        <f>IF(H254,An,'2019'!An_max)</f>
        <v>2020</v>
      </c>
      <c r="K254" s="197">
        <f t="shared" si="77"/>
        <v>44070</v>
      </c>
      <c r="L254" s="147">
        <f>IF(t&lt;Tvie,1-EXP((T0-t)*PertePVj)+'2019'!Pspv,1-EXP((T0-t)*PertePVj)+Pspv)</f>
        <v>1.1338379055965131E-2</v>
      </c>
      <c r="M254" s="832"/>
      <c r="N254" s="832"/>
      <c r="O254" s="48">
        <f>IF(t&lt;Tnet,'2019'!Resal+('2019'!Salim-'2019'!Resal)*(1-EXP(('2019'!Tnet-t)/('2019'!Tau_j))),Resal+(Salim-Resal)*(1-EXP((Tnet-t)/(Tau_j))))*Salcycl</f>
        <v>3.5168119417431316E-2</v>
      </c>
      <c r="P254" s="169">
        <f>(INDEX(Models!$BJ254:$BT254,,T254)*(1-R254)+INDEX(Models!$BJ254:$BT254,,T254+1)*R254-ERP_i)*Q254*Ramure*Pc/MaxiM</f>
        <v>1.1894424532386124E-3</v>
      </c>
      <c r="Q254" s="304">
        <f t="shared" si="78"/>
        <v>0.7</v>
      </c>
      <c r="R254" s="177">
        <f t="shared" si="79"/>
        <v>0.51973150488944952</v>
      </c>
      <c r="S254" s="799">
        <f t="shared" si="80"/>
        <v>-1</v>
      </c>
      <c r="T254" s="176">
        <f t="shared" si="81"/>
        <v>5</v>
      </c>
      <c r="U254" s="250">
        <f t="shared" si="82"/>
        <v>-0.48026849511055042</v>
      </c>
      <c r="V254" s="382">
        <f t="shared" si="83"/>
        <v>50.28650215718833</v>
      </c>
      <c r="W254" s="58"/>
      <c r="X254" s="157">
        <f t="shared" si="84"/>
        <v>44070</v>
      </c>
      <c r="Y254" s="383">
        <f t="shared" si="85"/>
        <v>48.404729135289855</v>
      </c>
      <c r="Z254" s="383">
        <f t="shared" si="86"/>
        <v>48.959854524412556</v>
      </c>
      <c r="AA254" s="384">
        <f t="shared" si="87"/>
        <v>50.744441088379496</v>
      </c>
      <c r="AB254" s="197">
        <f t="shared" si="88"/>
        <v>44070</v>
      </c>
      <c r="AC254" s="424">
        <f>IF(OR(t&lt;Tnet,NoTnet),'2019'!Resal_s+('2019'!Salim-'2019'!Resal_s)*(1-EXP(('2019'!Tnet_s-t)/'2019'!Tau_j)),Resal_s+(Salim-Resal_s)*(1-EXP((Tnet_s-t)/Tau_j)))*Salcycl</f>
        <v>3.5168119417431316E-2</v>
      </c>
      <c r="AD254" s="230">
        <f>(INDEX(Models!$BJ254:$BT254,,AH254)*(1-AF254)+INDEX(Models!$BJ254:$BT254,,AH254+1)*AF254-ERP_i)*AE254*Ramure*Pc/MaxiM</f>
        <v>1.3043237103379658E-3</v>
      </c>
      <c r="AE254" s="304">
        <f t="shared" si="89"/>
        <v>0.7</v>
      </c>
      <c r="AF254" s="177">
        <f t="shared" si="90"/>
        <v>0.58406372714928168</v>
      </c>
      <c r="AG254" s="176">
        <f t="shared" si="91"/>
        <v>-1</v>
      </c>
      <c r="AH254" s="176">
        <f t="shared" si="92"/>
        <v>5</v>
      </c>
      <c r="AI254" s="224">
        <f t="shared" si="93"/>
        <v>-0.41593627285071827</v>
      </c>
      <c r="AJ254" s="264" t="b">
        <f t="shared" si="94"/>
        <v>0</v>
      </c>
      <c r="AK254" s="264" t="b">
        <f t="shared" si="95"/>
        <v>0</v>
      </c>
      <c r="AL254" s="264"/>
      <c r="AM254" s="264"/>
      <c r="AN254" s="75"/>
    </row>
    <row r="255" spans="1:40" s="6" customFormat="1" ht="11.25" x14ac:dyDescent="0.2">
      <c r="A255" s="56">
        <f t="shared" si="96"/>
        <v>44071</v>
      </c>
      <c r="B255" s="607">
        <v>7.7549999999999999</v>
      </c>
      <c r="C255" s="388"/>
      <c r="D255" s="391">
        <f t="shared" si="75"/>
        <v>7.8440878672412557</v>
      </c>
      <c r="E255" s="383">
        <f t="shared" si="97"/>
        <v>8.1303526598807849</v>
      </c>
      <c r="F255" s="383">
        <f t="shared" si="76"/>
        <v>8.1303526598807849</v>
      </c>
      <c r="G255" s="110">
        <f t="shared" si="98"/>
        <v>0.15454696756404532</v>
      </c>
      <c r="H255" s="412" t="b">
        <f>Wh_hp&gt;='2019'!Maxi_hp</f>
        <v>0</v>
      </c>
      <c r="I255" s="388">
        <f>IF(H255,Wh_hp,'2019'!Maxi_hp)</f>
        <v>50.538824582767766</v>
      </c>
      <c r="J255" s="85">
        <f>IF(H255,An,'2019'!An_max)</f>
        <v>2018</v>
      </c>
      <c r="K255" s="197">
        <f t="shared" si="77"/>
        <v>44071</v>
      </c>
      <c r="L255" s="147">
        <f>IF(t&lt;Tvie,1-EXP((T0-t)*PertePVj)+'2019'!Pspv,1-EXP((T0-t)*PertePVj)+Pspv)</f>
        <v>1.1357326530380574E-2</v>
      </c>
      <c r="M255" s="832"/>
      <c r="N255" s="832"/>
      <c r="O255" s="48">
        <f>IF(t&lt;Tnet,'2019'!Resal+('2019'!Salim-'2019'!Resal)*(1-EXP(('2019'!Tnet-t)/('2019'!Tau_j))),Resal+(Salim-Resal)*(1-EXP((Tnet-t)/(Tau_j))))*Salcycl</f>
        <v>3.5209394304887003E-2</v>
      </c>
      <c r="P255" s="169">
        <f>(INDEX(Models!$BJ255:$BT255,,T255)*(1-R255)+INDEX(Models!$BJ255:$BT255,,T255+1)*R255-ERP_i)*Q255*Ramure*Pc/MaxiM</f>
        <v>1.2240592987057877E-3</v>
      </c>
      <c r="Q255" s="304">
        <f t="shared" si="78"/>
        <v>0.7</v>
      </c>
      <c r="R255" s="177">
        <f t="shared" si="79"/>
        <v>0.52031393665128522</v>
      </c>
      <c r="S255" s="799">
        <f t="shared" si="80"/>
        <v>-1</v>
      </c>
      <c r="T255" s="176">
        <f t="shared" si="81"/>
        <v>5</v>
      </c>
      <c r="U255" s="250">
        <f t="shared" si="82"/>
        <v>-0.47968606334871472</v>
      </c>
      <c r="V255" s="382">
        <f t="shared" si="83"/>
        <v>50.117498532792276</v>
      </c>
      <c r="W255" s="58"/>
      <c r="X255" s="157">
        <f t="shared" si="84"/>
        <v>44071</v>
      </c>
      <c r="Y255" s="383">
        <f t="shared" si="85"/>
        <v>7.7549999999999999</v>
      </c>
      <c r="Z255" s="383">
        <f t="shared" si="86"/>
        <v>7.8440878672412557</v>
      </c>
      <c r="AA255" s="384">
        <f t="shared" si="87"/>
        <v>8.1303526598807849</v>
      </c>
      <c r="AB255" s="197">
        <f t="shared" si="88"/>
        <v>44071</v>
      </c>
      <c r="AC255" s="424">
        <f>IF(OR(t&lt;Tnet,NoTnet),'2019'!Resal_s+('2019'!Salim-'2019'!Resal_s)*(1-EXP(('2019'!Tnet_s-t)/'2019'!Tau_j)),Resal_s+(Salim-Resal_s)*(1-EXP((Tnet_s-t)/Tau_j)))*Salcycl</f>
        <v>3.5209394304887003E-2</v>
      </c>
      <c r="AD255" s="230">
        <f>(INDEX(Models!$BJ255:$BT255,,AH255)*(1-AF255)+INDEX(Models!$BJ255:$BT255,,AH255+1)*AF255-ERP_i)*AE255*Ramure*Pc/MaxiM</f>
        <v>1.3422739357118265E-3</v>
      </c>
      <c r="AE255" s="304">
        <f t="shared" si="89"/>
        <v>0.7</v>
      </c>
      <c r="AF255" s="177">
        <f t="shared" si="90"/>
        <v>0.58464615891111738</v>
      </c>
      <c r="AG255" s="176">
        <f t="shared" si="91"/>
        <v>-1</v>
      </c>
      <c r="AH255" s="176">
        <f t="shared" si="92"/>
        <v>5</v>
      </c>
      <c r="AI255" s="224">
        <f t="shared" si="93"/>
        <v>-0.41535384108888257</v>
      </c>
      <c r="AJ255" s="264" t="b">
        <f t="shared" si="94"/>
        <v>0</v>
      </c>
      <c r="AK255" s="264" t="b">
        <f t="shared" si="95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6"/>
        <v>44072</v>
      </c>
      <c r="B256" s="607">
        <v>20.404</v>
      </c>
      <c r="C256" s="388"/>
      <c r="D256" s="391">
        <f t="shared" si="75"/>
        <v>20.638792551701862</v>
      </c>
      <c r="E256" s="383">
        <f t="shared" si="97"/>
        <v>21.39290237131452</v>
      </c>
      <c r="F256" s="383">
        <f t="shared" si="76"/>
        <v>21.397085772184663</v>
      </c>
      <c r="G256" s="110">
        <f t="shared" si="98"/>
        <v>0.40809284564865955</v>
      </c>
      <c r="H256" s="412" t="b">
        <f>Wh_hp&gt;='2019'!Maxi_hp</f>
        <v>0</v>
      </c>
      <c r="I256" s="388">
        <f>IF(H256,Wh_hp,'2019'!Maxi_hp)</f>
        <v>50.180898672951905</v>
      </c>
      <c r="J256" s="85">
        <f>IF(H256,An,'2019'!An_max)</f>
        <v>2018</v>
      </c>
      <c r="K256" s="197">
        <f t="shared" si="77"/>
        <v>44072</v>
      </c>
      <c r="L256" s="147">
        <f>IF(t&lt;Tvie,1-EXP((T0-t)*PertePVj)+'2019'!Pspv,1-EXP((T0-t)*PertePVj)+Pspv)</f>
        <v>1.1376273641672041E-2</v>
      </c>
      <c r="M256" s="832"/>
      <c r="N256" s="832"/>
      <c r="O256" s="48">
        <f>IF(t&lt;Tnet,'2019'!Resal+('2019'!Salim-'2019'!Resal)*(1-EXP(('2019'!Tnet-t)/('2019'!Tau_j))),Resal+(Salim-Resal)*(1-EXP((Tnet-t)/(Tau_j))))*Salcycl</f>
        <v>3.5250467960057395E-2</v>
      </c>
      <c r="P256" s="169">
        <f>(INDEX(Models!$BJ256:$BT256,,T256)*(1-R256)+INDEX(Models!$BJ256:$BT256,,T256+1)*R256-ERP_i)*Q256*Ramure*Pc/MaxiM</f>
        <v>1.2610438062539003E-3</v>
      </c>
      <c r="Q256" s="304">
        <f t="shared" si="78"/>
        <v>0.7</v>
      </c>
      <c r="R256" s="177">
        <f t="shared" si="79"/>
        <v>0.52087457470022502</v>
      </c>
      <c r="S256" s="799">
        <f t="shared" si="80"/>
        <v>-1</v>
      </c>
      <c r="T256" s="176">
        <f t="shared" si="81"/>
        <v>5</v>
      </c>
      <c r="U256" s="250">
        <f t="shared" si="82"/>
        <v>-0.47912542529977498</v>
      </c>
      <c r="V256" s="382">
        <f t="shared" si="83"/>
        <v>49.945140837574542</v>
      </c>
      <c r="W256" s="58"/>
      <c r="X256" s="157">
        <f t="shared" si="84"/>
        <v>44072</v>
      </c>
      <c r="Y256" s="383">
        <f t="shared" si="85"/>
        <v>20.403614462162366</v>
      </c>
      <c r="Z256" s="383">
        <f t="shared" si="86"/>
        <v>20.638402577409973</v>
      </c>
      <c r="AA256" s="384">
        <f t="shared" si="87"/>
        <v>21.392498147960232</v>
      </c>
      <c r="AB256" s="197">
        <f t="shared" si="88"/>
        <v>44072</v>
      </c>
      <c r="AC256" s="424">
        <f>IF(OR(t&lt;Tnet,NoTnet),'2019'!Resal_s+('2019'!Salim-'2019'!Resal_s)*(1-EXP(('2019'!Tnet_s-t)/'2019'!Tau_j)),Resal_s+(Salim-Resal_s)*(1-EXP((Tnet_s-t)/Tau_j)))*Salcycl</f>
        <v>3.5250467960057395E-2</v>
      </c>
      <c r="AD256" s="230">
        <f>(INDEX(Models!$BJ256:$BT256,,AH256)*(1-AF256)+INDEX(Models!$BJ256:$BT256,,AH256+1)*AF256-ERP_i)*AE256*Ramure*Pc/MaxiM</f>
        <v>1.3828928408282399E-3</v>
      </c>
      <c r="AE256" s="304">
        <f t="shared" si="89"/>
        <v>0.7</v>
      </c>
      <c r="AF256" s="177">
        <f t="shared" si="90"/>
        <v>0.58520679696005717</v>
      </c>
      <c r="AG256" s="176">
        <f t="shared" si="91"/>
        <v>-1</v>
      </c>
      <c r="AH256" s="176">
        <f t="shared" si="92"/>
        <v>5</v>
      </c>
      <c r="AI256" s="224">
        <f t="shared" si="93"/>
        <v>-0.41479320303994283</v>
      </c>
      <c r="AJ256" s="264" t="b">
        <f t="shared" si="94"/>
        <v>0</v>
      </c>
      <c r="AK256" s="264" t="b">
        <f t="shared" si="95"/>
        <v>0</v>
      </c>
      <c r="AL256" s="264"/>
      <c r="AM256" s="264"/>
      <c r="AN256" s="75"/>
    </row>
    <row r="257" spans="1:40" s="6" customFormat="1" ht="11.25" x14ac:dyDescent="0.2">
      <c r="A257" s="56">
        <f t="shared" si="96"/>
        <v>44073</v>
      </c>
      <c r="B257" s="607">
        <v>24.387</v>
      </c>
      <c r="C257" s="388"/>
      <c r="D257" s="391">
        <f t="shared" si="75"/>
        <v>24.668098418072354</v>
      </c>
      <c r="E257" s="383">
        <f t="shared" si="97"/>
        <v>25.570516038513595</v>
      </c>
      <c r="F257" s="383">
        <f t="shared" si="76"/>
        <v>25.579545122918958</v>
      </c>
      <c r="G257" s="110">
        <f t="shared" si="98"/>
        <v>0.48953822687623338</v>
      </c>
      <c r="H257" s="412" t="b">
        <f>Wh_hp&gt;='2019'!Maxi_hp</f>
        <v>0</v>
      </c>
      <c r="I257" s="388">
        <f>IF(H257,Wh_hp,'2019'!Maxi_hp)</f>
        <v>47.604005187374064</v>
      </c>
      <c r="J257" s="85">
        <f>IF(H257,An,'2019'!An_max)</f>
        <v>2018</v>
      </c>
      <c r="K257" s="197">
        <f t="shared" si="77"/>
        <v>44073</v>
      </c>
      <c r="L257" s="147">
        <f>IF(t&lt;Tvie,1-EXP((T0-t)*PertePVj)+'2019'!Pspv,1-EXP((T0-t)*PertePVj)+Pspv)</f>
        <v>1.1395220389846306E-2</v>
      </c>
      <c r="M257" s="832"/>
      <c r="N257" s="832"/>
      <c r="O257" s="48">
        <f>IF(t&lt;Tnet,'2019'!Resal+('2019'!Salim-'2019'!Resal)*(1-EXP(('2019'!Tnet-t)/('2019'!Tau_j))),Resal+(Salim-Resal)*(1-EXP((Tnet-t)/(Tau_j))))*Salcycl</f>
        <v>3.5291333936399535E-2</v>
      </c>
      <c r="P257" s="169">
        <f>(INDEX(Models!$BJ257:$BT257,,T257)*(1-R257)+INDEX(Models!$BJ257:$BT257,,T257+1)*R257-ERP_i)*Q257*Ramure*Pc/MaxiM</f>
        <v>1.3004369015263578E-3</v>
      </c>
      <c r="Q257" s="304">
        <f t="shared" si="78"/>
        <v>0.7</v>
      </c>
      <c r="R257" s="177">
        <f t="shared" si="79"/>
        <v>0.52141417245198518</v>
      </c>
      <c r="S257" s="799">
        <f t="shared" si="80"/>
        <v>-1</v>
      </c>
      <c r="T257" s="176">
        <f t="shared" si="81"/>
        <v>5</v>
      </c>
      <c r="U257" s="250">
        <f t="shared" si="82"/>
        <v>-0.47858582754801482</v>
      </c>
      <c r="V257" s="382">
        <f t="shared" si="83"/>
        <v>49.76911891251067</v>
      </c>
      <c r="W257" s="58"/>
      <c r="X257" s="157">
        <f t="shared" si="84"/>
        <v>44073</v>
      </c>
      <c r="Y257" s="383">
        <f t="shared" si="85"/>
        <v>24.386167058560016</v>
      </c>
      <c r="Z257" s="383">
        <f t="shared" si="86"/>
        <v>24.667255875676076</v>
      </c>
      <c r="AA257" s="384">
        <f t="shared" si="87"/>
        <v>25.569642673915645</v>
      </c>
      <c r="AB257" s="197">
        <f t="shared" si="88"/>
        <v>44073</v>
      </c>
      <c r="AC257" s="424">
        <f>IF(OR(t&lt;Tnet,NoTnet),'2019'!Resal_s+('2019'!Salim-'2019'!Resal_s)*(1-EXP(('2019'!Tnet_s-t)/'2019'!Tau_j)),Resal_s+(Salim-Resal_s)*(1-EXP((Tnet_s-t)/Tau_j)))*Salcycl</f>
        <v>3.5291333936399535E-2</v>
      </c>
      <c r="AD257" s="230">
        <f>(INDEX(Models!$BJ257:$BT257,,AH257)*(1-AF257)+INDEX(Models!$BJ257:$BT257,,AH257+1)*AF257-ERP_i)*AE257*Ramure*Pc/MaxiM</f>
        <v>1.4262254644274335E-3</v>
      </c>
      <c r="AE257" s="304">
        <f t="shared" si="89"/>
        <v>0.7</v>
      </c>
      <c r="AF257" s="177">
        <f t="shared" si="90"/>
        <v>0.58574639471181733</v>
      </c>
      <c r="AG257" s="176">
        <f t="shared" si="91"/>
        <v>-1</v>
      </c>
      <c r="AH257" s="176">
        <f t="shared" si="92"/>
        <v>5</v>
      </c>
      <c r="AI257" s="224">
        <f t="shared" si="93"/>
        <v>-0.41425360528818267</v>
      </c>
      <c r="AJ257" s="264" t="b">
        <f t="shared" si="94"/>
        <v>0</v>
      </c>
      <c r="AK257" s="264" t="b">
        <f t="shared" si="95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6"/>
        <v>44074</v>
      </c>
      <c r="B258" s="607">
        <v>43.88</v>
      </c>
      <c r="C258" s="388"/>
      <c r="D258" s="391">
        <f t="shared" si="75"/>
        <v>44.386636471260296</v>
      </c>
      <c r="E258" s="383">
        <f t="shared" si="97"/>
        <v>46.012343942165934</v>
      </c>
      <c r="F258" s="383">
        <f t="shared" si="76"/>
        <v>46.064005519888724</v>
      </c>
      <c r="G258" s="110">
        <f t="shared" si="98"/>
        <v>0.88467590460786794</v>
      </c>
      <c r="H258" s="412" t="b">
        <f>Wh_hp&gt;='2019'!Maxi_hp</f>
        <v>1</v>
      </c>
      <c r="I258" s="388">
        <f>IF(H258,Wh_hp,'2019'!Maxi_hp)</f>
        <v>46.064005519888724</v>
      </c>
      <c r="J258" s="85">
        <f>IF(H258,An,'2019'!An_max)</f>
        <v>2020</v>
      </c>
      <c r="K258" s="197">
        <f t="shared" si="77"/>
        <v>44074</v>
      </c>
      <c r="L258" s="147">
        <f>IF(t&lt;Tvie,1-EXP((T0-t)*PertePVj)+'2019'!Pspv,1-EXP((T0-t)*PertePVj)+Pspv)</f>
        <v>1.1414166774910584E-2</v>
      </c>
      <c r="M258" s="832"/>
      <c r="N258" s="832"/>
      <c r="O258" s="48">
        <f>IF(t&lt;Tnet,'2019'!Resal+('2019'!Salim-'2019'!Resal)*(1-EXP(('2019'!Tnet-t)/('2019'!Tau_j))),Resal+(Salim-Resal)*(1-EXP((Tnet-t)/(Tau_j))))*Salcycl</f>
        <v>3.533198554172829E-2</v>
      </c>
      <c r="P258" s="169">
        <f>(INDEX(Models!$BJ258:$BT258,,T258)*(1-R258)+INDEX(Models!$BJ258:$BT258,,T258+1)*R258-ERP_i)*Q258*Ramure*Pc/MaxiM</f>
        <v>1.3422813847951836E-3</v>
      </c>
      <c r="Q258" s="304">
        <f t="shared" si="78"/>
        <v>0.7</v>
      </c>
      <c r="R258" s="177">
        <f t="shared" si="79"/>
        <v>0.52193346203808244</v>
      </c>
      <c r="S258" s="799">
        <f t="shared" si="80"/>
        <v>-1</v>
      </c>
      <c r="T258" s="176">
        <f t="shared" si="81"/>
        <v>5</v>
      </c>
      <c r="U258" s="250">
        <f t="shared" si="82"/>
        <v>-0.47806653796191761</v>
      </c>
      <c r="V258" s="382">
        <f t="shared" si="83"/>
        <v>49.589122712247693</v>
      </c>
      <c r="W258" s="58"/>
      <c r="X258" s="157">
        <f t="shared" si="84"/>
        <v>44074</v>
      </c>
      <c r="Y258" s="383">
        <f t="shared" si="85"/>
        <v>43.875227067780507</v>
      </c>
      <c r="Z258" s="383">
        <f t="shared" si="86"/>
        <v>44.381808430983888</v>
      </c>
      <c r="AA258" s="384">
        <f t="shared" si="87"/>
        <v>46.007339069811877</v>
      </c>
      <c r="AB258" s="197">
        <f t="shared" si="88"/>
        <v>44074</v>
      </c>
      <c r="AC258" s="424">
        <f>IF(OR(t&lt;Tnet,NoTnet),'2019'!Resal_s+('2019'!Salim-'2019'!Resal_s)*(1-EXP(('2019'!Tnet_s-t)/'2019'!Tau_j)),Resal_s+(Salim-Resal_s)*(1-EXP((Tnet_s-t)/Tau_j)))*Salcycl</f>
        <v>3.533198554172829E-2</v>
      </c>
      <c r="AD258" s="230">
        <f>(INDEX(Models!$BJ258:$BT258,,AH258)*(1-AF258)+INDEX(Models!$BJ258:$BT258,,AH258+1)*AF258-ERP_i)*AE258*Ramure*Pc/MaxiM</f>
        <v>1.4723189734685638E-3</v>
      </c>
      <c r="AE258" s="304">
        <f t="shared" si="89"/>
        <v>0.7</v>
      </c>
      <c r="AF258" s="177">
        <f t="shared" si="90"/>
        <v>0.58626568429791459</v>
      </c>
      <c r="AG258" s="176">
        <f t="shared" si="91"/>
        <v>-1</v>
      </c>
      <c r="AH258" s="176">
        <f t="shared" si="92"/>
        <v>5</v>
      </c>
      <c r="AI258" s="224">
        <f t="shared" si="93"/>
        <v>-0.41373431570208546</v>
      </c>
      <c r="AJ258" s="264" t="b">
        <f t="shared" si="94"/>
        <v>0</v>
      </c>
      <c r="AK258" s="264" t="b">
        <f t="shared" si="95"/>
        <v>0</v>
      </c>
      <c r="AL258" s="264"/>
      <c r="AM258" s="264"/>
      <c r="AN258" s="75"/>
    </row>
    <row r="259" spans="1:40" s="6" customFormat="1" ht="11.25" x14ac:dyDescent="0.2">
      <c r="A259" s="56">
        <f t="shared" si="96"/>
        <v>44075</v>
      </c>
      <c r="B259" s="607">
        <v>41.46</v>
      </c>
      <c r="C259" s="388"/>
      <c r="D259" s="391">
        <f t="shared" si="75"/>
        <v>41.939499022973948</v>
      </c>
      <c r="E259" s="383">
        <f t="shared" si="97"/>
        <v>43.477399683418398</v>
      </c>
      <c r="F259" s="383">
        <f t="shared" si="76"/>
        <v>43.523886390433518</v>
      </c>
      <c r="G259" s="110">
        <f t="shared" si="98"/>
        <v>0.83892138737718047</v>
      </c>
      <c r="H259" s="412" t="b">
        <f>Wh_hp&gt;='2019'!Maxi_hp</f>
        <v>0</v>
      </c>
      <c r="I259" s="388">
        <f>IF(H259,Wh_hp,'2019'!Maxi_hp)</f>
        <v>43.932172595785929</v>
      </c>
      <c r="J259" s="85">
        <f>IF(H259,An,'2019'!An_max)</f>
        <v>2018</v>
      </c>
      <c r="K259" s="197">
        <f t="shared" si="77"/>
        <v>44075</v>
      </c>
      <c r="L259" s="147">
        <f>IF(t&lt;Tvie,1-EXP((T0-t)*PertePVj)+'2019'!Pspv,1-EXP((T0-t)*PertePVj)+Pspv)</f>
        <v>1.1433112796871647E-2</v>
      </c>
      <c r="M259" s="832"/>
      <c r="N259" s="832"/>
      <c r="O259" s="48">
        <f>IF(t&lt;Tnet,'2019'!Resal+('2019'!Salim-'2019'!Resal)*(1-EXP(('2019'!Tnet-t)/('2019'!Tau_j))),Resal+(Salim-Resal)*(1-EXP((Tnet-t)/(Tau_j))))*Salcycl</f>
        <v>3.5372415821615481E-2</v>
      </c>
      <c r="P259" s="169">
        <f>(INDEX(Models!$BJ259:$BT259,,T259)*(1-R259)+INDEX(Models!$BJ259:$BT259,,T259+1)*R259-ERP_i)*Q259*Ramure*Pc/MaxiM</f>
        <v>1.3866221550197268E-3</v>
      </c>
      <c r="Q259" s="304">
        <f t="shared" si="78"/>
        <v>0.7</v>
      </c>
      <c r="R259" s="177">
        <f t="shared" si="79"/>
        <v>0.52243315452944761</v>
      </c>
      <c r="S259" s="799">
        <f t="shared" si="80"/>
        <v>-1</v>
      </c>
      <c r="T259" s="176">
        <f t="shared" si="81"/>
        <v>5</v>
      </c>
      <c r="U259" s="250">
        <f t="shared" si="82"/>
        <v>-0.47756684547055234</v>
      </c>
      <c r="V259" s="382">
        <f t="shared" si="83"/>
        <v>49.404842304298782</v>
      </c>
      <c r="W259" s="58"/>
      <c r="X259" s="157">
        <f t="shared" si="84"/>
        <v>44075</v>
      </c>
      <c r="Y259" s="383">
        <f t="shared" si="85"/>
        <v>41.455696875751443</v>
      </c>
      <c r="Z259" s="383">
        <f t="shared" si="86"/>
        <v>41.93514613162764</v>
      </c>
      <c r="AA259" s="384">
        <f t="shared" si="87"/>
        <v>43.472887173701999</v>
      </c>
      <c r="AB259" s="197">
        <f t="shared" si="88"/>
        <v>44075</v>
      </c>
      <c r="AC259" s="424">
        <f>IF(OR(t&lt;Tnet,NoTnet),'2019'!Resal_s+('2019'!Salim-'2019'!Resal_s)*(1-EXP(('2019'!Tnet_s-t)/'2019'!Tau_j)),Resal_s+(Salim-Resal_s)*(1-EXP((Tnet_s-t)/Tau_j)))*Salcycl</f>
        <v>3.5372415821615481E-2</v>
      </c>
      <c r="AD259" s="230">
        <f>(INDEX(Models!$BJ259:$BT259,,AH259)*(1-AF259)+INDEX(Models!$BJ259:$BT259,,AH259+1)*AF259-ERP_i)*AE259*Ramure*Pc/MaxiM</f>
        <v>1.5212229118655167E-3</v>
      </c>
      <c r="AE259" s="304">
        <f t="shared" si="89"/>
        <v>0.7</v>
      </c>
      <c r="AF259" s="177">
        <f t="shared" si="90"/>
        <v>0.58676537678927976</v>
      </c>
      <c r="AG259" s="176">
        <f t="shared" si="91"/>
        <v>-1</v>
      </c>
      <c r="AH259" s="176">
        <f t="shared" si="92"/>
        <v>5</v>
      </c>
      <c r="AI259" s="224">
        <f t="shared" si="93"/>
        <v>-0.41323462321072019</v>
      </c>
      <c r="AJ259" s="264" t="b">
        <f t="shared" si="94"/>
        <v>0</v>
      </c>
      <c r="AK259" s="264" t="b">
        <f t="shared" si="95"/>
        <v>0</v>
      </c>
      <c r="AL259" s="264"/>
      <c r="AM259" s="264"/>
      <c r="AN259" s="75"/>
    </row>
    <row r="260" spans="1:40" s="6" customFormat="1" ht="11.25" x14ac:dyDescent="0.2">
      <c r="A260" s="56">
        <f t="shared" si="96"/>
        <v>44076</v>
      </c>
      <c r="B260" s="607">
        <v>50.548999999999999</v>
      </c>
      <c r="C260" s="388"/>
      <c r="D260" s="391">
        <f t="shared" si="75"/>
        <v>51.134596386933659</v>
      </c>
      <c r="E260" s="383">
        <f t="shared" si="97"/>
        <v>53.01188603215563</v>
      </c>
      <c r="F260" s="383">
        <f t="shared" si="76"/>
        <v>53.087988005048373</v>
      </c>
      <c r="G260" s="110">
        <f t="shared" si="98"/>
        <v>1.027085358403411</v>
      </c>
      <c r="H260" s="412" t="b">
        <f>Wh_hp&gt;='2019'!Maxi_hp</f>
        <v>0</v>
      </c>
      <c r="I260" s="388">
        <f>IF(H260,Wh_hp,'2019'!Maxi_hp)</f>
        <v>53.184089947763461</v>
      </c>
      <c r="J260" s="85">
        <f>IF(H260,An,'2019'!An_max)</f>
        <v>2018</v>
      </c>
      <c r="K260" s="197">
        <f t="shared" si="77"/>
        <v>44076</v>
      </c>
      <c r="L260" s="147">
        <f>IF(t&lt;Tvie,1-EXP((T0-t)*PertePVj)+'2019'!Pspv,1-EXP((T0-t)*PertePVj)+Pspv)</f>
        <v>1.1452058455736602E-2</v>
      </c>
      <c r="M260" s="832"/>
      <c r="N260" s="832"/>
      <c r="O260" s="48">
        <f>IF(t&lt;Tnet,'2019'!Resal+('2019'!Salim-'2019'!Resal)*(1-EXP(('2019'!Tnet-t)/('2019'!Tau_j))),Resal+(Salim-Resal)*(1-EXP((Tnet-t)/(Tau_j))))*Salcycl</f>
        <v>3.5412617541719843E-2</v>
      </c>
      <c r="P260" s="169">
        <f>(INDEX(Models!$BJ260:$BT260,,T260)*(1-R260)+INDEX(Models!$BJ260:$BT260,,T260+1)*R260-ERP_i)*Q260*Ramure*Pc/MaxiM</f>
        <v>1.4335064437835474E-3</v>
      </c>
      <c r="Q260" s="304">
        <f t="shared" si="78"/>
        <v>0.7</v>
      </c>
      <c r="R260" s="177">
        <f t="shared" si="79"/>
        <v>0.52291394019234805</v>
      </c>
      <c r="S260" s="799">
        <f t="shared" si="80"/>
        <v>-1</v>
      </c>
      <c r="T260" s="176">
        <f t="shared" si="81"/>
        <v>5</v>
      </c>
      <c r="U260" s="250">
        <f t="shared" si="82"/>
        <v>-0.47708605980765195</v>
      </c>
      <c r="V260" s="382">
        <f t="shared" si="83"/>
        <v>49.215967871042075</v>
      </c>
      <c r="W260" s="58"/>
      <c r="X260" s="157">
        <f t="shared" si="84"/>
        <v>44076</v>
      </c>
      <c r="Y260" s="383">
        <f t="shared" si="85"/>
        <v>50.541939151224383</v>
      </c>
      <c r="Z260" s="383">
        <f t="shared" si="86"/>
        <v>51.127453740149548</v>
      </c>
      <c r="AA260" s="384">
        <f t="shared" si="87"/>
        <v>53.004481159446314</v>
      </c>
      <c r="AB260" s="197">
        <f t="shared" si="88"/>
        <v>44076</v>
      </c>
      <c r="AC260" s="424">
        <f>IF(OR(t&lt;Tnet,NoTnet),'2019'!Resal_s+('2019'!Salim-'2019'!Resal_s)*(1-EXP(('2019'!Tnet_s-t)/'2019'!Tau_j)),Resal_s+(Salim-Resal_s)*(1-EXP((Tnet_s-t)/Tau_j)))*Salcycl</f>
        <v>3.5412617541719843E-2</v>
      </c>
      <c r="AD260" s="230">
        <f>(INDEX(Models!$BJ260:$BT260,,AH260)*(1-AF260)+INDEX(Models!$BJ260:$BT260,,AH260+1)*AF260-ERP_i)*AE260*Ramure*Pc/MaxiM</f>
        <v>1.5729894603298553E-3</v>
      </c>
      <c r="AE260" s="304">
        <f t="shared" si="89"/>
        <v>0.7</v>
      </c>
      <c r="AF260" s="177">
        <f t="shared" si="90"/>
        <v>0.5872461624521802</v>
      </c>
      <c r="AG260" s="176">
        <f t="shared" si="91"/>
        <v>-1</v>
      </c>
      <c r="AH260" s="176">
        <f t="shared" si="92"/>
        <v>5</v>
      </c>
      <c r="AI260" s="224">
        <f t="shared" si="93"/>
        <v>-0.4127538375478198</v>
      </c>
      <c r="AJ260" s="264" t="b">
        <f t="shared" si="94"/>
        <v>0</v>
      </c>
      <c r="AK260" s="264" t="b">
        <f t="shared" si="95"/>
        <v>0</v>
      </c>
      <c r="AL260" s="264"/>
      <c r="AM260" s="264"/>
      <c r="AN260" s="75"/>
    </row>
    <row r="261" spans="1:40" s="6" customFormat="1" ht="11.25" customHeight="1" x14ac:dyDescent="0.2">
      <c r="A261" s="56">
        <f t="shared" si="96"/>
        <v>44077</v>
      </c>
      <c r="B261" s="607">
        <v>49.113999999999997</v>
      </c>
      <c r="C261" s="388"/>
      <c r="D261" s="391">
        <f t="shared" si="75"/>
        <v>49.683924484147504</v>
      </c>
      <c r="E261" s="383">
        <f t="shared" si="97"/>
        <v>51.5100902425431</v>
      </c>
      <c r="F261" s="383">
        <f t="shared" si="76"/>
        <v>51.586591474312009</v>
      </c>
      <c r="G261" s="110">
        <f t="shared" si="98"/>
        <v>1.0018615373251805</v>
      </c>
      <c r="H261" s="412" t="b">
        <f>Wh_hp&gt;='2019'!Maxi_hp</f>
        <v>0</v>
      </c>
      <c r="I261" s="388">
        <f>IF(H261,Wh_hp,'2019'!Maxi_hp)</f>
        <v>52.707977140675048</v>
      </c>
      <c r="J261" s="85">
        <f>IF(H261,An,'2019'!An_max)</f>
        <v>2018</v>
      </c>
      <c r="K261" s="197">
        <f t="shared" si="77"/>
        <v>44077</v>
      </c>
      <c r="L261" s="147">
        <f>IF(t&lt;Tvie,1-EXP((T0-t)*PertePVj)+'2019'!Pspv,1-EXP((T0-t)*PertePVj)+Pspv)</f>
        <v>1.1471003751512221E-2</v>
      </c>
      <c r="M261" s="832"/>
      <c r="N261" s="832"/>
      <c r="O261" s="48">
        <f>IF(t&lt;Tnet,'2019'!Resal+('2019'!Salim-'2019'!Resal)*(1-EXP(('2019'!Tnet-t)/('2019'!Tau_j))),Resal+(Salim-Resal)*(1-EXP((Tnet-t)/(Tau_j))))*Salcycl</f>
        <v>3.5452583169565788E-2</v>
      </c>
      <c r="P261" s="169">
        <f>(INDEX(Models!$BJ261:$BT261,,T261)*(1-R261)+INDEX(Models!$BJ261:$BT261,,T261+1)*R261-ERP_i)*Q261*Ramure*Pc/MaxiM</f>
        <v>1.4829673677317109E-3</v>
      </c>
      <c r="Q261" s="304">
        <f t="shared" si="78"/>
        <v>0.7</v>
      </c>
      <c r="R261" s="177">
        <f t="shared" si="79"/>
        <v>0.5233764887729595</v>
      </c>
      <c r="S261" s="799">
        <f t="shared" si="80"/>
        <v>-1</v>
      </c>
      <c r="T261" s="176">
        <f t="shared" si="81"/>
        <v>5</v>
      </c>
      <c r="U261" s="250">
        <f t="shared" si="82"/>
        <v>-0.47662351122704055</v>
      </c>
      <c r="V261" s="382">
        <f t="shared" si="83"/>
        <v>49.022742335360022</v>
      </c>
      <c r="W261" s="58"/>
      <c r="X261" s="157">
        <f t="shared" si="84"/>
        <v>44077</v>
      </c>
      <c r="Y261" s="383">
        <f t="shared" si="85"/>
        <v>49.106883238674975</v>
      </c>
      <c r="Z261" s="383">
        <f t="shared" si="86"/>
        <v>49.676725139108527</v>
      </c>
      <c r="AA261" s="384">
        <f t="shared" si="87"/>
        <v>51.502626280778905</v>
      </c>
      <c r="AB261" s="197">
        <f t="shared" si="88"/>
        <v>44077</v>
      </c>
      <c r="AC261" s="424">
        <f>IF(OR(t&lt;Tnet,NoTnet),'2019'!Resal_s+('2019'!Salim-'2019'!Resal_s)*(1-EXP(('2019'!Tnet_s-t)/'2019'!Tau_j)),Resal_s+(Salim-Resal_s)*(1-EXP((Tnet_s-t)/Tau_j)))*Salcycl</f>
        <v>3.5452583169565788E-2</v>
      </c>
      <c r="AD261" s="230">
        <f>(INDEX(Models!$BJ261:$BT261,,AH261)*(1-AF261)+INDEX(Models!$BJ261:$BT261,,AH261+1)*AF261-ERP_i)*AE261*Ramure*Pc/MaxiM</f>
        <v>1.627655387445382E-3</v>
      </c>
      <c r="AE261" s="304">
        <f t="shared" si="89"/>
        <v>0.7</v>
      </c>
      <c r="AF261" s="177">
        <f t="shared" si="90"/>
        <v>0.58770871103279165</v>
      </c>
      <c r="AG261" s="176">
        <f t="shared" si="91"/>
        <v>-1</v>
      </c>
      <c r="AH261" s="176">
        <f t="shared" si="92"/>
        <v>5</v>
      </c>
      <c r="AI261" s="224">
        <f t="shared" si="93"/>
        <v>-0.4122912889672084</v>
      </c>
      <c r="AJ261" s="264" t="b">
        <f t="shared" si="94"/>
        <v>0</v>
      </c>
      <c r="AK261" s="264" t="b">
        <f t="shared" si="95"/>
        <v>0</v>
      </c>
      <c r="AL261" s="264"/>
      <c r="AM261" s="264"/>
      <c r="AN261" s="75"/>
    </row>
    <row r="262" spans="1:40" s="6" customFormat="1" ht="11.25" x14ac:dyDescent="0.2">
      <c r="A262" s="56">
        <f t="shared" si="96"/>
        <v>44078</v>
      </c>
      <c r="B262" s="607">
        <v>49.844999999999999</v>
      </c>
      <c r="C262" s="388"/>
      <c r="D262" s="391">
        <f t="shared" si="75"/>
        <v>50.424373463529164</v>
      </c>
      <c r="E262" s="383">
        <f t="shared" si="97"/>
        <v>52.279907892302873</v>
      </c>
      <c r="F262" s="383">
        <f t="shared" si="76"/>
        <v>52.360214050968047</v>
      </c>
      <c r="G262" s="110">
        <f t="shared" si="98"/>
        <v>1.0208752824597729</v>
      </c>
      <c r="H262" s="412" t="b">
        <f>Wh_hp&gt;='2019'!Maxi_hp</f>
        <v>1</v>
      </c>
      <c r="I262" s="388">
        <f>IF(H262,Wh_hp,'2019'!Maxi_hp)</f>
        <v>52.360214050968047</v>
      </c>
      <c r="J262" s="85">
        <f>IF(H262,An,'2019'!An_max)</f>
        <v>2020</v>
      </c>
      <c r="K262" s="197">
        <f t="shared" si="77"/>
        <v>44078</v>
      </c>
      <c r="L262" s="147">
        <f>IF(t&lt;Tvie,1-EXP((T0-t)*PertePVj)+'2019'!Pspv,1-EXP((T0-t)*PertePVj)+Pspv)</f>
        <v>1.1489948684205609E-2</v>
      </c>
      <c r="M262" s="832"/>
      <c r="N262" s="832"/>
      <c r="O262" s="48">
        <f>IF(t&lt;Tnet,'2019'!Resal+('2019'!Salim-'2019'!Resal)*(1-EXP(('2019'!Tnet-t)/('2019'!Tau_j))),Resal+(Salim-Resal)*(1-EXP((Tnet-t)/(Tau_j))))*Salcycl</f>
        <v>3.54923048563155E-2</v>
      </c>
      <c r="P262" s="169">
        <f>(INDEX(Models!$BJ262:$BT262,,T262)*(1-R262)+INDEX(Models!$BJ262:$BT262,,T262+1)*R262-ERP_i)*Q262*Ramure*Pc/MaxiM</f>
        <v>1.5337247969804738E-3</v>
      </c>
      <c r="Q262" s="304">
        <f t="shared" si="78"/>
        <v>0.7</v>
      </c>
      <c r="R262" s="177">
        <f t="shared" si="79"/>
        <v>0.52382144980717693</v>
      </c>
      <c r="S262" s="799">
        <f t="shared" si="80"/>
        <v>-1</v>
      </c>
      <c r="T262" s="176">
        <f t="shared" si="81"/>
        <v>5</v>
      </c>
      <c r="U262" s="250">
        <f t="shared" si="82"/>
        <v>-0.47617855019282307</v>
      </c>
      <c r="V262" s="382">
        <f t="shared" si="83"/>
        <v>48.825748704484006</v>
      </c>
      <c r="W262" s="58"/>
      <c r="X262" s="157">
        <f t="shared" si="84"/>
        <v>44078</v>
      </c>
      <c r="Y262" s="383">
        <f t="shared" si="85"/>
        <v>49.837508073674293</v>
      </c>
      <c r="Z262" s="383">
        <f t="shared" si="86"/>
        <v>50.416794454781879</v>
      </c>
      <c r="AA262" s="384">
        <f t="shared" si="87"/>
        <v>52.272049988436009</v>
      </c>
      <c r="AB262" s="197">
        <f t="shared" si="88"/>
        <v>44078</v>
      </c>
      <c r="AC262" s="424">
        <f>IF(OR(t&lt;Tnet,NoTnet),'2019'!Resal_s+('2019'!Salim-'2019'!Resal_s)*(1-EXP(('2019'!Tnet_s-t)/'2019'!Tau_j)),Resal_s+(Salim-Resal_s)*(1-EXP((Tnet_s-t)/Tau_j)))*Salcycl</f>
        <v>3.54923048563155E-2</v>
      </c>
      <c r="AD262" s="230">
        <f>(INDEX(Models!$BJ262:$BT262,,AH262)*(1-AF262)+INDEX(Models!$BJ262:$BT262,,AH262+1)*AF262-ERP_i)*AE262*Ramure*Pc/MaxiM</f>
        <v>1.6837987416594407E-3</v>
      </c>
      <c r="AE262" s="304">
        <f t="shared" si="89"/>
        <v>0.7</v>
      </c>
      <c r="AF262" s="177">
        <f t="shared" si="90"/>
        <v>0.58815367206700908</v>
      </c>
      <c r="AG262" s="176">
        <f t="shared" si="91"/>
        <v>-1</v>
      </c>
      <c r="AH262" s="176">
        <f t="shared" si="92"/>
        <v>5</v>
      </c>
      <c r="AI262" s="224">
        <f t="shared" si="93"/>
        <v>-0.41184632793299092</v>
      </c>
      <c r="AJ262" s="264" t="b">
        <f t="shared" si="94"/>
        <v>0</v>
      </c>
      <c r="AK262" s="264" t="b">
        <f t="shared" si="95"/>
        <v>0</v>
      </c>
      <c r="AL262" s="264"/>
      <c r="AM262" s="264"/>
      <c r="AN262" s="75"/>
    </row>
    <row r="263" spans="1:40" s="6" customFormat="1" ht="11.25" x14ac:dyDescent="0.2">
      <c r="A263" s="56">
        <f t="shared" si="96"/>
        <v>44079</v>
      </c>
      <c r="B263" s="607">
        <v>41.268999999999998</v>
      </c>
      <c r="C263" s="388"/>
      <c r="D263" s="391">
        <f t="shared" si="75"/>
        <v>41.749490428745972</v>
      </c>
      <c r="E263" s="383">
        <f t="shared" si="97"/>
        <v>43.287574770646458</v>
      </c>
      <c r="F263" s="383">
        <f t="shared" si="76"/>
        <v>43.341357732724511</v>
      </c>
      <c r="G263" s="110">
        <f t="shared" si="98"/>
        <v>0.84842512111511148</v>
      </c>
      <c r="H263" s="412" t="b">
        <f>Wh_hp&gt;='2019'!Maxi_hp</f>
        <v>0</v>
      </c>
      <c r="I263" s="388">
        <f>IF(H263,Wh_hp,'2019'!Maxi_hp)</f>
        <v>51.253626858987126</v>
      </c>
      <c r="J263" s="85">
        <f>IF(H263,An,'2019'!An_max)</f>
        <v>2018</v>
      </c>
      <c r="K263" s="197">
        <f t="shared" si="77"/>
        <v>44079</v>
      </c>
      <c r="L263" s="147">
        <f>IF(t&lt;Tvie,1-EXP((T0-t)*PertePVj)+'2019'!Pspv,1-EXP((T0-t)*PertePVj)+Pspv)</f>
        <v>1.150889325382376E-2</v>
      </c>
      <c r="M263" s="832"/>
      <c r="N263" s="832"/>
      <c r="O263" s="48">
        <f>IF(t&lt;Tnet,'2019'!Resal+('2019'!Salim-'2019'!Resal)*(1-EXP(('2019'!Tnet-t)/('2019'!Tau_j))),Resal+(Salim-Resal)*(1-EXP((Tnet-t)/(Tau_j))))*Salcycl</f>
        <v>3.5531774419098973E-2</v>
      </c>
      <c r="P263" s="169">
        <f>(INDEX(Models!$BJ263:$BT263,,T263)*(1-R263)+INDEX(Models!$BJ263:$BT263,,T263+1)*R263-ERP_i)*Q263*Ramure*Pc/MaxiM</f>
        <v>1.5830430995209248E-3</v>
      </c>
      <c r="Q263" s="304">
        <f t="shared" si="78"/>
        <v>0.7</v>
      </c>
      <c r="R263" s="177">
        <f t="shared" si="79"/>
        <v>0.52424945295248226</v>
      </c>
      <c r="S263" s="799">
        <f t="shared" si="80"/>
        <v>-1</v>
      </c>
      <c r="T263" s="176">
        <f t="shared" si="81"/>
        <v>5</v>
      </c>
      <c r="U263" s="250">
        <f t="shared" si="82"/>
        <v>-0.47575054704751774</v>
      </c>
      <c r="V263" s="382">
        <f t="shared" si="83"/>
        <v>48.625225923050913</v>
      </c>
      <c r="W263" s="58"/>
      <c r="X263" s="157">
        <f t="shared" si="84"/>
        <v>44079</v>
      </c>
      <c r="Y263" s="383">
        <f t="shared" si="85"/>
        <v>41.263968740167726</v>
      </c>
      <c r="Z263" s="383">
        <f t="shared" si="86"/>
        <v>41.744400590508747</v>
      </c>
      <c r="AA263" s="384">
        <f t="shared" si="87"/>
        <v>43.28229741873146</v>
      </c>
      <c r="AB263" s="197">
        <f t="shared" si="88"/>
        <v>44079</v>
      </c>
      <c r="AC263" s="424">
        <f>IF(OR(t&lt;Tnet,NoTnet),'2019'!Resal_s+('2019'!Salim-'2019'!Resal_s)*(1-EXP(('2019'!Tnet_s-t)/'2019'!Tau_j)),Resal_s+(Salim-Resal_s)*(1-EXP((Tnet_s-t)/Tau_j)))*Salcycl</f>
        <v>3.5531774419098973E-2</v>
      </c>
      <c r="AD263" s="230">
        <f>(INDEX(Models!$BJ263:$BT263,,AH263)*(1-AF263)+INDEX(Models!$BJ263:$BT263,,AH263+1)*AF263-ERP_i)*AE263*Ramure*Pc/MaxiM</f>
        <v>1.7383762238040844E-3</v>
      </c>
      <c r="AE263" s="304">
        <f t="shared" si="89"/>
        <v>0.7</v>
      </c>
      <c r="AF263" s="177">
        <f t="shared" si="90"/>
        <v>0.58858167521231441</v>
      </c>
      <c r="AG263" s="176">
        <f t="shared" si="91"/>
        <v>-1</v>
      </c>
      <c r="AH263" s="176">
        <f t="shared" si="92"/>
        <v>5</v>
      </c>
      <c r="AI263" s="224">
        <f t="shared" si="93"/>
        <v>-0.41141832478768559</v>
      </c>
      <c r="AJ263" s="264" t="b">
        <f t="shared" si="94"/>
        <v>0</v>
      </c>
      <c r="AK263" s="264" t="b">
        <f t="shared" si="95"/>
        <v>0</v>
      </c>
      <c r="AL263" s="264"/>
      <c r="AM263" s="264"/>
      <c r="AN263" s="75"/>
    </row>
    <row r="264" spans="1:40" s="6" customFormat="1" ht="11.25" x14ac:dyDescent="0.2">
      <c r="A264" s="56">
        <f t="shared" si="96"/>
        <v>44080</v>
      </c>
      <c r="B264" s="607">
        <v>23.001000000000001</v>
      </c>
      <c r="C264" s="388"/>
      <c r="D264" s="391">
        <f t="shared" si="75"/>
        <v>23.269244063388502</v>
      </c>
      <c r="E264" s="383">
        <f t="shared" si="97"/>
        <v>24.127482335195413</v>
      </c>
      <c r="F264" s="383">
        <f t="shared" si="76"/>
        <v>24.13732479767997</v>
      </c>
      <c r="G264" s="110">
        <f t="shared" si="98"/>
        <v>0.47443718375568361</v>
      </c>
      <c r="H264" s="412" t="b">
        <f>Wh_hp&gt;='2019'!Maxi_hp</f>
        <v>0</v>
      </c>
      <c r="I264" s="388">
        <f>IF(H264,Wh_hp,'2019'!Maxi_hp)</f>
        <v>52.759985924745806</v>
      </c>
      <c r="J264" s="85">
        <f>IF(H264,An,'2019'!An_max)</f>
        <v>2018</v>
      </c>
      <c r="K264" s="197">
        <f t="shared" si="77"/>
        <v>44080</v>
      </c>
      <c r="L264" s="147">
        <f>IF(t&lt;Tvie,1-EXP((T0-t)*PertePVj)+'2019'!Pspv,1-EXP((T0-t)*PertePVj)+Pspv)</f>
        <v>1.1527837460373447E-2</v>
      </c>
      <c r="M264" s="832"/>
      <c r="N264" s="832"/>
      <c r="O264" s="48">
        <f>IF(t&lt;Tnet,'2019'!Resal+('2019'!Salim-'2019'!Resal)*(1-EXP(('2019'!Tnet-t)/('2019'!Tau_j))),Resal+(Salim-Resal)*(1-EXP((Tnet-t)/(Tau_j))))*Salcycl</f>
        <v>3.557098332447961E-2</v>
      </c>
      <c r="P264" s="169">
        <f>(INDEX(Models!$BJ264:$BT264,,T264)*(1-R264)+INDEX(Models!$BJ264:$BT264,,T264+1)*R264-ERP_i)*Q264*Ramure*Pc/MaxiM</f>
        <v>1.6309058189476219E-3</v>
      </c>
      <c r="Q264" s="304">
        <f t="shared" si="78"/>
        <v>0.7</v>
      </c>
      <c r="R264" s="177">
        <f t="shared" si="79"/>
        <v>0.52466110833891233</v>
      </c>
      <c r="S264" s="799">
        <f t="shared" si="80"/>
        <v>-1</v>
      </c>
      <c r="T264" s="176">
        <f t="shared" si="81"/>
        <v>5</v>
      </c>
      <c r="U264" s="250">
        <f t="shared" si="82"/>
        <v>-0.47533889166108767</v>
      </c>
      <c r="V264" s="382">
        <f t="shared" si="83"/>
        <v>48.421278831481743</v>
      </c>
      <c r="W264" s="58"/>
      <c r="X264" s="157">
        <f t="shared" si="84"/>
        <v>44080</v>
      </c>
      <c r="Y264" s="383">
        <f t="shared" si="85"/>
        <v>23.000076813987146</v>
      </c>
      <c r="Z264" s="383">
        <f t="shared" si="86"/>
        <v>23.268310110923437</v>
      </c>
      <c r="AA264" s="384">
        <f t="shared" si="87"/>
        <v>24.126513935812032</v>
      </c>
      <c r="AB264" s="197">
        <f t="shared" si="88"/>
        <v>44080</v>
      </c>
      <c r="AC264" s="424">
        <f>IF(OR(t&lt;Tnet,NoTnet),'2019'!Resal_s+('2019'!Salim-'2019'!Resal_s)*(1-EXP(('2019'!Tnet_s-t)/'2019'!Tau_j)),Resal_s+(Salim-Resal_s)*(1-EXP((Tnet_s-t)/Tau_j)))*Salcycl</f>
        <v>3.557098332447961E-2</v>
      </c>
      <c r="AD264" s="230">
        <f>(INDEX(Models!$BJ264:$BT264,,AH264)*(1-AF264)+INDEX(Models!$BJ264:$BT264,,AH264+1)*AF264-ERP_i)*AE264*Ramure*Pc/MaxiM</f>
        <v>1.7913705595449978E-3</v>
      </c>
      <c r="AE264" s="304">
        <f t="shared" si="89"/>
        <v>0.7</v>
      </c>
      <c r="AF264" s="177">
        <f t="shared" si="90"/>
        <v>0.58899333059874448</v>
      </c>
      <c r="AG264" s="176">
        <f t="shared" si="91"/>
        <v>-1</v>
      </c>
      <c r="AH264" s="176">
        <f t="shared" si="92"/>
        <v>5</v>
      </c>
      <c r="AI264" s="224">
        <f t="shared" si="93"/>
        <v>-0.41100666940125552</v>
      </c>
      <c r="AJ264" s="264" t="b">
        <f t="shared" si="94"/>
        <v>0</v>
      </c>
      <c r="AK264" s="264" t="b">
        <f t="shared" si="95"/>
        <v>0</v>
      </c>
      <c r="AL264" s="264"/>
      <c r="AM264" s="264"/>
      <c r="AN264" s="75"/>
    </row>
    <row r="265" spans="1:40" s="6" customFormat="1" ht="11.25" x14ac:dyDescent="0.2">
      <c r="A265" s="56">
        <f t="shared" si="96"/>
        <v>44081</v>
      </c>
      <c r="B265" s="607">
        <v>45.901000000000003</v>
      </c>
      <c r="C265" s="388"/>
      <c r="D265" s="391">
        <f t="shared" si="75"/>
        <v>46.437200195015492</v>
      </c>
      <c r="E265" s="383">
        <f t="shared" si="97"/>
        <v>48.151885100017054</v>
      </c>
      <c r="F265" s="383">
        <f t="shared" si="76"/>
        <v>48.227232610216525</v>
      </c>
      <c r="G265" s="110">
        <f t="shared" si="98"/>
        <v>0.9519165323510308</v>
      </c>
      <c r="H265" s="412" t="b">
        <f>Wh_hp&gt;='2019'!Maxi_hp</f>
        <v>1</v>
      </c>
      <c r="I265" s="388">
        <f>IF(H265,Wh_hp,'2019'!Maxi_hp)</f>
        <v>48.227232610216525</v>
      </c>
      <c r="J265" s="85">
        <f>IF(H265,An,'2019'!An_max)</f>
        <v>2020</v>
      </c>
      <c r="K265" s="197">
        <f t="shared" si="77"/>
        <v>44081</v>
      </c>
      <c r="L265" s="147">
        <f>IF(t&lt;Tvie,1-EXP((T0-t)*PertePVj)+'2019'!Pspv,1-EXP((T0-t)*PertePVj)+Pspv)</f>
        <v>1.1546781303861775E-2</v>
      </c>
      <c r="M265" s="832"/>
      <c r="N265" s="832"/>
      <c r="O265" s="48">
        <f>IF(t&lt;Tnet,'2019'!Resal+('2019'!Salim-'2019'!Resal)*(1-EXP(('2019'!Tnet-t)/('2019'!Tau_j))),Resal+(Salim-Resal)*(1-EXP((Tnet-t)/(Tau_j))))*Salcycl</f>
        <v>3.5609922673639001E-2</v>
      </c>
      <c r="P265" s="169">
        <f>(INDEX(Models!$BJ265:$BT265,,T265)*(1-R265)+INDEX(Models!$BJ265:$BT265,,T265+1)*R265-ERP_i)*Q265*Ramure*Pc/MaxiM</f>
        <v>1.6772955566314292E-3</v>
      </c>
      <c r="Q265" s="304">
        <f t="shared" si="78"/>
        <v>0.7</v>
      </c>
      <c r="R265" s="177">
        <f t="shared" si="79"/>
        <v>0.52505700693638901</v>
      </c>
      <c r="S265" s="799">
        <f t="shared" si="80"/>
        <v>-1</v>
      </c>
      <c r="T265" s="176">
        <f t="shared" si="81"/>
        <v>5</v>
      </c>
      <c r="U265" s="250">
        <f t="shared" si="82"/>
        <v>-0.47494299306361099</v>
      </c>
      <c r="V265" s="382">
        <f t="shared" si="83"/>
        <v>48.21401223310383</v>
      </c>
      <c r="W265" s="58"/>
      <c r="X265" s="157">
        <f t="shared" si="84"/>
        <v>44081</v>
      </c>
      <c r="Y265" s="383">
        <f t="shared" si="85"/>
        <v>45.893914315596646</v>
      </c>
      <c r="Z265" s="383">
        <f t="shared" si="86"/>
        <v>46.430031738006768</v>
      </c>
      <c r="AA265" s="384">
        <f t="shared" si="87"/>
        <v>48.144451949078174</v>
      </c>
      <c r="AB265" s="197">
        <f t="shared" si="88"/>
        <v>44081</v>
      </c>
      <c r="AC265" s="424">
        <f>IF(OR(t&lt;Tnet,NoTnet),'2019'!Resal_s+('2019'!Salim-'2019'!Resal_s)*(1-EXP(('2019'!Tnet_s-t)/'2019'!Tau_j)),Resal_s+(Salim-Resal_s)*(1-EXP((Tnet_s-t)/Tau_j)))*Salcycl</f>
        <v>3.5609922673639001E-2</v>
      </c>
      <c r="AD265" s="230">
        <f>(INDEX(Models!$BJ265:$BT265,,AH265)*(1-AF265)+INDEX(Models!$BJ265:$BT265,,AH265+1)*AF265-ERP_i)*AE265*Ramure*Pc/MaxiM</f>
        <v>1.8427634136123432E-3</v>
      </c>
      <c r="AE265" s="304">
        <f t="shared" si="89"/>
        <v>0.7</v>
      </c>
      <c r="AF265" s="177">
        <f t="shared" si="90"/>
        <v>0.58938922919622116</v>
      </c>
      <c r="AG265" s="176">
        <f t="shared" si="91"/>
        <v>-1</v>
      </c>
      <c r="AH265" s="176">
        <f t="shared" si="92"/>
        <v>5</v>
      </c>
      <c r="AI265" s="224">
        <f t="shared" si="93"/>
        <v>-0.41061077080377884</v>
      </c>
      <c r="AJ265" s="264" t="b">
        <f t="shared" si="94"/>
        <v>0</v>
      </c>
      <c r="AK265" s="264" t="b">
        <f t="shared" si="95"/>
        <v>0</v>
      </c>
      <c r="AL265" s="264"/>
      <c r="AM265" s="264"/>
      <c r="AN265" s="75"/>
    </row>
    <row r="266" spans="1:40" s="6" customFormat="1" ht="11.25" x14ac:dyDescent="0.2">
      <c r="A266" s="56">
        <f t="shared" si="96"/>
        <v>44082</v>
      </c>
      <c r="B266" s="607">
        <v>47.14</v>
      </c>
      <c r="C266" s="388"/>
      <c r="D266" s="391">
        <f t="shared" si="75"/>
        <v>47.691587778775393</v>
      </c>
      <c r="E266" s="383">
        <f t="shared" si="97"/>
        <v>49.454573247300971</v>
      </c>
      <c r="F266" s="383">
        <f t="shared" si="76"/>
        <v>49.53769434119436</v>
      </c>
      <c r="G266" s="110">
        <f t="shared" si="98"/>
        <v>0.98196756172366595</v>
      </c>
      <c r="H266" s="412" t="b">
        <f>Wh_hp&gt;='2019'!Maxi_hp</f>
        <v>1</v>
      </c>
      <c r="I266" s="388">
        <f>IF(H266,Wh_hp,'2019'!Maxi_hp)</f>
        <v>49.53769434119436</v>
      </c>
      <c r="J266" s="85">
        <f>IF(H266,An,'2019'!An_max)</f>
        <v>2020</v>
      </c>
      <c r="K266" s="197">
        <f t="shared" si="77"/>
        <v>44082</v>
      </c>
      <c r="L266" s="147">
        <f>IF(t&lt;Tvie,1-EXP((T0-t)*PertePVj)+'2019'!Pspv,1-EXP((T0-t)*PertePVj)+Pspv)</f>
        <v>1.1565724784295628E-2</v>
      </c>
      <c r="M266" s="832"/>
      <c r="N266" s="832"/>
      <c r="O266" s="48">
        <f>IF(t&lt;Tnet,'2019'!Resal+('2019'!Salim-'2019'!Resal)*(1-EXP(('2019'!Tnet-t)/('2019'!Tau_j))),Resal+(Salim-Resal)*(1-EXP((Tnet-t)/(Tau_j))))*Salcycl</f>
        <v>3.564858318986288E-2</v>
      </c>
      <c r="P266" s="169">
        <f>(INDEX(Models!$BJ266:$BT266,,T266)*(1-R266)+INDEX(Models!$BJ266:$BT266,,T266+1)*R266-ERP_i)*Q266*Ramure*Pc/MaxiM</f>
        <v>1.7221939538732318E-3</v>
      </c>
      <c r="Q266" s="304">
        <f t="shared" si="78"/>
        <v>0.7</v>
      </c>
      <c r="R266" s="177">
        <f t="shared" si="79"/>
        <v>0.52543772093587315</v>
      </c>
      <c r="S266" s="799">
        <f t="shared" si="80"/>
        <v>-1</v>
      </c>
      <c r="T266" s="176">
        <f t="shared" si="81"/>
        <v>5</v>
      </c>
      <c r="U266" s="250">
        <f t="shared" si="82"/>
        <v>-0.47456227906412685</v>
      </c>
      <c r="V266" s="382">
        <f t="shared" si="83"/>
        <v>48.003530893933075</v>
      </c>
      <c r="W266" s="58"/>
      <c r="X266" s="157">
        <f t="shared" si="84"/>
        <v>44082</v>
      </c>
      <c r="Y266" s="383">
        <f t="shared" si="85"/>
        <v>47.132163311804447</v>
      </c>
      <c r="Z266" s="383">
        <f t="shared" si="86"/>
        <v>47.683659393052586</v>
      </c>
      <c r="AA266" s="384">
        <f t="shared" si="87"/>
        <v>49.446351777840142</v>
      </c>
      <c r="AB266" s="197">
        <f t="shared" si="88"/>
        <v>44082</v>
      </c>
      <c r="AC266" s="424">
        <f>IF(OR(t&lt;Tnet,NoTnet),'2019'!Resal_s+('2019'!Salim-'2019'!Resal_s)*(1-EXP(('2019'!Tnet_s-t)/'2019'!Tau_j)),Resal_s+(Salim-Resal_s)*(1-EXP((Tnet_s-t)/Tau_j)))*Salcycl</f>
        <v>3.564858318986288E-2</v>
      </c>
      <c r="AD266" s="230">
        <f>(INDEX(Models!$BJ266:$BT266,,AH266)*(1-AF266)+INDEX(Models!$BJ266:$BT266,,AH266+1)*AF266-ERP_i)*AE266*Ramure*Pc/MaxiM</f>
        <v>1.8925353718476834E-3</v>
      </c>
      <c r="AE266" s="304">
        <f t="shared" si="89"/>
        <v>0.7</v>
      </c>
      <c r="AF266" s="177">
        <f t="shared" si="90"/>
        <v>0.5897699431957053</v>
      </c>
      <c r="AG266" s="176">
        <f t="shared" si="91"/>
        <v>-1</v>
      </c>
      <c r="AH266" s="176">
        <f t="shared" si="92"/>
        <v>5</v>
      </c>
      <c r="AI266" s="224">
        <f t="shared" si="93"/>
        <v>-0.4102300568042947</v>
      </c>
      <c r="AJ266" s="264" t="b">
        <f t="shared" si="94"/>
        <v>0</v>
      </c>
      <c r="AK266" s="264" t="b">
        <f t="shared" si="95"/>
        <v>0</v>
      </c>
      <c r="AL266" s="264"/>
      <c r="AM266" s="264"/>
      <c r="AN266" s="75"/>
    </row>
    <row r="267" spans="1:40" s="6" customFormat="1" ht="11.25" x14ac:dyDescent="0.2">
      <c r="A267" s="56">
        <f t="shared" si="96"/>
        <v>44083</v>
      </c>
      <c r="B267" s="607">
        <v>22.149000000000001</v>
      </c>
      <c r="C267" s="388"/>
      <c r="D267" s="391">
        <f t="shared" si="75"/>
        <v>22.408596144476679</v>
      </c>
      <c r="E267" s="383">
        <f t="shared" si="97"/>
        <v>23.237885524333134</v>
      </c>
      <c r="F267" s="383">
        <f t="shared" si="76"/>
        <v>23.247470527052144</v>
      </c>
      <c r="G267" s="110">
        <f t="shared" si="98"/>
        <v>0.46283828939471372</v>
      </c>
      <c r="H267" s="412" t="b">
        <f>Wh_hp&gt;='2019'!Maxi_hp</f>
        <v>1</v>
      </c>
      <c r="I267" s="388">
        <f>IF(H267,Wh_hp,'2019'!Maxi_hp)</f>
        <v>23.247470527052144</v>
      </c>
      <c r="J267" s="85">
        <f>IF(H267,An,'2019'!An_max)</f>
        <v>2020</v>
      </c>
      <c r="K267" s="197">
        <f t="shared" si="77"/>
        <v>44083</v>
      </c>
      <c r="L267" s="147">
        <f>IF(t&lt;Tvie,1-EXP((T0-t)*PertePVj)+'2019'!Pspv,1-EXP((T0-t)*PertePVj)+Pspv)</f>
        <v>1.1584667901682111E-2</v>
      </c>
      <c r="M267" s="832"/>
      <c r="N267" s="832"/>
      <c r="O267" s="48">
        <f>IF(t&lt;Tnet,'2019'!Resal+('2019'!Salim-'2019'!Resal)*(1-EXP(('2019'!Tnet-t)/('2019'!Tau_j))),Resal+(Salim-Resal)*(1-EXP((Tnet-t)/(Tau_j))))*Salcycl</f>
        <v>3.5686955208901368E-2</v>
      </c>
      <c r="P267" s="169">
        <f>(INDEX(Models!$BJ267:$BT267,,T267)*(1-R267)+INDEX(Models!$BJ267:$BT267,,T267+1)*R267-ERP_i)*Q267*Ramure*Pc/MaxiM</f>
        <v>1.765581675781431E-3</v>
      </c>
      <c r="Q267" s="304">
        <f t="shared" si="78"/>
        <v>0.7</v>
      </c>
      <c r="R267" s="177">
        <f t="shared" si="79"/>
        <v>0.525803804142005</v>
      </c>
      <c r="S267" s="799">
        <f t="shared" si="80"/>
        <v>-1</v>
      </c>
      <c r="T267" s="176">
        <f t="shared" si="81"/>
        <v>5</v>
      </c>
      <c r="U267" s="250">
        <f t="shared" si="82"/>
        <v>-0.47419619585799494</v>
      </c>
      <c r="V267" s="382">
        <f t="shared" si="83"/>
        <v>47.789939542383635</v>
      </c>
      <c r="W267" s="58"/>
      <c r="X267" s="157">
        <f t="shared" si="84"/>
        <v>44083</v>
      </c>
      <c r="Y267" s="383">
        <f t="shared" si="85"/>
        <v>22.148094040004295</v>
      </c>
      <c r="Z267" s="383">
        <f t="shared" si="86"/>
        <v>22.407679566226335</v>
      </c>
      <c r="AA267" s="384">
        <f t="shared" si="87"/>
        <v>23.236935025679927</v>
      </c>
      <c r="AB267" s="197">
        <f t="shared" si="88"/>
        <v>44083</v>
      </c>
      <c r="AC267" s="424">
        <f>IF(OR(t&lt;Tnet,NoTnet),'2019'!Resal_s+('2019'!Salim-'2019'!Resal_s)*(1-EXP(('2019'!Tnet_s-t)/'2019'!Tau_j)),Resal_s+(Salim-Resal_s)*(1-EXP((Tnet_s-t)/Tau_j)))*Salcycl</f>
        <v>3.5686955208901368E-2</v>
      </c>
      <c r="AD267" s="230">
        <f>(INDEX(Models!$BJ267:$BT267,,AH267)*(1-AF267)+INDEX(Models!$BJ267:$BT267,,AH267+1)*AF267-ERP_i)*AE267*Ramure*Pc/MaxiM</f>
        <v>1.940665925014552E-3</v>
      </c>
      <c r="AE267" s="304">
        <f t="shared" si="89"/>
        <v>0.7</v>
      </c>
      <c r="AF267" s="177">
        <f t="shared" si="90"/>
        <v>0.59013602640183715</v>
      </c>
      <c r="AG267" s="176">
        <f t="shared" si="91"/>
        <v>-1</v>
      </c>
      <c r="AH267" s="176">
        <f t="shared" si="92"/>
        <v>5</v>
      </c>
      <c r="AI267" s="224">
        <f t="shared" si="93"/>
        <v>-0.40986397359816279</v>
      </c>
      <c r="AJ267" s="264" t="b">
        <f t="shared" si="94"/>
        <v>0</v>
      </c>
      <c r="AK267" s="264" t="b">
        <f t="shared" si="95"/>
        <v>0</v>
      </c>
      <c r="AL267" s="264"/>
      <c r="AM267" s="264"/>
      <c r="AN267" s="75"/>
    </row>
    <row r="268" spans="1:40" s="6" customFormat="1" ht="11.25" x14ac:dyDescent="0.2">
      <c r="A268" s="56">
        <f t="shared" si="96"/>
        <v>44084</v>
      </c>
      <c r="B268" s="607">
        <v>39.405999999999999</v>
      </c>
      <c r="C268" s="388"/>
      <c r="D268" s="391">
        <f t="shared" si="75"/>
        <v>39.868619943214206</v>
      </c>
      <c r="E268" s="383">
        <f t="shared" si="97"/>
        <v>41.345696122692637</v>
      </c>
      <c r="F268" s="383">
        <f t="shared" si="76"/>
        <v>41.402055999367946</v>
      </c>
      <c r="G268" s="110">
        <f t="shared" si="98"/>
        <v>0.8279509578183285</v>
      </c>
      <c r="H268" s="412" t="b">
        <f>Wh_hp&gt;='2019'!Maxi_hp</f>
        <v>1</v>
      </c>
      <c r="I268" s="388">
        <f>IF(H268,Wh_hp,'2019'!Maxi_hp)</f>
        <v>41.402055999367946</v>
      </c>
      <c r="J268" s="85">
        <f>IF(H268,An,'2019'!An_max)</f>
        <v>2020</v>
      </c>
      <c r="K268" s="197">
        <f t="shared" si="77"/>
        <v>44084</v>
      </c>
      <c r="L268" s="147">
        <f>IF(t&lt;Tvie,1-EXP((T0-t)*PertePVj)+'2019'!Pspv,1-EXP((T0-t)*PertePVj)+Pspv)</f>
        <v>1.1603610656027996E-2</v>
      </c>
      <c r="M268" s="832"/>
      <c r="N268" s="832"/>
      <c r="O268" s="48">
        <f>IF(t&lt;Tnet,'2019'!Resal+('2019'!Salim-'2019'!Resal)*(1-EXP(('2019'!Tnet-t)/('2019'!Tau_j))),Resal+(Salim-Resal)*(1-EXP((Tnet-t)/(Tau_j))))*Salcycl</f>
        <v>3.5725028672760346E-2</v>
      </c>
      <c r="P268" s="169">
        <f>(INDEX(Models!$BJ268:$BT268,,T268)*(1-R268)+INDEX(Models!$BJ268:$BT268,,T268+1)*R268-ERP_i)*Q268*Ramure*Pc/MaxiM</f>
        <v>1.8036441685476794E-3</v>
      </c>
      <c r="Q268" s="304">
        <f t="shared" si="78"/>
        <v>0.7</v>
      </c>
      <c r="R268" s="177">
        <f t="shared" si="79"/>
        <v>0.52615579237507437</v>
      </c>
      <c r="S268" s="799">
        <f t="shared" si="80"/>
        <v>-1</v>
      </c>
      <c r="T268" s="176">
        <f t="shared" si="81"/>
        <v>5</v>
      </c>
      <c r="U268" s="250">
        <f t="shared" si="82"/>
        <v>-0.47384420762492557</v>
      </c>
      <c r="V268" s="382">
        <f t="shared" si="83"/>
        <v>47.573523703955146</v>
      </c>
      <c r="W268" s="58"/>
      <c r="X268" s="157">
        <f t="shared" si="84"/>
        <v>44084</v>
      </c>
      <c r="Y268" s="383">
        <f t="shared" si="85"/>
        <v>39.40066241243904</v>
      </c>
      <c r="Z268" s="383">
        <f t="shared" si="86"/>
        <v>39.863219693255282</v>
      </c>
      <c r="AA268" s="384">
        <f t="shared" si="87"/>
        <v>41.340095801083656</v>
      </c>
      <c r="AB268" s="197">
        <f t="shared" si="88"/>
        <v>44084</v>
      </c>
      <c r="AC268" s="424">
        <f>IF(OR(t&lt;Tnet,NoTnet),'2019'!Resal_s+('2019'!Salim-'2019'!Resal_s)*(1-EXP(('2019'!Tnet_s-t)/'2019'!Tau_j)),Resal_s+(Salim-Resal_s)*(1-EXP((Tnet_s-t)/Tau_j)))*Salcycl</f>
        <v>3.5725028672760346E-2</v>
      </c>
      <c r="AD268" s="230">
        <f>(INDEX(Models!$BJ268:$BT268,,AH268)*(1-AF268)+INDEX(Models!$BJ268:$BT268,,AH268+1)*AF268-ERP_i)*AE268*Ramure*Pc/MaxiM</f>
        <v>1.9828671904541383E-3</v>
      </c>
      <c r="AE268" s="304">
        <f t="shared" si="89"/>
        <v>0.7</v>
      </c>
      <c r="AF268" s="177">
        <f t="shared" si="90"/>
        <v>0.59048801463490652</v>
      </c>
      <c r="AG268" s="176">
        <f t="shared" si="91"/>
        <v>-1</v>
      </c>
      <c r="AH268" s="176">
        <f t="shared" si="92"/>
        <v>5</v>
      </c>
      <c r="AI268" s="224">
        <f t="shared" si="93"/>
        <v>-0.40951198536509342</v>
      </c>
      <c r="AJ268" s="264" t="b">
        <f t="shared" si="94"/>
        <v>0</v>
      </c>
      <c r="AK268" s="264" t="b">
        <f t="shared" si="95"/>
        <v>0</v>
      </c>
      <c r="AL268" s="264"/>
      <c r="AM268" s="264"/>
      <c r="AN268" s="75"/>
    </row>
    <row r="269" spans="1:40" s="6" customFormat="1" ht="11.25" x14ac:dyDescent="0.2">
      <c r="A269" s="56">
        <f t="shared" si="96"/>
        <v>44085</v>
      </c>
      <c r="B269" s="607">
        <v>44.353999999999999</v>
      </c>
      <c r="C269" s="388"/>
      <c r="D269" s="391">
        <f t="shared" si="75"/>
        <v>44.875568677483614</v>
      </c>
      <c r="E269" s="383">
        <f t="shared" si="97"/>
        <v>46.539967922452774</v>
      </c>
      <c r="F269" s="383">
        <f t="shared" si="76"/>
        <v>46.617850917302405</v>
      </c>
      <c r="G269" s="110">
        <f t="shared" si="98"/>
        <v>0.93648430056215748</v>
      </c>
      <c r="H269" s="412" t="b">
        <f>Wh_hp&gt;='2019'!Maxi_hp</f>
        <v>0</v>
      </c>
      <c r="I269" s="388">
        <f>IF(H269,Wh_hp,'2019'!Maxi_hp)</f>
        <v>50.45491962020855</v>
      </c>
      <c r="J269" s="85">
        <f>IF(H269,An,'2019'!An_max)</f>
        <v>2018</v>
      </c>
      <c r="K269" s="197">
        <f t="shared" si="77"/>
        <v>44085</v>
      </c>
      <c r="L269" s="147">
        <f>IF(t&lt;Tvie,1-EXP((T0-t)*PertePVj)+'2019'!Pspv,1-EXP((T0-t)*PertePVj)+Pspv)</f>
        <v>1.1622553047340278E-2</v>
      </c>
      <c r="M269" s="832"/>
      <c r="N269" s="832"/>
      <c r="O269" s="48">
        <f>IF(t&lt;Tnet,'2019'!Resal+('2019'!Salim-'2019'!Resal)*(1-EXP(('2019'!Tnet-t)/('2019'!Tau_j))),Resal+(Salim-Resal)*(1-EXP((Tnet-t)/(Tau_j))))*Salcycl</f>
        <v>3.5762793127456838E-2</v>
      </c>
      <c r="P269" s="169">
        <f>(INDEX(Models!$BJ269:$BT269,,T269)*(1-R269)+INDEX(Models!$BJ269:$BT269,,T269+1)*R269-ERP_i)*Q269*Ramure*Pc/MaxiM</f>
        <v>1.8369372104069643E-3</v>
      </c>
      <c r="Q269" s="304">
        <f t="shared" si="78"/>
        <v>0.7</v>
      </c>
      <c r="R269" s="177">
        <f t="shared" si="79"/>
        <v>0.52649420388034396</v>
      </c>
      <c r="S269" s="799">
        <f t="shared" si="80"/>
        <v>-1</v>
      </c>
      <c r="T269" s="176">
        <f t="shared" si="81"/>
        <v>5</v>
      </c>
      <c r="U269" s="250">
        <f t="shared" si="82"/>
        <v>-0.47350579611965599</v>
      </c>
      <c r="V269" s="382">
        <f t="shared" si="83"/>
        <v>47.354358176193955</v>
      </c>
      <c r="W269" s="58"/>
      <c r="X269" s="157">
        <f t="shared" si="84"/>
        <v>44085</v>
      </c>
      <c r="Y269" s="383">
        <f t="shared" si="85"/>
        <v>44.346614402513097</v>
      </c>
      <c r="Z269" s="383">
        <f t="shared" si="86"/>
        <v>44.868096231092132</v>
      </c>
      <c r="AA269" s="384">
        <f t="shared" si="87"/>
        <v>46.532218328952105</v>
      </c>
      <c r="AB269" s="197">
        <f t="shared" si="88"/>
        <v>44085</v>
      </c>
      <c r="AC269" s="424">
        <f>IF(OR(t&lt;Tnet,NoTnet),'2019'!Resal_s+('2019'!Salim-'2019'!Resal_s)*(1-EXP(('2019'!Tnet_s-t)/'2019'!Tau_j)),Resal_s+(Salim-Resal_s)*(1-EXP((Tnet_s-t)/Tau_j)))*Salcycl</f>
        <v>3.5762793127456838E-2</v>
      </c>
      <c r="AD269" s="230">
        <f>(INDEX(Models!$BJ269:$BT269,,AH269)*(1-AF269)+INDEX(Models!$BJ269:$BT269,,AH269+1)*AF269-ERP_i)*AE269*Ramure*Pc/MaxiM</f>
        <v>2.01971801762164E-3</v>
      </c>
      <c r="AE269" s="304">
        <f t="shared" si="89"/>
        <v>0.7</v>
      </c>
      <c r="AF269" s="177">
        <f t="shared" si="90"/>
        <v>0.59082642614017611</v>
      </c>
      <c r="AG269" s="176">
        <f t="shared" si="91"/>
        <v>-1</v>
      </c>
      <c r="AH269" s="176">
        <f t="shared" si="92"/>
        <v>5</v>
      </c>
      <c r="AI269" s="224">
        <f t="shared" si="93"/>
        <v>-0.40917357385982384</v>
      </c>
      <c r="AJ269" s="264" t="b">
        <f t="shared" si="94"/>
        <v>0</v>
      </c>
      <c r="AK269" s="264" t="b">
        <f t="shared" si="95"/>
        <v>0</v>
      </c>
      <c r="AL269" s="264"/>
      <c r="AM269" s="264"/>
      <c r="AN269" s="75"/>
    </row>
    <row r="270" spans="1:40" s="6" customFormat="1" ht="11.25" x14ac:dyDescent="0.2">
      <c r="A270" s="56">
        <f t="shared" si="96"/>
        <v>44086</v>
      </c>
      <c r="B270" s="607">
        <v>45.811</v>
      </c>
      <c r="C270" s="388"/>
      <c r="D270" s="391">
        <f t="shared" si="75"/>
        <v>46.350590167183633</v>
      </c>
      <c r="E270" s="383">
        <f t="shared" si="97"/>
        <v>48.071563570843857</v>
      </c>
      <c r="F270" s="383">
        <f t="shared" si="76"/>
        <v>48.157798418886934</v>
      </c>
      <c r="G270" s="110">
        <f t="shared" si="98"/>
        <v>0.97188828544944772</v>
      </c>
      <c r="H270" s="412" t="b">
        <f>Wh_hp&gt;='2019'!Maxi_hp</f>
        <v>1</v>
      </c>
      <c r="I270" s="388">
        <f>IF(H270,Wh_hp,'2019'!Maxi_hp)</f>
        <v>48.157798418886934</v>
      </c>
      <c r="J270" s="85">
        <f>IF(H270,An,'2019'!An_max)</f>
        <v>2020</v>
      </c>
      <c r="K270" s="197">
        <f t="shared" si="77"/>
        <v>44086</v>
      </c>
      <c r="L270" s="147">
        <f>IF(t&lt;Tvie,1-EXP((T0-t)*PertePVj)+'2019'!Pspv,1-EXP((T0-t)*PertePVj)+Pspv)</f>
        <v>1.1641495075626063E-2</v>
      </c>
      <c r="M270" s="832"/>
      <c r="N270" s="832"/>
      <c r="O270" s="48">
        <f>IF(t&lt;Tnet,'2019'!Resal+('2019'!Salim-'2019'!Resal)*(1-EXP(('2019'!Tnet-t)/('2019'!Tau_j))),Resal+(Salim-Resal)*(1-EXP((Tnet-t)/(Tau_j))))*Salcycl</f>
        <v>3.5800237725240561E-2</v>
      </c>
      <c r="P270" s="169">
        <f>(INDEX(Models!$BJ270:$BT270,,T270)*(1-R270)+INDEX(Models!$BJ270:$BT270,,T270+1)*R270-ERP_i)*Q270*Ramure*Pc/MaxiM</f>
        <v>1.8653920615682128E-3</v>
      </c>
      <c r="Q270" s="304">
        <f t="shared" si="78"/>
        <v>0.7</v>
      </c>
      <c r="R270" s="177">
        <f t="shared" si="79"/>
        <v>0.52681953974291207</v>
      </c>
      <c r="S270" s="799">
        <f t="shared" si="80"/>
        <v>-1</v>
      </c>
      <c r="T270" s="176">
        <f t="shared" si="81"/>
        <v>5</v>
      </c>
      <c r="U270" s="250">
        <f t="shared" si="82"/>
        <v>-0.47318046025708793</v>
      </c>
      <c r="V270" s="382">
        <f t="shared" si="83"/>
        <v>47.132547608779696</v>
      </c>
      <c r="W270" s="58"/>
      <c r="X270" s="157">
        <f t="shared" si="84"/>
        <v>44086</v>
      </c>
      <c r="Y270" s="383">
        <f t="shared" si="85"/>
        <v>45.802816779445436</v>
      </c>
      <c r="Z270" s="383">
        <f t="shared" si="86"/>
        <v>46.342310559618369</v>
      </c>
      <c r="AA270" s="384">
        <f t="shared" si="87"/>
        <v>48.062976545738465</v>
      </c>
      <c r="AB270" s="197">
        <f t="shared" si="88"/>
        <v>44086</v>
      </c>
      <c r="AC270" s="424">
        <f>IF(OR(t&lt;Tnet,NoTnet),'2019'!Resal_s+('2019'!Salim-'2019'!Resal_s)*(1-EXP(('2019'!Tnet_s-t)/'2019'!Tau_j)),Resal_s+(Salim-Resal_s)*(1-EXP((Tnet_s-t)/Tau_j)))*Salcycl</f>
        <v>3.5800237725240561E-2</v>
      </c>
      <c r="AD270" s="230">
        <f>(INDEX(Models!$BJ270:$BT270,,AH270)*(1-AF270)+INDEX(Models!$BJ270:$BT270,,AH270+1)*AF270-ERP_i)*AE270*Ramure*Pc/MaxiM</f>
        <v>2.0511425885024496E-3</v>
      </c>
      <c r="AE270" s="304">
        <f t="shared" si="89"/>
        <v>0.7</v>
      </c>
      <c r="AF270" s="177">
        <f t="shared" si="90"/>
        <v>0.59115176200274422</v>
      </c>
      <c r="AG270" s="176">
        <f t="shared" si="91"/>
        <v>-1</v>
      </c>
      <c r="AH270" s="176">
        <f t="shared" si="92"/>
        <v>5</v>
      </c>
      <c r="AI270" s="224">
        <f t="shared" si="93"/>
        <v>-0.40884823799725578</v>
      </c>
      <c r="AJ270" s="264" t="b">
        <f t="shared" si="94"/>
        <v>0</v>
      </c>
      <c r="AK270" s="264" t="b">
        <f t="shared" si="95"/>
        <v>0</v>
      </c>
      <c r="AL270" s="264"/>
      <c r="AM270" s="264"/>
      <c r="AN270" s="75"/>
    </row>
    <row r="271" spans="1:40" s="6" customFormat="1" ht="11.25" x14ac:dyDescent="0.2">
      <c r="A271" s="56">
        <f t="shared" si="96"/>
        <v>44087</v>
      </c>
      <c r="B271" s="607">
        <v>45.53</v>
      </c>
      <c r="C271" s="388"/>
      <c r="D271" s="391">
        <f t="shared" ref="D271:D334" si="99">Wh/(1-Ppv)</f>
        <v>46.067163242825316</v>
      </c>
      <c r="E271" s="383">
        <f t="shared" si="97"/>
        <v>47.779452254946243</v>
      </c>
      <c r="F271" s="383">
        <f t="shared" ref="F271:F334" si="100">Wh_sa/(1-Pvg*MEDIAN((-Sdif+Wh/Env_an)/Csdif,0,1))</f>
        <v>47.866073313841895</v>
      </c>
      <c r="G271" s="110">
        <f t="shared" si="98"/>
        <v>0.97054218700240791</v>
      </c>
      <c r="H271" s="412" t="b">
        <f>Wh_hp&gt;='2019'!Maxi_hp</f>
        <v>1</v>
      </c>
      <c r="I271" s="388">
        <f>IF(H271,Wh_hp,'2019'!Maxi_hp)</f>
        <v>47.866073313841895</v>
      </c>
      <c r="J271" s="85">
        <f>IF(H271,An,'2019'!An_max)</f>
        <v>2020</v>
      </c>
      <c r="K271" s="197">
        <f t="shared" ref="K271:K334" si="101">t</f>
        <v>44087</v>
      </c>
      <c r="L271" s="147">
        <f>IF(t&lt;Tvie,1-EXP((T0-t)*PertePVj)+'2019'!Pspv,1-EXP((T0-t)*PertePVj)+Pspv)</f>
        <v>1.1660436740892122E-2</v>
      </c>
      <c r="M271" s="832"/>
      <c r="N271" s="832"/>
      <c r="O271" s="48">
        <f>IF(t&lt;Tnet,'2019'!Resal+('2019'!Salim-'2019'!Resal)*(1-EXP(('2019'!Tnet-t)/('2019'!Tau_j))),Resal+(Salim-Resal)*(1-EXP((Tnet-t)/(Tau_j))))*Salcycl</f>
        <v>3.5837351231745564E-2</v>
      </c>
      <c r="P271" s="169">
        <f>(INDEX(Models!$BJ271:$BT271,,T271)*(1-R271)+INDEX(Models!$BJ271:$BT271,,T271+1)*R271-ERP_i)*Q271*Ramure*Pc/MaxiM</f>
        <v>1.8889379477869965E-3</v>
      </c>
      <c r="Q271" s="304">
        <f t="shared" ref="Q271:Q334" si="102">IF(OR(t&lt;Ttai,Notai),Dd+PousD*Croivg,Dens+PousD*(Croivg-Croi_tai))</f>
        <v>0.7</v>
      </c>
      <c r="R271" s="177">
        <f t="shared" ref="R271:R334" si="103">(Hp_vg-S271)/(INDEX(Echel_vg,T271+1)-S271)</f>
        <v>0.52713228430646053</v>
      </c>
      <c r="S271" s="799">
        <f t="shared" ref="S271:S334" si="104">INDEX(Echel_vg,T271)</f>
        <v>-1</v>
      </c>
      <c r="T271" s="176">
        <f t="shared" ref="T271:T334" si="105">MIN(MATCH(Hp_vg,Echel_vg),10)</f>
        <v>5</v>
      </c>
      <c r="U271" s="250">
        <f t="shared" ref="U271:U334" si="106">IF(OR(t&lt;Ttai,Notai),Hdd+PousH*Croivg,Hdtf+PousH*(Croivg-Croi_tai))</f>
        <v>-0.47286771569353947</v>
      </c>
      <c r="V271" s="382">
        <f t="shared" ref="V271:V334" si="107">MaxiM*(1-Ppv)*(1-Pvg)*(1-Psa)</f>
        <v>46.908196566586696</v>
      </c>
      <c r="W271" s="58"/>
      <c r="X271" s="157">
        <f t="shared" ref="X271:X334" si="108">t</f>
        <v>44087</v>
      </c>
      <c r="Y271" s="383">
        <f t="shared" ref="Y271:Y334" si="109">Wh_pvt_s*(1-Ppv)</f>
        <v>45.521779309445556</v>
      </c>
      <c r="Z271" s="383">
        <f t="shared" ref="Z271:Z334" si="110">Wh_sa_s*(1-Psa_s)</f>
        <v>46.058845564509035</v>
      </c>
      <c r="AA271" s="384">
        <f t="shared" ref="AA271:AA334" si="111">Wh_hp*(1-Pvg_s*MEDIAN((-Sdif+Wh/Env_an)/Csdif,0,1))</f>
        <v>47.770825413482399</v>
      </c>
      <c r="AB271" s="197">
        <f t="shared" ref="AB271:AB334" si="112">t</f>
        <v>44087</v>
      </c>
      <c r="AC271" s="424">
        <f>IF(OR(t&lt;Tnet,NoTnet),'2019'!Resal_s+('2019'!Salim-'2019'!Resal_s)*(1-EXP(('2019'!Tnet_s-t)/'2019'!Tau_j)),Resal_s+(Salim-Resal_s)*(1-EXP((Tnet_s-t)/Tau_j)))*Salcycl</f>
        <v>3.5837351231745564E-2</v>
      </c>
      <c r="AD271" s="230">
        <f>(INDEX(Models!$BJ271:$BT271,,AH271)*(1-AF271)+INDEX(Models!$BJ271:$BT271,,AH271+1)*AF271-ERP_i)*AE271*Ramure*Pc/MaxiM</f>
        <v>2.0770627342805879E-3</v>
      </c>
      <c r="AE271" s="304">
        <f t="shared" ref="AE271:AE334" si="113">IF(OR(t&lt;Ttai,Notai),Dd_s+PousD*Croivg,Dens_s+PousD*(Croivg-Croi_tai))</f>
        <v>0.7</v>
      </c>
      <c r="AF271" s="177">
        <f t="shared" ref="AF271:AF334" si="114">(Hp_vg_s-AG271)/(INDEX(Echel_vg,AH271+1)-AG271)</f>
        <v>0.59146450656629268</v>
      </c>
      <c r="AG271" s="176">
        <f t="shared" ref="AG271:AG334" si="115">INDEX(Echel_vg,AH271)</f>
        <v>-1</v>
      </c>
      <c r="AH271" s="176">
        <f t="shared" ref="AH271:AH334" si="116">MIN(MATCH(Hp_vg_s,Echel_vg),10)</f>
        <v>5</v>
      </c>
      <c r="AI271" s="224">
        <f t="shared" ref="AI271:AI334" si="117">IF(OR(t&lt;Ttai,Notai),Hdd_s+PousH*Croivg,Hdtai_s+PousH*(Croivg-Croi_tai))</f>
        <v>-0.40853549343370732</v>
      </c>
      <c r="AJ271" s="264" t="b">
        <f t="shared" ref="AJ271:AJ334" si="118">t&lt;Tnet</f>
        <v>0</v>
      </c>
      <c r="AK271" s="264" t="b">
        <f t="shared" ref="AK271:AK334" si="119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0">A271+1</f>
        <v>44088</v>
      </c>
      <c r="B272" s="607">
        <v>46.895000000000003</v>
      </c>
      <c r="C272" s="388"/>
      <c r="D272" s="391">
        <f t="shared" si="99"/>
        <v>47.449176874553991</v>
      </c>
      <c r="E272" s="383">
        <f t="shared" si="97"/>
        <v>49.214711438798609</v>
      </c>
      <c r="F272" s="383">
        <f t="shared" si="100"/>
        <v>49.308768016515323</v>
      </c>
      <c r="G272" s="110">
        <f t="shared" si="98"/>
        <v>1.0045754930942619</v>
      </c>
      <c r="H272" s="412" t="b">
        <f>Wh_hp&gt;='2019'!Maxi_hp</f>
        <v>1</v>
      </c>
      <c r="I272" s="388">
        <f>IF(H272,Wh_hp,'2019'!Maxi_hp)</f>
        <v>49.308768016515323</v>
      </c>
      <c r="J272" s="85">
        <f>IF(H272,An,'2019'!An_max)</f>
        <v>2020</v>
      </c>
      <c r="K272" s="197">
        <f t="shared" si="101"/>
        <v>44088</v>
      </c>
      <c r="L272" s="147">
        <f>IF(t&lt;Tvie,1-EXP((T0-t)*PertePVj)+'2019'!Pspv,1-EXP((T0-t)*PertePVj)+Pspv)</f>
        <v>1.167937804314545E-2</v>
      </c>
      <c r="M272" s="832"/>
      <c r="N272" s="832"/>
      <c r="O272" s="48">
        <f>IF(t&lt;Tnet,'2019'!Resal+('2019'!Salim-'2019'!Resal)*(1-EXP(('2019'!Tnet-t)/('2019'!Tau_j))),Resal+(Salim-Resal)*(1-EXP((Tnet-t)/(Tau_j))))*Salcycl</f>
        <v>3.5874122038491801E-2</v>
      </c>
      <c r="P272" s="169">
        <f>(INDEX(Models!$BJ272:$BT272,,T272)*(1-R272)+INDEX(Models!$BJ272:$BT272,,T272+1)*R272-ERP_i)*Q272*Ramure*Pc/MaxiM</f>
        <v>1.907502083305165E-3</v>
      </c>
      <c r="Q272" s="304">
        <f t="shared" si="102"/>
        <v>0.7</v>
      </c>
      <c r="R272" s="177">
        <f t="shared" si="103"/>
        <v>0.52743290559437894</v>
      </c>
      <c r="S272" s="799">
        <f t="shared" si="104"/>
        <v>-1</v>
      </c>
      <c r="T272" s="176">
        <f t="shared" si="105"/>
        <v>5</v>
      </c>
      <c r="U272" s="250">
        <f t="shared" si="106"/>
        <v>-0.472567094405621</v>
      </c>
      <c r="V272" s="382">
        <f t="shared" si="107"/>
        <v>46.681409533051109</v>
      </c>
      <c r="W272" s="58"/>
      <c r="X272" s="157">
        <f t="shared" si="108"/>
        <v>44088</v>
      </c>
      <c r="Y272" s="383">
        <f t="shared" si="109"/>
        <v>46.886077813486807</v>
      </c>
      <c r="Z272" s="383">
        <f t="shared" si="110"/>
        <v>47.440149251012627</v>
      </c>
      <c r="AA272" s="384">
        <f t="shared" si="111"/>
        <v>49.205347906766413</v>
      </c>
      <c r="AB272" s="197">
        <f t="shared" si="112"/>
        <v>44088</v>
      </c>
      <c r="AC272" s="424">
        <f>IF(OR(t&lt;Tnet,NoTnet),'2019'!Resal_s+('2019'!Salim-'2019'!Resal_s)*(1-EXP(('2019'!Tnet_s-t)/'2019'!Tau_j)),Resal_s+(Salim-Resal_s)*(1-EXP((Tnet_s-t)/Tau_j)))*Salcycl</f>
        <v>3.5874122038491801E-2</v>
      </c>
      <c r="AD272" s="230">
        <f>(INDEX(Models!$BJ272:$BT272,,AH272)*(1-AF272)+INDEX(Models!$BJ272:$BT272,,AH272+1)*AF272-ERP_i)*AE272*Ramure*Pc/MaxiM</f>
        <v>2.0973979661035379E-3</v>
      </c>
      <c r="AE272" s="304">
        <f t="shared" si="113"/>
        <v>0.7</v>
      </c>
      <c r="AF272" s="177">
        <f t="shared" si="114"/>
        <v>0.59176512785421109</v>
      </c>
      <c r="AG272" s="176">
        <f t="shared" si="115"/>
        <v>-1</v>
      </c>
      <c r="AH272" s="176">
        <f t="shared" si="116"/>
        <v>5</v>
      </c>
      <c r="AI272" s="224">
        <f t="shared" si="117"/>
        <v>-0.40823487214578885</v>
      </c>
      <c r="AJ272" s="264" t="b">
        <f t="shared" si="118"/>
        <v>0</v>
      </c>
      <c r="AK272" s="264" t="b">
        <f t="shared" si="119"/>
        <v>0</v>
      </c>
      <c r="AL272" s="264"/>
      <c r="AM272" s="264"/>
      <c r="AN272" s="75"/>
    </row>
    <row r="273" spans="1:40" s="6" customFormat="1" ht="11.25" x14ac:dyDescent="0.2">
      <c r="A273" s="56">
        <f t="shared" si="120"/>
        <v>44089</v>
      </c>
      <c r="B273" s="607">
        <v>38.533999999999999</v>
      </c>
      <c r="C273" s="388"/>
      <c r="D273" s="391">
        <f t="shared" si="99"/>
        <v>38.990118847438751</v>
      </c>
      <c r="E273" s="383">
        <f t="shared" si="97"/>
        <v>40.442428209803495</v>
      </c>
      <c r="F273" s="383">
        <f t="shared" si="100"/>
        <v>40.501285261763243</v>
      </c>
      <c r="G273" s="110">
        <f t="shared" si="98"/>
        <v>0.8291506617357669</v>
      </c>
      <c r="H273" s="412" t="b">
        <f>Wh_hp&gt;='2019'!Maxi_hp</f>
        <v>0</v>
      </c>
      <c r="I273" s="388">
        <f>IF(H273,Wh_hp,'2019'!Maxi_hp)</f>
        <v>44.025352482191991</v>
      </c>
      <c r="J273" s="85">
        <f>IF(H273,An,'2019'!An_max)</f>
        <v>2018</v>
      </c>
      <c r="K273" s="197">
        <f t="shared" si="101"/>
        <v>44089</v>
      </c>
      <c r="L273" s="147">
        <f>IF(t&lt;Tvie,1-EXP((T0-t)*PertePVj)+'2019'!Pspv,1-EXP((T0-t)*PertePVj)+Pspv)</f>
        <v>1.1698318982393041E-2</v>
      </c>
      <c r="M273" s="832"/>
      <c r="N273" s="832"/>
      <c r="O273" s="48">
        <f>IF(t&lt;Tnet,'2019'!Resal+('2019'!Salim-'2019'!Resal)*(1-EXP(('2019'!Tnet-t)/('2019'!Tau_j))),Resal+(Salim-Resal)*(1-EXP((Tnet-t)/(Tau_j))))*Salcycl</f>
        <v>3.5910538181105039E-2</v>
      </c>
      <c r="P273" s="169">
        <f>(INDEX(Models!$BJ273:$BT273,,T273)*(1-R273)+INDEX(Models!$BJ273:$BT273,,T273+1)*R273-ERP_i)*Q273*Ramure*Pc/MaxiM</f>
        <v>1.9210097034941815E-3</v>
      </c>
      <c r="Q273" s="304">
        <f t="shared" si="102"/>
        <v>0.7</v>
      </c>
      <c r="R273" s="177">
        <f t="shared" si="103"/>
        <v>0.52772185573189545</v>
      </c>
      <c r="S273" s="799">
        <f t="shared" si="104"/>
        <v>-1</v>
      </c>
      <c r="T273" s="176">
        <f t="shared" si="105"/>
        <v>5</v>
      </c>
      <c r="U273" s="250">
        <f t="shared" si="106"/>
        <v>-0.47227814426810449</v>
      </c>
      <c r="V273" s="382">
        <f t="shared" si="107"/>
        <v>46.452290904881806</v>
      </c>
      <c r="W273" s="58"/>
      <c r="X273" s="157">
        <f t="shared" si="108"/>
        <v>44089</v>
      </c>
      <c r="Y273" s="383">
        <f t="shared" si="109"/>
        <v>38.528422545035504</v>
      </c>
      <c r="Z273" s="383">
        <f t="shared" si="110"/>
        <v>38.984475373313771</v>
      </c>
      <c r="AA273" s="384">
        <f t="shared" si="111"/>
        <v>40.436574526770457</v>
      </c>
      <c r="AB273" s="197">
        <f t="shared" si="112"/>
        <v>44089</v>
      </c>
      <c r="AC273" s="424">
        <f>IF(OR(t&lt;Tnet,NoTnet),'2019'!Resal_s+('2019'!Salim-'2019'!Resal_s)*(1-EXP(('2019'!Tnet_s-t)/'2019'!Tau_j)),Resal_s+(Salim-Resal_s)*(1-EXP((Tnet_s-t)/Tau_j)))*Salcycl</f>
        <v>3.5910538181105039E-2</v>
      </c>
      <c r="AD273" s="230">
        <f>(INDEX(Models!$BJ273:$BT273,,AH273)*(1-AF273)+INDEX(Models!$BJ273:$BT273,,AH273+1)*AF273-ERP_i)*AE273*Ramure*Pc/MaxiM</f>
        <v>2.1120655164039576E-3</v>
      </c>
      <c r="AE273" s="304">
        <f t="shared" si="113"/>
        <v>0.7</v>
      </c>
      <c r="AF273" s="177">
        <f t="shared" si="114"/>
        <v>0.5920540779917276</v>
      </c>
      <c r="AG273" s="176">
        <f t="shared" si="115"/>
        <v>-1</v>
      </c>
      <c r="AH273" s="176">
        <f t="shared" si="116"/>
        <v>5</v>
      </c>
      <c r="AI273" s="224">
        <f t="shared" si="117"/>
        <v>-0.40794592200827234</v>
      </c>
      <c r="AJ273" s="264" t="b">
        <f t="shared" si="118"/>
        <v>0</v>
      </c>
      <c r="AK273" s="264" t="b">
        <f t="shared" si="119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20"/>
        <v>44090</v>
      </c>
      <c r="B274" s="607">
        <v>39.393000000000001</v>
      </c>
      <c r="C274" s="388"/>
      <c r="D274" s="391">
        <f t="shared" si="99"/>
        <v>39.860050558413519</v>
      </c>
      <c r="E274" s="383">
        <f t="shared" si="97"/>
        <v>41.346309277000273</v>
      </c>
      <c r="F274" s="383">
        <f t="shared" si="100"/>
        <v>41.409343315822014</v>
      </c>
      <c r="G274" s="110">
        <f t="shared" si="98"/>
        <v>0.85192840716147833</v>
      </c>
      <c r="H274" s="412" t="b">
        <f>Wh_hp&gt;='2019'!Maxi_hp</f>
        <v>0</v>
      </c>
      <c r="I274" s="388">
        <f>IF(H274,Wh_hp,'2019'!Maxi_hp)</f>
        <v>43.162967239899587</v>
      </c>
      <c r="J274" s="85">
        <f>IF(H274,An,'2019'!An_max)</f>
        <v>2018</v>
      </c>
      <c r="K274" s="197">
        <f t="shared" si="101"/>
        <v>44090</v>
      </c>
      <c r="L274" s="147">
        <f>IF(t&lt;Tvie,1-EXP((T0-t)*PertePVj)+'2019'!Pspv,1-EXP((T0-t)*PertePVj)+Pspv)</f>
        <v>1.171725955864189E-2</v>
      </c>
      <c r="M274" s="832"/>
      <c r="N274" s="832"/>
      <c r="O274" s="48">
        <f>IF(t&lt;Tnet,'2019'!Resal+('2019'!Salim-'2019'!Resal)*(1-EXP(('2019'!Tnet-t)/('2019'!Tau_j))),Resal+(Salim-Resal)*(1-EXP((Tnet-t)/(Tau_j))))*Salcycl</f>
        <v>3.5946587363567192E-2</v>
      </c>
      <c r="P274" s="169">
        <f>(INDEX(Models!$BJ274:$BT274,,T274)*(1-R274)+INDEX(Models!$BJ274:$BT274,,T274+1)*R274-ERP_i)*Q274*Ramure*Pc/MaxiM</f>
        <v>1.9293841069947786E-3</v>
      </c>
      <c r="Q274" s="304">
        <f t="shared" si="102"/>
        <v>0.7</v>
      </c>
      <c r="R274" s="177">
        <f t="shared" si="103"/>
        <v>0.52799957136797415</v>
      </c>
      <c r="S274" s="799">
        <f t="shared" si="104"/>
        <v>-1</v>
      </c>
      <c r="T274" s="176">
        <f t="shared" si="105"/>
        <v>5</v>
      </c>
      <c r="U274" s="250">
        <f t="shared" si="106"/>
        <v>-0.47200042863202585</v>
      </c>
      <c r="V274" s="382">
        <f t="shared" si="107"/>
        <v>46.220944991611127</v>
      </c>
      <c r="W274" s="58"/>
      <c r="X274" s="157">
        <f t="shared" si="108"/>
        <v>44090</v>
      </c>
      <c r="Y274" s="383">
        <f t="shared" si="109"/>
        <v>39.387036162163682</v>
      </c>
      <c r="Z274" s="383">
        <f t="shared" si="110"/>
        <v>39.854016012233288</v>
      </c>
      <c r="AA274" s="384">
        <f t="shared" si="111"/>
        <v>41.340049721148773</v>
      </c>
      <c r="AB274" s="197">
        <f t="shared" si="112"/>
        <v>44090</v>
      </c>
      <c r="AC274" s="424">
        <f>IF(OR(t&lt;Tnet,NoTnet),'2019'!Resal_s+('2019'!Salim-'2019'!Resal_s)*(1-EXP(('2019'!Tnet_s-t)/'2019'!Tau_j)),Resal_s+(Salim-Resal_s)*(1-EXP((Tnet_s-t)/Tau_j)))*Salcycl</f>
        <v>3.5946587363567192E-2</v>
      </c>
      <c r="AD274" s="230">
        <f>(INDEX(Models!$BJ274:$BT274,,AH274)*(1-AF274)+INDEX(Models!$BJ274:$BT274,,AH274+1)*AF274-ERP_i)*AE274*Ramure*Pc/MaxiM</f>
        <v>2.1209803905662202E-3</v>
      </c>
      <c r="AE274" s="304">
        <f t="shared" si="113"/>
        <v>0.7</v>
      </c>
      <c r="AF274" s="177">
        <f t="shared" si="114"/>
        <v>0.5923317936278063</v>
      </c>
      <c r="AG274" s="176">
        <f t="shared" si="115"/>
        <v>-1</v>
      </c>
      <c r="AH274" s="176">
        <f t="shared" si="116"/>
        <v>5</v>
      </c>
      <c r="AI274" s="224">
        <f t="shared" si="117"/>
        <v>-0.4076682063721937</v>
      </c>
      <c r="AJ274" s="264" t="b">
        <f t="shared" si="118"/>
        <v>0</v>
      </c>
      <c r="AK274" s="264" t="b">
        <f t="shared" si="119"/>
        <v>0</v>
      </c>
      <c r="AL274" s="264"/>
      <c r="AM274" s="264"/>
      <c r="AN274" s="75"/>
    </row>
    <row r="275" spans="1:40" s="6" customFormat="1" ht="11.25" x14ac:dyDescent="0.2">
      <c r="A275" s="56">
        <f t="shared" si="120"/>
        <v>44091</v>
      </c>
      <c r="B275" s="607">
        <v>42.07</v>
      </c>
      <c r="C275" s="388"/>
      <c r="D275" s="391">
        <f t="shared" si="99"/>
        <v>42.569605393104382</v>
      </c>
      <c r="E275" s="383">
        <f t="shared" si="97"/>
        <v>44.15852892928288</v>
      </c>
      <c r="F275" s="383">
        <f t="shared" si="100"/>
        <v>44.2336125017314</v>
      </c>
      <c r="G275" s="110">
        <f t="shared" si="98"/>
        <v>0.9146128771876052</v>
      </c>
      <c r="H275" s="412" t="b">
        <f>Wh_hp&gt;='2019'!Maxi_hp</f>
        <v>1</v>
      </c>
      <c r="I275" s="388">
        <f>IF(H275,Wh_hp,'2019'!Maxi_hp)</f>
        <v>44.2336125017314</v>
      </c>
      <c r="J275" s="85">
        <f>IF(H275,An,'2019'!An_max)</f>
        <v>2020</v>
      </c>
      <c r="K275" s="197">
        <f t="shared" si="101"/>
        <v>44091</v>
      </c>
      <c r="L275" s="147">
        <f>IF(t&lt;Tvie,1-EXP((T0-t)*PertePVj)+'2019'!Pspv,1-EXP((T0-t)*PertePVj)+Pspv)</f>
        <v>1.1736199771898992E-2</v>
      </c>
      <c r="M275" s="832"/>
      <c r="N275" s="832"/>
      <c r="O275" s="48">
        <f>IF(t&lt;Tnet,'2019'!Resal+('2019'!Salim-'2019'!Resal)*(1-EXP(('2019'!Tnet-t)/('2019'!Tau_j))),Resal+(Salim-Resal)*(1-EXP((Tnet-t)/(Tau_j))))*Salcycl</f>
        <v>3.5982256988747616E-2</v>
      </c>
      <c r="P275" s="169">
        <f>(INDEX(Models!$BJ275:$BT275,,T275)*(1-R275)+INDEX(Models!$BJ275:$BT275,,T275+1)*R275-ERP_i)*Q275*Ramure*Pc/MaxiM</f>
        <v>1.9325763815695627E-3</v>
      </c>
      <c r="Q275" s="304">
        <f t="shared" si="102"/>
        <v>0.7</v>
      </c>
      <c r="R275" s="177">
        <f t="shared" si="103"/>
        <v>0.52826647409586047</v>
      </c>
      <c r="S275" s="799">
        <f t="shared" si="104"/>
        <v>-1</v>
      </c>
      <c r="T275" s="176">
        <f t="shared" si="105"/>
        <v>5</v>
      </c>
      <c r="U275" s="250">
        <f t="shared" si="106"/>
        <v>-0.47173352590413953</v>
      </c>
      <c r="V275" s="382">
        <f t="shared" si="107"/>
        <v>45.986768529627426</v>
      </c>
      <c r="W275" s="58"/>
      <c r="X275" s="157">
        <f t="shared" si="108"/>
        <v>44091</v>
      </c>
      <c r="Y275" s="383">
        <f t="shared" si="109"/>
        <v>42.062911384810945</v>
      </c>
      <c r="Z275" s="383">
        <f t="shared" si="110"/>
        <v>42.562432596541946</v>
      </c>
      <c r="AA275" s="384">
        <f t="shared" si="111"/>
        <v>44.151088405895798</v>
      </c>
      <c r="AB275" s="197">
        <f t="shared" si="112"/>
        <v>44091</v>
      </c>
      <c r="AC275" s="424">
        <f>IF(OR(t&lt;Tnet,NoTnet),'2019'!Resal_s+('2019'!Salim-'2019'!Resal_s)*(1-EXP(('2019'!Tnet_s-t)/'2019'!Tau_j)),Resal_s+(Salim-Resal_s)*(1-EXP((Tnet_s-t)/Tau_j)))*Salcycl</f>
        <v>3.5982256988747616E-2</v>
      </c>
      <c r="AD275" s="230">
        <f>(INDEX(Models!$BJ275:$BT275,,AH275)*(1-AF275)+INDEX(Models!$BJ275:$BT275,,AH275+1)*AF275-ERP_i)*AE275*Ramure*Pc/MaxiM</f>
        <v>2.1240880437809377E-3</v>
      </c>
      <c r="AE275" s="304">
        <f t="shared" si="113"/>
        <v>0.7</v>
      </c>
      <c r="AF275" s="177">
        <f t="shared" si="114"/>
        <v>0.59259869635569262</v>
      </c>
      <c r="AG275" s="176">
        <f t="shared" si="115"/>
        <v>-1</v>
      </c>
      <c r="AH275" s="176">
        <f t="shared" si="116"/>
        <v>5</v>
      </c>
      <c r="AI275" s="224">
        <f t="shared" si="117"/>
        <v>-0.40740130364430738</v>
      </c>
      <c r="AJ275" s="264" t="b">
        <f t="shared" si="118"/>
        <v>0</v>
      </c>
      <c r="AK275" s="264" t="b">
        <f t="shared" si="119"/>
        <v>0</v>
      </c>
      <c r="AL275" s="264"/>
      <c r="AM275" s="264"/>
      <c r="AN275" s="75"/>
    </row>
    <row r="276" spans="1:40" s="6" customFormat="1" ht="11.25" x14ac:dyDescent="0.2">
      <c r="A276" s="56">
        <f t="shared" si="120"/>
        <v>44092</v>
      </c>
      <c r="B276" s="607">
        <v>21.417999999999999</v>
      </c>
      <c r="C276" s="388"/>
      <c r="D276" s="391">
        <f t="shared" si="99"/>
        <v>21.672766394971589</v>
      </c>
      <c r="E276" s="383">
        <f t="shared" si="97"/>
        <v>22.482531751116564</v>
      </c>
      <c r="F276" s="383">
        <f t="shared" si="100"/>
        <v>22.492946001668681</v>
      </c>
      <c r="G276" s="110">
        <f t="shared" si="98"/>
        <v>0.46747355245587863</v>
      </c>
      <c r="H276" s="412" t="b">
        <f>Wh_hp&gt;='2019'!Maxi_hp</f>
        <v>0</v>
      </c>
      <c r="I276" s="388">
        <f>IF(H276,Wh_hp,'2019'!Maxi_hp)</f>
        <v>36.268221149593323</v>
      </c>
      <c r="J276" s="85">
        <f>IF(H276,An,'2019'!An_max)</f>
        <v>2018</v>
      </c>
      <c r="K276" s="197">
        <f t="shared" si="101"/>
        <v>44092</v>
      </c>
      <c r="L276" s="147">
        <f>IF(t&lt;Tvie,1-EXP((T0-t)*PertePVj)+'2019'!Pspv,1-EXP((T0-t)*PertePVj)+Pspv)</f>
        <v>1.1755139622171118E-2</v>
      </c>
      <c r="M276" s="832"/>
      <c r="N276" s="832"/>
      <c r="O276" s="48">
        <f>IF(t&lt;Tnet,'2019'!Resal+('2019'!Salim-'2019'!Resal)*(1-EXP(('2019'!Tnet-t)/('2019'!Tau_j))),Resal+(Salim-Resal)*(1-EXP((Tnet-t)/(Tau_j))))*Salcycl</f>
        <v>3.6017534195398625E-2</v>
      </c>
      <c r="P276" s="169">
        <f>(INDEX(Models!$BJ276:$BT276,,T276)*(1-R276)+INDEX(Models!$BJ276:$BT276,,T276+1)*R276-ERP_i)*Q276*Ramure*Pc/MaxiM</f>
        <v>1.9273408857434771E-3</v>
      </c>
      <c r="Q276" s="304">
        <f t="shared" si="102"/>
        <v>0.7</v>
      </c>
      <c r="R276" s="177">
        <f t="shared" si="103"/>
        <v>0.52852297087126976</v>
      </c>
      <c r="S276" s="799">
        <f t="shared" si="104"/>
        <v>-1</v>
      </c>
      <c r="T276" s="176">
        <f t="shared" si="105"/>
        <v>5</v>
      </c>
      <c r="U276" s="250">
        <f t="shared" si="106"/>
        <v>-0.47147702912873024</v>
      </c>
      <c r="V276" s="382">
        <f t="shared" si="107"/>
        <v>45.749373675554658</v>
      </c>
      <c r="W276" s="58"/>
      <c r="X276" s="157">
        <f t="shared" si="108"/>
        <v>44092</v>
      </c>
      <c r="Y276" s="383">
        <f t="shared" si="109"/>
        <v>21.417019346706144</v>
      </c>
      <c r="Z276" s="383">
        <f t="shared" si="110"/>
        <v>21.67177407683954</v>
      </c>
      <c r="AA276" s="384">
        <f t="shared" si="111"/>
        <v>22.481502356737259</v>
      </c>
      <c r="AB276" s="197">
        <f t="shared" si="112"/>
        <v>44092</v>
      </c>
      <c r="AC276" s="424">
        <f>IF(OR(t&lt;Tnet,NoTnet),'2019'!Resal_s+('2019'!Salim-'2019'!Resal_s)*(1-EXP(('2019'!Tnet_s-t)/'2019'!Tau_j)),Resal_s+(Salim-Resal_s)*(1-EXP((Tnet_s-t)/Tau_j)))*Salcycl</f>
        <v>3.6017534195398625E-2</v>
      </c>
      <c r="AD276" s="230">
        <f>(INDEX(Models!$BJ276:$BT276,,AH276)*(1-AF276)+INDEX(Models!$BJ276:$BT276,,AH276+1)*AF276-ERP_i)*AE276*Ramure*Pc/MaxiM</f>
        <v>2.1178484853891441E-3</v>
      </c>
      <c r="AE276" s="304">
        <f t="shared" si="113"/>
        <v>0.7</v>
      </c>
      <c r="AF276" s="177">
        <f t="shared" si="114"/>
        <v>0.59285519313110191</v>
      </c>
      <c r="AG276" s="176">
        <f t="shared" si="115"/>
        <v>-1</v>
      </c>
      <c r="AH276" s="176">
        <f t="shared" si="116"/>
        <v>5</v>
      </c>
      <c r="AI276" s="224">
        <f t="shared" si="117"/>
        <v>-0.40714480686889809</v>
      </c>
      <c r="AJ276" s="264" t="b">
        <f t="shared" si="118"/>
        <v>0</v>
      </c>
      <c r="AK276" s="264" t="b">
        <f t="shared" si="119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20"/>
        <v>44093</v>
      </c>
      <c r="B277" s="607">
        <v>30.026</v>
      </c>
      <c r="C277" s="388"/>
      <c r="D277" s="391">
        <f t="shared" si="99"/>
        <v>30.383740565054424</v>
      </c>
      <c r="E277" s="383">
        <f t="shared" si="97"/>
        <v>31.520116602891697</v>
      </c>
      <c r="F277" s="383">
        <f t="shared" si="100"/>
        <v>31.55117034321778</v>
      </c>
      <c r="G277" s="110">
        <f t="shared" si="98"/>
        <v>0.65916829912828456</v>
      </c>
      <c r="H277" s="412" t="b">
        <f>Wh_hp&gt;='2019'!Maxi_hp</f>
        <v>0</v>
      </c>
      <c r="I277" s="388">
        <f>IF(H277,Wh_hp,'2019'!Maxi_hp)</f>
        <v>48.889969383535792</v>
      </c>
      <c r="J277" s="85">
        <f>IF(H277,An,'2019'!An_max)</f>
        <v>2018</v>
      </c>
      <c r="K277" s="197">
        <f t="shared" si="101"/>
        <v>44093</v>
      </c>
      <c r="L277" s="147">
        <f>IF(t&lt;Tvie,1-EXP((T0-t)*PertePVj)+'2019'!Pspv,1-EXP((T0-t)*PertePVj)+Pspv)</f>
        <v>1.1774079109465374E-2</v>
      </c>
      <c r="M277" s="832"/>
      <c r="N277" s="832"/>
      <c r="O277" s="48">
        <f>IF(t&lt;Tnet,'2019'!Resal+('2019'!Salim-'2019'!Resal)*(1-EXP(('2019'!Tnet-t)/('2019'!Tau_j))),Resal+(Salim-Resal)*(1-EXP((Tnet-t)/(Tau_j))))*Salcycl</f>
        <v>3.6052405901728889E-2</v>
      </c>
      <c r="P277" s="169">
        <f>(INDEX(Models!$BJ277:$BT277,,T277)*(1-R277)+INDEX(Models!$BJ277:$BT277,,T277+1)*R277-ERP_i)*Q277*Ramure*Pc/MaxiM</f>
        <v>1.9149431313601568E-3</v>
      </c>
      <c r="Q277" s="304">
        <f t="shared" si="102"/>
        <v>0.7</v>
      </c>
      <c r="R277" s="177">
        <f t="shared" si="103"/>
        <v>0.52876945442731671</v>
      </c>
      <c r="S277" s="799">
        <f t="shared" si="104"/>
        <v>-1</v>
      </c>
      <c r="T277" s="176">
        <f t="shared" si="105"/>
        <v>5</v>
      </c>
      <c r="U277" s="250">
        <f t="shared" si="106"/>
        <v>-0.47123054557268329</v>
      </c>
      <c r="V277" s="382">
        <f t="shared" si="107"/>
        <v>45.508904237003208</v>
      </c>
      <c r="W277" s="58"/>
      <c r="X277" s="157">
        <f t="shared" si="108"/>
        <v>44093</v>
      </c>
      <c r="Y277" s="383">
        <f t="shared" si="109"/>
        <v>30.023084615987827</v>
      </c>
      <c r="Z277" s="383">
        <f t="shared" si="110"/>
        <v>30.380790446108396</v>
      </c>
      <c r="AA277" s="384">
        <f t="shared" si="111"/>
        <v>31.517056147153138</v>
      </c>
      <c r="AB277" s="197">
        <f t="shared" si="112"/>
        <v>44093</v>
      </c>
      <c r="AC277" s="424">
        <f>IF(OR(t&lt;Tnet,NoTnet),'2019'!Resal_s+('2019'!Salim-'2019'!Resal_s)*(1-EXP(('2019'!Tnet_s-t)/'2019'!Tau_j)),Resal_s+(Salim-Resal_s)*(1-EXP((Tnet_s-t)/Tau_j)))*Salcycl</f>
        <v>3.6052405901728889E-2</v>
      </c>
      <c r="AD277" s="230">
        <f>(INDEX(Models!$BJ277:$BT277,,AH277)*(1-AF277)+INDEX(Models!$BJ277:$BT277,,AH277+1)*AF277-ERP_i)*AE277*Ramure*Pc/MaxiM</f>
        <v>2.1036675373042142E-3</v>
      </c>
      <c r="AE277" s="304">
        <f t="shared" si="113"/>
        <v>0.7</v>
      </c>
      <c r="AF277" s="177">
        <f t="shared" si="114"/>
        <v>0.59310167668714886</v>
      </c>
      <c r="AG277" s="176">
        <f t="shared" si="115"/>
        <v>-1</v>
      </c>
      <c r="AH277" s="176">
        <f t="shared" si="116"/>
        <v>5</v>
      </c>
      <c r="AI277" s="224">
        <f t="shared" si="117"/>
        <v>-0.40689832331285114</v>
      </c>
      <c r="AJ277" s="264" t="b">
        <f t="shared" si="118"/>
        <v>0</v>
      </c>
      <c r="AK277" s="264" t="b">
        <f t="shared" si="119"/>
        <v>0</v>
      </c>
      <c r="AL277" s="264"/>
      <c r="AM277" s="264"/>
      <c r="AN277" s="75"/>
    </row>
    <row r="278" spans="1:40" s="6" customFormat="1" ht="11.25" x14ac:dyDescent="0.2">
      <c r="A278" s="56">
        <f t="shared" si="120"/>
        <v>44094</v>
      </c>
      <c r="B278" s="607">
        <v>34.427</v>
      </c>
      <c r="C278" s="388"/>
      <c r="D278" s="391">
        <f t="shared" si="99"/>
        <v>34.837843321516523</v>
      </c>
      <c r="E278" s="383">
        <f t="shared" si="97"/>
        <v>36.142098114935209</v>
      </c>
      <c r="F278" s="383">
        <f t="shared" si="100"/>
        <v>36.187222369382674</v>
      </c>
      <c r="G278" s="110">
        <f t="shared" si="98"/>
        <v>0.76006233532915735</v>
      </c>
      <c r="H278" s="412" t="b">
        <f>Wh_hp&gt;='2019'!Maxi_hp</f>
        <v>1</v>
      </c>
      <c r="I278" s="388">
        <f>IF(H278,Wh_hp,'2019'!Maxi_hp)</f>
        <v>36.187222369382674</v>
      </c>
      <c r="J278" s="85">
        <f>IF(H278,An,'2019'!An_max)</f>
        <v>2020</v>
      </c>
      <c r="K278" s="197">
        <f t="shared" si="101"/>
        <v>44094</v>
      </c>
      <c r="L278" s="147">
        <f>IF(t&lt;Tvie,1-EXP((T0-t)*PertePVj)+'2019'!Pspv,1-EXP((T0-t)*PertePVj)+Pspv)</f>
        <v>1.1793018233788755E-2</v>
      </c>
      <c r="M278" s="832"/>
      <c r="N278" s="832"/>
      <c r="O278" s="48">
        <f>IF(t&lt;Tnet,'2019'!Resal+('2019'!Salim-'2019'!Resal)*(1-EXP(('2019'!Tnet-t)/('2019'!Tau_j))),Resal+(Salim-Resal)*(1-EXP((Tnet-t)/(Tau_j))))*Salcycl</f>
        <v>3.6086858855593748E-2</v>
      </c>
      <c r="P278" s="169">
        <f>(INDEX(Models!$BJ278:$BT278,,T278)*(1-R278)+INDEX(Models!$BJ278:$BT278,,T278+1)*R278-ERP_i)*Q278*Ramure*Pc/MaxiM</f>
        <v>1.8952668534288738E-3</v>
      </c>
      <c r="Q278" s="304">
        <f t="shared" si="102"/>
        <v>0.7</v>
      </c>
      <c r="R278" s="177">
        <f t="shared" si="103"/>
        <v>0.52900630368538692</v>
      </c>
      <c r="S278" s="799">
        <f t="shared" si="104"/>
        <v>-1</v>
      </c>
      <c r="T278" s="176">
        <f t="shared" si="105"/>
        <v>5</v>
      </c>
      <c r="U278" s="250">
        <f t="shared" si="106"/>
        <v>-0.47099369631461313</v>
      </c>
      <c r="V278" s="382">
        <f t="shared" si="107"/>
        <v>45.265567702942526</v>
      </c>
      <c r="W278" s="58"/>
      <c r="X278" s="157">
        <f t="shared" si="108"/>
        <v>44094</v>
      </c>
      <c r="Y278" s="383">
        <f t="shared" si="109"/>
        <v>34.422778284181838</v>
      </c>
      <c r="Z278" s="383">
        <f t="shared" si="110"/>
        <v>34.83357122478369</v>
      </c>
      <c r="AA278" s="384">
        <f t="shared" si="111"/>
        <v>36.137666079982601</v>
      </c>
      <c r="AB278" s="197">
        <f t="shared" si="112"/>
        <v>44094</v>
      </c>
      <c r="AC278" s="424">
        <f>IF(OR(t&lt;Tnet,NoTnet),'2019'!Resal_s+('2019'!Salim-'2019'!Resal_s)*(1-EXP(('2019'!Tnet_s-t)/'2019'!Tau_j)),Resal_s+(Salim-Resal_s)*(1-EXP((Tnet_s-t)/Tau_j)))*Salcycl</f>
        <v>3.6086858855593748E-2</v>
      </c>
      <c r="AD278" s="230">
        <f>(INDEX(Models!$BJ278:$BT278,,AH278)*(1-AF278)+INDEX(Models!$BJ278:$BT278,,AH278+1)*AF278-ERP_i)*AE278*Ramure*Pc/MaxiM</f>
        <v>2.0814170522915573E-3</v>
      </c>
      <c r="AE278" s="304">
        <f t="shared" si="113"/>
        <v>0.7</v>
      </c>
      <c r="AF278" s="177">
        <f t="shared" si="114"/>
        <v>0.59333852594521908</v>
      </c>
      <c r="AG278" s="176">
        <f t="shared" si="115"/>
        <v>-1</v>
      </c>
      <c r="AH278" s="176">
        <f t="shared" si="116"/>
        <v>5</v>
      </c>
      <c r="AI278" s="224">
        <f t="shared" si="117"/>
        <v>-0.40666147405478098</v>
      </c>
      <c r="AJ278" s="264" t="b">
        <f t="shared" si="118"/>
        <v>0</v>
      </c>
      <c r="AK278" s="264" t="b">
        <f t="shared" si="119"/>
        <v>0</v>
      </c>
      <c r="AL278" s="264"/>
      <c r="AM278" s="264"/>
      <c r="AN278" s="75"/>
    </row>
    <row r="279" spans="1:40" s="6" customFormat="1" ht="11.25" x14ac:dyDescent="0.2">
      <c r="A279" s="56">
        <f t="shared" si="120"/>
        <v>44095</v>
      </c>
      <c r="B279" s="607">
        <v>23.132999999999999</v>
      </c>
      <c r="C279" s="388"/>
      <c r="D279" s="391">
        <f t="shared" si="99"/>
        <v>23.409512150802676</v>
      </c>
      <c r="E279" s="383">
        <f t="shared" si="97"/>
        <v>24.286771709822414</v>
      </c>
      <c r="F279" s="383">
        <f t="shared" si="100"/>
        <v>24.300640441890526</v>
      </c>
      <c r="G279" s="110">
        <f t="shared" si="98"/>
        <v>0.51317610504796185</v>
      </c>
      <c r="H279" s="412" t="b">
        <f>Wh_hp&gt;='2019'!Maxi_hp</f>
        <v>1</v>
      </c>
      <c r="I279" s="388">
        <f>IF(H279,Wh_hp,'2019'!Maxi_hp)</f>
        <v>24.300640441890526</v>
      </c>
      <c r="J279" s="85">
        <f>IF(H279,An,'2019'!An_max)</f>
        <v>2020</v>
      </c>
      <c r="K279" s="197">
        <f t="shared" si="101"/>
        <v>44095</v>
      </c>
      <c r="L279" s="147">
        <f>IF(t&lt;Tvie,1-EXP((T0-t)*PertePVj)+'2019'!Pspv,1-EXP((T0-t)*PertePVj)+Pspv)</f>
        <v>1.1811956995148032E-2</v>
      </c>
      <c r="M279" s="832"/>
      <c r="N279" s="832"/>
      <c r="O279" s="48">
        <f>IF(t&lt;Tnet,'2019'!Resal+('2019'!Salim-'2019'!Resal)*(1-EXP(('2019'!Tnet-t)/('2019'!Tau_j))),Resal+(Salim-Resal)*(1-EXP((Tnet-t)/(Tau_j))))*Salcycl</f>
        <v>3.6120879691265984E-2</v>
      </c>
      <c r="P279" s="169">
        <f>(INDEX(Models!$BJ279:$BT279,,T279)*(1-R279)+INDEX(Models!$BJ279:$BT279,,T279+1)*R279-ERP_i)*Q279*Ramure*Pc/MaxiM</f>
        <v>1.8681926636691722E-3</v>
      </c>
      <c r="Q279" s="304">
        <f t="shared" si="102"/>
        <v>0.7</v>
      </c>
      <c r="R279" s="177">
        <f t="shared" si="103"/>
        <v>0.52923388416123496</v>
      </c>
      <c r="S279" s="799">
        <f t="shared" si="104"/>
        <v>-1</v>
      </c>
      <c r="T279" s="176">
        <f t="shared" si="105"/>
        <v>5</v>
      </c>
      <c r="U279" s="250">
        <f t="shared" si="106"/>
        <v>-0.47076611583876504</v>
      </c>
      <c r="V279" s="382">
        <f t="shared" si="107"/>
        <v>45.019571400263047</v>
      </c>
      <c r="W279" s="58"/>
      <c r="X279" s="157">
        <f t="shared" si="108"/>
        <v>44095</v>
      </c>
      <c r="Y279" s="383">
        <f t="shared" si="109"/>
        <v>23.131707624775828</v>
      </c>
      <c r="Z279" s="383">
        <f t="shared" si="110"/>
        <v>23.408204327627402</v>
      </c>
      <c r="AA279" s="384">
        <f t="shared" si="111"/>
        <v>24.28541487663896</v>
      </c>
      <c r="AB279" s="197">
        <f t="shared" si="112"/>
        <v>44095</v>
      </c>
      <c r="AC279" s="424">
        <f>IF(OR(t&lt;Tnet,NoTnet),'2019'!Resal_s+('2019'!Salim-'2019'!Resal_s)*(1-EXP(('2019'!Tnet_s-t)/'2019'!Tau_j)),Resal_s+(Salim-Resal_s)*(1-EXP((Tnet_s-t)/Tau_j)))*Salcycl</f>
        <v>3.6120879691265984E-2</v>
      </c>
      <c r="AD279" s="230">
        <f>(INDEX(Models!$BJ279:$BT279,,AH279)*(1-AF279)+INDEX(Models!$BJ279:$BT279,,AH279+1)*AF279-ERP_i)*AE279*Ramure*Pc/MaxiM</f>
        <v>2.0509653776206128E-3</v>
      </c>
      <c r="AE279" s="304">
        <f t="shared" si="113"/>
        <v>0.7</v>
      </c>
      <c r="AF279" s="177">
        <f t="shared" si="114"/>
        <v>0.59356610642106711</v>
      </c>
      <c r="AG279" s="176">
        <f t="shared" si="115"/>
        <v>-1</v>
      </c>
      <c r="AH279" s="176">
        <f t="shared" si="116"/>
        <v>5</v>
      </c>
      <c r="AI279" s="224">
        <f t="shared" si="117"/>
        <v>-0.40643389357893289</v>
      </c>
      <c r="AJ279" s="264" t="b">
        <f t="shared" si="118"/>
        <v>0</v>
      </c>
      <c r="AK279" s="264" t="b">
        <f t="shared" si="119"/>
        <v>0</v>
      </c>
      <c r="AL279" s="264"/>
      <c r="AM279" s="264"/>
      <c r="AN279" s="75"/>
    </row>
    <row r="280" spans="1:40" s="6" customFormat="1" ht="11.25" x14ac:dyDescent="0.2">
      <c r="A280" s="56">
        <f t="shared" si="120"/>
        <v>44096</v>
      </c>
      <c r="B280" s="607">
        <v>22.77</v>
      </c>
      <c r="C280" s="388"/>
      <c r="D280" s="391">
        <f t="shared" si="99"/>
        <v>23.04261476487714</v>
      </c>
      <c r="E280" s="383">
        <f t="shared" si="97"/>
        <v>23.906957794468976</v>
      </c>
      <c r="F280" s="383">
        <f t="shared" si="100"/>
        <v>23.920027231243239</v>
      </c>
      <c r="G280" s="110">
        <f t="shared" si="98"/>
        <v>0.50793173729312679</v>
      </c>
      <c r="H280" s="412" t="b">
        <f>Wh_hp&gt;='2019'!Maxi_hp</f>
        <v>0</v>
      </c>
      <c r="I280" s="388">
        <f>IF(H280,Wh_hp,'2019'!Maxi_hp)</f>
        <v>39.486970674676719</v>
      </c>
      <c r="J280" s="85">
        <f>IF(H280,An,'2019'!An_max)</f>
        <v>2018</v>
      </c>
      <c r="K280" s="197">
        <f t="shared" si="101"/>
        <v>44096</v>
      </c>
      <c r="L280" s="147">
        <f>IF(t&lt;Tvie,1-EXP((T0-t)*PertePVj)+'2019'!Pspv,1-EXP((T0-t)*PertePVj)+Pspv)</f>
        <v>1.1830895393550311E-2</v>
      </c>
      <c r="M280" s="832"/>
      <c r="N280" s="832"/>
      <c r="O280" s="48">
        <f>IF(t&lt;Tnet,'2019'!Resal+('2019'!Salim-'2019'!Resal)*(1-EXP(('2019'!Tnet-t)/('2019'!Tau_j))),Resal+(Salim-Resal)*(1-EXP((Tnet-t)/(Tau_j))))*Salcycl</f>
        <v>3.6154454992671996E-2</v>
      </c>
      <c r="P280" s="169">
        <f>(INDEX(Models!$BJ280:$BT280,,T280)*(1-R280)+INDEX(Models!$BJ280:$BT280,,T280+1)*R280-ERP_i)*Q280*Ramure*Pc/MaxiM</f>
        <v>1.8336080202485589E-3</v>
      </c>
      <c r="Q280" s="304">
        <f t="shared" si="102"/>
        <v>0.7</v>
      </c>
      <c r="R280" s="177">
        <f t="shared" si="103"/>
        <v>0.52945254836568711</v>
      </c>
      <c r="S280" s="799">
        <f t="shared" si="104"/>
        <v>-1</v>
      </c>
      <c r="T280" s="176">
        <f t="shared" si="105"/>
        <v>5</v>
      </c>
      <c r="U280" s="250">
        <f t="shared" si="106"/>
        <v>-0.47054745163431283</v>
      </c>
      <c r="V280" s="382">
        <f t="shared" si="107"/>
        <v>44.771122055913409</v>
      </c>
      <c r="W280" s="58"/>
      <c r="X280" s="157">
        <f t="shared" si="108"/>
        <v>44096</v>
      </c>
      <c r="Y280" s="383">
        <f t="shared" si="109"/>
        <v>22.76878766514492</v>
      </c>
      <c r="Z280" s="383">
        <f t="shared" si="110"/>
        <v>23.041387915292965</v>
      </c>
      <c r="AA280" s="384">
        <f t="shared" si="111"/>
        <v>23.905684924982232</v>
      </c>
      <c r="AB280" s="197">
        <f t="shared" si="112"/>
        <v>44096</v>
      </c>
      <c r="AC280" s="424">
        <f>IF(OR(t&lt;Tnet,NoTnet),'2019'!Resal_s+('2019'!Salim-'2019'!Resal_s)*(1-EXP(('2019'!Tnet_s-t)/'2019'!Tau_j)),Resal_s+(Salim-Resal_s)*(1-EXP((Tnet_s-t)/Tau_j)))*Salcycl</f>
        <v>3.6154454992671996E-2</v>
      </c>
      <c r="AD280" s="230">
        <f>(INDEX(Models!$BJ280:$BT280,,AH280)*(1-AF280)+INDEX(Models!$BJ280:$BT280,,AH280+1)*AF280-ERP_i)*AE280*Ramure*Pc/MaxiM</f>
        <v>2.0121883018582296E-3</v>
      </c>
      <c r="AE280" s="304">
        <f t="shared" si="113"/>
        <v>0.7</v>
      </c>
      <c r="AF280" s="177">
        <f t="shared" si="114"/>
        <v>0.59378477062551926</v>
      </c>
      <c r="AG280" s="176">
        <f t="shared" si="115"/>
        <v>-1</v>
      </c>
      <c r="AH280" s="176">
        <f t="shared" si="116"/>
        <v>5</v>
      </c>
      <c r="AI280" s="224">
        <f t="shared" si="117"/>
        <v>-0.40621522937448068</v>
      </c>
      <c r="AJ280" s="264" t="b">
        <f t="shared" si="118"/>
        <v>0</v>
      </c>
      <c r="AK280" s="264" t="b">
        <f t="shared" si="119"/>
        <v>0</v>
      </c>
      <c r="AL280" s="264"/>
      <c r="AM280" s="264"/>
      <c r="AN280" s="75"/>
    </row>
    <row r="281" spans="1:40" s="6" customFormat="1" ht="11.25" x14ac:dyDescent="0.2">
      <c r="A281" s="56">
        <f t="shared" si="120"/>
        <v>44097</v>
      </c>
      <c r="B281" s="607">
        <v>38.058999999999997</v>
      </c>
      <c r="C281" s="388"/>
      <c r="D281" s="391">
        <f t="shared" si="99"/>
        <v>38.515401087336151</v>
      </c>
      <c r="E281" s="383">
        <f t="shared" si="97"/>
        <v>39.961511122864103</v>
      </c>
      <c r="F281" s="383">
        <f t="shared" si="100"/>
        <v>40.018336164348447</v>
      </c>
      <c r="G281" s="110">
        <f t="shared" si="98"/>
        <v>0.85454806129614702</v>
      </c>
      <c r="H281" s="412" t="b">
        <f>Wh_hp&gt;='2019'!Maxi_hp</f>
        <v>1</v>
      </c>
      <c r="I281" s="388">
        <f>IF(H281,Wh_hp,'2019'!Maxi_hp)</f>
        <v>40.018336164348447</v>
      </c>
      <c r="J281" s="85">
        <f>IF(H281,An,'2019'!An_max)</f>
        <v>2020</v>
      </c>
      <c r="K281" s="197">
        <f t="shared" si="101"/>
        <v>44097</v>
      </c>
      <c r="L281" s="147">
        <f>IF(t&lt;Tvie,1-EXP((T0-t)*PertePVj)+'2019'!Pspv,1-EXP((T0-t)*PertePVj)+Pspv)</f>
        <v>1.1849833429002476E-2</v>
      </c>
      <c r="M281" s="832"/>
      <c r="N281" s="832"/>
      <c r="O281" s="48">
        <f>IF(t&lt;Tnet,'2019'!Resal+('2019'!Salim-'2019'!Resal)*(1-EXP(('2019'!Tnet-t)/('2019'!Tau_j))),Resal+(Salim-Resal)*(1-EXP((Tnet-t)/(Tau_j))))*Salcycl</f>
        <v>3.6187571362899573E-2</v>
      </c>
      <c r="P281" s="169">
        <f>(INDEX(Models!$BJ281:$BT281,,T281)*(1-R281)+INDEX(Models!$BJ281:$BT281,,T281+1)*R281-ERP_i)*Q281*Ramure*Pc/MaxiM</f>
        <v>1.7913920412762638E-3</v>
      </c>
      <c r="Q281" s="304">
        <f t="shared" si="102"/>
        <v>0.7</v>
      </c>
      <c r="R281" s="177">
        <f t="shared" si="103"/>
        <v>0.52966263619939602</v>
      </c>
      <c r="S281" s="799">
        <f t="shared" si="104"/>
        <v>-1</v>
      </c>
      <c r="T281" s="176">
        <f t="shared" si="105"/>
        <v>5</v>
      </c>
      <c r="U281" s="250">
        <f t="shared" si="106"/>
        <v>-0.47033736380060398</v>
      </c>
      <c r="V281" s="382">
        <f t="shared" si="107"/>
        <v>44.520426486627272</v>
      </c>
      <c r="W281" s="58"/>
      <c r="X281" s="157">
        <f t="shared" si="108"/>
        <v>44097</v>
      </c>
      <c r="Y281" s="383">
        <f t="shared" si="109"/>
        <v>38.053756574804339</v>
      </c>
      <c r="Z281" s="383">
        <f t="shared" si="110"/>
        <v>38.510094783321797</v>
      </c>
      <c r="AA281" s="384">
        <f t="shared" si="111"/>
        <v>39.956005586873189</v>
      </c>
      <c r="AB281" s="197">
        <f t="shared" si="112"/>
        <v>44097</v>
      </c>
      <c r="AC281" s="424">
        <f>IF(OR(t&lt;Tnet,NoTnet),'2019'!Resal_s+('2019'!Salim-'2019'!Resal_s)*(1-EXP(('2019'!Tnet_s-t)/'2019'!Tau_j)),Resal_s+(Salim-Resal_s)*(1-EXP((Tnet_s-t)/Tau_j)))*Salcycl</f>
        <v>3.6187571362899573E-2</v>
      </c>
      <c r="AD281" s="230">
        <f>(INDEX(Models!$BJ281:$BT281,,AH281)*(1-AF281)+INDEX(Models!$BJ281:$BT281,,AH281+1)*AF281-ERP_i)*AE281*Ramure*Pc/MaxiM</f>
        <v>1.9649523783997736E-3</v>
      </c>
      <c r="AE281" s="304">
        <f t="shared" si="113"/>
        <v>0.7</v>
      </c>
      <c r="AF281" s="177">
        <f t="shared" si="114"/>
        <v>0.59399485845922817</v>
      </c>
      <c r="AG281" s="176">
        <f t="shared" si="115"/>
        <v>-1</v>
      </c>
      <c r="AH281" s="176">
        <f t="shared" si="116"/>
        <v>5</v>
      </c>
      <c r="AI281" s="224">
        <f t="shared" si="117"/>
        <v>-0.40600514154077183</v>
      </c>
      <c r="AJ281" s="264" t="b">
        <f t="shared" si="118"/>
        <v>0</v>
      </c>
      <c r="AK281" s="264" t="b">
        <f t="shared" si="119"/>
        <v>0</v>
      </c>
      <c r="AL281" s="264"/>
      <c r="AM281" s="264"/>
      <c r="AN281" s="75"/>
    </row>
    <row r="282" spans="1:40" s="6" customFormat="1" ht="11.25" x14ac:dyDescent="0.2">
      <c r="A282" s="56">
        <f t="shared" si="120"/>
        <v>44098</v>
      </c>
      <c r="B282" s="607">
        <v>23.501999999999999</v>
      </c>
      <c r="C282" s="388"/>
      <c r="D282" s="391">
        <f t="shared" si="99"/>
        <v>23.784290297351163</v>
      </c>
      <c r="E282" s="383">
        <f t="shared" si="97"/>
        <v>24.678137765343298</v>
      </c>
      <c r="F282" s="383">
        <f t="shared" si="100"/>
        <v>24.692368273263611</v>
      </c>
      <c r="G282" s="110">
        <f t="shared" si="98"/>
        <v>0.53028746466390908</v>
      </c>
      <c r="H282" s="412" t="b">
        <f>Wh_hp&gt;='2019'!Maxi_hp</f>
        <v>1</v>
      </c>
      <c r="I282" s="388">
        <f>IF(H282,Wh_hp,'2019'!Maxi_hp)</f>
        <v>24.692368273263611</v>
      </c>
      <c r="J282" s="85">
        <f>IF(H282,An,'2019'!An_max)</f>
        <v>2020</v>
      </c>
      <c r="K282" s="197">
        <f t="shared" si="101"/>
        <v>44098</v>
      </c>
      <c r="L282" s="147">
        <f>IF(t&lt;Tvie,1-EXP((T0-t)*PertePVj)+'2019'!Pspv,1-EXP((T0-t)*PertePVj)+Pspv)</f>
        <v>1.1868771101511522E-2</v>
      </c>
      <c r="M282" s="832"/>
      <c r="N282" s="832"/>
      <c r="O282" s="48">
        <f>IF(t&lt;Tnet,'2019'!Resal+('2019'!Salim-'2019'!Resal)*(1-EXP(('2019'!Tnet-t)/('2019'!Tau_j))),Resal+(Salim-Resal)*(1-EXP((Tnet-t)/(Tau_j))))*Salcycl</f>
        <v>3.6220215499704611E-2</v>
      </c>
      <c r="P282" s="169">
        <f>(INDEX(Models!$BJ282:$BT282,,T282)*(1-R282)+INDEX(Models!$BJ282:$BT282,,T282+1)*R282-ERP_i)*Q282*Ramure*Pc/MaxiM</f>
        <v>1.7470852111243858E-3</v>
      </c>
      <c r="Q282" s="304">
        <f t="shared" si="102"/>
        <v>0.7</v>
      </c>
      <c r="R282" s="177">
        <f t="shared" si="103"/>
        <v>0.52986447534117065</v>
      </c>
      <c r="S282" s="799">
        <f t="shared" si="104"/>
        <v>-1</v>
      </c>
      <c r="T282" s="176">
        <f t="shared" si="105"/>
        <v>5</v>
      </c>
      <c r="U282" s="250">
        <f t="shared" si="106"/>
        <v>-0.47013552465882935</v>
      </c>
      <c r="V282" s="382">
        <f t="shared" si="107"/>
        <v>44.267440181700451</v>
      </c>
      <c r="W282" s="58"/>
      <c r="X282" s="157">
        <f t="shared" si="108"/>
        <v>44098</v>
      </c>
      <c r="Y282" s="383">
        <f t="shared" si="109"/>
        <v>23.500693484881165</v>
      </c>
      <c r="Z282" s="383">
        <f t="shared" si="110"/>
        <v>23.782968089246989</v>
      </c>
      <c r="AA282" s="384">
        <f t="shared" si="111"/>
        <v>24.676765866777423</v>
      </c>
      <c r="AB282" s="197">
        <f t="shared" si="112"/>
        <v>44098</v>
      </c>
      <c r="AC282" s="424">
        <f>IF(OR(t&lt;Tnet,NoTnet),'2019'!Resal_s+('2019'!Salim-'2019'!Resal_s)*(1-EXP(('2019'!Tnet_s-t)/'2019'!Tau_j)),Resal_s+(Salim-Resal_s)*(1-EXP((Tnet_s-t)/Tau_j)))*Salcycl</f>
        <v>3.6220215499704611E-2</v>
      </c>
      <c r="AD282" s="230">
        <f>(INDEX(Models!$BJ282:$BT282,,AH282)*(1-AF282)+INDEX(Models!$BJ282:$BT282,,AH282+1)*AF282-ERP_i)*AE282*Ramure*Pc/MaxiM</f>
        <v>1.9155137527494006E-3</v>
      </c>
      <c r="AE282" s="304">
        <f t="shared" si="113"/>
        <v>0.7</v>
      </c>
      <c r="AF282" s="177">
        <f t="shared" si="114"/>
        <v>0.5941966976010028</v>
      </c>
      <c r="AG282" s="176">
        <f t="shared" si="115"/>
        <v>-1</v>
      </c>
      <c r="AH282" s="176">
        <f t="shared" si="116"/>
        <v>5</v>
      </c>
      <c r="AI282" s="224">
        <f t="shared" si="117"/>
        <v>-0.4058033023989972</v>
      </c>
      <c r="AJ282" s="264" t="b">
        <f t="shared" si="118"/>
        <v>0</v>
      </c>
      <c r="AK282" s="264" t="b">
        <f t="shared" si="119"/>
        <v>0</v>
      </c>
      <c r="AL282" s="264"/>
      <c r="AM282" s="264"/>
      <c r="AN282" s="75"/>
    </row>
    <row r="283" spans="1:40" s="6" customFormat="1" ht="11.25" x14ac:dyDescent="0.2">
      <c r="A283" s="56">
        <f t="shared" si="120"/>
        <v>44099</v>
      </c>
      <c r="B283" s="607">
        <v>18.227</v>
      </c>
      <c r="C283" s="388"/>
      <c r="D283" s="391">
        <f t="shared" si="99"/>
        <v>18.446284046006969</v>
      </c>
      <c r="E283" s="383">
        <f t="shared" si="97"/>
        <v>19.140160300952473</v>
      </c>
      <c r="F283" s="383">
        <f t="shared" si="100"/>
        <v>19.145481918799014</v>
      </c>
      <c r="G283" s="110">
        <f t="shared" si="98"/>
        <v>0.41354422212188968</v>
      </c>
      <c r="H283" s="412" t="b">
        <f>Wh_hp&gt;='2019'!Maxi_hp</f>
        <v>0</v>
      </c>
      <c r="I283" s="388">
        <f>IF(H283,Wh_hp,'2019'!Maxi_hp)</f>
        <v>39.791402666859739</v>
      </c>
      <c r="J283" s="85">
        <f>IF(H283,An,'2019'!An_max)</f>
        <v>2018</v>
      </c>
      <c r="K283" s="197">
        <f t="shared" si="101"/>
        <v>44099</v>
      </c>
      <c r="L283" s="147">
        <f>IF(t&lt;Tvie,1-EXP((T0-t)*PertePVj)+'2019'!Pspv,1-EXP((T0-t)*PertePVj)+Pspv)</f>
        <v>1.1887708411084441E-2</v>
      </c>
      <c r="M283" s="832"/>
      <c r="N283" s="832"/>
      <c r="O283" s="48">
        <f>IF(t&lt;Tnet,'2019'!Resal+('2019'!Salim-'2019'!Resal)*(1-EXP(('2019'!Tnet-t)/('2019'!Tau_j))),Resal+(Salim-Resal)*(1-EXP((Tnet-t)/(Tau_j))))*Salcycl</f>
        <v>3.6252374276665646E-2</v>
      </c>
      <c r="P283" s="169">
        <f>(INDEX(Models!$BJ283:$BT283,,T283)*(1-R283)+INDEX(Models!$BJ283:$BT283,,T283+1)*R283-ERP_i)*Q283*Ramure*Pc/MaxiM</f>
        <v>1.7047298895128745E-3</v>
      </c>
      <c r="Q283" s="304">
        <f t="shared" si="102"/>
        <v>0.7</v>
      </c>
      <c r="R283" s="177">
        <f t="shared" si="103"/>
        <v>0.53005838162947305</v>
      </c>
      <c r="S283" s="799">
        <f t="shared" si="104"/>
        <v>-1</v>
      </c>
      <c r="T283" s="176">
        <f t="shared" si="105"/>
        <v>5</v>
      </c>
      <c r="U283" s="250">
        <f t="shared" si="106"/>
        <v>-0.469941618370527</v>
      </c>
      <c r="V283" s="382">
        <f t="shared" si="107"/>
        <v>44.012190241523783</v>
      </c>
      <c r="W283" s="58"/>
      <c r="X283" s="157">
        <f t="shared" si="108"/>
        <v>44099</v>
      </c>
      <c r="Y283" s="383">
        <f t="shared" si="109"/>
        <v>18.226513402554179</v>
      </c>
      <c r="Z283" s="383">
        <f t="shared" si="110"/>
        <v>18.445791594440522</v>
      </c>
      <c r="AA283" s="384">
        <f t="shared" si="111"/>
        <v>19.13964932530563</v>
      </c>
      <c r="AB283" s="197">
        <f t="shared" si="112"/>
        <v>44099</v>
      </c>
      <c r="AC283" s="424">
        <f>IF(OR(t&lt;Tnet,NoTnet),'2019'!Resal_s+('2019'!Salim-'2019'!Resal_s)*(1-EXP(('2019'!Tnet_s-t)/'2019'!Tau_j)),Resal_s+(Salim-Resal_s)*(1-EXP((Tnet_s-t)/Tau_j)))*Salcycl</f>
        <v>3.6252374276665646E-2</v>
      </c>
      <c r="AD283" s="230">
        <f>(INDEX(Models!$BJ283:$BT283,,AH283)*(1-AF283)+INDEX(Models!$BJ283:$BT283,,AH283+1)*AF283-ERP_i)*AE283*Ramure*Pc/MaxiM</f>
        <v>1.868416099817027E-3</v>
      </c>
      <c r="AE283" s="304">
        <f t="shared" si="113"/>
        <v>0.7</v>
      </c>
      <c r="AF283" s="177">
        <f t="shared" si="114"/>
        <v>0.5943906038893052</v>
      </c>
      <c r="AG283" s="176">
        <f t="shared" si="115"/>
        <v>-1</v>
      </c>
      <c r="AH283" s="176">
        <f t="shared" si="116"/>
        <v>5</v>
      </c>
      <c r="AI283" s="224">
        <f t="shared" si="117"/>
        <v>-0.40560939611069485</v>
      </c>
      <c r="AJ283" s="264" t="b">
        <f t="shared" si="118"/>
        <v>0</v>
      </c>
      <c r="AK283" s="264" t="b">
        <f t="shared" si="119"/>
        <v>0</v>
      </c>
      <c r="AL283" s="264"/>
      <c r="AM283" s="264"/>
      <c r="AN283" s="75"/>
    </row>
    <row r="284" spans="1:40" s="6" customFormat="1" ht="11.25" x14ac:dyDescent="0.2">
      <c r="A284" s="56">
        <f t="shared" si="120"/>
        <v>44100</v>
      </c>
      <c r="B284" s="607">
        <v>15.138</v>
      </c>
      <c r="C284" s="388"/>
      <c r="D284" s="391">
        <f t="shared" si="99"/>
        <v>15.320414745103252</v>
      </c>
      <c r="E284" s="383">
        <f t="shared" si="97"/>
        <v>15.897230406880006</v>
      </c>
      <c r="F284" s="383">
        <f t="shared" si="100"/>
        <v>15.898968270886384</v>
      </c>
      <c r="G284" s="110">
        <f t="shared" si="98"/>
        <v>0.34543474450034467</v>
      </c>
      <c r="H284" s="412" t="b">
        <f>Wh_hp&gt;='2019'!Maxi_hp</f>
        <v>0</v>
      </c>
      <c r="I284" s="388">
        <f>IF(H284,Wh_hp,'2019'!Maxi_hp)</f>
        <v>40.257199501289676</v>
      </c>
      <c r="J284" s="85">
        <f>IF(H284,An,'2019'!An_max)</f>
        <v>2018</v>
      </c>
      <c r="K284" s="197">
        <f t="shared" si="101"/>
        <v>44100</v>
      </c>
      <c r="L284" s="147">
        <f>IF(t&lt;Tvie,1-EXP((T0-t)*PertePVj)+'2019'!Pspv,1-EXP((T0-t)*PertePVj)+Pspv)</f>
        <v>1.1906645357728007E-2</v>
      </c>
      <c r="M284" s="832"/>
      <c r="N284" s="832"/>
      <c r="O284" s="48">
        <f>IF(t&lt;Tnet,'2019'!Resal+('2019'!Salim-'2019'!Resal)*(1-EXP(('2019'!Tnet-t)/('2019'!Tau_j))),Resal+(Salim-Resal)*(1-EXP((Tnet-t)/(Tau_j))))*Salcycl</f>
        <v>3.6284034829558748E-2</v>
      </c>
      <c r="P284" s="169">
        <f>(INDEX(Models!$BJ284:$BT284,,T284)*(1-R284)+INDEX(Models!$BJ284:$BT284,,T284+1)*R284-ERP_i)*Q284*Ramure*Pc/MaxiM</f>
        <v>1.6643470223823508E-3</v>
      </c>
      <c r="Q284" s="304">
        <f t="shared" si="102"/>
        <v>0.7</v>
      </c>
      <c r="R284" s="177">
        <f t="shared" si="103"/>
        <v>0.53024465943672838</v>
      </c>
      <c r="S284" s="799">
        <f t="shared" si="104"/>
        <v>-1</v>
      </c>
      <c r="T284" s="176">
        <f t="shared" si="105"/>
        <v>5</v>
      </c>
      <c r="U284" s="250">
        <f t="shared" si="106"/>
        <v>-0.46975534056327162</v>
      </c>
      <c r="V284" s="382">
        <f t="shared" si="107"/>
        <v>43.754884148431955</v>
      </c>
      <c r="W284" s="58"/>
      <c r="X284" s="157">
        <f t="shared" si="108"/>
        <v>44100</v>
      </c>
      <c r="Y284" s="383">
        <f t="shared" si="109"/>
        <v>15.137841570052561</v>
      </c>
      <c r="Z284" s="383">
        <f t="shared" si="110"/>
        <v>15.320254406055636</v>
      </c>
      <c r="AA284" s="384">
        <f t="shared" si="111"/>
        <v>15.897064031045829</v>
      </c>
      <c r="AB284" s="197">
        <f t="shared" si="112"/>
        <v>44100</v>
      </c>
      <c r="AC284" s="424">
        <f>IF(OR(t&lt;Tnet,NoTnet),'2019'!Resal_s+('2019'!Salim-'2019'!Resal_s)*(1-EXP(('2019'!Tnet_s-t)/'2019'!Tau_j)),Resal_s+(Salim-Resal_s)*(1-EXP((Tnet_s-t)/Tau_j)))*Salcycl</f>
        <v>3.6284034829558748E-2</v>
      </c>
      <c r="AD284" s="230">
        <f>(INDEX(Models!$BJ284:$BT284,,AH284)*(1-AF284)+INDEX(Models!$BJ284:$BT284,,AH284+1)*AF284-ERP_i)*AE284*Ramure*Pc/MaxiM</f>
        <v>1.8236846478759975E-3</v>
      </c>
      <c r="AE284" s="304">
        <f t="shared" si="113"/>
        <v>0.7</v>
      </c>
      <c r="AF284" s="177">
        <f t="shared" si="114"/>
        <v>0.59457688169656053</v>
      </c>
      <c r="AG284" s="176">
        <f t="shared" si="115"/>
        <v>-1</v>
      </c>
      <c r="AH284" s="176">
        <f t="shared" si="116"/>
        <v>5</v>
      </c>
      <c r="AI284" s="224">
        <f t="shared" si="117"/>
        <v>-0.40542311830343947</v>
      </c>
      <c r="AJ284" s="264" t="b">
        <f t="shared" si="118"/>
        <v>0</v>
      </c>
      <c r="AK284" s="264" t="b">
        <f t="shared" si="119"/>
        <v>0</v>
      </c>
      <c r="AL284" s="264"/>
      <c r="AM284" s="264"/>
      <c r="AN284" s="75"/>
    </row>
    <row r="285" spans="1:40" s="6" customFormat="1" ht="11.25" x14ac:dyDescent="0.2">
      <c r="A285" s="56">
        <f t="shared" si="120"/>
        <v>44101</v>
      </c>
      <c r="B285" s="607">
        <v>14.151999999999999</v>
      </c>
      <c r="C285" s="388"/>
      <c r="D285" s="391">
        <f t="shared" si="99"/>
        <v>14.322807818268391</v>
      </c>
      <c r="E285" s="383">
        <f t="shared" si="97"/>
        <v>14.862543842229798</v>
      </c>
      <c r="F285" s="383">
        <f t="shared" si="100"/>
        <v>14.863419571548922</v>
      </c>
      <c r="G285" s="110">
        <f t="shared" si="98"/>
        <v>0.32485538593789415</v>
      </c>
      <c r="H285" s="412" t="b">
        <f>Wh_hp&gt;='2019'!Maxi_hp</f>
        <v>0</v>
      </c>
      <c r="I285" s="388">
        <f>IF(H285,Wh_hp,'2019'!Maxi_hp)</f>
        <v>28.985663444672685</v>
      </c>
      <c r="J285" s="85">
        <f>IF(H285,An,'2019'!An_max)</f>
        <v>2018</v>
      </c>
      <c r="K285" s="197">
        <f t="shared" si="101"/>
        <v>44101</v>
      </c>
      <c r="L285" s="147">
        <f>IF(t&lt;Tvie,1-EXP((T0-t)*PertePVj)+'2019'!Pspv,1-EXP((T0-t)*PertePVj)+Pspv)</f>
        <v>1.1925581941449437E-2</v>
      </c>
      <c r="M285" s="832"/>
      <c r="N285" s="832"/>
      <c r="O285" s="48">
        <f>IF(t&lt;Tnet,'2019'!Resal+('2019'!Salim-'2019'!Resal)*(1-EXP(('2019'!Tnet-t)/('2019'!Tau_j))),Resal+(Salim-Resal)*(1-EXP((Tnet-t)/(Tau_j))))*Salcycl</f>
        <v>3.6315184647450767E-2</v>
      </c>
      <c r="P285" s="169">
        <f>(INDEX(Models!$BJ285:$BT285,,T285)*(1-R285)+INDEX(Models!$BJ285:$BT285,,T285+1)*R285-ERP_i)*Q285*Ramure*Pc/MaxiM</f>
        <v>1.6259590011233299E-3</v>
      </c>
      <c r="Q285" s="304">
        <f t="shared" si="102"/>
        <v>0.7</v>
      </c>
      <c r="R285" s="177">
        <f t="shared" si="103"/>
        <v>0.53042360203615768</v>
      </c>
      <c r="S285" s="799">
        <f t="shared" si="104"/>
        <v>-1</v>
      </c>
      <c r="T285" s="176">
        <f t="shared" si="105"/>
        <v>5</v>
      </c>
      <c r="U285" s="250">
        <f t="shared" si="106"/>
        <v>-0.46957639796384232</v>
      </c>
      <c r="V285" s="382">
        <f t="shared" si="107"/>
        <v>43.495729320667259</v>
      </c>
      <c r="W285" s="58"/>
      <c r="X285" s="157">
        <f t="shared" si="108"/>
        <v>44101</v>
      </c>
      <c r="Y285" s="383">
        <f t="shared" si="109"/>
        <v>14.151920310594374</v>
      </c>
      <c r="Z285" s="383">
        <f t="shared" si="110"/>
        <v>14.322727167050052</v>
      </c>
      <c r="AA285" s="384">
        <f t="shared" si="111"/>
        <v>14.862460151777221</v>
      </c>
      <c r="AB285" s="197">
        <f t="shared" si="112"/>
        <v>44101</v>
      </c>
      <c r="AC285" s="424">
        <f>IF(OR(t&lt;Tnet,NoTnet),'2019'!Resal_s+('2019'!Salim-'2019'!Resal_s)*(1-EXP(('2019'!Tnet_s-t)/'2019'!Tau_j)),Resal_s+(Salim-Resal_s)*(1-EXP((Tnet_s-t)/Tau_j)))*Salcycl</f>
        <v>3.6315184647450767E-2</v>
      </c>
      <c r="AD285" s="230">
        <f>(INDEX(Models!$BJ285:$BT285,,AH285)*(1-AF285)+INDEX(Models!$BJ285:$BT285,,AH285+1)*AF285-ERP_i)*AE285*Ramure*Pc/MaxiM</f>
        <v>1.7813463356629218E-3</v>
      </c>
      <c r="AE285" s="304">
        <f t="shared" si="113"/>
        <v>0.7</v>
      </c>
      <c r="AF285" s="177">
        <f t="shared" si="114"/>
        <v>0.59475582429598983</v>
      </c>
      <c r="AG285" s="176">
        <f t="shared" si="115"/>
        <v>-1</v>
      </c>
      <c r="AH285" s="176">
        <f t="shared" si="116"/>
        <v>5</v>
      </c>
      <c r="AI285" s="224">
        <f t="shared" si="117"/>
        <v>-0.40524417570401017</v>
      </c>
      <c r="AJ285" s="264" t="b">
        <f t="shared" si="118"/>
        <v>0</v>
      </c>
      <c r="AK285" s="264" t="b">
        <f t="shared" si="119"/>
        <v>0</v>
      </c>
      <c r="AL285" s="264"/>
      <c r="AM285" s="264"/>
      <c r="AN285" s="75"/>
    </row>
    <row r="286" spans="1:40" s="6" customFormat="1" ht="11.25" x14ac:dyDescent="0.2">
      <c r="A286" s="56">
        <f t="shared" si="120"/>
        <v>44102</v>
      </c>
      <c r="B286" s="607">
        <v>25.152000000000001</v>
      </c>
      <c r="C286" s="388"/>
      <c r="D286" s="391">
        <f t="shared" si="99"/>
        <v>25.45606037549457</v>
      </c>
      <c r="E286" s="383">
        <f t="shared" si="97"/>
        <v>26.416177798754898</v>
      </c>
      <c r="F286" s="383">
        <f t="shared" si="100"/>
        <v>26.433090056922268</v>
      </c>
      <c r="G286" s="110">
        <f t="shared" si="98"/>
        <v>0.58119890880908254</v>
      </c>
      <c r="H286" s="412" t="b">
        <f>Wh_hp&gt;='2019'!Maxi_hp</f>
        <v>0</v>
      </c>
      <c r="I286" s="388">
        <f>IF(H286,Wh_hp,'2019'!Maxi_hp)</f>
        <v>45.479306908151436</v>
      </c>
      <c r="J286" s="85">
        <f>IF(H286,An,'2019'!An_max)</f>
        <v>2018</v>
      </c>
      <c r="K286" s="197">
        <f t="shared" si="101"/>
        <v>44102</v>
      </c>
      <c r="L286" s="147">
        <f>IF(t&lt;Tvie,1-EXP((T0-t)*PertePVj)+'2019'!Pspv,1-EXP((T0-t)*PertePVj)+Pspv)</f>
        <v>1.1944518162255502E-2</v>
      </c>
      <c r="M286" s="832"/>
      <c r="N286" s="832"/>
      <c r="O286" s="48">
        <f>IF(t&lt;Tnet,'2019'!Resal+('2019'!Salim-'2019'!Resal)*(1-EXP(('2019'!Tnet-t)/('2019'!Tau_j))),Resal+(Salim-Resal)*(1-EXP((Tnet-t)/(Tau_j))))*Salcycl</f>
        <v>3.6345811667938703E-2</v>
      </c>
      <c r="P286" s="169">
        <f>(INDEX(Models!$BJ286:$BT286,,T286)*(1-R286)+INDEX(Models!$BJ286:$BT286,,T286+1)*R286-ERP_i)*Q286*Ramure*Pc/MaxiM</f>
        <v>1.5895895917781768E-3</v>
      </c>
      <c r="Q286" s="304">
        <f t="shared" si="102"/>
        <v>0.7</v>
      </c>
      <c r="R286" s="177">
        <f t="shared" si="103"/>
        <v>0.53059549196088596</v>
      </c>
      <c r="S286" s="799">
        <f t="shared" si="104"/>
        <v>-1</v>
      </c>
      <c r="T286" s="176">
        <f t="shared" si="105"/>
        <v>5</v>
      </c>
      <c r="U286" s="250">
        <f t="shared" si="106"/>
        <v>-0.4694045080391141</v>
      </c>
      <c r="V286" s="382">
        <f t="shared" si="107"/>
        <v>43.234933112463835</v>
      </c>
      <c r="W286" s="58"/>
      <c r="X286" s="157">
        <f t="shared" si="108"/>
        <v>44102</v>
      </c>
      <c r="Y286" s="383">
        <f t="shared" si="109"/>
        <v>25.150461825166637</v>
      </c>
      <c r="Z286" s="383">
        <f t="shared" si="110"/>
        <v>25.454503605797282</v>
      </c>
      <c r="AA286" s="384">
        <f t="shared" si="111"/>
        <v>26.414562312913468</v>
      </c>
      <c r="AB286" s="197">
        <f t="shared" si="112"/>
        <v>44102</v>
      </c>
      <c r="AC286" s="424">
        <f>IF(OR(t&lt;Tnet,NoTnet),'2019'!Resal_s+('2019'!Salim-'2019'!Resal_s)*(1-EXP(('2019'!Tnet_s-t)/'2019'!Tau_j)),Resal_s+(Salim-Resal_s)*(1-EXP((Tnet_s-t)/Tau_j)))*Salcycl</f>
        <v>3.6345811667938703E-2</v>
      </c>
      <c r="AD286" s="230">
        <f>(INDEX(Models!$BJ286:$BT286,,AH286)*(1-AF286)+INDEX(Models!$BJ286:$BT286,,AH286+1)*AF286-ERP_i)*AE286*Ramure*Pc/MaxiM</f>
        <v>1.7414297218063858E-3</v>
      </c>
      <c r="AE286" s="304">
        <f t="shared" si="113"/>
        <v>0.7</v>
      </c>
      <c r="AF286" s="177">
        <f t="shared" si="114"/>
        <v>0.59492771422071811</v>
      </c>
      <c r="AG286" s="176">
        <f t="shared" si="115"/>
        <v>-1</v>
      </c>
      <c r="AH286" s="176">
        <f t="shared" si="116"/>
        <v>5</v>
      </c>
      <c r="AI286" s="224">
        <f t="shared" si="117"/>
        <v>-0.40507228577928195</v>
      </c>
      <c r="AJ286" s="264" t="b">
        <f t="shared" si="118"/>
        <v>0</v>
      </c>
      <c r="AK286" s="264" t="b">
        <f t="shared" si="119"/>
        <v>0</v>
      </c>
      <c r="AL286" s="264"/>
      <c r="AM286" s="264"/>
      <c r="AN286" s="75"/>
    </row>
    <row r="287" spans="1:40" s="6" customFormat="1" ht="11.25" x14ac:dyDescent="0.2">
      <c r="A287" s="56">
        <f t="shared" si="120"/>
        <v>44103</v>
      </c>
      <c r="B287" s="607">
        <v>35.881</v>
      </c>
      <c r="C287" s="388"/>
      <c r="D287" s="391">
        <f t="shared" si="99"/>
        <v>36.315458315781648</v>
      </c>
      <c r="E287" s="383">
        <f t="shared" si="97"/>
        <v>37.686332752255893</v>
      </c>
      <c r="F287" s="383">
        <f t="shared" si="100"/>
        <v>37.731180167005817</v>
      </c>
      <c r="G287" s="110">
        <f t="shared" si="98"/>
        <v>0.83466540054369454</v>
      </c>
      <c r="H287" s="412" t="b">
        <f>Wh_hp&gt;='2019'!Maxi_hp</f>
        <v>1</v>
      </c>
      <c r="I287" s="388">
        <f>IF(H287,Wh_hp,'2019'!Maxi_hp)</f>
        <v>37.731180167005817</v>
      </c>
      <c r="J287" s="85">
        <f>IF(H287,An,'2019'!An_max)</f>
        <v>2020</v>
      </c>
      <c r="K287" s="197">
        <f t="shared" si="101"/>
        <v>44103</v>
      </c>
      <c r="L287" s="147">
        <f>IF(t&lt;Tvie,1-EXP((T0-t)*PertePVj)+'2019'!Pspv,1-EXP((T0-t)*PertePVj)+Pspv)</f>
        <v>1.1963454020153308E-2</v>
      </c>
      <c r="M287" s="832"/>
      <c r="N287" s="832"/>
      <c r="O287" s="48">
        <f>IF(t&lt;Tnet,'2019'!Resal+('2019'!Salim-'2019'!Resal)*(1-EXP(('2019'!Tnet-t)/('2019'!Tau_j))),Resal+(Salim-Resal)*(1-EXP((Tnet-t)/(Tau_j))))*Salcycl</f>
        <v>3.6375904375895676E-2</v>
      </c>
      <c r="P287" s="169">
        <f>(INDEX(Models!$BJ287:$BT287,,T287)*(1-R287)+INDEX(Models!$BJ287:$BT287,,T287+1)*R287-ERP_i)*Q287*Ramure*Pc/MaxiM</f>
        <v>1.555263858342865E-3</v>
      </c>
      <c r="Q287" s="304">
        <f t="shared" si="102"/>
        <v>0.7</v>
      </c>
      <c r="R287" s="177">
        <f t="shared" si="103"/>
        <v>0.53076060135513314</v>
      </c>
      <c r="S287" s="799">
        <f t="shared" si="104"/>
        <v>-1</v>
      </c>
      <c r="T287" s="176">
        <f t="shared" si="105"/>
        <v>5</v>
      </c>
      <c r="U287" s="250">
        <f t="shared" si="106"/>
        <v>-0.46923939864486691</v>
      </c>
      <c r="V287" s="382">
        <f t="shared" si="107"/>
        <v>42.972702812558765</v>
      </c>
      <c r="W287" s="58"/>
      <c r="X287" s="157">
        <f t="shared" si="108"/>
        <v>44103</v>
      </c>
      <c r="Y287" s="383">
        <f t="shared" si="109"/>
        <v>35.876917483326032</v>
      </c>
      <c r="Z287" s="383">
        <f t="shared" si="110"/>
        <v>36.311326366725126</v>
      </c>
      <c r="AA287" s="384">
        <f t="shared" si="111"/>
        <v>37.682044826004066</v>
      </c>
      <c r="AB287" s="197">
        <f t="shared" si="112"/>
        <v>44103</v>
      </c>
      <c r="AC287" s="424">
        <f>IF(OR(t&lt;Tnet,NoTnet),'2019'!Resal_s+('2019'!Salim-'2019'!Resal_s)*(1-EXP(('2019'!Tnet_s-t)/'2019'!Tau_j)),Resal_s+(Salim-Resal_s)*(1-EXP((Tnet_s-t)/Tau_j)))*Salcycl</f>
        <v>3.6375904375895676E-2</v>
      </c>
      <c r="AD287" s="230">
        <f>(INDEX(Models!$BJ287:$BT287,,AH287)*(1-AF287)+INDEX(Models!$BJ287:$BT287,,AH287+1)*AF287-ERP_i)*AE287*Ramure*Pc/MaxiM</f>
        <v>1.7039648874633145E-3</v>
      </c>
      <c r="AE287" s="304">
        <f t="shared" si="113"/>
        <v>0.7</v>
      </c>
      <c r="AF287" s="177">
        <f t="shared" si="114"/>
        <v>0.59509282361496529</v>
      </c>
      <c r="AG287" s="176">
        <f t="shared" si="115"/>
        <v>-1</v>
      </c>
      <c r="AH287" s="176">
        <f t="shared" si="116"/>
        <v>5</v>
      </c>
      <c r="AI287" s="224">
        <f t="shared" si="117"/>
        <v>-0.40490717638503476</v>
      </c>
      <c r="AJ287" s="264" t="b">
        <f t="shared" si="118"/>
        <v>0</v>
      </c>
      <c r="AK287" s="264" t="b">
        <f t="shared" si="119"/>
        <v>0</v>
      </c>
      <c r="AL287" s="264"/>
      <c r="AM287" s="264"/>
      <c r="AN287" s="75"/>
    </row>
    <row r="288" spans="1:40" s="6" customFormat="1" ht="11.25" x14ac:dyDescent="0.2">
      <c r="A288" s="56">
        <f t="shared" si="120"/>
        <v>44104</v>
      </c>
      <c r="B288" s="607">
        <v>42.033000000000001</v>
      </c>
      <c r="C288" s="388"/>
      <c r="D288" s="391">
        <f t="shared" si="99"/>
        <v>42.542763968926756</v>
      </c>
      <c r="E288" s="383">
        <f t="shared" si="97"/>
        <v>44.150067113843299</v>
      </c>
      <c r="F288" s="383">
        <f t="shared" si="100"/>
        <v>44.215885035477228</v>
      </c>
      <c r="G288" s="110">
        <f t="shared" si="98"/>
        <v>0.98413233906976105</v>
      </c>
      <c r="H288" s="412" t="b">
        <f>Wh_hp&gt;='2019'!Maxi_hp</f>
        <v>1</v>
      </c>
      <c r="I288" s="388">
        <f>IF(H288,Wh_hp,'2019'!Maxi_hp)</f>
        <v>44.215885035477228</v>
      </c>
      <c r="J288" s="85">
        <f>IF(H288,An,'2019'!An_max)</f>
        <v>2020</v>
      </c>
      <c r="K288" s="197">
        <f t="shared" si="101"/>
        <v>44104</v>
      </c>
      <c r="L288" s="147">
        <f>IF(t&lt;Tvie,1-EXP((T0-t)*PertePVj)+'2019'!Pspv,1-EXP((T0-t)*PertePVj)+Pspv)</f>
        <v>1.1982389515149627E-2</v>
      </c>
      <c r="M288" s="832"/>
      <c r="N288" s="832"/>
      <c r="O288" s="48">
        <f>IF(t&lt;Tnet,'2019'!Resal+('2019'!Salim-'2019'!Resal)*(1-EXP(('2019'!Tnet-t)/('2019'!Tau_j))),Resal+(Salim-Resal)*(1-EXP((Tnet-t)/(Tau_j))))*Salcycl</f>
        <v>3.6405451905022659E-2</v>
      </c>
      <c r="P288" s="169">
        <f>(INDEX(Models!$BJ288:$BT288,,T288)*(1-R288)+INDEX(Models!$BJ288:$BT288,,T288+1)*R288-ERP_i)*Q288*Ramure*Pc/MaxiM</f>
        <v>1.5230080799795574E-3</v>
      </c>
      <c r="Q288" s="304">
        <f t="shared" si="102"/>
        <v>0.7</v>
      </c>
      <c r="R288" s="177">
        <f t="shared" si="103"/>
        <v>0.53091919231733176</v>
      </c>
      <c r="S288" s="799">
        <f t="shared" si="104"/>
        <v>-1</v>
      </c>
      <c r="T288" s="176">
        <f t="shared" si="105"/>
        <v>5</v>
      </c>
      <c r="U288" s="250">
        <f t="shared" si="106"/>
        <v>-0.4690808076826683</v>
      </c>
      <c r="V288" s="382">
        <f t="shared" si="107"/>
        <v>42.709245641153217</v>
      </c>
      <c r="W288" s="58"/>
      <c r="X288" s="157">
        <f t="shared" si="108"/>
        <v>44104</v>
      </c>
      <c r="Y288" s="383">
        <f t="shared" si="109"/>
        <v>42.026994070774492</v>
      </c>
      <c r="Z288" s="383">
        <f t="shared" si="110"/>
        <v>42.536685201542674</v>
      </c>
      <c r="AA288" s="384">
        <f t="shared" si="111"/>
        <v>44.14375868526605</v>
      </c>
      <c r="AB288" s="197">
        <f t="shared" si="112"/>
        <v>44104</v>
      </c>
      <c r="AC288" s="424">
        <f>IF(OR(t&lt;Tnet,NoTnet),'2019'!Resal_s+('2019'!Salim-'2019'!Resal_s)*(1-EXP(('2019'!Tnet_s-t)/'2019'!Tau_j)),Resal_s+(Salim-Resal_s)*(1-EXP((Tnet_s-t)/Tau_j)))*Salcycl</f>
        <v>3.6405451905022659E-2</v>
      </c>
      <c r="AD288" s="230">
        <f>(INDEX(Models!$BJ288:$BT288,,AH288)*(1-AF288)+INDEX(Models!$BJ288:$BT288,,AH288+1)*AF288-ERP_i)*AE288*Ramure*Pc/MaxiM</f>
        <v>1.6689833319566314E-3</v>
      </c>
      <c r="AE288" s="304">
        <f t="shared" si="113"/>
        <v>0.7</v>
      </c>
      <c r="AF288" s="177">
        <f t="shared" si="114"/>
        <v>0.59525141457716391</v>
      </c>
      <c r="AG288" s="176">
        <f t="shared" si="115"/>
        <v>-1</v>
      </c>
      <c r="AH288" s="176">
        <f t="shared" si="116"/>
        <v>5</v>
      </c>
      <c r="AI288" s="224">
        <f t="shared" si="117"/>
        <v>-0.40474858542283615</v>
      </c>
      <c r="AJ288" s="264" t="b">
        <f t="shared" si="118"/>
        <v>0</v>
      </c>
      <c r="AK288" s="264" t="b">
        <f t="shared" si="119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20"/>
        <v>44105</v>
      </c>
      <c r="B289" s="607">
        <v>7.907</v>
      </c>
      <c r="C289" s="388"/>
      <c r="D289" s="391">
        <f t="shared" si="99"/>
        <v>8.0030471672210872</v>
      </c>
      <c r="E289" s="383">
        <f t="shared" si="97"/>
        <v>8.3056592450424933</v>
      </c>
      <c r="F289" s="383">
        <f t="shared" si="100"/>
        <v>8.3056592450424933</v>
      </c>
      <c r="G289" s="110">
        <f t="shared" si="98"/>
        <v>0.1860172381813468</v>
      </c>
      <c r="H289" s="412" t="b">
        <f>Wh_hp&gt;='2019'!Maxi_hp</f>
        <v>0</v>
      </c>
      <c r="I289" s="388">
        <f>IF(H289,Wh_hp,'2019'!Maxi_hp)</f>
        <v>22.867185351706897</v>
      </c>
      <c r="J289" s="85">
        <f>IF(H289,An,'2019'!An_max)</f>
        <v>2018</v>
      </c>
      <c r="K289" s="197">
        <f t="shared" si="101"/>
        <v>44105</v>
      </c>
      <c r="L289" s="147">
        <f>IF(t&lt;Tvie,1-EXP((T0-t)*PertePVj)+'2019'!Pspv,1-EXP((T0-t)*PertePVj)+Pspv)</f>
        <v>1.2001324647251566E-2</v>
      </c>
      <c r="M289" s="832"/>
      <c r="N289" s="832"/>
      <c r="O289" s="48">
        <f>IF(t&lt;Tnet,'2019'!Resal+('2019'!Salim-'2019'!Resal)*(1-EXP(('2019'!Tnet-t)/('2019'!Tau_j))),Resal+(Salim-Resal)*(1-EXP((Tnet-t)/(Tau_j))))*Salcycl</f>
        <v>3.6434444141448523E-2</v>
      </c>
      <c r="P289" s="169">
        <f>(INDEX(Models!$BJ289:$BT289,,T289)*(1-R289)+INDEX(Models!$BJ289:$BT289,,T289+1)*R289-ERP_i)*Q289*Ramure*Pc/MaxiM</f>
        <v>1.4928993190798522E-3</v>
      </c>
      <c r="Q289" s="304">
        <f t="shared" si="102"/>
        <v>0.7</v>
      </c>
      <c r="R289" s="177">
        <f t="shared" si="103"/>
        <v>0.53107151723505686</v>
      </c>
      <c r="S289" s="799">
        <f t="shared" si="104"/>
        <v>-1</v>
      </c>
      <c r="T289" s="176">
        <f t="shared" si="105"/>
        <v>5</v>
      </c>
      <c r="U289" s="250">
        <f t="shared" si="106"/>
        <v>-0.4689284827649432</v>
      </c>
      <c r="V289" s="382">
        <f t="shared" si="107"/>
        <v>42.443354832454126</v>
      </c>
      <c r="W289" s="58"/>
      <c r="X289" s="157">
        <f t="shared" si="108"/>
        <v>44105</v>
      </c>
      <c r="Y289" s="383">
        <f t="shared" si="109"/>
        <v>7.907</v>
      </c>
      <c r="Z289" s="383">
        <f t="shared" si="110"/>
        <v>8.0030471672210872</v>
      </c>
      <c r="AA289" s="384">
        <f t="shared" si="111"/>
        <v>8.3056592450424933</v>
      </c>
      <c r="AB289" s="197">
        <f t="shared" si="112"/>
        <v>44105</v>
      </c>
      <c r="AC289" s="424">
        <f>IF(OR(t&lt;Tnet,NoTnet),'2019'!Resal_s+('2019'!Salim-'2019'!Resal_s)*(1-EXP(('2019'!Tnet_s-t)/'2019'!Tau_j)),Resal_s+(Salim-Resal_s)*(1-EXP((Tnet_s-t)/Tau_j)))*Salcycl</f>
        <v>3.6434444141448523E-2</v>
      </c>
      <c r="AD289" s="230">
        <f>(INDEX(Models!$BJ289:$BT289,,AH289)*(1-AF289)+INDEX(Models!$BJ289:$BT289,,AH289+1)*AF289-ERP_i)*AE289*Ramure*Pc/MaxiM</f>
        <v>1.6365722972231239E-3</v>
      </c>
      <c r="AE289" s="304">
        <f t="shared" si="113"/>
        <v>0.7</v>
      </c>
      <c r="AF289" s="177">
        <f t="shared" si="114"/>
        <v>0.59540373949488901</v>
      </c>
      <c r="AG289" s="176">
        <f t="shared" si="115"/>
        <v>-1</v>
      </c>
      <c r="AH289" s="176">
        <f t="shared" si="116"/>
        <v>5</v>
      </c>
      <c r="AI289" s="224">
        <f t="shared" si="117"/>
        <v>-0.40459626050511105</v>
      </c>
      <c r="AJ289" s="264" t="b">
        <f t="shared" si="118"/>
        <v>0</v>
      </c>
      <c r="AK289" s="264" t="b">
        <f t="shared" si="119"/>
        <v>0</v>
      </c>
      <c r="AL289" s="264"/>
      <c r="AM289" s="264"/>
      <c r="AN289" s="75"/>
    </row>
    <row r="290" spans="1:40" s="6" customFormat="1" ht="11.25" x14ac:dyDescent="0.2">
      <c r="A290" s="56">
        <f t="shared" si="120"/>
        <v>44106</v>
      </c>
      <c r="B290" s="607">
        <v>4.67</v>
      </c>
      <c r="C290" s="388"/>
      <c r="D290" s="391">
        <f t="shared" si="99"/>
        <v>4.7268175734471445</v>
      </c>
      <c r="E290" s="383">
        <f t="shared" si="97"/>
        <v>4.9056932371849085</v>
      </c>
      <c r="F290" s="383">
        <f t="shared" si="100"/>
        <v>4.9056932371849085</v>
      </c>
      <c r="G290" s="110">
        <f t="shared" si="98"/>
        <v>0.11056960778217935</v>
      </c>
      <c r="H290" s="412" t="b">
        <f>Wh_hp&gt;='2019'!Maxi_hp</f>
        <v>0</v>
      </c>
      <c r="I290" s="388">
        <f>IF(H290,Wh_hp,'2019'!Maxi_hp)</f>
        <v>31.176737520851219</v>
      </c>
      <c r="J290" s="85">
        <f>IF(H290,An,'2019'!An_max)</f>
        <v>2018</v>
      </c>
      <c r="K290" s="197">
        <f t="shared" si="101"/>
        <v>44106</v>
      </c>
      <c r="L290" s="147">
        <f>IF(t&lt;Tvie,1-EXP((T0-t)*PertePVj)+'2019'!Pspv,1-EXP((T0-t)*PertePVj)+Pspv)</f>
        <v>1.2020259416465895E-2</v>
      </c>
      <c r="M290" s="832"/>
      <c r="N290" s="832"/>
      <c r="O290" s="48">
        <f>IF(t&lt;Tnet,'2019'!Resal+('2019'!Salim-'2019'!Resal)*(1-EXP(('2019'!Tnet-t)/('2019'!Tau_j))),Resal+(Salim-Resal)*(1-EXP((Tnet-t)/(Tau_j))))*Salcycl</f>
        <v>3.6462871828571504E-2</v>
      </c>
      <c r="P290" s="169">
        <f>(INDEX(Models!$BJ290:$BT290,,T290)*(1-R290)+INDEX(Models!$BJ290:$BT290,,T290+1)*R290-ERP_i)*Q290*Ramure*Pc/MaxiM</f>
        <v>1.4792421784648913E-3</v>
      </c>
      <c r="Q290" s="304">
        <f t="shared" si="102"/>
        <v>0.7</v>
      </c>
      <c r="R290" s="177">
        <f t="shared" si="103"/>
        <v>0.5312178191116872</v>
      </c>
      <c r="S290" s="799">
        <f t="shared" si="104"/>
        <v>-1</v>
      </c>
      <c r="T290" s="176">
        <f t="shared" si="105"/>
        <v>5</v>
      </c>
      <c r="U290" s="250">
        <f t="shared" si="106"/>
        <v>-0.46878218088831275</v>
      </c>
      <c r="V290" s="382">
        <f t="shared" si="107"/>
        <v>42.17336058759291</v>
      </c>
      <c r="W290" s="58"/>
      <c r="X290" s="157">
        <f t="shared" si="108"/>
        <v>44106</v>
      </c>
      <c r="Y290" s="383">
        <f t="shared" si="109"/>
        <v>4.67</v>
      </c>
      <c r="Z290" s="383">
        <f t="shared" si="110"/>
        <v>4.7268175734471445</v>
      </c>
      <c r="AA290" s="384">
        <f t="shared" si="111"/>
        <v>4.9056932371849085</v>
      </c>
      <c r="AB290" s="197">
        <f t="shared" si="112"/>
        <v>44106</v>
      </c>
      <c r="AC290" s="424">
        <f>IF(OR(t&lt;Tnet,NoTnet),'2019'!Resal_s+('2019'!Salim-'2019'!Resal_s)*(1-EXP(('2019'!Tnet_s-t)/'2019'!Tau_j)),Resal_s+(Salim-Resal_s)*(1-EXP((Tnet_s-t)/Tau_j)))*Salcycl</f>
        <v>3.6462871828571504E-2</v>
      </c>
      <c r="AD290" s="230">
        <f>(INDEX(Models!$BJ290:$BT290,,AH290)*(1-AF290)+INDEX(Models!$BJ290:$BT290,,AH290+1)*AF290-ERP_i)*AE290*Ramure*Pc/MaxiM</f>
        <v>1.6225950339228969E-3</v>
      </c>
      <c r="AE290" s="304">
        <f t="shared" si="113"/>
        <v>0.7</v>
      </c>
      <c r="AF290" s="177">
        <f t="shared" si="114"/>
        <v>0.59555004137151935</v>
      </c>
      <c r="AG290" s="176">
        <f t="shared" si="115"/>
        <v>-1</v>
      </c>
      <c r="AH290" s="176">
        <f t="shared" si="116"/>
        <v>5</v>
      </c>
      <c r="AI290" s="224">
        <f t="shared" si="117"/>
        <v>-0.4044499586284806</v>
      </c>
      <c r="AJ290" s="264" t="b">
        <f t="shared" si="118"/>
        <v>0</v>
      </c>
      <c r="AK290" s="264" t="b">
        <f t="shared" si="119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20"/>
        <v>44107</v>
      </c>
      <c r="B291" s="607">
        <v>20.228000000000002</v>
      </c>
      <c r="C291" s="388"/>
      <c r="D291" s="391">
        <f t="shared" si="99"/>
        <v>20.47449643095651</v>
      </c>
      <c r="E291" s="383">
        <f t="shared" si="97"/>
        <v>21.249921508532001</v>
      </c>
      <c r="F291" s="383">
        <f t="shared" si="100"/>
        <v>21.258168275072965</v>
      </c>
      <c r="G291" s="110">
        <f t="shared" si="98"/>
        <v>0.48224366443785099</v>
      </c>
      <c r="H291" s="412" t="b">
        <f>Wh_hp&gt;='2019'!Maxi_hp</f>
        <v>1</v>
      </c>
      <c r="I291" s="388">
        <f>IF(H291,Wh_hp,'2019'!Maxi_hp)</f>
        <v>21.258168275072965</v>
      </c>
      <c r="J291" s="85">
        <f>IF(H291,An,'2019'!An_max)</f>
        <v>2020</v>
      </c>
      <c r="K291" s="197">
        <f t="shared" si="101"/>
        <v>44107</v>
      </c>
      <c r="L291" s="147">
        <f>IF(t&lt;Tvie,1-EXP((T0-t)*PertePVj)+'2019'!Pspv,1-EXP((T0-t)*PertePVj)+Pspv)</f>
        <v>1.2039193822799832E-2</v>
      </c>
      <c r="M291" s="832"/>
      <c r="N291" s="832"/>
      <c r="O291" s="48">
        <f>IF(t&lt;Tnet,'2019'!Resal+('2019'!Salim-'2019'!Resal)*(1-EXP(('2019'!Tnet-t)/('2019'!Tau_j))),Resal+(Salim-Resal)*(1-EXP((Tnet-t)/(Tau_j))))*Salcycl</f>
        <v>3.6490726672291564E-2</v>
      </c>
      <c r="P291" s="169">
        <f>(INDEX(Models!$BJ291:$BT291,,T291)*(1-R291)+INDEX(Models!$BJ291:$BT291,,T291+1)*R291-ERP_i)*Q291*Ramure*Pc/MaxiM</f>
        <v>1.4857365751608429E-3</v>
      </c>
      <c r="Q291" s="304">
        <f t="shared" si="102"/>
        <v>0.7</v>
      </c>
      <c r="R291" s="177">
        <f t="shared" si="103"/>
        <v>0.53135833188475168</v>
      </c>
      <c r="S291" s="799">
        <f t="shared" si="104"/>
        <v>-1</v>
      </c>
      <c r="T291" s="176">
        <f t="shared" si="105"/>
        <v>5</v>
      </c>
      <c r="U291" s="250">
        <f t="shared" si="106"/>
        <v>-0.46864166811524838</v>
      </c>
      <c r="V291" s="382">
        <f t="shared" si="107"/>
        <v>41.899534450902514</v>
      </c>
      <c r="W291" s="58"/>
      <c r="X291" s="157">
        <f t="shared" si="108"/>
        <v>44107</v>
      </c>
      <c r="Y291" s="383">
        <f t="shared" si="109"/>
        <v>20.227231994071115</v>
      </c>
      <c r="Z291" s="383">
        <f t="shared" si="110"/>
        <v>20.473719066182436</v>
      </c>
      <c r="AA291" s="384">
        <f t="shared" si="111"/>
        <v>21.249114702831637</v>
      </c>
      <c r="AB291" s="197">
        <f t="shared" si="112"/>
        <v>44107</v>
      </c>
      <c r="AC291" s="424">
        <f>IF(OR(t&lt;Tnet,NoTnet),'2019'!Resal_s+('2019'!Salim-'2019'!Resal_s)*(1-EXP(('2019'!Tnet_s-t)/'2019'!Tau_j)),Resal_s+(Salim-Resal_s)*(1-EXP((Tnet_s-t)/Tau_j)))*Salcycl</f>
        <v>3.6490726672291564E-2</v>
      </c>
      <c r="AD291" s="230">
        <f>(INDEX(Models!$BJ291:$BT291,,AH291)*(1-AF291)+INDEX(Models!$BJ291:$BT291,,AH291+1)*AF291-ERP_i)*AE291*Ramure*Pc/MaxiM</f>
        <v>1.6310906035692998E-3</v>
      </c>
      <c r="AE291" s="304">
        <f t="shared" si="113"/>
        <v>0.7</v>
      </c>
      <c r="AF291" s="177">
        <f t="shared" si="114"/>
        <v>0.59569055414458383</v>
      </c>
      <c r="AG291" s="176">
        <f t="shared" si="115"/>
        <v>-1</v>
      </c>
      <c r="AH291" s="176">
        <f t="shared" si="116"/>
        <v>5</v>
      </c>
      <c r="AI291" s="224">
        <f t="shared" si="117"/>
        <v>-0.40430944585541623</v>
      </c>
      <c r="AJ291" s="264" t="b">
        <f t="shared" si="118"/>
        <v>0</v>
      </c>
      <c r="AK291" s="264" t="b">
        <f t="shared" si="119"/>
        <v>0</v>
      </c>
      <c r="AL291" s="264"/>
      <c r="AM291" s="264"/>
      <c r="AN291" s="75"/>
    </row>
    <row r="292" spans="1:40" s="6" customFormat="1" ht="11.25" x14ac:dyDescent="0.2">
      <c r="A292" s="56">
        <f t="shared" si="120"/>
        <v>44108</v>
      </c>
      <c r="B292" s="607">
        <v>19.518000000000001</v>
      </c>
      <c r="C292" s="388"/>
      <c r="D292" s="391">
        <f t="shared" si="99"/>
        <v>19.756223063858364</v>
      </c>
      <c r="E292" s="383">
        <f t="shared" si="97"/>
        <v>20.505025619060323</v>
      </c>
      <c r="F292" s="383">
        <f t="shared" si="100"/>
        <v>20.51251392479389</v>
      </c>
      <c r="G292" s="110">
        <f t="shared" si="98"/>
        <v>0.46839303374377128</v>
      </c>
      <c r="H292" s="412" t="b">
        <f>Wh_hp&gt;='2019'!Maxi_hp</f>
        <v>0</v>
      </c>
      <c r="I292" s="388">
        <f>IF(H292,Wh_hp,'2019'!Maxi_hp)</f>
        <v>38.454927984098589</v>
      </c>
      <c r="J292" s="85">
        <f>IF(H292,An,'2019'!An_max)</f>
        <v>2018</v>
      </c>
      <c r="K292" s="197">
        <f t="shared" si="101"/>
        <v>44108</v>
      </c>
      <c r="L292" s="147">
        <f>IF(t&lt;Tvie,1-EXP((T0-t)*PertePVj)+'2019'!Pspv,1-EXP((T0-t)*PertePVj)+Pspv)</f>
        <v>1.2058127866260149E-2</v>
      </c>
      <c r="M292" s="832"/>
      <c r="N292" s="832"/>
      <c r="O292" s="48">
        <f>IF(t&lt;Tnet,'2019'!Resal+('2019'!Salim-'2019'!Resal)*(1-EXP(('2019'!Tnet-t)/('2019'!Tau_j))),Resal+(Salim-Resal)*(1-EXP((Tnet-t)/(Tau_j))))*Salcycl</f>
        <v>3.6518001445748662E-2</v>
      </c>
      <c r="P292" s="169">
        <f>(INDEX(Models!$BJ292:$BT292,,T292)*(1-R292)+INDEX(Models!$BJ292:$BT292,,T292+1)*R292-ERP_i)*Q292*Ramure*Pc/MaxiM</f>
        <v>1.512698420334864E-3</v>
      </c>
      <c r="Q292" s="304">
        <f t="shared" si="102"/>
        <v>0.7</v>
      </c>
      <c r="R292" s="177">
        <f t="shared" si="103"/>
        <v>0.53149328073593693</v>
      </c>
      <c r="S292" s="799">
        <f t="shared" si="104"/>
        <v>-1</v>
      </c>
      <c r="T292" s="176">
        <f t="shared" si="105"/>
        <v>5</v>
      </c>
      <c r="U292" s="250">
        <f t="shared" si="106"/>
        <v>-0.46850671926406307</v>
      </c>
      <c r="V292" s="382">
        <f t="shared" si="107"/>
        <v>41.622293278652691</v>
      </c>
      <c r="W292" s="58"/>
      <c r="X292" s="157">
        <f t="shared" si="108"/>
        <v>44108</v>
      </c>
      <c r="Y292" s="383">
        <f t="shared" si="109"/>
        <v>19.517294557914347</v>
      </c>
      <c r="Z292" s="383">
        <f t="shared" si="110"/>
        <v>19.755509011639756</v>
      </c>
      <c r="AA292" s="384">
        <f t="shared" si="111"/>
        <v>20.504284502755421</v>
      </c>
      <c r="AB292" s="197">
        <f t="shared" si="112"/>
        <v>44108</v>
      </c>
      <c r="AC292" s="424">
        <f>IF(OR(t&lt;Tnet,NoTnet),'2019'!Resal_s+('2019'!Salim-'2019'!Resal_s)*(1-EXP(('2019'!Tnet_s-t)/'2019'!Tau_j)),Resal_s+(Salim-Resal_s)*(1-EXP((Tnet_s-t)/Tau_j)))*Salcycl</f>
        <v>3.6518001445748662E-2</v>
      </c>
      <c r="AD292" s="230">
        <f>(INDEX(Models!$BJ292:$BT292,,AH292)*(1-AF292)+INDEX(Models!$BJ292:$BT292,,AH292+1)*AF292-ERP_i)*AE292*Ramure*Pc/MaxiM</f>
        <v>1.6624099176481336E-3</v>
      </c>
      <c r="AE292" s="304">
        <f t="shared" si="113"/>
        <v>0.7</v>
      </c>
      <c r="AF292" s="177">
        <f t="shared" si="114"/>
        <v>0.59582550299576909</v>
      </c>
      <c r="AG292" s="176">
        <f t="shared" si="115"/>
        <v>-1</v>
      </c>
      <c r="AH292" s="176">
        <f t="shared" si="116"/>
        <v>5</v>
      </c>
      <c r="AI292" s="224">
        <f t="shared" si="117"/>
        <v>-0.40417449700423091</v>
      </c>
      <c r="AJ292" s="264" t="b">
        <f t="shared" si="118"/>
        <v>0</v>
      </c>
      <c r="AK292" s="264" t="b">
        <f t="shared" si="119"/>
        <v>0</v>
      </c>
      <c r="AL292" s="264"/>
      <c r="AM292" s="264"/>
      <c r="AN292" s="75"/>
    </row>
    <row r="293" spans="1:40" s="6" customFormat="1" ht="11.25" x14ac:dyDescent="0.2">
      <c r="A293" s="56">
        <f t="shared" si="120"/>
        <v>44109</v>
      </c>
      <c r="B293" s="607">
        <v>32.149000000000001</v>
      </c>
      <c r="C293" s="388"/>
      <c r="D293" s="391">
        <f t="shared" si="99"/>
        <v>32.542011880337284</v>
      </c>
      <c r="E293" s="383">
        <f t="shared" si="97"/>
        <v>33.776358431681466</v>
      </c>
      <c r="F293" s="383">
        <f t="shared" si="100"/>
        <v>33.812360146496509</v>
      </c>
      <c r="G293" s="110">
        <f t="shared" si="98"/>
        <v>0.77724843179802727</v>
      </c>
      <c r="H293" s="412" t="b">
        <f>Wh_hp&gt;='2019'!Maxi_hp</f>
        <v>1</v>
      </c>
      <c r="I293" s="388">
        <f>IF(H293,Wh_hp,'2019'!Maxi_hp)</f>
        <v>33.812360146496509</v>
      </c>
      <c r="J293" s="85">
        <f>IF(H293,An,'2019'!An_max)</f>
        <v>2020</v>
      </c>
      <c r="K293" s="197">
        <f t="shared" si="101"/>
        <v>44109</v>
      </c>
      <c r="L293" s="147">
        <f>IF(t&lt;Tvie,1-EXP((T0-t)*PertePVj)+'2019'!Pspv,1-EXP((T0-t)*PertePVj)+Pspv)</f>
        <v>1.207706154685384E-2</v>
      </c>
      <c r="M293" s="832"/>
      <c r="N293" s="832"/>
      <c r="O293" s="48">
        <f>IF(t&lt;Tnet,'2019'!Resal+('2019'!Salim-'2019'!Resal)*(1-EXP(('2019'!Tnet-t)/('2019'!Tau_j))),Resal+(Salim-Resal)*(1-EXP((Tnet-t)/(Tau_j))))*Salcycl</f>
        <v>3.6544690092653473E-2</v>
      </c>
      <c r="P293" s="169">
        <f>(INDEX(Models!$BJ293:$BT293,,T293)*(1-R293)+INDEX(Models!$BJ293:$BT293,,T293+1)*R293-ERP_i)*Q293*Ramure*Pc/MaxiM</f>
        <v>1.5604512985131042E-3</v>
      </c>
      <c r="Q293" s="304">
        <f t="shared" si="102"/>
        <v>0.7</v>
      </c>
      <c r="R293" s="177">
        <f t="shared" si="103"/>
        <v>0.53162288239276823</v>
      </c>
      <c r="S293" s="799">
        <f t="shared" si="104"/>
        <v>-1</v>
      </c>
      <c r="T293" s="176">
        <f t="shared" si="105"/>
        <v>5</v>
      </c>
      <c r="U293" s="250">
        <f t="shared" si="106"/>
        <v>-0.46837711760723172</v>
      </c>
      <c r="V293" s="382">
        <f t="shared" si="107"/>
        <v>41.342054100379158</v>
      </c>
      <c r="W293" s="58"/>
      <c r="X293" s="157">
        <f t="shared" si="108"/>
        <v>44109</v>
      </c>
      <c r="Y293" s="383">
        <f t="shared" si="109"/>
        <v>32.145564149469472</v>
      </c>
      <c r="Z293" s="383">
        <f t="shared" si="110"/>
        <v>32.538534027564772</v>
      </c>
      <c r="AA293" s="384">
        <f t="shared" si="111"/>
        <v>33.772748660956502</v>
      </c>
      <c r="AB293" s="197">
        <f t="shared" si="112"/>
        <v>44109</v>
      </c>
      <c r="AC293" s="424">
        <f>IF(OR(t&lt;Tnet,NoTnet),'2019'!Resal_s+('2019'!Salim-'2019'!Resal_s)*(1-EXP(('2019'!Tnet_s-t)/'2019'!Tau_j)),Resal_s+(Salim-Resal_s)*(1-EXP((Tnet_s-t)/Tau_j)))*Salcycl</f>
        <v>3.6544690092653473E-2</v>
      </c>
      <c r="AD293" s="230">
        <f>(INDEX(Models!$BJ293:$BT293,,AH293)*(1-AF293)+INDEX(Models!$BJ293:$BT293,,AH293+1)*AF293-ERP_i)*AE293*Ramure*Pc/MaxiM</f>
        <v>1.716912496098787E-3</v>
      </c>
      <c r="AE293" s="304">
        <f t="shared" si="113"/>
        <v>0.7</v>
      </c>
      <c r="AF293" s="177">
        <f t="shared" si="114"/>
        <v>0.59595510465260038</v>
      </c>
      <c r="AG293" s="176">
        <f t="shared" si="115"/>
        <v>-1</v>
      </c>
      <c r="AH293" s="176">
        <f t="shared" si="116"/>
        <v>5</v>
      </c>
      <c r="AI293" s="224">
        <f t="shared" si="117"/>
        <v>-0.40404489534739957</v>
      </c>
      <c r="AJ293" s="264" t="b">
        <f t="shared" si="118"/>
        <v>0</v>
      </c>
      <c r="AK293" s="264" t="b">
        <f t="shared" si="119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20"/>
        <v>44110</v>
      </c>
      <c r="B294" s="607">
        <v>7.4039999999999999</v>
      </c>
      <c r="C294" s="388"/>
      <c r="D294" s="391">
        <f t="shared" si="99"/>
        <v>7.4946553121678381</v>
      </c>
      <c r="E294" s="383">
        <f t="shared" si="97"/>
        <v>7.7791447648485796</v>
      </c>
      <c r="F294" s="383">
        <f t="shared" si="100"/>
        <v>7.7791447648485796</v>
      </c>
      <c r="G294" s="110">
        <f t="shared" si="98"/>
        <v>0.1800310365828533</v>
      </c>
      <c r="H294" s="412" t="b">
        <f>Wh_hp&gt;='2019'!Maxi_hp</f>
        <v>0</v>
      </c>
      <c r="I294" s="388">
        <f>IF(H294,Wh_hp,'2019'!Maxi_hp)</f>
        <v>33.042367373908704</v>
      </c>
      <c r="J294" s="85">
        <f>IF(H294,An,'2019'!An_max)</f>
        <v>2018</v>
      </c>
      <c r="K294" s="197">
        <f t="shared" si="101"/>
        <v>44110</v>
      </c>
      <c r="L294" s="147">
        <f>IF(t&lt;Tvie,1-EXP((T0-t)*PertePVj)+'2019'!Pspv,1-EXP((T0-t)*PertePVj)+Pspv)</f>
        <v>1.2095994864587789E-2</v>
      </c>
      <c r="M294" s="832"/>
      <c r="N294" s="832"/>
      <c r="O294" s="48">
        <f>IF(t&lt;Tnet,'2019'!Resal+('2019'!Salim-'2019'!Resal)*(1-EXP(('2019'!Tnet-t)/('2019'!Tau_j))),Resal+(Salim-Resal)*(1-EXP((Tnet-t)/(Tau_j))))*Salcycl</f>
        <v>3.6570787828278654E-2</v>
      </c>
      <c r="P294" s="169">
        <f>(INDEX(Models!$BJ294:$BT294,,T294)*(1-R294)+INDEX(Models!$BJ294:$BT294,,T294+1)*R294-ERP_i)*Q294*Ramure*Pc/MaxiM</f>
        <v>1.629324589188835E-3</v>
      </c>
      <c r="Q294" s="304">
        <f t="shared" si="102"/>
        <v>0.7</v>
      </c>
      <c r="R294" s="177">
        <f t="shared" si="103"/>
        <v>0.53174734542198654</v>
      </c>
      <c r="S294" s="799">
        <f t="shared" si="104"/>
        <v>-1</v>
      </c>
      <c r="T294" s="176">
        <f t="shared" si="105"/>
        <v>5</v>
      </c>
      <c r="U294" s="250">
        <f t="shared" si="106"/>
        <v>-0.46825265457801346</v>
      </c>
      <c r="V294" s="382">
        <f t="shared" si="107"/>
        <v>41.059234124554699</v>
      </c>
      <c r="W294" s="58"/>
      <c r="X294" s="157">
        <f t="shared" si="108"/>
        <v>44110</v>
      </c>
      <c r="Y294" s="383">
        <f t="shared" si="109"/>
        <v>7.4039999999999999</v>
      </c>
      <c r="Z294" s="383">
        <f t="shared" si="110"/>
        <v>7.4946553121678381</v>
      </c>
      <c r="AA294" s="384">
        <f t="shared" si="111"/>
        <v>7.7791447648485796</v>
      </c>
      <c r="AB294" s="197">
        <f t="shared" si="112"/>
        <v>44110</v>
      </c>
      <c r="AC294" s="424">
        <f>IF(OR(t&lt;Tnet,NoTnet),'2019'!Resal_s+('2019'!Salim-'2019'!Resal_s)*(1-EXP(('2019'!Tnet_s-t)/'2019'!Tau_j)),Resal_s+(Salim-Resal_s)*(1-EXP((Tnet_s-t)/Tau_j)))*Salcycl</f>
        <v>3.6570787828278654E-2</v>
      </c>
      <c r="AD294" s="230">
        <f>(INDEX(Models!$BJ294:$BT294,,AH294)*(1-AF294)+INDEX(Models!$BJ294:$BT294,,AH294+1)*AF294-ERP_i)*AE294*Ramure*Pc/MaxiM</f>
        <v>1.7949643657127832E-3</v>
      </c>
      <c r="AE294" s="304">
        <f t="shared" si="113"/>
        <v>0.7</v>
      </c>
      <c r="AF294" s="177">
        <f t="shared" si="114"/>
        <v>0.59607956768181869</v>
      </c>
      <c r="AG294" s="176">
        <f t="shared" si="115"/>
        <v>-1</v>
      </c>
      <c r="AH294" s="176">
        <f t="shared" si="116"/>
        <v>5</v>
      </c>
      <c r="AI294" s="224">
        <f t="shared" si="117"/>
        <v>-0.40392043231818131</v>
      </c>
      <c r="AJ294" s="264" t="b">
        <f t="shared" si="118"/>
        <v>0</v>
      </c>
      <c r="AK294" s="264" t="b">
        <f t="shared" si="119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20"/>
        <v>44111</v>
      </c>
      <c r="B295" s="607">
        <v>28.649000000000001</v>
      </c>
      <c r="C295" s="388"/>
      <c r="D295" s="391">
        <f t="shared" si="99"/>
        <v>29.000336989366456</v>
      </c>
      <c r="E295" s="383">
        <f t="shared" si="97"/>
        <v>30.101956973580307</v>
      </c>
      <c r="F295" s="383">
        <f t="shared" si="100"/>
        <v>30.131760485098386</v>
      </c>
      <c r="G295" s="110">
        <f t="shared" si="98"/>
        <v>0.70211099801134347</v>
      </c>
      <c r="H295" s="412" t="b">
        <f>Wh_hp&gt;='2019'!Maxi_hp</f>
        <v>0</v>
      </c>
      <c r="I295" s="388">
        <f>IF(H295,Wh_hp,'2019'!Maxi_hp)</f>
        <v>41.292573859301882</v>
      </c>
      <c r="J295" s="85">
        <f>IF(H295,An,'2019'!An_max)</f>
        <v>2018</v>
      </c>
      <c r="K295" s="197">
        <f t="shared" si="101"/>
        <v>44111</v>
      </c>
      <c r="L295" s="147">
        <f>IF(t&lt;Tvie,1-EXP((T0-t)*PertePVj)+'2019'!Pspv,1-EXP((T0-t)*PertePVj)+Pspv)</f>
        <v>1.2114927819469101E-2</v>
      </c>
      <c r="M295" s="832"/>
      <c r="N295" s="832"/>
      <c r="O295" s="48">
        <f>IF(t&lt;Tnet,'2019'!Resal+('2019'!Salim-'2019'!Resal)*(1-EXP(('2019'!Tnet-t)/('2019'!Tau_j))),Resal+(Salim-Resal)*(1-EXP((Tnet-t)/(Tau_j))))*Salcycl</f>
        <v>3.6596291237168267E-2</v>
      </c>
      <c r="P295" s="169">
        <f>(INDEX(Models!$BJ295:$BT295,,T295)*(1-R295)+INDEX(Models!$BJ295:$BT295,,T295+1)*R295-ERP_i)*Q295*Ramure*Pc/MaxiM</f>
        <v>1.7196514969496422E-3</v>
      </c>
      <c r="Q295" s="304">
        <f t="shared" si="102"/>
        <v>0.7</v>
      </c>
      <c r="R295" s="177">
        <f t="shared" si="103"/>
        <v>0.53186687051467552</v>
      </c>
      <c r="S295" s="799">
        <f t="shared" si="104"/>
        <v>-1</v>
      </c>
      <c r="T295" s="176">
        <f t="shared" si="105"/>
        <v>5</v>
      </c>
      <c r="U295" s="250">
        <f t="shared" si="106"/>
        <v>-0.46813312948532448</v>
      </c>
      <c r="V295" s="382">
        <f t="shared" si="107"/>
        <v>40.774250748630102</v>
      </c>
      <c r="W295" s="58"/>
      <c r="X295" s="157">
        <f t="shared" si="108"/>
        <v>44111</v>
      </c>
      <c r="Y295" s="383">
        <f t="shared" si="109"/>
        <v>28.646075765775304</v>
      </c>
      <c r="Z295" s="383">
        <f t="shared" si="110"/>
        <v>28.997376893797604</v>
      </c>
      <c r="AA295" s="384">
        <f t="shared" si="111"/>
        <v>30.09888443447554</v>
      </c>
      <c r="AB295" s="197">
        <f t="shared" si="112"/>
        <v>44111</v>
      </c>
      <c r="AC295" s="424">
        <f>IF(OR(t&lt;Tnet,NoTnet),'2019'!Resal_s+('2019'!Salim-'2019'!Resal_s)*(1-EXP(('2019'!Tnet_s-t)/'2019'!Tau_j)),Resal_s+(Salim-Resal_s)*(1-EXP((Tnet_s-t)/Tau_j)))*Salcycl</f>
        <v>3.6596291237168267E-2</v>
      </c>
      <c r="AD295" s="230">
        <f>(INDEX(Models!$BJ295:$BT295,,AH295)*(1-AF295)+INDEX(Models!$BJ295:$BT295,,AH295+1)*AF295-ERP_i)*AE295*Ramure*Pc/MaxiM</f>
        <v>1.8969358571411736E-3</v>
      </c>
      <c r="AE295" s="304">
        <f t="shared" si="113"/>
        <v>0.7</v>
      </c>
      <c r="AF295" s="177">
        <f t="shared" si="114"/>
        <v>0.59619909277450767</v>
      </c>
      <c r="AG295" s="176">
        <f t="shared" si="115"/>
        <v>-1</v>
      </c>
      <c r="AH295" s="176">
        <f t="shared" si="116"/>
        <v>5</v>
      </c>
      <c r="AI295" s="224">
        <f t="shared" si="117"/>
        <v>-0.40380090722549233</v>
      </c>
      <c r="AJ295" s="264" t="b">
        <f t="shared" si="118"/>
        <v>0</v>
      </c>
      <c r="AK295" s="264" t="b">
        <f t="shared" si="119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20"/>
        <v>44112</v>
      </c>
      <c r="B296" s="607">
        <v>32.098999999999997</v>
      </c>
      <c r="C296" s="388"/>
      <c r="D296" s="391">
        <f t="shared" si="99"/>
        <v>32.493268787784473</v>
      </c>
      <c r="E296" s="383">
        <f t="shared" si="97"/>
        <v>33.728444857508968</v>
      </c>
      <c r="F296" s="383">
        <f t="shared" si="100"/>
        <v>33.772273144971557</v>
      </c>
      <c r="G296" s="110">
        <f t="shared" si="98"/>
        <v>0.79238825636916321</v>
      </c>
      <c r="H296" s="412" t="b">
        <f>Wh_hp&gt;='2019'!Maxi_hp</f>
        <v>1</v>
      </c>
      <c r="I296" s="388">
        <f>IF(H296,Wh_hp,'2019'!Maxi_hp)</f>
        <v>33.772273144971557</v>
      </c>
      <c r="J296" s="85">
        <f>IF(H296,An,'2019'!An_max)</f>
        <v>2020</v>
      </c>
      <c r="K296" s="197">
        <f t="shared" si="101"/>
        <v>44112</v>
      </c>
      <c r="L296" s="147">
        <f>IF(t&lt;Tvie,1-EXP((T0-t)*PertePVj)+'2019'!Pspv,1-EXP((T0-t)*PertePVj)+Pspv)</f>
        <v>1.213386041150466E-2</v>
      </c>
      <c r="M296" s="832"/>
      <c r="N296" s="832"/>
      <c r="O296" s="48">
        <f>IF(t&lt;Tnet,'2019'!Resal+('2019'!Salim-'2019'!Resal)*(1-EXP(('2019'!Tnet-t)/('2019'!Tau_j))),Resal+(Salim-Resal)*(1-EXP((Tnet-t)/(Tau_j))))*Salcycl</f>
        <v>3.6621198366621664E-2</v>
      </c>
      <c r="P296" s="169">
        <f>(INDEX(Models!$BJ296:$BT296,,T296)*(1-R296)+INDEX(Models!$BJ296:$BT296,,T296+1)*R296-ERP_i)*Q296*Ramure*Pc/MaxiM</f>
        <v>1.8433284580837807E-3</v>
      </c>
      <c r="Q296" s="304">
        <f t="shared" si="102"/>
        <v>0.7</v>
      </c>
      <c r="R296" s="177">
        <f t="shared" si="103"/>
        <v>0.53198165076320558</v>
      </c>
      <c r="S296" s="799">
        <f t="shared" si="104"/>
        <v>-1</v>
      </c>
      <c r="T296" s="176">
        <f t="shared" si="105"/>
        <v>5</v>
      </c>
      <c r="U296" s="250">
        <f t="shared" si="106"/>
        <v>-0.46801834923679442</v>
      </c>
      <c r="V296" s="382">
        <f t="shared" si="107"/>
        <v>40.48705261235262</v>
      </c>
      <c r="W296" s="58"/>
      <c r="X296" s="157">
        <f t="shared" si="108"/>
        <v>44112</v>
      </c>
      <c r="Y296" s="383">
        <f t="shared" si="109"/>
        <v>32.094647836845134</v>
      </c>
      <c r="Z296" s="383">
        <f t="shared" si="110"/>
        <v>32.488863167447413</v>
      </c>
      <c r="AA296" s="384">
        <f t="shared" si="111"/>
        <v>33.723871765045665</v>
      </c>
      <c r="AB296" s="197">
        <f t="shared" si="112"/>
        <v>44112</v>
      </c>
      <c r="AC296" s="424">
        <f>IF(OR(t&lt;Tnet,NoTnet),'2019'!Resal_s+('2019'!Salim-'2019'!Resal_s)*(1-EXP(('2019'!Tnet_s-t)/'2019'!Tau_j)),Resal_s+(Salim-Resal_s)*(1-EXP((Tnet_s-t)/Tau_j)))*Salcycl</f>
        <v>3.6621198366621664E-2</v>
      </c>
      <c r="AD296" s="230">
        <f>(INDEX(Models!$BJ296:$BT296,,AH296)*(1-AF296)+INDEX(Models!$BJ296:$BT296,,AH296+1)*AF296-ERP_i)*AE296*Ramure*Pc/MaxiM</f>
        <v>2.0356634081143709E-3</v>
      </c>
      <c r="AE296" s="304">
        <f t="shared" si="113"/>
        <v>0.7</v>
      </c>
      <c r="AF296" s="177">
        <f t="shared" si="114"/>
        <v>0.59631387302303773</v>
      </c>
      <c r="AG296" s="176">
        <f t="shared" si="115"/>
        <v>-1</v>
      </c>
      <c r="AH296" s="176">
        <f t="shared" si="116"/>
        <v>5</v>
      </c>
      <c r="AI296" s="224">
        <f t="shared" si="117"/>
        <v>-0.40368612697696227</v>
      </c>
      <c r="AJ296" s="264" t="b">
        <f t="shared" si="118"/>
        <v>0</v>
      </c>
      <c r="AK296" s="264" t="b">
        <f t="shared" si="119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20"/>
        <v>44113</v>
      </c>
      <c r="B297" s="607">
        <v>26.991</v>
      </c>
      <c r="C297" s="388"/>
      <c r="D297" s="391">
        <f t="shared" si="99"/>
        <v>27.32305137770447</v>
      </c>
      <c r="E297" s="383">
        <f t="shared" ref="E297:E360" si="121">Wh_pvt/(1-Psa)</f>
        <v>28.362406183517628</v>
      </c>
      <c r="F297" s="383">
        <f t="shared" si="100"/>
        <v>28.392458952859535</v>
      </c>
      <c r="G297" s="110">
        <f t="shared" ref="G297:G360" si="122">+Wh_hp/MaxiM</f>
        <v>0.67081687194548545</v>
      </c>
      <c r="H297" s="412" t="b">
        <f>Wh_hp&gt;='2019'!Maxi_hp</f>
        <v>0</v>
      </c>
      <c r="I297" s="388">
        <f>IF(H297,Wh_hp,'2019'!Maxi_hp)</f>
        <v>35.015332350833226</v>
      </c>
      <c r="J297" s="85">
        <f>IF(H297,An,'2019'!An_max)</f>
        <v>2018</v>
      </c>
      <c r="K297" s="197">
        <f t="shared" si="101"/>
        <v>44113</v>
      </c>
      <c r="L297" s="147">
        <f>IF(t&lt;Tvie,1-EXP((T0-t)*PertePVj)+'2019'!Pspv,1-EXP((T0-t)*PertePVj)+Pspv)</f>
        <v>1.2152792640701349E-2</v>
      </c>
      <c r="M297" s="832"/>
      <c r="N297" s="832"/>
      <c r="O297" s="48">
        <f>IF(t&lt;Tnet,'2019'!Resal+('2019'!Salim-'2019'!Resal)*(1-EXP(('2019'!Tnet-t)/('2019'!Tau_j))),Resal+(Salim-Resal)*(1-EXP((Tnet-t)/(Tau_j))))*Salcycl</f>
        <v>3.6645508815015888E-2</v>
      </c>
      <c r="P297" s="169">
        <f>(INDEX(Models!$BJ297:$BT297,,T297)*(1-R297)+INDEX(Models!$BJ297:$BT297,,T297+1)*R297-ERP_i)*Q297*Ramure*Pc/MaxiM</f>
        <v>1.9947277764097221E-3</v>
      </c>
      <c r="Q297" s="304">
        <f t="shared" si="102"/>
        <v>0.7</v>
      </c>
      <c r="R297" s="177">
        <f t="shared" si="103"/>
        <v>0.53209187193007845</v>
      </c>
      <c r="S297" s="799">
        <f t="shared" si="104"/>
        <v>-1</v>
      </c>
      <c r="T297" s="176">
        <f t="shared" si="105"/>
        <v>5</v>
      </c>
      <c r="U297" s="250">
        <f t="shared" si="106"/>
        <v>-0.46790812806992155</v>
      </c>
      <c r="V297" s="382">
        <f t="shared" si="107"/>
        <v>40.198307482949545</v>
      </c>
      <c r="W297" s="58"/>
      <c r="X297" s="157">
        <f t="shared" si="108"/>
        <v>44113</v>
      </c>
      <c r="Y297" s="383">
        <f t="shared" si="109"/>
        <v>26.987988302295626</v>
      </c>
      <c r="Z297" s="383">
        <f t="shared" si="110"/>
        <v>27.320002629191606</v>
      </c>
      <c r="AA297" s="384">
        <f t="shared" si="111"/>
        <v>28.359241462181132</v>
      </c>
      <c r="AB297" s="197">
        <f t="shared" si="112"/>
        <v>44113</v>
      </c>
      <c r="AC297" s="424">
        <f>IF(OR(t&lt;Tnet,NoTnet),'2019'!Resal_s+('2019'!Salim-'2019'!Resal_s)*(1-EXP(('2019'!Tnet_s-t)/'2019'!Tau_j)),Resal_s+(Salim-Resal_s)*(1-EXP((Tnet_s-t)/Tau_j)))*Salcycl</f>
        <v>3.6645508815015888E-2</v>
      </c>
      <c r="AD297" s="230">
        <f>(INDEX(Models!$BJ297:$BT297,,AH297)*(1-AF297)+INDEX(Models!$BJ297:$BT297,,AH297+1)*AF297-ERP_i)*AE297*Ramure*Pc/MaxiM</f>
        <v>2.2047835447377415E-3</v>
      </c>
      <c r="AE297" s="304">
        <f t="shared" si="113"/>
        <v>0.7</v>
      </c>
      <c r="AF297" s="177">
        <f t="shared" si="114"/>
        <v>0.5964240941899106</v>
      </c>
      <c r="AG297" s="176">
        <f t="shared" si="115"/>
        <v>-1</v>
      </c>
      <c r="AH297" s="176">
        <f t="shared" si="116"/>
        <v>5</v>
      </c>
      <c r="AI297" s="224">
        <f t="shared" si="117"/>
        <v>-0.4035759058100894</v>
      </c>
      <c r="AJ297" s="264" t="b">
        <f t="shared" si="118"/>
        <v>0</v>
      </c>
      <c r="AK297" s="264" t="b">
        <f t="shared" si="119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20"/>
        <v>44114</v>
      </c>
      <c r="B298" s="607">
        <v>14.736000000000001</v>
      </c>
      <c r="C298" s="388"/>
      <c r="D298" s="391">
        <f t="shared" si="99"/>
        <v>14.91757258380423</v>
      </c>
      <c r="E298" s="383">
        <f t="shared" si="121"/>
        <v>15.485410569842196</v>
      </c>
      <c r="F298" s="383">
        <f t="shared" si="100"/>
        <v>15.488741929824856</v>
      </c>
      <c r="G298" s="110">
        <f t="shared" si="122"/>
        <v>0.36852167621195425</v>
      </c>
      <c r="H298" s="412" t="b">
        <f>Wh_hp&gt;='2019'!Maxi_hp</f>
        <v>0</v>
      </c>
      <c r="I298" s="388">
        <f>IF(H298,Wh_hp,'2019'!Maxi_hp)</f>
        <v>42.840909894173365</v>
      </c>
      <c r="J298" s="85">
        <f>IF(H298,An,'2019'!An_max)</f>
        <v>2018</v>
      </c>
      <c r="K298" s="197">
        <f t="shared" si="101"/>
        <v>44114</v>
      </c>
      <c r="L298" s="147">
        <f>IF(t&lt;Tvie,1-EXP((T0-t)*PertePVj)+'2019'!Pspv,1-EXP((T0-t)*PertePVj)+Pspv)</f>
        <v>1.2171724507066273E-2</v>
      </c>
      <c r="M298" s="832"/>
      <c r="N298" s="832"/>
      <c r="O298" s="48">
        <f>IF(t&lt;Tnet,'2019'!Resal+('2019'!Salim-'2019'!Resal)*(1-EXP(('2019'!Tnet-t)/('2019'!Tau_j))),Resal+(Salim-Resal)*(1-EXP((Tnet-t)/(Tau_j))))*Salcycl</f>
        <v>3.6669223814047955E-2</v>
      </c>
      <c r="P298" s="169">
        <f>(INDEX(Models!$BJ298:$BT298,,T298)*(1-R298)+INDEX(Models!$BJ298:$BT298,,T298+1)*R298-ERP_i)*Q298*Ramure*Pc/MaxiM</f>
        <v>2.1742699220610286E-3</v>
      </c>
      <c r="Q298" s="304">
        <f t="shared" si="102"/>
        <v>0.7</v>
      </c>
      <c r="R298" s="177">
        <f t="shared" si="103"/>
        <v>0.53219771270877148</v>
      </c>
      <c r="S298" s="799">
        <f t="shared" si="104"/>
        <v>-1</v>
      </c>
      <c r="T298" s="176">
        <f t="shared" si="105"/>
        <v>5</v>
      </c>
      <c r="U298" s="250">
        <f t="shared" si="106"/>
        <v>-0.46780228729122852</v>
      </c>
      <c r="V298" s="382">
        <f t="shared" si="107"/>
        <v>39.908434578240751</v>
      </c>
      <c r="W298" s="58"/>
      <c r="X298" s="157">
        <f t="shared" si="108"/>
        <v>44114</v>
      </c>
      <c r="Y298" s="383">
        <f t="shared" si="109"/>
        <v>14.735663945871858</v>
      </c>
      <c r="Z298" s="383">
        <f t="shared" si="110"/>
        <v>14.91723238891765</v>
      </c>
      <c r="AA298" s="384">
        <f t="shared" si="111"/>
        <v>15.485057425423904</v>
      </c>
      <c r="AB298" s="197">
        <f t="shared" si="112"/>
        <v>44114</v>
      </c>
      <c r="AC298" s="424">
        <f>IF(OR(t&lt;Tnet,NoTnet),'2019'!Resal_s+('2019'!Salim-'2019'!Resal_s)*(1-EXP(('2019'!Tnet_s-t)/'2019'!Tau_j)),Resal_s+(Salim-Resal_s)*(1-EXP((Tnet_s-t)/Tau_j)))*Salcycl</f>
        <v>3.6669223814047955E-2</v>
      </c>
      <c r="AD298" s="230">
        <f>(INDEX(Models!$BJ298:$BT298,,AH298)*(1-AF298)+INDEX(Models!$BJ298:$BT298,,AH298+1)*AF298-ERP_i)*AE298*Ramure*Pc/MaxiM</f>
        <v>2.4047557569253316E-3</v>
      </c>
      <c r="AE298" s="304">
        <f t="shared" si="113"/>
        <v>0.7</v>
      </c>
      <c r="AF298" s="177">
        <f t="shared" si="114"/>
        <v>0.59652993496860363</v>
      </c>
      <c r="AG298" s="176">
        <f t="shared" si="115"/>
        <v>-1</v>
      </c>
      <c r="AH298" s="176">
        <f t="shared" si="116"/>
        <v>5</v>
      </c>
      <c r="AI298" s="224">
        <f t="shared" si="117"/>
        <v>-0.40347006503139637</v>
      </c>
      <c r="AJ298" s="264" t="b">
        <f t="shared" si="118"/>
        <v>0</v>
      </c>
      <c r="AK298" s="264" t="b">
        <f t="shared" si="119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20"/>
        <v>44115</v>
      </c>
      <c r="B299" s="607">
        <v>13.385</v>
      </c>
      <c r="C299" s="388"/>
      <c r="D299" s="391">
        <f t="shared" si="99"/>
        <v>13.5501856521654</v>
      </c>
      <c r="E299" s="383">
        <f t="shared" si="121"/>
        <v>14.066311629702488</v>
      </c>
      <c r="F299" s="383">
        <f t="shared" si="100"/>
        <v>14.068123990173232</v>
      </c>
      <c r="G299" s="110">
        <f t="shared" si="122"/>
        <v>0.33709126818723895</v>
      </c>
      <c r="H299" s="412" t="b">
        <f>Wh_hp&gt;='2019'!Maxi_hp</f>
        <v>0</v>
      </c>
      <c r="I299" s="388">
        <f>IF(H299,Wh_hp,'2019'!Maxi_hp)</f>
        <v>17.196510796215925</v>
      </c>
      <c r="J299" s="85">
        <f>IF(H299,An,'2019'!An_max)</f>
        <v>2018</v>
      </c>
      <c r="K299" s="197">
        <f t="shared" si="101"/>
        <v>44115</v>
      </c>
      <c r="L299" s="147">
        <f>IF(t&lt;Tvie,1-EXP((T0-t)*PertePVj)+'2019'!Pspv,1-EXP((T0-t)*PertePVj)+Pspv)</f>
        <v>1.2190656010606205E-2</v>
      </c>
      <c r="M299" s="832"/>
      <c r="N299" s="832"/>
      <c r="O299" s="48">
        <f>IF(t&lt;Tnet,'2019'!Resal+('2019'!Salim-'2019'!Resal)*(1-EXP(('2019'!Tnet-t)/('2019'!Tau_j))),Resal+(Salim-Resal)*(1-EXP((Tnet-t)/(Tau_j))))*Salcycl</f>
        <v>3.669234630400442E-2</v>
      </c>
      <c r="P299" s="169">
        <f>(INDEX(Models!$BJ299:$BT299,,T299)*(1-R299)+INDEX(Models!$BJ299:$BT299,,T299+1)*R299-ERP_i)*Q299*Ramure*Pc/MaxiM</f>
        <v>2.3823699719405268E-3</v>
      </c>
      <c r="Q299" s="304">
        <f t="shared" si="102"/>
        <v>0.7</v>
      </c>
      <c r="R299" s="177">
        <f t="shared" si="103"/>
        <v>0.53229934497669262</v>
      </c>
      <c r="S299" s="799">
        <f t="shared" si="104"/>
        <v>-1</v>
      </c>
      <c r="T299" s="176">
        <f t="shared" si="105"/>
        <v>5</v>
      </c>
      <c r="U299" s="250">
        <f t="shared" si="106"/>
        <v>-0.46770065502330738</v>
      </c>
      <c r="V299" s="382">
        <f t="shared" si="107"/>
        <v>39.617853404174184</v>
      </c>
      <c r="W299" s="58"/>
      <c r="X299" s="157">
        <f t="shared" si="108"/>
        <v>44115</v>
      </c>
      <c r="Y299" s="383">
        <f t="shared" si="109"/>
        <v>13.384816375078284</v>
      </c>
      <c r="Z299" s="383">
        <f t="shared" si="110"/>
        <v>13.549999761109769</v>
      </c>
      <c r="AA299" s="384">
        <f t="shared" si="111"/>
        <v>14.066118658064697</v>
      </c>
      <c r="AB299" s="197">
        <f t="shared" si="112"/>
        <v>44115</v>
      </c>
      <c r="AC299" s="424">
        <f>IF(OR(t&lt;Tnet,NoTnet),'2019'!Resal_s+('2019'!Salim-'2019'!Resal_s)*(1-EXP(('2019'!Tnet_s-t)/'2019'!Tau_j)),Resal_s+(Salim-Resal_s)*(1-EXP((Tnet_s-t)/Tau_j)))*Salcycl</f>
        <v>3.669234630400442E-2</v>
      </c>
      <c r="AD299" s="230">
        <f>(INDEX(Models!$BJ299:$BT299,,AH299)*(1-AF299)+INDEX(Models!$BJ299:$BT299,,AH299+1)*AF299-ERP_i)*AE299*Ramure*Pc/MaxiM</f>
        <v>2.6360335464530264E-3</v>
      </c>
      <c r="AE299" s="304">
        <f t="shared" si="113"/>
        <v>0.7</v>
      </c>
      <c r="AF299" s="177">
        <f t="shared" si="114"/>
        <v>0.59663156723652477</v>
      </c>
      <c r="AG299" s="176">
        <f t="shared" si="115"/>
        <v>-1</v>
      </c>
      <c r="AH299" s="176">
        <f t="shared" si="116"/>
        <v>5</v>
      </c>
      <c r="AI299" s="224">
        <f t="shared" si="117"/>
        <v>-0.40336843276347523</v>
      </c>
      <c r="AJ299" s="264" t="b">
        <f t="shared" si="118"/>
        <v>0</v>
      </c>
      <c r="AK299" s="264" t="b">
        <f t="shared" si="119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20"/>
        <v>44116</v>
      </c>
      <c r="B300" s="607">
        <v>22.236999999999998</v>
      </c>
      <c r="C300" s="388"/>
      <c r="D300" s="391">
        <f t="shared" si="99"/>
        <v>22.511860522994041</v>
      </c>
      <c r="E300" s="383">
        <f t="shared" si="121"/>
        <v>23.36988299621196</v>
      </c>
      <c r="F300" s="383">
        <f t="shared" si="100"/>
        <v>23.393119026783481</v>
      </c>
      <c r="G300" s="110">
        <f t="shared" si="122"/>
        <v>0.56451833412505048</v>
      </c>
      <c r="H300" s="412" t="b">
        <f>Wh_hp&gt;='2019'!Maxi_hp</f>
        <v>0</v>
      </c>
      <c r="I300" s="388">
        <f>IF(H300,Wh_hp,'2019'!Maxi_hp)</f>
        <v>40.016664955867313</v>
      </c>
      <c r="J300" s="85">
        <f>IF(H300,An,'2019'!An_max)</f>
        <v>2018</v>
      </c>
      <c r="K300" s="197">
        <f t="shared" si="101"/>
        <v>44116</v>
      </c>
      <c r="L300" s="147">
        <f>IF(t&lt;Tvie,1-EXP((T0-t)*PertePVj)+'2019'!Pspv,1-EXP((T0-t)*PertePVj)+Pspv)</f>
        <v>1.2209587151328249E-2</v>
      </c>
      <c r="M300" s="832"/>
      <c r="N300" s="832"/>
      <c r="O300" s="48">
        <f>IF(t&lt;Tnet,'2019'!Resal+('2019'!Salim-'2019'!Resal)*(1-EXP(('2019'!Tnet-t)/('2019'!Tau_j))),Resal+(Salim-Resal)*(1-EXP((Tnet-t)/(Tau_j))))*Salcycl</f>
        <v>3.6714881001201224E-2</v>
      </c>
      <c r="P300" s="169">
        <f>(INDEX(Models!$BJ300:$BT300,,T300)*(1-R300)+INDEX(Models!$BJ300:$BT300,,T300+1)*R300-ERP_i)*Q300*Ramure*Pc/MaxiM</f>
        <v>2.6194345255128567E-3</v>
      </c>
      <c r="Q300" s="304">
        <f t="shared" si="102"/>
        <v>0.7</v>
      </c>
      <c r="R300" s="177">
        <f t="shared" si="103"/>
        <v>0.53239693404036803</v>
      </c>
      <c r="S300" s="799">
        <f t="shared" si="104"/>
        <v>-1</v>
      </c>
      <c r="T300" s="176">
        <f t="shared" si="105"/>
        <v>5</v>
      </c>
      <c r="U300" s="250">
        <f t="shared" si="106"/>
        <v>-0.46760306595963202</v>
      </c>
      <c r="V300" s="382">
        <f t="shared" si="107"/>
        <v>39.326983755722132</v>
      </c>
      <c r="W300" s="58"/>
      <c r="X300" s="157">
        <f t="shared" si="108"/>
        <v>44116</v>
      </c>
      <c r="Y300" s="383">
        <f t="shared" si="109"/>
        <v>22.234639780463716</v>
      </c>
      <c r="Z300" s="383">
        <f t="shared" si="110"/>
        <v>22.509471129955212</v>
      </c>
      <c r="AA300" s="384">
        <f t="shared" si="111"/>
        <v>23.367402533271441</v>
      </c>
      <c r="AB300" s="197">
        <f t="shared" si="112"/>
        <v>44116</v>
      </c>
      <c r="AC300" s="424">
        <f>IF(OR(t&lt;Tnet,NoTnet),'2019'!Resal_s+('2019'!Salim-'2019'!Resal_s)*(1-EXP(('2019'!Tnet_s-t)/'2019'!Tau_j)),Resal_s+(Salim-Resal_s)*(1-EXP((Tnet_s-t)/Tau_j)))*Salcycl</f>
        <v>3.6714881001201224E-2</v>
      </c>
      <c r="AD300" s="230">
        <f>(INDEX(Models!$BJ300:$BT300,,AH300)*(1-AF300)+INDEX(Models!$BJ300:$BT300,,AH300+1)*AF300-ERP_i)*AE300*Ramure*Pc/MaxiM</f>
        <v>2.8990610411368015E-3</v>
      </c>
      <c r="AE300" s="304">
        <f t="shared" si="113"/>
        <v>0.7</v>
      </c>
      <c r="AF300" s="177">
        <f t="shared" si="114"/>
        <v>0.59672915630020018</v>
      </c>
      <c r="AG300" s="176">
        <f t="shared" si="115"/>
        <v>-1</v>
      </c>
      <c r="AH300" s="176">
        <f t="shared" si="116"/>
        <v>5</v>
      </c>
      <c r="AI300" s="224">
        <f t="shared" si="117"/>
        <v>-0.40327084369979987</v>
      </c>
      <c r="AJ300" s="264" t="b">
        <f t="shared" si="118"/>
        <v>0</v>
      </c>
      <c r="AK300" s="264" t="b">
        <f t="shared" si="119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20"/>
        <v>44117</v>
      </c>
      <c r="B301" s="607">
        <v>24.178999999999998</v>
      </c>
      <c r="C301" s="388"/>
      <c r="D301" s="391">
        <f t="shared" si="99"/>
        <v>24.478333743054847</v>
      </c>
      <c r="E301" s="383">
        <f t="shared" si="121"/>
        <v>25.411885991976682</v>
      </c>
      <c r="F301" s="383">
        <f t="shared" si="100"/>
        <v>25.445391737277397</v>
      </c>
      <c r="G301" s="110">
        <f t="shared" si="122"/>
        <v>0.61842553151446411</v>
      </c>
      <c r="H301" s="412" t="b">
        <f>Wh_hp&gt;='2019'!Maxi_hp</f>
        <v>1</v>
      </c>
      <c r="I301" s="388">
        <f>IF(H301,Wh_hp,'2019'!Maxi_hp)</f>
        <v>25.445391737277397</v>
      </c>
      <c r="J301" s="85">
        <f>IF(H301,An,'2019'!An_max)</f>
        <v>2020</v>
      </c>
      <c r="K301" s="197">
        <f t="shared" si="101"/>
        <v>44117</v>
      </c>
      <c r="L301" s="147">
        <f>IF(t&lt;Tvie,1-EXP((T0-t)*PertePVj)+'2019'!Pspv,1-EXP((T0-t)*PertePVj)+Pspv)</f>
        <v>1.2228517929239291E-2</v>
      </c>
      <c r="M301" s="832"/>
      <c r="N301" s="832"/>
      <c r="O301" s="48">
        <f>IF(t&lt;Tnet,'2019'!Resal+('2019'!Salim-'2019'!Resal)*(1-EXP(('2019'!Tnet-t)/('2019'!Tau_j))),Resal+(Salim-Resal)*(1-EXP((Tnet-t)/(Tau_j))))*Salcycl</f>
        <v>3.6736834456780942E-2</v>
      </c>
      <c r="P301" s="169">
        <f>(INDEX(Models!$BJ301:$BT301,,T301)*(1-R301)+INDEX(Models!$BJ301:$BT301,,T301+1)*R301-ERP_i)*Q301*Ramure*Pc/MaxiM</f>
        <v>2.8858584942705137E-3</v>
      </c>
      <c r="Q301" s="304">
        <f t="shared" si="102"/>
        <v>0.7</v>
      </c>
      <c r="R301" s="177">
        <f t="shared" si="103"/>
        <v>0.53249063887299264</v>
      </c>
      <c r="S301" s="799">
        <f t="shared" si="104"/>
        <v>-1</v>
      </c>
      <c r="T301" s="176">
        <f t="shared" si="105"/>
        <v>5</v>
      </c>
      <c r="U301" s="250">
        <f t="shared" si="106"/>
        <v>-0.46750936112700736</v>
      </c>
      <c r="V301" s="382">
        <f t="shared" si="107"/>
        <v>39.036245711534953</v>
      </c>
      <c r="W301" s="58"/>
      <c r="X301" s="157">
        <f t="shared" si="108"/>
        <v>44117</v>
      </c>
      <c r="Y301" s="383">
        <f t="shared" si="109"/>
        <v>24.175592973476391</v>
      </c>
      <c r="Z301" s="383">
        <f t="shared" si="110"/>
        <v>24.474884537863719</v>
      </c>
      <c r="AA301" s="384">
        <f t="shared" si="111"/>
        <v>25.408305241342269</v>
      </c>
      <c r="AB301" s="197">
        <f t="shared" si="112"/>
        <v>44117</v>
      </c>
      <c r="AC301" s="424">
        <f>IF(OR(t&lt;Tnet,NoTnet),'2019'!Resal_s+('2019'!Salim-'2019'!Resal_s)*(1-EXP(('2019'!Tnet_s-t)/'2019'!Tau_j)),Resal_s+(Salim-Resal_s)*(1-EXP((Tnet_s-t)/Tau_j)))*Salcycl</f>
        <v>3.6736834456780942E-2</v>
      </c>
      <c r="AD301" s="230">
        <f>(INDEX(Models!$BJ301:$BT301,,AH301)*(1-AF301)+INDEX(Models!$BJ301:$BT301,,AH301+1)*AF301-ERP_i)*AE301*Ramure*Pc/MaxiM</f>
        <v>3.1942694709979642E-3</v>
      </c>
      <c r="AE301" s="304">
        <f t="shared" si="113"/>
        <v>0.7</v>
      </c>
      <c r="AF301" s="177">
        <f t="shared" si="114"/>
        <v>0.59682286113282479</v>
      </c>
      <c r="AG301" s="176">
        <f t="shared" si="115"/>
        <v>-1</v>
      </c>
      <c r="AH301" s="176">
        <f t="shared" si="116"/>
        <v>5</v>
      </c>
      <c r="AI301" s="224">
        <f t="shared" si="117"/>
        <v>-0.40317713886717521</v>
      </c>
      <c r="AJ301" s="264" t="b">
        <f t="shared" si="118"/>
        <v>0</v>
      </c>
      <c r="AK301" s="264" t="b">
        <f t="shared" si="119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20"/>
        <v>44118</v>
      </c>
      <c r="B302" s="607">
        <v>14.257</v>
      </c>
      <c r="C302" s="388"/>
      <c r="D302" s="391">
        <f t="shared" si="99"/>
        <v>14.433776937455301</v>
      </c>
      <c r="E302" s="383">
        <f t="shared" si="121"/>
        <v>14.98458348029958</v>
      </c>
      <c r="F302" s="383">
        <f t="shared" si="100"/>
        <v>14.989214080880842</v>
      </c>
      <c r="G302" s="110">
        <f t="shared" si="122"/>
        <v>0.36690248745222809</v>
      </c>
      <c r="H302" s="412" t="b">
        <f>Wh_hp&gt;='2019'!Maxi_hp</f>
        <v>0</v>
      </c>
      <c r="I302" s="388">
        <f>IF(H302,Wh_hp,'2019'!Maxi_hp)</f>
        <v>35.401449749905545</v>
      </c>
      <c r="J302" s="85">
        <f>IF(H302,An,'2019'!An_max)</f>
        <v>2018</v>
      </c>
      <c r="K302" s="197">
        <f t="shared" si="101"/>
        <v>44118</v>
      </c>
      <c r="L302" s="147">
        <f>IF(t&lt;Tvie,1-EXP((T0-t)*PertePVj)+'2019'!Pspv,1-EXP((T0-t)*PertePVj)+Pspv)</f>
        <v>1.2247448344346323E-2</v>
      </c>
      <c r="M302" s="832"/>
      <c r="N302" s="832"/>
      <c r="O302" s="48">
        <f>IF(t&lt;Tnet,'2019'!Resal+('2019'!Salim-'2019'!Resal)*(1-EXP(('2019'!Tnet-t)/('2019'!Tau_j))),Resal+(Salim-Resal)*(1-EXP((Tnet-t)/(Tau_j))))*Salcycl</f>
        <v>3.6758215106107654E-2</v>
      </c>
      <c r="P302" s="169">
        <f>(INDEX(Models!$BJ302:$BT302,,T302)*(1-R302)+INDEX(Models!$BJ302:$BT302,,T302+1)*R302-ERP_i)*Q302*Ramure*Pc/MaxiM</f>
        <v>3.1820217652621108E-3</v>
      </c>
      <c r="Q302" s="304">
        <f t="shared" si="102"/>
        <v>0.7</v>
      </c>
      <c r="R302" s="177">
        <f t="shared" si="103"/>
        <v>0.53258061234448539</v>
      </c>
      <c r="S302" s="799">
        <f t="shared" si="104"/>
        <v>-1</v>
      </c>
      <c r="T302" s="176">
        <f t="shared" si="105"/>
        <v>5</v>
      </c>
      <c r="U302" s="250">
        <f t="shared" si="106"/>
        <v>-0.46741938765551461</v>
      </c>
      <c r="V302" s="382">
        <f t="shared" si="107"/>
        <v>38.746059626860607</v>
      </c>
      <c r="W302" s="58"/>
      <c r="X302" s="157">
        <f t="shared" si="108"/>
        <v>44118</v>
      </c>
      <c r="Y302" s="383">
        <f t="shared" si="109"/>
        <v>14.256529171597581</v>
      </c>
      <c r="Z302" s="383">
        <f t="shared" si="110"/>
        <v>14.433300271106397</v>
      </c>
      <c r="AA302" s="384">
        <f t="shared" si="111"/>
        <v>14.984088623913179</v>
      </c>
      <c r="AB302" s="197">
        <f t="shared" si="112"/>
        <v>44118</v>
      </c>
      <c r="AC302" s="424">
        <f>IF(OR(t&lt;Tnet,NoTnet),'2019'!Resal_s+('2019'!Salim-'2019'!Resal_s)*(1-EXP(('2019'!Tnet_s-t)/'2019'!Tau_j)),Resal_s+(Salim-Resal_s)*(1-EXP((Tnet_s-t)/Tau_j)))*Salcycl</f>
        <v>3.6758215106107654E-2</v>
      </c>
      <c r="AD302" s="230">
        <f>(INDEX(Models!$BJ302:$BT302,,AH302)*(1-AF302)+INDEX(Models!$BJ302:$BT302,,AH302+1)*AF302-ERP_i)*AE302*Ramure*Pc/MaxiM</f>
        <v>3.5220735068409318E-3</v>
      </c>
      <c r="AE302" s="304">
        <f t="shared" si="113"/>
        <v>0.7</v>
      </c>
      <c r="AF302" s="177">
        <f t="shared" si="114"/>
        <v>0.59691283460431754</v>
      </c>
      <c r="AG302" s="176">
        <f t="shared" si="115"/>
        <v>-1</v>
      </c>
      <c r="AH302" s="176">
        <f t="shared" si="116"/>
        <v>5</v>
      </c>
      <c r="AI302" s="224">
        <f t="shared" si="117"/>
        <v>-0.40308716539568246</v>
      </c>
      <c r="AJ302" s="264" t="b">
        <f t="shared" si="118"/>
        <v>0</v>
      </c>
      <c r="AK302" s="264" t="b">
        <f t="shared" si="119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20"/>
        <v>44119</v>
      </c>
      <c r="B303" s="607">
        <v>14.212</v>
      </c>
      <c r="C303" s="388"/>
      <c r="D303" s="391">
        <f t="shared" si="99"/>
        <v>14.388494720803669</v>
      </c>
      <c r="E303" s="383">
        <f t="shared" si="121"/>
        <v>14.937896098980417</v>
      </c>
      <c r="F303" s="383">
        <f t="shared" si="100"/>
        <v>14.943106855144734</v>
      </c>
      <c r="G303" s="110">
        <f t="shared" si="122"/>
        <v>0.36840531943185428</v>
      </c>
      <c r="H303" s="412" t="b">
        <f>Wh_hp&gt;='2019'!Maxi_hp</f>
        <v>0</v>
      </c>
      <c r="I303" s="388">
        <f>IF(H303,Wh_hp,'2019'!Maxi_hp)</f>
        <v>39.40385171327874</v>
      </c>
      <c r="J303" s="85">
        <f>IF(H303,An,'2019'!An_max)</f>
        <v>2018</v>
      </c>
      <c r="K303" s="197">
        <f t="shared" si="101"/>
        <v>44119</v>
      </c>
      <c r="L303" s="147">
        <f>IF(t&lt;Tvie,1-EXP((T0-t)*PertePVj)+'2019'!Pspv,1-EXP((T0-t)*PertePVj)+Pspv)</f>
        <v>1.226637839665623E-2</v>
      </c>
      <c r="M303" s="832"/>
      <c r="N303" s="832"/>
      <c r="O303" s="48">
        <f>IF(t&lt;Tnet,'2019'!Resal+('2019'!Salim-'2019'!Resal)*(1-EXP(('2019'!Tnet-t)/('2019'!Tau_j))),Resal+(Salim-Resal)*(1-EXP((Tnet-t)/(Tau_j))))*Salcycl</f>
        <v>3.6779033308060566E-2</v>
      </c>
      <c r="P303" s="169">
        <f>(INDEX(Models!$BJ303:$BT303,,T303)*(1-R303)+INDEX(Models!$BJ303:$BT303,,T303+1)*R303-ERP_i)*Q303*Ramure*Pc/MaxiM</f>
        <v>3.508440831830298E-3</v>
      </c>
      <c r="Q303" s="304">
        <f t="shared" si="102"/>
        <v>0.7</v>
      </c>
      <c r="R303" s="177">
        <f t="shared" si="103"/>
        <v>0.53266700144419188</v>
      </c>
      <c r="S303" s="799">
        <f t="shared" si="104"/>
        <v>-1</v>
      </c>
      <c r="T303" s="176">
        <f t="shared" si="105"/>
        <v>5</v>
      </c>
      <c r="U303" s="250">
        <f t="shared" si="106"/>
        <v>-0.46733299855580818</v>
      </c>
      <c r="V303" s="382">
        <f t="shared" si="107"/>
        <v>38.455140145074957</v>
      </c>
      <c r="W303" s="58"/>
      <c r="X303" s="157">
        <f t="shared" si="108"/>
        <v>44119</v>
      </c>
      <c r="Y303" s="383">
        <f t="shared" si="109"/>
        <v>14.211470680199856</v>
      </c>
      <c r="Z303" s="383">
        <f t="shared" si="110"/>
        <v>14.387958827533897</v>
      </c>
      <c r="AA303" s="384">
        <f t="shared" si="111"/>
        <v>14.937339743493666</v>
      </c>
      <c r="AB303" s="197">
        <f t="shared" si="112"/>
        <v>44119</v>
      </c>
      <c r="AC303" s="424">
        <f>IF(OR(t&lt;Tnet,NoTnet),'2019'!Resal_s+('2019'!Salim-'2019'!Resal_s)*(1-EXP(('2019'!Tnet_s-t)/'2019'!Tau_j)),Resal_s+(Salim-Resal_s)*(1-EXP((Tnet_s-t)/Tau_j)))*Salcycl</f>
        <v>3.6779033308060566E-2</v>
      </c>
      <c r="AD303" s="230">
        <f>(INDEX(Models!$BJ303:$BT303,,AH303)*(1-AF303)+INDEX(Models!$BJ303:$BT303,,AH303+1)*AF303-ERP_i)*AE303*Ramure*Pc/MaxiM</f>
        <v>3.8830391137640958E-3</v>
      </c>
      <c r="AE303" s="304">
        <f t="shared" si="113"/>
        <v>0.7</v>
      </c>
      <c r="AF303" s="177">
        <f t="shared" si="114"/>
        <v>0.59699922370402403</v>
      </c>
      <c r="AG303" s="176">
        <f t="shared" si="115"/>
        <v>-1</v>
      </c>
      <c r="AH303" s="176">
        <f t="shared" si="116"/>
        <v>5</v>
      </c>
      <c r="AI303" s="224">
        <f t="shared" si="117"/>
        <v>-0.40300077629597603</v>
      </c>
      <c r="AJ303" s="264" t="b">
        <f t="shared" si="118"/>
        <v>0</v>
      </c>
      <c r="AK303" s="264" t="b">
        <f t="shared" si="119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20"/>
        <v>44120</v>
      </c>
      <c r="B304" s="607">
        <v>9.9779999999999998</v>
      </c>
      <c r="C304" s="388"/>
      <c r="D304" s="391">
        <f t="shared" si="99"/>
        <v>10.102107502993951</v>
      </c>
      <c r="E304" s="383">
        <f t="shared" si="121"/>
        <v>10.48806081370198</v>
      </c>
      <c r="F304" s="383">
        <f t="shared" si="100"/>
        <v>10.48806081370198</v>
      </c>
      <c r="G304" s="110">
        <f t="shared" si="122"/>
        <v>0.26045263405861502</v>
      </c>
      <c r="H304" s="412" t="b">
        <f>Wh_hp&gt;='2019'!Maxi_hp</f>
        <v>0</v>
      </c>
      <c r="I304" s="388">
        <f>IF(H304,Wh_hp,'2019'!Maxi_hp)</f>
        <v>18.257554004009961</v>
      </c>
      <c r="J304" s="85">
        <f>IF(H304,An,'2019'!An_max)</f>
        <v>2018</v>
      </c>
      <c r="K304" s="197">
        <f t="shared" si="101"/>
        <v>44120</v>
      </c>
      <c r="L304" s="147">
        <f>IF(t&lt;Tvie,1-EXP((T0-t)*PertePVj)+'2019'!Pspv,1-EXP((T0-t)*PertePVj)+Pspv)</f>
        <v>1.2285308086176006E-2</v>
      </c>
      <c r="M304" s="832"/>
      <c r="N304" s="832"/>
      <c r="O304" s="48">
        <f>IF(t&lt;Tnet,'2019'!Resal+('2019'!Salim-'2019'!Resal)*(1-EXP(('2019'!Tnet-t)/('2019'!Tau_j))),Resal+(Salim-Resal)*(1-EXP((Tnet-t)/(Tau_j))))*Salcycl</f>
        <v>3.6799301373596612E-2</v>
      </c>
      <c r="P304" s="169">
        <f>(INDEX(Models!$BJ304:$BT304,,T304)*(1-R304)+INDEX(Models!$BJ304:$BT304,,T304+1)*R304-ERP_i)*Q304*Ramure*Pc/MaxiM</f>
        <v>3.8643442624486986E-3</v>
      </c>
      <c r="Q304" s="304">
        <f t="shared" si="102"/>
        <v>0.7</v>
      </c>
      <c r="R304" s="177">
        <f t="shared" si="103"/>
        <v>0.53274994749638771</v>
      </c>
      <c r="S304" s="799">
        <f t="shared" si="104"/>
        <v>-1</v>
      </c>
      <c r="T304" s="176">
        <f t="shared" si="105"/>
        <v>5</v>
      </c>
      <c r="U304" s="250">
        <f t="shared" si="106"/>
        <v>-0.46725005250361229</v>
      </c>
      <c r="V304" s="382">
        <f t="shared" si="107"/>
        <v>38.162184878162563</v>
      </c>
      <c r="W304" s="58"/>
      <c r="X304" s="157">
        <f t="shared" si="108"/>
        <v>44120</v>
      </c>
      <c r="Y304" s="383">
        <f t="shared" si="109"/>
        <v>9.9779999999999998</v>
      </c>
      <c r="Z304" s="383">
        <f t="shared" si="110"/>
        <v>10.102107502993951</v>
      </c>
      <c r="AA304" s="384">
        <f t="shared" si="111"/>
        <v>10.48806081370198</v>
      </c>
      <c r="AB304" s="197">
        <f t="shared" si="112"/>
        <v>44120</v>
      </c>
      <c r="AC304" s="424">
        <f>IF(OR(t&lt;Tnet,NoTnet),'2019'!Resal_s+('2019'!Salim-'2019'!Resal_s)*(1-EXP(('2019'!Tnet_s-t)/'2019'!Tau_j)),Resal_s+(Salim-Resal_s)*(1-EXP((Tnet_s-t)/Tau_j)))*Salcycl</f>
        <v>3.6799301373596612E-2</v>
      </c>
      <c r="AD304" s="230">
        <f>(INDEX(Models!$BJ304:$BT304,,AH304)*(1-AF304)+INDEX(Models!$BJ304:$BT304,,AH304+1)*AF304-ERP_i)*AE304*Ramure*Pc/MaxiM</f>
        <v>4.2759363529966659E-3</v>
      </c>
      <c r="AE304" s="304">
        <f t="shared" si="113"/>
        <v>0.7</v>
      </c>
      <c r="AF304" s="177">
        <f t="shared" si="114"/>
        <v>0.59708216975621986</v>
      </c>
      <c r="AG304" s="176">
        <f t="shared" si="115"/>
        <v>-1</v>
      </c>
      <c r="AH304" s="176">
        <f t="shared" si="116"/>
        <v>5</v>
      </c>
      <c r="AI304" s="224">
        <f t="shared" si="117"/>
        <v>-0.40291783024378014</v>
      </c>
      <c r="AJ304" s="264" t="b">
        <f t="shared" si="118"/>
        <v>0</v>
      </c>
      <c r="AK304" s="264" t="b">
        <f t="shared" si="119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20"/>
        <v>44121</v>
      </c>
      <c r="B305" s="607">
        <v>36.715000000000003</v>
      </c>
      <c r="C305" s="388"/>
      <c r="D305" s="391">
        <f t="shared" si="99"/>
        <v>37.172377761175987</v>
      </c>
      <c r="E305" s="383">
        <f t="shared" si="121"/>
        <v>38.593347519580902</v>
      </c>
      <c r="F305" s="383">
        <f t="shared" si="100"/>
        <v>38.750305617634922</v>
      </c>
      <c r="G305" s="110">
        <f t="shared" si="122"/>
        <v>0.96937026637511825</v>
      </c>
      <c r="H305" s="412" t="b">
        <f>Wh_hp&gt;='2019'!Maxi_hp</f>
        <v>1</v>
      </c>
      <c r="I305" s="388">
        <f>IF(H305,Wh_hp,'2019'!Maxi_hp)</f>
        <v>38.750305617634922</v>
      </c>
      <c r="J305" s="85">
        <f>IF(H305,An,'2019'!An_max)</f>
        <v>2020</v>
      </c>
      <c r="K305" s="197">
        <f t="shared" si="101"/>
        <v>44121</v>
      </c>
      <c r="L305" s="147">
        <f>IF(t&lt;Tvie,1-EXP((T0-t)*PertePVj)+'2019'!Pspv,1-EXP((T0-t)*PertePVj)+Pspv)</f>
        <v>1.2304237412912644E-2</v>
      </c>
      <c r="M305" s="832"/>
      <c r="N305" s="832"/>
      <c r="O305" s="48">
        <f>IF(t&lt;Tnet,'2019'!Resal+('2019'!Salim-'2019'!Resal)*(1-EXP(('2019'!Tnet-t)/('2019'!Tau_j))),Resal+(Salim-Resal)*(1-EXP((Tnet-t)/(Tau_j))))*Salcycl</f>
        <v>3.6819033583027891E-2</v>
      </c>
      <c r="P305" s="169">
        <f>(INDEX(Models!$BJ305:$BT305,,T305)*(1-R305)+INDEX(Models!$BJ305:$BT305,,T305+1)*R305-ERP_i)*Q305*Ramure*Pc/MaxiM</f>
        <v>4.2347120354043052E-3</v>
      </c>
      <c r="Q305" s="304">
        <f t="shared" si="102"/>
        <v>0.7</v>
      </c>
      <c r="R305" s="177">
        <f t="shared" si="103"/>
        <v>0.53282958636874</v>
      </c>
      <c r="S305" s="799">
        <f t="shared" si="104"/>
        <v>-1</v>
      </c>
      <c r="T305" s="176">
        <f t="shared" si="105"/>
        <v>5</v>
      </c>
      <c r="U305" s="250">
        <f t="shared" si="106"/>
        <v>-0.46717041363125994</v>
      </c>
      <c r="V305" s="382">
        <f t="shared" si="107"/>
        <v>37.868098917372208</v>
      </c>
      <c r="W305" s="58"/>
      <c r="X305" s="157">
        <f t="shared" si="108"/>
        <v>44121</v>
      </c>
      <c r="Y305" s="383">
        <f t="shared" si="109"/>
        <v>36.69915415240402</v>
      </c>
      <c r="Z305" s="383">
        <f t="shared" si="110"/>
        <v>37.156334513653611</v>
      </c>
      <c r="AA305" s="384">
        <f t="shared" si="111"/>
        <v>38.57669099491757</v>
      </c>
      <c r="AB305" s="197">
        <f t="shared" si="112"/>
        <v>44121</v>
      </c>
      <c r="AC305" s="424">
        <f>IF(OR(t&lt;Tnet,NoTnet),'2019'!Resal_s+('2019'!Salim-'2019'!Resal_s)*(1-EXP(('2019'!Tnet_s-t)/'2019'!Tau_j)),Resal_s+(Salim-Resal_s)*(1-EXP((Tnet_s-t)/Tau_j)))*Salcycl</f>
        <v>3.6819033583027891E-2</v>
      </c>
      <c r="AD305" s="230">
        <f>(INDEX(Models!$BJ305:$BT305,,AH305)*(1-AF305)+INDEX(Models!$BJ305:$BT305,,AH305+1)*AF305-ERP_i)*AE305*Ramure*Pc/MaxiM</f>
        <v>4.6841032190023677E-3</v>
      </c>
      <c r="AE305" s="304">
        <f t="shared" si="113"/>
        <v>0.7</v>
      </c>
      <c r="AF305" s="177">
        <f t="shared" si="114"/>
        <v>0.59716180862857215</v>
      </c>
      <c r="AG305" s="176">
        <f t="shared" si="115"/>
        <v>-1</v>
      </c>
      <c r="AH305" s="176">
        <f t="shared" si="116"/>
        <v>5</v>
      </c>
      <c r="AI305" s="224">
        <f t="shared" si="117"/>
        <v>-0.40283819137142779</v>
      </c>
      <c r="AJ305" s="264" t="b">
        <f t="shared" si="118"/>
        <v>0</v>
      </c>
      <c r="AK305" s="264" t="b">
        <f t="shared" si="119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20"/>
        <v>44122</v>
      </c>
      <c r="B306" s="607">
        <v>37.253</v>
      </c>
      <c r="C306" s="388"/>
      <c r="D306" s="391">
        <f t="shared" si="99"/>
        <v>37.717802758766354</v>
      </c>
      <c r="E306" s="383">
        <f t="shared" si="121"/>
        <v>39.16040333788758</v>
      </c>
      <c r="F306" s="383">
        <f t="shared" si="100"/>
        <v>39.339930108632885</v>
      </c>
      <c r="G306" s="110">
        <f t="shared" si="122"/>
        <v>0.99142204163628356</v>
      </c>
      <c r="H306" s="412" t="b">
        <f>Wh_hp&gt;='2019'!Maxi_hp</f>
        <v>1</v>
      </c>
      <c r="I306" s="388">
        <f>IF(H306,Wh_hp,'2019'!Maxi_hp)</f>
        <v>39.339930108632885</v>
      </c>
      <c r="J306" s="85">
        <f>IF(H306,An,'2019'!An_max)</f>
        <v>2020</v>
      </c>
      <c r="K306" s="197">
        <f t="shared" si="101"/>
        <v>44122</v>
      </c>
      <c r="L306" s="147">
        <f>IF(t&lt;Tvie,1-EXP((T0-t)*PertePVj)+'2019'!Pspv,1-EXP((T0-t)*PertePVj)+Pspv)</f>
        <v>1.2323166376872918E-2</v>
      </c>
      <c r="M306" s="832"/>
      <c r="N306" s="832"/>
      <c r="O306" s="48">
        <f>IF(t&lt;Tnet,'2019'!Resal+('2019'!Salim-'2019'!Resal)*(1-EXP(('2019'!Tnet-t)/('2019'!Tau_j))),Resal+(Salim-Resal)*(1-EXP((Tnet-t)/(Tau_j))))*Salcycl</f>
        <v>3.6838246191543134E-2</v>
      </c>
      <c r="P306" s="169">
        <f>(INDEX(Models!$BJ306:$BT306,,T306)*(1-R306)+INDEX(Models!$BJ306:$BT306,,T306+1)*R306-ERP_i)*Q306*Ramure*Pc/MaxiM</f>
        <v>4.6197159227380005E-3</v>
      </c>
      <c r="Q306" s="304">
        <f t="shared" si="102"/>
        <v>0.7</v>
      </c>
      <c r="R306" s="177">
        <f t="shared" si="103"/>
        <v>0.53290604867388414</v>
      </c>
      <c r="S306" s="799">
        <f t="shared" si="104"/>
        <v>-1</v>
      </c>
      <c r="T306" s="176">
        <f t="shared" si="105"/>
        <v>5</v>
      </c>
      <c r="U306" s="250">
        <f t="shared" si="106"/>
        <v>-0.46709395132611586</v>
      </c>
      <c r="V306" s="382">
        <f t="shared" si="107"/>
        <v>37.573196551563484</v>
      </c>
      <c r="W306" s="58"/>
      <c r="X306" s="157">
        <f t="shared" si="108"/>
        <v>44122</v>
      </c>
      <c r="Y306" s="383">
        <f t="shared" si="109"/>
        <v>37.234959424943632</v>
      </c>
      <c r="Z306" s="383">
        <f t="shared" si="110"/>
        <v>37.699537092870166</v>
      </c>
      <c r="AA306" s="384">
        <f t="shared" si="111"/>
        <v>39.141439061301675</v>
      </c>
      <c r="AB306" s="197">
        <f t="shared" si="112"/>
        <v>44122</v>
      </c>
      <c r="AC306" s="424">
        <f>IF(OR(t&lt;Tnet,NoTnet),'2019'!Resal_s+('2019'!Salim-'2019'!Resal_s)*(1-EXP(('2019'!Tnet_s-t)/'2019'!Tau_j)),Resal_s+(Salim-Resal_s)*(1-EXP((Tnet_s-t)/Tau_j)))*Salcycl</f>
        <v>3.6838246191543134E-2</v>
      </c>
      <c r="AD306" s="230">
        <f>(INDEX(Models!$BJ306:$BT306,,AH306)*(1-AF306)+INDEX(Models!$BJ306:$BT306,,AH306+1)*AF306-ERP_i)*AE306*Ramure*Pc/MaxiM</f>
        <v>5.1077187433946755E-3</v>
      </c>
      <c r="AE306" s="304">
        <f t="shared" si="113"/>
        <v>0.7</v>
      </c>
      <c r="AF306" s="177">
        <f t="shared" si="114"/>
        <v>0.59723827093371629</v>
      </c>
      <c r="AG306" s="176">
        <f t="shared" si="115"/>
        <v>-1</v>
      </c>
      <c r="AH306" s="176">
        <f t="shared" si="116"/>
        <v>5</v>
      </c>
      <c r="AI306" s="224">
        <f t="shared" si="117"/>
        <v>-0.40276172906628371</v>
      </c>
      <c r="AJ306" s="264" t="b">
        <f t="shared" si="118"/>
        <v>0</v>
      </c>
      <c r="AK306" s="264" t="b">
        <f t="shared" si="119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20"/>
        <v>44123</v>
      </c>
      <c r="B307" s="607">
        <v>34.716999999999999</v>
      </c>
      <c r="C307" s="388"/>
      <c r="D307" s="391">
        <f t="shared" si="99"/>
        <v>35.150834943430063</v>
      </c>
      <c r="E307" s="383">
        <f t="shared" si="121"/>
        <v>36.495965178095446</v>
      </c>
      <c r="F307" s="383">
        <f t="shared" si="100"/>
        <v>36.661931071686425</v>
      </c>
      <c r="G307" s="110">
        <f t="shared" si="122"/>
        <v>0.93084431799340928</v>
      </c>
      <c r="H307" s="412" t="b">
        <f>Wh_hp&gt;='2019'!Maxi_hp</f>
        <v>1</v>
      </c>
      <c r="I307" s="388">
        <f>IF(H307,Wh_hp,'2019'!Maxi_hp)</f>
        <v>36.661931071686425</v>
      </c>
      <c r="J307" s="85">
        <f>IF(H307,An,'2019'!An_max)</f>
        <v>2020</v>
      </c>
      <c r="K307" s="197">
        <f t="shared" si="101"/>
        <v>44123</v>
      </c>
      <c r="L307" s="147">
        <f>IF(t&lt;Tvie,1-EXP((T0-t)*PertePVj)+'2019'!Pspv,1-EXP((T0-t)*PertePVj)+Pspv)</f>
        <v>1.2342094978064044E-2</v>
      </c>
      <c r="M307" s="832"/>
      <c r="N307" s="832"/>
      <c r="O307" s="48">
        <f>IF(t&lt;Tnet,'2019'!Resal+('2019'!Salim-'2019'!Resal)*(1-EXP(('2019'!Tnet-t)/('2019'!Tau_j))),Resal+(Salim-Resal)*(1-EXP((Tnet-t)/(Tau_j))))*Salcycl</f>
        <v>3.6856957422589855E-2</v>
      </c>
      <c r="P307" s="169">
        <f>(INDEX(Models!$BJ307:$BT307,,T307)*(1-R307)+INDEX(Models!$BJ307:$BT307,,T307+1)*R307-ERP_i)*Q307*Ramure*Pc/MaxiM</f>
        <v>5.0195202880291834E-3</v>
      </c>
      <c r="Q307" s="304">
        <f t="shared" si="102"/>
        <v>0.7</v>
      </c>
      <c r="R307" s="177">
        <f t="shared" si="103"/>
        <v>0.53297945996427887</v>
      </c>
      <c r="S307" s="799">
        <f t="shared" si="104"/>
        <v>-1</v>
      </c>
      <c r="T307" s="176">
        <f t="shared" si="105"/>
        <v>5</v>
      </c>
      <c r="U307" s="250">
        <f t="shared" si="106"/>
        <v>-0.46702054003572113</v>
      </c>
      <c r="V307" s="382">
        <f t="shared" si="107"/>
        <v>37.277792007704527</v>
      </c>
      <c r="W307" s="58"/>
      <c r="X307" s="157">
        <f t="shared" si="108"/>
        <v>44123</v>
      </c>
      <c r="Y307" s="383">
        <f t="shared" si="109"/>
        <v>34.700410946981698</v>
      </c>
      <c r="Z307" s="383">
        <f t="shared" si="110"/>
        <v>35.134038588200234</v>
      </c>
      <c r="AA307" s="384">
        <f t="shared" si="111"/>
        <v>36.478526070416407</v>
      </c>
      <c r="AB307" s="197">
        <f t="shared" si="112"/>
        <v>44123</v>
      </c>
      <c r="AC307" s="424">
        <f>IF(OR(t&lt;Tnet,NoTnet),'2019'!Resal_s+('2019'!Salim-'2019'!Resal_s)*(1-EXP(('2019'!Tnet_s-t)/'2019'!Tau_j)),Resal_s+(Salim-Resal_s)*(1-EXP((Tnet_s-t)/Tau_j)))*Salcycl</f>
        <v>3.6856957422589855E-2</v>
      </c>
      <c r="AD307" s="230">
        <f>(INDEX(Models!$BJ307:$BT307,,AH307)*(1-AF307)+INDEX(Models!$BJ307:$BT307,,AH307+1)*AF307-ERP_i)*AE307*Ramure*Pc/MaxiM</f>
        <v>5.546953683566387E-3</v>
      </c>
      <c r="AE307" s="304">
        <f t="shared" si="113"/>
        <v>0.7</v>
      </c>
      <c r="AF307" s="177">
        <f t="shared" si="114"/>
        <v>0.59731168222411102</v>
      </c>
      <c r="AG307" s="176">
        <f t="shared" si="115"/>
        <v>-1</v>
      </c>
      <c r="AH307" s="176">
        <f t="shared" si="116"/>
        <v>5</v>
      </c>
      <c r="AI307" s="224">
        <f t="shared" si="117"/>
        <v>-0.40268831777588898</v>
      </c>
      <c r="AJ307" s="264" t="b">
        <f t="shared" si="118"/>
        <v>0</v>
      </c>
      <c r="AK307" s="264" t="b">
        <f t="shared" si="119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20"/>
        <v>44124</v>
      </c>
      <c r="B308" s="607">
        <v>5.61</v>
      </c>
      <c r="C308" s="388"/>
      <c r="D308" s="391">
        <f t="shared" si="99"/>
        <v>5.6802132478310705</v>
      </c>
      <c r="E308" s="383">
        <f t="shared" si="121"/>
        <v>5.8976917361157462</v>
      </c>
      <c r="F308" s="383">
        <f t="shared" si="100"/>
        <v>5.8976917361157462</v>
      </c>
      <c r="G308" s="110">
        <f t="shared" si="122"/>
        <v>0.15087025022753092</v>
      </c>
      <c r="H308" s="412" t="b">
        <f>Wh_hp&gt;='2019'!Maxi_hp</f>
        <v>0</v>
      </c>
      <c r="I308" s="388">
        <f>IF(H308,Wh_hp,'2019'!Maxi_hp)</f>
        <v>22.202361362008595</v>
      </c>
      <c r="J308" s="85">
        <f>IF(H308,An,'2019'!An_max)</f>
        <v>2018</v>
      </c>
      <c r="K308" s="197">
        <f t="shared" si="101"/>
        <v>44124</v>
      </c>
      <c r="L308" s="147">
        <f>IF(t&lt;Tvie,1-EXP((T0-t)*PertePVj)+'2019'!Pspv,1-EXP((T0-t)*PertePVj)+Pspv)</f>
        <v>1.2361023216492795E-2</v>
      </c>
      <c r="M308" s="832"/>
      <c r="N308" s="832"/>
      <c r="O308" s="48">
        <f>IF(t&lt;Tnet,'2019'!Resal+('2019'!Salim-'2019'!Resal)*(1-EXP(('2019'!Tnet-t)/('2019'!Tau_j))),Resal+(Salim-Resal)*(1-EXP((Tnet-t)/(Tau_j))))*Salcycl</f>
        <v>3.6875187448828547E-2</v>
      </c>
      <c r="P308" s="169">
        <f>(INDEX(Models!$BJ308:$BT308,,T308)*(1-R308)+INDEX(Models!$BJ308:$BT308,,T308+1)*R308-ERP_i)*Q308*Ramure*Pc/MaxiM</f>
        <v>5.4342811703383112E-3</v>
      </c>
      <c r="Q308" s="304">
        <f t="shared" si="102"/>
        <v>0.7</v>
      </c>
      <c r="R308" s="177">
        <f t="shared" si="103"/>
        <v>0.53304994092050717</v>
      </c>
      <c r="S308" s="799">
        <f t="shared" si="104"/>
        <v>-1</v>
      </c>
      <c r="T308" s="176">
        <f t="shared" si="105"/>
        <v>5</v>
      </c>
      <c r="U308" s="250">
        <f t="shared" si="106"/>
        <v>-0.46695005907949289</v>
      </c>
      <c r="V308" s="382">
        <f t="shared" si="107"/>
        <v>36.98219943441341</v>
      </c>
      <c r="W308" s="58"/>
      <c r="X308" s="157">
        <f t="shared" si="108"/>
        <v>44124</v>
      </c>
      <c r="Y308" s="383">
        <f t="shared" si="109"/>
        <v>5.61</v>
      </c>
      <c r="Z308" s="383">
        <f t="shared" si="110"/>
        <v>5.6802132478310705</v>
      </c>
      <c r="AA308" s="384">
        <f t="shared" si="111"/>
        <v>5.8976917361157462</v>
      </c>
      <c r="AB308" s="197">
        <f t="shared" si="112"/>
        <v>44124</v>
      </c>
      <c r="AC308" s="424">
        <f>IF(OR(t&lt;Tnet,NoTnet),'2019'!Resal_s+('2019'!Salim-'2019'!Resal_s)*(1-EXP(('2019'!Tnet_s-t)/'2019'!Tau_j)),Resal_s+(Salim-Resal_s)*(1-EXP((Tnet_s-t)/Tau_j)))*Salcycl</f>
        <v>3.6875187448828547E-2</v>
      </c>
      <c r="AD308" s="230">
        <f>(INDEX(Models!$BJ308:$BT308,,AH308)*(1-AF308)+INDEX(Models!$BJ308:$BT308,,AH308+1)*AF308-ERP_i)*AE308*Ramure*Pc/MaxiM</f>
        <v>6.0019695559458157E-3</v>
      </c>
      <c r="AE308" s="304">
        <f t="shared" si="113"/>
        <v>0.7</v>
      </c>
      <c r="AF308" s="177">
        <f t="shared" si="114"/>
        <v>0.59738216318033932</v>
      </c>
      <c r="AG308" s="176">
        <f t="shared" si="115"/>
        <v>-1</v>
      </c>
      <c r="AH308" s="176">
        <f t="shared" si="116"/>
        <v>5</v>
      </c>
      <c r="AI308" s="224">
        <f t="shared" si="117"/>
        <v>-0.40261783681966073</v>
      </c>
      <c r="AJ308" s="264" t="b">
        <f t="shared" si="118"/>
        <v>0</v>
      </c>
      <c r="AK308" s="264" t="b">
        <f t="shared" si="119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20"/>
        <v>44125</v>
      </c>
      <c r="B309" s="607">
        <v>24.984999999999999</v>
      </c>
      <c r="C309" s="388"/>
      <c r="D309" s="391">
        <f t="shared" si="99"/>
        <v>25.2981903593693</v>
      </c>
      <c r="E309" s="383">
        <f t="shared" si="121"/>
        <v>26.267267567998726</v>
      </c>
      <c r="F309" s="383">
        <f t="shared" si="100"/>
        <v>26.35138316863285</v>
      </c>
      <c r="G309" s="110">
        <f t="shared" si="122"/>
        <v>0.67921078222230546</v>
      </c>
      <c r="H309" s="412" t="b">
        <f>Wh_hp&gt;='2019'!Maxi_hp</f>
        <v>1</v>
      </c>
      <c r="I309" s="388">
        <f>IF(H309,Wh_hp,'2019'!Maxi_hp)</f>
        <v>26.35138316863285</v>
      </c>
      <c r="J309" s="85">
        <f>IF(H309,An,'2019'!An_max)</f>
        <v>2020</v>
      </c>
      <c r="K309" s="197">
        <f t="shared" si="101"/>
        <v>44125</v>
      </c>
      <c r="L309" s="147">
        <f>IF(t&lt;Tvie,1-EXP((T0-t)*PertePVj)+'2019'!Pspv,1-EXP((T0-t)*PertePVj)+Pspv)</f>
        <v>1.2379951092166164E-2</v>
      </c>
      <c r="M309" s="832"/>
      <c r="N309" s="832"/>
      <c r="O309" s="48">
        <f>IF(t&lt;Tnet,'2019'!Resal+('2019'!Salim-'2019'!Resal)*(1-EXP(('2019'!Tnet-t)/('2019'!Tau_j))),Resal+(Salim-Resal)*(1-EXP((Tnet-t)/(Tau_j))))*Salcycl</f>
        <v>3.689295836046718E-2</v>
      </c>
      <c r="P309" s="169">
        <f>(INDEX(Models!$BJ309:$BT309,,T309)*(1-R309)+INDEX(Models!$BJ309:$BT309,,T309+1)*R309-ERP_i)*Q309*Ramure*Pc/MaxiM</f>
        <v>5.8641453239445182E-3</v>
      </c>
      <c r="Q309" s="304">
        <f t="shared" si="102"/>
        <v>0.7</v>
      </c>
      <c r="R309" s="177">
        <f t="shared" si="103"/>
        <v>0.53311760753318382</v>
      </c>
      <c r="S309" s="799">
        <f t="shared" si="104"/>
        <v>-1</v>
      </c>
      <c r="T309" s="176">
        <f t="shared" si="105"/>
        <v>5</v>
      </c>
      <c r="U309" s="250">
        <f t="shared" si="106"/>
        <v>-0.46688239246681618</v>
      </c>
      <c r="V309" s="382">
        <f t="shared" si="107"/>
        <v>36.686732886430477</v>
      </c>
      <c r="W309" s="58"/>
      <c r="X309" s="157">
        <f t="shared" si="108"/>
        <v>44125</v>
      </c>
      <c r="Y309" s="383">
        <f t="shared" si="109"/>
        <v>24.976694014599452</v>
      </c>
      <c r="Z309" s="383">
        <f t="shared" si="110"/>
        <v>25.289780257316661</v>
      </c>
      <c r="AA309" s="384">
        <f t="shared" si="111"/>
        <v>26.258535307004848</v>
      </c>
      <c r="AB309" s="197">
        <f t="shared" si="112"/>
        <v>44125</v>
      </c>
      <c r="AC309" s="424">
        <f>IF(OR(t&lt;Tnet,NoTnet),'2019'!Resal_s+('2019'!Salim-'2019'!Resal_s)*(1-EXP(('2019'!Tnet_s-t)/'2019'!Tau_j)),Resal_s+(Salim-Resal_s)*(1-EXP((Tnet_s-t)/Tau_j)))*Salcycl</f>
        <v>3.689295836046718E-2</v>
      </c>
      <c r="AD309" s="230">
        <f>(INDEX(Models!$BJ309:$BT309,,AH309)*(1-AF309)+INDEX(Models!$BJ309:$BT309,,AH309+1)*AF309-ERP_i)*AE309*Ramure*Pc/MaxiM</f>
        <v>6.4729176216949688E-3</v>
      </c>
      <c r="AE309" s="304">
        <f t="shared" si="113"/>
        <v>0.7</v>
      </c>
      <c r="AF309" s="177">
        <f t="shared" si="114"/>
        <v>0.59744982979301597</v>
      </c>
      <c r="AG309" s="176">
        <f t="shared" si="115"/>
        <v>-1</v>
      </c>
      <c r="AH309" s="176">
        <f t="shared" si="116"/>
        <v>5</v>
      </c>
      <c r="AI309" s="224">
        <f t="shared" si="117"/>
        <v>-0.40255017020698403</v>
      </c>
      <c r="AJ309" s="264" t="b">
        <f t="shared" si="118"/>
        <v>0</v>
      </c>
      <c r="AK309" s="264" t="b">
        <f t="shared" si="119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20"/>
        <v>44126</v>
      </c>
      <c r="B310" s="607">
        <v>8.0250000000000004</v>
      </c>
      <c r="C310" s="388"/>
      <c r="D310" s="391">
        <f t="shared" si="99"/>
        <v>8.1257501901833802</v>
      </c>
      <c r="E310" s="383">
        <f t="shared" si="121"/>
        <v>8.4371685634061961</v>
      </c>
      <c r="F310" s="383">
        <f t="shared" si="100"/>
        <v>8.4371685634061961</v>
      </c>
      <c r="G310" s="110">
        <f t="shared" si="122"/>
        <v>0.21912597909008263</v>
      </c>
      <c r="H310" s="412" t="b">
        <f>Wh_hp&gt;='2019'!Maxi_hp</f>
        <v>0</v>
      </c>
      <c r="I310" s="388">
        <f>IF(H310,Wh_hp,'2019'!Maxi_hp)</f>
        <v>15.914329457973706</v>
      </c>
      <c r="J310" s="85">
        <f>IF(H310,An,'2019'!An_max)</f>
        <v>2018</v>
      </c>
      <c r="K310" s="197">
        <f t="shared" si="101"/>
        <v>44126</v>
      </c>
      <c r="L310" s="147">
        <f>IF(t&lt;Tvie,1-EXP((T0-t)*PertePVj)+'2019'!Pspv,1-EXP((T0-t)*PertePVj)+Pspv)</f>
        <v>1.2398878605091146E-2</v>
      </c>
      <c r="M310" s="832"/>
      <c r="N310" s="832"/>
      <c r="O310" s="48">
        <f>IF(t&lt;Tnet,'2019'!Resal+('2019'!Salim-'2019'!Resal)*(1-EXP(('2019'!Tnet-t)/('2019'!Tau_j))),Resal+(Salim-Resal)*(1-EXP((Tnet-t)/(Tau_j))))*Salcycl</f>
        <v>3.6910294120885943E-2</v>
      </c>
      <c r="P310" s="169">
        <f>(INDEX(Models!$BJ310:$BT310,,T310)*(1-R310)+INDEX(Models!$BJ310:$BT310,,T310+1)*R310-ERP_i)*Q310*Ramure*Pc/MaxiM</f>
        <v>6.2926788771869033E-3</v>
      </c>
      <c r="Q310" s="304">
        <f t="shared" si="102"/>
        <v>0.7</v>
      </c>
      <c r="R310" s="177">
        <f t="shared" si="103"/>
        <v>0.53318257127864133</v>
      </c>
      <c r="S310" s="799">
        <f t="shared" si="104"/>
        <v>-1</v>
      </c>
      <c r="T310" s="176">
        <f t="shared" si="105"/>
        <v>5</v>
      </c>
      <c r="U310" s="250">
        <f t="shared" si="106"/>
        <v>-0.46681742872135873</v>
      </c>
      <c r="V310" s="382">
        <f t="shared" si="107"/>
        <v>36.392313157593513</v>
      </c>
      <c r="W310" s="58"/>
      <c r="X310" s="157">
        <f t="shared" si="108"/>
        <v>44126</v>
      </c>
      <c r="Y310" s="383">
        <f t="shared" si="109"/>
        <v>8.0250000000000004</v>
      </c>
      <c r="Z310" s="383">
        <f t="shared" si="110"/>
        <v>8.1257501901833802</v>
      </c>
      <c r="AA310" s="384">
        <f t="shared" si="111"/>
        <v>8.4371685634061961</v>
      </c>
      <c r="AB310" s="197">
        <f t="shared" si="112"/>
        <v>44126</v>
      </c>
      <c r="AC310" s="424">
        <f>IF(OR(t&lt;Tnet,NoTnet),'2019'!Resal_s+('2019'!Salim-'2019'!Resal_s)*(1-EXP(('2019'!Tnet_s-t)/'2019'!Tau_j)),Resal_s+(Salim-Resal_s)*(1-EXP((Tnet_s-t)/Tau_j)))*Salcycl</f>
        <v>3.6910294120885943E-2</v>
      </c>
      <c r="AD310" s="230">
        <f>(INDEX(Models!$BJ310:$BT310,,AH310)*(1-AF310)+INDEX(Models!$BJ310:$BT310,,AH310+1)*AF310-ERP_i)*AE310*Ramure*Pc/MaxiM</f>
        <v>6.9417198715405965E-3</v>
      </c>
      <c r="AE310" s="304">
        <f t="shared" si="113"/>
        <v>0.7</v>
      </c>
      <c r="AF310" s="177">
        <f t="shared" si="114"/>
        <v>0.59751479353847348</v>
      </c>
      <c r="AG310" s="176">
        <f t="shared" si="115"/>
        <v>-1</v>
      </c>
      <c r="AH310" s="176">
        <f t="shared" si="116"/>
        <v>5</v>
      </c>
      <c r="AI310" s="224">
        <f t="shared" si="117"/>
        <v>-0.40248520646152658</v>
      </c>
      <c r="AJ310" s="264" t="b">
        <f t="shared" si="118"/>
        <v>0</v>
      </c>
      <c r="AK310" s="264" t="b">
        <f t="shared" si="119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20"/>
        <v>44127</v>
      </c>
      <c r="B311" s="607">
        <v>10.704000000000001</v>
      </c>
      <c r="C311" s="388"/>
      <c r="D311" s="391">
        <f t="shared" si="99"/>
        <v>10.838591524208388</v>
      </c>
      <c r="E311" s="383">
        <f t="shared" si="121"/>
        <v>11.254176999938814</v>
      </c>
      <c r="F311" s="383">
        <f t="shared" si="100"/>
        <v>11.254176999938814</v>
      </c>
      <c r="G311" s="110">
        <f t="shared" si="122"/>
        <v>0.29452334711659434</v>
      </c>
      <c r="H311" s="412" t="b">
        <f>Wh_hp&gt;='2019'!Maxi_hp</f>
        <v>0</v>
      </c>
      <c r="I311" s="388">
        <f>IF(H311,Wh_hp,'2019'!Maxi_hp)</f>
        <v>18.528987710847929</v>
      </c>
      <c r="J311" s="85">
        <f>IF(H311,An,'2019'!An_max)</f>
        <v>2018</v>
      </c>
      <c r="K311" s="197">
        <f t="shared" si="101"/>
        <v>44127</v>
      </c>
      <c r="L311" s="147">
        <f>IF(t&lt;Tvie,1-EXP((T0-t)*PertePVj)+'2019'!Pspv,1-EXP((T0-t)*PertePVj)+Pspv)</f>
        <v>1.2417805755274736E-2</v>
      </c>
      <c r="M311" s="832"/>
      <c r="N311" s="832"/>
      <c r="O311" s="48">
        <f>IF(t&lt;Tnet,'2019'!Resal+('2019'!Salim-'2019'!Resal)*(1-EXP(('2019'!Tnet-t)/('2019'!Tau_j))),Resal+(Salim-Resal)*(1-EXP((Tnet-t)/(Tau_j))))*Salcycl</f>
        <v>3.6927220509565914E-2</v>
      </c>
      <c r="P311" s="169">
        <f>(INDEX(Models!$BJ311:$BT311,,T311)*(1-R311)+INDEX(Models!$BJ311:$BT311,,T311+1)*R311-ERP_i)*Q311*Ramure*Pc/MaxiM</f>
        <v>6.7073148035184755E-3</v>
      </c>
      <c r="Q311" s="304">
        <f t="shared" si="102"/>
        <v>0.7</v>
      </c>
      <c r="R311" s="177">
        <f t="shared" si="103"/>
        <v>0.53324493928855543</v>
      </c>
      <c r="S311" s="799">
        <f t="shared" si="104"/>
        <v>-1</v>
      </c>
      <c r="T311" s="176">
        <f t="shared" si="105"/>
        <v>5</v>
      </c>
      <c r="U311" s="250">
        <f t="shared" si="106"/>
        <v>-0.46675506071144457</v>
      </c>
      <c r="V311" s="382">
        <f t="shared" si="107"/>
        <v>36.099701454683391</v>
      </c>
      <c r="W311" s="58"/>
      <c r="X311" s="157">
        <f t="shared" si="108"/>
        <v>44127</v>
      </c>
      <c r="Y311" s="383">
        <f t="shared" si="109"/>
        <v>10.704000000000001</v>
      </c>
      <c r="Z311" s="383">
        <f t="shared" si="110"/>
        <v>10.838591524208388</v>
      </c>
      <c r="AA311" s="384">
        <f t="shared" si="111"/>
        <v>11.254176999938814</v>
      </c>
      <c r="AB311" s="197">
        <f t="shared" si="112"/>
        <v>44127</v>
      </c>
      <c r="AC311" s="424">
        <f>IF(OR(t&lt;Tnet,NoTnet),'2019'!Resal_s+('2019'!Salim-'2019'!Resal_s)*(1-EXP(('2019'!Tnet_s-t)/'2019'!Tau_j)),Resal_s+(Salim-Resal_s)*(1-EXP((Tnet_s-t)/Tau_j)))*Salcycl</f>
        <v>3.6927220509565914E-2</v>
      </c>
      <c r="AD311" s="230">
        <f>(INDEX(Models!$BJ311:$BT311,,AH311)*(1-AF311)+INDEX(Models!$BJ311:$BT311,,AH311+1)*AF311-ERP_i)*AE311*Ramure*Pc/MaxiM</f>
        <v>7.3948192138082684E-3</v>
      </c>
      <c r="AE311" s="304">
        <f t="shared" si="113"/>
        <v>0.7</v>
      </c>
      <c r="AF311" s="177">
        <f t="shared" si="114"/>
        <v>0.59757716154838758</v>
      </c>
      <c r="AG311" s="176">
        <f t="shared" si="115"/>
        <v>-1</v>
      </c>
      <c r="AH311" s="176">
        <f t="shared" si="116"/>
        <v>5</v>
      </c>
      <c r="AI311" s="224">
        <f t="shared" si="117"/>
        <v>-0.40242283845161242</v>
      </c>
      <c r="AJ311" s="264" t="b">
        <f t="shared" si="118"/>
        <v>0</v>
      </c>
      <c r="AK311" s="264" t="b">
        <f t="shared" si="119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20"/>
        <v>44128</v>
      </c>
      <c r="B312" s="607">
        <v>33.192</v>
      </c>
      <c r="C312" s="388"/>
      <c r="D312" s="391">
        <f t="shared" si="99"/>
        <v>33.609998562887967</v>
      </c>
      <c r="E312" s="383">
        <f t="shared" si="121"/>
        <v>34.899310490127398</v>
      </c>
      <c r="F312" s="383">
        <f t="shared" si="100"/>
        <v>35.122890994557942</v>
      </c>
      <c r="G312" s="110">
        <f t="shared" si="122"/>
        <v>0.92622032633105011</v>
      </c>
      <c r="H312" s="412" t="b">
        <f>Wh_hp&gt;='2019'!Maxi_hp</f>
        <v>1</v>
      </c>
      <c r="I312" s="388">
        <f>IF(H312,Wh_hp,'2019'!Maxi_hp)</f>
        <v>35.122890994557942</v>
      </c>
      <c r="J312" s="85">
        <f>IF(H312,An,'2019'!An_max)</f>
        <v>2020</v>
      </c>
      <c r="K312" s="197">
        <f t="shared" si="101"/>
        <v>44128</v>
      </c>
      <c r="L312" s="147">
        <f>IF(t&lt;Tvie,1-EXP((T0-t)*PertePVj)+'2019'!Pspv,1-EXP((T0-t)*PertePVj)+Pspv)</f>
        <v>1.2436732542723705E-2</v>
      </c>
      <c r="M312" s="832"/>
      <c r="N312" s="832"/>
      <c r="O312" s="48">
        <f>IF(t&lt;Tnet,'2019'!Resal+('2019'!Salim-'2019'!Resal)*(1-EXP(('2019'!Tnet-t)/('2019'!Tau_j))),Resal+(Salim-Resal)*(1-EXP((Tnet-t)/(Tau_j))))*Salcycl</f>
        <v>3.6943765052440368E-2</v>
      </c>
      <c r="P312" s="169">
        <f>(INDEX(Models!$BJ312:$BT312,,T312)*(1-R312)+INDEX(Models!$BJ312:$BT312,,T312+1)*R312-ERP_i)*Q312*Ramure*Pc/MaxiM</f>
        <v>7.1077918708672581E-3</v>
      </c>
      <c r="Q312" s="304">
        <f t="shared" si="102"/>
        <v>0.7</v>
      </c>
      <c r="R312" s="177">
        <f t="shared" si="103"/>
        <v>0.53330481451368206</v>
      </c>
      <c r="S312" s="799">
        <f t="shared" si="104"/>
        <v>-1</v>
      </c>
      <c r="T312" s="176">
        <f t="shared" si="105"/>
        <v>5</v>
      </c>
      <c r="U312" s="250">
        <f t="shared" si="106"/>
        <v>-0.466695185486318</v>
      </c>
      <c r="V312" s="382">
        <f t="shared" si="107"/>
        <v>35.809200600850438</v>
      </c>
      <c r="W312" s="58"/>
      <c r="X312" s="157">
        <f t="shared" si="108"/>
        <v>44128</v>
      </c>
      <c r="Y312" s="383">
        <f t="shared" si="109"/>
        <v>33.170336271712038</v>
      </c>
      <c r="Z312" s="383">
        <f t="shared" si="110"/>
        <v>33.588062015628829</v>
      </c>
      <c r="AA312" s="384">
        <f t="shared" si="111"/>
        <v>34.876532435780106</v>
      </c>
      <c r="AB312" s="197">
        <f t="shared" si="112"/>
        <v>44128</v>
      </c>
      <c r="AC312" s="424">
        <f>IF(OR(t&lt;Tnet,NoTnet),'2019'!Resal_s+('2019'!Salim-'2019'!Resal_s)*(1-EXP(('2019'!Tnet_s-t)/'2019'!Tau_j)),Resal_s+(Salim-Resal_s)*(1-EXP((Tnet_s-t)/Tau_j)))*Salcycl</f>
        <v>3.6943765052440368E-2</v>
      </c>
      <c r="AD312" s="230">
        <f>(INDEX(Models!$BJ312:$BT312,,AH312)*(1-AF312)+INDEX(Models!$BJ312:$BT312,,AH312+1)*AF312-ERP_i)*AE312*Ramure*Pc/MaxiM</f>
        <v>7.8319232969780335E-3</v>
      </c>
      <c r="AE312" s="304">
        <f t="shared" si="113"/>
        <v>0.7</v>
      </c>
      <c r="AF312" s="177">
        <f t="shared" si="114"/>
        <v>0.59763703677351421</v>
      </c>
      <c r="AG312" s="176">
        <f t="shared" si="115"/>
        <v>-1</v>
      </c>
      <c r="AH312" s="176">
        <f t="shared" si="116"/>
        <v>5</v>
      </c>
      <c r="AI312" s="224">
        <f t="shared" si="117"/>
        <v>-0.40236296322648585</v>
      </c>
      <c r="AJ312" s="264" t="b">
        <f t="shared" si="118"/>
        <v>0</v>
      </c>
      <c r="AK312" s="264" t="b">
        <f t="shared" si="119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20"/>
        <v>44129</v>
      </c>
      <c r="B313" s="607">
        <v>26.091999999999999</v>
      </c>
      <c r="C313" s="388"/>
      <c r="D313" s="391">
        <f t="shared" si="99"/>
        <v>26.421092112905807</v>
      </c>
      <c r="E313" s="383">
        <f t="shared" si="121"/>
        <v>27.435091929253016</v>
      </c>
      <c r="F313" s="383">
        <f t="shared" si="100"/>
        <v>27.56331721871307</v>
      </c>
      <c r="G313" s="110">
        <f t="shared" si="122"/>
        <v>0.73245184816921549</v>
      </c>
      <c r="H313" s="412" t="b">
        <f>Wh_hp&gt;='2019'!Maxi_hp</f>
        <v>0</v>
      </c>
      <c r="I313" s="388">
        <f>IF(H313,Wh_hp,'2019'!Maxi_hp)</f>
        <v>37.378397618671073</v>
      </c>
      <c r="J313" s="85">
        <f>IF(H313,An,'2019'!An_max)</f>
        <v>2018</v>
      </c>
      <c r="K313" s="197">
        <f t="shared" si="101"/>
        <v>44129</v>
      </c>
      <c r="L313" s="147">
        <f>IF(t&lt;Tvie,1-EXP((T0-t)*PertePVj)+'2019'!Pspv,1-EXP((T0-t)*PertePVj)+Pspv)</f>
        <v>1.245565896744516E-2</v>
      </c>
      <c r="M313" s="832"/>
      <c r="N313" s="832"/>
      <c r="O313" s="48">
        <f>IF(t&lt;Tnet,'2019'!Resal+('2019'!Salim-'2019'!Resal)*(1-EXP(('2019'!Tnet-t)/('2019'!Tau_j))),Resal+(Salim-Resal)*(1-EXP((Tnet-t)/(Tau_j))))*Salcycl</f>
        <v>3.6959956939893429E-2</v>
      </c>
      <c r="P313" s="169">
        <f>(INDEX(Models!$BJ313:$BT313,,T313)*(1-R313)+INDEX(Models!$BJ313:$BT313,,T313+1)*R313-ERP_i)*Q313*Ramure*Pc/MaxiM</f>
        <v>7.4937891948266408E-3</v>
      </c>
      <c r="Q313" s="304">
        <f t="shared" si="102"/>
        <v>0.7</v>
      </c>
      <c r="R313" s="177">
        <f t="shared" si="103"/>
        <v>0.53336229588186557</v>
      </c>
      <c r="S313" s="799">
        <f t="shared" si="104"/>
        <v>-1</v>
      </c>
      <c r="T313" s="176">
        <f t="shared" si="105"/>
        <v>5</v>
      </c>
      <c r="U313" s="250">
        <f t="shared" si="106"/>
        <v>-0.46663770411813443</v>
      </c>
      <c r="V313" s="382">
        <f t="shared" si="107"/>
        <v>35.521114804376296</v>
      </c>
      <c r="W313" s="58"/>
      <c r="X313" s="157">
        <f t="shared" si="108"/>
        <v>44129</v>
      </c>
      <c r="Y313" s="383">
        <f t="shared" si="109"/>
        <v>26.079650510357389</v>
      </c>
      <c r="Z313" s="383">
        <f t="shared" si="110"/>
        <v>26.40858686212416</v>
      </c>
      <c r="AA313" s="384">
        <f t="shared" si="111"/>
        <v>27.422106746682715</v>
      </c>
      <c r="AB313" s="197">
        <f t="shared" si="112"/>
        <v>44129</v>
      </c>
      <c r="AC313" s="424">
        <f>IF(OR(t&lt;Tnet,NoTnet),'2019'!Resal_s+('2019'!Salim-'2019'!Resal_s)*(1-EXP(('2019'!Tnet_s-t)/'2019'!Tau_j)),Resal_s+(Salim-Resal_s)*(1-EXP((Tnet_s-t)/Tau_j)))*Salcycl</f>
        <v>3.6959956939893429E-2</v>
      </c>
      <c r="AD313" s="230">
        <f>(INDEX(Models!$BJ313:$BT313,,AH313)*(1-AF313)+INDEX(Models!$BJ313:$BT313,,AH313+1)*AF313-ERP_i)*AE313*Ramure*Pc/MaxiM</f>
        <v>8.2526739768219223E-3</v>
      </c>
      <c r="AE313" s="304">
        <f t="shared" si="113"/>
        <v>0.7</v>
      </c>
      <c r="AF313" s="177">
        <f t="shared" si="114"/>
        <v>0.59769451814169772</v>
      </c>
      <c r="AG313" s="176">
        <f t="shared" si="115"/>
        <v>-1</v>
      </c>
      <c r="AH313" s="176">
        <f t="shared" si="116"/>
        <v>5</v>
      </c>
      <c r="AI313" s="224">
        <f t="shared" si="117"/>
        <v>-0.40230548185830228</v>
      </c>
      <c r="AJ313" s="264" t="b">
        <f t="shared" si="118"/>
        <v>0</v>
      </c>
      <c r="AK313" s="264" t="b">
        <f t="shared" si="119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20"/>
        <v>44130</v>
      </c>
      <c r="B314" s="607">
        <v>23.565000000000001</v>
      </c>
      <c r="C314" s="388"/>
      <c r="D314" s="391">
        <f t="shared" si="99"/>
        <v>23.862676993181651</v>
      </c>
      <c r="E314" s="383">
        <f t="shared" si="121"/>
        <v>24.778897207925979</v>
      </c>
      <c r="F314" s="383">
        <f t="shared" si="100"/>
        <v>24.881995893277118</v>
      </c>
      <c r="G314" s="110">
        <f t="shared" si="122"/>
        <v>0.66628183264657681</v>
      </c>
      <c r="H314" s="412" t="b">
        <f>Wh_hp&gt;='2019'!Maxi_hp</f>
        <v>0</v>
      </c>
      <c r="I314" s="388">
        <f>IF(H314,Wh_hp,'2019'!Maxi_hp)</f>
        <v>28.077316937486671</v>
      </c>
      <c r="J314" s="85">
        <f>IF(H314,An,'2019'!An_max)</f>
        <v>2018</v>
      </c>
      <c r="K314" s="197">
        <f t="shared" si="101"/>
        <v>44130</v>
      </c>
      <c r="L314" s="147">
        <f>IF(t&lt;Tvie,1-EXP((T0-t)*PertePVj)+'2019'!Pspv,1-EXP((T0-t)*PertePVj)+Pspv)</f>
        <v>1.2474585029445984E-2</v>
      </c>
      <c r="M314" s="832"/>
      <c r="N314" s="832"/>
      <c r="O314" s="48">
        <f>IF(t&lt;Tnet,'2019'!Resal+('2019'!Salim-'2019'!Resal)*(1-EXP(('2019'!Tnet-t)/('2019'!Tau_j))),Resal+(Salim-Resal)*(1-EXP((Tnet-t)/(Tau_j))))*Salcycl</f>
        <v>3.6975826932736003E-2</v>
      </c>
      <c r="P314" s="169">
        <f>(INDEX(Models!$BJ314:$BT314,,T314)*(1-R314)+INDEX(Models!$BJ314:$BT314,,T314+1)*R314-ERP_i)*Q314*Ramure*Pc/MaxiM</f>
        <v>7.8649754722489845E-3</v>
      </c>
      <c r="Q314" s="304">
        <f t="shared" si="102"/>
        <v>0.7</v>
      </c>
      <c r="R314" s="177">
        <f t="shared" si="103"/>
        <v>0.53341747845048748</v>
      </c>
      <c r="S314" s="799">
        <f t="shared" si="104"/>
        <v>-1</v>
      </c>
      <c r="T314" s="176">
        <f t="shared" si="105"/>
        <v>5</v>
      </c>
      <c r="U314" s="250">
        <f t="shared" si="106"/>
        <v>-0.46658252154951257</v>
      </c>
      <c r="V314" s="382">
        <f t="shared" si="107"/>
        <v>35.23574788595117</v>
      </c>
      <c r="W314" s="58"/>
      <c r="X314" s="157">
        <f t="shared" si="108"/>
        <v>44130</v>
      </c>
      <c r="Y314" s="383">
        <f t="shared" si="109"/>
        <v>23.555130020493678</v>
      </c>
      <c r="Z314" s="383">
        <f t="shared" si="110"/>
        <v>23.852682334455203</v>
      </c>
      <c r="AA314" s="384">
        <f t="shared" si="111"/>
        <v>24.76851879894522</v>
      </c>
      <c r="AB314" s="197">
        <f t="shared" si="112"/>
        <v>44130</v>
      </c>
      <c r="AC314" s="424">
        <f>IF(OR(t&lt;Tnet,NoTnet),'2019'!Resal_s+('2019'!Salim-'2019'!Resal_s)*(1-EXP(('2019'!Tnet_s-t)/'2019'!Tau_j)),Resal_s+(Salim-Resal_s)*(1-EXP((Tnet_s-t)/Tau_j)))*Salcycl</f>
        <v>3.6975826932736003E-2</v>
      </c>
      <c r="AD314" s="230">
        <f>(INDEX(Models!$BJ314:$BT314,,AH314)*(1-AF314)+INDEX(Models!$BJ314:$BT314,,AH314+1)*AF314-ERP_i)*AE314*Ramure*Pc/MaxiM</f>
        <v>8.6567016887048754E-3</v>
      </c>
      <c r="AE314" s="304">
        <f t="shared" si="113"/>
        <v>0.7</v>
      </c>
      <c r="AF314" s="177">
        <f t="shared" si="114"/>
        <v>0.59774970071031963</v>
      </c>
      <c r="AG314" s="176">
        <f t="shared" si="115"/>
        <v>-1</v>
      </c>
      <c r="AH314" s="176">
        <f t="shared" si="116"/>
        <v>5</v>
      </c>
      <c r="AI314" s="224">
        <f t="shared" si="117"/>
        <v>-0.40225029928968042</v>
      </c>
      <c r="AJ314" s="264" t="b">
        <f t="shared" si="118"/>
        <v>0</v>
      </c>
      <c r="AK314" s="264" t="b">
        <f t="shared" si="119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20"/>
        <v>44131</v>
      </c>
      <c r="B315" s="607">
        <v>21.628</v>
      </c>
      <c r="C315" s="388"/>
      <c r="D315" s="391">
        <f t="shared" si="99"/>
        <v>21.901628227233665</v>
      </c>
      <c r="E315" s="383">
        <f t="shared" si="121"/>
        <v>22.74292087554544</v>
      </c>
      <c r="F315" s="383">
        <f t="shared" si="100"/>
        <v>22.828383287280932</v>
      </c>
      <c r="G315" s="110">
        <f t="shared" si="122"/>
        <v>0.61598581644947215</v>
      </c>
      <c r="H315" s="412" t="b">
        <f>Wh_hp&gt;='2019'!Maxi_hp</f>
        <v>1</v>
      </c>
      <c r="I315" s="388">
        <f>IF(H315,Wh_hp,'2019'!Maxi_hp)</f>
        <v>22.828383287280932</v>
      </c>
      <c r="J315" s="85">
        <f>IF(H315,An,'2019'!An_max)</f>
        <v>2020</v>
      </c>
      <c r="K315" s="197">
        <f t="shared" si="101"/>
        <v>44131</v>
      </c>
      <c r="L315" s="147">
        <f>IF(t&lt;Tvie,1-EXP((T0-t)*PertePVj)+'2019'!Pspv,1-EXP((T0-t)*PertePVj)+Pspv)</f>
        <v>1.2493510728733059E-2</v>
      </c>
      <c r="M315" s="832"/>
      <c r="N315" s="832"/>
      <c r="O315" s="48">
        <f>IF(t&lt;Tnet,'2019'!Resal+('2019'!Salim-'2019'!Resal)*(1-EXP(('2019'!Tnet-t)/('2019'!Tau_j))),Resal+(Salim-Resal)*(1-EXP((Tnet-t)/(Tau_j))))*Salcycl</f>
        <v>3.6991407256593153E-2</v>
      </c>
      <c r="P315" s="169">
        <f>(INDEX(Models!$BJ315:$BT315,,T315)*(1-R315)+INDEX(Models!$BJ315:$BT315,,T315+1)*R315-ERP_i)*Q315*Ramure*Pc/MaxiM</f>
        <v>8.2210096983362946E-3</v>
      </c>
      <c r="Q315" s="304">
        <f t="shared" si="102"/>
        <v>0.7</v>
      </c>
      <c r="R315" s="177">
        <f t="shared" si="103"/>
        <v>0.53347045355351308</v>
      </c>
      <c r="S315" s="799">
        <f t="shared" si="104"/>
        <v>-1</v>
      </c>
      <c r="T315" s="176">
        <f t="shared" si="105"/>
        <v>5</v>
      </c>
      <c r="U315" s="250">
        <f t="shared" si="106"/>
        <v>-0.46652954644648692</v>
      </c>
      <c r="V315" s="382">
        <f t="shared" si="107"/>
        <v>34.953403293887121</v>
      </c>
      <c r="W315" s="58"/>
      <c r="X315" s="157">
        <f t="shared" si="108"/>
        <v>44131</v>
      </c>
      <c r="Y315" s="383">
        <f t="shared" si="109"/>
        <v>21.619867621989847</v>
      </c>
      <c r="Z315" s="383">
        <f t="shared" si="110"/>
        <v>21.893392961847052</v>
      </c>
      <c r="AA315" s="384">
        <f t="shared" si="111"/>
        <v>22.734369274398087</v>
      </c>
      <c r="AB315" s="197">
        <f t="shared" si="112"/>
        <v>44131</v>
      </c>
      <c r="AC315" s="424">
        <f>IF(OR(t&lt;Tnet,NoTnet),'2019'!Resal_s+('2019'!Salim-'2019'!Resal_s)*(1-EXP(('2019'!Tnet_s-t)/'2019'!Tau_j)),Resal_s+(Salim-Resal_s)*(1-EXP((Tnet_s-t)/Tau_j)))*Salcycl</f>
        <v>3.6991407256593153E-2</v>
      </c>
      <c r="AD315" s="230">
        <f>(INDEX(Models!$BJ315:$BT315,,AH315)*(1-AF315)+INDEX(Models!$BJ315:$BT315,,AH315+1)*AF315-ERP_i)*AE315*Ramure*Pc/MaxiM</f>
        <v>9.0436262679022845E-3</v>
      </c>
      <c r="AE315" s="304">
        <f t="shared" si="113"/>
        <v>0.7</v>
      </c>
      <c r="AF315" s="177">
        <f t="shared" si="114"/>
        <v>0.59780267581334523</v>
      </c>
      <c r="AG315" s="176">
        <f t="shared" si="115"/>
        <v>-1</v>
      </c>
      <c r="AH315" s="176">
        <f t="shared" si="116"/>
        <v>5</v>
      </c>
      <c r="AI315" s="224">
        <f t="shared" si="117"/>
        <v>-0.40219732418665477</v>
      </c>
      <c r="AJ315" s="264" t="b">
        <f t="shared" si="118"/>
        <v>0</v>
      </c>
      <c r="AK315" s="264" t="b">
        <f t="shared" si="119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20"/>
        <v>44132</v>
      </c>
      <c r="B316" s="607">
        <v>11.622999999999999</v>
      </c>
      <c r="C316" s="388"/>
      <c r="D316" s="391">
        <f t="shared" si="99"/>
        <v>11.770274811044363</v>
      </c>
      <c r="E316" s="383">
        <f t="shared" si="121"/>
        <v>12.222593029334281</v>
      </c>
      <c r="F316" s="383">
        <f t="shared" si="100"/>
        <v>12.227858038133339</v>
      </c>
      <c r="G316" s="110">
        <f t="shared" si="122"/>
        <v>0.33247751476680915</v>
      </c>
      <c r="H316" s="412" t="b">
        <f>Wh_hp&gt;='2019'!Maxi_hp</f>
        <v>0</v>
      </c>
      <c r="I316" s="388">
        <f>IF(H316,Wh_hp,'2019'!Maxi_hp)</f>
        <v>29.099104002218521</v>
      </c>
      <c r="J316" s="85">
        <f>IF(H316,An,'2019'!An_max)</f>
        <v>2018</v>
      </c>
      <c r="K316" s="197">
        <f t="shared" si="101"/>
        <v>44132</v>
      </c>
      <c r="L316" s="147">
        <f>IF(t&lt;Tvie,1-EXP((T0-t)*PertePVj)+'2019'!Pspv,1-EXP((T0-t)*PertePVj)+Pspv)</f>
        <v>1.2512436065313604E-2</v>
      </c>
      <c r="M316" s="832"/>
      <c r="N316" s="832"/>
      <c r="O316" s="48">
        <f>IF(t&lt;Tnet,'2019'!Resal+('2019'!Salim-'2019'!Resal)*(1-EXP(('2019'!Tnet-t)/('2019'!Tau_j))),Resal+(Salim-Resal)*(1-EXP((Tnet-t)/(Tau_j))))*Salcycl</f>
        <v>3.7006731485238219E-2</v>
      </c>
      <c r="P316" s="169">
        <f>(INDEX(Models!$BJ316:$BT316,,T316)*(1-R316)+INDEX(Models!$BJ316:$BT316,,T316+1)*R316-ERP_i)*Q316*Ramure*Pc/MaxiM</f>
        <v>8.5615418971678944E-3</v>
      </c>
      <c r="Q316" s="304">
        <f t="shared" si="102"/>
        <v>0.7</v>
      </c>
      <c r="R316" s="177">
        <f t="shared" si="103"/>
        <v>0.53352130894330196</v>
      </c>
      <c r="S316" s="799">
        <f t="shared" si="104"/>
        <v>-1</v>
      </c>
      <c r="T316" s="176">
        <f t="shared" si="105"/>
        <v>5</v>
      </c>
      <c r="U316" s="250">
        <f t="shared" si="106"/>
        <v>-0.46647869105669798</v>
      </c>
      <c r="V316" s="382">
        <f t="shared" si="107"/>
        <v>34.674384128452374</v>
      </c>
      <c r="W316" s="58"/>
      <c r="X316" s="157">
        <f t="shared" si="108"/>
        <v>44132</v>
      </c>
      <c r="Y316" s="383">
        <f t="shared" si="109"/>
        <v>11.622502039656947</v>
      </c>
      <c r="Z316" s="383">
        <f t="shared" si="110"/>
        <v>11.769770541055314</v>
      </c>
      <c r="AA316" s="384">
        <f t="shared" si="111"/>
        <v>12.222069380825474</v>
      </c>
      <c r="AB316" s="197">
        <f t="shared" si="112"/>
        <v>44132</v>
      </c>
      <c r="AC316" s="424">
        <f>IF(OR(t&lt;Tnet,NoTnet),'2019'!Resal_s+('2019'!Salim-'2019'!Resal_s)*(1-EXP(('2019'!Tnet_s-t)/'2019'!Tau_j)),Resal_s+(Salim-Resal_s)*(1-EXP((Tnet_s-t)/Tau_j)))*Salcycl</f>
        <v>3.7006731485238219E-2</v>
      </c>
      <c r="AD316" s="230">
        <f>(INDEX(Models!$BJ316:$BT316,,AH316)*(1-AF316)+INDEX(Models!$BJ316:$BT316,,AH316+1)*AF316-ERP_i)*AE316*Ramure*Pc/MaxiM</f>
        <v>9.413057786056821E-3</v>
      </c>
      <c r="AE316" s="304">
        <f t="shared" si="113"/>
        <v>0.7</v>
      </c>
      <c r="AF316" s="177">
        <f t="shared" si="114"/>
        <v>0.59785353120313411</v>
      </c>
      <c r="AG316" s="176">
        <f t="shared" si="115"/>
        <v>-1</v>
      </c>
      <c r="AH316" s="176">
        <f t="shared" si="116"/>
        <v>5</v>
      </c>
      <c r="AI316" s="224">
        <f t="shared" si="117"/>
        <v>-0.40214646879686583</v>
      </c>
      <c r="AJ316" s="264" t="b">
        <f t="shared" si="118"/>
        <v>0</v>
      </c>
      <c r="AK316" s="264" t="b">
        <f t="shared" si="119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20"/>
        <v>44133</v>
      </c>
      <c r="B317" s="607">
        <v>29.733000000000001</v>
      </c>
      <c r="C317" s="388"/>
      <c r="D317" s="391">
        <f t="shared" si="99"/>
        <v>30.1103233326888</v>
      </c>
      <c r="E317" s="383">
        <f t="shared" si="121"/>
        <v>31.267919054374829</v>
      </c>
      <c r="F317" s="383">
        <f t="shared" si="100"/>
        <v>31.493556755699309</v>
      </c>
      <c r="G317" s="110">
        <f t="shared" si="122"/>
        <v>0.86287154030926494</v>
      </c>
      <c r="H317" s="412" t="b">
        <f>Wh_hp&gt;='2019'!Maxi_hp</f>
        <v>1</v>
      </c>
      <c r="I317" s="388">
        <f>IF(H317,Wh_hp,'2019'!Maxi_hp)</f>
        <v>31.493556755699309</v>
      </c>
      <c r="J317" s="85">
        <f>IF(H317,An,'2019'!An_max)</f>
        <v>2020</v>
      </c>
      <c r="K317" s="197">
        <f t="shared" si="101"/>
        <v>44133</v>
      </c>
      <c r="L317" s="147">
        <f>IF(t&lt;Tvie,1-EXP((T0-t)*PertePVj)+'2019'!Pspv,1-EXP((T0-t)*PertePVj)+Pspv)</f>
        <v>1.2531361039194278E-2</v>
      </c>
      <c r="M317" s="832"/>
      <c r="N317" s="832"/>
      <c r="O317" s="48">
        <f>IF(t&lt;Tnet,'2019'!Resal+('2019'!Salim-'2019'!Resal)*(1-EXP(('2019'!Tnet-t)/('2019'!Tau_j))),Resal+(Salim-Resal)*(1-EXP((Tnet-t)/(Tau_j))))*Salcycl</f>
        <v>3.7021834413507697E-2</v>
      </c>
      <c r="P317" s="169">
        <f>(INDEX(Models!$BJ317:$BT317,,T317)*(1-R317)+INDEX(Models!$BJ317:$BT317,,T317+1)*R317-ERP_i)*Q317*Ramure*Pc/MaxiM</f>
        <v>8.8863549859461832E-3</v>
      </c>
      <c r="Q317" s="304">
        <f t="shared" si="102"/>
        <v>0.7</v>
      </c>
      <c r="R317" s="177">
        <f t="shared" si="103"/>
        <v>0.53357012892733624</v>
      </c>
      <c r="S317" s="799">
        <f t="shared" si="104"/>
        <v>-1</v>
      </c>
      <c r="T317" s="176">
        <f t="shared" si="105"/>
        <v>5</v>
      </c>
      <c r="U317" s="250">
        <f t="shared" si="106"/>
        <v>-0.46642987107266382</v>
      </c>
      <c r="V317" s="382">
        <f t="shared" si="107"/>
        <v>34.398442022753251</v>
      </c>
      <c r="W317" s="58"/>
      <c r="X317" s="157">
        <f t="shared" si="108"/>
        <v>44133</v>
      </c>
      <c r="Y317" s="383">
        <f t="shared" si="109"/>
        <v>29.711791065764992</v>
      </c>
      <c r="Z317" s="383">
        <f t="shared" si="110"/>
        <v>30.088845248830534</v>
      </c>
      <c r="AA317" s="384">
        <f t="shared" si="111"/>
        <v>31.245615242486025</v>
      </c>
      <c r="AB317" s="197">
        <f t="shared" si="112"/>
        <v>44133</v>
      </c>
      <c r="AC317" s="424">
        <f>IF(OR(t&lt;Tnet,NoTnet),'2019'!Resal_s+('2019'!Salim-'2019'!Resal_s)*(1-EXP(('2019'!Tnet_s-t)/'2019'!Tau_j)),Resal_s+(Salim-Resal_s)*(1-EXP((Tnet_s-t)/Tau_j)))*Salcycl</f>
        <v>3.7021834413507697E-2</v>
      </c>
      <c r="AD317" s="230">
        <f>(INDEX(Models!$BJ317:$BT317,,AH317)*(1-AF317)+INDEX(Models!$BJ317:$BT317,,AH317+1)*AF317-ERP_i)*AE317*Ramure*Pc/MaxiM</f>
        <v>9.7647524736898458E-3</v>
      </c>
      <c r="AE317" s="304">
        <f t="shared" si="113"/>
        <v>0.7</v>
      </c>
      <c r="AF317" s="177">
        <f t="shared" si="114"/>
        <v>0.59790235118716839</v>
      </c>
      <c r="AG317" s="176">
        <f t="shared" si="115"/>
        <v>-1</v>
      </c>
      <c r="AH317" s="176">
        <f t="shared" si="116"/>
        <v>5</v>
      </c>
      <c r="AI317" s="224">
        <f t="shared" si="117"/>
        <v>-0.40209764881283167</v>
      </c>
      <c r="AJ317" s="264" t="b">
        <f t="shared" si="118"/>
        <v>0</v>
      </c>
      <c r="AK317" s="264" t="b">
        <f t="shared" si="119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20"/>
        <v>44134</v>
      </c>
      <c r="B318" s="607">
        <v>33.497</v>
      </c>
      <c r="C318" s="388"/>
      <c r="D318" s="391">
        <f t="shared" si="99"/>
        <v>33.922740078022855</v>
      </c>
      <c r="E318" s="383">
        <f t="shared" si="121"/>
        <v>35.227450420021775</v>
      </c>
      <c r="F318" s="383">
        <f t="shared" si="100"/>
        <v>35.545081569193108</v>
      </c>
      <c r="G318" s="110">
        <f t="shared" si="122"/>
        <v>0.98133871381464599</v>
      </c>
      <c r="H318" s="412" t="b">
        <f>Wh_hp&gt;='2019'!Maxi_hp</f>
        <v>1</v>
      </c>
      <c r="I318" s="388">
        <f>IF(H318,Wh_hp,'2019'!Maxi_hp)</f>
        <v>35.545081569193108</v>
      </c>
      <c r="J318" s="85">
        <f>IF(H318,An,'2019'!An_max)</f>
        <v>2020</v>
      </c>
      <c r="K318" s="197">
        <f t="shared" si="101"/>
        <v>44134</v>
      </c>
      <c r="L318" s="147">
        <f>IF(t&lt;Tvie,1-EXP((T0-t)*PertePVj)+'2019'!Pspv,1-EXP((T0-t)*PertePVj)+Pspv)</f>
        <v>1.2550285650382187E-2</v>
      </c>
      <c r="M318" s="832"/>
      <c r="N318" s="832"/>
      <c r="O318" s="48">
        <f>IF(t&lt;Tnet,'2019'!Resal+('2019'!Salim-'2019'!Resal)*(1-EXP(('2019'!Tnet-t)/('2019'!Tau_j))),Resal+(Salim-Resal)*(1-EXP((Tnet-t)/(Tau_j))))*Salcycl</f>
        <v>3.703675192052442E-2</v>
      </c>
      <c r="P318" s="169">
        <f>(INDEX(Models!$BJ318:$BT318,,T318)*(1-R318)+INDEX(Models!$BJ318:$BT318,,T318+1)*R318-ERP_i)*Q318*Ramure*Pc/MaxiM</f>
        <v>9.1775358956292779E-3</v>
      </c>
      <c r="Q318" s="304">
        <f t="shared" si="102"/>
        <v>0.7</v>
      </c>
      <c r="R318" s="177">
        <f t="shared" si="103"/>
        <v>0.53361699450002487</v>
      </c>
      <c r="S318" s="799">
        <f t="shared" si="104"/>
        <v>-1</v>
      </c>
      <c r="T318" s="176">
        <f t="shared" si="105"/>
        <v>5</v>
      </c>
      <c r="U318" s="250">
        <f t="shared" si="106"/>
        <v>-0.46638300549997513</v>
      </c>
      <c r="V318" s="382">
        <f t="shared" si="107"/>
        <v>34.125665415506752</v>
      </c>
      <c r="W318" s="58"/>
      <c r="X318" s="157">
        <f t="shared" si="108"/>
        <v>44134</v>
      </c>
      <c r="Y318" s="383">
        <f t="shared" si="109"/>
        <v>33.467329021591681</v>
      </c>
      <c r="Z318" s="383">
        <f t="shared" si="110"/>
        <v>33.892691987495162</v>
      </c>
      <c r="AA318" s="384">
        <f t="shared" si="111"/>
        <v>35.19624664294345</v>
      </c>
      <c r="AB318" s="197">
        <f t="shared" si="112"/>
        <v>44134</v>
      </c>
      <c r="AC318" s="424">
        <f>IF(OR(t&lt;Tnet,NoTnet),'2019'!Resal_s+('2019'!Salim-'2019'!Resal_s)*(1-EXP(('2019'!Tnet_s-t)/'2019'!Tau_j)),Resal_s+(Salim-Resal_s)*(1-EXP((Tnet_s-t)/Tau_j)))*Salcycl</f>
        <v>3.703675192052442E-2</v>
      </c>
      <c r="AD318" s="230">
        <f>(INDEX(Models!$BJ318:$BT318,,AH318)*(1-AF318)+INDEX(Models!$BJ318:$BT318,,AH318+1)*AF318-ERP_i)*AE318*Ramure*Pc/MaxiM</f>
        <v>1.0079128151183061E-2</v>
      </c>
      <c r="AE318" s="304">
        <f t="shared" si="113"/>
        <v>0.7</v>
      </c>
      <c r="AF318" s="177">
        <f t="shared" si="114"/>
        <v>0.59794921675985702</v>
      </c>
      <c r="AG318" s="176">
        <f t="shared" si="115"/>
        <v>-1</v>
      </c>
      <c r="AH318" s="176">
        <f t="shared" si="116"/>
        <v>5</v>
      </c>
      <c r="AI318" s="224">
        <f t="shared" si="117"/>
        <v>-0.40205078324014298</v>
      </c>
      <c r="AJ318" s="264" t="b">
        <f t="shared" si="118"/>
        <v>0</v>
      </c>
      <c r="AK318" s="264" t="b">
        <f t="shared" si="119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20"/>
        <v>44135</v>
      </c>
      <c r="B319" s="607">
        <v>27.228999999999999</v>
      </c>
      <c r="C319" s="388"/>
      <c r="D319" s="391">
        <f t="shared" si="99"/>
        <v>27.575603549097018</v>
      </c>
      <c r="E319" s="383">
        <f t="shared" si="121"/>
        <v>28.636634405087698</v>
      </c>
      <c r="F319" s="383">
        <f t="shared" si="100"/>
        <v>28.832623963315033</v>
      </c>
      <c r="G319" s="110">
        <f t="shared" si="122"/>
        <v>0.80212523898403554</v>
      </c>
      <c r="H319" s="412" t="b">
        <f>Wh_hp&gt;='2019'!Maxi_hp</f>
        <v>1</v>
      </c>
      <c r="I319" s="388">
        <f>IF(H319,Wh_hp,'2019'!Maxi_hp)</f>
        <v>28.832623963315033</v>
      </c>
      <c r="J319" s="85">
        <f>IF(H319,An,'2019'!An_max)</f>
        <v>2020</v>
      </c>
      <c r="K319" s="197">
        <f t="shared" si="101"/>
        <v>44135</v>
      </c>
      <c r="L319" s="147">
        <f>IF(t&lt;Tvie,1-EXP((T0-t)*PertePVj)+'2019'!Pspv,1-EXP((T0-t)*PertePVj)+Pspv)</f>
        <v>1.2569209898884215E-2</v>
      </c>
      <c r="M319" s="832"/>
      <c r="N319" s="832"/>
      <c r="O319" s="48">
        <f>IF(t&lt;Tnet,'2019'!Resal+('2019'!Salim-'2019'!Resal)*(1-EXP(('2019'!Tnet-t)/('2019'!Tau_j))),Resal+(Salim-Resal)*(1-EXP((Tnet-t)/(Tau_j))))*Salcycl</f>
        <v>3.7051520824045274E-2</v>
      </c>
      <c r="P319" s="169">
        <f>(INDEX(Models!$BJ319:$BT319,,T319)*(1-R319)+INDEX(Models!$BJ319:$BT319,,T319+1)*R319-ERP_i)*Q319*Ramure*Pc/MaxiM</f>
        <v>9.436059778713481E-3</v>
      </c>
      <c r="Q319" s="304">
        <f t="shared" si="102"/>
        <v>0.7</v>
      </c>
      <c r="R319" s="177">
        <f t="shared" si="103"/>
        <v>0.53366198346973825</v>
      </c>
      <c r="S319" s="799">
        <f t="shared" si="104"/>
        <v>-1</v>
      </c>
      <c r="T319" s="176">
        <f t="shared" si="105"/>
        <v>5</v>
      </c>
      <c r="U319" s="250">
        <f t="shared" si="106"/>
        <v>-0.46633801653026175</v>
      </c>
      <c r="V319" s="382">
        <f t="shared" si="107"/>
        <v>33.855888622061634</v>
      </c>
      <c r="W319" s="58"/>
      <c r="X319" s="157">
        <f t="shared" si="108"/>
        <v>44135</v>
      </c>
      <c r="Y319" s="383">
        <f t="shared" si="109"/>
        <v>27.210798974833981</v>
      </c>
      <c r="Z319" s="383">
        <f t="shared" si="110"/>
        <v>27.557170839332969</v>
      </c>
      <c r="AA319" s="384">
        <f t="shared" si="111"/>
        <v>28.617492457036828</v>
      </c>
      <c r="AB319" s="197">
        <f t="shared" si="112"/>
        <v>44135</v>
      </c>
      <c r="AC319" s="424">
        <f>IF(OR(t&lt;Tnet,NoTnet),'2019'!Resal_s+('2019'!Salim-'2019'!Resal_s)*(1-EXP(('2019'!Tnet_s-t)/'2019'!Tau_j)),Resal_s+(Salim-Resal_s)*(1-EXP((Tnet_s-t)/Tau_j)))*Salcycl</f>
        <v>3.7051520824045274E-2</v>
      </c>
      <c r="AD319" s="230">
        <f>(INDEX(Models!$BJ319:$BT319,,AH319)*(1-AF319)+INDEX(Models!$BJ319:$BT319,,AH319+1)*AF319-ERP_i)*AE319*Ramure*Pc/MaxiM</f>
        <v>1.0357662785132372E-2</v>
      </c>
      <c r="AE319" s="304">
        <f t="shared" si="113"/>
        <v>0.7</v>
      </c>
      <c r="AF319" s="177">
        <f t="shared" si="114"/>
        <v>0.5979942057295704</v>
      </c>
      <c r="AG319" s="176">
        <f t="shared" si="115"/>
        <v>-1</v>
      </c>
      <c r="AH319" s="176">
        <f t="shared" si="116"/>
        <v>5</v>
      </c>
      <c r="AI319" s="224">
        <f t="shared" si="117"/>
        <v>-0.4020057942704296</v>
      </c>
      <c r="AJ319" s="264" t="b">
        <f t="shared" si="118"/>
        <v>0</v>
      </c>
      <c r="AK319" s="264" t="b">
        <f t="shared" si="119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20"/>
        <v>44136</v>
      </c>
      <c r="B320" s="607">
        <v>30.231999999999999</v>
      </c>
      <c r="C320" s="388"/>
      <c r="D320" s="391">
        <f t="shared" si="99"/>
        <v>30.617416130391419</v>
      </c>
      <c r="E320" s="383">
        <f t="shared" si="121"/>
        <v>31.795971284828092</v>
      </c>
      <c r="F320" s="383">
        <f t="shared" si="100"/>
        <v>32.061506207065662</v>
      </c>
      <c r="G320" s="110">
        <f t="shared" si="122"/>
        <v>0.89880474559512646</v>
      </c>
      <c r="H320" s="412" t="b">
        <f>Wh_hp&gt;='2019'!Maxi_hp</f>
        <v>1</v>
      </c>
      <c r="I320" s="388">
        <f>IF(H320,Wh_hp,'2019'!Maxi_hp)</f>
        <v>32.061506207065662</v>
      </c>
      <c r="J320" s="85">
        <f>IF(H320,An,'2019'!An_max)</f>
        <v>2020</v>
      </c>
      <c r="K320" s="197">
        <f t="shared" si="101"/>
        <v>44136</v>
      </c>
      <c r="L320" s="147">
        <f>IF(t&lt;Tvie,1-EXP((T0-t)*PertePVj)+'2019'!Pspv,1-EXP((T0-t)*PertePVj)+Pspv)</f>
        <v>1.2588133784707245E-2</v>
      </c>
      <c r="M320" s="832"/>
      <c r="N320" s="832"/>
      <c r="O320" s="48">
        <f>IF(t&lt;Tnet,'2019'!Resal+('2019'!Salim-'2019'!Resal)*(1-EXP(('2019'!Tnet-t)/('2019'!Tau_j))),Resal+(Salim-Resal)*(1-EXP((Tnet-t)/(Tau_j))))*Salcycl</f>
        <v>3.7066178726832544E-2</v>
      </c>
      <c r="P320" s="169">
        <f>(INDEX(Models!$BJ320:$BT320,,T320)*(1-R320)+INDEX(Models!$BJ320:$BT320,,T320+1)*R320-ERP_i)*Q320*Ramure*Pc/MaxiM</f>
        <v>9.6614762717710887E-3</v>
      </c>
      <c r="Q320" s="304">
        <f t="shared" si="102"/>
        <v>0.7</v>
      </c>
      <c r="R320" s="177">
        <f t="shared" si="103"/>
        <v>0.53370517058122147</v>
      </c>
      <c r="S320" s="799">
        <f t="shared" si="104"/>
        <v>-1</v>
      </c>
      <c r="T320" s="176">
        <f t="shared" si="105"/>
        <v>5</v>
      </c>
      <c r="U320" s="250">
        <f t="shared" si="106"/>
        <v>-0.46629482941877848</v>
      </c>
      <c r="V320" s="382">
        <f t="shared" si="107"/>
        <v>33.588995821707563</v>
      </c>
      <c r="W320" s="58"/>
      <c r="X320" s="157">
        <f t="shared" si="108"/>
        <v>44136</v>
      </c>
      <c r="Y320" s="383">
        <f t="shared" si="109"/>
        <v>30.207478053607439</v>
      </c>
      <c r="Z320" s="383">
        <f t="shared" si="110"/>
        <v>30.592581563143863</v>
      </c>
      <c r="AA320" s="384">
        <f t="shared" si="111"/>
        <v>31.770180761430833</v>
      </c>
      <c r="AB320" s="197">
        <f t="shared" si="112"/>
        <v>44136</v>
      </c>
      <c r="AC320" s="424">
        <f>IF(OR(t&lt;Tnet,NoTnet),'2019'!Resal_s+('2019'!Salim-'2019'!Resal_s)*(1-EXP(('2019'!Tnet_s-t)/'2019'!Tau_j)),Resal_s+(Salim-Resal_s)*(1-EXP((Tnet_s-t)/Tau_j)))*Salcycl</f>
        <v>3.7066178726832544E-2</v>
      </c>
      <c r="AD320" s="230">
        <f>(INDEX(Models!$BJ320:$BT320,,AH320)*(1-AF320)+INDEX(Models!$BJ320:$BT320,,AH320+1)*AF320-ERP_i)*AE320*Ramure*Pc/MaxiM</f>
        <v>1.0599863312313587E-2</v>
      </c>
      <c r="AE320" s="304">
        <f t="shared" si="113"/>
        <v>0.7</v>
      </c>
      <c r="AF320" s="177">
        <f t="shared" si="114"/>
        <v>0.59803739284105362</v>
      </c>
      <c r="AG320" s="176">
        <f t="shared" si="115"/>
        <v>-1</v>
      </c>
      <c r="AH320" s="176">
        <f t="shared" si="116"/>
        <v>5</v>
      </c>
      <c r="AI320" s="224">
        <f t="shared" si="117"/>
        <v>-0.40196260715894633</v>
      </c>
      <c r="AJ320" s="264" t="b">
        <f t="shared" si="118"/>
        <v>0</v>
      </c>
      <c r="AK320" s="264" t="b">
        <f t="shared" si="119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20"/>
        <v>44137</v>
      </c>
      <c r="B321" s="607">
        <v>26.483000000000001</v>
      </c>
      <c r="C321" s="388"/>
      <c r="D321" s="391">
        <f t="shared" si="99"/>
        <v>26.821135593488957</v>
      </c>
      <c r="E321" s="383">
        <f t="shared" si="121"/>
        <v>27.853982542600935</v>
      </c>
      <c r="F321" s="383">
        <f t="shared" si="100"/>
        <v>28.049300463393088</v>
      </c>
      <c r="G321" s="110">
        <f t="shared" si="122"/>
        <v>0.79237901573468106</v>
      </c>
      <c r="H321" s="412" t="b">
        <f>Wh_hp&gt;='2019'!Maxi_hp</f>
        <v>1</v>
      </c>
      <c r="I321" s="388">
        <f>IF(H321,Wh_hp,'2019'!Maxi_hp)</f>
        <v>28.049300463393088</v>
      </c>
      <c r="J321" s="85">
        <f>IF(H321,An,'2019'!An_max)</f>
        <v>2020</v>
      </c>
      <c r="K321" s="197">
        <f t="shared" si="101"/>
        <v>44137</v>
      </c>
      <c r="L321" s="147">
        <f>IF(t&lt;Tvie,1-EXP((T0-t)*PertePVj)+'2019'!Pspv,1-EXP((T0-t)*PertePVj)+Pspv)</f>
        <v>1.2607057307858494E-2</v>
      </c>
      <c r="M321" s="832"/>
      <c r="N321" s="832"/>
      <c r="O321" s="48">
        <f>IF(t&lt;Tnet,'2019'!Resal+('2019'!Salim-'2019'!Resal)*(1-EXP(('2019'!Tnet-t)/('2019'!Tau_j))),Resal+(Salim-Resal)*(1-EXP((Tnet-t)/(Tau_j))))*Salcycl</f>
        <v>3.7080763856023179E-2</v>
      </c>
      <c r="P321" s="169">
        <f>(INDEX(Models!$BJ321:$BT321,,T321)*(1-R321)+INDEX(Models!$BJ321:$BT321,,T321+1)*R321-ERP_i)*Q321*Ramure*Pc/MaxiM</f>
        <v>9.8533391755900313E-3</v>
      </c>
      <c r="Q321" s="304">
        <f t="shared" si="102"/>
        <v>0.7</v>
      </c>
      <c r="R321" s="177">
        <f t="shared" si="103"/>
        <v>0.53374662763353609</v>
      </c>
      <c r="S321" s="799">
        <f t="shared" si="104"/>
        <v>-1</v>
      </c>
      <c r="T321" s="176">
        <f t="shared" si="105"/>
        <v>5</v>
      </c>
      <c r="U321" s="250">
        <f t="shared" si="106"/>
        <v>-0.46625337236646391</v>
      </c>
      <c r="V321" s="382">
        <f t="shared" si="107"/>
        <v>33.324871043661133</v>
      </c>
      <c r="W321" s="58"/>
      <c r="X321" s="157">
        <f t="shared" si="108"/>
        <v>44137</v>
      </c>
      <c r="Y321" s="383">
        <f t="shared" si="109"/>
        <v>26.465059657471986</v>
      </c>
      <c r="Z321" s="383">
        <f t="shared" si="110"/>
        <v>26.802966188227565</v>
      </c>
      <c r="AA321" s="384">
        <f t="shared" si="111"/>
        <v>27.835113457241139</v>
      </c>
      <c r="AB321" s="197">
        <f t="shared" si="112"/>
        <v>44137</v>
      </c>
      <c r="AC321" s="424">
        <f>IF(OR(t&lt;Tnet,NoTnet),'2019'!Resal_s+('2019'!Salim-'2019'!Resal_s)*(1-EXP(('2019'!Tnet_s-t)/'2019'!Tau_j)),Resal_s+(Salim-Resal_s)*(1-EXP((Tnet_s-t)/Tau_j)))*Salcycl</f>
        <v>3.7080763856023179E-2</v>
      </c>
      <c r="AD321" s="230">
        <f>(INDEX(Models!$BJ321:$BT321,,AH321)*(1-AF321)+INDEX(Models!$BJ321:$BT321,,AH321+1)*AF321-ERP_i)*AE321*Ramure*Pc/MaxiM</f>
        <v>1.0805241065745172E-2</v>
      </c>
      <c r="AE321" s="304">
        <f t="shared" si="113"/>
        <v>0.7</v>
      </c>
      <c r="AF321" s="177">
        <f t="shared" si="114"/>
        <v>0.59807884989336824</v>
      </c>
      <c r="AG321" s="176">
        <f t="shared" si="115"/>
        <v>-1</v>
      </c>
      <c r="AH321" s="176">
        <f t="shared" si="116"/>
        <v>5</v>
      </c>
      <c r="AI321" s="224">
        <f t="shared" si="117"/>
        <v>-0.40192115010663176</v>
      </c>
      <c r="AJ321" s="264" t="b">
        <f t="shared" si="118"/>
        <v>0</v>
      </c>
      <c r="AK321" s="264" t="b">
        <f t="shared" si="119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20"/>
        <v>44138</v>
      </c>
      <c r="B322" s="607">
        <v>5.4349999999999996</v>
      </c>
      <c r="C322" s="388"/>
      <c r="D322" s="391">
        <f t="shared" si="99"/>
        <v>5.5044997057730995</v>
      </c>
      <c r="E322" s="383">
        <f t="shared" si="121"/>
        <v>5.716557195047459</v>
      </c>
      <c r="F322" s="383">
        <f t="shared" si="100"/>
        <v>5.716557195047459</v>
      </c>
      <c r="G322" s="110">
        <f t="shared" si="122"/>
        <v>0.16273551401986489</v>
      </c>
      <c r="H322" s="412" t="b">
        <f>Wh_hp&gt;='2019'!Maxi_hp</f>
        <v>0</v>
      </c>
      <c r="I322" s="388">
        <f>IF(H322,Wh_hp,'2019'!Maxi_hp)</f>
        <v>18.973893501694523</v>
      </c>
      <c r="J322" s="85">
        <f>IF(H322,An,'2019'!An_max)</f>
        <v>2018</v>
      </c>
      <c r="K322" s="197">
        <f t="shared" si="101"/>
        <v>44138</v>
      </c>
      <c r="L322" s="147">
        <f>IF(t&lt;Tvie,1-EXP((T0-t)*PertePVj)+'2019'!Pspv,1-EXP((T0-t)*PertePVj)+Pspv)</f>
        <v>1.2625980468344622E-2</v>
      </c>
      <c r="M322" s="832"/>
      <c r="N322" s="832"/>
      <c r="O322" s="48">
        <f>IF(t&lt;Tnet,'2019'!Resal+('2019'!Salim-'2019'!Resal)*(1-EXP(('2019'!Tnet-t)/('2019'!Tau_j))),Resal+(Salim-Resal)*(1-EXP((Tnet-t)/(Tau_j))))*Salcycl</f>
        <v>3.7095314896538729E-2</v>
      </c>
      <c r="P322" s="169">
        <f>(INDEX(Models!$BJ322:$BT322,,T322)*(1-R322)+INDEX(Models!$BJ322:$BT322,,T322+1)*R322-ERP_i)*Q322*Ramure*Pc/MaxiM</f>
        <v>1.0011204237719125E-2</v>
      </c>
      <c r="Q322" s="304">
        <f t="shared" si="102"/>
        <v>0.7</v>
      </c>
      <c r="R322" s="177">
        <f t="shared" si="103"/>
        <v>0.53378642359367401</v>
      </c>
      <c r="S322" s="799">
        <f t="shared" si="104"/>
        <v>-1</v>
      </c>
      <c r="T322" s="176">
        <f t="shared" si="105"/>
        <v>5</v>
      </c>
      <c r="U322" s="250">
        <f t="shared" si="106"/>
        <v>-0.46621357640632599</v>
      </c>
      <c r="V322" s="382">
        <f t="shared" si="107"/>
        <v>33.063398222413795</v>
      </c>
      <c r="W322" s="58"/>
      <c r="X322" s="157">
        <f t="shared" si="108"/>
        <v>44138</v>
      </c>
      <c r="Y322" s="383">
        <f t="shared" si="109"/>
        <v>5.4349999999999996</v>
      </c>
      <c r="Z322" s="383">
        <f t="shared" si="110"/>
        <v>5.5044997057730995</v>
      </c>
      <c r="AA322" s="384">
        <f t="shared" si="111"/>
        <v>5.716557195047459</v>
      </c>
      <c r="AB322" s="197">
        <f t="shared" si="112"/>
        <v>44138</v>
      </c>
      <c r="AC322" s="424">
        <f>IF(OR(t&lt;Tnet,NoTnet),'2019'!Resal_s+('2019'!Salim-'2019'!Resal_s)*(1-EXP(('2019'!Tnet_s-t)/'2019'!Tau_j)),Resal_s+(Salim-Resal_s)*(1-EXP((Tnet_s-t)/Tau_j)))*Salcycl</f>
        <v>3.7095314896538729E-2</v>
      </c>
      <c r="AD322" s="230">
        <f>(INDEX(Models!$BJ322:$BT322,,AH322)*(1-AF322)+INDEX(Models!$BJ322:$BT322,,AH322+1)*AF322-ERP_i)*AE322*Ramure*Pc/MaxiM</f>
        <v>1.0973309338726473E-2</v>
      </c>
      <c r="AE322" s="304">
        <f t="shared" si="113"/>
        <v>0.7</v>
      </c>
      <c r="AF322" s="177">
        <f t="shared" si="114"/>
        <v>0.59811864585350616</v>
      </c>
      <c r="AG322" s="176">
        <f t="shared" si="115"/>
        <v>-1</v>
      </c>
      <c r="AH322" s="176">
        <f t="shared" si="116"/>
        <v>5</v>
      </c>
      <c r="AI322" s="224">
        <f t="shared" si="117"/>
        <v>-0.40188135414649384</v>
      </c>
      <c r="AJ322" s="264" t="b">
        <f t="shared" si="118"/>
        <v>0</v>
      </c>
      <c r="AK322" s="264" t="b">
        <f t="shared" si="119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20"/>
        <v>44139</v>
      </c>
      <c r="B323" s="607">
        <v>13.195</v>
      </c>
      <c r="C323" s="388"/>
      <c r="D323" s="391">
        <f t="shared" si="99"/>
        <v>13.363986314193433</v>
      </c>
      <c r="E323" s="383">
        <f t="shared" si="121"/>
        <v>13.879035529805689</v>
      </c>
      <c r="F323" s="383">
        <f t="shared" si="100"/>
        <v>13.899608576891209</v>
      </c>
      <c r="G323" s="110">
        <f t="shared" si="122"/>
        <v>0.39874559642548435</v>
      </c>
      <c r="H323" s="412" t="b">
        <f>Wh_hp&gt;='2019'!Maxi_hp</f>
        <v>0</v>
      </c>
      <c r="I323" s="388">
        <f>IF(H323,Wh_hp,'2019'!Maxi_hp)</f>
        <v>14.339243064325444</v>
      </c>
      <c r="J323" s="85">
        <f>IF(H323,An,'2019'!An_max)</f>
        <v>2018</v>
      </c>
      <c r="K323" s="197">
        <f t="shared" si="101"/>
        <v>44139</v>
      </c>
      <c r="L323" s="147">
        <f>IF(t&lt;Tvie,1-EXP((T0-t)*PertePVj)+'2019'!Pspv,1-EXP((T0-t)*PertePVj)+Pspv)</f>
        <v>1.2644903266172736E-2</v>
      </c>
      <c r="M323" s="832"/>
      <c r="N323" s="832"/>
      <c r="O323" s="48">
        <f>IF(t&lt;Tnet,'2019'!Resal+('2019'!Salim-'2019'!Resal)*(1-EXP(('2019'!Tnet-t)/('2019'!Tau_j))),Resal+(Salim-Resal)*(1-EXP((Tnet-t)/(Tau_j))))*Salcycl</f>
        <v>3.7109870819638117E-2</v>
      </c>
      <c r="P323" s="169">
        <f>(INDEX(Models!$BJ323:$BT323,,T323)*(1-R323)+INDEX(Models!$BJ323:$BT323,,T323+1)*R323-ERP_i)*Q323*Ramure*Pc/MaxiM</f>
        <v>1.0134626745333792E-2</v>
      </c>
      <c r="Q323" s="304">
        <f t="shared" si="102"/>
        <v>0.7</v>
      </c>
      <c r="R323" s="177">
        <f t="shared" si="103"/>
        <v>0.53382462470598546</v>
      </c>
      <c r="S323" s="799">
        <f t="shared" si="104"/>
        <v>-1</v>
      </c>
      <c r="T323" s="176">
        <f t="shared" si="105"/>
        <v>5</v>
      </c>
      <c r="U323" s="250">
        <f t="shared" si="106"/>
        <v>-0.46617537529401448</v>
      </c>
      <c r="V323" s="382">
        <f t="shared" si="107"/>
        <v>32.804461257839947</v>
      </c>
      <c r="W323" s="58"/>
      <c r="X323" s="157">
        <f t="shared" si="108"/>
        <v>44139</v>
      </c>
      <c r="Y323" s="383">
        <f t="shared" si="109"/>
        <v>13.193129989148446</v>
      </c>
      <c r="Z323" s="383">
        <f t="shared" si="110"/>
        <v>13.362092354403545</v>
      </c>
      <c r="AA323" s="384">
        <f t="shared" si="111"/>
        <v>13.877068576637834</v>
      </c>
      <c r="AB323" s="197">
        <f t="shared" si="112"/>
        <v>44139</v>
      </c>
      <c r="AC323" s="424">
        <f>IF(OR(t&lt;Tnet,NoTnet),'2019'!Resal_s+('2019'!Salim-'2019'!Resal_s)*(1-EXP(('2019'!Tnet_s-t)/'2019'!Tau_j)),Resal_s+(Salim-Resal_s)*(1-EXP((Tnet_s-t)/Tau_j)))*Salcycl</f>
        <v>3.7109870819638117E-2</v>
      </c>
      <c r="AD323" s="230">
        <f>(INDEX(Models!$BJ323:$BT323,,AH323)*(1-AF323)+INDEX(Models!$BJ323:$BT323,,AH323+1)*AF323-ERP_i)*AE323*Ramure*Pc/MaxiM</f>
        <v>1.1103580741253536E-2</v>
      </c>
      <c r="AE323" s="304">
        <f t="shared" si="113"/>
        <v>0.7</v>
      </c>
      <c r="AF323" s="177">
        <f t="shared" si="114"/>
        <v>0.59815684696581761</v>
      </c>
      <c r="AG323" s="176">
        <f t="shared" si="115"/>
        <v>-1</v>
      </c>
      <c r="AH323" s="176">
        <f t="shared" si="116"/>
        <v>5</v>
      </c>
      <c r="AI323" s="224">
        <f t="shared" si="117"/>
        <v>-0.40184315303418233</v>
      </c>
      <c r="AJ323" s="264" t="b">
        <f t="shared" si="118"/>
        <v>0</v>
      </c>
      <c r="AK323" s="264" t="b">
        <f t="shared" si="119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20"/>
        <v>44140</v>
      </c>
      <c r="B324" s="607">
        <v>20.559000000000001</v>
      </c>
      <c r="C324" s="388"/>
      <c r="D324" s="391">
        <f t="shared" si="99"/>
        <v>20.822694979857282</v>
      </c>
      <c r="E324" s="383">
        <f t="shared" si="121"/>
        <v>21.625531386349696</v>
      </c>
      <c r="F324" s="383">
        <f t="shared" si="100"/>
        <v>21.730757185658799</v>
      </c>
      <c r="G324" s="110">
        <f t="shared" si="122"/>
        <v>0.62823739645246801</v>
      </c>
      <c r="H324" s="412" t="b">
        <f>Wh_hp&gt;='2019'!Maxi_hp</f>
        <v>1</v>
      </c>
      <c r="I324" s="388">
        <f>IF(H324,Wh_hp,'2019'!Maxi_hp)</f>
        <v>21.730757185658799</v>
      </c>
      <c r="J324" s="85">
        <f>IF(H324,An,'2019'!An_max)</f>
        <v>2020</v>
      </c>
      <c r="K324" s="197">
        <f t="shared" si="101"/>
        <v>44140</v>
      </c>
      <c r="L324" s="147">
        <f>IF(t&lt;Tvie,1-EXP((T0-t)*PertePVj)+'2019'!Pspv,1-EXP((T0-t)*PertePVj)+Pspv)</f>
        <v>1.2663825701349718E-2</v>
      </c>
      <c r="M324" s="832"/>
      <c r="N324" s="832"/>
      <c r="O324" s="48">
        <f>IF(t&lt;Tnet,'2019'!Resal+('2019'!Salim-'2019'!Resal)*(1-EXP(('2019'!Tnet-t)/('2019'!Tau_j))),Resal+(Salim-Resal)*(1-EXP((Tnet-t)/(Tau_j))))*Salcycl</f>
        <v>3.7124470707766026E-2</v>
      </c>
      <c r="P324" s="169">
        <f>(INDEX(Models!$BJ324:$BT324,,T324)*(1-R324)+INDEX(Models!$BJ324:$BT324,,T324+1)*R324-ERP_i)*Q324*Ramure*Pc/MaxiM</f>
        <v>1.0220311346337342E-2</v>
      </c>
      <c r="Q324" s="304">
        <f t="shared" si="102"/>
        <v>0.7</v>
      </c>
      <c r="R324" s="177">
        <f t="shared" si="103"/>
        <v>0.53386129459756093</v>
      </c>
      <c r="S324" s="799">
        <f t="shared" si="104"/>
        <v>-1</v>
      </c>
      <c r="T324" s="176">
        <f t="shared" si="105"/>
        <v>5</v>
      </c>
      <c r="U324" s="250">
        <f t="shared" si="106"/>
        <v>-0.46613870540243912</v>
      </c>
      <c r="V324" s="382">
        <f t="shared" si="107"/>
        <v>32.548037715453944</v>
      </c>
      <c r="W324" s="58"/>
      <c r="X324" s="157">
        <f t="shared" si="108"/>
        <v>44140</v>
      </c>
      <c r="Y324" s="383">
        <f t="shared" si="109"/>
        <v>20.549483344636403</v>
      </c>
      <c r="Z324" s="383">
        <f t="shared" si="110"/>
        <v>20.813056261443712</v>
      </c>
      <c r="AA324" s="384">
        <f t="shared" si="111"/>
        <v>21.615521039092606</v>
      </c>
      <c r="AB324" s="197">
        <f t="shared" si="112"/>
        <v>44140</v>
      </c>
      <c r="AC324" s="424">
        <f>IF(OR(t&lt;Tnet,NoTnet),'2019'!Resal_s+('2019'!Salim-'2019'!Resal_s)*(1-EXP(('2019'!Tnet_s-t)/'2019'!Tau_j)),Resal_s+(Salim-Resal_s)*(1-EXP((Tnet_s-t)/Tau_j)))*Salcycl</f>
        <v>3.7124470707766026E-2</v>
      </c>
      <c r="AD324" s="230">
        <f>(INDEX(Models!$BJ324:$BT324,,AH324)*(1-AF324)+INDEX(Models!$BJ324:$BT324,,AH324+1)*AF324-ERP_i)*AE324*Ramure*Pc/MaxiM</f>
        <v>1.1192590638337507E-2</v>
      </c>
      <c r="AE324" s="304">
        <f t="shared" si="113"/>
        <v>0.7</v>
      </c>
      <c r="AF324" s="177">
        <f t="shared" si="114"/>
        <v>0.59819351685739308</v>
      </c>
      <c r="AG324" s="176">
        <f t="shared" si="115"/>
        <v>-1</v>
      </c>
      <c r="AH324" s="176">
        <f t="shared" si="116"/>
        <v>5</v>
      </c>
      <c r="AI324" s="224">
        <f t="shared" si="117"/>
        <v>-0.40180648314260697</v>
      </c>
      <c r="AJ324" s="264" t="b">
        <f t="shared" si="118"/>
        <v>0</v>
      </c>
      <c r="AK324" s="264" t="b">
        <f t="shared" si="119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20"/>
        <v>44141</v>
      </c>
      <c r="B325" s="607">
        <v>16.684000000000001</v>
      </c>
      <c r="C325" s="388"/>
      <c r="D325" s="391">
        <f t="shared" si="99"/>
        <v>16.898317093499948</v>
      </c>
      <c r="E325" s="383">
        <f t="shared" si="121"/>
        <v>17.550113452296657</v>
      </c>
      <c r="F325" s="383">
        <f t="shared" si="100"/>
        <v>17.606157739575622</v>
      </c>
      <c r="G325" s="110">
        <f t="shared" si="122"/>
        <v>0.51295654034091565</v>
      </c>
      <c r="H325" s="412" t="b">
        <f>Wh_hp&gt;='2019'!Maxi_hp</f>
        <v>1</v>
      </c>
      <c r="I325" s="388">
        <f>IF(H325,Wh_hp,'2019'!Maxi_hp)</f>
        <v>17.606157739575622</v>
      </c>
      <c r="J325" s="85">
        <f>IF(H325,An,'2019'!An_max)</f>
        <v>2020</v>
      </c>
      <c r="K325" s="197">
        <f t="shared" si="101"/>
        <v>44141</v>
      </c>
      <c r="L325" s="147">
        <f>IF(t&lt;Tvie,1-EXP((T0-t)*PertePVj)+'2019'!Pspv,1-EXP((T0-t)*PertePVj)+Pspv)</f>
        <v>1.2682747773882563E-2</v>
      </c>
      <c r="M325" s="832"/>
      <c r="N325" s="832"/>
      <c r="O325" s="48">
        <f>IF(t&lt;Tnet,'2019'!Resal+('2019'!Salim-'2019'!Resal)*(1-EXP(('2019'!Tnet-t)/('2019'!Tau_j))),Resal+(Salim-Resal)*(1-EXP((Tnet-t)/(Tau_j))))*Salcycl</f>
        <v>3.7139153576891099E-2</v>
      </c>
      <c r="P325" s="169">
        <f>(INDEX(Models!$BJ325:$BT325,,T325)*(1-R325)+INDEX(Models!$BJ325:$BT325,,T325+1)*R325-ERP_i)*Q325*Ramure*Pc/MaxiM</f>
        <v>1.0285630201552314E-2</v>
      </c>
      <c r="Q325" s="304">
        <f t="shared" si="102"/>
        <v>0.7</v>
      </c>
      <c r="R325" s="177">
        <f t="shared" si="103"/>
        <v>0.53389649437969777</v>
      </c>
      <c r="S325" s="799">
        <f t="shared" si="104"/>
        <v>-1</v>
      </c>
      <c r="T325" s="176">
        <f t="shared" si="105"/>
        <v>5</v>
      </c>
      <c r="U325" s="250">
        <f t="shared" si="106"/>
        <v>-0.46610350562030223</v>
      </c>
      <c r="V325" s="382">
        <f t="shared" si="107"/>
        <v>32.293427791988776</v>
      </c>
      <c r="W325" s="58"/>
      <c r="X325" s="157">
        <f t="shared" si="108"/>
        <v>44141</v>
      </c>
      <c r="Y325" s="383">
        <f t="shared" si="109"/>
        <v>16.678955769746228</v>
      </c>
      <c r="Z325" s="383">
        <f t="shared" si="110"/>
        <v>16.893208066748517</v>
      </c>
      <c r="AA325" s="384">
        <f t="shared" si="111"/>
        <v>17.544807361836742</v>
      </c>
      <c r="AB325" s="197">
        <f t="shared" si="112"/>
        <v>44141</v>
      </c>
      <c r="AC325" s="424">
        <f>IF(OR(t&lt;Tnet,NoTnet),'2019'!Resal_s+('2019'!Salim-'2019'!Resal_s)*(1-EXP(('2019'!Tnet_s-t)/'2019'!Tau_j)),Resal_s+(Salim-Resal_s)*(1-EXP((Tnet_s-t)/Tau_j)))*Salcycl</f>
        <v>3.7139153576891099E-2</v>
      </c>
      <c r="AD325" s="230">
        <f>(INDEX(Models!$BJ325:$BT325,,AH325)*(1-AF325)+INDEX(Models!$BJ325:$BT325,,AH325+1)*AF325-ERP_i)*AE325*Ramure*Pc/MaxiM</f>
        <v>1.1259440146087853E-2</v>
      </c>
      <c r="AE325" s="304">
        <f t="shared" si="113"/>
        <v>0.7</v>
      </c>
      <c r="AF325" s="177">
        <f t="shared" si="114"/>
        <v>0.59822871663952992</v>
      </c>
      <c r="AG325" s="176">
        <f t="shared" si="115"/>
        <v>-1</v>
      </c>
      <c r="AH325" s="176">
        <f t="shared" si="116"/>
        <v>5</v>
      </c>
      <c r="AI325" s="224">
        <f t="shared" si="117"/>
        <v>-0.40177128336047008</v>
      </c>
      <c r="AJ325" s="264" t="b">
        <f t="shared" si="118"/>
        <v>0</v>
      </c>
      <c r="AK325" s="264" t="b">
        <f t="shared" si="119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20"/>
        <v>44142</v>
      </c>
      <c r="B326" s="607">
        <v>4.2839999999999998</v>
      </c>
      <c r="C326" s="388"/>
      <c r="D326" s="391">
        <f t="shared" si="99"/>
        <v>4.3391139917759762</v>
      </c>
      <c r="E326" s="383">
        <f t="shared" si="121"/>
        <v>4.5065501683459033</v>
      </c>
      <c r="F326" s="383">
        <f t="shared" si="100"/>
        <v>4.5065501683459033</v>
      </c>
      <c r="G326" s="110">
        <f t="shared" si="122"/>
        <v>0.13232446994284408</v>
      </c>
      <c r="H326" s="412" t="b">
        <f>Wh_hp&gt;='2019'!Maxi_hp</f>
        <v>0</v>
      </c>
      <c r="I326" s="388">
        <f>IF(H326,Wh_hp,'2019'!Maxi_hp)</f>
        <v>17.020850387868183</v>
      </c>
      <c r="J326" s="85">
        <f>IF(H326,An,'2019'!An_max)</f>
        <v>2018</v>
      </c>
      <c r="K326" s="197">
        <f t="shared" si="101"/>
        <v>44142</v>
      </c>
      <c r="L326" s="147">
        <f>IF(t&lt;Tvie,1-EXP((T0-t)*PertePVj)+'2019'!Pspv,1-EXP((T0-t)*PertePVj)+Pspv)</f>
        <v>1.2701669483778266E-2</v>
      </c>
      <c r="M326" s="832"/>
      <c r="N326" s="832"/>
      <c r="O326" s="48">
        <f>IF(t&lt;Tnet,'2019'!Resal+('2019'!Salim-'2019'!Resal)*(1-EXP(('2019'!Tnet-t)/('2019'!Tau_j))),Resal+(Salim-Resal)*(1-EXP((Tnet-t)/(Tau_j))))*Salcycl</f>
        <v>3.7153958197559303E-2</v>
      </c>
      <c r="P326" s="169">
        <f>(INDEX(Models!$BJ326:$BT326,,T326)*(1-R326)+INDEX(Models!$BJ326:$BT326,,T326+1)*R326-ERP_i)*Q326*Ramure*Pc/MaxiM</f>
        <v>1.033034925685321E-2</v>
      </c>
      <c r="Q326" s="304">
        <f t="shared" si="102"/>
        <v>0.7</v>
      </c>
      <c r="R326" s="177">
        <f t="shared" si="103"/>
        <v>0.53393028274559051</v>
      </c>
      <c r="S326" s="799">
        <f t="shared" si="104"/>
        <v>-1</v>
      </c>
      <c r="T326" s="176">
        <f t="shared" si="105"/>
        <v>5</v>
      </c>
      <c r="U326" s="250">
        <f t="shared" si="106"/>
        <v>-0.46606971725440943</v>
      </c>
      <c r="V326" s="382">
        <f t="shared" si="107"/>
        <v>32.04051968328266</v>
      </c>
      <c r="W326" s="58"/>
      <c r="X326" s="157">
        <f t="shared" si="108"/>
        <v>44142</v>
      </c>
      <c r="Y326" s="383">
        <f t="shared" si="109"/>
        <v>4.2839999999999998</v>
      </c>
      <c r="Z326" s="383">
        <f t="shared" si="110"/>
        <v>4.3391139917759762</v>
      </c>
      <c r="AA326" s="384">
        <f t="shared" si="111"/>
        <v>4.5065501683459033</v>
      </c>
      <c r="AB326" s="197">
        <f t="shared" si="112"/>
        <v>44142</v>
      </c>
      <c r="AC326" s="424">
        <f>IF(OR(t&lt;Tnet,NoTnet),'2019'!Resal_s+('2019'!Salim-'2019'!Resal_s)*(1-EXP(('2019'!Tnet_s-t)/'2019'!Tau_j)),Resal_s+(Salim-Resal_s)*(1-EXP((Tnet_s-t)/Tau_j)))*Salcycl</f>
        <v>3.7153958197559303E-2</v>
      </c>
      <c r="AD326" s="230">
        <f>(INDEX(Models!$BJ326:$BT326,,AH326)*(1-AF326)+INDEX(Models!$BJ326:$BT326,,AH326+1)*AF326-ERP_i)*AE326*Ramure*Pc/MaxiM</f>
        <v>1.130387509368231E-2</v>
      </c>
      <c r="AE326" s="304">
        <f t="shared" si="113"/>
        <v>0.7</v>
      </c>
      <c r="AF326" s="177">
        <f t="shared" si="114"/>
        <v>0.59826250500542266</v>
      </c>
      <c r="AG326" s="176">
        <f t="shared" si="115"/>
        <v>-1</v>
      </c>
      <c r="AH326" s="176">
        <f t="shared" si="116"/>
        <v>5</v>
      </c>
      <c r="AI326" s="224">
        <f t="shared" si="117"/>
        <v>-0.40173749499457728</v>
      </c>
      <c r="AJ326" s="264" t="b">
        <f t="shared" si="118"/>
        <v>0</v>
      </c>
      <c r="AK326" s="264" t="b">
        <f t="shared" si="119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20"/>
        <v>44143</v>
      </c>
      <c r="B327" s="607">
        <v>27.277999999999999</v>
      </c>
      <c r="C327" s="388"/>
      <c r="D327" s="391">
        <f t="shared" si="99"/>
        <v>27.629463094911792</v>
      </c>
      <c r="E327" s="383">
        <f t="shared" si="121"/>
        <v>28.696064919909833</v>
      </c>
      <c r="F327" s="383">
        <f t="shared" si="100"/>
        <v>28.934926580180637</v>
      </c>
      <c r="G327" s="110">
        <f t="shared" si="122"/>
        <v>0.85627391529889363</v>
      </c>
      <c r="H327" s="412" t="b">
        <f>Wh_hp&gt;='2019'!Maxi_hp</f>
        <v>1</v>
      </c>
      <c r="I327" s="388">
        <f>IF(H327,Wh_hp,'2019'!Maxi_hp)</f>
        <v>28.934926580180637</v>
      </c>
      <c r="J327" s="85">
        <f>IF(H327,An,'2019'!An_max)</f>
        <v>2020</v>
      </c>
      <c r="K327" s="197">
        <f t="shared" si="101"/>
        <v>44143</v>
      </c>
      <c r="L327" s="147">
        <f>IF(t&lt;Tvie,1-EXP((T0-t)*PertePVj)+'2019'!Pspv,1-EXP((T0-t)*PertePVj)+Pspv)</f>
        <v>1.2720590831043599E-2</v>
      </c>
      <c r="M327" s="832"/>
      <c r="N327" s="832"/>
      <c r="O327" s="48">
        <f>IF(t&lt;Tnet,'2019'!Resal+('2019'!Salim-'2019'!Resal)*(1-EXP(('2019'!Tnet-t)/('2019'!Tau_j))),Resal+(Salim-Resal)*(1-EXP((Tnet-t)/(Tau_j))))*Salcycl</f>
        <v>3.7168922915908766E-2</v>
      </c>
      <c r="P327" s="169">
        <f>(INDEX(Models!$BJ327:$BT327,,T327)*(1-R327)+INDEX(Models!$BJ327:$BT327,,T327+1)*R327-ERP_i)*Q327*Ramure*Pc/MaxiM</f>
        <v>1.0354229007367759E-2</v>
      </c>
      <c r="Q327" s="304">
        <f t="shared" si="102"/>
        <v>0.7</v>
      </c>
      <c r="R327" s="177">
        <f t="shared" si="103"/>
        <v>0.53396271606436618</v>
      </c>
      <c r="S327" s="799">
        <f t="shared" si="104"/>
        <v>-1</v>
      </c>
      <c r="T327" s="176">
        <f t="shared" si="105"/>
        <v>5</v>
      </c>
      <c r="U327" s="250">
        <f t="shared" si="106"/>
        <v>-0.46603728393563382</v>
      </c>
      <c r="V327" s="382">
        <f t="shared" si="107"/>
        <v>31.789201737647687</v>
      </c>
      <c r="W327" s="58"/>
      <c r="X327" s="157">
        <f t="shared" si="108"/>
        <v>44143</v>
      </c>
      <c r="Y327" s="383">
        <f t="shared" si="109"/>
        <v>27.25669803094037</v>
      </c>
      <c r="Z327" s="383">
        <f t="shared" si="110"/>
        <v>27.607886660863034</v>
      </c>
      <c r="AA327" s="384">
        <f t="shared" si="111"/>
        <v>28.673655553861845</v>
      </c>
      <c r="AB327" s="197">
        <f t="shared" si="112"/>
        <v>44143</v>
      </c>
      <c r="AC327" s="424">
        <f>IF(OR(t&lt;Tnet,NoTnet),'2019'!Resal_s+('2019'!Salim-'2019'!Resal_s)*(1-EXP(('2019'!Tnet_s-t)/'2019'!Tau_j)),Resal_s+(Salim-Resal_s)*(1-EXP((Tnet_s-t)/Tau_j)))*Salcycl</f>
        <v>3.7168922915908766E-2</v>
      </c>
      <c r="AD327" s="230">
        <f>(INDEX(Models!$BJ327:$BT327,,AH327)*(1-AF327)+INDEX(Models!$BJ327:$BT327,,AH327+1)*AF327-ERP_i)*AE327*Ramure*Pc/MaxiM</f>
        <v>1.1325635250243693E-2</v>
      </c>
      <c r="AE327" s="304">
        <f t="shared" si="113"/>
        <v>0.7</v>
      </c>
      <c r="AF327" s="177">
        <f t="shared" si="114"/>
        <v>0.59829493832419833</v>
      </c>
      <c r="AG327" s="176">
        <f t="shared" si="115"/>
        <v>-1</v>
      </c>
      <c r="AH327" s="176">
        <f t="shared" si="116"/>
        <v>5</v>
      </c>
      <c r="AI327" s="224">
        <f t="shared" si="117"/>
        <v>-0.40170506167580167</v>
      </c>
      <c r="AJ327" s="264" t="b">
        <f t="shared" si="118"/>
        <v>0</v>
      </c>
      <c r="AK327" s="264" t="b">
        <f t="shared" si="119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20"/>
        <v>44144</v>
      </c>
      <c r="B328" s="607">
        <v>21.561</v>
      </c>
      <c r="C328" s="388"/>
      <c r="D328" s="391">
        <f t="shared" si="99"/>
        <v>21.839221014155203</v>
      </c>
      <c r="E328" s="383">
        <f t="shared" si="121"/>
        <v>22.682654788636249</v>
      </c>
      <c r="F328" s="383">
        <f t="shared" si="100"/>
        <v>22.812135853800971</v>
      </c>
      <c r="G328" s="110">
        <f t="shared" si="122"/>
        <v>0.68040359901074476</v>
      </c>
      <c r="H328" s="412" t="b">
        <f>Wh_hp&gt;='2019'!Maxi_hp</f>
        <v>1</v>
      </c>
      <c r="I328" s="388">
        <f>IF(H328,Wh_hp,'2019'!Maxi_hp)</f>
        <v>22.812135853800971</v>
      </c>
      <c r="J328" s="85">
        <f>IF(H328,An,'2019'!An_max)</f>
        <v>2020</v>
      </c>
      <c r="K328" s="197">
        <f t="shared" si="101"/>
        <v>44144</v>
      </c>
      <c r="L328" s="147">
        <f>IF(t&lt;Tvie,1-EXP((T0-t)*PertePVj)+'2019'!Pspv,1-EXP((T0-t)*PertePVj)+Pspv)</f>
        <v>1.2739511815685778E-2</v>
      </c>
      <c r="M328" s="832"/>
      <c r="N328" s="832"/>
      <c r="O328" s="48">
        <f>IF(t&lt;Tnet,'2019'!Resal+('2019'!Salim-'2019'!Resal)*(1-EXP(('2019'!Tnet-t)/('2019'!Tau_j))),Resal+(Salim-Resal)*(1-EXP((Tnet-t)/(Tau_j))))*Salcycl</f>
        <v>3.7184085475902774E-2</v>
      </c>
      <c r="P328" s="169">
        <f>(INDEX(Models!$BJ328:$BT328,,T328)*(1-R328)+INDEX(Models!$BJ328:$BT328,,T328+1)*R328-ERP_i)*Q328*Ramure*Pc/MaxiM</f>
        <v>1.035702258303469E-2</v>
      </c>
      <c r="Q328" s="304">
        <f t="shared" si="102"/>
        <v>0.7</v>
      </c>
      <c r="R328" s="177">
        <f t="shared" si="103"/>
        <v>0.53399384847159426</v>
      </c>
      <c r="S328" s="799">
        <f t="shared" si="104"/>
        <v>-1</v>
      </c>
      <c r="T328" s="176">
        <f t="shared" si="105"/>
        <v>5</v>
      </c>
      <c r="U328" s="250">
        <f t="shared" si="106"/>
        <v>-0.46600615152840569</v>
      </c>
      <c r="V328" s="382">
        <f t="shared" si="107"/>
        <v>31.539362495846746</v>
      </c>
      <c r="W328" s="58"/>
      <c r="X328" s="157">
        <f t="shared" si="108"/>
        <v>44144</v>
      </c>
      <c r="Y328" s="383">
        <f t="shared" si="109"/>
        <v>21.54950349710121</v>
      </c>
      <c r="Z328" s="383">
        <f t="shared" si="110"/>
        <v>21.827576161518657</v>
      </c>
      <c r="AA328" s="384">
        <f t="shared" si="111"/>
        <v>22.670560210159842</v>
      </c>
      <c r="AB328" s="197">
        <f t="shared" si="112"/>
        <v>44144</v>
      </c>
      <c r="AC328" s="424">
        <f>IF(OR(t&lt;Tnet,NoTnet),'2019'!Resal_s+('2019'!Salim-'2019'!Resal_s)*(1-EXP(('2019'!Tnet_s-t)/'2019'!Tau_j)),Resal_s+(Salim-Resal_s)*(1-EXP((Tnet_s-t)/Tau_j)))*Salcycl</f>
        <v>3.7184085475902774E-2</v>
      </c>
      <c r="AD328" s="230">
        <f>(INDEX(Models!$BJ328:$BT328,,AH328)*(1-AF328)+INDEX(Models!$BJ328:$BT328,,AH328+1)*AF328-ERP_i)*AE328*Ramure*Pc/MaxiM</f>
        <v>1.1324452239665175E-2</v>
      </c>
      <c r="AE328" s="304">
        <f t="shared" si="113"/>
        <v>0.7</v>
      </c>
      <c r="AF328" s="177">
        <f t="shared" si="114"/>
        <v>0.59832607073142641</v>
      </c>
      <c r="AG328" s="176">
        <f t="shared" si="115"/>
        <v>-1</v>
      </c>
      <c r="AH328" s="176">
        <f t="shared" si="116"/>
        <v>5</v>
      </c>
      <c r="AI328" s="224">
        <f t="shared" si="117"/>
        <v>-0.40167392926857354</v>
      </c>
      <c r="AJ328" s="264" t="b">
        <f t="shared" si="118"/>
        <v>0</v>
      </c>
      <c r="AK328" s="264" t="b">
        <f t="shared" si="119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20"/>
        <v>44145</v>
      </c>
      <c r="B329" s="607">
        <v>13.29</v>
      </c>
      <c r="C329" s="388"/>
      <c r="D329" s="391">
        <f t="shared" si="99"/>
        <v>13.461750838567164</v>
      </c>
      <c r="E329" s="383">
        <f t="shared" si="121"/>
        <v>13.981869139759217</v>
      </c>
      <c r="F329" s="383">
        <f t="shared" si="100"/>
        <v>14.007672440112582</v>
      </c>
      <c r="G329" s="110">
        <f t="shared" si="122"/>
        <v>0.42110896422956995</v>
      </c>
      <c r="H329" s="412" t="b">
        <f>Wh_hp&gt;='2019'!Maxi_hp</f>
        <v>0</v>
      </c>
      <c r="I329" s="388">
        <f>IF(H329,Wh_hp,'2019'!Maxi_hp)</f>
        <v>26.122542819390926</v>
      </c>
      <c r="J329" s="85">
        <f>IF(H329,An,'2019'!An_max)</f>
        <v>2018</v>
      </c>
      <c r="K329" s="197">
        <f t="shared" si="101"/>
        <v>44145</v>
      </c>
      <c r="L329" s="147">
        <f>IF(t&lt;Tvie,1-EXP((T0-t)*PertePVj)+'2019'!Pspv,1-EXP((T0-t)*PertePVj)+Pspv)</f>
        <v>1.2758432437711464E-2</v>
      </c>
      <c r="M329" s="832"/>
      <c r="N329" s="832"/>
      <c r="O329" s="48">
        <f>IF(t&lt;Tnet,'2019'!Resal+('2019'!Salim-'2019'!Resal)*(1-EXP(('2019'!Tnet-t)/('2019'!Tau_j))),Resal+(Salim-Resal)*(1-EXP((Tnet-t)/(Tau_j))))*Salcycl</f>
        <v>3.7199482844037672E-2</v>
      </c>
      <c r="P329" s="169">
        <f>(INDEX(Models!$BJ329:$BT329,,T329)*(1-R329)+INDEX(Models!$BJ329:$BT329,,T329+1)*R329-ERP_i)*Q329*Ramure*Pc/MaxiM</f>
        <v>1.0338473761553297E-2</v>
      </c>
      <c r="Q329" s="304">
        <f t="shared" si="102"/>
        <v>0.7</v>
      </c>
      <c r="R329" s="177">
        <f t="shared" si="103"/>
        <v>0.53402373195639208</v>
      </c>
      <c r="S329" s="799">
        <f t="shared" si="104"/>
        <v>-1</v>
      </c>
      <c r="T329" s="176">
        <f t="shared" si="105"/>
        <v>5</v>
      </c>
      <c r="U329" s="250">
        <f t="shared" si="106"/>
        <v>-0.46597626804360798</v>
      </c>
      <c r="V329" s="382">
        <f t="shared" si="107"/>
        <v>31.290890730059157</v>
      </c>
      <c r="W329" s="58"/>
      <c r="X329" s="157">
        <f t="shared" si="108"/>
        <v>44145</v>
      </c>
      <c r="Y329" s="383">
        <f t="shared" si="109"/>
        <v>13.287718811813791</v>
      </c>
      <c r="Z329" s="383">
        <f t="shared" si="110"/>
        <v>13.459440169870504</v>
      </c>
      <c r="AA329" s="384">
        <f t="shared" si="111"/>
        <v>13.97946919433388</v>
      </c>
      <c r="AB329" s="197">
        <f t="shared" si="112"/>
        <v>44145</v>
      </c>
      <c r="AC329" s="424">
        <f>IF(OR(t&lt;Tnet,NoTnet),'2019'!Resal_s+('2019'!Salim-'2019'!Resal_s)*(1-EXP(('2019'!Tnet_s-t)/'2019'!Tau_j)),Resal_s+(Salim-Resal_s)*(1-EXP((Tnet_s-t)/Tau_j)))*Salcycl</f>
        <v>3.7199482844037672E-2</v>
      </c>
      <c r="AD329" s="230">
        <f>(INDEX(Models!$BJ329:$BT329,,AH329)*(1-AF329)+INDEX(Models!$BJ329:$BT329,,AH329+1)*AF329-ERP_i)*AE329*Ramure*Pc/MaxiM</f>
        <v>1.1300047376912901E-2</v>
      </c>
      <c r="AE329" s="304">
        <f t="shared" si="113"/>
        <v>0.7</v>
      </c>
      <c r="AF329" s="177">
        <f t="shared" si="114"/>
        <v>0.59835595421622423</v>
      </c>
      <c r="AG329" s="176">
        <f t="shared" si="115"/>
        <v>-1</v>
      </c>
      <c r="AH329" s="176">
        <f t="shared" si="116"/>
        <v>5</v>
      </c>
      <c r="AI329" s="224">
        <f t="shared" si="117"/>
        <v>-0.40164404578377583</v>
      </c>
      <c r="AJ329" s="264" t="b">
        <f t="shared" si="118"/>
        <v>0</v>
      </c>
      <c r="AK329" s="264" t="b">
        <f t="shared" si="119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20"/>
        <v>44146</v>
      </c>
      <c r="B330" s="607">
        <v>31.257999999999999</v>
      </c>
      <c r="C330" s="388"/>
      <c r="D330" s="391">
        <f t="shared" si="99"/>
        <v>31.662563744255642</v>
      </c>
      <c r="E330" s="383">
        <f t="shared" si="121"/>
        <v>32.886437482251857</v>
      </c>
      <c r="F330" s="383">
        <f t="shared" si="100"/>
        <v>33.228636444643307</v>
      </c>
      <c r="G330" s="110">
        <f t="shared" si="122"/>
        <v>1.0069039673132552</v>
      </c>
      <c r="H330" s="412" t="b">
        <f>Wh_hp&gt;='2019'!Maxi_hp</f>
        <v>1</v>
      </c>
      <c r="I330" s="388">
        <f>IF(H330,Wh_hp,'2019'!Maxi_hp)</f>
        <v>33.228636444643307</v>
      </c>
      <c r="J330" s="85">
        <f>IF(H330,An,'2019'!An_max)</f>
        <v>2020</v>
      </c>
      <c r="K330" s="197">
        <f t="shared" si="101"/>
        <v>44146</v>
      </c>
      <c r="L330" s="147">
        <f>IF(t&lt;Tvie,1-EXP((T0-t)*PertePVj)+'2019'!Pspv,1-EXP((T0-t)*PertePVj)+Pspv)</f>
        <v>1.2777352697127764E-2</v>
      </c>
      <c r="M330" s="832"/>
      <c r="N330" s="832"/>
      <c r="O330" s="48">
        <f>IF(t&lt;Tnet,'2019'!Resal+('2019'!Salim-'2019'!Resal)*(1-EXP(('2019'!Tnet-t)/('2019'!Tau_j))),Resal+(Salim-Resal)*(1-EXP((Tnet-t)/(Tau_j))))*Salcycl</f>
        <v>3.7215151037770913E-2</v>
      </c>
      <c r="P330" s="169">
        <f>(INDEX(Models!$BJ330:$BT330,,T330)*(1-R330)+INDEX(Models!$BJ330:$BT330,,T330+1)*R330-ERP_i)*Q330*Ramure*Pc/MaxiM</f>
        <v>1.0298314917662296E-2</v>
      </c>
      <c r="Q330" s="304">
        <f t="shared" si="102"/>
        <v>0.7</v>
      </c>
      <c r="R330" s="177">
        <f t="shared" si="103"/>
        <v>0.53405241644524259</v>
      </c>
      <c r="S330" s="799">
        <f t="shared" si="104"/>
        <v>-1</v>
      </c>
      <c r="T330" s="176">
        <f t="shared" si="105"/>
        <v>5</v>
      </c>
      <c r="U330" s="250">
        <f t="shared" si="106"/>
        <v>-0.46594758355475741</v>
      </c>
      <c r="V330" s="382">
        <f t="shared" si="107"/>
        <v>31.043675479208243</v>
      </c>
      <c r="W330" s="58"/>
      <c r="X330" s="157">
        <f t="shared" si="108"/>
        <v>44146</v>
      </c>
      <c r="Y330" s="383">
        <f t="shared" si="109"/>
        <v>31.227875433528233</v>
      </c>
      <c r="Z330" s="383">
        <f t="shared" si="110"/>
        <v>31.632049283759759</v>
      </c>
      <c r="AA330" s="384">
        <f t="shared" si="111"/>
        <v>32.854743526402039</v>
      </c>
      <c r="AB330" s="197">
        <f t="shared" si="112"/>
        <v>44146</v>
      </c>
      <c r="AC330" s="424">
        <f>IF(OR(t&lt;Tnet,NoTnet),'2019'!Resal_s+('2019'!Salim-'2019'!Resal_s)*(1-EXP(('2019'!Tnet_s-t)/'2019'!Tau_j)),Resal_s+(Salim-Resal_s)*(1-EXP((Tnet_s-t)/Tau_j)))*Salcycl</f>
        <v>3.7215151037770913E-2</v>
      </c>
      <c r="AD330" s="230">
        <f>(INDEX(Models!$BJ330:$BT330,,AH330)*(1-AF330)+INDEX(Models!$BJ330:$BT330,,AH330+1)*AF330-ERP_i)*AE330*Ramure*Pc/MaxiM</f>
        <v>1.125212943552923E-2</v>
      </c>
      <c r="AE330" s="304">
        <f t="shared" si="113"/>
        <v>0.7</v>
      </c>
      <c r="AF330" s="177">
        <f t="shared" si="114"/>
        <v>0.59838463870507475</v>
      </c>
      <c r="AG330" s="176">
        <f t="shared" si="115"/>
        <v>-1</v>
      </c>
      <c r="AH330" s="176">
        <f t="shared" si="116"/>
        <v>5</v>
      </c>
      <c r="AI330" s="224">
        <f t="shared" si="117"/>
        <v>-0.40161536129492525</v>
      </c>
      <c r="AJ330" s="264" t="b">
        <f t="shared" si="118"/>
        <v>0</v>
      </c>
      <c r="AK330" s="264" t="b">
        <f t="shared" si="119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20"/>
        <v>44147</v>
      </c>
      <c r="B331" s="607">
        <v>28.943000000000001</v>
      </c>
      <c r="C331" s="388"/>
      <c r="D331" s="391">
        <f t="shared" si="99"/>
        <v>29.318163208367949</v>
      </c>
      <c r="E331" s="383">
        <f t="shared" si="121"/>
        <v>30.451922541758702</v>
      </c>
      <c r="F331" s="383">
        <f t="shared" si="100"/>
        <v>30.739525900094989</v>
      </c>
      <c r="G331" s="110">
        <f t="shared" si="122"/>
        <v>0.93896512205794047</v>
      </c>
      <c r="H331" s="412" t="b">
        <f>Wh_hp&gt;='2019'!Maxi_hp</f>
        <v>1</v>
      </c>
      <c r="I331" s="388">
        <f>IF(H331,Wh_hp,'2019'!Maxi_hp)</f>
        <v>30.739525900094989</v>
      </c>
      <c r="J331" s="85">
        <f>IF(H331,An,'2019'!An_max)</f>
        <v>2020</v>
      </c>
      <c r="K331" s="197">
        <f t="shared" si="101"/>
        <v>44147</v>
      </c>
      <c r="L331" s="147">
        <f>IF(t&lt;Tvie,1-EXP((T0-t)*PertePVj)+'2019'!Pspv,1-EXP((T0-t)*PertePVj)+Pspv)</f>
        <v>1.2796272593941671E-2</v>
      </c>
      <c r="M331" s="832"/>
      <c r="N331" s="832"/>
      <c r="O331" s="48">
        <f>IF(t&lt;Tnet,'2019'!Resal+('2019'!Salim-'2019'!Resal)*(1-EXP(('2019'!Tnet-t)/('2019'!Tau_j))),Resal+(Salim-Resal)*(1-EXP((Tnet-t)/(Tau_j))))*Salcycl</f>
        <v>3.7231124958893108E-2</v>
      </c>
      <c r="P331" s="169">
        <f>(INDEX(Models!$BJ331:$BT331,,T331)*(1-R331)+INDEX(Models!$BJ331:$BT331,,T331+1)*R331-ERP_i)*Q331*Ramure*Pc/MaxiM</f>
        <v>1.0236474455120282E-2</v>
      </c>
      <c r="Q331" s="304">
        <f t="shared" si="102"/>
        <v>0.7</v>
      </c>
      <c r="R331" s="177">
        <f t="shared" si="103"/>
        <v>0.53407994988264318</v>
      </c>
      <c r="S331" s="799">
        <f t="shared" si="104"/>
        <v>-1</v>
      </c>
      <c r="T331" s="176">
        <f t="shared" si="105"/>
        <v>5</v>
      </c>
      <c r="U331" s="250">
        <f t="shared" si="106"/>
        <v>-0.46592005011735682</v>
      </c>
      <c r="V331" s="382">
        <f t="shared" si="107"/>
        <v>30.796969138738628</v>
      </c>
      <c r="W331" s="58"/>
      <c r="X331" s="157">
        <f t="shared" si="108"/>
        <v>44147</v>
      </c>
      <c r="Y331" s="383">
        <f t="shared" si="109"/>
        <v>28.91778773382606</v>
      </c>
      <c r="Z331" s="383">
        <f t="shared" si="110"/>
        <v>29.292624137278551</v>
      </c>
      <c r="AA331" s="384">
        <f t="shared" si="111"/>
        <v>30.425395852174656</v>
      </c>
      <c r="AB331" s="197">
        <f t="shared" si="112"/>
        <v>44147</v>
      </c>
      <c r="AC331" s="424">
        <f>IF(OR(t&lt;Tnet,NoTnet),'2019'!Resal_s+('2019'!Salim-'2019'!Resal_s)*(1-EXP(('2019'!Tnet_s-t)/'2019'!Tau_j)),Resal_s+(Salim-Resal_s)*(1-EXP((Tnet_s-t)/Tau_j)))*Salcycl</f>
        <v>3.7231124958893108E-2</v>
      </c>
      <c r="AD331" s="230">
        <f>(INDEX(Models!$BJ331:$BT331,,AH331)*(1-AF331)+INDEX(Models!$BJ331:$BT331,,AH331+1)*AF331-ERP_i)*AE331*Ramure*Pc/MaxiM</f>
        <v>1.1180621219875684E-2</v>
      </c>
      <c r="AE331" s="304">
        <f t="shared" si="113"/>
        <v>0.7</v>
      </c>
      <c r="AF331" s="177">
        <f t="shared" si="114"/>
        <v>0.59841217214247533</v>
      </c>
      <c r="AG331" s="176">
        <f t="shared" si="115"/>
        <v>-1</v>
      </c>
      <c r="AH331" s="176">
        <f t="shared" si="116"/>
        <v>5</v>
      </c>
      <c r="AI331" s="224">
        <f t="shared" si="117"/>
        <v>-0.40158782785752467</v>
      </c>
      <c r="AJ331" s="264" t="b">
        <f t="shared" si="118"/>
        <v>0</v>
      </c>
      <c r="AK331" s="264" t="b">
        <f t="shared" si="119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20"/>
        <v>44148</v>
      </c>
      <c r="B332" s="607">
        <v>17.975999999999999</v>
      </c>
      <c r="C332" s="388"/>
      <c r="D332" s="391">
        <f t="shared" si="99"/>
        <v>18.209356400806474</v>
      </c>
      <c r="E332" s="383">
        <f t="shared" si="121"/>
        <v>18.913848816342153</v>
      </c>
      <c r="F332" s="383">
        <f t="shared" si="100"/>
        <v>18.993319038472997</v>
      </c>
      <c r="G332" s="110">
        <f t="shared" si="122"/>
        <v>0.58487860089972166</v>
      </c>
      <c r="H332" s="412" t="b">
        <f>Wh_hp&gt;='2019'!Maxi_hp</f>
        <v>1</v>
      </c>
      <c r="I332" s="388">
        <f>IF(H332,Wh_hp,'2019'!Maxi_hp)</f>
        <v>18.993319038472997</v>
      </c>
      <c r="J332" s="85">
        <f>IF(H332,An,'2019'!An_max)</f>
        <v>2020</v>
      </c>
      <c r="K332" s="197">
        <f t="shared" si="101"/>
        <v>44148</v>
      </c>
      <c r="L332" s="147">
        <f>IF(t&lt;Tvie,1-EXP((T0-t)*PertePVj)+'2019'!Pspv,1-EXP((T0-t)*PertePVj)+Pspv)</f>
        <v>1.2815192128160069E-2</v>
      </c>
      <c r="M332" s="832"/>
      <c r="N332" s="832"/>
      <c r="O332" s="48">
        <f>IF(t&lt;Tnet,'2019'!Resal+('2019'!Salim-'2019'!Resal)*(1-EXP(('2019'!Tnet-t)/('2019'!Tau_j))),Resal+(Salim-Resal)*(1-EXP((Tnet-t)/(Tau_j))))*Salcycl</f>
        <v>3.7247438233035668E-2</v>
      </c>
      <c r="P332" s="169">
        <f>(INDEX(Models!$BJ332:$BT332,,T332)*(1-R332)+INDEX(Models!$BJ332:$BT332,,T332+1)*R332-ERP_i)*Q332*Ramure*Pc/MaxiM</f>
        <v>1.0155375011806521E-2</v>
      </c>
      <c r="Q332" s="304">
        <f t="shared" si="102"/>
        <v>0.7</v>
      </c>
      <c r="R332" s="177">
        <f t="shared" si="103"/>
        <v>0.53410637830869256</v>
      </c>
      <c r="S332" s="799">
        <f t="shared" si="104"/>
        <v>-1</v>
      </c>
      <c r="T332" s="176">
        <f t="shared" si="105"/>
        <v>5</v>
      </c>
      <c r="U332" s="250">
        <f t="shared" si="106"/>
        <v>-0.46589362169130749</v>
      </c>
      <c r="V332" s="382">
        <f t="shared" si="107"/>
        <v>30.550287849040593</v>
      </c>
      <c r="W332" s="58"/>
      <c r="X332" s="157">
        <f t="shared" si="108"/>
        <v>44148</v>
      </c>
      <c r="Y332" s="383">
        <f t="shared" si="109"/>
        <v>17.96906058613456</v>
      </c>
      <c r="Z332" s="383">
        <f t="shared" si="110"/>
        <v>18.202326902570579</v>
      </c>
      <c r="AA332" s="384">
        <f t="shared" si="111"/>
        <v>18.906547357467826</v>
      </c>
      <c r="AB332" s="197">
        <f t="shared" si="112"/>
        <v>44148</v>
      </c>
      <c r="AC332" s="424">
        <f>IF(OR(t&lt;Tnet,NoTnet),'2019'!Resal_s+('2019'!Salim-'2019'!Resal_s)*(1-EXP(('2019'!Tnet_s-t)/'2019'!Tau_j)),Resal_s+(Salim-Resal_s)*(1-EXP((Tnet_s-t)/Tau_j)))*Salcycl</f>
        <v>3.7247438233035668E-2</v>
      </c>
      <c r="AD332" s="230">
        <f>(INDEX(Models!$BJ332:$BT332,,AH332)*(1-AF332)+INDEX(Models!$BJ332:$BT332,,AH332+1)*AF332-ERP_i)*AE332*Ramure*Pc/MaxiM</f>
        <v>1.1088416986698844E-2</v>
      </c>
      <c r="AE332" s="304">
        <f t="shared" si="113"/>
        <v>0.7</v>
      </c>
      <c r="AF332" s="177">
        <f t="shared" si="114"/>
        <v>0.59843860056852471</v>
      </c>
      <c r="AG332" s="176">
        <f t="shared" si="115"/>
        <v>-1</v>
      </c>
      <c r="AH332" s="176">
        <f t="shared" si="116"/>
        <v>5</v>
      </c>
      <c r="AI332" s="224">
        <f t="shared" si="117"/>
        <v>-0.40156139943147534</v>
      </c>
      <c r="AJ332" s="264" t="b">
        <f t="shared" si="118"/>
        <v>0</v>
      </c>
      <c r="AK332" s="264" t="b">
        <f t="shared" si="119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20"/>
        <v>44149</v>
      </c>
      <c r="B333" s="607">
        <v>29.832999999999998</v>
      </c>
      <c r="C333" s="388"/>
      <c r="D333" s="391">
        <f t="shared" si="99"/>
        <v>30.220857853263915</v>
      </c>
      <c r="E333" s="383">
        <f t="shared" si="121"/>
        <v>31.390601074521204</v>
      </c>
      <c r="F333" s="383">
        <f t="shared" si="100"/>
        <v>31.702886154707713</v>
      </c>
      <c r="G333" s="110">
        <f t="shared" si="122"/>
        <v>0.98425320596738453</v>
      </c>
      <c r="H333" s="412" t="b">
        <f>Wh_hp&gt;='2019'!Maxi_hp</f>
        <v>1</v>
      </c>
      <c r="I333" s="388">
        <f>IF(H333,Wh_hp,'2019'!Maxi_hp)</f>
        <v>31.702886154707713</v>
      </c>
      <c r="J333" s="85">
        <f>IF(H333,An,'2019'!An_max)</f>
        <v>2020</v>
      </c>
      <c r="K333" s="197">
        <f t="shared" si="101"/>
        <v>44149</v>
      </c>
      <c r="L333" s="147">
        <f>IF(t&lt;Tvie,1-EXP((T0-t)*PertePVj)+'2019'!Pspv,1-EXP((T0-t)*PertePVj)+Pspv)</f>
        <v>1.2834111299789841E-2</v>
      </c>
      <c r="M333" s="832"/>
      <c r="N333" s="832"/>
      <c r="O333" s="48">
        <f>IF(t&lt;Tnet,'2019'!Resal+('2019'!Salim-'2019'!Resal)*(1-EXP(('2019'!Tnet-t)/('2019'!Tau_j))),Resal+(Salim-Resal)*(1-EXP((Tnet-t)/(Tau_j))))*Salcycl</f>
        <v>3.7264123056462609E-2</v>
      </c>
      <c r="P333" s="169">
        <f>(INDEX(Models!$BJ333:$BT333,,T333)*(1-R333)+INDEX(Models!$BJ333:$BT333,,T333+1)*R333-ERP_i)*Q333*Ramure*Pc/MaxiM</f>
        <v>1.0073784744345608E-2</v>
      </c>
      <c r="Q333" s="304">
        <f t="shared" si="102"/>
        <v>0.7</v>
      </c>
      <c r="R333" s="177">
        <f t="shared" si="103"/>
        <v>0.53413174593372859</v>
      </c>
      <c r="S333" s="799">
        <f t="shared" si="104"/>
        <v>-1</v>
      </c>
      <c r="T333" s="176">
        <f t="shared" si="105"/>
        <v>5</v>
      </c>
      <c r="U333" s="250">
        <f t="shared" si="106"/>
        <v>-0.46586825406627141</v>
      </c>
      <c r="V333" s="382">
        <f t="shared" si="107"/>
        <v>30.30345068254746</v>
      </c>
      <c r="W333" s="58"/>
      <c r="X333" s="157">
        <f t="shared" si="108"/>
        <v>44149</v>
      </c>
      <c r="Y333" s="383">
        <f t="shared" si="109"/>
        <v>29.805829183553623</v>
      </c>
      <c r="Z333" s="383">
        <f t="shared" si="110"/>
        <v>30.19333378992523</v>
      </c>
      <c r="AA333" s="384">
        <f t="shared" si="111"/>
        <v>31.362011651401261</v>
      </c>
      <c r="AB333" s="197">
        <f t="shared" si="112"/>
        <v>44149</v>
      </c>
      <c r="AC333" s="424">
        <f>IF(OR(t&lt;Tnet,NoTnet),'2019'!Resal_s+('2019'!Salim-'2019'!Resal_s)*(1-EXP(('2019'!Tnet_s-t)/'2019'!Tau_j)),Resal_s+(Salim-Resal_s)*(1-EXP((Tnet_s-t)/Tau_j)))*Salcycl</f>
        <v>3.7264123056462609E-2</v>
      </c>
      <c r="AD333" s="230">
        <f>(INDEX(Models!$BJ333:$BT333,,AH333)*(1-AF333)+INDEX(Models!$BJ333:$BT333,,AH333+1)*AF333-ERP_i)*AE333*Ramure*Pc/MaxiM</f>
        <v>1.0996030835331877E-2</v>
      </c>
      <c r="AE333" s="304">
        <f t="shared" si="113"/>
        <v>0.7</v>
      </c>
      <c r="AF333" s="177">
        <f t="shared" si="114"/>
        <v>0.59846396819356074</v>
      </c>
      <c r="AG333" s="176">
        <f t="shared" si="115"/>
        <v>-1</v>
      </c>
      <c r="AH333" s="176">
        <f t="shared" si="116"/>
        <v>5</v>
      </c>
      <c r="AI333" s="224">
        <f t="shared" si="117"/>
        <v>-0.40153603180643926</v>
      </c>
      <c r="AJ333" s="264" t="b">
        <f t="shared" si="118"/>
        <v>0</v>
      </c>
      <c r="AK333" s="264" t="b">
        <f t="shared" si="119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20"/>
        <v>44150</v>
      </c>
      <c r="B334" s="607">
        <v>21.882999999999999</v>
      </c>
      <c r="C334" s="388"/>
      <c r="D334" s="391">
        <f t="shared" si="99"/>
        <v>22.167925007572798</v>
      </c>
      <c r="E334" s="383">
        <f t="shared" si="121"/>
        <v>23.02637617445146</v>
      </c>
      <c r="F334" s="383">
        <f t="shared" si="100"/>
        <v>23.167929701478929</v>
      </c>
      <c r="G334" s="110">
        <f t="shared" si="122"/>
        <v>0.72520975446891767</v>
      </c>
      <c r="H334" s="412" t="b">
        <f>Wh_hp&gt;='2019'!Maxi_hp</f>
        <v>1</v>
      </c>
      <c r="I334" s="388">
        <f>IF(H334,Wh_hp,'2019'!Maxi_hp)</f>
        <v>23.167929701478929</v>
      </c>
      <c r="J334" s="85">
        <f>IF(H334,An,'2019'!An_max)</f>
        <v>2020</v>
      </c>
      <c r="K334" s="197">
        <f t="shared" si="101"/>
        <v>44150</v>
      </c>
      <c r="L334" s="147">
        <f>IF(t&lt;Tvie,1-EXP((T0-t)*PertePVj)+'2019'!Pspv,1-EXP((T0-t)*PertePVj)+Pspv)</f>
        <v>1.2853030108838093E-2</v>
      </c>
      <c r="M334" s="832"/>
      <c r="N334" s="832"/>
      <c r="O334" s="48">
        <f>IF(t&lt;Tnet,'2019'!Resal+('2019'!Salim-'2019'!Resal)*(1-EXP(('2019'!Tnet-t)/('2019'!Tau_j))),Resal+(Salim-Resal)*(1-EXP((Tnet-t)/(Tau_j))))*Salcycl</f>
        <v>3.7281210051243067E-2</v>
      </c>
      <c r="P334" s="169">
        <f>(INDEX(Models!$BJ334:$BT334,,T334)*(1-R334)+INDEX(Models!$BJ334:$BT334,,T334+1)*R334-ERP_i)*Q334*Ramure*Pc/MaxiM</f>
        <v>9.9915706457907403E-3</v>
      </c>
      <c r="Q334" s="304">
        <f t="shared" si="102"/>
        <v>0.7</v>
      </c>
      <c r="R334" s="177">
        <f t="shared" si="103"/>
        <v>0.53415609521012031</v>
      </c>
      <c r="S334" s="799">
        <f t="shared" si="104"/>
        <v>-1</v>
      </c>
      <c r="T334" s="176">
        <f t="shared" si="105"/>
        <v>5</v>
      </c>
      <c r="U334" s="250">
        <f t="shared" si="106"/>
        <v>-0.46584390478987975</v>
      </c>
      <c r="V334" s="382">
        <f t="shared" si="107"/>
        <v>30.056869602277242</v>
      </c>
      <c r="W334" s="58"/>
      <c r="X334" s="157">
        <f t="shared" si="108"/>
        <v>44150</v>
      </c>
      <c r="Y334" s="383">
        <f t="shared" si="109"/>
        <v>21.870724338209467</v>
      </c>
      <c r="Z334" s="383">
        <f t="shared" si="110"/>
        <v>22.155489511983031</v>
      </c>
      <c r="AA334" s="384">
        <f t="shared" si="111"/>
        <v>23.013459115264919</v>
      </c>
      <c r="AB334" s="197">
        <f t="shared" si="112"/>
        <v>44150</v>
      </c>
      <c r="AC334" s="424">
        <f>IF(OR(t&lt;Tnet,NoTnet),'2019'!Resal_s+('2019'!Salim-'2019'!Resal_s)*(1-EXP(('2019'!Tnet_s-t)/'2019'!Tau_j)),Resal_s+(Salim-Resal_s)*(1-EXP((Tnet_s-t)/Tau_j)))*Salcycl</f>
        <v>3.7281210051243067E-2</v>
      </c>
      <c r="AD334" s="230">
        <f>(INDEX(Models!$BJ334:$BT334,,AH334)*(1-AF334)+INDEX(Models!$BJ334:$BT334,,AH334+1)*AF334-ERP_i)*AE334*Ramure*Pc/MaxiM</f>
        <v>1.0903322631829948E-2</v>
      </c>
      <c r="AE334" s="304">
        <f t="shared" si="113"/>
        <v>0.7</v>
      </c>
      <c r="AF334" s="177">
        <f t="shared" si="114"/>
        <v>0.59848831746995246</v>
      </c>
      <c r="AG334" s="176">
        <f t="shared" si="115"/>
        <v>-1</v>
      </c>
      <c r="AH334" s="176">
        <f t="shared" si="116"/>
        <v>5</v>
      </c>
      <c r="AI334" s="224">
        <f t="shared" si="117"/>
        <v>-0.4015116825300476</v>
      </c>
      <c r="AJ334" s="264" t="b">
        <f t="shared" si="118"/>
        <v>0</v>
      </c>
      <c r="AK334" s="264" t="b">
        <f t="shared" si="119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20"/>
        <v>44151</v>
      </c>
      <c r="B335" s="607">
        <v>18.263999999999999</v>
      </c>
      <c r="C335" s="388"/>
      <c r="D335" s="391">
        <f t="shared" ref="D335:D379" si="123">Wh/(1-Ppv)</f>
        <v>18.502158836708311</v>
      </c>
      <c r="E335" s="383">
        <f t="shared" si="121"/>
        <v>19.219003212456204</v>
      </c>
      <c r="F335" s="383">
        <f t="shared" ref="F335:F379" si="124">Wh_sa/(1-Pvg*MEDIAN((-Sdif+Wh/Env_an)/Csdif,0,1))</f>
        <v>19.304439918384041</v>
      </c>
      <c r="G335" s="110">
        <f t="shared" si="122"/>
        <v>0.60928659203251867</v>
      </c>
      <c r="H335" s="412" t="b">
        <f>Wh_hp&gt;='2019'!Maxi_hp</f>
        <v>1</v>
      </c>
      <c r="I335" s="388">
        <f>IF(H335,Wh_hp,'2019'!Maxi_hp)</f>
        <v>19.304439918384041</v>
      </c>
      <c r="J335" s="85">
        <f>IF(H335,An,'2019'!An_max)</f>
        <v>2020</v>
      </c>
      <c r="K335" s="197">
        <f t="shared" ref="K335:K379" si="125">t</f>
        <v>44151</v>
      </c>
      <c r="L335" s="147">
        <f>IF(t&lt;Tvie,1-EXP((T0-t)*PertePVj)+'2019'!Pspv,1-EXP((T0-t)*PertePVj)+Pspv)</f>
        <v>1.2871948555311596E-2</v>
      </c>
      <c r="M335" s="832"/>
      <c r="N335" s="832"/>
      <c r="O335" s="48">
        <f>IF(t&lt;Tnet,'2019'!Resal+('2019'!Salim-'2019'!Resal)*(1-EXP(('2019'!Tnet-t)/('2019'!Tau_j))),Resal+(Salim-Resal)*(1-EXP((Tnet-t)/(Tau_j))))*Salcycl</f>
        <v>3.7298728129838352E-2</v>
      </c>
      <c r="P335" s="169">
        <f>(INDEX(Models!$BJ335:$BT335,,T335)*(1-R335)+INDEX(Models!$BJ335:$BT335,,T335+1)*R335-ERP_i)*Q335*Ramure*Pc/MaxiM</f>
        <v>9.9085957103430319E-3</v>
      </c>
      <c r="Q335" s="304">
        <f t="shared" ref="Q335:Q379" si="126">IF(OR(t&lt;Ttai,Notai),Dd+PousD*Croivg,Dens+PousD*(Croivg-Croi_tai))</f>
        <v>0.7</v>
      </c>
      <c r="R335" s="177">
        <f t="shared" ref="R335:R379" si="127">(Hp_vg-S335)/(INDEX(Echel_vg,T335+1)-S335)</f>
        <v>0.53417946690131557</v>
      </c>
      <c r="S335" s="799">
        <f t="shared" ref="S335:S379" si="128">INDEX(Echel_vg,T335)</f>
        <v>-1</v>
      </c>
      <c r="T335" s="176">
        <f t="shared" ref="T335:T379" si="129">MIN(MATCH(Hp_vg,Echel_vg),10)</f>
        <v>5</v>
      </c>
      <c r="U335" s="250">
        <f t="shared" ref="U335:U379" si="130">IF(OR(t&lt;Ttai,Notai),Hdd+PousH*Croivg,Hdtf+PousH*(Croivg-Croi_tai))</f>
        <v>-0.46582053309868438</v>
      </c>
      <c r="V335" s="382">
        <f t="shared" ref="V335:V379" si="131">MaxiM*(1-Ppv)*(1-Pvg)*(1-Psa)</f>
        <v>29.810956717231885</v>
      </c>
      <c r="W335" s="58"/>
      <c r="X335" s="157">
        <f t="shared" ref="X335:X379" si="132">t</f>
        <v>44151</v>
      </c>
      <c r="Y335" s="383">
        <f t="shared" ref="Y335:Y379" si="133">Wh_pvt_s*(1-Ppv)</f>
        <v>18.256612653265872</v>
      </c>
      <c r="Z335" s="383">
        <f t="shared" ref="Z335:Z379" si="134">Wh_sa_s*(1-Psa_s)</f>
        <v>18.494675160478753</v>
      </c>
      <c r="AA335" s="384">
        <f t="shared" ref="AA335:AA379" si="135">Wh_hp*(1-Pvg_s*MEDIAN((-Sdif+Wh/Env_an)/Csdif,0,1))</f>
        <v>19.211229589995916</v>
      </c>
      <c r="AB335" s="197">
        <f t="shared" ref="AB335:AB379" si="136">t</f>
        <v>44151</v>
      </c>
      <c r="AC335" s="424">
        <f>IF(OR(t&lt;Tnet,NoTnet),'2019'!Resal_s+('2019'!Salim-'2019'!Resal_s)*(1-EXP(('2019'!Tnet_s-t)/'2019'!Tau_j)),Resal_s+(Salim-Resal_s)*(1-EXP((Tnet_s-t)/Tau_j)))*Salcycl</f>
        <v>3.7298728129838352E-2</v>
      </c>
      <c r="AD335" s="230">
        <f>(INDEX(Models!$BJ335:$BT335,,AH335)*(1-AF335)+INDEX(Models!$BJ335:$BT335,,AH335+1)*AF335-ERP_i)*AE335*Ramure*Pc/MaxiM</f>
        <v>1.0810148284583265E-2</v>
      </c>
      <c r="AE335" s="304">
        <f t="shared" ref="AE335:AE379" si="137">IF(OR(t&lt;Ttai,Notai),Dd_s+PousD*Croivg,Dens_s+PousD*(Croivg-Croi_tai))</f>
        <v>0.7</v>
      </c>
      <c r="AF335" s="177">
        <f t="shared" ref="AF335:AF379" si="138">(Hp_vg_s-AG335)/(INDEX(Echel_vg,AH335+1)-AG335)</f>
        <v>0.59851168916114772</v>
      </c>
      <c r="AG335" s="176">
        <f t="shared" ref="AG335:AG379" si="139">INDEX(Echel_vg,AH335)</f>
        <v>-1</v>
      </c>
      <c r="AH335" s="176">
        <f t="shared" ref="AH335:AH379" si="140">MIN(MATCH(Hp_vg_s,Echel_vg),10)</f>
        <v>5</v>
      </c>
      <c r="AI335" s="224">
        <f t="shared" ref="AI335:AI379" si="141">IF(OR(t&lt;Ttai,Notai),Hdd_s+PousH*Croivg,Hdtai_s+PousH*(Croivg-Croi_tai))</f>
        <v>-0.40148831083885222</v>
      </c>
      <c r="AJ335" s="264" t="b">
        <f t="shared" ref="AJ335:AJ380" si="142">t&lt;Tnet</f>
        <v>0</v>
      </c>
      <c r="AK335" s="264" t="b">
        <f t="shared" ref="AK335:AK380" si="143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80" si="144">A335+1</f>
        <v>44152</v>
      </c>
      <c r="B336" s="607">
        <v>27.298999999999999</v>
      </c>
      <c r="C336" s="388"/>
      <c r="D336" s="391">
        <f t="shared" si="123"/>
        <v>27.655503406250396</v>
      </c>
      <c r="E336" s="383">
        <f t="shared" si="121"/>
        <v>28.727519768745935</v>
      </c>
      <c r="F336" s="383">
        <f t="shared" si="124"/>
        <v>28.981060402104621</v>
      </c>
      <c r="G336" s="110">
        <f t="shared" si="122"/>
        <v>0.92231773697275388</v>
      </c>
      <c r="H336" s="412" t="b">
        <f>Wh_hp&gt;='2019'!Maxi_hp</f>
        <v>1</v>
      </c>
      <c r="I336" s="388">
        <f>IF(H336,Wh_hp,'2019'!Maxi_hp)</f>
        <v>28.981060402104621</v>
      </c>
      <c r="J336" s="85">
        <f>IF(H336,An,'2019'!An_max)</f>
        <v>2020</v>
      </c>
      <c r="K336" s="197">
        <f t="shared" si="125"/>
        <v>44152</v>
      </c>
      <c r="L336" s="147">
        <f>IF(t&lt;Tvie,1-EXP((T0-t)*PertePVj)+'2019'!Pspv,1-EXP((T0-t)*PertePVj)+Pspv)</f>
        <v>1.2890866639217458E-2</v>
      </c>
      <c r="M336" s="832"/>
      <c r="N336" s="832"/>
      <c r="O336" s="48">
        <f>IF(t&lt;Tnet,'2019'!Resal+('2019'!Salim-'2019'!Resal)*(1-EXP(('2019'!Tnet-t)/('2019'!Tau_j))),Resal+(Salim-Resal)*(1-EXP((Tnet-t)/(Tau_j))))*Salcycl</f>
        <v>3.7316704370066754E-2</v>
      </c>
      <c r="P336" s="169">
        <f>(INDEX(Models!$BJ336:$BT336,,T336)*(1-R336)+INDEX(Models!$BJ336:$BT336,,T336+1)*R336-ERP_i)*Q336*Ramure*Pc/MaxiM</f>
        <v>9.8247188787928003E-3</v>
      </c>
      <c r="Q336" s="304">
        <f t="shared" si="126"/>
        <v>0.7</v>
      </c>
      <c r="R336" s="177">
        <f t="shared" si="127"/>
        <v>0.53420190014824631</v>
      </c>
      <c r="S336" s="799">
        <f t="shared" si="128"/>
        <v>-1</v>
      </c>
      <c r="T336" s="176">
        <f t="shared" si="129"/>
        <v>5</v>
      </c>
      <c r="U336" s="250">
        <f t="shared" si="130"/>
        <v>-0.46579809985175369</v>
      </c>
      <c r="V336" s="382">
        <f t="shared" si="131"/>
        <v>29.566124282524189</v>
      </c>
      <c r="W336" s="58"/>
      <c r="X336" s="157">
        <f t="shared" si="132"/>
        <v>44152</v>
      </c>
      <c r="Y336" s="383">
        <f t="shared" si="133"/>
        <v>27.277134169822688</v>
      </c>
      <c r="Z336" s="383">
        <f t="shared" si="134"/>
        <v>27.633352025578976</v>
      </c>
      <c r="AA336" s="384">
        <f t="shared" si="135"/>
        <v>28.704509729232448</v>
      </c>
      <c r="AB336" s="197">
        <f t="shared" si="136"/>
        <v>44152</v>
      </c>
      <c r="AC336" s="424">
        <f>IF(OR(t&lt;Tnet,NoTnet),'2019'!Resal_s+('2019'!Salim-'2019'!Resal_s)*(1-EXP(('2019'!Tnet_s-t)/'2019'!Tau_j)),Resal_s+(Salim-Resal_s)*(1-EXP((Tnet_s-t)/Tau_j)))*Salcycl</f>
        <v>3.7316704370066754E-2</v>
      </c>
      <c r="AD336" s="230">
        <f>(INDEX(Models!$BJ336:$BT336,,AH336)*(1-AF336)+INDEX(Models!$BJ336:$BT336,,AH336+1)*AF336-ERP_i)*AE336*Ramure*Pc/MaxiM</f>
        <v>1.0716359664789021E-2</v>
      </c>
      <c r="AE336" s="304">
        <f t="shared" si="137"/>
        <v>0.7</v>
      </c>
      <c r="AF336" s="177">
        <f t="shared" si="138"/>
        <v>0.59853412240807846</v>
      </c>
      <c r="AG336" s="176">
        <f t="shared" si="139"/>
        <v>-1</v>
      </c>
      <c r="AH336" s="176">
        <f t="shared" si="140"/>
        <v>5</v>
      </c>
      <c r="AI336" s="224">
        <f t="shared" si="141"/>
        <v>-0.40146587759192154</v>
      </c>
      <c r="AJ336" s="264" t="b">
        <f t="shared" si="142"/>
        <v>0</v>
      </c>
      <c r="AK336" s="264" t="b">
        <f t="shared" si="143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44"/>
        <v>44153</v>
      </c>
      <c r="B337" s="607">
        <v>29.25</v>
      </c>
      <c r="C337" s="388"/>
      <c r="D337" s="391">
        <f t="shared" si="123"/>
        <v>29.63254982833746</v>
      </c>
      <c r="E337" s="383">
        <f t="shared" si="121"/>
        <v>30.781793119635875</v>
      </c>
      <c r="F337" s="383">
        <f t="shared" si="124"/>
        <v>31.083466174894443</v>
      </c>
      <c r="G337" s="110">
        <f t="shared" si="122"/>
        <v>0.99748302172271119</v>
      </c>
      <c r="H337" s="412" t="b">
        <f>Wh_hp&gt;='2019'!Maxi_hp</f>
        <v>1</v>
      </c>
      <c r="I337" s="388">
        <f>IF(H337,Wh_hp,'2019'!Maxi_hp)</f>
        <v>31.083466174894443</v>
      </c>
      <c r="J337" s="85">
        <f>IF(H337,An,'2019'!An_max)</f>
        <v>2020</v>
      </c>
      <c r="K337" s="197">
        <f t="shared" si="125"/>
        <v>44153</v>
      </c>
      <c r="L337" s="147">
        <f>IF(t&lt;Tvie,1-EXP((T0-t)*PertePVj)+'2019'!Pspv,1-EXP((T0-t)*PertePVj)+Pspv)</f>
        <v>1.290978436056256E-2</v>
      </c>
      <c r="M337" s="832"/>
      <c r="N337" s="832"/>
      <c r="O337" s="48">
        <f>IF(t&lt;Tnet,'2019'!Resal+('2019'!Salim-'2019'!Resal)*(1-EXP(('2019'!Tnet-t)/('2019'!Tau_j))),Resal+(Salim-Resal)*(1-EXP((Tnet-t)/(Tau_j))))*Salcycl</f>
        <v>3.7335163901329287E-2</v>
      </c>
      <c r="P337" s="169">
        <f>(INDEX(Models!$BJ337:$BT337,,T337)*(1-R337)+INDEX(Models!$BJ337:$BT337,,T337+1)*R337-ERP_i)*Q337*Ramure*Pc/MaxiM</f>
        <v>9.7397950503500409E-3</v>
      </c>
      <c r="Q337" s="304">
        <f t="shared" si="126"/>
        <v>0.7</v>
      </c>
      <c r="R337" s="177">
        <f t="shared" si="127"/>
        <v>0.53422343253318272</v>
      </c>
      <c r="S337" s="799">
        <f t="shared" si="128"/>
        <v>-1</v>
      </c>
      <c r="T337" s="176">
        <f t="shared" si="129"/>
        <v>5</v>
      </c>
      <c r="U337" s="250">
        <f t="shared" si="130"/>
        <v>-0.46577656746681728</v>
      </c>
      <c r="V337" s="382">
        <f t="shared" si="131"/>
        <v>29.322784699644824</v>
      </c>
      <c r="W337" s="58"/>
      <c r="X337" s="157">
        <f t="shared" si="132"/>
        <v>44153</v>
      </c>
      <c r="Y337" s="383">
        <f t="shared" si="133"/>
        <v>29.224040761775786</v>
      </c>
      <c r="Z337" s="383">
        <f t="shared" si="134"/>
        <v>29.606251078929439</v>
      </c>
      <c r="AA337" s="384">
        <f t="shared" si="135"/>
        <v>30.754474422180799</v>
      </c>
      <c r="AB337" s="197">
        <f t="shared" si="136"/>
        <v>44153</v>
      </c>
      <c r="AC337" s="424">
        <f>IF(OR(t&lt;Tnet,NoTnet),'2019'!Resal_s+('2019'!Salim-'2019'!Resal_s)*(1-EXP(('2019'!Tnet_s-t)/'2019'!Tau_j)),Resal_s+(Salim-Resal_s)*(1-EXP((Tnet_s-t)/Tau_j)))*Salcycl</f>
        <v>3.7335163901329287E-2</v>
      </c>
      <c r="AD337" s="230">
        <f>(INDEX(Models!$BJ337:$BT337,,AH337)*(1-AF337)+INDEX(Models!$BJ337:$BT337,,AH337+1)*AF337-ERP_i)*AE337*Ramure*Pc/MaxiM</f>
        <v>1.0621804595507746E-2</v>
      </c>
      <c r="AE337" s="304">
        <f t="shared" si="137"/>
        <v>0.7</v>
      </c>
      <c r="AF337" s="177">
        <f t="shared" si="138"/>
        <v>0.59855565479301487</v>
      </c>
      <c r="AG337" s="176">
        <f t="shared" si="139"/>
        <v>-1</v>
      </c>
      <c r="AH337" s="176">
        <f t="shared" si="140"/>
        <v>5</v>
      </c>
      <c r="AI337" s="224">
        <f t="shared" si="141"/>
        <v>-0.40144434520698513</v>
      </c>
      <c r="AJ337" s="264" t="b">
        <f t="shared" si="142"/>
        <v>0</v>
      </c>
      <c r="AK337" s="264" t="b">
        <f t="shared" si="143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44"/>
        <v>44154</v>
      </c>
      <c r="B338" s="607">
        <v>4.7709999999999999</v>
      </c>
      <c r="C338" s="388"/>
      <c r="D338" s="391">
        <f t="shared" si="123"/>
        <v>4.8334907603032127</v>
      </c>
      <c r="E338" s="383">
        <f t="shared" si="121"/>
        <v>5.0210476250352869</v>
      </c>
      <c r="F338" s="383">
        <f t="shared" si="124"/>
        <v>5.0210476250352869</v>
      </c>
      <c r="G338" s="110">
        <f t="shared" si="122"/>
        <v>0.16247327696194078</v>
      </c>
      <c r="H338" s="412" t="b">
        <f>Wh_hp&gt;='2019'!Maxi_hp</f>
        <v>0</v>
      </c>
      <c r="I338" s="388">
        <f>IF(H338,Wh_hp,'2019'!Maxi_hp)</f>
        <v>30.262737933685557</v>
      </c>
      <c r="J338" s="85">
        <f>IF(H338,An,'2019'!An_max)</f>
        <v>2018</v>
      </c>
      <c r="K338" s="197">
        <f t="shared" si="125"/>
        <v>44154</v>
      </c>
      <c r="L338" s="147">
        <f>IF(t&lt;Tvie,1-EXP((T0-t)*PertePVj)+'2019'!Pspv,1-EXP((T0-t)*PertePVj)+Pspv)</f>
        <v>1.2928701719353786E-2</v>
      </c>
      <c r="M338" s="832"/>
      <c r="N338" s="832"/>
      <c r="O338" s="48">
        <f>IF(t&lt;Tnet,'2019'!Resal+('2019'!Salim-'2019'!Resal)*(1-EXP(('2019'!Tnet-t)/('2019'!Tau_j))),Resal+(Salim-Resal)*(1-EXP((Tnet-t)/(Tau_j))))*Salcycl</f>
        <v>3.7354129802892641E-2</v>
      </c>
      <c r="P338" s="169">
        <f>(INDEX(Models!$BJ338:$BT338,,T338)*(1-R338)+INDEX(Models!$BJ338:$BT338,,T338+1)*R338-ERP_i)*Q338*Ramure*Pc/MaxiM</f>
        <v>9.6561025066538592E-3</v>
      </c>
      <c r="Q338" s="304">
        <f t="shared" si="126"/>
        <v>0.7</v>
      </c>
      <c r="R338" s="177">
        <f t="shared" si="127"/>
        <v>0.53424410014113399</v>
      </c>
      <c r="S338" s="799">
        <f t="shared" si="128"/>
        <v>-1</v>
      </c>
      <c r="T338" s="176">
        <f t="shared" si="129"/>
        <v>5</v>
      </c>
      <c r="U338" s="250">
        <f t="shared" si="130"/>
        <v>-0.46575589985886601</v>
      </c>
      <c r="V338" s="382">
        <f t="shared" si="131"/>
        <v>29.081279231215145</v>
      </c>
      <c r="W338" s="58"/>
      <c r="X338" s="157">
        <f t="shared" si="132"/>
        <v>44154</v>
      </c>
      <c r="Y338" s="383">
        <f t="shared" si="133"/>
        <v>4.7709999999999999</v>
      </c>
      <c r="Z338" s="383">
        <f t="shared" si="134"/>
        <v>4.8334907603032127</v>
      </c>
      <c r="AA338" s="384">
        <f t="shared" si="135"/>
        <v>5.0210476250352869</v>
      </c>
      <c r="AB338" s="197">
        <f t="shared" si="136"/>
        <v>44154</v>
      </c>
      <c r="AC338" s="424">
        <f>IF(OR(t&lt;Tnet,NoTnet),'2019'!Resal_s+('2019'!Salim-'2019'!Resal_s)*(1-EXP(('2019'!Tnet_s-t)/'2019'!Tau_j)),Resal_s+(Salim-Resal_s)*(1-EXP((Tnet_s-t)/Tau_j)))*Salcycl</f>
        <v>3.7354129802892641E-2</v>
      </c>
      <c r="AD338" s="230">
        <f>(INDEX(Models!$BJ338:$BT338,,AH338)*(1-AF338)+INDEX(Models!$BJ338:$BT338,,AH338+1)*AF338-ERP_i)*AE338*Ramure*Pc/MaxiM</f>
        <v>1.0529073886891963E-2</v>
      </c>
      <c r="AE338" s="304">
        <f t="shared" si="137"/>
        <v>0.7</v>
      </c>
      <c r="AF338" s="177">
        <f t="shared" si="138"/>
        <v>0.59857632240096614</v>
      </c>
      <c r="AG338" s="176">
        <f t="shared" si="139"/>
        <v>-1</v>
      </c>
      <c r="AH338" s="176">
        <f t="shared" si="140"/>
        <v>5</v>
      </c>
      <c r="AI338" s="224">
        <f t="shared" si="141"/>
        <v>-0.40142367759903386</v>
      </c>
      <c r="AJ338" s="264" t="b">
        <f t="shared" si="142"/>
        <v>0</v>
      </c>
      <c r="AK338" s="264" t="b">
        <f t="shared" si="143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44"/>
        <v>44155</v>
      </c>
      <c r="B339" s="607">
        <v>22.26</v>
      </c>
      <c r="C339" s="388"/>
      <c r="D339" s="391">
        <f t="shared" si="123"/>
        <v>22.551994627715885</v>
      </c>
      <c r="E339" s="383">
        <f t="shared" si="121"/>
        <v>23.427567711523132</v>
      </c>
      <c r="F339" s="383">
        <f t="shared" si="124"/>
        <v>23.579764453425138</v>
      </c>
      <c r="G339" s="110">
        <f t="shared" si="122"/>
        <v>0.76936773417738502</v>
      </c>
      <c r="H339" s="412" t="b">
        <f>Wh_hp&gt;='2019'!Maxi_hp</f>
        <v>0</v>
      </c>
      <c r="I339" s="388">
        <f>IF(H339,Wh_hp,'2019'!Maxi_hp)</f>
        <v>27.490335001003508</v>
      </c>
      <c r="J339" s="85">
        <f>IF(H339,An,'2019'!An_max)</f>
        <v>2018</v>
      </c>
      <c r="K339" s="197">
        <f t="shared" si="125"/>
        <v>44155</v>
      </c>
      <c r="L339" s="147">
        <f>IF(t&lt;Tvie,1-EXP((T0-t)*PertePVj)+'2019'!Pspv,1-EXP((T0-t)*PertePVj)+Pspv)</f>
        <v>1.2947618715598241E-2</v>
      </c>
      <c r="M339" s="832"/>
      <c r="N339" s="832"/>
      <c r="O339" s="48">
        <f>IF(t&lt;Tnet,'2019'!Resal+('2019'!Salim-'2019'!Resal)*(1-EXP(('2019'!Tnet-t)/('2019'!Tau_j))),Resal+(Salim-Resal)*(1-EXP((Tnet-t)/(Tau_j))))*Salcycl</f>
        <v>3.7373623014931391E-2</v>
      </c>
      <c r="P339" s="169">
        <f>(INDEX(Models!$BJ339:$BT339,,T339)*(1-R339)+INDEX(Models!$BJ339:$BT339,,T339+1)*R339-ERP_i)*Q339*Ramure*Pc/MaxiM</f>
        <v>9.5766244060939698E-3</v>
      </c>
      <c r="Q339" s="304">
        <f t="shared" si="126"/>
        <v>0.7</v>
      </c>
      <c r="R339" s="177">
        <f t="shared" si="127"/>
        <v>0.53426393761888202</v>
      </c>
      <c r="S339" s="799">
        <f t="shared" si="128"/>
        <v>-1</v>
      </c>
      <c r="T339" s="176">
        <f t="shared" si="129"/>
        <v>5</v>
      </c>
      <c r="U339" s="250">
        <f t="shared" si="130"/>
        <v>-0.46573606238111798</v>
      </c>
      <c r="V339" s="382">
        <f t="shared" si="131"/>
        <v>28.8419310093158</v>
      </c>
      <c r="W339" s="58"/>
      <c r="X339" s="157">
        <f t="shared" si="132"/>
        <v>44155</v>
      </c>
      <c r="Y339" s="383">
        <f t="shared" si="133"/>
        <v>22.246943188241435</v>
      </c>
      <c r="Z339" s="383">
        <f t="shared" si="134"/>
        <v>22.538766543770052</v>
      </c>
      <c r="AA339" s="384">
        <f t="shared" si="135"/>
        <v>23.413826051973697</v>
      </c>
      <c r="AB339" s="197">
        <f t="shared" si="136"/>
        <v>44155</v>
      </c>
      <c r="AC339" s="424">
        <f>IF(OR(t&lt;Tnet,NoTnet),'2019'!Resal_s+('2019'!Salim-'2019'!Resal_s)*(1-EXP(('2019'!Tnet_s-t)/'2019'!Tau_j)),Resal_s+(Salim-Resal_s)*(1-EXP((Tnet_s-t)/Tau_j)))*Salcycl</f>
        <v>3.7373623014931391E-2</v>
      </c>
      <c r="AD339" s="230">
        <f>(INDEX(Models!$BJ339:$BT339,,AH339)*(1-AF339)+INDEX(Models!$BJ339:$BT339,,AH339+1)*AF339-ERP_i)*AE339*Ramure*Pc/MaxiM</f>
        <v>1.0441286228526945E-2</v>
      </c>
      <c r="AE339" s="304">
        <f t="shared" si="137"/>
        <v>0.7</v>
      </c>
      <c r="AF339" s="177">
        <f t="shared" si="138"/>
        <v>0.59859615987871417</v>
      </c>
      <c r="AG339" s="176">
        <f t="shared" si="139"/>
        <v>-1</v>
      </c>
      <c r="AH339" s="176">
        <f t="shared" si="140"/>
        <v>5</v>
      </c>
      <c r="AI339" s="224">
        <f t="shared" si="141"/>
        <v>-0.40140384012128583</v>
      </c>
      <c r="AJ339" s="264" t="b">
        <f t="shared" si="142"/>
        <v>0</v>
      </c>
      <c r="AK339" s="264" t="b">
        <f t="shared" si="143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44"/>
        <v>44156</v>
      </c>
      <c r="B340" s="607">
        <v>29.664000000000001</v>
      </c>
      <c r="C340" s="388"/>
      <c r="D340" s="391">
        <f t="shared" si="123"/>
        <v>30.05369226310664</v>
      </c>
      <c r="E340" s="383">
        <f t="shared" si="121"/>
        <v>31.221165999964203</v>
      </c>
      <c r="F340" s="383">
        <f t="shared" si="124"/>
        <v>31.520653340989391</v>
      </c>
      <c r="G340" s="110">
        <f t="shared" si="122"/>
        <v>1.0370159188860821</v>
      </c>
      <c r="H340" s="412" t="b">
        <f>Wh_hp&gt;='2019'!Maxi_hp</f>
        <v>1</v>
      </c>
      <c r="I340" s="388">
        <f>IF(H340,Wh_hp,'2019'!Maxi_hp)</f>
        <v>31.520653340989391</v>
      </c>
      <c r="J340" s="85">
        <f>IF(H340,An,'2019'!An_max)</f>
        <v>2020</v>
      </c>
      <c r="K340" s="197">
        <f t="shared" si="125"/>
        <v>44156</v>
      </c>
      <c r="L340" s="147">
        <f>IF(t&lt;Tvie,1-EXP((T0-t)*PertePVj)+'2019'!Pspv,1-EXP((T0-t)*PertePVj)+Pspv)</f>
        <v>1.2966535349302699E-2</v>
      </c>
      <c r="M340" s="832"/>
      <c r="N340" s="832"/>
      <c r="O340" s="48">
        <f>IF(t&lt;Tnet,'2019'!Resal+('2019'!Salim-'2019'!Resal)*(1-EXP(('2019'!Tnet-t)/('2019'!Tau_j))),Resal+(Salim-Resal)*(1-EXP((Tnet-t)/(Tau_j))))*Salcycl</f>
        <v>3.7393662262930984E-2</v>
      </c>
      <c r="P340" s="169">
        <f>(INDEX(Models!$BJ340:$BT340,,T340)*(1-R340)+INDEX(Models!$BJ340:$BT340,,T340+1)*R340-ERP_i)*Q340*Ramure*Pc/MaxiM</f>
        <v>9.5013049947076118E-3</v>
      </c>
      <c r="Q340" s="304">
        <f t="shared" si="126"/>
        <v>0.7</v>
      </c>
      <c r="R340" s="177">
        <f t="shared" si="127"/>
        <v>0.53428297823173687</v>
      </c>
      <c r="S340" s="799">
        <f t="shared" si="128"/>
        <v>-1</v>
      </c>
      <c r="T340" s="176">
        <f t="shared" si="129"/>
        <v>5</v>
      </c>
      <c r="U340" s="250">
        <f t="shared" si="130"/>
        <v>-0.46571702176826307</v>
      </c>
      <c r="V340" s="382">
        <f t="shared" si="131"/>
        <v>28.605153941960499</v>
      </c>
      <c r="W340" s="58"/>
      <c r="X340" s="157">
        <f t="shared" si="132"/>
        <v>44156</v>
      </c>
      <c r="Y340" s="383">
        <f t="shared" si="133"/>
        <v>29.638331637039038</v>
      </c>
      <c r="Z340" s="383">
        <f t="shared" si="134"/>
        <v>30.027686698067313</v>
      </c>
      <c r="AA340" s="384">
        <f t="shared" si="135"/>
        <v>31.194150215816698</v>
      </c>
      <c r="AB340" s="197">
        <f t="shared" si="136"/>
        <v>44156</v>
      </c>
      <c r="AC340" s="424">
        <f>IF(OR(t&lt;Tnet,NoTnet),'2019'!Resal_s+('2019'!Salim-'2019'!Resal_s)*(1-EXP(('2019'!Tnet_s-t)/'2019'!Tau_j)),Resal_s+(Salim-Resal_s)*(1-EXP((Tnet_s-t)/Tau_j)))*Salcycl</f>
        <v>3.7393662262930984E-2</v>
      </c>
      <c r="AD340" s="230">
        <f>(INDEX(Models!$BJ340:$BT340,,AH340)*(1-AF340)+INDEX(Models!$BJ340:$BT340,,AH340+1)*AF340-ERP_i)*AE340*Ramure*Pc/MaxiM</f>
        <v>1.0358386980136249E-2</v>
      </c>
      <c r="AE340" s="304">
        <f t="shared" si="137"/>
        <v>0.7</v>
      </c>
      <c r="AF340" s="177">
        <f t="shared" si="138"/>
        <v>0.59861520049156902</v>
      </c>
      <c r="AG340" s="176">
        <f t="shared" si="139"/>
        <v>-1</v>
      </c>
      <c r="AH340" s="176">
        <f t="shared" si="140"/>
        <v>5</v>
      </c>
      <c r="AI340" s="224">
        <f t="shared" si="141"/>
        <v>-0.40138479950843092</v>
      </c>
      <c r="AJ340" s="264" t="b">
        <f t="shared" si="142"/>
        <v>0</v>
      </c>
      <c r="AK340" s="264" t="b">
        <f t="shared" si="143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44"/>
        <v>44157</v>
      </c>
      <c r="B341" s="607">
        <v>29.568999999999999</v>
      </c>
      <c r="C341" s="388"/>
      <c r="D341" s="391">
        <f t="shared" si="123"/>
        <v>29.958018398559776</v>
      </c>
      <c r="E341" s="383">
        <f t="shared" si="121"/>
        <v>31.122441646521207</v>
      </c>
      <c r="F341" s="383">
        <f t="shared" si="124"/>
        <v>31.418721073336016</v>
      </c>
      <c r="G341" s="110">
        <f t="shared" si="122"/>
        <v>1.0422128570357796</v>
      </c>
      <c r="H341" s="412" t="b">
        <f>Wh_hp&gt;='2019'!Maxi_hp</f>
        <v>1</v>
      </c>
      <c r="I341" s="388">
        <f>IF(H341,Wh_hp,'2019'!Maxi_hp)</f>
        <v>31.418721073336016</v>
      </c>
      <c r="J341" s="85">
        <f>IF(H341,An,'2019'!An_max)</f>
        <v>2020</v>
      </c>
      <c r="K341" s="197">
        <f t="shared" si="125"/>
        <v>44157</v>
      </c>
      <c r="L341" s="147">
        <f>IF(t&lt;Tvie,1-EXP((T0-t)*PertePVj)+'2019'!Pspv,1-EXP((T0-t)*PertePVj)+Pspv)</f>
        <v>1.2985451620474264E-2</v>
      </c>
      <c r="M341" s="832"/>
      <c r="N341" s="832"/>
      <c r="O341" s="48">
        <f>IF(t&lt;Tnet,'2019'!Resal+('2019'!Salim-'2019'!Resal)*(1-EXP(('2019'!Tnet-t)/('2019'!Tau_j))),Resal+(Salim-Resal)*(1-EXP((Tnet-t)/(Tau_j))))*Salcycl</f>
        <v>3.7414263995947904E-2</v>
      </c>
      <c r="P341" s="169">
        <f>(INDEX(Models!$BJ341:$BT341,,T341)*(1-R341)+INDEX(Models!$BJ341:$BT341,,T341+1)*R341-ERP_i)*Q341*Ramure*Pc/MaxiM</f>
        <v>9.4300282345435929E-3</v>
      </c>
      <c r="Q341" s="304">
        <f t="shared" si="126"/>
        <v>0.7</v>
      </c>
      <c r="R341" s="177">
        <f t="shared" si="127"/>
        <v>0.53430125391809669</v>
      </c>
      <c r="S341" s="799">
        <f t="shared" si="128"/>
        <v>-1</v>
      </c>
      <c r="T341" s="176">
        <f t="shared" si="129"/>
        <v>5</v>
      </c>
      <c r="U341" s="250">
        <f t="shared" si="130"/>
        <v>-0.46569874608190331</v>
      </c>
      <c r="V341" s="382">
        <f t="shared" si="131"/>
        <v>28.371363681022874</v>
      </c>
      <c r="W341" s="58"/>
      <c r="X341" s="157">
        <f t="shared" si="132"/>
        <v>44157</v>
      </c>
      <c r="Y341" s="383">
        <f t="shared" si="133"/>
        <v>29.543620284359598</v>
      </c>
      <c r="Z341" s="383">
        <f t="shared" si="134"/>
        <v>29.932304779969179</v>
      </c>
      <c r="AA341" s="384">
        <f t="shared" si="135"/>
        <v>31.095728578137976</v>
      </c>
      <c r="AB341" s="197">
        <f t="shared" si="136"/>
        <v>44157</v>
      </c>
      <c r="AC341" s="424">
        <f>IF(OR(t&lt;Tnet,NoTnet),'2019'!Resal_s+('2019'!Salim-'2019'!Resal_s)*(1-EXP(('2019'!Tnet_s-t)/'2019'!Tau_j)),Resal_s+(Salim-Resal_s)*(1-EXP((Tnet_s-t)/Tau_j)))*Salcycl</f>
        <v>3.7414263995947904E-2</v>
      </c>
      <c r="AD341" s="230">
        <f>(INDEX(Models!$BJ341:$BT341,,AH341)*(1-AF341)+INDEX(Models!$BJ341:$BT341,,AH341+1)*AF341-ERP_i)*AE341*Ramure*Pc/MaxiM</f>
        <v>1.0280255979997632E-2</v>
      </c>
      <c r="AE341" s="304">
        <f t="shared" si="137"/>
        <v>0.7</v>
      </c>
      <c r="AF341" s="177">
        <f t="shared" si="138"/>
        <v>0.59863347617792884</v>
      </c>
      <c r="AG341" s="176">
        <f t="shared" si="139"/>
        <v>-1</v>
      </c>
      <c r="AH341" s="176">
        <f t="shared" si="140"/>
        <v>5</v>
      </c>
      <c r="AI341" s="224">
        <f t="shared" si="141"/>
        <v>-0.40136652382207116</v>
      </c>
      <c r="AJ341" s="264" t="b">
        <f t="shared" si="142"/>
        <v>0</v>
      </c>
      <c r="AK341" s="264" t="b">
        <f t="shared" si="143"/>
        <v>0</v>
      </c>
      <c r="AL341" s="264"/>
      <c r="AM341" s="264"/>
      <c r="AN341" s="75"/>
    </row>
    <row r="342" spans="1:40" s="6" customFormat="1" ht="11.25" x14ac:dyDescent="0.2">
      <c r="A342" s="56">
        <f t="shared" si="144"/>
        <v>44158</v>
      </c>
      <c r="B342" s="607">
        <v>27.61</v>
      </c>
      <c r="C342" s="388"/>
      <c r="D342" s="391">
        <f t="shared" si="123"/>
        <v>27.973781333641906</v>
      </c>
      <c r="E342" s="383">
        <f t="shared" si="121"/>
        <v>29.061719664414579</v>
      </c>
      <c r="F342" s="383">
        <f t="shared" si="124"/>
        <v>29.328916242000091</v>
      </c>
      <c r="G342" s="110">
        <f t="shared" si="122"/>
        <v>0.98088173060164141</v>
      </c>
      <c r="H342" s="412" t="b">
        <f>Wh_hp&gt;='2019'!Maxi_hp</f>
        <v>1</v>
      </c>
      <c r="I342" s="388">
        <f>IF(H342,Wh_hp,'2019'!Maxi_hp)</f>
        <v>29.328916242000091</v>
      </c>
      <c r="J342" s="85">
        <f>IF(H342,An,'2019'!An_max)</f>
        <v>2020</v>
      </c>
      <c r="K342" s="197">
        <f t="shared" si="125"/>
        <v>44158</v>
      </c>
      <c r="L342" s="147">
        <f>IF(t&lt;Tvie,1-EXP((T0-t)*PertePVj)+'2019'!Pspv,1-EXP((T0-t)*PertePVj)+Pspv)</f>
        <v>1.3004367529119709E-2</v>
      </c>
      <c r="M342" s="832"/>
      <c r="N342" s="832"/>
      <c r="O342" s="48">
        <f>IF(t&lt;Tnet,'2019'!Resal+('2019'!Salim-'2019'!Resal)*(1-EXP(('2019'!Tnet-t)/('2019'!Tau_j))),Resal+(Salim-Resal)*(1-EXP((Tnet-t)/(Tau_j))))*Salcycl</f>
        <v>3.7435442339113438E-2</v>
      </c>
      <c r="P342" s="169">
        <f>(INDEX(Models!$BJ342:$BT342,,T342)*(1-R342)+INDEX(Models!$BJ342:$BT342,,T342+1)*R342-ERP_i)*Q342*Ramure*Pc/MaxiM</f>
        <v>9.3627165724185502E-3</v>
      </c>
      <c r="Q342" s="304">
        <f t="shared" si="126"/>
        <v>0.7</v>
      </c>
      <c r="R342" s="177">
        <f t="shared" si="127"/>
        <v>0.53431879534189508</v>
      </c>
      <c r="S342" s="799">
        <f t="shared" si="128"/>
        <v>-1</v>
      </c>
      <c r="T342" s="176">
        <f t="shared" si="129"/>
        <v>5</v>
      </c>
      <c r="U342" s="250">
        <f t="shared" si="130"/>
        <v>-0.46568120465810492</v>
      </c>
      <c r="V342" s="382">
        <f t="shared" si="131"/>
        <v>28.140974722960827</v>
      </c>
      <c r="W342" s="58"/>
      <c r="X342" s="157">
        <f t="shared" si="132"/>
        <v>44158</v>
      </c>
      <c r="Y342" s="383">
        <f t="shared" si="133"/>
        <v>27.587114137047678</v>
      </c>
      <c r="Z342" s="383">
        <f t="shared" si="134"/>
        <v>27.950593933212353</v>
      </c>
      <c r="AA342" s="384">
        <f t="shared" si="135"/>
        <v>29.037630474505175</v>
      </c>
      <c r="AB342" s="197">
        <f t="shared" si="136"/>
        <v>44158</v>
      </c>
      <c r="AC342" s="424">
        <f>IF(OR(t&lt;Tnet,NoTnet),'2019'!Resal_s+('2019'!Salim-'2019'!Resal_s)*(1-EXP(('2019'!Tnet_s-t)/'2019'!Tau_j)),Resal_s+(Salim-Resal_s)*(1-EXP((Tnet_s-t)/Tau_j)))*Salcycl</f>
        <v>3.7435442339113438E-2</v>
      </c>
      <c r="AD342" s="230">
        <f>(INDEX(Models!$BJ342:$BT342,,AH342)*(1-AF342)+INDEX(Models!$BJ342:$BT342,,AH342+1)*AF342-ERP_i)*AE342*Ramure*Pc/MaxiM</f>
        <v>1.0206815174350308E-2</v>
      </c>
      <c r="AE342" s="304">
        <f t="shared" si="137"/>
        <v>0.7</v>
      </c>
      <c r="AF342" s="177">
        <f t="shared" si="138"/>
        <v>0.59865101760172723</v>
      </c>
      <c r="AG342" s="176">
        <f t="shared" si="139"/>
        <v>-1</v>
      </c>
      <c r="AH342" s="176">
        <f t="shared" si="140"/>
        <v>5</v>
      </c>
      <c r="AI342" s="224">
        <f t="shared" si="141"/>
        <v>-0.40134898239827277</v>
      </c>
      <c r="AJ342" s="264" t="b">
        <f t="shared" si="142"/>
        <v>0</v>
      </c>
      <c r="AK342" s="264" t="b">
        <f t="shared" si="143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44"/>
        <v>44159</v>
      </c>
      <c r="B343" s="607">
        <v>26.184999999999999</v>
      </c>
      <c r="C343" s="388"/>
      <c r="D343" s="391">
        <f t="shared" si="123"/>
        <v>26.53051439915205</v>
      </c>
      <c r="E343" s="383">
        <f t="shared" si="121"/>
        <v>27.562945407612396</v>
      </c>
      <c r="F343" s="383">
        <f t="shared" si="124"/>
        <v>27.79857439619018</v>
      </c>
      <c r="G343" s="110">
        <f t="shared" si="122"/>
        <v>0.93726765476468554</v>
      </c>
      <c r="H343" s="412" t="b">
        <f>Wh_hp&gt;='2019'!Maxi_hp</f>
        <v>1</v>
      </c>
      <c r="I343" s="388">
        <f>IF(H343,Wh_hp,'2019'!Maxi_hp)</f>
        <v>27.79857439619018</v>
      </c>
      <c r="J343" s="85">
        <f>IF(H343,An,'2019'!An_max)</f>
        <v>2020</v>
      </c>
      <c r="K343" s="197">
        <f t="shared" si="125"/>
        <v>44159</v>
      </c>
      <c r="L343" s="147">
        <f>IF(t&lt;Tvie,1-EXP((T0-t)*PertePVj)+'2019'!Pspv,1-EXP((T0-t)*PertePVj)+Pspv)</f>
        <v>1.3023283075246139E-2</v>
      </c>
      <c r="M343" s="832"/>
      <c r="N343" s="832"/>
      <c r="O343" s="48">
        <f>IF(t&lt;Tnet,'2019'!Resal+('2019'!Salim-'2019'!Resal)*(1-EXP(('2019'!Tnet-t)/('2019'!Tau_j))),Resal+(Salim-Resal)*(1-EXP((Tnet-t)/(Tau_j))))*Salcycl</f>
        <v>3.7457209060654507E-2</v>
      </c>
      <c r="P343" s="169">
        <f>(INDEX(Models!$BJ343:$BT343,,T343)*(1-R343)+INDEX(Models!$BJ343:$BT343,,T343+1)*R343-ERP_i)*Q343*Ramure*Pc/MaxiM</f>
        <v>9.2993380768466409E-3</v>
      </c>
      <c r="Q343" s="304">
        <f t="shared" si="126"/>
        <v>0.7</v>
      </c>
      <c r="R343" s="177">
        <f t="shared" si="127"/>
        <v>0.53433563194301303</v>
      </c>
      <c r="S343" s="799">
        <f t="shared" si="128"/>
        <v>-1</v>
      </c>
      <c r="T343" s="176">
        <f t="shared" si="129"/>
        <v>5</v>
      </c>
      <c r="U343" s="250">
        <f t="shared" si="130"/>
        <v>-0.46566436805698702</v>
      </c>
      <c r="V343" s="382">
        <f t="shared" si="131"/>
        <v>27.914400240195743</v>
      </c>
      <c r="W343" s="58"/>
      <c r="X343" s="157">
        <f t="shared" si="132"/>
        <v>44159</v>
      </c>
      <c r="Y343" s="383">
        <f t="shared" si="133"/>
        <v>26.164811252618563</v>
      </c>
      <c r="Z343" s="383">
        <f t="shared" si="134"/>
        <v>26.510059258685981</v>
      </c>
      <c r="AA343" s="384">
        <f t="shared" si="135"/>
        <v>27.541694258407791</v>
      </c>
      <c r="AB343" s="197">
        <f t="shared" si="136"/>
        <v>44159</v>
      </c>
      <c r="AC343" s="424">
        <f>IF(OR(t&lt;Tnet,NoTnet),'2019'!Resal_s+('2019'!Salim-'2019'!Resal_s)*(1-EXP(('2019'!Tnet_s-t)/'2019'!Tau_j)),Resal_s+(Salim-Resal_s)*(1-EXP((Tnet_s-t)/Tau_j)))*Salcycl</f>
        <v>3.7457209060654507E-2</v>
      </c>
      <c r="AD343" s="230">
        <f>(INDEX(Models!$BJ343:$BT343,,AH343)*(1-AF343)+INDEX(Models!$BJ343:$BT343,,AH343+1)*AF343-ERP_i)*AE343*Ramure*Pc/MaxiM</f>
        <v>1.0138036329417144E-2</v>
      </c>
      <c r="AE343" s="304">
        <f t="shared" si="137"/>
        <v>0.7</v>
      </c>
      <c r="AF343" s="177">
        <f t="shared" si="138"/>
        <v>0.59866785420284518</v>
      </c>
      <c r="AG343" s="176">
        <f t="shared" si="139"/>
        <v>-1</v>
      </c>
      <c r="AH343" s="176">
        <f t="shared" si="140"/>
        <v>5</v>
      </c>
      <c r="AI343" s="224">
        <f t="shared" si="141"/>
        <v>-0.40133214579715487</v>
      </c>
      <c r="AJ343" s="264" t="b">
        <f t="shared" si="142"/>
        <v>0</v>
      </c>
      <c r="AK343" s="264" t="b">
        <f t="shared" si="143"/>
        <v>0</v>
      </c>
      <c r="AL343" s="264"/>
      <c r="AM343" s="264"/>
      <c r="AN343" s="75"/>
    </row>
    <row r="344" spans="1:40" s="6" customFormat="1" ht="11.25" x14ac:dyDescent="0.2">
      <c r="A344" s="56">
        <f t="shared" si="144"/>
        <v>44160</v>
      </c>
      <c r="B344" s="607">
        <v>26.402000000000001</v>
      </c>
      <c r="C344" s="388"/>
      <c r="D344" s="391">
        <f t="shared" si="123"/>
        <v>26.750890416411895</v>
      </c>
      <c r="E344" s="383">
        <f t="shared" si="121"/>
        <v>27.792543078981915</v>
      </c>
      <c r="F344" s="383">
        <f t="shared" si="124"/>
        <v>28.034337428546774</v>
      </c>
      <c r="G344" s="110">
        <f t="shared" si="122"/>
        <v>0.95282293177606103</v>
      </c>
      <c r="H344" s="412" t="b">
        <f>Wh_hp&gt;='2019'!Maxi_hp</f>
        <v>1</v>
      </c>
      <c r="I344" s="388">
        <f>IF(H344,Wh_hp,'2019'!Maxi_hp)</f>
        <v>28.034337428546774</v>
      </c>
      <c r="J344" s="85">
        <f>IF(H344,An,'2019'!An_max)</f>
        <v>2020</v>
      </c>
      <c r="K344" s="197">
        <f t="shared" si="125"/>
        <v>44160</v>
      </c>
      <c r="L344" s="147">
        <f>IF(t&lt;Tvie,1-EXP((T0-t)*PertePVj)+'2019'!Pspv,1-EXP((T0-t)*PertePVj)+Pspv)</f>
        <v>1.3042198258860438E-2</v>
      </c>
      <c r="M344" s="832"/>
      <c r="N344" s="832"/>
      <c r="O344" s="48">
        <f>IF(t&lt;Tnet,'2019'!Resal+('2019'!Salim-'2019'!Resal)*(1-EXP(('2019'!Tnet-t)/('2019'!Tau_j))),Resal+(Salim-Resal)*(1-EXP((Tnet-t)/(Tau_j))))*Salcycl</f>
        <v>3.7479573553589898E-2</v>
      </c>
      <c r="P344" s="169">
        <f>(INDEX(Models!$BJ344:$BT344,,T344)*(1-R344)+INDEX(Models!$BJ344:$BT344,,T344+1)*R344-ERP_i)*Q344*Ramure*Pc/MaxiM</f>
        <v>9.2398570369223061E-3</v>
      </c>
      <c r="Q344" s="304">
        <f t="shared" si="126"/>
        <v>0.7</v>
      </c>
      <c r="R344" s="177">
        <f t="shared" si="127"/>
        <v>0.53435179198573168</v>
      </c>
      <c r="S344" s="799">
        <f t="shared" si="128"/>
        <v>-1</v>
      </c>
      <c r="T344" s="176">
        <f t="shared" si="129"/>
        <v>5</v>
      </c>
      <c r="U344" s="250">
        <f t="shared" si="130"/>
        <v>-0.46564820801426832</v>
      </c>
      <c r="V344" s="382">
        <f t="shared" si="131"/>
        <v>27.692053490525872</v>
      </c>
      <c r="W344" s="58"/>
      <c r="X344" s="157">
        <f t="shared" si="132"/>
        <v>44160</v>
      </c>
      <c r="Y344" s="383">
        <f t="shared" si="133"/>
        <v>26.381266570120268</v>
      </c>
      <c r="Z344" s="383">
        <f t="shared" si="134"/>
        <v>26.729883003690542</v>
      </c>
      <c r="AA344" s="384">
        <f t="shared" si="135"/>
        <v>27.770717658820274</v>
      </c>
      <c r="AB344" s="197">
        <f t="shared" si="136"/>
        <v>44160</v>
      </c>
      <c r="AC344" s="424">
        <f>IF(OR(t&lt;Tnet,NoTnet),'2019'!Resal_s+('2019'!Salim-'2019'!Resal_s)*(1-EXP(('2019'!Tnet_s-t)/'2019'!Tau_j)),Resal_s+(Salim-Resal_s)*(1-EXP((Tnet_s-t)/Tau_j)))*Salcycl</f>
        <v>3.7479573553589898E-2</v>
      </c>
      <c r="AD344" s="230">
        <f>(INDEX(Models!$BJ344:$BT344,,AH344)*(1-AF344)+INDEX(Models!$BJ344:$BT344,,AH344+1)*AF344-ERP_i)*AE344*Ramure*Pc/MaxiM</f>
        <v>1.0073887122518709E-2</v>
      </c>
      <c r="AE344" s="304">
        <f t="shared" si="137"/>
        <v>0.7</v>
      </c>
      <c r="AF344" s="177">
        <f t="shared" si="138"/>
        <v>0.59868401424556383</v>
      </c>
      <c r="AG344" s="176">
        <f t="shared" si="139"/>
        <v>-1</v>
      </c>
      <c r="AH344" s="176">
        <f t="shared" si="140"/>
        <v>5</v>
      </c>
      <c r="AI344" s="224">
        <f t="shared" si="141"/>
        <v>-0.40131598575443617</v>
      </c>
      <c r="AJ344" s="264" t="b">
        <f t="shared" si="142"/>
        <v>0</v>
      </c>
      <c r="AK344" s="264" t="b">
        <f t="shared" si="143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44"/>
        <v>44161</v>
      </c>
      <c r="B345" s="607">
        <v>21.811</v>
      </c>
      <c r="C345" s="388"/>
      <c r="D345" s="391">
        <f t="shared" si="123"/>
        <v>22.099645975108182</v>
      </c>
      <c r="E345" s="383">
        <f t="shared" si="121"/>
        <v>22.960731803007839</v>
      </c>
      <c r="F345" s="383">
        <f t="shared" si="124"/>
        <v>23.110543581605093</v>
      </c>
      <c r="G345" s="110">
        <f t="shared" si="122"/>
        <v>0.79183419035251401</v>
      </c>
      <c r="H345" s="412" t="b">
        <f>Wh_hp&gt;='2019'!Maxi_hp</f>
        <v>1</v>
      </c>
      <c r="I345" s="388">
        <f>IF(H345,Wh_hp,'2019'!Maxi_hp)</f>
        <v>23.110543581605093</v>
      </c>
      <c r="J345" s="85">
        <f>IF(H345,An,'2019'!An_max)</f>
        <v>2020</v>
      </c>
      <c r="K345" s="197">
        <f t="shared" si="125"/>
        <v>44161</v>
      </c>
      <c r="L345" s="147">
        <f>IF(t&lt;Tvie,1-EXP((T0-t)*PertePVj)+'2019'!Pspv,1-EXP((T0-t)*PertePVj)+Pspv)</f>
        <v>1.3061113079969489E-2</v>
      </c>
      <c r="M345" s="832"/>
      <c r="N345" s="832"/>
      <c r="O345" s="48">
        <f>IF(t&lt;Tnet,'2019'!Resal+('2019'!Salim-'2019'!Resal)*(1-EXP(('2019'!Tnet-t)/('2019'!Tau_j))),Resal+(Salim-Resal)*(1-EXP((Tnet-t)/(Tau_j))))*Salcycl</f>
        <v>3.750254283214341E-2</v>
      </c>
      <c r="P345" s="169">
        <f>(INDEX(Models!$BJ345:$BT345,,T345)*(1-R345)+INDEX(Models!$BJ345:$BT345,,T345+1)*R345-ERP_i)*Q345*Ramure*Pc/MaxiM</f>
        <v>9.1856870715614405E-3</v>
      </c>
      <c r="Q345" s="304">
        <f t="shared" si="126"/>
        <v>0.7</v>
      </c>
      <c r="R345" s="177">
        <f t="shared" si="127"/>
        <v>0.53436730260530019</v>
      </c>
      <c r="S345" s="799">
        <f t="shared" si="128"/>
        <v>-1</v>
      </c>
      <c r="T345" s="176">
        <f t="shared" si="129"/>
        <v>5</v>
      </c>
      <c r="U345" s="250">
        <f t="shared" si="130"/>
        <v>-0.46563269739469987</v>
      </c>
      <c r="V345" s="382">
        <f t="shared" si="131"/>
        <v>27.469960449936249</v>
      </c>
      <c r="W345" s="58"/>
      <c r="X345" s="157">
        <f t="shared" si="132"/>
        <v>44161</v>
      </c>
      <c r="Y345" s="383">
        <f t="shared" si="133"/>
        <v>21.798137606739026</v>
      </c>
      <c r="Z345" s="383">
        <f t="shared" si="134"/>
        <v>22.086613361405913</v>
      </c>
      <c r="AA345" s="384">
        <f t="shared" si="135"/>
        <v>22.947191389362885</v>
      </c>
      <c r="AB345" s="197">
        <f t="shared" si="136"/>
        <v>44161</v>
      </c>
      <c r="AC345" s="424">
        <f>IF(OR(t&lt;Tnet,NoTnet),'2019'!Resal_s+('2019'!Salim-'2019'!Resal_s)*(1-EXP(('2019'!Tnet_s-t)/'2019'!Tau_j)),Resal_s+(Salim-Resal_s)*(1-EXP((Tnet_s-t)/Tau_j)))*Salcycl</f>
        <v>3.750254283214341E-2</v>
      </c>
      <c r="AD345" s="230">
        <f>(INDEX(Models!$BJ345:$BT345,,AH345)*(1-AF345)+INDEX(Models!$BJ345:$BT345,,AH345+1)*AF345-ERP_i)*AE345*Ramure*Pc/MaxiM</f>
        <v>1.0015915533746639E-2</v>
      </c>
      <c r="AE345" s="304">
        <f t="shared" si="137"/>
        <v>0.7</v>
      </c>
      <c r="AF345" s="177">
        <f t="shared" si="138"/>
        <v>0.59869952486513234</v>
      </c>
      <c r="AG345" s="176">
        <f t="shared" si="139"/>
        <v>-1</v>
      </c>
      <c r="AH345" s="176">
        <f t="shared" si="140"/>
        <v>5</v>
      </c>
      <c r="AI345" s="224">
        <f t="shared" si="141"/>
        <v>-0.40130047513486772</v>
      </c>
      <c r="AJ345" s="264" t="b">
        <f t="shared" si="142"/>
        <v>0</v>
      </c>
      <c r="AK345" s="264" t="b">
        <f t="shared" si="143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44"/>
        <v>44162</v>
      </c>
      <c r="B346" s="607">
        <v>16.390999999999998</v>
      </c>
      <c r="C346" s="388"/>
      <c r="D346" s="391">
        <f t="shared" si="123"/>
        <v>16.60823618668914</v>
      </c>
      <c r="E346" s="383">
        <f t="shared" si="121"/>
        <v>17.255778632986218</v>
      </c>
      <c r="F346" s="383">
        <f t="shared" si="124"/>
        <v>17.324015395081876</v>
      </c>
      <c r="G346" s="110">
        <f t="shared" si="122"/>
        <v>0.59847681001223441</v>
      </c>
      <c r="H346" s="412" t="b">
        <f>Wh_hp&gt;='2019'!Maxi_hp</f>
        <v>1</v>
      </c>
      <c r="I346" s="388">
        <f>IF(H346,Wh_hp,'2019'!Maxi_hp)</f>
        <v>17.324015395081876</v>
      </c>
      <c r="J346" s="85">
        <f>IF(H346,An,'2019'!An_max)</f>
        <v>2020</v>
      </c>
      <c r="K346" s="197">
        <f t="shared" si="125"/>
        <v>44162</v>
      </c>
      <c r="L346" s="147">
        <f>IF(t&lt;Tvie,1-EXP((T0-t)*PertePVj)+'2019'!Pspv,1-EXP((T0-t)*PertePVj)+Pspv)</f>
        <v>1.3080027538580397E-2</v>
      </c>
      <c r="M346" s="832"/>
      <c r="N346" s="832"/>
      <c r="O346" s="48">
        <f>IF(t&lt;Tnet,'2019'!Resal+('2019'!Salim-'2019'!Resal)*(1-EXP(('2019'!Tnet-t)/('2019'!Tau_j))),Resal+(Salim-Resal)*(1-EXP((Tnet-t)/(Tau_j))))*Salcycl</f>
        <v>3.7526121542799232E-2</v>
      </c>
      <c r="P346" s="169">
        <f>(INDEX(Models!$BJ346:$BT346,,T346)*(1-R346)+INDEX(Models!$BJ346:$BT346,,T346+1)*R346-ERP_i)*Q346*Ramure*Pc/MaxiM</f>
        <v>9.141323151899812E-3</v>
      </c>
      <c r="Q346" s="304">
        <f t="shared" si="126"/>
        <v>0.7</v>
      </c>
      <c r="R346" s="177">
        <f t="shared" si="127"/>
        <v>0.53438218985268793</v>
      </c>
      <c r="S346" s="799">
        <f t="shared" si="128"/>
        <v>-1</v>
      </c>
      <c r="T346" s="176">
        <f t="shared" si="129"/>
        <v>5</v>
      </c>
      <c r="U346" s="250">
        <f t="shared" si="130"/>
        <v>-0.46561781014731207</v>
      </c>
      <c r="V346" s="382">
        <f t="shared" si="131"/>
        <v>27.244813569447278</v>
      </c>
      <c r="W346" s="58"/>
      <c r="X346" s="157">
        <f t="shared" si="132"/>
        <v>44162</v>
      </c>
      <c r="Y346" s="383">
        <f t="shared" si="133"/>
        <v>16.385131459457913</v>
      </c>
      <c r="Z346" s="383">
        <f t="shared" si="134"/>
        <v>16.602289868136634</v>
      </c>
      <c r="AA346" s="384">
        <f t="shared" si="135"/>
        <v>17.249600472014162</v>
      </c>
      <c r="AB346" s="197">
        <f t="shared" si="136"/>
        <v>44162</v>
      </c>
      <c r="AC346" s="424">
        <f>IF(OR(t&lt;Tnet,NoTnet),'2019'!Resal_s+('2019'!Salim-'2019'!Resal_s)*(1-EXP(('2019'!Tnet_s-t)/'2019'!Tau_j)),Resal_s+(Salim-Resal_s)*(1-EXP((Tnet_s-t)/Tau_j)))*Salcycl</f>
        <v>3.7526121542799232E-2</v>
      </c>
      <c r="AD346" s="230">
        <f>(INDEX(Models!$BJ346:$BT346,,AH346)*(1-AF346)+INDEX(Models!$BJ346:$BT346,,AH346+1)*AF346-ERP_i)*AE346*Ramure*Pc/MaxiM</f>
        <v>9.9689791571897449E-3</v>
      </c>
      <c r="AE346" s="304">
        <f t="shared" si="137"/>
        <v>0.7</v>
      </c>
      <c r="AF346" s="177">
        <f t="shared" si="138"/>
        <v>0.59871441211252008</v>
      </c>
      <c r="AG346" s="176">
        <f t="shared" si="139"/>
        <v>-1</v>
      </c>
      <c r="AH346" s="176">
        <f t="shared" si="140"/>
        <v>5</v>
      </c>
      <c r="AI346" s="224">
        <f t="shared" si="141"/>
        <v>-0.40128558788747992</v>
      </c>
      <c r="AJ346" s="264" t="b">
        <f t="shared" si="142"/>
        <v>0</v>
      </c>
      <c r="AK346" s="264" t="b">
        <f t="shared" si="143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44"/>
        <v>44163</v>
      </c>
      <c r="B347" s="607">
        <v>7.8170000000000002</v>
      </c>
      <c r="C347" s="388"/>
      <c r="D347" s="391">
        <f t="shared" si="123"/>
        <v>7.9207534876374091</v>
      </c>
      <c r="E347" s="383">
        <f t="shared" si="121"/>
        <v>8.2297844617863678</v>
      </c>
      <c r="F347" s="383">
        <f t="shared" si="124"/>
        <v>8.2297844617863678</v>
      </c>
      <c r="G347" s="110">
        <f t="shared" si="122"/>
        <v>0.28668917828548546</v>
      </c>
      <c r="H347" s="412" t="b">
        <f>Wh_hp&gt;='2019'!Maxi_hp</f>
        <v>0</v>
      </c>
      <c r="I347" s="388">
        <f>IF(H347,Wh_hp,'2019'!Maxi_hp)</f>
        <v>14.807733331286865</v>
      </c>
      <c r="J347" s="85">
        <f>IF(H347,An,'2019'!An_max)</f>
        <v>2018</v>
      </c>
      <c r="K347" s="197">
        <f t="shared" si="125"/>
        <v>44163</v>
      </c>
      <c r="L347" s="147">
        <f>IF(t&lt;Tvie,1-EXP((T0-t)*PertePVj)+'2019'!Pspv,1-EXP((T0-t)*PertePVj)+Pspv)</f>
        <v>1.3098941634700045E-2</v>
      </c>
      <c r="M347" s="832"/>
      <c r="N347" s="832"/>
      <c r="O347" s="48">
        <f>IF(t&lt;Tnet,'2019'!Resal+('2019'!Salim-'2019'!Resal)*(1-EXP(('2019'!Tnet-t)/('2019'!Tau_j))),Resal+(Salim-Resal)*(1-EXP((Tnet-t)/(Tau_j))))*Salcycl</f>
        <v>3.7550311989808738E-2</v>
      </c>
      <c r="P347" s="169">
        <f>(INDEX(Models!$BJ347:$BT347,,T347)*(1-R347)+INDEX(Models!$BJ347:$BT347,,T347+1)*R347-ERP_i)*Q347*Ramure*Pc/MaxiM</f>
        <v>9.1035585061398708E-3</v>
      </c>
      <c r="Q347" s="304">
        <f t="shared" si="126"/>
        <v>0.7</v>
      </c>
      <c r="R347" s="177">
        <f t="shared" si="127"/>
        <v>0.53439647873759122</v>
      </c>
      <c r="S347" s="799">
        <f t="shared" si="128"/>
        <v>-1</v>
      </c>
      <c r="T347" s="176">
        <f t="shared" si="129"/>
        <v>5</v>
      </c>
      <c r="U347" s="250">
        <f t="shared" si="130"/>
        <v>-0.46560352126240878</v>
      </c>
      <c r="V347" s="382">
        <f t="shared" si="131"/>
        <v>27.018241600470148</v>
      </c>
      <c r="W347" s="58"/>
      <c r="X347" s="157">
        <f t="shared" si="132"/>
        <v>44163</v>
      </c>
      <c r="Y347" s="383">
        <f t="shared" si="133"/>
        <v>7.8170000000000011</v>
      </c>
      <c r="Z347" s="383">
        <f t="shared" si="134"/>
        <v>7.9207534876374099</v>
      </c>
      <c r="AA347" s="384">
        <f t="shared" si="135"/>
        <v>8.2297844617863678</v>
      </c>
      <c r="AB347" s="197">
        <f t="shared" si="136"/>
        <v>44163</v>
      </c>
      <c r="AC347" s="424">
        <f>IF(OR(t&lt;Tnet,NoTnet),'2019'!Resal_s+('2019'!Salim-'2019'!Resal_s)*(1-EXP(('2019'!Tnet_s-t)/'2019'!Tau_j)),Resal_s+(Salim-Resal_s)*(1-EXP((Tnet_s-t)/Tau_j)))*Salcycl</f>
        <v>3.7550311989808738E-2</v>
      </c>
      <c r="AD347" s="230">
        <f>(INDEX(Models!$BJ347:$BT347,,AH347)*(1-AF347)+INDEX(Models!$BJ347:$BT347,,AH347+1)*AF347-ERP_i)*AE347*Ramure*Pc/MaxiM</f>
        <v>9.9293126726568617E-3</v>
      </c>
      <c r="AE347" s="304">
        <f t="shared" si="137"/>
        <v>0.7</v>
      </c>
      <c r="AF347" s="177">
        <f t="shared" si="138"/>
        <v>0.59872870099742337</v>
      </c>
      <c r="AG347" s="176">
        <f t="shared" si="139"/>
        <v>-1</v>
      </c>
      <c r="AH347" s="176">
        <f t="shared" si="140"/>
        <v>5</v>
      </c>
      <c r="AI347" s="224">
        <f t="shared" si="141"/>
        <v>-0.40127129900257663</v>
      </c>
      <c r="AJ347" s="264" t="b">
        <f t="shared" si="142"/>
        <v>0</v>
      </c>
      <c r="AK347" s="264" t="b">
        <f t="shared" si="143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44"/>
        <v>44164</v>
      </c>
      <c r="B348" s="607">
        <v>25.466000000000001</v>
      </c>
      <c r="C348" s="388"/>
      <c r="D348" s="391">
        <f t="shared" si="123"/>
        <v>25.804499694849284</v>
      </c>
      <c r="E348" s="383">
        <f t="shared" si="121"/>
        <v>26.811962237162263</v>
      </c>
      <c r="F348" s="383">
        <f t="shared" si="124"/>
        <v>27.039927040267969</v>
      </c>
      <c r="G348" s="110">
        <f t="shared" si="122"/>
        <v>0.94990013527088724</v>
      </c>
      <c r="H348" s="412" t="b">
        <f>Wh_hp&gt;='2019'!Maxi_hp</f>
        <v>1</v>
      </c>
      <c r="I348" s="388">
        <f>IF(H348,Wh_hp,'2019'!Maxi_hp)</f>
        <v>27.039927040267969</v>
      </c>
      <c r="J348" s="85">
        <f>IF(H348,An,'2019'!An_max)</f>
        <v>2020</v>
      </c>
      <c r="K348" s="197">
        <f t="shared" si="125"/>
        <v>44164</v>
      </c>
      <c r="L348" s="147">
        <f>IF(t&lt;Tvie,1-EXP((T0-t)*PertePVj)+'2019'!Pspv,1-EXP((T0-t)*PertePVj)+Pspv)</f>
        <v>1.3117855368335207E-2</v>
      </c>
      <c r="M348" s="832"/>
      <c r="N348" s="832"/>
      <c r="O348" s="48">
        <f>IF(t&lt;Tnet,'2019'!Resal+('2019'!Salim-'2019'!Resal)*(1-EXP(('2019'!Tnet-t)/('2019'!Tau_j))),Resal+(Salim-Resal)*(1-EXP((Tnet-t)/(Tau_j))))*Salcycl</f>
        <v>3.7575114174844042E-2</v>
      </c>
      <c r="P348" s="169">
        <f>(INDEX(Models!$BJ348:$BT348,,T348)*(1-R348)+INDEX(Models!$BJ348:$BT348,,T348+1)*R348-ERP_i)*Q348*Ramure*Pc/MaxiM</f>
        <v>9.0720005707986186E-3</v>
      </c>
      <c r="Q348" s="304">
        <f t="shared" si="126"/>
        <v>0.7</v>
      </c>
      <c r="R348" s="177">
        <f t="shared" si="127"/>
        <v>0.53441019326975847</v>
      </c>
      <c r="S348" s="799">
        <f t="shared" si="128"/>
        <v>-1</v>
      </c>
      <c r="T348" s="176">
        <f t="shared" si="129"/>
        <v>5</v>
      </c>
      <c r="U348" s="250">
        <f t="shared" si="130"/>
        <v>-0.46558980673024153</v>
      </c>
      <c r="V348" s="382">
        <f t="shared" si="131"/>
        <v>26.791794385031064</v>
      </c>
      <c r="W348" s="58"/>
      <c r="X348" s="157">
        <f t="shared" si="132"/>
        <v>44164</v>
      </c>
      <c r="Y348" s="383">
        <f t="shared" si="133"/>
        <v>25.446321959567857</v>
      </c>
      <c r="Z348" s="383">
        <f t="shared" si="134"/>
        <v>25.784560089558838</v>
      </c>
      <c r="AA348" s="384">
        <f t="shared" si="135"/>
        <v>26.791244147278967</v>
      </c>
      <c r="AB348" s="197">
        <f t="shared" si="136"/>
        <v>44164</v>
      </c>
      <c r="AC348" s="424">
        <f>IF(OR(t&lt;Tnet,NoTnet),'2019'!Resal_s+('2019'!Salim-'2019'!Resal_s)*(1-EXP(('2019'!Tnet_s-t)/'2019'!Tau_j)),Resal_s+(Salim-Resal_s)*(1-EXP((Tnet_s-t)/Tau_j)))*Salcycl</f>
        <v>3.7575114174844042E-2</v>
      </c>
      <c r="AD348" s="230">
        <f>(INDEX(Models!$BJ348:$BT348,,AH348)*(1-AF348)+INDEX(Models!$BJ348:$BT348,,AH348+1)*AF348-ERP_i)*AE348*Ramure*Pc/MaxiM</f>
        <v>9.8964897931984753E-3</v>
      </c>
      <c r="AE348" s="304">
        <f t="shared" si="137"/>
        <v>0.7</v>
      </c>
      <c r="AF348" s="177">
        <f t="shared" si="138"/>
        <v>0.59874241552959062</v>
      </c>
      <c r="AG348" s="176">
        <f t="shared" si="139"/>
        <v>-1</v>
      </c>
      <c r="AH348" s="176">
        <f t="shared" si="140"/>
        <v>5</v>
      </c>
      <c r="AI348" s="224">
        <f t="shared" si="141"/>
        <v>-0.40125758447040938</v>
      </c>
      <c r="AJ348" s="264" t="b">
        <f t="shared" si="142"/>
        <v>0</v>
      </c>
      <c r="AK348" s="264" t="b">
        <f t="shared" si="143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44"/>
        <v>44165</v>
      </c>
      <c r="B349" s="607">
        <v>26.233000000000001</v>
      </c>
      <c r="C349" s="388"/>
      <c r="D349" s="391">
        <f t="shared" si="123"/>
        <v>26.582204270082034</v>
      </c>
      <c r="E349" s="383">
        <f t="shared" si="121"/>
        <v>27.620759345873768</v>
      </c>
      <c r="F349" s="383">
        <f t="shared" si="124"/>
        <v>27.868335200452961</v>
      </c>
      <c r="G349" s="110">
        <f t="shared" si="122"/>
        <v>0.98726533415538442</v>
      </c>
      <c r="H349" s="412" t="b">
        <f>Wh_hp&gt;='2019'!Maxi_hp</f>
        <v>1</v>
      </c>
      <c r="I349" s="388">
        <f>IF(H349,Wh_hp,'2019'!Maxi_hp)</f>
        <v>27.868335200452961</v>
      </c>
      <c r="J349" s="85">
        <f>IF(H349,An,'2019'!An_max)</f>
        <v>2020</v>
      </c>
      <c r="K349" s="197">
        <f t="shared" si="125"/>
        <v>44165</v>
      </c>
      <c r="L349" s="147">
        <f>IF(t&lt;Tvie,1-EXP((T0-t)*PertePVj)+'2019'!Pspv,1-EXP((T0-t)*PertePVj)+Pspv)</f>
        <v>1.3136768739493099E-2</v>
      </c>
      <c r="M349" s="832"/>
      <c r="N349" s="832"/>
      <c r="O349" s="48">
        <f>IF(t&lt;Tnet,'2019'!Resal+('2019'!Salim-'2019'!Resal)*(1-EXP(('2019'!Tnet-t)/('2019'!Tau_j))),Resal+(Salim-Resal)*(1-EXP((Tnet-t)/(Tau_j))))*Salcycl</f>
        <v>3.7600525850382996E-2</v>
      </c>
      <c r="P349" s="169">
        <f>(INDEX(Models!$BJ349:$BT349,,T349)*(1-R349)+INDEX(Models!$BJ349:$BT349,,T349+1)*R349-ERP_i)*Q349*Ramure*Pc/MaxiM</f>
        <v>9.046249935561395E-3</v>
      </c>
      <c r="Q349" s="304">
        <f t="shared" si="126"/>
        <v>0.7</v>
      </c>
      <c r="R349" s="177">
        <f t="shared" si="127"/>
        <v>0.53442335649869888</v>
      </c>
      <c r="S349" s="799">
        <f t="shared" si="128"/>
        <v>-1</v>
      </c>
      <c r="T349" s="176">
        <f t="shared" si="129"/>
        <v>5</v>
      </c>
      <c r="U349" s="250">
        <f t="shared" si="130"/>
        <v>-0.46557664350130112</v>
      </c>
      <c r="V349" s="382">
        <f t="shared" si="131"/>
        <v>26.567021576765523</v>
      </c>
      <c r="W349" s="58"/>
      <c r="X349" s="157">
        <f t="shared" si="132"/>
        <v>44165</v>
      </c>
      <c r="Y349" s="383">
        <f t="shared" si="133"/>
        <v>26.211586490890642</v>
      </c>
      <c r="Z349" s="383">
        <f t="shared" si="134"/>
        <v>26.560505712033613</v>
      </c>
      <c r="AA349" s="384">
        <f t="shared" si="135"/>
        <v>27.598213034668024</v>
      </c>
      <c r="AB349" s="197">
        <f t="shared" si="136"/>
        <v>44165</v>
      </c>
      <c r="AC349" s="424">
        <f>IF(OR(t&lt;Tnet,NoTnet),'2019'!Resal_s+('2019'!Salim-'2019'!Resal_s)*(1-EXP(('2019'!Tnet_s-t)/'2019'!Tau_j)),Resal_s+(Salim-Resal_s)*(1-EXP((Tnet_s-t)/Tau_j)))*Salcycl</f>
        <v>3.7600525850382996E-2</v>
      </c>
      <c r="AD349" s="230">
        <f>(INDEX(Models!$BJ349:$BT349,,AH349)*(1-AF349)+INDEX(Models!$BJ349:$BT349,,AH349+1)*AF349-ERP_i)*AE349*Ramure*Pc/MaxiM</f>
        <v>9.8700765023271627E-3</v>
      </c>
      <c r="AE349" s="304">
        <f t="shared" si="137"/>
        <v>0.7</v>
      </c>
      <c r="AF349" s="177">
        <f t="shared" si="138"/>
        <v>0.59875557875853103</v>
      </c>
      <c r="AG349" s="176">
        <f t="shared" si="139"/>
        <v>-1</v>
      </c>
      <c r="AH349" s="176">
        <f t="shared" si="140"/>
        <v>5</v>
      </c>
      <c r="AI349" s="224">
        <f t="shared" si="141"/>
        <v>-0.40124442124146897</v>
      </c>
      <c r="AJ349" s="264" t="b">
        <f t="shared" si="142"/>
        <v>0</v>
      </c>
      <c r="AK349" s="264" t="b">
        <f t="shared" si="143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44"/>
        <v>44166</v>
      </c>
      <c r="B350" s="607">
        <v>4.6689999999999996</v>
      </c>
      <c r="C350" s="388"/>
      <c r="D350" s="391">
        <f t="shared" si="123"/>
        <v>4.7312427235443435</v>
      </c>
      <c r="E350" s="383">
        <f t="shared" si="121"/>
        <v>4.9162232053439912</v>
      </c>
      <c r="F350" s="383">
        <f t="shared" si="124"/>
        <v>4.9162232053439912</v>
      </c>
      <c r="G350" s="110">
        <f t="shared" si="122"/>
        <v>0.17562251218070879</v>
      </c>
      <c r="H350" s="412" t="b">
        <f>Wh_hp&gt;='2019'!Maxi_hp</f>
        <v>1</v>
      </c>
      <c r="I350" s="388">
        <f>IF(H350,Wh_hp,'2019'!Maxi_hp)</f>
        <v>4.9162232053439912</v>
      </c>
      <c r="J350" s="85">
        <f>IF(H350,An,'2019'!An_max)</f>
        <v>2020</v>
      </c>
      <c r="K350" s="197">
        <f t="shared" si="125"/>
        <v>44166</v>
      </c>
      <c r="L350" s="147">
        <f>IF(t&lt;Tvie,1-EXP((T0-t)*PertePVj)+'2019'!Pspv,1-EXP((T0-t)*PertePVj)+Pspv)</f>
        <v>1.3155681748180492E-2</v>
      </c>
      <c r="M350" s="832"/>
      <c r="N350" s="832"/>
      <c r="O350" s="48">
        <f>IF(t&lt;Tnet,'2019'!Resal+('2019'!Salim-'2019'!Resal)*(1-EXP(('2019'!Tnet-t)/('2019'!Tau_j))),Resal+(Salim-Resal)*(1-EXP((Tnet-t)/(Tau_j))))*Salcycl</f>
        <v>3.7626542586303137E-2</v>
      </c>
      <c r="P350" s="169">
        <f>(INDEX(Models!$BJ350:$BT350,,T350)*(1-R350)+INDEX(Models!$BJ350:$BT350,,T350+1)*R350-ERP_i)*Q350*Ramure*Pc/MaxiM</f>
        <v>9.0258970719457685E-3</v>
      </c>
      <c r="Q350" s="304">
        <f t="shared" si="126"/>
        <v>0.7</v>
      </c>
      <c r="R350" s="177">
        <f t="shared" si="127"/>
        <v>0.53443599055183644</v>
      </c>
      <c r="S350" s="799">
        <f t="shared" si="128"/>
        <v>-1</v>
      </c>
      <c r="T350" s="176">
        <f t="shared" si="129"/>
        <v>5</v>
      </c>
      <c r="U350" s="250">
        <f t="shared" si="130"/>
        <v>-0.46556400944816356</v>
      </c>
      <c r="V350" s="382">
        <f t="shared" si="131"/>
        <v>26.345472622611307</v>
      </c>
      <c r="W350" s="58"/>
      <c r="X350" s="157">
        <f t="shared" si="132"/>
        <v>44166</v>
      </c>
      <c r="Y350" s="383">
        <f t="shared" si="133"/>
        <v>4.6689999999999996</v>
      </c>
      <c r="Z350" s="383">
        <f t="shared" si="134"/>
        <v>4.7312427235443435</v>
      </c>
      <c r="AA350" s="384">
        <f t="shared" si="135"/>
        <v>4.9162232053439912</v>
      </c>
      <c r="AB350" s="197">
        <f t="shared" si="136"/>
        <v>44166</v>
      </c>
      <c r="AC350" s="424">
        <f>IF(OR(t&lt;Tnet,NoTnet),'2019'!Resal_s+('2019'!Salim-'2019'!Resal_s)*(1-EXP(('2019'!Tnet_s-t)/'2019'!Tau_j)),Resal_s+(Salim-Resal_s)*(1-EXP((Tnet_s-t)/Tau_j)))*Salcycl</f>
        <v>3.7626542586303137E-2</v>
      </c>
      <c r="AD350" s="230">
        <f>(INDEX(Models!$BJ350:$BT350,,AH350)*(1-AF350)+INDEX(Models!$BJ350:$BT350,,AH350+1)*AF350-ERP_i)*AE350*Ramure*Pc/MaxiM</f>
        <v>9.8496274286210272E-3</v>
      </c>
      <c r="AE350" s="304">
        <f t="shared" si="137"/>
        <v>0.7</v>
      </c>
      <c r="AF350" s="177">
        <f t="shared" si="138"/>
        <v>0.59876821281166859</v>
      </c>
      <c r="AG350" s="176">
        <f t="shared" si="139"/>
        <v>-1</v>
      </c>
      <c r="AH350" s="176">
        <f t="shared" si="140"/>
        <v>5</v>
      </c>
      <c r="AI350" s="224">
        <f t="shared" si="141"/>
        <v>-0.40123178718833141</v>
      </c>
      <c r="AJ350" s="264" t="b">
        <f t="shared" si="142"/>
        <v>0</v>
      </c>
      <c r="AK350" s="264" t="b">
        <f t="shared" si="143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44"/>
        <v>44167</v>
      </c>
      <c r="B351" s="607">
        <v>1.1319999999999999</v>
      </c>
      <c r="C351" s="388"/>
      <c r="D351" s="391">
        <f t="shared" si="123"/>
        <v>1.1471127451418963</v>
      </c>
      <c r="E351" s="383">
        <f t="shared" si="121"/>
        <v>1.191995125767739</v>
      </c>
      <c r="F351" s="383">
        <f t="shared" si="124"/>
        <v>1.191995125767739</v>
      </c>
      <c r="G351" s="110">
        <f t="shared" si="122"/>
        <v>4.2933641254376535E-2</v>
      </c>
      <c r="H351" s="412" t="b">
        <f>Wh_hp&gt;='2019'!Maxi_hp</f>
        <v>0</v>
      </c>
      <c r="I351" s="388">
        <f>IF(H351,Wh_hp,'2019'!Maxi_hp)</f>
        <v>5.3682365295281649</v>
      </c>
      <c r="J351" s="85">
        <f>IF(H351,An,'2019'!An_max)</f>
        <v>2018</v>
      </c>
      <c r="K351" s="197">
        <f t="shared" si="125"/>
        <v>44167</v>
      </c>
      <c r="L351" s="147">
        <f>IF(t&lt;Tvie,1-EXP((T0-t)*PertePVj)+'2019'!Pspv,1-EXP((T0-t)*PertePVj)+Pspv)</f>
        <v>1.3174594394404493E-2</v>
      </c>
      <c r="M351" s="832"/>
      <c r="N351" s="832"/>
      <c r="O351" s="48">
        <f>IF(t&lt;Tnet,'2019'!Resal+('2019'!Salim-'2019'!Resal)*(1-EXP(('2019'!Tnet-t)/('2019'!Tau_j))),Resal+(Salim-Resal)*(1-EXP((Tnet-t)/(Tau_j))))*Salcycl</f>
        <v>3.765315784905994E-2</v>
      </c>
      <c r="P351" s="169">
        <f>(INDEX(Models!$BJ351:$BT351,,T351)*(1-R351)+INDEX(Models!$BJ351:$BT351,,T351+1)*R351-ERP_i)*Q351*Ramure*Pc/MaxiM</f>
        <v>9.0105193631861841E-3</v>
      </c>
      <c r="Q351" s="304">
        <f t="shared" si="126"/>
        <v>0.7</v>
      </c>
      <c r="R351" s="177">
        <f t="shared" si="127"/>
        <v>0.53444811667116654</v>
      </c>
      <c r="S351" s="799">
        <f t="shared" si="128"/>
        <v>-1</v>
      </c>
      <c r="T351" s="176">
        <f t="shared" si="129"/>
        <v>5</v>
      </c>
      <c r="U351" s="250">
        <f t="shared" si="130"/>
        <v>-0.46555188332883346</v>
      </c>
      <c r="V351" s="382">
        <f t="shared" si="131"/>
        <v>26.128696735372287</v>
      </c>
      <c r="W351" s="58"/>
      <c r="X351" s="157">
        <f t="shared" si="132"/>
        <v>44167</v>
      </c>
      <c r="Y351" s="383">
        <f t="shared" si="133"/>
        <v>1.1319999999999999</v>
      </c>
      <c r="Z351" s="383">
        <f t="shared" si="134"/>
        <v>1.1471127451418963</v>
      </c>
      <c r="AA351" s="384">
        <f t="shared" si="135"/>
        <v>1.191995125767739</v>
      </c>
      <c r="AB351" s="197">
        <f t="shared" si="136"/>
        <v>44167</v>
      </c>
      <c r="AC351" s="424">
        <f>IF(OR(t&lt;Tnet,NoTnet),'2019'!Resal_s+('2019'!Salim-'2019'!Resal_s)*(1-EXP(('2019'!Tnet_s-t)/'2019'!Tau_j)),Resal_s+(Salim-Resal_s)*(1-EXP((Tnet_s-t)/Tau_j)))*Salcycl</f>
        <v>3.765315784905994E-2</v>
      </c>
      <c r="AD351" s="230">
        <f>(INDEX(Models!$BJ351:$BT351,,AH351)*(1-AF351)+INDEX(Models!$BJ351:$BT351,,AH351+1)*AF351-ERP_i)*AE351*Ramure*Pc/MaxiM</f>
        <v>9.8346825444536566E-3</v>
      </c>
      <c r="AE351" s="304">
        <f t="shared" si="137"/>
        <v>0.7</v>
      </c>
      <c r="AF351" s="177">
        <f t="shared" si="138"/>
        <v>0.59878033893099869</v>
      </c>
      <c r="AG351" s="176">
        <f t="shared" si="139"/>
        <v>-1</v>
      </c>
      <c r="AH351" s="176">
        <f t="shared" si="140"/>
        <v>5</v>
      </c>
      <c r="AI351" s="224">
        <f t="shared" si="141"/>
        <v>-0.40121966106900131</v>
      </c>
      <c r="AJ351" s="264" t="b">
        <f t="shared" si="142"/>
        <v>0</v>
      </c>
      <c r="AK351" s="264" t="b">
        <f t="shared" si="143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44"/>
        <v>44168</v>
      </c>
      <c r="B352" s="607">
        <v>14.135</v>
      </c>
      <c r="C352" s="388"/>
      <c r="D352" s="391">
        <f t="shared" si="123"/>
        <v>14.323983572927443</v>
      </c>
      <c r="E352" s="383">
        <f t="shared" si="121"/>
        <v>14.884850130422617</v>
      </c>
      <c r="F352" s="383">
        <f t="shared" si="124"/>
        <v>14.931962547241282</v>
      </c>
      <c r="G352" s="110">
        <f t="shared" si="122"/>
        <v>0.5421712430182194</v>
      </c>
      <c r="H352" s="412" t="b">
        <f>Wh_hp&gt;='2019'!Maxi_hp</f>
        <v>1</v>
      </c>
      <c r="I352" s="388">
        <f>IF(H352,Wh_hp,'2019'!Maxi_hp)</f>
        <v>14.931962547241282</v>
      </c>
      <c r="J352" s="85">
        <f>IF(H352,An,'2019'!An_max)</f>
        <v>2020</v>
      </c>
      <c r="K352" s="197">
        <f t="shared" si="125"/>
        <v>44168</v>
      </c>
      <c r="L352" s="147">
        <f>IF(t&lt;Tvie,1-EXP((T0-t)*PertePVj)+'2019'!Pspv,1-EXP((T0-t)*PertePVj)+Pspv)</f>
        <v>1.3193506678171874E-2</v>
      </c>
      <c r="M352" s="832"/>
      <c r="N352" s="832"/>
      <c r="O352" s="48">
        <f>IF(t&lt;Tnet,'2019'!Resal+('2019'!Salim-'2019'!Resal)*(1-EXP(('2019'!Tnet-t)/('2019'!Tau_j))),Resal+(Salim-Resal)*(1-EXP((Tnet-t)/(Tau_j))))*Salcycl</f>
        <v>3.7680363092728687E-2</v>
      </c>
      <c r="P352" s="169">
        <f>(INDEX(Models!$BJ352:$BT352,,T352)*(1-R352)+INDEX(Models!$BJ352:$BT352,,T352+1)*R352-ERP_i)*Q352*Ramure*Pc/MaxiM</f>
        <v>9.0011059060291238E-3</v>
      </c>
      <c r="Q352" s="304">
        <f t="shared" si="126"/>
        <v>0.7</v>
      </c>
      <c r="R352" s="177">
        <f t="shared" si="127"/>
        <v>0.53445975524847444</v>
      </c>
      <c r="S352" s="799">
        <f t="shared" si="128"/>
        <v>-1</v>
      </c>
      <c r="T352" s="176">
        <f t="shared" si="129"/>
        <v>5</v>
      </c>
      <c r="U352" s="250">
        <f t="shared" si="130"/>
        <v>-0.4655402447515255</v>
      </c>
      <c r="V352" s="382">
        <f t="shared" si="131"/>
        <v>25.918205539701813</v>
      </c>
      <c r="W352" s="58"/>
      <c r="X352" s="157">
        <f t="shared" si="132"/>
        <v>44168</v>
      </c>
      <c r="Y352" s="383">
        <f t="shared" si="133"/>
        <v>14.130898679349487</v>
      </c>
      <c r="Z352" s="383">
        <f t="shared" si="134"/>
        <v>14.319827418019395</v>
      </c>
      <c r="AA352" s="384">
        <f t="shared" si="135"/>
        <v>14.880531238083057</v>
      </c>
      <c r="AB352" s="197">
        <f t="shared" si="136"/>
        <v>44168</v>
      </c>
      <c r="AC352" s="424">
        <f>IF(OR(t&lt;Tnet,NoTnet),'2019'!Resal_s+('2019'!Salim-'2019'!Resal_s)*(1-EXP(('2019'!Tnet_s-t)/'2019'!Tau_j)),Resal_s+(Salim-Resal_s)*(1-EXP((Tnet_s-t)/Tau_j)))*Salcycl</f>
        <v>3.7680363092728687E-2</v>
      </c>
      <c r="AD352" s="230">
        <f>(INDEX(Models!$BJ352:$BT352,,AH352)*(1-AF352)+INDEX(Models!$BJ352:$BT352,,AH352+1)*AF352-ERP_i)*AE352*Ramure*Pc/MaxiM</f>
        <v>9.8262558340137633E-3</v>
      </c>
      <c r="AE352" s="304">
        <f t="shared" si="137"/>
        <v>0.7</v>
      </c>
      <c r="AF352" s="177">
        <f t="shared" si="138"/>
        <v>0.59879197750830659</v>
      </c>
      <c r="AG352" s="176">
        <f t="shared" si="139"/>
        <v>-1</v>
      </c>
      <c r="AH352" s="176">
        <f t="shared" si="140"/>
        <v>5</v>
      </c>
      <c r="AI352" s="224">
        <f t="shared" si="141"/>
        <v>-0.40120802249169335</v>
      </c>
      <c r="AJ352" s="264" t="b">
        <f t="shared" si="142"/>
        <v>0</v>
      </c>
      <c r="AK352" s="264" t="b">
        <f t="shared" si="143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44"/>
        <v>44169</v>
      </c>
      <c r="B353" s="607">
        <v>7.3579999999999997</v>
      </c>
      <c r="C353" s="388"/>
      <c r="D353" s="391">
        <f t="shared" si="123"/>
        <v>7.4565186456411094</v>
      </c>
      <c r="E353" s="383">
        <f t="shared" si="121"/>
        <v>7.7487080754839539</v>
      </c>
      <c r="F353" s="383">
        <f t="shared" si="124"/>
        <v>7.7487080754839539</v>
      </c>
      <c r="G353" s="110">
        <f t="shared" si="122"/>
        <v>0.28355601951340481</v>
      </c>
      <c r="H353" s="412" t="b">
        <f>Wh_hp&gt;='2019'!Maxi_hp</f>
        <v>0</v>
      </c>
      <c r="I353" s="388">
        <f>IF(H353,Wh_hp,'2019'!Maxi_hp)</f>
        <v>11.159896146615354</v>
      </c>
      <c r="J353" s="85">
        <f>IF(H353,An,'2019'!An_max)</f>
        <v>2018</v>
      </c>
      <c r="K353" s="197">
        <f t="shared" si="125"/>
        <v>44169</v>
      </c>
      <c r="L353" s="147">
        <f>IF(t&lt;Tvie,1-EXP((T0-t)*PertePVj)+'2019'!Pspv,1-EXP((T0-t)*PertePVj)+Pspv)</f>
        <v>1.3212418599489628E-2</v>
      </c>
      <c r="M353" s="832"/>
      <c r="N353" s="832"/>
      <c r="O353" s="48">
        <f>IF(t&lt;Tnet,'2019'!Resal+('2019'!Salim-'2019'!Resal)*(1-EXP(('2019'!Tnet-t)/('2019'!Tau_j))),Resal+(Salim-Resal)*(1-EXP((Tnet-t)/(Tau_j))))*Salcycl</f>
        <v>3.7708147861099488E-2</v>
      </c>
      <c r="P353" s="169">
        <f>(INDEX(Models!$BJ353:$BT353,,T353)*(1-R353)+INDEX(Models!$BJ353:$BT353,,T353+1)*R353-ERP_i)*Q353*Ramure*Pc/MaxiM</f>
        <v>8.9945587098593845E-3</v>
      </c>
      <c r="Q353" s="304">
        <f t="shared" si="126"/>
        <v>0.7</v>
      </c>
      <c r="R353" s="177">
        <f t="shared" si="127"/>
        <v>0.53447092585916967</v>
      </c>
      <c r="S353" s="799">
        <f t="shared" si="128"/>
        <v>-1</v>
      </c>
      <c r="T353" s="176">
        <f t="shared" si="129"/>
        <v>5</v>
      </c>
      <c r="U353" s="250">
        <f t="shared" si="130"/>
        <v>-0.46552907414083033</v>
      </c>
      <c r="V353" s="382">
        <f t="shared" si="131"/>
        <v>25.715617145162177</v>
      </c>
      <c r="W353" s="58"/>
      <c r="X353" s="157">
        <f t="shared" si="132"/>
        <v>44169</v>
      </c>
      <c r="Y353" s="383">
        <f t="shared" si="133"/>
        <v>7.3579999999999997</v>
      </c>
      <c r="Z353" s="383">
        <f t="shared" si="134"/>
        <v>7.4565186456411094</v>
      </c>
      <c r="AA353" s="384">
        <f t="shared" si="135"/>
        <v>7.7487080754839539</v>
      </c>
      <c r="AB353" s="197">
        <f t="shared" si="136"/>
        <v>44169</v>
      </c>
      <c r="AC353" s="424">
        <f>IF(OR(t&lt;Tnet,NoTnet),'2019'!Resal_s+('2019'!Salim-'2019'!Resal_s)*(1-EXP(('2019'!Tnet_s-t)/'2019'!Tau_j)),Resal_s+(Salim-Resal_s)*(1-EXP((Tnet_s-t)/Tau_j)))*Salcycl</f>
        <v>3.7708147861099488E-2</v>
      </c>
      <c r="AD353" s="230">
        <f>(INDEX(Models!$BJ353:$BT353,,AH353)*(1-AF353)+INDEX(Models!$BJ353:$BT353,,AH353+1)*AF353-ERP_i)*AE353*Ramure*Pc/MaxiM</f>
        <v>9.8208578027127805E-3</v>
      </c>
      <c r="AE353" s="304">
        <f t="shared" si="137"/>
        <v>0.7</v>
      </c>
      <c r="AF353" s="177">
        <f t="shared" si="138"/>
        <v>0.59880314811900182</v>
      </c>
      <c r="AG353" s="176">
        <f t="shared" si="139"/>
        <v>-1</v>
      </c>
      <c r="AH353" s="176">
        <f t="shared" si="140"/>
        <v>5</v>
      </c>
      <c r="AI353" s="224">
        <f t="shared" si="141"/>
        <v>-0.40119685188099818</v>
      </c>
      <c r="AJ353" s="264" t="b">
        <f t="shared" si="142"/>
        <v>0</v>
      </c>
      <c r="AK353" s="264" t="b">
        <f t="shared" si="143"/>
        <v>0</v>
      </c>
      <c r="AL353" s="264"/>
      <c r="AM353" s="264"/>
      <c r="AN353" s="75"/>
    </row>
    <row r="354" spans="1:40" s="6" customFormat="1" ht="11.25" x14ac:dyDescent="0.2">
      <c r="A354" s="56">
        <f t="shared" si="144"/>
        <v>44170</v>
      </c>
      <c r="B354" s="607">
        <v>22.937999999999999</v>
      </c>
      <c r="C354" s="388"/>
      <c r="D354" s="391">
        <f t="shared" si="123"/>
        <v>23.245569808860346</v>
      </c>
      <c r="E354" s="383">
        <f t="shared" si="121"/>
        <v>24.157177120864507</v>
      </c>
      <c r="F354" s="383">
        <f t="shared" si="124"/>
        <v>24.344380996305986</v>
      </c>
      <c r="G354" s="110">
        <f t="shared" si="122"/>
        <v>0.897559201658231</v>
      </c>
      <c r="H354" s="412" t="b">
        <f>Wh_hp&gt;='2019'!Maxi_hp</f>
        <v>1</v>
      </c>
      <c r="I354" s="388">
        <f>IF(H354,Wh_hp,'2019'!Maxi_hp)</f>
        <v>24.344380996305986</v>
      </c>
      <c r="J354" s="85">
        <f>IF(H354,An,'2019'!An_max)</f>
        <v>2020</v>
      </c>
      <c r="K354" s="197">
        <f t="shared" si="125"/>
        <v>44170</v>
      </c>
      <c r="L354" s="147">
        <f>IF(t&lt;Tvie,1-EXP((T0-t)*PertePVj)+'2019'!Pspv,1-EXP((T0-t)*PertePVj)+Pspv)</f>
        <v>1.3231330158364751E-2</v>
      </c>
      <c r="M354" s="832"/>
      <c r="N354" s="832"/>
      <c r="O354" s="48">
        <f>IF(t&lt;Tnet,'2019'!Resal+('2019'!Salim-'2019'!Resal)*(1-EXP(('2019'!Tnet-t)/('2019'!Tau_j))),Resal+(Salim-Resal)*(1-EXP((Tnet-t)/(Tau_j))))*Salcycl</f>
        <v>3.7736499899932753E-2</v>
      </c>
      <c r="P354" s="169">
        <f>(INDEX(Models!$BJ354:$BT354,,T354)*(1-R354)+INDEX(Models!$BJ354:$BT354,,T354+1)*R354-ERP_i)*Q354*Ramure*Pc/MaxiM</f>
        <v>8.9903780506192833E-3</v>
      </c>
      <c r="Q354" s="304">
        <f t="shared" si="126"/>
        <v>0.7</v>
      </c>
      <c r="R354" s="177">
        <f t="shared" si="127"/>
        <v>0.53448164729478798</v>
      </c>
      <c r="S354" s="799">
        <f t="shared" si="128"/>
        <v>-1</v>
      </c>
      <c r="T354" s="176">
        <f t="shared" si="129"/>
        <v>5</v>
      </c>
      <c r="U354" s="250">
        <f t="shared" si="130"/>
        <v>-0.46551835270521197</v>
      </c>
      <c r="V354" s="382">
        <f t="shared" si="131"/>
        <v>25.522479792260839</v>
      </c>
      <c r="W354" s="58"/>
      <c r="X354" s="157">
        <f t="shared" si="132"/>
        <v>44170</v>
      </c>
      <c r="Y354" s="383">
        <f t="shared" si="133"/>
        <v>22.921637617292557</v>
      </c>
      <c r="Z354" s="383">
        <f t="shared" si="134"/>
        <v>23.228988027124139</v>
      </c>
      <c r="AA354" s="384">
        <f t="shared" si="135"/>
        <v>24.13994506152267</v>
      </c>
      <c r="AB354" s="197">
        <f t="shared" si="136"/>
        <v>44170</v>
      </c>
      <c r="AC354" s="424">
        <f>IF(OR(t&lt;Tnet,NoTnet),'2019'!Resal_s+('2019'!Salim-'2019'!Resal_s)*(1-EXP(('2019'!Tnet_s-t)/'2019'!Tau_j)),Resal_s+(Salim-Resal_s)*(1-EXP((Tnet_s-t)/Tau_j)))*Salcycl</f>
        <v>3.7736499899932753E-2</v>
      </c>
      <c r="AD354" s="230">
        <f>(INDEX(Models!$BJ354:$BT354,,AH354)*(1-AF354)+INDEX(Models!$BJ354:$BT354,,AH354+1)*AF354-ERP_i)*AE354*Ramure*Pc/MaxiM</f>
        <v>9.8179395939284146E-3</v>
      </c>
      <c r="AE354" s="304">
        <f t="shared" si="137"/>
        <v>0.7</v>
      </c>
      <c r="AF354" s="177">
        <f t="shared" si="138"/>
        <v>0.59881386955462013</v>
      </c>
      <c r="AG354" s="176">
        <f t="shared" si="139"/>
        <v>-1</v>
      </c>
      <c r="AH354" s="176">
        <f t="shared" si="140"/>
        <v>5</v>
      </c>
      <c r="AI354" s="224">
        <f t="shared" si="141"/>
        <v>-0.40118613044537982</v>
      </c>
      <c r="AJ354" s="264" t="b">
        <f t="shared" si="142"/>
        <v>0</v>
      </c>
      <c r="AK354" s="264" t="b">
        <f t="shared" si="143"/>
        <v>0</v>
      </c>
      <c r="AL354" s="264"/>
      <c r="AM354" s="264"/>
      <c r="AN354" s="75"/>
    </row>
    <row r="355" spans="1:40" s="6" customFormat="1" ht="11.25" x14ac:dyDescent="0.2">
      <c r="A355" s="56">
        <f t="shared" si="144"/>
        <v>44171</v>
      </c>
      <c r="B355" s="607">
        <v>15.007</v>
      </c>
      <c r="C355" s="388"/>
      <c r="D355" s="391">
        <f t="shared" si="123"/>
        <v>15.208516514465188</v>
      </c>
      <c r="E355" s="383">
        <f t="shared" si="121"/>
        <v>15.805414394673214</v>
      </c>
      <c r="F355" s="383">
        <f t="shared" si="124"/>
        <v>15.864941155785763</v>
      </c>
      <c r="G355" s="110">
        <f t="shared" si="122"/>
        <v>0.5891052496467406</v>
      </c>
      <c r="H355" s="412" t="b">
        <f>Wh_hp&gt;='2019'!Maxi_hp</f>
        <v>0</v>
      </c>
      <c r="I355" s="388">
        <f>IF(H355,Wh_hp,'2019'!Maxi_hp)</f>
        <v>17.844821447176248</v>
      </c>
      <c r="J355" s="85">
        <f>IF(H355,An,'2019'!An_max)</f>
        <v>2018</v>
      </c>
      <c r="K355" s="197">
        <f t="shared" si="125"/>
        <v>44171</v>
      </c>
      <c r="L355" s="147">
        <f>IF(t&lt;Tvie,1-EXP((T0-t)*PertePVj)+'2019'!Pspv,1-EXP((T0-t)*PertePVj)+Pspv)</f>
        <v>1.3250241354804126E-2</v>
      </c>
      <c r="M355" s="832"/>
      <c r="N355" s="832"/>
      <c r="O355" s="48">
        <f>IF(t&lt;Tnet,'2019'!Resal+('2019'!Salim-'2019'!Resal)*(1-EXP(('2019'!Tnet-t)/('2019'!Tau_j))),Resal+(Salim-Resal)*(1-EXP((Tnet-t)/(Tau_j))))*Salcycl</f>
        <v>3.776540527840859E-2</v>
      </c>
      <c r="P355" s="169">
        <f>(INDEX(Models!$BJ355:$BT355,,T355)*(1-R355)+INDEX(Models!$BJ355:$BT355,,T355+1)*R355-ERP_i)*Q355*Ramure*Pc/MaxiM</f>
        <v>8.988044911168629E-3</v>
      </c>
      <c r="Q355" s="304">
        <f t="shared" si="126"/>
        <v>0.7</v>
      </c>
      <c r="R355" s="177">
        <f t="shared" si="127"/>
        <v>0.53449193759421609</v>
      </c>
      <c r="S355" s="799">
        <f t="shared" si="128"/>
        <v>-1</v>
      </c>
      <c r="T355" s="176">
        <f t="shared" si="129"/>
        <v>5</v>
      </c>
      <c r="U355" s="250">
        <f t="shared" si="130"/>
        <v>-0.46550806240578391</v>
      </c>
      <c r="V355" s="382">
        <f t="shared" si="131"/>
        <v>25.340341422923387</v>
      </c>
      <c r="W355" s="58"/>
      <c r="X355" s="157">
        <f t="shared" si="132"/>
        <v>44171</v>
      </c>
      <c r="Y355" s="383">
        <f t="shared" si="133"/>
        <v>15.001787694749732</v>
      </c>
      <c r="Z355" s="383">
        <f t="shared" si="134"/>
        <v>15.203234217505294</v>
      </c>
      <c r="AA355" s="384">
        <f t="shared" si="135"/>
        <v>15.799924780197836</v>
      </c>
      <c r="AB355" s="197">
        <f t="shared" si="136"/>
        <v>44171</v>
      </c>
      <c r="AC355" s="424">
        <f>IF(OR(t&lt;Tnet,NoTnet),'2019'!Resal_s+('2019'!Salim-'2019'!Resal_s)*(1-EXP(('2019'!Tnet_s-t)/'2019'!Tau_j)),Resal_s+(Salim-Resal_s)*(1-EXP((Tnet_s-t)/Tau_j)))*Salcycl</f>
        <v>3.776540527840859E-2</v>
      </c>
      <c r="AD355" s="230">
        <f>(INDEX(Models!$BJ355:$BT355,,AH355)*(1-AF355)+INDEX(Models!$BJ355:$BT355,,AH355+1)*AF355-ERP_i)*AE355*Ramure*Pc/MaxiM</f>
        <v>9.8169309538075136E-3</v>
      </c>
      <c r="AE355" s="304">
        <f t="shared" si="137"/>
        <v>0.7</v>
      </c>
      <c r="AF355" s="177">
        <f t="shared" si="138"/>
        <v>0.59882415985404824</v>
      </c>
      <c r="AG355" s="176">
        <f t="shared" si="139"/>
        <v>-1</v>
      </c>
      <c r="AH355" s="176">
        <f t="shared" si="140"/>
        <v>5</v>
      </c>
      <c r="AI355" s="224">
        <f t="shared" si="141"/>
        <v>-0.40117584014595176</v>
      </c>
      <c r="AJ355" s="264" t="b">
        <f t="shared" si="142"/>
        <v>0</v>
      </c>
      <c r="AK355" s="264" t="b">
        <f t="shared" si="143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44"/>
        <v>44172</v>
      </c>
      <c r="B356" s="607">
        <v>2.536</v>
      </c>
      <c r="C356" s="388"/>
      <c r="D356" s="391">
        <f t="shared" si="123"/>
        <v>2.5701030890292724</v>
      </c>
      <c r="E356" s="383">
        <f t="shared" si="121"/>
        <v>2.6710552163150867</v>
      </c>
      <c r="F356" s="383">
        <f t="shared" si="124"/>
        <v>2.6710552163150867</v>
      </c>
      <c r="G356" s="110">
        <f t="shared" si="122"/>
        <v>9.9846406972007973E-2</v>
      </c>
      <c r="H356" s="412" t="b">
        <f>Wh_hp&gt;='2019'!Maxi_hp</f>
        <v>0</v>
      </c>
      <c r="I356" s="388">
        <f>IF(H356,Wh_hp,'2019'!Maxi_hp)</f>
        <v>18.164839905008368</v>
      </c>
      <c r="J356" s="85">
        <f>IF(H356,An,'2019'!An_max)</f>
        <v>2018</v>
      </c>
      <c r="K356" s="197">
        <f t="shared" si="125"/>
        <v>44172</v>
      </c>
      <c r="L356" s="147">
        <f>IF(t&lt;Tvie,1-EXP((T0-t)*PertePVj)+'2019'!Pspv,1-EXP((T0-t)*PertePVj)+Pspv)</f>
        <v>1.3269152188814748E-2</v>
      </c>
      <c r="M356" s="832"/>
      <c r="N356" s="832"/>
      <c r="O356" s="48">
        <f>IF(t&lt;Tnet,'2019'!Resal+('2019'!Salim-'2019'!Resal)*(1-EXP(('2019'!Tnet-t)/('2019'!Tau_j))),Resal+(Salim-Resal)*(1-EXP((Tnet-t)/(Tau_j))))*Salcycl</f>
        <v>3.7794848518738246E-2</v>
      </c>
      <c r="P356" s="169">
        <f>(INDEX(Models!$BJ356:$BT356,,T356)*(1-R356)+INDEX(Models!$BJ356:$BT356,,T356+1)*R356-ERP_i)*Q356*Ramure*Pc/MaxiM</f>
        <v>8.9870213368686558E-3</v>
      </c>
      <c r="Q356" s="304">
        <f t="shared" si="126"/>
        <v>0.7</v>
      </c>
      <c r="R356" s="177">
        <f t="shared" si="127"/>
        <v>0.53450181407368325</v>
      </c>
      <c r="S356" s="799">
        <f t="shared" si="128"/>
        <v>-1</v>
      </c>
      <c r="T356" s="176">
        <f t="shared" si="129"/>
        <v>5</v>
      </c>
      <c r="U356" s="250">
        <f t="shared" si="130"/>
        <v>-0.4654981859263167</v>
      </c>
      <c r="V356" s="382">
        <f t="shared" si="131"/>
        <v>25.170749655461123</v>
      </c>
      <c r="W356" s="58"/>
      <c r="X356" s="157">
        <f t="shared" si="132"/>
        <v>44172</v>
      </c>
      <c r="Y356" s="383">
        <f t="shared" si="133"/>
        <v>2.536</v>
      </c>
      <c r="Z356" s="383">
        <f t="shared" si="134"/>
        <v>2.5701030890292724</v>
      </c>
      <c r="AA356" s="384">
        <f t="shared" si="135"/>
        <v>2.6710552163150867</v>
      </c>
      <c r="AB356" s="197">
        <f t="shared" si="136"/>
        <v>44172</v>
      </c>
      <c r="AC356" s="424">
        <f>IF(OR(t&lt;Tnet,NoTnet),'2019'!Resal_s+('2019'!Salim-'2019'!Resal_s)*(1-EXP(('2019'!Tnet_s-t)/'2019'!Tau_j)),Resal_s+(Salim-Resal_s)*(1-EXP((Tnet_s-t)/Tau_j)))*Salcycl</f>
        <v>3.7794848518738246E-2</v>
      </c>
      <c r="AD356" s="230">
        <f>(INDEX(Models!$BJ356:$BT356,,AH356)*(1-AF356)+INDEX(Models!$BJ356:$BT356,,AH356+1)*AF356-ERP_i)*AE356*Ramure*Pc/MaxiM</f>
        <v>9.8172406840074146E-3</v>
      </c>
      <c r="AE356" s="304">
        <f t="shared" si="137"/>
        <v>0.7</v>
      </c>
      <c r="AF356" s="177">
        <f t="shared" si="138"/>
        <v>0.5988340363335154</v>
      </c>
      <c r="AG356" s="176">
        <f t="shared" si="139"/>
        <v>-1</v>
      </c>
      <c r="AH356" s="176">
        <f t="shared" si="140"/>
        <v>5</v>
      </c>
      <c r="AI356" s="224">
        <f t="shared" si="141"/>
        <v>-0.40116596366648455</v>
      </c>
      <c r="AJ356" s="264" t="b">
        <f t="shared" si="142"/>
        <v>0</v>
      </c>
      <c r="AK356" s="264" t="b">
        <f t="shared" si="143"/>
        <v>0</v>
      </c>
      <c r="AL356" s="264"/>
      <c r="AM356" s="264"/>
      <c r="AN356" s="75"/>
    </row>
    <row r="357" spans="1:40" s="6" customFormat="1" ht="11.25" x14ac:dyDescent="0.2">
      <c r="A357" s="56">
        <f t="shared" si="144"/>
        <v>44173</v>
      </c>
      <c r="B357" s="607">
        <v>8.52</v>
      </c>
      <c r="C357" s="388"/>
      <c r="D357" s="391">
        <f t="shared" si="123"/>
        <v>8.634738952253775</v>
      </c>
      <c r="E357" s="383">
        <f t="shared" si="121"/>
        <v>8.9741858515172037</v>
      </c>
      <c r="F357" s="383">
        <f t="shared" si="124"/>
        <v>8.9788650221835749</v>
      </c>
      <c r="G357" s="110">
        <f t="shared" si="122"/>
        <v>0.33770738709179576</v>
      </c>
      <c r="H357" s="412" t="b">
        <f>Wh_hp&gt;='2019'!Maxi_hp</f>
        <v>1</v>
      </c>
      <c r="I357" s="388">
        <f>IF(H357,Wh_hp,'2019'!Maxi_hp)</f>
        <v>8.9788650221835749</v>
      </c>
      <c r="J357" s="85">
        <f>IF(H357,An,'2019'!An_max)</f>
        <v>2020</v>
      </c>
      <c r="K357" s="197">
        <f t="shared" si="125"/>
        <v>44173</v>
      </c>
      <c r="L357" s="147">
        <f>IF(t&lt;Tvie,1-EXP((T0-t)*PertePVj)+'2019'!Pspv,1-EXP((T0-t)*PertePVj)+Pspv)</f>
        <v>1.328806266040361E-2</v>
      </c>
      <c r="M357" s="832"/>
      <c r="N357" s="832"/>
      <c r="O357" s="48">
        <f>IF(t&lt;Tnet,'2019'!Resal+('2019'!Salim-'2019'!Resal)*(1-EXP(('2019'!Tnet-t)/('2019'!Tau_j))),Resal+(Salim-Resal)*(1-EXP((Tnet-t)/(Tau_j))))*Salcycl</f>
        <v>3.7824812732849808E-2</v>
      </c>
      <c r="P357" s="169">
        <f>(INDEX(Models!$BJ357:$BT357,,T357)*(1-R357)+INDEX(Models!$BJ357:$BT357,,T357+1)*R357-ERP_i)*Q357*Ramure*Pc/MaxiM</f>
        <v>8.9867515628633335E-3</v>
      </c>
      <c r="Q357" s="304">
        <f t="shared" si="126"/>
        <v>0.7</v>
      </c>
      <c r="R357" s="177">
        <f t="shared" si="127"/>
        <v>0.53451129335557135</v>
      </c>
      <c r="S357" s="799">
        <f t="shared" si="128"/>
        <v>-1</v>
      </c>
      <c r="T357" s="176">
        <f t="shared" si="129"/>
        <v>5</v>
      </c>
      <c r="U357" s="250">
        <f t="shared" si="130"/>
        <v>-0.46548870664442865</v>
      </c>
      <c r="V357" s="382">
        <f t="shared" si="131"/>
        <v>25.01525176489395</v>
      </c>
      <c r="W357" s="58"/>
      <c r="X357" s="157">
        <f t="shared" si="132"/>
        <v>44173</v>
      </c>
      <c r="Y357" s="383">
        <f t="shared" si="133"/>
        <v>8.519588967395249</v>
      </c>
      <c r="Z357" s="383">
        <f t="shared" si="134"/>
        <v>8.6343223842675219</v>
      </c>
      <c r="AA357" s="384">
        <f t="shared" si="135"/>
        <v>8.9737529075047551</v>
      </c>
      <c r="AB357" s="197">
        <f t="shared" si="136"/>
        <v>44173</v>
      </c>
      <c r="AC357" s="424">
        <f>IF(OR(t&lt;Tnet,NoTnet),'2019'!Resal_s+('2019'!Salim-'2019'!Resal_s)*(1-EXP(('2019'!Tnet_s-t)/'2019'!Tau_j)),Resal_s+(Salim-Resal_s)*(1-EXP((Tnet_s-t)/Tau_j)))*Salcycl</f>
        <v>3.7824812732849808E-2</v>
      </c>
      <c r="AD357" s="230">
        <f>(INDEX(Models!$BJ357:$BT357,,AH357)*(1-AF357)+INDEX(Models!$BJ357:$BT357,,AH357+1)*AF357-ERP_i)*AE357*Ramure*Pc/MaxiM</f>
        <v>9.8182579467780383E-3</v>
      </c>
      <c r="AE357" s="304">
        <f t="shared" si="137"/>
        <v>0.7</v>
      </c>
      <c r="AF357" s="177">
        <f t="shared" si="138"/>
        <v>0.5988435156154035</v>
      </c>
      <c r="AG357" s="176">
        <f t="shared" si="139"/>
        <v>-1</v>
      </c>
      <c r="AH357" s="176">
        <f t="shared" si="140"/>
        <v>5</v>
      </c>
      <c r="AI357" s="224">
        <f t="shared" si="141"/>
        <v>-0.4011564843845965</v>
      </c>
      <c r="AJ357" s="264" t="b">
        <f t="shared" si="142"/>
        <v>0</v>
      </c>
      <c r="AK357" s="264" t="b">
        <f t="shared" si="143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44"/>
        <v>44174</v>
      </c>
      <c r="B358" s="607">
        <v>8.8219999999999992</v>
      </c>
      <c r="C358" s="388"/>
      <c r="D358" s="391">
        <f t="shared" si="123"/>
        <v>8.9409773420237197</v>
      </c>
      <c r="E358" s="383">
        <f t="shared" si="121"/>
        <v>9.2927572681997948</v>
      </c>
      <c r="F358" s="383">
        <f t="shared" si="124"/>
        <v>9.2992813779514218</v>
      </c>
      <c r="G358" s="110">
        <f t="shared" si="122"/>
        <v>0.35170728797342704</v>
      </c>
      <c r="H358" s="412" t="b">
        <f>Wh_hp&gt;='2019'!Maxi_hp</f>
        <v>0</v>
      </c>
      <c r="I358" s="388">
        <f>IF(H358,Wh_hp,'2019'!Maxi_hp)</f>
        <v>19.483808473016875</v>
      </c>
      <c r="J358" s="85">
        <f>IF(H358,An,'2019'!An_max)</f>
        <v>2018</v>
      </c>
      <c r="K358" s="197">
        <f t="shared" si="125"/>
        <v>44174</v>
      </c>
      <c r="L358" s="147">
        <f>IF(t&lt;Tvie,1-EXP((T0-t)*PertePVj)+'2019'!Pspv,1-EXP((T0-t)*PertePVj)+Pspv)</f>
        <v>1.3306972769577596E-2</v>
      </c>
      <c r="M358" s="832"/>
      <c r="N358" s="832"/>
      <c r="O358" s="48">
        <f>IF(t&lt;Tnet,'2019'!Resal+('2019'!Salim-'2019'!Resal)*(1-EXP(('2019'!Tnet-t)/('2019'!Tau_j))),Resal+(Salim-Resal)*(1-EXP((Tnet-t)/(Tau_j))))*Salcycl</f>
        <v>3.785527976501446E-2</v>
      </c>
      <c r="P358" s="169">
        <f>(INDEX(Models!$BJ358:$BT358,,T358)*(1-R358)+INDEX(Models!$BJ358:$BT358,,T358+1)*R358-ERP_i)*Q358*Ramure*Pc/MaxiM</f>
        <v>8.9866639779733835E-3</v>
      </c>
      <c r="Q358" s="304">
        <f t="shared" si="126"/>
        <v>0.7</v>
      </c>
      <c r="R358" s="177">
        <f t="shared" si="127"/>
        <v>0.53452039139608698</v>
      </c>
      <c r="S358" s="799">
        <f t="shared" si="128"/>
        <v>-1</v>
      </c>
      <c r="T358" s="176">
        <f t="shared" si="129"/>
        <v>5</v>
      </c>
      <c r="U358" s="250">
        <f t="shared" si="130"/>
        <v>-0.46547960860391302</v>
      </c>
      <c r="V358" s="382">
        <f t="shared" si="131"/>
        <v>24.875394675425653</v>
      </c>
      <c r="W358" s="58"/>
      <c r="X358" s="157">
        <f t="shared" si="132"/>
        <v>44174</v>
      </c>
      <c r="Y358" s="383">
        <f t="shared" si="133"/>
        <v>8.8214261097674278</v>
      </c>
      <c r="Z358" s="383">
        <f t="shared" si="134"/>
        <v>8.9403957120570183</v>
      </c>
      <c r="AA358" s="384">
        <f t="shared" si="135"/>
        <v>9.2921527541859774</v>
      </c>
      <c r="AB358" s="197">
        <f t="shared" si="136"/>
        <v>44174</v>
      </c>
      <c r="AC358" s="424">
        <f>IF(OR(t&lt;Tnet,NoTnet),'2019'!Resal_s+('2019'!Salim-'2019'!Resal_s)*(1-EXP(('2019'!Tnet_s-t)/'2019'!Tau_j)),Resal_s+(Salim-Resal_s)*(1-EXP((Tnet_s-t)/Tau_j)))*Salcycl</f>
        <v>3.785527976501446E-2</v>
      </c>
      <c r="AD358" s="230">
        <f>(INDEX(Models!$BJ358:$BT358,,AH358)*(1-AF358)+INDEX(Models!$BJ358:$BT358,,AH358+1)*AF358-ERP_i)*AE358*Ramure*Pc/MaxiM</f>
        <v>9.8193544934549164E-3</v>
      </c>
      <c r="AE358" s="304">
        <f t="shared" si="137"/>
        <v>0.7</v>
      </c>
      <c r="AF358" s="177">
        <f t="shared" si="138"/>
        <v>0.59885261365591913</v>
      </c>
      <c r="AG358" s="176">
        <f t="shared" si="139"/>
        <v>-1</v>
      </c>
      <c r="AH358" s="176">
        <f t="shared" si="140"/>
        <v>5</v>
      </c>
      <c r="AI358" s="224">
        <f t="shared" si="141"/>
        <v>-0.40114738634408087</v>
      </c>
      <c r="AJ358" s="264" t="b">
        <f t="shared" si="142"/>
        <v>0</v>
      </c>
      <c r="AK358" s="264" t="b">
        <f t="shared" si="143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44"/>
        <v>44175</v>
      </c>
      <c r="B359" s="607">
        <v>5.0129999999999999</v>
      </c>
      <c r="C359" s="388"/>
      <c r="D359" s="391">
        <f t="shared" si="123"/>
        <v>5.0807048762815414</v>
      </c>
      <c r="E359" s="383">
        <f t="shared" si="121"/>
        <v>5.2807734765848027</v>
      </c>
      <c r="F359" s="383">
        <f t="shared" si="124"/>
        <v>5.2807734765848027</v>
      </c>
      <c r="G359" s="110">
        <f t="shared" si="122"/>
        <v>0.20075270015048399</v>
      </c>
      <c r="H359" s="412" t="b">
        <f>Wh_hp&gt;='2019'!Maxi_hp</f>
        <v>1</v>
      </c>
      <c r="I359" s="388">
        <f>IF(H359,Wh_hp,'2019'!Maxi_hp)</f>
        <v>5.2807734765848027</v>
      </c>
      <c r="J359" s="85">
        <f>IF(H359,An,'2019'!An_max)</f>
        <v>2020</v>
      </c>
      <c r="K359" s="197">
        <f t="shared" si="125"/>
        <v>44175</v>
      </c>
      <c r="L359" s="147">
        <f>IF(t&lt;Tvie,1-EXP((T0-t)*PertePVj)+'2019'!Pspv,1-EXP((T0-t)*PertePVj)+Pspv)</f>
        <v>1.332588251634359E-2</v>
      </c>
      <c r="M359" s="832"/>
      <c r="N359" s="832"/>
      <c r="O359" s="48">
        <f>IF(t&lt;Tnet,'2019'!Resal+('2019'!Salim-'2019'!Resal)*(1-EXP(('2019'!Tnet-t)/('2019'!Tau_j))),Resal+(Salim-Resal)*(1-EXP((Tnet-t)/(Tau_j))))*Salcycl</f>
        <v>3.7886230339243737E-2</v>
      </c>
      <c r="P359" s="169">
        <f>(INDEX(Models!$BJ359:$BT359,,T359)*(1-R359)+INDEX(Models!$BJ359:$BT359,,T359+1)*R359-ERP_i)*Q359*Ramure*Pc/MaxiM</f>
        <v>8.988388099428991E-3</v>
      </c>
      <c r="Q359" s="304">
        <f t="shared" si="126"/>
        <v>0.7</v>
      </c>
      <c r="R359" s="177">
        <f t="shared" si="127"/>
        <v>0.53452912351184012</v>
      </c>
      <c r="S359" s="799">
        <f t="shared" si="128"/>
        <v>-1</v>
      </c>
      <c r="T359" s="176">
        <f t="shared" si="129"/>
        <v>5</v>
      </c>
      <c r="U359" s="250">
        <f t="shared" si="130"/>
        <v>-0.46547087648815993</v>
      </c>
      <c r="V359" s="382">
        <f t="shared" si="131"/>
        <v>24.74657230878389</v>
      </c>
      <c r="W359" s="58"/>
      <c r="X359" s="157">
        <f t="shared" si="132"/>
        <v>44175</v>
      </c>
      <c r="Y359" s="383">
        <f t="shared" si="133"/>
        <v>5.0129999999999999</v>
      </c>
      <c r="Z359" s="383">
        <f t="shared" si="134"/>
        <v>5.0807048762815414</v>
      </c>
      <c r="AA359" s="384">
        <f t="shared" si="135"/>
        <v>5.2807734765848027</v>
      </c>
      <c r="AB359" s="197">
        <f t="shared" si="136"/>
        <v>44175</v>
      </c>
      <c r="AC359" s="424">
        <f>IF(OR(t&lt;Tnet,NoTnet),'2019'!Resal_s+('2019'!Salim-'2019'!Resal_s)*(1-EXP(('2019'!Tnet_s-t)/'2019'!Tau_j)),Resal_s+(Salim-Resal_s)*(1-EXP((Tnet_s-t)/Tau_j)))*Salcycl</f>
        <v>3.7886230339243737E-2</v>
      </c>
      <c r="AD359" s="230">
        <f>(INDEX(Models!$BJ359:$BT359,,AH359)*(1-AF359)+INDEX(Models!$BJ359:$BT359,,AH359+1)*AF359-ERP_i)*AE359*Ramure*Pc/MaxiM</f>
        <v>9.8223074156593686E-3</v>
      </c>
      <c r="AE359" s="304">
        <f t="shared" si="137"/>
        <v>0.7</v>
      </c>
      <c r="AF359" s="177">
        <f t="shared" si="138"/>
        <v>0.59886134577167227</v>
      </c>
      <c r="AG359" s="176">
        <f t="shared" si="139"/>
        <v>-1</v>
      </c>
      <c r="AH359" s="176">
        <f t="shared" si="140"/>
        <v>5</v>
      </c>
      <c r="AI359" s="224">
        <f t="shared" si="141"/>
        <v>-0.40113865422832778</v>
      </c>
      <c r="AJ359" s="264" t="b">
        <f t="shared" si="142"/>
        <v>0</v>
      </c>
      <c r="AK359" s="264" t="b">
        <f t="shared" si="143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44"/>
        <v>44176</v>
      </c>
      <c r="B360" s="607">
        <v>8.0990000000000002</v>
      </c>
      <c r="C360" s="388"/>
      <c r="D360" s="391">
        <f t="shared" si="123"/>
        <v>8.2085412751249187</v>
      </c>
      <c r="E360" s="383">
        <f t="shared" si="121"/>
        <v>8.532056768037112</v>
      </c>
      <c r="F360" s="383">
        <f t="shared" si="124"/>
        <v>8.5352269562032479</v>
      </c>
      <c r="G360" s="110">
        <f t="shared" si="122"/>
        <v>0.32607175512939296</v>
      </c>
      <c r="H360" s="412" t="b">
        <f>Wh_hp&gt;='2019'!Maxi_hp</f>
        <v>1</v>
      </c>
      <c r="I360" s="388">
        <f>IF(H360,Wh_hp,'2019'!Maxi_hp)</f>
        <v>8.5352269562032479</v>
      </c>
      <c r="J360" s="85">
        <f>IF(H360,An,'2019'!An_max)</f>
        <v>2020</v>
      </c>
      <c r="K360" s="197">
        <f t="shared" si="125"/>
        <v>44176</v>
      </c>
      <c r="L360" s="147">
        <f>IF(t&lt;Tvie,1-EXP((T0-t)*PertePVj)+'2019'!Pspv,1-EXP((T0-t)*PertePVj)+Pspv)</f>
        <v>1.3344791900708586E-2</v>
      </c>
      <c r="M360" s="832"/>
      <c r="N360" s="832"/>
      <c r="O360" s="48">
        <f>IF(t&lt;Tnet,'2019'!Resal+('2019'!Salim-'2019'!Resal)*(1-EXP(('2019'!Tnet-t)/('2019'!Tau_j))),Resal+(Salim-Resal)*(1-EXP((Tnet-t)/(Tau_j))))*Salcycl</f>
        <v>3.791764421026253E-2</v>
      </c>
      <c r="P360" s="169">
        <f>(INDEX(Models!$BJ360:$BT360,,T360)*(1-R360)+INDEX(Models!$BJ360:$BT360,,T360+1)*R360-ERP_i)*Q360*Ramure*Pc/MaxiM</f>
        <v>8.9937053161529557E-3</v>
      </c>
      <c r="Q360" s="304">
        <f t="shared" si="126"/>
        <v>0.7</v>
      </c>
      <c r="R360" s="177">
        <f t="shared" si="127"/>
        <v>0.53453750440537184</v>
      </c>
      <c r="S360" s="799">
        <f t="shared" si="128"/>
        <v>-1</v>
      </c>
      <c r="T360" s="176">
        <f t="shared" si="129"/>
        <v>5</v>
      </c>
      <c r="U360" s="250">
        <f t="shared" si="130"/>
        <v>-0.46546249559462816</v>
      </c>
      <c r="V360" s="382">
        <f t="shared" si="131"/>
        <v>24.623850641700162</v>
      </c>
      <c r="W360" s="58"/>
      <c r="X360" s="157">
        <f t="shared" si="132"/>
        <v>44176</v>
      </c>
      <c r="Y360" s="383">
        <f t="shared" si="133"/>
        <v>8.0987204912667181</v>
      </c>
      <c r="Z360" s="383">
        <f t="shared" si="134"/>
        <v>8.2082579859566387</v>
      </c>
      <c r="AA360" s="384">
        <f t="shared" si="135"/>
        <v>8.5317623138601135</v>
      </c>
      <c r="AB360" s="197">
        <f t="shared" si="136"/>
        <v>44176</v>
      </c>
      <c r="AC360" s="424">
        <f>IF(OR(t&lt;Tnet,NoTnet),'2019'!Resal_s+('2019'!Salim-'2019'!Resal_s)*(1-EXP(('2019'!Tnet_s-t)/'2019'!Tau_j)),Resal_s+(Salim-Resal_s)*(1-EXP((Tnet_s-t)/Tau_j)))*Salcycl</f>
        <v>3.791764421026253E-2</v>
      </c>
      <c r="AD360" s="230">
        <f>(INDEX(Models!$BJ360:$BT360,,AH360)*(1-AF360)+INDEX(Models!$BJ360:$BT360,,AH360+1)*AF360-ERP_i)*AE360*Ramure*Pc/MaxiM</f>
        <v>9.8290608087140095E-3</v>
      </c>
      <c r="AE360" s="304">
        <f t="shared" si="137"/>
        <v>0.7</v>
      </c>
      <c r="AF360" s="177">
        <f t="shared" si="138"/>
        <v>0.59886972666520399</v>
      </c>
      <c r="AG360" s="176">
        <f t="shared" si="139"/>
        <v>-1</v>
      </c>
      <c r="AH360" s="176">
        <f t="shared" si="140"/>
        <v>5</v>
      </c>
      <c r="AI360" s="224">
        <f t="shared" si="141"/>
        <v>-0.40113027333479601</v>
      </c>
      <c r="AJ360" s="264" t="b">
        <f t="shared" si="142"/>
        <v>0</v>
      </c>
      <c r="AK360" s="264" t="b">
        <f t="shared" si="143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44"/>
        <v>44177</v>
      </c>
      <c r="B361" s="607">
        <v>9.8919999999999995</v>
      </c>
      <c r="C361" s="388"/>
      <c r="D361" s="391">
        <f t="shared" si="123"/>
        <v>10.025984255039846</v>
      </c>
      <c r="E361" s="383">
        <f t="shared" ref="E361:E379" si="145">Wh_pvt/(1-Psa)</f>
        <v>10.421473985348868</v>
      </c>
      <c r="F361" s="383">
        <f t="shared" si="124"/>
        <v>10.435376457146441</v>
      </c>
      <c r="G361" s="110">
        <f t="shared" ref="G361:G379" si="146">+Wh_hp/MaxiM</f>
        <v>0.40051873825233486</v>
      </c>
      <c r="H361" s="412" t="b">
        <f>Wh_hp&gt;='2019'!Maxi_hp</f>
        <v>1</v>
      </c>
      <c r="I361" s="388">
        <f>IF(H361,Wh_hp,'2019'!Maxi_hp)</f>
        <v>10.435376457146441</v>
      </c>
      <c r="J361" s="85">
        <f>IF(H361,An,'2019'!An_max)</f>
        <v>2020</v>
      </c>
      <c r="K361" s="197">
        <f t="shared" si="125"/>
        <v>44177</v>
      </c>
      <c r="L361" s="147">
        <f>IF(t&lt;Tvie,1-EXP((T0-t)*PertePVj)+'2019'!Pspv,1-EXP((T0-t)*PertePVj)+Pspv)</f>
        <v>1.3363700922679578E-2</v>
      </c>
      <c r="M361" s="832"/>
      <c r="N361" s="832"/>
      <c r="O361" s="48">
        <f>IF(t&lt;Tnet,'2019'!Resal+('2019'!Salim-'2019'!Resal)*(1-EXP(('2019'!Tnet-t)/('2019'!Tau_j))),Resal+(Salim-Resal)*(1-EXP((Tnet-t)/(Tau_j))))*Salcycl</f>
        <v>3.7949500316848163E-2</v>
      </c>
      <c r="P361" s="169">
        <f>(INDEX(Models!$BJ361:$BT361,,T361)*(1-R361)+INDEX(Models!$BJ361:$BT361,,T361+1)*R361-ERP_i)*Q361*Ramure*Pc/MaxiM</f>
        <v>9.0001090347195858E-3</v>
      </c>
      <c r="Q361" s="304">
        <f t="shared" si="126"/>
        <v>0.7</v>
      </c>
      <c r="R361" s="177">
        <f t="shared" si="127"/>
        <v>0.53454554818967259</v>
      </c>
      <c r="S361" s="799">
        <f t="shared" si="128"/>
        <v>-1</v>
      </c>
      <c r="T361" s="176">
        <f t="shared" si="129"/>
        <v>5</v>
      </c>
      <c r="U361" s="250">
        <f t="shared" si="130"/>
        <v>-0.46545445181032741</v>
      </c>
      <c r="V361" s="382">
        <f t="shared" si="131"/>
        <v>24.508337211856752</v>
      </c>
      <c r="W361" s="58"/>
      <c r="X361" s="157">
        <f t="shared" si="132"/>
        <v>44177</v>
      </c>
      <c r="Y361" s="383">
        <f t="shared" si="133"/>
        <v>9.890773076433943</v>
      </c>
      <c r="Z361" s="383">
        <f t="shared" si="134"/>
        <v>10.024740713151914</v>
      </c>
      <c r="AA361" s="384">
        <f t="shared" si="135"/>
        <v>10.420181390117806</v>
      </c>
      <c r="AB361" s="197">
        <f t="shared" si="136"/>
        <v>44177</v>
      </c>
      <c r="AC361" s="424">
        <f>IF(OR(t&lt;Tnet,NoTnet),'2019'!Resal_s+('2019'!Salim-'2019'!Resal_s)*(1-EXP(('2019'!Tnet_s-t)/'2019'!Tau_j)),Resal_s+(Salim-Resal_s)*(1-EXP((Tnet_s-t)/Tau_j)))*Salcycl</f>
        <v>3.7949500316848163E-2</v>
      </c>
      <c r="AD361" s="230">
        <f>(INDEX(Models!$BJ361:$BT361,,AH361)*(1-AF361)+INDEX(Models!$BJ361:$BT361,,AH361+1)*AF361-ERP_i)*AE361*Ramure*Pc/MaxiM</f>
        <v>9.8369025335092539E-3</v>
      </c>
      <c r="AE361" s="304">
        <f t="shared" si="137"/>
        <v>0.7</v>
      </c>
      <c r="AF361" s="177">
        <f t="shared" si="138"/>
        <v>0.59887777044950474</v>
      </c>
      <c r="AG361" s="176">
        <f t="shared" si="139"/>
        <v>-1</v>
      </c>
      <c r="AH361" s="176">
        <f t="shared" si="140"/>
        <v>5</v>
      </c>
      <c r="AI361" s="224">
        <f t="shared" si="141"/>
        <v>-0.40112222955049526</v>
      </c>
      <c r="AJ361" s="264" t="b">
        <f t="shared" si="142"/>
        <v>0</v>
      </c>
      <c r="AK361" s="264" t="b">
        <f t="shared" si="143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44"/>
        <v>44178</v>
      </c>
      <c r="B362" s="607">
        <v>10.606999999999999</v>
      </c>
      <c r="C362" s="388"/>
      <c r="D362" s="391">
        <f t="shared" si="123"/>
        <v>10.750874759575204</v>
      </c>
      <c r="E362" s="383">
        <f t="shared" si="145"/>
        <v>11.175333794964484</v>
      </c>
      <c r="F362" s="383">
        <f t="shared" si="124"/>
        <v>11.194736092859696</v>
      </c>
      <c r="G362" s="110">
        <f t="shared" si="146"/>
        <v>0.43152629605695031</v>
      </c>
      <c r="H362" s="412" t="b">
        <f>Wh_hp&gt;='2019'!Maxi_hp</f>
        <v>0</v>
      </c>
      <c r="I362" s="388">
        <f>IF(H362,Wh_hp,'2019'!Maxi_hp)</f>
        <v>13.913604136481535</v>
      </c>
      <c r="J362" s="85">
        <f>IF(H362,An,'2019'!An_max)</f>
        <v>2018</v>
      </c>
      <c r="K362" s="197">
        <f t="shared" si="125"/>
        <v>44178</v>
      </c>
      <c r="L362" s="147">
        <f>IF(t&lt;Tvie,1-EXP((T0-t)*PertePVj)+'2019'!Pspv,1-EXP((T0-t)*PertePVj)+Pspv)</f>
        <v>1.3382609582263449E-2</v>
      </c>
      <c r="M362" s="832"/>
      <c r="N362" s="832"/>
      <c r="O362" s="48">
        <f>IF(t&lt;Tnet,'2019'!Resal+('2019'!Salim-'2019'!Resal)*(1-EXP(('2019'!Tnet-t)/('2019'!Tau_j))),Resal+(Salim-Resal)*(1-EXP((Tnet-t)/(Tau_j))))*Salcycl</f>
        <v>3.7981776936321807E-2</v>
      </c>
      <c r="P362" s="169">
        <f>(INDEX(Models!$BJ362:$BT362,,T362)*(1-R362)+INDEX(Models!$BJ362:$BT362,,T362+1)*R362-ERP_i)*Q362*Ramure*Pc/MaxiM</f>
        <v>9.0072010337126397E-3</v>
      </c>
      <c r="Q362" s="304">
        <f t="shared" si="126"/>
        <v>0.7</v>
      </c>
      <c r="R362" s="177">
        <f t="shared" si="127"/>
        <v>0.53455326841172801</v>
      </c>
      <c r="S362" s="799">
        <f t="shared" si="128"/>
        <v>-1</v>
      </c>
      <c r="T362" s="176">
        <f t="shared" si="129"/>
        <v>5</v>
      </c>
      <c r="U362" s="250">
        <f t="shared" si="130"/>
        <v>-0.46544673158827199</v>
      </c>
      <c r="V362" s="382">
        <f t="shared" si="131"/>
        <v>24.401086132981046</v>
      </c>
      <c r="W362" s="58"/>
      <c r="X362" s="157">
        <f t="shared" si="132"/>
        <v>44178</v>
      </c>
      <c r="Y362" s="383">
        <f t="shared" si="133"/>
        <v>10.60528627860278</v>
      </c>
      <c r="Z362" s="383">
        <f t="shared" si="134"/>
        <v>10.749137793032892</v>
      </c>
      <c r="AA362" s="384">
        <f t="shared" si="135"/>
        <v>11.173528250640405</v>
      </c>
      <c r="AB362" s="197">
        <f t="shared" si="136"/>
        <v>44178</v>
      </c>
      <c r="AC362" s="424">
        <f>IF(OR(t&lt;Tnet,NoTnet),'2019'!Resal_s+('2019'!Salim-'2019'!Resal_s)*(1-EXP(('2019'!Tnet_s-t)/'2019'!Tau_j)),Resal_s+(Salim-Resal_s)*(1-EXP((Tnet_s-t)/Tau_j)))*Salcycl</f>
        <v>3.7981776936321807E-2</v>
      </c>
      <c r="AD362" s="230">
        <f>(INDEX(Models!$BJ362:$BT362,,AH362)*(1-AF362)+INDEX(Models!$BJ362:$BT362,,AH362+1)*AF362-ERP_i)*AE362*Ramure*Pc/MaxiM</f>
        <v>9.8453956017008192E-3</v>
      </c>
      <c r="AE362" s="304">
        <f t="shared" si="137"/>
        <v>0.7</v>
      </c>
      <c r="AF362" s="177">
        <f t="shared" si="138"/>
        <v>0.59888549067156016</v>
      </c>
      <c r="AG362" s="176">
        <f t="shared" si="139"/>
        <v>-1</v>
      </c>
      <c r="AH362" s="176">
        <f t="shared" si="140"/>
        <v>5</v>
      </c>
      <c r="AI362" s="224">
        <f t="shared" si="141"/>
        <v>-0.40111450932843984</v>
      </c>
      <c r="AJ362" s="264" t="b">
        <f t="shared" si="142"/>
        <v>0</v>
      </c>
      <c r="AK362" s="264" t="b">
        <f t="shared" si="143"/>
        <v>0</v>
      </c>
      <c r="AL362" s="264"/>
      <c r="AM362" s="264"/>
      <c r="AN362" s="75"/>
    </row>
    <row r="363" spans="1:40" s="6" customFormat="1" ht="11.25" x14ac:dyDescent="0.2">
      <c r="A363" s="56">
        <f t="shared" si="144"/>
        <v>44179</v>
      </c>
      <c r="B363" s="607">
        <v>2.8540000000000001</v>
      </c>
      <c r="C363" s="388"/>
      <c r="D363" s="391">
        <f t="shared" si="123"/>
        <v>2.8927674750378616</v>
      </c>
      <c r="E363" s="383">
        <f t="shared" si="145"/>
        <v>3.0070799718019003</v>
      </c>
      <c r="F363" s="383">
        <f t="shared" si="124"/>
        <v>3.0070799718019003</v>
      </c>
      <c r="G363" s="110">
        <f t="shared" si="146"/>
        <v>0.11637471923193571</v>
      </c>
      <c r="H363" s="412" t="b">
        <f>Wh_hp&gt;='2019'!Maxi_hp</f>
        <v>0</v>
      </c>
      <c r="I363" s="388">
        <f>IF(H363,Wh_hp,'2019'!Maxi_hp)</f>
        <v>25.992364486751338</v>
      </c>
      <c r="J363" s="85">
        <f>IF(H363,An,'2019'!An_max)</f>
        <v>2018</v>
      </c>
      <c r="K363" s="197">
        <f t="shared" si="125"/>
        <v>44179</v>
      </c>
      <c r="L363" s="147">
        <f>IF(t&lt;Tvie,1-EXP((T0-t)*PertePVj)+'2019'!Pspv,1-EXP((T0-t)*PertePVj)+Pspv)</f>
        <v>1.3401517879467306E-2</v>
      </c>
      <c r="M363" s="832"/>
      <c r="N363" s="832"/>
      <c r="O363" s="48">
        <f>IF(t&lt;Tnet,'2019'!Resal+('2019'!Salim-'2019'!Resal)*(1-EXP(('2019'!Tnet-t)/('2019'!Tau_j))),Resal+(Salim-Resal)*(1-EXP((Tnet-t)/(Tau_j))))*Salcycl</f>
        <v>3.8014451838984706E-2</v>
      </c>
      <c r="P363" s="169">
        <f>(INDEX(Models!$BJ363:$BT363,,T363)*(1-R363)+INDEX(Models!$BJ363:$BT363,,T363+1)*R363-ERP_i)*Q363*Ramure*Pc/MaxiM</f>
        <v>9.0145742497820015E-3</v>
      </c>
      <c r="Q363" s="304">
        <f t="shared" si="126"/>
        <v>0.7</v>
      </c>
      <c r="R363" s="177">
        <f t="shared" si="127"/>
        <v>0.5345606780751333</v>
      </c>
      <c r="S363" s="799">
        <f t="shared" si="128"/>
        <v>-1</v>
      </c>
      <c r="T363" s="176">
        <f t="shared" si="129"/>
        <v>5</v>
      </c>
      <c r="U363" s="250">
        <f t="shared" si="130"/>
        <v>-0.46543932192486676</v>
      </c>
      <c r="V363" s="382">
        <f t="shared" si="131"/>
        <v>24.303151266507925</v>
      </c>
      <c r="W363" s="58"/>
      <c r="X363" s="157">
        <f t="shared" si="132"/>
        <v>44179</v>
      </c>
      <c r="Y363" s="383">
        <f t="shared" si="133"/>
        <v>2.8540000000000001</v>
      </c>
      <c r="Z363" s="383">
        <f t="shared" si="134"/>
        <v>2.8927674750378616</v>
      </c>
      <c r="AA363" s="384">
        <f t="shared" si="135"/>
        <v>3.0070799718019003</v>
      </c>
      <c r="AB363" s="197">
        <f t="shared" si="136"/>
        <v>44179</v>
      </c>
      <c r="AC363" s="424">
        <f>IF(OR(t&lt;Tnet,NoTnet),'2019'!Resal_s+('2019'!Salim-'2019'!Resal_s)*(1-EXP(('2019'!Tnet_s-t)/'2019'!Tau_j)),Resal_s+(Salim-Resal_s)*(1-EXP((Tnet_s-t)/Tau_j)))*Salcycl</f>
        <v>3.8014451838984706E-2</v>
      </c>
      <c r="AD363" s="230">
        <f>(INDEX(Models!$BJ363:$BT363,,AH363)*(1-AF363)+INDEX(Models!$BJ363:$BT363,,AH363+1)*AF363-ERP_i)*AE363*Ramure*Pc/MaxiM</f>
        <v>9.8540933502128721E-3</v>
      </c>
      <c r="AE363" s="304">
        <f t="shared" si="137"/>
        <v>0.7</v>
      </c>
      <c r="AF363" s="177">
        <f t="shared" si="138"/>
        <v>0.59889290033496545</v>
      </c>
      <c r="AG363" s="176">
        <f t="shared" si="139"/>
        <v>-1</v>
      </c>
      <c r="AH363" s="176">
        <f t="shared" si="140"/>
        <v>5</v>
      </c>
      <c r="AI363" s="224">
        <f t="shared" si="141"/>
        <v>-0.40110709966503461</v>
      </c>
      <c r="AJ363" s="264" t="b">
        <f t="shared" si="142"/>
        <v>0</v>
      </c>
      <c r="AK363" s="264" t="b">
        <f t="shared" si="143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44"/>
        <v>44180</v>
      </c>
      <c r="B364" s="607">
        <v>2.1509999999999998</v>
      </c>
      <c r="C364" s="388"/>
      <c r="D364" s="391">
        <f t="shared" si="123"/>
        <v>2.180260017825101</v>
      </c>
      <c r="E364" s="383">
        <f t="shared" si="145"/>
        <v>2.2664944717731017</v>
      </c>
      <c r="F364" s="383">
        <f t="shared" si="124"/>
        <v>2.2664944717731017</v>
      </c>
      <c r="G364" s="110">
        <f t="shared" si="146"/>
        <v>8.8025706311194774E-2</v>
      </c>
      <c r="H364" s="412" t="b">
        <f>Wh_hp&gt;='2019'!Maxi_hp</f>
        <v>0</v>
      </c>
      <c r="I364" s="388">
        <f>IF(H364,Wh_hp,'2019'!Maxi_hp)</f>
        <v>14.088385387639374</v>
      </c>
      <c r="J364" s="85">
        <f>IF(H364,An,'2019'!An_max)</f>
        <v>2018</v>
      </c>
      <c r="K364" s="197">
        <f t="shared" si="125"/>
        <v>44180</v>
      </c>
      <c r="L364" s="147">
        <f>IF(t&lt;Tvie,1-EXP((T0-t)*PertePVj)+'2019'!Pspv,1-EXP((T0-t)*PertePVj)+Pspv)</f>
        <v>1.3420425814297809E-2</v>
      </c>
      <c r="M364" s="832"/>
      <c r="N364" s="832"/>
      <c r="O364" s="48">
        <f>IF(t&lt;Tnet,'2019'!Resal+('2019'!Salim-'2019'!Resal)*(1-EXP(('2019'!Tnet-t)/('2019'!Tau_j))),Resal+(Salim-Resal)*(1-EXP((Tnet-t)/(Tau_j))))*Salcycl</f>
        <v>3.8047502441309125E-2</v>
      </c>
      <c r="P364" s="169">
        <f>(INDEX(Models!$BJ364:$BT364,,T364)*(1-R364)+INDEX(Models!$BJ364:$BT364,,T364+1)*R364-ERP_i)*Q364*Ramure*Pc/MaxiM</f>
        <v>9.0218140312284898E-3</v>
      </c>
      <c r="Q364" s="304">
        <f t="shared" si="126"/>
        <v>0.7</v>
      </c>
      <c r="R364" s="177">
        <f t="shared" si="127"/>
        <v>0.5345677896618094</v>
      </c>
      <c r="S364" s="799">
        <f t="shared" si="128"/>
        <v>-1</v>
      </c>
      <c r="T364" s="176">
        <f t="shared" si="129"/>
        <v>5</v>
      </c>
      <c r="U364" s="250">
        <f t="shared" si="130"/>
        <v>-0.4654322103381906</v>
      </c>
      <c r="V364" s="382">
        <f t="shared" si="131"/>
        <v>24.215586188914671</v>
      </c>
      <c r="W364" s="58"/>
      <c r="X364" s="157">
        <f t="shared" si="132"/>
        <v>44180</v>
      </c>
      <c r="Y364" s="383">
        <f t="shared" si="133"/>
        <v>2.1509999999999998</v>
      </c>
      <c r="Z364" s="383">
        <f t="shared" si="134"/>
        <v>2.180260017825101</v>
      </c>
      <c r="AA364" s="384">
        <f t="shared" si="135"/>
        <v>2.2664944717731017</v>
      </c>
      <c r="AB364" s="197">
        <f t="shared" si="136"/>
        <v>44180</v>
      </c>
      <c r="AC364" s="424">
        <f>IF(OR(t&lt;Tnet,NoTnet),'2019'!Resal_s+('2019'!Salim-'2019'!Resal_s)*(1-EXP(('2019'!Tnet_s-t)/'2019'!Tau_j)),Resal_s+(Salim-Resal_s)*(1-EXP((Tnet_s-t)/Tau_j)))*Salcycl</f>
        <v>3.8047502441309125E-2</v>
      </c>
      <c r="AD364" s="230">
        <f>(INDEX(Models!$BJ364:$BT364,,AH364)*(1-AF364)+INDEX(Models!$BJ364:$BT364,,AH364+1)*AF364-ERP_i)*AE364*Ramure*Pc/MaxiM</f>
        <v>9.8625408622774486E-3</v>
      </c>
      <c r="AE364" s="304">
        <f t="shared" si="137"/>
        <v>0.7</v>
      </c>
      <c r="AF364" s="177">
        <f t="shared" si="138"/>
        <v>0.59890001192164155</v>
      </c>
      <c r="AG364" s="176">
        <f t="shared" si="139"/>
        <v>-1</v>
      </c>
      <c r="AH364" s="176">
        <f t="shared" si="140"/>
        <v>5</v>
      </c>
      <c r="AI364" s="224">
        <f t="shared" si="141"/>
        <v>-0.40109998807835845</v>
      </c>
      <c r="AJ364" s="264" t="b">
        <f t="shared" si="142"/>
        <v>0</v>
      </c>
      <c r="AK364" s="264" t="b">
        <f t="shared" si="143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44"/>
        <v>44181</v>
      </c>
      <c r="B365" s="607">
        <v>15.442</v>
      </c>
      <c r="C365" s="388"/>
      <c r="D365" s="391">
        <f t="shared" si="123"/>
        <v>15.652357247335646</v>
      </c>
      <c r="E365" s="383">
        <f t="shared" si="145"/>
        <v>16.272010135013932</v>
      </c>
      <c r="F365" s="383">
        <f t="shared" si="124"/>
        <v>16.34361807398194</v>
      </c>
      <c r="G365" s="110">
        <f t="shared" si="146"/>
        <v>0.63671406710827838</v>
      </c>
      <c r="H365" s="412" t="b">
        <f>Wh_hp&gt;='2019'!Maxi_hp</f>
        <v>1</v>
      </c>
      <c r="I365" s="388">
        <f>IF(H365,Wh_hp,'2019'!Maxi_hp)</f>
        <v>16.34361807398194</v>
      </c>
      <c r="J365" s="85">
        <f>IF(H365,An,'2019'!An_max)</f>
        <v>2020</v>
      </c>
      <c r="K365" s="197">
        <f t="shared" si="125"/>
        <v>44181</v>
      </c>
      <c r="L365" s="147">
        <f>IF(t&lt;Tvie,1-EXP((T0-t)*PertePVj)+'2019'!Pspv,1-EXP((T0-t)*PertePVj)+Pspv)</f>
        <v>1.3439333386762065E-2</v>
      </c>
      <c r="M365" s="832"/>
      <c r="N365" s="832"/>
      <c r="O365" s="48">
        <f>IF(t&lt;Tnet,'2019'!Resal+('2019'!Salim-'2019'!Resal)*(1-EXP(('2019'!Tnet-t)/('2019'!Tau_j))),Resal+(Salim-Resal)*(1-EXP((Tnet-t)/(Tau_j))))*Salcycl</f>
        <v>3.8080905956721596E-2</v>
      </c>
      <c r="P365" s="169">
        <f>(INDEX(Models!$BJ365:$BT365,,T365)*(1-R365)+INDEX(Models!$BJ365:$BT365,,T365+1)*R365-ERP_i)*Q365*Ramure*Pc/MaxiM</f>
        <v>9.0284997944436781E-3</v>
      </c>
      <c r="Q365" s="304">
        <f t="shared" si="126"/>
        <v>0.7</v>
      </c>
      <c r="R365" s="177">
        <f t="shared" si="127"/>
        <v>0.53457461515285942</v>
      </c>
      <c r="S365" s="799">
        <f t="shared" si="128"/>
        <v>-1</v>
      </c>
      <c r="T365" s="176">
        <f t="shared" si="129"/>
        <v>5</v>
      </c>
      <c r="U365" s="250">
        <f t="shared" si="130"/>
        <v>-0.46542538484714063</v>
      </c>
      <c r="V365" s="382">
        <f t="shared" si="131"/>
        <v>24.139444208884377</v>
      </c>
      <c r="W365" s="58"/>
      <c r="X365" s="157">
        <f t="shared" si="132"/>
        <v>44181</v>
      </c>
      <c r="Y365" s="383">
        <f t="shared" si="133"/>
        <v>15.435664148380257</v>
      </c>
      <c r="Z365" s="383">
        <f t="shared" si="134"/>
        <v>15.645935086150674</v>
      </c>
      <c r="AA365" s="384">
        <f t="shared" si="135"/>
        <v>16.265333730288482</v>
      </c>
      <c r="AB365" s="197">
        <f t="shared" si="136"/>
        <v>44181</v>
      </c>
      <c r="AC365" s="424">
        <f>IF(OR(t&lt;Tnet,NoTnet),'2019'!Resal_s+('2019'!Salim-'2019'!Resal_s)*(1-EXP(('2019'!Tnet_s-t)/'2019'!Tau_j)),Resal_s+(Salim-Resal_s)*(1-EXP((Tnet_s-t)/Tau_j)))*Salcycl</f>
        <v>3.8080905956721596E-2</v>
      </c>
      <c r="AD365" s="230">
        <f>(INDEX(Models!$BJ365:$BT365,,AH365)*(1-AF365)+INDEX(Models!$BJ365:$BT365,,AH365+1)*AF365-ERP_i)*AE365*Ramure*Pc/MaxiM</f>
        <v>9.8702768314603718E-3</v>
      </c>
      <c r="AE365" s="304">
        <f t="shared" si="137"/>
        <v>0.7</v>
      </c>
      <c r="AF365" s="177">
        <f t="shared" si="138"/>
        <v>0.59890683741269157</v>
      </c>
      <c r="AG365" s="176">
        <f t="shared" si="139"/>
        <v>-1</v>
      </c>
      <c r="AH365" s="176">
        <f t="shared" si="140"/>
        <v>5</v>
      </c>
      <c r="AI365" s="224">
        <f t="shared" si="141"/>
        <v>-0.40109316258730848</v>
      </c>
      <c r="AJ365" s="264" t="b">
        <f t="shared" si="142"/>
        <v>0</v>
      </c>
      <c r="AK365" s="264" t="b">
        <f t="shared" si="143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44"/>
        <v>44182</v>
      </c>
      <c r="B366" s="607">
        <v>9.5879999999999992</v>
      </c>
      <c r="C366" s="388"/>
      <c r="D366" s="391">
        <f t="shared" si="123"/>
        <v>9.718797920729509</v>
      </c>
      <c r="E366" s="383">
        <f t="shared" si="145"/>
        <v>10.103904602634287</v>
      </c>
      <c r="F366" s="383">
        <f t="shared" si="124"/>
        <v>10.116734010879966</v>
      </c>
      <c r="G366" s="110">
        <f t="shared" si="146"/>
        <v>0.39514587001822221</v>
      </c>
      <c r="H366" s="412" t="b">
        <f>Wh_hp&gt;='2019'!Maxi_hp</f>
        <v>0</v>
      </c>
      <c r="I366" s="388">
        <f>IF(H366,Wh_hp,'2019'!Maxi_hp)</f>
        <v>14.830514408395514</v>
      </c>
      <c r="J366" s="85">
        <f>IF(H366,An,'2019'!An_max)</f>
        <v>2018</v>
      </c>
      <c r="K366" s="197">
        <f t="shared" si="125"/>
        <v>44182</v>
      </c>
      <c r="L366" s="147">
        <f>IF(t&lt;Tvie,1-EXP((T0-t)*PertePVj)+'2019'!Pspv,1-EXP((T0-t)*PertePVj)+Pspv)</f>
        <v>1.3458240596867066E-2</v>
      </c>
      <c r="M366" s="832"/>
      <c r="N366" s="832"/>
      <c r="O366" s="48">
        <f>IF(t&lt;Tnet,'2019'!Resal+('2019'!Salim-'2019'!Resal)*(1-EXP(('2019'!Tnet-t)/('2019'!Tau_j))),Resal+(Salim-Resal)*(1-EXP((Tnet-t)/(Tau_j))))*Salcycl</f>
        <v>3.8114639542852956E-2</v>
      </c>
      <c r="P366" s="169">
        <f>(INDEX(Models!$BJ366:$BT366,,T366)*(1-R366)+INDEX(Models!$BJ366:$BT366,,T366+1)*R366-ERP_i)*Q366*Ramure*Pc/MaxiM</f>
        <v>9.0357026775619471E-3</v>
      </c>
      <c r="Q366" s="304">
        <f t="shared" si="126"/>
        <v>0.7</v>
      </c>
      <c r="R366" s="177">
        <f t="shared" si="127"/>
        <v>0.53458116604859485</v>
      </c>
      <c r="S366" s="799">
        <f t="shared" si="128"/>
        <v>-1</v>
      </c>
      <c r="T366" s="176">
        <f t="shared" si="129"/>
        <v>5</v>
      </c>
      <c r="U366" s="250">
        <f t="shared" si="130"/>
        <v>-0.46541883395140521</v>
      </c>
      <c r="V366" s="382">
        <f t="shared" si="131"/>
        <v>24.075741999301059</v>
      </c>
      <c r="W366" s="58"/>
      <c r="X366" s="157">
        <f t="shared" si="132"/>
        <v>44182</v>
      </c>
      <c r="Y366" s="383">
        <f t="shared" si="133"/>
        <v>9.5868645372908841</v>
      </c>
      <c r="Z366" s="383">
        <f t="shared" si="134"/>
        <v>9.7176469682246669</v>
      </c>
      <c r="AA366" s="384">
        <f t="shared" si="135"/>
        <v>10.102708043717646</v>
      </c>
      <c r="AB366" s="197">
        <f t="shared" si="136"/>
        <v>44182</v>
      </c>
      <c r="AC366" s="424">
        <f>IF(OR(t&lt;Tnet,NoTnet),'2019'!Resal_s+('2019'!Salim-'2019'!Resal_s)*(1-EXP(('2019'!Tnet_s-t)/'2019'!Tau_j)),Resal_s+(Salim-Resal_s)*(1-EXP((Tnet_s-t)/Tau_j)))*Salcycl</f>
        <v>3.8114639542852956E-2</v>
      </c>
      <c r="AD366" s="230">
        <f>(INDEX(Models!$BJ366:$BT366,,AH366)*(1-AF366)+INDEX(Models!$BJ366:$BT366,,AH366+1)*AF366-ERP_i)*AE366*Ramure*Pc/MaxiM</f>
        <v>9.8784345011895831E-3</v>
      </c>
      <c r="AE366" s="304">
        <f t="shared" si="137"/>
        <v>0.7</v>
      </c>
      <c r="AF366" s="177">
        <f t="shared" si="138"/>
        <v>0.598913388308427</v>
      </c>
      <c r="AG366" s="176">
        <f t="shared" si="139"/>
        <v>-1</v>
      </c>
      <c r="AH366" s="176">
        <f t="shared" si="140"/>
        <v>5</v>
      </c>
      <c r="AI366" s="224">
        <f t="shared" si="141"/>
        <v>-0.40108661169157306</v>
      </c>
      <c r="AJ366" s="264" t="b">
        <f t="shared" si="142"/>
        <v>0</v>
      </c>
      <c r="AK366" s="264" t="b">
        <f t="shared" si="143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44"/>
        <v>44183</v>
      </c>
      <c r="B367" s="607">
        <v>8.8079999999999998</v>
      </c>
      <c r="C367" s="388"/>
      <c r="D367" s="391">
        <f t="shared" si="123"/>
        <v>8.9283283982572978</v>
      </c>
      <c r="E367" s="383">
        <f t="shared" si="145"/>
        <v>9.2824412845639657</v>
      </c>
      <c r="F367" s="383">
        <f t="shared" si="124"/>
        <v>9.2904343518500845</v>
      </c>
      <c r="G367" s="110">
        <f t="shared" si="146"/>
        <v>0.36360755900223751</v>
      </c>
      <c r="H367" s="412" t="b">
        <f>Wh_hp&gt;='2019'!Maxi_hp</f>
        <v>0</v>
      </c>
      <c r="I367" s="388">
        <f>IF(H367,Wh_hp,'2019'!Maxi_hp)</f>
        <v>12.93889886243978</v>
      </c>
      <c r="J367" s="85">
        <f>IF(H367,An,'2019'!An_max)</f>
        <v>2018</v>
      </c>
      <c r="K367" s="197">
        <f t="shared" si="125"/>
        <v>44183</v>
      </c>
      <c r="L367" s="147">
        <f>IF(t&lt;Tvie,1-EXP((T0-t)*PertePVj)+'2019'!Pspv,1-EXP((T0-t)*PertePVj)+Pspv)</f>
        <v>1.3477147444619697E-2</v>
      </c>
      <c r="M367" s="832"/>
      <c r="N367" s="832"/>
      <c r="O367" s="48">
        <f>IF(t&lt;Tnet,'2019'!Resal+('2019'!Salim-'2019'!Resal)*(1-EXP(('2019'!Tnet-t)/('2019'!Tau_j))),Resal+(Salim-Resal)*(1-EXP((Tnet-t)/(Tau_j))))*Salcycl</f>
        <v>3.8148680444177178E-2</v>
      </c>
      <c r="P367" s="169">
        <f>(INDEX(Models!$BJ367:$BT367,,T367)*(1-R367)+INDEX(Models!$BJ367:$BT367,,T367+1)*R367-ERP_i)*Q367*Ramure*Pc/MaxiM</f>
        <v>9.0414862727938271E-3</v>
      </c>
      <c r="Q367" s="304">
        <f t="shared" si="126"/>
        <v>0.7</v>
      </c>
      <c r="R367" s="177">
        <f t="shared" si="127"/>
        <v>0.5345874533877677</v>
      </c>
      <c r="S367" s="799">
        <f t="shared" si="128"/>
        <v>-1</v>
      </c>
      <c r="T367" s="176">
        <f t="shared" si="129"/>
        <v>5</v>
      </c>
      <c r="U367" s="250">
        <f t="shared" si="130"/>
        <v>-0.46541254661223225</v>
      </c>
      <c r="V367" s="382">
        <f t="shared" si="131"/>
        <v>24.025569120629175</v>
      </c>
      <c r="W367" s="58"/>
      <c r="X367" s="157">
        <f t="shared" si="132"/>
        <v>44183</v>
      </c>
      <c r="Y367" s="383">
        <f t="shared" si="133"/>
        <v>8.8072924373961516</v>
      </c>
      <c r="Z367" s="383">
        <f t="shared" si="134"/>
        <v>8.9276111694551314</v>
      </c>
      <c r="AA367" s="384">
        <f t="shared" si="135"/>
        <v>9.2816956092318392</v>
      </c>
      <c r="AB367" s="197">
        <f t="shared" si="136"/>
        <v>44183</v>
      </c>
      <c r="AC367" s="424">
        <f>IF(OR(t&lt;Tnet,NoTnet),'2019'!Resal_s+('2019'!Salim-'2019'!Resal_s)*(1-EXP(('2019'!Tnet_s-t)/'2019'!Tau_j)),Resal_s+(Salim-Resal_s)*(1-EXP((Tnet_s-t)/Tau_j)))*Salcycl</f>
        <v>3.8148680444177178E-2</v>
      </c>
      <c r="AD367" s="230">
        <f>(INDEX(Models!$BJ367:$BT367,,AH367)*(1-AF367)+INDEX(Models!$BJ367:$BT367,,AH367+1)*AF367-ERP_i)*AE367*Ramure*Pc/MaxiM</f>
        <v>9.884968885669046E-3</v>
      </c>
      <c r="AE367" s="304">
        <f t="shared" si="137"/>
        <v>0.7</v>
      </c>
      <c r="AF367" s="177">
        <f t="shared" si="138"/>
        <v>0.59891967564759985</v>
      </c>
      <c r="AG367" s="176">
        <f t="shared" si="139"/>
        <v>-1</v>
      </c>
      <c r="AH367" s="176">
        <f t="shared" si="140"/>
        <v>5</v>
      </c>
      <c r="AI367" s="224">
        <f t="shared" si="141"/>
        <v>-0.4010803243524001</v>
      </c>
      <c r="AJ367" s="264" t="b">
        <f t="shared" si="142"/>
        <v>0</v>
      </c>
      <c r="AK367" s="264" t="b">
        <f t="shared" si="143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44"/>
        <v>44184</v>
      </c>
      <c r="B368" s="607">
        <v>9.5890000000000004</v>
      </c>
      <c r="C368" s="388"/>
      <c r="D368" s="391">
        <f t="shared" si="123"/>
        <v>9.7201841292177154</v>
      </c>
      <c r="E368" s="383">
        <f t="shared" si="145"/>
        <v>10.10606403417485</v>
      </c>
      <c r="F368" s="383">
        <f t="shared" si="124"/>
        <v>10.119101866282143</v>
      </c>
      <c r="G368" s="110">
        <f t="shared" si="146"/>
        <v>0.3966040448112535</v>
      </c>
      <c r="H368" s="412" t="b">
        <f>Wh_hp&gt;='2019'!Maxi_hp</f>
        <v>1</v>
      </c>
      <c r="I368" s="388">
        <f>IF(H368,Wh_hp,'2019'!Maxi_hp)</f>
        <v>10.119101866282143</v>
      </c>
      <c r="J368" s="85">
        <f>IF(H368,An,'2019'!An_max)</f>
        <v>2020</v>
      </c>
      <c r="K368" s="197">
        <f t="shared" si="125"/>
        <v>44184</v>
      </c>
      <c r="L368" s="147">
        <f>IF(t&lt;Tvie,1-EXP((T0-t)*PertePVj)+'2019'!Pspv,1-EXP((T0-t)*PertePVj)+Pspv)</f>
        <v>1.3496053930026952E-2</v>
      </c>
      <c r="M368" s="832"/>
      <c r="N368" s="832"/>
      <c r="O368" s="48">
        <f>IF(t&lt;Tnet,'2019'!Resal+('2019'!Salim-'2019'!Resal)*(1-EXP(('2019'!Tnet-t)/('2019'!Tau_j))),Resal+(Salim-Resal)*(1-EXP((Tnet-t)/(Tau_j))))*Salcycl</f>
        <v>3.8183006129016699E-2</v>
      </c>
      <c r="P368" s="169">
        <f>(INDEX(Models!$BJ368:$BT368,,T368)*(1-R368)+INDEX(Models!$BJ368:$BT368,,T368+1)*R368-ERP_i)*Q368*Ramure*Pc/MaxiM</f>
        <v>9.0454240260555308E-3</v>
      </c>
      <c r="Q368" s="304">
        <f t="shared" si="126"/>
        <v>0.7</v>
      </c>
      <c r="R368" s="177">
        <f t="shared" si="127"/>
        <v>0.53459348776603843</v>
      </c>
      <c r="S368" s="799">
        <f t="shared" si="128"/>
        <v>-1</v>
      </c>
      <c r="T368" s="176">
        <f t="shared" si="129"/>
        <v>5</v>
      </c>
      <c r="U368" s="250">
        <f t="shared" si="130"/>
        <v>-0.46540651223396157</v>
      </c>
      <c r="V368" s="382">
        <f t="shared" si="131"/>
        <v>23.989977970483555</v>
      </c>
      <c r="W368" s="58"/>
      <c r="X368" s="157">
        <f t="shared" si="132"/>
        <v>44184</v>
      </c>
      <c r="Y368" s="383">
        <f t="shared" si="133"/>
        <v>9.5878457377977568</v>
      </c>
      <c r="Z368" s="383">
        <f t="shared" si="134"/>
        <v>9.7190140759129697</v>
      </c>
      <c r="AA368" s="384">
        <f t="shared" si="135"/>
        <v>10.104847531126762</v>
      </c>
      <c r="AB368" s="197">
        <f t="shared" si="136"/>
        <v>44184</v>
      </c>
      <c r="AC368" s="424">
        <f>IF(OR(t&lt;Tnet,NoTnet),'2019'!Resal_s+('2019'!Salim-'2019'!Resal_s)*(1-EXP(('2019'!Tnet_s-t)/'2019'!Tau_j)),Resal_s+(Salim-Resal_s)*(1-EXP((Tnet_s-t)/Tau_j)))*Salcycl</f>
        <v>3.8183006129016699E-2</v>
      </c>
      <c r="AD368" s="230">
        <f>(INDEX(Models!$BJ368:$BT368,,AH368)*(1-AF368)+INDEX(Models!$BJ368:$BT368,,AH368+1)*AF368-ERP_i)*AE368*Ramure*Pc/MaxiM</f>
        <v>9.8894129506242427E-3</v>
      </c>
      <c r="AE368" s="304">
        <f t="shared" si="137"/>
        <v>0.7</v>
      </c>
      <c r="AF368" s="177">
        <f t="shared" si="138"/>
        <v>0.59892571002587058</v>
      </c>
      <c r="AG368" s="176">
        <f t="shared" si="139"/>
        <v>-1</v>
      </c>
      <c r="AH368" s="176">
        <f t="shared" si="140"/>
        <v>5</v>
      </c>
      <c r="AI368" s="224">
        <f t="shared" si="141"/>
        <v>-0.40107428997412942</v>
      </c>
      <c r="AJ368" s="264" t="b">
        <f t="shared" si="142"/>
        <v>0</v>
      </c>
      <c r="AK368" s="264" t="b">
        <f t="shared" si="143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44"/>
        <v>44185</v>
      </c>
      <c r="B369" s="607">
        <v>7.8739999999999997</v>
      </c>
      <c r="C369" s="388"/>
      <c r="D369" s="391">
        <f t="shared" si="123"/>
        <v>7.9818747179620706</v>
      </c>
      <c r="E369" s="383">
        <f t="shared" si="145"/>
        <v>8.2990442241956668</v>
      </c>
      <c r="F369" s="383">
        <f t="shared" si="124"/>
        <v>8.3021015904670232</v>
      </c>
      <c r="G369" s="110">
        <f t="shared" si="146"/>
        <v>0.32564167698734925</v>
      </c>
      <c r="H369" s="412" t="b">
        <f>Wh_hp&gt;='2019'!Maxi_hp</f>
        <v>0</v>
      </c>
      <c r="I369" s="388">
        <f>IF(H369,Wh_hp,'2019'!Maxi_hp)</f>
        <v>22.295003218801163</v>
      </c>
      <c r="J369" s="85">
        <f>IF(H369,An,'2019'!An_max)</f>
        <v>2018</v>
      </c>
      <c r="K369" s="197">
        <f t="shared" si="125"/>
        <v>44185</v>
      </c>
      <c r="L369" s="147">
        <f>IF(t&lt;Tvie,1-EXP((T0-t)*PertePVj)+'2019'!Pspv,1-EXP((T0-t)*PertePVj)+Pspv)</f>
        <v>1.3514960053095604E-2</v>
      </c>
      <c r="M369" s="832"/>
      <c r="N369" s="832"/>
      <c r="O369" s="48">
        <f>IF(t&lt;Tnet,'2019'!Resal+('2019'!Salim-'2019'!Resal)*(1-EXP(('2019'!Tnet-t)/('2019'!Tau_j))),Resal+(Salim-Resal)*(1-EXP((Tnet-t)/(Tau_j))))*Salcycl</f>
        <v>3.8217594419956834E-2</v>
      </c>
      <c r="P369" s="169">
        <f>(INDEX(Models!$BJ369:$BT369,,T369)*(1-R369)+INDEX(Models!$BJ369:$BT369,,T369+1)*R369-ERP_i)*Q369*Ramure*Pc/MaxiM</f>
        <v>9.0470941024762205E-3</v>
      </c>
      <c r="Q369" s="304">
        <f t="shared" si="126"/>
        <v>0.7</v>
      </c>
      <c r="R369" s="177">
        <f t="shared" si="127"/>
        <v>0.53459927935370799</v>
      </c>
      <c r="S369" s="799">
        <f t="shared" si="128"/>
        <v>-1</v>
      </c>
      <c r="T369" s="176">
        <f t="shared" si="129"/>
        <v>5</v>
      </c>
      <c r="U369" s="250">
        <f t="shared" si="130"/>
        <v>-0.46540072064629201</v>
      </c>
      <c r="V369" s="382">
        <f t="shared" si="131"/>
        <v>23.970020636431997</v>
      </c>
      <c r="W369" s="58"/>
      <c r="X369" s="157">
        <f t="shared" si="132"/>
        <v>44185</v>
      </c>
      <c r="Y369" s="383">
        <f t="shared" si="133"/>
        <v>7.8737293196942906</v>
      </c>
      <c r="Z369" s="383">
        <f t="shared" si="134"/>
        <v>7.9816003293046176</v>
      </c>
      <c r="AA369" s="384">
        <f t="shared" si="135"/>
        <v>8.2987589323709656</v>
      </c>
      <c r="AB369" s="197">
        <f t="shared" si="136"/>
        <v>44185</v>
      </c>
      <c r="AC369" s="424">
        <f>IF(OR(t&lt;Tnet,NoTnet),'2019'!Resal_s+('2019'!Salim-'2019'!Resal_s)*(1-EXP(('2019'!Tnet_s-t)/'2019'!Tau_j)),Resal_s+(Salim-Resal_s)*(1-EXP((Tnet_s-t)/Tau_j)))*Salcycl</f>
        <v>3.8217594419956834E-2</v>
      </c>
      <c r="AD369" s="230">
        <f>(INDEX(Models!$BJ369:$BT369,,AH369)*(1-AF369)+INDEX(Models!$BJ369:$BT369,,AH369+1)*AF369-ERP_i)*AE369*Ramure*Pc/MaxiM</f>
        <v>9.8913050198683895E-3</v>
      </c>
      <c r="AE369" s="304">
        <f t="shared" si="137"/>
        <v>0.7</v>
      </c>
      <c r="AF369" s="177">
        <f t="shared" si="138"/>
        <v>0.59893150161354014</v>
      </c>
      <c r="AG369" s="176">
        <f t="shared" si="139"/>
        <v>-1</v>
      </c>
      <c r="AH369" s="176">
        <f t="shared" si="140"/>
        <v>5</v>
      </c>
      <c r="AI369" s="224">
        <f t="shared" si="141"/>
        <v>-0.40106849838645986</v>
      </c>
      <c r="AJ369" s="264" t="b">
        <f t="shared" si="142"/>
        <v>0</v>
      </c>
      <c r="AK369" s="264" t="b">
        <f t="shared" si="143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44"/>
        <v>44186</v>
      </c>
      <c r="B370" s="607">
        <v>10.010999999999999</v>
      </c>
      <c r="C370" s="388"/>
      <c r="D370" s="391">
        <f t="shared" si="123"/>
        <v>10.148346357839294</v>
      </c>
      <c r="E370" s="383">
        <f t="shared" si="145"/>
        <v>10.551985372298567</v>
      </c>
      <c r="F370" s="383">
        <f t="shared" si="124"/>
        <v>10.568060261066853</v>
      </c>
      <c r="G370" s="110">
        <f t="shared" si="146"/>
        <v>0.41455570392846847</v>
      </c>
      <c r="H370" s="412" t="b">
        <f>Wh_hp&gt;='2019'!Maxi_hp</f>
        <v>1</v>
      </c>
      <c r="I370" s="388">
        <f>IF(H370,Wh_hp,'2019'!Maxi_hp)</f>
        <v>10.568060261066853</v>
      </c>
      <c r="J370" s="85">
        <f>IF(H370,An,'2019'!An_max)</f>
        <v>2020</v>
      </c>
      <c r="K370" s="197">
        <f t="shared" si="125"/>
        <v>44186</v>
      </c>
      <c r="L370" s="147">
        <f>IF(t&lt;Tvie,1-EXP((T0-t)*PertePVj)+'2019'!Pspv,1-EXP((T0-t)*PertePVj)+Pspv)</f>
        <v>1.3533865813832757E-2</v>
      </c>
      <c r="M370" s="832"/>
      <c r="N370" s="832"/>
      <c r="O370" s="48">
        <f>IF(t&lt;Tnet,'2019'!Resal+('2019'!Salim-'2019'!Resal)*(1-EXP(('2019'!Tnet-t)/('2019'!Tau_j))),Resal+(Salim-Resal)*(1-EXP((Tnet-t)/(Tau_j))))*Salcycl</f>
        <v>3.8252423616784104E-2</v>
      </c>
      <c r="P370" s="169">
        <f>(INDEX(Models!$BJ370:$BT370,,T370)*(1-R370)+INDEX(Models!$BJ370:$BT370,,T370+1)*R370-ERP_i)*Q370*Ramure*Pc/MaxiM</f>
        <v>9.0460830804689994E-3</v>
      </c>
      <c r="Q370" s="304">
        <f t="shared" si="126"/>
        <v>0.7</v>
      </c>
      <c r="R370" s="177">
        <f t="shared" si="127"/>
        <v>0.53460483791274571</v>
      </c>
      <c r="S370" s="799">
        <f t="shared" si="128"/>
        <v>-1</v>
      </c>
      <c r="T370" s="176">
        <f t="shared" si="129"/>
        <v>5</v>
      </c>
      <c r="U370" s="250">
        <f t="shared" si="130"/>
        <v>-0.46539516208725423</v>
      </c>
      <c r="V370" s="382">
        <f t="shared" si="131"/>
        <v>23.966748884423655</v>
      </c>
      <c r="W370" s="58"/>
      <c r="X370" s="157">
        <f t="shared" si="132"/>
        <v>44186</v>
      </c>
      <c r="Y370" s="383">
        <f t="shared" si="133"/>
        <v>10.009576919025923</v>
      </c>
      <c r="Z370" s="383">
        <f t="shared" si="134"/>
        <v>10.146903752842773</v>
      </c>
      <c r="AA370" s="384">
        <f t="shared" si="135"/>
        <v>10.550485389317641</v>
      </c>
      <c r="AB370" s="197">
        <f t="shared" si="136"/>
        <v>44186</v>
      </c>
      <c r="AC370" s="424">
        <f>IF(OR(t&lt;Tnet,NoTnet),'2019'!Resal_s+('2019'!Salim-'2019'!Resal_s)*(1-EXP(('2019'!Tnet_s-t)/'2019'!Tau_j)),Resal_s+(Salim-Resal_s)*(1-EXP((Tnet_s-t)/Tau_j)))*Salcycl</f>
        <v>3.8252423616784104E-2</v>
      </c>
      <c r="AD370" s="230">
        <f>(INDEX(Models!$BJ370:$BT370,,AH370)*(1-AF370)+INDEX(Models!$BJ370:$BT370,,AH370+1)*AF370-ERP_i)*AE370*Ramure*Pc/MaxiM</f>
        <v>9.8901928507029412E-3</v>
      </c>
      <c r="AE370" s="304">
        <f t="shared" si="137"/>
        <v>0.7</v>
      </c>
      <c r="AF370" s="177">
        <f t="shared" si="138"/>
        <v>0.59893706017257786</v>
      </c>
      <c r="AG370" s="176">
        <f t="shared" si="139"/>
        <v>-1</v>
      </c>
      <c r="AH370" s="176">
        <f t="shared" si="140"/>
        <v>5</v>
      </c>
      <c r="AI370" s="224">
        <f t="shared" si="141"/>
        <v>-0.40106293982742208</v>
      </c>
      <c r="AJ370" s="264" t="b">
        <f t="shared" si="142"/>
        <v>0</v>
      </c>
      <c r="AK370" s="264" t="b">
        <f t="shared" si="143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44"/>
        <v>44187</v>
      </c>
      <c r="B371" s="607">
        <v>20.888000000000002</v>
      </c>
      <c r="C371" s="388"/>
      <c r="D371" s="391">
        <f t="shared" si="123"/>
        <v>21.174979654683884</v>
      </c>
      <c r="E371" s="383">
        <f t="shared" si="145"/>
        <v>22.017992956976443</v>
      </c>
      <c r="F371" s="383">
        <f t="shared" si="124"/>
        <v>22.181600514114333</v>
      </c>
      <c r="G371" s="110">
        <f t="shared" si="146"/>
        <v>0.86955307418981831</v>
      </c>
      <c r="H371" s="412" t="b">
        <f>Wh_hp&gt;='2019'!Maxi_hp</f>
        <v>1</v>
      </c>
      <c r="I371" s="388">
        <f>IF(H371,Wh_hp,'2019'!Maxi_hp)</f>
        <v>22.181600514114333</v>
      </c>
      <c r="J371" s="85">
        <f>IF(H371,An,'2019'!An_max)</f>
        <v>2020</v>
      </c>
      <c r="K371" s="197">
        <f t="shared" si="125"/>
        <v>44187</v>
      </c>
      <c r="L371" s="147">
        <f>IF(t&lt;Tvie,1-EXP((T0-t)*PertePVj)+'2019'!Pspv,1-EXP((T0-t)*PertePVj)+Pspv)</f>
        <v>1.3552771212245407E-2</v>
      </c>
      <c r="M371" s="832"/>
      <c r="N371" s="832"/>
      <c r="O371" s="48">
        <f>IF(t&lt;Tnet,'2019'!Resal+('2019'!Salim-'2019'!Resal)*(1-EXP(('2019'!Tnet-t)/('2019'!Tau_j))),Resal+(Salim-Resal)*(1-EXP((Tnet-t)/(Tau_j))))*Salcycl</f>
        <v>3.8287472611142334E-2</v>
      </c>
      <c r="P371" s="169">
        <f>(INDEX(Models!$BJ371:$BT371,,T371)*(1-R371)+INDEX(Models!$BJ371:$BT371,,T371+1)*R371-ERP_i)*Q371*Ramure*Pc/MaxiM</f>
        <v>9.0419262251329804E-3</v>
      </c>
      <c r="Q371" s="304">
        <f t="shared" si="126"/>
        <v>0.7</v>
      </c>
      <c r="R371" s="177">
        <f t="shared" si="127"/>
        <v>0.53460483791274571</v>
      </c>
      <c r="S371" s="799">
        <f t="shared" si="128"/>
        <v>-1</v>
      </c>
      <c r="T371" s="176">
        <f t="shared" si="129"/>
        <v>5</v>
      </c>
      <c r="U371" s="250">
        <f t="shared" si="130"/>
        <v>-0.46539516208725423</v>
      </c>
      <c r="V371" s="382">
        <f t="shared" si="131"/>
        <v>23.981215701774367</v>
      </c>
      <c r="W371" s="58"/>
      <c r="X371" s="157">
        <f t="shared" si="132"/>
        <v>44187</v>
      </c>
      <c r="Y371" s="383">
        <f t="shared" si="133"/>
        <v>20.873518179555962</v>
      </c>
      <c r="Z371" s="383">
        <f t="shared" si="134"/>
        <v>21.16029886890902</v>
      </c>
      <c r="AA371" s="384">
        <f t="shared" si="135"/>
        <v>22.002727703216337</v>
      </c>
      <c r="AB371" s="197">
        <f t="shared" si="136"/>
        <v>44187</v>
      </c>
      <c r="AC371" s="424">
        <f>IF(OR(t&lt;Tnet,NoTnet),'2019'!Resal_s+('2019'!Salim-'2019'!Resal_s)*(1-EXP(('2019'!Tnet_s-t)/'2019'!Tau_j)),Resal_s+(Salim-Resal_s)*(1-EXP((Tnet_s-t)/Tau_j)))*Salcycl</f>
        <v>3.8287472611142334E-2</v>
      </c>
      <c r="AD371" s="230">
        <f>(INDEX(Models!$BJ371:$BT371,,AH371)*(1-AF371)+INDEX(Models!$BJ371:$BT371,,AH371+1)*AF371-ERP_i)*AE371*Ramure*Pc/MaxiM</f>
        <v>9.8855748971222821E-3</v>
      </c>
      <c r="AE371" s="304">
        <f t="shared" si="137"/>
        <v>0.7</v>
      </c>
      <c r="AF371" s="177">
        <f t="shared" si="138"/>
        <v>0.59893706017257786</v>
      </c>
      <c r="AG371" s="176">
        <f t="shared" si="139"/>
        <v>-1</v>
      </c>
      <c r="AH371" s="176">
        <f t="shared" si="140"/>
        <v>5</v>
      </c>
      <c r="AI371" s="224">
        <f t="shared" si="141"/>
        <v>-0.40106293982742208</v>
      </c>
      <c r="AJ371" s="264" t="b">
        <f t="shared" si="142"/>
        <v>0</v>
      </c>
      <c r="AK371" s="264" t="b">
        <f t="shared" si="143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44"/>
        <v>44188</v>
      </c>
      <c r="B372" s="607">
        <v>13.006</v>
      </c>
      <c r="C372" s="388"/>
      <c r="D372" s="391">
        <f t="shared" si="123"/>
        <v>13.184941760932599</v>
      </c>
      <c r="E372" s="383">
        <f t="shared" si="145"/>
        <v>13.710360064382344</v>
      </c>
      <c r="F372" s="383">
        <f t="shared" si="124"/>
        <v>13.753242588156475</v>
      </c>
      <c r="G372" s="110">
        <f t="shared" si="146"/>
        <v>0.53837588140259451</v>
      </c>
      <c r="H372" s="412" t="b">
        <f>Wh_hp&gt;='2019'!Maxi_hp</f>
        <v>1</v>
      </c>
      <c r="I372" s="388">
        <f>IF(H372,Wh_hp,'2019'!Maxi_hp)</f>
        <v>13.753242588156475</v>
      </c>
      <c r="J372" s="85">
        <f>IF(H372,An,'2019'!An_max)</f>
        <v>2020</v>
      </c>
      <c r="K372" s="197">
        <f t="shared" si="125"/>
        <v>44188</v>
      </c>
      <c r="L372" s="147">
        <f>IF(t&lt;Tvie,1-EXP((T0-t)*PertePVj)+'2019'!Pspv,1-EXP((T0-t)*PertePVj)+Pspv)</f>
        <v>1.3571676248340325E-2</v>
      </c>
      <c r="M372" s="832"/>
      <c r="N372" s="832"/>
      <c r="O372" s="48">
        <f>IF(t&lt;Tnet,'2019'!Resal+('2019'!Salim-'2019'!Resal)*(1-EXP(('2019'!Tnet-t)/('2019'!Tau_j))),Resal+(Salim-Resal)*(1-EXP((Tnet-t)/(Tau_j))))*Salcycl</f>
        <v>3.8322720992186858E-2</v>
      </c>
      <c r="P372" s="169">
        <f>(INDEX(Models!$BJ372:$BT372,,T372)*(1-R372)+INDEX(Models!$BJ372:$BT372,,T372+1)*R372-ERP_i)*Q372*Ramure*Pc/MaxiM</f>
        <v>9.0342918997640236E-3</v>
      </c>
      <c r="Q372" s="304">
        <f t="shared" si="126"/>
        <v>0.7</v>
      </c>
      <c r="R372" s="177">
        <f t="shared" si="127"/>
        <v>0.53460483791274571</v>
      </c>
      <c r="S372" s="799">
        <f t="shared" si="128"/>
        <v>-1</v>
      </c>
      <c r="T372" s="176">
        <f t="shared" si="129"/>
        <v>5</v>
      </c>
      <c r="U372" s="250">
        <f t="shared" si="130"/>
        <v>-0.46539516208725423</v>
      </c>
      <c r="V372" s="382">
        <f t="shared" si="131"/>
        <v>24.014470930825215</v>
      </c>
      <c r="W372" s="58"/>
      <c r="X372" s="157">
        <f t="shared" si="132"/>
        <v>44188</v>
      </c>
      <c r="Y372" s="383">
        <f t="shared" si="133"/>
        <v>13.00220509782342</v>
      </c>
      <c r="Z372" s="383">
        <f t="shared" si="134"/>
        <v>13.181094646970841</v>
      </c>
      <c r="AA372" s="384">
        <f t="shared" si="135"/>
        <v>13.706359643403566</v>
      </c>
      <c r="AB372" s="197">
        <f t="shared" si="136"/>
        <v>44188</v>
      </c>
      <c r="AC372" s="424">
        <f>IF(OR(t&lt;Tnet,NoTnet),'2019'!Resal_s+('2019'!Salim-'2019'!Resal_s)*(1-EXP(('2019'!Tnet_s-t)/'2019'!Tau_j)),Resal_s+(Salim-Resal_s)*(1-EXP((Tnet_s-t)/Tau_j)))*Salcycl</f>
        <v>3.8322720992186858E-2</v>
      </c>
      <c r="AD372" s="230">
        <f>(INDEX(Models!$BJ372:$BT372,,AH372)*(1-AF372)+INDEX(Models!$BJ372:$BT372,,AH372+1)*AF372-ERP_i)*AE372*Ramure*Pc/MaxiM</f>
        <v>9.8770821010723871E-3</v>
      </c>
      <c r="AE372" s="304">
        <f t="shared" si="137"/>
        <v>0.7</v>
      </c>
      <c r="AF372" s="177">
        <f t="shared" si="138"/>
        <v>0.59893706017257786</v>
      </c>
      <c r="AG372" s="176">
        <f t="shared" si="139"/>
        <v>-1</v>
      </c>
      <c r="AH372" s="176">
        <f t="shared" si="140"/>
        <v>5</v>
      </c>
      <c r="AI372" s="224">
        <f t="shared" si="141"/>
        <v>-0.40106293982742208</v>
      </c>
      <c r="AJ372" s="264" t="b">
        <f t="shared" si="142"/>
        <v>0</v>
      </c>
      <c r="AK372" s="264" t="b">
        <f t="shared" si="143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44"/>
        <v>44189</v>
      </c>
      <c r="B373" s="607">
        <v>11.752000000000001</v>
      </c>
      <c r="C373" s="388"/>
      <c r="D373" s="391">
        <f t="shared" si="123"/>
        <v>11.913917053819413</v>
      </c>
      <c r="E373" s="383">
        <f t="shared" si="145"/>
        <v>12.389141594864091</v>
      </c>
      <c r="F373" s="383">
        <f t="shared" si="124"/>
        <v>12.419282980013103</v>
      </c>
      <c r="G373" s="110">
        <f t="shared" si="146"/>
        <v>0.48506124645270599</v>
      </c>
      <c r="H373" s="412" t="b">
        <f>Wh_hp&gt;='2019'!Maxi_hp</f>
        <v>0</v>
      </c>
      <c r="I373" s="388">
        <f>IF(H373,Wh_hp,'2019'!Maxi_hp)</f>
        <v>15.402591944038759</v>
      </c>
      <c r="J373" s="85">
        <f>IF(H373,An,'2019'!An_max)</f>
        <v>2018</v>
      </c>
      <c r="K373" s="197">
        <f t="shared" si="125"/>
        <v>44189</v>
      </c>
      <c r="L373" s="147">
        <f>IF(t&lt;Tvie,1-EXP((T0-t)*PertePVj)+'2019'!Pspv,1-EXP((T0-t)*PertePVj)+Pspv)</f>
        <v>1.3590580922124507E-2</v>
      </c>
      <c r="M373" s="832"/>
      <c r="N373" s="832"/>
      <c r="O373" s="48">
        <f>IF(t&lt;Tnet,'2019'!Resal+('2019'!Salim-'2019'!Resal)*(1-EXP(('2019'!Tnet-t)/('2019'!Tau_j))),Resal+(Salim-Resal)*(1-EXP((Tnet-t)/(Tau_j))))*Salcycl</f>
        <v>3.8358149142607482E-2</v>
      </c>
      <c r="P373" s="169">
        <f>(INDEX(Models!$BJ373:$BT373,,T373)*(1-R373)+INDEX(Models!$BJ373:$BT373,,T373+1)*R373-ERP_i)*Q373*Ramure*Pc/MaxiM</f>
        <v>9.022733213230499E-3</v>
      </c>
      <c r="Q373" s="304">
        <f t="shared" si="126"/>
        <v>0.7</v>
      </c>
      <c r="R373" s="177">
        <f t="shared" si="127"/>
        <v>0.53460483791274571</v>
      </c>
      <c r="S373" s="799">
        <f t="shared" si="128"/>
        <v>-1</v>
      </c>
      <c r="T373" s="176">
        <f t="shared" si="129"/>
        <v>5</v>
      </c>
      <c r="U373" s="250">
        <f t="shared" si="130"/>
        <v>-0.46539516208725423</v>
      </c>
      <c r="V373" s="382">
        <f t="shared" si="131"/>
        <v>24.067678555064212</v>
      </c>
      <c r="W373" s="58"/>
      <c r="X373" s="157">
        <f t="shared" si="132"/>
        <v>44189</v>
      </c>
      <c r="Y373" s="383">
        <f t="shared" si="133"/>
        <v>11.749333470879163</v>
      </c>
      <c r="Z373" s="383">
        <f t="shared" si="134"/>
        <v>11.911213785714644</v>
      </c>
      <c r="AA373" s="384">
        <f t="shared" si="135"/>
        <v>12.386330498297985</v>
      </c>
      <c r="AB373" s="197">
        <f t="shared" si="136"/>
        <v>44189</v>
      </c>
      <c r="AC373" s="424">
        <f>IF(OR(t&lt;Tnet,NoTnet),'2019'!Resal_s+('2019'!Salim-'2019'!Resal_s)*(1-EXP(('2019'!Tnet_s-t)/'2019'!Tau_j)),Resal_s+(Salim-Resal_s)*(1-EXP((Tnet_s-t)/Tau_j)))*Salcycl</f>
        <v>3.8358149142607482E-2</v>
      </c>
      <c r="AD373" s="230">
        <f>(INDEX(Models!$BJ373:$BT373,,AH373)*(1-AF373)+INDEX(Models!$BJ373:$BT373,,AH373+1)*AF373-ERP_i)*AE373*Ramure*Pc/MaxiM</f>
        <v>9.8642265363541124E-3</v>
      </c>
      <c r="AE373" s="304">
        <f t="shared" si="137"/>
        <v>0.7</v>
      </c>
      <c r="AF373" s="177">
        <f t="shared" si="138"/>
        <v>0.59893706017257786</v>
      </c>
      <c r="AG373" s="176">
        <f t="shared" si="139"/>
        <v>-1</v>
      </c>
      <c r="AH373" s="176">
        <f t="shared" si="140"/>
        <v>5</v>
      </c>
      <c r="AI373" s="224">
        <f t="shared" si="141"/>
        <v>-0.40106293982742208</v>
      </c>
      <c r="AJ373" s="264" t="b">
        <f t="shared" si="142"/>
        <v>0</v>
      </c>
      <c r="AK373" s="264" t="b">
        <f t="shared" si="143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44"/>
        <v>44190</v>
      </c>
      <c r="B374" s="607">
        <v>3.7810000000000001</v>
      </c>
      <c r="C374" s="388"/>
      <c r="D374" s="391">
        <f t="shared" si="123"/>
        <v>3.8331674356129097</v>
      </c>
      <c r="E374" s="383">
        <f t="shared" si="145"/>
        <v>3.9862130566142087</v>
      </c>
      <c r="F374" s="383">
        <f t="shared" si="124"/>
        <v>3.9862130566142087</v>
      </c>
      <c r="G374" s="110">
        <f t="shared" si="146"/>
        <v>0.15521388037988482</v>
      </c>
      <c r="H374" s="412" t="b">
        <f>Wh_hp&gt;='2019'!Maxi_hp</f>
        <v>0</v>
      </c>
      <c r="I374" s="388">
        <f>IF(H374,Wh_hp,'2019'!Maxi_hp)</f>
        <v>6.5935528116411817</v>
      </c>
      <c r="J374" s="85">
        <f>IF(H374,An,'2019'!An_max)</f>
        <v>2018</v>
      </c>
      <c r="K374" s="197">
        <f t="shared" si="125"/>
        <v>44190</v>
      </c>
      <c r="L374" s="147">
        <f>IF(t&lt;Tvie,1-EXP((T0-t)*PertePVj)+'2019'!Pspv,1-EXP((T0-t)*PertePVj)+Pspv)</f>
        <v>1.3609485233605056E-2</v>
      </c>
      <c r="M374" s="832"/>
      <c r="N374" s="832"/>
      <c r="O374" s="48">
        <f>IF(t&lt;Tnet,'2019'!Resal+('2019'!Salim-'2019'!Resal)*(1-EXP(('2019'!Tnet-t)/('2019'!Tau_j))),Resal+(Salim-Resal)*(1-EXP((Tnet-t)/(Tau_j))))*Salcycl</f>
        <v>3.8393738324486906E-2</v>
      </c>
      <c r="P374" s="169">
        <f>(INDEX(Models!$BJ374:$BT374,,T374)*(1-R374)+INDEX(Models!$BJ374:$BT374,,T374+1)*R374-ERP_i)*Q374*Ramure*Pc/MaxiM</f>
        <v>9.0073795173511544E-3</v>
      </c>
      <c r="Q374" s="304">
        <f t="shared" si="126"/>
        <v>0.7</v>
      </c>
      <c r="R374" s="177">
        <f t="shared" si="127"/>
        <v>0.53460483791274571</v>
      </c>
      <c r="S374" s="799">
        <f t="shared" si="128"/>
        <v>-1</v>
      </c>
      <c r="T374" s="176">
        <f t="shared" si="129"/>
        <v>5</v>
      </c>
      <c r="U374" s="250">
        <f t="shared" si="130"/>
        <v>-0.46539516208725423</v>
      </c>
      <c r="V374" s="382">
        <f t="shared" si="131"/>
        <v>24.140515583234436</v>
      </c>
      <c r="W374" s="58"/>
      <c r="X374" s="157">
        <f t="shared" si="132"/>
        <v>44190</v>
      </c>
      <c r="Y374" s="383">
        <f t="shared" si="133"/>
        <v>3.7810000000000001</v>
      </c>
      <c r="Z374" s="383">
        <f t="shared" si="134"/>
        <v>3.8331674356129097</v>
      </c>
      <c r="AA374" s="384">
        <f t="shared" si="135"/>
        <v>3.9862130566142087</v>
      </c>
      <c r="AB374" s="197">
        <f t="shared" si="136"/>
        <v>44190</v>
      </c>
      <c r="AC374" s="424">
        <f>IF(OR(t&lt;Tnet,NoTnet),'2019'!Resal_s+('2019'!Salim-'2019'!Resal_s)*(1-EXP(('2019'!Tnet_s-t)/'2019'!Tau_j)),Resal_s+(Salim-Resal_s)*(1-EXP((Tnet_s-t)/Tau_j)))*Salcycl</f>
        <v>3.8393738324486906E-2</v>
      </c>
      <c r="AD374" s="230">
        <f>(INDEX(Models!$BJ374:$BT374,,AH374)*(1-AF374)+INDEX(Models!$BJ374:$BT374,,AH374+1)*AF374-ERP_i)*AE374*Ramure*Pc/MaxiM</f>
        <v>9.8471506108975468E-3</v>
      </c>
      <c r="AE374" s="304">
        <f t="shared" si="137"/>
        <v>0.7</v>
      </c>
      <c r="AF374" s="177">
        <f t="shared" si="138"/>
        <v>0.59893706017257786</v>
      </c>
      <c r="AG374" s="176">
        <f t="shared" si="139"/>
        <v>-1</v>
      </c>
      <c r="AH374" s="176">
        <f t="shared" si="140"/>
        <v>5</v>
      </c>
      <c r="AI374" s="224">
        <f t="shared" si="141"/>
        <v>-0.40106293982742208</v>
      </c>
      <c r="AJ374" s="264" t="b">
        <f t="shared" si="142"/>
        <v>0</v>
      </c>
      <c r="AK374" s="264" t="b">
        <f t="shared" si="143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44"/>
        <v>44191</v>
      </c>
      <c r="B375" s="607">
        <v>16.925999999999998</v>
      </c>
      <c r="C375" s="388"/>
      <c r="D375" s="391">
        <f t="shared" si="123"/>
        <v>17.159861267678586</v>
      </c>
      <c r="E375" s="383">
        <f t="shared" si="145"/>
        <v>17.845660558195576</v>
      </c>
      <c r="F375" s="383">
        <f t="shared" si="124"/>
        <v>17.937465383301312</v>
      </c>
      <c r="G375" s="110">
        <f t="shared" si="146"/>
        <v>0.69578594791011439</v>
      </c>
      <c r="H375" s="412" t="b">
        <f>Wh_hp&gt;='2019'!Maxi_hp</f>
        <v>0</v>
      </c>
      <c r="I375" s="388">
        <f>IF(H375,Wh_hp,'2019'!Maxi_hp)</f>
        <v>24.49923801757005</v>
      </c>
      <c r="J375" s="85">
        <f>IF(H375,An,'2019'!An_max)</f>
        <v>2018</v>
      </c>
      <c r="K375" s="197">
        <f t="shared" si="125"/>
        <v>44191</v>
      </c>
      <c r="L375" s="147">
        <f>IF(t&lt;Tvie,1-EXP((T0-t)*PertePVj)+'2019'!Pspv,1-EXP((T0-t)*PertePVj)+Pspv)</f>
        <v>1.3628389182788747E-2</v>
      </c>
      <c r="M375" s="832"/>
      <c r="N375" s="832"/>
      <c r="O375" s="48">
        <f>IF(t&lt;Tnet,'2019'!Resal+('2019'!Salim-'2019'!Resal)*(1-EXP(('2019'!Tnet-t)/('2019'!Tau_j))),Resal+(Salim-Resal)*(1-EXP((Tnet-t)/(Tau_j))))*Salcycl</f>
        <v>3.8429470754560366E-2</v>
      </c>
      <c r="P375" s="169">
        <f>(INDEX(Models!$BJ375:$BT375,,T375)*(1-R375)+INDEX(Models!$BJ375:$BT375,,T375+1)*R375-ERP_i)*Q375*Ramure*Pc/MaxiM</f>
        <v>8.9901960101779702E-3</v>
      </c>
      <c r="Q375" s="304">
        <f t="shared" si="126"/>
        <v>0.7</v>
      </c>
      <c r="R375" s="177">
        <f t="shared" si="127"/>
        <v>0.53460483791274571</v>
      </c>
      <c r="S375" s="799">
        <f t="shared" si="128"/>
        <v>-1</v>
      </c>
      <c r="T375" s="176">
        <f t="shared" si="129"/>
        <v>5</v>
      </c>
      <c r="U375" s="250">
        <f t="shared" si="130"/>
        <v>-0.46539516208725423</v>
      </c>
      <c r="V375" s="382">
        <f t="shared" si="131"/>
        <v>24.23176686225942</v>
      </c>
      <c r="W375" s="58"/>
      <c r="X375" s="157">
        <f t="shared" si="132"/>
        <v>44191</v>
      </c>
      <c r="Y375" s="383">
        <f t="shared" si="133"/>
        <v>16.917886187883813</v>
      </c>
      <c r="Z375" s="383">
        <f t="shared" si="134"/>
        <v>17.151635349548741</v>
      </c>
      <c r="AA375" s="384">
        <f t="shared" si="135"/>
        <v>17.837105888642316</v>
      </c>
      <c r="AB375" s="197">
        <f t="shared" si="136"/>
        <v>44191</v>
      </c>
      <c r="AC375" s="424">
        <f>IF(OR(t&lt;Tnet,NoTnet),'2019'!Resal_s+('2019'!Salim-'2019'!Resal_s)*(1-EXP(('2019'!Tnet_s-t)/'2019'!Tau_j)),Resal_s+(Salim-Resal_s)*(1-EXP((Tnet_s-t)/Tau_j)))*Salcycl</f>
        <v>3.8429470754560366E-2</v>
      </c>
      <c r="AD375" s="230">
        <f>(INDEX(Models!$BJ375:$BT375,,AH375)*(1-AF375)+INDEX(Models!$BJ375:$BT375,,AH375+1)*AF375-ERP_i)*AE375*Ramure*Pc/MaxiM</f>
        <v>9.8279314559735365E-3</v>
      </c>
      <c r="AE375" s="304">
        <f t="shared" si="137"/>
        <v>0.7</v>
      </c>
      <c r="AF375" s="177">
        <f t="shared" si="138"/>
        <v>0.59893706017257786</v>
      </c>
      <c r="AG375" s="176">
        <f t="shared" si="139"/>
        <v>-1</v>
      </c>
      <c r="AH375" s="176">
        <f t="shared" si="140"/>
        <v>5</v>
      </c>
      <c r="AI375" s="224">
        <f t="shared" si="141"/>
        <v>-0.40106293982742208</v>
      </c>
      <c r="AJ375" s="264" t="b">
        <f t="shared" si="142"/>
        <v>0</v>
      </c>
      <c r="AK375" s="264" t="b">
        <f t="shared" si="143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44"/>
        <v>44192</v>
      </c>
      <c r="B376" s="607">
        <v>6.3049999999999997</v>
      </c>
      <c r="C376" s="388"/>
      <c r="D376" s="391">
        <f t="shared" si="123"/>
        <v>6.3922367260535689</v>
      </c>
      <c r="E376" s="383">
        <f t="shared" si="145"/>
        <v>6.6479524070099991</v>
      </c>
      <c r="F376" s="383">
        <f t="shared" si="124"/>
        <v>6.6479524070099991</v>
      </c>
      <c r="G376" s="110">
        <f t="shared" si="146"/>
        <v>0.25671193953557864</v>
      </c>
      <c r="H376" s="412" t="b">
        <f>Wh_hp&gt;='2019'!Maxi_hp</f>
        <v>1</v>
      </c>
      <c r="I376" s="388">
        <f>IF(H376,Wh_hp,'2019'!Maxi_hp)</f>
        <v>6.6479524070099991</v>
      </c>
      <c r="J376" s="85">
        <f>IF(H376,An,'2019'!An_max)</f>
        <v>2020</v>
      </c>
      <c r="K376" s="197">
        <f t="shared" si="125"/>
        <v>44192</v>
      </c>
      <c r="L376" s="147">
        <f>IF(t&lt;Tvie,1-EXP((T0-t)*PertePVj)+'2019'!Pspv,1-EXP((T0-t)*PertePVj)+Pspv)</f>
        <v>1.3647292769682462E-2</v>
      </c>
      <c r="M376" s="832"/>
      <c r="N376" s="832"/>
      <c r="O376" s="48">
        <f>IF(t&lt;Tnet,'2019'!Resal+('2019'!Salim-'2019'!Resal)*(1-EXP(('2019'!Tnet-t)/('2019'!Tau_j))),Resal+(Salim-Resal)*(1-EXP((Tnet-t)/(Tau_j))))*Salcycl</f>
        <v>3.8465329668544011E-2</v>
      </c>
      <c r="P376" s="169">
        <f>(INDEX(Models!$BJ376:$BT376,,T376)*(1-R376)+INDEX(Models!$BJ376:$BT376,,T376+1)*R376-ERP_i)*Q376*Ramure*Pc/MaxiM</f>
        <v>8.9701556377233087E-3</v>
      </c>
      <c r="Q376" s="304">
        <f t="shared" si="126"/>
        <v>0.7</v>
      </c>
      <c r="R376" s="177">
        <f t="shared" si="127"/>
        <v>0.53460483791274571</v>
      </c>
      <c r="S376" s="799">
        <f t="shared" si="128"/>
        <v>-1</v>
      </c>
      <c r="T376" s="176">
        <f t="shared" si="129"/>
        <v>5</v>
      </c>
      <c r="U376" s="250">
        <f t="shared" si="130"/>
        <v>-0.46539516208725423</v>
      </c>
      <c r="V376" s="382">
        <f t="shared" si="131"/>
        <v>24.34029044386601</v>
      </c>
      <c r="W376" s="58"/>
      <c r="X376" s="157">
        <f t="shared" si="132"/>
        <v>44192</v>
      </c>
      <c r="Y376" s="383">
        <f t="shared" si="133"/>
        <v>6.3049999999999997</v>
      </c>
      <c r="Z376" s="383">
        <f t="shared" si="134"/>
        <v>6.3922367260535689</v>
      </c>
      <c r="AA376" s="384">
        <f t="shared" si="135"/>
        <v>6.6479524070099991</v>
      </c>
      <c r="AB376" s="197">
        <f t="shared" si="136"/>
        <v>44192</v>
      </c>
      <c r="AC376" s="424">
        <f>IF(OR(t&lt;Tnet,NoTnet),'2019'!Resal_s+('2019'!Salim-'2019'!Resal_s)*(1-EXP(('2019'!Tnet_s-t)/'2019'!Tau_j)),Resal_s+(Salim-Resal_s)*(1-EXP((Tnet_s-t)/Tau_j)))*Salcycl</f>
        <v>3.8465329668544011E-2</v>
      </c>
      <c r="AD376" s="230">
        <f>(INDEX(Models!$BJ376:$BT376,,AH376)*(1-AF376)+INDEX(Models!$BJ376:$BT376,,AH376+1)*AF376-ERP_i)*AE376*Ramure*Pc/MaxiM</f>
        <v>9.8054846731420765E-3</v>
      </c>
      <c r="AE376" s="304">
        <f t="shared" si="137"/>
        <v>0.7</v>
      </c>
      <c r="AF376" s="177">
        <f t="shared" si="138"/>
        <v>0.59893706017257786</v>
      </c>
      <c r="AG376" s="176">
        <f t="shared" si="139"/>
        <v>-1</v>
      </c>
      <c r="AH376" s="176">
        <f t="shared" si="140"/>
        <v>5</v>
      </c>
      <c r="AI376" s="224">
        <f t="shared" si="141"/>
        <v>-0.40106293982742208</v>
      </c>
      <c r="AJ376" s="264" t="b">
        <f t="shared" si="142"/>
        <v>0</v>
      </c>
      <c r="AK376" s="264" t="b">
        <f t="shared" si="143"/>
        <v>0</v>
      </c>
      <c r="AL376" s="264"/>
      <c r="AM376" s="264"/>
      <c r="AN376" s="75"/>
    </row>
    <row r="377" spans="1:40" s="6" customFormat="1" ht="11.25" x14ac:dyDescent="0.2">
      <c r="A377" s="56">
        <f t="shared" si="144"/>
        <v>44193</v>
      </c>
      <c r="B377" s="607">
        <v>7.8129999999999997</v>
      </c>
      <c r="C377" s="388"/>
      <c r="D377" s="391">
        <f t="shared" si="123"/>
        <v>7.9212534015054352</v>
      </c>
      <c r="E377" s="383">
        <f t="shared" si="145"/>
        <v>8.2384442083495966</v>
      </c>
      <c r="F377" s="383">
        <f t="shared" si="124"/>
        <v>8.2404829819181913</v>
      </c>
      <c r="G377" s="110">
        <f t="shared" si="146"/>
        <v>0.31657619565891232</v>
      </c>
      <c r="H377" s="412" t="b">
        <f>Wh_hp&gt;='2019'!Maxi_hp</f>
        <v>0</v>
      </c>
      <c r="I377" s="388">
        <f>IF(H377,Wh_hp,'2019'!Maxi_hp)</f>
        <v>25.350843824112598</v>
      </c>
      <c r="J377" s="85">
        <f>IF(H377,An,'2019'!An_max)</f>
        <v>2018</v>
      </c>
      <c r="K377" s="197">
        <f t="shared" si="125"/>
        <v>44193</v>
      </c>
      <c r="L377" s="147">
        <f>IF(t&lt;Tvie,1-EXP((T0-t)*PertePVj)+'2019'!Pspv,1-EXP((T0-t)*PertePVj)+Pspv)</f>
        <v>1.3666195994293306E-2</v>
      </c>
      <c r="M377" s="832"/>
      <c r="N377" s="832"/>
      <c r="O377" s="48">
        <f>IF(t&lt;Tnet,'2019'!Resal+('2019'!Salim-'2019'!Resal)*(1-EXP(('2019'!Tnet-t)/('2019'!Tau_j))),Resal+(Salim-Resal)*(1-EXP((Tnet-t)/(Tau_j))))*Salcycl</f>
        <v>3.8501299374302994E-2</v>
      </c>
      <c r="P377" s="169">
        <f>(INDEX(Models!$BJ377:$BT377,,T377)*(1-R377)+INDEX(Models!$BJ377:$BT377,,T377+1)*R377-ERP_i)*Q377*Ramure*Pc/MaxiM</f>
        <v>8.9477273696919359E-3</v>
      </c>
      <c r="Q377" s="304">
        <f t="shared" si="126"/>
        <v>0.7</v>
      </c>
      <c r="R377" s="177">
        <f t="shared" si="127"/>
        <v>0.53460483791274571</v>
      </c>
      <c r="S377" s="799">
        <f t="shared" si="128"/>
        <v>-1</v>
      </c>
      <c r="T377" s="176">
        <f t="shared" si="129"/>
        <v>5</v>
      </c>
      <c r="U377" s="250">
        <f t="shared" si="130"/>
        <v>-0.46539516208725423</v>
      </c>
      <c r="V377" s="382">
        <f t="shared" si="131"/>
        <v>24.464908292309929</v>
      </c>
      <c r="W377" s="58"/>
      <c r="X377" s="157">
        <f t="shared" si="132"/>
        <v>44193</v>
      </c>
      <c r="Y377" s="383">
        <f t="shared" si="133"/>
        <v>7.8128200863127626</v>
      </c>
      <c r="Z377" s="383">
        <f t="shared" si="134"/>
        <v>7.9210709950153539</v>
      </c>
      <c r="AA377" s="384">
        <f t="shared" si="135"/>
        <v>8.238254497755122</v>
      </c>
      <c r="AB377" s="197">
        <f t="shared" si="136"/>
        <v>44193</v>
      </c>
      <c r="AC377" s="424">
        <f>IF(OR(t&lt;Tnet,NoTnet),'2019'!Resal_s+('2019'!Salim-'2019'!Resal_s)*(1-EXP(('2019'!Tnet_s-t)/'2019'!Tau_j)),Resal_s+(Salim-Resal_s)*(1-EXP((Tnet_s-t)/Tau_j)))*Salcycl</f>
        <v>3.8501299374302994E-2</v>
      </c>
      <c r="AD377" s="230">
        <f>(INDEX(Models!$BJ377:$BT377,,AH377)*(1-AF377)+INDEX(Models!$BJ377:$BT377,,AH377+1)*AF377-ERP_i)*AE377*Ramure*Pc/MaxiM</f>
        <v>9.7803253122262825E-3</v>
      </c>
      <c r="AE377" s="304">
        <f t="shared" si="137"/>
        <v>0.7</v>
      </c>
      <c r="AF377" s="177">
        <f t="shared" si="138"/>
        <v>0.59893706017257786</v>
      </c>
      <c r="AG377" s="176">
        <f t="shared" si="139"/>
        <v>-1</v>
      </c>
      <c r="AH377" s="176">
        <f t="shared" si="140"/>
        <v>5</v>
      </c>
      <c r="AI377" s="224">
        <f t="shared" si="141"/>
        <v>-0.40106293982742208</v>
      </c>
      <c r="AJ377" s="264" t="b">
        <f t="shared" si="142"/>
        <v>0</v>
      </c>
      <c r="AK377" s="264" t="b">
        <f t="shared" si="143"/>
        <v>0</v>
      </c>
      <c r="AL377" s="264"/>
      <c r="AM377" s="264"/>
      <c r="AN377" s="75"/>
    </row>
    <row r="378" spans="1:40" s="6" customFormat="1" ht="11.25" customHeight="1" x14ac:dyDescent="0.2">
      <c r="A378" s="56">
        <f t="shared" si="144"/>
        <v>44194</v>
      </c>
      <c r="B378" s="607">
        <v>5.7690000000000001</v>
      </c>
      <c r="C378" s="388"/>
      <c r="D378" s="391">
        <f t="shared" si="123"/>
        <v>5.8490447556985776</v>
      </c>
      <c r="E378" s="383">
        <f t="shared" si="145"/>
        <v>6.0834862890802892</v>
      </c>
      <c r="F378" s="383">
        <f t="shared" si="124"/>
        <v>6.0834862890802892</v>
      </c>
      <c r="G378" s="110">
        <f t="shared" si="146"/>
        <v>0.2323775885287287</v>
      </c>
      <c r="H378" s="412" t="b">
        <f>Wh_hp&gt;='2019'!Maxi_hp</f>
        <v>0</v>
      </c>
      <c r="I378" s="388">
        <f>IF(H378,Wh_hp,'2019'!Maxi_hp)</f>
        <v>26.258304943114872</v>
      </c>
      <c r="J378" s="85">
        <f>IF(H378,An,'2019'!An_max)</f>
        <v>2018</v>
      </c>
      <c r="K378" s="197">
        <f t="shared" si="125"/>
        <v>44194</v>
      </c>
      <c r="L378" s="147">
        <f>IF(t&lt;Tvie,1-EXP((T0-t)*PertePVj)+'2019'!Pspv,1-EXP((T0-t)*PertePVj)+Pspv)</f>
        <v>1.3685098856628164E-2</v>
      </c>
      <c r="M378" s="832"/>
      <c r="N378" s="832"/>
      <c r="O378" s="48">
        <f>IF(t&lt;Tnet,'2019'!Resal+('2019'!Salim-'2019'!Resal)*(1-EXP(('2019'!Tnet-t)/('2019'!Tau_j))),Resal+(Salim-Resal)*(1-EXP((Tnet-t)/(Tau_j))))*Salcycl</f>
        <v>3.8537365293734305E-2</v>
      </c>
      <c r="P378" s="169">
        <f>(INDEX(Models!$BJ378:$BT378,,T378)*(1-R378)+INDEX(Models!$BJ378:$BT378,,T378+1)*R378-ERP_i)*Q378*Ramure*Pc/MaxiM</f>
        <v>8.923378249104939E-3</v>
      </c>
      <c r="Q378" s="304">
        <f t="shared" si="126"/>
        <v>0.7</v>
      </c>
      <c r="R378" s="177">
        <f t="shared" si="127"/>
        <v>0.53460483791274571</v>
      </c>
      <c r="S378" s="799">
        <f t="shared" si="128"/>
        <v>-1</v>
      </c>
      <c r="T378" s="176">
        <f t="shared" si="129"/>
        <v>5</v>
      </c>
      <c r="U378" s="250">
        <f t="shared" si="130"/>
        <v>-0.46539516208725423</v>
      </c>
      <c r="V378" s="382">
        <f t="shared" si="131"/>
        <v>24.604442567291986</v>
      </c>
      <c r="W378" s="58"/>
      <c r="X378" s="157">
        <f t="shared" si="132"/>
        <v>44194</v>
      </c>
      <c r="Y378" s="383">
        <f t="shared" si="133"/>
        <v>5.7690000000000001</v>
      </c>
      <c r="Z378" s="383">
        <f t="shared" si="134"/>
        <v>5.8490447556985776</v>
      </c>
      <c r="AA378" s="384">
        <f t="shared" si="135"/>
        <v>6.0834862890802892</v>
      </c>
      <c r="AB378" s="197">
        <f t="shared" si="136"/>
        <v>44194</v>
      </c>
      <c r="AC378" s="424">
        <f>IF(OR(t&lt;Tnet,NoTnet),'2019'!Resal_s+('2019'!Salim-'2019'!Resal_s)*(1-EXP(('2019'!Tnet_s-t)/'2019'!Tau_j)),Resal_s+(Salim-Resal_s)*(1-EXP((Tnet_s-t)/Tau_j)))*Salcycl</f>
        <v>3.8537365293734305E-2</v>
      </c>
      <c r="AD378" s="230">
        <f>(INDEX(Models!$BJ378:$BT378,,AH378)*(1-AF378)+INDEX(Models!$BJ378:$BT378,,AH378+1)*AF378-ERP_i)*AE378*Ramure*Pc/MaxiM</f>
        <v>9.7529665458283843E-3</v>
      </c>
      <c r="AE378" s="304">
        <f t="shared" si="137"/>
        <v>0.7</v>
      </c>
      <c r="AF378" s="177">
        <f t="shared" si="138"/>
        <v>0.59893706017257786</v>
      </c>
      <c r="AG378" s="176">
        <f t="shared" si="139"/>
        <v>-1</v>
      </c>
      <c r="AH378" s="176">
        <f t="shared" si="140"/>
        <v>5</v>
      </c>
      <c r="AI378" s="224">
        <f t="shared" si="141"/>
        <v>-0.40106293982742208</v>
      </c>
      <c r="AJ378" s="264" t="b">
        <f t="shared" si="142"/>
        <v>0</v>
      </c>
      <c r="AK378" s="264" t="b">
        <f t="shared" si="143"/>
        <v>0</v>
      </c>
      <c r="AL378" s="264"/>
      <c r="AM378" s="264"/>
      <c r="AN378" s="75"/>
    </row>
    <row r="379" spans="1:40" s="18" customFormat="1" ht="12.75" x14ac:dyDescent="0.2">
      <c r="A379" s="56">
        <f t="shared" si="144"/>
        <v>44195</v>
      </c>
      <c r="B379" s="607">
        <v>10.487</v>
      </c>
      <c r="C379" s="388"/>
      <c r="D379" s="391">
        <f t="shared" si="123"/>
        <v>10.632710681606065</v>
      </c>
      <c r="E379" s="383">
        <f t="shared" si="145"/>
        <v>11.059307015526139</v>
      </c>
      <c r="F379" s="383">
        <f t="shared" si="124"/>
        <v>11.076707053927334</v>
      </c>
      <c r="G379" s="110">
        <f t="shared" si="146"/>
        <v>0.42047675748523089</v>
      </c>
      <c r="H379" s="412" t="b">
        <f>Wh_hp&gt;='2019'!Maxi_hp</f>
        <v>0</v>
      </c>
      <c r="I379" s="388">
        <f>IF(H379,Wh_hp,'2019'!Maxi_hp)</f>
        <v>20.987825608365597</v>
      </c>
      <c r="J379" s="85">
        <f>IF(H379,An,'2019'!An_max)</f>
        <v>2018</v>
      </c>
      <c r="K379" s="197">
        <f t="shared" si="125"/>
        <v>44195</v>
      </c>
      <c r="L379" s="147">
        <f>IF(t&lt;Tvie,1-EXP((T0-t)*PertePVj)+'2019'!Pspv,1-EXP((T0-t)*PertePVj)+Pspv)</f>
        <v>1.3704001356694029E-2</v>
      </c>
      <c r="M379" s="832"/>
      <c r="N379" s="832"/>
      <c r="O379" s="48">
        <f>IF(t&lt;Tnet,'2019'!Resal+('2019'!Salim-'2019'!Resal)*(1-EXP(('2019'!Tnet-t)/('2019'!Tau_j))),Resal+(Salim-Resal)*(1-EXP((Tnet-t)/(Tau_j))))*Salcycl</f>
        <v>3.8573513993342995E-2</v>
      </c>
      <c r="P379" s="169">
        <f>(INDEX(Models!$BJ379:$BT379,,T379)*(1-R379)+INDEX(Models!$BJ379:$BT379,,T379+1)*R379-ERP_i)*Q379*Ramure*Pc/MaxiM</f>
        <v>8.897569420155101E-3</v>
      </c>
      <c r="Q379" s="305">
        <f t="shared" si="126"/>
        <v>0.7</v>
      </c>
      <c r="R379" s="177">
        <f t="shared" si="127"/>
        <v>0.53460483791274571</v>
      </c>
      <c r="S379" s="799">
        <f t="shared" si="128"/>
        <v>-1</v>
      </c>
      <c r="T379" s="176">
        <f t="shared" si="129"/>
        <v>5</v>
      </c>
      <c r="U379" s="306">
        <f t="shared" si="130"/>
        <v>-0.46539516208725423</v>
      </c>
      <c r="V379" s="382">
        <f t="shared" si="131"/>
        <v>24.757715624645527</v>
      </c>
      <c r="W379" s="58"/>
      <c r="X379" s="157">
        <f t="shared" si="132"/>
        <v>44195</v>
      </c>
      <c r="Y379" s="383">
        <f t="shared" si="133"/>
        <v>10.48546762865916</v>
      </c>
      <c r="Z379" s="383">
        <f t="shared" si="134"/>
        <v>10.631157018868969</v>
      </c>
      <c r="AA379" s="384">
        <f t="shared" si="135"/>
        <v>11.057691018089299</v>
      </c>
      <c r="AB379" s="197">
        <f t="shared" si="136"/>
        <v>44195</v>
      </c>
      <c r="AC379" s="424">
        <f>IF(OR(t&lt;Tnet,NoTnet),'2019'!Resal_s+('2019'!Salim-'2019'!Resal_s)*(1-EXP(('2019'!Tnet_s-t)/'2019'!Tau_j)),Resal_s+(Salim-Resal_s)*(1-EXP((Tnet_s-t)/Tau_j)))*Salcycl</f>
        <v>3.8573513993342995E-2</v>
      </c>
      <c r="AD379" s="230">
        <f>(INDEX(Models!$BJ379:$BT379,,AH379)*(1-AF379)+INDEX(Models!$BJ379:$BT379,,AH379+1)*AF379-ERP_i)*AE379*Ramure*Pc/MaxiM</f>
        <v>9.7239152617885193E-3</v>
      </c>
      <c r="AE379" s="305">
        <f t="shared" si="137"/>
        <v>0.7</v>
      </c>
      <c r="AF379" s="177">
        <f t="shared" si="138"/>
        <v>0.59893706017257786</v>
      </c>
      <c r="AG379" s="176">
        <f t="shared" si="139"/>
        <v>-1</v>
      </c>
      <c r="AH379" s="176">
        <f t="shared" si="140"/>
        <v>5</v>
      </c>
      <c r="AI379" s="221">
        <f t="shared" si="141"/>
        <v>-0.40106293982742208</v>
      </c>
      <c r="AJ379" s="264" t="b">
        <f t="shared" si="142"/>
        <v>0</v>
      </c>
      <c r="AK379" s="264" t="b">
        <f t="shared" si="143"/>
        <v>0</v>
      </c>
      <c r="AL379" s="264"/>
      <c r="AM379" s="264"/>
      <c r="AN379" s="264"/>
    </row>
    <row r="380" spans="1:40" s="18" customFormat="1" ht="12" thickBot="1" x14ac:dyDescent="0.25">
      <c r="A380" s="56">
        <f t="shared" si="144"/>
        <v>44196</v>
      </c>
      <c r="B380" s="608">
        <v>15.91</v>
      </c>
      <c r="C380" s="388"/>
      <c r="D380" s="391">
        <f t="shared" ref="D380" si="147">Wh/(1-Ppv)</f>
        <v>16.131369223082473</v>
      </c>
      <c r="E380" s="383">
        <f t="shared" ref="E380" si="148">Wh_pvt/(1-Psa)</f>
        <v>16.779210046338658</v>
      </c>
      <c r="F380" s="383">
        <f t="shared" ref="F380" si="149">Wh_sa/(1-Pvg*MEDIAN((-Sdif+Wh/Env_an)/Csdif,0,1))</f>
        <v>16.851465220813907</v>
      </c>
      <c r="G380" s="110">
        <f t="shared" ref="G380" si="150">+Wh_hp/MaxiM</f>
        <v>0.63541392405370556</v>
      </c>
      <c r="H380" s="412" t="b">
        <f>Wh_hp&gt;='2019'!Maxi_hp</f>
        <v>1</v>
      </c>
      <c r="I380" s="380">
        <f>IF(H380,Wh_hp,'2019'!Maxi_hp)</f>
        <v>16.851465220813907</v>
      </c>
      <c r="J380" s="128">
        <f>IF(H380,An,'2019'!An_max)</f>
        <v>2020</v>
      </c>
      <c r="K380" s="233">
        <f t="shared" ref="K380" si="151">t</f>
        <v>44196</v>
      </c>
      <c r="L380" s="147">
        <f>IF(t&lt;Tvie,1-EXP((T0-t)*PertePVj)+'2020'!Pspv,1-EXP((T0-t)*PertePVj)+Pspv)</f>
        <v>1.3722903494497785E-2</v>
      </c>
      <c r="M380" s="832"/>
      <c r="N380" s="832"/>
      <c r="O380" s="323">
        <f>IF(t&lt;Tnet,'2020'!Resal+('2020'!Salim-'2020'!Resal)*(1-EXP(('2020'!Tnet-t)/('2020'!Tau_j))),Resal+(Salim-Resal)*(1-EXP((Tnet-t)/(Tau_j))))*Salcycl</f>
        <v>3.8609733203593122E-2</v>
      </c>
      <c r="P380" s="230">
        <f>(INDEX(Models!$BJ380:$BT380,,T380)*(1-R380)+INDEX(Models!$BJ380:$BT380,,T380+1)*R380-ERP_i)*Q380*Ramure*Pc/MaxiM</f>
        <v>8.8707527606639736E-3</v>
      </c>
      <c r="Q380" s="327">
        <f t="shared" ref="Q380" si="152">IF(OR(t&lt;Ttai,Notai),Dd+PousD*Croivg,Dens+PousD*(Croivg-Croi_tai))</f>
        <v>0.7</v>
      </c>
      <c r="R380" s="313">
        <f>(Hp_vg-S380)/(INDEX(Echel_vg,T380+1)-S380)</f>
        <v>0.53460483791274571</v>
      </c>
      <c r="S380" s="800">
        <f>INDEX(Echel_vg,T380)</f>
        <v>-1</v>
      </c>
      <c r="T380" s="232">
        <f t="shared" ref="T380" si="153">MIN(MATCH(Hp_vg,Echel_vg),10)</f>
        <v>5</v>
      </c>
      <c r="U380" s="300">
        <f t="shared" ref="U380" si="154">IF(OR(t&lt;Ttai,Notai),Hdd+PousH*Croivg,Hdtf+PousH*(Croivg-Croi_tai))</f>
        <v>-0.46539516208725423</v>
      </c>
      <c r="V380" s="382">
        <f t="shared" ref="V380" si="155">MaxiM*(1-Ppv)*(1-Pvg)*(1-Psa)</f>
        <v>24.923550026029286</v>
      </c>
      <c r="W380" s="400"/>
      <c r="X380" s="325">
        <f t="shared" ref="X380" si="156">t</f>
        <v>44196</v>
      </c>
      <c r="Y380" s="396">
        <f t="shared" ref="Y380" si="157">Wh_pvt_s*(1-Ppv)</f>
        <v>15.903644314166948</v>
      </c>
      <c r="Z380" s="396">
        <f t="shared" ref="Z380" si="158">Wh_sa_s*(1-Psa_s)</f>
        <v>16.124925105242191</v>
      </c>
      <c r="AA380" s="397">
        <f t="shared" ref="AA380" si="159">Wh_hp*(1-Pvg_s*MEDIAN((-Sdif+Wh/Env_an)/Csdif,0,1))</f>
        <v>16.772507130714438</v>
      </c>
      <c r="AB380" s="198">
        <f t="shared" ref="AB380" si="160">t</f>
        <v>44196</v>
      </c>
      <c r="AC380" s="326">
        <f>IF(OR(t&lt;Tnet,NoTnet),'2020'!Resal_s+('2020'!Salim-'2020'!Resal_s)*(1-EXP(('2020'!Tnet_s-t)/'2020'!Tau_j)),Resal_s+(Salim-Resal_s)*(1-EXP((Tnet_s-t)/Tau_j)))*Salcycl</f>
        <v>3.8609733203593122E-2</v>
      </c>
      <c r="AD380" s="801">
        <f>(INDEX(Models!$BJ380:$BT380,,AH380)*(1-AF380)+INDEX(Models!$BJ380:$BT380,,AH380+1)*AF380-ERP_i)*AE380*Ramure*Pc/MaxiM</f>
        <v>9.6936683194444387E-3</v>
      </c>
      <c r="AE380" s="327">
        <f t="shared" ref="AE380" si="161">IF(OR(t&lt;Ttai,Notai),Dd_s+PousD*Croivg,Dens_s+PousD*(Croivg-Croi_tai))</f>
        <v>0.7</v>
      </c>
      <c r="AF380" s="313">
        <f>(Hp_vg_s-AG380)/(INDEX(Echel_vg,AH380+1)-AG380)</f>
        <v>0.59893706017257786</v>
      </c>
      <c r="AG380" s="800">
        <f>INDEX(Echel_vg,AH380)</f>
        <v>-1</v>
      </c>
      <c r="AH380" s="232">
        <f t="shared" ref="AH380" si="162">MIN(MATCH(Hp_vg_s,Echel_vg),10)</f>
        <v>5</v>
      </c>
      <c r="AI380" s="226">
        <f t="shared" ref="AI380" si="163">IF(OR(t&lt;Ttai,Notai),Hdd_s+PousH*Croivg,Hdtai_s+PousH*(Croivg-Croi_tai))</f>
        <v>-0.40106293982742208</v>
      </c>
      <c r="AJ380" s="264" t="b">
        <f t="shared" si="142"/>
        <v>0</v>
      </c>
      <c r="AK380" s="264" t="b">
        <f t="shared" si="143"/>
        <v>0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1.1319999999999999</v>
      </c>
      <c r="C381" s="374"/>
      <c r="D381" s="372">
        <f>MIN(D15:D380)</f>
        <v>1.1471127451418963</v>
      </c>
      <c r="E381" s="372">
        <f>MIN(E15:E380)</f>
        <v>1.191995125767739</v>
      </c>
      <c r="F381" s="373">
        <f>MIN(F15:F380)</f>
        <v>1.191995125767739</v>
      </c>
      <c r="G381" s="125">
        <f>+MIN(G15:G380)</f>
        <v>4.2933641254376535E-2</v>
      </c>
      <c r="H381" s="336"/>
      <c r="I381" s="373">
        <f>MIN(I15:I380)</f>
        <v>2.0687550379803934</v>
      </c>
      <c r="J381" s="57">
        <f>MIN(J15:J380)</f>
        <v>2018</v>
      </c>
      <c r="K381" s="200" t="s">
        <v>7</v>
      </c>
      <c r="L381" s="146">
        <f t="shared" ref="L381:T381" si="164">MIN(L15:L380)</f>
        <v>6.7995022213517275E-3</v>
      </c>
      <c r="M381" s="833"/>
      <c r="N381" s="833"/>
      <c r="O381" s="47">
        <f t="shared" si="164"/>
        <v>2.2217117059909103E-2</v>
      </c>
      <c r="P381" s="168">
        <f t="shared" si="164"/>
        <v>4.0722346542026175E-5</v>
      </c>
      <c r="Q381" s="309">
        <f t="shared" si="164"/>
        <v>0.7</v>
      </c>
      <c r="R381" s="310">
        <f t="shared" si="164"/>
        <v>0.13460585634168265</v>
      </c>
      <c r="S381" s="799">
        <f t="shared" si="164"/>
        <v>-1</v>
      </c>
      <c r="T381" s="176">
        <f t="shared" si="164"/>
        <v>5</v>
      </c>
      <c r="U381" s="251">
        <f>+MIN(U15:U380)</f>
        <v>-0.86539414365831735</v>
      </c>
      <c r="V381" s="372">
        <f>MIN(V15:V380)</f>
        <v>23.966748884423655</v>
      </c>
      <c r="W381" s="793" t="s">
        <v>40</v>
      </c>
      <c r="X381" s="112" t="s">
        <v>7</v>
      </c>
      <c r="Y381" s="372">
        <f>MIN(Y15:Y380)</f>
        <v>1.1319999999999999</v>
      </c>
      <c r="Z381" s="372">
        <f>MIN(Z15:Z380)</f>
        <v>1.1471127451418963</v>
      </c>
      <c r="AA381" s="372">
        <f>MIN(AA15:AA380)</f>
        <v>1.191995125767739</v>
      </c>
      <c r="AB381" s="200" t="s">
        <v>7</v>
      </c>
      <c r="AC381" s="47">
        <f t="shared" ref="AC381:AH381" si="165">MIN(AC15:AC380)</f>
        <v>2.2217117059909103E-2</v>
      </c>
      <c r="AD381" s="168">
        <f t="shared" si="165"/>
        <v>4.7828165025492705E-5</v>
      </c>
      <c r="AE381" s="309">
        <f t="shared" si="165"/>
        <v>0.7</v>
      </c>
      <c r="AF381" s="310">
        <f t="shared" si="165"/>
        <v>0.1989380786015148</v>
      </c>
      <c r="AG381" s="799">
        <f t="shared" si="165"/>
        <v>-1</v>
      </c>
      <c r="AH381" s="176">
        <f t="shared" si="165"/>
        <v>5</v>
      </c>
      <c r="AI381" s="225">
        <f>MIN(AI15:AI380)</f>
        <v>-0.8010619213984852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30.906357923497254</v>
      </c>
      <c r="C382" s="374"/>
      <c r="D382" s="374">
        <f>AVERAGE(D15:D380)</f>
        <v>31.221871811757111</v>
      </c>
      <c r="E382" s="374">
        <f>AVERAGE(E15:E380)</f>
        <v>32.234558048753875</v>
      </c>
      <c r="F382" s="375">
        <f>AVERAGE(F15:F380)</f>
        <v>32.272219880536568</v>
      </c>
      <c r="G382" s="126">
        <f>AVERAGE(G15:G380)</f>
        <v>0.66487348398349544</v>
      </c>
      <c r="H382" s="336"/>
      <c r="I382" s="375">
        <f>AVERAGE(I15:I380)</f>
        <v>37.79560955379258</v>
      </c>
      <c r="J382" s="59">
        <f>AVERAGE(J15:J380)</f>
        <v>2019.1967213114754</v>
      </c>
      <c r="K382" s="200" t="s">
        <v>8</v>
      </c>
      <c r="L382" s="147">
        <f t="shared" ref="L382:V382" si="166">AVERAGE(L15:L380)</f>
        <v>1.0265227683856069E-2</v>
      </c>
      <c r="M382" s="832"/>
      <c r="N382" s="832"/>
      <c r="O382" s="48">
        <f t="shared" si="166"/>
        <v>3.1564156566370349E-2</v>
      </c>
      <c r="P382" s="169">
        <f t="shared" si="166"/>
        <v>2.7977681209328726E-3</v>
      </c>
      <c r="Q382" s="311">
        <f t="shared" si="166"/>
        <v>0.69999999999999529</v>
      </c>
      <c r="R382" s="177">
        <f t="shared" si="166"/>
        <v>0.35899385990813382</v>
      </c>
      <c r="S382" s="799">
        <f t="shared" si="166"/>
        <v>-1</v>
      </c>
      <c r="T382" s="176">
        <f t="shared" si="166"/>
        <v>5</v>
      </c>
      <c r="U382" s="250">
        <f t="shared" si="166"/>
        <v>-0.64100614009186607</v>
      </c>
      <c r="V382" s="374">
        <f t="shared" si="166"/>
        <v>45.010055535040863</v>
      </c>
      <c r="X382" s="112" t="s">
        <v>8</v>
      </c>
      <c r="Y382" s="374">
        <f>AVERAGE(Y15:Y380)</f>
        <v>30.901737010190804</v>
      </c>
      <c r="Z382" s="374">
        <f>AVERAGE(Z15:Z380)</f>
        <v>31.217202282473199</v>
      </c>
      <c r="AA382" s="374">
        <f>AVERAGE(AA15:AA380)</f>
        <v>32.229736089196372</v>
      </c>
      <c r="AB382" s="200" t="s">
        <v>8</v>
      </c>
      <c r="AC382" s="48">
        <f t="shared" ref="AC382:AH382" si="167">AVERAGE(AC15:AC380)</f>
        <v>3.1564156566370349E-2</v>
      </c>
      <c r="AD382" s="169">
        <f t="shared" si="167"/>
        <v>3.1444829185770834E-3</v>
      </c>
      <c r="AE382" s="311">
        <f t="shared" si="167"/>
        <v>0.69999999999999529</v>
      </c>
      <c r="AF382" s="177">
        <f t="shared" si="167"/>
        <v>0.42332608216796563</v>
      </c>
      <c r="AG382" s="799">
        <f t="shared" si="167"/>
        <v>-1</v>
      </c>
      <c r="AH382" s="176">
        <f t="shared" si="167"/>
        <v>5</v>
      </c>
      <c r="AI382" s="224">
        <f>AVERAGE(AI15:AI380)</f>
        <v>-0.5766739178320347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59.081000000000003</v>
      </c>
      <c r="C383" s="376"/>
      <c r="D383" s="376">
        <f>MAX(D15:D380)</f>
        <v>59.700185017782673</v>
      </c>
      <c r="E383" s="376">
        <f>MAX(E15:E380)</f>
        <v>61.727811725168912</v>
      </c>
      <c r="F383" s="377">
        <f>MAX(F15:F380)</f>
        <v>61.731530922923696</v>
      </c>
      <c r="G383" s="127">
        <f>+MAX(G15:G380)</f>
        <v>1.0434840551308171</v>
      </c>
      <c r="H383" s="336"/>
      <c r="I383" s="377">
        <f>MAX(I15:I380)</f>
        <v>64.215122991320413</v>
      </c>
      <c r="J383" s="60">
        <f>MAX(J15:J380)</f>
        <v>2020</v>
      </c>
      <c r="K383" s="200" t="s">
        <v>9</v>
      </c>
      <c r="L383" s="148">
        <f t="shared" ref="L383:T383" si="168">MAX(L15:L380)</f>
        <v>1.3722903494497785E-2</v>
      </c>
      <c r="M383" s="834"/>
      <c r="N383" s="834"/>
      <c r="O383" s="49">
        <f t="shared" si="168"/>
        <v>3.8609733203593122E-2</v>
      </c>
      <c r="P383" s="170">
        <f t="shared" si="168"/>
        <v>1.035702258303469E-2</v>
      </c>
      <c r="Q383" s="312">
        <f t="shared" si="168"/>
        <v>0.7</v>
      </c>
      <c r="R383" s="313">
        <f t="shared" si="168"/>
        <v>0.53460483791274571</v>
      </c>
      <c r="S383" s="800">
        <f t="shared" si="168"/>
        <v>-1</v>
      </c>
      <c r="T383" s="232">
        <f t="shared" si="168"/>
        <v>5</v>
      </c>
      <c r="U383" s="252">
        <f>+MAX(U15:U380)</f>
        <v>-0.46539516208725423</v>
      </c>
      <c r="V383" s="376">
        <f>MAX(V15:V380)</f>
        <v>59.564857395432497</v>
      </c>
      <c r="X383" s="112" t="s">
        <v>9</v>
      </c>
      <c r="Y383" s="376">
        <f>MAX(Y15:Y380)</f>
        <v>59.080549964496015</v>
      </c>
      <c r="Z383" s="376">
        <f>MAX(Z15:Z380)</f>
        <v>59.699730265783671</v>
      </c>
      <c r="AA383" s="376">
        <f>MAX(AA15:AA380)</f>
        <v>61.727341528204406</v>
      </c>
      <c r="AB383" s="200" t="s">
        <v>9</v>
      </c>
      <c r="AC383" s="49">
        <f t="shared" ref="AC383:AH383" si="169">MAX(AC15:AC380)</f>
        <v>3.8609733203593122E-2</v>
      </c>
      <c r="AD383" s="170">
        <f t="shared" si="169"/>
        <v>1.1325635250243693E-2</v>
      </c>
      <c r="AE383" s="312">
        <f t="shared" si="169"/>
        <v>0.7</v>
      </c>
      <c r="AF383" s="313">
        <f t="shared" si="169"/>
        <v>0.59893706017257786</v>
      </c>
      <c r="AG383" s="800">
        <f t="shared" si="169"/>
        <v>-1</v>
      </c>
      <c r="AH383" s="232">
        <f t="shared" si="169"/>
        <v>5</v>
      </c>
      <c r="AI383" s="226">
        <f>MAX(AI15:AI380)</f>
        <v>-0.40106293982742208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7" priority="3" stopIfTrue="1" operator="lessThan">
      <formula>0.01</formula>
    </cfRule>
    <cfRule type="cellIs" dxfId="16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3">
        <f>'2020'!An+1</f>
        <v>2021</v>
      </c>
      <c r="K1" s="1274"/>
      <c r="L1" s="113" t="str">
        <f>"Calcul pertes et enveloppes en "&amp;TEXT(An,0)</f>
        <v>Calcul pertes et enveloppes en 2021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2021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3">
        <f>Tmaj</f>
        <v>44926</v>
      </c>
      <c r="F3" s="1283"/>
      <c r="G3" s="470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165</v>
      </c>
      <c r="V3" s="622">
        <f>Salim_i</f>
        <v>0.08</v>
      </c>
      <c r="W3" s="448"/>
      <c r="X3" s="500"/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-5.053179937550567E-2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4" t="str">
        <f>Station</f>
        <v>Noueilles salle des fêtes</v>
      </c>
      <c r="F4" s="1215"/>
      <c r="G4" s="1215"/>
      <c r="H4" s="1215"/>
      <c r="I4" s="1216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0.8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-2.506873283110167E-2</v>
      </c>
      <c r="AK4" s="822">
        <f>AM12-AK12</f>
        <v>1.4992375156399085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4">
        <f>T0</f>
        <v>43475</v>
      </c>
      <c r="F5" s="1284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-7.5616765177528578E-2</v>
      </c>
      <c r="AA5" s="236">
        <f>Wh_Pvg_s-Wh_Pvg</f>
        <v>1.4992375156399085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9868.9419999999991</v>
      </c>
      <c r="AK5" s="514">
        <f>SUMIF(AK15:AK380,"VRAI",Wh)</f>
        <v>0</v>
      </c>
      <c r="AL5" s="514">
        <f>SUMIF(AJ15:AJ380,"VRAI",Wh_s)</f>
        <v>9867.8601370572705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5">
        <f>Tservice</f>
        <v>43522</v>
      </c>
      <c r="F6" s="1285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849.36799999999994</v>
      </c>
      <c r="AK6" s="514">
        <f>SUMIF(AK15:AK380,"FAUX",Wh)</f>
        <v>10718.309999999998</v>
      </c>
      <c r="AL6" s="514">
        <f>SUMIF(AJ15:AJ380,"FAUX",Wh_s)</f>
        <v>848.95418989023347</v>
      </c>
      <c r="AM6" s="514">
        <f>SUMIF(AK15:AK380,"FAUX",Wh_s)</f>
        <v>10716.814326947509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AND(YEAR(Tnet)=An,Resal_2021="I")</f>
        <v>1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10037.49270671969</v>
      </c>
      <c r="AK7" s="514">
        <f>SUMIF(AK15:AK380,"VRAI",Wh_sa)</f>
        <v>0</v>
      </c>
      <c r="AL7" s="514">
        <f>SUMIF(AJ15:AJ380,"VRAI",Wh_pvt_s)</f>
        <v>10036.392599496554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AND(YEAR(Tnet)=An,Resal_2021&lt;&gt;"I")</f>
        <v>0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1" t="s">
        <v>102</v>
      </c>
      <c r="Y8" s="1272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866.74373309730106</v>
      </c>
      <c r="AK8" s="514">
        <f>SUMIF(AK15:AK380,"FAUX",Wh_sa)</f>
        <v>11434.302984625951</v>
      </c>
      <c r="AL8" s="514">
        <f>SUMIF(AJ15:AJ380,"FAUX",Wh_pvt_s)</f>
        <v>866.321427469985</v>
      </c>
      <c r="AM8" s="514">
        <f>SUMIF(AK15:AK380,"FAUX",Wh_sa_s)</f>
        <v>11432.703604673066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10904.236439816988</v>
      </c>
      <c r="E9" s="184">
        <f>SUM(E$15:E$380)</f>
        <v>11434.302984625951</v>
      </c>
      <c r="F9" s="184">
        <f>SUM(F$15:F$380)</f>
        <v>11456.837997941082</v>
      </c>
      <c r="H9" s="1275">
        <f>+SUM(Wh)</f>
        <v>10718.309999999998</v>
      </c>
      <c r="I9" s="1276"/>
      <c r="J9" s="1277"/>
      <c r="K9" s="191"/>
      <c r="L9" s="231"/>
      <c r="M9" s="231"/>
      <c r="N9" s="231"/>
      <c r="O9" s="222">
        <f>Tnet_2021</f>
        <v>44501</v>
      </c>
      <c r="P9" s="243" t="s">
        <v>91</v>
      </c>
      <c r="Q9" s="244"/>
      <c r="R9" s="244"/>
      <c r="S9" s="244"/>
      <c r="T9" s="244"/>
      <c r="U9" s="245"/>
      <c r="V9" s="460"/>
      <c r="W9" s="519"/>
      <c r="X9" s="1269">
        <f>+SUM(Wh_s)</f>
        <v>10716.814326947509</v>
      </c>
      <c r="Y9" s="1270"/>
      <c r="Z9" s="514">
        <f>SUM(Z$15:Z$380)</f>
        <v>10902.714026966547</v>
      </c>
      <c r="AA9" s="514">
        <f>SUM(AA$15:AA$380)</f>
        <v>11432.703604673066</v>
      </c>
      <c r="AB9" s="514">
        <f>F9</f>
        <v>11456.837997941082</v>
      </c>
      <c r="AC9" s="324">
        <f>IF(An_Tnet,Tnet,'2020'!Tnet_s)</f>
        <v>44501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10515.820427831752</v>
      </c>
      <c r="AK9" s="514">
        <f>SUMIF(AK15:AK380,"VRAI",Wh_hp)</f>
        <v>0</v>
      </c>
      <c r="AL9" s="514">
        <f>SUMIF(AJ15:AJ380,"VRAI",Wh_sa_s)</f>
        <v>10514.668936873146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IF(Inflex,'2020'!Resal+('2020'!Salim-'2020'!Resal)*(1-EXP(-(Tnet-'2020'!Tnet)/('2020'!Tau_j))),IF(An_Tnet,Resal_2021,'2020'!Resal))</f>
        <v>4.8655452349655841E-2</v>
      </c>
      <c r="P10" s="419" t="b">
        <f>NOT(Acti_tai)</f>
        <v>1</v>
      </c>
      <c r="Q10" s="256">
        <f>IF(Acti_tai,'2020'!PousD,Dens-Dd)</f>
        <v>0</v>
      </c>
      <c r="R10" s="273"/>
      <c r="S10" s="274"/>
      <c r="T10" s="275"/>
      <c r="U10" s="265">
        <f>IF(Acti_tai,'2020'!PousH,Hdtf-Hdd)</f>
        <v>0.4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IF(OR(Inflex,GainD),'2020'!Resal_s+('2020'!Salim-'2020'!Resal_s)*(1-EXP(('2020'!Tnet_s-Tnet)/('2020'!Tau_j))),IF(Acti_net,'2020'!Resal+('2020'!Salim-'2020'!Resal)*(1-EXP(('2020'!Tnet-Tnet)/'2020'!Tau_j)),'2020'!Resal_s))</f>
        <v>4.8655452349655841E-2</v>
      </c>
      <c r="AD10" s="426"/>
      <c r="AE10" s="426"/>
      <c r="AF10" s="259"/>
      <c r="AG10" s="260"/>
      <c r="AH10" s="261"/>
      <c r="AI10" s="521"/>
      <c r="AJ10" s="514">
        <f>SUMIF(AJ15:AJ380,"FAUX",Wh_sa)</f>
        <v>918.4825567942022</v>
      </c>
      <c r="AK10" s="514">
        <f>SUMIF(AK15:AK380,"FAUX",Wh_hp)</f>
        <v>11456.837997941082</v>
      </c>
      <c r="AL10" s="514">
        <f>SUMIF(AJ15:AJ380,"FAUX",Wh_sa_s)</f>
        <v>918.03466779992345</v>
      </c>
      <c r="AM10" s="514">
        <f>SUMIF(AK15:AK380,"FAUX",Wh_hp)</f>
        <v>11456.837997941082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185.92643981699075</v>
      </c>
      <c r="E11" s="51">
        <f>(E$9-D$9)*Prod_an/D$9</f>
        <v>521.02846258409818</v>
      </c>
      <c r="F11" s="186">
        <f>(F$9-E$9)*Prod_an/E$9</f>
        <v>21.123916244870063</v>
      </c>
      <c r="G11" s="185" t="s">
        <v>6</v>
      </c>
      <c r="K11" s="194"/>
      <c r="L11" s="211">
        <f>Tvie_2021</f>
        <v>43475</v>
      </c>
      <c r="M11" s="831"/>
      <c r="N11" s="831"/>
      <c r="O11" s="202">
        <f>IF(An_Tnet,Salim_2021,'2020'!Salim)</f>
        <v>0.14000000000000001</v>
      </c>
      <c r="P11" s="255">
        <f>Ttai_2021</f>
        <v>43586</v>
      </c>
      <c r="Q11" s="271">
        <f>Dens_2021</f>
        <v>0.7</v>
      </c>
      <c r="R11" s="276"/>
      <c r="S11" s="229"/>
      <c r="T11" s="229"/>
      <c r="U11" s="265">
        <f>Htf_2021</f>
        <v>-6.5395162087254211E-2</v>
      </c>
      <c r="V11" s="426"/>
      <c r="W11" s="517"/>
      <c r="X11" s="524" t="s">
        <v>43</v>
      </c>
      <c r="Y11" s="50">
        <f>Z$9-Prod_an_s</f>
        <v>185.89970001903748</v>
      </c>
      <c r="Z11" s="51">
        <f>(AA$9-Z$9)*Prod_an_s/Z$9</f>
        <v>520.95284581892065</v>
      </c>
      <c r="AA11" s="186">
        <f>(AB$9-AA$9)*Prod_an_s/AA$9</f>
        <v>22.623153760509972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470.29558820868436</v>
      </c>
      <c r="AK11" s="822">
        <f>IF($AK7=0,0,($AK9-$AK7)*$AK5/$AK7)</f>
        <v>0</v>
      </c>
      <c r="AL11" s="821">
        <f>IF($AL7=0,0,($AL9-$AL7)*$AL5/$AL7)</f>
        <v>470.24505640930886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4.3887979774112962E-2</v>
      </c>
      <c r="K12" s="191"/>
      <c r="L12" s="212">
        <f>Pspv_2021</f>
        <v>0</v>
      </c>
      <c r="M12" s="212"/>
      <c r="N12" s="212"/>
      <c r="O12" s="205">
        <f>IF(An_Tnet,Tau_2021*365,'2020'!Tau_j)</f>
        <v>365</v>
      </c>
      <c r="P12" s="455">
        <f>INDEX(Croivg,MIN(MAX(Ttai-$A$15,0)+1,366))</f>
        <v>2.3909964587625958E-6</v>
      </c>
      <c r="Q12" s="279">
        <f>'2020'!Df</f>
        <v>0.7</v>
      </c>
      <c r="R12" s="277"/>
      <c r="S12" s="278"/>
      <c r="T12" s="278"/>
      <c r="U12" s="266">
        <f>'2020'!Hdf</f>
        <v>-0.46539516208725423</v>
      </c>
      <c r="V12" s="516"/>
      <c r="W12" s="503"/>
      <c r="X12" s="504"/>
      <c r="Y12" s="503"/>
      <c r="Z12" s="426"/>
      <c r="AA12" s="426"/>
      <c r="AB12" s="530" t="s">
        <v>106</v>
      </c>
      <c r="AC12" s="317" t="b">
        <f>NOT(An_Tnet)</f>
        <v>0</v>
      </c>
      <c r="AD12" s="426"/>
      <c r="AE12" s="295">
        <f>'2020'!Df_s</f>
        <v>0.7</v>
      </c>
      <c r="AF12" s="203"/>
      <c r="AG12" s="203"/>
      <c r="AH12" s="203"/>
      <c r="AI12" s="296">
        <f>'2020'!Hdf_s</f>
        <v>-0.40106293982742208</v>
      </c>
      <c r="AJ12" s="821">
        <f>IF($AJ8=0,0,($AJ10-$AJ8)*$AJ6/$AJ8)</f>
        <v>50.701608246709064</v>
      </c>
      <c r="AK12" s="822">
        <f>IF($AK8=0,0,($AK10-$AK8)*$AK6/$AK8)</f>
        <v>21.123916244870063</v>
      </c>
      <c r="AL12" s="821">
        <f>IF($AL8=0,0,($AL10-$AL8)*$AL6/$AL8)</f>
        <v>50.676539513877962</v>
      </c>
      <c r="AM12" s="822">
        <f>IF($AM8=0,0,($AM10-$AM8)*$AM6/$AM8)</f>
        <v>22.623153760509972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202</v>
      </c>
      <c r="V13" s="263" t="s">
        <v>41</v>
      </c>
      <c r="W13" s="838" t="s">
        <v>46</v>
      </c>
      <c r="X13" s="531"/>
      <c r="Y13" s="263" t="s">
        <v>100</v>
      </c>
      <c r="Z13" s="263" t="s">
        <v>101</v>
      </c>
      <c r="AA13" s="263" t="s">
        <v>74</v>
      </c>
      <c r="AB13" s="502"/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206</v>
      </c>
      <c r="AJ13" s="73">
        <f>+AJ11+AJ12</f>
        <v>520.99719645539346</v>
      </c>
      <c r="AK13" s="73">
        <f>+AK11+AK12</f>
        <v>21.123916244870063</v>
      </c>
      <c r="AL13" s="73">
        <f>+AL11+AL12</f>
        <v>520.92159592318683</v>
      </c>
      <c r="AM13" s="73">
        <f>+AM11+AM12</f>
        <v>22.623153760509972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387" t="s">
        <v>188</v>
      </c>
      <c r="C14" s="387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2021</v>
      </c>
      <c r="W14" s="826"/>
      <c r="X14" s="257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44197</v>
      </c>
      <c r="B15" s="606">
        <v>14.515000000000001</v>
      </c>
      <c r="C15" s="388"/>
      <c r="D15" s="391">
        <f t="shared" ref="D15:D78" si="0">Wh/(1-Ppv)</f>
        <v>14.717241466342733</v>
      </c>
      <c r="E15" s="383">
        <f>Wh_pvt/(1-Psa)</f>
        <v>15.308892773502851</v>
      </c>
      <c r="F15" s="383">
        <f t="shared" ref="F15:F78" si="1">Wh_sa/(1-Pvg*MEDIAN((-Sdif+Wh/Env_an)/Csdif,0,1))</f>
        <v>15.363878715307829</v>
      </c>
      <c r="G15" s="110">
        <f>+Wh_hp/MaxiM</f>
        <v>0.57932187705288185</v>
      </c>
      <c r="H15" s="412" t="b">
        <f>Wh_hp&gt;='2020'!Maxi_hp</f>
        <v>1</v>
      </c>
      <c r="I15" s="378">
        <f>IF(H15,Wh_hp,'2020'!Maxi_hp)</f>
        <v>15.363878715307829</v>
      </c>
      <c r="J15" s="84">
        <f>IF(H15,An,'2020'!An_max)</f>
        <v>2021</v>
      </c>
      <c r="K15" s="197">
        <f>t</f>
        <v>44197</v>
      </c>
      <c r="L15" s="146">
        <f>IF(t&lt;Tvie,1-EXP((T0-t)*PertePVj)+'2020'!Pspv,1-EXP((T0-t)*PertePVj)+Pspv)</f>
        <v>1.3741805270046314E-2</v>
      </c>
      <c r="M15" s="833"/>
      <c r="N15" s="833"/>
      <c r="O15" s="47">
        <f>IF(t&lt;Tnet,'2020'!Resal+('2020'!Salim-'2020'!Resal)*(1-EXP(('2020'!Tnet-t)/('2020'!Tau_j))),Resal+(Salim-Resal)*(1-EXP((Tnet-t)/(Tau_j))))*Salcycl</f>
        <v>3.8647557071153291E-2</v>
      </c>
      <c r="P15" s="301">
        <f>(INDEX(Models!$BJ15:$BT15,,T15)*(1-R15)+INDEX(Models!$BJ15:$BT15,,T15+1)*R15-ERP_i)*Q15*Ramure*Pc/MaxiM</f>
        <v>8.8707649942519132E-3</v>
      </c>
      <c r="Q15" s="302">
        <f t="shared" ref="Q15:Q78" si="2">IF(OR(t&lt;Ttai,Notai),Dd+PousD*Croivg,Dens+PousD*(Croivg-Croi_tai))</f>
        <v>0.7</v>
      </c>
      <c r="R15" s="303">
        <f t="shared" ref="R15:R78" si="3">(Hp_vg-S15)/(INDEX(Echel_vg,T15+1)-S15)</f>
        <v>0.53460579431132926</v>
      </c>
      <c r="S15" s="798">
        <f t="shared" ref="S15:S78" si="4">INDEX(Echel_vg,T15)</f>
        <v>-1</v>
      </c>
      <c r="T15" s="248">
        <f t="shared" ref="T15:T78" si="5">MIN(MATCH(Hp_vg,Echel_vg),10)</f>
        <v>5</v>
      </c>
      <c r="U15" s="249">
        <f>IF(OR(t&lt;Ttai,Notai),Hdd+PousH*Croivg,Hdtf+PousH*(Croivg-Croi_tai))</f>
        <v>-0.46539420568867074</v>
      </c>
      <c r="V15" s="381">
        <f t="shared" ref="V15:V78" si="6">MaxiM*(1-Ppv)*(1-Pvg)*(1-Psa)</f>
        <v>24.922091519604873</v>
      </c>
      <c r="W15" s="400"/>
      <c r="X15" s="156">
        <f t="shared" ref="X15:X78" si="7">t</f>
        <v>44197</v>
      </c>
      <c r="Y15" s="383">
        <f t="shared" ref="Y15:Y78" si="8">Wh_pvt_s*(1-Ppv)</f>
        <v>14.510163634364737</v>
      </c>
      <c r="Z15" s="383">
        <f t="shared" ref="Z15:Z78" si="9">Wh_sa_s*(1-Psa_s)</f>
        <v>14.712337714301832</v>
      </c>
      <c r="AA15" s="384">
        <f t="shared" ref="AA15:AA78" si="10">Wh_hp*(1-Pvg_s*MEDIAN((-Sdif+Wh/Env_an)/Csdif,0,1))</f>
        <v>15.303791884565635</v>
      </c>
      <c r="AB15" s="197">
        <f t="shared" ref="AB15:AB78" si="11">t</f>
        <v>44197</v>
      </c>
      <c r="AC15" s="119">
        <f>IF(OR(t&lt;Tnet,NoTnet),'2020'!Resal_s+('2020'!Salim-'2020'!Resal_s)*(1-EXP(('2020'!Tnet_s-t)/'2020'!Tau_j)),Resal_s+(Salim-Resal_s)*(1-EXP((Tnet_s-t)/Tau_j)))*Salcycl</f>
        <v>3.8647557071153291E-2</v>
      </c>
      <c r="AD15" s="230">
        <f>(INDEX(Models!$BJ15:$BT15,,AH15)*(1-AF15)+INDEX(Models!$BJ15:$BT15,,AH15+1)*AF15-ERP_i)*AE15*Ramure*Pc/MaxiM</f>
        <v>9.6936805530015522E-3</v>
      </c>
      <c r="AE15" s="302">
        <f t="shared" ref="AE15:AE78" si="12">IF(OR(t&lt;Ttai,Notai),Dd_s+PousD*Croivg,Dens_s+PousD*(Croivg-Croi_tai))</f>
        <v>0.7</v>
      </c>
      <c r="AF15" s="303">
        <f>(Hp_vg_s-AG15)/(INDEX(Echel_vg,AH15+1)-AG15)</f>
        <v>0.59893801657116141</v>
      </c>
      <c r="AG15" s="798">
        <f>INDEX(Echel_vg,AH15)</f>
        <v>-1</v>
      </c>
      <c r="AH15" s="248">
        <f t="shared" ref="AH15:AH78" si="13">MIN(MATCH(Hp_vg_s,Echel_vg),10)</f>
        <v>5</v>
      </c>
      <c r="AI15" s="223">
        <f>IF(OR(t&lt;Ttai,Notai),Hdd_s+PousH*Croivg,Hdtai_s+PousH*(Croivg-Croi_tai))</f>
        <v>-0.40106198342883859</v>
      </c>
      <c r="AJ15" s="264" t="b">
        <f t="shared" ref="AJ15:AJ78" si="14">t&lt;Tnet</f>
        <v>1</v>
      </c>
      <c r="AK15" s="264" t="b">
        <f t="shared" ref="AK15:AK78" si="15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16">A15+1</f>
        <v>44198</v>
      </c>
      <c r="B16" s="607">
        <v>4.375</v>
      </c>
      <c r="C16" s="388"/>
      <c r="D16" s="391">
        <f t="shared" si="0"/>
        <v>4.4360430877654276</v>
      </c>
      <c r="E16" s="383">
        <f t="shared" ref="E16:E79" si="17">Wh_pvt/(1-Psa)</f>
        <v>4.614551472433182</v>
      </c>
      <c r="F16" s="383">
        <f t="shared" si="1"/>
        <v>4.614551472433182</v>
      </c>
      <c r="G16" s="110">
        <f t="shared" ref="G16:G79" si="18">+Wh_hp/MaxiM</f>
        <v>0.17276617730841093</v>
      </c>
      <c r="H16" s="412" t="b">
        <f>Wh_hp&gt;='2020'!Maxi_hp</f>
        <v>0</v>
      </c>
      <c r="I16" s="379">
        <f>IF(H16,Wh_hp,'2020'!Maxi_hp)</f>
        <v>26.138638462365517</v>
      </c>
      <c r="J16" s="85">
        <f>IF(H16,An,'2020'!An_max)</f>
        <v>2020</v>
      </c>
      <c r="K16" s="197">
        <f t="shared" ref="K16:K78" si="19">t</f>
        <v>44198</v>
      </c>
      <c r="L16" s="147">
        <f>IF(t&lt;Tvie,1-EXP((T0-t)*PertePVj)+'2020'!Pspv,1-EXP((T0-t)*PertePVj)+Pspv)</f>
        <v>1.3760706683346613E-2</v>
      </c>
      <c r="M16" s="832"/>
      <c r="N16" s="832"/>
      <c r="O16" s="48">
        <f>IF(t&lt;Tnet,'2020'!Resal+('2020'!Salim-'2020'!Resal)*(1-EXP(('2020'!Tnet-t)/('2020'!Tau_j))),Resal+(Salim-Resal)*(1-EXP((Tnet-t)/(Tau_j))))*Salcycl</f>
        <v>3.8683799657267662E-2</v>
      </c>
      <c r="P16" s="169">
        <f>(INDEX(Models!$BJ16:$BT16,,T16)*(1-R16)+INDEX(Models!$BJ16:$BT16,,T16+1)*R16-ERP_i)*Q16*Ramure*Pc/MaxiM</f>
        <v>8.8457627683246748E-3</v>
      </c>
      <c r="Q16" s="304">
        <f t="shared" si="2"/>
        <v>0.7</v>
      </c>
      <c r="R16" s="177">
        <f t="shared" si="3"/>
        <v>0.53462916600252464</v>
      </c>
      <c r="S16" s="799">
        <f t="shared" si="4"/>
        <v>-1</v>
      </c>
      <c r="T16" s="176">
        <f t="shared" si="5"/>
        <v>5</v>
      </c>
      <c r="U16" s="250">
        <f t="shared" ref="U16:U78" si="20">IF(OR(t&lt;Ttai,Notai),Hdd+PousH*Croivg,Hdtf+PousH*(Croivg-Croi_tai))</f>
        <v>-0.46537083399747536</v>
      </c>
      <c r="V16" s="382">
        <f t="shared" si="6"/>
        <v>25.099240230034724</v>
      </c>
      <c r="W16" s="400"/>
      <c r="X16" s="157">
        <f t="shared" si="7"/>
        <v>44198</v>
      </c>
      <c r="Y16" s="383">
        <f t="shared" si="8"/>
        <v>4.375</v>
      </c>
      <c r="Z16" s="383">
        <f t="shared" si="9"/>
        <v>4.4360430877654276</v>
      </c>
      <c r="AA16" s="384">
        <f t="shared" si="10"/>
        <v>4.614551472433182</v>
      </c>
      <c r="AB16" s="197">
        <f t="shared" si="11"/>
        <v>44198</v>
      </c>
      <c r="AC16" s="119">
        <f>IF(OR(t&lt;Tnet,NoTnet),'2020'!Resal_s+('2020'!Salim-'2020'!Resal_s)*(1-EXP(('2020'!Tnet_s-t)/'2020'!Tau_j)),Resal_s+(Salim-Resal_s)*(1-EXP((Tnet_s-t)/Tau_j)))*Salcycl</f>
        <v>3.8683799657267662E-2</v>
      </c>
      <c r="AD16" s="230">
        <f>(INDEX(Models!$BJ16:$BT16,,AH16)*(1-AF16)+INDEX(Models!$BJ16:$BT16,,AH16+1)*AF16-ERP_i)*AE16*Ramure*Pc/MaxiM</f>
        <v>9.6652692020466769E-3</v>
      </c>
      <c r="AE16" s="304">
        <f t="shared" si="12"/>
        <v>0.7</v>
      </c>
      <c r="AF16" s="177">
        <f t="shared" ref="AF16:AF78" si="21">(Hp_vg_s-AG16)/(INDEX(Echel_vg,AH16+1)-AG16)</f>
        <v>0.59896138826235679</v>
      </c>
      <c r="AG16" s="799">
        <f t="shared" ref="AG16:AG79" si="22">INDEX(Echel_vg,AH16)</f>
        <v>-1</v>
      </c>
      <c r="AH16" s="176">
        <f t="shared" si="13"/>
        <v>5</v>
      </c>
      <c r="AI16" s="224">
        <f t="shared" ref="AI16:AI78" si="23">IF(OR(t&lt;Ttai,Notai),Hdd_s+PousH*Croivg,Hdtai_s+PousH*(Croivg-Croi_tai))</f>
        <v>-0.40103861173764321</v>
      </c>
      <c r="AJ16" s="264" t="b">
        <f t="shared" si="14"/>
        <v>1</v>
      </c>
      <c r="AK16" s="264" t="b">
        <f t="shared" si="15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16"/>
        <v>44199</v>
      </c>
      <c r="B17" s="607">
        <v>24.212</v>
      </c>
      <c r="C17" s="388"/>
      <c r="D17" s="391">
        <f t="shared" si="0"/>
        <v>24.550293412995646</v>
      </c>
      <c r="E17" s="383">
        <f t="shared" si="17"/>
        <v>25.539172518652691</v>
      </c>
      <c r="F17" s="383">
        <f t="shared" si="1"/>
        <v>25.752586103343905</v>
      </c>
      <c r="G17" s="110">
        <f t="shared" si="18"/>
        <v>0.95698825112423724</v>
      </c>
      <c r="H17" s="412" t="b">
        <f>Wh_hp&gt;='2020'!Maxi_hp</f>
        <v>1</v>
      </c>
      <c r="I17" s="379">
        <f>IF(H17,Wh_hp,'2020'!Maxi_hp)</f>
        <v>25.752586103343905</v>
      </c>
      <c r="J17" s="85">
        <f>IF(H17,An,'2020'!An_max)</f>
        <v>2021</v>
      </c>
      <c r="K17" s="197">
        <f t="shared" si="19"/>
        <v>44199</v>
      </c>
      <c r="L17" s="147">
        <f>IF(t&lt;Tvie,1-EXP((T0-t)*PertePVj)+'2020'!Pspv,1-EXP((T0-t)*PertePVj)+Pspv)</f>
        <v>1.3779607734405785E-2</v>
      </c>
      <c r="M17" s="832"/>
      <c r="N17" s="832"/>
      <c r="O17" s="48">
        <f>IF(t&lt;Tnet,'2020'!Resal+('2020'!Salim-'2020'!Resal)*(1-EXP(('2020'!Tnet-t)/('2020'!Tau_j))),Resal+(Salim-Resal)*(1-EXP((Tnet-t)/(Tau_j))))*Salcycl</f>
        <v>3.8720091848504834E-2</v>
      </c>
      <c r="P17" s="169">
        <f>(INDEX(Models!$BJ17:$BT17,,T17)*(1-R17)+INDEX(Models!$BJ17:$BT17,,T17+1)*R17-ERP_i)*Q17*Ramure*Pc/MaxiM</f>
        <v>8.8226682257137035E-3</v>
      </c>
      <c r="Q17" s="304">
        <f t="shared" si="2"/>
        <v>0.7</v>
      </c>
      <c r="R17" s="177">
        <f t="shared" si="3"/>
        <v>0.53465351527891625</v>
      </c>
      <c r="S17" s="799">
        <f t="shared" si="4"/>
        <v>-1</v>
      </c>
      <c r="T17" s="176">
        <f t="shared" si="5"/>
        <v>5</v>
      </c>
      <c r="U17" s="250">
        <f t="shared" si="20"/>
        <v>-0.4653464847210837</v>
      </c>
      <c r="V17" s="382">
        <f t="shared" si="6"/>
        <v>25.286542231896863</v>
      </c>
      <c r="W17" s="400"/>
      <c r="X17" s="157">
        <f t="shared" si="7"/>
        <v>44199</v>
      </c>
      <c r="Y17" s="383">
        <f t="shared" si="8"/>
        <v>24.193283702922152</v>
      </c>
      <c r="Z17" s="383">
        <f t="shared" si="9"/>
        <v>24.531315609226194</v>
      </c>
      <c r="AA17" s="384">
        <f t="shared" si="10"/>
        <v>25.519430294136686</v>
      </c>
      <c r="AB17" s="197">
        <f t="shared" si="11"/>
        <v>44199</v>
      </c>
      <c r="AC17" s="119">
        <f>IF(OR(t&lt;Tnet,NoTnet),'2020'!Resal_s+('2020'!Salim-'2020'!Resal_s)*(1-EXP(('2020'!Tnet_s-t)/'2020'!Tau_j)),Resal_s+(Salim-Resal_s)*(1-EXP((Tnet_s-t)/Tau_j)))*Salcycl</f>
        <v>3.8720091848504834E-2</v>
      </c>
      <c r="AD17" s="230">
        <f>(INDEX(Models!$BJ17:$BT17,,AH17)*(1-AF17)+INDEX(Models!$BJ17:$BT17,,AH17+1)*AF17-ERP_i)*AE17*Ramure*Pc/MaxiM</f>
        <v>9.6388257219400895E-3</v>
      </c>
      <c r="AE17" s="304">
        <f t="shared" si="12"/>
        <v>0.7</v>
      </c>
      <c r="AF17" s="177">
        <f>(Hp_vg_s-AG17)/(INDEX(Echel_vg,AH17+1)-AG17)</f>
        <v>0.5989857375387484</v>
      </c>
      <c r="AG17" s="799">
        <f>INDEX(Echel_vg,AH17)</f>
        <v>-1</v>
      </c>
      <c r="AH17" s="176">
        <f t="shared" si="13"/>
        <v>5</v>
      </c>
      <c r="AI17" s="224">
        <f t="shared" si="23"/>
        <v>-0.40101426246125155</v>
      </c>
      <c r="AJ17" s="264" t="b">
        <f t="shared" si="14"/>
        <v>1</v>
      </c>
      <c r="AK17" s="264" t="b">
        <f t="shared" si="15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16"/>
        <v>44200</v>
      </c>
      <c r="B18" s="607">
        <v>22.487000000000002</v>
      </c>
      <c r="C18" s="388"/>
      <c r="D18" s="391">
        <f t="shared" si="0"/>
        <v>22.801628462401826</v>
      </c>
      <c r="E18" s="383">
        <f t="shared" si="17"/>
        <v>23.720968391602177</v>
      </c>
      <c r="F18" s="383">
        <f t="shared" si="1"/>
        <v>23.895973120339946</v>
      </c>
      <c r="G18" s="110">
        <f t="shared" si="18"/>
        <v>0.88112355781951346</v>
      </c>
      <c r="H18" s="412" t="b">
        <f>Wh_hp&gt;='2020'!Maxi_hp</f>
        <v>1</v>
      </c>
      <c r="I18" s="379">
        <f>IF(H18,Wh_hp,'2020'!Maxi_hp)</f>
        <v>23.895973120339946</v>
      </c>
      <c r="J18" s="85">
        <f>IF(H18,An,'2020'!An_max)</f>
        <v>2021</v>
      </c>
      <c r="K18" s="197">
        <f t="shared" si="19"/>
        <v>44200</v>
      </c>
      <c r="L18" s="147">
        <f>IF(t&lt;Tvie,1-EXP((T0-t)*PertePVj)+'2020'!Pspv,1-EXP((T0-t)*PertePVj)+Pspv)</f>
        <v>1.3798508423230493E-2</v>
      </c>
      <c r="M18" s="832"/>
      <c r="N18" s="832"/>
      <c r="O18" s="48">
        <f>IF(t&lt;Tnet,'2020'!Resal+('2020'!Salim-'2020'!Resal)*(1-EXP(('2020'!Tnet-t)/('2020'!Tau_j))),Resal+(Salim-Resal)*(1-EXP((Tnet-t)/(Tau_j))))*Salcycl</f>
        <v>3.8756424865260576E-2</v>
      </c>
      <c r="P18" s="169">
        <f>(INDEX(Models!$BJ18:$BT18,,T18)*(1-R18)+INDEX(Models!$BJ18:$BT18,,T18+1)*R18-ERP_i)*Q18*Ramure*Pc/MaxiM</f>
        <v>8.8018441466506826E-3</v>
      </c>
      <c r="Q18" s="304">
        <f t="shared" si="2"/>
        <v>0.7</v>
      </c>
      <c r="R18" s="177">
        <f t="shared" si="3"/>
        <v>0.53467888290395238</v>
      </c>
      <c r="S18" s="799">
        <f t="shared" si="4"/>
        <v>-1</v>
      </c>
      <c r="T18" s="176">
        <f t="shared" si="5"/>
        <v>5</v>
      </c>
      <c r="U18" s="250">
        <f t="shared" si="20"/>
        <v>-0.46532111709604757</v>
      </c>
      <c r="V18" s="382">
        <f t="shared" si="6"/>
        <v>25.482820715805545</v>
      </c>
      <c r="W18" s="400"/>
      <c r="X18" s="157">
        <f t="shared" si="7"/>
        <v>44200</v>
      </c>
      <c r="Y18" s="383">
        <f t="shared" si="8"/>
        <v>22.471677996649671</v>
      </c>
      <c r="Z18" s="383">
        <f>Wh_sa_s*(1-Psa_s)</f>
        <v>22.786092080150127</v>
      </c>
      <c r="AA18" s="384">
        <f t="shared" si="10"/>
        <v>23.704805597224567</v>
      </c>
      <c r="AB18" s="197">
        <f>t</f>
        <v>44200</v>
      </c>
      <c r="AC18" s="119">
        <f>IF(OR(t&lt;Tnet,NoTnet),'2020'!Resal_s+('2020'!Salim-'2020'!Resal_s)*(1-EXP(('2020'!Tnet_s-t)/'2020'!Tau_j)),Resal_s+(Salim-Resal_s)*(1-EXP((Tnet_s-t)/Tau_j)))*Salcycl</f>
        <v>3.8756424865260576E-2</v>
      </c>
      <c r="AD18" s="230">
        <f>(INDEX(Models!$BJ18:$BT18,,AH18)*(1-AF18)+INDEX(Models!$BJ18:$BT18,,AH18+1)*AF18-ERP_i)*AE18*Ramure*Pc/MaxiM</f>
        <v>9.614750164174856E-3</v>
      </c>
      <c r="AE18" s="304">
        <f t="shared" si="12"/>
        <v>0.7</v>
      </c>
      <c r="AF18" s="177">
        <f t="shared" si="21"/>
        <v>0.59901110516378453</v>
      </c>
      <c r="AG18" s="799">
        <f t="shared" si="22"/>
        <v>-1</v>
      </c>
      <c r="AH18" s="176">
        <f t="shared" si="13"/>
        <v>5</v>
      </c>
      <c r="AI18" s="224">
        <f t="shared" si="23"/>
        <v>-0.40098889483621541</v>
      </c>
      <c r="AJ18" s="264" t="b">
        <f t="shared" si="14"/>
        <v>1</v>
      </c>
      <c r="AK18" s="264" t="b">
        <f t="shared" si="15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16"/>
        <v>44201</v>
      </c>
      <c r="B19" s="607">
        <v>2.0880000000000001</v>
      </c>
      <c r="C19" s="388"/>
      <c r="D19" s="391">
        <f t="shared" si="0"/>
        <v>2.117254977451049</v>
      </c>
      <c r="E19" s="383">
        <f t="shared" si="17"/>
        <v>2.2027040140419873</v>
      </c>
      <c r="F19" s="383">
        <f t="shared" si="1"/>
        <v>2.2027040140419873</v>
      </c>
      <c r="G19" s="110">
        <f t="shared" si="18"/>
        <v>8.0572581535023793E-2</v>
      </c>
      <c r="H19" s="412" t="b">
        <f>Wh_hp&gt;='2020'!Maxi_hp</f>
        <v>0</v>
      </c>
      <c r="I19" s="379">
        <f>IF(H19,Wh_hp,'2020'!Maxi_hp)</f>
        <v>11.433342511875232</v>
      </c>
      <c r="J19" s="85">
        <f>IF(H19,An,'2020'!An_max)</f>
        <v>2020</v>
      </c>
      <c r="K19" s="197">
        <f t="shared" si="19"/>
        <v>44201</v>
      </c>
      <c r="L19" s="147">
        <f>IF(t&lt;Tvie,1-EXP((T0-t)*PertePVj)+'2020'!Pspv,1-EXP((T0-t)*PertePVj)+Pspv)</f>
        <v>1.3817408749827842E-2</v>
      </c>
      <c r="M19" s="832"/>
      <c r="N19" s="832"/>
      <c r="O19" s="48">
        <f>IF(t&lt;Tnet,'2020'!Resal+('2020'!Salim-'2020'!Resal)*(1-EXP(('2020'!Tnet-t)/('2020'!Tau_j))),Resal+(Salim-Resal)*(1-EXP((Tnet-t)/(Tau_j))))*Salcycl</f>
        <v>3.879279106326159E-2</v>
      </c>
      <c r="P19" s="169">
        <f>(INDEX(Models!$BJ19:$BT19,,T19)*(1-R19)+INDEX(Models!$BJ19:$BT19,,T19+1)*R19-ERP_i)*Q19*Ramure*Pc/MaxiM</f>
        <v>8.7836348275030941E-3</v>
      </c>
      <c r="Q19" s="304">
        <f t="shared" si="2"/>
        <v>0.7</v>
      </c>
      <c r="R19" s="177">
        <f t="shared" si="3"/>
        <v>0.53470531133000176</v>
      </c>
      <c r="S19" s="799">
        <f t="shared" si="4"/>
        <v>-1</v>
      </c>
      <c r="T19" s="176">
        <f t="shared" si="5"/>
        <v>5</v>
      </c>
      <c r="U19" s="250">
        <f t="shared" si="20"/>
        <v>-0.46529468866999824</v>
      </c>
      <c r="V19" s="382">
        <f t="shared" si="6"/>
        <v>25.686899079689049</v>
      </c>
      <c r="W19" s="400"/>
      <c r="X19" s="157">
        <f t="shared" si="7"/>
        <v>44201</v>
      </c>
      <c r="Y19" s="383">
        <f t="shared" si="8"/>
        <v>2.0880000000000001</v>
      </c>
      <c r="Z19" s="383">
        <f t="shared" si="9"/>
        <v>2.117254977451049</v>
      </c>
      <c r="AA19" s="384">
        <f t="shared" si="10"/>
        <v>2.2027040140419873</v>
      </c>
      <c r="AB19" s="197">
        <f t="shared" si="11"/>
        <v>44201</v>
      </c>
      <c r="AC19" s="119">
        <f>IF(OR(t&lt;Tnet,NoTnet),'2020'!Resal_s+('2020'!Salim-'2020'!Resal_s)*(1-EXP(('2020'!Tnet_s-t)/'2020'!Tau_j)),Resal_s+(Salim-Resal_s)*(1-EXP((Tnet_s-t)/Tau_j)))*Salcycl</f>
        <v>3.879279106326159E-2</v>
      </c>
      <c r="AD19" s="230">
        <f>(INDEX(Models!$BJ19:$BT19,,AH19)*(1-AF19)+INDEX(Models!$BJ19:$BT19,,AH19+1)*AF19-ERP_i)*AE19*Ramure*Pc/MaxiM</f>
        <v>9.5934222853765409E-3</v>
      </c>
      <c r="AE19" s="304">
        <f t="shared" si="12"/>
        <v>0.7</v>
      </c>
      <c r="AF19" s="177">
        <f t="shared" si="21"/>
        <v>0.59903753358983391</v>
      </c>
      <c r="AG19" s="799">
        <f t="shared" si="22"/>
        <v>-1</v>
      </c>
      <c r="AH19" s="176">
        <f t="shared" si="13"/>
        <v>5</v>
      </c>
      <c r="AI19" s="224">
        <f t="shared" si="23"/>
        <v>-0.40096246641016609</v>
      </c>
      <c r="AJ19" s="264" t="b">
        <f t="shared" si="14"/>
        <v>1</v>
      </c>
      <c r="AK19" s="264" t="b">
        <f t="shared" si="15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16"/>
        <v>44202</v>
      </c>
      <c r="B20" s="607">
        <v>7.5460000000000003</v>
      </c>
      <c r="C20" s="388"/>
      <c r="D20" s="391">
        <f t="shared" si="0"/>
        <v>7.6518736865694752</v>
      </c>
      <c r="E20" s="383">
        <f t="shared" si="17"/>
        <v>7.9609925295360018</v>
      </c>
      <c r="F20" s="383">
        <f t="shared" si="1"/>
        <v>7.9609925295360018</v>
      </c>
      <c r="G20" s="110">
        <f t="shared" si="18"/>
        <v>0.288823428940852</v>
      </c>
      <c r="H20" s="412" t="b">
        <f>Wh_hp&gt;='2020'!Maxi_hp</f>
        <v>0</v>
      </c>
      <c r="I20" s="379">
        <f>IF(H20,Wh_hp,'2020'!Maxi_hp)</f>
        <v>27.442074545816915</v>
      </c>
      <c r="J20" s="85">
        <f>IF(H20,An,'2020'!An_max)</f>
        <v>2020</v>
      </c>
      <c r="K20" s="197">
        <f t="shared" si="19"/>
        <v>44202</v>
      </c>
      <c r="L20" s="147">
        <f>IF(t&lt;Tvie,1-EXP((T0-t)*PertePVj)+'2020'!Pspv,1-EXP((T0-t)*PertePVj)+Pspv)</f>
        <v>1.3836308714204715E-2</v>
      </c>
      <c r="M20" s="832"/>
      <c r="N20" s="832"/>
      <c r="O20" s="48">
        <f>IF(t&lt;Tnet,'2020'!Resal+('2020'!Salim-'2020'!Resal)*(1-EXP(('2020'!Tnet-t)/('2020'!Tau_j))),Resal+(Salim-Resal)*(1-EXP((Tnet-t)/(Tau_j))))*Salcycl</f>
        <v>3.8829183901337376E-2</v>
      </c>
      <c r="P20" s="169">
        <f>(INDEX(Models!$BJ20:$BT20,,T20)*(1-R20)+INDEX(Models!$BJ20:$BT20,,T20+1)*R20-ERP_i)*Q20*Ramure*Pc/MaxiM</f>
        <v>8.7683665738427473E-3</v>
      </c>
      <c r="Q20" s="304">
        <f t="shared" si="2"/>
        <v>0.7</v>
      </c>
      <c r="R20" s="177">
        <f t="shared" si="3"/>
        <v>0.53473284476740235</v>
      </c>
      <c r="S20" s="799">
        <f t="shared" si="4"/>
        <v>-1</v>
      </c>
      <c r="T20" s="176">
        <f t="shared" si="5"/>
        <v>5</v>
      </c>
      <c r="U20" s="250">
        <f t="shared" si="20"/>
        <v>-0.46526715523259765</v>
      </c>
      <c r="V20" s="382">
        <f t="shared" si="6"/>
        <v>25.897600943466315</v>
      </c>
      <c r="W20" s="400"/>
      <c r="X20" s="157">
        <f t="shared" si="7"/>
        <v>44202</v>
      </c>
      <c r="Y20" s="383">
        <f t="shared" si="8"/>
        <v>7.5460000000000003</v>
      </c>
      <c r="Z20" s="383">
        <f t="shared" si="9"/>
        <v>7.6518736865694752</v>
      </c>
      <c r="AA20" s="384">
        <f t="shared" si="10"/>
        <v>7.9609925295360018</v>
      </c>
      <c r="AB20" s="197">
        <f t="shared" si="11"/>
        <v>44202</v>
      </c>
      <c r="AC20" s="119">
        <f>IF(OR(t&lt;Tnet,NoTnet),'2020'!Resal_s+('2020'!Salim-'2020'!Resal_s)*(1-EXP(('2020'!Tnet_s-t)/'2020'!Tau_j)),Resal_s+(Salim-Resal_s)*(1-EXP((Tnet_s-t)/Tau_j)))*Salcycl</f>
        <v>3.8829183901337376E-2</v>
      </c>
      <c r="AD20" s="230">
        <f>(INDEX(Models!$BJ20:$BT20,,AH20)*(1-AF20)+INDEX(Models!$BJ20:$BT20,,AH20+1)*AF20-ERP_i)*AE20*Ramure*Pc/MaxiM</f>
        <v>9.5752020314253655E-3</v>
      </c>
      <c r="AE20" s="304">
        <f t="shared" si="12"/>
        <v>0.7</v>
      </c>
      <c r="AF20" s="177">
        <f t="shared" si="21"/>
        <v>0.5990650670272345</v>
      </c>
      <c r="AG20" s="799">
        <f t="shared" si="22"/>
        <v>-1</v>
      </c>
      <c r="AH20" s="176">
        <f t="shared" si="13"/>
        <v>5</v>
      </c>
      <c r="AI20" s="224">
        <f t="shared" si="23"/>
        <v>-0.4009349329727655</v>
      </c>
      <c r="AJ20" s="264" t="b">
        <f t="shared" si="14"/>
        <v>1</v>
      </c>
      <c r="AK20" s="264" t="b">
        <f t="shared" si="15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16"/>
        <v>44203</v>
      </c>
      <c r="B21" s="607">
        <v>13.862</v>
      </c>
      <c r="C21" s="388"/>
      <c r="D21" s="391">
        <f t="shared" si="0"/>
        <v>14.056759328752923</v>
      </c>
      <c r="E21" s="383">
        <f t="shared" si="17"/>
        <v>14.625175519725428</v>
      </c>
      <c r="F21" s="383">
        <f t="shared" si="1"/>
        <v>14.667527811072381</v>
      </c>
      <c r="G21" s="110">
        <f t="shared" si="18"/>
        <v>0.5277070574818381</v>
      </c>
      <c r="H21" s="412" t="b">
        <f>Wh_hp&gt;='2020'!Maxi_hp</f>
        <v>1</v>
      </c>
      <c r="I21" s="379">
        <f>IF(H21,Wh_hp,'2020'!Maxi_hp)</f>
        <v>14.667527811072381</v>
      </c>
      <c r="J21" s="85">
        <f>IF(H21,An,'2020'!An_max)</f>
        <v>2021</v>
      </c>
      <c r="K21" s="197">
        <f t="shared" si="19"/>
        <v>44203</v>
      </c>
      <c r="L21" s="147">
        <f>IF(t&lt;Tvie,1-EXP((T0-t)*PertePVj)+'2020'!Pspv,1-EXP((T0-t)*PertePVj)+Pspv)</f>
        <v>1.3855208316368106E-2</v>
      </c>
      <c r="M21" s="832"/>
      <c r="N21" s="832"/>
      <c r="O21" s="48">
        <f>IF(t&lt;Tnet,'2020'!Resal+('2020'!Salim-'2020'!Resal)*(1-EXP(('2020'!Tnet-t)/('2020'!Tau_j))),Resal+(Salim-Resal)*(1-EXP((Tnet-t)/(Tau_j))))*Salcycl</f>
        <v>3.886559790040562E-2</v>
      </c>
      <c r="P21" s="169">
        <f>(INDEX(Models!$BJ21:$BT21,,T21)*(1-R21)+INDEX(Models!$BJ21:$BT21,,T21+1)*R21-ERP_i)*Q21*Ramure*Pc/MaxiM</f>
        <v>8.7563485588460863E-3</v>
      </c>
      <c r="Q21" s="304">
        <f t="shared" si="2"/>
        <v>0.7</v>
      </c>
      <c r="R21" s="177">
        <f t="shared" si="3"/>
        <v>0.53476152925625287</v>
      </c>
      <c r="S21" s="799">
        <f t="shared" si="4"/>
        <v>-1</v>
      </c>
      <c r="T21" s="176">
        <f t="shared" si="5"/>
        <v>5</v>
      </c>
      <c r="U21" s="250">
        <f t="shared" si="20"/>
        <v>-0.46523847074374713</v>
      </c>
      <c r="V21" s="382">
        <f t="shared" si="6"/>
        <v>26.113750142407525</v>
      </c>
      <c r="W21" s="400"/>
      <c r="X21" s="157">
        <f t="shared" si="7"/>
        <v>44203</v>
      </c>
      <c r="Y21" s="383">
        <f t="shared" si="8"/>
        <v>13.858313799555491</v>
      </c>
      <c r="Z21" s="383">
        <f t="shared" si="9"/>
        <v>14.05302133766318</v>
      </c>
      <c r="AA21" s="384">
        <f t="shared" si="10"/>
        <v>14.621286374688504</v>
      </c>
      <c r="AB21" s="197">
        <f t="shared" si="11"/>
        <v>44203</v>
      </c>
      <c r="AC21" s="119">
        <f>IF(OR(t&lt;Tnet,NoTnet),'2020'!Resal_s+('2020'!Salim-'2020'!Resal_s)*(1-EXP(('2020'!Tnet_s-t)/'2020'!Tau_j)),Resal_s+(Salim-Resal_s)*(1-EXP((Tnet_s-t)/Tau_j)))*Salcycl</f>
        <v>3.886559790040562E-2</v>
      </c>
      <c r="AD21" s="230">
        <f>(INDEX(Models!$BJ21:$BT21,,AH21)*(1-AF21)+INDEX(Models!$BJ21:$BT21,,AH21+1)*AF21-ERP_i)*AE21*Ramure*Pc/MaxiM</f>
        <v>9.5604304268193351E-3</v>
      </c>
      <c r="AE21" s="304">
        <f t="shared" si="12"/>
        <v>0.7</v>
      </c>
      <c r="AF21" s="177">
        <f t="shared" si="21"/>
        <v>0.59909375151608502</v>
      </c>
      <c r="AG21" s="799">
        <f t="shared" si="22"/>
        <v>-1</v>
      </c>
      <c r="AH21" s="176">
        <f t="shared" si="13"/>
        <v>5</v>
      </c>
      <c r="AI21" s="224">
        <f t="shared" si="23"/>
        <v>-0.40090624848391498</v>
      </c>
      <c r="AJ21" s="264" t="b">
        <f t="shared" si="14"/>
        <v>1</v>
      </c>
      <c r="AK21" s="264" t="b">
        <f t="shared" si="15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16"/>
        <v>44204</v>
      </c>
      <c r="B22" s="607">
        <v>21.202000000000002</v>
      </c>
      <c r="C22" s="388"/>
      <c r="D22" s="391">
        <f t="shared" si="0"/>
        <v>21.500297439163941</v>
      </c>
      <c r="E22" s="383">
        <f t="shared" si="17"/>
        <v>22.370557506971881</v>
      </c>
      <c r="F22" s="383">
        <f t="shared" si="1"/>
        <v>22.512666153472253</v>
      </c>
      <c r="G22" s="110">
        <f t="shared" si="18"/>
        <v>0.80314033682971198</v>
      </c>
      <c r="H22" s="412" t="b">
        <f>Wh_hp&gt;='2020'!Maxi_hp</f>
        <v>1</v>
      </c>
      <c r="I22" s="379">
        <f>IF(H22,Wh_hp,'2020'!Maxi_hp)</f>
        <v>22.512666153472253</v>
      </c>
      <c r="J22" s="85">
        <f>IF(H22,An,'2020'!An_max)</f>
        <v>2021</v>
      </c>
      <c r="K22" s="197">
        <f t="shared" si="19"/>
        <v>44204</v>
      </c>
      <c r="L22" s="147">
        <f>IF(t&lt;Tvie,1-EXP((T0-t)*PertePVj)+'2020'!Pspv,1-EXP((T0-t)*PertePVj)+Pspv)</f>
        <v>1.387410755632501E-2</v>
      </c>
      <c r="M22" s="832"/>
      <c r="N22" s="832"/>
      <c r="O22" s="48">
        <f>IF(t&lt;Tnet,'2020'!Resal+('2020'!Salim-'2020'!Resal)*(1-EXP(('2020'!Tnet-t)/('2020'!Tau_j))),Resal+(Salim-Resal)*(1-EXP((Tnet-t)/(Tau_j))))*Salcycl</f>
        <v>3.8902028594357582E-2</v>
      </c>
      <c r="P22" s="169">
        <f>(INDEX(Models!$BJ22:$BT22,,T22)*(1-R22)+INDEX(Models!$BJ22:$BT22,,T22+1)*R22-ERP_i)*Q22*Ramure*Pc/MaxiM</f>
        <v>8.7478739776623311E-3</v>
      </c>
      <c r="Q22" s="304">
        <f t="shared" si="2"/>
        <v>0.7</v>
      </c>
      <c r="R22" s="177">
        <f t="shared" si="3"/>
        <v>0.53479141274105058</v>
      </c>
      <c r="S22" s="799">
        <f t="shared" si="4"/>
        <v>-1</v>
      </c>
      <c r="T22" s="176">
        <f t="shared" si="5"/>
        <v>5</v>
      </c>
      <c r="U22" s="250">
        <f t="shared" si="20"/>
        <v>-0.46520858725894942</v>
      </c>
      <c r="V22" s="382">
        <f t="shared" si="6"/>
        <v>26.334170750467404</v>
      </c>
      <c r="W22" s="400"/>
      <c r="X22" s="157">
        <f t="shared" si="7"/>
        <v>44204</v>
      </c>
      <c r="Y22" s="383">
        <f t="shared" si="8"/>
        <v>21.189658944112935</v>
      </c>
      <c r="Z22" s="383">
        <f t="shared" si="9"/>
        <v>21.487782753177466</v>
      </c>
      <c r="AA22" s="384">
        <f t="shared" si="10"/>
        <v>22.357536268389751</v>
      </c>
      <c r="AB22" s="197">
        <f t="shared" si="11"/>
        <v>44204</v>
      </c>
      <c r="AC22" s="119">
        <f>IF(OR(t&lt;Tnet,NoTnet),'2020'!Resal_s+('2020'!Salim-'2020'!Resal_s)*(1-EXP(('2020'!Tnet_s-t)/'2020'!Tau_j)),Resal_s+(Salim-Resal_s)*(1-EXP((Tnet_s-t)/Tau_j)))*Salcycl</f>
        <v>3.8902028594357582E-2</v>
      </c>
      <c r="AD22" s="230">
        <f>(INDEX(Models!$BJ22:$BT22,,AH22)*(1-AF22)+INDEX(Models!$BJ22:$BT22,,AH22+1)*AF22-ERP_i)*AE22*Ramure*Pc/MaxiM</f>
        <v>9.5494307932023591E-3</v>
      </c>
      <c r="AE22" s="304">
        <f t="shared" si="12"/>
        <v>0.7</v>
      </c>
      <c r="AF22" s="177">
        <f t="shared" si="21"/>
        <v>0.59912363500088273</v>
      </c>
      <c r="AG22" s="799">
        <f t="shared" si="22"/>
        <v>-1</v>
      </c>
      <c r="AH22" s="176">
        <f t="shared" si="13"/>
        <v>5</v>
      </c>
      <c r="AI22" s="224">
        <f t="shared" si="23"/>
        <v>-0.40087636499911727</v>
      </c>
      <c r="AJ22" s="264" t="b">
        <f t="shared" si="14"/>
        <v>1</v>
      </c>
      <c r="AK22" s="264" t="b">
        <f t="shared" si="15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16"/>
        <v>44205</v>
      </c>
      <c r="B23" s="607">
        <v>5.0200000000000005</v>
      </c>
      <c r="C23" s="388"/>
      <c r="D23" s="391">
        <f t="shared" si="0"/>
        <v>5.0907254818738199</v>
      </c>
      <c r="E23" s="383">
        <f t="shared" si="17"/>
        <v>5.2969818643936204</v>
      </c>
      <c r="F23" s="383">
        <f t="shared" si="1"/>
        <v>5.2969818643936204</v>
      </c>
      <c r="G23" s="110">
        <f t="shared" si="18"/>
        <v>0.18732919496854447</v>
      </c>
      <c r="H23" s="412" t="b">
        <f>Wh_hp&gt;='2020'!Maxi_hp</f>
        <v>0</v>
      </c>
      <c r="I23" s="379">
        <f>IF(H23,Wh_hp,'2020'!Maxi_hp)</f>
        <v>26.668518012021664</v>
      </c>
      <c r="J23" s="85">
        <f>IF(H23,An,'2020'!An_max)</f>
        <v>2020</v>
      </c>
      <c r="K23" s="197">
        <f t="shared" si="19"/>
        <v>44205</v>
      </c>
      <c r="L23" s="147">
        <f>IF(t&lt;Tvie,1-EXP((T0-t)*PertePVj)+'2020'!Pspv,1-EXP((T0-t)*PertePVj)+Pspv)</f>
        <v>1.38930064340822E-2</v>
      </c>
      <c r="M23" s="832"/>
      <c r="N23" s="832"/>
      <c r="O23" s="48">
        <f>IF(t&lt;Tnet,'2020'!Resal+('2020'!Salim-'2020'!Resal)*(1-EXP(('2020'!Tnet-t)/('2020'!Tau_j))),Resal+(Salim-Resal)*(1-EXP((Tnet-t)/(Tau_j))))*Salcycl</f>
        <v>3.8938472473590856E-2</v>
      </c>
      <c r="P23" s="169">
        <f>(INDEX(Models!$BJ23:$BT23,,T23)*(1-R23)+INDEX(Models!$BJ23:$BT23,,T23+1)*R23-ERP_i)*Q23*Ramure*Pc/MaxiM</f>
        <v>8.7413258200955517E-3</v>
      </c>
      <c r="Q23" s="304">
        <f t="shared" si="2"/>
        <v>0.7</v>
      </c>
      <c r="R23" s="177">
        <f t="shared" si="3"/>
        <v>0.53482254514827865</v>
      </c>
      <c r="S23" s="799">
        <f t="shared" si="4"/>
        <v>-1</v>
      </c>
      <c r="T23" s="176">
        <f t="shared" si="5"/>
        <v>5</v>
      </c>
      <c r="U23" s="250">
        <f t="shared" si="20"/>
        <v>-0.46517745485172129</v>
      </c>
      <c r="V23" s="382">
        <f t="shared" si="6"/>
        <v>26.563497191234337</v>
      </c>
      <c r="W23" s="400"/>
      <c r="X23" s="157">
        <f t="shared" si="7"/>
        <v>44205</v>
      </c>
      <c r="Y23" s="383">
        <f t="shared" si="8"/>
        <v>5.0200000000000005</v>
      </c>
      <c r="Z23" s="383">
        <f t="shared" si="9"/>
        <v>5.0907254818738199</v>
      </c>
      <c r="AA23" s="384">
        <f t="shared" si="10"/>
        <v>5.2969818643936204</v>
      </c>
      <c r="AB23" s="197">
        <f t="shared" si="11"/>
        <v>44205</v>
      </c>
      <c r="AC23" s="119">
        <f>IF(OR(t&lt;Tnet,NoTnet),'2020'!Resal_s+('2020'!Salim-'2020'!Resal_s)*(1-EXP(('2020'!Tnet_s-t)/'2020'!Tau_j)),Resal_s+(Salim-Resal_s)*(1-EXP((Tnet_s-t)/Tau_j)))*Salcycl</f>
        <v>3.8938472473590856E-2</v>
      </c>
      <c r="AD23" s="230">
        <f>(INDEX(Models!$BJ23:$BT23,,AH23)*(1-AF23)+INDEX(Models!$BJ23:$BT23,,AH23+1)*AF23-ERP_i)*AE23*Ramure*Pc/MaxiM</f>
        <v>9.5404413196602342E-3</v>
      </c>
      <c r="AE23" s="304">
        <f t="shared" si="12"/>
        <v>0.7</v>
      </c>
      <c r="AF23" s="177">
        <f t="shared" si="21"/>
        <v>0.5991547674081108</v>
      </c>
      <c r="AG23" s="799">
        <f t="shared" si="22"/>
        <v>-1</v>
      </c>
      <c r="AH23" s="176">
        <f t="shared" si="13"/>
        <v>5</v>
      </c>
      <c r="AI23" s="224">
        <f t="shared" si="23"/>
        <v>-0.40084523259188914</v>
      </c>
      <c r="AJ23" s="264" t="b">
        <f t="shared" si="14"/>
        <v>1</v>
      </c>
      <c r="AK23" s="264" t="b">
        <f t="shared" si="15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16"/>
        <v>44206</v>
      </c>
      <c r="B24" s="607">
        <v>4.798</v>
      </c>
      <c r="C24" s="388"/>
      <c r="D24" s="391">
        <f t="shared" si="0"/>
        <v>4.865691031139562</v>
      </c>
      <c r="E24" s="383">
        <f t="shared" si="17"/>
        <v>5.0630219413064106</v>
      </c>
      <c r="F24" s="383">
        <f t="shared" si="1"/>
        <v>5.0630219413064106</v>
      </c>
      <c r="G24" s="110">
        <f t="shared" si="18"/>
        <v>0.17742413422177988</v>
      </c>
      <c r="H24" s="412" t="b">
        <f>Wh_hp&gt;='2020'!Maxi_hp</f>
        <v>0</v>
      </c>
      <c r="I24" s="379">
        <f>IF(H24,Wh_hp,'2020'!Maxi_hp)</f>
        <v>10.460260744050126</v>
      </c>
      <c r="J24" s="85">
        <f>IF(H24,An,'2020'!An_max)</f>
        <v>2020</v>
      </c>
      <c r="K24" s="197">
        <f t="shared" si="19"/>
        <v>44206</v>
      </c>
      <c r="L24" s="147">
        <f>IF(t&lt;Tvie,1-EXP((T0-t)*PertePVj)+'2020'!Pspv,1-EXP((T0-t)*PertePVj)+Pspv)</f>
        <v>1.391190494964667E-2</v>
      </c>
      <c r="M24" s="832"/>
      <c r="N24" s="832"/>
      <c r="O24" s="48">
        <f>IF(t&lt;Tnet,'2020'!Resal+('2020'!Salim-'2020'!Resal)*(1-EXP(('2020'!Tnet-t)/('2020'!Tau_j))),Resal+(Salim-Resal)*(1-EXP((Tnet-t)/(Tau_j))))*Salcycl</f>
        <v>3.897492692198995E-2</v>
      </c>
      <c r="P24" s="169">
        <f>(INDEX(Models!$BJ24:$BT24,,T24)*(1-R24)+INDEX(Models!$BJ24:$BT24,,T24+1)*R24-ERP_i)*Q24*Ramure*Pc/MaxiM</f>
        <v>8.7376907554612658E-3</v>
      </c>
      <c r="Q24" s="304">
        <f t="shared" si="2"/>
        <v>0.7</v>
      </c>
      <c r="R24" s="177">
        <f t="shared" si="3"/>
        <v>0.53485497846705432</v>
      </c>
      <c r="S24" s="799">
        <f t="shared" si="4"/>
        <v>-1</v>
      </c>
      <c r="T24" s="176">
        <f t="shared" si="5"/>
        <v>5</v>
      </c>
      <c r="U24" s="250">
        <f t="shared" si="20"/>
        <v>-0.46514502153294568</v>
      </c>
      <c r="V24" s="382">
        <f t="shared" si="6"/>
        <v>26.806254857133521</v>
      </c>
      <c r="W24" s="400"/>
      <c r="X24" s="157">
        <f t="shared" si="7"/>
        <v>44206</v>
      </c>
      <c r="Y24" s="383">
        <f t="shared" si="8"/>
        <v>4.798</v>
      </c>
      <c r="Z24" s="383">
        <f t="shared" si="9"/>
        <v>4.865691031139562</v>
      </c>
      <c r="AA24" s="384">
        <f t="shared" si="10"/>
        <v>5.0630219413064106</v>
      </c>
      <c r="AB24" s="197">
        <f t="shared" si="11"/>
        <v>44206</v>
      </c>
      <c r="AC24" s="119">
        <f>IF(OR(t&lt;Tnet,NoTnet),'2020'!Resal_s+('2020'!Salim-'2020'!Resal_s)*(1-EXP(('2020'!Tnet_s-t)/'2020'!Tau_j)),Resal_s+(Salim-Resal_s)*(1-EXP((Tnet_s-t)/Tau_j)))*Salcycl</f>
        <v>3.897492692198995E-2</v>
      </c>
      <c r="AD24" s="230">
        <f>(INDEX(Models!$BJ24:$BT24,,AH24)*(1-AF24)+INDEX(Models!$BJ24:$BT24,,AH24+1)*AF24-ERP_i)*AE24*Ramure*Pc/MaxiM</f>
        <v>9.5346448445442732E-3</v>
      </c>
      <c r="AE24" s="304">
        <f t="shared" si="12"/>
        <v>0.7</v>
      </c>
      <c r="AF24" s="177">
        <f t="shared" si="21"/>
        <v>0.59918720072688647</v>
      </c>
      <c r="AG24" s="799">
        <f t="shared" si="22"/>
        <v>-1</v>
      </c>
      <c r="AH24" s="176">
        <f t="shared" si="13"/>
        <v>5</v>
      </c>
      <c r="AI24" s="224">
        <f t="shared" si="23"/>
        <v>-0.40081279927311353</v>
      </c>
      <c r="AJ24" s="264" t="b">
        <f t="shared" si="14"/>
        <v>1</v>
      </c>
      <c r="AK24" s="264" t="b">
        <f t="shared" si="15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16"/>
        <v>44207</v>
      </c>
      <c r="B25" s="607">
        <v>6.84</v>
      </c>
      <c r="C25" s="388"/>
      <c r="D25" s="391">
        <f t="shared" si="0"/>
        <v>6.936632866663464</v>
      </c>
      <c r="E25" s="383">
        <f t="shared" si="17"/>
        <v>7.2182258931593406</v>
      </c>
      <c r="F25" s="383">
        <f t="shared" si="1"/>
        <v>7.2182258931593406</v>
      </c>
      <c r="G25" s="110">
        <f t="shared" si="18"/>
        <v>0.25055190452897641</v>
      </c>
      <c r="H25" s="412" t="b">
        <f>Wh_hp&gt;='2020'!Maxi_hp</f>
        <v>0</v>
      </c>
      <c r="I25" s="379">
        <f>IF(H25,Wh_hp,'2020'!Maxi_hp)</f>
        <v>28.239972558041078</v>
      </c>
      <c r="J25" s="85">
        <f>IF(H25,An,'2020'!An_max)</f>
        <v>2020</v>
      </c>
      <c r="K25" s="197">
        <f t="shared" si="19"/>
        <v>44207</v>
      </c>
      <c r="L25" s="147">
        <f>IF(t&lt;Tvie,1-EXP((T0-t)*PertePVj)+'2020'!Pspv,1-EXP((T0-t)*PertePVj)+Pspv)</f>
        <v>1.3930803103025524E-2</v>
      </c>
      <c r="M25" s="832"/>
      <c r="N25" s="832"/>
      <c r="O25" s="48">
        <f>IF(t&lt;Tnet,'2020'!Resal+('2020'!Salim-'2020'!Resal)*(1-EXP(('2020'!Tnet-t)/('2020'!Tau_j))),Resal+(Salim-Resal)*(1-EXP((Tnet-t)/(Tau_j))))*Salcycl</f>
        <v>3.90113901481998E-2</v>
      </c>
      <c r="P25" s="169">
        <f>(INDEX(Models!$BJ25:$BT25,,T25)*(1-R25)+INDEX(Models!$BJ25:$BT25,,T25+1)*R25-ERP_i)*Q25*Ramure*Pc/MaxiM</f>
        <v>8.7359227269625857E-3</v>
      </c>
      <c r="Q25" s="304">
        <f t="shared" si="2"/>
        <v>0.7</v>
      </c>
      <c r="R25" s="177">
        <f t="shared" si="3"/>
        <v>0.53488876683294717</v>
      </c>
      <c r="S25" s="799">
        <f t="shared" si="4"/>
        <v>-1</v>
      </c>
      <c r="T25" s="176">
        <f t="shared" si="5"/>
        <v>5</v>
      </c>
      <c r="U25" s="250">
        <f t="shared" si="20"/>
        <v>-0.46511123316705283</v>
      </c>
      <c r="V25" s="382">
        <f t="shared" si="6"/>
        <v>27.061244261120503</v>
      </c>
      <c r="W25" s="400"/>
      <c r="X25" s="157">
        <f t="shared" si="7"/>
        <v>44207</v>
      </c>
      <c r="Y25" s="383">
        <f t="shared" si="8"/>
        <v>6.84</v>
      </c>
      <c r="Z25" s="383">
        <f t="shared" si="9"/>
        <v>6.936632866663464</v>
      </c>
      <c r="AA25" s="384">
        <f t="shared" si="10"/>
        <v>7.2182258931593406</v>
      </c>
      <c r="AB25" s="197">
        <f t="shared" si="11"/>
        <v>44207</v>
      </c>
      <c r="AC25" s="119">
        <f>IF(OR(t&lt;Tnet,NoTnet),'2020'!Resal_s+('2020'!Salim-'2020'!Resal_s)*(1-EXP(('2020'!Tnet_s-t)/'2020'!Tau_j)),Resal_s+(Salim-Resal_s)*(1-EXP((Tnet_s-t)/Tau_j)))*Salcycl</f>
        <v>3.90113901481998E-2</v>
      </c>
      <c r="AD25" s="230">
        <f>(INDEX(Models!$BJ25:$BT25,,AH25)*(1-AF25)+INDEX(Models!$BJ25:$BT25,,AH25+1)*AF25-ERP_i)*AE25*Ramure*Pc/MaxiM</f>
        <v>9.5309645246702233E-3</v>
      </c>
      <c r="AE25" s="304">
        <f t="shared" si="12"/>
        <v>0.7</v>
      </c>
      <c r="AF25" s="177">
        <f t="shared" si="21"/>
        <v>0.59922098909277932</v>
      </c>
      <c r="AG25" s="799">
        <f t="shared" si="22"/>
        <v>-1</v>
      </c>
      <c r="AH25" s="176">
        <f t="shared" si="13"/>
        <v>5</v>
      </c>
      <c r="AI25" s="224">
        <f t="shared" si="23"/>
        <v>-0.40077901090722068</v>
      </c>
      <c r="AJ25" s="264" t="b">
        <f t="shared" si="14"/>
        <v>1</v>
      </c>
      <c r="AK25" s="264" t="b">
        <f t="shared" si="15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16"/>
        <v>44208</v>
      </c>
      <c r="B26" s="607">
        <v>16.584</v>
      </c>
      <c r="C26" s="388"/>
      <c r="D26" s="391">
        <f t="shared" si="0"/>
        <v>16.818614643735348</v>
      </c>
      <c r="E26" s="383">
        <f t="shared" si="17"/>
        <v>17.502031540508224</v>
      </c>
      <c r="F26" s="383">
        <f t="shared" si="1"/>
        <v>17.569319469808605</v>
      </c>
      <c r="G26" s="110">
        <f t="shared" si="18"/>
        <v>0.60387819513482144</v>
      </c>
      <c r="H26" s="412" t="b">
        <f>Wh_hp&gt;='2020'!Maxi_hp</f>
        <v>0</v>
      </c>
      <c r="I26" s="379">
        <f>IF(H26,Wh_hp,'2020'!Maxi_hp)</f>
        <v>29.063431932857039</v>
      </c>
      <c r="J26" s="85">
        <f>IF(H26,An,'2020'!An_max)</f>
        <v>2020</v>
      </c>
      <c r="K26" s="197">
        <f t="shared" si="19"/>
        <v>44208</v>
      </c>
      <c r="L26" s="147">
        <f>IF(t&lt;Tvie,1-EXP((T0-t)*PertePVj)+'2020'!Pspv,1-EXP((T0-t)*PertePVj)+Pspv)</f>
        <v>1.3949700894225536E-2</v>
      </c>
      <c r="M26" s="832"/>
      <c r="N26" s="832"/>
      <c r="O26" s="48">
        <f>IF(t&lt;Tnet,'2020'!Resal+('2020'!Salim-'2020'!Resal)*(1-EXP(('2020'!Tnet-t)/('2020'!Tau_j))),Resal+(Salim-Resal)*(1-EXP((Tnet-t)/(Tau_j))))*Salcycl</f>
        <v>3.9047861112072466E-2</v>
      </c>
      <c r="P26" s="169">
        <f>(INDEX(Models!$BJ26:$BT26,,T26)*(1-R26)+INDEX(Models!$BJ26:$BT26,,T26+1)*R26-ERP_i)*Q26*Ramure*Pc/MaxiM</f>
        <v>8.7363444626203084E-3</v>
      </c>
      <c r="Q26" s="304">
        <f t="shared" si="2"/>
        <v>0.7</v>
      </c>
      <c r="R26" s="177">
        <f t="shared" si="3"/>
        <v>0.53492396661508401</v>
      </c>
      <c r="S26" s="799">
        <f t="shared" si="4"/>
        <v>-1</v>
      </c>
      <c r="T26" s="176">
        <f t="shared" si="5"/>
        <v>5</v>
      </c>
      <c r="U26" s="250">
        <f t="shared" si="20"/>
        <v>-0.46507603338491599</v>
      </c>
      <c r="V26" s="382">
        <f t="shared" si="6"/>
        <v>27.327229341160237</v>
      </c>
      <c r="W26" s="400"/>
      <c r="X26" s="157">
        <f t="shared" si="7"/>
        <v>44208</v>
      </c>
      <c r="Y26" s="383">
        <f t="shared" si="8"/>
        <v>16.578209650177339</v>
      </c>
      <c r="Z26" s="383">
        <f t="shared" si="9"/>
        <v>16.812742377555914</v>
      </c>
      <c r="AA26" s="384">
        <f t="shared" si="10"/>
        <v>17.495920657414473</v>
      </c>
      <c r="AB26" s="197">
        <f t="shared" si="11"/>
        <v>44208</v>
      </c>
      <c r="AC26" s="119">
        <f>IF(OR(t&lt;Tnet,NoTnet),'2020'!Resal_s+('2020'!Salim-'2020'!Resal_s)*(1-EXP(('2020'!Tnet_s-t)/'2020'!Tau_j)),Resal_s+(Salim-Resal_s)*(1-EXP((Tnet_s-t)/Tau_j)))*Salcycl</f>
        <v>3.9047861112072466E-2</v>
      </c>
      <c r="AD26" s="230">
        <f>(INDEX(Models!$BJ26:$BT26,,AH26)*(1-AF26)+INDEX(Models!$BJ26:$BT26,,AH26+1)*AF26-ERP_i)*AE26*Ramure*Pc/MaxiM</f>
        <v>9.52975243687193E-3</v>
      </c>
      <c r="AE26" s="304">
        <f t="shared" si="12"/>
        <v>0.7</v>
      </c>
      <c r="AF26" s="177">
        <f t="shared" si="21"/>
        <v>0.59925618887491616</v>
      </c>
      <c r="AG26" s="799">
        <f t="shared" si="22"/>
        <v>-1</v>
      </c>
      <c r="AH26" s="176">
        <f t="shared" si="13"/>
        <v>5</v>
      </c>
      <c r="AI26" s="224">
        <f t="shared" si="23"/>
        <v>-0.40074381112508384</v>
      </c>
      <c r="AJ26" s="264" t="b">
        <f t="shared" si="14"/>
        <v>1</v>
      </c>
      <c r="AK26" s="264" t="b">
        <f t="shared" si="15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16"/>
        <v>44209</v>
      </c>
      <c r="B27" s="607">
        <v>10.311</v>
      </c>
      <c r="C27" s="388"/>
      <c r="D27" s="391">
        <f t="shared" si="0"/>
        <v>10.457070619116333</v>
      </c>
      <c r="E27" s="383">
        <f t="shared" si="17"/>
        <v>10.88240211747666</v>
      </c>
      <c r="F27" s="383">
        <f t="shared" si="1"/>
        <v>10.892403581565175</v>
      </c>
      <c r="G27" s="110">
        <f t="shared" si="18"/>
        <v>0.37062248706271933</v>
      </c>
      <c r="H27" s="412" t="b">
        <f>Wh_hp&gt;='2020'!Maxi_hp</f>
        <v>0</v>
      </c>
      <c r="I27" s="379">
        <f>IF(H27,Wh_hp,'2020'!Maxi_hp)</f>
        <v>18.417034678656321</v>
      </c>
      <c r="J27" s="85">
        <f>IF(H27,An,'2020'!An_max)</f>
        <v>2020</v>
      </c>
      <c r="K27" s="197">
        <f t="shared" si="19"/>
        <v>44209</v>
      </c>
      <c r="L27" s="147">
        <f>IF(t&lt;Tvie,1-EXP((T0-t)*PertePVj)+'2020'!Pspv,1-EXP((T0-t)*PertePVj)+Pspv)</f>
        <v>1.3968598323253589E-2</v>
      </c>
      <c r="M27" s="832"/>
      <c r="N27" s="832"/>
      <c r="O27" s="48">
        <f>IF(t&lt;Tnet,'2020'!Resal+('2020'!Salim-'2020'!Resal)*(1-EXP(('2020'!Tnet-t)/('2020'!Tau_j))),Resal+(Salim-Resal)*(1-EXP((Tnet-t)/(Tau_j))))*Salcycl</f>
        <v>3.908433944719459E-2</v>
      </c>
      <c r="P27" s="169">
        <f>(INDEX(Models!$BJ27:$BT27,,T27)*(1-R27)+INDEX(Models!$BJ27:$BT27,,T27+1)*R27-ERP_i)*Q27*Ramure*Pc/MaxiM</f>
        <v>8.7392607179732906E-3</v>
      </c>
      <c r="Q27" s="304">
        <f t="shared" si="2"/>
        <v>0.7</v>
      </c>
      <c r="R27" s="177">
        <f t="shared" si="3"/>
        <v>0.53496063650665926</v>
      </c>
      <c r="S27" s="799">
        <f t="shared" si="4"/>
        <v>-1</v>
      </c>
      <c r="T27" s="176">
        <f t="shared" si="5"/>
        <v>5</v>
      </c>
      <c r="U27" s="250">
        <f t="shared" si="20"/>
        <v>-0.46503936349334069</v>
      </c>
      <c r="V27" s="382">
        <f t="shared" si="6"/>
        <v>27.602974296505423</v>
      </c>
      <c r="W27" s="400"/>
      <c r="X27" s="157">
        <f t="shared" si="7"/>
        <v>44209</v>
      </c>
      <c r="Y27" s="383">
        <f t="shared" si="8"/>
        <v>10.310141117286218</v>
      </c>
      <c r="Z27" s="383">
        <f t="shared" si="9"/>
        <v>10.456199569054112</v>
      </c>
      <c r="AA27" s="384">
        <f t="shared" si="10"/>
        <v>10.881495638273563</v>
      </c>
      <c r="AB27" s="197">
        <f t="shared" si="11"/>
        <v>44209</v>
      </c>
      <c r="AC27" s="119">
        <f>IF(OR(t&lt;Tnet,NoTnet),'2020'!Resal_s+('2020'!Salim-'2020'!Resal_s)*(1-EXP(('2020'!Tnet_s-t)/'2020'!Tau_j)),Resal_s+(Salim-Resal_s)*(1-EXP((Tnet_s-t)/Tau_j)))*Salcycl</f>
        <v>3.908433944719459E-2</v>
      </c>
      <c r="AD27" s="230">
        <f>(INDEX(Models!$BJ27:$BT27,,AH27)*(1-AF27)+INDEX(Models!$BJ27:$BT27,,AH27+1)*AF27-ERP_i)*AE27*Ramure*Pc/MaxiM</f>
        <v>9.5313405596024036E-3</v>
      </c>
      <c r="AE27" s="304">
        <f t="shared" si="12"/>
        <v>0.7</v>
      </c>
      <c r="AF27" s="177">
        <f t="shared" si="21"/>
        <v>0.59929285876649141</v>
      </c>
      <c r="AG27" s="799">
        <f t="shared" si="22"/>
        <v>-1</v>
      </c>
      <c r="AH27" s="176">
        <f t="shared" si="13"/>
        <v>5</v>
      </c>
      <c r="AI27" s="224">
        <f t="shared" si="23"/>
        <v>-0.40070714123350853</v>
      </c>
      <c r="AJ27" s="264" t="b">
        <f t="shared" si="14"/>
        <v>1</v>
      </c>
      <c r="AK27" s="264" t="b">
        <f t="shared" si="15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16"/>
        <v>44210</v>
      </c>
      <c r="B28" s="607">
        <v>10.816000000000001</v>
      </c>
      <c r="C28" s="388"/>
      <c r="D28" s="391">
        <f t="shared" si="0"/>
        <v>10.969434920381017</v>
      </c>
      <c r="E28" s="383">
        <f t="shared" si="17"/>
        <v>11.416039820744269</v>
      </c>
      <c r="F28" s="383">
        <f t="shared" si="1"/>
        <v>11.428582256868486</v>
      </c>
      <c r="G28" s="110">
        <f t="shared" si="18"/>
        <v>0.38487825998086167</v>
      </c>
      <c r="H28" s="412" t="b">
        <f>Wh_hp&gt;='2020'!Maxi_hp</f>
        <v>0</v>
      </c>
      <c r="I28" s="379">
        <f>IF(H28,Wh_hp,'2020'!Maxi_hp)</f>
        <v>26.616801741514003</v>
      </c>
      <c r="J28" s="85">
        <f>IF(H28,An,'2020'!An_max)</f>
        <v>2020</v>
      </c>
      <c r="K28" s="197">
        <f t="shared" si="19"/>
        <v>44210</v>
      </c>
      <c r="L28" s="147">
        <f>IF(t&lt;Tvie,1-EXP((T0-t)*PertePVj)+'2020'!Pspv,1-EXP((T0-t)*PertePVj)+Pspv)</f>
        <v>1.39874953901169E-2</v>
      </c>
      <c r="M28" s="832"/>
      <c r="N28" s="832"/>
      <c r="O28" s="48">
        <f>IF(t&lt;Tnet,'2020'!Resal+('2020'!Salim-'2020'!Resal)*(1-EXP(('2020'!Tnet-t)/('2020'!Tau_j))),Resal+(Salim-Resal)*(1-EXP((Tnet-t)/(Tau_j))))*Salcycl</f>
        <v>3.9120825380419388E-2</v>
      </c>
      <c r="P28" s="169">
        <f>(INDEX(Models!$BJ28:$BT28,,T28)*(1-R28)+INDEX(Models!$BJ28:$BT28,,T28+1)*R28-ERP_i)*Q28*Ramure*Pc/MaxiM</f>
        <v>8.7449588139973337E-3</v>
      </c>
      <c r="Q28" s="304">
        <f t="shared" si="2"/>
        <v>0.7</v>
      </c>
      <c r="R28" s="177">
        <f t="shared" si="3"/>
        <v>0.53499883761897093</v>
      </c>
      <c r="S28" s="799">
        <f t="shared" si="4"/>
        <v>-1</v>
      </c>
      <c r="T28" s="176">
        <f t="shared" si="5"/>
        <v>5</v>
      </c>
      <c r="U28" s="250">
        <f t="shared" si="20"/>
        <v>-0.46500116238102907</v>
      </c>
      <c r="V28" s="382">
        <f t="shared" si="6"/>
        <v>27.887243617329602</v>
      </c>
      <c r="W28" s="400"/>
      <c r="X28" s="157">
        <f t="shared" si="7"/>
        <v>44210</v>
      </c>
      <c r="Y28" s="383">
        <f t="shared" si="8"/>
        <v>10.814925027963119</v>
      </c>
      <c r="Z28" s="383">
        <f t="shared" si="9"/>
        <v>10.968344698875859</v>
      </c>
      <c r="AA28" s="384">
        <f t="shared" si="10"/>
        <v>11.414905212425182</v>
      </c>
      <c r="AB28" s="197">
        <f t="shared" si="11"/>
        <v>44210</v>
      </c>
      <c r="AC28" s="119">
        <f>IF(OR(t&lt;Tnet,NoTnet),'2020'!Resal_s+('2020'!Salim-'2020'!Resal_s)*(1-EXP(('2020'!Tnet_s-t)/'2020'!Tau_j)),Resal_s+(Salim-Resal_s)*(1-EXP((Tnet_s-t)/Tau_j)))*Salcycl</f>
        <v>3.9120825380419388E-2</v>
      </c>
      <c r="AD28" s="230">
        <f>(INDEX(Models!$BJ28:$BT28,,AH28)*(1-AF28)+INDEX(Models!$BJ28:$BT28,,AH28+1)*AF28-ERP_i)*AE28*Ramure*Pc/MaxiM</f>
        <v>9.5360414172632139E-3</v>
      </c>
      <c r="AE28" s="304">
        <f t="shared" si="12"/>
        <v>0.7</v>
      </c>
      <c r="AF28" s="177">
        <f t="shared" si="21"/>
        <v>0.59933105987880309</v>
      </c>
      <c r="AG28" s="799">
        <f t="shared" si="22"/>
        <v>-1</v>
      </c>
      <c r="AH28" s="176">
        <f t="shared" si="13"/>
        <v>5</v>
      </c>
      <c r="AI28" s="224">
        <f t="shared" si="23"/>
        <v>-0.40066894012119691</v>
      </c>
      <c r="AJ28" s="264" t="b">
        <f t="shared" si="14"/>
        <v>1</v>
      </c>
      <c r="AK28" s="264" t="b">
        <f t="shared" si="15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16"/>
        <v>44211</v>
      </c>
      <c r="B29" s="607">
        <v>17.265000000000001</v>
      </c>
      <c r="C29" s="388"/>
      <c r="D29" s="391">
        <f t="shared" si="0"/>
        <v>17.510255504273371</v>
      </c>
      <c r="E29" s="383">
        <f t="shared" si="17"/>
        <v>18.223852730899637</v>
      </c>
      <c r="F29" s="383">
        <f t="shared" si="1"/>
        <v>18.295393934656186</v>
      </c>
      <c r="G29" s="110">
        <f t="shared" si="18"/>
        <v>0.60971544866436167</v>
      </c>
      <c r="H29" s="412" t="b">
        <f>Wh_hp&gt;='2020'!Maxi_hp</f>
        <v>0</v>
      </c>
      <c r="I29" s="379">
        <f>IF(H29,Wh_hp,'2020'!Maxi_hp)</f>
        <v>22.308585586463529</v>
      </c>
      <c r="J29" s="85">
        <f>IF(H29,An,'2020'!An_max)</f>
        <v>2020</v>
      </c>
      <c r="K29" s="197">
        <f t="shared" si="19"/>
        <v>44211</v>
      </c>
      <c r="L29" s="147">
        <f>IF(t&lt;Tvie,1-EXP((T0-t)*PertePVj)+'2020'!Pspv,1-EXP((T0-t)*PertePVj)+Pspv)</f>
        <v>1.4006392094822129E-2</v>
      </c>
      <c r="M29" s="832"/>
      <c r="N29" s="832"/>
      <c r="O29" s="48">
        <f>IF(t&lt;Tnet,'2020'!Resal+('2020'!Salim-'2020'!Resal)*(1-EXP(('2020'!Tnet-t)/('2020'!Tau_j))),Resal+(Salim-Resal)*(1-EXP((Tnet-t)/(Tau_j))))*Salcycl</f>
        <v>3.9157319649336199E-2</v>
      </c>
      <c r="P29" s="169">
        <f>(INDEX(Models!$BJ29:$BT29,,T29)*(1-R29)+INDEX(Models!$BJ29:$BT29,,T29+1)*R29-ERP_i)*Q29*Ramure*Pc/MaxiM</f>
        <v>8.7537095039180567E-3</v>
      </c>
      <c r="Q29" s="304">
        <f t="shared" si="2"/>
        <v>0.7</v>
      </c>
      <c r="R29" s="177">
        <f t="shared" si="3"/>
        <v>0.53503863357910875</v>
      </c>
      <c r="S29" s="799">
        <f t="shared" si="4"/>
        <v>-1</v>
      </c>
      <c r="T29" s="176">
        <f t="shared" si="5"/>
        <v>5</v>
      </c>
      <c r="U29" s="250">
        <f t="shared" si="20"/>
        <v>-0.46496136642089125</v>
      </c>
      <c r="V29" s="382">
        <f t="shared" si="6"/>
        <v>28.178802074449862</v>
      </c>
      <c r="W29" s="400"/>
      <c r="X29" s="157">
        <f t="shared" si="7"/>
        <v>44211</v>
      </c>
      <c r="Y29" s="383">
        <f t="shared" si="8"/>
        <v>17.258879890730459</v>
      </c>
      <c r="Z29" s="383">
        <f t="shared" si="9"/>
        <v>17.504048456661224</v>
      </c>
      <c r="AA29" s="384">
        <f t="shared" si="10"/>
        <v>18.217392726843737</v>
      </c>
      <c r="AB29" s="197">
        <f t="shared" si="11"/>
        <v>44211</v>
      </c>
      <c r="AC29" s="119">
        <f>IF(OR(t&lt;Tnet,NoTnet),'2020'!Resal_s+('2020'!Salim-'2020'!Resal_s)*(1-EXP(('2020'!Tnet_s-t)/'2020'!Tau_j)),Resal_s+(Salim-Resal_s)*(1-EXP((Tnet_s-t)/Tau_j)))*Salcycl</f>
        <v>3.9157319649336199E-2</v>
      </c>
      <c r="AD29" s="230">
        <f>(INDEX(Models!$BJ29:$BT29,,AH29)*(1-AF29)+INDEX(Models!$BJ29:$BT29,,AH29+1)*AF29-ERP_i)*AE29*Ramure*Pc/MaxiM</f>
        <v>9.5441490818134241E-3</v>
      </c>
      <c r="AE29" s="304">
        <f t="shared" si="12"/>
        <v>0.7</v>
      </c>
      <c r="AF29" s="177">
        <f t="shared" si="21"/>
        <v>0.5993708558389409</v>
      </c>
      <c r="AG29" s="799">
        <f t="shared" si="22"/>
        <v>-1</v>
      </c>
      <c r="AH29" s="176">
        <f t="shared" si="13"/>
        <v>5</v>
      </c>
      <c r="AI29" s="224">
        <f t="shared" si="23"/>
        <v>-0.4006291441610591</v>
      </c>
      <c r="AJ29" s="264" t="b">
        <f t="shared" si="14"/>
        <v>1</v>
      </c>
      <c r="AK29" s="264" t="b">
        <f t="shared" si="15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16"/>
        <v>44212</v>
      </c>
      <c r="B30" s="607">
        <v>21.51</v>
      </c>
      <c r="C30" s="388"/>
      <c r="D30" s="391">
        <f t="shared" si="0"/>
        <v>21.8159753467813</v>
      </c>
      <c r="E30" s="383">
        <f t="shared" si="17"/>
        <v>22.705906642278165</v>
      </c>
      <c r="F30" s="383">
        <f t="shared" si="1"/>
        <v>22.83616523625448</v>
      </c>
      <c r="G30" s="110">
        <f t="shared" si="18"/>
        <v>0.75303597024146096</v>
      </c>
      <c r="H30" s="412" t="b">
        <f>Wh_hp&gt;='2020'!Maxi_hp</f>
        <v>0</v>
      </c>
      <c r="I30" s="379">
        <f>IF(H30,Wh_hp,'2020'!Maxi_hp)</f>
        <v>27.701507884982867</v>
      </c>
      <c r="J30" s="85">
        <f>IF(H30,An,'2020'!An_max)</f>
        <v>2020</v>
      </c>
      <c r="K30" s="197">
        <f t="shared" si="19"/>
        <v>44212</v>
      </c>
      <c r="L30" s="147">
        <f>IF(t&lt;Tvie,1-EXP((T0-t)*PertePVj)+'2020'!Pspv,1-EXP((T0-t)*PertePVj)+Pspv)</f>
        <v>1.4025288437376271E-2</v>
      </c>
      <c r="M30" s="832"/>
      <c r="N30" s="832"/>
      <c r="O30" s="48">
        <f>IF(t&lt;Tnet,'2020'!Resal+('2020'!Salim-'2020'!Resal)*(1-EXP(('2020'!Tnet-t)/('2020'!Tau_j))),Resal+(Salim-Resal)*(1-EXP((Tnet-t)/(Tau_j))))*Salcycl</f>
        <v>3.9193823418608692E-2</v>
      </c>
      <c r="P30" s="169">
        <f>(INDEX(Models!$BJ30:$BT30,,T30)*(1-R30)+INDEX(Models!$BJ30:$BT30,,T30+1)*R30-ERP_i)*Q30*Ramure*Pc/MaxiM</f>
        <v>8.7684447789123481E-3</v>
      </c>
      <c r="Q30" s="304">
        <f t="shared" si="2"/>
        <v>0.7</v>
      </c>
      <c r="R30" s="177">
        <f t="shared" si="3"/>
        <v>0.53508009063142337</v>
      </c>
      <c r="S30" s="799">
        <f t="shared" si="4"/>
        <v>-1</v>
      </c>
      <c r="T30" s="176">
        <f t="shared" si="5"/>
        <v>5</v>
      </c>
      <c r="U30" s="250">
        <f t="shared" si="20"/>
        <v>-0.46491990936857663</v>
      </c>
      <c r="V30" s="382">
        <f t="shared" si="6"/>
        <v>28.476337841951754</v>
      </c>
      <c r="W30" s="400"/>
      <c r="X30" s="157">
        <f t="shared" si="7"/>
        <v>44212</v>
      </c>
      <c r="Y30" s="383">
        <f t="shared" si="8"/>
        <v>21.498872929333437</v>
      </c>
      <c r="Z30" s="383">
        <f t="shared" si="9"/>
        <v>21.804689995812279</v>
      </c>
      <c r="AA30" s="384">
        <f t="shared" si="10"/>
        <v>22.694160932015169</v>
      </c>
      <c r="AB30" s="197">
        <f t="shared" si="11"/>
        <v>44212</v>
      </c>
      <c r="AC30" s="119">
        <f>IF(OR(t&lt;Tnet,NoTnet),'2020'!Resal_s+('2020'!Salim-'2020'!Resal_s)*(1-EXP(('2020'!Tnet_s-t)/'2020'!Tau_j)),Resal_s+(Salim-Resal_s)*(1-EXP((Tnet_s-t)/Tau_j)))*Salcycl</f>
        <v>3.9193823418608692E-2</v>
      </c>
      <c r="AD30" s="230">
        <f>(INDEX(Models!$BJ30:$BT30,,AH30)*(1-AF30)+INDEX(Models!$BJ30:$BT30,,AH30+1)*AF30-ERP_i)*AE30*Ramure*Pc/MaxiM</f>
        <v>9.5591151576275256E-3</v>
      </c>
      <c r="AE30" s="304">
        <f t="shared" si="12"/>
        <v>0.7</v>
      </c>
      <c r="AF30" s="177">
        <f t="shared" si="21"/>
        <v>0.59941231289125552</v>
      </c>
      <c r="AG30" s="799">
        <f t="shared" si="22"/>
        <v>-1</v>
      </c>
      <c r="AH30" s="176">
        <f t="shared" si="13"/>
        <v>5</v>
      </c>
      <c r="AI30" s="224">
        <f t="shared" si="23"/>
        <v>-0.40058768710874448</v>
      </c>
      <c r="AJ30" s="264" t="b">
        <f t="shared" si="14"/>
        <v>1</v>
      </c>
      <c r="AK30" s="264" t="b">
        <f t="shared" si="15"/>
        <v>0</v>
      </c>
      <c r="AL30" s="264"/>
      <c r="AM30" s="264"/>
      <c r="AN30" s="75"/>
    </row>
    <row r="31" spans="1:40" s="6" customFormat="1" ht="11.25" x14ac:dyDescent="0.2">
      <c r="A31" s="56">
        <f t="shared" si="16"/>
        <v>44213</v>
      </c>
      <c r="B31" s="607">
        <v>4.49</v>
      </c>
      <c r="C31" s="388"/>
      <c r="D31" s="391">
        <f t="shared" si="0"/>
        <v>4.5539566064110337</v>
      </c>
      <c r="E31" s="383">
        <f t="shared" si="17"/>
        <v>4.7399046696174114</v>
      </c>
      <c r="F31" s="383">
        <f t="shared" si="1"/>
        <v>4.7399046696174114</v>
      </c>
      <c r="G31" s="110">
        <f t="shared" si="18"/>
        <v>0.15464732225272179</v>
      </c>
      <c r="H31" s="412" t="b">
        <f>Wh_hp&gt;='2020'!Maxi_hp</f>
        <v>1</v>
      </c>
      <c r="I31" s="379">
        <f>IF(H31,Wh_hp,'2020'!Maxi_hp)</f>
        <v>4.7399046696174114</v>
      </c>
      <c r="J31" s="85">
        <f>IF(H31,An,'2020'!An_max)</f>
        <v>2021</v>
      </c>
      <c r="K31" s="197">
        <f t="shared" si="19"/>
        <v>44213</v>
      </c>
      <c r="L31" s="147">
        <f>IF(t&lt;Tvie,1-EXP((T0-t)*PertePVj)+'2020'!Pspv,1-EXP((T0-t)*PertePVj)+Pspv)</f>
        <v>1.4044184417786432E-2</v>
      </c>
      <c r="M31" s="832"/>
      <c r="N31" s="832"/>
      <c r="O31" s="48">
        <f>IF(t&lt;Tnet,'2020'!Resal+('2020'!Salim-'2020'!Resal)*(1-EXP(('2020'!Tnet-t)/('2020'!Tau_j))),Resal+(Salim-Resal)*(1-EXP((Tnet-t)/(Tau_j))))*Salcycl</f>
        <v>3.9230338196102832E-2</v>
      </c>
      <c r="P31" s="169">
        <f>(INDEX(Models!$BJ31:$BT31,,T31)*(1-R31)+INDEX(Models!$BJ31:$BT31,,T31+1)*R31-ERP_i)*Q31*Ramure*Pc/MaxiM</f>
        <v>8.7862424362887097E-3</v>
      </c>
      <c r="Q31" s="304">
        <f t="shared" si="2"/>
        <v>0.7</v>
      </c>
      <c r="R31" s="177">
        <f t="shared" si="3"/>
        <v>0.53512327774290669</v>
      </c>
      <c r="S31" s="799">
        <f t="shared" si="4"/>
        <v>-1</v>
      </c>
      <c r="T31" s="176">
        <f t="shared" si="5"/>
        <v>5</v>
      </c>
      <c r="U31" s="250">
        <f t="shared" si="20"/>
        <v>-0.46487672225709331</v>
      </c>
      <c r="V31" s="382">
        <f t="shared" si="6"/>
        <v>28.778705680969104</v>
      </c>
      <c r="W31" s="400"/>
      <c r="X31" s="157">
        <f t="shared" si="7"/>
        <v>44213</v>
      </c>
      <c r="Y31" s="383">
        <f t="shared" si="8"/>
        <v>4.49</v>
      </c>
      <c r="Z31" s="383">
        <f t="shared" si="9"/>
        <v>4.5539566064110337</v>
      </c>
      <c r="AA31" s="384">
        <f t="shared" si="10"/>
        <v>4.7399046696174114</v>
      </c>
      <c r="AB31" s="197">
        <f t="shared" si="11"/>
        <v>44213</v>
      </c>
      <c r="AC31" s="119">
        <f>IF(OR(t&lt;Tnet,NoTnet),'2020'!Resal_s+('2020'!Salim-'2020'!Resal_s)*(1-EXP(('2020'!Tnet_s-t)/'2020'!Tau_j)),Resal_s+(Salim-Resal_s)*(1-EXP((Tnet_s-t)/Tau_j)))*Salcycl</f>
        <v>3.9230338196102832E-2</v>
      </c>
      <c r="AD31" s="230">
        <f>(INDEX(Models!$BJ31:$BT31,,AH31)*(1-AF31)+INDEX(Models!$BJ31:$BT31,,AH31+1)*AF31-ERP_i)*AE31*Ramure*Pc/MaxiM</f>
        <v>9.5777910474830544E-3</v>
      </c>
      <c r="AE31" s="304">
        <f t="shared" si="12"/>
        <v>0.7</v>
      </c>
      <c r="AF31" s="177">
        <f t="shared" si="21"/>
        <v>0.59945550000273884</v>
      </c>
      <c r="AG31" s="799">
        <f t="shared" si="22"/>
        <v>-1</v>
      </c>
      <c r="AH31" s="176">
        <f t="shared" si="13"/>
        <v>5</v>
      </c>
      <c r="AI31" s="224">
        <f t="shared" si="23"/>
        <v>-0.40054449999726116</v>
      </c>
      <c r="AJ31" s="264" t="b">
        <f t="shared" si="14"/>
        <v>1</v>
      </c>
      <c r="AK31" s="264" t="b">
        <f t="shared" si="15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16"/>
        <v>44214</v>
      </c>
      <c r="B32" s="607">
        <v>28.580000000000002</v>
      </c>
      <c r="C32" s="388"/>
      <c r="D32" s="391">
        <f t="shared" si="0"/>
        <v>28.987655722483016</v>
      </c>
      <c r="E32" s="383">
        <f t="shared" si="17"/>
        <v>30.172432582023408</v>
      </c>
      <c r="F32" s="383">
        <f t="shared" si="1"/>
        <v>30.433829557852597</v>
      </c>
      <c r="G32" s="110">
        <f t="shared" si="18"/>
        <v>0.98243181526988166</v>
      </c>
      <c r="H32" s="412" t="b">
        <f>Wh_hp&gt;='2020'!Maxi_hp</f>
        <v>1</v>
      </c>
      <c r="I32" s="379">
        <f>IF(H32,Wh_hp,'2020'!Maxi_hp)</f>
        <v>30.433829557852597</v>
      </c>
      <c r="J32" s="85">
        <f>IF(H32,An,'2020'!An_max)</f>
        <v>2021</v>
      </c>
      <c r="K32" s="197">
        <f t="shared" si="19"/>
        <v>44214</v>
      </c>
      <c r="L32" s="147">
        <f>IF(t&lt;Tvie,1-EXP((T0-t)*PertePVj)+'2020'!Pspv,1-EXP((T0-t)*PertePVj)+Pspv)</f>
        <v>1.4063080036059383E-2</v>
      </c>
      <c r="M32" s="832"/>
      <c r="N32" s="832"/>
      <c r="O32" s="48">
        <f>IF(t&lt;Tnet,'2020'!Resal+('2020'!Salim-'2020'!Resal)*(1-EXP(('2020'!Tnet-t)/('2020'!Tau_j))),Resal+(Salim-Resal)*(1-EXP((Tnet-t)/(Tau_j))))*Salcycl</f>
        <v>3.9266865749706836E-2</v>
      </c>
      <c r="P32" s="169">
        <f>(INDEX(Models!$BJ32:$BT32,,T32)*(1-R32)+INDEX(Models!$BJ32:$BT32,,T32+1)*R32-ERP_i)*Q32*Ramure*Pc/MaxiM</f>
        <v>8.8073456823273295E-3</v>
      </c>
      <c r="Q32" s="304">
        <f t="shared" si="2"/>
        <v>0.7</v>
      </c>
      <c r="R32" s="177">
        <f t="shared" si="3"/>
        <v>0.53516826671262008</v>
      </c>
      <c r="S32" s="799">
        <f t="shared" si="4"/>
        <v>-1</v>
      </c>
      <c r="T32" s="176">
        <f t="shared" si="5"/>
        <v>5</v>
      </c>
      <c r="U32" s="250">
        <f t="shared" si="20"/>
        <v>-0.46483173328737998</v>
      </c>
      <c r="V32" s="382">
        <f t="shared" si="6"/>
        <v>29.084671266210009</v>
      </c>
      <c r="W32" s="400"/>
      <c r="X32" s="157">
        <f t="shared" si="7"/>
        <v>44214</v>
      </c>
      <c r="Y32" s="383">
        <f t="shared" si="8"/>
        <v>28.557703994480161</v>
      </c>
      <c r="Z32" s="383">
        <f t="shared" si="9"/>
        <v>28.965041694071687</v>
      </c>
      <c r="AA32" s="384">
        <f t="shared" si="10"/>
        <v>30.148894278195701</v>
      </c>
      <c r="AB32" s="197">
        <f t="shared" si="11"/>
        <v>44214</v>
      </c>
      <c r="AC32" s="119">
        <f>IF(OR(t&lt;Tnet,NoTnet),'2020'!Resal_s+('2020'!Salim-'2020'!Resal_s)*(1-EXP(('2020'!Tnet_s-t)/'2020'!Tau_j)),Resal_s+(Salim-Resal_s)*(1-EXP((Tnet_s-t)/Tau_j)))*Salcycl</f>
        <v>3.9266865749706836E-2</v>
      </c>
      <c r="AD32" s="230">
        <f>(INDEX(Models!$BJ32:$BT32,,AH32)*(1-AF32)+INDEX(Models!$BJ32:$BT32,,AH32+1)*AF32-ERP_i)*AE32*Ramure*Pc/MaxiM</f>
        <v>9.6004305216932061E-3</v>
      </c>
      <c r="AE32" s="304">
        <f t="shared" si="12"/>
        <v>0.7</v>
      </c>
      <c r="AF32" s="177">
        <f t="shared" si="21"/>
        <v>0.59950048897245223</v>
      </c>
      <c r="AG32" s="799">
        <f t="shared" si="22"/>
        <v>-1</v>
      </c>
      <c r="AH32" s="176">
        <f t="shared" si="13"/>
        <v>5</v>
      </c>
      <c r="AI32" s="224">
        <f t="shared" si="23"/>
        <v>-0.40049951102754783</v>
      </c>
      <c r="AJ32" s="264" t="b">
        <f t="shared" si="14"/>
        <v>1</v>
      </c>
      <c r="AK32" s="264" t="b">
        <f t="shared" si="15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16"/>
        <v>44215</v>
      </c>
      <c r="B33" s="607">
        <v>30.683</v>
      </c>
      <c r="C33" s="388"/>
      <c r="D33" s="391">
        <f t="shared" si="0"/>
        <v>31.121248654616792</v>
      </c>
      <c r="E33" s="383">
        <f t="shared" si="17"/>
        <v>32.39446138833592</v>
      </c>
      <c r="F33" s="383">
        <f t="shared" si="1"/>
        <v>32.683118262088648</v>
      </c>
      <c r="G33" s="110">
        <f t="shared" si="18"/>
        <v>1.043887979774113</v>
      </c>
      <c r="H33" s="412" t="b">
        <f>Wh_hp&gt;='2020'!Maxi_hp</f>
        <v>1</v>
      </c>
      <c r="I33" s="379">
        <f>IF(H33,Wh_hp,'2020'!Maxi_hp)</f>
        <v>32.683118262088648</v>
      </c>
      <c r="J33" s="85">
        <f>IF(H33,An,'2020'!An_max)</f>
        <v>2021</v>
      </c>
      <c r="K33" s="197">
        <f t="shared" si="19"/>
        <v>44215</v>
      </c>
      <c r="L33" s="147">
        <f>IF(t&lt;Tvie,1-EXP((T0-t)*PertePVj)+'2020'!Pspv,1-EXP((T0-t)*PertePVj)+Pspv)</f>
        <v>1.408197529220212E-2</v>
      </c>
      <c r="M33" s="832"/>
      <c r="N33" s="832"/>
      <c r="O33" s="48">
        <f>IF(t&lt;Tnet,'2020'!Resal+('2020'!Salim-'2020'!Resal)*(1-EXP(('2020'!Tnet-t)/('2020'!Tau_j))),Resal+(Salim-Resal)*(1-EXP((Tnet-t)/(Tau_j))))*Salcycl</f>
        <v>3.9303408025717711E-2</v>
      </c>
      <c r="P33" s="169">
        <f>(INDEX(Models!$BJ33:$BT33,,T33)*(1-R33)+INDEX(Models!$BJ33:$BT33,,T33+1)*R33-ERP_i)*Q33*Ramure*Pc/MaxiM</f>
        <v>8.8319869431663749E-3</v>
      </c>
      <c r="Q33" s="304">
        <f t="shared" si="2"/>
        <v>0.7</v>
      </c>
      <c r="R33" s="177">
        <f t="shared" si="3"/>
        <v>0.5352151322853087</v>
      </c>
      <c r="S33" s="799">
        <f t="shared" si="4"/>
        <v>-1</v>
      </c>
      <c r="T33" s="176">
        <f t="shared" si="5"/>
        <v>5</v>
      </c>
      <c r="U33" s="250">
        <f t="shared" si="20"/>
        <v>-0.46478486771469124</v>
      </c>
      <c r="V33" s="382">
        <f t="shared" si="6"/>
        <v>29.393000584832386</v>
      </c>
      <c r="W33" s="400"/>
      <c r="X33" s="157">
        <f t="shared" si="7"/>
        <v>44215</v>
      </c>
      <c r="Y33" s="383">
        <f t="shared" si="8"/>
        <v>30.658380719812666</v>
      </c>
      <c r="Z33" s="383">
        <f t="shared" si="9"/>
        <v>31.096277734550053</v>
      </c>
      <c r="AA33" s="384">
        <f t="shared" si="10"/>
        <v>32.368468873867407</v>
      </c>
      <c r="AB33" s="197">
        <f t="shared" si="11"/>
        <v>44215</v>
      </c>
      <c r="AC33" s="119">
        <f>IF(OR(t&lt;Tnet,NoTnet),'2020'!Resal_s+('2020'!Salim-'2020'!Resal_s)*(1-EXP(('2020'!Tnet_s-t)/'2020'!Tau_j)),Resal_s+(Salim-Resal_s)*(1-EXP((Tnet_s-t)/Tau_j)))*Salcycl</f>
        <v>3.9303408025717711E-2</v>
      </c>
      <c r="AD33" s="230">
        <f>(INDEX(Models!$BJ33:$BT33,,AH33)*(1-AF33)+INDEX(Models!$BJ33:$BT33,,AH33+1)*AF33-ERP_i)*AE33*Ramure*Pc/MaxiM</f>
        <v>9.6272756380845342E-3</v>
      </c>
      <c r="AE33" s="304">
        <f t="shared" si="12"/>
        <v>0.7</v>
      </c>
      <c r="AF33" s="177">
        <f t="shared" si="21"/>
        <v>0.59954735454514085</v>
      </c>
      <c r="AG33" s="799">
        <f t="shared" si="22"/>
        <v>-1</v>
      </c>
      <c r="AH33" s="176">
        <f t="shared" si="13"/>
        <v>5</v>
      </c>
      <c r="AI33" s="224">
        <f t="shared" si="23"/>
        <v>-0.40045264545485909</v>
      </c>
      <c r="AJ33" s="264" t="b">
        <f t="shared" si="14"/>
        <v>1</v>
      </c>
      <c r="AK33" s="264" t="b">
        <f t="shared" si="15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16"/>
        <v>44216</v>
      </c>
      <c r="B34" s="607">
        <v>7.056</v>
      </c>
      <c r="C34" s="388"/>
      <c r="D34" s="391">
        <f t="shared" si="0"/>
        <v>7.156918782688015</v>
      </c>
      <c r="E34" s="383">
        <f t="shared" si="17"/>
        <v>7.4500016003130467</v>
      </c>
      <c r="F34" s="383">
        <f t="shared" si="1"/>
        <v>7.4500016003130467</v>
      </c>
      <c r="G34" s="110">
        <f t="shared" si="18"/>
        <v>0.23545124222784866</v>
      </c>
      <c r="H34" s="412" t="b">
        <f>Wh_hp&gt;='2020'!Maxi_hp</f>
        <v>0</v>
      </c>
      <c r="I34" s="379">
        <f>IF(H34,Wh_hp,'2020'!Maxi_hp)</f>
        <v>11.30286271509741</v>
      </c>
      <c r="J34" s="85">
        <f>IF(H34,An,'2020'!An_max)</f>
        <v>2020</v>
      </c>
      <c r="K34" s="197">
        <f t="shared" si="19"/>
        <v>44216</v>
      </c>
      <c r="L34" s="147">
        <f>IF(t&lt;Tvie,1-EXP((T0-t)*PertePVj)+'2020'!Pspv,1-EXP((T0-t)*PertePVj)+Pspv)</f>
        <v>1.4100870186221637E-2</v>
      </c>
      <c r="M34" s="832"/>
      <c r="N34" s="832"/>
      <c r="O34" s="48">
        <f>IF(t&lt;Tnet,'2020'!Resal+('2020'!Salim-'2020'!Resal)*(1-EXP(('2020'!Tnet-t)/('2020'!Tau_j))),Resal+(Salim-Resal)*(1-EXP((Tnet-t)/(Tau_j))))*Salcycl</f>
        <v>3.9339967069633448E-2</v>
      </c>
      <c r="P34" s="169">
        <f>(INDEX(Models!$BJ34:$BT34,,T34)*(1-R34)+INDEX(Models!$BJ34:$BT34,,T34+1)*R34-ERP_i)*Q34*Ramure*Pc/MaxiM</f>
        <v>8.8604388265654307E-3</v>
      </c>
      <c r="Q34" s="304">
        <f t="shared" si="2"/>
        <v>0.7</v>
      </c>
      <c r="R34" s="177">
        <f t="shared" si="3"/>
        <v>0.53526395226934287</v>
      </c>
      <c r="S34" s="799">
        <f t="shared" si="4"/>
        <v>-1</v>
      </c>
      <c r="T34" s="176">
        <f t="shared" si="5"/>
        <v>5</v>
      </c>
      <c r="U34" s="250">
        <f t="shared" si="20"/>
        <v>-0.46473604773065713</v>
      </c>
      <c r="V34" s="382">
        <f t="shared" si="6"/>
        <v>29.702458468543938</v>
      </c>
      <c r="W34" s="400"/>
      <c r="X34" s="157">
        <f t="shared" si="7"/>
        <v>44216</v>
      </c>
      <c r="Y34" s="383">
        <f t="shared" si="8"/>
        <v>7.056</v>
      </c>
      <c r="Z34" s="383">
        <f t="shared" si="9"/>
        <v>7.156918782688015</v>
      </c>
      <c r="AA34" s="384">
        <f t="shared" si="10"/>
        <v>7.4500016003130467</v>
      </c>
      <c r="AB34" s="197">
        <f t="shared" si="11"/>
        <v>44216</v>
      </c>
      <c r="AC34" s="119">
        <f>IF(OR(t&lt;Tnet,NoTnet),'2020'!Resal_s+('2020'!Salim-'2020'!Resal_s)*(1-EXP(('2020'!Tnet_s-t)/'2020'!Tau_j)),Resal_s+(Salim-Resal_s)*(1-EXP((Tnet_s-t)/Tau_j)))*Salcycl</f>
        <v>3.9339967069633448E-2</v>
      </c>
      <c r="AD34" s="230">
        <f>(INDEX(Models!$BJ34:$BT34,,AH34)*(1-AF34)+INDEX(Models!$BJ34:$BT34,,AH34+1)*AF34-ERP_i)*AE34*Ramure*Pc/MaxiM</f>
        <v>9.6586124415653403E-3</v>
      </c>
      <c r="AE34" s="304">
        <f t="shared" si="12"/>
        <v>0.7</v>
      </c>
      <c r="AF34" s="177">
        <f t="shared" si="21"/>
        <v>0.59959617452917502</v>
      </c>
      <c r="AG34" s="799">
        <f t="shared" si="22"/>
        <v>-1</v>
      </c>
      <c r="AH34" s="176">
        <f t="shared" si="13"/>
        <v>5</v>
      </c>
      <c r="AI34" s="224">
        <f t="shared" si="23"/>
        <v>-0.40040382547082498</v>
      </c>
      <c r="AJ34" s="264" t="b">
        <f t="shared" si="14"/>
        <v>1</v>
      </c>
      <c r="AK34" s="264" t="b">
        <f t="shared" si="15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16"/>
        <v>44217</v>
      </c>
      <c r="B35" s="607">
        <v>14.468999999999999</v>
      </c>
      <c r="C35" s="388"/>
      <c r="D35" s="391">
        <f t="shared" si="0"/>
        <v>14.676224841715319</v>
      </c>
      <c r="E35" s="383">
        <f t="shared" si="17"/>
        <v>15.277812304670059</v>
      </c>
      <c r="F35" s="383">
        <f t="shared" si="1"/>
        <v>15.313240674231411</v>
      </c>
      <c r="G35" s="110">
        <f t="shared" si="18"/>
        <v>0.47893086284713227</v>
      </c>
      <c r="H35" s="412" t="b">
        <f>Wh_hp&gt;='2020'!Maxi_hp</f>
        <v>1</v>
      </c>
      <c r="I35" s="379">
        <f>IF(H35,Wh_hp,'2020'!Maxi_hp)</f>
        <v>15.313240674231411</v>
      </c>
      <c r="J35" s="85">
        <f>IF(H35,An,'2020'!An_max)</f>
        <v>2021</v>
      </c>
      <c r="K35" s="197">
        <f t="shared" si="19"/>
        <v>44217</v>
      </c>
      <c r="L35" s="147">
        <f>IF(t&lt;Tvie,1-EXP((T0-t)*PertePVj)+'2020'!Pspv,1-EXP((T0-t)*PertePVj)+Pspv)</f>
        <v>1.4119764718124816E-2</v>
      </c>
      <c r="M35" s="832"/>
      <c r="N35" s="832"/>
      <c r="O35" s="48">
        <f>IF(t&lt;Tnet,'2020'!Resal+('2020'!Salim-'2020'!Resal)*(1-EXP(('2020'!Tnet-t)/('2020'!Tau_j))),Resal+(Salim-Resal)*(1-EXP((Tnet-t)/(Tau_j))))*Salcycl</f>
        <v>3.9376544950146343E-2</v>
      </c>
      <c r="P35" s="169">
        <f>(INDEX(Models!$BJ35:$BT35,,T35)*(1-R35)+INDEX(Models!$BJ35:$BT35,,T35+1)*R35-ERP_i)*Q35*Ramure*Pc/MaxiM</f>
        <v>8.8929894747955349E-3</v>
      </c>
      <c r="Q35" s="304">
        <f t="shared" si="2"/>
        <v>0.7</v>
      </c>
      <c r="R35" s="177">
        <f t="shared" si="3"/>
        <v>0.53531480765913186</v>
      </c>
      <c r="S35" s="799">
        <f t="shared" si="4"/>
        <v>-1</v>
      </c>
      <c r="T35" s="176">
        <f t="shared" si="5"/>
        <v>5</v>
      </c>
      <c r="U35" s="250">
        <f t="shared" si="20"/>
        <v>-0.46468519234086819</v>
      </c>
      <c r="V35" s="382">
        <f t="shared" si="6"/>
        <v>30.011809315408286</v>
      </c>
      <c r="W35" s="400"/>
      <c r="X35" s="157">
        <f t="shared" si="7"/>
        <v>44217</v>
      </c>
      <c r="Y35" s="383">
        <f t="shared" si="8"/>
        <v>14.465975021550525</v>
      </c>
      <c r="Z35" s="383">
        <f t="shared" si="9"/>
        <v>14.673156539561345</v>
      </c>
      <c r="AA35" s="384">
        <f t="shared" si="10"/>
        <v>15.274618230927798</v>
      </c>
      <c r="AB35" s="197">
        <f t="shared" si="11"/>
        <v>44217</v>
      </c>
      <c r="AC35" s="119">
        <f>IF(OR(t&lt;Tnet,NoTnet),'2020'!Resal_s+('2020'!Salim-'2020'!Resal_s)*(1-EXP(('2020'!Tnet_s-t)/'2020'!Tau_j)),Resal_s+(Salim-Resal_s)*(1-EXP((Tnet_s-t)/Tau_j)))*Salcycl</f>
        <v>3.9376544950146343E-2</v>
      </c>
      <c r="AD35" s="230">
        <f>(INDEX(Models!$BJ35:$BT35,,AH35)*(1-AF35)+INDEX(Models!$BJ35:$BT35,,AH35+1)*AF35-ERP_i)*AE35*Ramure*Pc/MaxiM</f>
        <v>9.6947442414788854E-3</v>
      </c>
      <c r="AE35" s="304">
        <f t="shared" si="12"/>
        <v>0.7</v>
      </c>
      <c r="AF35" s="177">
        <f t="shared" si="21"/>
        <v>0.59964702991896401</v>
      </c>
      <c r="AG35" s="799">
        <f t="shared" si="22"/>
        <v>-1</v>
      </c>
      <c r="AH35" s="176">
        <f t="shared" si="13"/>
        <v>5</v>
      </c>
      <c r="AI35" s="224">
        <f t="shared" si="23"/>
        <v>-0.40035297008103604</v>
      </c>
      <c r="AJ35" s="264" t="b">
        <f t="shared" si="14"/>
        <v>1</v>
      </c>
      <c r="AK35" s="264" t="b">
        <f t="shared" si="15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16"/>
        <v>44218</v>
      </c>
      <c r="B36" s="607">
        <v>5.3810000000000002</v>
      </c>
      <c r="C36" s="388"/>
      <c r="D36" s="391">
        <f t="shared" si="0"/>
        <v>5.4581712210462268</v>
      </c>
      <c r="E36" s="383">
        <f t="shared" si="17"/>
        <v>5.6821214918520555</v>
      </c>
      <c r="F36" s="383">
        <f t="shared" si="1"/>
        <v>5.6821214918520555</v>
      </c>
      <c r="G36" s="110">
        <f t="shared" si="18"/>
        <v>0.17588984652234871</v>
      </c>
      <c r="H36" s="412" t="b">
        <f>Wh_hp&gt;='2020'!Maxi_hp</f>
        <v>1</v>
      </c>
      <c r="I36" s="379">
        <f>IF(H36,Wh_hp,'2020'!Maxi_hp)</f>
        <v>5.6821214918520555</v>
      </c>
      <c r="J36" s="85">
        <f>IF(H36,An,'2020'!An_max)</f>
        <v>2021</v>
      </c>
      <c r="K36" s="197">
        <f t="shared" si="19"/>
        <v>44218</v>
      </c>
      <c r="L36" s="147">
        <f>IF(t&lt;Tvie,1-EXP((T0-t)*PertePVj)+'2020'!Pspv,1-EXP((T0-t)*PertePVj)+Pspv)</f>
        <v>1.4138658887918543E-2</v>
      </c>
      <c r="M36" s="832"/>
      <c r="N36" s="832"/>
      <c r="O36" s="48">
        <f>IF(t&lt;Tnet,'2020'!Resal+('2020'!Salim-'2020'!Resal)*(1-EXP(('2020'!Tnet-t)/('2020'!Tau_j))),Resal+(Salim-Resal)*(1-EXP((Tnet-t)/(Tau_j))))*Salcycl</f>
        <v>3.9413143687083194E-2</v>
      </c>
      <c r="P36" s="169">
        <f>(INDEX(Models!$BJ36:$BT36,,T36)*(1-R36)+INDEX(Models!$BJ36:$BT36,,T36+1)*R36-ERP_i)*Q36*Ramure*Pc/MaxiM</f>
        <v>8.9298839301439701E-3</v>
      </c>
      <c r="Q36" s="304">
        <f t="shared" si="2"/>
        <v>0.7</v>
      </c>
      <c r="R36" s="177">
        <f t="shared" si="3"/>
        <v>0.53536778276215746</v>
      </c>
      <c r="S36" s="799">
        <f t="shared" si="4"/>
        <v>-1</v>
      </c>
      <c r="T36" s="176">
        <f t="shared" si="5"/>
        <v>5</v>
      </c>
      <c r="U36" s="250">
        <f t="shared" si="20"/>
        <v>-0.46463221723784248</v>
      </c>
      <c r="V36" s="382">
        <f t="shared" si="6"/>
        <v>30.319818909468932</v>
      </c>
      <c r="W36" s="400"/>
      <c r="X36" s="157">
        <f t="shared" si="7"/>
        <v>44218</v>
      </c>
      <c r="Y36" s="383">
        <f t="shared" si="8"/>
        <v>5.3810000000000002</v>
      </c>
      <c r="Z36" s="383">
        <f t="shared" si="9"/>
        <v>5.4581712210462268</v>
      </c>
      <c r="AA36" s="384">
        <f t="shared" si="10"/>
        <v>5.6821214918520555</v>
      </c>
      <c r="AB36" s="197">
        <f t="shared" si="11"/>
        <v>44218</v>
      </c>
      <c r="AC36" s="119">
        <f>IF(OR(t&lt;Tnet,NoTnet),'2020'!Resal_s+('2020'!Salim-'2020'!Resal_s)*(1-EXP(('2020'!Tnet_s-t)/'2020'!Tau_j)),Resal_s+(Salim-Resal_s)*(1-EXP((Tnet_s-t)/Tau_j)))*Salcycl</f>
        <v>3.9413143687083194E-2</v>
      </c>
      <c r="AD36" s="230">
        <f>(INDEX(Models!$BJ36:$BT36,,AH36)*(1-AF36)+INDEX(Models!$BJ36:$BT36,,AH36+1)*AF36-ERP_i)*AE36*Ramure*Pc/MaxiM</f>
        <v>9.7359278255965374E-3</v>
      </c>
      <c r="AE36" s="304">
        <f t="shared" si="12"/>
        <v>0.7</v>
      </c>
      <c r="AF36" s="177">
        <f t="shared" si="21"/>
        <v>0.59970000502198961</v>
      </c>
      <c r="AG36" s="799">
        <f t="shared" si="22"/>
        <v>-1</v>
      </c>
      <c r="AH36" s="176">
        <f t="shared" si="13"/>
        <v>5</v>
      </c>
      <c r="AI36" s="224">
        <f t="shared" si="23"/>
        <v>-0.40029999497801033</v>
      </c>
      <c r="AJ36" s="264" t="b">
        <f t="shared" si="14"/>
        <v>1</v>
      </c>
      <c r="AK36" s="264" t="b">
        <f t="shared" si="15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16"/>
        <v>44219</v>
      </c>
      <c r="B37" s="607">
        <v>9.5540000000000003</v>
      </c>
      <c r="C37" s="388"/>
      <c r="D37" s="391">
        <f t="shared" si="0"/>
        <v>9.6912037274553402</v>
      </c>
      <c r="E37" s="383">
        <f t="shared" si="17"/>
        <v>10.089221132002079</v>
      </c>
      <c r="F37" s="383">
        <f t="shared" si="1"/>
        <v>10.090762132280377</v>
      </c>
      <c r="G37" s="110">
        <f t="shared" si="18"/>
        <v>0.30916676614970207</v>
      </c>
      <c r="H37" s="412" t="b">
        <f>Wh_hp&gt;='2020'!Maxi_hp</f>
        <v>0</v>
      </c>
      <c r="I37" s="379">
        <f>IF(H37,Wh_hp,'2020'!Maxi_hp)</f>
        <v>13.406804517258259</v>
      </c>
      <c r="J37" s="85">
        <f>IF(H37,An,'2020'!An_max)</f>
        <v>2020</v>
      </c>
      <c r="K37" s="197">
        <f t="shared" si="19"/>
        <v>44219</v>
      </c>
      <c r="L37" s="147">
        <f>IF(t&lt;Tvie,1-EXP((T0-t)*PertePVj)+'2020'!Pspv,1-EXP((T0-t)*PertePVj)+Pspv)</f>
        <v>1.415755269560981E-2</v>
      </c>
      <c r="M37" s="832"/>
      <c r="N37" s="832"/>
      <c r="O37" s="48">
        <f>IF(t&lt;Tnet,'2020'!Resal+('2020'!Salim-'2020'!Resal)*(1-EXP(('2020'!Tnet-t)/('2020'!Tau_j))),Resal+(Salim-Resal)*(1-EXP((Tnet-t)/(Tau_j))))*Salcycl</f>
        <v>3.9449765183980696E-2</v>
      </c>
      <c r="P37" s="169">
        <f>(INDEX(Models!$BJ37:$BT37,,T37)*(1-R37)+INDEX(Models!$BJ37:$BT37,,T37+1)*R37-ERP_i)*Q37*Ramure*Pc/MaxiM</f>
        <v>8.9700158342262623E-3</v>
      </c>
      <c r="Q37" s="304">
        <f t="shared" si="2"/>
        <v>0.7</v>
      </c>
      <c r="R37" s="177">
        <f t="shared" si="3"/>
        <v>0.53542296533077938</v>
      </c>
      <c r="S37" s="799">
        <f t="shared" si="4"/>
        <v>-1</v>
      </c>
      <c r="T37" s="176">
        <f t="shared" si="5"/>
        <v>5</v>
      </c>
      <c r="U37" s="250">
        <f t="shared" si="20"/>
        <v>-0.46457703466922068</v>
      </c>
      <c r="V37" s="382">
        <f t="shared" si="6"/>
        <v>30.629898385243283</v>
      </c>
      <c r="W37" s="400"/>
      <c r="X37" s="157">
        <f t="shared" si="7"/>
        <v>44219</v>
      </c>
      <c r="Y37" s="383">
        <f t="shared" si="8"/>
        <v>9.5538680768288966</v>
      </c>
      <c r="Z37" s="383">
        <f t="shared" si="9"/>
        <v>9.6910699097530646</v>
      </c>
      <c r="AA37" s="384">
        <f t="shared" si="10"/>
        <v>10.089081818411362</v>
      </c>
      <c r="AB37" s="197">
        <f t="shared" si="11"/>
        <v>44219</v>
      </c>
      <c r="AC37" s="119">
        <f>IF(OR(t&lt;Tnet,NoTnet),'2020'!Resal_s+('2020'!Salim-'2020'!Resal_s)*(1-EXP(('2020'!Tnet_s-t)/'2020'!Tau_j)),Resal_s+(Salim-Resal_s)*(1-EXP((Tnet_s-t)/Tau_j)))*Salcycl</f>
        <v>3.9449765183980696E-2</v>
      </c>
      <c r="AD37" s="230">
        <f>(INDEX(Models!$BJ37:$BT37,,AH37)*(1-AF37)+INDEX(Models!$BJ37:$BT37,,AH37+1)*AF37-ERP_i)*AE37*Ramure*Pc/MaxiM</f>
        <v>9.780946975680091E-3</v>
      </c>
      <c r="AE37" s="304">
        <f t="shared" si="12"/>
        <v>0.7</v>
      </c>
      <c r="AF37" s="177">
        <f t="shared" si="21"/>
        <v>0.59975518759061153</v>
      </c>
      <c r="AG37" s="799">
        <f t="shared" si="22"/>
        <v>-1</v>
      </c>
      <c r="AH37" s="176">
        <f t="shared" si="13"/>
        <v>5</v>
      </c>
      <c r="AI37" s="224">
        <f t="shared" si="23"/>
        <v>-0.40024481240938853</v>
      </c>
      <c r="AJ37" s="264" t="b">
        <f t="shared" si="14"/>
        <v>1</v>
      </c>
      <c r="AK37" s="264" t="b">
        <f t="shared" si="15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16"/>
        <v>44220</v>
      </c>
      <c r="B38" s="607">
        <v>16.472000000000001</v>
      </c>
      <c r="C38" s="388"/>
      <c r="D38" s="391">
        <f t="shared" si="0"/>
        <v>16.708872430085382</v>
      </c>
      <c r="E38" s="383">
        <f t="shared" si="17"/>
        <v>17.395768913969757</v>
      </c>
      <c r="F38" s="383">
        <f t="shared" si="1"/>
        <v>17.44793187382459</v>
      </c>
      <c r="G38" s="110">
        <f t="shared" si="18"/>
        <v>0.5290701345471347</v>
      </c>
      <c r="H38" s="412" t="b">
        <f>Wh_hp&gt;='2020'!Maxi_hp</f>
        <v>1</v>
      </c>
      <c r="I38" s="379">
        <f>IF(H38,Wh_hp,'2020'!Maxi_hp)</f>
        <v>17.44793187382459</v>
      </c>
      <c r="J38" s="85">
        <f>IF(H38,An,'2020'!An_max)</f>
        <v>2021</v>
      </c>
      <c r="K38" s="197">
        <f t="shared" si="19"/>
        <v>44220</v>
      </c>
      <c r="L38" s="147">
        <f>IF(t&lt;Tvie,1-EXP((T0-t)*PertePVj)+'2020'!Pspv,1-EXP((T0-t)*PertePVj)+Pspv)</f>
        <v>1.4176446141205612E-2</v>
      </c>
      <c r="M38" s="832"/>
      <c r="N38" s="832"/>
      <c r="O38" s="48">
        <f>IF(t&lt;Tnet,'2020'!Resal+('2020'!Salim-'2020'!Resal)*(1-EXP(('2020'!Tnet-t)/('2020'!Tau_j))),Resal+(Salim-Resal)*(1-EXP((Tnet-t)/(Tau_j))))*Salcycl</f>
        <v>3.9486411165922164E-2</v>
      </c>
      <c r="P38" s="169">
        <f>(INDEX(Models!$BJ38:$BT38,,T38)*(1-R38)+INDEX(Models!$BJ38:$BT38,,T38+1)*R38-ERP_i)*Q38*Ramure*Pc/MaxiM</f>
        <v>9.0094245155212926E-3</v>
      </c>
      <c r="Q38" s="304">
        <f t="shared" si="2"/>
        <v>0.7</v>
      </c>
      <c r="R38" s="177">
        <f t="shared" si="3"/>
        <v>0.53548044669896289</v>
      </c>
      <c r="S38" s="799">
        <f t="shared" si="4"/>
        <v>-1</v>
      </c>
      <c r="T38" s="176">
        <f t="shared" si="5"/>
        <v>5</v>
      </c>
      <c r="U38" s="250">
        <f t="shared" si="20"/>
        <v>-0.46451955330103711</v>
      </c>
      <c r="V38" s="382">
        <f t="shared" si="6"/>
        <v>30.945887197703229</v>
      </c>
      <c r="W38" s="400"/>
      <c r="X38" s="157">
        <f t="shared" si="7"/>
        <v>44220</v>
      </c>
      <c r="Y38" s="383">
        <f t="shared" si="8"/>
        <v>16.467525421783083</v>
      </c>
      <c r="Z38" s="383">
        <f t="shared" si="9"/>
        <v>16.704333506056429</v>
      </c>
      <c r="AA38" s="384">
        <f t="shared" si="10"/>
        <v>17.391043396203308</v>
      </c>
      <c r="AB38" s="197">
        <f t="shared" si="11"/>
        <v>44220</v>
      </c>
      <c r="AC38" s="119">
        <f>IF(OR(t&lt;Tnet,NoTnet),'2020'!Resal_s+('2020'!Salim-'2020'!Resal_s)*(1-EXP(('2020'!Tnet_s-t)/'2020'!Tau_j)),Resal_s+(Salim-Resal_s)*(1-EXP((Tnet_s-t)/Tau_j)))*Salcycl</f>
        <v>3.9486411165922164E-2</v>
      </c>
      <c r="AD38" s="230">
        <f>(INDEX(Models!$BJ38:$BT38,,AH38)*(1-AF38)+INDEX(Models!$BJ38:$BT38,,AH38+1)*AF38-ERP_i)*AE38*Ramure*Pc/MaxiM</f>
        <v>9.8256012764279099E-3</v>
      </c>
      <c r="AE38" s="304">
        <f t="shared" si="12"/>
        <v>0.7</v>
      </c>
      <c r="AF38" s="177">
        <f t="shared" si="21"/>
        <v>0.59981266895879504</v>
      </c>
      <c r="AG38" s="799">
        <f t="shared" si="22"/>
        <v>-1</v>
      </c>
      <c r="AH38" s="176">
        <f t="shared" si="13"/>
        <v>5</v>
      </c>
      <c r="AI38" s="224">
        <f t="shared" si="23"/>
        <v>-0.40018733104120496</v>
      </c>
      <c r="AJ38" s="264" t="b">
        <f t="shared" si="14"/>
        <v>1</v>
      </c>
      <c r="AK38" s="264" t="b">
        <f t="shared" si="15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16"/>
        <v>44221</v>
      </c>
      <c r="B39" s="607">
        <v>6.8440000000000003</v>
      </c>
      <c r="C39" s="388"/>
      <c r="D39" s="391">
        <f t="shared" si="0"/>
        <v>6.9425518790076817</v>
      </c>
      <c r="E39" s="383">
        <f t="shared" si="17"/>
        <v>7.2282339710805932</v>
      </c>
      <c r="F39" s="383">
        <f t="shared" si="1"/>
        <v>7.2282339710805932</v>
      </c>
      <c r="G39" s="110">
        <f t="shared" si="18"/>
        <v>0.2169079044100328</v>
      </c>
      <c r="H39" s="412" t="b">
        <f>Wh_hp&gt;='2020'!Maxi_hp</f>
        <v>0</v>
      </c>
      <c r="I39" s="379">
        <f>IF(H39,Wh_hp,'2020'!Maxi_hp)</f>
        <v>16.935641528048833</v>
      </c>
      <c r="J39" s="85">
        <f>IF(H39,An,'2020'!An_max)</f>
        <v>2020</v>
      </c>
      <c r="K39" s="197">
        <f t="shared" si="19"/>
        <v>44221</v>
      </c>
      <c r="L39" s="147">
        <f>IF(t&lt;Tvie,1-EXP((T0-t)*PertePVj)+'2020'!Pspv,1-EXP((T0-t)*PertePVj)+Pspv)</f>
        <v>1.4195339224712833E-2</v>
      </c>
      <c r="M39" s="832"/>
      <c r="N39" s="832"/>
      <c r="O39" s="48">
        <f>IF(t&lt;Tnet,'2020'!Resal+('2020'!Salim-'2020'!Resal)*(1-EXP(('2020'!Tnet-t)/('2020'!Tau_j))),Resal+(Salim-Resal)*(1-EXP((Tnet-t)/(Tau_j))))*Salcycl</f>
        <v>3.9523083123193754E-2</v>
      </c>
      <c r="P39" s="169">
        <f>(INDEX(Models!$BJ39:$BT39,,T39)*(1-R39)+INDEX(Models!$BJ39:$BT39,,T39+1)*R39-ERP_i)*Q39*Ramure*Pc/MaxiM</f>
        <v>9.046149044654523E-3</v>
      </c>
      <c r="Q39" s="304">
        <f t="shared" si="2"/>
        <v>0.7</v>
      </c>
      <c r="R39" s="177">
        <f t="shared" si="3"/>
        <v>0.53554032192408951</v>
      </c>
      <c r="S39" s="799">
        <f t="shared" si="4"/>
        <v>-1</v>
      </c>
      <c r="T39" s="176">
        <f t="shared" si="5"/>
        <v>5</v>
      </c>
      <c r="U39" s="250">
        <f t="shared" si="20"/>
        <v>-0.46445967807591049</v>
      </c>
      <c r="V39" s="382">
        <f t="shared" si="6"/>
        <v>31.267132354558349</v>
      </c>
      <c r="W39" s="400"/>
      <c r="X39" s="157">
        <f t="shared" si="7"/>
        <v>44221</v>
      </c>
      <c r="Y39" s="383">
        <f t="shared" si="8"/>
        <v>6.8440000000000003</v>
      </c>
      <c r="Z39" s="383">
        <f t="shared" si="9"/>
        <v>6.9425518790076817</v>
      </c>
      <c r="AA39" s="384">
        <f t="shared" si="10"/>
        <v>7.2282339710805932</v>
      </c>
      <c r="AB39" s="197">
        <f t="shared" si="11"/>
        <v>44221</v>
      </c>
      <c r="AC39" s="119">
        <f>IF(OR(t&lt;Tnet,NoTnet),'2020'!Resal_s+('2020'!Salim-'2020'!Resal_s)*(1-EXP(('2020'!Tnet_s-t)/'2020'!Tau_j)),Resal_s+(Salim-Resal_s)*(1-EXP((Tnet_s-t)/Tau_j)))*Salcycl</f>
        <v>3.9523083123193754E-2</v>
      </c>
      <c r="AD39" s="230">
        <f>(INDEX(Models!$BJ39:$BT39,,AH39)*(1-AF39)+INDEX(Models!$BJ39:$BT39,,AH39+1)*AF39-ERP_i)*AE39*Ramure*Pc/MaxiM</f>
        <v>9.8676491175024635E-3</v>
      </c>
      <c r="AE39" s="304">
        <f t="shared" si="12"/>
        <v>0.7</v>
      </c>
      <c r="AF39" s="177">
        <f t="shared" si="21"/>
        <v>0.59987254418392166</v>
      </c>
      <c r="AG39" s="799">
        <f t="shared" si="22"/>
        <v>-1</v>
      </c>
      <c r="AH39" s="176">
        <f t="shared" si="13"/>
        <v>5</v>
      </c>
      <c r="AI39" s="224">
        <f t="shared" si="23"/>
        <v>-0.40012745581607834</v>
      </c>
      <c r="AJ39" s="264" t="b">
        <f t="shared" si="14"/>
        <v>1</v>
      </c>
      <c r="AK39" s="264" t="b">
        <f t="shared" si="15"/>
        <v>0</v>
      </c>
      <c r="AL39" s="264"/>
      <c r="AM39" s="264"/>
      <c r="AN39" s="75"/>
    </row>
    <row r="40" spans="1:40" s="6" customFormat="1" ht="11.25" x14ac:dyDescent="0.2">
      <c r="A40" s="56">
        <f t="shared" si="16"/>
        <v>44222</v>
      </c>
      <c r="B40" s="607">
        <v>21.586000000000002</v>
      </c>
      <c r="C40" s="388"/>
      <c r="D40" s="391">
        <f t="shared" si="0"/>
        <v>21.89725262783524</v>
      </c>
      <c r="E40" s="383">
        <f t="shared" si="17"/>
        <v>22.799183357179501</v>
      </c>
      <c r="F40" s="383">
        <f t="shared" si="1"/>
        <v>22.913098482107149</v>
      </c>
      <c r="G40" s="110">
        <f t="shared" si="18"/>
        <v>0.68043309594570511</v>
      </c>
      <c r="H40" s="412" t="b">
        <f>Wh_hp&gt;='2020'!Maxi_hp</f>
        <v>1</v>
      </c>
      <c r="I40" s="379">
        <f>IF(H40,Wh_hp,'2020'!Maxi_hp)</f>
        <v>22.913098482107149</v>
      </c>
      <c r="J40" s="85">
        <f>IF(H40,An,'2020'!An_max)</f>
        <v>2021</v>
      </c>
      <c r="K40" s="197">
        <f t="shared" si="19"/>
        <v>44222</v>
      </c>
      <c r="L40" s="147">
        <f>IF(t&lt;Tvie,1-EXP((T0-t)*PertePVj)+'2020'!Pspv,1-EXP((T0-t)*PertePVj)+Pspv)</f>
        <v>1.4214231946138356E-2</v>
      </c>
      <c r="M40" s="832"/>
      <c r="N40" s="832"/>
      <c r="O40" s="48">
        <f>IF(t&lt;Tnet,'2020'!Resal+('2020'!Salim-'2020'!Resal)*(1-EXP(('2020'!Tnet-t)/('2020'!Tau_j))),Resal+(Salim-Resal)*(1-EXP((Tnet-t)/(Tau_j))))*Salcycl</f>
        <v>3.9559782261246651E-2</v>
      </c>
      <c r="P40" s="169">
        <f>(INDEX(Models!$BJ40:$BT40,,T40)*(1-R40)+INDEX(Models!$BJ40:$BT40,,T40+1)*R40-ERP_i)*Q40*Ramure*Pc/MaxiM</f>
        <v>9.0804700009752617E-3</v>
      </c>
      <c r="Q40" s="304">
        <f t="shared" si="2"/>
        <v>0.7</v>
      </c>
      <c r="R40" s="177">
        <f t="shared" si="3"/>
        <v>0.53560268993400362</v>
      </c>
      <c r="S40" s="799">
        <f t="shared" si="4"/>
        <v>-1</v>
      </c>
      <c r="T40" s="176">
        <f t="shared" si="5"/>
        <v>5</v>
      </c>
      <c r="U40" s="250">
        <f t="shared" si="20"/>
        <v>-0.46439731006599638</v>
      </c>
      <c r="V40" s="382">
        <f t="shared" si="6"/>
        <v>31.592912292660714</v>
      </c>
      <c r="W40" s="400"/>
      <c r="X40" s="157">
        <f t="shared" si="7"/>
        <v>44222</v>
      </c>
      <c r="Y40" s="383">
        <f t="shared" si="8"/>
        <v>21.576178292404233</v>
      </c>
      <c r="Z40" s="383">
        <f t="shared" si="9"/>
        <v>21.887289299174938</v>
      </c>
      <c r="AA40" s="384">
        <f t="shared" si="10"/>
        <v>22.788809646795151</v>
      </c>
      <c r="AB40" s="197">
        <f t="shared" si="11"/>
        <v>44222</v>
      </c>
      <c r="AC40" s="119">
        <f>IF(OR(t&lt;Tnet,NoTnet),'2020'!Resal_s+('2020'!Salim-'2020'!Resal_s)*(1-EXP(('2020'!Tnet_s-t)/'2020'!Tau_j)),Resal_s+(Salim-Resal_s)*(1-EXP((Tnet_s-t)/Tau_j)))*Salcycl</f>
        <v>3.9559782261246651E-2</v>
      </c>
      <c r="AD40" s="230">
        <f>(INDEX(Models!$BJ40:$BT40,,AH40)*(1-AF40)+INDEX(Models!$BJ40:$BT40,,AH40+1)*AF40-ERP_i)*AE40*Ramure*Pc/MaxiM</f>
        <v>9.9073853557514295E-3</v>
      </c>
      <c r="AE40" s="304">
        <f t="shared" si="12"/>
        <v>0.7</v>
      </c>
      <c r="AF40" s="177">
        <f t="shared" si="21"/>
        <v>0.59993491219383577</v>
      </c>
      <c r="AG40" s="799">
        <f t="shared" si="22"/>
        <v>-1</v>
      </c>
      <c r="AH40" s="176">
        <f t="shared" si="13"/>
        <v>5</v>
      </c>
      <c r="AI40" s="224">
        <f t="shared" si="23"/>
        <v>-0.40006508780616423</v>
      </c>
      <c r="AJ40" s="264" t="b">
        <f t="shared" si="14"/>
        <v>1</v>
      </c>
      <c r="AK40" s="264" t="b">
        <f t="shared" si="15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16"/>
        <v>44223</v>
      </c>
      <c r="B41" s="607">
        <v>5.2240000000000002</v>
      </c>
      <c r="C41" s="388"/>
      <c r="D41" s="391">
        <f t="shared" si="0"/>
        <v>5.2994274090610833</v>
      </c>
      <c r="E41" s="383">
        <f t="shared" si="17"/>
        <v>5.5179176890193595</v>
      </c>
      <c r="F41" s="383">
        <f t="shared" si="1"/>
        <v>5.5179176890193595</v>
      </c>
      <c r="G41" s="110">
        <f t="shared" si="18"/>
        <v>0.16215504874592238</v>
      </c>
      <c r="H41" s="412" t="b">
        <f>Wh_hp&gt;='2020'!Maxi_hp</f>
        <v>0</v>
      </c>
      <c r="I41" s="379">
        <f>IF(H41,Wh_hp,'2020'!Maxi_hp)</f>
        <v>12.273744263210281</v>
      </c>
      <c r="J41" s="85">
        <f>IF(H41,An,'2020'!An_max)</f>
        <v>2020</v>
      </c>
      <c r="K41" s="197">
        <f t="shared" si="19"/>
        <v>44223</v>
      </c>
      <c r="L41" s="147">
        <f>IF(t&lt;Tvie,1-EXP((T0-t)*PertePVj)+'2020'!Pspv,1-EXP((T0-t)*PertePVj)+Pspv)</f>
        <v>1.4233124305489286E-2</v>
      </c>
      <c r="M41" s="832"/>
      <c r="N41" s="832"/>
      <c r="O41" s="48">
        <f>IF(t&lt;Tnet,'2020'!Resal+('2020'!Salim-'2020'!Resal)*(1-EXP(('2020'!Tnet-t)/('2020'!Tau_j))),Resal+(Salim-Resal)*(1-EXP((Tnet-t)/(Tau_j))))*Salcycl</f>
        <v>3.9596509457375771E-2</v>
      </c>
      <c r="P41" s="169">
        <f>(INDEX(Models!$BJ41:$BT41,,T41)*(1-R41)+INDEX(Models!$BJ41:$BT41,,T41+1)*R41-ERP_i)*Q41*Ramure*Pc/MaxiM</f>
        <v>9.1126622609539795E-3</v>
      </c>
      <c r="Q41" s="304">
        <f t="shared" si="2"/>
        <v>0.7</v>
      </c>
      <c r="R41" s="177">
        <f t="shared" si="3"/>
        <v>0.53566765367946101</v>
      </c>
      <c r="S41" s="799">
        <f t="shared" si="4"/>
        <v>-1</v>
      </c>
      <c r="T41" s="176">
        <f t="shared" si="5"/>
        <v>5</v>
      </c>
      <c r="U41" s="250">
        <f t="shared" si="20"/>
        <v>-0.46433234632053899</v>
      </c>
      <c r="V41" s="382">
        <f t="shared" si="6"/>
        <v>31.922505604247768</v>
      </c>
      <c r="W41" s="400"/>
      <c r="X41" s="157">
        <f t="shared" si="7"/>
        <v>44223</v>
      </c>
      <c r="Y41" s="383">
        <f t="shared" si="8"/>
        <v>5.2240000000000002</v>
      </c>
      <c r="Z41" s="383">
        <f t="shared" si="9"/>
        <v>5.2994274090610833</v>
      </c>
      <c r="AA41" s="384">
        <f t="shared" si="10"/>
        <v>5.5179176890193595</v>
      </c>
      <c r="AB41" s="197">
        <f t="shared" si="11"/>
        <v>44223</v>
      </c>
      <c r="AC41" s="119">
        <f>IF(OR(t&lt;Tnet,NoTnet),'2020'!Resal_s+('2020'!Salim-'2020'!Resal_s)*(1-EXP(('2020'!Tnet_s-t)/'2020'!Tau_j)),Resal_s+(Salim-Resal_s)*(1-EXP((Tnet_s-t)/Tau_j)))*Salcycl</f>
        <v>3.9596509457375771E-2</v>
      </c>
      <c r="AD41" s="230">
        <f>(INDEX(Models!$BJ41:$BT41,,AH41)*(1-AF41)+INDEX(Models!$BJ41:$BT41,,AH41+1)*AF41-ERP_i)*AE41*Ramure*Pc/MaxiM</f>
        <v>9.9450989802485415E-3</v>
      </c>
      <c r="AE41" s="304">
        <f t="shared" si="12"/>
        <v>0.7</v>
      </c>
      <c r="AF41" s="177">
        <f t="shared" si="21"/>
        <v>0.59999987593929316</v>
      </c>
      <c r="AG41" s="799">
        <f t="shared" si="22"/>
        <v>-1</v>
      </c>
      <c r="AH41" s="176">
        <f t="shared" si="13"/>
        <v>5</v>
      </c>
      <c r="AI41" s="224">
        <f t="shared" si="23"/>
        <v>-0.40000012406070684</v>
      </c>
      <c r="AJ41" s="264" t="b">
        <f t="shared" si="14"/>
        <v>1</v>
      </c>
      <c r="AK41" s="264" t="b">
        <f t="shared" si="15"/>
        <v>0</v>
      </c>
      <c r="AL41" s="264"/>
      <c r="AM41" s="264"/>
      <c r="AN41" s="75"/>
    </row>
    <row r="42" spans="1:40" s="6" customFormat="1" ht="11.25" x14ac:dyDescent="0.2">
      <c r="A42" s="56">
        <f t="shared" si="16"/>
        <v>44224</v>
      </c>
      <c r="B42" s="607">
        <v>17.663</v>
      </c>
      <c r="C42" s="388"/>
      <c r="D42" s="391">
        <f t="shared" si="0"/>
        <v>17.918372943307169</v>
      </c>
      <c r="E42" s="383">
        <f t="shared" si="17"/>
        <v>18.657844232281619</v>
      </c>
      <c r="F42" s="383">
        <f t="shared" si="1"/>
        <v>18.718380052919283</v>
      </c>
      <c r="G42" s="110">
        <f t="shared" si="18"/>
        <v>0.54435552172050417</v>
      </c>
      <c r="H42" s="412" t="b">
        <f>Wh_hp&gt;='2020'!Maxi_hp</f>
        <v>1</v>
      </c>
      <c r="I42" s="379">
        <f>IF(H42,Wh_hp,'2020'!Maxi_hp)</f>
        <v>18.718380052919283</v>
      </c>
      <c r="J42" s="85">
        <f>IF(H42,An,'2020'!An_max)</f>
        <v>2021</v>
      </c>
      <c r="K42" s="197">
        <f t="shared" si="19"/>
        <v>44224</v>
      </c>
      <c r="L42" s="147">
        <f>IF(t&lt;Tvie,1-EXP((T0-t)*PertePVj)+'2020'!Pspv,1-EXP((T0-t)*PertePVj)+Pspv)</f>
        <v>1.4252016302772397E-2</v>
      </c>
      <c r="M42" s="832"/>
      <c r="N42" s="832"/>
      <c r="O42" s="48">
        <f>IF(t&lt;Tnet,'2020'!Resal+('2020'!Salim-'2020'!Resal)*(1-EXP(('2020'!Tnet-t)/('2020'!Tau_j))),Resal+(Salim-Resal)*(1-EXP((Tnet-t)/(Tau_j))))*Salcycl</f>
        <v>3.9633265224447635E-2</v>
      </c>
      <c r="P42" s="169">
        <f>(INDEX(Models!$BJ42:$BT42,,T42)*(1-R42)+INDEX(Models!$BJ42:$BT42,,T42+1)*R42-ERP_i)*Q42*Ramure*Pc/MaxiM</f>
        <v>9.142994372801732E-3</v>
      </c>
      <c r="Q42" s="304">
        <f t="shared" si="2"/>
        <v>0.7</v>
      </c>
      <c r="R42" s="177">
        <f t="shared" si="3"/>
        <v>0.53573532029213777</v>
      </c>
      <c r="S42" s="799">
        <f t="shared" si="4"/>
        <v>-1</v>
      </c>
      <c r="T42" s="176">
        <f t="shared" si="5"/>
        <v>5</v>
      </c>
      <c r="U42" s="250">
        <f t="shared" si="20"/>
        <v>-0.46426467970786223</v>
      </c>
      <c r="V42" s="382">
        <f t="shared" si="6"/>
        <v>32.255191042697284</v>
      </c>
      <c r="W42" s="400"/>
      <c r="X42" s="157">
        <f t="shared" si="7"/>
        <v>44224</v>
      </c>
      <c r="Y42" s="383">
        <f t="shared" si="8"/>
        <v>17.65774695051233</v>
      </c>
      <c r="Z42" s="383">
        <f t="shared" si="9"/>
        <v>17.91304394484656</v>
      </c>
      <c r="AA42" s="384">
        <f t="shared" si="10"/>
        <v>18.652295311991438</v>
      </c>
      <c r="AB42" s="197">
        <f t="shared" si="11"/>
        <v>44224</v>
      </c>
      <c r="AC42" s="119">
        <f>IF(OR(t&lt;Tnet,NoTnet),'2020'!Resal_s+('2020'!Salim-'2020'!Resal_s)*(1-EXP(('2020'!Tnet_s-t)/'2020'!Tau_j)),Resal_s+(Salim-Resal_s)*(1-EXP((Tnet_s-t)/Tau_j)))*Salcycl</f>
        <v>3.9633265224447635E-2</v>
      </c>
      <c r="AD42" s="230">
        <f>(INDEX(Models!$BJ42:$BT42,,AH42)*(1-AF42)+INDEX(Models!$BJ42:$BT42,,AH42+1)*AF42-ERP_i)*AE42*Ramure*Pc/MaxiM</f>
        <v>9.9810724966932843E-3</v>
      </c>
      <c r="AE42" s="304">
        <f t="shared" si="12"/>
        <v>0.7</v>
      </c>
      <c r="AF42" s="177">
        <f t="shared" si="21"/>
        <v>0.60006754255196992</v>
      </c>
      <c r="AG42" s="799">
        <f t="shared" si="22"/>
        <v>-1</v>
      </c>
      <c r="AH42" s="176">
        <f t="shared" si="13"/>
        <v>5</v>
      </c>
      <c r="AI42" s="224">
        <f t="shared" si="23"/>
        <v>-0.39993245744803008</v>
      </c>
      <c r="AJ42" s="264" t="b">
        <f t="shared" si="14"/>
        <v>1</v>
      </c>
      <c r="AK42" s="264" t="b">
        <f t="shared" si="15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16"/>
        <v>44225</v>
      </c>
      <c r="B43" s="607">
        <v>15.756</v>
      </c>
      <c r="C43" s="388"/>
      <c r="D43" s="391">
        <f t="shared" si="0"/>
        <v>15.984107729884167</v>
      </c>
      <c r="E43" s="383">
        <f t="shared" si="17"/>
        <v>16.644391570407734</v>
      </c>
      <c r="F43" s="383">
        <f t="shared" si="1"/>
        <v>16.684496868349648</v>
      </c>
      <c r="G43" s="110">
        <f t="shared" si="18"/>
        <v>0.4801775967728526</v>
      </c>
      <c r="H43" s="412" t="b">
        <f>Wh_hp&gt;='2020'!Maxi_hp</f>
        <v>0</v>
      </c>
      <c r="I43" s="379">
        <f>IF(H43,Wh_hp,'2020'!Maxi_hp)</f>
        <v>27.689355662253256</v>
      </c>
      <c r="J43" s="85">
        <f>IF(H43,An,'2020'!An_max)</f>
        <v>2020</v>
      </c>
      <c r="K43" s="197">
        <f t="shared" si="19"/>
        <v>44225</v>
      </c>
      <c r="L43" s="147">
        <f>IF(t&lt;Tvie,1-EXP((T0-t)*PertePVj)+'2020'!Pspv,1-EXP((T0-t)*PertePVj)+Pspv)</f>
        <v>1.4270907937994681E-2</v>
      </c>
      <c r="M43" s="832"/>
      <c r="N43" s="832"/>
      <c r="O43" s="48">
        <f>IF(t&lt;Tnet,'2020'!Resal+('2020'!Salim-'2020'!Resal)*(1-EXP(('2020'!Tnet-t)/('2020'!Tau_j))),Resal+(Salim-Resal)*(1-EXP((Tnet-t)/(Tau_j))))*Salcycl</f>
        <v>3.9670049681929734E-2</v>
      </c>
      <c r="P43" s="169">
        <f>(INDEX(Models!$BJ43:$BT43,,T43)*(1-R43)+INDEX(Models!$BJ43:$BT43,,T43+1)*R43-ERP_i)*Q43*Ramure*Pc/MaxiM</f>
        <v>9.1717281065425565E-3</v>
      </c>
      <c r="Q43" s="304">
        <f t="shared" si="2"/>
        <v>0.7</v>
      </c>
      <c r="R43" s="177">
        <f t="shared" si="3"/>
        <v>0.53580580124836596</v>
      </c>
      <c r="S43" s="799">
        <f t="shared" si="4"/>
        <v>-1</v>
      </c>
      <c r="T43" s="176">
        <f t="shared" si="5"/>
        <v>5</v>
      </c>
      <c r="U43" s="250">
        <f t="shared" si="20"/>
        <v>-0.46419419875163398</v>
      </c>
      <c r="V43" s="382">
        <f t="shared" si="6"/>
        <v>32.590247524760777</v>
      </c>
      <c r="W43" s="400"/>
      <c r="X43" s="157">
        <f t="shared" si="7"/>
        <v>44225</v>
      </c>
      <c r="Y43" s="383">
        <f t="shared" si="8"/>
        <v>15.752507023844382</v>
      </c>
      <c r="Z43" s="383">
        <f t="shared" si="9"/>
        <v>15.980564184113074</v>
      </c>
      <c r="AA43" s="384">
        <f t="shared" si="10"/>
        <v>16.640701645117037</v>
      </c>
      <c r="AB43" s="197">
        <f t="shared" si="11"/>
        <v>44225</v>
      </c>
      <c r="AC43" s="119">
        <f>IF(OR(t&lt;Tnet,NoTnet),'2020'!Resal_s+('2020'!Salim-'2020'!Resal_s)*(1-EXP(('2020'!Tnet_s-t)/'2020'!Tau_j)),Resal_s+(Salim-Resal_s)*(1-EXP((Tnet_s-t)/Tau_j)))*Salcycl</f>
        <v>3.9670049681929734E-2</v>
      </c>
      <c r="AD43" s="230">
        <f>(INDEX(Models!$BJ43:$BT43,,AH43)*(1-AF43)+INDEX(Models!$BJ43:$BT43,,AH43+1)*AF43-ERP_i)*AE43*Ramure*Pc/MaxiM</f>
        <v>1.0015581493412619E-2</v>
      </c>
      <c r="AE43" s="304">
        <f t="shared" si="12"/>
        <v>0.7</v>
      </c>
      <c r="AF43" s="177">
        <f t="shared" si="21"/>
        <v>0.60013802350819812</v>
      </c>
      <c r="AG43" s="799">
        <f t="shared" si="22"/>
        <v>-1</v>
      </c>
      <c r="AH43" s="176">
        <f t="shared" si="13"/>
        <v>5</v>
      </c>
      <c r="AI43" s="224">
        <f t="shared" si="23"/>
        <v>-0.39986197649180183</v>
      </c>
      <c r="AJ43" s="264" t="b">
        <f t="shared" si="14"/>
        <v>1</v>
      </c>
      <c r="AK43" s="264" t="b">
        <f t="shared" si="15"/>
        <v>0</v>
      </c>
      <c r="AL43" s="264"/>
      <c r="AM43" s="264"/>
      <c r="AN43" s="75"/>
    </row>
    <row r="44" spans="1:40" s="6" customFormat="1" ht="11.25" x14ac:dyDescent="0.2">
      <c r="A44" s="56">
        <f t="shared" si="16"/>
        <v>44226</v>
      </c>
      <c r="B44" s="607">
        <v>6.8440000000000003</v>
      </c>
      <c r="C44" s="388"/>
      <c r="D44" s="391">
        <f t="shared" si="0"/>
        <v>6.9432171793727351</v>
      </c>
      <c r="E44" s="383">
        <f t="shared" si="17"/>
        <v>7.2303101089498378</v>
      </c>
      <c r="F44" s="383">
        <f t="shared" si="1"/>
        <v>7.2303101089498378</v>
      </c>
      <c r="G44" s="110">
        <f t="shared" si="18"/>
        <v>0.20594195283287808</v>
      </c>
      <c r="H44" s="412" t="b">
        <f>Wh_hp&gt;='2020'!Maxi_hp</f>
        <v>0</v>
      </c>
      <c r="I44" s="379">
        <f>IF(H44,Wh_hp,'2020'!Maxi_hp)</f>
        <v>10.667841852164717</v>
      </c>
      <c r="J44" s="85">
        <f>IF(H44,An,'2020'!An_max)</f>
        <v>2020</v>
      </c>
      <c r="K44" s="197">
        <f t="shared" si="19"/>
        <v>44226</v>
      </c>
      <c r="L44" s="147">
        <f>IF(t&lt;Tvie,1-EXP((T0-t)*PertePVj)+'2020'!Pspv,1-EXP((T0-t)*PertePVj)+Pspv)</f>
        <v>1.4289799211163134E-2</v>
      </c>
      <c r="M44" s="832"/>
      <c r="N44" s="832"/>
      <c r="O44" s="48">
        <f>IF(t&lt;Tnet,'2020'!Resal+('2020'!Salim-'2020'!Resal)*(1-EXP(('2020'!Tnet-t)/('2020'!Tau_j))),Resal+(Salim-Resal)*(1-EXP((Tnet-t)/(Tau_j))))*Salcycl</f>
        <v>3.9706862534392921E-2</v>
      </c>
      <c r="P44" s="169">
        <f>(INDEX(Models!$BJ44:$BT44,,T44)*(1-R44)+INDEX(Models!$BJ44:$BT44,,T44+1)*R44-ERP_i)*Q44*Ramure*Pc/MaxiM</f>
        <v>9.1822687396758643E-3</v>
      </c>
      <c r="Q44" s="304">
        <f t="shared" si="2"/>
        <v>0.7</v>
      </c>
      <c r="R44" s="177">
        <f t="shared" si="3"/>
        <v>0.53587921253876081</v>
      </c>
      <c r="S44" s="799">
        <f t="shared" si="4"/>
        <v>-1</v>
      </c>
      <c r="T44" s="176">
        <f t="shared" si="5"/>
        <v>5</v>
      </c>
      <c r="U44" s="250">
        <f t="shared" si="20"/>
        <v>-0.46412078746123919</v>
      </c>
      <c r="V44" s="382">
        <f t="shared" si="6"/>
        <v>32.92751408572186</v>
      </c>
      <c r="W44" s="400"/>
      <c r="X44" s="157">
        <f t="shared" si="7"/>
        <v>44226</v>
      </c>
      <c r="Y44" s="383">
        <f t="shared" si="8"/>
        <v>6.8440000000000003</v>
      </c>
      <c r="Z44" s="383">
        <f t="shared" si="9"/>
        <v>6.9432171793727351</v>
      </c>
      <c r="AA44" s="384">
        <f t="shared" si="10"/>
        <v>7.2303101089498378</v>
      </c>
      <c r="AB44" s="197">
        <f t="shared" si="11"/>
        <v>44226</v>
      </c>
      <c r="AC44" s="119">
        <f>IF(OR(t&lt;Tnet,NoTnet),'2020'!Resal_s+('2020'!Salim-'2020'!Resal_s)*(1-EXP(('2020'!Tnet_s-t)/'2020'!Tau_j)),Resal_s+(Salim-Resal_s)*(1-EXP((Tnet_s-t)/Tau_j)))*Salcycl</f>
        <v>3.9706862534392921E-2</v>
      </c>
      <c r="AD44" s="230">
        <f>(INDEX(Models!$BJ44:$BT44,,AH44)*(1-AF44)+INDEX(Models!$BJ44:$BT44,,AH44+1)*AF44-ERP_i)*AE44*Ramure*Pc/MaxiM</f>
        <v>1.0030485901246014E-2</v>
      </c>
      <c r="AE44" s="304">
        <f t="shared" si="12"/>
        <v>0.7</v>
      </c>
      <c r="AF44" s="177">
        <f t="shared" si="21"/>
        <v>0.60021143479859296</v>
      </c>
      <c r="AG44" s="799">
        <f t="shared" si="22"/>
        <v>-1</v>
      </c>
      <c r="AH44" s="176">
        <f t="shared" si="13"/>
        <v>5</v>
      </c>
      <c r="AI44" s="224">
        <f t="shared" si="23"/>
        <v>-0.39978856520140704</v>
      </c>
      <c r="AJ44" s="264" t="b">
        <f t="shared" si="14"/>
        <v>1</v>
      </c>
      <c r="AK44" s="264" t="b">
        <f t="shared" si="15"/>
        <v>0</v>
      </c>
      <c r="AL44" s="264"/>
      <c r="AM44" s="264"/>
      <c r="AN44" s="75"/>
    </row>
    <row r="45" spans="1:40" s="6" customFormat="1" ht="11.25" x14ac:dyDescent="0.2">
      <c r="A45" s="56">
        <f t="shared" si="16"/>
        <v>44227</v>
      </c>
      <c r="B45" s="607">
        <v>9.277000000000001</v>
      </c>
      <c r="C45" s="388"/>
      <c r="D45" s="391">
        <f t="shared" si="0"/>
        <v>9.41166865025005</v>
      </c>
      <c r="E45" s="383">
        <f t="shared" si="17"/>
        <v>9.8012048243973862</v>
      </c>
      <c r="F45" s="383">
        <f t="shared" si="1"/>
        <v>9.8012048243973862</v>
      </c>
      <c r="G45" s="110">
        <f t="shared" si="18"/>
        <v>0.27631231342455725</v>
      </c>
      <c r="H45" s="412" t="b">
        <f>Wh_hp&gt;='2020'!Maxi_hp</f>
        <v>0</v>
      </c>
      <c r="I45" s="379">
        <f>IF(H45,Wh_hp,'2020'!Maxi_hp)</f>
        <v>21.848733659114771</v>
      </c>
      <c r="J45" s="85">
        <f>IF(H45,An,'2020'!An_max)</f>
        <v>2020</v>
      </c>
      <c r="K45" s="197">
        <f t="shared" si="19"/>
        <v>44227</v>
      </c>
      <c r="L45" s="147">
        <f>IF(t&lt;Tvie,1-EXP((T0-t)*PertePVj)+'2020'!Pspv,1-EXP((T0-t)*PertePVj)+Pspv)</f>
        <v>1.430869012228464E-2</v>
      </c>
      <c r="M45" s="832"/>
      <c r="N45" s="832"/>
      <c r="O45" s="48">
        <f>IF(t&lt;Tnet,'2020'!Resal+('2020'!Salim-'2020'!Resal)*(1-EXP(('2020'!Tnet-t)/('2020'!Tau_j))),Resal+(Salim-Resal)*(1-EXP((Tnet-t)/(Tau_j))))*Salcycl</f>
        <v>3.9743703057576546E-2</v>
      </c>
      <c r="P45" s="169">
        <f>(INDEX(Models!$BJ45:$BT45,,T45)*(1-R45)+INDEX(Models!$BJ45:$BT45,,T45+1)*R45-ERP_i)*Q45*Ramure*Pc/MaxiM</f>
        <v>9.1730799171051043E-3</v>
      </c>
      <c r="Q45" s="304">
        <f t="shared" si="2"/>
        <v>0.7</v>
      </c>
      <c r="R45" s="177">
        <f t="shared" si="3"/>
        <v>0.53595567484390483</v>
      </c>
      <c r="S45" s="799">
        <f t="shared" si="4"/>
        <v>-1</v>
      </c>
      <c r="T45" s="176">
        <f t="shared" si="5"/>
        <v>5</v>
      </c>
      <c r="U45" s="250">
        <f t="shared" si="20"/>
        <v>-0.46404432515609517</v>
      </c>
      <c r="V45" s="382">
        <f t="shared" si="6"/>
        <v>33.266347140619629</v>
      </c>
      <c r="W45" s="400"/>
      <c r="X45" s="157">
        <f t="shared" si="7"/>
        <v>44227</v>
      </c>
      <c r="Y45" s="383">
        <f t="shared" si="8"/>
        <v>9.277000000000001</v>
      </c>
      <c r="Z45" s="383">
        <f t="shared" si="9"/>
        <v>9.41166865025005</v>
      </c>
      <c r="AA45" s="384">
        <f t="shared" si="10"/>
        <v>9.8012048243973862</v>
      </c>
      <c r="AB45" s="197">
        <f t="shared" si="11"/>
        <v>44227</v>
      </c>
      <c r="AC45" s="119">
        <f>IF(OR(t&lt;Tnet,NoTnet),'2020'!Resal_s+('2020'!Salim-'2020'!Resal_s)*(1-EXP(('2020'!Tnet_s-t)/'2020'!Tau_j)),Resal_s+(Salim-Resal_s)*(1-EXP((Tnet_s-t)/Tau_j)))*Salcycl</f>
        <v>3.9743703057576546E-2</v>
      </c>
      <c r="AD45" s="230">
        <f>(INDEX(Models!$BJ45:$BT45,,AH45)*(1-AF45)+INDEX(Models!$BJ45:$BT45,,AH45+1)*AF45-ERP_i)*AE45*Ramure*Pc/MaxiM</f>
        <v>1.0023884721339768E-2</v>
      </c>
      <c r="AE45" s="304">
        <f t="shared" si="12"/>
        <v>0.7</v>
      </c>
      <c r="AF45" s="177">
        <f t="shared" si="21"/>
        <v>0.60028789710373698</v>
      </c>
      <c r="AG45" s="799">
        <f t="shared" si="22"/>
        <v>-1</v>
      </c>
      <c r="AH45" s="176">
        <f t="shared" si="13"/>
        <v>5</v>
      </c>
      <c r="AI45" s="224">
        <f t="shared" si="23"/>
        <v>-0.39971210289626302</v>
      </c>
      <c r="AJ45" s="264" t="b">
        <f t="shared" si="14"/>
        <v>1</v>
      </c>
      <c r="AK45" s="264" t="b">
        <f t="shared" si="15"/>
        <v>0</v>
      </c>
      <c r="AL45" s="264"/>
      <c r="AM45" s="264"/>
      <c r="AN45" s="75"/>
    </row>
    <row r="46" spans="1:40" s="6" customFormat="1" ht="11.25" x14ac:dyDescent="0.2">
      <c r="A46" s="56">
        <f t="shared" si="16"/>
        <v>44228</v>
      </c>
      <c r="B46" s="607">
        <v>8.5359999999999996</v>
      </c>
      <c r="C46" s="388"/>
      <c r="D46" s="391">
        <f t="shared" si="0"/>
        <v>8.6600779656735067</v>
      </c>
      <c r="E46" s="383">
        <f t="shared" si="17"/>
        <v>9.0188530828869773</v>
      </c>
      <c r="F46" s="383">
        <f t="shared" si="1"/>
        <v>9.0188530828869773</v>
      </c>
      <c r="G46" s="110">
        <f t="shared" si="18"/>
        <v>0.25167922397835163</v>
      </c>
      <c r="H46" s="412" t="b">
        <f>Wh_hp&gt;='2020'!Maxi_hp</f>
        <v>0</v>
      </c>
      <c r="I46" s="379">
        <f>IF(H46,Wh_hp,'2020'!Maxi_hp)</f>
        <v>12.161001453908513</v>
      </c>
      <c r="J46" s="85">
        <f>IF(H46,An,'2020'!An_max)</f>
        <v>2020</v>
      </c>
      <c r="K46" s="197">
        <f t="shared" si="19"/>
        <v>44228</v>
      </c>
      <c r="L46" s="147">
        <f>IF(t&lt;Tvie,1-EXP((T0-t)*PertePVj)+'2020'!Pspv,1-EXP((T0-t)*PertePVj)+Pspv)</f>
        <v>1.432758067136608E-2</v>
      </c>
      <c r="M46" s="832"/>
      <c r="N46" s="832"/>
      <c r="O46" s="48">
        <f>IF(t&lt;Tnet,'2020'!Resal+('2020'!Salim-'2020'!Resal)*(1-EXP(('2020'!Tnet-t)/('2020'!Tau_j))),Resal+(Salim-Resal)*(1-EXP((Tnet-t)/(Tau_j))))*Salcycl</f>
        <v>3.9780570092025971E-2</v>
      </c>
      <c r="P46" s="169">
        <f>(INDEX(Models!$BJ46:$BT46,,T46)*(1-R46)+INDEX(Models!$BJ46:$BT46,,T46+1)*R46-ERP_i)*Q46*Ramure*Pc/MaxiM</f>
        <v>9.1449627977852766E-3</v>
      </c>
      <c r="Q46" s="304">
        <f t="shared" si="2"/>
        <v>0.7</v>
      </c>
      <c r="R46" s="177">
        <f t="shared" si="3"/>
        <v>0.53603531371625723</v>
      </c>
      <c r="S46" s="799">
        <f t="shared" si="4"/>
        <v>-1</v>
      </c>
      <c r="T46" s="176">
        <f t="shared" si="5"/>
        <v>5</v>
      </c>
      <c r="U46" s="250">
        <f t="shared" si="20"/>
        <v>-0.46396468628374277</v>
      </c>
      <c r="V46" s="382">
        <f t="shared" si="6"/>
        <v>33.606026210115857</v>
      </c>
      <c r="W46" s="400"/>
      <c r="X46" s="157">
        <f t="shared" si="7"/>
        <v>44228</v>
      </c>
      <c r="Y46" s="383">
        <f t="shared" si="8"/>
        <v>8.5359999999999996</v>
      </c>
      <c r="Z46" s="383">
        <f t="shared" si="9"/>
        <v>8.6600779656735067</v>
      </c>
      <c r="AA46" s="384">
        <f t="shared" si="10"/>
        <v>9.0188530828869773</v>
      </c>
      <c r="AB46" s="197">
        <f t="shared" si="11"/>
        <v>44228</v>
      </c>
      <c r="AC46" s="119">
        <f>IF(OR(t&lt;Tnet,NoTnet),'2020'!Resal_s+('2020'!Salim-'2020'!Resal_s)*(1-EXP(('2020'!Tnet_s-t)/'2020'!Tau_j)),Resal_s+(Salim-Resal_s)*(1-EXP((Tnet_s-t)/Tau_j)))*Salcycl</f>
        <v>3.9780570092025971E-2</v>
      </c>
      <c r="AD46" s="230">
        <f>(INDEX(Models!$BJ46:$BT46,,AH46)*(1-AF46)+INDEX(Models!$BJ46:$BT46,,AH46+1)*AF46-ERP_i)*AE46*Ramure*Pc/MaxiM</f>
        <v>9.9966517490733837E-3</v>
      </c>
      <c r="AE46" s="304">
        <f t="shared" si="12"/>
        <v>0.7</v>
      </c>
      <c r="AF46" s="177">
        <f t="shared" si="21"/>
        <v>0.60036753597608938</v>
      </c>
      <c r="AG46" s="799">
        <f t="shared" si="22"/>
        <v>-1</v>
      </c>
      <c r="AH46" s="176">
        <f t="shared" si="13"/>
        <v>5</v>
      </c>
      <c r="AI46" s="224">
        <f t="shared" si="23"/>
        <v>-0.39963246402391062</v>
      </c>
      <c r="AJ46" s="264" t="b">
        <f t="shared" si="14"/>
        <v>1</v>
      </c>
      <c r="AK46" s="264" t="b">
        <f t="shared" si="15"/>
        <v>0</v>
      </c>
      <c r="AL46" s="264"/>
      <c r="AM46" s="264"/>
      <c r="AN46" s="75"/>
    </row>
    <row r="47" spans="1:40" s="6" customFormat="1" ht="11.25" x14ac:dyDescent="0.2">
      <c r="A47" s="56">
        <f t="shared" si="16"/>
        <v>44229</v>
      </c>
      <c r="B47" s="607">
        <v>31.033000000000001</v>
      </c>
      <c r="C47" s="388"/>
      <c r="D47" s="391">
        <f t="shared" si="0"/>
        <v>31.484694248522519</v>
      </c>
      <c r="E47" s="383">
        <f t="shared" si="17"/>
        <v>32.790321635668946</v>
      </c>
      <c r="F47" s="383">
        <f t="shared" si="1"/>
        <v>33.054204591173026</v>
      </c>
      <c r="G47" s="110">
        <f t="shared" si="18"/>
        <v>0.91316394447436178</v>
      </c>
      <c r="H47" s="412" t="b">
        <f>Wh_hp&gt;='2020'!Maxi_hp</f>
        <v>1</v>
      </c>
      <c r="I47" s="379">
        <f>IF(H47,Wh_hp,'2020'!Maxi_hp)</f>
        <v>33.054204591173026</v>
      </c>
      <c r="J47" s="85">
        <f>IF(H47,An,'2020'!An_max)</f>
        <v>2021</v>
      </c>
      <c r="K47" s="197">
        <f t="shared" si="19"/>
        <v>44229</v>
      </c>
      <c r="L47" s="147">
        <f>IF(t&lt;Tvie,1-EXP((T0-t)*PertePVj)+'2020'!Pspv,1-EXP((T0-t)*PertePVj)+Pspv)</f>
        <v>1.4346470858414451E-2</v>
      </c>
      <c r="M47" s="832"/>
      <c r="N47" s="832"/>
      <c r="O47" s="48">
        <f>IF(t&lt;Tnet,'2020'!Resal+('2020'!Salim-'2020'!Resal)*(1-EXP(('2020'!Tnet-t)/('2020'!Tau_j))),Resal+(Salim-Resal)*(1-EXP((Tnet-t)/(Tau_j))))*Salcycl</f>
        <v>3.9817462044232629E-2</v>
      </c>
      <c r="P47" s="169">
        <f>(INDEX(Models!$BJ47:$BT47,,T47)*(1-R47)+INDEX(Models!$BJ47:$BT47,,T47+1)*R47-ERP_i)*Q47*Ramure*Pc/MaxiM</f>
        <v>9.0986856716879817E-3</v>
      </c>
      <c r="Q47" s="304">
        <f t="shared" si="2"/>
        <v>0.7</v>
      </c>
      <c r="R47" s="177">
        <f t="shared" si="3"/>
        <v>0.53611825976845306</v>
      </c>
      <c r="S47" s="799">
        <f t="shared" si="4"/>
        <v>-1</v>
      </c>
      <c r="T47" s="176">
        <f t="shared" si="5"/>
        <v>5</v>
      </c>
      <c r="U47" s="250">
        <f t="shared" si="20"/>
        <v>-0.46388174023154688</v>
      </c>
      <c r="V47" s="382">
        <f t="shared" si="6"/>
        <v>33.945830997594285</v>
      </c>
      <c r="W47" s="400"/>
      <c r="X47" s="157">
        <f t="shared" si="7"/>
        <v>44229</v>
      </c>
      <c r="Y47" s="383">
        <f t="shared" si="8"/>
        <v>31.009643407085612</v>
      </c>
      <c r="Z47" s="383">
        <f t="shared" si="9"/>
        <v>31.460997693674557</v>
      </c>
      <c r="AA47" s="384">
        <f t="shared" si="10"/>
        <v>32.76564241696704</v>
      </c>
      <c r="AB47" s="197">
        <f t="shared" si="11"/>
        <v>44229</v>
      </c>
      <c r="AC47" s="119">
        <f>IF(OR(t&lt;Tnet,NoTnet),'2020'!Resal_s+('2020'!Salim-'2020'!Resal_s)*(1-EXP(('2020'!Tnet_s-t)/'2020'!Tau_j)),Resal_s+(Salim-Resal_s)*(1-EXP((Tnet_s-t)/Tau_j)))*Salcycl</f>
        <v>3.9817462044232629E-2</v>
      </c>
      <c r="AD47" s="230">
        <f>(INDEX(Models!$BJ47:$BT47,,AH47)*(1-AF47)+INDEX(Models!$BJ47:$BT47,,AH47+1)*AF47-ERP_i)*AE47*Ramure*Pc/MaxiM</f>
        <v>9.9496252602741097E-3</v>
      </c>
      <c r="AE47" s="304">
        <f t="shared" si="12"/>
        <v>0.7</v>
      </c>
      <c r="AF47" s="177">
        <f t="shared" si="21"/>
        <v>0.60045048202828522</v>
      </c>
      <c r="AG47" s="799">
        <f t="shared" si="22"/>
        <v>-1</v>
      </c>
      <c r="AH47" s="176">
        <f t="shared" si="13"/>
        <v>5</v>
      </c>
      <c r="AI47" s="224">
        <f t="shared" si="23"/>
        <v>-0.39954951797171473</v>
      </c>
      <c r="AJ47" s="264" t="b">
        <f t="shared" si="14"/>
        <v>1</v>
      </c>
      <c r="AK47" s="264" t="b">
        <f t="shared" si="15"/>
        <v>0</v>
      </c>
      <c r="AL47" s="264"/>
      <c r="AM47" s="264"/>
      <c r="AN47" s="75"/>
    </row>
    <row r="48" spans="1:40" s="6" customFormat="1" ht="11.25" x14ac:dyDescent="0.2">
      <c r="A48" s="56">
        <f t="shared" si="16"/>
        <v>44230</v>
      </c>
      <c r="B48" s="607">
        <v>24.865000000000002</v>
      </c>
      <c r="C48" s="388"/>
      <c r="D48" s="391">
        <f t="shared" si="0"/>
        <v>25.227400710309183</v>
      </c>
      <c r="E48" s="383">
        <f t="shared" si="17"/>
        <v>26.274556799759296</v>
      </c>
      <c r="F48" s="383">
        <f t="shared" si="1"/>
        <v>26.419564970374697</v>
      </c>
      <c r="G48" s="110">
        <f t="shared" si="18"/>
        <v>0.72265726394340402</v>
      </c>
      <c r="H48" s="412" t="b">
        <f>Wh_hp&gt;='2020'!Maxi_hp</f>
        <v>0</v>
      </c>
      <c r="I48" s="379">
        <f>IF(H48,Wh_hp,'2020'!Maxi_hp)</f>
        <v>27.412753039742405</v>
      </c>
      <c r="J48" s="85">
        <f>IF(H48,An,'2020'!An_max)</f>
        <v>2020</v>
      </c>
      <c r="K48" s="197">
        <f t="shared" si="19"/>
        <v>44230</v>
      </c>
      <c r="L48" s="147">
        <f>IF(t&lt;Tvie,1-EXP((T0-t)*PertePVj)+'2020'!Pspv,1-EXP((T0-t)*PertePVj)+Pspv)</f>
        <v>1.4365360683436745E-2</v>
      </c>
      <c r="M48" s="832"/>
      <c r="N48" s="832"/>
      <c r="O48" s="48">
        <f>IF(t&lt;Tnet,'2020'!Resal+('2020'!Salim-'2020'!Resal)*(1-EXP(('2020'!Tnet-t)/('2020'!Tau_j))),Resal+(Salim-Resal)*(1-EXP((Tnet-t)/(Tau_j))))*Salcycl</f>
        <v>3.985437689513012E-2</v>
      </c>
      <c r="P48" s="169">
        <f>(INDEX(Models!$BJ48:$BT48,,T48)*(1-R48)+INDEX(Models!$BJ48:$BT48,,T48+1)*R48-ERP_i)*Q48*Ramure*Pc/MaxiM</f>
        <v>9.0349815361844051E-3</v>
      </c>
      <c r="Q48" s="304">
        <f t="shared" si="2"/>
        <v>0.7</v>
      </c>
      <c r="R48" s="177">
        <f t="shared" si="3"/>
        <v>0.53620464886815955</v>
      </c>
      <c r="S48" s="799">
        <f t="shared" si="4"/>
        <v>-1</v>
      </c>
      <c r="T48" s="176">
        <f t="shared" si="5"/>
        <v>5</v>
      </c>
      <c r="U48" s="250">
        <f t="shared" si="20"/>
        <v>-0.46379535113184051</v>
      </c>
      <c r="V48" s="382">
        <f t="shared" si="6"/>
        <v>34.285041396455313</v>
      </c>
      <c r="W48" s="400"/>
      <c r="X48" s="157">
        <f t="shared" si="7"/>
        <v>44230</v>
      </c>
      <c r="Y48" s="383">
        <f t="shared" si="8"/>
        <v>24.852110576694567</v>
      </c>
      <c r="Z48" s="383">
        <f t="shared" si="9"/>
        <v>25.214323427113886</v>
      </c>
      <c r="AA48" s="384">
        <f t="shared" si="10"/>
        <v>26.260936695807764</v>
      </c>
      <c r="AB48" s="197">
        <f t="shared" si="11"/>
        <v>44230</v>
      </c>
      <c r="AC48" s="119">
        <f>IF(OR(t&lt;Tnet,NoTnet),'2020'!Resal_s+('2020'!Salim-'2020'!Resal_s)*(1-EXP(('2020'!Tnet_s-t)/'2020'!Tau_j)),Resal_s+(Salim-Resal_s)*(1-EXP((Tnet_s-t)/Tau_j)))*Salcycl</f>
        <v>3.985437689513012E-2</v>
      </c>
      <c r="AD48" s="230">
        <f>(INDEX(Models!$BJ48:$BT48,,AH48)*(1-AF48)+INDEX(Models!$BJ48:$BT48,,AH48+1)*AF48-ERP_i)*AE48*Ramure*Pc/MaxiM</f>
        <v>9.8836053564887085E-3</v>
      </c>
      <c r="AE48" s="304">
        <f t="shared" si="12"/>
        <v>0.7</v>
      </c>
      <c r="AF48" s="177">
        <f t="shared" si="21"/>
        <v>0.6005368711279917</v>
      </c>
      <c r="AG48" s="799">
        <f t="shared" si="22"/>
        <v>-1</v>
      </c>
      <c r="AH48" s="176">
        <f t="shared" si="13"/>
        <v>5</v>
      </c>
      <c r="AI48" s="224">
        <f t="shared" si="23"/>
        <v>-0.39946312887200836</v>
      </c>
      <c r="AJ48" s="264" t="b">
        <f t="shared" si="14"/>
        <v>1</v>
      </c>
      <c r="AK48" s="264" t="b">
        <f t="shared" si="15"/>
        <v>0</v>
      </c>
      <c r="AL48" s="264"/>
      <c r="AM48" s="264"/>
      <c r="AN48" s="75"/>
    </row>
    <row r="49" spans="1:40" s="6" customFormat="1" ht="11.25" x14ac:dyDescent="0.2">
      <c r="A49" s="56">
        <f t="shared" si="16"/>
        <v>44231</v>
      </c>
      <c r="B49" s="607">
        <v>13.245000000000001</v>
      </c>
      <c r="C49" s="388"/>
      <c r="D49" s="391">
        <f t="shared" si="0"/>
        <v>13.438299866827315</v>
      </c>
      <c r="E49" s="383">
        <f t="shared" si="17"/>
        <v>13.996644377669405</v>
      </c>
      <c r="F49" s="383">
        <f t="shared" si="1"/>
        <v>14.011440389821447</v>
      </c>
      <c r="G49" s="110">
        <f t="shared" si="18"/>
        <v>0.37952507932004365</v>
      </c>
      <c r="H49" s="412" t="b">
        <f>Wh_hp&gt;='2020'!Maxi_hp</f>
        <v>0</v>
      </c>
      <c r="I49" s="379">
        <f>IF(H49,Wh_hp,'2020'!Maxi_hp)</f>
        <v>16.754733277342279</v>
      </c>
      <c r="J49" s="85">
        <f>IF(H49,An,'2020'!An_max)</f>
        <v>2020</v>
      </c>
      <c r="K49" s="197">
        <f t="shared" si="19"/>
        <v>44231</v>
      </c>
      <c r="L49" s="147">
        <f>IF(t&lt;Tvie,1-EXP((T0-t)*PertePVj)+'2020'!Pspv,1-EXP((T0-t)*PertePVj)+Pspv)</f>
        <v>1.4384250146439848E-2</v>
      </c>
      <c r="M49" s="832"/>
      <c r="N49" s="832"/>
      <c r="O49" s="48">
        <f>IF(t&lt;Tnet,'2020'!Resal+('2020'!Salim-'2020'!Resal)*(1-EXP(('2020'!Tnet-t)/('2020'!Tau_j))),Resal+(Salim-Resal)*(1-EXP((Tnet-t)/(Tau_j))))*Salcycl</f>
        <v>3.9891312215725623E-2</v>
      </c>
      <c r="P49" s="169">
        <f>(INDEX(Models!$BJ49:$BT49,,T49)*(1-R49)+INDEX(Models!$BJ49:$BT49,,T49+1)*R49-ERP_i)*Q49*Ramure*Pc/MaxiM</f>
        <v>8.9545461380218933E-3</v>
      </c>
      <c r="Q49" s="304">
        <f t="shared" si="2"/>
        <v>0.7</v>
      </c>
      <c r="R49" s="177">
        <f t="shared" si="3"/>
        <v>0.5362946223396523</v>
      </c>
      <c r="S49" s="799">
        <f t="shared" si="4"/>
        <v>-1</v>
      </c>
      <c r="T49" s="176">
        <f t="shared" si="5"/>
        <v>5</v>
      </c>
      <c r="U49" s="250">
        <f t="shared" si="20"/>
        <v>-0.46370537766034775</v>
      </c>
      <c r="V49" s="382">
        <f t="shared" si="6"/>
        <v>34.622937497890867</v>
      </c>
      <c r="W49" s="400"/>
      <c r="X49" s="157">
        <f t="shared" si="7"/>
        <v>44231</v>
      </c>
      <c r="Y49" s="383">
        <f t="shared" si="8"/>
        <v>13.243679051272371</v>
      </c>
      <c r="Z49" s="383">
        <f t="shared" si="9"/>
        <v>13.436959639940898</v>
      </c>
      <c r="AA49" s="384">
        <f t="shared" si="10"/>
        <v>13.995248466036204</v>
      </c>
      <c r="AB49" s="197">
        <f t="shared" si="11"/>
        <v>44231</v>
      </c>
      <c r="AC49" s="119">
        <f>IF(OR(t&lt;Tnet,NoTnet),'2020'!Resal_s+('2020'!Salim-'2020'!Resal_s)*(1-EXP(('2020'!Tnet_s-t)/'2020'!Tau_j)),Resal_s+(Salim-Resal_s)*(1-EXP((Tnet_s-t)/Tau_j)))*Salcycl</f>
        <v>3.9891312215725623E-2</v>
      </c>
      <c r="AD49" s="230">
        <f>(INDEX(Models!$BJ49:$BT49,,AH49)*(1-AF49)+INDEX(Models!$BJ49:$BT49,,AH49+1)*AF49-ERP_i)*AE49*Ramure*Pc/MaxiM</f>
        <v>9.7993518191517026E-3</v>
      </c>
      <c r="AE49" s="304">
        <f t="shared" si="12"/>
        <v>0.7</v>
      </c>
      <c r="AF49" s="177">
        <f t="shared" si="21"/>
        <v>0.60062684459948446</v>
      </c>
      <c r="AG49" s="799">
        <f t="shared" si="22"/>
        <v>-1</v>
      </c>
      <c r="AH49" s="176">
        <f t="shared" si="13"/>
        <v>5</v>
      </c>
      <c r="AI49" s="224">
        <f t="shared" si="23"/>
        <v>-0.3993731554005156</v>
      </c>
      <c r="AJ49" s="264" t="b">
        <f t="shared" si="14"/>
        <v>1</v>
      </c>
      <c r="AK49" s="264" t="b">
        <f t="shared" si="15"/>
        <v>0</v>
      </c>
      <c r="AL49" s="264"/>
      <c r="AM49" s="264"/>
      <c r="AN49" s="75"/>
    </row>
    <row r="50" spans="1:40" s="6" customFormat="1" ht="11.25" x14ac:dyDescent="0.2">
      <c r="A50" s="56">
        <f t="shared" si="16"/>
        <v>44232</v>
      </c>
      <c r="B50" s="607">
        <v>8.0340000000000007</v>
      </c>
      <c r="C50" s="388"/>
      <c r="D50" s="391">
        <f t="shared" si="0"/>
        <v>8.1514058332790373</v>
      </c>
      <c r="E50" s="383">
        <f t="shared" si="17"/>
        <v>8.4904133073854293</v>
      </c>
      <c r="F50" s="383">
        <f t="shared" si="1"/>
        <v>8.4904133073854293</v>
      </c>
      <c r="G50" s="110">
        <f t="shared" si="18"/>
        <v>0.22777768765621542</v>
      </c>
      <c r="H50" s="412" t="b">
        <f>Wh_hp&gt;='2020'!Maxi_hp</f>
        <v>0</v>
      </c>
      <c r="I50" s="379">
        <f>IF(H50,Wh_hp,'2020'!Maxi_hp)</f>
        <v>35.887391837973411</v>
      </c>
      <c r="J50" s="85">
        <f>IF(H50,An,'2020'!An_max)</f>
        <v>2020</v>
      </c>
      <c r="K50" s="197">
        <f t="shared" si="19"/>
        <v>44232</v>
      </c>
      <c r="L50" s="147">
        <f>IF(t&lt;Tvie,1-EXP((T0-t)*PertePVj)+'2020'!Pspv,1-EXP((T0-t)*PertePVj)+Pspv)</f>
        <v>1.4403139247430752E-2</v>
      </c>
      <c r="M50" s="832"/>
      <c r="N50" s="832"/>
      <c r="O50" s="48">
        <f>IF(t&lt;Tnet,'2020'!Resal+('2020'!Salim-'2020'!Resal)*(1-EXP(('2020'!Tnet-t)/('2020'!Tau_j))),Resal+(Salim-Resal)*(1-EXP((Tnet-t)/(Tau_j))))*Salcycl</f>
        <v>3.9928265189576199E-2</v>
      </c>
      <c r="P50" s="169">
        <f>(INDEX(Models!$BJ50:$BT50,,T50)*(1-R50)+INDEX(Models!$BJ50:$BT50,,T50+1)*R50-ERP_i)*Q50*Ramure*Pc/MaxiM</f>
        <v>8.8580364218815016E-3</v>
      </c>
      <c r="Q50" s="304">
        <f t="shared" si="2"/>
        <v>0.7</v>
      </c>
      <c r="R50" s="177">
        <f t="shared" si="3"/>
        <v>0.53638832717227691</v>
      </c>
      <c r="S50" s="799">
        <f t="shared" si="4"/>
        <v>-1</v>
      </c>
      <c r="T50" s="176">
        <f t="shared" si="5"/>
        <v>5</v>
      </c>
      <c r="U50" s="250">
        <f t="shared" si="20"/>
        <v>-0.46361167282772303</v>
      </c>
      <c r="V50" s="382">
        <f t="shared" si="6"/>
        <v>34.958799596758126</v>
      </c>
      <c r="W50" s="400"/>
      <c r="X50" s="157">
        <f t="shared" si="7"/>
        <v>44232</v>
      </c>
      <c r="Y50" s="383">
        <f t="shared" si="8"/>
        <v>8.0340000000000007</v>
      </c>
      <c r="Z50" s="383">
        <f t="shared" si="9"/>
        <v>8.1514058332790373</v>
      </c>
      <c r="AA50" s="384">
        <f t="shared" si="10"/>
        <v>8.4904133073854293</v>
      </c>
      <c r="AB50" s="197">
        <f t="shared" si="11"/>
        <v>44232</v>
      </c>
      <c r="AC50" s="119">
        <f>IF(OR(t&lt;Tnet,NoTnet),'2020'!Resal_s+('2020'!Salim-'2020'!Resal_s)*(1-EXP(('2020'!Tnet_s-t)/'2020'!Tau_j)),Resal_s+(Salim-Resal_s)*(1-EXP((Tnet_s-t)/Tau_j)))*Salcycl</f>
        <v>3.9928265189576199E-2</v>
      </c>
      <c r="AD50" s="230">
        <f>(INDEX(Models!$BJ50:$BT50,,AH50)*(1-AF50)+INDEX(Models!$BJ50:$BT50,,AH50+1)*AF50-ERP_i)*AE50*Ramure*Pc/MaxiM</f>
        <v>9.697582408466519E-3</v>
      </c>
      <c r="AE50" s="304">
        <f t="shared" si="12"/>
        <v>0.7</v>
      </c>
      <c r="AF50" s="177">
        <f t="shared" si="21"/>
        <v>0.60072054943210906</v>
      </c>
      <c r="AG50" s="799">
        <f t="shared" si="22"/>
        <v>-1</v>
      </c>
      <c r="AH50" s="176">
        <f t="shared" si="13"/>
        <v>5</v>
      </c>
      <c r="AI50" s="224">
        <f t="shared" si="23"/>
        <v>-0.39927945056789088</v>
      </c>
      <c r="AJ50" s="264" t="b">
        <f t="shared" si="14"/>
        <v>1</v>
      </c>
      <c r="AK50" s="264" t="b">
        <f t="shared" si="15"/>
        <v>0</v>
      </c>
      <c r="AL50" s="264"/>
      <c r="AM50" s="264"/>
      <c r="AN50" s="75"/>
    </row>
    <row r="51" spans="1:40" s="6" customFormat="1" ht="11.25" x14ac:dyDescent="0.2">
      <c r="A51" s="56">
        <f t="shared" si="16"/>
        <v>44233</v>
      </c>
      <c r="B51" s="607">
        <v>8.0050000000000008</v>
      </c>
      <c r="C51" s="388"/>
      <c r="D51" s="391">
        <f t="shared" si="0"/>
        <v>8.122137697178232</v>
      </c>
      <c r="E51" s="383">
        <f t="shared" si="17"/>
        <v>8.46025370469461</v>
      </c>
      <c r="F51" s="383">
        <f t="shared" si="1"/>
        <v>8.46025370469461</v>
      </c>
      <c r="G51" s="110">
        <f t="shared" si="18"/>
        <v>0.22482595714475456</v>
      </c>
      <c r="H51" s="412" t="b">
        <f>Wh_hp&gt;='2020'!Maxi_hp</f>
        <v>0</v>
      </c>
      <c r="I51" s="379">
        <f>IF(H51,Wh_hp,'2020'!Maxi_hp)</f>
        <v>39.205696557026307</v>
      </c>
      <c r="J51" s="85">
        <f>IF(H51,An,'2020'!An_max)</f>
        <v>2020</v>
      </c>
      <c r="K51" s="197">
        <f t="shared" si="19"/>
        <v>44233</v>
      </c>
      <c r="L51" s="147">
        <f>IF(t&lt;Tvie,1-EXP((T0-t)*PertePVj)+'2020'!Pspv,1-EXP((T0-t)*PertePVj)+Pspv)</f>
        <v>1.4422027986416341E-2</v>
      </c>
      <c r="M51" s="832"/>
      <c r="N51" s="832"/>
      <c r="O51" s="48">
        <f>IF(t&lt;Tnet,'2020'!Resal+('2020'!Salim-'2020'!Resal)*(1-EXP(('2020'!Tnet-t)/('2020'!Tau_j))),Resal+(Salim-Resal)*(1-EXP((Tnet-t)/(Tau_j))))*Salcycl</f>
        <v>3.996523264175364E-2</v>
      </c>
      <c r="P51" s="169">
        <f>(INDEX(Models!$BJ51:$BT51,,T51)*(1-R51)+INDEX(Models!$BJ51:$BT51,,T51+1)*R51-ERP_i)*Q51*Ramure*Pc/MaxiM</f>
        <v>8.7455725866393622E-3</v>
      </c>
      <c r="Q51" s="304">
        <f t="shared" si="2"/>
        <v>0.7</v>
      </c>
      <c r="R51" s="177">
        <f t="shared" si="3"/>
        <v>0.53648591623595232</v>
      </c>
      <c r="S51" s="799">
        <f t="shared" si="4"/>
        <v>-1</v>
      </c>
      <c r="T51" s="176">
        <f t="shared" si="5"/>
        <v>5</v>
      </c>
      <c r="U51" s="250">
        <f t="shared" si="20"/>
        <v>-0.46351408376404774</v>
      </c>
      <c r="V51" s="382">
        <f t="shared" si="6"/>
        <v>35.293930434976396</v>
      </c>
      <c r="W51" s="400"/>
      <c r="X51" s="157">
        <f t="shared" si="7"/>
        <v>44233</v>
      </c>
      <c r="Y51" s="383">
        <f t="shared" si="8"/>
        <v>8.0050000000000008</v>
      </c>
      <c r="Z51" s="383">
        <f t="shared" si="9"/>
        <v>8.122137697178232</v>
      </c>
      <c r="AA51" s="384">
        <f t="shared" si="10"/>
        <v>8.46025370469461</v>
      </c>
      <c r="AB51" s="197">
        <f t="shared" si="11"/>
        <v>44233</v>
      </c>
      <c r="AC51" s="119">
        <f>IF(OR(t&lt;Tnet,NoTnet),'2020'!Resal_s+('2020'!Salim-'2020'!Resal_s)*(1-EXP(('2020'!Tnet_s-t)/'2020'!Tau_j)),Resal_s+(Salim-Resal_s)*(1-EXP((Tnet_s-t)/Tau_j)))*Salcycl</f>
        <v>3.996523264175364E-2</v>
      </c>
      <c r="AD51" s="230">
        <f>(INDEX(Models!$BJ51:$BT51,,AH51)*(1-AF51)+INDEX(Models!$BJ51:$BT51,,AH51+1)*AF51-ERP_i)*AE51*Ramure*Pc/MaxiM</f>
        <v>9.5784274975852027E-3</v>
      </c>
      <c r="AE51" s="304">
        <f t="shared" si="12"/>
        <v>0.7</v>
      </c>
      <c r="AF51" s="177">
        <f t="shared" si="21"/>
        <v>0.60081813849578447</v>
      </c>
      <c r="AG51" s="799">
        <f t="shared" si="22"/>
        <v>-1</v>
      </c>
      <c r="AH51" s="176">
        <f t="shared" si="13"/>
        <v>5</v>
      </c>
      <c r="AI51" s="224">
        <f t="shared" si="23"/>
        <v>-0.39918186150421558</v>
      </c>
      <c r="AJ51" s="264" t="b">
        <f t="shared" si="14"/>
        <v>1</v>
      </c>
      <c r="AK51" s="264" t="b">
        <f t="shared" si="15"/>
        <v>0</v>
      </c>
      <c r="AL51" s="264"/>
      <c r="AM51" s="264"/>
      <c r="AN51" s="75"/>
    </row>
    <row r="52" spans="1:40" s="6" customFormat="1" ht="11.25" x14ac:dyDescent="0.2">
      <c r="A52" s="56">
        <f t="shared" si="16"/>
        <v>44234</v>
      </c>
      <c r="B52" s="607">
        <v>24.834</v>
      </c>
      <c r="C52" s="388"/>
      <c r="D52" s="391">
        <f t="shared" si="0"/>
        <v>25.197880484613339</v>
      </c>
      <c r="E52" s="383">
        <f t="shared" si="17"/>
        <v>26.247852625577814</v>
      </c>
      <c r="F52" s="383">
        <f t="shared" si="1"/>
        <v>26.376528280168866</v>
      </c>
      <c r="G52" s="110">
        <f t="shared" si="18"/>
        <v>0.69437737519999032</v>
      </c>
      <c r="H52" s="412" t="b">
        <f>Wh_hp&gt;='2020'!Maxi_hp</f>
        <v>0</v>
      </c>
      <c r="I52" s="379">
        <f>IF(H52,Wh_hp,'2020'!Maxi_hp)</f>
        <v>26.902092201697947</v>
      </c>
      <c r="J52" s="85">
        <f>IF(H52,An,'2020'!An_max)</f>
        <v>2020</v>
      </c>
      <c r="K52" s="197">
        <f t="shared" si="19"/>
        <v>44234</v>
      </c>
      <c r="L52" s="147">
        <f>IF(t&lt;Tvie,1-EXP((T0-t)*PertePVj)+'2020'!Pspv,1-EXP((T0-t)*PertePVj)+Pspv)</f>
        <v>1.44409163634035E-2</v>
      </c>
      <c r="M52" s="832"/>
      <c r="N52" s="832"/>
      <c r="O52" s="48">
        <f>IF(t&lt;Tnet,'2020'!Resal+('2020'!Salim-'2020'!Resal)*(1-EXP(('2020'!Tnet-t)/('2020'!Tau_j))),Resal+(Salim-Resal)*(1-EXP((Tnet-t)/(Tau_j))))*Salcycl</f>
        <v>4.0002211073880557E-2</v>
      </c>
      <c r="P52" s="169">
        <f>(INDEX(Models!$BJ52:$BT52,,T52)*(1-R52)+INDEX(Models!$BJ52:$BT52,,T52+1)*R52-ERP_i)*Q52*Ramure*Pc/MaxiM</f>
        <v>8.6020554064140387E-3</v>
      </c>
      <c r="Q52" s="304">
        <f t="shared" si="2"/>
        <v>0.7</v>
      </c>
      <c r="R52" s="177">
        <f t="shared" si="3"/>
        <v>0.53658754850387347</v>
      </c>
      <c r="S52" s="799">
        <f t="shared" si="4"/>
        <v>-1</v>
      </c>
      <c r="T52" s="176">
        <f t="shared" si="5"/>
        <v>5</v>
      </c>
      <c r="U52" s="250">
        <f t="shared" si="20"/>
        <v>-0.46341245149612653</v>
      </c>
      <c r="V52" s="382">
        <f t="shared" si="6"/>
        <v>35.6305874418073</v>
      </c>
      <c r="W52" s="400"/>
      <c r="X52" s="157">
        <f t="shared" si="7"/>
        <v>44234</v>
      </c>
      <c r="Y52" s="383">
        <f t="shared" si="8"/>
        <v>24.822348764495054</v>
      </c>
      <c r="Z52" s="383">
        <f t="shared" si="9"/>
        <v>25.186058529239588</v>
      </c>
      <c r="AA52" s="384">
        <f t="shared" si="10"/>
        <v>26.235538060367226</v>
      </c>
      <c r="AB52" s="197">
        <f t="shared" si="11"/>
        <v>44234</v>
      </c>
      <c r="AC52" s="119">
        <f>IF(OR(t&lt;Tnet,NoTnet),'2020'!Resal_s+('2020'!Salim-'2020'!Resal_s)*(1-EXP(('2020'!Tnet_s-t)/'2020'!Tau_j)),Resal_s+(Salim-Resal_s)*(1-EXP((Tnet_s-t)/Tau_j)))*Salcycl</f>
        <v>4.0002211073880557E-2</v>
      </c>
      <c r="AD52" s="230">
        <f>(INDEX(Models!$BJ52:$BT52,,AH52)*(1-AF52)+INDEX(Models!$BJ52:$BT52,,AH52+1)*AF52-ERP_i)*AE52*Ramure*Pc/MaxiM</f>
        <v>9.425292502693439E-3</v>
      </c>
      <c r="AE52" s="304">
        <f t="shared" si="12"/>
        <v>0.7</v>
      </c>
      <c r="AF52" s="177">
        <f t="shared" si="21"/>
        <v>0.60091977076370562</v>
      </c>
      <c r="AG52" s="799">
        <f t="shared" si="22"/>
        <v>-1</v>
      </c>
      <c r="AH52" s="176">
        <f t="shared" si="13"/>
        <v>5</v>
      </c>
      <c r="AI52" s="224">
        <f t="shared" si="23"/>
        <v>-0.39908022923629438</v>
      </c>
      <c r="AJ52" s="264" t="b">
        <f t="shared" si="14"/>
        <v>1</v>
      </c>
      <c r="AK52" s="264" t="b">
        <f t="shared" si="15"/>
        <v>0</v>
      </c>
      <c r="AL52" s="264"/>
      <c r="AM52" s="264"/>
      <c r="AN52" s="75"/>
    </row>
    <row r="53" spans="1:40" s="6" customFormat="1" ht="11.25" x14ac:dyDescent="0.2">
      <c r="A53" s="56">
        <f t="shared" si="16"/>
        <v>44235</v>
      </c>
      <c r="B53" s="607">
        <v>4.2290000000000001</v>
      </c>
      <c r="C53" s="388"/>
      <c r="D53" s="391">
        <f t="shared" si="0"/>
        <v>4.2910477104718003</v>
      </c>
      <c r="E53" s="383">
        <f t="shared" si="17"/>
        <v>4.4700238757061994</v>
      </c>
      <c r="F53" s="383">
        <f t="shared" si="1"/>
        <v>4.4700238757061994</v>
      </c>
      <c r="G53" s="110">
        <f t="shared" si="18"/>
        <v>0.11658358967769049</v>
      </c>
      <c r="H53" s="412" t="b">
        <f>Wh_hp&gt;='2020'!Maxi_hp</f>
        <v>0</v>
      </c>
      <c r="I53" s="379">
        <f>IF(H53,Wh_hp,'2020'!Maxi_hp)</f>
        <v>33.752735134746771</v>
      </c>
      <c r="J53" s="85">
        <f>IF(H53,An,'2020'!An_max)</f>
        <v>2020</v>
      </c>
      <c r="K53" s="197">
        <f t="shared" si="19"/>
        <v>44235</v>
      </c>
      <c r="L53" s="147">
        <f>IF(t&lt;Tvie,1-EXP((T0-t)*PertePVj)+'2020'!Pspv,1-EXP((T0-t)*PertePVj)+Pspv)</f>
        <v>1.4459804378399221E-2</v>
      </c>
      <c r="M53" s="832"/>
      <c r="N53" s="832"/>
      <c r="O53" s="48">
        <f>IF(t&lt;Tnet,'2020'!Resal+('2020'!Salim-'2020'!Resal)*(1-EXP(('2020'!Tnet-t)/('2020'!Tau_j))),Resal+(Salim-Resal)*(1-EXP((Tnet-t)/(Tau_j))))*Salcycl</f>
        <v>4.0039196704765481E-2</v>
      </c>
      <c r="P53" s="169">
        <f>(INDEX(Models!$BJ53:$BT53,,T53)*(1-R53)+INDEX(Models!$BJ53:$BT53,,T53+1)*R53-ERP_i)*Q53*Ramure*Pc/MaxiM</f>
        <v>8.4307687597786601E-3</v>
      </c>
      <c r="Q53" s="304">
        <f t="shared" si="2"/>
        <v>0.7</v>
      </c>
      <c r="R53" s="177">
        <f t="shared" si="3"/>
        <v>0.53669338928256649</v>
      </c>
      <c r="S53" s="799">
        <f t="shared" si="4"/>
        <v>-1</v>
      </c>
      <c r="T53" s="176">
        <f t="shared" si="5"/>
        <v>5</v>
      </c>
      <c r="U53" s="250">
        <f t="shared" si="20"/>
        <v>-0.46330661071743356</v>
      </c>
      <c r="V53" s="382">
        <f t="shared" si="6"/>
        <v>35.968580916987648</v>
      </c>
      <c r="W53" s="400"/>
      <c r="X53" s="157">
        <f t="shared" si="7"/>
        <v>44235</v>
      </c>
      <c r="Y53" s="383">
        <f t="shared" si="8"/>
        <v>4.2290000000000001</v>
      </c>
      <c r="Z53" s="383">
        <f t="shared" si="9"/>
        <v>4.2910477104718003</v>
      </c>
      <c r="AA53" s="384">
        <f t="shared" si="10"/>
        <v>4.4700238757061994</v>
      </c>
      <c r="AB53" s="197">
        <f t="shared" si="11"/>
        <v>44235</v>
      </c>
      <c r="AC53" s="119">
        <f>IF(OR(t&lt;Tnet,NoTnet),'2020'!Resal_s+('2020'!Salim-'2020'!Resal_s)*(1-EXP(('2020'!Tnet_s-t)/'2020'!Tau_j)),Resal_s+(Salim-Resal_s)*(1-EXP((Tnet_s-t)/Tau_j)))*Salcycl</f>
        <v>4.0039196704765481E-2</v>
      </c>
      <c r="AD53" s="230">
        <f>(INDEX(Models!$BJ53:$BT53,,AH53)*(1-AF53)+INDEX(Models!$BJ53:$BT53,,AH53+1)*AF53-ERP_i)*AE53*Ramure*Pc/MaxiM</f>
        <v>9.2416520815691468E-3</v>
      </c>
      <c r="AE53" s="304">
        <f t="shared" si="12"/>
        <v>0.7</v>
      </c>
      <c r="AF53" s="177">
        <f t="shared" si="21"/>
        <v>0.60102561154239864</v>
      </c>
      <c r="AG53" s="799">
        <f t="shared" si="22"/>
        <v>-1</v>
      </c>
      <c r="AH53" s="176">
        <f t="shared" si="13"/>
        <v>5</v>
      </c>
      <c r="AI53" s="224">
        <f t="shared" si="23"/>
        <v>-0.39897438845760141</v>
      </c>
      <c r="AJ53" s="264" t="b">
        <f t="shared" si="14"/>
        <v>1</v>
      </c>
      <c r="AK53" s="264" t="b">
        <f t="shared" si="15"/>
        <v>0</v>
      </c>
      <c r="AL53" s="264"/>
      <c r="AM53" s="264"/>
      <c r="AN53" s="75"/>
    </row>
    <row r="54" spans="1:40" s="6" customFormat="1" ht="11.25" x14ac:dyDescent="0.2">
      <c r="A54" s="56">
        <f t="shared" si="16"/>
        <v>44236</v>
      </c>
      <c r="B54" s="607">
        <v>14.755000000000001</v>
      </c>
      <c r="C54" s="388"/>
      <c r="D54" s="391">
        <f t="shared" si="0"/>
        <v>14.971771671191782</v>
      </c>
      <c r="E54" s="383">
        <f t="shared" si="17"/>
        <v>15.596833254148978</v>
      </c>
      <c r="F54" s="383">
        <f t="shared" si="1"/>
        <v>15.61637215245128</v>
      </c>
      <c r="G54" s="110">
        <f t="shared" si="18"/>
        <v>0.40354574734039672</v>
      </c>
      <c r="H54" s="412" t="b">
        <f>Wh_hp&gt;='2020'!Maxi_hp</f>
        <v>0</v>
      </c>
      <c r="I54" s="379">
        <f>IF(H54,Wh_hp,'2020'!Maxi_hp)</f>
        <v>27.550945693764806</v>
      </c>
      <c r="J54" s="85">
        <f>IF(H54,An,'2020'!An_max)</f>
        <v>2020</v>
      </c>
      <c r="K54" s="197">
        <f t="shared" si="19"/>
        <v>44236</v>
      </c>
      <c r="L54" s="147">
        <f>IF(t&lt;Tvie,1-EXP((T0-t)*PertePVj)+'2020'!Pspv,1-EXP((T0-t)*PertePVj)+Pspv)</f>
        <v>1.447869203141039E-2</v>
      </c>
      <c r="M54" s="832"/>
      <c r="N54" s="832"/>
      <c r="O54" s="48">
        <f>IF(t&lt;Tnet,'2020'!Resal+('2020'!Salim-'2020'!Resal)*(1-EXP(('2020'!Tnet-t)/('2020'!Tau_j))),Resal+(Salim-Resal)*(1-EXP((Tnet-t)/(Tau_j))))*Salcycl</f>
        <v>4.0076185516115567E-2</v>
      </c>
      <c r="P54" s="169">
        <f>(INDEX(Models!$BJ54:$BT54,,T54)*(1-R54)+INDEX(Models!$BJ54:$BT54,,T54+1)*R54-ERP_i)*Q54*Ramure*Pc/MaxiM</f>
        <v>8.232500895562574E-3</v>
      </c>
      <c r="Q54" s="304">
        <f t="shared" si="2"/>
        <v>0.7</v>
      </c>
      <c r="R54" s="177">
        <f t="shared" si="3"/>
        <v>0.53680361044943936</v>
      </c>
      <c r="S54" s="799">
        <f t="shared" si="4"/>
        <v>-1</v>
      </c>
      <c r="T54" s="176">
        <f t="shared" si="5"/>
        <v>5</v>
      </c>
      <c r="U54" s="250">
        <f t="shared" si="20"/>
        <v>-0.46319638955056064</v>
      </c>
      <c r="V54" s="382">
        <f t="shared" si="6"/>
        <v>36.307808141816459</v>
      </c>
      <c r="W54" s="400"/>
      <c r="X54" s="157">
        <f t="shared" si="7"/>
        <v>44236</v>
      </c>
      <c r="Y54" s="383">
        <f t="shared" si="8"/>
        <v>14.75321304132969</v>
      </c>
      <c r="Z54" s="383">
        <f t="shared" si="9"/>
        <v>14.969958459589087</v>
      </c>
      <c r="AA54" s="384">
        <f t="shared" si="10"/>
        <v>15.594944342158946</v>
      </c>
      <c r="AB54" s="197">
        <f t="shared" si="11"/>
        <v>44236</v>
      </c>
      <c r="AC54" s="119">
        <f>IF(OR(t&lt;Tnet,NoTnet),'2020'!Resal_s+('2020'!Salim-'2020'!Resal_s)*(1-EXP(('2020'!Tnet_s-t)/'2020'!Tau_j)),Resal_s+(Salim-Resal_s)*(1-EXP((Tnet_s-t)/Tau_j)))*Salcycl</f>
        <v>4.0076185516115567E-2</v>
      </c>
      <c r="AD54" s="230">
        <f>(INDEX(Models!$BJ54:$BT54,,AH54)*(1-AF54)+INDEX(Models!$BJ54:$BT54,,AH54+1)*AF54-ERP_i)*AE54*Ramure*Pc/MaxiM</f>
        <v>9.0283732835029704E-3</v>
      </c>
      <c r="AE54" s="304">
        <f t="shared" si="12"/>
        <v>0.7</v>
      </c>
      <c r="AF54" s="177">
        <f t="shared" si="21"/>
        <v>0.60113583270927151</v>
      </c>
      <c r="AG54" s="799">
        <f t="shared" si="22"/>
        <v>-1</v>
      </c>
      <c r="AH54" s="176">
        <f t="shared" si="13"/>
        <v>5</v>
      </c>
      <c r="AI54" s="224">
        <f t="shared" si="23"/>
        <v>-0.39886416729072849</v>
      </c>
      <c r="AJ54" s="264" t="b">
        <f t="shared" si="14"/>
        <v>1</v>
      </c>
      <c r="AK54" s="264" t="b">
        <f t="shared" si="15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16"/>
        <v>44237</v>
      </c>
      <c r="B55" s="607">
        <v>11.384</v>
      </c>
      <c r="C55" s="388"/>
      <c r="D55" s="391">
        <f t="shared" si="0"/>
        <v>11.551468328381411</v>
      </c>
      <c r="E55" s="383">
        <f t="shared" si="17"/>
        <v>12.034198206602655</v>
      </c>
      <c r="F55" s="383">
        <f t="shared" si="1"/>
        <v>12.035661756190995</v>
      </c>
      <c r="G55" s="110">
        <f t="shared" si="18"/>
        <v>0.30817940708057806</v>
      </c>
      <c r="H55" s="412" t="b">
        <f>Wh_hp&gt;='2020'!Maxi_hp</f>
        <v>0</v>
      </c>
      <c r="I55" s="379">
        <f>IF(H55,Wh_hp,'2020'!Maxi_hp)</f>
        <v>17.483888338803496</v>
      </c>
      <c r="J55" s="85">
        <f>IF(H55,An,'2020'!An_max)</f>
        <v>2020</v>
      </c>
      <c r="K55" s="197">
        <f t="shared" si="19"/>
        <v>44237</v>
      </c>
      <c r="L55" s="147">
        <f>IF(t&lt;Tvie,1-EXP((T0-t)*PertePVj)+'2020'!Pspv,1-EXP((T0-t)*PertePVj)+Pspv)</f>
        <v>1.449757932244411E-2</v>
      </c>
      <c r="M55" s="832"/>
      <c r="N55" s="832"/>
      <c r="O55" s="48">
        <f>IF(t&lt;Tnet,'2020'!Resal+('2020'!Salim-'2020'!Resal)*(1-EXP(('2020'!Tnet-t)/('2020'!Tau_j))),Resal+(Salim-Resal)*(1-EXP((Tnet-t)/(Tau_j))))*Salcycl</f>
        <v>4.0113173302762276E-2</v>
      </c>
      <c r="P55" s="169">
        <f>(INDEX(Models!$BJ55:$BT55,,T55)*(1-R55)+INDEX(Models!$BJ55:$BT55,,T55+1)*R55-ERP_i)*Q55*Ramure*Pc/MaxiM</f>
        <v>8.00800799869982E-3</v>
      </c>
      <c r="Q55" s="304">
        <f t="shared" si="2"/>
        <v>0.7</v>
      </c>
      <c r="R55" s="177">
        <f t="shared" si="3"/>
        <v>0.53691839069796932</v>
      </c>
      <c r="S55" s="799">
        <f t="shared" si="4"/>
        <v>-1</v>
      </c>
      <c r="T55" s="176">
        <f t="shared" si="5"/>
        <v>5</v>
      </c>
      <c r="U55" s="250">
        <f t="shared" si="20"/>
        <v>-0.46308160930203063</v>
      </c>
      <c r="V55" s="382">
        <f t="shared" si="6"/>
        <v>36.648166508619958</v>
      </c>
      <c r="W55" s="400"/>
      <c r="X55" s="157">
        <f t="shared" si="7"/>
        <v>44237</v>
      </c>
      <c r="Y55" s="383">
        <f t="shared" si="8"/>
        <v>11.383865446009951</v>
      </c>
      <c r="Z55" s="383">
        <f t="shared" si="9"/>
        <v>11.551331794987655</v>
      </c>
      <c r="AA55" s="384">
        <f t="shared" si="10"/>
        <v>12.034055967549094</v>
      </c>
      <c r="AB55" s="197">
        <f t="shared" si="11"/>
        <v>44237</v>
      </c>
      <c r="AC55" s="119">
        <f>IF(OR(t&lt;Tnet,NoTnet),'2020'!Resal_s+('2020'!Salim-'2020'!Resal_s)*(1-EXP(('2020'!Tnet_s-t)/'2020'!Tau_j)),Resal_s+(Salim-Resal_s)*(1-EXP((Tnet_s-t)/Tau_j)))*Salcycl</f>
        <v>4.0113173302762276E-2</v>
      </c>
      <c r="AD55" s="230">
        <f>(INDEX(Models!$BJ55:$BT55,,AH55)*(1-AF55)+INDEX(Models!$BJ55:$BT55,,AH55+1)*AF55-ERP_i)*AE55*Ramure*Pc/MaxiM</f>
        <v>8.7862880704678951E-3</v>
      </c>
      <c r="AE55" s="304">
        <f t="shared" si="12"/>
        <v>0.7</v>
      </c>
      <c r="AF55" s="177">
        <f t="shared" si="21"/>
        <v>0.60125061295780147</v>
      </c>
      <c r="AG55" s="799">
        <f t="shared" si="22"/>
        <v>-1</v>
      </c>
      <c r="AH55" s="176">
        <f t="shared" si="13"/>
        <v>5</v>
      </c>
      <c r="AI55" s="224">
        <f t="shared" si="23"/>
        <v>-0.39874938704219848</v>
      </c>
      <c r="AJ55" s="264" t="b">
        <f t="shared" si="14"/>
        <v>1</v>
      </c>
      <c r="AK55" s="264" t="b">
        <f t="shared" si="15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16"/>
        <v>44238</v>
      </c>
      <c r="B56" s="607">
        <v>34.197000000000003</v>
      </c>
      <c r="C56" s="388"/>
      <c r="D56" s="391">
        <f t="shared" si="0"/>
        <v>34.700732005053965</v>
      </c>
      <c r="E56" s="383">
        <f t="shared" si="17"/>
        <v>36.152250492189665</v>
      </c>
      <c r="F56" s="383">
        <f t="shared" si="1"/>
        <v>36.404215155133031</v>
      </c>
      <c r="G56" s="110">
        <f t="shared" si="18"/>
        <v>0.92372533186624517</v>
      </c>
      <c r="H56" s="412" t="b">
        <f>Wh_hp&gt;='2020'!Maxi_hp</f>
        <v>1</v>
      </c>
      <c r="I56" s="379">
        <f>IF(H56,Wh_hp,'2020'!Maxi_hp)</f>
        <v>36.404215155133031</v>
      </c>
      <c r="J56" s="85">
        <f>IF(H56,An,'2020'!An_max)</f>
        <v>2021</v>
      </c>
      <c r="K56" s="197">
        <f t="shared" si="19"/>
        <v>44238</v>
      </c>
      <c r="L56" s="147">
        <f>IF(t&lt;Tvie,1-EXP((T0-t)*PertePVj)+'2020'!Pspv,1-EXP((T0-t)*PertePVj)+Pspv)</f>
        <v>1.4516466251507154E-2</v>
      </c>
      <c r="M56" s="832"/>
      <c r="N56" s="832"/>
      <c r="O56" s="48">
        <f>IF(t&lt;Tnet,'2020'!Resal+('2020'!Salim-'2020'!Resal)*(1-EXP(('2020'!Tnet-t)/('2020'!Tau_j))),Resal+(Salim-Resal)*(1-EXP((Tnet-t)/(Tau_j))))*Salcycl</f>
        <v>4.0150155726800085E-2</v>
      </c>
      <c r="P56" s="169">
        <f>(INDEX(Models!$BJ56:$BT56,,T56)*(1-R56)+INDEX(Models!$BJ56:$BT56,,T56+1)*R56-ERP_i)*Q56*Ramure*Pc/MaxiM</f>
        <v>7.7580146567327061E-3</v>
      </c>
      <c r="Q56" s="304">
        <f t="shared" si="2"/>
        <v>0.7</v>
      </c>
      <c r="R56" s="177">
        <f t="shared" si="3"/>
        <v>0.5370379157906584</v>
      </c>
      <c r="S56" s="799">
        <f t="shared" si="4"/>
        <v>-1</v>
      </c>
      <c r="T56" s="176">
        <f t="shared" si="5"/>
        <v>5</v>
      </c>
      <c r="U56" s="250">
        <f t="shared" si="20"/>
        <v>-0.46296208420934165</v>
      </c>
      <c r="V56" s="382">
        <f t="shared" si="6"/>
        <v>36.989553527646287</v>
      </c>
      <c r="W56" s="400"/>
      <c r="X56" s="157">
        <f t="shared" si="7"/>
        <v>44238</v>
      </c>
      <c r="Y56" s="383">
        <f t="shared" si="8"/>
        <v>34.173707636270102</v>
      </c>
      <c r="Z56" s="383">
        <f t="shared" si="9"/>
        <v>34.677096537862234</v>
      </c>
      <c r="AA56" s="384">
        <f t="shared" si="10"/>
        <v>36.127626362350242</v>
      </c>
      <c r="AB56" s="197">
        <f t="shared" si="11"/>
        <v>44238</v>
      </c>
      <c r="AC56" s="119">
        <f>IF(OR(t&lt;Tnet,NoTnet),'2020'!Resal_s+('2020'!Salim-'2020'!Resal_s)*(1-EXP(('2020'!Tnet_s-t)/'2020'!Tau_j)),Resal_s+(Salim-Resal_s)*(1-EXP((Tnet_s-t)/Tau_j)))*Salcycl</f>
        <v>4.0150155726800085E-2</v>
      </c>
      <c r="AD56" s="230">
        <f>(INDEX(Models!$BJ56:$BT56,,AH56)*(1-AF56)+INDEX(Models!$BJ56:$BT56,,AH56+1)*AF56-ERP_i)*AE56*Ramure*Pc/MaxiM</f>
        <v>8.5161938314309484E-3</v>
      </c>
      <c r="AE56" s="304">
        <f t="shared" si="12"/>
        <v>0.7</v>
      </c>
      <c r="AF56" s="177">
        <f t="shared" si="21"/>
        <v>0.60137013805049055</v>
      </c>
      <c r="AG56" s="799">
        <f t="shared" si="22"/>
        <v>-1</v>
      </c>
      <c r="AH56" s="176">
        <f t="shared" si="13"/>
        <v>5</v>
      </c>
      <c r="AI56" s="224">
        <f t="shared" si="23"/>
        <v>-0.3986298619495095</v>
      </c>
      <c r="AJ56" s="264" t="b">
        <f t="shared" si="14"/>
        <v>1</v>
      </c>
      <c r="AK56" s="264" t="b">
        <f t="shared" si="15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16"/>
        <v>44239</v>
      </c>
      <c r="B57" s="607">
        <v>4.7320000000000002</v>
      </c>
      <c r="C57" s="388"/>
      <c r="D57" s="391">
        <f t="shared" si="0"/>
        <v>4.801795796058614</v>
      </c>
      <c r="E57" s="383">
        <f t="shared" si="17"/>
        <v>5.0028458025667355</v>
      </c>
      <c r="F57" s="383">
        <f t="shared" si="1"/>
        <v>5.0028458025667355</v>
      </c>
      <c r="G57" s="110">
        <f t="shared" si="18"/>
        <v>0.12580644441727726</v>
      </c>
      <c r="H57" s="412" t="b">
        <f>Wh_hp&gt;='2020'!Maxi_hp</f>
        <v>0</v>
      </c>
      <c r="I57" s="379">
        <f>IF(H57,Wh_hp,'2020'!Maxi_hp)</f>
        <v>20.485155317578489</v>
      </c>
      <c r="J57" s="85">
        <f>IF(H57,An,'2020'!An_max)</f>
        <v>2020</v>
      </c>
      <c r="K57" s="197">
        <f t="shared" si="19"/>
        <v>44239</v>
      </c>
      <c r="L57" s="147">
        <f>IF(t&lt;Tvie,1-EXP((T0-t)*PertePVj)+'2020'!Pspv,1-EXP((T0-t)*PertePVj)+Pspv)</f>
        <v>1.4535352818606517E-2</v>
      </c>
      <c r="M57" s="832"/>
      <c r="N57" s="832"/>
      <c r="O57" s="48">
        <f>IF(t&lt;Tnet,'2020'!Resal+('2020'!Salim-'2020'!Resal)*(1-EXP(('2020'!Tnet-t)/('2020'!Tau_j))),Resal+(Salim-Resal)*(1-EXP((Tnet-t)/(Tau_j))))*Salcycl</f>
        <v>4.0187128375008437E-2</v>
      </c>
      <c r="P57" s="169">
        <f>(INDEX(Models!$BJ57:$BT57,,T57)*(1-R57)+INDEX(Models!$BJ57:$BT57,,T57+1)*R57-ERP_i)*Q57*Ramure*Pc/MaxiM</f>
        <v>7.4832143410437837E-3</v>
      </c>
      <c r="Q57" s="304">
        <f t="shared" si="2"/>
        <v>0.7</v>
      </c>
      <c r="R57" s="177">
        <f t="shared" si="3"/>
        <v>0.53716237881987661</v>
      </c>
      <c r="S57" s="799">
        <f t="shared" si="4"/>
        <v>-1</v>
      </c>
      <c r="T57" s="176">
        <f t="shared" si="5"/>
        <v>5</v>
      </c>
      <c r="U57" s="250">
        <f t="shared" si="20"/>
        <v>-0.46283762118012339</v>
      </c>
      <c r="V57" s="382">
        <f t="shared" si="6"/>
        <v>37.331866833152382</v>
      </c>
      <c r="W57" s="400"/>
      <c r="X57" s="157">
        <f t="shared" si="7"/>
        <v>44239</v>
      </c>
      <c r="Y57" s="383">
        <f t="shared" si="8"/>
        <v>4.7320000000000002</v>
      </c>
      <c r="Z57" s="383">
        <f t="shared" si="9"/>
        <v>4.801795796058614</v>
      </c>
      <c r="AA57" s="384">
        <f t="shared" si="10"/>
        <v>5.0028458025667355</v>
      </c>
      <c r="AB57" s="197">
        <f t="shared" si="11"/>
        <v>44239</v>
      </c>
      <c r="AC57" s="119">
        <f>IF(OR(t&lt;Tnet,NoTnet),'2020'!Resal_s+('2020'!Salim-'2020'!Resal_s)*(1-EXP(('2020'!Tnet_s-t)/'2020'!Tau_j)),Resal_s+(Salim-Resal_s)*(1-EXP((Tnet_s-t)/Tau_j)))*Salcycl</f>
        <v>4.0187128375008437E-2</v>
      </c>
      <c r="AD57" s="230">
        <f>(INDEX(Models!$BJ57:$BT57,,AH57)*(1-AF57)+INDEX(Models!$BJ57:$BT57,,AH57+1)*AF57-ERP_i)*AE57*Ramure*Pc/MaxiM</f>
        <v>8.2188539134644256E-3</v>
      </c>
      <c r="AE57" s="304">
        <f t="shared" si="12"/>
        <v>0.7</v>
      </c>
      <c r="AF57" s="177">
        <f t="shared" si="21"/>
        <v>0.60149460107970876</v>
      </c>
      <c r="AG57" s="799">
        <f t="shared" si="22"/>
        <v>-1</v>
      </c>
      <c r="AH57" s="176">
        <f t="shared" si="13"/>
        <v>5</v>
      </c>
      <c r="AI57" s="224">
        <f t="shared" si="23"/>
        <v>-0.39850539892029124</v>
      </c>
      <c r="AJ57" s="264" t="b">
        <f t="shared" si="14"/>
        <v>1</v>
      </c>
      <c r="AK57" s="264" t="b">
        <f t="shared" si="15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16"/>
        <v>44240</v>
      </c>
      <c r="B58" s="607">
        <v>8.3090000000000011</v>
      </c>
      <c r="C58" s="388"/>
      <c r="D58" s="391">
        <f t="shared" si="0"/>
        <v>8.4317172279157511</v>
      </c>
      <c r="E58" s="383">
        <f t="shared" si="17"/>
        <v>8.7850894277702345</v>
      </c>
      <c r="F58" s="383">
        <f t="shared" si="1"/>
        <v>8.7850894277702345</v>
      </c>
      <c r="G58" s="110">
        <f t="shared" si="18"/>
        <v>0.21895965451893554</v>
      </c>
      <c r="H58" s="412" t="b">
        <f>Wh_hp&gt;='2020'!Maxi_hp</f>
        <v>0</v>
      </c>
      <c r="I58" s="379">
        <f>IF(H58,Wh_hp,'2020'!Maxi_hp)</f>
        <v>21.789674259995543</v>
      </c>
      <c r="J58" s="85">
        <f>IF(H58,An,'2020'!An_max)</f>
        <v>2020</v>
      </c>
      <c r="K58" s="197">
        <f t="shared" si="19"/>
        <v>44240</v>
      </c>
      <c r="L58" s="147">
        <f>IF(t&lt;Tvie,1-EXP((T0-t)*PertePVj)+'2020'!Pspv,1-EXP((T0-t)*PertePVj)+Pspv)</f>
        <v>1.4554239023749194E-2</v>
      </c>
      <c r="M58" s="832"/>
      <c r="N58" s="832"/>
      <c r="O58" s="48">
        <f>IF(t&lt;Tnet,'2020'!Resal+('2020'!Salim-'2020'!Resal)*(1-EXP(('2020'!Tnet-t)/('2020'!Tau_j))),Resal+(Salim-Resal)*(1-EXP((Tnet-t)/(Tau_j))))*Salcycl</f>
        <v>4.0224086818906102E-2</v>
      </c>
      <c r="P58" s="169">
        <f>(INDEX(Models!$BJ58:$BT58,,T58)*(1-R58)+INDEX(Models!$BJ58:$BT58,,T58+1)*R58-ERP_i)*Q58*Ramure*Pc/MaxiM</f>
        <v>7.1830489792154241E-3</v>
      </c>
      <c r="Q58" s="304">
        <f t="shared" si="2"/>
        <v>0.7</v>
      </c>
      <c r="R58" s="177">
        <f t="shared" si="3"/>
        <v>0.53729198047670801</v>
      </c>
      <c r="S58" s="799">
        <f t="shared" si="4"/>
        <v>-1</v>
      </c>
      <c r="T58" s="176">
        <f t="shared" si="5"/>
        <v>5</v>
      </c>
      <c r="U58" s="250">
        <f t="shared" si="20"/>
        <v>-0.46270801952329205</v>
      </c>
      <c r="V58" s="382">
        <f t="shared" si="6"/>
        <v>37.675050520863437</v>
      </c>
      <c r="W58" s="400"/>
      <c r="X58" s="157">
        <f t="shared" si="7"/>
        <v>44240</v>
      </c>
      <c r="Y58" s="383">
        <f t="shared" si="8"/>
        <v>8.3090000000000011</v>
      </c>
      <c r="Z58" s="383">
        <f t="shared" si="9"/>
        <v>8.4317172279157511</v>
      </c>
      <c r="AA58" s="384">
        <f t="shared" si="10"/>
        <v>8.7850894277702345</v>
      </c>
      <c r="AB58" s="197">
        <f t="shared" si="11"/>
        <v>44240</v>
      </c>
      <c r="AC58" s="119">
        <f>IF(OR(t&lt;Tnet,NoTnet),'2020'!Resal_s+('2020'!Salim-'2020'!Resal_s)*(1-EXP(('2020'!Tnet_s-t)/'2020'!Tau_j)),Resal_s+(Salim-Resal_s)*(1-EXP((Tnet_s-t)/Tau_j)))*Salcycl</f>
        <v>4.0224086818906102E-2</v>
      </c>
      <c r="AD58" s="230">
        <f>(INDEX(Models!$BJ58:$BT58,,AH58)*(1-AF58)+INDEX(Models!$BJ58:$BT58,,AH58+1)*AF58-ERP_i)*AE58*Ramure*Pc/MaxiM</f>
        <v>7.8933218565777549E-3</v>
      </c>
      <c r="AE58" s="304">
        <f t="shared" si="12"/>
        <v>0.7</v>
      </c>
      <c r="AF58" s="177">
        <f t="shared" si="21"/>
        <v>0.60162420273654016</v>
      </c>
      <c r="AG58" s="799">
        <f t="shared" si="22"/>
        <v>-1</v>
      </c>
      <c r="AH58" s="176">
        <f t="shared" si="13"/>
        <v>5</v>
      </c>
      <c r="AI58" s="224">
        <f t="shared" si="23"/>
        <v>-0.3983757972634599</v>
      </c>
      <c r="AJ58" s="264" t="b">
        <f t="shared" si="14"/>
        <v>1</v>
      </c>
      <c r="AK58" s="264" t="b">
        <f t="shared" si="15"/>
        <v>0</v>
      </c>
      <c r="AL58" s="264"/>
      <c r="AM58" s="264"/>
      <c r="AN58" s="75"/>
    </row>
    <row r="59" spans="1:40" s="6" customFormat="1" ht="11.25" x14ac:dyDescent="0.2">
      <c r="A59" s="56">
        <f t="shared" si="16"/>
        <v>44241</v>
      </c>
      <c r="B59" s="607">
        <v>31.14</v>
      </c>
      <c r="C59" s="388"/>
      <c r="D59" s="391">
        <f t="shared" si="0"/>
        <v>31.600518299031876</v>
      </c>
      <c r="E59" s="383">
        <f t="shared" si="17"/>
        <v>32.926159276006828</v>
      </c>
      <c r="F59" s="383">
        <f t="shared" si="1"/>
        <v>33.094825571206165</v>
      </c>
      <c r="G59" s="110">
        <f t="shared" si="18"/>
        <v>0.81761373854643871</v>
      </c>
      <c r="H59" s="412" t="b">
        <f>Wh_hp&gt;='2020'!Maxi_hp</f>
        <v>1</v>
      </c>
      <c r="I59" s="379">
        <f>IF(H59,Wh_hp,'2020'!Maxi_hp)</f>
        <v>33.094825571206165</v>
      </c>
      <c r="J59" s="85">
        <f>IF(H59,An,'2020'!An_max)</f>
        <v>2021</v>
      </c>
      <c r="K59" s="197">
        <f t="shared" si="19"/>
        <v>44241</v>
      </c>
      <c r="L59" s="147">
        <f>IF(t&lt;Tvie,1-EXP((T0-t)*PertePVj)+'2020'!Pspv,1-EXP((T0-t)*PertePVj)+Pspv)</f>
        <v>1.4573124866941956E-2</v>
      </c>
      <c r="M59" s="832"/>
      <c r="N59" s="832"/>
      <c r="O59" s="48">
        <f>IF(t&lt;Tnet,'2020'!Resal+('2020'!Salim-'2020'!Resal)*(1-EXP(('2020'!Tnet-t)/('2020'!Tau_j))),Resal+(Salim-Resal)*(1-EXP((Tnet-t)/(Tau_j))))*Salcycl</f>
        <v>4.0261026676771845E-2</v>
      </c>
      <c r="P59" s="169">
        <f>(INDEX(Models!$BJ59:$BT59,,T59)*(1-R59)+INDEX(Models!$BJ59:$BT59,,T59+1)*R59-ERP_i)*Q59*Ramure*Pc/MaxiM</f>
        <v>6.8728229423712286E-3</v>
      </c>
      <c r="Q59" s="304">
        <f t="shared" si="2"/>
        <v>0.7</v>
      </c>
      <c r="R59" s="177">
        <f t="shared" si="3"/>
        <v>0.53742692932789327</v>
      </c>
      <c r="S59" s="799">
        <f t="shared" si="4"/>
        <v>-1</v>
      </c>
      <c r="T59" s="176">
        <f t="shared" si="5"/>
        <v>5</v>
      </c>
      <c r="U59" s="250">
        <f t="shared" si="20"/>
        <v>-0.46257307067210668</v>
      </c>
      <c r="V59" s="382">
        <f t="shared" si="6"/>
        <v>38.018442061666065</v>
      </c>
      <c r="W59" s="400"/>
      <c r="X59" s="157">
        <f t="shared" si="7"/>
        <v>44241</v>
      </c>
      <c r="Y59" s="383">
        <f t="shared" si="8"/>
        <v>31.124135963309108</v>
      </c>
      <c r="Z59" s="383">
        <f t="shared" si="9"/>
        <v>31.584419654788231</v>
      </c>
      <c r="AA59" s="384">
        <f t="shared" si="10"/>
        <v>32.909385294027224</v>
      </c>
      <c r="AB59" s="197">
        <f t="shared" si="11"/>
        <v>44241</v>
      </c>
      <c r="AC59" s="119">
        <f>IF(OR(t&lt;Tnet,NoTnet),'2020'!Resal_s+('2020'!Salim-'2020'!Resal_s)*(1-EXP(('2020'!Tnet_s-t)/'2020'!Tau_j)),Resal_s+(Salim-Resal_s)*(1-EXP((Tnet_s-t)/Tau_j)))*Salcycl</f>
        <v>4.0261026676771845E-2</v>
      </c>
      <c r="AD59" s="230">
        <f>(INDEX(Models!$BJ59:$BT59,,AH59)*(1-AF59)+INDEX(Models!$BJ59:$BT59,,AH59+1)*AF59-ERP_i)*AE59*Ramure*Pc/MaxiM</f>
        <v>7.5563300298311081E-3</v>
      </c>
      <c r="AE59" s="304">
        <f t="shared" si="12"/>
        <v>0.7</v>
      </c>
      <c r="AF59" s="177">
        <f t="shared" si="21"/>
        <v>0.60175915158772542</v>
      </c>
      <c r="AG59" s="799">
        <f t="shared" si="22"/>
        <v>-1</v>
      </c>
      <c r="AH59" s="176">
        <f t="shared" si="13"/>
        <v>5</v>
      </c>
      <c r="AI59" s="224">
        <f t="shared" si="23"/>
        <v>-0.39824084841227453</v>
      </c>
      <c r="AJ59" s="264" t="b">
        <f t="shared" si="14"/>
        <v>1</v>
      </c>
      <c r="AK59" s="264" t="b">
        <f t="shared" si="15"/>
        <v>0</v>
      </c>
      <c r="AL59" s="264"/>
      <c r="AM59" s="264"/>
      <c r="AN59" s="75"/>
    </row>
    <row r="60" spans="1:40" s="6" customFormat="1" ht="11.25" x14ac:dyDescent="0.2">
      <c r="A60" s="56">
        <f t="shared" si="16"/>
        <v>44242</v>
      </c>
      <c r="B60" s="607">
        <v>36.78</v>
      </c>
      <c r="C60" s="388"/>
      <c r="D60" s="391">
        <f t="shared" si="0"/>
        <v>37.324641555825153</v>
      </c>
      <c r="E60" s="383">
        <f t="shared" si="17"/>
        <v>38.891905367827462</v>
      </c>
      <c r="F60" s="383">
        <f t="shared" si="1"/>
        <v>39.133230893157823</v>
      </c>
      <c r="G60" s="110">
        <f t="shared" si="18"/>
        <v>0.95839038463123405</v>
      </c>
      <c r="H60" s="412" t="b">
        <f>Wh_hp&gt;='2020'!Maxi_hp</f>
        <v>0</v>
      </c>
      <c r="I60" s="379">
        <f>IF(H60,Wh_hp,'2020'!Maxi_hp)</f>
        <v>40.783875694870723</v>
      </c>
      <c r="J60" s="85">
        <f>IF(H60,An,'2020'!An_max)</f>
        <v>2020</v>
      </c>
      <c r="K60" s="197">
        <f t="shared" si="19"/>
        <v>44242</v>
      </c>
      <c r="L60" s="147">
        <f>IF(t&lt;Tvie,1-EXP((T0-t)*PertePVj)+'2020'!Pspv,1-EXP((T0-t)*PertePVj)+Pspv)</f>
        <v>1.4592010348191908E-2</v>
      </c>
      <c r="M60" s="832"/>
      <c r="N60" s="832"/>
      <c r="O60" s="48">
        <f>IF(t&lt;Tnet,'2020'!Resal+('2020'!Salim-'2020'!Resal)*(1-EXP(('2020'!Tnet-t)/('2020'!Tau_j))),Resal+(Salim-Resal)*(1-EXP((Tnet-t)/(Tau_j))))*Salcycl</f>
        <v>4.029794367695836E-2</v>
      </c>
      <c r="P60" s="169">
        <f>(INDEX(Models!$BJ60:$BT60,,T60)*(1-R60)+INDEX(Models!$BJ60:$BT60,,T60+1)*R60-ERP_i)*Q60*Ramure*Pc/MaxiM</f>
        <v>6.552794298040422E-3</v>
      </c>
      <c r="Q60" s="304">
        <f t="shared" si="2"/>
        <v>0.7</v>
      </c>
      <c r="R60" s="177">
        <f t="shared" si="3"/>
        <v>0.53756744210095775</v>
      </c>
      <c r="S60" s="799">
        <f t="shared" si="4"/>
        <v>-1</v>
      </c>
      <c r="T60" s="176">
        <f t="shared" si="5"/>
        <v>5</v>
      </c>
      <c r="U60" s="250">
        <f t="shared" si="20"/>
        <v>-0.46243255789904231</v>
      </c>
      <c r="V60" s="382">
        <f t="shared" si="6"/>
        <v>38.361939366234324</v>
      </c>
      <c r="W60" s="400"/>
      <c r="X60" s="157">
        <f t="shared" si="7"/>
        <v>44242</v>
      </c>
      <c r="Y60" s="383">
        <f t="shared" si="8"/>
        <v>36.757174392247883</v>
      </c>
      <c r="Z60" s="383">
        <f t="shared" si="9"/>
        <v>37.301477944415652</v>
      </c>
      <c r="AA60" s="384">
        <f t="shared" si="10"/>
        <v>38.867769115063503</v>
      </c>
      <c r="AB60" s="197">
        <f t="shared" si="11"/>
        <v>44242</v>
      </c>
      <c r="AC60" s="119">
        <f>IF(OR(t&lt;Tnet,NoTnet),'2020'!Resal_s+('2020'!Salim-'2020'!Resal_s)*(1-EXP(('2020'!Tnet_s-t)/'2020'!Tau_j)),Resal_s+(Salim-Resal_s)*(1-EXP((Tnet_s-t)/Tau_j)))*Salcycl</f>
        <v>4.029794367695836E-2</v>
      </c>
      <c r="AD60" s="230">
        <f>(INDEX(Models!$BJ60:$BT60,,AH60)*(1-AF60)+INDEX(Models!$BJ60:$BT60,,AH60+1)*AF60-ERP_i)*AE60*Ramure*Pc/MaxiM</f>
        <v>7.2081742014765285E-3</v>
      </c>
      <c r="AE60" s="304">
        <f t="shared" si="12"/>
        <v>0.7</v>
      </c>
      <c r="AF60" s="177">
        <f t="shared" si="21"/>
        <v>0.6018996643607899</v>
      </c>
      <c r="AG60" s="799">
        <f t="shared" si="22"/>
        <v>-1</v>
      </c>
      <c r="AH60" s="176">
        <f t="shared" si="13"/>
        <v>5</v>
      </c>
      <c r="AI60" s="224">
        <f t="shared" si="23"/>
        <v>-0.39810033563921016</v>
      </c>
      <c r="AJ60" s="264" t="b">
        <f t="shared" si="14"/>
        <v>1</v>
      </c>
      <c r="AK60" s="264" t="b">
        <f t="shared" si="15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16"/>
        <v>44243</v>
      </c>
      <c r="B61" s="607">
        <v>32.4</v>
      </c>
      <c r="C61" s="388"/>
      <c r="D61" s="391">
        <f t="shared" si="0"/>
        <v>32.880412266555133</v>
      </c>
      <c r="E61" s="383">
        <f t="shared" si="17"/>
        <v>34.262379652763435</v>
      </c>
      <c r="F61" s="383">
        <f t="shared" si="1"/>
        <v>34.426764095706375</v>
      </c>
      <c r="G61" s="110">
        <f t="shared" si="18"/>
        <v>0.83587344441298683</v>
      </c>
      <c r="H61" s="412" t="b">
        <f>Wh_hp&gt;='2020'!Maxi_hp</f>
        <v>1</v>
      </c>
      <c r="I61" s="379">
        <f>IF(H61,Wh_hp,'2020'!Maxi_hp)</f>
        <v>34.426764095706375</v>
      </c>
      <c r="J61" s="85">
        <f>IF(H61,An,'2020'!An_max)</f>
        <v>2021</v>
      </c>
      <c r="K61" s="197">
        <f t="shared" si="19"/>
        <v>44243</v>
      </c>
      <c r="L61" s="147">
        <f>IF(t&lt;Tvie,1-EXP((T0-t)*PertePVj)+'2020'!Pspv,1-EXP((T0-t)*PertePVj)+Pspv)</f>
        <v>1.4610895467505824E-2</v>
      </c>
      <c r="M61" s="832"/>
      <c r="N61" s="832"/>
      <c r="O61" s="48">
        <f>IF(t&lt;Tnet,'2020'!Resal+('2020'!Salim-'2020'!Resal)*(1-EXP(('2020'!Tnet-t)/('2020'!Tau_j))),Resal+(Salim-Resal)*(1-EXP((Tnet-t)/(Tau_j))))*Salcycl</f>
        <v>4.0334833721826412E-2</v>
      </c>
      <c r="P61" s="169">
        <f>(INDEX(Models!$BJ61:$BT61,,T61)*(1-R61)+INDEX(Models!$BJ61:$BT61,,T61+1)*R61-ERP_i)*Q61*Ramure*Pc/MaxiM</f>
        <v>6.2232059159666592E-3</v>
      </c>
      <c r="Q61" s="304">
        <f t="shared" si="2"/>
        <v>0.7</v>
      </c>
      <c r="R61" s="177">
        <f t="shared" si="3"/>
        <v>0.53771374397758809</v>
      </c>
      <c r="S61" s="799">
        <f t="shared" si="4"/>
        <v>-1</v>
      </c>
      <c r="T61" s="176">
        <f t="shared" si="5"/>
        <v>5</v>
      </c>
      <c r="U61" s="250">
        <f t="shared" si="20"/>
        <v>-0.46228625602241186</v>
      </c>
      <c r="V61" s="382">
        <f t="shared" si="6"/>
        <v>38.705440457589312</v>
      </c>
      <c r="W61" s="400"/>
      <c r="X61" s="157">
        <f t="shared" si="7"/>
        <v>44243</v>
      </c>
      <c r="Y61" s="383">
        <f t="shared" si="8"/>
        <v>32.384365000435665</v>
      </c>
      <c r="Z61" s="383">
        <f t="shared" si="9"/>
        <v>32.864545438423569</v>
      </c>
      <c r="AA61" s="384">
        <f t="shared" si="10"/>
        <v>34.245845940079981</v>
      </c>
      <c r="AB61" s="197">
        <f t="shared" si="11"/>
        <v>44243</v>
      </c>
      <c r="AC61" s="119">
        <f>IF(OR(t&lt;Tnet,NoTnet),'2020'!Resal_s+('2020'!Salim-'2020'!Resal_s)*(1-EXP(('2020'!Tnet_s-t)/'2020'!Tau_j)),Resal_s+(Salim-Resal_s)*(1-EXP((Tnet_s-t)/Tau_j)))*Salcycl</f>
        <v>4.0334833721826412E-2</v>
      </c>
      <c r="AD61" s="230">
        <f>(INDEX(Models!$BJ61:$BT61,,AH61)*(1-AF61)+INDEX(Models!$BJ61:$BT61,,AH61+1)*AF61-ERP_i)*AE61*Ramure*Pc/MaxiM</f>
        <v>6.8491331432789741E-3</v>
      </c>
      <c r="AE61" s="304">
        <f t="shared" si="12"/>
        <v>0.7</v>
      </c>
      <c r="AF61" s="177">
        <f t="shared" si="21"/>
        <v>0.60204596623742024</v>
      </c>
      <c r="AG61" s="799">
        <f t="shared" si="22"/>
        <v>-1</v>
      </c>
      <c r="AH61" s="176">
        <f t="shared" si="13"/>
        <v>5</v>
      </c>
      <c r="AI61" s="224">
        <f t="shared" si="23"/>
        <v>-0.39795403376257971</v>
      </c>
      <c r="AJ61" s="264" t="b">
        <f t="shared" si="14"/>
        <v>1</v>
      </c>
      <c r="AK61" s="264" t="b">
        <f t="shared" si="15"/>
        <v>0</v>
      </c>
      <c r="AL61" s="264"/>
      <c r="AM61" s="264"/>
      <c r="AN61" s="75"/>
    </row>
    <row r="62" spans="1:40" s="6" customFormat="1" ht="11.25" x14ac:dyDescent="0.2">
      <c r="A62" s="56">
        <f t="shared" si="16"/>
        <v>44244</v>
      </c>
      <c r="B62" s="607">
        <v>36.384999999999998</v>
      </c>
      <c r="C62" s="388"/>
      <c r="D62" s="391">
        <f t="shared" si="0"/>
        <v>36.925207673014654</v>
      </c>
      <c r="E62" s="383">
        <f t="shared" si="17"/>
        <v>38.478656164895256</v>
      </c>
      <c r="F62" s="383">
        <f t="shared" si="1"/>
        <v>38.684101035723138</v>
      </c>
      <c r="G62" s="110">
        <f t="shared" si="18"/>
        <v>0.93124457349271572</v>
      </c>
      <c r="H62" s="412" t="b">
        <f>Wh_hp&gt;='2020'!Maxi_hp</f>
        <v>1</v>
      </c>
      <c r="I62" s="379">
        <f>IF(H62,Wh_hp,'2020'!Maxi_hp)</f>
        <v>38.684101035723138</v>
      </c>
      <c r="J62" s="85">
        <f>IF(H62,An,'2020'!An_max)</f>
        <v>2021</v>
      </c>
      <c r="K62" s="197">
        <f t="shared" si="19"/>
        <v>44244</v>
      </c>
      <c r="L62" s="147">
        <f>IF(t&lt;Tvie,1-EXP((T0-t)*PertePVj)+'2020'!Pspv,1-EXP((T0-t)*PertePVj)+Pspv)</f>
        <v>1.4629780224890809E-2</v>
      </c>
      <c r="M62" s="832"/>
      <c r="N62" s="832"/>
      <c r="O62" s="48">
        <f>IF(t&lt;Tnet,'2020'!Resal+('2020'!Salim-'2020'!Resal)*(1-EXP(('2020'!Tnet-t)/('2020'!Tau_j))),Resal+(Salim-Resal)*(1-EXP((Tnet-t)/(Tau_j))))*Salcycl</f>
        <v>4.0371692951632725E-2</v>
      </c>
      <c r="P62" s="169">
        <f>(INDEX(Models!$BJ62:$BT62,,T62)*(1-R62)+INDEX(Models!$BJ62:$BT62,,T62+1)*R62-ERP_i)*Q62*Ramure*Pc/MaxiM</f>
        <v>5.8842857224345145E-3</v>
      </c>
      <c r="Q62" s="304">
        <f t="shared" si="2"/>
        <v>0.7</v>
      </c>
      <c r="R62" s="177">
        <f t="shared" si="3"/>
        <v>0.53786606889531319</v>
      </c>
      <c r="S62" s="799">
        <f t="shared" si="4"/>
        <v>-1</v>
      </c>
      <c r="T62" s="176">
        <f t="shared" si="5"/>
        <v>5</v>
      </c>
      <c r="U62" s="250">
        <f t="shared" si="20"/>
        <v>-0.46213393110468681</v>
      </c>
      <c r="V62" s="382">
        <f t="shared" si="6"/>
        <v>39.048843474411107</v>
      </c>
      <c r="W62" s="400"/>
      <c r="X62" s="157">
        <f t="shared" si="7"/>
        <v>44244</v>
      </c>
      <c r="Y62" s="383">
        <f t="shared" si="8"/>
        <v>36.365350355589243</v>
      </c>
      <c r="Z62" s="383">
        <f t="shared" si="9"/>
        <v>36.905266290561222</v>
      </c>
      <c r="AA62" s="384">
        <f t="shared" si="10"/>
        <v>38.457875845779022</v>
      </c>
      <c r="AB62" s="197">
        <f t="shared" si="11"/>
        <v>44244</v>
      </c>
      <c r="AC62" s="119">
        <f>IF(OR(t&lt;Tnet,NoTnet),'2020'!Resal_s+('2020'!Salim-'2020'!Resal_s)*(1-EXP(('2020'!Tnet_s-t)/'2020'!Tau_j)),Resal_s+(Salim-Resal_s)*(1-EXP((Tnet_s-t)/Tau_j)))*Salcycl</f>
        <v>4.0371692951632725E-2</v>
      </c>
      <c r="AD62" s="230">
        <f>(INDEX(Models!$BJ62:$BT62,,AH62)*(1-AF62)+INDEX(Models!$BJ62:$BT62,,AH62+1)*AF62-ERP_i)*AE62*Ramure*Pc/MaxiM</f>
        <v>6.4794689197104644E-3</v>
      </c>
      <c r="AE62" s="304">
        <f t="shared" si="12"/>
        <v>0.7</v>
      </c>
      <c r="AF62" s="177">
        <f t="shared" si="21"/>
        <v>0.60219829115514534</v>
      </c>
      <c r="AG62" s="799">
        <f t="shared" si="22"/>
        <v>-1</v>
      </c>
      <c r="AH62" s="176">
        <f t="shared" si="13"/>
        <v>5</v>
      </c>
      <c r="AI62" s="224">
        <f t="shared" si="23"/>
        <v>-0.39780170884485466</v>
      </c>
      <c r="AJ62" s="264" t="b">
        <f t="shared" si="14"/>
        <v>1</v>
      </c>
      <c r="AK62" s="264" t="b">
        <f t="shared" si="15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16"/>
        <v>44245</v>
      </c>
      <c r="B63" s="607">
        <v>13.214</v>
      </c>
      <c r="C63" s="388"/>
      <c r="D63" s="391">
        <f t="shared" si="0"/>
        <v>13.410445112868066</v>
      </c>
      <c r="E63" s="383">
        <f t="shared" si="17"/>
        <v>13.975160640474417</v>
      </c>
      <c r="F63" s="383">
        <f t="shared" si="1"/>
        <v>13.979079799945605</v>
      </c>
      <c r="G63" s="110">
        <f t="shared" si="18"/>
        <v>0.33368485082017657</v>
      </c>
      <c r="H63" s="412" t="b">
        <f>Wh_hp&gt;='2020'!Maxi_hp</f>
        <v>0</v>
      </c>
      <c r="I63" s="379">
        <f>IF(H63,Wh_hp,'2020'!Maxi_hp)</f>
        <v>38.693234723420318</v>
      </c>
      <c r="J63" s="85">
        <f>IF(H63,An,'2020'!An_max)</f>
        <v>2020</v>
      </c>
      <c r="K63" s="197">
        <f t="shared" si="19"/>
        <v>44245</v>
      </c>
      <c r="L63" s="147">
        <f>IF(t&lt;Tvie,1-EXP((T0-t)*PertePVj)+'2020'!Pspv,1-EXP((T0-t)*PertePVj)+Pspv)</f>
        <v>1.4648664620353746E-2</v>
      </c>
      <c r="M63" s="832"/>
      <c r="N63" s="832"/>
      <c r="O63" s="48">
        <f>IF(t&lt;Tnet,'2020'!Resal+('2020'!Salim-'2020'!Resal)*(1-EXP(('2020'!Tnet-t)/('2020'!Tau_j))),Resal+(Salim-Resal)*(1-EXP((Tnet-t)/(Tau_j))))*Salcycl</f>
        <v>4.0408517807719507E-2</v>
      </c>
      <c r="P63" s="169">
        <f>(INDEX(Models!$BJ63:$BT63,,T63)*(1-R63)+INDEX(Models!$BJ63:$BT63,,T63+1)*R63-ERP_i)*Q63*Ramure*Pc/MaxiM</f>
        <v>5.5362469257475505E-3</v>
      </c>
      <c r="Q63" s="304">
        <f t="shared" si="2"/>
        <v>0.7</v>
      </c>
      <c r="R63" s="177">
        <f t="shared" si="3"/>
        <v>0.5380246598575118</v>
      </c>
      <c r="S63" s="799">
        <f t="shared" si="4"/>
        <v>-1</v>
      </c>
      <c r="T63" s="176">
        <f t="shared" si="5"/>
        <v>5</v>
      </c>
      <c r="U63" s="250">
        <f t="shared" si="20"/>
        <v>-0.4619753401424882</v>
      </c>
      <c r="V63" s="382">
        <f t="shared" si="6"/>
        <v>39.392046676979533</v>
      </c>
      <c r="W63" s="400"/>
      <c r="X63" s="157">
        <f t="shared" si="7"/>
        <v>44245</v>
      </c>
      <c r="Y63" s="383">
        <f t="shared" si="8"/>
        <v>13.213623033835953</v>
      </c>
      <c r="Z63" s="383">
        <f t="shared" si="9"/>
        <v>13.410062542559881</v>
      </c>
      <c r="AA63" s="384">
        <f t="shared" si="10"/>
        <v>13.974761960082516</v>
      </c>
      <c r="AB63" s="197">
        <f t="shared" si="11"/>
        <v>44245</v>
      </c>
      <c r="AC63" s="119">
        <f>IF(OR(t&lt;Tnet,NoTnet),'2020'!Resal_s+('2020'!Salim-'2020'!Resal_s)*(1-EXP(('2020'!Tnet_s-t)/'2020'!Tau_j)),Resal_s+(Salim-Resal_s)*(1-EXP((Tnet_s-t)/Tau_j)))*Salcycl</f>
        <v>4.0408517807719507E-2</v>
      </c>
      <c r="AD63" s="230">
        <f>(INDEX(Models!$BJ63:$BT63,,AH63)*(1-AF63)+INDEX(Models!$BJ63:$BT63,,AH63+1)*AF63-ERP_i)*AE63*Ramure*Pc/MaxiM</f>
        <v>6.0994271459547979E-3</v>
      </c>
      <c r="AE63" s="304">
        <f t="shared" si="12"/>
        <v>0.7</v>
      </c>
      <c r="AF63" s="177">
        <f t="shared" si="21"/>
        <v>0.60235688211734395</v>
      </c>
      <c r="AG63" s="799">
        <f t="shared" si="22"/>
        <v>-1</v>
      </c>
      <c r="AH63" s="176">
        <f t="shared" si="13"/>
        <v>5</v>
      </c>
      <c r="AI63" s="224">
        <f t="shared" si="23"/>
        <v>-0.39764311788265605</v>
      </c>
      <c r="AJ63" s="264" t="b">
        <f t="shared" si="14"/>
        <v>1</v>
      </c>
      <c r="AK63" s="264" t="b">
        <f t="shared" si="15"/>
        <v>0</v>
      </c>
      <c r="AL63" s="264"/>
      <c r="AM63" s="264"/>
      <c r="AN63" s="75"/>
    </row>
    <row r="64" spans="1:40" s="6" customFormat="1" ht="11.25" x14ac:dyDescent="0.2">
      <c r="A64" s="56">
        <f t="shared" si="16"/>
        <v>44246</v>
      </c>
      <c r="B64" s="607">
        <v>37.5</v>
      </c>
      <c r="C64" s="388"/>
      <c r="D64" s="391">
        <f t="shared" si="0"/>
        <v>38.058220805343296</v>
      </c>
      <c r="E64" s="383">
        <f t="shared" si="17"/>
        <v>39.662377775230802</v>
      </c>
      <c r="F64" s="383">
        <f t="shared" si="1"/>
        <v>39.852198656392886</v>
      </c>
      <c r="G64" s="110">
        <f t="shared" si="18"/>
        <v>0.94335894558824274</v>
      </c>
      <c r="H64" s="412" t="b">
        <f>Wh_hp&gt;='2020'!Maxi_hp</f>
        <v>1</v>
      </c>
      <c r="I64" s="379">
        <f>IF(H64,Wh_hp,'2020'!Maxi_hp)</f>
        <v>39.852198656392886</v>
      </c>
      <c r="J64" s="85">
        <f>IF(H64,An,'2020'!An_max)</f>
        <v>2021</v>
      </c>
      <c r="K64" s="197">
        <f t="shared" si="19"/>
        <v>44246</v>
      </c>
      <c r="L64" s="147">
        <f>IF(t&lt;Tvie,1-EXP((T0-t)*PertePVj)+'2020'!Pspv,1-EXP((T0-t)*PertePVj)+Pspv)</f>
        <v>1.4667548653901519E-2</v>
      </c>
      <c r="M64" s="832"/>
      <c r="N64" s="832"/>
      <c r="O64" s="48">
        <f>IF(t&lt;Tnet,'2020'!Resal+('2020'!Salim-'2020'!Resal)*(1-EXP(('2020'!Tnet-t)/('2020'!Tau_j))),Resal+(Salim-Resal)*(1-EXP((Tnet-t)/(Tau_j))))*Salcycl</f>
        <v>4.044530509437351E-2</v>
      </c>
      <c r="P64" s="169">
        <f>(INDEX(Models!$BJ64:$BT64,,T64)*(1-R64)+INDEX(Models!$BJ64:$BT64,,T64+1)*R64-ERP_i)*Q64*Ramure*Pc/MaxiM</f>
        <v>5.1792882113540668E-3</v>
      </c>
      <c r="Q64" s="304">
        <f t="shared" si="2"/>
        <v>0.7</v>
      </c>
      <c r="R64" s="177">
        <f t="shared" si="3"/>
        <v>0.53818976925175899</v>
      </c>
      <c r="S64" s="799">
        <f t="shared" si="4"/>
        <v>-1</v>
      </c>
      <c r="T64" s="176">
        <f t="shared" si="5"/>
        <v>5</v>
      </c>
      <c r="U64" s="250">
        <f t="shared" si="20"/>
        <v>-0.46181023074824101</v>
      </c>
      <c r="V64" s="382">
        <f t="shared" si="6"/>
        <v>39.734948451365241</v>
      </c>
      <c r="W64" s="400"/>
      <c r="X64" s="157">
        <f t="shared" si="7"/>
        <v>44246</v>
      </c>
      <c r="Y64" s="383">
        <f t="shared" si="8"/>
        <v>37.481636286626646</v>
      </c>
      <c r="Z64" s="383">
        <f t="shared" si="9"/>
        <v>38.039583731786792</v>
      </c>
      <c r="AA64" s="384">
        <f t="shared" si="10"/>
        <v>39.642955147572941</v>
      </c>
      <c r="AB64" s="197">
        <f t="shared" si="11"/>
        <v>44246</v>
      </c>
      <c r="AC64" s="119">
        <f>IF(OR(t&lt;Tnet,NoTnet),'2020'!Resal_s+('2020'!Salim-'2020'!Resal_s)*(1-EXP(('2020'!Tnet_s-t)/'2020'!Tau_j)),Resal_s+(Salim-Resal_s)*(1-EXP((Tnet_s-t)/Tau_j)))*Salcycl</f>
        <v>4.044530509437351E-2</v>
      </c>
      <c r="AD64" s="230">
        <f>(INDEX(Models!$BJ64:$BT64,,AH64)*(1-AF64)+INDEX(Models!$BJ64:$BT64,,AH64+1)*AF64-ERP_i)*AE64*Ramure*Pc/MaxiM</f>
        <v>5.7092372129918523E-3</v>
      </c>
      <c r="AE64" s="304">
        <f t="shared" si="12"/>
        <v>0.7</v>
      </c>
      <c r="AF64" s="177">
        <f t="shared" si="21"/>
        <v>0.60252199151159114</v>
      </c>
      <c r="AG64" s="799">
        <f t="shared" si="22"/>
        <v>-1</v>
      </c>
      <c r="AH64" s="176">
        <f t="shared" si="13"/>
        <v>5</v>
      </c>
      <c r="AI64" s="224">
        <f t="shared" si="23"/>
        <v>-0.39747800848840886</v>
      </c>
      <c r="AJ64" s="264" t="b">
        <f t="shared" si="14"/>
        <v>1</v>
      </c>
      <c r="AK64" s="264" t="b">
        <f t="shared" si="15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16"/>
        <v>44247</v>
      </c>
      <c r="B65" s="607">
        <v>34.849000000000004</v>
      </c>
      <c r="C65" s="388"/>
      <c r="D65" s="391">
        <f t="shared" si="0"/>
        <v>35.368436143887429</v>
      </c>
      <c r="E65" s="383">
        <f t="shared" si="17"/>
        <v>36.860630089345392</v>
      </c>
      <c r="F65" s="383">
        <f t="shared" si="1"/>
        <v>37.005559547828234</v>
      </c>
      <c r="G65" s="110">
        <f t="shared" si="18"/>
        <v>0.86875267395938971</v>
      </c>
      <c r="H65" s="412" t="b">
        <f>Wh_hp&gt;='2020'!Maxi_hp</f>
        <v>0</v>
      </c>
      <c r="I65" s="379">
        <f>IF(H65,Wh_hp,'2020'!Maxi_hp)</f>
        <v>42.526823693851945</v>
      </c>
      <c r="J65" s="85">
        <f>IF(H65,An,'2020'!An_max)</f>
        <v>2020</v>
      </c>
      <c r="K65" s="197">
        <f t="shared" si="19"/>
        <v>44247</v>
      </c>
      <c r="L65" s="147">
        <f>IF(t&lt;Tvie,1-EXP((T0-t)*PertePVj)+'2020'!Pspv,1-EXP((T0-t)*PertePVj)+Pspv)</f>
        <v>1.4686432325541121E-2</v>
      </c>
      <c r="M65" s="832"/>
      <c r="N65" s="832"/>
      <c r="O65" s="48">
        <f>IF(t&lt;Tnet,'2020'!Resal+('2020'!Salim-'2020'!Resal)*(1-EXP(('2020'!Tnet-t)/('2020'!Tau_j))),Resal+(Salim-Resal)*(1-EXP((Tnet-t)/(Tau_j))))*Salcycl</f>
        <v>4.0482052038749237E-2</v>
      </c>
      <c r="P65" s="169">
        <f>(INDEX(Models!$BJ65:$BT65,,T65)*(1-R65)+INDEX(Models!$BJ65:$BT65,,T65+1)*R65-ERP_i)*Q65*Ramure*Pc/MaxiM</f>
        <v>4.8135632021443341E-3</v>
      </c>
      <c r="Q65" s="304">
        <f t="shared" si="2"/>
        <v>0.7</v>
      </c>
      <c r="R65" s="177">
        <f t="shared" si="3"/>
        <v>0.53836165917648726</v>
      </c>
      <c r="S65" s="799">
        <f t="shared" si="4"/>
        <v>-1</v>
      </c>
      <c r="T65" s="176">
        <f t="shared" si="5"/>
        <v>5</v>
      </c>
      <c r="U65" s="250">
        <f t="shared" si="20"/>
        <v>-0.46163834082351279</v>
      </c>
      <c r="V65" s="382">
        <f t="shared" si="6"/>
        <v>40.077704173587442</v>
      </c>
      <c r="W65" s="400"/>
      <c r="X65" s="157">
        <f t="shared" si="7"/>
        <v>44247</v>
      </c>
      <c r="Y65" s="383">
        <f t="shared" si="8"/>
        <v>34.834894946949824</v>
      </c>
      <c r="Z65" s="383">
        <f t="shared" si="9"/>
        <v>35.354120850245963</v>
      </c>
      <c r="AA65" s="384">
        <f t="shared" si="10"/>
        <v>36.845710833617161</v>
      </c>
      <c r="AB65" s="197">
        <f t="shared" si="11"/>
        <v>44247</v>
      </c>
      <c r="AC65" s="119">
        <f>IF(OR(t&lt;Tnet,NoTnet),'2020'!Resal_s+('2020'!Salim-'2020'!Resal_s)*(1-EXP(('2020'!Tnet_s-t)/'2020'!Tau_j)),Resal_s+(Salim-Resal_s)*(1-EXP((Tnet_s-t)/Tau_j)))*Salcycl</f>
        <v>4.0482052038749237E-2</v>
      </c>
      <c r="AD65" s="230">
        <f>(INDEX(Models!$BJ65:$BT65,,AH65)*(1-AF65)+INDEX(Models!$BJ65:$BT65,,AH65+1)*AF65-ERP_i)*AE65*Ramure*Pc/MaxiM</f>
        <v>5.3090786144597193E-3</v>
      </c>
      <c r="AE65" s="304">
        <f t="shared" si="12"/>
        <v>0.7</v>
      </c>
      <c r="AF65" s="177">
        <f t="shared" si="21"/>
        <v>0.60269388143631941</v>
      </c>
      <c r="AG65" s="799">
        <f t="shared" si="22"/>
        <v>-1</v>
      </c>
      <c r="AH65" s="176">
        <f t="shared" si="13"/>
        <v>5</v>
      </c>
      <c r="AI65" s="224">
        <f t="shared" si="23"/>
        <v>-0.39730611856368064</v>
      </c>
      <c r="AJ65" s="264" t="b">
        <f t="shared" si="14"/>
        <v>1</v>
      </c>
      <c r="AK65" s="264" t="b">
        <f t="shared" si="15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16"/>
        <v>44248</v>
      </c>
      <c r="B66" s="607">
        <v>12.231</v>
      </c>
      <c r="C66" s="388"/>
      <c r="D66" s="391">
        <f t="shared" si="0"/>
        <v>12.413545098831086</v>
      </c>
      <c r="E66" s="383">
        <f t="shared" si="17"/>
        <v>12.93776734142924</v>
      </c>
      <c r="F66" s="383">
        <f t="shared" si="1"/>
        <v>12.937980886583127</v>
      </c>
      <c r="G66" s="110">
        <f t="shared" si="18"/>
        <v>0.30125539189634304</v>
      </c>
      <c r="H66" s="412" t="b">
        <f>Wh_hp&gt;='2020'!Maxi_hp</f>
        <v>0</v>
      </c>
      <c r="I66" s="379">
        <f>IF(H66,Wh_hp,'2020'!Maxi_hp)</f>
        <v>17.7798438213004</v>
      </c>
      <c r="J66" s="85">
        <f>IF(H66,An,'2020'!An_max)</f>
        <v>2020</v>
      </c>
      <c r="K66" s="197">
        <f t="shared" si="19"/>
        <v>44248</v>
      </c>
      <c r="L66" s="147">
        <f>IF(t&lt;Tvie,1-EXP((T0-t)*PertePVj)+'2020'!Pspv,1-EXP((T0-t)*PertePVj)+Pspv)</f>
        <v>1.4705315635279437E-2</v>
      </c>
      <c r="M66" s="832"/>
      <c r="N66" s="832"/>
      <c r="O66" s="48">
        <f>IF(t&lt;Tnet,'2020'!Resal+('2020'!Salim-'2020'!Resal)*(1-EXP(('2020'!Tnet-t)/('2020'!Tau_j))),Resal+(Salim-Resal)*(1-EXP((Tnet-t)/(Tau_j))))*Salcycl</f>
        <v>4.0518756348283676E-2</v>
      </c>
      <c r="P66" s="169">
        <f>(INDEX(Models!$BJ66:$BT66,,T66)*(1-R66)+INDEX(Models!$BJ66:$BT66,,T66+1)*R66-ERP_i)*Q66*Ramure*Pc/MaxiM</f>
        <v>4.4492810663537882E-3</v>
      </c>
      <c r="Q66" s="304">
        <f t="shared" si="2"/>
        <v>0.7</v>
      </c>
      <c r="R66" s="177">
        <f t="shared" si="3"/>
        <v>0.53854060177591645</v>
      </c>
      <c r="S66" s="799">
        <f t="shared" si="4"/>
        <v>-1</v>
      </c>
      <c r="T66" s="176">
        <f t="shared" si="5"/>
        <v>5</v>
      </c>
      <c r="U66" s="250">
        <f t="shared" si="20"/>
        <v>-0.46145939822408349</v>
      </c>
      <c r="V66" s="382">
        <f t="shared" si="6"/>
        <v>40.420129073766979</v>
      </c>
      <c r="W66" s="400"/>
      <c r="X66" s="157">
        <f t="shared" si="7"/>
        <v>44248</v>
      </c>
      <c r="Y66" s="383">
        <f t="shared" si="8"/>
        <v>12.230979097159933</v>
      </c>
      <c r="Z66" s="383">
        <f t="shared" si="9"/>
        <v>12.413523884020535</v>
      </c>
      <c r="AA66" s="384">
        <f t="shared" si="10"/>
        <v>12.937745230720259</v>
      </c>
      <c r="AB66" s="197">
        <f t="shared" si="11"/>
        <v>44248</v>
      </c>
      <c r="AC66" s="119">
        <f>IF(OR(t&lt;Tnet,NoTnet),'2020'!Resal_s+('2020'!Salim-'2020'!Resal_s)*(1-EXP(('2020'!Tnet_s-t)/'2020'!Tau_j)),Resal_s+(Salim-Resal_s)*(1-EXP((Tnet_s-t)/Tau_j)))*Salcycl</f>
        <v>4.0518756348283676E-2</v>
      </c>
      <c r="AD66" s="230">
        <f>(INDEX(Models!$BJ66:$BT66,,AH66)*(1-AF66)+INDEX(Models!$BJ66:$BT66,,AH66+1)*AF66-ERP_i)*AE66*Ramure*Pc/MaxiM</f>
        <v>4.9099647065680698E-3</v>
      </c>
      <c r="AE66" s="304">
        <f t="shared" si="12"/>
        <v>0.7</v>
      </c>
      <c r="AF66" s="177">
        <f t="shared" si="21"/>
        <v>0.6028728240357486</v>
      </c>
      <c r="AG66" s="799">
        <f t="shared" si="22"/>
        <v>-1</v>
      </c>
      <c r="AH66" s="176">
        <f t="shared" si="13"/>
        <v>5</v>
      </c>
      <c r="AI66" s="224">
        <f t="shared" si="23"/>
        <v>-0.39712717596425134</v>
      </c>
      <c r="AJ66" s="264" t="b">
        <f t="shared" si="14"/>
        <v>1</v>
      </c>
      <c r="AK66" s="264" t="b">
        <f t="shared" si="15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16"/>
        <v>44249</v>
      </c>
      <c r="B67" s="607">
        <v>5.4750000000000005</v>
      </c>
      <c r="C67" s="388"/>
      <c r="D67" s="391">
        <f t="shared" si="0"/>
        <v>5.5568197170037799</v>
      </c>
      <c r="E67" s="383">
        <f t="shared" si="17"/>
        <v>5.7917047125037184</v>
      </c>
      <c r="F67" s="383">
        <f t="shared" si="1"/>
        <v>5.7917047125037184</v>
      </c>
      <c r="G67" s="110">
        <f t="shared" si="18"/>
        <v>0.13376667287508581</v>
      </c>
      <c r="H67" s="412" t="b">
        <f>Wh_hp&gt;='2020'!Maxi_hp</f>
        <v>0</v>
      </c>
      <c r="I67" s="379">
        <f>IF(H67,Wh_hp,'2020'!Maxi_hp)</f>
        <v>41.235374874521426</v>
      </c>
      <c r="J67" s="85">
        <f>IF(H67,An,'2020'!An_max)</f>
        <v>2020</v>
      </c>
      <c r="K67" s="197">
        <f t="shared" si="19"/>
        <v>44249</v>
      </c>
      <c r="L67" s="147">
        <f>IF(t&lt;Tvie,1-EXP((T0-t)*PertePVj)+'2020'!Pspv,1-EXP((T0-t)*PertePVj)+Pspv)</f>
        <v>1.472419858312346E-2</v>
      </c>
      <c r="M67" s="832"/>
      <c r="N67" s="832"/>
      <c r="O67" s="48">
        <f>IF(t&lt;Tnet,'2020'!Resal+('2020'!Salim-'2020'!Resal)*(1-EXP(('2020'!Tnet-t)/('2020'!Tau_j))),Resal+(Salim-Resal)*(1-EXP((Tnet-t)/(Tau_j))))*Salcycl</f>
        <v>4.0555416265066951E-2</v>
      </c>
      <c r="P67" s="169">
        <f>(INDEX(Models!$BJ67:$BT67,,T67)*(1-R67)+INDEX(Models!$BJ67:$BT67,,T67+1)*R67-ERP_i)*Q67*Ramure*Pc/MaxiM</f>
        <v>4.0996646157185545E-3</v>
      </c>
      <c r="Q67" s="304">
        <f t="shared" si="2"/>
        <v>0.7</v>
      </c>
      <c r="R67" s="177">
        <f t="shared" si="3"/>
        <v>0.53872687958317189</v>
      </c>
      <c r="S67" s="799">
        <f t="shared" si="4"/>
        <v>-1</v>
      </c>
      <c r="T67" s="176">
        <f t="shared" si="5"/>
        <v>5</v>
      </c>
      <c r="U67" s="250">
        <f t="shared" si="20"/>
        <v>-0.46127312041682805</v>
      </c>
      <c r="V67" s="382">
        <f t="shared" si="6"/>
        <v>40.761680163194711</v>
      </c>
      <c r="W67" s="400"/>
      <c r="X67" s="157">
        <f t="shared" si="7"/>
        <v>44249</v>
      </c>
      <c r="Y67" s="383">
        <f t="shared" si="8"/>
        <v>5.4750000000000005</v>
      </c>
      <c r="Z67" s="383">
        <f t="shared" si="9"/>
        <v>5.5568197170037799</v>
      </c>
      <c r="AA67" s="384">
        <f t="shared" si="10"/>
        <v>5.7917047125037184</v>
      </c>
      <c r="AB67" s="197">
        <f t="shared" si="11"/>
        <v>44249</v>
      </c>
      <c r="AC67" s="119">
        <f>IF(OR(t&lt;Tnet,NoTnet),'2020'!Resal_s+('2020'!Salim-'2020'!Resal_s)*(1-EXP(('2020'!Tnet_s-t)/'2020'!Tau_j)),Resal_s+(Salim-Resal_s)*(1-EXP((Tnet_s-t)/Tau_j)))*Salcycl</f>
        <v>4.0555416265066951E-2</v>
      </c>
      <c r="AD67" s="230">
        <f>(INDEX(Models!$BJ67:$BT67,,AH67)*(1-AF67)+INDEX(Models!$BJ67:$BT67,,AH67+1)*AF67-ERP_i)*AE67*Ramure*Pc/MaxiM</f>
        <v>4.5264365189706633E-3</v>
      </c>
      <c r="AE67" s="304">
        <f t="shared" si="12"/>
        <v>0.7</v>
      </c>
      <c r="AF67" s="177">
        <f t="shared" si="21"/>
        <v>0.60305910184300404</v>
      </c>
      <c r="AG67" s="799">
        <f t="shared" si="22"/>
        <v>-1</v>
      </c>
      <c r="AH67" s="176">
        <f t="shared" si="13"/>
        <v>5</v>
      </c>
      <c r="AI67" s="224">
        <f t="shared" si="23"/>
        <v>-0.3969408981569959</v>
      </c>
      <c r="AJ67" s="264" t="b">
        <f t="shared" si="14"/>
        <v>1</v>
      </c>
      <c r="AK67" s="264" t="b">
        <f t="shared" si="15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16"/>
        <v>44250</v>
      </c>
      <c r="B68" s="607">
        <v>29.141999999999999</v>
      </c>
      <c r="C68" s="388"/>
      <c r="D68" s="391">
        <f t="shared" si="0"/>
        <v>29.578071915068747</v>
      </c>
      <c r="E68" s="383">
        <f t="shared" si="17"/>
        <v>30.829504088944123</v>
      </c>
      <c r="F68" s="383">
        <f t="shared" si="1"/>
        <v>30.897462843546062</v>
      </c>
      <c r="G68" s="110">
        <f t="shared" si="18"/>
        <v>0.70789847812098938</v>
      </c>
      <c r="H68" s="412" t="b">
        <f>Wh_hp&gt;='2020'!Maxi_hp</f>
        <v>0</v>
      </c>
      <c r="I68" s="379">
        <f>IF(H68,Wh_hp,'2020'!Maxi_hp)</f>
        <v>41.868249695321026</v>
      </c>
      <c r="J68" s="85">
        <f>IF(H68,An,'2020'!An_max)</f>
        <v>2020</v>
      </c>
      <c r="K68" s="197">
        <f t="shared" si="19"/>
        <v>44250</v>
      </c>
      <c r="L68" s="147">
        <f>IF(t&lt;Tvie,1-EXP((T0-t)*PertePVj)+'2020'!Pspv,1-EXP((T0-t)*PertePVj)+Pspv)</f>
        <v>1.4743081169080074E-2</v>
      </c>
      <c r="M68" s="832"/>
      <c r="N68" s="832"/>
      <c r="O68" s="48">
        <f>IF(t&lt;Tnet,'2020'!Resal+('2020'!Salim-'2020'!Resal)*(1-EXP(('2020'!Tnet-t)/('2020'!Tau_j))),Resal+(Salim-Resal)*(1-EXP((Tnet-t)/(Tau_j))))*Salcycl</f>
        <v>4.0592030616676635E-2</v>
      </c>
      <c r="P68" s="169">
        <f>(INDEX(Models!$BJ68:$BT68,,T68)*(1-R68)+INDEX(Models!$BJ68:$BT68,,T68+1)*R68-ERP_i)*Q68*Ramure*Pc/MaxiM</f>
        <v>3.7643177966848328E-3</v>
      </c>
      <c r="Q68" s="304">
        <f t="shared" si="2"/>
        <v>0.7</v>
      </c>
      <c r="R68" s="177">
        <f t="shared" si="3"/>
        <v>0.53892078587147418</v>
      </c>
      <c r="S68" s="799">
        <f t="shared" si="4"/>
        <v>-1</v>
      </c>
      <c r="T68" s="176">
        <f t="shared" si="5"/>
        <v>5</v>
      </c>
      <c r="U68" s="250">
        <f t="shared" si="20"/>
        <v>-0.46107921412852576</v>
      </c>
      <c r="V68" s="382">
        <f t="shared" si="6"/>
        <v>41.102358959208736</v>
      </c>
      <c r="W68" s="400"/>
      <c r="X68" s="157">
        <f t="shared" si="7"/>
        <v>44250</v>
      </c>
      <c r="Y68" s="383">
        <f t="shared" si="8"/>
        <v>29.13528049781992</v>
      </c>
      <c r="Z68" s="383">
        <f t="shared" si="9"/>
        <v>29.571251864327003</v>
      </c>
      <c r="AA68" s="384">
        <f t="shared" si="10"/>
        <v>30.822395485556008</v>
      </c>
      <c r="AB68" s="197">
        <f t="shared" si="11"/>
        <v>44250</v>
      </c>
      <c r="AC68" s="119">
        <f>IF(OR(t&lt;Tnet,NoTnet),'2020'!Resal_s+('2020'!Salim-'2020'!Resal_s)*(1-EXP(('2020'!Tnet_s-t)/'2020'!Tau_j)),Resal_s+(Salim-Resal_s)*(1-EXP((Tnet_s-t)/Tau_j)))*Salcycl</f>
        <v>4.0592030616676635E-2</v>
      </c>
      <c r="AD68" s="230">
        <f>(INDEX(Models!$BJ68:$BT68,,AH68)*(1-AF68)+INDEX(Models!$BJ68:$BT68,,AH68+1)*AF68-ERP_i)*AE68*Ramure*Pc/MaxiM</f>
        <v>4.1580719553683644E-3</v>
      </c>
      <c r="AE68" s="304">
        <f t="shared" si="12"/>
        <v>0.7</v>
      </c>
      <c r="AF68" s="177">
        <f t="shared" si="21"/>
        <v>0.60325300813130633</v>
      </c>
      <c r="AG68" s="799">
        <f t="shared" si="22"/>
        <v>-1</v>
      </c>
      <c r="AH68" s="176">
        <f t="shared" si="13"/>
        <v>5</v>
      </c>
      <c r="AI68" s="224">
        <f t="shared" si="23"/>
        <v>-0.39674699186869361</v>
      </c>
      <c r="AJ68" s="264" t="b">
        <f t="shared" si="14"/>
        <v>1</v>
      </c>
      <c r="AK68" s="264" t="b">
        <f t="shared" si="15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16"/>
        <v>44251</v>
      </c>
      <c r="B69" s="607">
        <v>37.194000000000003</v>
      </c>
      <c r="C69" s="388"/>
      <c r="D69" s="391">
        <f t="shared" si="0"/>
        <v>37.751283058555074</v>
      </c>
      <c r="E69" s="383">
        <f t="shared" si="17"/>
        <v>39.350019204048877</v>
      </c>
      <c r="F69" s="383">
        <f t="shared" si="1"/>
        <v>39.465998125029969</v>
      </c>
      <c r="G69" s="110">
        <f t="shared" si="18"/>
        <v>0.89703787202514118</v>
      </c>
      <c r="H69" s="412" t="b">
        <f>Wh_hp&gt;='2020'!Maxi_hp</f>
        <v>0</v>
      </c>
      <c r="I69" s="379">
        <f>IF(H69,Wh_hp,'2020'!Maxi_hp)</f>
        <v>42.008924715628446</v>
      </c>
      <c r="J69" s="85">
        <f>IF(H69,An,'2020'!An_max)</f>
        <v>2020</v>
      </c>
      <c r="K69" s="197">
        <f t="shared" si="19"/>
        <v>44251</v>
      </c>
      <c r="L69" s="147">
        <f>IF(t&lt;Tvie,1-EXP((T0-t)*PertePVj)+'2020'!Pspv,1-EXP((T0-t)*PertePVj)+Pspv)</f>
        <v>1.4761963393156274E-2</v>
      </c>
      <c r="M69" s="832"/>
      <c r="N69" s="832"/>
      <c r="O69" s="48">
        <f>IF(t&lt;Tnet,'2020'!Resal+('2020'!Salim-'2020'!Resal)*(1-EXP(('2020'!Tnet-t)/('2020'!Tau_j))),Resal+(Salim-Resal)*(1-EXP((Tnet-t)/(Tau_j))))*Salcycl</f>
        <v>4.0628598863029365E-2</v>
      </c>
      <c r="P69" s="169">
        <f>(INDEX(Models!$BJ69:$BT69,,T69)*(1-R69)+INDEX(Models!$BJ69:$BT69,,T69+1)*R69-ERP_i)*Q69*Ramure*Pc/MaxiM</f>
        <v>3.4428819831688316E-3</v>
      </c>
      <c r="Q69" s="304">
        <f t="shared" si="2"/>
        <v>0.7</v>
      </c>
      <c r="R69" s="177">
        <f t="shared" si="3"/>
        <v>0.53912262501324881</v>
      </c>
      <c r="S69" s="799">
        <f t="shared" si="4"/>
        <v>-1</v>
      </c>
      <c r="T69" s="176">
        <f t="shared" si="5"/>
        <v>5</v>
      </c>
      <c r="U69" s="250">
        <f t="shared" si="20"/>
        <v>-0.46087737498675113</v>
      </c>
      <c r="V69" s="382">
        <f t="shared" si="6"/>
        <v>41.442165961765483</v>
      </c>
      <c r="W69" s="400"/>
      <c r="X69" s="157">
        <f t="shared" si="7"/>
        <v>44251</v>
      </c>
      <c r="Y69" s="383">
        <f t="shared" si="8"/>
        <v>37.182486097047438</v>
      </c>
      <c r="Z69" s="383">
        <f t="shared" si="9"/>
        <v>37.739596641136373</v>
      </c>
      <c r="AA69" s="384">
        <f t="shared" si="10"/>
        <v>39.337837876353632</v>
      </c>
      <c r="AB69" s="197">
        <f t="shared" si="11"/>
        <v>44251</v>
      </c>
      <c r="AC69" s="119">
        <f>IF(OR(t&lt;Tnet,NoTnet),'2020'!Resal_s+('2020'!Salim-'2020'!Resal_s)*(1-EXP(('2020'!Tnet_s-t)/'2020'!Tau_j)),Resal_s+(Salim-Resal_s)*(1-EXP((Tnet_s-t)/Tau_j)))*Salcycl</f>
        <v>4.0628598863029365E-2</v>
      </c>
      <c r="AD69" s="230">
        <f>(INDEX(Models!$BJ69:$BT69,,AH69)*(1-AF69)+INDEX(Models!$BJ69:$BT69,,AH69+1)*AF69-ERP_i)*AE69*Ramure*Pc/MaxiM</f>
        <v>3.8044897072126316E-3</v>
      </c>
      <c r="AE69" s="304">
        <f t="shared" si="12"/>
        <v>0.7</v>
      </c>
      <c r="AF69" s="177">
        <f t="shared" si="21"/>
        <v>0.60345484727308096</v>
      </c>
      <c r="AG69" s="799">
        <f t="shared" si="22"/>
        <v>-1</v>
      </c>
      <c r="AH69" s="176">
        <f t="shared" si="13"/>
        <v>5</v>
      </c>
      <c r="AI69" s="224">
        <f t="shared" si="23"/>
        <v>-0.39654515272691898</v>
      </c>
      <c r="AJ69" s="264" t="b">
        <f t="shared" si="14"/>
        <v>1</v>
      </c>
      <c r="AK69" s="264" t="b">
        <f t="shared" si="15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16"/>
        <v>44252</v>
      </c>
      <c r="B70" s="607">
        <v>36.295999999999999</v>
      </c>
      <c r="C70" s="388"/>
      <c r="D70" s="391">
        <f t="shared" si="0"/>
        <v>36.840534235662076</v>
      </c>
      <c r="E70" s="383">
        <f t="shared" si="17"/>
        <v>38.402162839525396</v>
      </c>
      <c r="F70" s="383">
        <f t="shared" si="1"/>
        <v>38.500224990742687</v>
      </c>
      <c r="G70" s="110">
        <f t="shared" si="18"/>
        <v>0.86820604530517498</v>
      </c>
      <c r="H70" s="412" t="b">
        <f>Wh_hp&gt;='2020'!Maxi_hp</f>
        <v>1</v>
      </c>
      <c r="I70" s="379">
        <f>IF(H70,Wh_hp,'2020'!Maxi_hp)</f>
        <v>38.500224990742687</v>
      </c>
      <c r="J70" s="85">
        <f>IF(H70,An,'2020'!An_max)</f>
        <v>2021</v>
      </c>
      <c r="K70" s="197">
        <f t="shared" si="19"/>
        <v>44252</v>
      </c>
      <c r="L70" s="147">
        <f>IF(t&lt;Tvie,1-EXP((T0-t)*PertePVj)+'2020'!Pspv,1-EXP((T0-t)*PertePVj)+Pspv)</f>
        <v>1.4780845255358943E-2</v>
      </c>
      <c r="M70" s="832"/>
      <c r="N70" s="832"/>
      <c r="O70" s="48">
        <f>IF(t&lt;Tnet,'2020'!Resal+('2020'!Salim-'2020'!Resal)*(1-EXP(('2020'!Tnet-t)/('2020'!Tau_j))),Resal+(Salim-Resal)*(1-EXP((Tnet-t)/(Tau_j))))*Salcycl</f>
        <v>4.0665121138854544E-2</v>
      </c>
      <c r="P70" s="169">
        <f>(INDEX(Models!$BJ70:$BT70,,T70)*(1-R70)+INDEX(Models!$BJ70:$BT70,,T70+1)*R70-ERP_i)*Q70*Ramure*Pc/MaxiM</f>
        <v>3.1350113976073607E-3</v>
      </c>
      <c r="Q70" s="304">
        <f t="shared" si="2"/>
        <v>0.7</v>
      </c>
      <c r="R70" s="177">
        <f t="shared" si="3"/>
        <v>0.53933271284695772</v>
      </c>
      <c r="S70" s="799">
        <f t="shared" si="4"/>
        <v>-1</v>
      </c>
      <c r="T70" s="176">
        <f t="shared" si="5"/>
        <v>5</v>
      </c>
      <c r="U70" s="250">
        <f t="shared" si="20"/>
        <v>-0.46066728715304228</v>
      </c>
      <c r="V70" s="382">
        <f t="shared" si="6"/>
        <v>41.78110161688241</v>
      </c>
      <c r="W70" s="400"/>
      <c r="X70" s="157">
        <f t="shared" si="7"/>
        <v>44252</v>
      </c>
      <c r="Y70" s="383">
        <f t="shared" si="8"/>
        <v>36.286234643328136</v>
      </c>
      <c r="Z70" s="383">
        <f t="shared" si="9"/>
        <v>36.830622373286239</v>
      </c>
      <c r="AA70" s="384">
        <f t="shared" si="10"/>
        <v>38.391830824507238</v>
      </c>
      <c r="AB70" s="197">
        <f t="shared" si="11"/>
        <v>44252</v>
      </c>
      <c r="AC70" s="119">
        <f>IF(OR(t&lt;Tnet,NoTnet),'2020'!Resal_s+('2020'!Salim-'2020'!Resal_s)*(1-EXP(('2020'!Tnet_s-t)/'2020'!Tau_j)),Resal_s+(Salim-Resal_s)*(1-EXP((Tnet_s-t)/Tau_j)))*Salcycl</f>
        <v>4.0665121138854544E-2</v>
      </c>
      <c r="AD70" s="230">
        <f>(INDEX(Models!$BJ70:$BT70,,AH70)*(1-AF70)+INDEX(Models!$BJ70:$BT70,,AH70+1)*AF70-ERP_i)*AE70*Ramure*Pc/MaxiM</f>
        <v>3.4653221692975723E-3</v>
      </c>
      <c r="AE70" s="304">
        <f t="shared" si="12"/>
        <v>0.7</v>
      </c>
      <c r="AF70" s="177">
        <f t="shared" si="21"/>
        <v>0.60366493510678987</v>
      </c>
      <c r="AG70" s="799">
        <f t="shared" si="22"/>
        <v>-1</v>
      </c>
      <c r="AH70" s="176">
        <f t="shared" si="13"/>
        <v>5</v>
      </c>
      <c r="AI70" s="224">
        <f t="shared" si="23"/>
        <v>-0.39633506489321013</v>
      </c>
      <c r="AJ70" s="264" t="b">
        <f t="shared" si="14"/>
        <v>1</v>
      </c>
      <c r="AK70" s="264" t="b">
        <f t="shared" si="15"/>
        <v>0</v>
      </c>
      <c r="AL70" s="264"/>
      <c r="AM70" s="264"/>
      <c r="AN70" s="75"/>
    </row>
    <row r="71" spans="1:40" s="6" customFormat="1" ht="11.25" x14ac:dyDescent="0.2">
      <c r="A71" s="56">
        <f t="shared" si="16"/>
        <v>44253</v>
      </c>
      <c r="B71" s="607">
        <v>9.5590000000000011</v>
      </c>
      <c r="C71" s="388"/>
      <c r="D71" s="391">
        <f t="shared" si="0"/>
        <v>9.7025957661601332</v>
      </c>
      <c r="E71" s="383">
        <f t="shared" si="17"/>
        <v>10.114262411862027</v>
      </c>
      <c r="F71" s="383">
        <f t="shared" si="1"/>
        <v>10.114262411862027</v>
      </c>
      <c r="G71" s="110">
        <f t="shared" si="18"/>
        <v>0.22630668440686702</v>
      </c>
      <c r="H71" s="412" t="b">
        <f>Wh_hp&gt;='2020'!Maxi_hp</f>
        <v>0</v>
      </c>
      <c r="I71" s="379">
        <f>IF(H71,Wh_hp,'2020'!Maxi_hp)</f>
        <v>16.349080533431195</v>
      </c>
      <c r="J71" s="85">
        <f>IF(H71,An,'2020'!An_max)</f>
        <v>2020</v>
      </c>
      <c r="K71" s="197">
        <f t="shared" si="19"/>
        <v>44253</v>
      </c>
      <c r="L71" s="147">
        <f>IF(t&lt;Tvie,1-EXP((T0-t)*PertePVj)+'2020'!Pspv,1-EXP((T0-t)*PertePVj)+Pspv)</f>
        <v>1.4799726755694964E-2</v>
      </c>
      <c r="M71" s="832"/>
      <c r="N71" s="832"/>
      <c r="O71" s="48">
        <f>IF(t&lt;Tnet,'2020'!Resal+('2020'!Salim-'2020'!Resal)*(1-EXP(('2020'!Tnet-t)/('2020'!Tau_j))),Resal+(Salim-Resal)*(1-EXP((Tnet-t)/(Tau_j))))*Salcycl</f>
        <v>4.0701598291447316E-2</v>
      </c>
      <c r="P71" s="169">
        <f>(INDEX(Models!$BJ71:$BT71,,T71)*(1-R71)+INDEX(Models!$BJ71:$BT71,,T71+1)*R71-ERP_i)*Q71*Ramure*Pc/MaxiM</f>
        <v>2.8403724258817807E-3</v>
      </c>
      <c r="Q71" s="304">
        <f t="shared" si="2"/>
        <v>0.7</v>
      </c>
      <c r="R71" s="177">
        <f t="shared" si="3"/>
        <v>0.53955137705140999</v>
      </c>
      <c r="S71" s="799">
        <f t="shared" si="4"/>
        <v>-1</v>
      </c>
      <c r="T71" s="176">
        <f t="shared" si="5"/>
        <v>5</v>
      </c>
      <c r="U71" s="250">
        <f t="shared" si="20"/>
        <v>-0.46044862294859007</v>
      </c>
      <c r="V71" s="382">
        <f t="shared" si="6"/>
        <v>42.119166320532088</v>
      </c>
      <c r="W71" s="400"/>
      <c r="X71" s="157">
        <f t="shared" si="7"/>
        <v>44253</v>
      </c>
      <c r="Y71" s="383">
        <f t="shared" si="8"/>
        <v>9.5590000000000011</v>
      </c>
      <c r="Z71" s="383">
        <f t="shared" si="9"/>
        <v>9.7025957661601332</v>
      </c>
      <c r="AA71" s="384">
        <f t="shared" si="10"/>
        <v>10.114262411862027</v>
      </c>
      <c r="AB71" s="197">
        <f t="shared" si="11"/>
        <v>44253</v>
      </c>
      <c r="AC71" s="119">
        <f>IF(OR(t&lt;Tnet,NoTnet),'2020'!Resal_s+('2020'!Salim-'2020'!Resal_s)*(1-EXP(('2020'!Tnet_s-t)/'2020'!Tau_j)),Resal_s+(Salim-Resal_s)*(1-EXP((Tnet_s-t)/Tau_j)))*Salcycl</f>
        <v>4.0701598291447316E-2</v>
      </c>
      <c r="AD71" s="230">
        <f>(INDEX(Models!$BJ71:$BT71,,AH71)*(1-AF71)+INDEX(Models!$BJ71:$BT71,,AH71+1)*AF71-ERP_i)*AE71*Ramure*Pc/MaxiM</f>
        <v>3.1402147070303576E-3</v>
      </c>
      <c r="AE71" s="304">
        <f t="shared" si="12"/>
        <v>0.7</v>
      </c>
      <c r="AF71" s="177">
        <f t="shared" si="21"/>
        <v>0.60388359931124214</v>
      </c>
      <c r="AG71" s="799">
        <f t="shared" si="22"/>
        <v>-1</v>
      </c>
      <c r="AH71" s="176">
        <f t="shared" si="13"/>
        <v>5</v>
      </c>
      <c r="AI71" s="224">
        <f t="shared" si="23"/>
        <v>-0.39611640068875792</v>
      </c>
      <c r="AJ71" s="264" t="b">
        <f t="shared" si="14"/>
        <v>1</v>
      </c>
      <c r="AK71" s="264" t="b">
        <f t="shared" si="15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16"/>
        <v>44254</v>
      </c>
      <c r="B72" s="607">
        <v>40.747999999999998</v>
      </c>
      <c r="C72" s="388"/>
      <c r="D72" s="391">
        <f t="shared" si="0"/>
        <v>41.360911124093612</v>
      </c>
      <c r="E72" s="383">
        <f t="shared" si="17"/>
        <v>43.117430378893395</v>
      </c>
      <c r="F72" s="383">
        <f t="shared" si="1"/>
        <v>43.222165638946798</v>
      </c>
      <c r="G72" s="110">
        <f t="shared" si="18"/>
        <v>0.95963164308245663</v>
      </c>
      <c r="H72" s="412" t="b">
        <f>Wh_hp&gt;='2020'!Maxi_hp</f>
        <v>1</v>
      </c>
      <c r="I72" s="379">
        <f>IF(H72,Wh_hp,'2020'!Maxi_hp)</f>
        <v>43.222165638946798</v>
      </c>
      <c r="J72" s="85">
        <f>IF(H72,An,'2020'!An_max)</f>
        <v>2021</v>
      </c>
      <c r="K72" s="197">
        <f t="shared" si="19"/>
        <v>44254</v>
      </c>
      <c r="L72" s="147">
        <f>IF(t&lt;Tvie,1-EXP((T0-t)*PertePVj)+'2020'!Pspv,1-EXP((T0-t)*PertePVj)+Pspv)</f>
        <v>1.4818607894171443E-2</v>
      </c>
      <c r="M72" s="832"/>
      <c r="N72" s="832"/>
      <c r="O72" s="48">
        <f>IF(t&lt;Tnet,'2020'!Resal+('2020'!Salim-'2020'!Resal)*(1-EXP(('2020'!Tnet-t)/('2020'!Tau_j))),Resal+(Salim-Resal)*(1-EXP((Tnet-t)/(Tau_j))))*Salcycl</f>
        <v>4.0738031913414442E-2</v>
      </c>
      <c r="P72" s="169">
        <f>(INDEX(Models!$BJ72:$BT72,,T72)*(1-R72)+INDEX(Models!$BJ72:$BT72,,T72+1)*R72-ERP_i)*Q72*Ramure*Pc/MaxiM</f>
        <v>2.5709248156066712E-3</v>
      </c>
      <c r="Q72" s="304">
        <f t="shared" si="2"/>
        <v>0.7</v>
      </c>
      <c r="R72" s="177">
        <f t="shared" si="3"/>
        <v>0.53977895752725802</v>
      </c>
      <c r="S72" s="799">
        <f t="shared" si="4"/>
        <v>-1</v>
      </c>
      <c r="T72" s="176">
        <f t="shared" si="5"/>
        <v>5</v>
      </c>
      <c r="U72" s="250">
        <f t="shared" si="20"/>
        <v>-0.46022104247274193</v>
      </c>
      <c r="V72" s="382">
        <f t="shared" si="6"/>
        <v>42.455837640857418</v>
      </c>
      <c r="W72" s="400"/>
      <c r="X72" s="157">
        <f t="shared" si="7"/>
        <v>44254</v>
      </c>
      <c r="Y72" s="383">
        <f t="shared" si="8"/>
        <v>40.737547363199717</v>
      </c>
      <c r="Z72" s="383">
        <f t="shared" si="9"/>
        <v>41.35030126393584</v>
      </c>
      <c r="AA72" s="384">
        <f t="shared" si="10"/>
        <v>43.106369938147544</v>
      </c>
      <c r="AB72" s="197">
        <f t="shared" si="11"/>
        <v>44254</v>
      </c>
      <c r="AC72" s="119">
        <f>IF(OR(t&lt;Tnet,NoTnet),'2020'!Resal_s+('2020'!Salim-'2020'!Resal_s)*(1-EXP(('2020'!Tnet_s-t)/'2020'!Tau_j)),Resal_s+(Salim-Resal_s)*(1-EXP((Tnet_s-t)/Tau_j)))*Salcycl</f>
        <v>4.0738031913414442E-2</v>
      </c>
      <c r="AD72" s="230">
        <f>(INDEX(Models!$BJ72:$BT72,,AH72)*(1-AF72)+INDEX(Models!$BJ72:$BT72,,AH72+1)*AF72-ERP_i)*AE72*Ramure*Pc/MaxiM</f>
        <v>2.8424242282261286E-3</v>
      </c>
      <c r="AE72" s="304">
        <f t="shared" si="12"/>
        <v>0.7</v>
      </c>
      <c r="AF72" s="177">
        <f t="shared" si="21"/>
        <v>0.60411117978709017</v>
      </c>
      <c r="AG72" s="799">
        <f t="shared" si="22"/>
        <v>-1</v>
      </c>
      <c r="AH72" s="176">
        <f t="shared" si="13"/>
        <v>5</v>
      </c>
      <c r="AI72" s="224">
        <f t="shared" si="23"/>
        <v>-0.39588882021290978</v>
      </c>
      <c r="AJ72" s="264" t="b">
        <f t="shared" si="14"/>
        <v>1</v>
      </c>
      <c r="AK72" s="264" t="b">
        <f t="shared" si="15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16"/>
        <v>44255</v>
      </c>
      <c r="B73" s="607">
        <v>34.813000000000002</v>
      </c>
      <c r="C73" s="388"/>
      <c r="D73" s="391">
        <f t="shared" si="0"/>
        <v>35.337317041255936</v>
      </c>
      <c r="E73" s="383">
        <f t="shared" si="17"/>
        <v>36.839423321311934</v>
      </c>
      <c r="F73" s="383">
        <f t="shared" si="1"/>
        <v>36.90242873483939</v>
      </c>
      <c r="G73" s="110">
        <f t="shared" si="18"/>
        <v>0.81305249294722948</v>
      </c>
      <c r="H73" s="412" t="b">
        <f>Wh_hp&gt;='2020'!Maxi_hp</f>
        <v>1</v>
      </c>
      <c r="I73" s="379">
        <f>IF(H73,Wh_hp,'2020'!Maxi_hp)</f>
        <v>36.90242873483939</v>
      </c>
      <c r="J73" s="85">
        <f>IF(H73,An,'2020'!An_max)</f>
        <v>2021</v>
      </c>
      <c r="K73" s="197">
        <f t="shared" si="19"/>
        <v>44255</v>
      </c>
      <c r="L73" s="147">
        <f>IF(t&lt;Tvie,1-EXP((T0-t)*PertePVj)+'2020'!Pspv,1-EXP((T0-t)*PertePVj)+Pspv)</f>
        <v>1.4837488670795151E-2</v>
      </c>
      <c r="M73" s="832"/>
      <c r="N73" s="832"/>
      <c r="O73" s="48">
        <f>IF(t&lt;Tnet,'2020'!Resal+('2020'!Salim-'2020'!Resal)*(1-EXP(('2020'!Tnet-t)/('2020'!Tau_j))),Resal+(Salim-Resal)*(1-EXP((Tnet-t)/(Tau_j))))*Salcycl</f>
        <v>4.077442437018327E-2</v>
      </c>
      <c r="P73" s="169">
        <f>(INDEX(Models!$BJ73:$BT73,,T73)*(1-R73)+INDEX(Models!$BJ73:$BT73,,T73+1)*R73-ERP_i)*Q73*Ramure*Pc/MaxiM</f>
        <v>2.3271896170018805E-3</v>
      </c>
      <c r="Q73" s="304">
        <f t="shared" si="2"/>
        <v>0.7</v>
      </c>
      <c r="R73" s="177">
        <f t="shared" si="3"/>
        <v>0.54001580678532823</v>
      </c>
      <c r="S73" s="799">
        <f t="shared" si="4"/>
        <v>-1</v>
      </c>
      <c r="T73" s="176">
        <f t="shared" si="5"/>
        <v>5</v>
      </c>
      <c r="U73" s="250">
        <f t="shared" si="20"/>
        <v>-0.45998419321467182</v>
      </c>
      <c r="V73" s="382">
        <f t="shared" si="6"/>
        <v>42.791068189487007</v>
      </c>
      <c r="W73" s="400"/>
      <c r="X73" s="157">
        <f t="shared" si="7"/>
        <v>44255</v>
      </c>
      <c r="Y73" s="383">
        <f t="shared" si="8"/>
        <v>34.806715570540653</v>
      </c>
      <c r="Z73" s="383">
        <f t="shared" si="9"/>
        <v>35.330937962284615</v>
      </c>
      <c r="AA73" s="384">
        <f t="shared" si="10"/>
        <v>36.832773082688831</v>
      </c>
      <c r="AB73" s="197">
        <f t="shared" si="11"/>
        <v>44255</v>
      </c>
      <c r="AC73" s="119">
        <f>IF(OR(t&lt;Tnet,NoTnet),'2020'!Resal_s+('2020'!Salim-'2020'!Resal_s)*(1-EXP(('2020'!Tnet_s-t)/'2020'!Tau_j)),Resal_s+(Salim-Resal_s)*(1-EXP((Tnet_s-t)/Tau_j)))*Salcycl</f>
        <v>4.077442437018327E-2</v>
      </c>
      <c r="AD73" s="230">
        <f>(INDEX(Models!$BJ73:$BT73,,AH73)*(1-AF73)+INDEX(Models!$BJ73:$BT73,,AH73+1)*AF73-ERP_i)*AE73*Ramure*Pc/MaxiM</f>
        <v>2.572825117315174E-3</v>
      </c>
      <c r="AE73" s="304">
        <f t="shared" si="12"/>
        <v>0.7</v>
      </c>
      <c r="AF73" s="177">
        <f t="shared" si="21"/>
        <v>0.60434802904516038</v>
      </c>
      <c r="AG73" s="799">
        <f t="shared" si="22"/>
        <v>-1</v>
      </c>
      <c r="AH73" s="176">
        <f t="shared" si="13"/>
        <v>5</v>
      </c>
      <c r="AI73" s="224">
        <f t="shared" si="23"/>
        <v>-0.39565197095483967</v>
      </c>
      <c r="AJ73" s="264" t="b">
        <f t="shared" si="14"/>
        <v>1</v>
      </c>
      <c r="AK73" s="264" t="b">
        <f t="shared" si="15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16"/>
        <v>44256</v>
      </c>
      <c r="B74" s="607">
        <v>38.779000000000003</v>
      </c>
      <c r="C74" s="388"/>
      <c r="D74" s="391">
        <f t="shared" si="0"/>
        <v>39.363803188784445</v>
      </c>
      <c r="E74" s="383">
        <f t="shared" si="17"/>
        <v>41.038621285219563</v>
      </c>
      <c r="F74" s="383">
        <f t="shared" si="1"/>
        <v>41.112831292536434</v>
      </c>
      <c r="G74" s="110">
        <f t="shared" si="18"/>
        <v>0.89895270194520616</v>
      </c>
      <c r="H74" s="412" t="b">
        <f>Wh_hp&gt;='2020'!Maxi_hp</f>
        <v>1</v>
      </c>
      <c r="I74" s="379">
        <f>IF(H74,Wh_hp,'2020'!Maxi_hp)</f>
        <v>41.112831292536434</v>
      </c>
      <c r="J74" s="85">
        <f>IF(H74,An,'2020'!An_max)</f>
        <v>2021</v>
      </c>
      <c r="K74" s="197">
        <f t="shared" si="19"/>
        <v>44256</v>
      </c>
      <c r="L74" s="147">
        <f>IF(t&lt;Tvie,1-EXP((T0-t)*PertePVj)+'2020'!Pspv,1-EXP((T0-t)*PertePVj)+Pspv)</f>
        <v>1.4856369085573085E-2</v>
      </c>
      <c r="M74" s="832"/>
      <c r="N74" s="832"/>
      <c r="O74" s="48">
        <f>IF(t&lt;Tnet,'2020'!Resal+('2020'!Salim-'2020'!Resal)*(1-EXP(('2020'!Tnet-t)/('2020'!Tau_j))),Resal+(Salim-Resal)*(1-EXP((Tnet-t)/(Tau_j))))*Salcycl</f>
        <v>4.0810778822102343E-2</v>
      </c>
      <c r="P74" s="169">
        <f>(INDEX(Models!$BJ74:$BT74,,T74)*(1-R74)+INDEX(Models!$BJ74:$BT74,,T74+1)*R74-ERP_i)*Q74*Ramure*Pc/MaxiM</f>
        <v>2.1085910619116494E-3</v>
      </c>
      <c r="Q74" s="304">
        <f t="shared" si="2"/>
        <v>0.7</v>
      </c>
      <c r="R74" s="177">
        <f t="shared" si="3"/>
        <v>0.54026229034137518</v>
      </c>
      <c r="S74" s="799">
        <f t="shared" si="4"/>
        <v>-1</v>
      </c>
      <c r="T74" s="176">
        <f t="shared" si="5"/>
        <v>5</v>
      </c>
      <c r="U74" s="250">
        <f t="shared" si="20"/>
        <v>-0.45973770965862482</v>
      </c>
      <c r="V74" s="382">
        <f t="shared" si="6"/>
        <v>43.124857338987461</v>
      </c>
      <c r="W74" s="400"/>
      <c r="X74" s="157">
        <f t="shared" si="7"/>
        <v>44256</v>
      </c>
      <c r="Y74" s="383">
        <f t="shared" si="8"/>
        <v>38.771610660935465</v>
      </c>
      <c r="Z74" s="383">
        <f t="shared" si="9"/>
        <v>39.356302415463013</v>
      </c>
      <c r="AA74" s="384">
        <f t="shared" si="10"/>
        <v>41.030801375283318</v>
      </c>
      <c r="AB74" s="197">
        <f t="shared" si="11"/>
        <v>44256</v>
      </c>
      <c r="AC74" s="119">
        <f>IF(OR(t&lt;Tnet,NoTnet),'2020'!Resal_s+('2020'!Salim-'2020'!Resal_s)*(1-EXP(('2020'!Tnet_s-t)/'2020'!Tau_j)),Resal_s+(Salim-Resal_s)*(1-EXP((Tnet_s-t)/Tau_j)))*Salcycl</f>
        <v>4.0810778822102343E-2</v>
      </c>
      <c r="AD74" s="230">
        <f>(INDEX(Models!$BJ74:$BT74,,AH74)*(1-AF74)+INDEX(Models!$BJ74:$BT74,,AH74+1)*AF74-ERP_i)*AE74*Ramure*Pc/MaxiM</f>
        <v>2.3307847092739393E-3</v>
      </c>
      <c r="AE74" s="304">
        <f t="shared" si="12"/>
        <v>0.7</v>
      </c>
      <c r="AF74" s="177">
        <f t="shared" si="21"/>
        <v>0.60459451260120733</v>
      </c>
      <c r="AG74" s="799">
        <f t="shared" si="22"/>
        <v>-1</v>
      </c>
      <c r="AH74" s="176">
        <f t="shared" si="13"/>
        <v>5</v>
      </c>
      <c r="AI74" s="224">
        <f t="shared" si="23"/>
        <v>-0.39540548739879267</v>
      </c>
      <c r="AJ74" s="264" t="b">
        <f t="shared" si="14"/>
        <v>1</v>
      </c>
      <c r="AK74" s="264" t="b">
        <f t="shared" si="15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16"/>
        <v>44257</v>
      </c>
      <c r="B75" s="607">
        <v>17.626999999999999</v>
      </c>
      <c r="C75" s="388"/>
      <c r="D75" s="391">
        <f t="shared" si="0"/>
        <v>17.893165291588964</v>
      </c>
      <c r="E75" s="383">
        <f t="shared" si="17"/>
        <v>18.655175079416505</v>
      </c>
      <c r="F75" s="383">
        <f t="shared" si="1"/>
        <v>18.660565647609051</v>
      </c>
      <c r="G75" s="110">
        <f t="shared" si="18"/>
        <v>0.40495783803744584</v>
      </c>
      <c r="H75" s="412" t="b">
        <f>Wh_hp&gt;='2020'!Maxi_hp</f>
        <v>0</v>
      </c>
      <c r="I75" s="379">
        <f>IF(H75,Wh_hp,'2020'!Maxi_hp)</f>
        <v>33.203726330911472</v>
      </c>
      <c r="J75" s="85">
        <f>IF(H75,An,'2020'!An_max)</f>
        <v>2020</v>
      </c>
      <c r="K75" s="197">
        <f t="shared" si="19"/>
        <v>44257</v>
      </c>
      <c r="L75" s="147">
        <f>IF(t&lt;Tvie,1-EXP((T0-t)*PertePVj)+'2020'!Pspv,1-EXP((T0-t)*PertePVj)+Pspv)</f>
        <v>1.4875249138512237E-2</v>
      </c>
      <c r="M75" s="832"/>
      <c r="N75" s="832"/>
      <c r="O75" s="48">
        <f>IF(t&lt;Tnet,'2020'!Resal+('2020'!Salim-'2020'!Resal)*(1-EXP(('2020'!Tnet-t)/('2020'!Tau_j))),Resal+(Salim-Resal)*(1-EXP((Tnet-t)/(Tau_j))))*Salcycl</f>
        <v>4.0847099241020736E-2</v>
      </c>
      <c r="P75" s="169">
        <f>(INDEX(Models!$BJ75:$BT75,,T75)*(1-R75)+INDEX(Models!$BJ75:$BT75,,T75+1)*R75-ERP_i)*Q75*Ramure*Pc/MaxiM</f>
        <v>1.9145739327303603E-3</v>
      </c>
      <c r="Q75" s="304">
        <f t="shared" si="2"/>
        <v>0.7</v>
      </c>
      <c r="R75" s="177">
        <f t="shared" si="3"/>
        <v>0.54051878711678447</v>
      </c>
      <c r="S75" s="799">
        <f t="shared" si="4"/>
        <v>-1</v>
      </c>
      <c r="T75" s="176">
        <f t="shared" si="5"/>
        <v>5</v>
      </c>
      <c r="U75" s="250">
        <f t="shared" si="20"/>
        <v>-0.45948121288321553</v>
      </c>
      <c r="V75" s="382">
        <f t="shared" si="6"/>
        <v>43.457204352912548</v>
      </c>
      <c r="W75" s="400"/>
      <c r="X75" s="157">
        <f t="shared" si="7"/>
        <v>44257</v>
      </c>
      <c r="Y75" s="383">
        <f t="shared" si="8"/>
        <v>17.626464950135706</v>
      </c>
      <c r="Z75" s="383">
        <f t="shared" si="9"/>
        <v>17.892622162544825</v>
      </c>
      <c r="AA75" s="384">
        <f t="shared" si="10"/>
        <v>18.654608820331319</v>
      </c>
      <c r="AB75" s="197">
        <f t="shared" si="11"/>
        <v>44257</v>
      </c>
      <c r="AC75" s="119">
        <f>IF(OR(t&lt;Tnet,NoTnet),'2020'!Resal_s+('2020'!Salim-'2020'!Resal_s)*(1-EXP(('2020'!Tnet_s-t)/'2020'!Tau_j)),Resal_s+(Salim-Resal_s)*(1-EXP((Tnet_s-t)/Tau_j)))*Salcycl</f>
        <v>4.0847099241020736E-2</v>
      </c>
      <c r="AD75" s="230">
        <f>(INDEX(Models!$BJ75:$BT75,,AH75)*(1-AF75)+INDEX(Models!$BJ75:$BT75,,AH75+1)*AF75-ERP_i)*AE75*Ramure*Pc/MaxiM</f>
        <v>2.1156927842039268E-3</v>
      </c>
      <c r="AE75" s="304">
        <f t="shared" si="12"/>
        <v>0.7</v>
      </c>
      <c r="AF75" s="177">
        <f t="shared" si="21"/>
        <v>0.60485100937661662</v>
      </c>
      <c r="AG75" s="799">
        <f t="shared" si="22"/>
        <v>-1</v>
      </c>
      <c r="AH75" s="176">
        <f t="shared" si="13"/>
        <v>5</v>
      </c>
      <c r="AI75" s="224">
        <f t="shared" si="23"/>
        <v>-0.39514899062338338</v>
      </c>
      <c r="AJ75" s="264" t="b">
        <f t="shared" si="14"/>
        <v>1</v>
      </c>
      <c r="AK75" s="264" t="b">
        <f t="shared" si="15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16"/>
        <v>44258</v>
      </c>
      <c r="B76" s="607">
        <v>16.618000000000002</v>
      </c>
      <c r="C76" s="388"/>
      <c r="D76" s="391">
        <f t="shared" si="0"/>
        <v>16.869252824832479</v>
      </c>
      <c r="E76" s="383">
        <f t="shared" si="17"/>
        <v>17.588323105198103</v>
      </c>
      <c r="F76" s="383">
        <f t="shared" si="1"/>
        <v>17.591809107363432</v>
      </c>
      <c r="G76" s="110">
        <f t="shared" si="18"/>
        <v>0.37892242305536827</v>
      </c>
      <c r="H76" s="412" t="b">
        <f>Wh_hp&gt;='2020'!Maxi_hp</f>
        <v>0</v>
      </c>
      <c r="I76" s="379">
        <f>IF(H76,Wh_hp,'2020'!Maxi_hp)</f>
        <v>23.086092549513975</v>
      </c>
      <c r="J76" s="85">
        <f>IF(H76,An,'2020'!An_max)</f>
        <v>2020</v>
      </c>
      <c r="K76" s="197">
        <f t="shared" si="19"/>
        <v>44258</v>
      </c>
      <c r="L76" s="147">
        <f>IF(t&lt;Tvie,1-EXP((T0-t)*PertePVj)+'2020'!Pspv,1-EXP((T0-t)*PertePVj)+Pspv)</f>
        <v>1.489412882961938E-2</v>
      </c>
      <c r="M76" s="832"/>
      <c r="N76" s="832"/>
      <c r="O76" s="48">
        <f>IF(t&lt;Tnet,'2020'!Resal+('2020'!Salim-'2020'!Resal)*(1-EXP(('2020'!Tnet-t)/('2020'!Tau_j))),Resal+(Salim-Resal)*(1-EXP((Tnet-t)/(Tau_j))))*Salcycl</f>
        <v>4.0883390421290723E-2</v>
      </c>
      <c r="P76" s="169">
        <f>(INDEX(Models!$BJ76:$BT76,,T76)*(1-R76)+INDEX(Models!$BJ76:$BT76,,T76+1)*R76-ERP_i)*Q76*Ramure*Pc/MaxiM</f>
        <v>1.744602760800527E-3</v>
      </c>
      <c r="Q76" s="304">
        <f t="shared" si="2"/>
        <v>0.7</v>
      </c>
      <c r="R76" s="177">
        <f t="shared" si="3"/>
        <v>0.54078568984467079</v>
      </c>
      <c r="S76" s="799">
        <f t="shared" si="4"/>
        <v>-1</v>
      </c>
      <c r="T76" s="176">
        <f t="shared" si="5"/>
        <v>5</v>
      </c>
      <c r="U76" s="250">
        <f t="shared" si="20"/>
        <v>-0.45921431015532926</v>
      </c>
      <c r="V76" s="382">
        <f t="shared" si="6"/>
        <v>43.788108382921784</v>
      </c>
      <c r="W76" s="400"/>
      <c r="X76" s="157">
        <f t="shared" si="7"/>
        <v>44258</v>
      </c>
      <c r="Y76" s="383">
        <f t="shared" si="8"/>
        <v>16.617655721385066</v>
      </c>
      <c r="Z76" s="383">
        <f t="shared" si="9"/>
        <v>16.868903340959719</v>
      </c>
      <c r="AA76" s="384">
        <f t="shared" si="10"/>
        <v>17.587958724194511</v>
      </c>
      <c r="AB76" s="197">
        <f t="shared" si="11"/>
        <v>44258</v>
      </c>
      <c r="AC76" s="119">
        <f>IF(OR(t&lt;Tnet,NoTnet),'2020'!Resal_s+('2020'!Salim-'2020'!Resal_s)*(1-EXP(('2020'!Tnet_s-t)/'2020'!Tau_j)),Resal_s+(Salim-Resal_s)*(1-EXP((Tnet_s-t)/Tau_j)))*Salcycl</f>
        <v>4.0883390421290723E-2</v>
      </c>
      <c r="AD76" s="230">
        <f>(INDEX(Models!$BJ76:$BT76,,AH76)*(1-AF76)+INDEX(Models!$BJ76:$BT76,,AH76+1)*AF76-ERP_i)*AE76*Ramure*Pc/MaxiM</f>
        <v>1.9269606810482622E-3</v>
      </c>
      <c r="AE76" s="304">
        <f t="shared" si="12"/>
        <v>0.7</v>
      </c>
      <c r="AF76" s="177">
        <f t="shared" si="21"/>
        <v>0.60511791210450294</v>
      </c>
      <c r="AG76" s="799">
        <f t="shared" si="22"/>
        <v>-1</v>
      </c>
      <c r="AH76" s="176">
        <f t="shared" si="13"/>
        <v>5</v>
      </c>
      <c r="AI76" s="224">
        <f t="shared" si="23"/>
        <v>-0.39488208789549711</v>
      </c>
      <c r="AJ76" s="264" t="b">
        <f t="shared" si="14"/>
        <v>1</v>
      </c>
      <c r="AK76" s="264" t="b">
        <f t="shared" si="15"/>
        <v>0</v>
      </c>
      <c r="AL76" s="264"/>
      <c r="AM76" s="264"/>
      <c r="AN76" s="75"/>
    </row>
    <row r="77" spans="1:40" s="6" customFormat="1" ht="11.25" x14ac:dyDescent="0.2">
      <c r="A77" s="56">
        <f t="shared" si="16"/>
        <v>44259</v>
      </c>
      <c r="B77" s="607">
        <v>30.147000000000002</v>
      </c>
      <c r="C77" s="388"/>
      <c r="D77" s="391">
        <f t="shared" si="0"/>
        <v>30.60338858363783</v>
      </c>
      <c r="E77" s="383">
        <f t="shared" si="17"/>
        <v>31.909097958724963</v>
      </c>
      <c r="F77" s="383">
        <f t="shared" si="1"/>
        <v>31.937048727030085</v>
      </c>
      <c r="G77" s="110">
        <f t="shared" si="18"/>
        <v>0.68283874977544612</v>
      </c>
      <c r="H77" s="412" t="b">
        <f>Wh_hp&gt;='2020'!Maxi_hp</f>
        <v>1</v>
      </c>
      <c r="I77" s="379">
        <f>IF(H77,Wh_hp,'2020'!Maxi_hp)</f>
        <v>31.937048727030085</v>
      </c>
      <c r="J77" s="85">
        <f>IF(H77,An,'2020'!An_max)</f>
        <v>2021</v>
      </c>
      <c r="K77" s="197">
        <f t="shared" si="19"/>
        <v>44259</v>
      </c>
      <c r="L77" s="147">
        <f>IF(t&lt;Tvie,1-EXP((T0-t)*PertePVj)+'2020'!Pspv,1-EXP((T0-t)*PertePVj)+Pspv)</f>
        <v>1.4913008158901619E-2</v>
      </c>
      <c r="M77" s="832"/>
      <c r="N77" s="832"/>
      <c r="O77" s="48">
        <f>IF(t&lt;Tnet,'2020'!Resal+('2020'!Salim-'2020'!Resal)*(1-EXP(('2020'!Tnet-t)/('2020'!Tau_j))),Resal+(Salim-Resal)*(1-EXP((Tnet-t)/(Tau_j))))*Salcycl</f>
        <v>4.0919657985195701E-2</v>
      </c>
      <c r="P77" s="169">
        <f>(INDEX(Models!$BJ77:$BT77,,T77)*(1-R77)+INDEX(Models!$BJ77:$BT77,,T77+1)*R77-ERP_i)*Q77*Ramure*Pc/MaxiM</f>
        <v>1.5981610983235926E-3</v>
      </c>
      <c r="Q77" s="304">
        <f t="shared" si="2"/>
        <v>0.7</v>
      </c>
      <c r="R77" s="177">
        <f t="shared" si="3"/>
        <v>0.54106340548074938</v>
      </c>
      <c r="S77" s="799">
        <f t="shared" si="4"/>
        <v>-1</v>
      </c>
      <c r="T77" s="176">
        <f t="shared" si="5"/>
        <v>5</v>
      </c>
      <c r="U77" s="250">
        <f t="shared" si="20"/>
        <v>-0.45893659451925062</v>
      </c>
      <c r="V77" s="382">
        <f t="shared" si="6"/>
        <v>44.117568464229727</v>
      </c>
      <c r="W77" s="400"/>
      <c r="X77" s="157">
        <f t="shared" si="7"/>
        <v>44259</v>
      </c>
      <c r="Y77" s="383">
        <f t="shared" si="8"/>
        <v>30.144259417746436</v>
      </c>
      <c r="Z77" s="383">
        <f t="shared" si="9"/>
        <v>30.600606512332185</v>
      </c>
      <c r="AA77" s="384">
        <f t="shared" si="10"/>
        <v>31.906197188910621</v>
      </c>
      <c r="AB77" s="197">
        <f t="shared" si="11"/>
        <v>44259</v>
      </c>
      <c r="AC77" s="119">
        <f>IF(OR(t&lt;Tnet,NoTnet),'2020'!Resal_s+('2020'!Salim-'2020'!Resal_s)*(1-EXP(('2020'!Tnet_s-t)/'2020'!Tau_j)),Resal_s+(Salim-Resal_s)*(1-EXP((Tnet_s-t)/Tau_j)))*Salcycl</f>
        <v>4.0919657985195701E-2</v>
      </c>
      <c r="AD77" s="230">
        <f>(INDEX(Models!$BJ77:$BT77,,AH77)*(1-AF77)+INDEX(Models!$BJ77:$BT77,,AH77+1)*AF77-ERP_i)*AE77*Ramure*Pc/MaxiM</f>
        <v>1.764020491592015E-3</v>
      </c>
      <c r="AE77" s="304">
        <f t="shared" si="12"/>
        <v>0.7</v>
      </c>
      <c r="AF77" s="177">
        <f t="shared" si="21"/>
        <v>0.60539562774058153</v>
      </c>
      <c r="AG77" s="799">
        <f t="shared" si="22"/>
        <v>-1</v>
      </c>
      <c r="AH77" s="176">
        <f t="shared" si="13"/>
        <v>5</v>
      </c>
      <c r="AI77" s="224">
        <f t="shared" si="23"/>
        <v>-0.39460437225941847</v>
      </c>
      <c r="AJ77" s="264" t="b">
        <f t="shared" si="14"/>
        <v>1</v>
      </c>
      <c r="AK77" s="264" t="b">
        <f t="shared" si="15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16"/>
        <v>44260</v>
      </c>
      <c r="B78" s="607">
        <v>32.986000000000004</v>
      </c>
      <c r="C78" s="388"/>
      <c r="D78" s="391">
        <f t="shared" si="0"/>
        <v>33.486009311349505</v>
      </c>
      <c r="E78" s="383">
        <f t="shared" si="17"/>
        <v>34.916026910593239</v>
      </c>
      <c r="F78" s="383">
        <f t="shared" si="1"/>
        <v>34.948583246258117</v>
      </c>
      <c r="G78" s="110">
        <f t="shared" si="18"/>
        <v>0.74176245758018111</v>
      </c>
      <c r="H78" s="412" t="b">
        <f>Wh_hp&gt;='2020'!Maxi_hp</f>
        <v>1</v>
      </c>
      <c r="I78" s="379">
        <f>IF(H78,Wh_hp,'2020'!Maxi_hp)</f>
        <v>34.948583246258117</v>
      </c>
      <c r="J78" s="85">
        <f>IF(H78,An,'2020'!An_max)</f>
        <v>2021</v>
      </c>
      <c r="K78" s="197">
        <f t="shared" si="19"/>
        <v>44260</v>
      </c>
      <c r="L78" s="147">
        <f>IF(t&lt;Tvie,1-EXP((T0-t)*PertePVj)+'2020'!Pspv,1-EXP((T0-t)*PertePVj)+Pspv)</f>
        <v>1.4931887126365728E-2</v>
      </c>
      <c r="M78" s="832"/>
      <c r="N78" s="832"/>
      <c r="O78" s="48">
        <f>IF(t&lt;Tnet,'2020'!Resal+('2020'!Salim-'2020'!Resal)*(1-EXP(('2020'!Tnet-t)/('2020'!Tau_j))),Resal+(Salim-Resal)*(1-EXP((Tnet-t)/(Tau_j))))*Salcycl</f>
        <v>4.0955908382860125E-2</v>
      </c>
      <c r="P78" s="169">
        <f>(INDEX(Models!$BJ78:$BT78,,T78)*(1-R78)+INDEX(Models!$BJ78:$BT78,,T78+1)*R78-ERP_i)*Q78*Ramure*Pc/MaxiM</f>
        <v>1.4747508610863226E-3</v>
      </c>
      <c r="Q78" s="304">
        <f t="shared" si="2"/>
        <v>0.7</v>
      </c>
      <c r="R78" s="177">
        <f t="shared" si="3"/>
        <v>0.54135235561826589</v>
      </c>
      <c r="S78" s="799">
        <f t="shared" si="4"/>
        <v>-1</v>
      </c>
      <c r="T78" s="176">
        <f t="shared" si="5"/>
        <v>5</v>
      </c>
      <c r="U78" s="250">
        <f t="shared" si="20"/>
        <v>-0.45864764438173411</v>
      </c>
      <c r="V78" s="382">
        <f t="shared" si="6"/>
        <v>44.445583510308126</v>
      </c>
      <c r="W78" s="400"/>
      <c r="X78" s="157">
        <f t="shared" si="7"/>
        <v>44260</v>
      </c>
      <c r="Y78" s="383">
        <f t="shared" si="8"/>
        <v>32.982838851563201</v>
      </c>
      <c r="Z78" s="383">
        <f t="shared" si="9"/>
        <v>33.482800245503711</v>
      </c>
      <c r="AA78" s="384">
        <f t="shared" si="10"/>
        <v>34.912680801823221</v>
      </c>
      <c r="AB78" s="197">
        <f t="shared" si="11"/>
        <v>44260</v>
      </c>
      <c r="AC78" s="119">
        <f>IF(OR(t&lt;Tnet,NoTnet),'2020'!Resal_s+('2020'!Salim-'2020'!Resal_s)*(1-EXP(('2020'!Tnet_s-t)/'2020'!Tau_j)),Resal_s+(Salim-Resal_s)*(1-EXP((Tnet_s-t)/Tau_j)))*Salcycl</f>
        <v>4.0955908382860125E-2</v>
      </c>
      <c r="AD78" s="230">
        <f>(INDEX(Models!$BJ78:$BT78,,AH78)*(1-AF78)+INDEX(Models!$BJ78:$BT78,,AH78+1)*AF78-ERP_i)*AE78*Ramure*Pc/MaxiM</f>
        <v>1.6263243317826055E-3</v>
      </c>
      <c r="AE78" s="304">
        <f t="shared" si="12"/>
        <v>0.7</v>
      </c>
      <c r="AF78" s="177">
        <f t="shared" si="21"/>
        <v>0.60568457787809804</v>
      </c>
      <c r="AG78" s="799">
        <f t="shared" si="22"/>
        <v>-1</v>
      </c>
      <c r="AH78" s="176">
        <f t="shared" si="13"/>
        <v>5</v>
      </c>
      <c r="AI78" s="224">
        <f t="shared" si="23"/>
        <v>-0.39431542212190196</v>
      </c>
      <c r="AJ78" s="264" t="b">
        <f t="shared" si="14"/>
        <v>1</v>
      </c>
      <c r="AK78" s="264" t="b">
        <f t="shared" si="15"/>
        <v>0</v>
      </c>
      <c r="AL78" s="264"/>
      <c r="AM78" s="264"/>
      <c r="AN78" s="75"/>
    </row>
    <row r="79" spans="1:40" s="6" customFormat="1" ht="11.25" x14ac:dyDescent="0.2">
      <c r="A79" s="56">
        <f t="shared" si="16"/>
        <v>44261</v>
      </c>
      <c r="B79" s="607">
        <v>9.5400000000000009</v>
      </c>
      <c r="C79" s="388"/>
      <c r="D79" s="391">
        <f t="shared" ref="D79:D142" si="24">Wh/(1-Ppv)</f>
        <v>9.6847951027437258</v>
      </c>
      <c r="E79" s="383">
        <f t="shared" si="17"/>
        <v>10.09876518894114</v>
      </c>
      <c r="F79" s="383">
        <f t="shared" ref="F79:F142" si="25">Wh_sa/(1-Pvg*MEDIAN((-Sdif+Wh/Env_an)/Csdif,0,1))</f>
        <v>10.09876518894114</v>
      </c>
      <c r="G79" s="110">
        <f t="shared" si="18"/>
        <v>0.21278085286787915</v>
      </c>
      <c r="H79" s="412" t="b">
        <f>Wh_hp&gt;='2020'!Maxi_hp</f>
        <v>0</v>
      </c>
      <c r="I79" s="379">
        <f>IF(H79,Wh_hp,'2020'!Maxi_hp)</f>
        <v>12.772439942403437</v>
      </c>
      <c r="J79" s="85">
        <f>IF(H79,An,'2020'!An_max)</f>
        <v>2020</v>
      </c>
      <c r="K79" s="197">
        <f t="shared" ref="K79:K142" si="26">t</f>
        <v>44261</v>
      </c>
      <c r="L79" s="147">
        <f>IF(t&lt;Tvie,1-EXP((T0-t)*PertePVj)+'2020'!Pspv,1-EXP((T0-t)*PertePVj)+Pspv)</f>
        <v>1.4950765732018811E-2</v>
      </c>
      <c r="M79" s="832"/>
      <c r="N79" s="832"/>
      <c r="O79" s="48">
        <f>IF(t&lt;Tnet,'2020'!Resal+('2020'!Salim-'2020'!Resal)*(1-EXP(('2020'!Tnet-t)/('2020'!Tau_j))),Resal+(Salim-Resal)*(1-EXP((Tnet-t)/(Tau_j))))*Salcycl</f>
        <v>4.0992148886751088E-2</v>
      </c>
      <c r="P79" s="169">
        <f>(INDEX(Models!$BJ79:$BT79,,T79)*(1-R79)+INDEX(Models!$BJ79:$BT79,,T79+1)*R79-ERP_i)*Q79*Ramure*Pc/MaxiM</f>
        <v>1.3738576589375797E-3</v>
      </c>
      <c r="Q79" s="304">
        <f t="shared" ref="Q79:Q142" si="27">IF(OR(t&lt;Ttai,Notai),Dd+PousD*Croivg,Dens+PousD*(Croivg-Croi_tai))</f>
        <v>0.7</v>
      </c>
      <c r="R79" s="177">
        <f t="shared" ref="R79:R142" si="28">(Hp_vg-S79)/(INDEX(Echel_vg,T79+1)-S79)</f>
        <v>0.54165297690618441</v>
      </c>
      <c r="S79" s="799">
        <f t="shared" ref="S79:S142" si="29">INDEX(Echel_vg,T79)</f>
        <v>-1</v>
      </c>
      <c r="T79" s="176">
        <f t="shared" ref="T79:T142" si="30">MIN(MATCH(Hp_vg,Echel_vg),10)</f>
        <v>5</v>
      </c>
      <c r="U79" s="250">
        <f t="shared" ref="U79:U142" si="31">IF(OR(t&lt;Ttai,Notai),Hdd+PousH*Croivg,Hdtf+PousH*(Croivg-Croi_tai))</f>
        <v>-0.45834702309381559</v>
      </c>
      <c r="V79" s="382">
        <f t="shared" ref="V79:V142" si="32">MaxiM*(1-Ppv)*(1-Pvg)*(1-Psa)</f>
        <v>44.773264462142272</v>
      </c>
      <c r="W79" s="400"/>
      <c r="X79" s="157">
        <f t="shared" ref="X79:X142" si="33">t</f>
        <v>44261</v>
      </c>
      <c r="Y79" s="383">
        <f t="shared" ref="Y79:Y142" si="34">Wh_pvt_s*(1-Ppv)</f>
        <v>9.5400000000000009</v>
      </c>
      <c r="Z79" s="383">
        <f t="shared" ref="Z79:Z142" si="35">Wh_sa_s*(1-Psa_s)</f>
        <v>9.6847951027437258</v>
      </c>
      <c r="AA79" s="384">
        <f t="shared" ref="AA79:AA142" si="36">Wh_hp*(1-Pvg_s*MEDIAN((-Sdif+Wh/Env_an)/Csdif,0,1))</f>
        <v>10.09876518894114</v>
      </c>
      <c r="AB79" s="197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4.0992148886751088E-2</v>
      </c>
      <c r="AD79" s="230">
        <f>(INDEX(Models!$BJ79:$BT79,,AH79)*(1-AF79)+INDEX(Models!$BJ79:$BT79,,AH79+1)*AF79-ERP_i)*AE79*Ramure*Pc/MaxiM</f>
        <v>1.513306147833708E-3</v>
      </c>
      <c r="AE79" s="304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0.60598519916601656</v>
      </c>
      <c r="AG79" s="799">
        <f t="shared" si="22"/>
        <v>-1</v>
      </c>
      <c r="AH79" s="176">
        <f t="shared" ref="AH79:AH142" si="40">MIN(MATCH(Hp_vg_s,Echel_vg),10)</f>
        <v>5</v>
      </c>
      <c r="AI79" s="224">
        <f t="shared" ref="AI79:AI142" si="41">IF(OR(t&lt;Ttai,Notai),Hdd_s+PousH*Croivg,Hdtai_s+PousH*(Croivg-Croi_tai))</f>
        <v>-0.39401480083398344</v>
      </c>
      <c r="AJ79" s="264" t="b">
        <f t="shared" ref="AJ79:AJ142" si="42">t&lt;Tnet</f>
        <v>1</v>
      </c>
      <c r="AK79" s="264" t="b">
        <f t="shared" ref="AK79:AK142" si="43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4">A79+1</f>
        <v>44262</v>
      </c>
      <c r="B80" s="607">
        <v>11.417</v>
      </c>
      <c r="C80" s="388"/>
      <c r="D80" s="391">
        <f t="shared" si="24"/>
        <v>11.590505744495346</v>
      </c>
      <c r="E80" s="383">
        <f t="shared" ref="E80:E143" si="45">Wh_pvt/(1-Psa)</f>
        <v>12.08639087371683</v>
      </c>
      <c r="F80" s="383">
        <f t="shared" si="25"/>
        <v>12.08639087371683</v>
      </c>
      <c r="G80" s="110">
        <f t="shared" ref="G80:G143" si="46">+Wh_hp/MaxiM</f>
        <v>0.25281299664885515</v>
      </c>
      <c r="H80" s="412" t="b">
        <f>Wh_hp&gt;='2020'!Maxi_hp</f>
        <v>0</v>
      </c>
      <c r="I80" s="379">
        <f>IF(H80,Wh_hp,'2020'!Maxi_hp)</f>
        <v>20.18955425967189</v>
      </c>
      <c r="J80" s="85">
        <f>IF(H80,An,'2020'!An_max)</f>
        <v>2020</v>
      </c>
      <c r="K80" s="197">
        <f t="shared" si="26"/>
        <v>44262</v>
      </c>
      <c r="L80" s="147">
        <f>IF(t&lt;Tvie,1-EXP((T0-t)*PertePVj)+'2020'!Pspv,1-EXP((T0-t)*PertePVj)+Pspv)</f>
        <v>1.4969643975867752E-2</v>
      </c>
      <c r="M80" s="832"/>
      <c r="N80" s="832"/>
      <c r="O80" s="48">
        <f>IF(t&lt;Tnet,'2020'!Resal+('2020'!Salim-'2020'!Resal)*(1-EXP(('2020'!Tnet-t)/('2020'!Tau_j))),Resal+(Salim-Resal)*(1-EXP((Tnet-t)/(Tau_j))))*Salcycl</f>
        <v>4.1028387580931178E-2</v>
      </c>
      <c r="P80" s="169">
        <f>(INDEX(Models!$BJ80:$BT80,,T80)*(1-R80)+INDEX(Models!$BJ80:$BT80,,T80+1)*R80-ERP_i)*Q80*Ramure*Pc/MaxiM</f>
        <v>1.2998499406799095E-3</v>
      </c>
      <c r="Q80" s="304">
        <f t="shared" si="27"/>
        <v>0.7</v>
      </c>
      <c r="R80" s="177">
        <f t="shared" si="28"/>
        <v>0.54196572146973288</v>
      </c>
      <c r="S80" s="799">
        <f t="shared" si="29"/>
        <v>-1</v>
      </c>
      <c r="T80" s="176">
        <f t="shared" si="30"/>
        <v>5</v>
      </c>
      <c r="U80" s="250">
        <f t="shared" si="31"/>
        <v>-0.45803427853026712</v>
      </c>
      <c r="V80" s="382">
        <f t="shared" si="32"/>
        <v>45.101160796192367</v>
      </c>
      <c r="W80" s="400"/>
      <c r="X80" s="157">
        <f t="shared" si="33"/>
        <v>44262</v>
      </c>
      <c r="Y80" s="383">
        <f t="shared" si="34"/>
        <v>11.417</v>
      </c>
      <c r="Z80" s="383">
        <f t="shared" si="35"/>
        <v>11.590505744495346</v>
      </c>
      <c r="AA80" s="384">
        <f t="shared" si="36"/>
        <v>12.08639087371683</v>
      </c>
      <c r="AB80" s="197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4.1028387580931178E-2</v>
      </c>
      <c r="AD80" s="230">
        <f>(INDEX(Models!$BJ80:$BT80,,AH80)*(1-AF80)+INDEX(Models!$BJ80:$BT80,,AH80+1)*AF80-ERP_i)*AE80*Ramure*Pc/MaxiM</f>
        <v>1.4298948659438632E-3</v>
      </c>
      <c r="AE80" s="304">
        <f t="shared" si="38"/>
        <v>0.7</v>
      </c>
      <c r="AF80" s="177">
        <f t="shared" si="39"/>
        <v>0.60629794372956503</v>
      </c>
      <c r="AG80" s="799">
        <f t="shared" ref="AG80:AG143" si="47">INDEX(Echel_vg,AH80)</f>
        <v>-1</v>
      </c>
      <c r="AH80" s="176">
        <f t="shared" si="40"/>
        <v>5</v>
      </c>
      <c r="AI80" s="224">
        <f t="shared" si="41"/>
        <v>-0.39370205627043497</v>
      </c>
      <c r="AJ80" s="264" t="b">
        <f t="shared" si="42"/>
        <v>1</v>
      </c>
      <c r="AK80" s="264" t="b">
        <f t="shared" si="43"/>
        <v>0</v>
      </c>
      <c r="AL80" s="264"/>
      <c r="AM80" s="264"/>
      <c r="AN80" s="75"/>
    </row>
    <row r="81" spans="1:40" s="6" customFormat="1" ht="11.25" x14ac:dyDescent="0.2">
      <c r="A81" s="56">
        <f t="shared" si="44"/>
        <v>44263</v>
      </c>
      <c r="B81" s="607">
        <v>17.645</v>
      </c>
      <c r="C81" s="388"/>
      <c r="D81" s="391">
        <f t="shared" si="24"/>
        <v>17.913496838921951</v>
      </c>
      <c r="E81" s="383">
        <f t="shared" si="45"/>
        <v>18.680609206659678</v>
      </c>
      <c r="F81" s="383">
        <f t="shared" si="25"/>
        <v>18.683542671130159</v>
      </c>
      <c r="G81" s="110">
        <f t="shared" si="46"/>
        <v>0.38798490935190277</v>
      </c>
      <c r="H81" s="412" t="b">
        <f>Wh_hp&gt;='2020'!Maxi_hp</f>
        <v>0</v>
      </c>
      <c r="I81" s="379">
        <f>IF(H81,Wh_hp,'2020'!Maxi_hp)</f>
        <v>33.341831675414262</v>
      </c>
      <c r="J81" s="85">
        <f>IF(H81,An,'2020'!An_max)</f>
        <v>2020</v>
      </c>
      <c r="K81" s="197">
        <f t="shared" si="26"/>
        <v>44263</v>
      </c>
      <c r="L81" s="147">
        <f>IF(t&lt;Tvie,1-EXP((T0-t)*PertePVj)+'2020'!Pspv,1-EXP((T0-t)*PertePVj)+Pspv)</f>
        <v>1.4988521857919435E-2</v>
      </c>
      <c r="M81" s="832"/>
      <c r="N81" s="832"/>
      <c r="O81" s="48">
        <f>IF(t&lt;Tnet,'2020'!Resal+('2020'!Salim-'2020'!Resal)*(1-EXP(('2020'!Tnet-t)/('2020'!Tau_j))),Resal+(Salim-Resal)*(1-EXP((Tnet-t)/(Tau_j))))*Salcycl</f>
        <v>4.1064633345268567E-2</v>
      </c>
      <c r="P81" s="169">
        <f>(INDEX(Models!$BJ81:$BT81,,T81)*(1-R81)+INDEX(Models!$BJ81:$BT81,,T81+1)*R81-ERP_i)*Q81*Ramure*Pc/MaxiM</f>
        <v>1.2431791510451051E-3</v>
      </c>
      <c r="Q81" s="304">
        <f t="shared" si="27"/>
        <v>0.7</v>
      </c>
      <c r="R81" s="177">
        <f t="shared" si="28"/>
        <v>0.54229105733230099</v>
      </c>
      <c r="S81" s="799">
        <f t="shared" si="29"/>
        <v>-1</v>
      </c>
      <c r="T81" s="176">
        <f t="shared" si="30"/>
        <v>5</v>
      </c>
      <c r="U81" s="250">
        <f t="shared" si="31"/>
        <v>-0.45770894266769907</v>
      </c>
      <c r="V81" s="382">
        <f t="shared" si="32"/>
        <v>45.429167667229422</v>
      </c>
      <c r="W81" s="400"/>
      <c r="X81" s="157">
        <f t="shared" si="33"/>
        <v>44263</v>
      </c>
      <c r="Y81" s="383">
        <f t="shared" si="34"/>
        <v>17.644726721047551</v>
      </c>
      <c r="Z81" s="383">
        <f t="shared" si="35"/>
        <v>17.913219401594048</v>
      </c>
      <c r="AA81" s="384">
        <f t="shared" si="36"/>
        <v>18.680319888591381</v>
      </c>
      <c r="AB81" s="197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4.1064633345268567E-2</v>
      </c>
      <c r="AD81" s="230">
        <f>(INDEX(Models!$BJ81:$BT81,,AH81)*(1-AF81)+INDEX(Models!$BJ81:$BT81,,AH81+1)*AF81-ERP_i)*AE81*Ramure*Pc/MaxiM</f>
        <v>1.3657898709449401E-3</v>
      </c>
      <c r="AE81" s="304">
        <f t="shared" si="38"/>
        <v>0.7</v>
      </c>
      <c r="AF81" s="177">
        <f t="shared" si="39"/>
        <v>0.60662327959213314</v>
      </c>
      <c r="AG81" s="799">
        <f t="shared" si="47"/>
        <v>-1</v>
      </c>
      <c r="AH81" s="176">
        <f t="shared" si="40"/>
        <v>5</v>
      </c>
      <c r="AI81" s="224">
        <f t="shared" si="41"/>
        <v>-0.39337672040786692</v>
      </c>
      <c r="AJ81" s="264" t="b">
        <f t="shared" si="42"/>
        <v>1</v>
      </c>
      <c r="AK81" s="264" t="b">
        <f t="shared" si="43"/>
        <v>0</v>
      </c>
      <c r="AL81" s="264"/>
      <c r="AM81" s="264"/>
      <c r="AN81" s="75"/>
    </row>
    <row r="82" spans="1:40" s="6" customFormat="1" ht="11.25" x14ac:dyDescent="0.2">
      <c r="A82" s="56">
        <f t="shared" si="44"/>
        <v>44264</v>
      </c>
      <c r="B82" s="607">
        <v>42.277000000000001</v>
      </c>
      <c r="C82" s="388"/>
      <c r="D82" s="391">
        <f t="shared" si="24"/>
        <v>42.921134608839509</v>
      </c>
      <c r="E82" s="383">
        <f t="shared" si="45"/>
        <v>44.76084545538108</v>
      </c>
      <c r="F82" s="383">
        <f t="shared" si="25"/>
        <v>44.80891493400317</v>
      </c>
      <c r="G82" s="110">
        <f t="shared" si="46"/>
        <v>0.92382976797780969</v>
      </c>
      <c r="H82" s="412" t="b">
        <f>Wh_hp&gt;='2020'!Maxi_hp</f>
        <v>1</v>
      </c>
      <c r="I82" s="379">
        <f>IF(H82,Wh_hp,'2020'!Maxi_hp)</f>
        <v>44.80891493400317</v>
      </c>
      <c r="J82" s="85">
        <f>IF(H82,An,'2020'!An_max)</f>
        <v>2021</v>
      </c>
      <c r="K82" s="197">
        <f t="shared" si="26"/>
        <v>44264</v>
      </c>
      <c r="L82" s="147">
        <f>IF(t&lt;Tvie,1-EXP((T0-t)*PertePVj)+'2020'!Pspv,1-EXP((T0-t)*PertePVj)+Pspv)</f>
        <v>1.5007399378180741E-2</v>
      </c>
      <c r="M82" s="832"/>
      <c r="N82" s="832"/>
      <c r="O82" s="48">
        <f>IF(t&lt;Tnet,'2020'!Resal+('2020'!Salim-'2020'!Resal)*(1-EXP(('2020'!Tnet-t)/('2020'!Tau_j))),Resal+(Salim-Resal)*(1-EXP((Tnet-t)/(Tau_j))))*Salcycl</f>
        <v>4.1100895834852956E-2</v>
      </c>
      <c r="P82" s="169">
        <f>(INDEX(Models!$BJ82:$BT82,,T82)*(1-R82)+INDEX(Models!$BJ82:$BT82,,T82+1)*R82-ERP_i)*Q82*Ramure*Pc/MaxiM</f>
        <v>1.2035184250104582E-3</v>
      </c>
      <c r="Q82" s="304">
        <f t="shared" si="27"/>
        <v>0.7</v>
      </c>
      <c r="R82" s="177">
        <f t="shared" si="28"/>
        <v>0.54262946883757046</v>
      </c>
      <c r="S82" s="799">
        <f t="shared" si="29"/>
        <v>-1</v>
      </c>
      <c r="T82" s="176">
        <f t="shared" si="30"/>
        <v>5</v>
      </c>
      <c r="U82" s="250">
        <f t="shared" si="31"/>
        <v>-0.45737053116242954</v>
      </c>
      <c r="V82" s="382">
        <f t="shared" si="32"/>
        <v>45.756770031469856</v>
      </c>
      <c r="W82" s="400"/>
      <c r="X82" s="157">
        <f t="shared" si="33"/>
        <v>44264</v>
      </c>
      <c r="Y82" s="383">
        <f t="shared" si="34"/>
        <v>42.272582254134491</v>
      </c>
      <c r="Z82" s="383">
        <f t="shared" si="35"/>
        <v>42.916649553964255</v>
      </c>
      <c r="AA82" s="384">
        <f t="shared" si="36"/>
        <v>44.756168159453104</v>
      </c>
      <c r="AB82" s="197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4.1100895834852956E-2</v>
      </c>
      <c r="AD82" s="230">
        <f>(INDEX(Models!$BJ82:$BT82,,AH82)*(1-AF82)+INDEX(Models!$BJ82:$BT82,,AH82+1)*AF82-ERP_i)*AE82*Ramure*Pc/MaxiM</f>
        <v>1.320624164242682E-3</v>
      </c>
      <c r="AE82" s="304">
        <f t="shared" si="38"/>
        <v>0.7</v>
      </c>
      <c r="AF82" s="177">
        <f t="shared" si="39"/>
        <v>0.60696169109740261</v>
      </c>
      <c r="AG82" s="799">
        <f t="shared" si="47"/>
        <v>-1</v>
      </c>
      <c r="AH82" s="176">
        <f t="shared" si="40"/>
        <v>5</v>
      </c>
      <c r="AI82" s="224">
        <f t="shared" si="41"/>
        <v>-0.39303830890259739</v>
      </c>
      <c r="AJ82" s="264" t="b">
        <f t="shared" si="42"/>
        <v>1</v>
      </c>
      <c r="AK82" s="264" t="b">
        <f t="shared" si="43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4"/>
        <v>44265</v>
      </c>
      <c r="B83" s="607">
        <v>42.663000000000004</v>
      </c>
      <c r="C83" s="388"/>
      <c r="D83" s="391">
        <f t="shared" si="24"/>
        <v>43.313845825236207</v>
      </c>
      <c r="E83" s="383">
        <f t="shared" si="45"/>
        <v>45.172098832287283</v>
      </c>
      <c r="F83" s="383">
        <f t="shared" si="25"/>
        <v>45.219822593394703</v>
      </c>
      <c r="G83" s="110">
        <f t="shared" si="46"/>
        <v>0.92566097668399216</v>
      </c>
      <c r="H83" s="412" t="b">
        <f>Wh_hp&gt;='2020'!Maxi_hp</f>
        <v>1</v>
      </c>
      <c r="I83" s="379">
        <f>IF(H83,Wh_hp,'2020'!Maxi_hp)</f>
        <v>45.219822593394703</v>
      </c>
      <c r="J83" s="85">
        <f>IF(H83,An,'2020'!An_max)</f>
        <v>2021</v>
      </c>
      <c r="K83" s="197">
        <f t="shared" si="26"/>
        <v>44265</v>
      </c>
      <c r="L83" s="147">
        <f>IF(t&lt;Tvie,1-EXP((T0-t)*PertePVj)+'2020'!Pspv,1-EXP((T0-t)*PertePVj)+Pspv)</f>
        <v>1.5026276536658778E-2</v>
      </c>
      <c r="M83" s="832"/>
      <c r="N83" s="832"/>
      <c r="O83" s="48">
        <f>IF(t&lt;Tnet,'2020'!Resal+('2020'!Salim-'2020'!Resal)*(1-EXP(('2020'!Tnet-t)/('2020'!Tau_j))),Resal+(Salim-Resal)*(1-EXP((Tnet-t)/(Tau_j))))*Salcycl</f>
        <v>4.1137185454904385E-2</v>
      </c>
      <c r="P83" s="169">
        <f>(INDEX(Models!$BJ83:$BT83,,T83)*(1-R83)+INDEX(Models!$BJ83:$BT83,,T83+1)*R83-ERP_i)*Q83*Ramure*Pc/MaxiM</f>
        <v>1.1805496649437727E-3</v>
      </c>
      <c r="Q83" s="304">
        <f t="shared" si="27"/>
        <v>0.7</v>
      </c>
      <c r="R83" s="177">
        <f t="shared" si="28"/>
        <v>0.54298145707063994</v>
      </c>
      <c r="S83" s="799">
        <f t="shared" si="29"/>
        <v>-1</v>
      </c>
      <c r="T83" s="176">
        <f t="shared" si="30"/>
        <v>5</v>
      </c>
      <c r="U83" s="250">
        <f t="shared" si="31"/>
        <v>-0.45701854292936012</v>
      </c>
      <c r="V83" s="382">
        <f t="shared" si="32"/>
        <v>46.083452800392564</v>
      </c>
      <c r="W83" s="400"/>
      <c r="X83" s="157">
        <f t="shared" si="33"/>
        <v>44265</v>
      </c>
      <c r="Y83" s="383">
        <f t="shared" si="34"/>
        <v>42.658666971099855</v>
      </c>
      <c r="Z83" s="383">
        <f t="shared" si="35"/>
        <v>43.309446693770127</v>
      </c>
      <c r="AA83" s="384">
        <f t="shared" si="36"/>
        <v>45.167510969039952</v>
      </c>
      <c r="AB83" s="197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4.1137185454904385E-2</v>
      </c>
      <c r="AD83" s="230">
        <f>(INDEX(Models!$BJ83:$BT83,,AH83)*(1-AF83)+INDEX(Models!$BJ83:$BT83,,AH83+1)*AF83-ERP_i)*AE83*Ramure*Pc/MaxiM</f>
        <v>1.2940403097245307E-3</v>
      </c>
      <c r="AE83" s="304">
        <f t="shared" si="38"/>
        <v>0.7</v>
      </c>
      <c r="AF83" s="177">
        <f t="shared" si="39"/>
        <v>0.60731367933047209</v>
      </c>
      <c r="AG83" s="799">
        <f t="shared" si="47"/>
        <v>-1</v>
      </c>
      <c r="AH83" s="176">
        <f t="shared" si="40"/>
        <v>5</v>
      </c>
      <c r="AI83" s="224">
        <f t="shared" si="41"/>
        <v>-0.39268632066952797</v>
      </c>
      <c r="AJ83" s="264" t="b">
        <f t="shared" si="42"/>
        <v>1</v>
      </c>
      <c r="AK83" s="264" t="b">
        <f t="shared" si="43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4"/>
        <v>44266</v>
      </c>
      <c r="B84" s="607">
        <v>37.582999999999998</v>
      </c>
      <c r="C84" s="388"/>
      <c r="D84" s="391">
        <f t="shared" si="24"/>
        <v>38.157079105901445</v>
      </c>
      <c r="E84" s="383">
        <f t="shared" si="45"/>
        <v>39.795603935056391</v>
      </c>
      <c r="F84" s="383">
        <f t="shared" si="25"/>
        <v>39.829659361090641</v>
      </c>
      <c r="G84" s="110">
        <f t="shared" si="46"/>
        <v>0.80956808536512626</v>
      </c>
      <c r="H84" s="412" t="b">
        <f>Wh_hp&gt;='2020'!Maxi_hp</f>
        <v>1</v>
      </c>
      <c r="I84" s="379">
        <f>IF(H84,Wh_hp,'2020'!Maxi_hp)</f>
        <v>39.829659361090641</v>
      </c>
      <c r="J84" s="85">
        <f>IF(H84,An,'2020'!An_max)</f>
        <v>2021</v>
      </c>
      <c r="K84" s="197">
        <f t="shared" si="26"/>
        <v>44266</v>
      </c>
      <c r="L84" s="147">
        <f>IF(t&lt;Tvie,1-EXP((T0-t)*PertePVj)+'2020'!Pspv,1-EXP((T0-t)*PertePVj)+Pspv)</f>
        <v>1.5045153333360317E-2</v>
      </c>
      <c r="M84" s="832"/>
      <c r="N84" s="832"/>
      <c r="O84" s="48">
        <f>IF(t&lt;Tnet,'2020'!Resal+('2020'!Salim-'2020'!Resal)*(1-EXP(('2020'!Tnet-t)/('2020'!Tau_j))),Resal+(Salim-Resal)*(1-EXP((Tnet-t)/(Tau_j))))*Salcycl</f>
        <v>4.1173513331495215E-2</v>
      </c>
      <c r="P84" s="169">
        <f>(INDEX(Models!$BJ84:$BT84,,T84)*(1-R84)+INDEX(Models!$BJ84:$BT84,,T84+1)*R84-ERP_i)*Q84*Ramure*Pc/MaxiM</f>
        <v>1.1739653589531002E-3</v>
      </c>
      <c r="Q84" s="304">
        <f t="shared" si="27"/>
        <v>0.7</v>
      </c>
      <c r="R84" s="177">
        <f t="shared" si="28"/>
        <v>0.54334754027677179</v>
      </c>
      <c r="S84" s="799">
        <f t="shared" si="29"/>
        <v>-1</v>
      </c>
      <c r="T84" s="176">
        <f t="shared" si="30"/>
        <v>5</v>
      </c>
      <c r="U84" s="250">
        <f t="shared" si="31"/>
        <v>-0.45665245972322827</v>
      </c>
      <c r="V84" s="382">
        <f t="shared" si="32"/>
        <v>46.40870082885646</v>
      </c>
      <c r="W84" s="400"/>
      <c r="X84" s="157">
        <f t="shared" si="33"/>
        <v>44266</v>
      </c>
      <c r="Y84" s="383">
        <f t="shared" si="34"/>
        <v>37.579939123069394</v>
      </c>
      <c r="Z84" s="383">
        <f t="shared" si="35"/>
        <v>38.153971474175016</v>
      </c>
      <c r="AA84" s="384">
        <f t="shared" si="36"/>
        <v>39.792362856749072</v>
      </c>
      <c r="AB84" s="197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4.1173513331495215E-2</v>
      </c>
      <c r="AD84" s="230">
        <f>(INDEX(Models!$BJ84:$BT84,,AH84)*(1-AF84)+INDEX(Models!$BJ84:$BT84,,AH84+1)*AF84-ERP_i)*AE84*Ramure*Pc/MaxiM</f>
        <v>1.2856924492151704E-3</v>
      </c>
      <c r="AE84" s="304">
        <f t="shared" si="38"/>
        <v>0.7</v>
      </c>
      <c r="AF84" s="177">
        <f t="shared" si="39"/>
        <v>0.60767976253660394</v>
      </c>
      <c r="AG84" s="799">
        <f t="shared" si="47"/>
        <v>-1</v>
      </c>
      <c r="AH84" s="176">
        <f t="shared" si="40"/>
        <v>5</v>
      </c>
      <c r="AI84" s="224">
        <f t="shared" si="41"/>
        <v>-0.39232023746339612</v>
      </c>
      <c r="AJ84" s="264" t="b">
        <f t="shared" si="42"/>
        <v>1</v>
      </c>
      <c r="AK84" s="264" t="b">
        <f t="shared" si="43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4"/>
        <v>44267</v>
      </c>
      <c r="B85" s="607">
        <v>27.28</v>
      </c>
      <c r="C85" s="388"/>
      <c r="D85" s="391">
        <f t="shared" si="24"/>
        <v>27.697231926236121</v>
      </c>
      <c r="E85" s="383">
        <f t="shared" si="45"/>
        <v>28.887690511500111</v>
      </c>
      <c r="F85" s="383">
        <f t="shared" si="25"/>
        <v>28.901555605348936</v>
      </c>
      <c r="G85" s="110">
        <f t="shared" si="46"/>
        <v>0.5833431809469557</v>
      </c>
      <c r="H85" s="412" t="b">
        <f>Wh_hp&gt;='2020'!Maxi_hp</f>
        <v>0</v>
      </c>
      <c r="I85" s="379">
        <f>IF(H85,Wh_hp,'2020'!Maxi_hp)</f>
        <v>46.64301638858592</v>
      </c>
      <c r="J85" s="85">
        <f>IF(H85,An,'2020'!An_max)</f>
        <v>2018</v>
      </c>
      <c r="K85" s="197">
        <f t="shared" si="26"/>
        <v>44267</v>
      </c>
      <c r="L85" s="147">
        <f>IF(t&lt;Tvie,1-EXP((T0-t)*PertePVj)+'2020'!Pspv,1-EXP((T0-t)*PertePVj)+Pspv)</f>
        <v>1.5064029768292353E-2</v>
      </c>
      <c r="M85" s="832"/>
      <c r="N85" s="832"/>
      <c r="O85" s="48">
        <f>IF(t&lt;Tnet,'2020'!Resal+('2020'!Salim-'2020'!Resal)*(1-EXP(('2020'!Tnet-t)/('2020'!Tau_j))),Resal+(Salim-Resal)*(1-EXP((Tnet-t)/(Tau_j))))*Salcycl</f>
        <v>4.1209891278434781E-2</v>
      </c>
      <c r="P85" s="169">
        <f>(INDEX(Models!$BJ85:$BT85,,T85)*(1-R85)+INDEX(Models!$BJ85:$BT85,,T85+1)*R85-ERP_i)*Q85*Ramure*Pc/MaxiM</f>
        <v>1.1834702820451375E-3</v>
      </c>
      <c r="Q85" s="304">
        <f t="shared" si="27"/>
        <v>0.7</v>
      </c>
      <c r="R85" s="177">
        <f t="shared" si="28"/>
        <v>0.54372825427625593</v>
      </c>
      <c r="S85" s="799">
        <f t="shared" si="29"/>
        <v>-1</v>
      </c>
      <c r="T85" s="176">
        <f t="shared" si="30"/>
        <v>5</v>
      </c>
      <c r="U85" s="250">
        <f t="shared" si="31"/>
        <v>-0.45627174572374407</v>
      </c>
      <c r="V85" s="382">
        <f t="shared" si="32"/>
        <v>46.731998904413381</v>
      </c>
      <c r="W85" s="400"/>
      <c r="X85" s="157">
        <f t="shared" si="33"/>
        <v>44267</v>
      </c>
      <c r="Y85" s="383">
        <f t="shared" si="34"/>
        <v>27.278763332457704</v>
      </c>
      <c r="Z85" s="383">
        <f t="shared" si="35"/>
        <v>27.695976344574291</v>
      </c>
      <c r="AA85" s="384">
        <f t="shared" si="36"/>
        <v>28.8863809635079</v>
      </c>
      <c r="AB85" s="197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4.1209891278434781E-2</v>
      </c>
      <c r="AD85" s="230">
        <f>(INDEX(Models!$BJ85:$BT85,,AH85)*(1-AF85)+INDEX(Models!$BJ85:$BT85,,AH85+1)*AF85-ERP_i)*AE85*Ramure*Pc/MaxiM</f>
        <v>1.2952481862260128E-3</v>
      </c>
      <c r="AE85" s="304">
        <f t="shared" si="38"/>
        <v>0.7</v>
      </c>
      <c r="AF85" s="177">
        <f t="shared" si="39"/>
        <v>0.60806047653608808</v>
      </c>
      <c r="AG85" s="799">
        <f t="shared" si="47"/>
        <v>-1</v>
      </c>
      <c r="AH85" s="176">
        <f t="shared" si="40"/>
        <v>5</v>
      </c>
      <c r="AI85" s="224">
        <f t="shared" si="41"/>
        <v>-0.39193952346391192</v>
      </c>
      <c r="AJ85" s="264" t="b">
        <f t="shared" si="42"/>
        <v>1</v>
      </c>
      <c r="AK85" s="264" t="b">
        <f t="shared" si="43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4"/>
        <v>44268</v>
      </c>
      <c r="B86" s="607">
        <v>38.664000000000001</v>
      </c>
      <c r="C86" s="388"/>
      <c r="D86" s="391">
        <f t="shared" si="24"/>
        <v>39.256095999666357</v>
      </c>
      <c r="E86" s="383">
        <f t="shared" si="45"/>
        <v>40.944923915396984</v>
      </c>
      <c r="F86" s="383">
        <f t="shared" si="25"/>
        <v>40.981762819051319</v>
      </c>
      <c r="G86" s="110">
        <f t="shared" si="46"/>
        <v>0.82145976881919358</v>
      </c>
      <c r="H86" s="412" t="b">
        <f>Wh_hp&gt;='2020'!Maxi_hp</f>
        <v>1</v>
      </c>
      <c r="I86" s="379">
        <f>IF(H86,Wh_hp,'2020'!Maxi_hp)</f>
        <v>40.981762819051319</v>
      </c>
      <c r="J86" s="85">
        <f>IF(H86,An,'2020'!An_max)</f>
        <v>2021</v>
      </c>
      <c r="K86" s="197">
        <f t="shared" si="26"/>
        <v>44268</v>
      </c>
      <c r="L86" s="147">
        <f>IF(t&lt;Tvie,1-EXP((T0-t)*PertePVj)+'2020'!Pspv,1-EXP((T0-t)*PertePVj)+Pspv)</f>
        <v>1.508290584146188E-2</v>
      </c>
      <c r="M86" s="832"/>
      <c r="N86" s="832"/>
      <c r="O86" s="48">
        <f>IF(t&lt;Tnet,'2020'!Resal+('2020'!Salim-'2020'!Resal)*(1-EXP(('2020'!Tnet-t)/('2020'!Tau_j))),Resal+(Salim-Resal)*(1-EXP((Tnet-t)/(Tau_j))))*Salcycl</f>
        <v>4.1246331760688863E-2</v>
      </c>
      <c r="P86" s="169">
        <f>(INDEX(Models!$BJ86:$BT86,,T86)*(1-R86)+INDEX(Models!$BJ86:$BT86,,T86+1)*R86-ERP_i)*Q86*Ramure*Pc/MaxiM</f>
        <v>1.2060989184154128E-3</v>
      </c>
      <c r="Q86" s="304">
        <f t="shared" si="27"/>
        <v>0.7</v>
      </c>
      <c r="R86" s="177">
        <f t="shared" si="28"/>
        <v>0.54412415287373261</v>
      </c>
      <c r="S86" s="799">
        <f t="shared" si="29"/>
        <v>-1</v>
      </c>
      <c r="T86" s="176">
        <f t="shared" si="30"/>
        <v>5</v>
      </c>
      <c r="U86" s="250">
        <f t="shared" si="31"/>
        <v>-0.45587584712626744</v>
      </c>
      <c r="V86" s="382">
        <f t="shared" si="32"/>
        <v>47.052958180867748</v>
      </c>
      <c r="W86" s="400"/>
      <c r="X86" s="157">
        <f t="shared" si="33"/>
        <v>44268</v>
      </c>
      <c r="Y86" s="383">
        <f t="shared" si="34"/>
        <v>38.660730139478822</v>
      </c>
      <c r="Z86" s="383">
        <f t="shared" si="35"/>
        <v>39.252776064881417</v>
      </c>
      <c r="AA86" s="384">
        <f t="shared" si="36"/>
        <v>40.941461154424147</v>
      </c>
      <c r="AB86" s="197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4.1246331760688863E-2</v>
      </c>
      <c r="AD86" s="230">
        <f>(INDEX(Models!$BJ86:$BT86,,AH86)*(1-AF86)+INDEX(Models!$BJ86:$BT86,,AH86+1)*AF86-ERP_i)*AE86*Ramure*Pc/MaxiM</f>
        <v>1.3194690746844043E-3</v>
      </c>
      <c r="AE86" s="304">
        <f t="shared" si="38"/>
        <v>0.7</v>
      </c>
      <c r="AF86" s="177">
        <f t="shared" si="39"/>
        <v>0.60845637513356476</v>
      </c>
      <c r="AG86" s="799">
        <f t="shared" si="47"/>
        <v>-1</v>
      </c>
      <c r="AH86" s="176">
        <f t="shared" si="40"/>
        <v>5</v>
      </c>
      <c r="AI86" s="224">
        <f t="shared" si="41"/>
        <v>-0.39154362486643529</v>
      </c>
      <c r="AJ86" s="264" t="b">
        <f t="shared" si="42"/>
        <v>1</v>
      </c>
      <c r="AK86" s="264" t="b">
        <f t="shared" si="43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4"/>
        <v>44269</v>
      </c>
      <c r="B87" s="607">
        <v>20.248000000000001</v>
      </c>
      <c r="C87" s="388"/>
      <c r="D87" s="391">
        <f t="shared" si="24"/>
        <v>20.558469515687367</v>
      </c>
      <c r="E87" s="383">
        <f t="shared" si="45"/>
        <v>21.443727662204303</v>
      </c>
      <c r="F87" s="383">
        <f t="shared" si="25"/>
        <v>21.448532262832021</v>
      </c>
      <c r="G87" s="110">
        <f t="shared" si="46"/>
        <v>0.42699886688045374</v>
      </c>
      <c r="H87" s="412" t="b">
        <f>Wh_hp&gt;='2020'!Maxi_hp</f>
        <v>0</v>
      </c>
      <c r="I87" s="379">
        <f>IF(H87,Wh_hp,'2020'!Maxi_hp)</f>
        <v>38.557146236700596</v>
      </c>
      <c r="J87" s="85">
        <f>IF(H87,An,'2020'!An_max)</f>
        <v>2020</v>
      </c>
      <c r="K87" s="197">
        <f t="shared" si="26"/>
        <v>44269</v>
      </c>
      <c r="L87" s="147">
        <f>IF(t&lt;Tvie,1-EXP((T0-t)*PertePVj)+'2020'!Pspv,1-EXP((T0-t)*PertePVj)+Pspv)</f>
        <v>1.510178155287567E-2</v>
      </c>
      <c r="M87" s="832"/>
      <c r="N87" s="832"/>
      <c r="O87" s="48">
        <f>IF(t&lt;Tnet,'2020'!Resal+('2020'!Salim-'2020'!Resal)*(1-EXP(('2020'!Tnet-t)/('2020'!Tau_j))),Resal+(Salim-Resal)*(1-EXP((Tnet-t)/(Tau_j))))*Salcycl</f>
        <v>4.1282847854724927E-2</v>
      </c>
      <c r="P87" s="169">
        <f>(INDEX(Models!$BJ87:$BT87,,T87)*(1-R87)+INDEX(Models!$BJ87:$BT87,,T87+1)*R87-ERP_i)*Q87*Ramure*Pc/MaxiM</f>
        <v>1.2305205676704626E-3</v>
      </c>
      <c r="Q87" s="304">
        <f t="shared" si="27"/>
        <v>0.7</v>
      </c>
      <c r="R87" s="177">
        <f t="shared" si="28"/>
        <v>0.54453580826016268</v>
      </c>
      <c r="S87" s="799">
        <f t="shared" si="29"/>
        <v>-1</v>
      </c>
      <c r="T87" s="176">
        <f t="shared" si="30"/>
        <v>5</v>
      </c>
      <c r="U87" s="250">
        <f t="shared" si="31"/>
        <v>-0.45546419173983732</v>
      </c>
      <c r="V87" s="382">
        <f t="shared" si="32"/>
        <v>47.371590644342398</v>
      </c>
      <c r="W87" s="400"/>
      <c r="X87" s="157">
        <f t="shared" si="33"/>
        <v>44269</v>
      </c>
      <c r="Y87" s="383">
        <f t="shared" si="34"/>
        <v>20.247574942621839</v>
      </c>
      <c r="Z87" s="383">
        <f t="shared" si="35"/>
        <v>20.558037940758911</v>
      </c>
      <c r="AA87" s="384">
        <f t="shared" si="36"/>
        <v>21.443277503440072</v>
      </c>
      <c r="AB87" s="197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4.1282847854724927E-2</v>
      </c>
      <c r="AD87" s="230">
        <f>(INDEX(Models!$BJ87:$BT87,,AH87)*(1-AF87)+INDEX(Models!$BJ87:$BT87,,AH87+1)*AF87-ERP_i)*AE87*Ramure*Pc/MaxiM</f>
        <v>1.3458120686763743E-3</v>
      </c>
      <c r="AE87" s="304">
        <f t="shared" si="38"/>
        <v>0.7</v>
      </c>
      <c r="AF87" s="177">
        <f t="shared" si="39"/>
        <v>0.60886803051999483</v>
      </c>
      <c r="AG87" s="799">
        <f t="shared" si="47"/>
        <v>-1</v>
      </c>
      <c r="AH87" s="176">
        <f t="shared" si="40"/>
        <v>5</v>
      </c>
      <c r="AI87" s="224">
        <f t="shared" si="41"/>
        <v>-0.39113196948000517</v>
      </c>
      <c r="AJ87" s="264" t="b">
        <f t="shared" si="42"/>
        <v>1</v>
      </c>
      <c r="AK87" s="264" t="b">
        <f t="shared" si="43"/>
        <v>0</v>
      </c>
      <c r="AL87" s="264"/>
      <c r="AM87" s="264"/>
      <c r="AN87" s="75"/>
    </row>
    <row r="88" spans="1:40" s="6" customFormat="1" ht="11.25" x14ac:dyDescent="0.2">
      <c r="A88" s="56">
        <f t="shared" si="44"/>
        <v>44270</v>
      </c>
      <c r="B88" s="607">
        <v>14.121</v>
      </c>
      <c r="C88" s="388"/>
      <c r="D88" s="391">
        <f t="shared" si="24"/>
        <v>14.337796907780866</v>
      </c>
      <c r="E88" s="383">
        <f t="shared" si="45"/>
        <v>14.955760764867733</v>
      </c>
      <c r="F88" s="383">
        <f t="shared" si="25"/>
        <v>14.955760764867733</v>
      </c>
      <c r="G88" s="110">
        <f t="shared" si="46"/>
        <v>0.29574392766033397</v>
      </c>
      <c r="H88" s="412" t="b">
        <f>Wh_hp&gt;='2020'!Maxi_hp</f>
        <v>0</v>
      </c>
      <c r="I88" s="379">
        <f>IF(H88,Wh_hp,'2020'!Maxi_hp)</f>
        <v>34.117673354504483</v>
      </c>
      <c r="J88" s="85">
        <f>IF(H88,An,'2020'!An_max)</f>
        <v>2020</v>
      </c>
      <c r="K88" s="197">
        <f t="shared" si="26"/>
        <v>44270</v>
      </c>
      <c r="L88" s="147">
        <f>IF(t&lt;Tvie,1-EXP((T0-t)*PertePVj)+'2020'!Pspv,1-EXP((T0-t)*PertePVj)+Pspv)</f>
        <v>1.512065690254083E-2</v>
      </c>
      <c r="M88" s="832"/>
      <c r="N88" s="832"/>
      <c r="O88" s="48">
        <f>IF(t&lt;Tnet,'2020'!Resal+('2020'!Salim-'2020'!Resal)*(1-EXP(('2020'!Tnet-t)/('2020'!Tau_j))),Resal+(Salim-Resal)*(1-EXP((Tnet-t)/(Tau_j))))*Salcycl</f>
        <v>4.1319453206186102E-2</v>
      </c>
      <c r="P88" s="169">
        <f>(INDEX(Models!$BJ88:$BT88,,T88)*(1-R88)+INDEX(Models!$BJ88:$BT88,,T88+1)*R88-ERP_i)*Q88*Ramure*Pc/MaxiM</f>
        <v>1.2567284689757145E-3</v>
      </c>
      <c r="Q88" s="304">
        <f t="shared" si="27"/>
        <v>0.7</v>
      </c>
      <c r="R88" s="177">
        <f t="shared" si="28"/>
        <v>0.54496381140546801</v>
      </c>
      <c r="S88" s="799">
        <f t="shared" si="29"/>
        <v>-1</v>
      </c>
      <c r="T88" s="176">
        <f t="shared" si="30"/>
        <v>5</v>
      </c>
      <c r="U88" s="250">
        <f t="shared" si="31"/>
        <v>-0.45503618859453204</v>
      </c>
      <c r="V88" s="382">
        <f t="shared" si="32"/>
        <v>47.687382286636094</v>
      </c>
      <c r="W88" s="400"/>
      <c r="X88" s="157">
        <f t="shared" si="33"/>
        <v>44270</v>
      </c>
      <c r="Y88" s="383">
        <f t="shared" si="34"/>
        <v>14.121</v>
      </c>
      <c r="Z88" s="383">
        <f t="shared" si="35"/>
        <v>14.337796907780866</v>
      </c>
      <c r="AA88" s="384">
        <f t="shared" si="36"/>
        <v>14.955760764867733</v>
      </c>
      <c r="AB88" s="197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4.1319453206186102E-2</v>
      </c>
      <c r="AD88" s="230">
        <f>(INDEX(Models!$BJ88:$BT88,,AH88)*(1-AF88)+INDEX(Models!$BJ88:$BT88,,AH88+1)*AF88-ERP_i)*AE88*Ramure*Pc/MaxiM</f>
        <v>1.3742655985724583E-3</v>
      </c>
      <c r="AE88" s="304">
        <f t="shared" si="38"/>
        <v>0.7</v>
      </c>
      <c r="AF88" s="177">
        <f t="shared" si="39"/>
        <v>0.60929603366530016</v>
      </c>
      <c r="AG88" s="799">
        <f t="shared" si="47"/>
        <v>-1</v>
      </c>
      <c r="AH88" s="176">
        <f t="shared" si="40"/>
        <v>5</v>
      </c>
      <c r="AI88" s="224">
        <f t="shared" si="41"/>
        <v>-0.39070396633469989</v>
      </c>
      <c r="AJ88" s="264" t="b">
        <f t="shared" si="42"/>
        <v>1</v>
      </c>
      <c r="AK88" s="264" t="b">
        <f t="shared" si="43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4"/>
        <v>44271</v>
      </c>
      <c r="B89" s="607">
        <v>33.116</v>
      </c>
      <c r="C89" s="388"/>
      <c r="D89" s="391">
        <f t="shared" si="24"/>
        <v>33.625067786066168</v>
      </c>
      <c r="E89" s="383">
        <f t="shared" si="45"/>
        <v>35.075662569012117</v>
      </c>
      <c r="F89" s="383">
        <f t="shared" si="25"/>
        <v>35.100781520260973</v>
      </c>
      <c r="G89" s="110">
        <f t="shared" si="46"/>
        <v>0.68952635561792408</v>
      </c>
      <c r="H89" s="412" t="b">
        <f>Wh_hp&gt;='2020'!Maxi_hp</f>
        <v>0</v>
      </c>
      <c r="I89" s="379">
        <f>IF(H89,Wh_hp,'2020'!Maxi_hp)</f>
        <v>53.119225306767447</v>
      </c>
      <c r="J89" s="85">
        <f>IF(H89,An,'2020'!An_max)</f>
        <v>2020</v>
      </c>
      <c r="K89" s="197">
        <f t="shared" si="26"/>
        <v>44271</v>
      </c>
      <c r="L89" s="147">
        <f>IF(t&lt;Tvie,1-EXP((T0-t)*PertePVj)+'2020'!Pspv,1-EXP((T0-t)*PertePVj)+Pspv)</f>
        <v>1.5139531890464242E-2</v>
      </c>
      <c r="M89" s="832"/>
      <c r="N89" s="832"/>
      <c r="O89" s="48">
        <f>IF(t&lt;Tnet,'2020'!Resal+('2020'!Salim-'2020'!Resal)*(1-EXP(('2020'!Tnet-t)/('2020'!Tau_j))),Resal+(Salim-Resal)*(1-EXP((Tnet-t)/(Tau_j))))*Salcycl</f>
        <v>4.1356161985304597E-2</v>
      </c>
      <c r="P89" s="169">
        <f>(INDEX(Models!$BJ89:$BT89,,T89)*(1-R89)+INDEX(Models!$BJ89:$BT89,,T89+1)*R89-ERP_i)*Q89*Ramure*Pc/MaxiM</f>
        <v>1.2847187487507374E-3</v>
      </c>
      <c r="Q89" s="304">
        <f t="shared" si="27"/>
        <v>0.7</v>
      </c>
      <c r="R89" s="177">
        <f t="shared" si="28"/>
        <v>0.54540877243968544</v>
      </c>
      <c r="S89" s="799">
        <f t="shared" si="29"/>
        <v>-1</v>
      </c>
      <c r="T89" s="176">
        <f t="shared" si="30"/>
        <v>5</v>
      </c>
      <c r="U89" s="250">
        <f t="shared" si="31"/>
        <v>-0.4545912275603145</v>
      </c>
      <c r="V89" s="382">
        <f t="shared" si="32"/>
        <v>47.999819125684837</v>
      </c>
      <c r="W89" s="400"/>
      <c r="X89" s="157">
        <f t="shared" si="33"/>
        <v>44271</v>
      </c>
      <c r="Y89" s="383">
        <f t="shared" si="34"/>
        <v>33.11378293795314</v>
      </c>
      <c r="Z89" s="383">
        <f t="shared" si="35"/>
        <v>33.622816642763489</v>
      </c>
      <c r="AA89" s="384">
        <f t="shared" si="36"/>
        <v>35.073314310760814</v>
      </c>
      <c r="AB89" s="197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4.1356161985304597E-2</v>
      </c>
      <c r="AD89" s="230">
        <f>(INDEX(Models!$BJ89:$BT89,,AH89)*(1-AF89)+INDEX(Models!$BJ89:$BT89,,AH89+1)*AF89-ERP_i)*AE89*Ramure*Pc/MaxiM</f>
        <v>1.4048213506652866E-3</v>
      </c>
      <c r="AE89" s="304">
        <f t="shared" si="38"/>
        <v>0.7</v>
      </c>
      <c r="AF89" s="177">
        <f t="shared" si="39"/>
        <v>0.60974099469951759</v>
      </c>
      <c r="AG89" s="799">
        <f t="shared" si="47"/>
        <v>-1</v>
      </c>
      <c r="AH89" s="176">
        <f t="shared" si="40"/>
        <v>5</v>
      </c>
      <c r="AI89" s="224">
        <f t="shared" si="41"/>
        <v>-0.39025900530048235</v>
      </c>
      <c r="AJ89" s="264" t="b">
        <f t="shared" si="42"/>
        <v>1</v>
      </c>
      <c r="AK89" s="264" t="b">
        <f t="shared" si="43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4"/>
        <v>44272</v>
      </c>
      <c r="B90" s="607">
        <v>31.881</v>
      </c>
      <c r="C90" s="388"/>
      <c r="D90" s="391">
        <f t="shared" si="24"/>
        <v>32.3717034403859</v>
      </c>
      <c r="E90" s="383">
        <f t="shared" si="45"/>
        <v>33.769525012370799</v>
      </c>
      <c r="F90" s="383">
        <f t="shared" si="25"/>
        <v>33.792366122986927</v>
      </c>
      <c r="G90" s="110">
        <f t="shared" si="46"/>
        <v>0.65952580846318631</v>
      </c>
      <c r="H90" s="412" t="b">
        <f>Wh_hp&gt;='2020'!Maxi_hp</f>
        <v>1</v>
      </c>
      <c r="I90" s="379">
        <f>IF(H90,Wh_hp,'2020'!Maxi_hp)</f>
        <v>33.792366122986927</v>
      </c>
      <c r="J90" s="85">
        <f>IF(H90,An,'2020'!An_max)</f>
        <v>2021</v>
      </c>
      <c r="K90" s="197">
        <f t="shared" si="26"/>
        <v>44272</v>
      </c>
      <c r="L90" s="147">
        <f>IF(t&lt;Tvie,1-EXP((T0-t)*PertePVj)+'2020'!Pspv,1-EXP((T0-t)*PertePVj)+Pspv)</f>
        <v>1.5158406516652789E-2</v>
      </c>
      <c r="M90" s="832"/>
      <c r="N90" s="832"/>
      <c r="O90" s="48">
        <f>IF(t&lt;Tnet,'2020'!Resal+('2020'!Salim-'2020'!Resal)*(1-EXP(('2020'!Tnet-t)/('2020'!Tau_j))),Resal+(Salim-Resal)*(1-EXP((Tnet-t)/(Tau_j))))*Salcycl</f>
        <v>4.1392988840465952E-2</v>
      </c>
      <c r="P90" s="169">
        <f>(INDEX(Models!$BJ90:$BT90,,T90)*(1-R90)+INDEX(Models!$BJ90:$BT90,,T90+1)*R90-ERP_i)*Q90*Ramure*Pc/MaxiM</f>
        <v>1.314490578629642E-3</v>
      </c>
      <c r="Q90" s="304">
        <f t="shared" si="27"/>
        <v>0.7</v>
      </c>
      <c r="R90" s="177">
        <f t="shared" si="28"/>
        <v>0.5458713210202969</v>
      </c>
      <c r="S90" s="799">
        <f t="shared" si="29"/>
        <v>-1</v>
      </c>
      <c r="T90" s="176">
        <f t="shared" si="30"/>
        <v>5</v>
      </c>
      <c r="U90" s="250">
        <f t="shared" si="31"/>
        <v>-0.4541286789797031</v>
      </c>
      <c r="V90" s="382">
        <f t="shared" si="32"/>
        <v>48.308387203826598</v>
      </c>
      <c r="W90" s="400"/>
      <c r="X90" s="157">
        <f t="shared" si="33"/>
        <v>44272</v>
      </c>
      <c r="Y90" s="383">
        <f t="shared" si="34"/>
        <v>31.878982493797782</v>
      </c>
      <c r="Z90" s="383">
        <f t="shared" si="35"/>
        <v>32.369654881292163</v>
      </c>
      <c r="AA90" s="384">
        <f t="shared" si="36"/>
        <v>33.767387995772872</v>
      </c>
      <c r="AB90" s="197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4.1392988840465952E-2</v>
      </c>
      <c r="AD90" s="230">
        <f>(INDEX(Models!$BJ90:$BT90,,AH90)*(1-AF90)+INDEX(Models!$BJ90:$BT90,,AH90+1)*AF90-ERP_i)*AE90*Ramure*Pc/MaxiM</f>
        <v>1.4374744488783167E-3</v>
      </c>
      <c r="AE90" s="304">
        <f t="shared" si="38"/>
        <v>0.7</v>
      </c>
      <c r="AF90" s="177">
        <f t="shared" si="39"/>
        <v>0.61020354328012905</v>
      </c>
      <c r="AG90" s="799">
        <f t="shared" si="47"/>
        <v>-1</v>
      </c>
      <c r="AH90" s="176">
        <f t="shared" si="40"/>
        <v>5</v>
      </c>
      <c r="AI90" s="224">
        <f t="shared" si="41"/>
        <v>-0.38979645671987095</v>
      </c>
      <c r="AJ90" s="264" t="b">
        <f t="shared" si="42"/>
        <v>1</v>
      </c>
      <c r="AK90" s="264" t="b">
        <f t="shared" si="43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4"/>
        <v>44273</v>
      </c>
      <c r="B91" s="607">
        <v>25.246000000000002</v>
      </c>
      <c r="C91" s="388"/>
      <c r="D91" s="391">
        <f t="shared" si="24"/>
        <v>25.635070665331419</v>
      </c>
      <c r="E91" s="383">
        <f t="shared" si="45"/>
        <v>26.743033161307132</v>
      </c>
      <c r="F91" s="383">
        <f t="shared" si="25"/>
        <v>26.754316956797577</v>
      </c>
      <c r="G91" s="110">
        <f t="shared" si="46"/>
        <v>0.51885045739154512</v>
      </c>
      <c r="H91" s="412" t="b">
        <f>Wh_hp&gt;='2020'!Maxi_hp</f>
        <v>0</v>
      </c>
      <c r="I91" s="379">
        <f>IF(H91,Wh_hp,'2020'!Maxi_hp)</f>
        <v>34.313153622269041</v>
      </c>
      <c r="J91" s="85">
        <f>IF(H91,An,'2020'!An_max)</f>
        <v>2018</v>
      </c>
      <c r="K91" s="197">
        <f t="shared" si="26"/>
        <v>44273</v>
      </c>
      <c r="L91" s="147">
        <f>IF(t&lt;Tvie,1-EXP((T0-t)*PertePVj)+'2020'!Pspv,1-EXP((T0-t)*PertePVj)+Pspv)</f>
        <v>1.5177280781113356E-2</v>
      </c>
      <c r="M91" s="832"/>
      <c r="N91" s="832"/>
      <c r="O91" s="48">
        <f>IF(t&lt;Tnet,'2020'!Resal+('2020'!Salim-'2020'!Resal)*(1-EXP(('2020'!Tnet-t)/('2020'!Tau_j))),Resal+(Salim-Resal)*(1-EXP((Tnet-t)/(Tau_j))))*Salcycl</f>
        <v>4.1429948850332923E-2</v>
      </c>
      <c r="P91" s="169">
        <f>(INDEX(Models!$BJ91:$BT91,,T91)*(1-R91)+INDEX(Models!$BJ91:$BT91,,T91+1)*R91-ERP_i)*Q91*Ramure*Pc/MaxiM</f>
        <v>1.3460463318117517E-3</v>
      </c>
      <c r="Q91" s="304">
        <f t="shared" si="27"/>
        <v>0.7</v>
      </c>
      <c r="R91" s="177">
        <f t="shared" si="28"/>
        <v>0.54635210668319723</v>
      </c>
      <c r="S91" s="799">
        <f t="shared" si="29"/>
        <v>-1</v>
      </c>
      <c r="T91" s="176">
        <f t="shared" si="30"/>
        <v>5</v>
      </c>
      <c r="U91" s="250">
        <f t="shared" si="31"/>
        <v>-0.45364789331680277</v>
      </c>
      <c r="V91" s="382">
        <f t="shared" si="32"/>
        <v>48.61257258806112</v>
      </c>
      <c r="W91" s="400"/>
      <c r="X91" s="157">
        <f t="shared" si="33"/>
        <v>44273</v>
      </c>
      <c r="Y91" s="383">
        <f t="shared" si="34"/>
        <v>25.245001476366472</v>
      </c>
      <c r="Z91" s="383">
        <f t="shared" si="35"/>
        <v>25.634056753269842</v>
      </c>
      <c r="AA91" s="384">
        <f t="shared" si="36"/>
        <v>26.741975427383188</v>
      </c>
      <c r="AB91" s="197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4.1429948850332923E-2</v>
      </c>
      <c r="AD91" s="230">
        <f>(INDEX(Models!$BJ91:$BT91,,AH91)*(1-AF91)+INDEX(Models!$BJ91:$BT91,,AH91+1)*AF91-ERP_i)*AE91*Ramure*Pc/MaxiM</f>
        <v>1.4722236335502582E-3</v>
      </c>
      <c r="AE91" s="304">
        <f t="shared" si="38"/>
        <v>0.7</v>
      </c>
      <c r="AF91" s="177">
        <f t="shared" si="39"/>
        <v>0.61068432894302938</v>
      </c>
      <c r="AG91" s="799">
        <f t="shared" si="47"/>
        <v>-1</v>
      </c>
      <c r="AH91" s="176">
        <f t="shared" si="40"/>
        <v>5</v>
      </c>
      <c r="AI91" s="224">
        <f t="shared" si="41"/>
        <v>-0.38931567105697062</v>
      </c>
      <c r="AJ91" s="264" t="b">
        <f t="shared" si="42"/>
        <v>1</v>
      </c>
      <c r="AK91" s="264" t="b">
        <f t="shared" si="43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4"/>
        <v>44274</v>
      </c>
      <c r="B92" s="607">
        <v>8.1449999999999996</v>
      </c>
      <c r="C92" s="388"/>
      <c r="D92" s="391">
        <f t="shared" si="24"/>
        <v>8.2706825717006094</v>
      </c>
      <c r="E92" s="383">
        <f t="shared" si="45"/>
        <v>8.6284802585011597</v>
      </c>
      <c r="F92" s="383">
        <f t="shared" si="25"/>
        <v>8.6284802585011597</v>
      </c>
      <c r="G92" s="110">
        <f t="shared" si="46"/>
        <v>0.16629432261051588</v>
      </c>
      <c r="H92" s="412" t="b">
        <f>Wh_hp&gt;='2020'!Maxi_hp</f>
        <v>0</v>
      </c>
      <c r="I92" s="379">
        <f>IF(H92,Wh_hp,'2020'!Maxi_hp)</f>
        <v>45.384654125633041</v>
      </c>
      <c r="J92" s="85">
        <f>IF(H92,An,'2020'!An_max)</f>
        <v>2020</v>
      </c>
      <c r="K92" s="197">
        <f t="shared" si="26"/>
        <v>44274</v>
      </c>
      <c r="L92" s="147">
        <f>IF(t&lt;Tvie,1-EXP((T0-t)*PertePVj)+'2020'!Pspv,1-EXP((T0-t)*PertePVj)+Pspv)</f>
        <v>1.5196154683853047E-2</v>
      </c>
      <c r="M92" s="832"/>
      <c r="N92" s="832"/>
      <c r="O92" s="48">
        <f>IF(t&lt;Tnet,'2020'!Resal+('2020'!Salim-'2020'!Resal)*(1-EXP(('2020'!Tnet-t)/('2020'!Tau_j))),Resal+(Salim-Resal)*(1-EXP((Tnet-t)/(Tau_j))))*Salcycl</f>
        <v>4.1467057474928064E-2</v>
      </c>
      <c r="P92" s="169">
        <f>(INDEX(Models!$BJ92:$BT92,,T92)*(1-R92)+INDEX(Models!$BJ92:$BT92,,T92+1)*R92-ERP_i)*Q92*Ramure*Pc/MaxiM</f>
        <v>1.3793917391553465E-3</v>
      </c>
      <c r="Q92" s="304">
        <f t="shared" si="27"/>
        <v>0.7</v>
      </c>
      <c r="R92" s="177">
        <f t="shared" si="28"/>
        <v>0.5468517991745625</v>
      </c>
      <c r="S92" s="799">
        <f t="shared" si="29"/>
        <v>-1</v>
      </c>
      <c r="T92" s="176">
        <f t="shared" si="30"/>
        <v>5</v>
      </c>
      <c r="U92" s="250">
        <f t="shared" si="31"/>
        <v>-0.4531482008254375</v>
      </c>
      <c r="V92" s="382">
        <f t="shared" si="32"/>
        <v>48.91186137084771</v>
      </c>
      <c r="W92" s="400"/>
      <c r="X92" s="157">
        <f t="shared" si="33"/>
        <v>44274</v>
      </c>
      <c r="Y92" s="383">
        <f t="shared" si="34"/>
        <v>8.1449999999999996</v>
      </c>
      <c r="Z92" s="383">
        <f t="shared" si="35"/>
        <v>8.2706825717006094</v>
      </c>
      <c r="AA92" s="384">
        <f t="shared" si="36"/>
        <v>8.6284802585011597</v>
      </c>
      <c r="AB92" s="197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4.1467057474928064E-2</v>
      </c>
      <c r="AD92" s="230">
        <f>(INDEX(Models!$BJ92:$BT92,,AH92)*(1-AF92)+INDEX(Models!$BJ92:$BT92,,AH92+1)*AF92-ERP_i)*AE92*Ramure*Pc/MaxiM</f>
        <v>1.5090714388523651E-3</v>
      </c>
      <c r="AE92" s="304">
        <f t="shared" si="38"/>
        <v>0.7</v>
      </c>
      <c r="AF92" s="177">
        <f t="shared" si="39"/>
        <v>0.61118402143439465</v>
      </c>
      <c r="AG92" s="799">
        <f t="shared" si="47"/>
        <v>-1</v>
      </c>
      <c r="AH92" s="176">
        <f t="shared" si="40"/>
        <v>5</v>
      </c>
      <c r="AI92" s="224">
        <f t="shared" si="41"/>
        <v>-0.38881597856560535</v>
      </c>
      <c r="AJ92" s="264" t="b">
        <f t="shared" si="42"/>
        <v>1</v>
      </c>
      <c r="AK92" s="264" t="b">
        <f t="shared" si="43"/>
        <v>0</v>
      </c>
      <c r="AL92" s="264"/>
      <c r="AM92" s="264"/>
      <c r="AN92" s="75"/>
    </row>
    <row r="93" spans="1:40" s="6" customFormat="1" ht="11.25" x14ac:dyDescent="0.2">
      <c r="A93" s="56">
        <f t="shared" si="44"/>
        <v>44275</v>
      </c>
      <c r="B93" s="607">
        <v>42.008000000000003</v>
      </c>
      <c r="C93" s="388"/>
      <c r="D93" s="391">
        <f t="shared" si="24"/>
        <v>42.657027883232828</v>
      </c>
      <c r="E93" s="383">
        <f t="shared" si="45"/>
        <v>44.504142523413407</v>
      </c>
      <c r="F93" s="383">
        <f t="shared" si="25"/>
        <v>44.553987957555606</v>
      </c>
      <c r="G93" s="110">
        <f t="shared" si="46"/>
        <v>0.8534157527295827</v>
      </c>
      <c r="H93" s="412" t="b">
        <f>Wh_hp&gt;='2020'!Maxi_hp</f>
        <v>0</v>
      </c>
      <c r="I93" s="379">
        <f>IF(H93,Wh_hp,'2020'!Maxi_hp)</f>
        <v>51.000305055199313</v>
      </c>
      <c r="J93" s="85">
        <f>IF(H93,An,'2020'!An_max)</f>
        <v>2018</v>
      </c>
      <c r="K93" s="197">
        <f t="shared" si="26"/>
        <v>44275</v>
      </c>
      <c r="L93" s="147">
        <f>IF(t&lt;Tvie,1-EXP((T0-t)*PertePVj)+'2020'!Pspv,1-EXP((T0-t)*PertePVj)+Pspv)</f>
        <v>1.5215028224878746E-2</v>
      </c>
      <c r="M93" s="832"/>
      <c r="N93" s="832"/>
      <c r="O93" s="48">
        <f>IF(t&lt;Tnet,'2020'!Resal+('2020'!Salim-'2020'!Resal)*(1-EXP(('2020'!Tnet-t)/('2020'!Tau_j))),Resal+(Salim-Resal)*(1-EXP((Tnet-t)/(Tau_j))))*Salcycl</f>
        <v>4.1504330506060651E-2</v>
      </c>
      <c r="P93" s="169">
        <f>(INDEX(Models!$BJ93:$BT93,,T93)*(1-R93)+INDEX(Models!$BJ93:$BT93,,T93+1)*R93-ERP_i)*Q93*Ramure*Pc/MaxiM</f>
        <v>1.4144482492141207E-3</v>
      </c>
      <c r="Q93" s="304">
        <f t="shared" si="27"/>
        <v>0.7</v>
      </c>
      <c r="R93" s="177">
        <f t="shared" si="28"/>
        <v>0.54737108876065976</v>
      </c>
      <c r="S93" s="799">
        <f t="shared" si="29"/>
        <v>-1</v>
      </c>
      <c r="T93" s="176">
        <f t="shared" si="30"/>
        <v>5</v>
      </c>
      <c r="U93" s="250">
        <f t="shared" si="31"/>
        <v>-0.45262891123934029</v>
      </c>
      <c r="V93" s="382">
        <f t="shared" si="32"/>
        <v>49.208799912822002</v>
      </c>
      <c r="W93" s="400"/>
      <c r="X93" s="157">
        <f t="shared" si="33"/>
        <v>44275</v>
      </c>
      <c r="Y93" s="383">
        <f t="shared" si="34"/>
        <v>42.003559966857182</v>
      </c>
      <c r="Z93" s="383">
        <f t="shared" si="35"/>
        <v>42.652519251125234</v>
      </c>
      <c r="AA93" s="384">
        <f t="shared" si="36"/>
        <v>44.499438660630204</v>
      </c>
      <c r="AB93" s="197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4.1504330506060651E-2</v>
      </c>
      <c r="AD93" s="230">
        <f>(INDEX(Models!$BJ93:$BT93,,AH93)*(1-AF93)+INDEX(Models!$BJ93:$BT93,,AH93+1)*AF93-ERP_i)*AE93*Ramure*Pc/MaxiM</f>
        <v>1.5479282879125311E-3</v>
      </c>
      <c r="AE93" s="304">
        <f t="shared" si="38"/>
        <v>0.7</v>
      </c>
      <c r="AF93" s="177">
        <f t="shared" si="39"/>
        <v>0.61170331102049191</v>
      </c>
      <c r="AG93" s="799">
        <f t="shared" si="47"/>
        <v>-1</v>
      </c>
      <c r="AH93" s="176">
        <f t="shared" si="40"/>
        <v>5</v>
      </c>
      <c r="AI93" s="224">
        <f t="shared" si="41"/>
        <v>-0.38829668897950814</v>
      </c>
      <c r="AJ93" s="264" t="b">
        <f t="shared" si="42"/>
        <v>1</v>
      </c>
      <c r="AK93" s="264" t="b">
        <f t="shared" si="43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4"/>
        <v>44276</v>
      </c>
      <c r="B94" s="607">
        <v>47.25</v>
      </c>
      <c r="C94" s="388"/>
      <c r="D94" s="391">
        <f t="shared" si="24"/>
        <v>47.980936861428006</v>
      </c>
      <c r="E94" s="383">
        <f t="shared" si="45"/>
        <v>50.060541045330588</v>
      </c>
      <c r="F94" s="383">
        <f t="shared" si="25"/>
        <v>50.128399277067864</v>
      </c>
      <c r="G94" s="110">
        <f t="shared" si="46"/>
        <v>0.95434185835258045</v>
      </c>
      <c r="H94" s="412" t="b">
        <f>Wh_hp&gt;='2020'!Maxi_hp</f>
        <v>0</v>
      </c>
      <c r="I94" s="379">
        <f>IF(H94,Wh_hp,'2020'!Maxi_hp)</f>
        <v>51.582949818940655</v>
      </c>
      <c r="J94" s="85">
        <f>IF(H94,An,'2020'!An_max)</f>
        <v>2020</v>
      </c>
      <c r="K94" s="197">
        <f t="shared" si="26"/>
        <v>44276</v>
      </c>
      <c r="L94" s="147">
        <f>IF(t&lt;Tvie,1-EXP((T0-t)*PertePVj)+'2020'!Pspv,1-EXP((T0-t)*PertePVj)+Pspv)</f>
        <v>1.5233901404197225E-2</v>
      </c>
      <c r="M94" s="832"/>
      <c r="N94" s="832"/>
      <c r="O94" s="48">
        <f>IF(t&lt;Tnet,'2020'!Resal+('2020'!Salim-'2020'!Resal)*(1-EXP(('2020'!Tnet-t)/('2020'!Tau_j))),Resal+(Salim-Resal)*(1-EXP((Tnet-t)/(Tau_j))))*Salcycl</f>
        <v>4.1541784017465312E-2</v>
      </c>
      <c r="P94" s="169">
        <f>(INDEX(Models!$BJ94:$BT94,,T94)*(1-R94)+INDEX(Models!$BJ94:$BT94,,T94+1)*R94-ERP_i)*Q94*Ramure*Pc/MaxiM</f>
        <v>1.4479456248428545E-3</v>
      </c>
      <c r="Q94" s="304">
        <f t="shared" si="27"/>
        <v>0.7</v>
      </c>
      <c r="R94" s="177">
        <f t="shared" si="28"/>
        <v>0.54791068651241992</v>
      </c>
      <c r="S94" s="799">
        <f t="shared" si="29"/>
        <v>-1</v>
      </c>
      <c r="T94" s="176">
        <f t="shared" si="30"/>
        <v>5</v>
      </c>
      <c r="U94" s="250">
        <f t="shared" si="31"/>
        <v>-0.45208931348758014</v>
      </c>
      <c r="V94" s="382">
        <f t="shared" si="32"/>
        <v>49.505887114524995</v>
      </c>
      <c r="W94" s="400"/>
      <c r="X94" s="157">
        <f t="shared" si="33"/>
        <v>44276</v>
      </c>
      <c r="Y94" s="383">
        <f t="shared" si="34"/>
        <v>47.243931708696635</v>
      </c>
      <c r="Z94" s="383">
        <f t="shared" si="35"/>
        <v>47.974774696308778</v>
      </c>
      <c r="AA94" s="384">
        <f t="shared" si="36"/>
        <v>50.05411179779901</v>
      </c>
      <c r="AB94" s="197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4.1541784017465312E-2</v>
      </c>
      <c r="AD94" s="230">
        <f>(INDEX(Models!$BJ94:$BT94,,AH94)*(1-AF94)+INDEX(Models!$BJ94:$BT94,,AH94+1)*AF94-ERP_i)*AE94*Ramure*Pc/MaxiM</f>
        <v>1.5851316462885542E-3</v>
      </c>
      <c r="AE94" s="304">
        <f t="shared" si="38"/>
        <v>0.7</v>
      </c>
      <c r="AF94" s="177">
        <f t="shared" si="39"/>
        <v>0.61224290877225207</v>
      </c>
      <c r="AG94" s="799">
        <f t="shared" si="47"/>
        <v>-1</v>
      </c>
      <c r="AH94" s="176">
        <f t="shared" si="40"/>
        <v>5</v>
      </c>
      <c r="AI94" s="224">
        <f t="shared" si="41"/>
        <v>-0.38775709122774799</v>
      </c>
      <c r="AJ94" s="264" t="b">
        <f t="shared" si="42"/>
        <v>1</v>
      </c>
      <c r="AK94" s="264" t="b">
        <f t="shared" si="43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4"/>
        <v>44277</v>
      </c>
      <c r="B95" s="607">
        <v>34.216999999999999</v>
      </c>
      <c r="C95" s="388"/>
      <c r="D95" s="391">
        <f t="shared" si="24"/>
        <v>34.746987962276748</v>
      </c>
      <c r="E95" s="383">
        <f t="shared" si="45"/>
        <v>36.254426507889399</v>
      </c>
      <c r="F95" s="383">
        <f t="shared" si="25"/>
        <v>36.28402894387515</v>
      </c>
      <c r="G95" s="110">
        <f t="shared" si="46"/>
        <v>0.6865999673115244</v>
      </c>
      <c r="H95" s="412" t="b">
        <f>Wh_hp&gt;='2020'!Maxi_hp</f>
        <v>0</v>
      </c>
      <c r="I95" s="379">
        <f>IF(H95,Wh_hp,'2020'!Maxi_hp)</f>
        <v>50.061246590023678</v>
      </c>
      <c r="J95" s="85">
        <f>IF(H95,An,'2020'!An_max)</f>
        <v>2020</v>
      </c>
      <c r="K95" s="197">
        <f t="shared" si="26"/>
        <v>44277</v>
      </c>
      <c r="L95" s="147">
        <f>IF(t&lt;Tvie,1-EXP((T0-t)*PertePVj)+'2020'!Pspv,1-EXP((T0-t)*PertePVj)+Pspv)</f>
        <v>1.525277422181559E-2</v>
      </c>
      <c r="M95" s="832"/>
      <c r="N95" s="832"/>
      <c r="O95" s="48">
        <f>IF(t&lt;Tnet,'2020'!Resal+('2020'!Salim-'2020'!Resal)*(1-EXP(('2020'!Tnet-t)/('2020'!Tau_j))),Resal+(Salim-Resal)*(1-EXP((Tnet-t)/(Tau_j))))*Salcycl</f>
        <v>4.1579434314996416E-2</v>
      </c>
      <c r="P95" s="169">
        <f>(INDEX(Models!$BJ95:$BT95,,T95)*(1-R95)+INDEX(Models!$BJ95:$BT95,,T95+1)*R95-ERP_i)*Q95*Ramure*Pc/MaxiM</f>
        <v>1.4754990405358161E-3</v>
      </c>
      <c r="Q95" s="304">
        <f t="shared" si="27"/>
        <v>0.7</v>
      </c>
      <c r="R95" s="177">
        <f t="shared" si="28"/>
        <v>0.54847132456135961</v>
      </c>
      <c r="S95" s="799">
        <f t="shared" si="29"/>
        <v>-1</v>
      </c>
      <c r="T95" s="176">
        <f t="shared" si="30"/>
        <v>5</v>
      </c>
      <c r="U95" s="250">
        <f t="shared" si="31"/>
        <v>-0.45152867543864039</v>
      </c>
      <c r="V95" s="382">
        <f t="shared" si="32"/>
        <v>49.80252270850027</v>
      </c>
      <c r="W95" s="400"/>
      <c r="X95" s="157">
        <f t="shared" si="33"/>
        <v>44277</v>
      </c>
      <c r="Y95" s="383">
        <f t="shared" si="34"/>
        <v>34.214344325661969</v>
      </c>
      <c r="Z95" s="383">
        <f t="shared" si="35"/>
        <v>34.744291154132981</v>
      </c>
      <c r="AA95" s="384">
        <f t="shared" si="36"/>
        <v>36.251612703344378</v>
      </c>
      <c r="AB95" s="197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4.1579434314996416E-2</v>
      </c>
      <c r="AD95" s="230">
        <f>(INDEX(Models!$BJ95:$BT95,,AH95)*(1-AF95)+INDEX(Models!$BJ95:$BT95,,AH95+1)*AF95-ERP_i)*AE95*Ramure*Pc/MaxiM</f>
        <v>1.6157498600438117E-3</v>
      </c>
      <c r="AE95" s="304">
        <f t="shared" si="38"/>
        <v>0.7</v>
      </c>
      <c r="AF95" s="177">
        <f t="shared" si="39"/>
        <v>0.61280354682119176</v>
      </c>
      <c r="AG95" s="799">
        <f t="shared" si="47"/>
        <v>-1</v>
      </c>
      <c r="AH95" s="176">
        <f t="shared" si="40"/>
        <v>5</v>
      </c>
      <c r="AI95" s="224">
        <f t="shared" si="41"/>
        <v>-0.38719645317880824</v>
      </c>
      <c r="AJ95" s="264" t="b">
        <f t="shared" si="42"/>
        <v>1</v>
      </c>
      <c r="AK95" s="264" t="b">
        <f t="shared" si="43"/>
        <v>0</v>
      </c>
      <c r="AL95" s="264"/>
      <c r="AM95" s="264"/>
      <c r="AN95" s="75"/>
    </row>
    <row r="96" spans="1:40" s="6" customFormat="1" ht="11.25" x14ac:dyDescent="0.2">
      <c r="A96" s="56">
        <f t="shared" si="44"/>
        <v>44278</v>
      </c>
      <c r="B96" s="607">
        <v>49.221000000000004</v>
      </c>
      <c r="C96" s="388"/>
      <c r="D96" s="391">
        <f t="shared" si="24"/>
        <v>49.984343229215497</v>
      </c>
      <c r="E96" s="383">
        <f t="shared" si="45"/>
        <v>52.154888771492288</v>
      </c>
      <c r="F96" s="383">
        <f t="shared" si="25"/>
        <v>52.23113545983216</v>
      </c>
      <c r="G96" s="110">
        <f t="shared" si="46"/>
        <v>0.98245971603231541</v>
      </c>
      <c r="H96" s="412" t="b">
        <f>Wh_hp&gt;='2020'!Maxi_hp</f>
        <v>1</v>
      </c>
      <c r="I96" s="379">
        <f>IF(H96,Wh_hp,'2020'!Maxi_hp)</f>
        <v>52.23113545983216</v>
      </c>
      <c r="J96" s="85">
        <f>IF(H96,An,'2020'!An_max)</f>
        <v>2021</v>
      </c>
      <c r="K96" s="197">
        <f t="shared" si="26"/>
        <v>44278</v>
      </c>
      <c r="L96" s="147">
        <f>IF(t&lt;Tvie,1-EXP((T0-t)*PertePVj)+'2020'!Pspv,1-EXP((T0-t)*PertePVj)+Pspv)</f>
        <v>1.5271646677740613E-2</v>
      </c>
      <c r="M96" s="832"/>
      <c r="N96" s="832"/>
      <c r="O96" s="48">
        <f>IF(t&lt;Tnet,'2020'!Resal+('2020'!Salim-'2020'!Resal)*(1-EXP(('2020'!Tnet-t)/('2020'!Tau_j))),Resal+(Salim-Resal)*(1-EXP((Tnet-t)/(Tau_j))))*Salcycl</f>
        <v>4.161729788719646E-2</v>
      </c>
      <c r="P96" s="169">
        <f>(INDEX(Models!$BJ96:$BT96,,T96)*(1-R96)+INDEX(Models!$BJ96:$BT96,,T96+1)*R96-ERP_i)*Q96*Ramure*Pc/MaxiM</f>
        <v>1.4972319851421722E-3</v>
      </c>
      <c r="Q96" s="304">
        <f t="shared" si="27"/>
        <v>0.7</v>
      </c>
      <c r="R96" s="177">
        <f t="shared" si="28"/>
        <v>0.54905375632319531</v>
      </c>
      <c r="S96" s="799">
        <f t="shared" si="29"/>
        <v>-1</v>
      </c>
      <c r="T96" s="176">
        <f t="shared" si="30"/>
        <v>5</v>
      </c>
      <c r="U96" s="250">
        <f t="shared" si="31"/>
        <v>-0.45094624367680469</v>
      </c>
      <c r="V96" s="382">
        <f t="shared" si="32"/>
        <v>50.097885703135766</v>
      </c>
      <c r="W96" s="400"/>
      <c r="X96" s="157">
        <f t="shared" si="33"/>
        <v>44278</v>
      </c>
      <c r="Y96" s="383">
        <f t="shared" si="34"/>
        <v>49.214142333598751</v>
      </c>
      <c r="Z96" s="383">
        <f t="shared" si="35"/>
        <v>49.977379210785323</v>
      </c>
      <c r="AA96" s="384">
        <f t="shared" si="36"/>
        <v>52.147622343983926</v>
      </c>
      <c r="AB96" s="197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4.161729788719646E-2</v>
      </c>
      <c r="AD96" s="230">
        <f>(INDEX(Models!$BJ96:$BT96,,AH96)*(1-AF96)+INDEX(Models!$BJ96:$BT96,,AH96+1)*AF96-ERP_i)*AE96*Ramure*Pc/MaxiM</f>
        <v>1.6399205126063751E-3</v>
      </c>
      <c r="AE96" s="304">
        <f t="shared" si="38"/>
        <v>0.7</v>
      </c>
      <c r="AF96" s="177">
        <f t="shared" si="39"/>
        <v>0.61338597858302746</v>
      </c>
      <c r="AG96" s="799">
        <f t="shared" si="47"/>
        <v>-1</v>
      </c>
      <c r="AH96" s="176">
        <f t="shared" si="40"/>
        <v>5</v>
      </c>
      <c r="AI96" s="224">
        <f t="shared" si="41"/>
        <v>-0.38661402141697254</v>
      </c>
      <c r="AJ96" s="264" t="b">
        <f t="shared" si="42"/>
        <v>1</v>
      </c>
      <c r="AK96" s="264" t="b">
        <f t="shared" si="43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4"/>
        <v>44279</v>
      </c>
      <c r="B97" s="607">
        <v>48.928000000000004</v>
      </c>
      <c r="C97" s="388"/>
      <c r="D97" s="391">
        <f t="shared" si="24"/>
        <v>49.687751497002367</v>
      </c>
      <c r="E97" s="383">
        <f t="shared" si="45"/>
        <v>51.84747850497623</v>
      </c>
      <c r="F97" s="383">
        <f t="shared" si="25"/>
        <v>51.922792190115452</v>
      </c>
      <c r="G97" s="110">
        <f t="shared" si="46"/>
        <v>0.97090300816466135</v>
      </c>
      <c r="H97" s="412" t="b">
        <f>Wh_hp&gt;='2020'!Maxi_hp</f>
        <v>1</v>
      </c>
      <c r="I97" s="379">
        <f>IF(H97,Wh_hp,'2020'!Maxi_hp)</f>
        <v>51.922792190115452</v>
      </c>
      <c r="J97" s="85">
        <f>IF(H97,An,'2020'!An_max)</f>
        <v>2021</v>
      </c>
      <c r="K97" s="197">
        <f t="shared" si="26"/>
        <v>44279</v>
      </c>
      <c r="L97" s="147">
        <f>IF(t&lt;Tvie,1-EXP((T0-t)*PertePVj)+'2020'!Pspv,1-EXP((T0-t)*PertePVj)+Pspv)</f>
        <v>1.52905187719794E-2</v>
      </c>
      <c r="M97" s="832"/>
      <c r="N97" s="832"/>
      <c r="O97" s="48">
        <f>IF(t&lt;Tnet,'2020'!Resal+('2020'!Salim-'2020'!Resal)*(1-EXP(('2020'!Tnet-t)/('2020'!Tau_j))),Resal+(Salim-Resal)*(1-EXP((Tnet-t)/(Tau_j))))*Salcycl</f>
        <v>4.165539135652617E-2</v>
      </c>
      <c r="P97" s="169">
        <f>(INDEX(Models!$BJ97:$BT97,,T97)*(1-R97)+INDEX(Models!$BJ97:$BT97,,T97+1)*R97-ERP_i)*Q97*Ramure*Pc/MaxiM</f>
        <v>1.5132638301372191E-3</v>
      </c>
      <c r="Q97" s="304">
        <f t="shared" si="27"/>
        <v>0.7</v>
      </c>
      <c r="R97" s="177">
        <f t="shared" si="28"/>
        <v>0.54965875668524311</v>
      </c>
      <c r="S97" s="799">
        <f t="shared" si="29"/>
        <v>-1</v>
      </c>
      <c r="T97" s="176">
        <f t="shared" si="30"/>
        <v>5</v>
      </c>
      <c r="U97" s="250">
        <f t="shared" si="31"/>
        <v>-0.45034124331475683</v>
      </c>
      <c r="V97" s="382">
        <f t="shared" si="32"/>
        <v>50.391155359961004</v>
      </c>
      <c r="W97" s="400"/>
      <c r="X97" s="157">
        <f t="shared" si="33"/>
        <v>44279</v>
      </c>
      <c r="Y97" s="383">
        <f t="shared" si="34"/>
        <v>48.921212721573482</v>
      </c>
      <c r="Z97" s="383">
        <f t="shared" si="35"/>
        <v>49.680858826061431</v>
      </c>
      <c r="AA97" s="384">
        <f t="shared" si="36"/>
        <v>51.840286237310956</v>
      </c>
      <c r="AB97" s="197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4.165539135652617E-2</v>
      </c>
      <c r="AD97" s="230">
        <f>(INDEX(Models!$BJ97:$BT97,,AH97)*(1-AF97)+INDEX(Models!$BJ97:$BT97,,AH97+1)*AF97-ERP_i)*AE97*Ramure*Pc/MaxiM</f>
        <v>1.6577767230386144E-3</v>
      </c>
      <c r="AE97" s="304">
        <f t="shared" si="38"/>
        <v>0.7</v>
      </c>
      <c r="AF97" s="177">
        <f t="shared" si="39"/>
        <v>0.61399097894507526</v>
      </c>
      <c r="AG97" s="799">
        <f t="shared" si="47"/>
        <v>-1</v>
      </c>
      <c r="AH97" s="176">
        <f t="shared" si="40"/>
        <v>5</v>
      </c>
      <c r="AI97" s="224">
        <f t="shared" si="41"/>
        <v>-0.38600902105492468</v>
      </c>
      <c r="AJ97" s="264" t="b">
        <f t="shared" si="42"/>
        <v>1</v>
      </c>
      <c r="AK97" s="264" t="b">
        <f t="shared" si="43"/>
        <v>0</v>
      </c>
      <c r="AL97" s="264"/>
      <c r="AM97" s="264"/>
      <c r="AN97" s="75"/>
    </row>
    <row r="98" spans="1:40" s="6" customFormat="1" ht="11.25" x14ac:dyDescent="0.2">
      <c r="A98" s="56">
        <f t="shared" si="44"/>
        <v>44280</v>
      </c>
      <c r="B98" s="607">
        <v>28.715</v>
      </c>
      <c r="C98" s="388"/>
      <c r="D98" s="391">
        <f t="shared" si="24"/>
        <v>29.161443932844126</v>
      </c>
      <c r="E98" s="383">
        <f t="shared" si="45"/>
        <v>30.430192193572189</v>
      </c>
      <c r="F98" s="383">
        <f t="shared" si="25"/>
        <v>30.447860059857472</v>
      </c>
      <c r="G98" s="110">
        <f t="shared" si="46"/>
        <v>0.5660425790981618</v>
      </c>
      <c r="H98" s="412" t="b">
        <f>Wh_hp&gt;='2020'!Maxi_hp</f>
        <v>0</v>
      </c>
      <c r="I98" s="379">
        <f>IF(H98,Wh_hp,'2020'!Maxi_hp)</f>
        <v>52.042805728748291</v>
      </c>
      <c r="J98" s="85">
        <f>IF(H98,An,'2020'!An_max)</f>
        <v>2020</v>
      </c>
      <c r="K98" s="197">
        <f t="shared" si="26"/>
        <v>44280</v>
      </c>
      <c r="L98" s="147">
        <f>IF(t&lt;Tvie,1-EXP((T0-t)*PertePVj)+'2020'!Pspv,1-EXP((T0-t)*PertePVj)+Pspv)</f>
        <v>1.5309390504538833E-2</v>
      </c>
      <c r="M98" s="832"/>
      <c r="N98" s="832"/>
      <c r="O98" s="48">
        <f>IF(t&lt;Tnet,'2020'!Resal+('2020'!Salim-'2020'!Resal)*(1-EXP(('2020'!Tnet-t)/('2020'!Tau_j))),Resal+(Salim-Resal)*(1-EXP((Tnet-t)/(Tau_j))))*Salcycl</f>
        <v>4.1693731431511158E-2</v>
      </c>
      <c r="P98" s="169">
        <f>(INDEX(Models!$BJ98:$BT98,,T98)*(1-R98)+INDEX(Models!$BJ98:$BT98,,T98+1)*R98-ERP_i)*Q98*Ramure*Pc/MaxiM</f>
        <v>1.5237088988862761E-3</v>
      </c>
      <c r="Q98" s="304">
        <f t="shared" si="27"/>
        <v>0.7</v>
      </c>
      <c r="R98" s="177">
        <f t="shared" si="28"/>
        <v>0.550287122153441</v>
      </c>
      <c r="S98" s="799">
        <f t="shared" si="29"/>
        <v>-1</v>
      </c>
      <c r="T98" s="176">
        <f t="shared" si="30"/>
        <v>5</v>
      </c>
      <c r="U98" s="250">
        <f t="shared" si="31"/>
        <v>-0.449712877846559</v>
      </c>
      <c r="V98" s="382">
        <f t="shared" si="32"/>
        <v>50.681511206483322</v>
      </c>
      <c r="W98" s="400"/>
      <c r="X98" s="157">
        <f t="shared" si="33"/>
        <v>44280</v>
      </c>
      <c r="Y98" s="383">
        <f t="shared" si="34"/>
        <v>28.713405381822884</v>
      </c>
      <c r="Z98" s="383">
        <f t="shared" si="35"/>
        <v>29.159824522481379</v>
      </c>
      <c r="AA98" s="384">
        <f t="shared" si="36"/>
        <v>30.428502326338862</v>
      </c>
      <c r="AB98" s="197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4.1693731431511158E-2</v>
      </c>
      <c r="AD98" s="230">
        <f>(INDEX(Models!$BJ98:$BT98,,AH98)*(1-AF98)+INDEX(Models!$BJ98:$BT98,,AH98+1)*AF98-ERP_i)*AE98*Ramure*Pc/MaxiM</f>
        <v>1.6694461203355425E-3</v>
      </c>
      <c r="AE98" s="304">
        <f t="shared" si="38"/>
        <v>0.7</v>
      </c>
      <c r="AF98" s="177">
        <f t="shared" si="39"/>
        <v>0.61461934441327315</v>
      </c>
      <c r="AG98" s="799">
        <f t="shared" si="47"/>
        <v>-1</v>
      </c>
      <c r="AH98" s="176">
        <f t="shared" si="40"/>
        <v>5</v>
      </c>
      <c r="AI98" s="224">
        <f t="shared" si="41"/>
        <v>-0.38538065558672685</v>
      </c>
      <c r="AJ98" s="264" t="b">
        <f t="shared" si="42"/>
        <v>1</v>
      </c>
      <c r="AK98" s="264" t="b">
        <f t="shared" si="43"/>
        <v>0</v>
      </c>
      <c r="AL98" s="264"/>
      <c r="AM98" s="264"/>
      <c r="AN98" s="75"/>
    </row>
    <row r="99" spans="1:40" s="6" customFormat="1" ht="11.25" x14ac:dyDescent="0.2">
      <c r="A99" s="56">
        <f t="shared" si="44"/>
        <v>44281</v>
      </c>
      <c r="B99" s="607">
        <v>41.945</v>
      </c>
      <c r="C99" s="388"/>
      <c r="D99" s="391">
        <f t="shared" si="24"/>
        <v>42.597952572386511</v>
      </c>
      <c r="E99" s="383">
        <f t="shared" si="45"/>
        <v>44.453083540248834</v>
      </c>
      <c r="F99" s="383">
        <f t="shared" si="25"/>
        <v>44.503909811874436</v>
      </c>
      <c r="G99" s="110">
        <f t="shared" si="46"/>
        <v>0.82264667123920121</v>
      </c>
      <c r="H99" s="412" t="b">
        <f>Wh_hp&gt;='2020'!Maxi_hp</f>
        <v>0</v>
      </c>
      <c r="I99" s="379">
        <f>IF(H99,Wh_hp,'2020'!Maxi_hp)</f>
        <v>54.406274588280766</v>
      </c>
      <c r="J99" s="85">
        <f>IF(H99,An,'2020'!An_max)</f>
        <v>2020</v>
      </c>
      <c r="K99" s="197">
        <f t="shared" si="26"/>
        <v>44281</v>
      </c>
      <c r="L99" s="147">
        <f>IF(t&lt;Tvie,1-EXP((T0-t)*PertePVj)+'2020'!Pspv,1-EXP((T0-t)*PertePVj)+Pspv)</f>
        <v>1.5328261875425797E-2</v>
      </c>
      <c r="M99" s="832"/>
      <c r="N99" s="832"/>
      <c r="O99" s="48">
        <f>IF(t&lt;Tnet,'2020'!Resal+('2020'!Salim-'2020'!Resal)*(1-EXP(('2020'!Tnet-t)/('2020'!Tau_j))),Resal+(Salim-Resal)*(1-EXP((Tnet-t)/(Tau_j))))*Salcycl</f>
        <v>4.173233486002479E-2</v>
      </c>
      <c r="P99" s="169">
        <f>(INDEX(Models!$BJ99:$BT99,,T99)*(1-R99)+INDEX(Models!$BJ99:$BT99,,T99+1)*R99-ERP_i)*Q99*Ramure*Pc/MaxiM</f>
        <v>1.528675597484099E-3</v>
      </c>
      <c r="Q99" s="304">
        <f t="shared" si="27"/>
        <v>0.7</v>
      </c>
      <c r="R99" s="177">
        <f t="shared" si="28"/>
        <v>0.55093967095456386</v>
      </c>
      <c r="S99" s="799">
        <f t="shared" si="29"/>
        <v>-1</v>
      </c>
      <c r="T99" s="176">
        <f t="shared" si="30"/>
        <v>5</v>
      </c>
      <c r="U99" s="250">
        <f t="shared" si="31"/>
        <v>-0.44906032904543614</v>
      </c>
      <c r="V99" s="382">
        <f t="shared" si="32"/>
        <v>50.968133053707128</v>
      </c>
      <c r="W99" s="400"/>
      <c r="X99" s="157">
        <f t="shared" si="33"/>
        <v>44281</v>
      </c>
      <c r="Y99" s="383">
        <f t="shared" si="34"/>
        <v>41.940407850419469</v>
      </c>
      <c r="Z99" s="383">
        <f t="shared" si="35"/>
        <v>42.59328893738742</v>
      </c>
      <c r="AA99" s="384">
        <f t="shared" si="36"/>
        <v>44.448216805025737</v>
      </c>
      <c r="AB99" s="197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4.173233486002479E-2</v>
      </c>
      <c r="AD99" s="230">
        <f>(INDEX(Models!$BJ99:$BT99,,AH99)*(1-AF99)+INDEX(Models!$BJ99:$BT99,,AH99+1)*AF99-ERP_i)*AE99*Ramure*Pc/MaxiM</f>
        <v>1.6750498865480148E-3</v>
      </c>
      <c r="AE99" s="304">
        <f t="shared" si="38"/>
        <v>0.7</v>
      </c>
      <c r="AF99" s="177">
        <f t="shared" si="39"/>
        <v>0.61527189321439602</v>
      </c>
      <c r="AG99" s="799">
        <f t="shared" si="47"/>
        <v>-1</v>
      </c>
      <c r="AH99" s="176">
        <f t="shared" si="40"/>
        <v>5</v>
      </c>
      <c r="AI99" s="224">
        <f t="shared" si="41"/>
        <v>-0.38472810678560398</v>
      </c>
      <c r="AJ99" s="264" t="b">
        <f t="shared" si="42"/>
        <v>1</v>
      </c>
      <c r="AK99" s="264" t="b">
        <f t="shared" si="43"/>
        <v>0</v>
      </c>
      <c r="AL99" s="264"/>
      <c r="AM99" s="264"/>
      <c r="AN99" s="75"/>
    </row>
    <row r="100" spans="1:40" s="6" customFormat="1" ht="11.25" x14ac:dyDescent="0.2">
      <c r="A100" s="56">
        <f t="shared" si="44"/>
        <v>44282</v>
      </c>
      <c r="B100" s="607">
        <v>37.788000000000004</v>
      </c>
      <c r="C100" s="388"/>
      <c r="D100" s="391">
        <f t="shared" si="24"/>
        <v>38.376976558961374</v>
      </c>
      <c r="E100" s="383">
        <f t="shared" si="45"/>
        <v>40.049910100003778</v>
      </c>
      <c r="F100" s="383">
        <f t="shared" si="25"/>
        <v>40.088158036759637</v>
      </c>
      <c r="G100" s="110">
        <f t="shared" si="46"/>
        <v>0.73690018390556267</v>
      </c>
      <c r="H100" s="412" t="b">
        <f>Wh_hp&gt;='2020'!Maxi_hp</f>
        <v>0</v>
      </c>
      <c r="I100" s="379">
        <f>IF(H100,Wh_hp,'2020'!Maxi_hp)</f>
        <v>53.384217171307384</v>
      </c>
      <c r="J100" s="85">
        <f>IF(H100,An,'2020'!An_max)</f>
        <v>2018</v>
      </c>
      <c r="K100" s="197">
        <f t="shared" si="26"/>
        <v>44282</v>
      </c>
      <c r="L100" s="147">
        <f>IF(t&lt;Tvie,1-EXP((T0-t)*PertePVj)+'2020'!Pspv,1-EXP((T0-t)*PertePVj)+Pspv)</f>
        <v>1.5347132884647174E-2</v>
      </c>
      <c r="M100" s="832"/>
      <c r="N100" s="832"/>
      <c r="O100" s="48">
        <f>IF(t&lt;Tnet,'2020'!Resal+('2020'!Salim-'2020'!Resal)*(1-EXP(('2020'!Tnet-t)/('2020'!Tau_j))),Resal+(Salim-Resal)*(1-EXP((Tnet-t)/(Tau_j))))*Salcycl</f>
        <v>4.1771218383889676E-2</v>
      </c>
      <c r="P100" s="169">
        <f>(INDEX(Models!$BJ100:$BT100,,T100)*(1-R100)+INDEX(Models!$BJ100:$BT100,,T100+1)*R100-ERP_i)*Q100*Ramure*Pc/MaxiM</f>
        <v>1.5271704224706834E-3</v>
      </c>
      <c r="Q100" s="304">
        <f t="shared" si="27"/>
        <v>0.7</v>
      </c>
      <c r="R100" s="177">
        <f t="shared" si="28"/>
        <v>0.55161724308893545</v>
      </c>
      <c r="S100" s="799">
        <f t="shared" si="29"/>
        <v>-1</v>
      </c>
      <c r="T100" s="176">
        <f t="shared" si="30"/>
        <v>5</v>
      </c>
      <c r="U100" s="250">
        <f t="shared" si="31"/>
        <v>-0.4483827569110645</v>
      </c>
      <c r="V100" s="382">
        <f t="shared" si="32"/>
        <v>51.250257217893662</v>
      </c>
      <c r="W100" s="400"/>
      <c r="X100" s="157">
        <f t="shared" si="33"/>
        <v>44282</v>
      </c>
      <c r="Y100" s="383">
        <f t="shared" si="34"/>
        <v>37.784542377227304</v>
      </c>
      <c r="Z100" s="383">
        <f t="shared" si="35"/>
        <v>38.373465044509757</v>
      </c>
      <c r="AA100" s="384">
        <f t="shared" si="36"/>
        <v>40.04624551121352</v>
      </c>
      <c r="AB100" s="197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4.1771218383889676E-2</v>
      </c>
      <c r="AD100" s="230">
        <f>(INDEX(Models!$BJ100:$BT100,,AH100)*(1-AF100)+INDEX(Models!$BJ100:$BT100,,AH100+1)*AF100-ERP_i)*AE100*Ramure*Pc/MaxiM</f>
        <v>1.6734907755584687E-3</v>
      </c>
      <c r="AE100" s="304">
        <f t="shared" si="38"/>
        <v>0.7</v>
      </c>
      <c r="AF100" s="177">
        <f t="shared" si="39"/>
        <v>0.6159494653487676</v>
      </c>
      <c r="AG100" s="799">
        <f t="shared" si="47"/>
        <v>-1</v>
      </c>
      <c r="AH100" s="176">
        <f t="shared" si="40"/>
        <v>5</v>
      </c>
      <c r="AI100" s="224">
        <f t="shared" si="41"/>
        <v>-0.38405053465123234</v>
      </c>
      <c r="AJ100" s="264" t="b">
        <f t="shared" si="42"/>
        <v>1</v>
      </c>
      <c r="AK100" s="264" t="b">
        <f t="shared" si="43"/>
        <v>0</v>
      </c>
      <c r="AL100" s="264"/>
      <c r="AM100" s="264"/>
      <c r="AN100" s="75"/>
    </row>
    <row r="101" spans="1:40" s="6" customFormat="1" ht="11.25" x14ac:dyDescent="0.2">
      <c r="A101" s="56">
        <f t="shared" si="44"/>
        <v>44283</v>
      </c>
      <c r="B101" s="607">
        <v>49.622</v>
      </c>
      <c r="C101" s="388"/>
      <c r="D101" s="391">
        <f t="shared" si="24"/>
        <v>50.396391124022365</v>
      </c>
      <c r="E101" s="383">
        <f t="shared" si="45"/>
        <v>52.595426891903493</v>
      </c>
      <c r="F101" s="383">
        <f t="shared" si="25"/>
        <v>52.671348096668545</v>
      </c>
      <c r="G101" s="110">
        <f t="shared" si="46"/>
        <v>0.96295277338895935</v>
      </c>
      <c r="H101" s="412" t="b">
        <f>Wh_hp&gt;='2020'!Maxi_hp</f>
        <v>1</v>
      </c>
      <c r="I101" s="379">
        <f>IF(H101,Wh_hp,'2020'!Maxi_hp)</f>
        <v>52.671348096668545</v>
      </c>
      <c r="J101" s="85">
        <f>IF(H101,An,'2020'!An_max)</f>
        <v>2021</v>
      </c>
      <c r="K101" s="197">
        <f t="shared" si="26"/>
        <v>44283</v>
      </c>
      <c r="L101" s="147">
        <f>IF(t&lt;Tvie,1-EXP((T0-t)*PertePVj)+'2020'!Pspv,1-EXP((T0-t)*PertePVj)+Pspv)</f>
        <v>1.5366003532210071E-2</v>
      </c>
      <c r="M101" s="832"/>
      <c r="N101" s="832"/>
      <c r="O101" s="48">
        <f>IF(t&lt;Tnet,'2020'!Resal+('2020'!Salim-'2020'!Resal)*(1-EXP(('2020'!Tnet-t)/('2020'!Tau_j))),Resal+(Salim-Resal)*(1-EXP((Tnet-t)/(Tau_j))))*Salcycl</f>
        <v>4.181039869494145E-2</v>
      </c>
      <c r="P101" s="169">
        <f>(INDEX(Models!$BJ101:$BT101,,T101)*(1-R101)+INDEX(Models!$BJ101:$BT101,,T101+1)*R101-ERP_i)*Q101*Ramure*Pc/MaxiM</f>
        <v>1.5217851120961326E-3</v>
      </c>
      <c r="Q101" s="304">
        <f t="shared" si="27"/>
        <v>0.7</v>
      </c>
      <c r="R101" s="177">
        <f t="shared" si="28"/>
        <v>0.55232070032866698</v>
      </c>
      <c r="S101" s="799">
        <f t="shared" si="29"/>
        <v>-1</v>
      </c>
      <c r="T101" s="176">
        <f t="shared" si="30"/>
        <v>5</v>
      </c>
      <c r="U101" s="250">
        <f t="shared" si="31"/>
        <v>-0.44767929967133308</v>
      </c>
      <c r="V101" s="382">
        <f t="shared" si="32"/>
        <v>51.526936134305721</v>
      </c>
      <c r="W101" s="400"/>
      <c r="X101" s="157">
        <f t="shared" si="33"/>
        <v>44283</v>
      </c>
      <c r="Y101" s="383">
        <f t="shared" si="34"/>
        <v>49.615137055131932</v>
      </c>
      <c r="Z101" s="383">
        <f t="shared" si="35"/>
        <v>50.389421077393173</v>
      </c>
      <c r="AA101" s="384">
        <f t="shared" si="36"/>
        <v>52.588152708777628</v>
      </c>
      <c r="AB101" s="197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4.181039869494145E-2</v>
      </c>
      <c r="AD101" s="230">
        <f>(INDEX(Models!$BJ101:$BT101,,AH101)*(1-AF101)+INDEX(Models!$BJ101:$BT101,,AH101+1)*AF101-ERP_i)*AE101*Ramure*Pc/MaxiM</f>
        <v>1.6675908012690618E-3</v>
      </c>
      <c r="AE101" s="304">
        <f t="shared" si="38"/>
        <v>0.7</v>
      </c>
      <c r="AF101" s="177">
        <f t="shared" si="39"/>
        <v>0.61665292258849913</v>
      </c>
      <c r="AG101" s="799">
        <f t="shared" si="47"/>
        <v>-1</v>
      </c>
      <c r="AH101" s="176">
        <f t="shared" si="40"/>
        <v>5</v>
      </c>
      <c r="AI101" s="224">
        <f t="shared" si="41"/>
        <v>-0.38334707741150092</v>
      </c>
      <c r="AJ101" s="264" t="b">
        <f t="shared" si="42"/>
        <v>1</v>
      </c>
      <c r="AK101" s="264" t="b">
        <f t="shared" si="43"/>
        <v>0</v>
      </c>
      <c r="AL101" s="264"/>
      <c r="AM101" s="264"/>
      <c r="AN101" s="75"/>
    </row>
    <row r="102" spans="1:40" s="6" customFormat="1" ht="11.25" x14ac:dyDescent="0.2">
      <c r="A102" s="56">
        <f t="shared" si="44"/>
        <v>44284</v>
      </c>
      <c r="B102" s="607">
        <v>52.289000000000001</v>
      </c>
      <c r="C102" s="388"/>
      <c r="D102" s="391">
        <f t="shared" si="24"/>
        <v>53.106029563820805</v>
      </c>
      <c r="E102" s="383">
        <f t="shared" si="45"/>
        <v>55.425584302688613</v>
      </c>
      <c r="F102" s="383">
        <f t="shared" si="25"/>
        <v>55.509547390631532</v>
      </c>
      <c r="G102" s="110">
        <f t="shared" si="46"/>
        <v>1.0094917928373019</v>
      </c>
      <c r="H102" s="412" t="b">
        <f>Wh_hp&gt;='2020'!Maxi_hp</f>
        <v>1</v>
      </c>
      <c r="I102" s="379">
        <f>IF(H102,Wh_hp,'2020'!Maxi_hp)</f>
        <v>55.509547390631532</v>
      </c>
      <c r="J102" s="85">
        <f>IF(H102,An,'2020'!An_max)</f>
        <v>2021</v>
      </c>
      <c r="K102" s="197">
        <f t="shared" si="26"/>
        <v>44284</v>
      </c>
      <c r="L102" s="147">
        <f>IF(t&lt;Tvie,1-EXP((T0-t)*PertePVj)+'2020'!Pspv,1-EXP((T0-t)*PertePVj)+Pspv)</f>
        <v>1.5384873818121259E-2</v>
      </c>
      <c r="M102" s="832"/>
      <c r="N102" s="832"/>
      <c r="O102" s="48">
        <f>IF(t&lt;Tnet,'2020'!Resal+('2020'!Salim-'2020'!Resal)*(1-EXP(('2020'!Tnet-t)/('2020'!Tau_j))),Resal+(Salim-Resal)*(1-EXP((Tnet-t)/(Tau_j))))*Salcycl</f>
        <v>4.1849892392659675E-2</v>
      </c>
      <c r="P102" s="169">
        <f>(INDEX(Models!$BJ102:$BT102,,T102)*(1-R102)+INDEX(Models!$BJ102:$BT102,,T102+1)*R102-ERP_i)*Q102*Ramure*Pc/MaxiM</f>
        <v>1.5125882283286731E-3</v>
      </c>
      <c r="Q102" s="304">
        <f t="shared" si="27"/>
        <v>0.7</v>
      </c>
      <c r="R102" s="177">
        <f t="shared" si="28"/>
        <v>0.55305092615617601</v>
      </c>
      <c r="S102" s="799">
        <f t="shared" si="29"/>
        <v>-1</v>
      </c>
      <c r="T102" s="176">
        <f t="shared" si="30"/>
        <v>5</v>
      </c>
      <c r="U102" s="250">
        <f t="shared" si="31"/>
        <v>-0.44694907384382399</v>
      </c>
      <c r="V102" s="382">
        <f t="shared" si="32"/>
        <v>51.797350281605837</v>
      </c>
      <c r="W102" s="400"/>
      <c r="X102" s="157">
        <f t="shared" si="33"/>
        <v>44284</v>
      </c>
      <c r="Y102" s="383">
        <f t="shared" si="34"/>
        <v>52.281415015228752</v>
      </c>
      <c r="Z102" s="383">
        <f t="shared" si="35"/>
        <v>53.098326061640549</v>
      </c>
      <c r="AA102" s="384">
        <f t="shared" si="36"/>
        <v>55.417544328451697</v>
      </c>
      <c r="AB102" s="197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4.1849892392659675E-2</v>
      </c>
      <c r="AD102" s="230">
        <f>(INDEX(Models!$BJ102:$BT102,,AH102)*(1-AF102)+INDEX(Models!$BJ102:$BT102,,AH102+1)*AF102-ERP_i)*AE102*Ramure*Pc/MaxiM</f>
        <v>1.6574277129733036E-3</v>
      </c>
      <c r="AE102" s="304">
        <f t="shared" si="38"/>
        <v>0.7</v>
      </c>
      <c r="AF102" s="177">
        <f t="shared" si="39"/>
        <v>0.61738314841600817</v>
      </c>
      <c r="AG102" s="799">
        <f t="shared" si="47"/>
        <v>-1</v>
      </c>
      <c r="AH102" s="176">
        <f t="shared" si="40"/>
        <v>5</v>
      </c>
      <c r="AI102" s="224">
        <f t="shared" si="41"/>
        <v>-0.38261685158399183</v>
      </c>
      <c r="AJ102" s="264" t="b">
        <f t="shared" si="42"/>
        <v>1</v>
      </c>
      <c r="AK102" s="264" t="b">
        <f t="shared" si="43"/>
        <v>0</v>
      </c>
      <c r="AL102" s="264"/>
      <c r="AM102" s="264"/>
      <c r="AN102" s="75"/>
    </row>
    <row r="103" spans="1:40" s="6" customFormat="1" ht="11.25" x14ac:dyDescent="0.2">
      <c r="A103" s="56">
        <f t="shared" si="44"/>
        <v>44285</v>
      </c>
      <c r="B103" s="607">
        <v>49.679000000000002</v>
      </c>
      <c r="C103" s="388"/>
      <c r="D103" s="391">
        <f t="shared" si="24"/>
        <v>50.456214599907909</v>
      </c>
      <c r="E103" s="383">
        <f t="shared" si="45"/>
        <v>52.662220038261133</v>
      </c>
      <c r="F103" s="383">
        <f t="shared" si="25"/>
        <v>52.736136754277311</v>
      </c>
      <c r="G103" s="110">
        <f t="shared" si="46"/>
        <v>0.95415818195510982</v>
      </c>
      <c r="H103" s="412" t="b">
        <f>Wh_hp&gt;='2020'!Maxi_hp</f>
        <v>0</v>
      </c>
      <c r="I103" s="379">
        <f>IF(H103,Wh_hp,'2020'!Maxi_hp)</f>
        <v>54.961612248927921</v>
      </c>
      <c r="J103" s="85">
        <f>IF(H103,An,'2020'!An_max)</f>
        <v>2018</v>
      </c>
      <c r="K103" s="197">
        <f t="shared" si="26"/>
        <v>44285</v>
      </c>
      <c r="L103" s="147">
        <f>IF(t&lt;Tvie,1-EXP((T0-t)*PertePVj)+'2020'!Pspv,1-EXP((T0-t)*PertePVj)+Pspv)</f>
        <v>1.5403743742387732E-2</v>
      </c>
      <c r="M103" s="832"/>
      <c r="N103" s="832"/>
      <c r="O103" s="48">
        <f>IF(t&lt;Tnet,'2020'!Resal+('2020'!Salim-'2020'!Resal)*(1-EXP(('2020'!Tnet-t)/('2020'!Tau_j))),Resal+(Salim-Resal)*(1-EXP((Tnet-t)/(Tau_j))))*Salcycl</f>
        <v>4.1889715943431022E-2</v>
      </c>
      <c r="P103" s="169">
        <f>(INDEX(Models!$BJ103:$BT103,,T103)*(1-R103)+INDEX(Models!$BJ103:$BT103,,T103+1)*R103-ERP_i)*Q103*Ramure*Pc/MaxiM</f>
        <v>1.4996414664966613E-3</v>
      </c>
      <c r="Q103" s="304">
        <f t="shared" si="27"/>
        <v>0.7</v>
      </c>
      <c r="R103" s="177">
        <f t="shared" si="28"/>
        <v>0.55380882563747069</v>
      </c>
      <c r="S103" s="799">
        <f t="shared" si="29"/>
        <v>-1</v>
      </c>
      <c r="T103" s="176">
        <f t="shared" si="30"/>
        <v>5</v>
      </c>
      <c r="U103" s="250">
        <f t="shared" si="31"/>
        <v>-0.44619117436252931</v>
      </c>
      <c r="V103" s="382">
        <f t="shared" si="32"/>
        <v>52.060680449874667</v>
      </c>
      <c r="W103" s="400"/>
      <c r="X103" s="157">
        <f t="shared" si="33"/>
        <v>44285</v>
      </c>
      <c r="Y103" s="383">
        <f t="shared" si="34"/>
        <v>49.672330863152823</v>
      </c>
      <c r="Z103" s="383">
        <f t="shared" si="35"/>
        <v>50.449441126207603</v>
      </c>
      <c r="AA103" s="384">
        <f t="shared" si="36"/>
        <v>52.655150420271404</v>
      </c>
      <c r="AB103" s="197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4.1889715943431022E-2</v>
      </c>
      <c r="AD103" s="230">
        <f>(INDEX(Models!$BJ103:$BT103,,AH103)*(1-AF103)+INDEX(Models!$BJ103:$BT103,,AH103+1)*AF103-ERP_i)*AE103*Ramure*Pc/MaxiM</f>
        <v>1.6430717061108216E-3</v>
      </c>
      <c r="AE103" s="304">
        <f t="shared" si="38"/>
        <v>0.7</v>
      </c>
      <c r="AF103" s="177">
        <f t="shared" si="39"/>
        <v>0.61814104789730284</v>
      </c>
      <c r="AG103" s="799">
        <f t="shared" si="47"/>
        <v>-1</v>
      </c>
      <c r="AH103" s="176">
        <f t="shared" si="40"/>
        <v>5</v>
      </c>
      <c r="AI103" s="224">
        <f t="shared" si="41"/>
        <v>-0.38185895210269716</v>
      </c>
      <c r="AJ103" s="264" t="b">
        <f t="shared" si="42"/>
        <v>1</v>
      </c>
      <c r="AK103" s="264" t="b">
        <f t="shared" si="43"/>
        <v>0</v>
      </c>
      <c r="AL103" s="264"/>
      <c r="AM103" s="264"/>
      <c r="AN103" s="75"/>
    </row>
    <row r="104" spans="1:40" s="6" customFormat="1" ht="11.25" x14ac:dyDescent="0.2">
      <c r="A104" s="56">
        <f t="shared" si="44"/>
        <v>44286</v>
      </c>
      <c r="B104" s="607">
        <v>48.413000000000004</v>
      </c>
      <c r="C104" s="388"/>
      <c r="D104" s="391">
        <f t="shared" si="24"/>
        <v>49.171350727962711</v>
      </c>
      <c r="E104" s="383">
        <f t="shared" si="45"/>
        <v>51.323332176878466</v>
      </c>
      <c r="F104" s="383">
        <f t="shared" si="25"/>
        <v>51.391422760958996</v>
      </c>
      <c r="G104" s="110">
        <f t="shared" si="46"/>
        <v>0.92524730604507999</v>
      </c>
      <c r="H104" s="412" t="b">
        <f>Wh_hp&gt;='2020'!Maxi_hp</f>
        <v>1</v>
      </c>
      <c r="I104" s="379">
        <f>IF(H104,Wh_hp,'2020'!Maxi_hp)</f>
        <v>51.391422760958996</v>
      </c>
      <c r="J104" s="85">
        <f>IF(H104,An,'2020'!An_max)</f>
        <v>2021</v>
      </c>
      <c r="K104" s="197">
        <f t="shared" si="26"/>
        <v>44286</v>
      </c>
      <c r="L104" s="147">
        <f>IF(t&lt;Tvie,1-EXP((T0-t)*PertePVj)+'2020'!Pspv,1-EXP((T0-t)*PertePVj)+Pspv)</f>
        <v>1.5422613305016375E-2</v>
      </c>
      <c r="M104" s="832"/>
      <c r="N104" s="832"/>
      <c r="O104" s="48">
        <f>IF(t&lt;Tnet,'2020'!Resal+('2020'!Salim-'2020'!Resal)*(1-EXP(('2020'!Tnet-t)/('2020'!Tau_j))),Resal+(Salim-Resal)*(1-EXP((Tnet-t)/(Tau_j))))*Salcycl</f>
        <v>4.1929885641471307E-2</v>
      </c>
      <c r="P104" s="169">
        <f>(INDEX(Models!$BJ104:$BT104,,T104)*(1-R104)+INDEX(Models!$BJ104:$BT104,,T104+1)*R104-ERP_i)*Q104*Ramure*Pc/MaxiM</f>
        <v>1.4829991776652638E-3</v>
      </c>
      <c r="Q104" s="304">
        <f t="shared" si="27"/>
        <v>0.7</v>
      </c>
      <c r="R104" s="177">
        <f t="shared" si="28"/>
        <v>0.55459532522440214</v>
      </c>
      <c r="S104" s="799">
        <f t="shared" si="29"/>
        <v>-1</v>
      </c>
      <c r="T104" s="176">
        <f t="shared" si="30"/>
        <v>5</v>
      </c>
      <c r="U104" s="250">
        <f t="shared" si="31"/>
        <v>-0.44540467477559786</v>
      </c>
      <c r="V104" s="382">
        <f t="shared" si="32"/>
        <v>52.316107751184319</v>
      </c>
      <c r="W104" s="400"/>
      <c r="X104" s="157">
        <f t="shared" si="33"/>
        <v>44286</v>
      </c>
      <c r="Y104" s="383">
        <f t="shared" si="34"/>
        <v>48.406867850318093</v>
      </c>
      <c r="Z104" s="383">
        <f t="shared" si="35"/>
        <v>49.165122523085387</v>
      </c>
      <c r="AA104" s="384">
        <f t="shared" si="36"/>
        <v>51.316831394958669</v>
      </c>
      <c r="AB104" s="197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4.1929885641471307E-2</v>
      </c>
      <c r="AD104" s="230">
        <f>(INDEX(Models!$BJ104:$BT104,,AH104)*(1-AF104)+INDEX(Models!$BJ104:$BT104,,AH104+1)*AF104-ERP_i)*AE104*Ramure*Pc/MaxiM</f>
        <v>1.6245848957410301E-3</v>
      </c>
      <c r="AE104" s="304">
        <f t="shared" si="38"/>
        <v>0.7</v>
      </c>
      <c r="AF104" s="177">
        <f t="shared" si="39"/>
        <v>0.61892754748423429</v>
      </c>
      <c r="AG104" s="799">
        <f t="shared" si="47"/>
        <v>-1</v>
      </c>
      <c r="AH104" s="176">
        <f t="shared" si="40"/>
        <v>5</v>
      </c>
      <c r="AI104" s="224">
        <f t="shared" si="41"/>
        <v>-0.38107245251576571</v>
      </c>
      <c r="AJ104" s="264" t="b">
        <f t="shared" si="42"/>
        <v>1</v>
      </c>
      <c r="AK104" s="264" t="b">
        <f t="shared" si="43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4"/>
        <v>44287</v>
      </c>
      <c r="B105" s="607">
        <v>48.889000000000003</v>
      </c>
      <c r="C105" s="388"/>
      <c r="D105" s="391">
        <f t="shared" si="24"/>
        <v>49.655758526611542</v>
      </c>
      <c r="E105" s="383">
        <f t="shared" si="45"/>
        <v>51.831132814014133</v>
      </c>
      <c r="F105" s="383">
        <f t="shared" si="25"/>
        <v>51.899466717873182</v>
      </c>
      <c r="G105" s="110">
        <f t="shared" si="46"/>
        <v>0.92997020182843837</v>
      </c>
      <c r="H105" s="412" t="b">
        <f>Wh_hp&gt;='2020'!Maxi_hp</f>
        <v>1</v>
      </c>
      <c r="I105" s="379">
        <f>IF(H105,Wh_hp,'2020'!Maxi_hp)</f>
        <v>51.899466717873182</v>
      </c>
      <c r="J105" s="85">
        <f>IF(H105,An,'2020'!An_max)</f>
        <v>2021</v>
      </c>
      <c r="K105" s="197">
        <f t="shared" si="26"/>
        <v>44287</v>
      </c>
      <c r="L105" s="147">
        <f>IF(t&lt;Tvie,1-EXP((T0-t)*PertePVj)+'2020'!Pspv,1-EXP((T0-t)*PertePVj)+Pspv)</f>
        <v>1.5441482506014181E-2</v>
      </c>
      <c r="M105" s="832"/>
      <c r="N105" s="832"/>
      <c r="O105" s="48">
        <f>IF(t&lt;Tnet,'2020'!Resal+('2020'!Salim-'2020'!Resal)*(1-EXP(('2020'!Tnet-t)/('2020'!Tau_j))),Resal+(Salim-Resal)*(1-EXP((Tnet-t)/(Tau_j))))*Salcycl</f>
        <v>4.1970417571394789E-2</v>
      </c>
      <c r="P105" s="169">
        <f>(INDEX(Models!$BJ105:$BT105,,T105)*(1-R105)+INDEX(Models!$BJ105:$BT105,,T105+1)*R105-ERP_i)*Q105*Ramure*Pc/MaxiM</f>
        <v>1.4627079066630224E-3</v>
      </c>
      <c r="Q105" s="304">
        <f t="shared" si="27"/>
        <v>0.7</v>
      </c>
      <c r="R105" s="177">
        <f t="shared" si="28"/>
        <v>0.5554113724798303</v>
      </c>
      <c r="S105" s="799">
        <f t="shared" si="29"/>
        <v>-1</v>
      </c>
      <c r="T105" s="176">
        <f t="shared" si="30"/>
        <v>5</v>
      </c>
      <c r="U105" s="250">
        <f t="shared" si="31"/>
        <v>-0.4445886275201697</v>
      </c>
      <c r="V105" s="382">
        <f t="shared" si="32"/>
        <v>52.562813635316758</v>
      </c>
      <c r="W105" s="400"/>
      <c r="X105" s="157">
        <f t="shared" si="33"/>
        <v>44287</v>
      </c>
      <c r="Y105" s="383">
        <f t="shared" si="34"/>
        <v>48.88286110203758</v>
      </c>
      <c r="Z105" s="383">
        <f t="shared" si="35"/>
        <v>49.649523348251549</v>
      </c>
      <c r="AA105" s="384">
        <f t="shared" si="36"/>
        <v>51.824624478077176</v>
      </c>
      <c r="AB105" s="197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4.1970417571394789E-2</v>
      </c>
      <c r="AD105" s="230">
        <f>(INDEX(Models!$BJ105:$BT105,,AH105)*(1-AF105)+INDEX(Models!$BJ105:$BT105,,AH105+1)*AF105-ERP_i)*AE105*Ramure*Pc/MaxiM</f>
        <v>1.6020208084084576E-3</v>
      </c>
      <c r="AE105" s="304">
        <f t="shared" si="38"/>
        <v>0.7</v>
      </c>
      <c r="AF105" s="177">
        <f t="shared" si="39"/>
        <v>0.61974359473966245</v>
      </c>
      <c r="AG105" s="799">
        <f t="shared" si="47"/>
        <v>-1</v>
      </c>
      <c r="AH105" s="176">
        <f t="shared" si="40"/>
        <v>5</v>
      </c>
      <c r="AI105" s="224">
        <f t="shared" si="41"/>
        <v>-0.38025640526033755</v>
      </c>
      <c r="AJ105" s="264" t="b">
        <f t="shared" si="42"/>
        <v>1</v>
      </c>
      <c r="AK105" s="264" t="b">
        <f t="shared" si="43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4"/>
        <v>44288</v>
      </c>
      <c r="B106" s="607">
        <v>41.265000000000001</v>
      </c>
      <c r="C106" s="388"/>
      <c r="D106" s="391">
        <f t="shared" si="24"/>
        <v>41.912989544290305</v>
      </c>
      <c r="E106" s="383">
        <f t="shared" si="45"/>
        <v>43.751028326962967</v>
      </c>
      <c r="F106" s="383">
        <f t="shared" si="25"/>
        <v>43.794374405786975</v>
      </c>
      <c r="G106" s="110">
        <f t="shared" si="46"/>
        <v>0.78118309867866187</v>
      </c>
      <c r="H106" s="412" t="b">
        <f>Wh_hp&gt;='2020'!Maxi_hp</f>
        <v>1</v>
      </c>
      <c r="I106" s="379">
        <f>IF(H106,Wh_hp,'2020'!Maxi_hp)</f>
        <v>43.794374405786975</v>
      </c>
      <c r="J106" s="85">
        <f>IF(H106,An,'2020'!An_max)</f>
        <v>2021</v>
      </c>
      <c r="K106" s="197">
        <f t="shared" si="26"/>
        <v>44288</v>
      </c>
      <c r="L106" s="147">
        <f>IF(t&lt;Tvie,1-EXP((T0-t)*PertePVj)+'2020'!Pspv,1-EXP((T0-t)*PertePVj)+Pspv)</f>
        <v>1.5460351345388035E-2</v>
      </c>
      <c r="M106" s="832"/>
      <c r="N106" s="832"/>
      <c r="O106" s="48">
        <f>IF(t&lt;Tnet,'2020'!Resal+('2020'!Salim-'2020'!Resal)*(1-EXP(('2020'!Tnet-t)/('2020'!Tau_j))),Resal+(Salim-Resal)*(1-EXP((Tnet-t)/(Tau_j))))*Salcycl</f>
        <v>4.2011327572383371E-2</v>
      </c>
      <c r="P106" s="169">
        <f>(INDEX(Models!$BJ106:$BT106,,T106)*(1-R106)+INDEX(Models!$BJ106:$BT106,,T106+1)*R106-ERP_i)*Q106*Ramure*Pc/MaxiM</f>
        <v>1.4388059402086302E-3</v>
      </c>
      <c r="Q106" s="304">
        <f t="shared" si="27"/>
        <v>0.7</v>
      </c>
      <c r="R106" s="177">
        <f t="shared" si="28"/>
        <v>0.55625793571938176</v>
      </c>
      <c r="S106" s="799">
        <f t="shared" si="29"/>
        <v>-1</v>
      </c>
      <c r="T106" s="176">
        <f t="shared" si="30"/>
        <v>5</v>
      </c>
      <c r="U106" s="250">
        <f t="shared" si="31"/>
        <v>-0.44374206428061824</v>
      </c>
      <c r="V106" s="382">
        <f t="shared" si="32"/>
        <v>52.799979902867342</v>
      </c>
      <c r="W106" s="400"/>
      <c r="X106" s="157">
        <f t="shared" si="33"/>
        <v>44288</v>
      </c>
      <c r="Y106" s="383">
        <f t="shared" si="34"/>
        <v>41.261118059001234</v>
      </c>
      <c r="Z106" s="383">
        <f t="shared" si="35"/>
        <v>41.909046644678213</v>
      </c>
      <c r="AA106" s="384">
        <f t="shared" si="36"/>
        <v>43.746912516697591</v>
      </c>
      <c r="AB106" s="197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4.2011327572383371E-2</v>
      </c>
      <c r="AD106" s="230">
        <f>(INDEX(Models!$BJ106:$BT106,,AH106)*(1-AF106)+INDEX(Models!$BJ106:$BT106,,AH106+1)*AF106-ERP_i)*AE106*Ramure*Pc/MaxiM</f>
        <v>1.5754238862661512E-3</v>
      </c>
      <c r="AE106" s="304">
        <f t="shared" si="38"/>
        <v>0.7</v>
      </c>
      <c r="AF106" s="177">
        <f t="shared" si="39"/>
        <v>0.62059015797921391</v>
      </c>
      <c r="AG106" s="799">
        <f t="shared" si="47"/>
        <v>-1</v>
      </c>
      <c r="AH106" s="176">
        <f t="shared" si="40"/>
        <v>5</v>
      </c>
      <c r="AI106" s="224">
        <f t="shared" si="41"/>
        <v>-0.37940984202078609</v>
      </c>
      <c r="AJ106" s="264" t="b">
        <f t="shared" si="42"/>
        <v>1</v>
      </c>
      <c r="AK106" s="264" t="b">
        <f t="shared" si="43"/>
        <v>0</v>
      </c>
      <c r="AL106" s="264"/>
      <c r="AM106" s="264"/>
      <c r="AN106" s="75"/>
    </row>
    <row r="107" spans="1:40" s="6" customFormat="1" ht="11.25" x14ac:dyDescent="0.2">
      <c r="A107" s="56">
        <f t="shared" si="44"/>
        <v>44289</v>
      </c>
      <c r="B107" s="607">
        <v>41.517000000000003</v>
      </c>
      <c r="C107" s="388"/>
      <c r="D107" s="391">
        <f t="shared" si="24"/>
        <v>42.169754906079348</v>
      </c>
      <c r="E107" s="383">
        <f t="shared" si="45"/>
        <v>44.020951755496768</v>
      </c>
      <c r="F107" s="383">
        <f t="shared" si="25"/>
        <v>44.063854252234997</v>
      </c>
      <c r="G107" s="110">
        <f t="shared" si="46"/>
        <v>0.78258375477347475</v>
      </c>
      <c r="H107" s="412" t="b">
        <f>Wh_hp&gt;='2020'!Maxi_hp</f>
        <v>1</v>
      </c>
      <c r="I107" s="379">
        <f>IF(H107,Wh_hp,'2020'!Maxi_hp)</f>
        <v>44.063854252234997</v>
      </c>
      <c r="J107" s="85">
        <f>IF(H107,An,'2020'!An_max)</f>
        <v>2021</v>
      </c>
      <c r="K107" s="197">
        <f t="shared" si="26"/>
        <v>44289</v>
      </c>
      <c r="L107" s="147">
        <f>IF(t&lt;Tvie,1-EXP((T0-t)*PertePVj)+'2020'!Pspv,1-EXP((T0-t)*PertePVj)+Pspv)</f>
        <v>1.547921982314493E-2</v>
      </c>
      <c r="M107" s="832"/>
      <c r="N107" s="832"/>
      <c r="O107" s="48">
        <f>IF(t&lt;Tnet,'2020'!Resal+('2020'!Salim-'2020'!Resal)*(1-EXP(('2020'!Tnet-t)/('2020'!Tau_j))),Resal+(Salim-Resal)*(1-EXP((Tnet-t)/(Tau_j))))*Salcycl</f>
        <v>4.2052631203873647E-2</v>
      </c>
      <c r="P107" s="169">
        <f>(INDEX(Models!$BJ107:$BT107,,T107)*(1-R107)+INDEX(Models!$BJ107:$BT107,,T107+1)*R107-ERP_i)*Q107*Ramure*Pc/MaxiM</f>
        <v>1.4112919877252935E-3</v>
      </c>
      <c r="Q107" s="304">
        <f t="shared" si="27"/>
        <v>0.7</v>
      </c>
      <c r="R107" s="177">
        <f t="shared" si="28"/>
        <v>0.55713600356323267</v>
      </c>
      <c r="S107" s="799">
        <f t="shared" si="29"/>
        <v>-1</v>
      </c>
      <c r="T107" s="176">
        <f t="shared" si="30"/>
        <v>5</v>
      </c>
      <c r="U107" s="250">
        <f t="shared" si="31"/>
        <v>-0.44286399643676738</v>
      </c>
      <c r="V107" s="382">
        <f t="shared" si="32"/>
        <v>53.027950295685891</v>
      </c>
      <c r="W107" s="400"/>
      <c r="X107" s="157">
        <f t="shared" si="33"/>
        <v>44289</v>
      </c>
      <c r="Y107" s="383">
        <f t="shared" si="34"/>
        <v>41.513172422797361</v>
      </c>
      <c r="Z107" s="383">
        <f t="shared" si="35"/>
        <v>42.16586714943702</v>
      </c>
      <c r="AA107" s="384">
        <f t="shared" si="36"/>
        <v>44.0168933314445</v>
      </c>
      <c r="AB107" s="197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4.2052631203873647E-2</v>
      </c>
      <c r="AD107" s="230">
        <f>(INDEX(Models!$BJ107:$BT107,,AH107)*(1-AF107)+INDEX(Models!$BJ107:$BT107,,AH107+1)*AF107-ERP_i)*AE107*Ramure*Pc/MaxiM</f>
        <v>1.5447952050953232E-3</v>
      </c>
      <c r="AE107" s="304">
        <f t="shared" si="38"/>
        <v>0.7</v>
      </c>
      <c r="AF107" s="177">
        <f t="shared" si="39"/>
        <v>0.62146822582306482</v>
      </c>
      <c r="AG107" s="799">
        <f t="shared" si="47"/>
        <v>-1</v>
      </c>
      <c r="AH107" s="176">
        <f t="shared" si="40"/>
        <v>5</v>
      </c>
      <c r="AI107" s="224">
        <f t="shared" si="41"/>
        <v>-0.37853177417693523</v>
      </c>
      <c r="AJ107" s="264" t="b">
        <f t="shared" si="42"/>
        <v>1</v>
      </c>
      <c r="AK107" s="264" t="b">
        <f t="shared" si="43"/>
        <v>0</v>
      </c>
      <c r="AL107" s="264"/>
      <c r="AM107" s="264"/>
      <c r="AN107" s="75"/>
    </row>
    <row r="108" spans="1:40" s="6" customFormat="1" ht="11.25" x14ac:dyDescent="0.2">
      <c r="A108" s="56">
        <f t="shared" si="44"/>
        <v>44290</v>
      </c>
      <c r="B108" s="607">
        <v>50.947000000000003</v>
      </c>
      <c r="C108" s="388"/>
      <c r="D108" s="391">
        <f t="shared" si="24"/>
        <v>51.749010718892755</v>
      </c>
      <c r="E108" s="383">
        <f t="shared" si="45"/>
        <v>54.023076676946943</v>
      </c>
      <c r="F108" s="383">
        <f t="shared" si="25"/>
        <v>54.093099363474771</v>
      </c>
      <c r="G108" s="110">
        <f t="shared" si="46"/>
        <v>0.95670705427644487</v>
      </c>
      <c r="H108" s="412" t="b">
        <f>Wh_hp&gt;='2020'!Maxi_hp</f>
        <v>0</v>
      </c>
      <c r="I108" s="379">
        <f>IF(H108,Wh_hp,'2020'!Maxi_hp)</f>
        <v>54.48441415561728</v>
      </c>
      <c r="J108" s="85">
        <f>IF(H108,An,'2020'!An_max)</f>
        <v>2020</v>
      </c>
      <c r="K108" s="197">
        <f t="shared" si="26"/>
        <v>44290</v>
      </c>
      <c r="L108" s="147">
        <f>IF(t&lt;Tvie,1-EXP((T0-t)*PertePVj)+'2020'!Pspv,1-EXP((T0-t)*PertePVj)+Pspv)</f>
        <v>1.5498087939291749E-2</v>
      </c>
      <c r="M108" s="832"/>
      <c r="N108" s="832"/>
      <c r="O108" s="48">
        <f>IF(t&lt;Tnet,'2020'!Resal+('2020'!Salim-'2020'!Resal)*(1-EXP(('2020'!Tnet-t)/('2020'!Tau_j))),Resal+(Salim-Resal)*(1-EXP((Tnet-t)/(Tau_j))))*Salcycl</f>
        <v>4.2094343712648877E-2</v>
      </c>
      <c r="P108" s="169">
        <f>(INDEX(Models!$BJ108:$BT108,,T108)*(1-R108)+INDEX(Models!$BJ108:$BT108,,T108+1)*R108-ERP_i)*Q108*Ramure*Pc/MaxiM</f>
        <v>1.3796512114245046E-3</v>
      </c>
      <c r="Q108" s="304">
        <f t="shared" si="27"/>
        <v>0.7</v>
      </c>
      <c r="R108" s="177">
        <f t="shared" si="28"/>
        <v>0.55804658439111476</v>
      </c>
      <c r="S108" s="799">
        <f t="shared" si="29"/>
        <v>-1</v>
      </c>
      <c r="T108" s="176">
        <f t="shared" si="30"/>
        <v>5</v>
      </c>
      <c r="U108" s="250">
        <f t="shared" si="31"/>
        <v>-0.44195341560888524</v>
      </c>
      <c r="V108" s="382">
        <f t="shared" si="32"/>
        <v>53.247914465776446</v>
      </c>
      <c r="W108" s="400"/>
      <c r="X108" s="157">
        <f t="shared" si="33"/>
        <v>44290</v>
      </c>
      <c r="Y108" s="383">
        <f t="shared" si="34"/>
        <v>50.940780278615804</v>
      </c>
      <c r="Z108" s="383">
        <f t="shared" si="35"/>
        <v>51.742693086282799</v>
      </c>
      <c r="AA108" s="384">
        <f t="shared" si="36"/>
        <v>54.01648142138238</v>
      </c>
      <c r="AB108" s="197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4.2094343712648877E-2</v>
      </c>
      <c r="AD108" s="230">
        <f>(INDEX(Models!$BJ108:$BT108,,AH108)*(1-AF108)+INDEX(Models!$BJ108:$BT108,,AH108+1)*AF108-ERP_i)*AE108*Ramure*Pc/MaxiM</f>
        <v>1.5095969872936988E-3</v>
      </c>
      <c r="AE108" s="304">
        <f t="shared" si="38"/>
        <v>0.7</v>
      </c>
      <c r="AF108" s="177">
        <f t="shared" si="39"/>
        <v>0.62237880665094691</v>
      </c>
      <c r="AG108" s="799">
        <f t="shared" si="47"/>
        <v>-1</v>
      </c>
      <c r="AH108" s="176">
        <f t="shared" si="40"/>
        <v>5</v>
      </c>
      <c r="AI108" s="224">
        <f t="shared" si="41"/>
        <v>-0.37762119334905309</v>
      </c>
      <c r="AJ108" s="264" t="b">
        <f t="shared" si="42"/>
        <v>1</v>
      </c>
      <c r="AK108" s="264" t="b">
        <f t="shared" si="43"/>
        <v>0</v>
      </c>
      <c r="AL108" s="264"/>
      <c r="AM108" s="264"/>
      <c r="AN108" s="75"/>
    </row>
    <row r="109" spans="1:40" s="6" customFormat="1" ht="11.25" x14ac:dyDescent="0.2">
      <c r="A109" s="56">
        <f t="shared" si="44"/>
        <v>44291</v>
      </c>
      <c r="B109" s="607">
        <v>50.957000000000001</v>
      </c>
      <c r="C109" s="388"/>
      <c r="D109" s="391">
        <f t="shared" si="24"/>
        <v>51.760160111150547</v>
      </c>
      <c r="E109" s="383">
        <f t="shared" si="45"/>
        <v>54.037092999653098</v>
      </c>
      <c r="F109" s="383">
        <f t="shared" si="25"/>
        <v>54.105093630420178</v>
      </c>
      <c r="G109" s="110">
        <f t="shared" si="46"/>
        <v>0.95309179512970299</v>
      </c>
      <c r="H109" s="412" t="b">
        <f>Wh_hp&gt;='2020'!Maxi_hp</f>
        <v>0</v>
      </c>
      <c r="I109" s="379">
        <f>IF(H109,Wh_hp,'2020'!Maxi_hp)</f>
        <v>58.465341345603605</v>
      </c>
      <c r="J109" s="85">
        <f>IF(H109,An,'2020'!An_max)</f>
        <v>2020</v>
      </c>
      <c r="K109" s="197">
        <f t="shared" si="26"/>
        <v>44291</v>
      </c>
      <c r="L109" s="147">
        <f>IF(t&lt;Tvie,1-EXP((T0-t)*PertePVj)+'2020'!Pspv,1-EXP((T0-t)*PertePVj)+Pspv)</f>
        <v>1.5516955693835377E-2</v>
      </c>
      <c r="M109" s="832"/>
      <c r="N109" s="832"/>
      <c r="O109" s="48">
        <f>IF(t&lt;Tnet,'2020'!Resal+('2020'!Salim-'2020'!Resal)*(1-EXP(('2020'!Tnet-t)/('2020'!Tau_j))),Resal+(Salim-Resal)*(1-EXP((Tnet-t)/(Tau_j))))*Salcycl</f>
        <v>4.2136480001194167E-2</v>
      </c>
      <c r="P109" s="169">
        <f>(INDEX(Models!$BJ109:$BT109,,T109)*(1-R109)+INDEX(Models!$BJ109:$BT109,,T109+1)*R109-ERP_i)*Q109*Ramure*Pc/MaxiM</f>
        <v>1.3469188373394798E-3</v>
      </c>
      <c r="Q109" s="304">
        <f t="shared" si="27"/>
        <v>0.7</v>
      </c>
      <c r="R109" s="177">
        <f t="shared" si="28"/>
        <v>0.55899070569352971</v>
      </c>
      <c r="S109" s="799">
        <f t="shared" si="29"/>
        <v>-1</v>
      </c>
      <c r="T109" s="176">
        <f t="shared" si="30"/>
        <v>5</v>
      </c>
      <c r="U109" s="250">
        <f t="shared" si="31"/>
        <v>-0.44100929430647023</v>
      </c>
      <c r="V109" s="382">
        <f t="shared" si="32"/>
        <v>53.46012164634157</v>
      </c>
      <c r="W109" s="400"/>
      <c r="X109" s="157">
        <f t="shared" si="33"/>
        <v>44291</v>
      </c>
      <c r="Y109" s="383">
        <f t="shared" si="34"/>
        <v>50.950986904213465</v>
      </c>
      <c r="Z109" s="383">
        <f t="shared" si="35"/>
        <v>51.754052239794802</v>
      </c>
      <c r="AA109" s="384">
        <f t="shared" si="36"/>
        <v>54.030716442629867</v>
      </c>
      <c r="AB109" s="197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4.2136480001194167E-2</v>
      </c>
      <c r="AD109" s="230">
        <f>(INDEX(Models!$BJ109:$BT109,,AH109)*(1-AF109)+INDEX(Models!$BJ109:$BT109,,AH109+1)*AF109-ERP_i)*AE109*Ramure*Pc/MaxiM</f>
        <v>1.4732221476921343E-3</v>
      </c>
      <c r="AE109" s="304">
        <f t="shared" si="38"/>
        <v>0.7</v>
      </c>
      <c r="AF109" s="177">
        <f t="shared" si="39"/>
        <v>0.62332292795336186</v>
      </c>
      <c r="AG109" s="799">
        <f t="shared" si="47"/>
        <v>-1</v>
      </c>
      <c r="AH109" s="176">
        <f t="shared" si="40"/>
        <v>5</v>
      </c>
      <c r="AI109" s="224">
        <f t="shared" si="41"/>
        <v>-0.37667707204663808</v>
      </c>
      <c r="AJ109" s="264" t="b">
        <f t="shared" si="42"/>
        <v>1</v>
      </c>
      <c r="AK109" s="264" t="b">
        <f t="shared" si="43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4"/>
        <v>44292</v>
      </c>
      <c r="B110" s="607">
        <v>23.087</v>
      </c>
      <c r="C110" s="388"/>
      <c r="D110" s="391">
        <f t="shared" si="24"/>
        <v>23.451335804202834</v>
      </c>
      <c r="E110" s="383">
        <f t="shared" si="45"/>
        <v>24.484049880888119</v>
      </c>
      <c r="F110" s="383">
        <f t="shared" si="25"/>
        <v>24.49003137770594</v>
      </c>
      <c r="G110" s="110">
        <f t="shared" si="46"/>
        <v>0.42974611613675273</v>
      </c>
      <c r="H110" s="412" t="b">
        <f>Wh_hp&gt;='2020'!Maxi_hp</f>
        <v>0</v>
      </c>
      <c r="I110" s="379">
        <f>IF(H110,Wh_hp,'2020'!Maxi_hp)</f>
        <v>59.416138633229195</v>
      </c>
      <c r="J110" s="85">
        <f>IF(H110,An,'2020'!An_max)</f>
        <v>2020</v>
      </c>
      <c r="K110" s="197">
        <f t="shared" si="26"/>
        <v>44292</v>
      </c>
      <c r="L110" s="147">
        <f>IF(t&lt;Tvie,1-EXP((T0-t)*PertePVj)+'2020'!Pspv,1-EXP((T0-t)*PertePVj)+Pspv)</f>
        <v>1.5535823086782918E-2</v>
      </c>
      <c r="M110" s="832"/>
      <c r="N110" s="832"/>
      <c r="O110" s="48">
        <f>IF(t&lt;Tnet,'2020'!Resal+('2020'!Salim-'2020'!Resal)*(1-EXP(('2020'!Tnet-t)/('2020'!Tau_j))),Resal+(Salim-Resal)*(1-EXP((Tnet-t)/(Tau_j))))*Salcycl</f>
        <v>4.2179054597148387E-2</v>
      </c>
      <c r="P110" s="169">
        <f>(INDEX(Models!$BJ110:$BT110,,T110)*(1-R110)+INDEX(Models!$BJ110:$BT110,,T110+1)*R110-ERP_i)*Q110*Ramure*Pc/MaxiM</f>
        <v>1.3130686424527355E-3</v>
      </c>
      <c r="Q110" s="304">
        <f t="shared" si="27"/>
        <v>0.7</v>
      </c>
      <c r="R110" s="177">
        <f t="shared" si="28"/>
        <v>0.55996941331196193</v>
      </c>
      <c r="S110" s="799">
        <f t="shared" si="29"/>
        <v>-1</v>
      </c>
      <c r="T110" s="176">
        <f t="shared" si="30"/>
        <v>5</v>
      </c>
      <c r="U110" s="250">
        <f t="shared" si="31"/>
        <v>-0.44003058668803807</v>
      </c>
      <c r="V110" s="382">
        <f t="shared" si="32"/>
        <v>53.664982898887473</v>
      </c>
      <c r="W110" s="400"/>
      <c r="X110" s="157">
        <f t="shared" si="33"/>
        <v>44292</v>
      </c>
      <c r="Y110" s="383">
        <f t="shared" si="34"/>
        <v>23.086473493208622</v>
      </c>
      <c r="Z110" s="383">
        <f t="shared" si="35"/>
        <v>23.450800988611036</v>
      </c>
      <c r="AA110" s="384">
        <f t="shared" si="36"/>
        <v>24.483491513904848</v>
      </c>
      <c r="AB110" s="197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4.2179054597148387E-2</v>
      </c>
      <c r="AD110" s="230">
        <f>(INDEX(Models!$BJ110:$BT110,,AH110)*(1-AF110)+INDEX(Models!$BJ110:$BT110,,AH110+1)*AF110-ERP_i)*AE110*Ramure*Pc/MaxiM</f>
        <v>1.4356423391446674E-3</v>
      </c>
      <c r="AE110" s="304">
        <f t="shared" si="38"/>
        <v>0.7</v>
      </c>
      <c r="AF110" s="177">
        <f t="shared" si="39"/>
        <v>0.62430163557179408</v>
      </c>
      <c r="AG110" s="799">
        <f t="shared" si="47"/>
        <v>-1</v>
      </c>
      <c r="AH110" s="176">
        <f t="shared" si="40"/>
        <v>5</v>
      </c>
      <c r="AI110" s="224">
        <f t="shared" si="41"/>
        <v>-0.37569836442820592</v>
      </c>
      <c r="AJ110" s="264" t="b">
        <f t="shared" si="42"/>
        <v>1</v>
      </c>
      <c r="AK110" s="264" t="b">
        <f t="shared" si="43"/>
        <v>0</v>
      </c>
      <c r="AL110" s="264"/>
      <c r="AM110" s="264"/>
      <c r="AN110" s="75"/>
    </row>
    <row r="111" spans="1:40" s="6" customFormat="1" ht="11.25" x14ac:dyDescent="0.2">
      <c r="A111" s="56">
        <f t="shared" si="44"/>
        <v>44293</v>
      </c>
      <c r="B111" s="607">
        <v>54.19</v>
      </c>
      <c r="C111" s="388"/>
      <c r="D111" s="391">
        <f t="shared" si="24"/>
        <v>55.04622700320774</v>
      </c>
      <c r="E111" s="383">
        <f t="shared" si="45"/>
        <v>57.472850383233357</v>
      </c>
      <c r="F111" s="383">
        <f t="shared" si="25"/>
        <v>57.546398916195137</v>
      </c>
      <c r="G111" s="110">
        <f t="shared" si="46"/>
        <v>1.0060726522953785</v>
      </c>
      <c r="H111" s="412" t="b">
        <f>Wh_hp&gt;='2020'!Maxi_hp</f>
        <v>1</v>
      </c>
      <c r="I111" s="379">
        <f>IF(H111,Wh_hp,'2020'!Maxi_hp)</f>
        <v>57.546398916195137</v>
      </c>
      <c r="J111" s="85">
        <f>IF(H111,An,'2020'!An_max)</f>
        <v>2021</v>
      </c>
      <c r="K111" s="197">
        <f t="shared" si="26"/>
        <v>44293</v>
      </c>
      <c r="L111" s="147">
        <f>IF(t&lt;Tvie,1-EXP((T0-t)*PertePVj)+'2020'!Pspv,1-EXP((T0-t)*PertePVj)+Pspv)</f>
        <v>1.5554690118141035E-2</v>
      </c>
      <c r="M111" s="832"/>
      <c r="N111" s="832"/>
      <c r="O111" s="48">
        <f>IF(t&lt;Tnet,'2020'!Resal+('2020'!Salim-'2020'!Resal)*(1-EXP(('2020'!Tnet-t)/('2020'!Tau_j))),Resal+(Salim-Resal)*(1-EXP((Tnet-t)/(Tau_j))))*Salcycl</f>
        <v>4.2222081623665877E-2</v>
      </c>
      <c r="P111" s="169">
        <f>(INDEX(Models!$BJ111:$BT111,,T111)*(1-R111)+INDEX(Models!$BJ111:$BT111,,T111+1)*R111-ERP_i)*Q111*Ramure*Pc/MaxiM</f>
        <v>1.2780735953415714E-3</v>
      </c>
      <c r="Q111" s="304">
        <f t="shared" si="27"/>
        <v>0.7</v>
      </c>
      <c r="R111" s="177">
        <f t="shared" si="28"/>
        <v>0.56098377056072113</v>
      </c>
      <c r="S111" s="799">
        <f t="shared" si="29"/>
        <v>-1</v>
      </c>
      <c r="T111" s="176">
        <f t="shared" si="30"/>
        <v>5</v>
      </c>
      <c r="U111" s="250">
        <f t="shared" si="31"/>
        <v>-0.43901622943927887</v>
      </c>
      <c r="V111" s="382">
        <f t="shared" si="32"/>
        <v>53.862909280323073</v>
      </c>
      <c r="W111" s="400"/>
      <c r="X111" s="157">
        <f t="shared" si="33"/>
        <v>44293</v>
      </c>
      <c r="Y111" s="383">
        <f t="shared" si="34"/>
        <v>54.183556440808388</v>
      </c>
      <c r="Z111" s="383">
        <f t="shared" si="35"/>
        <v>55.039681632807856</v>
      </c>
      <c r="AA111" s="384">
        <f t="shared" si="36"/>
        <v>57.466016470825998</v>
      </c>
      <c r="AB111" s="197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4.2222081623665877E-2</v>
      </c>
      <c r="AD111" s="230">
        <f>(INDEX(Models!$BJ111:$BT111,,AH111)*(1-AF111)+INDEX(Models!$BJ111:$BT111,,AH111+1)*AF111-ERP_i)*AE111*Ramure*Pc/MaxiM</f>
        <v>1.3968284181639003E-3</v>
      </c>
      <c r="AE111" s="304">
        <f t="shared" si="38"/>
        <v>0.7</v>
      </c>
      <c r="AF111" s="177">
        <f t="shared" si="39"/>
        <v>0.62531599282055328</v>
      </c>
      <c r="AG111" s="799">
        <f t="shared" si="47"/>
        <v>-1</v>
      </c>
      <c r="AH111" s="176">
        <f t="shared" si="40"/>
        <v>5</v>
      </c>
      <c r="AI111" s="224">
        <f t="shared" si="41"/>
        <v>-0.37468400717944672</v>
      </c>
      <c r="AJ111" s="264" t="b">
        <f t="shared" si="42"/>
        <v>1</v>
      </c>
      <c r="AK111" s="264" t="b">
        <f t="shared" si="43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4"/>
        <v>44294</v>
      </c>
      <c r="B112" s="607">
        <v>54.761000000000003</v>
      </c>
      <c r="C112" s="388"/>
      <c r="D112" s="391">
        <f t="shared" si="24"/>
        <v>55.627315151470782</v>
      </c>
      <c r="E112" s="383">
        <f t="shared" si="45"/>
        <v>58.082192397062414</v>
      </c>
      <c r="F112" s="383">
        <f t="shared" si="25"/>
        <v>58.154414706140663</v>
      </c>
      <c r="G112" s="110">
        <f t="shared" si="46"/>
        <v>1.0130736684610384</v>
      </c>
      <c r="H112" s="412" t="b">
        <f>Wh_hp&gt;='2020'!Maxi_hp</f>
        <v>1</v>
      </c>
      <c r="I112" s="379">
        <f>IF(H112,Wh_hp,'2020'!Maxi_hp)</f>
        <v>58.154414706140663</v>
      </c>
      <c r="J112" s="85">
        <f>IF(H112,An,'2020'!An_max)</f>
        <v>2021</v>
      </c>
      <c r="K112" s="197">
        <f t="shared" si="26"/>
        <v>44294</v>
      </c>
      <c r="L112" s="147">
        <f>IF(t&lt;Tvie,1-EXP((T0-t)*PertePVj)+'2020'!Pspv,1-EXP((T0-t)*PertePVj)+Pspv)</f>
        <v>1.5573556787916831E-2</v>
      </c>
      <c r="M112" s="832"/>
      <c r="N112" s="832"/>
      <c r="O112" s="48">
        <f>IF(t&lt;Tnet,'2020'!Resal+('2020'!Salim-'2020'!Resal)*(1-EXP(('2020'!Tnet-t)/('2020'!Tau_j))),Resal+(Salim-Resal)*(1-EXP((Tnet-t)/(Tau_j))))*Salcycl</f>
        <v>4.2265574770483212E-2</v>
      </c>
      <c r="P112" s="169">
        <f>(INDEX(Models!$BJ112:$BT112,,T112)*(1-R112)+INDEX(Models!$BJ112:$BT112,,T112+1)*R112-ERP_i)*Q112*Ramure*Pc/MaxiM</f>
        <v>1.2419058715179825E-3</v>
      </c>
      <c r="Q112" s="304">
        <f t="shared" si="27"/>
        <v>0.7</v>
      </c>
      <c r="R112" s="177">
        <f t="shared" si="28"/>
        <v>0.56203485722291602</v>
      </c>
      <c r="S112" s="799">
        <f t="shared" si="29"/>
        <v>-1</v>
      </c>
      <c r="T112" s="176">
        <f t="shared" si="30"/>
        <v>5</v>
      </c>
      <c r="U112" s="250">
        <f t="shared" si="31"/>
        <v>-0.43796514277708398</v>
      </c>
      <c r="V112" s="382">
        <f t="shared" si="32"/>
        <v>54.054311848009554</v>
      </c>
      <c r="W112" s="400"/>
      <c r="X112" s="157">
        <f t="shared" si="33"/>
        <v>44294</v>
      </c>
      <c r="Y112" s="383">
        <f t="shared" si="34"/>
        <v>54.754703175268581</v>
      </c>
      <c r="Z112" s="383">
        <f t="shared" si="35"/>
        <v>55.620918711416941</v>
      </c>
      <c r="AA112" s="384">
        <f t="shared" si="36"/>
        <v>58.075513677069338</v>
      </c>
      <c r="AB112" s="197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4.2265574770483212E-2</v>
      </c>
      <c r="AD112" s="230">
        <f>(INDEX(Models!$BJ112:$BT112,,AH112)*(1-AF112)+INDEX(Models!$BJ112:$BT112,,AH112+1)*AF112-ERP_i)*AE112*Ramure*Pc/MaxiM</f>
        <v>1.3567504628843256E-3</v>
      </c>
      <c r="AE112" s="304">
        <f t="shared" si="38"/>
        <v>0.7</v>
      </c>
      <c r="AF112" s="177">
        <f t="shared" si="39"/>
        <v>0.62636707948274817</v>
      </c>
      <c r="AG112" s="799">
        <f t="shared" si="47"/>
        <v>-1</v>
      </c>
      <c r="AH112" s="176">
        <f t="shared" si="40"/>
        <v>5</v>
      </c>
      <c r="AI112" s="224">
        <f t="shared" si="41"/>
        <v>-0.37363292051725183</v>
      </c>
      <c r="AJ112" s="264" t="b">
        <f t="shared" si="42"/>
        <v>1</v>
      </c>
      <c r="AK112" s="264" t="b">
        <f t="shared" si="43"/>
        <v>0</v>
      </c>
      <c r="AL112" s="264"/>
      <c r="AM112" s="264"/>
      <c r="AN112" s="75"/>
    </row>
    <row r="113" spans="1:40" s="6" customFormat="1" ht="11.25" x14ac:dyDescent="0.2">
      <c r="A113" s="56">
        <f t="shared" si="44"/>
        <v>44295</v>
      </c>
      <c r="B113" s="607">
        <v>35.523000000000003</v>
      </c>
      <c r="C113" s="388"/>
      <c r="D113" s="391">
        <f t="shared" si="24"/>
        <v>36.085662924015118</v>
      </c>
      <c r="E113" s="383">
        <f t="shared" si="45"/>
        <v>37.679881657980992</v>
      </c>
      <c r="F113" s="383">
        <f t="shared" si="25"/>
        <v>37.702908607692258</v>
      </c>
      <c r="G113" s="110">
        <f t="shared" si="46"/>
        <v>0.65453824945094619</v>
      </c>
      <c r="H113" s="412" t="b">
        <f>Wh_hp&gt;='2020'!Maxi_hp</f>
        <v>0</v>
      </c>
      <c r="I113" s="379">
        <f>IF(H113,Wh_hp,'2020'!Maxi_hp)</f>
        <v>44.615117230380669</v>
      </c>
      <c r="J113" s="85">
        <f>IF(H113,An,'2020'!An_max)</f>
        <v>2018</v>
      </c>
      <c r="K113" s="197">
        <f t="shared" si="26"/>
        <v>44295</v>
      </c>
      <c r="L113" s="147">
        <f>IF(t&lt;Tvie,1-EXP((T0-t)*PertePVj)+'2020'!Pspv,1-EXP((T0-t)*PertePVj)+Pspv)</f>
        <v>1.5592423096117303E-2</v>
      </c>
      <c r="M113" s="832"/>
      <c r="N113" s="832"/>
      <c r="O113" s="48">
        <f>IF(t&lt;Tnet,'2020'!Resal+('2020'!Salim-'2020'!Resal)*(1-EXP(('2020'!Tnet-t)/('2020'!Tau_j))),Resal+(Salim-Resal)*(1-EXP((Tnet-t)/(Tau_j))))*Salcycl</f>
        <v>4.230954726547563E-2</v>
      </c>
      <c r="P113" s="169">
        <f>(INDEX(Models!$BJ113:$BT113,,T113)*(1-R113)+INDEX(Models!$BJ113:$BT113,,T113+1)*R113-ERP_i)*Q113*Ramure*Pc/MaxiM</f>
        <v>1.2045368719137851E-3</v>
      </c>
      <c r="Q113" s="304">
        <f t="shared" si="27"/>
        <v>0.7</v>
      </c>
      <c r="R113" s="177">
        <f t="shared" si="28"/>
        <v>0.56312376841296885</v>
      </c>
      <c r="S113" s="799">
        <f t="shared" si="29"/>
        <v>-1</v>
      </c>
      <c r="T113" s="176">
        <f t="shared" si="30"/>
        <v>5</v>
      </c>
      <c r="U113" s="250">
        <f t="shared" si="31"/>
        <v>-0.43687623158703115</v>
      </c>
      <c r="V113" s="382">
        <f t="shared" si="32"/>
        <v>54.239601661797565</v>
      </c>
      <c r="W113" s="400"/>
      <c r="X113" s="157">
        <f t="shared" si="33"/>
        <v>44295</v>
      </c>
      <c r="Y113" s="383">
        <f t="shared" si="34"/>
        <v>35.521002363097629</v>
      </c>
      <c r="Z113" s="383">
        <f t="shared" si="35"/>
        <v>36.083633645747419</v>
      </c>
      <c r="AA113" s="384">
        <f t="shared" si="36"/>
        <v>37.677762728778028</v>
      </c>
      <c r="AB113" s="197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4.230954726547563E-2</v>
      </c>
      <c r="AD113" s="230">
        <f>(INDEX(Models!$BJ113:$BT113,,AH113)*(1-AF113)+INDEX(Models!$BJ113:$BT113,,AH113+1)*AF113-ERP_i)*AE113*Ramure*Pc/MaxiM</f>
        <v>1.3153777946563277E-3</v>
      </c>
      <c r="AE113" s="304">
        <f t="shared" si="38"/>
        <v>0.7</v>
      </c>
      <c r="AF113" s="177">
        <f t="shared" si="39"/>
        <v>0.627455990672801</v>
      </c>
      <c r="AG113" s="799">
        <f t="shared" si="47"/>
        <v>-1</v>
      </c>
      <c r="AH113" s="176">
        <f t="shared" si="40"/>
        <v>5</v>
      </c>
      <c r="AI113" s="224">
        <f t="shared" si="41"/>
        <v>-0.372544009327199</v>
      </c>
      <c r="AJ113" s="264" t="b">
        <f t="shared" si="42"/>
        <v>1</v>
      </c>
      <c r="AK113" s="264" t="b">
        <f t="shared" si="43"/>
        <v>0</v>
      </c>
      <c r="AL113" s="264"/>
      <c r="AM113" s="264"/>
      <c r="AN113" s="75"/>
    </row>
    <row r="114" spans="1:40" s="6" customFormat="1" ht="11.25" x14ac:dyDescent="0.2">
      <c r="A114" s="56">
        <f t="shared" si="44"/>
        <v>44296</v>
      </c>
      <c r="B114" s="607">
        <v>34.497</v>
      </c>
      <c r="C114" s="388"/>
      <c r="D114" s="391">
        <f t="shared" si="24"/>
        <v>35.044083313850706</v>
      </c>
      <c r="E114" s="383">
        <f t="shared" si="45"/>
        <v>36.593985405212962</v>
      </c>
      <c r="F114" s="383">
        <f t="shared" si="25"/>
        <v>36.614388495940887</v>
      </c>
      <c r="G114" s="110">
        <f t="shared" si="46"/>
        <v>0.63352634025422427</v>
      </c>
      <c r="H114" s="412" t="b">
        <f>Wh_hp&gt;='2020'!Maxi_hp</f>
        <v>0</v>
      </c>
      <c r="I114" s="379">
        <f>IF(H114,Wh_hp,'2020'!Maxi_hp)</f>
        <v>57.367035430270235</v>
      </c>
      <c r="J114" s="85">
        <f>IF(H114,An,'2020'!An_max)</f>
        <v>2020</v>
      </c>
      <c r="K114" s="197">
        <f t="shared" si="26"/>
        <v>44296</v>
      </c>
      <c r="L114" s="147">
        <f>IF(t&lt;Tvie,1-EXP((T0-t)*PertePVj)+'2020'!Pspv,1-EXP((T0-t)*PertePVj)+Pspv)</f>
        <v>1.5611289042749221E-2</v>
      </c>
      <c r="M114" s="832"/>
      <c r="N114" s="832"/>
      <c r="O114" s="48">
        <f>IF(t&lt;Tnet,'2020'!Resal+('2020'!Salim-'2020'!Resal)*(1-EXP(('2020'!Tnet-t)/('2020'!Tau_j))),Resal+(Salim-Resal)*(1-EXP((Tnet-t)/(Tau_j))))*Salcycl</f>
        <v>4.2354011846478648E-2</v>
      </c>
      <c r="P114" s="169">
        <f>(INDEX(Models!$BJ114:$BT114,,T114)*(1-R114)+INDEX(Models!$BJ114:$BT114,,T114+1)*R114-ERP_i)*Q114*Ramure*Pc/MaxiM</f>
        <v>1.1681747170546985E-3</v>
      </c>
      <c r="Q114" s="304">
        <f t="shared" si="27"/>
        <v>0.7</v>
      </c>
      <c r="R114" s="177">
        <f t="shared" si="28"/>
        <v>0.56425161329804285</v>
      </c>
      <c r="S114" s="799">
        <f t="shared" si="29"/>
        <v>-1</v>
      </c>
      <c r="T114" s="176">
        <f t="shared" si="30"/>
        <v>5</v>
      </c>
      <c r="U114" s="250">
        <f t="shared" si="31"/>
        <v>-0.43574838670195715</v>
      </c>
      <c r="V114" s="382">
        <f t="shared" si="32"/>
        <v>54.419067886517368</v>
      </c>
      <c r="W114" s="400"/>
      <c r="X114" s="157">
        <f t="shared" si="33"/>
        <v>44296</v>
      </c>
      <c r="Y114" s="383">
        <f t="shared" si="34"/>
        <v>34.495238628523111</v>
      </c>
      <c r="Z114" s="383">
        <f t="shared" si="35"/>
        <v>35.042294009018903</v>
      </c>
      <c r="AA114" s="384">
        <f t="shared" si="36"/>
        <v>36.592116964417578</v>
      </c>
      <c r="AB114" s="197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4.2354011846478648E-2</v>
      </c>
      <c r="AD114" s="230">
        <f>(INDEX(Models!$BJ114:$BT114,,AH114)*(1-AF114)+INDEX(Models!$BJ114:$BT114,,AH114+1)*AF114-ERP_i)*AE114*Ramure*Pc/MaxiM</f>
        <v>1.2751519062746937E-3</v>
      </c>
      <c r="AE114" s="304">
        <f t="shared" si="38"/>
        <v>0.7</v>
      </c>
      <c r="AF114" s="177">
        <f t="shared" si="39"/>
        <v>0.628583835557875</v>
      </c>
      <c r="AG114" s="799">
        <f t="shared" si="47"/>
        <v>-1</v>
      </c>
      <c r="AH114" s="176">
        <f t="shared" si="40"/>
        <v>5</v>
      </c>
      <c r="AI114" s="224">
        <f t="shared" si="41"/>
        <v>-0.371416164442125</v>
      </c>
      <c r="AJ114" s="264" t="b">
        <f t="shared" si="42"/>
        <v>1</v>
      </c>
      <c r="AK114" s="264" t="b">
        <f t="shared" si="43"/>
        <v>0</v>
      </c>
      <c r="AL114" s="264"/>
      <c r="AM114" s="264"/>
      <c r="AN114" s="75"/>
    </row>
    <row r="115" spans="1:40" s="6" customFormat="1" ht="11.25" x14ac:dyDescent="0.2">
      <c r="A115" s="56">
        <f t="shared" si="44"/>
        <v>44297</v>
      </c>
      <c r="B115" s="607">
        <v>7.5019999999999998</v>
      </c>
      <c r="C115" s="388"/>
      <c r="D115" s="391">
        <f t="shared" si="24"/>
        <v>7.621119272668869</v>
      </c>
      <c r="E115" s="383">
        <f t="shared" si="45"/>
        <v>7.9585538437539194</v>
      </c>
      <c r="F115" s="383">
        <f t="shared" si="25"/>
        <v>7.9585538437539194</v>
      </c>
      <c r="G115" s="110">
        <f t="shared" si="46"/>
        <v>0.13726091772897445</v>
      </c>
      <c r="H115" s="412" t="b">
        <f>Wh_hp&gt;='2020'!Maxi_hp</f>
        <v>0</v>
      </c>
      <c r="I115" s="379">
        <f>IF(H115,Wh_hp,'2020'!Maxi_hp)</f>
        <v>58.211509097292016</v>
      </c>
      <c r="J115" s="85">
        <f>IF(H115,An,'2020'!An_max)</f>
        <v>2020</v>
      </c>
      <c r="K115" s="197">
        <f t="shared" si="26"/>
        <v>44297</v>
      </c>
      <c r="L115" s="147">
        <f>IF(t&lt;Tvie,1-EXP((T0-t)*PertePVj)+'2020'!Pspv,1-EXP((T0-t)*PertePVj)+Pspv)</f>
        <v>1.563015462781947E-2</v>
      </c>
      <c r="M115" s="832"/>
      <c r="N115" s="832"/>
      <c r="O115" s="48">
        <f>IF(t&lt;Tnet,'2020'!Resal+('2020'!Salim-'2020'!Resal)*(1-EXP(('2020'!Tnet-t)/('2020'!Tau_j))),Resal+(Salim-Resal)*(1-EXP((Tnet-t)/(Tau_j))))*Salcycl</f>
        <v>4.2398980733148836E-2</v>
      </c>
      <c r="P115" s="169">
        <f>(INDEX(Models!$BJ115:$BT115,,T115)*(1-R115)+INDEX(Models!$BJ115:$BT115,,T115+1)*R115-ERP_i)*Q115*Ramure*Pc/MaxiM</f>
        <v>1.1338505274194049E-3</v>
      </c>
      <c r="Q115" s="304">
        <f t="shared" si="27"/>
        <v>0.7</v>
      </c>
      <c r="R115" s="177">
        <f t="shared" si="28"/>
        <v>0.56541951367076049</v>
      </c>
      <c r="S115" s="799">
        <f t="shared" si="29"/>
        <v>-1</v>
      </c>
      <c r="T115" s="176">
        <f t="shared" si="30"/>
        <v>5</v>
      </c>
      <c r="U115" s="250">
        <f t="shared" si="31"/>
        <v>-0.43458048632923946</v>
      </c>
      <c r="V115" s="382">
        <f t="shared" si="32"/>
        <v>54.593062448696536</v>
      </c>
      <c r="W115" s="400"/>
      <c r="X115" s="157">
        <f t="shared" si="33"/>
        <v>44297</v>
      </c>
      <c r="Y115" s="383">
        <f t="shared" si="34"/>
        <v>7.5019999999999998</v>
      </c>
      <c r="Z115" s="383">
        <f t="shared" si="35"/>
        <v>7.621119272668869</v>
      </c>
      <c r="AA115" s="384">
        <f t="shared" si="36"/>
        <v>7.9585538437539194</v>
      </c>
      <c r="AB115" s="197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4.2398980733148836E-2</v>
      </c>
      <c r="AD115" s="230">
        <f>(INDEX(Models!$BJ115:$BT115,,AH115)*(1-AF115)+INDEX(Models!$BJ115:$BT115,,AH115+1)*AF115-ERP_i)*AE115*Ramure*Pc/MaxiM</f>
        <v>1.2372103546132484E-3</v>
      </c>
      <c r="AE115" s="304">
        <f t="shared" si="38"/>
        <v>0.7</v>
      </c>
      <c r="AF115" s="177">
        <f t="shared" si="39"/>
        <v>0.62975173593059264</v>
      </c>
      <c r="AG115" s="799">
        <f t="shared" si="47"/>
        <v>-1</v>
      </c>
      <c r="AH115" s="176">
        <f t="shared" si="40"/>
        <v>5</v>
      </c>
      <c r="AI115" s="224">
        <f t="shared" si="41"/>
        <v>-0.37024826406940731</v>
      </c>
      <c r="AJ115" s="264" t="b">
        <f t="shared" si="42"/>
        <v>1</v>
      </c>
      <c r="AK115" s="264" t="b">
        <f t="shared" si="43"/>
        <v>0</v>
      </c>
      <c r="AL115" s="264"/>
      <c r="AM115" s="264"/>
      <c r="AN115" s="75"/>
    </row>
    <row r="116" spans="1:40" s="6" customFormat="1" ht="11.25" x14ac:dyDescent="0.2">
      <c r="A116" s="56">
        <f t="shared" si="44"/>
        <v>44298</v>
      </c>
      <c r="B116" s="607">
        <v>42.006999999999998</v>
      </c>
      <c r="C116" s="388"/>
      <c r="D116" s="391">
        <f t="shared" si="24"/>
        <v>42.674819091108901</v>
      </c>
      <c r="E116" s="383">
        <f t="shared" si="45"/>
        <v>44.566416837419382</v>
      </c>
      <c r="F116" s="383">
        <f t="shared" si="25"/>
        <v>44.599197774020055</v>
      </c>
      <c r="G116" s="110">
        <f t="shared" si="46"/>
        <v>0.76680172695312054</v>
      </c>
      <c r="H116" s="412" t="b">
        <f>Wh_hp&gt;='2020'!Maxi_hp</f>
        <v>0</v>
      </c>
      <c r="I116" s="379">
        <f>IF(H116,Wh_hp,'2020'!Maxi_hp)</f>
        <v>57.589141732142863</v>
      </c>
      <c r="J116" s="85">
        <f>IF(H116,An,'2020'!An_max)</f>
        <v>2020</v>
      </c>
      <c r="K116" s="197">
        <f t="shared" si="26"/>
        <v>44298</v>
      </c>
      <c r="L116" s="147">
        <f>IF(t&lt;Tvie,1-EXP((T0-t)*PertePVj)+'2020'!Pspv,1-EXP((T0-t)*PertePVj)+Pspv)</f>
        <v>1.5649019851335266E-2</v>
      </c>
      <c r="M116" s="832"/>
      <c r="N116" s="832"/>
      <c r="O116" s="48">
        <f>IF(t&lt;Tnet,'2020'!Resal+('2020'!Salim-'2020'!Resal)*(1-EXP(('2020'!Tnet-t)/('2020'!Tau_j))),Resal+(Salim-Resal)*(1-EXP((Tnet-t)/(Tau_j))))*Salcycl</f>
        <v>4.2444465598639576E-2</v>
      </c>
      <c r="P116" s="169">
        <f>(INDEX(Models!$BJ116:$BT116,,T116)*(1-R116)+INDEX(Models!$BJ116:$BT116,,T116+1)*R116-ERP_i)*Q116*Ramure*Pc/MaxiM</f>
        <v>1.1015347663647019E-3</v>
      </c>
      <c r="Q116" s="304">
        <f t="shared" si="27"/>
        <v>0.7</v>
      </c>
      <c r="R116" s="177">
        <f t="shared" si="28"/>
        <v>0.56662860236566326</v>
      </c>
      <c r="S116" s="799">
        <f t="shared" si="29"/>
        <v>-1</v>
      </c>
      <c r="T116" s="176">
        <f t="shared" si="30"/>
        <v>5</v>
      </c>
      <c r="U116" s="250">
        <f t="shared" si="31"/>
        <v>-0.4333713976343368</v>
      </c>
      <c r="V116" s="382">
        <f t="shared" si="32"/>
        <v>54.761994748783252</v>
      </c>
      <c r="W116" s="400"/>
      <c r="X116" s="157">
        <f t="shared" si="33"/>
        <v>44298</v>
      </c>
      <c r="Y116" s="383">
        <f t="shared" si="34"/>
        <v>42.004195396398778</v>
      </c>
      <c r="Z116" s="383">
        <f t="shared" si="35"/>
        <v>42.671969900466763</v>
      </c>
      <c r="AA116" s="384">
        <f t="shared" si="36"/>
        <v>44.563441353972436</v>
      </c>
      <c r="AB116" s="197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4.2444465598639576E-2</v>
      </c>
      <c r="AD116" s="230">
        <f>(INDEX(Models!$BJ116:$BT116,,AH116)*(1-AF116)+INDEX(Models!$BJ116:$BT116,,AH116+1)*AF116-ERP_i)*AE116*Ramure*Pc/MaxiM</f>
        <v>1.2015196601302262E-3</v>
      </c>
      <c r="AE116" s="304">
        <f t="shared" si="38"/>
        <v>0.7</v>
      </c>
      <c r="AF116" s="177">
        <f t="shared" si="39"/>
        <v>0.63096082462549541</v>
      </c>
      <c r="AG116" s="799">
        <f t="shared" si="47"/>
        <v>-1</v>
      </c>
      <c r="AH116" s="176">
        <f t="shared" si="40"/>
        <v>5</v>
      </c>
      <c r="AI116" s="224">
        <f t="shared" si="41"/>
        <v>-0.36903917537450465</v>
      </c>
      <c r="AJ116" s="264" t="b">
        <f t="shared" si="42"/>
        <v>1</v>
      </c>
      <c r="AK116" s="264" t="b">
        <f t="shared" si="43"/>
        <v>0</v>
      </c>
      <c r="AL116" s="264"/>
      <c r="AM116" s="264"/>
      <c r="AN116" s="75"/>
    </row>
    <row r="117" spans="1:40" s="6" customFormat="1" ht="11.25" x14ac:dyDescent="0.2">
      <c r="A117" s="56">
        <f t="shared" si="44"/>
        <v>44299</v>
      </c>
      <c r="B117" s="607">
        <v>51.082999999999998</v>
      </c>
      <c r="C117" s="388"/>
      <c r="D117" s="391">
        <f t="shared" si="24"/>
        <v>51.896102145485273</v>
      </c>
      <c r="E117" s="383">
        <f t="shared" si="45"/>
        <v>54.199045469754736</v>
      </c>
      <c r="F117" s="383">
        <f t="shared" si="25"/>
        <v>54.251350542791052</v>
      </c>
      <c r="G117" s="110">
        <f t="shared" si="46"/>
        <v>0.92992881451963816</v>
      </c>
      <c r="H117" s="412" t="b">
        <f>Wh_hp&gt;='2020'!Maxi_hp</f>
        <v>0</v>
      </c>
      <c r="I117" s="379">
        <f>IF(H117,Wh_hp,'2020'!Maxi_hp)</f>
        <v>56.994672036100951</v>
      </c>
      <c r="J117" s="85">
        <f>IF(H117,An,'2020'!An_max)</f>
        <v>2018</v>
      </c>
      <c r="K117" s="197">
        <f t="shared" si="26"/>
        <v>44299</v>
      </c>
      <c r="L117" s="147">
        <f>IF(t&lt;Tvie,1-EXP((T0-t)*PertePVj)+'2020'!Pspv,1-EXP((T0-t)*PertePVj)+Pspv)</f>
        <v>1.5667884713303271E-2</v>
      </c>
      <c r="M117" s="832"/>
      <c r="N117" s="832"/>
      <c r="O117" s="48">
        <f>IF(t&lt;Tnet,'2020'!Resal+('2020'!Salim-'2020'!Resal)*(1-EXP(('2020'!Tnet-t)/('2020'!Tau_j))),Resal+(Salim-Resal)*(1-EXP((Tnet-t)/(Tau_j))))*Salcycl</f>
        <v>4.2490477540874746E-2</v>
      </c>
      <c r="P117" s="169">
        <f>(INDEX(Models!$BJ117:$BT117,,T117)*(1-R117)+INDEX(Models!$BJ117:$BT117,,T117+1)*R117-ERP_i)*Q117*Ramure*Pc/MaxiM</f>
        <v>1.07120133858414E-3</v>
      </c>
      <c r="Q117" s="304">
        <f t="shared" si="27"/>
        <v>0.7</v>
      </c>
      <c r="R117" s="177">
        <f t="shared" si="28"/>
        <v>0.56788002151200045</v>
      </c>
      <c r="S117" s="799">
        <f t="shared" si="29"/>
        <v>-1</v>
      </c>
      <c r="T117" s="176">
        <f t="shared" si="30"/>
        <v>5</v>
      </c>
      <c r="U117" s="250">
        <f t="shared" si="31"/>
        <v>-0.43211997848799955</v>
      </c>
      <c r="V117" s="382">
        <f t="shared" si="32"/>
        <v>54.926274069082254</v>
      </c>
      <c r="W117" s="400"/>
      <c r="X117" s="157">
        <f t="shared" si="33"/>
        <v>44299</v>
      </c>
      <c r="Y117" s="383">
        <f t="shared" si="34"/>
        <v>51.078542907765609</v>
      </c>
      <c r="Z117" s="383">
        <f t="shared" si="35"/>
        <v>51.891574108489252</v>
      </c>
      <c r="AA117" s="384">
        <f t="shared" si="36"/>
        <v>54.194316496423596</v>
      </c>
      <c r="AB117" s="197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4.2490477540874746E-2</v>
      </c>
      <c r="AD117" s="230">
        <f>(INDEX(Models!$BJ117:$BT117,,AH117)*(1-AF117)+INDEX(Models!$BJ117:$BT117,,AH117+1)*AF117-ERP_i)*AE117*Ramure*Pc/MaxiM</f>
        <v>1.1680501195604439E-3</v>
      </c>
      <c r="AE117" s="304">
        <f t="shared" si="38"/>
        <v>0.7</v>
      </c>
      <c r="AF117" s="177">
        <f t="shared" si="39"/>
        <v>0.6322122437718326</v>
      </c>
      <c r="AG117" s="799">
        <f t="shared" si="47"/>
        <v>-1</v>
      </c>
      <c r="AH117" s="176">
        <f t="shared" si="40"/>
        <v>5</v>
      </c>
      <c r="AI117" s="224">
        <f t="shared" si="41"/>
        <v>-0.3677877562281674</v>
      </c>
      <c r="AJ117" s="264" t="b">
        <f t="shared" si="42"/>
        <v>1</v>
      </c>
      <c r="AK117" s="264" t="b">
        <f t="shared" si="43"/>
        <v>0</v>
      </c>
      <c r="AL117" s="264"/>
      <c r="AM117" s="264"/>
      <c r="AN117" s="75"/>
    </row>
    <row r="118" spans="1:40" s="6" customFormat="1" ht="11.25" x14ac:dyDescent="0.2">
      <c r="A118" s="56">
        <f t="shared" si="44"/>
        <v>44300</v>
      </c>
      <c r="B118" s="607">
        <v>54.368000000000002</v>
      </c>
      <c r="C118" s="388"/>
      <c r="D118" s="391">
        <f t="shared" si="24"/>
        <v>55.23444894861553</v>
      </c>
      <c r="E118" s="383">
        <f t="shared" si="45"/>
        <v>57.688339402431843</v>
      </c>
      <c r="F118" s="383">
        <f t="shared" si="25"/>
        <v>57.747438215709053</v>
      </c>
      <c r="G118" s="110">
        <f t="shared" si="46"/>
        <v>0.98694109659758755</v>
      </c>
      <c r="H118" s="412" t="b">
        <f>Wh_hp&gt;='2020'!Maxi_hp</f>
        <v>1</v>
      </c>
      <c r="I118" s="379">
        <f>IF(H118,Wh_hp,'2020'!Maxi_hp)</f>
        <v>57.747438215709053</v>
      </c>
      <c r="J118" s="85">
        <f>IF(H118,An,'2020'!An_max)</f>
        <v>2021</v>
      </c>
      <c r="K118" s="197">
        <f t="shared" si="26"/>
        <v>44300</v>
      </c>
      <c r="L118" s="147">
        <f>IF(t&lt;Tvie,1-EXP((T0-t)*PertePVj)+'2020'!Pspv,1-EXP((T0-t)*PertePVj)+Pspv)</f>
        <v>1.5686749213730478E-2</v>
      </c>
      <c r="M118" s="832"/>
      <c r="N118" s="832"/>
      <c r="O118" s="48">
        <f>IF(t&lt;Tnet,'2020'!Resal+('2020'!Salim-'2020'!Resal)*(1-EXP(('2020'!Tnet-t)/('2020'!Tau_j))),Resal+(Salim-Resal)*(1-EXP((Tnet-t)/(Tau_j))))*Salcycl</f>
        <v>4.2537027053215375E-2</v>
      </c>
      <c r="P118" s="169">
        <f>(INDEX(Models!$BJ118:$BT118,,T118)*(1-R118)+INDEX(Models!$BJ118:$BT118,,T118+1)*R118-ERP_i)*Q118*Ramure*Pc/MaxiM</f>
        <v>1.0428274268944842E-3</v>
      </c>
      <c r="Q118" s="304">
        <f t="shared" si="27"/>
        <v>0.7</v>
      </c>
      <c r="R118" s="177">
        <f t="shared" si="28"/>
        <v>0.56917492061565134</v>
      </c>
      <c r="S118" s="799">
        <f t="shared" si="29"/>
        <v>-1</v>
      </c>
      <c r="T118" s="176">
        <f t="shared" si="30"/>
        <v>5</v>
      </c>
      <c r="U118" s="250">
        <f t="shared" si="31"/>
        <v>-0.43082507938434872</v>
      </c>
      <c r="V118" s="382">
        <f t="shared" si="32"/>
        <v>55.086309563093899</v>
      </c>
      <c r="W118" s="400"/>
      <c r="X118" s="157">
        <f t="shared" si="33"/>
        <v>44300</v>
      </c>
      <c r="Y118" s="383">
        <f t="shared" si="34"/>
        <v>54.362982237954043</v>
      </c>
      <c r="Z118" s="383">
        <f t="shared" si="35"/>
        <v>55.229351219775701</v>
      </c>
      <c r="AA118" s="384">
        <f t="shared" si="36"/>
        <v>57.683015197753576</v>
      </c>
      <c r="AB118" s="197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4.2537027053215375E-2</v>
      </c>
      <c r="AD118" s="230">
        <f>(INDEX(Models!$BJ118:$BT118,,AH118)*(1-AF118)+INDEX(Models!$BJ118:$BT118,,AH118+1)*AF118-ERP_i)*AE118*Ramure*Pc/MaxiM</f>
        <v>1.1367756190325696E-3</v>
      </c>
      <c r="AE118" s="304">
        <f t="shared" si="38"/>
        <v>0.7</v>
      </c>
      <c r="AF118" s="177">
        <f t="shared" si="39"/>
        <v>0.63350714287548349</v>
      </c>
      <c r="AG118" s="799">
        <f t="shared" si="47"/>
        <v>-1</v>
      </c>
      <c r="AH118" s="176">
        <f t="shared" si="40"/>
        <v>5</v>
      </c>
      <c r="AI118" s="224">
        <f t="shared" si="41"/>
        <v>-0.36649285712451657</v>
      </c>
      <c r="AJ118" s="264" t="b">
        <f t="shared" si="42"/>
        <v>1</v>
      </c>
      <c r="AK118" s="264" t="b">
        <f t="shared" si="43"/>
        <v>0</v>
      </c>
      <c r="AL118" s="264"/>
      <c r="AM118" s="264"/>
      <c r="AN118" s="75"/>
    </row>
    <row r="119" spans="1:40" s="6" customFormat="1" ht="11.25" x14ac:dyDescent="0.2">
      <c r="A119" s="56">
        <f t="shared" si="44"/>
        <v>44301</v>
      </c>
      <c r="B119" s="607">
        <v>55.216000000000001</v>
      </c>
      <c r="C119" s="388"/>
      <c r="D119" s="391">
        <f t="shared" si="24"/>
        <v>56.097038395263297</v>
      </c>
      <c r="E119" s="383">
        <f t="shared" si="45"/>
        <v>58.592133054341744</v>
      </c>
      <c r="F119" s="383">
        <f t="shared" si="25"/>
        <v>58.651705388898215</v>
      </c>
      <c r="G119" s="110">
        <f t="shared" si="46"/>
        <v>0.99951941411154877</v>
      </c>
      <c r="H119" s="412" t="b">
        <f>Wh_hp&gt;='2020'!Maxi_hp</f>
        <v>1</v>
      </c>
      <c r="I119" s="379">
        <f>IF(H119,Wh_hp,'2020'!Maxi_hp)</f>
        <v>58.651705388898215</v>
      </c>
      <c r="J119" s="85">
        <f>IF(H119,An,'2020'!An_max)</f>
        <v>2021</v>
      </c>
      <c r="K119" s="197">
        <f t="shared" si="26"/>
        <v>44301</v>
      </c>
      <c r="L119" s="147">
        <f>IF(t&lt;Tvie,1-EXP((T0-t)*PertePVj)+'2020'!Pspv,1-EXP((T0-t)*PertePVj)+Pspv)</f>
        <v>1.5705613352623771E-2</v>
      </c>
      <c r="M119" s="832"/>
      <c r="N119" s="832"/>
      <c r="O119" s="48">
        <f>IF(t&lt;Tnet,'2020'!Resal+('2020'!Salim-'2020'!Resal)*(1-EXP(('2020'!Tnet-t)/('2020'!Tau_j))),Resal+(Salim-Resal)*(1-EXP((Tnet-t)/(Tau_j))))*Salcycl</f>
        <v>4.258412399433132E-2</v>
      </c>
      <c r="P119" s="169">
        <f>(INDEX(Models!$BJ119:$BT119,,T119)*(1-R119)+INDEX(Models!$BJ119:$BT119,,T119+1)*R119-ERP_i)*Q119*Ramure*Pc/MaxiM</f>
        <v>1.016393339446559E-3</v>
      </c>
      <c r="Q119" s="304">
        <f t="shared" si="27"/>
        <v>0.7</v>
      </c>
      <c r="R119" s="177">
        <f t="shared" si="28"/>
        <v>0.57051445446327653</v>
      </c>
      <c r="S119" s="799">
        <f t="shared" si="29"/>
        <v>-1</v>
      </c>
      <c r="T119" s="176">
        <f t="shared" si="30"/>
        <v>5</v>
      </c>
      <c r="U119" s="250">
        <f t="shared" si="31"/>
        <v>-0.42948554553672352</v>
      </c>
      <c r="V119" s="382">
        <f t="shared" si="32"/>
        <v>55.242510257585032</v>
      </c>
      <c r="W119" s="400"/>
      <c r="X119" s="157">
        <f t="shared" si="33"/>
        <v>44301</v>
      </c>
      <c r="Y119" s="383">
        <f t="shared" si="34"/>
        <v>55.210958211289814</v>
      </c>
      <c r="Z119" s="383">
        <f t="shared" si="35"/>
        <v>56.091916158685926</v>
      </c>
      <c r="AA119" s="384">
        <f t="shared" si="36"/>
        <v>58.586782989959332</v>
      </c>
      <c r="AB119" s="197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4.258412399433132E-2</v>
      </c>
      <c r="AD119" s="230">
        <f>(INDEX(Models!$BJ119:$BT119,,AH119)*(1-AF119)+INDEX(Models!$BJ119:$BT119,,AH119+1)*AF119-ERP_i)*AE119*Ramure*Pc/MaxiM</f>
        <v>1.107673458723107E-3</v>
      </c>
      <c r="AE119" s="304">
        <f t="shared" si="38"/>
        <v>0.7</v>
      </c>
      <c r="AF119" s="177">
        <f t="shared" si="39"/>
        <v>0.63484667672310868</v>
      </c>
      <c r="AG119" s="799">
        <f t="shared" si="47"/>
        <v>-1</v>
      </c>
      <c r="AH119" s="176">
        <f t="shared" si="40"/>
        <v>5</v>
      </c>
      <c r="AI119" s="224">
        <f t="shared" si="41"/>
        <v>-0.36515332327689137</v>
      </c>
      <c r="AJ119" s="264" t="b">
        <f t="shared" si="42"/>
        <v>1</v>
      </c>
      <c r="AK119" s="264" t="b">
        <f t="shared" si="43"/>
        <v>0</v>
      </c>
      <c r="AL119" s="264"/>
      <c r="AM119" s="264"/>
      <c r="AN119" s="75"/>
    </row>
    <row r="120" spans="1:40" s="6" customFormat="1" ht="11.25" x14ac:dyDescent="0.2">
      <c r="A120" s="56">
        <f t="shared" si="44"/>
        <v>44302</v>
      </c>
      <c r="B120" s="607">
        <v>50.18</v>
      </c>
      <c r="C120" s="388"/>
      <c r="D120" s="391">
        <f t="shared" si="24"/>
        <v>50.98165994586774</v>
      </c>
      <c r="E120" s="383">
        <f t="shared" si="45"/>
        <v>53.25188234865297</v>
      </c>
      <c r="F120" s="383">
        <f t="shared" si="25"/>
        <v>53.297637241318206</v>
      </c>
      <c r="G120" s="110">
        <f t="shared" si="46"/>
        <v>0.90573232026263861</v>
      </c>
      <c r="H120" s="412" t="b">
        <f>Wh_hp&gt;='2020'!Maxi_hp</f>
        <v>0</v>
      </c>
      <c r="I120" s="379">
        <f>IF(H120,Wh_hp,'2020'!Maxi_hp)</f>
        <v>57.771393300679215</v>
      </c>
      <c r="J120" s="85">
        <f>IF(H120,An,'2020'!An_max)</f>
        <v>2020</v>
      </c>
      <c r="K120" s="197">
        <f t="shared" si="26"/>
        <v>44302</v>
      </c>
      <c r="L120" s="147">
        <f>IF(t&lt;Tvie,1-EXP((T0-t)*PertePVj)+'2020'!Pspv,1-EXP((T0-t)*PertePVj)+Pspv)</f>
        <v>1.5724477129990255E-2</v>
      </c>
      <c r="M120" s="832"/>
      <c r="N120" s="832"/>
      <c r="O120" s="48">
        <f>IF(t&lt;Tnet,'2020'!Resal+('2020'!Salim-'2020'!Resal)*(1-EXP(('2020'!Tnet-t)/('2020'!Tau_j))),Resal+(Salim-Resal)*(1-EXP((Tnet-t)/(Tau_j))))*Salcycl</f>
        <v>4.2631777557111186E-2</v>
      </c>
      <c r="P120" s="169">
        <f>(INDEX(Models!$BJ120:$BT120,,T120)*(1-R120)+INDEX(Models!$BJ120:$BT120,,T120+1)*R120-ERP_i)*Q120*Ramure*Pc/MaxiM</f>
        <v>9.9188236622211267E-4</v>
      </c>
      <c r="Q120" s="304">
        <f t="shared" si="27"/>
        <v>0.7</v>
      </c>
      <c r="R120" s="177">
        <f t="shared" si="28"/>
        <v>0.5718997808421904</v>
      </c>
      <c r="S120" s="799">
        <f t="shared" si="29"/>
        <v>-1</v>
      </c>
      <c r="T120" s="176">
        <f t="shared" si="30"/>
        <v>5</v>
      </c>
      <c r="U120" s="250">
        <f t="shared" si="31"/>
        <v>-0.4281002191578096</v>
      </c>
      <c r="V120" s="382">
        <f t="shared" si="32"/>
        <v>55.395285048108605</v>
      </c>
      <c r="W120" s="400"/>
      <c r="X120" s="157">
        <f t="shared" si="33"/>
        <v>44302</v>
      </c>
      <c r="Y120" s="383">
        <f t="shared" si="34"/>
        <v>50.176138193411518</v>
      </c>
      <c r="Z120" s="383">
        <f t="shared" si="35"/>
        <v>50.977736444268082</v>
      </c>
      <c r="AA120" s="384">
        <f t="shared" si="36"/>
        <v>53.247784132827874</v>
      </c>
      <c r="AB120" s="197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4.2631777557111186E-2</v>
      </c>
      <c r="AD120" s="230">
        <f>(INDEX(Models!$BJ120:$BT120,,AH120)*(1-AF120)+INDEX(Models!$BJ120:$BT120,,AH120+1)*AF120-ERP_i)*AE120*Ramure*Pc/MaxiM</f>
        <v>1.0807241877870766E-3</v>
      </c>
      <c r="AE120" s="304">
        <f t="shared" si="38"/>
        <v>0.7</v>
      </c>
      <c r="AF120" s="177">
        <f t="shared" si="39"/>
        <v>0.63623200310202255</v>
      </c>
      <c r="AG120" s="799">
        <f t="shared" si="47"/>
        <v>-1</v>
      </c>
      <c r="AH120" s="176">
        <f t="shared" si="40"/>
        <v>5</v>
      </c>
      <c r="AI120" s="224">
        <f t="shared" si="41"/>
        <v>-0.36376799689797745</v>
      </c>
      <c r="AJ120" s="264" t="b">
        <f t="shared" si="42"/>
        <v>1</v>
      </c>
      <c r="AK120" s="264" t="b">
        <f t="shared" si="43"/>
        <v>0</v>
      </c>
      <c r="AL120" s="264"/>
      <c r="AM120" s="264"/>
      <c r="AN120" s="75"/>
    </row>
    <row r="121" spans="1:40" s="6" customFormat="1" ht="11.25" x14ac:dyDescent="0.2">
      <c r="A121" s="56">
        <f t="shared" si="44"/>
        <v>44303</v>
      </c>
      <c r="B121" s="607">
        <v>54.616</v>
      </c>
      <c r="C121" s="388"/>
      <c r="D121" s="391">
        <f t="shared" si="24"/>
        <v>55.489591536305433</v>
      </c>
      <c r="E121" s="383">
        <f t="shared" si="45"/>
        <v>57.963472316631979</v>
      </c>
      <c r="F121" s="383">
        <f t="shared" si="25"/>
        <v>58.018368218732675</v>
      </c>
      <c r="G121" s="110">
        <f t="shared" si="46"/>
        <v>0.98327728855653029</v>
      </c>
      <c r="H121" s="412" t="b">
        <f>Wh_hp&gt;='2020'!Maxi_hp</f>
        <v>1</v>
      </c>
      <c r="I121" s="379">
        <f>IF(H121,Wh_hp,'2020'!Maxi_hp)</f>
        <v>58.018368218732675</v>
      </c>
      <c r="J121" s="85">
        <f>IF(H121,An,'2020'!An_max)</f>
        <v>2021</v>
      </c>
      <c r="K121" s="197">
        <f t="shared" si="26"/>
        <v>44303</v>
      </c>
      <c r="L121" s="147">
        <f>IF(t&lt;Tvie,1-EXP((T0-t)*PertePVj)+'2020'!Pspv,1-EXP((T0-t)*PertePVj)+Pspv)</f>
        <v>1.5743340545836704E-2</v>
      </c>
      <c r="M121" s="832"/>
      <c r="N121" s="832"/>
      <c r="O121" s="48">
        <f>IF(t&lt;Tnet,'2020'!Resal+('2020'!Salim-'2020'!Resal)*(1-EXP(('2020'!Tnet-t)/('2020'!Tau_j))),Resal+(Salim-Resal)*(1-EXP((Tnet-t)/(Tau_j))))*Salcycl</f>
        <v>4.2679996236469335E-2</v>
      </c>
      <c r="P121" s="169">
        <f>(INDEX(Models!$BJ121:$BT121,,T121)*(1-R121)+INDEX(Models!$BJ121:$BT121,,T121+1)*R121-ERP_i)*Q121*Ramure*Pc/MaxiM</f>
        <v>9.6930623102996444E-4</v>
      </c>
      <c r="Q121" s="304">
        <f t="shared" si="27"/>
        <v>0.7</v>
      </c>
      <c r="R121" s="177">
        <f t="shared" si="28"/>
        <v>0.57333205806993182</v>
      </c>
      <c r="S121" s="799">
        <f t="shared" si="29"/>
        <v>-1</v>
      </c>
      <c r="T121" s="176">
        <f t="shared" si="30"/>
        <v>5</v>
      </c>
      <c r="U121" s="250">
        <f t="shared" si="31"/>
        <v>-0.42666794193006818</v>
      </c>
      <c r="V121" s="382">
        <f t="shared" si="32"/>
        <v>55.543574996449898</v>
      </c>
      <c r="W121" s="400"/>
      <c r="X121" s="157">
        <f t="shared" si="33"/>
        <v>44303</v>
      </c>
      <c r="Y121" s="383">
        <f t="shared" si="34"/>
        <v>54.611376953837024</v>
      </c>
      <c r="Z121" s="383">
        <f t="shared" si="35"/>
        <v>55.484894543789743</v>
      </c>
      <c r="AA121" s="384">
        <f t="shared" si="36"/>
        <v>57.958565919087562</v>
      </c>
      <c r="AB121" s="197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4.2679996236469335E-2</v>
      </c>
      <c r="AD121" s="230">
        <f>(INDEX(Models!$BJ121:$BT121,,AH121)*(1-AF121)+INDEX(Models!$BJ121:$BT121,,AH121+1)*AF121-ERP_i)*AE121*Ramure*Pc/MaxiM</f>
        <v>1.0559393225672857E-3</v>
      </c>
      <c r="AE121" s="304">
        <f t="shared" si="38"/>
        <v>0.7</v>
      </c>
      <c r="AF121" s="177">
        <f t="shared" si="39"/>
        <v>0.63766428032976397</v>
      </c>
      <c r="AG121" s="799">
        <f t="shared" si="47"/>
        <v>-1</v>
      </c>
      <c r="AH121" s="176">
        <f t="shared" si="40"/>
        <v>5</v>
      </c>
      <c r="AI121" s="224">
        <f t="shared" si="41"/>
        <v>-0.36233571967023603</v>
      </c>
      <c r="AJ121" s="264" t="b">
        <f t="shared" si="42"/>
        <v>1</v>
      </c>
      <c r="AK121" s="264" t="b">
        <f t="shared" si="43"/>
        <v>0</v>
      </c>
      <c r="AL121" s="264"/>
      <c r="AM121" s="264"/>
      <c r="AN121" s="75"/>
    </row>
    <row r="122" spans="1:40" s="18" customFormat="1" ht="11.25" x14ac:dyDescent="0.2">
      <c r="A122" s="56">
        <f t="shared" si="44"/>
        <v>44304</v>
      </c>
      <c r="B122" s="607">
        <v>44.928000000000004</v>
      </c>
      <c r="C122" s="388"/>
      <c r="D122" s="391">
        <f t="shared" si="24"/>
        <v>45.647505271936097</v>
      </c>
      <c r="E122" s="383">
        <f t="shared" si="45"/>
        <v>47.685028746279094</v>
      </c>
      <c r="F122" s="383">
        <f t="shared" si="25"/>
        <v>47.717829043951738</v>
      </c>
      <c r="G122" s="110">
        <f t="shared" si="46"/>
        <v>0.80659596899257513</v>
      </c>
      <c r="H122" s="412" t="b">
        <f>Wh_hp&gt;='2020'!Maxi_hp</f>
        <v>1</v>
      </c>
      <c r="I122" s="379">
        <f>IF(H122,Wh_hp,'2020'!Maxi_hp)</f>
        <v>47.717829043951738</v>
      </c>
      <c r="J122" s="85">
        <f>IF(H122,An,'2020'!An_max)</f>
        <v>2021</v>
      </c>
      <c r="K122" s="197">
        <f t="shared" si="26"/>
        <v>44304</v>
      </c>
      <c r="L122" s="147">
        <f>IF(t&lt;Tvie,1-EXP((T0-t)*PertePVj)+'2020'!Pspv,1-EXP((T0-t)*PertePVj)+Pspv)</f>
        <v>1.576220360017011E-2</v>
      </c>
      <c r="M122" s="832"/>
      <c r="N122" s="832"/>
      <c r="O122" s="48">
        <f>IF(t&lt;Tnet,'2020'!Resal+('2020'!Salim-'2020'!Resal)*(1-EXP(('2020'!Tnet-t)/('2020'!Tau_j))),Resal+(Salim-Resal)*(1-EXP((Tnet-t)/(Tau_j))))*Salcycl</f>
        <v>4.2728787795938694E-2</v>
      </c>
      <c r="P122" s="169">
        <f>(INDEX(Models!$BJ122:$BT122,,T122)*(1-R122)+INDEX(Models!$BJ122:$BT122,,T122+1)*R122-ERP_i)*Q122*Ramure*Pc/MaxiM</f>
        <v>9.4940627717576419E-4</v>
      </c>
      <c r="Q122" s="304">
        <f t="shared" si="27"/>
        <v>0.7</v>
      </c>
      <c r="R122" s="177">
        <f t="shared" si="28"/>
        <v>0.57481244232811024</v>
      </c>
      <c r="S122" s="799">
        <f t="shared" si="29"/>
        <v>-1</v>
      </c>
      <c r="T122" s="176">
        <f t="shared" si="30"/>
        <v>5</v>
      </c>
      <c r="U122" s="250">
        <f t="shared" si="31"/>
        <v>-0.42518755767188982</v>
      </c>
      <c r="V122" s="382">
        <f t="shared" si="32"/>
        <v>55.686144399274561</v>
      </c>
      <c r="W122" s="400"/>
      <c r="X122" s="157">
        <f t="shared" si="33"/>
        <v>44304</v>
      </c>
      <c r="Y122" s="383">
        <f t="shared" si="34"/>
        <v>44.925241590088838</v>
      </c>
      <c r="Z122" s="383">
        <f t="shared" si="35"/>
        <v>45.644702687112336</v>
      </c>
      <c r="AA122" s="384">
        <f t="shared" si="36"/>
        <v>47.682101065191404</v>
      </c>
      <c r="AB122" s="197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4.2728787795938694E-2</v>
      </c>
      <c r="AD122" s="230">
        <f>(INDEX(Models!$BJ122:$BT122,,AH122)*(1-AF122)+INDEX(Models!$BJ122:$BT122,,AH122+1)*AF122-ERP_i)*AE122*Ramure*Pc/MaxiM</f>
        <v>1.0341481545199072E-3</v>
      </c>
      <c r="AE122" s="304">
        <f t="shared" si="38"/>
        <v>0.7</v>
      </c>
      <c r="AF122" s="177">
        <f t="shared" si="39"/>
        <v>0.63914466458794239</v>
      </c>
      <c r="AG122" s="799">
        <f t="shared" si="47"/>
        <v>-1</v>
      </c>
      <c r="AH122" s="176">
        <f t="shared" si="40"/>
        <v>5</v>
      </c>
      <c r="AI122" s="224">
        <f t="shared" si="41"/>
        <v>-0.36085533541205767</v>
      </c>
      <c r="AJ122" s="264" t="b">
        <f t="shared" si="42"/>
        <v>1</v>
      </c>
      <c r="AK122" s="264" t="b">
        <f t="shared" si="43"/>
        <v>0</v>
      </c>
      <c r="AL122" s="264"/>
      <c r="AM122" s="264"/>
      <c r="AN122" s="264"/>
    </row>
    <row r="123" spans="1:40" s="18" customFormat="1" ht="11.25" x14ac:dyDescent="0.2">
      <c r="A123" s="56">
        <f t="shared" si="44"/>
        <v>44305</v>
      </c>
      <c r="B123" s="607">
        <v>54.052</v>
      </c>
      <c r="C123" s="388"/>
      <c r="D123" s="391">
        <f t="shared" si="24"/>
        <v>54.918675254921517</v>
      </c>
      <c r="E123" s="383">
        <f t="shared" si="45"/>
        <v>57.372985985061518</v>
      </c>
      <c r="F123" s="383">
        <f t="shared" si="25"/>
        <v>57.424115414132181</v>
      </c>
      <c r="G123" s="110">
        <f t="shared" si="46"/>
        <v>0.96823080115386051</v>
      </c>
      <c r="H123" s="412" t="b">
        <f>Wh_hp&gt;='2020'!Maxi_hp</f>
        <v>1</v>
      </c>
      <c r="I123" s="379">
        <f>IF(H123,Wh_hp,'2020'!Maxi_hp)</f>
        <v>57.424115414132181</v>
      </c>
      <c r="J123" s="85">
        <f>IF(H123,An,'2020'!An_max)</f>
        <v>2021</v>
      </c>
      <c r="K123" s="197">
        <f t="shared" si="26"/>
        <v>44305</v>
      </c>
      <c r="L123" s="147">
        <f>IF(t&lt;Tvie,1-EXP((T0-t)*PertePVj)+'2020'!Pspv,1-EXP((T0-t)*PertePVj)+Pspv)</f>
        <v>1.578106629299747E-2</v>
      </c>
      <c r="M123" s="832"/>
      <c r="N123" s="832"/>
      <c r="O123" s="48">
        <f>IF(t&lt;Tnet,'2020'!Resal+('2020'!Salim-'2020'!Resal)*(1-EXP(('2020'!Tnet-t)/('2020'!Tau_j))),Resal+(Salim-Resal)*(1-EXP((Tnet-t)/(Tau_j))))*Salcycl</f>
        <v>4.2778159232971451E-2</v>
      </c>
      <c r="P123" s="169">
        <f>(INDEX(Models!$BJ123:$BT123,,T123)*(1-R123)+INDEX(Models!$BJ123:$BT123,,T123+1)*R123-ERP_i)*Q123*Ramure*Pc/MaxiM</f>
        <v>9.3265614057874084E-4</v>
      </c>
      <c r="Q123" s="304">
        <f t="shared" si="27"/>
        <v>0.7</v>
      </c>
      <c r="R123" s="177">
        <f t="shared" si="28"/>
        <v>0.57634208479581961</v>
      </c>
      <c r="S123" s="799">
        <f t="shared" si="29"/>
        <v>-1</v>
      </c>
      <c r="T123" s="176">
        <f t="shared" si="30"/>
        <v>5</v>
      </c>
      <c r="U123" s="250">
        <f t="shared" si="31"/>
        <v>-0.42365791520418034</v>
      </c>
      <c r="V123" s="382">
        <f t="shared" si="32"/>
        <v>55.823170390764517</v>
      </c>
      <c r="W123" s="400"/>
      <c r="X123" s="157">
        <f t="shared" si="33"/>
        <v>44305</v>
      </c>
      <c r="Y123" s="383">
        <f t="shared" si="34"/>
        <v>54.047703508304181</v>
      </c>
      <c r="Z123" s="383">
        <f t="shared" si="35"/>
        <v>54.914309872841699</v>
      </c>
      <c r="AA123" s="384">
        <f t="shared" si="36"/>
        <v>57.368425514443423</v>
      </c>
      <c r="AB123" s="197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4.2778159232971451E-2</v>
      </c>
      <c r="AD123" s="230">
        <f>(INDEX(Models!$BJ123:$BT123,,AH123)*(1-AF123)+INDEX(Models!$BJ123:$BT123,,AH123+1)*AF123-ERP_i)*AE123*Ramure*Pc/MaxiM</f>
        <v>1.0158440619618503E-3</v>
      </c>
      <c r="AE123" s="304">
        <f t="shared" si="38"/>
        <v>0.7</v>
      </c>
      <c r="AF123" s="177">
        <f t="shared" si="39"/>
        <v>0.64067430705565176</v>
      </c>
      <c r="AG123" s="799">
        <f t="shared" si="47"/>
        <v>-1</v>
      </c>
      <c r="AH123" s="176">
        <f t="shared" si="40"/>
        <v>5</v>
      </c>
      <c r="AI123" s="224">
        <f t="shared" si="41"/>
        <v>-0.35932569294434819</v>
      </c>
      <c r="AJ123" s="264" t="b">
        <f t="shared" si="42"/>
        <v>1</v>
      </c>
      <c r="AK123" s="264" t="b">
        <f t="shared" si="43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4"/>
        <v>44306</v>
      </c>
      <c r="B124" s="607">
        <v>43.106999999999999</v>
      </c>
      <c r="C124" s="388"/>
      <c r="D124" s="391">
        <f t="shared" si="24"/>
        <v>43.799021412126912</v>
      </c>
      <c r="E124" s="383">
        <f t="shared" si="45"/>
        <v>45.758783953291903</v>
      </c>
      <c r="F124" s="383">
        <f t="shared" si="25"/>
        <v>45.787061627163752</v>
      </c>
      <c r="G124" s="110">
        <f t="shared" si="46"/>
        <v>0.77015650510158484</v>
      </c>
      <c r="H124" s="412" t="b">
        <f>Wh_hp&gt;='2020'!Maxi_hp</f>
        <v>0</v>
      </c>
      <c r="I124" s="379">
        <f>IF(H124,Wh_hp,'2020'!Maxi_hp)</f>
        <v>54.37744314192939</v>
      </c>
      <c r="J124" s="85">
        <f>IF(H124,An,'2020'!An_max)</f>
        <v>2018</v>
      </c>
      <c r="K124" s="197">
        <f t="shared" si="26"/>
        <v>44306</v>
      </c>
      <c r="L124" s="147">
        <f>IF(t&lt;Tvie,1-EXP((T0-t)*PertePVj)+'2020'!Pspv,1-EXP((T0-t)*PertePVj)+Pspv)</f>
        <v>1.5799928624325554E-2</v>
      </c>
      <c r="M124" s="832"/>
      <c r="N124" s="832"/>
      <c r="O124" s="48">
        <f>IF(t&lt;Tnet,'2020'!Resal+('2020'!Salim-'2020'!Resal)*(1-EXP(('2020'!Tnet-t)/('2020'!Tau_j))),Resal+(Salim-Resal)*(1-EXP((Tnet-t)/(Tau_j))))*Salcycl</f>
        <v>4.2828116742905722E-2</v>
      </c>
      <c r="P124" s="169">
        <f>(INDEX(Models!$BJ124:$BT124,,T124)*(1-R124)+INDEX(Models!$BJ124:$BT124,,T124+1)*R124-ERP_i)*Q124*Ramure*Pc/MaxiM</f>
        <v>9.1905581772645187E-4</v>
      </c>
      <c r="Q124" s="304">
        <f t="shared" si="27"/>
        <v>0.7</v>
      </c>
      <c r="R124" s="177">
        <f t="shared" si="28"/>
        <v>0.57792212857875502</v>
      </c>
      <c r="S124" s="799">
        <f t="shared" si="29"/>
        <v>-1</v>
      </c>
      <c r="T124" s="176">
        <f t="shared" si="30"/>
        <v>5</v>
      </c>
      <c r="U124" s="250">
        <f t="shared" si="31"/>
        <v>-0.42207787142124498</v>
      </c>
      <c r="V124" s="382">
        <f t="shared" si="32"/>
        <v>55.954856495823158</v>
      </c>
      <c r="W124" s="400"/>
      <c r="X124" s="157">
        <f t="shared" si="33"/>
        <v>44306</v>
      </c>
      <c r="Y124" s="383">
        <f t="shared" si="34"/>
        <v>43.104624113820925</v>
      </c>
      <c r="Z124" s="383">
        <f t="shared" si="35"/>
        <v>43.796607384483373</v>
      </c>
      <c r="AA124" s="384">
        <f t="shared" si="36"/>
        <v>45.756261911341269</v>
      </c>
      <c r="AB124" s="197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4.2828116742905722E-2</v>
      </c>
      <c r="AD124" s="230">
        <f>(INDEX(Models!$BJ124:$BT124,,AH124)*(1-AF124)+INDEX(Models!$BJ124:$BT124,,AH124+1)*AF124-ERP_i)*AE124*Ramure*Pc/MaxiM</f>
        <v>1.0010249831459346E-3</v>
      </c>
      <c r="AE124" s="304">
        <f t="shared" si="38"/>
        <v>0.7</v>
      </c>
      <c r="AF124" s="177">
        <f t="shared" si="39"/>
        <v>0.64225435083858717</v>
      </c>
      <c r="AG124" s="799">
        <f t="shared" si="47"/>
        <v>-1</v>
      </c>
      <c r="AH124" s="176">
        <f t="shared" si="40"/>
        <v>5</v>
      </c>
      <c r="AI124" s="224">
        <f t="shared" si="41"/>
        <v>-0.35774564916141283</v>
      </c>
      <c r="AJ124" s="264" t="b">
        <f t="shared" si="42"/>
        <v>1</v>
      </c>
      <c r="AK124" s="264" t="b">
        <f t="shared" si="43"/>
        <v>0</v>
      </c>
      <c r="AL124" s="264"/>
      <c r="AM124" s="264"/>
      <c r="AN124" s="75"/>
    </row>
    <row r="125" spans="1:40" s="6" customFormat="1" ht="11.25" x14ac:dyDescent="0.2">
      <c r="A125" s="56">
        <f t="shared" si="44"/>
        <v>44307</v>
      </c>
      <c r="B125" s="607">
        <v>45.742000000000004</v>
      </c>
      <c r="C125" s="388"/>
      <c r="D125" s="391">
        <f t="shared" si="24"/>
        <v>46.477213304666698</v>
      </c>
      <c r="E125" s="383">
        <f t="shared" si="45"/>
        <v>48.559374489091901</v>
      </c>
      <c r="F125" s="383">
        <f t="shared" si="25"/>
        <v>48.591897253026858</v>
      </c>
      <c r="G125" s="110">
        <f t="shared" si="46"/>
        <v>0.81544043806077582</v>
      </c>
      <c r="H125" s="412" t="b">
        <f>Wh_hp&gt;='2020'!Maxi_hp</f>
        <v>1</v>
      </c>
      <c r="I125" s="379">
        <f>IF(H125,Wh_hp,'2020'!Maxi_hp)</f>
        <v>48.591897253026858</v>
      </c>
      <c r="J125" s="85">
        <f>IF(H125,An,'2020'!An_max)</f>
        <v>2021</v>
      </c>
      <c r="K125" s="197">
        <f t="shared" si="26"/>
        <v>44307</v>
      </c>
      <c r="L125" s="147">
        <f>IF(t&lt;Tvie,1-EXP((T0-t)*PertePVj)+'2020'!Pspv,1-EXP((T0-t)*PertePVj)+Pspv)</f>
        <v>1.5818790594161358E-2</v>
      </c>
      <c r="M125" s="832"/>
      <c r="N125" s="832"/>
      <c r="O125" s="48">
        <f>IF(t&lt;Tnet,'2020'!Resal+('2020'!Salim-'2020'!Resal)*(1-EXP(('2020'!Tnet-t)/('2020'!Tau_j))),Resal+(Salim-Resal)*(1-EXP((Tnet-t)/(Tau_j))))*Salcycl</f>
        <v>4.2878665681596179E-2</v>
      </c>
      <c r="P125" s="169">
        <f>(INDEX(Models!$BJ125:$BT125,,T125)*(1-R125)+INDEX(Models!$BJ125:$BT125,,T125+1)*R125-ERP_i)*Q125*Ramure*Pc/MaxiM</f>
        <v>9.0861228519825926E-4</v>
      </c>
      <c r="Q125" s="304">
        <f t="shared" si="27"/>
        <v>0.7</v>
      </c>
      <c r="R125" s="177">
        <f t="shared" si="28"/>
        <v>0.57955370543113349</v>
      </c>
      <c r="S125" s="799">
        <f t="shared" si="29"/>
        <v>-1</v>
      </c>
      <c r="T125" s="176">
        <f t="shared" si="30"/>
        <v>5</v>
      </c>
      <c r="U125" s="250">
        <f t="shared" si="31"/>
        <v>-0.42044629456886651</v>
      </c>
      <c r="V125" s="382">
        <f t="shared" si="32"/>
        <v>56.081405957453214</v>
      </c>
      <c r="W125" s="400"/>
      <c r="X125" s="157">
        <f t="shared" si="33"/>
        <v>44307</v>
      </c>
      <c r="Y125" s="383">
        <f t="shared" si="34"/>
        <v>45.739266074687073</v>
      </c>
      <c r="Z125" s="383">
        <f t="shared" si="35"/>
        <v>46.474435436844388</v>
      </c>
      <c r="AA125" s="384">
        <f t="shared" si="36"/>
        <v>48.556472173865281</v>
      </c>
      <c r="AB125" s="197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4.2878665681596179E-2</v>
      </c>
      <c r="AD125" s="230">
        <f>(INDEX(Models!$BJ125:$BT125,,AH125)*(1-AF125)+INDEX(Models!$BJ125:$BT125,,AH125+1)*AF125-ERP_i)*AE125*Ramure*Pc/MaxiM</f>
        <v>9.8969639218581093E-4</v>
      </c>
      <c r="AE125" s="304">
        <f t="shared" si="38"/>
        <v>0.7</v>
      </c>
      <c r="AF125" s="177">
        <f t="shared" si="39"/>
        <v>0.64388592769096564</v>
      </c>
      <c r="AG125" s="799">
        <f t="shared" si="47"/>
        <v>-1</v>
      </c>
      <c r="AH125" s="176">
        <f t="shared" si="40"/>
        <v>5</v>
      </c>
      <c r="AI125" s="224">
        <f t="shared" si="41"/>
        <v>-0.35611407230903436</v>
      </c>
      <c r="AJ125" s="264" t="b">
        <f t="shared" si="42"/>
        <v>1</v>
      </c>
      <c r="AK125" s="264" t="b">
        <f t="shared" si="43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4"/>
        <v>44308</v>
      </c>
      <c r="B126" s="607">
        <v>53.420999999999999</v>
      </c>
      <c r="C126" s="388"/>
      <c r="D126" s="391">
        <f t="shared" si="24"/>
        <v>54.280678507518431</v>
      </c>
      <c r="E126" s="383">
        <f t="shared" si="45"/>
        <v>56.715462569566782</v>
      </c>
      <c r="F126" s="383">
        <f t="shared" si="25"/>
        <v>56.763007267600109</v>
      </c>
      <c r="G126" s="110">
        <f t="shared" si="46"/>
        <v>0.95043986016404702</v>
      </c>
      <c r="H126" s="412" t="b">
        <f>Wh_hp&gt;='2020'!Maxi_hp</f>
        <v>1</v>
      </c>
      <c r="I126" s="379">
        <f>IF(H126,Wh_hp,'2020'!Maxi_hp)</f>
        <v>56.763007267600109</v>
      </c>
      <c r="J126" s="85">
        <f>IF(H126,An,'2020'!An_max)</f>
        <v>2021</v>
      </c>
      <c r="K126" s="197">
        <f t="shared" si="26"/>
        <v>44308</v>
      </c>
      <c r="L126" s="147">
        <f>IF(t&lt;Tvie,1-EXP((T0-t)*PertePVj)+'2020'!Pspv,1-EXP((T0-t)*PertePVj)+Pspv)</f>
        <v>1.5837652202511765E-2</v>
      </c>
      <c r="M126" s="832"/>
      <c r="N126" s="832"/>
      <c r="O126" s="48">
        <f>IF(t&lt;Tnet,'2020'!Resal+('2020'!Salim-'2020'!Resal)*(1-EXP(('2020'!Tnet-t)/('2020'!Tau_j))),Resal+(Salim-Resal)*(1-EXP((Tnet-t)/(Tau_j))))*Salcycl</f>
        <v>4.2929810526747554E-2</v>
      </c>
      <c r="P126" s="169">
        <f>(INDEX(Models!$BJ126:$BT126,,T126)*(1-R126)+INDEX(Models!$BJ126:$BT126,,T126+1)*R126-ERP_i)*Q126*Ramure*Pc/MaxiM</f>
        <v>9.0133680960486847E-4</v>
      </c>
      <c r="Q126" s="304">
        <f t="shared" si="27"/>
        <v>0.7</v>
      </c>
      <c r="R126" s="177">
        <f t="shared" si="28"/>
        <v>0.5812379322686394</v>
      </c>
      <c r="S126" s="799">
        <f t="shared" si="29"/>
        <v>-1</v>
      </c>
      <c r="T126" s="176">
        <f t="shared" si="30"/>
        <v>5</v>
      </c>
      <c r="U126" s="250">
        <f t="shared" si="31"/>
        <v>-0.41876206773136054</v>
      </c>
      <c r="V126" s="382">
        <f t="shared" si="32"/>
        <v>56.20302188853433</v>
      </c>
      <c r="W126" s="400"/>
      <c r="X126" s="157">
        <f t="shared" si="33"/>
        <v>44308</v>
      </c>
      <c r="Y126" s="383">
        <f t="shared" si="34"/>
        <v>53.416998787819708</v>
      </c>
      <c r="Z126" s="383">
        <f t="shared" si="35"/>
        <v>54.276612905751357</v>
      </c>
      <c r="AA126" s="384">
        <f t="shared" si="36"/>
        <v>56.711214603417808</v>
      </c>
      <c r="AB126" s="197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4.2929810526747554E-2</v>
      </c>
      <c r="AD126" s="230">
        <f>(INDEX(Models!$BJ126:$BT126,,AH126)*(1-AF126)+INDEX(Models!$BJ126:$BT126,,AH126+1)*AF126-ERP_i)*AE126*Ramure*Pc/MaxiM</f>
        <v>9.8186836021719104E-4</v>
      </c>
      <c r="AE126" s="304">
        <f t="shared" si="38"/>
        <v>0.7</v>
      </c>
      <c r="AF126" s="177">
        <f t="shared" si="39"/>
        <v>0.64557015452847155</v>
      </c>
      <c r="AG126" s="799">
        <f t="shared" si="47"/>
        <v>-1</v>
      </c>
      <c r="AH126" s="176">
        <f t="shared" si="40"/>
        <v>5</v>
      </c>
      <c r="AI126" s="224">
        <f t="shared" si="41"/>
        <v>-0.35442984547152839</v>
      </c>
      <c r="AJ126" s="264" t="b">
        <f t="shared" si="42"/>
        <v>1</v>
      </c>
      <c r="AK126" s="264" t="b">
        <f t="shared" si="43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4"/>
        <v>44309</v>
      </c>
      <c r="B127" s="607">
        <v>56.962000000000003</v>
      </c>
      <c r="C127" s="388"/>
      <c r="D127" s="391">
        <f t="shared" si="24"/>
        <v>57.879771373226831</v>
      </c>
      <c r="E127" s="383">
        <f t="shared" si="45"/>
        <v>60.479264183284592</v>
      </c>
      <c r="F127" s="383">
        <f t="shared" si="25"/>
        <v>60.533577473745396</v>
      </c>
      <c r="G127" s="110">
        <f t="shared" si="46"/>
        <v>1.0114008104845844</v>
      </c>
      <c r="H127" s="412" t="b">
        <f>Wh_hp&gt;='2020'!Maxi_hp</f>
        <v>1</v>
      </c>
      <c r="I127" s="379">
        <f>IF(H127,Wh_hp,'2020'!Maxi_hp)</f>
        <v>60.533577473745396</v>
      </c>
      <c r="J127" s="85">
        <f>IF(H127,An,'2020'!An_max)</f>
        <v>2021</v>
      </c>
      <c r="K127" s="197">
        <f t="shared" si="26"/>
        <v>44309</v>
      </c>
      <c r="L127" s="147">
        <f>IF(t&lt;Tvie,1-EXP((T0-t)*PertePVj)+'2020'!Pspv,1-EXP((T0-t)*PertePVj)+Pspv)</f>
        <v>1.5856513449383769E-2</v>
      </c>
      <c r="M127" s="832"/>
      <c r="N127" s="832"/>
      <c r="O127" s="48">
        <f>IF(t&lt;Tnet,'2020'!Resal+('2020'!Salim-'2020'!Resal)*(1-EXP(('2020'!Tnet-t)/('2020'!Tau_j))),Resal+(Salim-Resal)*(1-EXP((Tnet-t)/(Tau_j))))*Salcycl</f>
        <v>4.2981554838033502E-2</v>
      </c>
      <c r="P127" s="169">
        <f>(INDEX(Models!$BJ127:$BT127,,T127)*(1-R127)+INDEX(Models!$BJ127:$BT127,,T127+1)*R127-ERP_i)*Q127*Ramure*Pc/MaxiM</f>
        <v>8.9724236906961029E-4</v>
      </c>
      <c r="Q127" s="304">
        <f t="shared" si="27"/>
        <v>0.7</v>
      </c>
      <c r="R127" s="177">
        <f t="shared" si="28"/>
        <v>0.58297590747186612</v>
      </c>
      <c r="S127" s="799">
        <f t="shared" si="29"/>
        <v>-1</v>
      </c>
      <c r="T127" s="176">
        <f t="shared" si="30"/>
        <v>5</v>
      </c>
      <c r="U127" s="250">
        <f t="shared" si="31"/>
        <v>-0.41702409252813388</v>
      </c>
      <c r="V127" s="382">
        <f t="shared" si="32"/>
        <v>56.319907409119303</v>
      </c>
      <c r="W127" s="400"/>
      <c r="X127" s="157">
        <f t="shared" si="33"/>
        <v>44309</v>
      </c>
      <c r="Y127" s="383">
        <f t="shared" si="34"/>
        <v>56.957421252535553</v>
      </c>
      <c r="Z127" s="383">
        <f t="shared" si="35"/>
        <v>57.875118853013042</v>
      </c>
      <c r="AA127" s="384">
        <f t="shared" si="36"/>
        <v>60.474402709362842</v>
      </c>
      <c r="AB127" s="197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4.2981554838033502E-2</v>
      </c>
      <c r="AD127" s="230">
        <f>(INDEX(Models!$BJ127:$BT127,,AH127)*(1-AF127)+INDEX(Models!$BJ127:$BT127,,AH127+1)*AF127-ERP_i)*AE127*Ramure*Pc/MaxiM</f>
        <v>9.7755273770530225E-4</v>
      </c>
      <c r="AE127" s="304">
        <f t="shared" si="38"/>
        <v>0.7</v>
      </c>
      <c r="AF127" s="177">
        <f t="shared" si="39"/>
        <v>0.64730812973169827</v>
      </c>
      <c r="AG127" s="799">
        <f t="shared" si="47"/>
        <v>-1</v>
      </c>
      <c r="AH127" s="176">
        <f t="shared" si="40"/>
        <v>5</v>
      </c>
      <c r="AI127" s="224">
        <f t="shared" si="41"/>
        <v>-0.35269187026830173</v>
      </c>
      <c r="AJ127" s="264" t="b">
        <f t="shared" si="42"/>
        <v>1</v>
      </c>
      <c r="AK127" s="264" t="b">
        <f t="shared" si="43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4"/>
        <v>44310</v>
      </c>
      <c r="B128" s="607">
        <v>57.605000000000004</v>
      </c>
      <c r="C128" s="388"/>
      <c r="D128" s="391">
        <f t="shared" si="24"/>
        <v>58.534253180649863</v>
      </c>
      <c r="E128" s="383">
        <f t="shared" si="45"/>
        <v>61.166485683281856</v>
      </c>
      <c r="F128" s="383">
        <f t="shared" si="25"/>
        <v>61.221202275533329</v>
      </c>
      <c r="G128" s="110">
        <f t="shared" si="46"/>
        <v>1.0207786262365697</v>
      </c>
      <c r="H128" s="412" t="b">
        <f>Wh_hp&gt;='2020'!Maxi_hp</f>
        <v>1</v>
      </c>
      <c r="I128" s="379">
        <f>IF(H128,Wh_hp,'2020'!Maxi_hp)</f>
        <v>61.221202275533329</v>
      </c>
      <c r="J128" s="85">
        <f>IF(H128,An,'2020'!An_max)</f>
        <v>2021</v>
      </c>
      <c r="K128" s="197">
        <f t="shared" si="26"/>
        <v>44310</v>
      </c>
      <c r="L128" s="147">
        <f>IF(t&lt;Tvie,1-EXP((T0-t)*PertePVj)+'2020'!Pspv,1-EXP((T0-t)*PertePVj)+Pspv)</f>
        <v>1.5875374334784365E-2</v>
      </c>
      <c r="M128" s="832"/>
      <c r="N128" s="832"/>
      <c r="O128" s="48">
        <f>IF(t&lt;Tnet,'2020'!Resal+('2020'!Salim-'2020'!Resal)*(1-EXP(('2020'!Tnet-t)/('2020'!Tau_j))),Resal+(Salim-Resal)*(1-EXP((Tnet-t)/(Tau_j))))*Salcycl</f>
        <v>4.303390121612697E-2</v>
      </c>
      <c r="P128" s="169">
        <f>(INDEX(Models!$BJ128:$BT128,,T128)*(1-R128)+INDEX(Models!$BJ128:$BT128,,T128+1)*R128-ERP_i)*Q128*Ramure*Pc/MaxiM</f>
        <v>8.937523311811109E-4</v>
      </c>
      <c r="Q128" s="304">
        <f t="shared" si="27"/>
        <v>0.7</v>
      </c>
      <c r="R128" s="177">
        <f t="shared" si="28"/>
        <v>0.58476870698113137</v>
      </c>
      <c r="S128" s="799">
        <f t="shared" si="29"/>
        <v>-1</v>
      </c>
      <c r="T128" s="176">
        <f t="shared" si="30"/>
        <v>5</v>
      </c>
      <c r="U128" s="250">
        <f t="shared" si="31"/>
        <v>-0.41523129301886863</v>
      </c>
      <c r="V128" s="382">
        <f t="shared" si="32"/>
        <v>56.432412003354194</v>
      </c>
      <c r="W128" s="400"/>
      <c r="X128" s="157">
        <f t="shared" si="33"/>
        <v>44310</v>
      </c>
      <c r="Y128" s="383">
        <f t="shared" si="34"/>
        <v>57.600378473795381</v>
      </c>
      <c r="Z128" s="383">
        <f t="shared" si="35"/>
        <v>58.529557102445843</v>
      </c>
      <c r="AA128" s="384">
        <f t="shared" si="36"/>
        <v>61.161578426682077</v>
      </c>
      <c r="AB128" s="197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4.303390121612697E-2</v>
      </c>
      <c r="AD128" s="230">
        <f>(INDEX(Models!$BJ128:$BT128,,AH128)*(1-AF128)+INDEX(Models!$BJ128:$BT128,,AH128+1)*AF128-ERP_i)*AE128*Ramure*Pc/MaxiM</f>
        <v>9.7390849305618627E-4</v>
      </c>
      <c r="AE128" s="304">
        <f t="shared" si="38"/>
        <v>0.7</v>
      </c>
      <c r="AF128" s="177">
        <f t="shared" si="39"/>
        <v>0.64910092924096352</v>
      </c>
      <c r="AG128" s="799">
        <f t="shared" si="47"/>
        <v>-1</v>
      </c>
      <c r="AH128" s="176">
        <f t="shared" si="40"/>
        <v>5</v>
      </c>
      <c r="AI128" s="224">
        <f t="shared" si="41"/>
        <v>-0.35089907075903648</v>
      </c>
      <c r="AJ128" s="264" t="b">
        <f t="shared" si="42"/>
        <v>1</v>
      </c>
      <c r="AK128" s="264" t="b">
        <f t="shared" si="43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4"/>
        <v>44311</v>
      </c>
      <c r="B129" s="607">
        <v>24.523</v>
      </c>
      <c r="C129" s="388"/>
      <c r="D129" s="391">
        <f t="shared" si="24"/>
        <v>24.919069543789778</v>
      </c>
      <c r="E129" s="383">
        <f t="shared" si="45"/>
        <v>26.041098480695705</v>
      </c>
      <c r="F129" s="383">
        <f t="shared" si="25"/>
        <v>26.045519640072314</v>
      </c>
      <c r="G129" s="110">
        <f t="shared" si="46"/>
        <v>0.43340983418876278</v>
      </c>
      <c r="H129" s="412" t="b">
        <f>Wh_hp&gt;='2020'!Maxi_hp</f>
        <v>0</v>
      </c>
      <c r="I129" s="379">
        <f>IF(H129,Wh_hp,'2020'!Maxi_hp)</f>
        <v>49.231227193041249</v>
      </c>
      <c r="J129" s="85">
        <f>IF(H129,An,'2020'!An_max)</f>
        <v>2020</v>
      </c>
      <c r="K129" s="197">
        <f t="shared" si="26"/>
        <v>44311</v>
      </c>
      <c r="L129" s="147">
        <f>IF(t&lt;Tvie,1-EXP((T0-t)*PertePVj)+'2020'!Pspv,1-EXP((T0-t)*PertePVj)+Pspv)</f>
        <v>1.5894234858720324E-2</v>
      </c>
      <c r="M129" s="832"/>
      <c r="N129" s="832"/>
      <c r="O129" s="48">
        <f>IF(t&lt;Tnet,'2020'!Resal+('2020'!Salim-'2020'!Resal)*(1-EXP(('2020'!Tnet-t)/('2020'!Tau_j))),Resal+(Salim-Resal)*(1-EXP((Tnet-t)/(Tau_j))))*Salcycl</f>
        <v>4.3086851260813339E-2</v>
      </c>
      <c r="P129" s="169">
        <f>(INDEX(Models!$BJ129:$BT129,,T129)*(1-R129)+INDEX(Models!$BJ129:$BT129,,T129+1)*R129-ERP_i)*Q129*Ramure*Pc/MaxiM</f>
        <v>8.8858589579682149E-4</v>
      </c>
      <c r="Q129" s="304">
        <f t="shared" si="27"/>
        <v>0.7</v>
      </c>
      <c r="R129" s="177">
        <f t="shared" si="28"/>
        <v>0.58661738018510401</v>
      </c>
      <c r="S129" s="799">
        <f t="shared" si="29"/>
        <v>-1</v>
      </c>
      <c r="T129" s="176">
        <f t="shared" si="30"/>
        <v>5</v>
      </c>
      <c r="U129" s="250">
        <f t="shared" si="31"/>
        <v>-0.41338261981489599</v>
      </c>
      <c r="V129" s="382">
        <f t="shared" si="32"/>
        <v>56.540869629170963</v>
      </c>
      <c r="W129" s="400"/>
      <c r="X129" s="157">
        <f t="shared" si="33"/>
        <v>44311</v>
      </c>
      <c r="Y129" s="383">
        <f t="shared" si="34"/>
        <v>24.522625928095483</v>
      </c>
      <c r="Z129" s="383">
        <f t="shared" si="35"/>
        <v>24.918689430271733</v>
      </c>
      <c r="AA129" s="384">
        <f t="shared" si="36"/>
        <v>26.040701251836907</v>
      </c>
      <c r="AB129" s="197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4.3086851260813339E-2</v>
      </c>
      <c r="AD129" s="230">
        <f>(INDEX(Models!$BJ129:$BT129,,AH129)*(1-AF129)+INDEX(Models!$BJ129:$BT129,,AH129+1)*AF129-ERP_i)*AE129*Ramure*Pc/MaxiM</f>
        <v>9.6842286417167826E-4</v>
      </c>
      <c r="AE129" s="304">
        <f t="shared" si="38"/>
        <v>0.7</v>
      </c>
      <c r="AF129" s="177">
        <f t="shared" si="39"/>
        <v>0.65094960244493616</v>
      </c>
      <c r="AG129" s="799">
        <f t="shared" si="47"/>
        <v>-1</v>
      </c>
      <c r="AH129" s="176">
        <f t="shared" si="40"/>
        <v>5</v>
      </c>
      <c r="AI129" s="224">
        <f t="shared" si="41"/>
        <v>-0.34905039755506384</v>
      </c>
      <c r="AJ129" s="264" t="b">
        <f t="shared" si="42"/>
        <v>1</v>
      </c>
      <c r="AK129" s="264" t="b">
        <f t="shared" si="43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4"/>
        <v>44312</v>
      </c>
      <c r="B130" s="607">
        <v>5.7960000000000003</v>
      </c>
      <c r="C130" s="388"/>
      <c r="D130" s="391">
        <f t="shared" si="24"/>
        <v>5.8897237334184975</v>
      </c>
      <c r="E130" s="383">
        <f t="shared" si="45"/>
        <v>6.1552643328731556</v>
      </c>
      <c r="F130" s="383">
        <f t="shared" si="25"/>
        <v>6.1552643328731556</v>
      </c>
      <c r="G130" s="110">
        <f t="shared" si="46"/>
        <v>0.10223037764402523</v>
      </c>
      <c r="H130" s="412" t="b">
        <f>Wh_hp&gt;='2020'!Maxi_hp</f>
        <v>0</v>
      </c>
      <c r="I130" s="379">
        <f>IF(H130,Wh_hp,'2020'!Maxi_hp)</f>
        <v>48.264505744969348</v>
      </c>
      <c r="J130" s="85">
        <f>IF(H130,An,'2020'!An_max)</f>
        <v>2020</v>
      </c>
      <c r="K130" s="197">
        <f t="shared" si="26"/>
        <v>44312</v>
      </c>
      <c r="L130" s="147">
        <f>IF(t&lt;Tvie,1-EXP((T0-t)*PertePVj)+'2020'!Pspv,1-EXP((T0-t)*PertePVj)+Pspv)</f>
        <v>1.5913095021198642E-2</v>
      </c>
      <c r="M130" s="832"/>
      <c r="N130" s="832"/>
      <c r="O130" s="48">
        <f>IF(t&lt;Tnet,'2020'!Resal+('2020'!Salim-'2020'!Resal)*(1-EXP(('2020'!Tnet-t)/('2020'!Tau_j))),Resal+(Salim-Resal)*(1-EXP((Tnet-t)/(Tau_j))))*Salcycl</f>
        <v>4.3140405528402141E-2</v>
      </c>
      <c r="P130" s="169">
        <f>(INDEX(Models!$BJ130:$BT130,,T130)*(1-R130)+INDEX(Models!$BJ130:$BT130,,T130+1)*R130-ERP_i)*Q130*Ramure*Pc/MaxiM</f>
        <v>8.8172263848252373E-4</v>
      </c>
      <c r="Q130" s="304">
        <f t="shared" si="27"/>
        <v>0.7</v>
      </c>
      <c r="R130" s="177">
        <f t="shared" si="28"/>
        <v>0.58852294560739127</v>
      </c>
      <c r="S130" s="799">
        <f t="shared" si="29"/>
        <v>-1</v>
      </c>
      <c r="T130" s="176">
        <f t="shared" si="30"/>
        <v>5</v>
      </c>
      <c r="U130" s="250">
        <f t="shared" si="31"/>
        <v>-0.41147705439260879</v>
      </c>
      <c r="V130" s="382">
        <f t="shared" si="32"/>
        <v>56.645487075786022</v>
      </c>
      <c r="W130" s="400"/>
      <c r="X130" s="157">
        <f t="shared" si="33"/>
        <v>44312</v>
      </c>
      <c r="Y130" s="383">
        <f t="shared" si="34"/>
        <v>5.7960000000000003</v>
      </c>
      <c r="Z130" s="383">
        <f t="shared" si="35"/>
        <v>5.8897237334184975</v>
      </c>
      <c r="AA130" s="384">
        <f t="shared" si="36"/>
        <v>6.1552643328731556</v>
      </c>
      <c r="AB130" s="197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4.3140405528402141E-2</v>
      </c>
      <c r="AD130" s="230">
        <f>(INDEX(Models!$BJ130:$BT130,,AH130)*(1-AF130)+INDEX(Models!$BJ130:$BT130,,AH130+1)*AF130-ERP_i)*AE130*Ramure*Pc/MaxiM</f>
        <v>9.6107497700612208E-4</v>
      </c>
      <c r="AE130" s="304">
        <f t="shared" si="38"/>
        <v>0.7</v>
      </c>
      <c r="AF130" s="177">
        <f t="shared" si="39"/>
        <v>0.65285516786722342</v>
      </c>
      <c r="AG130" s="799">
        <f t="shared" si="47"/>
        <v>-1</v>
      </c>
      <c r="AH130" s="176">
        <f t="shared" si="40"/>
        <v>5</v>
      </c>
      <c r="AI130" s="224">
        <f t="shared" si="41"/>
        <v>-0.34714483213277664</v>
      </c>
      <c r="AJ130" s="264" t="b">
        <f t="shared" si="42"/>
        <v>1</v>
      </c>
      <c r="AK130" s="264" t="b">
        <f t="shared" si="43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4"/>
        <v>44313</v>
      </c>
      <c r="B131" s="607">
        <v>18.759</v>
      </c>
      <c r="C131" s="388"/>
      <c r="D131" s="391">
        <f t="shared" si="24"/>
        <v>19.062706173546314</v>
      </c>
      <c r="E131" s="383">
        <f t="shared" si="45"/>
        <v>19.92328371696194</v>
      </c>
      <c r="F131" s="383">
        <f t="shared" si="25"/>
        <v>19.924043585600256</v>
      </c>
      <c r="G131" s="110">
        <f t="shared" si="46"/>
        <v>0.33029957974802754</v>
      </c>
      <c r="H131" s="412" t="b">
        <f>Wh_hp&gt;='2020'!Maxi_hp</f>
        <v>0</v>
      </c>
      <c r="I131" s="379">
        <f>IF(H131,Wh_hp,'2020'!Maxi_hp)</f>
        <v>24.729378897725208</v>
      </c>
      <c r="J131" s="85">
        <f>IF(H131,An,'2020'!An_max)</f>
        <v>2018</v>
      </c>
      <c r="K131" s="197">
        <f t="shared" si="26"/>
        <v>44313</v>
      </c>
      <c r="L131" s="147">
        <f>IF(t&lt;Tvie,1-EXP((T0-t)*PertePVj)+'2020'!Pspv,1-EXP((T0-t)*PertePVj)+Pspv)</f>
        <v>1.5931954822226202E-2</v>
      </c>
      <c r="M131" s="832"/>
      <c r="N131" s="832"/>
      <c r="O131" s="48">
        <f>IF(t&lt;Tnet,'2020'!Resal+('2020'!Salim-'2020'!Resal)*(1-EXP(('2020'!Tnet-t)/('2020'!Tau_j))),Resal+(Salim-Resal)*(1-EXP((Tnet-t)/(Tau_j))))*Salcycl</f>
        <v>4.3194563488696575E-2</v>
      </c>
      <c r="P131" s="169">
        <f>(INDEX(Models!$BJ131:$BT131,,T131)*(1-R131)+INDEX(Models!$BJ131:$BT131,,T131+1)*R131-ERP_i)*Q131*Ramure*Pc/MaxiM</f>
        <v>8.7313979985934303E-4</v>
      </c>
      <c r="Q131" s="304">
        <f t="shared" si="27"/>
        <v>0.7</v>
      </c>
      <c r="R131" s="177">
        <f t="shared" si="28"/>
        <v>0.59048638639709916</v>
      </c>
      <c r="S131" s="799">
        <f t="shared" si="29"/>
        <v>-1</v>
      </c>
      <c r="T131" s="176">
        <f t="shared" si="30"/>
        <v>5</v>
      </c>
      <c r="U131" s="250">
        <f t="shared" si="31"/>
        <v>-0.40951361360290084</v>
      </c>
      <c r="V131" s="382">
        <f t="shared" si="32"/>
        <v>56.746471258809009</v>
      </c>
      <c r="W131" s="400"/>
      <c r="X131" s="157">
        <f t="shared" si="33"/>
        <v>44313</v>
      </c>
      <c r="Y131" s="383">
        <f t="shared" si="34"/>
        <v>18.758935510715776</v>
      </c>
      <c r="Z131" s="383">
        <f t="shared" si="35"/>
        <v>19.062640640187578</v>
      </c>
      <c r="AA131" s="384">
        <f t="shared" si="36"/>
        <v>19.923215225128349</v>
      </c>
      <c r="AB131" s="197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4.3194563488696575E-2</v>
      </c>
      <c r="AD131" s="230">
        <f>(INDEX(Models!$BJ131:$BT131,,AH131)*(1-AF131)+INDEX(Models!$BJ131:$BT131,,AH131+1)*AF131-ERP_i)*AE131*Ramure*Pc/MaxiM</f>
        <v>9.5184148967790319E-4</v>
      </c>
      <c r="AE131" s="304">
        <f t="shared" si="38"/>
        <v>0.7</v>
      </c>
      <c r="AF131" s="177">
        <f t="shared" si="39"/>
        <v>0.65481860865693131</v>
      </c>
      <c r="AG131" s="799">
        <f t="shared" si="47"/>
        <v>-1</v>
      </c>
      <c r="AH131" s="176">
        <f t="shared" si="40"/>
        <v>5</v>
      </c>
      <c r="AI131" s="224">
        <f t="shared" si="41"/>
        <v>-0.34518139134306869</v>
      </c>
      <c r="AJ131" s="264" t="b">
        <f t="shared" si="42"/>
        <v>1</v>
      </c>
      <c r="AK131" s="264" t="b">
        <f t="shared" si="43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4"/>
        <v>44314</v>
      </c>
      <c r="B132" s="607">
        <v>15.975</v>
      </c>
      <c r="C132" s="388"/>
      <c r="D132" s="391">
        <f t="shared" si="24"/>
        <v>16.23394463561927</v>
      </c>
      <c r="E132" s="383">
        <f t="shared" si="45"/>
        <v>16.967790077450594</v>
      </c>
      <c r="F132" s="383">
        <f t="shared" si="25"/>
        <v>16.967790077450594</v>
      </c>
      <c r="G132" s="110">
        <f t="shared" si="46"/>
        <v>0.28078967646475639</v>
      </c>
      <c r="H132" s="412" t="b">
        <f>Wh_hp&gt;='2020'!Maxi_hp</f>
        <v>0</v>
      </c>
      <c r="I132" s="379">
        <f>IF(H132,Wh_hp,'2020'!Maxi_hp)</f>
        <v>40.022734639116834</v>
      </c>
      <c r="J132" s="85">
        <f>IF(H132,An,'2020'!An_max)</f>
        <v>2018</v>
      </c>
      <c r="K132" s="197">
        <f t="shared" si="26"/>
        <v>44314</v>
      </c>
      <c r="L132" s="147">
        <f>IF(t&lt;Tvie,1-EXP((T0-t)*PertePVj)+'2020'!Pspv,1-EXP((T0-t)*PertePVj)+Pspv)</f>
        <v>1.5950814261810109E-2</v>
      </c>
      <c r="M132" s="832"/>
      <c r="N132" s="832"/>
      <c r="O132" s="48">
        <f>IF(t&lt;Tnet,'2020'!Resal+('2020'!Salim-'2020'!Resal)*(1-EXP(('2020'!Tnet-t)/('2020'!Tau_j))),Resal+(Salim-Resal)*(1-EXP((Tnet-t)/(Tau_j))))*Salcycl</f>
        <v>4.3249323481822734E-2</v>
      </c>
      <c r="P132" s="169">
        <f>(INDEX(Models!$BJ132:$BT132,,T132)*(1-R132)+INDEX(Models!$BJ132:$BT132,,T132+1)*R132-ERP_i)*Q132*Ramure*Pc/MaxiM</f>
        <v>8.6281231371299874E-4</v>
      </c>
      <c r="Q132" s="304">
        <f t="shared" si="27"/>
        <v>0.7</v>
      </c>
      <c r="R132" s="177">
        <f t="shared" si="28"/>
        <v>0.59250864563140104</v>
      </c>
      <c r="S132" s="799">
        <f t="shared" si="29"/>
        <v>-1</v>
      </c>
      <c r="T132" s="176">
        <f t="shared" si="30"/>
        <v>5</v>
      </c>
      <c r="U132" s="250">
        <f t="shared" si="31"/>
        <v>-0.40749135436859901</v>
      </c>
      <c r="V132" s="382">
        <f t="shared" si="32"/>
        <v>56.844029218758777</v>
      </c>
      <c r="W132" s="400"/>
      <c r="X132" s="157">
        <f t="shared" si="33"/>
        <v>44314</v>
      </c>
      <c r="Y132" s="383">
        <f t="shared" si="34"/>
        <v>15.974999999999998</v>
      </c>
      <c r="Z132" s="383">
        <f t="shared" si="35"/>
        <v>16.23394463561927</v>
      </c>
      <c r="AA132" s="384">
        <f t="shared" si="36"/>
        <v>16.967790077450594</v>
      </c>
      <c r="AB132" s="197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4.3249323481822734E-2</v>
      </c>
      <c r="AD132" s="230">
        <f>(INDEX(Models!$BJ132:$BT132,,AH132)*(1-AF132)+INDEX(Models!$BJ132:$BT132,,AH132+1)*AF132-ERP_i)*AE132*Ramure*Pc/MaxiM</f>
        <v>9.4069662830022411E-4</v>
      </c>
      <c r="AE132" s="304">
        <f t="shared" si="38"/>
        <v>0.7</v>
      </c>
      <c r="AF132" s="177">
        <f t="shared" si="39"/>
        <v>0.65684086789123319</v>
      </c>
      <c r="AG132" s="799">
        <f t="shared" si="47"/>
        <v>-1</v>
      </c>
      <c r="AH132" s="176">
        <f t="shared" si="40"/>
        <v>5</v>
      </c>
      <c r="AI132" s="224">
        <f t="shared" si="41"/>
        <v>-0.34315913210876686</v>
      </c>
      <c r="AJ132" s="264" t="b">
        <f t="shared" si="42"/>
        <v>1</v>
      </c>
      <c r="AK132" s="264" t="b">
        <f t="shared" si="43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4"/>
        <v>44315</v>
      </c>
      <c r="B133" s="607">
        <v>19.673000000000002</v>
      </c>
      <c r="C133" s="388"/>
      <c r="D133" s="391">
        <f t="shared" si="24"/>
        <v>19.992270021568668</v>
      </c>
      <c r="E133" s="383">
        <f t="shared" si="45"/>
        <v>20.897217389413143</v>
      </c>
      <c r="F133" s="383">
        <f t="shared" si="25"/>
        <v>20.898373346942581</v>
      </c>
      <c r="G133" s="110">
        <f t="shared" si="46"/>
        <v>0.34523910473548891</v>
      </c>
      <c r="H133" s="412" t="b">
        <f>Wh_hp&gt;='2020'!Maxi_hp</f>
        <v>0</v>
      </c>
      <c r="I133" s="379">
        <f>IF(H133,Wh_hp,'2020'!Maxi_hp)</f>
        <v>47.336974093030854</v>
      </c>
      <c r="J133" s="85">
        <f>IF(H133,An,'2020'!An_max)</f>
        <v>2018</v>
      </c>
      <c r="K133" s="197">
        <f t="shared" si="26"/>
        <v>44315</v>
      </c>
      <c r="L133" s="147">
        <f>IF(t&lt;Tvie,1-EXP((T0-t)*PertePVj)+'2020'!Pspv,1-EXP((T0-t)*PertePVj)+Pspv)</f>
        <v>1.5969673339957025E-2</v>
      </c>
      <c r="M133" s="832"/>
      <c r="N133" s="832"/>
      <c r="O133" s="48">
        <f>IF(t&lt;Tnet,'2020'!Resal+('2020'!Salim-'2020'!Resal)*(1-EXP(('2020'!Tnet-t)/('2020'!Tau_j))),Resal+(Salim-Resal)*(1-EXP((Tnet-t)/(Tau_j))))*Salcycl</f>
        <v>4.3304682675260664E-2</v>
      </c>
      <c r="P133" s="169">
        <f>(INDEX(Models!$BJ133:$BT133,,T133)*(1-R133)+INDEX(Models!$BJ133:$BT133,,T133+1)*R133-ERP_i)*Q133*Ramure*Pc/MaxiM</f>
        <v>8.5071283840545682E-4</v>
      </c>
      <c r="Q133" s="304">
        <f t="shared" si="27"/>
        <v>0.7</v>
      </c>
      <c r="R133" s="177">
        <f t="shared" si="28"/>
        <v>0.59459062144030672</v>
      </c>
      <c r="S133" s="799">
        <f t="shared" si="29"/>
        <v>-1</v>
      </c>
      <c r="T133" s="176">
        <f t="shared" si="30"/>
        <v>5</v>
      </c>
      <c r="U133" s="250">
        <f t="shared" si="31"/>
        <v>-0.40540937855969333</v>
      </c>
      <c r="V133" s="382">
        <f t="shared" si="32"/>
        <v>56.938368131616379</v>
      </c>
      <c r="W133" s="400"/>
      <c r="X133" s="157">
        <f t="shared" si="33"/>
        <v>44315</v>
      </c>
      <c r="Y133" s="383">
        <f t="shared" si="34"/>
        <v>19.672901629720489</v>
      </c>
      <c r="Z133" s="383">
        <f t="shared" si="35"/>
        <v>19.992170054853368</v>
      </c>
      <c r="AA133" s="384">
        <f t="shared" si="36"/>
        <v>20.897112897718149</v>
      </c>
      <c r="AB133" s="197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4.3304682675260664E-2</v>
      </c>
      <c r="AD133" s="230">
        <f>(INDEX(Models!$BJ133:$BT133,,AH133)*(1-AF133)+INDEX(Models!$BJ133:$BT133,,AH133+1)*AF133-ERP_i)*AE133*Ramure*Pc/MaxiM</f>
        <v>9.2761222629234095E-4</v>
      </c>
      <c r="AE133" s="304">
        <f t="shared" si="38"/>
        <v>0.7</v>
      </c>
      <c r="AF133" s="177">
        <f t="shared" si="39"/>
        <v>0.65892284370013887</v>
      </c>
      <c r="AG133" s="799">
        <f t="shared" si="47"/>
        <v>-1</v>
      </c>
      <c r="AH133" s="176">
        <f t="shared" si="40"/>
        <v>5</v>
      </c>
      <c r="AI133" s="224">
        <f t="shared" si="41"/>
        <v>-0.34107715629986118</v>
      </c>
      <c r="AJ133" s="264" t="b">
        <f t="shared" si="42"/>
        <v>1</v>
      </c>
      <c r="AK133" s="264" t="b">
        <f t="shared" si="43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4"/>
        <v>44316</v>
      </c>
      <c r="B134" s="607">
        <v>18.209</v>
      </c>
      <c r="C134" s="388"/>
      <c r="D134" s="391">
        <f t="shared" si="24"/>
        <v>18.504865637448795</v>
      </c>
      <c r="E134" s="383">
        <f t="shared" si="45"/>
        <v>19.343617201609813</v>
      </c>
      <c r="F134" s="383">
        <f t="shared" si="25"/>
        <v>19.344063273830237</v>
      </c>
      <c r="G134" s="110">
        <f t="shared" si="46"/>
        <v>0.31902997120351351</v>
      </c>
      <c r="H134" s="412" t="b">
        <f>Wh_hp&gt;='2020'!Maxi_hp</f>
        <v>0</v>
      </c>
      <c r="I134" s="379">
        <f>IF(H134,Wh_hp,'2020'!Maxi_hp)</f>
        <v>57.134227383129591</v>
      </c>
      <c r="J134" s="85">
        <f>IF(H134,An,'2020'!An_max)</f>
        <v>2018</v>
      </c>
      <c r="K134" s="197">
        <f t="shared" si="26"/>
        <v>44316</v>
      </c>
      <c r="L134" s="147">
        <f>IF(t&lt;Tvie,1-EXP((T0-t)*PertePVj)+'2020'!Pspv,1-EXP((T0-t)*PertePVj)+Pspv)</f>
        <v>1.5988532056674054E-2</v>
      </c>
      <c r="M134" s="832"/>
      <c r="N134" s="832"/>
      <c r="O134" s="48">
        <f>IF(t&lt;Tnet,'2020'!Resal+('2020'!Salim-'2020'!Resal)*(1-EXP(('2020'!Tnet-t)/('2020'!Tau_j))),Resal+(Salim-Resal)*(1-EXP((Tnet-t)/(Tau_j))))*Salcycl</f>
        <v>4.3360637021457218E-2</v>
      </c>
      <c r="P134" s="169">
        <f>(INDEX(Models!$BJ134:$BT134,,T134)*(1-R134)+INDEX(Models!$BJ134:$BT134,,T134+1)*R134-ERP_i)*Q134*Ramure*Pc/MaxiM</f>
        <v>8.3681179291596934E-4</v>
      </c>
      <c r="Q134" s="304">
        <f t="shared" si="27"/>
        <v>0.7</v>
      </c>
      <c r="R134" s="177">
        <f t="shared" si="28"/>
        <v>0.59673316196613002</v>
      </c>
      <c r="S134" s="799">
        <f t="shared" si="29"/>
        <v>-1</v>
      </c>
      <c r="T134" s="176">
        <f t="shared" si="30"/>
        <v>5</v>
      </c>
      <c r="U134" s="250">
        <f t="shared" si="31"/>
        <v>-0.40326683803387003</v>
      </c>
      <c r="V134" s="382">
        <f t="shared" si="32"/>
        <v>57.029695302600764</v>
      </c>
      <c r="W134" s="400"/>
      <c r="X134" s="157">
        <f t="shared" si="33"/>
        <v>44316</v>
      </c>
      <c r="Y134" s="383">
        <f t="shared" si="34"/>
        <v>18.208961991095119</v>
      </c>
      <c r="Z134" s="383">
        <f t="shared" si="35"/>
        <v>18.504827010963112</v>
      </c>
      <c r="AA134" s="384">
        <f t="shared" si="36"/>
        <v>19.343576824339991</v>
      </c>
      <c r="AB134" s="197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4.3360637021457218E-2</v>
      </c>
      <c r="AD134" s="230">
        <f>(INDEX(Models!$BJ134:$BT134,,AH134)*(1-AF134)+INDEX(Models!$BJ134:$BT134,,AH134+1)*AF134-ERP_i)*AE134*Ramure*Pc/MaxiM</f>
        <v>9.125577685808405E-4</v>
      </c>
      <c r="AE134" s="304">
        <f t="shared" si="38"/>
        <v>0.7</v>
      </c>
      <c r="AF134" s="177">
        <f t="shared" si="39"/>
        <v>0.66106538422596217</v>
      </c>
      <c r="AG134" s="799">
        <f t="shared" si="47"/>
        <v>-1</v>
      </c>
      <c r="AH134" s="176">
        <f t="shared" si="40"/>
        <v>5</v>
      </c>
      <c r="AI134" s="224">
        <f t="shared" si="41"/>
        <v>-0.33893461577403788</v>
      </c>
      <c r="AJ134" s="264" t="b">
        <f t="shared" si="42"/>
        <v>1</v>
      </c>
      <c r="AK134" s="264" t="b">
        <f t="shared" si="43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4"/>
        <v>44317</v>
      </c>
      <c r="B135" s="607">
        <v>16.013000000000002</v>
      </c>
      <c r="C135" s="388"/>
      <c r="D135" s="391">
        <f t="shared" si="24"/>
        <v>16.273496207155624</v>
      </c>
      <c r="E135" s="383">
        <f t="shared" si="45"/>
        <v>17.012114254623302</v>
      </c>
      <c r="F135" s="383">
        <f t="shared" si="25"/>
        <v>17.012114254623302</v>
      </c>
      <c r="G135" s="110">
        <f t="shared" si="46"/>
        <v>0.28012287174814948</v>
      </c>
      <c r="H135" s="412" t="b">
        <f>Wh_hp&gt;='2020'!Maxi_hp</f>
        <v>0</v>
      </c>
      <c r="I135" s="379">
        <f>IF(H135,Wh_hp,'2020'!Maxi_hp)</f>
        <v>55.014185059625483</v>
      </c>
      <c r="J135" s="85">
        <f>IF(H135,An,'2020'!An_max)</f>
        <v>2018</v>
      </c>
      <c r="K135" s="197">
        <f t="shared" si="26"/>
        <v>44317</v>
      </c>
      <c r="L135" s="147">
        <f>IF(t&lt;Tvie,1-EXP((T0-t)*PertePVj)+'2020'!Pspv,1-EXP((T0-t)*PertePVj)+Pspv)</f>
        <v>1.6007390411968081E-2</v>
      </c>
      <c r="M135" s="832"/>
      <c r="N135" s="832"/>
      <c r="O135" s="48">
        <f>IF(t&lt;Tnet,'2020'!Resal+('2020'!Salim-'2020'!Resal)*(1-EXP(('2020'!Tnet-t)/('2020'!Tau_j))),Resal+(Salim-Resal)*(1-EXP((Tnet-t)/(Tau_j))))*Salcycl</f>
        <v>4.3417181216435091E-2</v>
      </c>
      <c r="P135" s="169">
        <f>(INDEX(Models!$BJ135:$BT135,,T135)*(1-R135)+INDEX(Models!$BJ135:$BT135,,T135+1)*R135-ERP_i)*Q135*Ramure*Pc/MaxiM</f>
        <v>8.2109111088954812E-4</v>
      </c>
      <c r="Q135" s="304">
        <f t="shared" si="27"/>
        <v>0.7</v>
      </c>
      <c r="R135" s="177">
        <f t="shared" si="28"/>
        <v>0.59893706017257797</v>
      </c>
      <c r="S135" s="799">
        <f t="shared" si="29"/>
        <v>-1</v>
      </c>
      <c r="T135" s="176">
        <f t="shared" si="30"/>
        <v>5</v>
      </c>
      <c r="U135" s="250">
        <f t="shared" si="31"/>
        <v>-0.40106293982742203</v>
      </c>
      <c r="V135" s="382">
        <f t="shared" si="32"/>
        <v>57.11726346439265</v>
      </c>
      <c r="W135" s="400"/>
      <c r="X135" s="157">
        <f t="shared" si="33"/>
        <v>44317</v>
      </c>
      <c r="Y135" s="383">
        <f t="shared" si="34"/>
        <v>16.013000000000002</v>
      </c>
      <c r="Z135" s="383">
        <f t="shared" si="35"/>
        <v>16.273496207155624</v>
      </c>
      <c r="AA135" s="384">
        <f t="shared" si="36"/>
        <v>17.012114254623302</v>
      </c>
      <c r="AB135" s="197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4.3417181216435091E-2</v>
      </c>
      <c r="AD135" s="230">
        <f>(INDEX(Models!$BJ135:$BT135,,AH135)*(1-AF135)+INDEX(Models!$BJ135:$BT135,,AH135+1)*AF135-ERP_i)*AE135*Ramure*Pc/MaxiM</f>
        <v>8.9551539701811613E-4</v>
      </c>
      <c r="AE135" s="304">
        <f t="shared" si="38"/>
        <v>0.7</v>
      </c>
      <c r="AF135" s="177">
        <f t="shared" si="39"/>
        <v>0.66326928243241012</v>
      </c>
      <c r="AG135" s="799">
        <f t="shared" si="47"/>
        <v>-1</v>
      </c>
      <c r="AH135" s="176">
        <f t="shared" si="40"/>
        <v>5</v>
      </c>
      <c r="AI135" s="224">
        <f t="shared" si="41"/>
        <v>-0.33673071756758988</v>
      </c>
      <c r="AJ135" s="264" t="b">
        <f t="shared" si="42"/>
        <v>1</v>
      </c>
      <c r="AK135" s="264" t="b">
        <f t="shared" si="43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4"/>
        <v>44318</v>
      </c>
      <c r="B136" s="607">
        <v>49.14</v>
      </c>
      <c r="C136" s="388"/>
      <c r="D136" s="391">
        <f t="shared" si="24"/>
        <v>49.940356559702316</v>
      </c>
      <c r="E136" s="383">
        <f t="shared" si="45"/>
        <v>52.210157042130774</v>
      </c>
      <c r="F136" s="383">
        <f t="shared" si="25"/>
        <v>52.243655726180137</v>
      </c>
      <c r="G136" s="110">
        <f t="shared" si="46"/>
        <v>0.85894647260810597</v>
      </c>
      <c r="H136" s="412" t="b">
        <f>Wh_hp&gt;='2020'!Maxi_hp</f>
        <v>1</v>
      </c>
      <c r="I136" s="379">
        <f>IF(H136,Wh_hp,'2020'!Maxi_hp)</f>
        <v>52.243655726180137</v>
      </c>
      <c r="J136" s="85">
        <f>IF(H136,An,'2020'!An_max)</f>
        <v>2021</v>
      </c>
      <c r="K136" s="197">
        <f t="shared" si="26"/>
        <v>44318</v>
      </c>
      <c r="L136" s="147">
        <f>IF(t&lt;Tvie,1-EXP((T0-t)*PertePVj)+'2020'!Pspv,1-EXP((T0-t)*PertePVj)+Pspv)</f>
        <v>1.60262484058461E-2</v>
      </c>
      <c r="M136" s="832"/>
      <c r="N136" s="832"/>
      <c r="O136" s="48">
        <f>IF(t&lt;Tnet,'2020'!Resal+('2020'!Salim-'2020'!Resal)*(1-EXP(('2020'!Tnet-t)/('2020'!Tau_j))),Resal+(Salim-Resal)*(1-EXP((Tnet-t)/(Tau_j))))*Salcycl</f>
        <v>4.3474308659842816E-2</v>
      </c>
      <c r="P136" s="169">
        <f>(INDEX(Models!$BJ136:$BT136,,T136)*(1-R136)+INDEX(Models!$BJ136:$BT136,,T136+1)*R136-ERP_i)*Q136*Ramure*Pc/MaxiM</f>
        <v>8.0281240924969595E-4</v>
      </c>
      <c r="Q136" s="304">
        <f t="shared" si="27"/>
        <v>0.7</v>
      </c>
      <c r="R136" s="177">
        <f t="shared" si="28"/>
        <v>0.6012030485209261</v>
      </c>
      <c r="S136" s="799">
        <f t="shared" si="29"/>
        <v>-1</v>
      </c>
      <c r="T136" s="176">
        <f t="shared" si="30"/>
        <v>5</v>
      </c>
      <c r="U136" s="250">
        <f t="shared" si="31"/>
        <v>-0.39879695147907396</v>
      </c>
      <c r="V136" s="382">
        <f t="shared" si="32"/>
        <v>57.200366829046075</v>
      </c>
      <c r="W136" s="400"/>
      <c r="X136" s="157">
        <f t="shared" si="33"/>
        <v>44318</v>
      </c>
      <c r="Y136" s="383">
        <f t="shared" si="34"/>
        <v>49.137138664600933</v>
      </c>
      <c r="Z136" s="383">
        <f t="shared" si="35"/>
        <v>49.937448620954527</v>
      </c>
      <c r="AA136" s="384">
        <f t="shared" si="36"/>
        <v>52.207116936910275</v>
      </c>
      <c r="AB136" s="197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4.3474308659842816E-2</v>
      </c>
      <c r="AD136" s="230">
        <f>(INDEX(Models!$BJ136:$BT136,,AH136)*(1-AF136)+INDEX(Models!$BJ136:$BT136,,AH136+1)*AF136-ERP_i)*AE136*Ramure*Pc/MaxiM</f>
        <v>8.7567002338290656E-4</v>
      </c>
      <c r="AE136" s="304">
        <f t="shared" si="38"/>
        <v>0.7</v>
      </c>
      <c r="AF136" s="177">
        <f t="shared" si="39"/>
        <v>0.66553527078075825</v>
      </c>
      <c r="AG136" s="799">
        <f t="shared" si="47"/>
        <v>-1</v>
      </c>
      <c r="AH136" s="176">
        <f t="shared" si="40"/>
        <v>5</v>
      </c>
      <c r="AI136" s="224">
        <f t="shared" si="41"/>
        <v>-0.33446472921924181</v>
      </c>
      <c r="AJ136" s="264" t="b">
        <f t="shared" si="42"/>
        <v>1</v>
      </c>
      <c r="AK136" s="264" t="b">
        <f t="shared" si="43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4"/>
        <v>44319</v>
      </c>
      <c r="B137" s="607">
        <v>55.783999999999999</v>
      </c>
      <c r="C137" s="388"/>
      <c r="D137" s="391">
        <f t="shared" si="24"/>
        <v>56.693655717690049</v>
      </c>
      <c r="E137" s="383">
        <f t="shared" si="45"/>
        <v>59.273970895436221</v>
      </c>
      <c r="F137" s="383">
        <f t="shared" si="25"/>
        <v>59.318580235290369</v>
      </c>
      <c r="G137" s="110">
        <f t="shared" si="46"/>
        <v>0.9738669007091979</v>
      </c>
      <c r="H137" s="412" t="b">
        <f>Wh_hp&gt;='2020'!Maxi_hp</f>
        <v>1</v>
      </c>
      <c r="I137" s="379">
        <f>IF(H137,Wh_hp,'2020'!Maxi_hp)</f>
        <v>59.318580235290369</v>
      </c>
      <c r="J137" s="85">
        <f>IF(H137,An,'2020'!An_max)</f>
        <v>2021</v>
      </c>
      <c r="K137" s="197">
        <f t="shared" si="26"/>
        <v>44319</v>
      </c>
      <c r="L137" s="147">
        <f>IF(t&lt;Tvie,1-EXP((T0-t)*PertePVj)+'2020'!Pspv,1-EXP((T0-t)*PertePVj)+Pspv)</f>
        <v>1.6045106038314882E-2</v>
      </c>
      <c r="M137" s="832"/>
      <c r="N137" s="832"/>
      <c r="O137" s="48">
        <f>IF(t&lt;Tnet,'2020'!Resal+('2020'!Salim-'2020'!Resal)*(1-EXP(('2020'!Tnet-t)/('2020'!Tau_j))),Resal+(Salim-Resal)*(1-EXP((Tnet-t)/(Tau_j))))*Salcycl</f>
        <v>4.3532011416917663E-2</v>
      </c>
      <c r="P137" s="169">
        <f>(INDEX(Models!$BJ137:$BT137,,T137)*(1-R137)+INDEX(Models!$BJ137:$BT137,,T137+1)*R137-ERP_i)*Q137*Ramure*Pc/MaxiM</f>
        <v>7.8116120320944455E-4</v>
      </c>
      <c r="Q137" s="304">
        <f t="shared" si="27"/>
        <v>0.7</v>
      </c>
      <c r="R137" s="177">
        <f t="shared" si="28"/>
        <v>0.60353179353337705</v>
      </c>
      <c r="S137" s="799">
        <f t="shared" si="29"/>
        <v>-1</v>
      </c>
      <c r="T137" s="176">
        <f t="shared" si="30"/>
        <v>5</v>
      </c>
      <c r="U137" s="250">
        <f t="shared" si="31"/>
        <v>-0.39646820646662295</v>
      </c>
      <c r="V137" s="382">
        <f t="shared" si="32"/>
        <v>57.279258253871227</v>
      </c>
      <c r="W137" s="400"/>
      <c r="X137" s="157">
        <f t="shared" si="33"/>
        <v>44319</v>
      </c>
      <c r="Y137" s="383">
        <f t="shared" si="34"/>
        <v>55.780186510687059</v>
      </c>
      <c r="Z137" s="383">
        <f t="shared" si="35"/>
        <v>56.689780042761925</v>
      </c>
      <c r="AA137" s="384">
        <f t="shared" si="36"/>
        <v>59.269918825764904</v>
      </c>
      <c r="AB137" s="197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4.3532011416917663E-2</v>
      </c>
      <c r="AD137" s="230">
        <f>(INDEX(Models!$BJ137:$BT137,,AH137)*(1-AF137)+INDEX(Models!$BJ137:$BT137,,AH137+1)*AF137-ERP_i)*AE137*Ramure*Pc/MaxiM</f>
        <v>8.5211763588221516E-4</v>
      </c>
      <c r="AE137" s="304">
        <f t="shared" si="38"/>
        <v>0.7</v>
      </c>
      <c r="AF137" s="177">
        <f t="shared" si="39"/>
        <v>0.6678640157932092</v>
      </c>
      <c r="AG137" s="799">
        <f t="shared" si="47"/>
        <v>-1</v>
      </c>
      <c r="AH137" s="176">
        <f t="shared" si="40"/>
        <v>5</v>
      </c>
      <c r="AI137" s="224">
        <f t="shared" si="41"/>
        <v>-0.3321359842067908</v>
      </c>
      <c r="AJ137" s="264" t="b">
        <f t="shared" si="42"/>
        <v>1</v>
      </c>
      <c r="AK137" s="264" t="b">
        <f t="shared" si="43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4"/>
        <v>44320</v>
      </c>
      <c r="B138" s="607">
        <v>49.242000000000004</v>
      </c>
      <c r="C138" s="388"/>
      <c r="D138" s="391">
        <f t="shared" si="24"/>
        <v>50.04593608098866</v>
      </c>
      <c r="E138" s="383">
        <f t="shared" si="45"/>
        <v>52.326879415818624</v>
      </c>
      <c r="F138" s="383">
        <f t="shared" si="25"/>
        <v>52.358467485278119</v>
      </c>
      <c r="G138" s="110">
        <f t="shared" si="46"/>
        <v>0.8584291584723579</v>
      </c>
      <c r="H138" s="412" t="b">
        <f>Wh_hp&gt;='2020'!Maxi_hp</f>
        <v>0</v>
      </c>
      <c r="I138" s="379">
        <f>IF(H138,Wh_hp,'2020'!Maxi_hp)</f>
        <v>56.957672371792654</v>
      </c>
      <c r="J138" s="85">
        <f>IF(H138,An,'2020'!An_max)</f>
        <v>2020</v>
      </c>
      <c r="K138" s="197">
        <f t="shared" si="26"/>
        <v>44320</v>
      </c>
      <c r="L138" s="147">
        <f>IF(t&lt;Tvie,1-EXP((T0-t)*PertePVj)+'2020'!Pspv,1-EXP((T0-t)*PertePVj)+Pspv)</f>
        <v>1.6063963309381535E-2</v>
      </c>
      <c r="M138" s="832"/>
      <c r="N138" s="832"/>
      <c r="O138" s="48">
        <f>IF(t&lt;Tnet,'2020'!Resal+('2020'!Salim-'2020'!Resal)*(1-EXP(('2020'!Tnet-t)/('2020'!Tau_j))),Resal+(Salim-Resal)*(1-EXP((Tnet-t)/(Tau_j))))*Salcycl</f>
        <v>4.3590280182854275E-2</v>
      </c>
      <c r="P138" s="169">
        <f>(INDEX(Models!$BJ138:$BT138,,T138)*(1-R138)+INDEX(Models!$BJ138:$BT138,,T138+1)*R138-ERP_i)*Q138*Ramure*Pc/MaxiM</f>
        <v>7.5607356828409221E-4</v>
      </c>
      <c r="Q138" s="304">
        <f t="shared" si="27"/>
        <v>0.7</v>
      </c>
      <c r="R138" s="177">
        <f t="shared" si="28"/>
        <v>0.60592389026640936</v>
      </c>
      <c r="S138" s="799">
        <f t="shared" si="29"/>
        <v>-1</v>
      </c>
      <c r="T138" s="176">
        <f t="shared" si="30"/>
        <v>5</v>
      </c>
      <c r="U138" s="250">
        <f t="shared" si="31"/>
        <v>-0.39407610973359064</v>
      </c>
      <c r="V138" s="382">
        <f t="shared" si="32"/>
        <v>57.354147736694124</v>
      </c>
      <c r="W138" s="400"/>
      <c r="X138" s="157">
        <f t="shared" si="33"/>
        <v>44320</v>
      </c>
      <c r="Y138" s="383">
        <f t="shared" si="34"/>
        <v>49.239298251358747</v>
      </c>
      <c r="Z138" s="383">
        <f t="shared" si="35"/>
        <v>50.043190222985181</v>
      </c>
      <c r="AA138" s="384">
        <f t="shared" si="36"/>
        <v>52.324008409861051</v>
      </c>
      <c r="AB138" s="197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4.3590280182854275E-2</v>
      </c>
      <c r="AD138" s="230">
        <f>(INDEX(Models!$BJ138:$BT138,,AH138)*(1-AF138)+INDEX(Models!$BJ138:$BT138,,AH138+1)*AF138-ERP_i)*AE138*Ramure*Pc/MaxiM</f>
        <v>8.247922888659241E-4</v>
      </c>
      <c r="AE138" s="304">
        <f t="shared" si="38"/>
        <v>0.7</v>
      </c>
      <c r="AF138" s="177">
        <f t="shared" si="39"/>
        <v>0.67025611252624151</v>
      </c>
      <c r="AG138" s="799">
        <f t="shared" si="47"/>
        <v>-1</v>
      </c>
      <c r="AH138" s="176">
        <f t="shared" si="40"/>
        <v>5</v>
      </c>
      <c r="AI138" s="224">
        <f t="shared" si="41"/>
        <v>-0.32974388747375849</v>
      </c>
      <c r="AJ138" s="264" t="b">
        <f t="shared" si="42"/>
        <v>1</v>
      </c>
      <c r="AK138" s="264" t="b">
        <f t="shared" si="43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4"/>
        <v>44321</v>
      </c>
      <c r="B139" s="607">
        <v>34.97</v>
      </c>
      <c r="C139" s="388"/>
      <c r="D139" s="391">
        <f t="shared" si="24"/>
        <v>35.541609312874776</v>
      </c>
      <c r="E139" s="383">
        <f t="shared" si="45"/>
        <v>37.163774793147695</v>
      </c>
      <c r="F139" s="383">
        <f t="shared" si="25"/>
        <v>37.175711736598139</v>
      </c>
      <c r="G139" s="110">
        <f t="shared" si="46"/>
        <v>0.6087180612299361</v>
      </c>
      <c r="H139" s="412" t="b">
        <f>Wh_hp&gt;='2020'!Maxi_hp</f>
        <v>0</v>
      </c>
      <c r="I139" s="379">
        <f>IF(H139,Wh_hp,'2020'!Maxi_hp)</f>
        <v>61.376169686641241</v>
      </c>
      <c r="J139" s="85">
        <f>IF(H139,An,'2020'!An_max)</f>
        <v>2020</v>
      </c>
      <c r="K139" s="197">
        <f t="shared" si="26"/>
        <v>44321</v>
      </c>
      <c r="L139" s="147">
        <f>IF(t&lt;Tvie,1-EXP((T0-t)*PertePVj)+'2020'!Pspv,1-EXP((T0-t)*PertePVj)+Pspv)</f>
        <v>1.6082820219052829E-2</v>
      </c>
      <c r="M139" s="832"/>
      <c r="N139" s="832"/>
      <c r="O139" s="48">
        <f>IF(t&lt;Tnet,'2020'!Resal+('2020'!Salim-'2020'!Resal)*(1-EXP(('2020'!Tnet-t)/('2020'!Tau_j))),Resal+(Salim-Resal)*(1-EXP((Tnet-t)/(Tau_j))))*Salcycl</f>
        <v>4.3649104250088611E-2</v>
      </c>
      <c r="P139" s="169">
        <f>(INDEX(Models!$BJ139:$BT139,,T139)*(1-R139)+INDEX(Models!$BJ139:$BT139,,T139+1)*R139-ERP_i)*Q139*Ramure*Pc/MaxiM</f>
        <v>7.2748113264253322E-4</v>
      </c>
      <c r="Q139" s="304">
        <f t="shared" si="27"/>
        <v>0.7</v>
      </c>
      <c r="R139" s="177">
        <f t="shared" si="28"/>
        <v>0.60837985671967054</v>
      </c>
      <c r="S139" s="799">
        <f t="shared" si="29"/>
        <v>-1</v>
      </c>
      <c r="T139" s="176">
        <f t="shared" si="30"/>
        <v>5</v>
      </c>
      <c r="U139" s="250">
        <f t="shared" si="31"/>
        <v>-0.39162014328032951</v>
      </c>
      <c r="V139" s="382">
        <f t="shared" si="32"/>
        <v>57.425245522466454</v>
      </c>
      <c r="W139" s="400"/>
      <c r="X139" s="157">
        <f t="shared" si="33"/>
        <v>44321</v>
      </c>
      <c r="Y139" s="383">
        <f t="shared" si="34"/>
        <v>34.968978763917107</v>
      </c>
      <c r="Z139" s="383">
        <f t="shared" si="35"/>
        <v>35.54057138396788</v>
      </c>
      <c r="AA139" s="384">
        <f t="shared" si="36"/>
        <v>37.162689491809545</v>
      </c>
      <c r="AB139" s="197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4.3649104250088611E-2</v>
      </c>
      <c r="AD139" s="230">
        <f>(INDEX(Models!$BJ139:$BT139,,AH139)*(1-AF139)+INDEX(Models!$BJ139:$BT139,,AH139+1)*AF139-ERP_i)*AE139*Ramure*Pc/MaxiM</f>
        <v>7.9362337835337242E-4</v>
      </c>
      <c r="AE139" s="304">
        <f t="shared" si="38"/>
        <v>0.7</v>
      </c>
      <c r="AF139" s="177">
        <f t="shared" si="39"/>
        <v>0.67271207897950269</v>
      </c>
      <c r="AG139" s="799">
        <f t="shared" si="47"/>
        <v>-1</v>
      </c>
      <c r="AH139" s="176">
        <f t="shared" si="40"/>
        <v>5</v>
      </c>
      <c r="AI139" s="224">
        <f t="shared" si="41"/>
        <v>-0.32728792102049736</v>
      </c>
      <c r="AJ139" s="264" t="b">
        <f t="shared" si="42"/>
        <v>1</v>
      </c>
      <c r="AK139" s="264" t="b">
        <f t="shared" si="43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4"/>
        <v>44322</v>
      </c>
      <c r="B140" s="607">
        <v>44.036999999999999</v>
      </c>
      <c r="C140" s="388"/>
      <c r="D140" s="391">
        <f t="shared" si="24"/>
        <v>44.757673593053262</v>
      </c>
      <c r="E140" s="383">
        <f t="shared" si="45"/>
        <v>46.803377692026906</v>
      </c>
      <c r="F140" s="383">
        <f t="shared" si="25"/>
        <v>46.825050018549391</v>
      </c>
      <c r="G140" s="110">
        <f t="shared" si="46"/>
        <v>0.76577913721048696</v>
      </c>
      <c r="H140" s="412" t="b">
        <f>Wh_hp&gt;='2020'!Maxi_hp</f>
        <v>0</v>
      </c>
      <c r="I140" s="379">
        <f>IF(H140,Wh_hp,'2020'!Maxi_hp)</f>
        <v>58.310376218958538</v>
      </c>
      <c r="J140" s="85">
        <f>IF(H140,An,'2020'!An_max)</f>
        <v>2018</v>
      </c>
      <c r="K140" s="197">
        <f t="shared" si="26"/>
        <v>44322</v>
      </c>
      <c r="L140" s="147">
        <f>IF(t&lt;Tvie,1-EXP((T0-t)*PertePVj)+'2020'!Pspv,1-EXP((T0-t)*PertePVj)+Pspv)</f>
        <v>1.610167676733576E-2</v>
      </c>
      <c r="M140" s="832"/>
      <c r="N140" s="832"/>
      <c r="O140" s="48">
        <f>IF(t&lt;Tnet,'2020'!Resal+('2020'!Salim-'2020'!Resal)*(1-EXP(('2020'!Tnet-t)/('2020'!Tau_j))),Resal+(Salim-Resal)*(1-EXP((Tnet-t)/(Tau_j))))*Salcycl</f>
        <v>4.3708471479017623E-2</v>
      </c>
      <c r="P140" s="169">
        <f>(INDEX(Models!$BJ140:$BT140,,T140)*(1-R140)+INDEX(Models!$BJ140:$BT140,,T140+1)*R140-ERP_i)*Q140*Ramure*Pc/MaxiM</f>
        <v>6.9531118989221772E-4</v>
      </c>
      <c r="Q140" s="304">
        <f t="shared" si="27"/>
        <v>0.7</v>
      </c>
      <c r="R140" s="177">
        <f t="shared" si="28"/>
        <v>0.61090012820874362</v>
      </c>
      <c r="S140" s="799">
        <f t="shared" si="29"/>
        <v>-1</v>
      </c>
      <c r="T140" s="176">
        <f t="shared" si="30"/>
        <v>5</v>
      </c>
      <c r="U140" s="250">
        <f t="shared" si="31"/>
        <v>-0.38909987179125638</v>
      </c>
      <c r="V140" s="382">
        <f t="shared" si="32"/>
        <v>57.492762100015234</v>
      </c>
      <c r="W140" s="400"/>
      <c r="X140" s="157">
        <f t="shared" si="33"/>
        <v>44322</v>
      </c>
      <c r="Y140" s="383">
        <f t="shared" si="34"/>
        <v>44.035145816014762</v>
      </c>
      <c r="Z140" s="383">
        <f t="shared" si="35"/>
        <v>44.75578906500656</v>
      </c>
      <c r="AA140" s="384">
        <f t="shared" si="36"/>
        <v>46.801407029325738</v>
      </c>
      <c r="AB140" s="197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4.3708471479017623E-2</v>
      </c>
      <c r="AD140" s="230">
        <f>(INDEX(Models!$BJ140:$BT140,,AH140)*(1-AF140)+INDEX(Models!$BJ140:$BT140,,AH140+1)*AF140-ERP_i)*AE140*Ramure*Pc/MaxiM</f>
        <v>7.5853577384283797E-4</v>
      </c>
      <c r="AE140" s="304">
        <f t="shared" si="38"/>
        <v>0.7</v>
      </c>
      <c r="AF140" s="177">
        <f t="shared" si="39"/>
        <v>0.67523235046857577</v>
      </c>
      <c r="AG140" s="799">
        <f t="shared" si="47"/>
        <v>-1</v>
      </c>
      <c r="AH140" s="176">
        <f t="shared" si="40"/>
        <v>5</v>
      </c>
      <c r="AI140" s="224">
        <f t="shared" si="41"/>
        <v>-0.32476764953142423</v>
      </c>
      <c r="AJ140" s="264" t="b">
        <f t="shared" si="42"/>
        <v>1</v>
      </c>
      <c r="AK140" s="264" t="b">
        <f t="shared" si="43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4"/>
        <v>44323</v>
      </c>
      <c r="B141" s="607">
        <v>25.683</v>
      </c>
      <c r="C141" s="388"/>
      <c r="D141" s="391">
        <f t="shared" si="24"/>
        <v>26.10380728557822</v>
      </c>
      <c r="E141" s="383">
        <f t="shared" si="45"/>
        <v>27.298623491909343</v>
      </c>
      <c r="F141" s="383">
        <f t="shared" si="25"/>
        <v>27.302384577322606</v>
      </c>
      <c r="G141" s="110">
        <f t="shared" si="46"/>
        <v>0.44598640477094686</v>
      </c>
      <c r="H141" s="412" t="b">
        <f>Wh_hp&gt;='2020'!Maxi_hp</f>
        <v>0</v>
      </c>
      <c r="I141" s="379">
        <f>IF(H141,Wh_hp,'2020'!Maxi_hp)</f>
        <v>58.360511547826988</v>
      </c>
      <c r="J141" s="85">
        <f>IF(H141,An,'2020'!An_max)</f>
        <v>2020</v>
      </c>
      <c r="K141" s="197">
        <f t="shared" si="26"/>
        <v>44323</v>
      </c>
      <c r="L141" s="147">
        <f>IF(t&lt;Tvie,1-EXP((T0-t)*PertePVj)+'2020'!Pspv,1-EXP((T0-t)*PertePVj)+Pspv)</f>
        <v>1.612053295423721E-2</v>
      </c>
      <c r="M141" s="832"/>
      <c r="N141" s="832"/>
      <c r="O141" s="48">
        <f>IF(t&lt;Tnet,'2020'!Resal+('2020'!Salim-'2020'!Resal)*(1-EXP(('2020'!Tnet-t)/('2020'!Tau_j))),Resal+(Salim-Resal)*(1-EXP((Tnet-t)/(Tau_j))))*Salcycl</f>
        <v>4.3768368272679999E-2</v>
      </c>
      <c r="P141" s="169">
        <f>(INDEX(Models!$BJ141:$BT141,,T141)*(1-R141)+INDEX(Models!$BJ141:$BT141,,T141+1)*R141-ERP_i)*Q141*Ramure*Pc/MaxiM</f>
        <v>6.5948682786390062E-4</v>
      </c>
      <c r="Q141" s="304">
        <f t="shared" si="27"/>
        <v>0.7</v>
      </c>
      <c r="R141" s="177">
        <f t="shared" si="28"/>
        <v>0.61348505173286538</v>
      </c>
      <c r="S141" s="799">
        <f t="shared" si="29"/>
        <v>-1</v>
      </c>
      <c r="T141" s="176">
        <f t="shared" si="30"/>
        <v>5</v>
      </c>
      <c r="U141" s="250">
        <f t="shared" si="31"/>
        <v>-0.38651494826713456</v>
      </c>
      <c r="V141" s="382">
        <f t="shared" si="32"/>
        <v>57.556908200468811</v>
      </c>
      <c r="W141" s="400"/>
      <c r="X141" s="157">
        <f t="shared" si="33"/>
        <v>44323</v>
      </c>
      <c r="Y141" s="383">
        <f t="shared" si="34"/>
        <v>25.68267826638948</v>
      </c>
      <c r="Z141" s="383">
        <f t="shared" si="35"/>
        <v>26.103480280471096</v>
      </c>
      <c r="AA141" s="384">
        <f t="shared" si="36"/>
        <v>27.298281519215411</v>
      </c>
      <c r="AB141" s="197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4.3768368272679999E-2</v>
      </c>
      <c r="AD141" s="230">
        <f>(INDEX(Models!$BJ141:$BT141,,AH141)*(1-AF141)+INDEX(Models!$BJ141:$BT141,,AH141+1)*AF141-ERP_i)*AE141*Ramure*Pc/MaxiM</f>
        <v>7.1944996678707991E-4</v>
      </c>
      <c r="AE141" s="304">
        <f t="shared" si="38"/>
        <v>0.7</v>
      </c>
      <c r="AF141" s="177">
        <f t="shared" si="39"/>
        <v>0.67781727399269753</v>
      </c>
      <c r="AG141" s="799">
        <f t="shared" si="47"/>
        <v>-1</v>
      </c>
      <c r="AH141" s="176">
        <f t="shared" si="40"/>
        <v>5</v>
      </c>
      <c r="AI141" s="224">
        <f t="shared" si="41"/>
        <v>-0.32218272600730241</v>
      </c>
      <c r="AJ141" s="264" t="b">
        <f t="shared" si="42"/>
        <v>1</v>
      </c>
      <c r="AK141" s="264" t="b">
        <f t="shared" si="43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4"/>
        <v>44324</v>
      </c>
      <c r="B142" s="607">
        <v>57.515999999999998</v>
      </c>
      <c r="C142" s="388"/>
      <c r="D142" s="391">
        <f t="shared" si="24"/>
        <v>58.459500608186381</v>
      </c>
      <c r="E142" s="383">
        <f t="shared" si="45"/>
        <v>61.139155162017765</v>
      </c>
      <c r="F142" s="383">
        <f t="shared" si="25"/>
        <v>61.177065802959824</v>
      </c>
      <c r="G142" s="110">
        <f t="shared" si="46"/>
        <v>0.99823130283631245</v>
      </c>
      <c r="H142" s="412" t="b">
        <f>Wh_hp&gt;='2020'!Maxi_hp</f>
        <v>1</v>
      </c>
      <c r="I142" s="379">
        <f>IF(H142,Wh_hp,'2020'!Maxi_hp)</f>
        <v>61.177065802959824</v>
      </c>
      <c r="J142" s="85">
        <f>IF(H142,An,'2020'!An_max)</f>
        <v>2021</v>
      </c>
      <c r="K142" s="197">
        <f t="shared" si="26"/>
        <v>44324</v>
      </c>
      <c r="L142" s="147">
        <f>IF(t&lt;Tvie,1-EXP((T0-t)*PertePVj)+'2020'!Pspv,1-EXP((T0-t)*PertePVj)+Pspv)</f>
        <v>1.6139388779764174E-2</v>
      </c>
      <c r="M142" s="832"/>
      <c r="N142" s="832"/>
      <c r="O142" s="48">
        <f>IF(t&lt;Tnet,'2020'!Resal+('2020'!Salim-'2020'!Resal)*(1-EXP(('2020'!Tnet-t)/('2020'!Tau_j))),Resal+(Salim-Resal)*(1-EXP((Tnet-t)/(Tau_j))))*Salcycl</f>
        <v>4.3828779555921904E-2</v>
      </c>
      <c r="P142" s="169">
        <f>(INDEX(Models!$BJ142:$BT142,,T142)*(1-R142)+INDEX(Models!$BJ142:$BT142,,T142+1)*R142-ERP_i)*Q142*Ramure*Pc/MaxiM</f>
        <v>6.212554822838573E-4</v>
      </c>
      <c r="Q142" s="304">
        <f t="shared" si="27"/>
        <v>0.7</v>
      </c>
      <c r="R142" s="177">
        <f t="shared" si="28"/>
        <v>0.61613488037137176</v>
      </c>
      <c r="S142" s="799">
        <f t="shared" si="29"/>
        <v>-1</v>
      </c>
      <c r="T142" s="176">
        <f t="shared" si="30"/>
        <v>5</v>
      </c>
      <c r="U142" s="250">
        <f t="shared" si="31"/>
        <v>-0.38386511962862818</v>
      </c>
      <c r="V142" s="382">
        <f t="shared" si="32"/>
        <v>57.617818210940328</v>
      </c>
      <c r="W142" s="400"/>
      <c r="X142" s="157">
        <f t="shared" si="33"/>
        <v>44324</v>
      </c>
      <c r="Y142" s="383">
        <f t="shared" si="34"/>
        <v>57.512758516682482</v>
      </c>
      <c r="Z142" s="383">
        <f t="shared" si="35"/>
        <v>58.456205951117532</v>
      </c>
      <c r="AA142" s="384">
        <f t="shared" si="36"/>
        <v>61.135709485136459</v>
      </c>
      <c r="AB142" s="197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4.3828779555921904E-2</v>
      </c>
      <c r="AD142" s="230">
        <f>(INDEX(Models!$BJ142:$BT142,,AH142)*(1-AF142)+INDEX(Models!$BJ142:$BT142,,AH142+1)*AF142-ERP_i)*AE142*Ramure*Pc/MaxiM</f>
        <v>6.777210444451593E-4</v>
      </c>
      <c r="AE142" s="304">
        <f t="shared" si="38"/>
        <v>0.7</v>
      </c>
      <c r="AF142" s="177">
        <f t="shared" si="39"/>
        <v>0.68046710263120391</v>
      </c>
      <c r="AG142" s="799">
        <f t="shared" si="47"/>
        <v>-1</v>
      </c>
      <c r="AH142" s="176">
        <f t="shared" si="40"/>
        <v>5</v>
      </c>
      <c r="AI142" s="224">
        <f t="shared" si="41"/>
        <v>-0.31953289736879603</v>
      </c>
      <c r="AJ142" s="264" t="b">
        <f t="shared" si="42"/>
        <v>1</v>
      </c>
      <c r="AK142" s="264" t="b">
        <f t="shared" si="43"/>
        <v>0</v>
      </c>
      <c r="AL142" s="264"/>
      <c r="AM142" s="264"/>
      <c r="AN142" s="75"/>
    </row>
    <row r="143" spans="1:40" s="6" customFormat="1" ht="11.25" x14ac:dyDescent="0.2">
      <c r="A143" s="56">
        <f t="shared" si="44"/>
        <v>44325</v>
      </c>
      <c r="B143" s="607">
        <v>18.968</v>
      </c>
      <c r="C143" s="388"/>
      <c r="D143" s="391">
        <f t="shared" ref="D143:D206" si="48">Wh/(1-Ppv)</f>
        <v>19.27952324550731</v>
      </c>
      <c r="E143" s="383">
        <f t="shared" si="45"/>
        <v>20.164538567202037</v>
      </c>
      <c r="F143" s="383">
        <f t="shared" ref="F143:F206" si="49">Wh_sa/(1-Pvg*MEDIAN((-Sdif+Wh/Env_an)/Csdif,0,1))</f>
        <v>20.165023760915634</v>
      </c>
      <c r="G143" s="110">
        <f t="shared" si="46"/>
        <v>0.32869030764028845</v>
      </c>
      <c r="H143" s="412" t="b">
        <f>Wh_hp&gt;='2020'!Maxi_hp</f>
        <v>0</v>
      </c>
      <c r="I143" s="379">
        <f>IF(H143,Wh_hp,'2020'!Maxi_hp)</f>
        <v>53.386760514738448</v>
      </c>
      <c r="J143" s="85">
        <f>IF(H143,An,'2020'!An_max)</f>
        <v>2020</v>
      </c>
      <c r="K143" s="197">
        <f t="shared" ref="K143:K206" si="50">t</f>
        <v>44325</v>
      </c>
      <c r="L143" s="147">
        <f>IF(t&lt;Tvie,1-EXP((T0-t)*PertePVj)+'2020'!Pspv,1-EXP((T0-t)*PertePVj)+Pspv)</f>
        <v>1.6158244243923536E-2</v>
      </c>
      <c r="M143" s="832"/>
      <c r="N143" s="832"/>
      <c r="O143" s="48">
        <f>IF(t&lt;Tnet,'2020'!Resal+('2020'!Salim-'2020'!Resal)*(1-EXP(('2020'!Tnet-t)/('2020'!Tau_j))),Resal+(Salim-Resal)*(1-EXP((Tnet-t)/(Tau_j))))*Salcycl</f>
        <v>4.3889688759564262E-2</v>
      </c>
      <c r="P143" s="169">
        <f>(INDEX(Models!$BJ143:$BT143,,T143)*(1-R143)+INDEX(Models!$BJ143:$BT143,,T143+1)*R143-ERP_i)*Q143*Ramure*Pc/MaxiM</f>
        <v>5.8331609036772704E-4</v>
      </c>
      <c r="Q143" s="304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0.61884976774524814</v>
      </c>
      <c r="S143" s="799">
        <f t="shared" ref="S143:S206" si="53">INDEX(Echel_vg,T143)</f>
        <v>-1</v>
      </c>
      <c r="T143" s="176">
        <f t="shared" ref="T143:T206" si="54">MIN(MATCH(Hp_vg,Echel_vg),10)</f>
        <v>5</v>
      </c>
      <c r="U143" s="250">
        <f t="shared" ref="U143:U206" si="55">IF(OR(t&lt;Ttai,Notai),Hdd+PousH*Croivg,Hdtf+PousH*(Croivg-Croi_tai))</f>
        <v>-0.38115023225475186</v>
      </c>
      <c r="V143" s="382">
        <f t="shared" ref="V143:V206" si="56">MaxiM*(1-Ppv)*(1-Pvg)*(1-Psa)</f>
        <v>57.675542467899945</v>
      </c>
      <c r="W143" s="400"/>
      <c r="X143" s="157">
        <f t="shared" ref="X143:X206" si="57">t</f>
        <v>44325</v>
      </c>
      <c r="Y143" s="383">
        <f t="shared" ref="Y143:Y206" si="58">Wh_pvt_s*(1-Ppv)</f>
        <v>18.967958534475873</v>
      </c>
      <c r="Z143" s="383">
        <f t="shared" ref="Z143:Z206" si="59">Wh_sa_s*(1-Psa_s)</f>
        <v>19.279481098969121</v>
      </c>
      <c r="AA143" s="384">
        <f t="shared" ref="AA143:AA206" si="60">Wh_hp*(1-Pvg_s*MEDIAN((-Sdif+Wh/Env_an)/Csdif,0,1))</f>
        <v>20.164494485951479</v>
      </c>
      <c r="AB143" s="197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4.3889688759564262E-2</v>
      </c>
      <c r="AD143" s="230">
        <f>(INDEX(Models!$BJ143:$BT143,,AH143)*(1-AF143)+INDEX(Models!$BJ143:$BT143,,AH143+1)*AF143-ERP_i)*AE143*Ramure*Pc/MaxiM</f>
        <v>6.3631204232134737E-4</v>
      </c>
      <c r="AE143" s="304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0.68318199000508029</v>
      </c>
      <c r="AG143" s="799">
        <f t="shared" si="47"/>
        <v>-1</v>
      </c>
      <c r="AH143" s="176">
        <f t="shared" ref="AH143:AH206" si="64">MIN(MATCH(Hp_vg_s,Echel_vg),10)</f>
        <v>5</v>
      </c>
      <c r="AI143" s="224">
        <f t="shared" ref="AI143:AI206" si="65">IF(OR(t&lt;Ttai,Notai),Hdd_s+PousH*Croivg,Hdtai_s+PousH*(Croivg-Croi_tai))</f>
        <v>-0.31681800999491971</v>
      </c>
      <c r="AJ143" s="264" t="b">
        <f t="shared" ref="AJ143:AJ206" si="66">t&lt;Tnet</f>
        <v>1</v>
      </c>
      <c r="AK143" s="264" t="b">
        <f t="shared" ref="AK143:AK206" si="67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68">A143+1</f>
        <v>44326</v>
      </c>
      <c r="B144" s="607">
        <v>39.189</v>
      </c>
      <c r="C144" s="388"/>
      <c r="D144" s="391">
        <f t="shared" si="48"/>
        <v>39.833388686091503</v>
      </c>
      <c r="E144" s="383">
        <f t="shared" ref="E144:E169" si="69">Wh_pvt/(1-Psa)</f>
        <v>41.664592429903216</v>
      </c>
      <c r="F144" s="383">
        <f t="shared" si="49"/>
        <v>41.67689949386105</v>
      </c>
      <c r="G144" s="110">
        <f t="shared" ref="G144:G169" si="70">+Wh_hp/MaxiM</f>
        <v>0.67865911558835945</v>
      </c>
      <c r="H144" s="412" t="b">
        <f>Wh_hp&gt;='2020'!Maxi_hp</f>
        <v>0</v>
      </c>
      <c r="I144" s="379">
        <f>IF(H144,Wh_hp,'2020'!Maxi_hp)</f>
        <v>44.009387718660008</v>
      </c>
      <c r="J144" s="85">
        <f>IF(H144,An,'2020'!An_max)</f>
        <v>2020</v>
      </c>
      <c r="K144" s="197">
        <f t="shared" si="50"/>
        <v>44326</v>
      </c>
      <c r="L144" s="147">
        <f>IF(t&lt;Tvie,1-EXP((T0-t)*PertePVj)+'2020'!Pspv,1-EXP((T0-t)*PertePVj)+Pspv)</f>
        <v>1.6177099346722179E-2</v>
      </c>
      <c r="M144" s="832"/>
      <c r="N144" s="832"/>
      <c r="O144" s="48">
        <f>IF(t&lt;Tnet,'2020'!Resal+('2020'!Salim-'2020'!Resal)*(1-EXP(('2020'!Tnet-t)/('2020'!Tau_j))),Resal+(Salim-Resal)*(1-EXP((Tnet-t)/(Tau_j))))*Salcycl</f>
        <v>4.3951077810074381E-2</v>
      </c>
      <c r="P144" s="169">
        <f>(INDEX(Models!$BJ144:$BT144,,T144)*(1-R144)+INDEX(Models!$BJ144:$BT144,,T144+1)*R144-ERP_i)*Q144*Ramure*Pc/MaxiM</f>
        <v>5.4564948366053051E-4</v>
      </c>
      <c r="Q144" s="304">
        <f t="shared" si="51"/>
        <v>0.7</v>
      </c>
      <c r="R144" s="177">
        <f t="shared" si="52"/>
        <v>0.6216297625826227</v>
      </c>
      <c r="S144" s="799">
        <f t="shared" si="53"/>
        <v>-1</v>
      </c>
      <c r="T144" s="176">
        <f t="shared" si="54"/>
        <v>5</v>
      </c>
      <c r="U144" s="250">
        <f t="shared" si="55"/>
        <v>-0.3783702374173773</v>
      </c>
      <c r="V144" s="382">
        <f t="shared" si="56"/>
        <v>57.730287767596536</v>
      </c>
      <c r="W144" s="400"/>
      <c r="X144" s="157">
        <f t="shared" si="57"/>
        <v>44326</v>
      </c>
      <c r="Y144" s="383">
        <f t="shared" si="58"/>
        <v>39.187948742435516</v>
      </c>
      <c r="Z144" s="383">
        <f t="shared" si="59"/>
        <v>39.832320142592678</v>
      </c>
      <c r="AA144" s="384">
        <f t="shared" si="60"/>
        <v>41.663474763773351</v>
      </c>
      <c r="AB144" s="197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4.3951077810074381E-2</v>
      </c>
      <c r="AD144" s="230">
        <f>(INDEX(Models!$BJ144:$BT144,,AH144)*(1-AF144)+INDEX(Models!$BJ144:$BT144,,AH144+1)*AF144-ERP_i)*AE144*Ramure*Pc/MaxiM</f>
        <v>5.9520264668561367E-4</v>
      </c>
      <c r="AE144" s="304">
        <f t="shared" si="62"/>
        <v>0.7</v>
      </c>
      <c r="AF144" s="177">
        <f t="shared" si="63"/>
        <v>0.68596198484245485</v>
      </c>
      <c r="AG144" s="799">
        <f t="shared" ref="AG144:AG207" si="71">INDEX(Echel_vg,AH144)</f>
        <v>-1</v>
      </c>
      <c r="AH144" s="176">
        <f t="shared" si="64"/>
        <v>5</v>
      </c>
      <c r="AI144" s="224">
        <f t="shared" si="65"/>
        <v>-0.31403801515754515</v>
      </c>
      <c r="AJ144" s="264" t="b">
        <f t="shared" si="66"/>
        <v>1</v>
      </c>
      <c r="AK144" s="264" t="b">
        <f t="shared" si="67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68"/>
        <v>44327</v>
      </c>
      <c r="B145" s="607">
        <v>25.995000000000001</v>
      </c>
      <c r="C145" s="388"/>
      <c r="D145" s="391">
        <f t="shared" si="48"/>
        <v>26.42294480086905</v>
      </c>
      <c r="E145" s="383">
        <f t="shared" si="69"/>
        <v>27.639437342402378</v>
      </c>
      <c r="F145" s="383">
        <f t="shared" si="49"/>
        <v>27.642445390059777</v>
      </c>
      <c r="G145" s="110">
        <f t="shared" si="70"/>
        <v>0.44969884515188574</v>
      </c>
      <c r="H145" s="412" t="b">
        <f>Wh_hp&gt;='2020'!Maxi_hp</f>
        <v>0</v>
      </c>
      <c r="I145" s="379">
        <f>IF(H145,Wh_hp,'2020'!Maxi_hp)</f>
        <v>32.848239841542608</v>
      </c>
      <c r="J145" s="85">
        <f>IF(H145,An,'2020'!An_max)</f>
        <v>2018</v>
      </c>
      <c r="K145" s="197">
        <f t="shared" si="50"/>
        <v>44327</v>
      </c>
      <c r="L145" s="147">
        <f>IF(t&lt;Tvie,1-EXP((T0-t)*PertePVj)+'2020'!Pspv,1-EXP((T0-t)*PertePVj)+Pspv)</f>
        <v>1.6195954088167097E-2</v>
      </c>
      <c r="M145" s="832"/>
      <c r="N145" s="832"/>
      <c r="O145" s="48">
        <f>IF(t&lt;Tnet,'2020'!Resal+('2020'!Salim-'2020'!Resal)*(1-EXP(('2020'!Tnet-t)/('2020'!Tau_j))),Resal+(Salim-Resal)*(1-EXP((Tnet-t)/(Tau_j))))*Salcycl</f>
        <v>4.4012927125223207E-2</v>
      </c>
      <c r="P145" s="169">
        <f>(INDEX(Models!$BJ145:$BT145,,T145)*(1-R145)+INDEX(Models!$BJ145:$BT145,,T145+1)*R145-ERP_i)*Q145*Ramure*Pc/MaxiM</f>
        <v>5.0823760690183763E-4</v>
      </c>
      <c r="Q145" s="304">
        <f t="shared" si="51"/>
        <v>0.7</v>
      </c>
      <c r="R145" s="177">
        <f t="shared" si="52"/>
        <v>0.62447480342931416</v>
      </c>
      <c r="S145" s="799">
        <f t="shared" si="53"/>
        <v>-1</v>
      </c>
      <c r="T145" s="176">
        <f t="shared" si="54"/>
        <v>5</v>
      </c>
      <c r="U145" s="250">
        <f t="shared" si="55"/>
        <v>-0.37552519657068589</v>
      </c>
      <c r="V145" s="382">
        <f t="shared" si="56"/>
        <v>57.782260920619109</v>
      </c>
      <c r="W145" s="400"/>
      <c r="X145" s="157">
        <f t="shared" si="57"/>
        <v>44327</v>
      </c>
      <c r="Y145" s="383">
        <f t="shared" si="58"/>
        <v>25.994743185314061</v>
      </c>
      <c r="Z145" s="383">
        <f t="shared" si="59"/>
        <v>26.422683758350463</v>
      </c>
      <c r="AA145" s="384">
        <f t="shared" si="60"/>
        <v>27.639164281682213</v>
      </c>
      <c r="AB145" s="197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4.4012927125223207E-2</v>
      </c>
      <c r="AD145" s="230">
        <f>(INDEX(Models!$BJ145:$BT145,,AH145)*(1-AF145)+INDEX(Models!$BJ145:$BT145,,AH145+1)*AF145-ERP_i)*AE145*Ramure*Pc/MaxiM</f>
        <v>5.5437375325381125E-4</v>
      </c>
      <c r="AE145" s="304">
        <f t="shared" si="62"/>
        <v>0.7</v>
      </c>
      <c r="AF145" s="177">
        <f t="shared" si="63"/>
        <v>0.68880702568914631</v>
      </c>
      <c r="AG145" s="799">
        <f t="shared" si="71"/>
        <v>-1</v>
      </c>
      <c r="AH145" s="176">
        <f t="shared" si="64"/>
        <v>5</v>
      </c>
      <c r="AI145" s="224">
        <f t="shared" si="65"/>
        <v>-0.31119297431085374</v>
      </c>
      <c r="AJ145" s="264" t="b">
        <f t="shared" si="66"/>
        <v>1</v>
      </c>
      <c r="AK145" s="264" t="b">
        <f t="shared" si="67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68"/>
        <v>44328</v>
      </c>
      <c r="B146" s="607">
        <v>40.896999999999998</v>
      </c>
      <c r="C146" s="388"/>
      <c r="D146" s="391">
        <f t="shared" si="48"/>
        <v>41.571066887400647</v>
      </c>
      <c r="E146" s="383">
        <f t="shared" si="69"/>
        <v>43.48780109744424</v>
      </c>
      <c r="F146" s="383">
        <f t="shared" si="49"/>
        <v>43.499720294165812</v>
      </c>
      <c r="G146" s="110">
        <f t="shared" si="70"/>
        <v>0.70703370020551026</v>
      </c>
      <c r="H146" s="412" t="b">
        <f>Wh_hp&gt;='2020'!Maxi_hp</f>
        <v>0</v>
      </c>
      <c r="I146" s="379">
        <f>IF(H146,Wh_hp,'2020'!Maxi_hp)</f>
        <v>46.526501167443257</v>
      </c>
      <c r="J146" s="85">
        <f>IF(H146,An,'2020'!An_max)</f>
        <v>2018</v>
      </c>
      <c r="K146" s="197">
        <f t="shared" si="50"/>
        <v>44328</v>
      </c>
      <c r="L146" s="147">
        <f>IF(t&lt;Tvie,1-EXP((T0-t)*PertePVj)+'2020'!Pspv,1-EXP((T0-t)*PertePVj)+Pspv)</f>
        <v>1.6214808468265285E-2</v>
      </c>
      <c r="M146" s="832"/>
      <c r="N146" s="832"/>
      <c r="O146" s="48">
        <f>IF(t&lt;Tnet,'2020'!Resal+('2020'!Salim-'2020'!Resal)*(1-EXP(('2020'!Tnet-t)/('2020'!Tau_j))),Resal+(Salim-Resal)*(1-EXP((Tnet-t)/(Tau_j))))*Salcycl</f>
        <v>4.4075215616184361E-2</v>
      </c>
      <c r="P146" s="169">
        <f>(INDEX(Models!$BJ146:$BT146,,T146)*(1-R146)+INDEX(Models!$BJ146:$BT146,,T146+1)*R146-ERP_i)*Q146*Ramure*Pc/MaxiM</f>
        <v>4.7106354205040285E-4</v>
      </c>
      <c r="Q146" s="304">
        <f t="shared" si="51"/>
        <v>0.7</v>
      </c>
      <c r="R146" s="177">
        <f t="shared" si="52"/>
        <v>0.62738471354757719</v>
      </c>
      <c r="S146" s="799">
        <f t="shared" si="53"/>
        <v>-1</v>
      </c>
      <c r="T146" s="176">
        <f t="shared" si="54"/>
        <v>5</v>
      </c>
      <c r="U146" s="250">
        <f t="shared" si="55"/>
        <v>-0.37261528645242287</v>
      </c>
      <c r="V146" s="382">
        <f t="shared" si="56"/>
        <v>57.831668743095207</v>
      </c>
      <c r="W146" s="400"/>
      <c r="X146" s="157">
        <f t="shared" si="57"/>
        <v>44328</v>
      </c>
      <c r="Y146" s="383">
        <f t="shared" si="58"/>
        <v>40.895982894173287</v>
      </c>
      <c r="Z146" s="383">
        <f t="shared" si="59"/>
        <v>41.57003301757269</v>
      </c>
      <c r="AA146" s="384">
        <f t="shared" si="60"/>
        <v>43.486719558556615</v>
      </c>
      <c r="AB146" s="197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4.4075215616184361E-2</v>
      </c>
      <c r="AD146" s="230">
        <f>(INDEX(Models!$BJ146:$BT146,,AH146)*(1-AF146)+INDEX(Models!$BJ146:$BT146,,AH146+1)*AF146-ERP_i)*AE146*Ramure*Pc/MaxiM</f>
        <v>5.1380749125850026E-4</v>
      </c>
      <c r="AE146" s="304">
        <f t="shared" si="62"/>
        <v>0.7</v>
      </c>
      <c r="AF146" s="177">
        <f t="shared" si="63"/>
        <v>0.69171693580740934</v>
      </c>
      <c r="AG146" s="799">
        <f t="shared" si="71"/>
        <v>-1</v>
      </c>
      <c r="AH146" s="176">
        <f t="shared" si="64"/>
        <v>5</v>
      </c>
      <c r="AI146" s="224">
        <f t="shared" si="65"/>
        <v>-0.30828306419259072</v>
      </c>
      <c r="AJ146" s="264" t="b">
        <f t="shared" si="66"/>
        <v>1</v>
      </c>
      <c r="AK146" s="264" t="b">
        <f t="shared" si="67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68"/>
        <v>44329</v>
      </c>
      <c r="B147" s="607">
        <v>52.962000000000003</v>
      </c>
      <c r="C147" s="388"/>
      <c r="D147" s="391">
        <f t="shared" si="48"/>
        <v>53.835954718567919</v>
      </c>
      <c r="E147" s="383">
        <f t="shared" si="69"/>
        <v>56.321885640442879</v>
      </c>
      <c r="F147" s="383">
        <f t="shared" si="49"/>
        <v>56.343376685963463</v>
      </c>
      <c r="G147" s="110">
        <f t="shared" si="70"/>
        <v>0.91500314081689293</v>
      </c>
      <c r="H147" s="412" t="b">
        <f>Wh_hp&gt;='2020'!Maxi_hp</f>
        <v>0</v>
      </c>
      <c r="I147" s="379">
        <f>IF(H147,Wh_hp,'2020'!Maxi_hp)</f>
        <v>60.109259389460362</v>
      </c>
      <c r="J147" s="85">
        <f>IF(H147,An,'2020'!An_max)</f>
        <v>2018</v>
      </c>
      <c r="K147" s="197">
        <f t="shared" si="50"/>
        <v>44329</v>
      </c>
      <c r="L147" s="147">
        <f>IF(t&lt;Tvie,1-EXP((T0-t)*PertePVj)+'2020'!Pspv,1-EXP((T0-t)*PertePVj)+Pspv)</f>
        <v>1.6233662487023515E-2</v>
      </c>
      <c r="M147" s="832"/>
      <c r="N147" s="832"/>
      <c r="O147" s="48">
        <f>IF(t&lt;Tnet,'2020'!Resal+('2020'!Salim-'2020'!Resal)*(1-EXP(('2020'!Tnet-t)/('2020'!Tau_j))),Resal+(Salim-Resal)*(1-EXP((Tnet-t)/(Tau_j))))*Salcycl</f>
        <v>4.4137920696495588E-2</v>
      </c>
      <c r="P147" s="169">
        <f>(INDEX(Models!$BJ147:$BT147,,T147)*(1-R147)+INDEX(Models!$BJ147:$BT147,,T147+1)*R147-ERP_i)*Q147*Ramure*Pc/MaxiM</f>
        <v>4.3411153515935644E-4</v>
      </c>
      <c r="Q147" s="304">
        <f t="shared" si="51"/>
        <v>0.7</v>
      </c>
      <c r="R147" s="177">
        <f t="shared" si="52"/>
        <v>0.63035919604793877</v>
      </c>
      <c r="S147" s="799">
        <f t="shared" si="53"/>
        <v>-1</v>
      </c>
      <c r="T147" s="176">
        <f t="shared" si="54"/>
        <v>5</v>
      </c>
      <c r="U147" s="250">
        <f t="shared" si="55"/>
        <v>-0.36964080395206123</v>
      </c>
      <c r="V147" s="382">
        <f t="shared" si="56"/>
        <v>57.878718056071861</v>
      </c>
      <c r="W147" s="400"/>
      <c r="X147" s="157">
        <f t="shared" si="57"/>
        <v>44329</v>
      </c>
      <c r="Y147" s="383">
        <f t="shared" si="58"/>
        <v>52.960166960327413</v>
      </c>
      <c r="Z147" s="383">
        <f t="shared" si="59"/>
        <v>53.834091430912409</v>
      </c>
      <c r="AA147" s="384">
        <f t="shared" si="60"/>
        <v>56.319936313551629</v>
      </c>
      <c r="AB147" s="197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4.4137920696495588E-2</v>
      </c>
      <c r="AD147" s="230">
        <f>(INDEX(Models!$BJ147:$BT147,,AH147)*(1-AF147)+INDEX(Models!$BJ147:$BT147,,AH147+1)*AF147-ERP_i)*AE147*Ramure*Pc/MaxiM</f>
        <v>4.734872504300945E-4</v>
      </c>
      <c r="AE147" s="304">
        <f t="shared" si="62"/>
        <v>0.7</v>
      </c>
      <c r="AF147" s="177">
        <f t="shared" si="63"/>
        <v>0.69469141830777092</v>
      </c>
      <c r="AG147" s="799">
        <f t="shared" si="71"/>
        <v>-1</v>
      </c>
      <c r="AH147" s="176">
        <f t="shared" si="64"/>
        <v>5</v>
      </c>
      <c r="AI147" s="224">
        <f t="shared" si="65"/>
        <v>-0.30530858169222908</v>
      </c>
      <c r="AJ147" s="264" t="b">
        <f t="shared" si="66"/>
        <v>1</v>
      </c>
      <c r="AK147" s="264" t="b">
        <f t="shared" si="67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68"/>
        <v>44330</v>
      </c>
      <c r="B148" s="607">
        <v>38.904000000000003</v>
      </c>
      <c r="C148" s="388"/>
      <c r="D148" s="391">
        <f t="shared" si="48"/>
        <v>39.546733931684933</v>
      </c>
      <c r="E148" s="383">
        <f t="shared" si="69"/>
        <v>41.375576547774422</v>
      </c>
      <c r="F148" s="383">
        <f t="shared" si="49"/>
        <v>41.384307379452984</v>
      </c>
      <c r="G148" s="110">
        <f t="shared" si="70"/>
        <v>0.67151793632558665</v>
      </c>
      <c r="H148" s="412" t="b">
        <f>Wh_hp&gt;='2020'!Maxi_hp</f>
        <v>0</v>
      </c>
      <c r="I148" s="379">
        <f>IF(H148,Wh_hp,'2020'!Maxi_hp)</f>
        <v>59.065123459499134</v>
      </c>
      <c r="J148" s="85">
        <f>IF(H148,An,'2020'!An_max)</f>
        <v>2018</v>
      </c>
      <c r="K148" s="197">
        <f t="shared" si="50"/>
        <v>44330</v>
      </c>
      <c r="L148" s="147">
        <f>IF(t&lt;Tvie,1-EXP((T0-t)*PertePVj)+'2020'!Pspv,1-EXP((T0-t)*PertePVj)+Pspv)</f>
        <v>1.6252516144448781E-2</v>
      </c>
      <c r="M148" s="832"/>
      <c r="N148" s="832"/>
      <c r="O148" s="48">
        <f>IF(t&lt;Tnet,'2020'!Resal+('2020'!Salim-'2020'!Resal)*(1-EXP(('2020'!Tnet-t)/('2020'!Tau_j))),Resal+(Salim-Resal)*(1-EXP((Tnet-t)/(Tau_j))))*Salcycl</f>
        <v>4.4201018298266073E-2</v>
      </c>
      <c r="P148" s="169">
        <f>(INDEX(Models!$BJ148:$BT148,,T148)*(1-R148)+INDEX(Models!$BJ148:$BT148,,T148+1)*R148-ERP_i)*Q148*Ramure*Pc/MaxiM</f>
        <v>3.973670258655922E-4</v>
      </c>
      <c r="Q148" s="304">
        <f t="shared" si="51"/>
        <v>0.7</v>
      </c>
      <c r="R148" s="177">
        <f t="shared" si="52"/>
        <v>0.63339782930042077</v>
      </c>
      <c r="S148" s="799">
        <f t="shared" si="53"/>
        <v>-1</v>
      </c>
      <c r="T148" s="176">
        <f t="shared" si="54"/>
        <v>5</v>
      </c>
      <c r="U148" s="250">
        <f t="shared" si="55"/>
        <v>-0.36660217069957929</v>
      </c>
      <c r="V148" s="382">
        <f t="shared" si="56"/>
        <v>57.923615678888005</v>
      </c>
      <c r="W148" s="400"/>
      <c r="X148" s="157">
        <f t="shared" si="57"/>
        <v>44330</v>
      </c>
      <c r="Y148" s="383">
        <f t="shared" si="58"/>
        <v>38.90325563404123</v>
      </c>
      <c r="Z148" s="383">
        <f t="shared" si="59"/>
        <v>39.545977268038023</v>
      </c>
      <c r="AA148" s="384">
        <f t="shared" si="60"/>
        <v>41.374784892142429</v>
      </c>
      <c r="AB148" s="197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4.4201018298266073E-2</v>
      </c>
      <c r="AD148" s="230">
        <f>(INDEX(Models!$BJ148:$BT148,,AH148)*(1-AF148)+INDEX(Models!$BJ148:$BT148,,AH148+1)*AF148-ERP_i)*AE148*Ramure*Pc/MaxiM</f>
        <v>4.3339771063603734E-4</v>
      </c>
      <c r="AE148" s="304">
        <f t="shared" si="62"/>
        <v>0.7</v>
      </c>
      <c r="AF148" s="177">
        <f t="shared" si="63"/>
        <v>0.69773005156025292</v>
      </c>
      <c r="AG148" s="799">
        <f t="shared" si="71"/>
        <v>-1</v>
      </c>
      <c r="AH148" s="176">
        <f t="shared" si="64"/>
        <v>5</v>
      </c>
      <c r="AI148" s="224">
        <f t="shared" si="65"/>
        <v>-0.30226994843974714</v>
      </c>
      <c r="AJ148" s="264" t="b">
        <f t="shared" si="66"/>
        <v>1</v>
      </c>
      <c r="AK148" s="264" t="b">
        <f t="shared" si="67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68"/>
        <v>44331</v>
      </c>
      <c r="B149" s="607">
        <v>20.048999999999999</v>
      </c>
      <c r="C149" s="388"/>
      <c r="D149" s="391">
        <f t="shared" si="48"/>
        <v>20.380620607329504</v>
      </c>
      <c r="E149" s="383">
        <f t="shared" si="69"/>
        <v>21.324540359329379</v>
      </c>
      <c r="F149" s="383">
        <f t="shared" si="49"/>
        <v>21.325044621928203</v>
      </c>
      <c r="G149" s="110">
        <f t="shared" si="70"/>
        <v>0.34575820220926623</v>
      </c>
      <c r="H149" s="412" t="b">
        <f>Wh_hp&gt;='2020'!Maxi_hp</f>
        <v>0</v>
      </c>
      <c r="I149" s="379">
        <f>IF(H149,Wh_hp,'2020'!Maxi_hp)</f>
        <v>59.483162733669118</v>
      </c>
      <c r="J149" s="85">
        <f>IF(H149,An,'2020'!An_max)</f>
        <v>2018</v>
      </c>
      <c r="K149" s="197">
        <f t="shared" si="50"/>
        <v>44331</v>
      </c>
      <c r="L149" s="147">
        <f>IF(t&lt;Tvie,1-EXP((T0-t)*PertePVj)+'2020'!Pspv,1-EXP((T0-t)*PertePVj)+Pspv)</f>
        <v>1.6271369440547967E-2</v>
      </c>
      <c r="M149" s="832"/>
      <c r="N149" s="832"/>
      <c r="O149" s="48">
        <f>IF(t&lt;Tnet,'2020'!Resal+('2020'!Salim-'2020'!Resal)*(1-EXP(('2020'!Tnet-t)/('2020'!Tau_j))),Resal+(Salim-Resal)*(1-EXP((Tnet-t)/(Tau_j))))*Salcycl</f>
        <v>4.4264482895966031E-2</v>
      </c>
      <c r="P149" s="169">
        <f>(INDEX(Models!$BJ149:$BT149,,T149)*(1-R149)+INDEX(Models!$BJ149:$BT149,,T149+1)*R149-ERP_i)*Q149*Ramure*Pc/MaxiM</f>
        <v>3.6081985779873668E-4</v>
      </c>
      <c r="Q149" s="304">
        <f t="shared" si="51"/>
        <v>0.7</v>
      </c>
      <c r="R149" s="177">
        <f t="shared" si="52"/>
        <v>0.6365000626724524</v>
      </c>
      <c r="S149" s="799">
        <f t="shared" si="53"/>
        <v>-1</v>
      </c>
      <c r="T149" s="176">
        <f t="shared" si="54"/>
        <v>5</v>
      </c>
      <c r="U149" s="250">
        <f t="shared" si="55"/>
        <v>-0.3634999373275476</v>
      </c>
      <c r="V149" s="382">
        <f t="shared" si="56"/>
        <v>57.966057560944328</v>
      </c>
      <c r="W149" s="400"/>
      <c r="X149" s="157">
        <f t="shared" si="57"/>
        <v>44331</v>
      </c>
      <c r="Y149" s="383">
        <f t="shared" si="58"/>
        <v>20.048957022637126</v>
      </c>
      <c r="Z149" s="383">
        <f t="shared" si="59"/>
        <v>20.380576919099294</v>
      </c>
      <c r="AA149" s="384">
        <f t="shared" si="60"/>
        <v>21.324494647697417</v>
      </c>
      <c r="AB149" s="197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4.4264482895966031E-2</v>
      </c>
      <c r="AD149" s="230">
        <f>(INDEX(Models!$BJ149:$BT149,,AH149)*(1-AF149)+INDEX(Models!$BJ149:$BT149,,AH149+1)*AF149-ERP_i)*AE149*Ramure*Pc/MaxiM</f>
        <v>3.9352834060611013E-4</v>
      </c>
      <c r="AE149" s="304">
        <f t="shared" si="62"/>
        <v>0.7</v>
      </c>
      <c r="AF149" s="177">
        <f t="shared" si="63"/>
        <v>0.70083228493228455</v>
      </c>
      <c r="AG149" s="799">
        <f t="shared" si="71"/>
        <v>-1</v>
      </c>
      <c r="AH149" s="176">
        <f t="shared" si="64"/>
        <v>5</v>
      </c>
      <c r="AI149" s="224">
        <f t="shared" si="65"/>
        <v>-0.29916771506771545</v>
      </c>
      <c r="AJ149" s="264" t="b">
        <f t="shared" si="66"/>
        <v>1</v>
      </c>
      <c r="AK149" s="264" t="b">
        <f t="shared" si="67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68"/>
        <v>44332</v>
      </c>
      <c r="B150" s="607">
        <v>12.429</v>
      </c>
      <c r="C150" s="388"/>
      <c r="D150" s="391">
        <f t="shared" si="48"/>
        <v>12.634824094167136</v>
      </c>
      <c r="E150" s="383">
        <f t="shared" si="69"/>
        <v>13.220883206450102</v>
      </c>
      <c r="F150" s="383">
        <f t="shared" si="49"/>
        <v>13.220883206450102</v>
      </c>
      <c r="G150" s="110">
        <f t="shared" si="70"/>
        <v>0.21420287885189371</v>
      </c>
      <c r="H150" s="412" t="b">
        <f>Wh_hp&gt;='2020'!Maxi_hp</f>
        <v>0</v>
      </c>
      <c r="I150" s="379">
        <f>IF(H150,Wh_hp,'2020'!Maxi_hp)</f>
        <v>55.435904399739371</v>
      </c>
      <c r="J150" s="85">
        <f>IF(H150,An,'2020'!An_max)</f>
        <v>2018</v>
      </c>
      <c r="K150" s="197">
        <f t="shared" si="50"/>
        <v>44332</v>
      </c>
      <c r="L150" s="147">
        <f>IF(t&lt;Tvie,1-EXP((T0-t)*PertePVj)+'2020'!Pspv,1-EXP((T0-t)*PertePVj)+Pspv)</f>
        <v>1.6290222375328067E-2</v>
      </c>
      <c r="M150" s="832"/>
      <c r="N150" s="832"/>
      <c r="O150" s="48">
        <f>IF(t&lt;Tnet,'2020'!Resal+('2020'!Salim-'2020'!Resal)*(1-EXP(('2020'!Tnet-t)/('2020'!Tau_j))),Resal+(Salim-Resal)*(1-EXP((Tnet-t)/(Tau_j))))*Salcycl</f>
        <v>4.4328287538085431E-2</v>
      </c>
      <c r="P150" s="169">
        <f>(INDEX(Models!$BJ150:$BT150,,T150)*(1-R150)+INDEX(Models!$BJ150:$BT150,,T150+1)*R150-ERP_i)*Q150*Ramure*Pc/MaxiM</f>
        <v>3.2592939499028134E-4</v>
      </c>
      <c r="Q150" s="304">
        <f t="shared" si="51"/>
        <v>0.7</v>
      </c>
      <c r="R150" s="177">
        <f t="shared" si="52"/>
        <v>0.63966521264135334</v>
      </c>
      <c r="S150" s="799">
        <f t="shared" si="53"/>
        <v>-1</v>
      </c>
      <c r="T150" s="176">
        <f t="shared" si="54"/>
        <v>5</v>
      </c>
      <c r="U150" s="250">
        <f t="shared" si="55"/>
        <v>-0.36033478735864671</v>
      </c>
      <c r="V150" s="382">
        <f t="shared" si="56"/>
        <v>58.005518367195464</v>
      </c>
      <c r="W150" s="400"/>
      <c r="X150" s="157">
        <f t="shared" si="57"/>
        <v>44332</v>
      </c>
      <c r="Y150" s="383">
        <f t="shared" si="58"/>
        <v>12.429</v>
      </c>
      <c r="Z150" s="383">
        <f t="shared" si="59"/>
        <v>12.634824094167136</v>
      </c>
      <c r="AA150" s="384">
        <f t="shared" si="60"/>
        <v>13.220883206450102</v>
      </c>
      <c r="AB150" s="197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4.4328287538085431E-2</v>
      </c>
      <c r="AD150" s="230">
        <f>(INDEX(Models!$BJ150:$BT150,,AH150)*(1-AF150)+INDEX(Models!$BJ150:$BT150,,AH150+1)*AF150-ERP_i)*AE150*Ramure*Pc/MaxiM</f>
        <v>3.554617085800725E-4</v>
      </c>
      <c r="AE150" s="304">
        <f t="shared" si="62"/>
        <v>0.7</v>
      </c>
      <c r="AF150" s="177">
        <f t="shared" si="63"/>
        <v>0.70399743490118549</v>
      </c>
      <c r="AG150" s="799">
        <f t="shared" si="71"/>
        <v>-1</v>
      </c>
      <c r="AH150" s="176">
        <f t="shared" si="64"/>
        <v>5</v>
      </c>
      <c r="AI150" s="224">
        <f t="shared" si="65"/>
        <v>-0.29600256509881456</v>
      </c>
      <c r="AJ150" s="264" t="b">
        <f t="shared" si="66"/>
        <v>1</v>
      </c>
      <c r="AK150" s="264" t="b">
        <f t="shared" si="67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68"/>
        <v>44333</v>
      </c>
      <c r="B151" s="607">
        <v>49.230000000000004</v>
      </c>
      <c r="C151" s="388"/>
      <c r="D151" s="391">
        <f t="shared" si="48"/>
        <v>50.046207346517342</v>
      </c>
      <c r="E151" s="383">
        <f t="shared" si="69"/>
        <v>52.37108573652835</v>
      </c>
      <c r="F151" s="383">
        <f t="shared" si="49"/>
        <v>52.383125514636227</v>
      </c>
      <c r="G151" s="110">
        <f t="shared" si="70"/>
        <v>0.84812558014722628</v>
      </c>
      <c r="H151" s="412" t="b">
        <f>Wh_hp&gt;='2020'!Maxi_hp</f>
        <v>1</v>
      </c>
      <c r="I151" s="379">
        <f>IF(H151,Wh_hp,'2020'!Maxi_hp)</f>
        <v>52.383125514636227</v>
      </c>
      <c r="J151" s="85">
        <f>IF(H151,An,'2020'!An_max)</f>
        <v>2021</v>
      </c>
      <c r="K151" s="197">
        <f t="shared" si="50"/>
        <v>44333</v>
      </c>
      <c r="L151" s="147">
        <f>IF(t&lt;Tvie,1-EXP((T0-t)*PertePVj)+'2020'!Pspv,1-EXP((T0-t)*PertePVj)+Pspv)</f>
        <v>1.6309074948795965E-2</v>
      </c>
      <c r="M151" s="832"/>
      <c r="N151" s="832"/>
      <c r="O151" s="48">
        <f>IF(t&lt;Tnet,'2020'!Resal+('2020'!Salim-'2020'!Resal)*(1-EXP(('2020'!Tnet-t)/('2020'!Tau_j))),Resal+(Salim-Resal)*(1-EXP((Tnet-t)/(Tau_j))))*Salcycl</f>
        <v>4.4392403886891779E-2</v>
      </c>
      <c r="P151" s="169">
        <f>(INDEX(Models!$BJ151:$BT151,,T151)*(1-R151)+INDEX(Models!$BJ151:$BT151,,T151+1)*R151-ERP_i)*Q151*Ramure*Pc/MaxiM</f>
        <v>2.9349604860971171E-4</v>
      </c>
      <c r="Q151" s="304">
        <f t="shared" si="51"/>
        <v>0.7</v>
      </c>
      <c r="R151" s="177">
        <f t="shared" si="52"/>
        <v>0.64289245932933237</v>
      </c>
      <c r="S151" s="799">
        <f t="shared" si="53"/>
        <v>-1</v>
      </c>
      <c r="T151" s="176">
        <f t="shared" si="54"/>
        <v>5</v>
      </c>
      <c r="U151" s="250">
        <f t="shared" si="55"/>
        <v>-0.35710754067066763</v>
      </c>
      <c r="V151" s="382">
        <f t="shared" si="56"/>
        <v>58.041953553449133</v>
      </c>
      <c r="W151" s="400"/>
      <c r="X151" s="157">
        <f t="shared" si="57"/>
        <v>44333</v>
      </c>
      <c r="Y151" s="383">
        <f t="shared" si="58"/>
        <v>49.228974999909404</v>
      </c>
      <c r="Z151" s="383">
        <f t="shared" si="59"/>
        <v>50.045165352467684</v>
      </c>
      <c r="AA151" s="384">
        <f t="shared" si="60"/>
        <v>52.369995337023468</v>
      </c>
      <c r="AB151" s="197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4.4392403886891779E-2</v>
      </c>
      <c r="AD151" s="230">
        <f>(INDEX(Models!$BJ151:$BT151,,AH151)*(1-AF151)+INDEX(Models!$BJ151:$BT151,,AH151+1)*AF151-ERP_i)*AE151*Ramure*Pc/MaxiM</f>
        <v>3.2007693267767308E-4</v>
      </c>
      <c r="AE151" s="304">
        <f t="shared" si="62"/>
        <v>0.7</v>
      </c>
      <c r="AF151" s="177">
        <f t="shared" si="63"/>
        <v>0.70722468158916452</v>
      </c>
      <c r="AG151" s="799">
        <f t="shared" si="71"/>
        <v>-1</v>
      </c>
      <c r="AH151" s="176">
        <f t="shared" si="64"/>
        <v>5</v>
      </c>
      <c r="AI151" s="224">
        <f t="shared" si="65"/>
        <v>-0.29277531841083548</v>
      </c>
      <c r="AJ151" s="264" t="b">
        <f t="shared" si="66"/>
        <v>1</v>
      </c>
      <c r="AK151" s="264" t="b">
        <f t="shared" si="67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68"/>
        <v>44334</v>
      </c>
      <c r="B152" s="607">
        <v>36.234999999999999</v>
      </c>
      <c r="C152" s="388"/>
      <c r="D152" s="391">
        <f t="shared" si="48"/>
        <v>36.836463086137798</v>
      </c>
      <c r="E152" s="383">
        <f t="shared" si="69"/>
        <v>38.550285506202506</v>
      </c>
      <c r="F152" s="383">
        <f t="shared" si="49"/>
        <v>38.554987756463937</v>
      </c>
      <c r="G152" s="110">
        <f t="shared" si="70"/>
        <v>0.62384231208678242</v>
      </c>
      <c r="H152" s="412" t="b">
        <f>Wh_hp&gt;='2020'!Maxi_hp</f>
        <v>0</v>
      </c>
      <c r="I152" s="379">
        <f>IF(H152,Wh_hp,'2020'!Maxi_hp)</f>
        <v>60.850795316552379</v>
      </c>
      <c r="J152" s="85">
        <f>IF(H152,An,'2020'!An_max)</f>
        <v>2020</v>
      </c>
      <c r="K152" s="197">
        <f t="shared" si="50"/>
        <v>44334</v>
      </c>
      <c r="L152" s="147">
        <f>IF(t&lt;Tvie,1-EXP((T0-t)*PertePVj)+'2020'!Pspv,1-EXP((T0-t)*PertePVj)+Pspv)</f>
        <v>1.6327927160958655E-2</v>
      </c>
      <c r="M152" s="832"/>
      <c r="N152" s="832"/>
      <c r="O152" s="48">
        <f>IF(t&lt;Tnet,'2020'!Resal+('2020'!Salim-'2020'!Resal)*(1-EXP(('2020'!Tnet-t)/('2020'!Tau_j))),Resal+(Salim-Resal)*(1-EXP((Tnet-t)/(Tau_j))))*Salcycl</f>
        <v>4.4456802266457124E-2</v>
      </c>
      <c r="P152" s="169">
        <f>(INDEX(Models!$BJ152:$BT152,,T152)*(1-R152)+INDEX(Models!$BJ152:$BT152,,T152+1)*R152-ERP_i)*Q152*Ramure*Pc/MaxiM</f>
        <v>2.6355493007832771E-4</v>
      </c>
      <c r="Q152" s="304">
        <f t="shared" si="51"/>
        <v>0.7</v>
      </c>
      <c r="R152" s="177">
        <f t="shared" si="52"/>
        <v>0.64618084350849803</v>
      </c>
      <c r="S152" s="799">
        <f t="shared" si="53"/>
        <v>-1</v>
      </c>
      <c r="T152" s="176">
        <f t="shared" si="54"/>
        <v>5</v>
      </c>
      <c r="U152" s="250">
        <f t="shared" si="55"/>
        <v>-0.35381915649150197</v>
      </c>
      <c r="V152" s="382">
        <f t="shared" si="56"/>
        <v>58.075363050646018</v>
      </c>
      <c r="W152" s="400"/>
      <c r="X152" s="157">
        <f t="shared" si="57"/>
        <v>44334</v>
      </c>
      <c r="Y152" s="383">
        <f t="shared" si="58"/>
        <v>36.234599949858783</v>
      </c>
      <c r="Z152" s="383">
        <f t="shared" si="59"/>
        <v>36.836056395582823</v>
      </c>
      <c r="AA152" s="384">
        <f t="shared" si="60"/>
        <v>38.549859894303495</v>
      </c>
      <c r="AB152" s="197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4.4456802266457124E-2</v>
      </c>
      <c r="AD152" s="230">
        <f>(INDEX(Models!$BJ152:$BT152,,AH152)*(1-AF152)+INDEX(Models!$BJ152:$BT152,,AH152+1)*AF152-ERP_i)*AE152*Ramure*Pc/MaxiM</f>
        <v>2.8740991610595924E-4</v>
      </c>
      <c r="AE152" s="304">
        <f t="shared" si="62"/>
        <v>0.7</v>
      </c>
      <c r="AF152" s="177">
        <f t="shared" si="63"/>
        <v>0.71051306576833018</v>
      </c>
      <c r="AG152" s="799">
        <f t="shared" si="71"/>
        <v>-1</v>
      </c>
      <c r="AH152" s="176">
        <f t="shared" si="64"/>
        <v>5</v>
      </c>
      <c r="AI152" s="224">
        <f t="shared" si="65"/>
        <v>-0.28948693423166982</v>
      </c>
      <c r="AJ152" s="264" t="b">
        <f t="shared" si="66"/>
        <v>1</v>
      </c>
      <c r="AK152" s="264" t="b">
        <f t="shared" si="67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68"/>
        <v>44335</v>
      </c>
      <c r="B153" s="607">
        <v>44.606999999999999</v>
      </c>
      <c r="C153" s="388"/>
      <c r="D153" s="391">
        <f t="shared" si="48"/>
        <v>45.348298616038534</v>
      </c>
      <c r="E153" s="383">
        <f t="shared" si="69"/>
        <v>47.461346670343772</v>
      </c>
      <c r="F153" s="383">
        <f t="shared" si="49"/>
        <v>47.468835996299333</v>
      </c>
      <c r="G153" s="110">
        <f t="shared" si="70"/>
        <v>0.76762637210732432</v>
      </c>
      <c r="H153" s="412" t="b">
        <f>Wh_hp&gt;='2020'!Maxi_hp</f>
        <v>0</v>
      </c>
      <c r="I153" s="379">
        <f>IF(H153,Wh_hp,'2020'!Maxi_hp)</f>
        <v>61.039716032201341</v>
      </c>
      <c r="J153" s="85">
        <f>IF(H153,An,'2020'!An_max)</f>
        <v>2020</v>
      </c>
      <c r="K153" s="197">
        <f t="shared" si="50"/>
        <v>44335</v>
      </c>
      <c r="L153" s="147">
        <f>IF(t&lt;Tvie,1-EXP((T0-t)*PertePVj)+'2020'!Pspv,1-EXP((T0-t)*PertePVj)+Pspv)</f>
        <v>1.6346779011822909E-2</v>
      </c>
      <c r="M153" s="832"/>
      <c r="N153" s="832"/>
      <c r="O153" s="48">
        <f>IF(t&lt;Tnet,'2020'!Resal+('2020'!Salim-'2020'!Resal)*(1-EXP(('2020'!Tnet-t)/('2020'!Tau_j))),Resal+(Salim-Resal)*(1-EXP((Tnet-t)/(Tau_j))))*Salcycl</f>
        <v>4.4521451719059149E-2</v>
      </c>
      <c r="P153" s="169">
        <f>(INDEX(Models!$BJ153:$BT153,,T153)*(1-R153)+INDEX(Models!$BJ153:$BT153,,T153+1)*R153-ERP_i)*Q153*Ramure*Pc/MaxiM</f>
        <v>2.3614421669338202E-4</v>
      </c>
      <c r="Q153" s="304">
        <f t="shared" si="51"/>
        <v>0.7</v>
      </c>
      <c r="R153" s="177">
        <f t="shared" si="52"/>
        <v>0.64952926412233514</v>
      </c>
      <c r="S153" s="799">
        <f t="shared" si="53"/>
        <v>-1</v>
      </c>
      <c r="T153" s="176">
        <f t="shared" si="54"/>
        <v>5</v>
      </c>
      <c r="U153" s="250">
        <f t="shared" si="55"/>
        <v>-0.35047073587766481</v>
      </c>
      <c r="V153" s="382">
        <f t="shared" si="56"/>
        <v>58.105746738238985</v>
      </c>
      <c r="W153" s="400"/>
      <c r="X153" s="157">
        <f t="shared" si="57"/>
        <v>44335</v>
      </c>
      <c r="Y153" s="383">
        <f t="shared" si="58"/>
        <v>44.606363440742818</v>
      </c>
      <c r="Z153" s="383">
        <f t="shared" si="59"/>
        <v>45.347651478161488</v>
      </c>
      <c r="AA153" s="384">
        <f t="shared" si="60"/>
        <v>47.460669378448308</v>
      </c>
      <c r="AB153" s="197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4.4521451719059149E-2</v>
      </c>
      <c r="AD153" s="230">
        <f>(INDEX(Models!$BJ153:$BT153,,AH153)*(1-AF153)+INDEX(Models!$BJ153:$BT153,,AH153+1)*AF153-ERP_i)*AE153*Ramure*Pc/MaxiM</f>
        <v>2.5749975190109543E-4</v>
      </c>
      <c r="AE153" s="304">
        <f t="shared" si="62"/>
        <v>0.7</v>
      </c>
      <c r="AF153" s="177">
        <f t="shared" si="63"/>
        <v>0.71386148638216729</v>
      </c>
      <c r="AG153" s="799">
        <f t="shared" si="71"/>
        <v>-1</v>
      </c>
      <c r="AH153" s="176">
        <f t="shared" si="64"/>
        <v>5</v>
      </c>
      <c r="AI153" s="224">
        <f t="shared" si="65"/>
        <v>-0.28613851361783266</v>
      </c>
      <c r="AJ153" s="264" t="b">
        <f t="shared" si="66"/>
        <v>1</v>
      </c>
      <c r="AK153" s="264" t="b">
        <f t="shared" si="67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68"/>
        <v>44336</v>
      </c>
      <c r="B154" s="607">
        <v>56.350999999999999</v>
      </c>
      <c r="C154" s="388"/>
      <c r="D154" s="391">
        <f t="shared" si="48"/>
        <v>57.288563461567783</v>
      </c>
      <c r="E154" s="383">
        <f t="shared" si="69"/>
        <v>59.962050643617239</v>
      </c>
      <c r="F154" s="383">
        <f t="shared" si="49"/>
        <v>59.974168500450617</v>
      </c>
      <c r="G154" s="110">
        <f t="shared" si="70"/>
        <v>0.96933544102064917</v>
      </c>
      <c r="H154" s="412" t="b">
        <f>Wh_hp&gt;='2020'!Maxi_hp</f>
        <v>0</v>
      </c>
      <c r="I154" s="379">
        <f>IF(H154,Wh_hp,'2020'!Maxi_hp)</f>
        <v>60.491890433923544</v>
      </c>
      <c r="J154" s="85">
        <f>IF(H154,An,'2020'!An_max)</f>
        <v>2020</v>
      </c>
      <c r="K154" s="197">
        <f t="shared" si="50"/>
        <v>44336</v>
      </c>
      <c r="L154" s="147">
        <f>IF(t&lt;Tvie,1-EXP((T0-t)*PertePVj)+'2020'!Pspv,1-EXP((T0-t)*PertePVj)+Pspv)</f>
        <v>1.6365630501395834E-2</v>
      </c>
      <c r="M154" s="832"/>
      <c r="N154" s="832"/>
      <c r="O154" s="48">
        <f>IF(t&lt;Tnet,'2020'!Resal+('2020'!Salim-'2020'!Resal)*(1-EXP(('2020'!Tnet-t)/('2020'!Tau_j))),Resal+(Salim-Resal)*(1-EXP((Tnet-t)/(Tau_j))))*Salcycl</f>
        <v>4.4586320069993149E-2</v>
      </c>
      <c r="P154" s="169">
        <f>(INDEX(Models!$BJ154:$BT154,,T154)*(1-R154)+INDEX(Models!$BJ154:$BT154,,T154+1)*R154-ERP_i)*Q154*Ramure*Pc/MaxiM</f>
        <v>2.1130509993165392E-4</v>
      </c>
      <c r="Q154" s="304">
        <f t="shared" si="51"/>
        <v>0.7</v>
      </c>
      <c r="R154" s="177">
        <f t="shared" si="52"/>
        <v>0.65293647636846375</v>
      </c>
      <c r="S154" s="799">
        <f t="shared" si="53"/>
        <v>-1</v>
      </c>
      <c r="T154" s="176">
        <f t="shared" si="54"/>
        <v>5</v>
      </c>
      <c r="U154" s="250">
        <f t="shared" si="55"/>
        <v>-0.34706352363153625</v>
      </c>
      <c r="V154" s="382">
        <f t="shared" si="56"/>
        <v>58.133104441779196</v>
      </c>
      <c r="W154" s="400"/>
      <c r="X154" s="157">
        <f t="shared" si="57"/>
        <v>44336</v>
      </c>
      <c r="Y154" s="383">
        <f t="shared" si="58"/>
        <v>56.349971509013429</v>
      </c>
      <c r="Z154" s="383">
        <f t="shared" si="59"/>
        <v>57.287517858629883</v>
      </c>
      <c r="AA154" s="384">
        <f t="shared" si="60"/>
        <v>59.960956245494351</v>
      </c>
      <c r="AB154" s="197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4.4586320069993149E-2</v>
      </c>
      <c r="AD154" s="230">
        <f>(INDEX(Models!$BJ154:$BT154,,AH154)*(1-AF154)+INDEX(Models!$BJ154:$BT154,,AH154+1)*AF154-ERP_i)*AE154*Ramure*Pc/MaxiM</f>
        <v>2.3038866461648258E-4</v>
      </c>
      <c r="AE154" s="304">
        <f t="shared" si="62"/>
        <v>0.7</v>
      </c>
      <c r="AF154" s="177">
        <f t="shared" si="63"/>
        <v>0.7172686986282959</v>
      </c>
      <c r="AG154" s="799">
        <f t="shared" si="71"/>
        <v>-1</v>
      </c>
      <c r="AH154" s="176">
        <f t="shared" si="64"/>
        <v>5</v>
      </c>
      <c r="AI154" s="224">
        <f t="shared" si="65"/>
        <v>-0.2827313013717041</v>
      </c>
      <c r="AJ154" s="264" t="b">
        <f t="shared" si="66"/>
        <v>1</v>
      </c>
      <c r="AK154" s="264" t="b">
        <f t="shared" si="67"/>
        <v>0</v>
      </c>
      <c r="AL154" s="264"/>
      <c r="AM154" s="264"/>
      <c r="AN154" s="75"/>
    </row>
    <row r="155" spans="1:40" s="6" customFormat="1" ht="11.25" x14ac:dyDescent="0.2">
      <c r="A155" s="56">
        <f t="shared" si="68"/>
        <v>44337</v>
      </c>
      <c r="B155" s="607">
        <v>44.744999999999997</v>
      </c>
      <c r="C155" s="388"/>
      <c r="D155" s="391">
        <f t="shared" si="48"/>
        <v>45.490335567432773</v>
      </c>
      <c r="E155" s="383">
        <f t="shared" si="69"/>
        <v>47.616476676095608</v>
      </c>
      <c r="F155" s="383">
        <f t="shared" si="49"/>
        <v>47.622514573606956</v>
      </c>
      <c r="G155" s="110">
        <f t="shared" si="70"/>
        <v>0.76932917575779791</v>
      </c>
      <c r="H155" s="412" t="b">
        <f>Wh_hp&gt;='2020'!Maxi_hp</f>
        <v>0</v>
      </c>
      <c r="I155" s="379">
        <f>IF(H155,Wh_hp,'2020'!Maxi_hp)</f>
        <v>59.791074222210042</v>
      </c>
      <c r="J155" s="85">
        <f>IF(H155,An,'2020'!An_max)</f>
        <v>2020</v>
      </c>
      <c r="K155" s="197">
        <f t="shared" si="50"/>
        <v>44337</v>
      </c>
      <c r="L155" s="147">
        <f>IF(t&lt;Tvie,1-EXP((T0-t)*PertePVj)+'2020'!Pspv,1-EXP((T0-t)*PertePVj)+Pspv)</f>
        <v>1.63844816296842E-2</v>
      </c>
      <c r="M155" s="832"/>
      <c r="N155" s="832"/>
      <c r="O155" s="48">
        <f>IF(t&lt;Tnet,'2020'!Resal+('2020'!Salim-'2020'!Resal)*(1-EXP(('2020'!Tnet-t)/('2020'!Tau_j))),Resal+(Salim-Resal)*(1-EXP((Tnet-t)/(Tau_j))))*Salcycl</f>
        <v>4.4651374000760503E-2</v>
      </c>
      <c r="P155" s="169">
        <f>(INDEX(Models!$BJ155:$BT155,,T155)*(1-R155)+INDEX(Models!$BJ155:$BT155,,T155+1)*R155-ERP_i)*Q155*Ramure*Pc/MaxiM</f>
        <v>1.8908172105913318E-4</v>
      </c>
      <c r="Q155" s="304">
        <f t="shared" si="51"/>
        <v>0.7</v>
      </c>
      <c r="R155" s="177">
        <f t="shared" si="52"/>
        <v>0.65640109038521799</v>
      </c>
      <c r="S155" s="799">
        <f t="shared" si="53"/>
        <v>-1</v>
      </c>
      <c r="T155" s="176">
        <f t="shared" si="54"/>
        <v>5</v>
      </c>
      <c r="U155" s="250">
        <f t="shared" si="55"/>
        <v>-0.34359890961478196</v>
      </c>
      <c r="V155" s="382">
        <f t="shared" si="56"/>
        <v>58.157435935071582</v>
      </c>
      <c r="W155" s="400"/>
      <c r="X155" s="157">
        <f t="shared" si="57"/>
        <v>44337</v>
      </c>
      <c r="Y155" s="383">
        <f t="shared" si="58"/>
        <v>44.744488673161882</v>
      </c>
      <c r="Z155" s="383">
        <f t="shared" si="59"/>
        <v>45.489815723216644</v>
      </c>
      <c r="AA155" s="384">
        <f t="shared" si="60"/>
        <v>47.615932535242749</v>
      </c>
      <c r="AB155" s="197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4.4651374000760503E-2</v>
      </c>
      <c r="AD155" s="230">
        <f>(INDEX(Models!$BJ155:$BT155,,AH155)*(1-AF155)+INDEX(Models!$BJ155:$BT155,,AH155+1)*AF155-ERP_i)*AE155*Ramure*Pc/MaxiM</f>
        <v>2.0612193891074548E-4</v>
      </c>
      <c r="AE155" s="304">
        <f t="shared" si="62"/>
        <v>0.7</v>
      </c>
      <c r="AF155" s="177">
        <f t="shared" si="63"/>
        <v>0.72073331264505014</v>
      </c>
      <c r="AG155" s="799">
        <f t="shared" si="71"/>
        <v>-1</v>
      </c>
      <c r="AH155" s="176">
        <f t="shared" si="64"/>
        <v>5</v>
      </c>
      <c r="AI155" s="224">
        <f t="shared" si="65"/>
        <v>-0.27926668735494981</v>
      </c>
      <c r="AJ155" s="264" t="b">
        <f t="shared" si="66"/>
        <v>1</v>
      </c>
      <c r="AK155" s="264" t="b">
        <f t="shared" si="67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68"/>
        <v>44338</v>
      </c>
      <c r="B156" s="607">
        <v>31.911999999999999</v>
      </c>
      <c r="C156" s="388"/>
      <c r="D156" s="391">
        <f t="shared" si="48"/>
        <v>32.444192880155676</v>
      </c>
      <c r="E156" s="383">
        <f t="shared" si="69"/>
        <v>33.962897472486041</v>
      </c>
      <c r="F156" s="383">
        <f t="shared" si="49"/>
        <v>33.96494895001576</v>
      </c>
      <c r="G156" s="110">
        <f t="shared" si="70"/>
        <v>0.54845665270052968</v>
      </c>
      <c r="H156" s="412" t="b">
        <f>Wh_hp&gt;='2020'!Maxi_hp</f>
        <v>0</v>
      </c>
      <c r="I156" s="379">
        <f>IF(H156,Wh_hp,'2020'!Maxi_hp)</f>
        <v>60.114527951171105</v>
      </c>
      <c r="J156" s="85">
        <f>IF(H156,An,'2020'!An_max)</f>
        <v>2018</v>
      </c>
      <c r="K156" s="197">
        <f t="shared" si="50"/>
        <v>44338</v>
      </c>
      <c r="L156" s="147">
        <f>IF(t&lt;Tvie,1-EXP((T0-t)*PertePVj)+'2020'!Pspv,1-EXP((T0-t)*PertePVj)+Pspv)</f>
        <v>1.6403332396695003E-2</v>
      </c>
      <c r="M156" s="832"/>
      <c r="N156" s="832"/>
      <c r="O156" s="48">
        <f>IF(t&lt;Tnet,'2020'!Resal+('2020'!Salim-'2020'!Resal)*(1-EXP(('2020'!Tnet-t)/('2020'!Tau_j))),Resal+(Salim-Resal)*(1-EXP((Tnet-t)/(Tau_j))))*Salcycl</f>
        <v>4.4716579130526027E-2</v>
      </c>
      <c r="P156" s="169">
        <f>(INDEX(Models!$BJ156:$BT156,,T156)*(1-R156)+INDEX(Models!$BJ156:$BT156,,T156+1)*R156-ERP_i)*Q156*Ramure*Pc/MaxiM</f>
        <v>1.701288661352108E-4</v>
      </c>
      <c r="Q156" s="304">
        <f t="shared" si="51"/>
        <v>0.7</v>
      </c>
      <c r="R156" s="177">
        <f t="shared" si="52"/>
        <v>0.65992157058166245</v>
      </c>
      <c r="S156" s="799">
        <f t="shared" si="53"/>
        <v>-1</v>
      </c>
      <c r="T156" s="176">
        <f t="shared" si="54"/>
        <v>5</v>
      </c>
      <c r="U156" s="250">
        <f t="shared" si="55"/>
        <v>-0.34007842941833755</v>
      </c>
      <c r="V156" s="382">
        <f t="shared" si="56"/>
        <v>58.178705570870662</v>
      </c>
      <c r="W156" s="400"/>
      <c r="X156" s="157">
        <f t="shared" si="57"/>
        <v>44338</v>
      </c>
      <c r="Y156" s="383">
        <f t="shared" si="58"/>
        <v>31.911826813554178</v>
      </c>
      <c r="Z156" s="383">
        <f t="shared" si="59"/>
        <v>32.444016805498734</v>
      </c>
      <c r="AA156" s="384">
        <f t="shared" si="60"/>
        <v>33.962713155818236</v>
      </c>
      <c r="AB156" s="197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4.4716579130526027E-2</v>
      </c>
      <c r="AD156" s="230">
        <f>(INDEX(Models!$BJ156:$BT156,,AH156)*(1-AF156)+INDEX(Models!$BJ156:$BT156,,AH156+1)*AF156-ERP_i)*AE156*Ramure*Pc/MaxiM</f>
        <v>1.8541423253524078E-4</v>
      </c>
      <c r="AE156" s="304">
        <f t="shared" si="62"/>
        <v>0.7</v>
      </c>
      <c r="AF156" s="177">
        <f t="shared" si="63"/>
        <v>0.7242537928414946</v>
      </c>
      <c r="AG156" s="799">
        <f t="shared" si="71"/>
        <v>-1</v>
      </c>
      <c r="AH156" s="176">
        <f t="shared" si="64"/>
        <v>5</v>
      </c>
      <c r="AI156" s="224">
        <f t="shared" si="65"/>
        <v>-0.2757462071585054</v>
      </c>
      <c r="AJ156" s="264" t="b">
        <f t="shared" si="66"/>
        <v>1</v>
      </c>
      <c r="AK156" s="264" t="b">
        <f t="shared" si="67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68"/>
        <v>44339</v>
      </c>
      <c r="B157" s="607">
        <v>33.430999999999997</v>
      </c>
      <c r="C157" s="388"/>
      <c r="D157" s="391">
        <f t="shared" si="48"/>
        <v>33.989176469282789</v>
      </c>
      <c r="E157" s="383">
        <f t="shared" si="69"/>
        <v>35.582634450752664</v>
      </c>
      <c r="F157" s="383">
        <f t="shared" si="49"/>
        <v>35.584769837056385</v>
      </c>
      <c r="G157" s="110">
        <f t="shared" si="70"/>
        <v>0.57439199560985099</v>
      </c>
      <c r="H157" s="412" t="b">
        <f>Wh_hp&gt;='2020'!Maxi_hp</f>
        <v>0</v>
      </c>
      <c r="I157" s="379">
        <f>IF(H157,Wh_hp,'2020'!Maxi_hp)</f>
        <v>59.059449252254765</v>
      </c>
      <c r="J157" s="85">
        <f>IF(H157,An,'2020'!An_max)</f>
        <v>2018</v>
      </c>
      <c r="K157" s="197">
        <f t="shared" si="50"/>
        <v>44339</v>
      </c>
      <c r="L157" s="147">
        <f>IF(t&lt;Tvie,1-EXP((T0-t)*PertePVj)+'2020'!Pspv,1-EXP((T0-t)*PertePVj)+Pspv)</f>
        <v>1.6422182802435126E-2</v>
      </c>
      <c r="M157" s="832"/>
      <c r="N157" s="832"/>
      <c r="O157" s="48">
        <f>IF(t&lt;Tnet,'2020'!Resal+('2020'!Salim-'2020'!Resal)*(1-EXP(('2020'!Tnet-t)/('2020'!Tau_j))),Resal+(Salim-Resal)*(1-EXP((Tnet-t)/(Tau_j))))*Salcycl</f>
        <v>4.4781900105661479E-2</v>
      </c>
      <c r="P157" s="169">
        <f>(INDEX(Models!$BJ157:$BT157,,T157)*(1-R157)+INDEX(Models!$BJ157:$BT157,,T157+1)*R157-ERP_i)*Q157*Ramure*Pc/MaxiM</f>
        <v>1.5305738746184918E-4</v>
      </c>
      <c r="Q157" s="304">
        <f t="shared" si="51"/>
        <v>0.7</v>
      </c>
      <c r="R157" s="177">
        <f t="shared" si="52"/>
        <v>0.66349623564708038</v>
      </c>
      <c r="S157" s="799">
        <f t="shared" si="53"/>
        <v>-1</v>
      </c>
      <c r="T157" s="176">
        <f t="shared" si="54"/>
        <v>5</v>
      </c>
      <c r="U157" s="250">
        <f t="shared" si="55"/>
        <v>-0.33650376435291962</v>
      </c>
      <c r="V157" s="382">
        <f t="shared" si="56"/>
        <v>58.196996736099649</v>
      </c>
      <c r="W157" s="400"/>
      <c r="X157" s="157">
        <f t="shared" si="57"/>
        <v>44339</v>
      </c>
      <c r="Y157" s="383">
        <f t="shared" si="58"/>
        <v>33.430820330389018</v>
      </c>
      <c r="Z157" s="383">
        <f t="shared" si="59"/>
        <v>33.988993799840841</v>
      </c>
      <c r="AA157" s="384">
        <f t="shared" si="60"/>
        <v>35.582443217523348</v>
      </c>
      <c r="AB157" s="197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4.4781900105661479E-2</v>
      </c>
      <c r="AD157" s="230">
        <f>(INDEX(Models!$BJ157:$BT157,,AH157)*(1-AF157)+INDEX(Models!$BJ157:$BT157,,AH157+1)*AF157-ERP_i)*AE157*Ramure*Pc/MaxiM</f>
        <v>1.6676434925323415E-4</v>
      </c>
      <c r="AE157" s="304">
        <f t="shared" si="62"/>
        <v>0.7</v>
      </c>
      <c r="AF157" s="177">
        <f t="shared" si="63"/>
        <v>0.72782845790691253</v>
      </c>
      <c r="AG157" s="799">
        <f t="shared" si="71"/>
        <v>-1</v>
      </c>
      <c r="AH157" s="176">
        <f t="shared" si="64"/>
        <v>5</v>
      </c>
      <c r="AI157" s="224">
        <f t="shared" si="65"/>
        <v>-0.27217154209308747</v>
      </c>
      <c r="AJ157" s="264" t="b">
        <f t="shared" si="66"/>
        <v>1</v>
      </c>
      <c r="AK157" s="264" t="b">
        <f t="shared" si="67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68"/>
        <v>44340</v>
      </c>
      <c r="B158" s="607">
        <v>25.045999999999999</v>
      </c>
      <c r="C158" s="388"/>
      <c r="D158" s="391">
        <f t="shared" si="48"/>
        <v>25.464665400281643</v>
      </c>
      <c r="E158" s="383">
        <f t="shared" si="69"/>
        <v>26.66030826156592</v>
      </c>
      <c r="F158" s="383">
        <f t="shared" si="49"/>
        <v>26.660992397930677</v>
      </c>
      <c r="G158" s="110">
        <f t="shared" si="70"/>
        <v>0.43020434472642677</v>
      </c>
      <c r="H158" s="412" t="b">
        <f>Wh_hp&gt;='2020'!Maxi_hp</f>
        <v>1</v>
      </c>
      <c r="I158" s="379">
        <f>IF(H158,Wh_hp,'2020'!Maxi_hp)</f>
        <v>26.660992397930677</v>
      </c>
      <c r="J158" s="85">
        <f>IF(H158,An,'2020'!An_max)</f>
        <v>2021</v>
      </c>
      <c r="K158" s="197">
        <f t="shared" si="50"/>
        <v>44340</v>
      </c>
      <c r="L158" s="147">
        <f>IF(t&lt;Tvie,1-EXP((T0-t)*PertePVj)+'2020'!Pspv,1-EXP((T0-t)*PertePVj)+Pspv)</f>
        <v>1.6441032846911563E-2</v>
      </c>
      <c r="M158" s="832"/>
      <c r="N158" s="832"/>
      <c r="O158" s="48">
        <f>IF(t&lt;Tnet,'2020'!Resal+('2020'!Salim-'2020'!Resal)*(1-EXP(('2020'!Tnet-t)/('2020'!Tau_j))),Resal+(Salim-Resal)*(1-EXP((Tnet-t)/(Tau_j))))*Salcycl</f>
        <v>4.4847300697117003E-2</v>
      </c>
      <c r="P158" s="169">
        <f>(INDEX(Models!$BJ158:$BT158,,T158)*(1-R158)+INDEX(Models!$BJ158:$BT158,,T158+1)*R158-ERP_i)*Q158*Ramure*Pc/MaxiM</f>
        <v>1.3790432059808408E-4</v>
      </c>
      <c r="Q158" s="304">
        <f t="shared" si="51"/>
        <v>0.7</v>
      </c>
      <c r="R158" s="177">
        <f t="shared" si="52"/>
        <v>0.66712325927174398</v>
      </c>
      <c r="S158" s="799">
        <f t="shared" si="53"/>
        <v>-1</v>
      </c>
      <c r="T158" s="176">
        <f t="shared" si="54"/>
        <v>5</v>
      </c>
      <c r="U158" s="250">
        <f t="shared" si="55"/>
        <v>-0.33287674072825602</v>
      </c>
      <c r="V158" s="382">
        <f t="shared" si="56"/>
        <v>58.212309982374428</v>
      </c>
      <c r="W158" s="400"/>
      <c r="X158" s="157">
        <f t="shared" si="57"/>
        <v>44340</v>
      </c>
      <c r="Y158" s="383">
        <f t="shared" si="58"/>
        <v>25.045942647095536</v>
      </c>
      <c r="Z158" s="383">
        <f t="shared" si="59"/>
        <v>25.464607088674125</v>
      </c>
      <c r="AA158" s="384">
        <f t="shared" si="60"/>
        <v>26.660247212052518</v>
      </c>
      <c r="AB158" s="197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4.4847300697117003E-2</v>
      </c>
      <c r="AD158" s="230">
        <f>(INDEX(Models!$BJ158:$BT158,,AH158)*(1-AF158)+INDEX(Models!$BJ158:$BT158,,AH158+1)*AF158-ERP_i)*AE158*Ramure*Pc/MaxiM</f>
        <v>1.502103345776822E-4</v>
      </c>
      <c r="AE158" s="304">
        <f t="shared" si="62"/>
        <v>0.7</v>
      </c>
      <c r="AF158" s="177">
        <f t="shared" si="63"/>
        <v>0.73145548153157613</v>
      </c>
      <c r="AG158" s="799">
        <f t="shared" si="71"/>
        <v>-1</v>
      </c>
      <c r="AH158" s="176">
        <f t="shared" si="64"/>
        <v>5</v>
      </c>
      <c r="AI158" s="224">
        <f t="shared" si="65"/>
        <v>-0.26854451846842387</v>
      </c>
      <c r="AJ158" s="264" t="b">
        <f t="shared" si="66"/>
        <v>1</v>
      </c>
      <c r="AK158" s="264" t="b">
        <f t="shared" si="67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68"/>
        <v>44341</v>
      </c>
      <c r="B159" s="607">
        <v>48.246000000000002</v>
      </c>
      <c r="C159" s="388"/>
      <c r="D159" s="391">
        <f t="shared" si="48"/>
        <v>49.053413422638592</v>
      </c>
      <c r="E159" s="383">
        <f t="shared" si="69"/>
        <v>51.360138154512363</v>
      </c>
      <c r="F159" s="383">
        <f t="shared" si="49"/>
        <v>51.364975545173031</v>
      </c>
      <c r="G159" s="110">
        <f t="shared" si="70"/>
        <v>0.82859287741500265</v>
      </c>
      <c r="H159" s="412" t="b">
        <f>Wh_hp&gt;='2020'!Maxi_hp</f>
        <v>0</v>
      </c>
      <c r="I159" s="379">
        <f>IF(H159,Wh_hp,'2020'!Maxi_hp)</f>
        <v>56.87087566419774</v>
      </c>
      <c r="J159" s="85">
        <f>IF(H159,An,'2020'!An_max)</f>
        <v>2020</v>
      </c>
      <c r="K159" s="197">
        <f t="shared" si="50"/>
        <v>44341</v>
      </c>
      <c r="L159" s="147">
        <f>IF(t&lt;Tvie,1-EXP((T0-t)*PertePVj)+'2020'!Pspv,1-EXP((T0-t)*PertePVj)+Pspv)</f>
        <v>1.6459882530131198E-2</v>
      </c>
      <c r="M159" s="832"/>
      <c r="N159" s="832"/>
      <c r="O159" s="48">
        <f>IF(t&lt;Tnet,'2020'!Resal+('2020'!Salim-'2020'!Resal)*(1-EXP(('2020'!Tnet-t)/('2020'!Tau_j))),Resal+(Salim-Resal)*(1-EXP((Tnet-t)/(Tau_j))))*Salcycl</f>
        <v>4.4912743905286975E-2</v>
      </c>
      <c r="P159" s="169">
        <f>(INDEX(Models!$BJ159:$BT159,,T159)*(1-R159)+INDEX(Models!$BJ159:$BT159,,T159+1)*R159-ERP_i)*Q159*Ramure*Pc/MaxiM</f>
        <v>1.2470963873719825E-4</v>
      </c>
      <c r="Q159" s="304">
        <f t="shared" si="51"/>
        <v>0.7</v>
      </c>
      <c r="R159" s="177">
        <f t="shared" si="52"/>
        <v>0.67080067160591761</v>
      </c>
      <c r="S159" s="799">
        <f t="shared" si="53"/>
        <v>-1</v>
      </c>
      <c r="T159" s="176">
        <f t="shared" si="54"/>
        <v>5</v>
      </c>
      <c r="U159" s="250">
        <f t="shared" si="55"/>
        <v>-0.32919932839408239</v>
      </c>
      <c r="V159" s="382">
        <f t="shared" si="56"/>
        <v>58.224645770504189</v>
      </c>
      <c r="W159" s="400"/>
      <c r="X159" s="157">
        <f t="shared" si="57"/>
        <v>44341</v>
      </c>
      <c r="Y159" s="383">
        <f t="shared" si="58"/>
        <v>48.245596140491081</v>
      </c>
      <c r="Z159" s="383">
        <f t="shared" si="59"/>
        <v>49.053002804401729</v>
      </c>
      <c r="AA159" s="384">
        <f t="shared" si="60"/>
        <v>51.359708227053652</v>
      </c>
      <c r="AB159" s="197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4.4912743905286975E-2</v>
      </c>
      <c r="AD159" s="230">
        <f>(INDEX(Models!$BJ159:$BT159,,AH159)*(1-AF159)+INDEX(Models!$BJ159:$BT159,,AH159+1)*AF159-ERP_i)*AE159*Ramure*Pc/MaxiM</f>
        <v>1.3579332037876599E-4</v>
      </c>
      <c r="AE159" s="304">
        <f t="shared" si="62"/>
        <v>0.7</v>
      </c>
      <c r="AF159" s="177">
        <f t="shared" si="63"/>
        <v>0.73513289386574976</v>
      </c>
      <c r="AG159" s="799">
        <f t="shared" si="71"/>
        <v>-1</v>
      </c>
      <c r="AH159" s="176">
        <f t="shared" si="64"/>
        <v>5</v>
      </c>
      <c r="AI159" s="224">
        <f t="shared" si="65"/>
        <v>-0.26486710613425024</v>
      </c>
      <c r="AJ159" s="264" t="b">
        <f t="shared" si="66"/>
        <v>1</v>
      </c>
      <c r="AK159" s="264" t="b">
        <f t="shared" si="67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68"/>
        <v>44342</v>
      </c>
      <c r="B160" s="607">
        <v>51.024999999999999</v>
      </c>
      <c r="C160" s="388"/>
      <c r="D160" s="391">
        <f t="shared" si="48"/>
        <v>51.879915211276362</v>
      </c>
      <c r="E160" s="383">
        <f t="shared" si="69"/>
        <v>54.323278045170618</v>
      </c>
      <c r="F160" s="383">
        <f t="shared" si="49"/>
        <v>54.328354493190339</v>
      </c>
      <c r="G160" s="110">
        <f t="shared" si="70"/>
        <v>0.87618868027160324</v>
      </c>
      <c r="H160" s="412" t="b">
        <f>Wh_hp&gt;='2020'!Maxi_hp</f>
        <v>0</v>
      </c>
      <c r="I160" s="379">
        <f>IF(H160,Wh_hp,'2020'!Maxi_hp)</f>
        <v>60.853144099626277</v>
      </c>
      <c r="J160" s="85">
        <f>IF(H160,An,'2020'!An_max)</f>
        <v>2020</v>
      </c>
      <c r="K160" s="197">
        <f t="shared" si="50"/>
        <v>44342</v>
      </c>
      <c r="L160" s="147">
        <f>IF(t&lt;Tvie,1-EXP((T0-t)*PertePVj)+'2020'!Pspv,1-EXP((T0-t)*PertePVj)+Pspv)</f>
        <v>1.6478731852101025E-2</v>
      </c>
      <c r="M160" s="832"/>
      <c r="N160" s="832"/>
      <c r="O160" s="48">
        <f>IF(t&lt;Tnet,'2020'!Resal+('2020'!Salim-'2020'!Resal)*(1-EXP(('2020'!Tnet-t)/('2020'!Tau_j))),Resal+(Salim-Resal)*(1-EXP((Tnet-t)/(Tau_j))))*Salcycl</f>
        <v>4.4978192071961479E-2</v>
      </c>
      <c r="P160" s="169">
        <f>(INDEX(Models!$BJ160:$BT160,,T160)*(1-R160)+INDEX(Models!$BJ160:$BT160,,T160+1)*R160-ERP_i)*Q160*Ramure*Pc/MaxiM</f>
        <v>1.1351505171090068E-4</v>
      </c>
      <c r="Q160" s="304">
        <f t="shared" si="51"/>
        <v>0.7</v>
      </c>
      <c r="R160" s="177">
        <f t="shared" si="52"/>
        <v>0.67452636147858347</v>
      </c>
      <c r="S160" s="799">
        <f t="shared" si="53"/>
        <v>-1</v>
      </c>
      <c r="T160" s="176">
        <f t="shared" si="54"/>
        <v>5</v>
      </c>
      <c r="U160" s="250">
        <f t="shared" si="55"/>
        <v>-0.32547363852141653</v>
      </c>
      <c r="V160" s="382">
        <f t="shared" si="56"/>
        <v>58.23400453555746</v>
      </c>
      <c r="W160" s="400"/>
      <c r="X160" s="157">
        <f t="shared" si="57"/>
        <v>44342</v>
      </c>
      <c r="Y160" s="383">
        <f t="shared" si="58"/>
        <v>51.024578218360936</v>
      </c>
      <c r="Z160" s="383">
        <f t="shared" si="59"/>
        <v>51.879486362757547</v>
      </c>
      <c r="AA160" s="384">
        <f t="shared" si="60"/>
        <v>54.322828999384171</v>
      </c>
      <c r="AB160" s="197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4.4978192071961479E-2</v>
      </c>
      <c r="AD160" s="230">
        <f>(INDEX(Models!$BJ160:$BT160,,AH160)*(1-AF160)+INDEX(Models!$BJ160:$BT160,,AH160+1)*AF160-ERP_i)*AE160*Ramure*Pc/MaxiM</f>
        <v>1.235562173982437E-4</v>
      </c>
      <c r="AE160" s="304">
        <f t="shared" si="62"/>
        <v>0.7</v>
      </c>
      <c r="AF160" s="177">
        <f t="shared" si="63"/>
        <v>0.73885858373841562</v>
      </c>
      <c r="AG160" s="799">
        <f t="shared" si="71"/>
        <v>-1</v>
      </c>
      <c r="AH160" s="176">
        <f t="shared" si="64"/>
        <v>5</v>
      </c>
      <c r="AI160" s="224">
        <f t="shared" si="65"/>
        <v>-0.26114141626158438</v>
      </c>
      <c r="AJ160" s="264" t="b">
        <f t="shared" si="66"/>
        <v>1</v>
      </c>
      <c r="AK160" s="264" t="b">
        <f t="shared" si="67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68"/>
        <v>44343</v>
      </c>
      <c r="B161" s="607">
        <v>57.313000000000002</v>
      </c>
      <c r="C161" s="388"/>
      <c r="D161" s="391">
        <f t="shared" si="48"/>
        <v>58.274386398934375</v>
      </c>
      <c r="E161" s="383">
        <f t="shared" si="69"/>
        <v>61.023086316849401</v>
      </c>
      <c r="F161" s="383">
        <f t="shared" si="49"/>
        <v>61.029310689463564</v>
      </c>
      <c r="G161" s="110">
        <f t="shared" si="70"/>
        <v>0.98407423411325834</v>
      </c>
      <c r="H161" s="412" t="b">
        <f>Wh_hp&gt;='2020'!Maxi_hp</f>
        <v>1</v>
      </c>
      <c r="I161" s="379">
        <f>IF(H161,Wh_hp,'2020'!Maxi_hp)</f>
        <v>61.029310689463564</v>
      </c>
      <c r="J161" s="85">
        <f>IF(H161,An,'2020'!An_max)</f>
        <v>2021</v>
      </c>
      <c r="K161" s="197">
        <f t="shared" si="50"/>
        <v>44343</v>
      </c>
      <c r="L161" s="147">
        <f>IF(t&lt;Tvie,1-EXP((T0-t)*PertePVj)+'2020'!Pspv,1-EXP((T0-t)*PertePVj)+Pspv)</f>
        <v>1.6497580812827817E-2</v>
      </c>
      <c r="M161" s="832"/>
      <c r="N161" s="832"/>
      <c r="O161" s="48">
        <f>IF(t&lt;Tnet,'2020'!Resal+('2020'!Salim-'2020'!Resal)*(1-EXP(('2020'!Tnet-t)/('2020'!Tau_j))),Resal+(Salim-Resal)*(1-EXP((Tnet-t)/(Tau_j))))*Salcycl</f>
        <v>4.5043606998882081E-2</v>
      </c>
      <c r="P161" s="169">
        <f>(INDEX(Models!$BJ161:$BT161,,T161)*(1-R161)+INDEX(Models!$BJ161:$BT161,,T161+1)*R161-ERP_i)*Q161*Ramure*Pc/MaxiM</f>
        <v>1.0436393419683446E-4</v>
      </c>
      <c r="Q161" s="304">
        <f t="shared" si="51"/>
        <v>0.7</v>
      </c>
      <c r="R161" s="177">
        <f t="shared" si="52"/>
        <v>0.67829807939136422</v>
      </c>
      <c r="S161" s="799">
        <f t="shared" si="53"/>
        <v>-1</v>
      </c>
      <c r="T161" s="176">
        <f t="shared" si="54"/>
        <v>5</v>
      </c>
      <c r="U161" s="250">
        <f t="shared" si="55"/>
        <v>-0.32170192060863578</v>
      </c>
      <c r="V161" s="382">
        <f t="shared" si="56"/>
        <v>58.240386685974975</v>
      </c>
      <c r="W161" s="400"/>
      <c r="X161" s="157">
        <f t="shared" si="57"/>
        <v>44343</v>
      </c>
      <c r="Y161" s="383">
        <f t="shared" si="58"/>
        <v>57.312485799079575</v>
      </c>
      <c r="Z161" s="383">
        <f t="shared" si="59"/>
        <v>58.273863572644991</v>
      </c>
      <c r="AA161" s="384">
        <f t="shared" si="60"/>
        <v>61.022538829767043</v>
      </c>
      <c r="AB161" s="197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4.5043606998882081E-2</v>
      </c>
      <c r="AD161" s="230">
        <f>(INDEX(Models!$BJ161:$BT161,,AH161)*(1-AF161)+INDEX(Models!$BJ161:$BT161,,AH161+1)*AF161-ERP_i)*AE161*Ramure*Pc/MaxiM</f>
        <v>1.135436394263586E-4</v>
      </c>
      <c r="AE161" s="304">
        <f t="shared" si="62"/>
        <v>0.7</v>
      </c>
      <c r="AF161" s="177">
        <f t="shared" si="63"/>
        <v>0.74263030165119637</v>
      </c>
      <c r="AG161" s="799">
        <f t="shared" si="71"/>
        <v>-1</v>
      </c>
      <c r="AH161" s="176">
        <f t="shared" si="64"/>
        <v>5</v>
      </c>
      <c r="AI161" s="224">
        <f t="shared" si="65"/>
        <v>-0.25736969834880363</v>
      </c>
      <c r="AJ161" s="264" t="b">
        <f t="shared" si="66"/>
        <v>1</v>
      </c>
      <c r="AK161" s="264" t="b">
        <f t="shared" si="67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68"/>
        <v>44344</v>
      </c>
      <c r="B162" s="607">
        <v>41.468000000000004</v>
      </c>
      <c r="C162" s="388"/>
      <c r="D162" s="391">
        <f t="shared" si="48"/>
        <v>42.164405425929758</v>
      </c>
      <c r="E162" s="383">
        <f t="shared" si="69"/>
        <v>44.156247384583239</v>
      </c>
      <c r="F162" s="383">
        <f t="shared" si="49"/>
        <v>44.158776135185903</v>
      </c>
      <c r="G162" s="110">
        <f t="shared" si="70"/>
        <v>0.71194436064110789</v>
      </c>
      <c r="H162" s="412" t="b">
        <f>Wh_hp&gt;='2020'!Maxi_hp</f>
        <v>0</v>
      </c>
      <c r="I162" s="379">
        <f>IF(H162,Wh_hp,'2020'!Maxi_hp)</f>
        <v>60.065997038035896</v>
      </c>
      <c r="J162" s="85">
        <f>IF(H162,An,'2020'!An_max)</f>
        <v>2020</v>
      </c>
      <c r="K162" s="197">
        <f t="shared" si="50"/>
        <v>44344</v>
      </c>
      <c r="L162" s="147">
        <f>IF(t&lt;Tvie,1-EXP((T0-t)*PertePVj)+'2020'!Pspv,1-EXP((T0-t)*PertePVj)+Pspv)</f>
        <v>1.6516429412318567E-2</v>
      </c>
      <c r="M162" s="832"/>
      <c r="N162" s="832"/>
      <c r="O162" s="48">
        <f>IF(t&lt;Tnet,'2020'!Resal+('2020'!Salim-'2020'!Resal)*(1-EXP(('2020'!Tnet-t)/('2020'!Tau_j))),Resal+(Salim-Resal)*(1-EXP((Tnet-t)/(Tau_j))))*Salcycl</f>
        <v>4.5108950072349455E-2</v>
      </c>
      <c r="P162" s="169">
        <f>(INDEX(Models!$BJ162:$BT162,,T162)*(1-R162)+INDEX(Models!$BJ162:$BT162,,T162+1)*R162-ERP_i)*Q162*Ramure*Pc/MaxiM</f>
        <v>9.7301244958132401E-5</v>
      </c>
      <c r="Q162" s="304">
        <f t="shared" si="51"/>
        <v>0.7</v>
      </c>
      <c r="R162" s="177">
        <f t="shared" si="52"/>
        <v>0.68211344129659812</v>
      </c>
      <c r="S162" s="799">
        <f t="shared" si="53"/>
        <v>-1</v>
      </c>
      <c r="T162" s="176">
        <f t="shared" si="54"/>
        <v>5</v>
      </c>
      <c r="U162" s="250">
        <f t="shared" si="55"/>
        <v>-0.31788655870340188</v>
      </c>
      <c r="V162" s="382">
        <f t="shared" si="56"/>
        <v>58.24379259492558</v>
      </c>
      <c r="W162" s="400"/>
      <c r="X162" s="157">
        <f t="shared" si="57"/>
        <v>44344</v>
      </c>
      <c r="Y162" s="383">
        <f t="shared" si="58"/>
        <v>41.467792529306493</v>
      </c>
      <c r="Z162" s="383">
        <f t="shared" si="59"/>
        <v>42.164194471014277</v>
      </c>
      <c r="AA162" s="384">
        <f t="shared" si="60"/>
        <v>44.156026464180329</v>
      </c>
      <c r="AB162" s="197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4.5108950072349455E-2</v>
      </c>
      <c r="AD162" s="230">
        <f>(INDEX(Models!$BJ162:$BT162,,AH162)*(1-AF162)+INDEX(Models!$BJ162:$BT162,,AH162+1)*AF162-ERP_i)*AE162*Ramure*Pc/MaxiM</f>
        <v>1.0580181841029229E-4</v>
      </c>
      <c r="AE162" s="304">
        <f t="shared" si="62"/>
        <v>0.7</v>
      </c>
      <c r="AF162" s="177">
        <f t="shared" si="63"/>
        <v>0.74644566355643027</v>
      </c>
      <c r="AG162" s="799">
        <f t="shared" si="71"/>
        <v>-1</v>
      </c>
      <c r="AH162" s="176">
        <f t="shared" si="64"/>
        <v>5</v>
      </c>
      <c r="AI162" s="224">
        <f t="shared" si="65"/>
        <v>-0.25355433644356973</v>
      </c>
      <c r="AJ162" s="264" t="b">
        <f t="shared" si="66"/>
        <v>1</v>
      </c>
      <c r="AK162" s="264" t="b">
        <f t="shared" si="67"/>
        <v>0</v>
      </c>
      <c r="AL162" s="264"/>
      <c r="AM162" s="264"/>
      <c r="AN162" s="75"/>
    </row>
    <row r="163" spans="1:40" s="6" customFormat="1" ht="11.25" x14ac:dyDescent="0.2">
      <c r="A163" s="56">
        <f t="shared" si="68"/>
        <v>44345</v>
      </c>
      <c r="B163" s="607">
        <v>30.971</v>
      </c>
      <c r="C163" s="388"/>
      <c r="D163" s="391">
        <f t="shared" si="48"/>
        <v>31.49172440676135</v>
      </c>
      <c r="E163" s="383">
        <f t="shared" si="69"/>
        <v>32.981643170997515</v>
      </c>
      <c r="F163" s="383">
        <f t="shared" si="49"/>
        <v>32.982651825944011</v>
      </c>
      <c r="G163" s="110">
        <f t="shared" si="70"/>
        <v>0.53171086839569803</v>
      </c>
      <c r="H163" s="412" t="b">
        <f>Wh_hp&gt;='2020'!Maxi_hp</f>
        <v>0</v>
      </c>
      <c r="I163" s="379">
        <f>IF(H163,Wh_hp,'2020'!Maxi_hp)</f>
        <v>59.649493001374822</v>
      </c>
      <c r="J163" s="85">
        <f>IF(H163,An,'2020'!An_max)</f>
        <v>2020</v>
      </c>
      <c r="K163" s="197">
        <f t="shared" si="50"/>
        <v>44345</v>
      </c>
      <c r="L163" s="147">
        <f>IF(t&lt;Tvie,1-EXP((T0-t)*PertePVj)+'2020'!Pspv,1-EXP((T0-t)*PertePVj)+Pspv)</f>
        <v>1.653527765058016E-2</v>
      </c>
      <c r="M163" s="832"/>
      <c r="N163" s="832"/>
      <c r="O163" s="48">
        <f>IF(t&lt;Tnet,'2020'!Resal+('2020'!Salim-'2020'!Resal)*(1-EXP(('2020'!Tnet-t)/('2020'!Tau_j))),Resal+(Salim-Resal)*(1-EXP((Tnet-t)/(Tau_j))))*Salcycl</f>
        <v>4.5174182393263096E-2</v>
      </c>
      <c r="P163" s="169">
        <f>(INDEX(Models!$BJ163:$BT163,,T163)*(1-R163)+INDEX(Models!$BJ163:$BT163,,T163+1)*R163-ERP_i)*Q163*Ramure*Pc/MaxiM</f>
        <v>9.2373437496046814E-5</v>
      </c>
      <c r="Q163" s="304">
        <f t="shared" si="51"/>
        <v>0.7</v>
      </c>
      <c r="R163" s="177">
        <f t="shared" si="52"/>
        <v>0.68596993316157562</v>
      </c>
      <c r="S163" s="799">
        <f t="shared" si="53"/>
        <v>-1</v>
      </c>
      <c r="T163" s="176">
        <f t="shared" si="54"/>
        <v>5</v>
      </c>
      <c r="U163" s="250">
        <f t="shared" si="55"/>
        <v>-0.31403006683842433</v>
      </c>
      <c r="V163" s="382">
        <f t="shared" si="56"/>
        <v>58.244222603616805</v>
      </c>
      <c r="W163" s="400"/>
      <c r="X163" s="157">
        <f t="shared" si="57"/>
        <v>44345</v>
      </c>
      <c r="Y163" s="383">
        <f t="shared" si="58"/>
        <v>30.970917918785034</v>
      </c>
      <c r="Z163" s="383">
        <f t="shared" si="59"/>
        <v>31.49164094549111</v>
      </c>
      <c r="AA163" s="384">
        <f t="shared" si="60"/>
        <v>32.981555761054565</v>
      </c>
      <c r="AB163" s="197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4.5174182393263096E-2</v>
      </c>
      <c r="AD163" s="230">
        <f>(INDEX(Models!$BJ163:$BT163,,AH163)*(1-AF163)+INDEX(Models!$BJ163:$BT163,,AH163+1)*AF163-ERP_i)*AE163*Ramure*Pc/MaxiM</f>
        <v>1.0037851091538557E-4</v>
      </c>
      <c r="AE163" s="304">
        <f t="shared" si="62"/>
        <v>0.7</v>
      </c>
      <c r="AF163" s="177">
        <f t="shared" si="63"/>
        <v>0.75030215542140777</v>
      </c>
      <c r="AG163" s="799">
        <f t="shared" si="71"/>
        <v>-1</v>
      </c>
      <c r="AH163" s="176">
        <f t="shared" si="64"/>
        <v>5</v>
      </c>
      <c r="AI163" s="224">
        <f t="shared" si="65"/>
        <v>-0.24969784457859218</v>
      </c>
      <c r="AJ163" s="264" t="b">
        <f t="shared" si="66"/>
        <v>1</v>
      </c>
      <c r="AK163" s="264" t="b">
        <f t="shared" si="67"/>
        <v>0</v>
      </c>
      <c r="AL163" s="264"/>
      <c r="AM163" s="264"/>
      <c r="AN163" s="75"/>
    </row>
    <row r="164" spans="1:40" s="6" customFormat="1" ht="11.25" x14ac:dyDescent="0.2">
      <c r="A164" s="56">
        <f t="shared" si="68"/>
        <v>44346</v>
      </c>
      <c r="B164" s="607">
        <v>50.887999999999998</v>
      </c>
      <c r="C164" s="388"/>
      <c r="D164" s="391">
        <f t="shared" si="48"/>
        <v>51.744586378280822</v>
      </c>
      <c r="E164" s="383">
        <f t="shared" si="69"/>
        <v>54.196391280697824</v>
      </c>
      <c r="F164" s="383">
        <f t="shared" si="49"/>
        <v>54.200372209222337</v>
      </c>
      <c r="G164" s="110">
        <f t="shared" si="70"/>
        <v>0.87372443894072183</v>
      </c>
      <c r="H164" s="412" t="b">
        <f>Wh_hp&gt;='2020'!Maxi_hp</f>
        <v>0</v>
      </c>
      <c r="I164" s="379">
        <f>IF(H164,Wh_hp,'2020'!Maxi_hp)</f>
        <v>61.091879244383499</v>
      </c>
      <c r="J164" s="85">
        <f>IF(H164,An,'2020'!An_max)</f>
        <v>2018</v>
      </c>
      <c r="K164" s="197">
        <f t="shared" si="50"/>
        <v>44346</v>
      </c>
      <c r="L164" s="147">
        <f>IF(t&lt;Tvie,1-EXP((T0-t)*PertePVj)+'2020'!Pspv,1-EXP((T0-t)*PertePVj)+Pspv)</f>
        <v>1.6554125527619701E-2</v>
      </c>
      <c r="M164" s="832"/>
      <c r="N164" s="832"/>
      <c r="O164" s="48">
        <f>IF(t&lt;Tnet,'2020'!Resal+('2020'!Salim-'2020'!Resal)*(1-EXP(('2020'!Tnet-t)/('2020'!Tau_j))),Resal+(Salim-Resal)*(1-EXP((Tnet-t)/(Tau_j))))*Salcycl</f>
        <v>4.5239264911909639E-2</v>
      </c>
      <c r="P164" s="169">
        <f>(INDEX(Models!$BJ164:$BT164,,T164)*(1-R164)+INDEX(Models!$BJ164:$BT164,,T164+1)*R164-ERP_i)*Q164*Ramure*Pc/MaxiM</f>
        <v>8.9611987580015602E-5</v>
      </c>
      <c r="Q164" s="304">
        <f t="shared" si="51"/>
        <v>0.7</v>
      </c>
      <c r="R164" s="177">
        <f t="shared" si="52"/>
        <v>0.68986491631364566</v>
      </c>
      <c r="S164" s="799">
        <f t="shared" si="53"/>
        <v>-1</v>
      </c>
      <c r="T164" s="176">
        <f t="shared" si="54"/>
        <v>5</v>
      </c>
      <c r="U164" s="250">
        <f t="shared" si="55"/>
        <v>-0.31013508368635428</v>
      </c>
      <c r="V164" s="382">
        <f t="shared" si="56"/>
        <v>58.241677967329608</v>
      </c>
      <c r="W164" s="400"/>
      <c r="X164" s="157">
        <f t="shared" si="57"/>
        <v>44346</v>
      </c>
      <c r="Y164" s="383">
        <f t="shared" si="58"/>
        <v>50.887679081627226</v>
      </c>
      <c r="Z164" s="383">
        <f t="shared" si="59"/>
        <v>51.744260057960503</v>
      </c>
      <c r="AA164" s="384">
        <f t="shared" si="60"/>
        <v>54.196049498397478</v>
      </c>
      <c r="AB164" s="197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4.5239264911909639E-2</v>
      </c>
      <c r="AD164" s="230">
        <f>(INDEX(Models!$BJ164:$BT164,,AH164)*(1-AF164)+INDEX(Models!$BJ164:$BT164,,AH164+1)*AF164-ERP_i)*AE164*Ramure*Pc/MaxiM</f>
        <v>9.730561761245371E-5</v>
      </c>
      <c r="AE164" s="304">
        <f t="shared" si="62"/>
        <v>0.7</v>
      </c>
      <c r="AF164" s="177">
        <f t="shared" si="63"/>
        <v>0.75419713857347781</v>
      </c>
      <c r="AG164" s="799">
        <f t="shared" si="71"/>
        <v>-1</v>
      </c>
      <c r="AH164" s="176">
        <f t="shared" si="64"/>
        <v>5</v>
      </c>
      <c r="AI164" s="224">
        <f t="shared" si="65"/>
        <v>-0.24580286142652213</v>
      </c>
      <c r="AJ164" s="264" t="b">
        <f t="shared" si="66"/>
        <v>1</v>
      </c>
      <c r="AK164" s="264" t="b">
        <f t="shared" si="67"/>
        <v>0</v>
      </c>
      <c r="AL164" s="264"/>
      <c r="AM164" s="264"/>
      <c r="AN164" s="75"/>
    </row>
    <row r="165" spans="1:40" s="6" customFormat="1" ht="11.25" x14ac:dyDescent="0.2">
      <c r="A165" s="56">
        <f t="shared" si="68"/>
        <v>44347</v>
      </c>
      <c r="B165" s="607">
        <v>56.597999999999999</v>
      </c>
      <c r="C165" s="388"/>
      <c r="D165" s="391">
        <f t="shared" si="48"/>
        <v>57.551804504657234</v>
      </c>
      <c r="E165" s="383">
        <f t="shared" si="69"/>
        <v>60.282869168317795</v>
      </c>
      <c r="F165" s="383">
        <f t="shared" si="49"/>
        <v>60.287928726757698</v>
      </c>
      <c r="G165" s="110">
        <f t="shared" si="70"/>
        <v>0.97186541698497153</v>
      </c>
      <c r="H165" s="412" t="b">
        <f>Wh_hp&gt;='2020'!Maxi_hp</f>
        <v>0</v>
      </c>
      <c r="I165" s="379">
        <f>IF(H165,Wh_hp,'2020'!Maxi_hp)</f>
        <v>61.846036188985813</v>
      </c>
      <c r="J165" s="85">
        <f>IF(H165,An,'2020'!An_max)</f>
        <v>2018</v>
      </c>
      <c r="K165" s="197">
        <f t="shared" si="50"/>
        <v>44347</v>
      </c>
      <c r="L165" s="147">
        <f>IF(t&lt;Tvie,1-EXP((T0-t)*PertePVj)+'2020'!Pspv,1-EXP((T0-t)*PertePVj)+Pspv)</f>
        <v>1.657297304344385E-2</v>
      </c>
      <c r="M165" s="832"/>
      <c r="N165" s="832"/>
      <c r="O165" s="48">
        <f>IF(t&lt;Tnet,'2020'!Resal+('2020'!Salim-'2020'!Resal)*(1-EXP(('2020'!Tnet-t)/('2020'!Tau_j))),Resal+(Salim-Resal)*(1-EXP((Tnet-t)/(Tau_j))))*Salcycl</f>
        <v>4.5304158566757451E-2</v>
      </c>
      <c r="P165" s="169">
        <f>(INDEX(Models!$BJ165:$BT165,,T165)*(1-R165)+INDEX(Models!$BJ165:$BT165,,T165+1)*R165-ERP_i)*Q165*Ramure*Pc/MaxiM</f>
        <v>8.7437110736282784E-5</v>
      </c>
      <c r="Q165" s="304">
        <f t="shared" si="51"/>
        <v>0.7</v>
      </c>
      <c r="R165" s="177">
        <f t="shared" si="52"/>
        <v>0.69379563355334706</v>
      </c>
      <c r="S165" s="799">
        <f t="shared" si="53"/>
        <v>-1</v>
      </c>
      <c r="T165" s="176">
        <f t="shared" si="54"/>
        <v>5</v>
      </c>
      <c r="U165" s="250">
        <f t="shared" si="55"/>
        <v>-0.30620436644665294</v>
      </c>
      <c r="V165" s="382">
        <f t="shared" si="56"/>
        <v>58.236253823041224</v>
      </c>
      <c r="W165" s="400"/>
      <c r="X165" s="157">
        <f t="shared" si="57"/>
        <v>44347</v>
      </c>
      <c r="Y165" s="383">
        <f t="shared" si="58"/>
        <v>56.597595817619926</v>
      </c>
      <c r="Z165" s="383">
        <f t="shared" si="59"/>
        <v>57.551393510888509</v>
      </c>
      <c r="AA165" s="384">
        <f t="shared" si="60"/>
        <v>60.282438671241252</v>
      </c>
      <c r="AB165" s="197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4.5304158566757451E-2</v>
      </c>
      <c r="AD165" s="230">
        <f>(INDEX(Models!$BJ165:$BT165,,AH165)*(1-AF165)+INDEX(Models!$BJ165:$BT165,,AH165+1)*AF165-ERP_i)*AE165*Ramure*Pc/MaxiM</f>
        <v>9.4876775877037861E-5</v>
      </c>
      <c r="AE165" s="304">
        <f t="shared" si="62"/>
        <v>0.7</v>
      </c>
      <c r="AF165" s="177">
        <f t="shared" si="63"/>
        <v>0.75812785581317921</v>
      </c>
      <c r="AG165" s="799">
        <f t="shared" si="71"/>
        <v>-1</v>
      </c>
      <c r="AH165" s="176">
        <f t="shared" si="64"/>
        <v>5</v>
      </c>
      <c r="AI165" s="224">
        <f t="shared" si="65"/>
        <v>-0.24187214418682079</v>
      </c>
      <c r="AJ165" s="264" t="b">
        <f t="shared" si="66"/>
        <v>1</v>
      </c>
      <c r="AK165" s="264" t="b">
        <f t="shared" si="67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68"/>
        <v>44348</v>
      </c>
      <c r="B166" s="607">
        <v>33.728999999999999</v>
      </c>
      <c r="C166" s="388"/>
      <c r="D166" s="391">
        <f t="shared" si="48"/>
        <v>34.298067366892418</v>
      </c>
      <c r="E166" s="383">
        <f t="shared" si="69"/>
        <v>35.928082221163876</v>
      </c>
      <c r="F166" s="383">
        <f t="shared" si="49"/>
        <v>35.929312950425391</v>
      </c>
      <c r="G166" s="110">
        <f t="shared" si="70"/>
        <v>0.57922797909106705</v>
      </c>
      <c r="H166" s="412" t="b">
        <f>Wh_hp&gt;='2020'!Maxi_hp</f>
        <v>0</v>
      </c>
      <c r="I166" s="379">
        <f>IF(H166,Wh_hp,'2020'!Maxi_hp)</f>
        <v>63.6031019014615</v>
      </c>
      <c r="J166" s="85">
        <f>IF(H166,An,'2020'!An_max)</f>
        <v>2018</v>
      </c>
      <c r="K166" s="197">
        <f t="shared" si="50"/>
        <v>44348</v>
      </c>
      <c r="L166" s="147">
        <f>IF(t&lt;Tvie,1-EXP((T0-t)*PertePVj)+'2020'!Pspv,1-EXP((T0-t)*PertePVj)+Pspv)</f>
        <v>1.6591820198059715E-2</v>
      </c>
      <c r="M166" s="832"/>
      <c r="N166" s="832"/>
      <c r="O166" s="48">
        <f>IF(t&lt;Tnet,'2020'!Resal+('2020'!Salim-'2020'!Resal)*(1-EXP(('2020'!Tnet-t)/('2020'!Tau_j))),Resal+(Salim-Resal)*(1-EXP((Tnet-t)/(Tau_j))))*Salcycl</f>
        <v>4.5368824426461583E-2</v>
      </c>
      <c r="P166" s="169">
        <f>(INDEX(Models!$BJ166:$BT166,,T166)*(1-R166)+INDEX(Models!$BJ166:$BT166,,T166+1)*R166-ERP_i)*Q166*Ramure*Pc/MaxiM</f>
        <v>8.5863032930083086E-5</v>
      </c>
      <c r="Q166" s="304">
        <f t="shared" si="51"/>
        <v>0.7</v>
      </c>
      <c r="R166" s="177">
        <f t="shared" si="52"/>
        <v>0.69775921601501301</v>
      </c>
      <c r="S166" s="799">
        <f t="shared" si="53"/>
        <v>-1</v>
      </c>
      <c r="T166" s="176">
        <f t="shared" si="54"/>
        <v>5</v>
      </c>
      <c r="U166" s="250">
        <f t="shared" si="55"/>
        <v>-0.30224078398498705</v>
      </c>
      <c r="V166" s="382">
        <f t="shared" si="56"/>
        <v>58.227952452155037</v>
      </c>
      <c r="W166" s="400"/>
      <c r="X166" s="157">
        <f t="shared" si="57"/>
        <v>44348</v>
      </c>
      <c r="Y166" s="383">
        <f t="shared" si="58"/>
        <v>33.728902528077214</v>
      </c>
      <c r="Z166" s="383">
        <f t="shared" si="59"/>
        <v>34.297968250447397</v>
      </c>
      <c r="AA166" s="384">
        <f t="shared" si="60"/>
        <v>35.927978394212111</v>
      </c>
      <c r="AB166" s="197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4.5368824426461583E-2</v>
      </c>
      <c r="AD166" s="230">
        <f>(INDEX(Models!$BJ166:$BT166,,AH166)*(1-AF166)+INDEX(Models!$BJ166:$BT166,,AH166+1)*AF166-ERP_i)*AE166*Ramure*Pc/MaxiM</f>
        <v>9.3106621960597214E-5</v>
      </c>
      <c r="AE166" s="304">
        <f t="shared" si="62"/>
        <v>0.7</v>
      </c>
      <c r="AF166" s="177">
        <f t="shared" si="63"/>
        <v>0.76209143827484516</v>
      </c>
      <c r="AG166" s="799">
        <f t="shared" si="71"/>
        <v>-1</v>
      </c>
      <c r="AH166" s="176">
        <f t="shared" si="64"/>
        <v>5</v>
      </c>
      <c r="AI166" s="224">
        <f t="shared" si="65"/>
        <v>-0.2379085617251549</v>
      </c>
      <c r="AJ166" s="264" t="b">
        <f t="shared" si="66"/>
        <v>1</v>
      </c>
      <c r="AK166" s="264" t="b">
        <f t="shared" si="67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68"/>
        <v>44349</v>
      </c>
      <c r="B167" s="607">
        <v>32.177</v>
      </c>
      <c r="C167" s="388"/>
      <c r="D167" s="391">
        <f t="shared" si="48"/>
        <v>32.720509486877901</v>
      </c>
      <c r="E167" s="383">
        <f t="shared" si="69"/>
        <v>34.27786332382874</v>
      </c>
      <c r="F167" s="383">
        <f t="shared" si="49"/>
        <v>34.278914030743493</v>
      </c>
      <c r="G167" s="110">
        <f t="shared" si="70"/>
        <v>0.55268011062365741</v>
      </c>
      <c r="H167" s="412" t="b">
        <f>Wh_hp&gt;='2020'!Maxi_hp</f>
        <v>0</v>
      </c>
      <c r="I167" s="379">
        <f>IF(H167,Wh_hp,'2020'!Maxi_hp)</f>
        <v>62.818886290602684</v>
      </c>
      <c r="J167" s="85">
        <f>IF(H167,An,'2020'!An_max)</f>
        <v>2018</v>
      </c>
      <c r="K167" s="197">
        <f t="shared" si="50"/>
        <v>44349</v>
      </c>
      <c r="L167" s="147">
        <f>IF(t&lt;Tvie,1-EXP((T0-t)*PertePVj)+'2020'!Pspv,1-EXP((T0-t)*PertePVj)+Pspv)</f>
        <v>1.6610666991474177E-2</v>
      </c>
      <c r="M167" s="832"/>
      <c r="N167" s="832"/>
      <c r="O167" s="48">
        <f>IF(t&lt;Tnet,'2020'!Resal+('2020'!Salim-'2020'!Resal)*(1-EXP(('2020'!Tnet-t)/('2020'!Tau_j))),Resal+(Salim-Resal)*(1-EXP((Tnet-t)/(Tau_j))))*Salcycl</f>
        <v>4.5433223834235412E-2</v>
      </c>
      <c r="P167" s="169">
        <f>(INDEX(Models!$BJ167:$BT167,,T167)*(1-R167)+INDEX(Models!$BJ167:$BT167,,T167+1)*R167-ERP_i)*Q167*Ramure*Pc/MaxiM</f>
        <v>8.4904357558687071E-5</v>
      </c>
      <c r="Q167" s="304">
        <f t="shared" si="51"/>
        <v>0.7</v>
      </c>
      <c r="R167" s="177">
        <f t="shared" si="52"/>
        <v>0.70175269074654301</v>
      </c>
      <c r="S167" s="799">
        <f t="shared" si="53"/>
        <v>-1</v>
      </c>
      <c r="T167" s="176">
        <f t="shared" si="54"/>
        <v>5</v>
      </c>
      <c r="U167" s="250">
        <f t="shared" si="55"/>
        <v>-0.29824730925345699</v>
      </c>
      <c r="V167" s="382">
        <f t="shared" si="56"/>
        <v>58.216776106436321</v>
      </c>
      <c r="W167" s="400"/>
      <c r="X167" s="157">
        <f t="shared" si="57"/>
        <v>44349</v>
      </c>
      <c r="Y167" s="383">
        <f t="shared" si="58"/>
        <v>32.176917453716008</v>
      </c>
      <c r="Z167" s="383">
        <f t="shared" si="59"/>
        <v>32.720425546284666</v>
      </c>
      <c r="AA167" s="384">
        <f t="shared" si="60"/>
        <v>34.277775388028616</v>
      </c>
      <c r="AB167" s="197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4.5433223834235412E-2</v>
      </c>
      <c r="AD167" s="230">
        <f>(INDEX(Models!$BJ167:$BT167,,AH167)*(1-AF167)+INDEX(Models!$BJ167:$BT167,,AH167+1)*AF167-ERP_i)*AE167*Ramure*Pc/MaxiM</f>
        <v>9.2010176042153614E-5</v>
      </c>
      <c r="AE167" s="304">
        <f t="shared" si="62"/>
        <v>0.7</v>
      </c>
      <c r="AF167" s="177">
        <f t="shared" si="63"/>
        <v>0.76608491300637516</v>
      </c>
      <c r="AG167" s="799">
        <f t="shared" si="71"/>
        <v>-1</v>
      </c>
      <c r="AH167" s="176">
        <f t="shared" si="64"/>
        <v>5</v>
      </c>
      <c r="AI167" s="224">
        <f t="shared" si="65"/>
        <v>-0.23391508699362487</v>
      </c>
      <c r="AJ167" s="264" t="b">
        <f t="shared" si="66"/>
        <v>1</v>
      </c>
      <c r="AK167" s="264" t="b">
        <f t="shared" si="67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68"/>
        <v>44350</v>
      </c>
      <c r="B168" s="607">
        <v>39.883000000000003</v>
      </c>
      <c r="C168" s="388"/>
      <c r="D168" s="391">
        <f t="shared" si="48"/>
        <v>40.557450670353461</v>
      </c>
      <c r="E168" s="383">
        <f t="shared" si="69"/>
        <v>42.49066184801012</v>
      </c>
      <c r="F168" s="383">
        <f t="shared" si="49"/>
        <v>42.492639716972931</v>
      </c>
      <c r="G168" s="110">
        <f t="shared" si="70"/>
        <v>0.6852167457237559</v>
      </c>
      <c r="H168" s="412" t="b">
        <f>Wh_hp&gt;='2020'!Maxi_hp</f>
        <v>0</v>
      </c>
      <c r="I168" s="379">
        <f>IF(H168,Wh_hp,'2020'!Maxi_hp)</f>
        <v>56.680552397344698</v>
      </c>
      <c r="J168" s="85">
        <f>IF(H168,An,'2020'!An_max)</f>
        <v>2020</v>
      </c>
      <c r="K168" s="197">
        <f t="shared" si="50"/>
        <v>44350</v>
      </c>
      <c r="L168" s="147">
        <f>IF(t&lt;Tvie,1-EXP((T0-t)*PertePVj)+'2020'!Pspv,1-EXP((T0-t)*PertePVj)+Pspv)</f>
        <v>1.662951342369412E-2</v>
      </c>
      <c r="M168" s="832"/>
      <c r="N168" s="832"/>
      <c r="O168" s="48">
        <f>IF(t&lt;Tnet,'2020'!Resal+('2020'!Salim-'2020'!Resal)*(1-EXP(('2020'!Tnet-t)/('2020'!Tau_j))),Resal+(Salim-Resal)*(1-EXP((Tnet-t)/(Tau_j))))*Salcycl</f>
        <v>4.5497318553704501E-2</v>
      </c>
      <c r="P168" s="169">
        <f>(INDEX(Models!$BJ168:$BT168,,T168)*(1-R168)+INDEX(Models!$BJ168:$BT168,,T168+1)*R168-ERP_i)*Q168*Ramure*Pc/MaxiM</f>
        <v>8.457603208842023E-5</v>
      </c>
      <c r="Q168" s="304">
        <f t="shared" si="51"/>
        <v>0.7</v>
      </c>
      <c r="R168" s="177">
        <f t="shared" si="52"/>
        <v>0.70577298897236052</v>
      </c>
      <c r="S168" s="799">
        <f t="shared" si="53"/>
        <v>-1</v>
      </c>
      <c r="T168" s="176">
        <f t="shared" si="54"/>
        <v>5</v>
      </c>
      <c r="U168" s="250">
        <f t="shared" si="55"/>
        <v>-0.29422701102763948</v>
      </c>
      <c r="V168" s="382">
        <f t="shared" si="56"/>
        <v>58.202726995026516</v>
      </c>
      <c r="W168" s="400"/>
      <c r="X168" s="157">
        <f t="shared" si="57"/>
        <v>44350</v>
      </c>
      <c r="Y168" s="383">
        <f t="shared" si="58"/>
        <v>39.882845758721984</v>
      </c>
      <c r="Z168" s="383">
        <f t="shared" si="59"/>
        <v>40.557293820742736</v>
      </c>
      <c r="AA168" s="384">
        <f t="shared" si="60"/>
        <v>42.490497522006876</v>
      </c>
      <c r="AB168" s="197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4.5497318553704501E-2</v>
      </c>
      <c r="AD168" s="230">
        <f>(INDEX(Models!$BJ168:$BT168,,AH168)*(1-AF168)+INDEX(Models!$BJ168:$BT168,,AH168+1)*AF168-ERP_i)*AE168*Ramure*Pc/MaxiM</f>
        <v>9.1602807665806869E-5</v>
      </c>
      <c r="AE168" s="304">
        <f t="shared" si="62"/>
        <v>0.7</v>
      </c>
      <c r="AF168" s="177">
        <f t="shared" si="63"/>
        <v>0.77010521123219267</v>
      </c>
      <c r="AG168" s="799">
        <f t="shared" si="71"/>
        <v>-1</v>
      </c>
      <c r="AH168" s="176">
        <f t="shared" si="64"/>
        <v>5</v>
      </c>
      <c r="AI168" s="224">
        <f t="shared" si="65"/>
        <v>-0.22989478876780733</v>
      </c>
      <c r="AJ168" s="264" t="b">
        <f t="shared" si="66"/>
        <v>1</v>
      </c>
      <c r="AK168" s="264" t="b">
        <f t="shared" si="67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68"/>
        <v>44351</v>
      </c>
      <c r="B169" s="607">
        <v>8.8940000000000001</v>
      </c>
      <c r="C169" s="388"/>
      <c r="D169" s="391">
        <f t="shared" si="48"/>
        <v>9.0445773756273145</v>
      </c>
      <c r="E169" s="383">
        <f t="shared" si="69"/>
        <v>9.4763290767081649</v>
      </c>
      <c r="F169" s="383">
        <f t="shared" si="49"/>
        <v>9.4763290767081649</v>
      </c>
      <c r="G169" s="110">
        <f t="shared" si="70"/>
        <v>0.15284216846898804</v>
      </c>
      <c r="H169" s="412" t="b">
        <f>Wh_hp&gt;='2020'!Maxi_hp</f>
        <v>0</v>
      </c>
      <c r="I169" s="379">
        <f>IF(H169,Wh_hp,'2020'!Maxi_hp)</f>
        <v>60.619800166760626</v>
      </c>
      <c r="J169" s="85">
        <f>IF(H169,An,'2020'!An_max)</f>
        <v>2018</v>
      </c>
      <c r="K169" s="197">
        <f t="shared" si="50"/>
        <v>44351</v>
      </c>
      <c r="L169" s="147">
        <f>IF(t&lt;Tvie,1-EXP((T0-t)*PertePVj)+'2020'!Pspv,1-EXP((T0-t)*PertePVj)+Pspv)</f>
        <v>1.6648359494726539E-2</v>
      </c>
      <c r="M169" s="832"/>
      <c r="N169" s="832"/>
      <c r="O169" s="48">
        <f>IF(t&lt;Tnet,'2020'!Resal+('2020'!Salim-'2020'!Resal)*(1-EXP(('2020'!Tnet-t)/('2020'!Tau_j))),Resal+(Salim-Resal)*(1-EXP((Tnet-t)/(Tau_j))))*Salcycl</f>
        <v>4.5561070915324187E-2</v>
      </c>
      <c r="P169" s="169">
        <f>(INDEX(Models!$BJ169:$BT169,,T169)*(1-R169)+INDEX(Models!$BJ169:$BT169,,T169+1)*R169-ERP_i)*Q169*Ramure*Pc/MaxiM</f>
        <v>8.4893313144357858E-5</v>
      </c>
      <c r="Q169" s="304">
        <f t="shared" si="51"/>
        <v>0.7</v>
      </c>
      <c r="R169" s="177">
        <f t="shared" si="52"/>
        <v>0.70981695499608832</v>
      </c>
      <c r="S169" s="799">
        <f t="shared" si="53"/>
        <v>-1</v>
      </c>
      <c r="T169" s="176">
        <f t="shared" si="54"/>
        <v>5</v>
      </c>
      <c r="U169" s="250">
        <f t="shared" si="55"/>
        <v>-0.29018304500391168</v>
      </c>
      <c r="V169" s="382">
        <f t="shared" si="56"/>
        <v>58.185807280517302</v>
      </c>
      <c r="W169" s="400"/>
      <c r="X169" s="157">
        <f t="shared" si="57"/>
        <v>44351</v>
      </c>
      <c r="Y169" s="383">
        <f t="shared" si="58"/>
        <v>8.8940000000000001</v>
      </c>
      <c r="Z169" s="383">
        <f t="shared" si="59"/>
        <v>9.0445773756273145</v>
      </c>
      <c r="AA169" s="384">
        <f t="shared" si="60"/>
        <v>9.4763290767081649</v>
      </c>
      <c r="AB169" s="197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4.5561070915324187E-2</v>
      </c>
      <c r="AD169" s="230">
        <f>(INDEX(Models!$BJ169:$BT169,,AH169)*(1-AF169)+INDEX(Models!$BJ169:$BT169,,AH169+1)*AF169-ERP_i)*AE169*Ramure*Pc/MaxiM</f>
        <v>9.190019968636877E-5</v>
      </c>
      <c r="AE169" s="304">
        <f t="shared" si="62"/>
        <v>0.7</v>
      </c>
      <c r="AF169" s="177">
        <f t="shared" si="63"/>
        <v>0.77414917725592047</v>
      </c>
      <c r="AG169" s="799">
        <f t="shared" si="71"/>
        <v>-1</v>
      </c>
      <c r="AH169" s="176">
        <f t="shared" si="64"/>
        <v>5</v>
      </c>
      <c r="AI169" s="224">
        <f t="shared" si="65"/>
        <v>-0.2258508227440795</v>
      </c>
      <c r="AJ169" s="264" t="b">
        <f t="shared" si="66"/>
        <v>1</v>
      </c>
      <c r="AK169" s="264" t="b">
        <f t="shared" si="67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si="68"/>
        <v>44352</v>
      </c>
      <c r="B170" s="607">
        <v>36.802</v>
      </c>
      <c r="C170" s="388"/>
      <c r="D170" s="391">
        <f t="shared" si="48"/>
        <v>37.425783208681146</v>
      </c>
      <c r="E170" s="383">
        <f t="shared" ref="E170:E232" si="72">Wh_pvt/(1-Psa)</f>
        <v>39.214943186586908</v>
      </c>
      <c r="F170" s="383">
        <f t="shared" si="49"/>
        <v>39.216543124389602</v>
      </c>
      <c r="G170" s="110">
        <f t="shared" ref="G170:G232" si="73">+Wh_hp/MaxiM</f>
        <v>0.63267766472082487</v>
      </c>
      <c r="H170" s="412" t="b">
        <f>Wh_hp&gt;='2020'!Maxi_hp</f>
        <v>1</v>
      </c>
      <c r="I170" s="379">
        <f>IF(H170,Wh_hp,'2020'!Maxi_hp)</f>
        <v>39.216543124389602</v>
      </c>
      <c r="J170" s="85">
        <f>IF(H170,An,'2020'!An_max)</f>
        <v>2021</v>
      </c>
      <c r="K170" s="197">
        <f t="shared" si="50"/>
        <v>44352</v>
      </c>
      <c r="L170" s="147">
        <f>IF(t&lt;Tvie,1-EXP((T0-t)*PertePVj)+'2020'!Pspv,1-EXP((T0-t)*PertePVj)+Pspv)</f>
        <v>1.6667205204578206E-2</v>
      </c>
      <c r="M170" s="832"/>
      <c r="N170" s="832"/>
      <c r="O170" s="48">
        <f>IF(t&lt;Tnet,'2020'!Resal+('2020'!Salim-'2020'!Resal)*(1-EXP(('2020'!Tnet-t)/('2020'!Tau_j))),Resal+(Salim-Resal)*(1-EXP((Tnet-t)/(Tau_j))))*Salcycl</f>
        <v>4.5624443962415981E-2</v>
      </c>
      <c r="P170" s="169">
        <f>(INDEX(Models!$BJ170:$BT170,,T170)*(1-R170)+INDEX(Models!$BJ170:$BT170,,T170+1)*R170-ERP_i)*Q170*Ramure*Pc/MaxiM</f>
        <v>8.5836299517181642E-5</v>
      </c>
      <c r="Q170" s="304">
        <f t="shared" si="51"/>
        <v>0.7</v>
      </c>
      <c r="R170" s="177">
        <f t="shared" si="52"/>
        <v>0.71388135569230593</v>
      </c>
      <c r="S170" s="799">
        <f t="shared" si="53"/>
        <v>-1</v>
      </c>
      <c r="T170" s="176">
        <f t="shared" si="54"/>
        <v>5</v>
      </c>
      <c r="U170" s="250">
        <f t="shared" si="55"/>
        <v>-0.28611864430769407</v>
      </c>
      <c r="V170" s="382">
        <f t="shared" si="56"/>
        <v>58.166021131065918</v>
      </c>
      <c r="W170" s="400"/>
      <c r="X170" s="157">
        <f t="shared" si="57"/>
        <v>44352</v>
      </c>
      <c r="Y170" s="383">
        <f t="shared" si="58"/>
        <v>36.801876784375509</v>
      </c>
      <c r="Z170" s="383">
        <f t="shared" si="59"/>
        <v>37.425657904587617</v>
      </c>
      <c r="AA170" s="384">
        <f t="shared" si="60"/>
        <v>39.214811892262844</v>
      </c>
      <c r="AB170" s="197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4.5624443962415981E-2</v>
      </c>
      <c r="AD170" s="230">
        <f>(INDEX(Models!$BJ170:$BT170,,AH170)*(1-AF170)+INDEX(Models!$BJ170:$BT170,,AH170+1)*AF170-ERP_i)*AE170*Ramure*Pc/MaxiM</f>
        <v>9.2880210165559453E-5</v>
      </c>
      <c r="AE170" s="304">
        <f t="shared" si="62"/>
        <v>0.7</v>
      </c>
      <c r="AF170" s="177">
        <f t="shared" si="63"/>
        <v>0.77821357795213808</v>
      </c>
      <c r="AG170" s="799">
        <f t="shared" si="71"/>
        <v>-1</v>
      </c>
      <c r="AH170" s="176">
        <f t="shared" si="64"/>
        <v>5</v>
      </c>
      <c r="AI170" s="224">
        <f t="shared" si="65"/>
        <v>-0.22178642204786195</v>
      </c>
      <c r="AJ170" s="264" t="b">
        <f t="shared" si="66"/>
        <v>1</v>
      </c>
      <c r="AK170" s="264" t="b">
        <f t="shared" si="67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68"/>
        <v>44353</v>
      </c>
      <c r="B171" s="607">
        <v>47.855000000000004</v>
      </c>
      <c r="C171" s="388"/>
      <c r="D171" s="391">
        <f t="shared" si="48"/>
        <v>48.667061040805287</v>
      </c>
      <c r="E171" s="383">
        <f t="shared" si="72"/>
        <v>50.996980572392438</v>
      </c>
      <c r="F171" s="383">
        <f t="shared" si="49"/>
        <v>51.000285877140897</v>
      </c>
      <c r="G171" s="110">
        <f t="shared" si="73"/>
        <v>0.82303308848749734</v>
      </c>
      <c r="H171" s="412" t="b">
        <f>Wh_hp&gt;='2020'!Maxi_hp</f>
        <v>0</v>
      </c>
      <c r="I171" s="379">
        <f>IF(H171,Wh_hp,'2020'!Maxi_hp)</f>
        <v>54.078564517697089</v>
      </c>
      <c r="J171" s="85">
        <f>IF(H171,An,'2020'!An_max)</f>
        <v>2018</v>
      </c>
      <c r="K171" s="197">
        <f t="shared" si="50"/>
        <v>44353</v>
      </c>
      <c r="L171" s="147">
        <f>IF(t&lt;Tvie,1-EXP((T0-t)*PertePVj)+'2020'!Pspv,1-EXP((T0-t)*PertePVj)+Pspv)</f>
        <v>1.6686050553256226E-2</v>
      </c>
      <c r="M171" s="832"/>
      <c r="N171" s="832"/>
      <c r="O171" s="48">
        <f>IF(t&lt;Tnet,'2020'!Resal+('2020'!Salim-'2020'!Resal)*(1-EXP(('2020'!Tnet-t)/('2020'!Tau_j))),Resal+(Salim-Resal)*(1-EXP((Tnet-t)/(Tau_j))))*Salcycl</f>
        <v>4.5687401595859836E-2</v>
      </c>
      <c r="P171" s="169">
        <f>(INDEX(Models!$BJ171:$BT171,,T171)*(1-R171)+INDEX(Models!$BJ171:$BT171,,T171+1)*R171-ERP_i)*Q171*Ramure*Pc/MaxiM</f>
        <v>8.6734681504752791E-5</v>
      </c>
      <c r="Q171" s="304">
        <f t="shared" si="51"/>
        <v>0.7</v>
      </c>
      <c r="R171" s="177">
        <f t="shared" si="52"/>
        <v>0.71796289053001794</v>
      </c>
      <c r="S171" s="799">
        <f t="shared" si="53"/>
        <v>-1</v>
      </c>
      <c r="T171" s="176">
        <f t="shared" si="54"/>
        <v>5</v>
      </c>
      <c r="U171" s="250">
        <f t="shared" si="55"/>
        <v>-0.28203710946998212</v>
      </c>
      <c r="V171" s="382">
        <f t="shared" si="56"/>
        <v>58.143410481821022</v>
      </c>
      <c r="W171" s="400"/>
      <c r="X171" s="157">
        <f t="shared" si="57"/>
        <v>44353</v>
      </c>
      <c r="Y171" s="383">
        <f t="shared" si="58"/>
        <v>47.854746908096665</v>
      </c>
      <c r="Z171" s="383">
        <f t="shared" si="59"/>
        <v>48.666803654134952</v>
      </c>
      <c r="AA171" s="384">
        <f t="shared" si="60"/>
        <v>50.99671086341997</v>
      </c>
      <c r="AB171" s="197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4.5687401595859836E-2</v>
      </c>
      <c r="AD171" s="230">
        <f>(INDEX(Models!$BJ171:$BT171,,AH171)*(1-AF171)+INDEX(Models!$BJ171:$BT171,,AH171+1)*AF171-ERP_i)*AE171*Ramure*Pc/MaxiM</f>
        <v>9.3812129306543326E-5</v>
      </c>
      <c r="AE171" s="304">
        <f t="shared" si="62"/>
        <v>0.7</v>
      </c>
      <c r="AF171" s="177">
        <f t="shared" si="63"/>
        <v>0.78229511278985009</v>
      </c>
      <c r="AG171" s="799">
        <f t="shared" si="71"/>
        <v>-1</v>
      </c>
      <c r="AH171" s="176">
        <f t="shared" si="64"/>
        <v>5</v>
      </c>
      <c r="AI171" s="224">
        <f t="shared" si="65"/>
        <v>-0.21770488721014997</v>
      </c>
      <c r="AJ171" s="264" t="b">
        <f t="shared" si="66"/>
        <v>1</v>
      </c>
      <c r="AK171" s="264" t="b">
        <f t="shared" si="67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68"/>
        <v>44354</v>
      </c>
      <c r="B172" s="607">
        <v>52.957999999999998</v>
      </c>
      <c r="C172" s="388"/>
      <c r="D172" s="391">
        <f t="shared" si="48"/>
        <v>53.857687036003782</v>
      </c>
      <c r="E172" s="383">
        <f t="shared" si="72"/>
        <v>56.439802865055562</v>
      </c>
      <c r="F172" s="383">
        <f t="shared" si="49"/>
        <v>56.44411958910743</v>
      </c>
      <c r="G172" s="110">
        <f t="shared" si="73"/>
        <v>0.91120533123475012</v>
      </c>
      <c r="H172" s="412" t="b">
        <f>Wh_hp&gt;='2020'!Maxi_hp</f>
        <v>1</v>
      </c>
      <c r="I172" s="379">
        <f>IF(H172,Wh_hp,'2020'!Maxi_hp)</f>
        <v>56.44411958910743</v>
      </c>
      <c r="J172" s="85">
        <f>IF(H172,An,'2020'!An_max)</f>
        <v>2021</v>
      </c>
      <c r="K172" s="197">
        <f t="shared" si="50"/>
        <v>44354</v>
      </c>
      <c r="L172" s="147">
        <f>IF(t&lt;Tvie,1-EXP((T0-t)*PertePVj)+'2020'!Pspv,1-EXP((T0-t)*PertePVj)+Pspv)</f>
        <v>1.6704895540767373E-2</v>
      </c>
      <c r="M172" s="832"/>
      <c r="N172" s="832"/>
      <c r="O172" s="48">
        <f>IF(t&lt;Tnet,'2020'!Resal+('2020'!Salim-'2020'!Resal)*(1-EXP(('2020'!Tnet-t)/('2020'!Tau_j))),Resal+(Salim-Resal)*(1-EXP((Tnet-t)/(Tau_j))))*Salcycl</f>
        <v>4.5749908716468633E-2</v>
      </c>
      <c r="P172" s="169">
        <f>(INDEX(Models!$BJ172:$BT172,,T172)*(1-R172)+INDEX(Models!$BJ172:$BT172,,T172+1)*R172-ERP_i)*Q172*Ramure*Pc/MaxiM</f>
        <v>8.7586928508029345E-5</v>
      </c>
      <c r="Q172" s="304">
        <f t="shared" si="51"/>
        <v>0.7</v>
      </c>
      <c r="R172" s="177">
        <f t="shared" si="52"/>
        <v>0.72205820206427873</v>
      </c>
      <c r="S172" s="799">
        <f t="shared" si="53"/>
        <v>-1</v>
      </c>
      <c r="T172" s="176">
        <f t="shared" si="54"/>
        <v>5</v>
      </c>
      <c r="U172" s="250">
        <f t="shared" si="55"/>
        <v>-0.27794179793572132</v>
      </c>
      <c r="V172" s="382">
        <f t="shared" si="56"/>
        <v>58.117978269350431</v>
      </c>
      <c r="W172" s="400"/>
      <c r="X172" s="157">
        <f t="shared" si="57"/>
        <v>44354</v>
      </c>
      <c r="Y172" s="383">
        <f t="shared" si="58"/>
        <v>52.957671318281967</v>
      </c>
      <c r="Z172" s="383">
        <f t="shared" si="59"/>
        <v>53.857352770413989</v>
      </c>
      <c r="AA172" s="384">
        <f t="shared" si="60"/>
        <v>56.439452573666706</v>
      </c>
      <c r="AB172" s="197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4.5749908716468633E-2</v>
      </c>
      <c r="AD172" s="230">
        <f>(INDEX(Models!$BJ172:$BT172,,AH172)*(1-AF172)+INDEX(Models!$BJ172:$BT172,,AH172+1)*AF172-ERP_i)*AE172*Ramure*Pc/MaxiM</f>
        <v>9.46943892731668E-5</v>
      </c>
      <c r="AE172" s="304">
        <f t="shared" si="62"/>
        <v>0.7</v>
      </c>
      <c r="AF172" s="177">
        <f t="shared" si="63"/>
        <v>0.78639042432411088</v>
      </c>
      <c r="AG172" s="799">
        <f t="shared" si="71"/>
        <v>-1</v>
      </c>
      <c r="AH172" s="176">
        <f t="shared" si="64"/>
        <v>5</v>
      </c>
      <c r="AI172" s="224">
        <f t="shared" si="65"/>
        <v>-0.21360957567588917</v>
      </c>
      <c r="AJ172" s="264" t="b">
        <f t="shared" si="66"/>
        <v>1</v>
      </c>
      <c r="AK172" s="264" t="b">
        <f t="shared" si="67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68"/>
        <v>44355</v>
      </c>
      <c r="B173" s="607">
        <v>56.311</v>
      </c>
      <c r="C173" s="388"/>
      <c r="D173" s="391">
        <f t="shared" si="48"/>
        <v>57.268747655486649</v>
      </c>
      <c r="E173" s="383">
        <f t="shared" si="72"/>
        <v>60.018301986688897</v>
      </c>
      <c r="F173" s="383">
        <f t="shared" si="49"/>
        <v>60.02337545982553</v>
      </c>
      <c r="G173" s="110">
        <f t="shared" si="73"/>
        <v>0.96937590901356363</v>
      </c>
      <c r="H173" s="412" t="b">
        <f>Wh_hp&gt;='2020'!Maxi_hp</f>
        <v>0</v>
      </c>
      <c r="I173" s="379">
        <f>IF(H173,Wh_hp,'2020'!Maxi_hp)</f>
        <v>64.215122991320413</v>
      </c>
      <c r="J173" s="85">
        <f>IF(H173,An,'2020'!An_max)</f>
        <v>2018</v>
      </c>
      <c r="K173" s="197">
        <f t="shared" si="50"/>
        <v>44355</v>
      </c>
      <c r="L173" s="147">
        <f>IF(t&lt;Tvie,1-EXP((T0-t)*PertePVj)+'2020'!Pspv,1-EXP((T0-t)*PertePVj)+Pspv)</f>
        <v>1.672374016711875E-2</v>
      </c>
      <c r="M173" s="832"/>
      <c r="N173" s="832"/>
      <c r="O173" s="48">
        <f>IF(t&lt;Tnet,'2020'!Resal+('2020'!Salim-'2020'!Resal)*(1-EXP(('2020'!Tnet-t)/('2020'!Tau_j))),Resal+(Salim-Resal)*(1-EXP((Tnet-t)/(Tau_j))))*Salcycl</f>
        <v>4.5811931364070496E-2</v>
      </c>
      <c r="P173" s="169">
        <f>(INDEX(Models!$BJ173:$BT173,,T173)*(1-R173)+INDEX(Models!$BJ173:$BT173,,T173+1)*R173-ERP_i)*Q173*Ramure*Pc/MaxiM</f>
        <v>8.8391495250045239E-5</v>
      </c>
      <c r="Q173" s="304">
        <f t="shared" si="51"/>
        <v>0.7</v>
      </c>
      <c r="R173" s="177">
        <f t="shared" si="52"/>
        <v>0.72616388682689181</v>
      </c>
      <c r="S173" s="799">
        <f t="shared" si="53"/>
        <v>-1</v>
      </c>
      <c r="T173" s="176">
        <f t="shared" si="54"/>
        <v>5</v>
      </c>
      <c r="U173" s="250">
        <f t="shared" si="55"/>
        <v>-0.27383611317310813</v>
      </c>
      <c r="V173" s="382">
        <f t="shared" si="56"/>
        <v>58.08972734857214</v>
      </c>
      <c r="W173" s="400"/>
      <c r="X173" s="157">
        <f t="shared" si="57"/>
        <v>44355</v>
      </c>
      <c r="Y173" s="383">
        <f t="shared" si="58"/>
        <v>56.310615822220868</v>
      </c>
      <c r="Z173" s="383">
        <f t="shared" si="59"/>
        <v>57.268356943542486</v>
      </c>
      <c r="AA173" s="384">
        <f t="shared" si="60"/>
        <v>60.017892516106514</v>
      </c>
      <c r="AB173" s="197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4.5811931364070496E-2</v>
      </c>
      <c r="AD173" s="230">
        <f>(INDEX(Models!$BJ173:$BT173,,AH173)*(1-AF173)+INDEX(Models!$BJ173:$BT173,,AH173+1)*AF173-ERP_i)*AE173*Ramure*Pc/MaxiM</f>
        <v>9.5525408461574057E-5</v>
      </c>
      <c r="AE173" s="304">
        <f t="shared" si="62"/>
        <v>0.7</v>
      </c>
      <c r="AF173" s="177">
        <f t="shared" si="63"/>
        <v>0.79049610908672396</v>
      </c>
      <c r="AG173" s="799">
        <f t="shared" si="71"/>
        <v>-1</v>
      </c>
      <c r="AH173" s="176">
        <f t="shared" si="64"/>
        <v>5</v>
      </c>
      <c r="AI173" s="224">
        <f t="shared" si="65"/>
        <v>-0.20950389091327598</v>
      </c>
      <c r="AJ173" s="264" t="b">
        <f t="shared" si="66"/>
        <v>1</v>
      </c>
      <c r="AK173" s="264" t="b">
        <f t="shared" si="67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68"/>
        <v>44356</v>
      </c>
      <c r="B174" s="607">
        <v>55.364000000000004</v>
      </c>
      <c r="C174" s="388"/>
      <c r="D174" s="391">
        <f t="shared" si="48"/>
        <v>56.306720013940236</v>
      </c>
      <c r="E174" s="383">
        <f t="shared" si="72"/>
        <v>59.013889968836033</v>
      </c>
      <c r="F174" s="383">
        <f t="shared" si="49"/>
        <v>59.018802460565581</v>
      </c>
      <c r="G174" s="110">
        <f t="shared" si="73"/>
        <v>0.95358164079662699</v>
      </c>
      <c r="H174" s="412" t="b">
        <f>Wh_hp&gt;='2020'!Maxi_hp</f>
        <v>1</v>
      </c>
      <c r="I174" s="379">
        <f>IF(H174,Wh_hp,'2020'!Maxi_hp)</f>
        <v>59.018802460565581</v>
      </c>
      <c r="J174" s="85">
        <f>IF(H174,An,'2020'!An_max)</f>
        <v>2021</v>
      </c>
      <c r="K174" s="197">
        <f t="shared" si="50"/>
        <v>44356</v>
      </c>
      <c r="L174" s="147">
        <f>IF(t&lt;Tvie,1-EXP((T0-t)*PertePVj)+'2020'!Pspv,1-EXP((T0-t)*PertePVj)+Pspv)</f>
        <v>1.674258443231702E-2</v>
      </c>
      <c r="M174" s="832"/>
      <c r="N174" s="832"/>
      <c r="O174" s="48">
        <f>IF(t&lt;Tnet,'2020'!Resal+('2020'!Salim-'2020'!Resal)*(1-EXP(('2020'!Tnet-t)/('2020'!Tau_j))),Resal+(Salim-Resal)*(1-EXP((Tnet-t)/(Tau_j))))*Salcycl</f>
        <v>4.58734368523308E-2</v>
      </c>
      <c r="P174" s="169">
        <f>(INDEX(Models!$BJ174:$BT174,,T174)*(1-R174)+INDEX(Models!$BJ174:$BT174,,T174+1)*R174-ERP_i)*Q174*Ramure*Pc/MaxiM</f>
        <v>8.9146826854873378E-5</v>
      </c>
      <c r="Q174" s="304">
        <f t="shared" si="51"/>
        <v>0.7</v>
      </c>
      <c r="R174" s="177">
        <f t="shared" si="52"/>
        <v>0.73027650654233656</v>
      </c>
      <c r="S174" s="799">
        <f t="shared" si="53"/>
        <v>-1</v>
      </c>
      <c r="T174" s="176">
        <f t="shared" si="54"/>
        <v>5</v>
      </c>
      <c r="U174" s="250">
        <f t="shared" si="55"/>
        <v>-0.26972349345766344</v>
      </c>
      <c r="V174" s="382">
        <f t="shared" si="56"/>
        <v>58.058660485547513</v>
      </c>
      <c r="W174" s="400"/>
      <c r="X174" s="157">
        <f t="shared" si="57"/>
        <v>44356</v>
      </c>
      <c r="Y174" s="383">
        <f t="shared" si="58"/>
        <v>55.363630013215158</v>
      </c>
      <c r="Z174" s="383">
        <f t="shared" si="59"/>
        <v>56.306343727141893</v>
      </c>
      <c r="AA174" s="384">
        <f t="shared" si="60"/>
        <v>59.013495590550306</v>
      </c>
      <c r="AB174" s="197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4.58734368523308E-2</v>
      </c>
      <c r="AD174" s="230">
        <f>(INDEX(Models!$BJ174:$BT174,,AH174)*(1-AF174)+INDEX(Models!$BJ174:$BT174,,AH174+1)*AF174-ERP_i)*AE174*Ramure*Pc/MaxiM</f>
        <v>9.6303596715835614E-5</v>
      </c>
      <c r="AE174" s="304">
        <f t="shared" si="62"/>
        <v>0.7</v>
      </c>
      <c r="AF174" s="177">
        <f t="shared" si="63"/>
        <v>0.79460872880216871</v>
      </c>
      <c r="AG174" s="799">
        <f t="shared" si="71"/>
        <v>-1</v>
      </c>
      <c r="AH174" s="176">
        <f t="shared" si="64"/>
        <v>5</v>
      </c>
      <c r="AI174" s="224">
        <f t="shared" si="65"/>
        <v>-0.20539127119783129</v>
      </c>
      <c r="AJ174" s="264" t="b">
        <f t="shared" si="66"/>
        <v>1</v>
      </c>
      <c r="AK174" s="264" t="b">
        <f t="shared" si="67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68"/>
        <v>44357</v>
      </c>
      <c r="B175" s="607">
        <v>55.384</v>
      </c>
      <c r="C175" s="388"/>
      <c r="D175" s="391">
        <f t="shared" si="48"/>
        <v>56.328140083327668</v>
      </c>
      <c r="E175" s="383">
        <f t="shared" si="72"/>
        <v>59.040111836215765</v>
      </c>
      <c r="F175" s="383">
        <f t="shared" si="49"/>
        <v>59.045072187997533</v>
      </c>
      <c r="G175" s="110">
        <f t="shared" si="73"/>
        <v>0.95448317255851578</v>
      </c>
      <c r="H175" s="412" t="b">
        <f>Wh_hp&gt;='2020'!Maxi_hp</f>
        <v>1</v>
      </c>
      <c r="I175" s="379">
        <f>IF(H175,Wh_hp,'2020'!Maxi_hp)</f>
        <v>59.045072187997533</v>
      </c>
      <c r="J175" s="85">
        <f>IF(H175,An,'2020'!An_max)</f>
        <v>2021</v>
      </c>
      <c r="K175" s="197">
        <f t="shared" si="50"/>
        <v>44357</v>
      </c>
      <c r="L175" s="147">
        <f>IF(t&lt;Tvie,1-EXP((T0-t)*PertePVj)+'2020'!Pspv,1-EXP((T0-t)*PertePVj)+Pspv)</f>
        <v>1.6761428336369288E-2</v>
      </c>
      <c r="M175" s="832"/>
      <c r="N175" s="832"/>
      <c r="O175" s="48">
        <f>IF(t&lt;Tnet,'2020'!Resal+('2020'!Salim-'2020'!Resal)*(1-EXP(('2020'!Tnet-t)/('2020'!Tau_j))),Resal+(Salim-Resal)*(1-EXP((Tnet-t)/(Tau_j))))*Salcycl</f>
        <v>4.5934393898362236E-2</v>
      </c>
      <c r="P175" s="169">
        <f>(INDEX(Models!$BJ175:$BT175,,T175)*(1-R175)+INDEX(Models!$BJ175:$BT175,,T175+1)*R175-ERP_i)*Q175*Ramure*Pc/MaxiM</f>
        <v>8.9851363953244215E-5</v>
      </c>
      <c r="Q175" s="304">
        <f t="shared" si="51"/>
        <v>0.7</v>
      </c>
      <c r="R175" s="177">
        <f t="shared" si="52"/>
        <v>0.73439259959114578</v>
      </c>
      <c r="S175" s="799">
        <f t="shared" si="53"/>
        <v>-1</v>
      </c>
      <c r="T175" s="176">
        <f t="shared" si="54"/>
        <v>5</v>
      </c>
      <c r="U175" s="250">
        <f t="shared" si="55"/>
        <v>-0.26560740040885422</v>
      </c>
      <c r="V175" s="382">
        <f t="shared" si="56"/>
        <v>58.024780345848782</v>
      </c>
      <c r="W175" s="400"/>
      <c r="X175" s="157">
        <f t="shared" si="57"/>
        <v>44357</v>
      </c>
      <c r="Y175" s="383">
        <f t="shared" si="58"/>
        <v>55.38362837307244</v>
      </c>
      <c r="Z175" s="383">
        <f t="shared" si="59"/>
        <v>56.327762121215244</v>
      </c>
      <c r="AA175" s="384">
        <f t="shared" si="60"/>
        <v>59.039715676758796</v>
      </c>
      <c r="AB175" s="197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4.5934393898362236E-2</v>
      </c>
      <c r="AD175" s="230">
        <f>(INDEX(Models!$BJ175:$BT175,,AH175)*(1-AF175)+INDEX(Models!$BJ175:$BT175,,AH175+1)*AF175-ERP_i)*AE175*Ramure*Pc/MaxiM</f>
        <v>9.702736055950992E-5</v>
      </c>
      <c r="AE175" s="304">
        <f t="shared" si="62"/>
        <v>0.7</v>
      </c>
      <c r="AF175" s="177">
        <f t="shared" si="63"/>
        <v>0.79872482185097793</v>
      </c>
      <c r="AG175" s="799">
        <f t="shared" si="71"/>
        <v>-1</v>
      </c>
      <c r="AH175" s="176">
        <f t="shared" si="64"/>
        <v>5</v>
      </c>
      <c r="AI175" s="224">
        <f t="shared" si="65"/>
        <v>-0.20127517814902207</v>
      </c>
      <c r="AJ175" s="264" t="b">
        <f t="shared" si="66"/>
        <v>1</v>
      </c>
      <c r="AK175" s="264" t="b">
        <f t="shared" si="67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68"/>
        <v>44358</v>
      </c>
      <c r="B176" s="607">
        <v>48.550000000000004</v>
      </c>
      <c r="C176" s="388"/>
      <c r="D176" s="391">
        <f t="shared" si="48"/>
        <v>49.378586099768683</v>
      </c>
      <c r="E176" s="383">
        <f t="shared" si="72"/>
        <v>51.759240609099884</v>
      </c>
      <c r="F176" s="383">
        <f t="shared" si="49"/>
        <v>51.762836071006539</v>
      </c>
      <c r="G176" s="110">
        <f t="shared" si="73"/>
        <v>0.83722327648785833</v>
      </c>
      <c r="H176" s="412" t="b">
        <f>Wh_hp&gt;='2020'!Maxi_hp</f>
        <v>1</v>
      </c>
      <c r="I176" s="379">
        <f>IF(H176,Wh_hp,'2020'!Maxi_hp)</f>
        <v>51.762836071006539</v>
      </c>
      <c r="J176" s="85">
        <f>IF(H176,An,'2020'!An_max)</f>
        <v>2021</v>
      </c>
      <c r="K176" s="197">
        <f t="shared" si="50"/>
        <v>44358</v>
      </c>
      <c r="L176" s="147">
        <f>IF(t&lt;Tvie,1-EXP((T0-t)*PertePVj)+'2020'!Pspv,1-EXP((T0-t)*PertePVj)+Pspv)</f>
        <v>1.6780271879282438E-2</v>
      </c>
      <c r="M176" s="832"/>
      <c r="N176" s="832"/>
      <c r="O176" s="48">
        <f>IF(t&lt;Tnet,'2020'!Resal+('2020'!Salim-'2020'!Resal)*(1-EXP(('2020'!Tnet-t)/('2020'!Tau_j))),Resal+(Salim-Resal)*(1-EXP((Tnet-t)/(Tau_j))))*Salcycl</f>
        <v>4.5994772746195414E-2</v>
      </c>
      <c r="P176" s="169">
        <f>(INDEX(Models!$BJ176:$BT176,,T176)*(1-R176)+INDEX(Models!$BJ176:$BT176,,T176+1)*R176-ERP_i)*Q176*Ramure*Pc/MaxiM</f>
        <v>9.0503547750633043E-5</v>
      </c>
      <c r="Q176" s="304">
        <f t="shared" si="51"/>
        <v>0.7</v>
      </c>
      <c r="R176" s="177">
        <f t="shared" si="52"/>
        <v>0.738508692639955</v>
      </c>
      <c r="S176" s="799">
        <f t="shared" si="53"/>
        <v>-1</v>
      </c>
      <c r="T176" s="176">
        <f t="shared" si="54"/>
        <v>5</v>
      </c>
      <c r="U176" s="250">
        <f t="shared" si="55"/>
        <v>-0.261491307360045</v>
      </c>
      <c r="V176" s="382">
        <f t="shared" si="56"/>
        <v>57.988089488878963</v>
      </c>
      <c r="W176" s="400"/>
      <c r="X176" s="157">
        <f t="shared" si="57"/>
        <v>44358</v>
      </c>
      <c r="Y176" s="383">
        <f t="shared" si="58"/>
        <v>48.549732013095543</v>
      </c>
      <c r="Z176" s="383">
        <f t="shared" si="59"/>
        <v>49.37831353922418</v>
      </c>
      <c r="AA176" s="384">
        <f t="shared" si="60"/>
        <v>51.758954907788493</v>
      </c>
      <c r="AB176" s="197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4.5994772746195414E-2</v>
      </c>
      <c r="AD176" s="230">
        <f>(INDEX(Models!$BJ176:$BT176,,AH176)*(1-AF176)+INDEX(Models!$BJ176:$BT176,,AH176+1)*AF176-ERP_i)*AE176*Ramure*Pc/MaxiM</f>
        <v>9.7695108376208458E-5</v>
      </c>
      <c r="AE176" s="304">
        <f t="shared" si="62"/>
        <v>0.7</v>
      </c>
      <c r="AF176" s="177">
        <f t="shared" si="63"/>
        <v>0.80284091489978715</v>
      </c>
      <c r="AG176" s="799">
        <f t="shared" si="71"/>
        <v>-1</v>
      </c>
      <c r="AH176" s="176">
        <f t="shared" si="64"/>
        <v>5</v>
      </c>
      <c r="AI176" s="224">
        <f t="shared" si="65"/>
        <v>-0.19715908510021285</v>
      </c>
      <c r="AJ176" s="264" t="b">
        <f t="shared" si="66"/>
        <v>1</v>
      </c>
      <c r="AK176" s="264" t="b">
        <f t="shared" si="67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68"/>
        <v>44359</v>
      </c>
      <c r="B177" s="607">
        <v>38.878</v>
      </c>
      <c r="C177" s="388"/>
      <c r="D177" s="391">
        <f t="shared" si="48"/>
        <v>39.542275231388331</v>
      </c>
      <c r="E177" s="383">
        <f t="shared" si="72"/>
        <v>41.451295811381577</v>
      </c>
      <c r="F177" s="383">
        <f t="shared" si="49"/>
        <v>41.453296828579397</v>
      </c>
      <c r="G177" s="110">
        <f t="shared" si="73"/>
        <v>0.67087628061862625</v>
      </c>
      <c r="H177" s="412" t="b">
        <f>Wh_hp&gt;='2020'!Maxi_hp</f>
        <v>0</v>
      </c>
      <c r="I177" s="379">
        <f>IF(H177,Wh_hp,'2020'!Maxi_hp)</f>
        <v>60.295662422048899</v>
      </c>
      <c r="J177" s="85">
        <f>IF(H177,An,'2020'!An_max)</f>
        <v>2018</v>
      </c>
      <c r="K177" s="197">
        <f t="shared" si="50"/>
        <v>44359</v>
      </c>
      <c r="L177" s="147">
        <f>IF(t&lt;Tvie,1-EXP((T0-t)*PertePVj)+'2020'!Pspv,1-EXP((T0-t)*PertePVj)+Pspv)</f>
        <v>1.6799115061063463E-2</v>
      </c>
      <c r="M177" s="832"/>
      <c r="N177" s="832"/>
      <c r="O177" s="48">
        <f>IF(t&lt;Tnet,'2020'!Resal+('2020'!Salim-'2020'!Resal)*(1-EXP(('2020'!Tnet-t)/('2020'!Tau_j))),Resal+(Salim-Resal)*(1-EXP((Tnet-t)/(Tau_j))))*Salcycl</f>
        <v>4.6054545283215759E-2</v>
      </c>
      <c r="P177" s="169">
        <f>(INDEX(Models!$BJ177:$BT177,,T177)*(1-R177)+INDEX(Models!$BJ177:$BT177,,T177+1)*R177-ERP_i)*Q177*Ramure*Pc/MaxiM</f>
        <v>9.1101825027710897E-5</v>
      </c>
      <c r="Q177" s="304">
        <f t="shared" si="51"/>
        <v>0.7</v>
      </c>
      <c r="R177" s="177">
        <f t="shared" si="52"/>
        <v>0.74262131235539974</v>
      </c>
      <c r="S177" s="799">
        <f t="shared" si="53"/>
        <v>-1</v>
      </c>
      <c r="T177" s="176">
        <f t="shared" si="54"/>
        <v>5</v>
      </c>
      <c r="U177" s="250">
        <f t="shared" si="55"/>
        <v>-0.25737868764460026</v>
      </c>
      <c r="V177" s="382">
        <f t="shared" si="56"/>
        <v>57.948590357821871</v>
      </c>
      <c r="W177" s="400"/>
      <c r="X177" s="157">
        <f t="shared" si="57"/>
        <v>44359</v>
      </c>
      <c r="Y177" s="383">
        <f t="shared" si="58"/>
        <v>38.877851601703</v>
      </c>
      <c r="Z177" s="383">
        <f t="shared" si="59"/>
        <v>39.542124297536184</v>
      </c>
      <c r="AA177" s="384">
        <f t="shared" si="60"/>
        <v>41.451137590750193</v>
      </c>
      <c r="AB177" s="197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4.6054545283215759E-2</v>
      </c>
      <c r="AD177" s="230">
        <f>(INDEX(Models!$BJ177:$BT177,,AH177)*(1-AF177)+INDEX(Models!$BJ177:$BT177,,AH177+1)*AF177-ERP_i)*AE177*Ramure*Pc/MaxiM</f>
        <v>9.8305255509228035E-5</v>
      </c>
      <c r="AE177" s="304">
        <f t="shared" si="62"/>
        <v>0.7</v>
      </c>
      <c r="AF177" s="177">
        <f t="shared" si="63"/>
        <v>0.80695353461523189</v>
      </c>
      <c r="AG177" s="799">
        <f t="shared" si="71"/>
        <v>-1</v>
      </c>
      <c r="AH177" s="176">
        <f t="shared" si="64"/>
        <v>5</v>
      </c>
      <c r="AI177" s="224">
        <f t="shared" si="65"/>
        <v>-0.19304646538476813</v>
      </c>
      <c r="AJ177" s="264" t="b">
        <f t="shared" si="66"/>
        <v>1</v>
      </c>
      <c r="AK177" s="264" t="b">
        <f t="shared" si="67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68"/>
        <v>44360</v>
      </c>
      <c r="B178" s="607">
        <v>53.992000000000004</v>
      </c>
      <c r="C178" s="388"/>
      <c r="D178" s="391">
        <f t="shared" si="48"/>
        <v>54.915567704708486</v>
      </c>
      <c r="E178" s="383">
        <f t="shared" si="72"/>
        <v>57.570348635591863</v>
      </c>
      <c r="F178" s="383">
        <f t="shared" si="49"/>
        <v>57.575116813757184</v>
      </c>
      <c r="G178" s="110">
        <f t="shared" si="73"/>
        <v>0.93239486983779674</v>
      </c>
      <c r="H178" s="412" t="b">
        <f>Wh_hp&gt;='2020'!Maxi_hp</f>
        <v>0</v>
      </c>
      <c r="I178" s="379">
        <f>IF(H178,Wh_hp,'2020'!Maxi_hp)</f>
        <v>64.172787836056131</v>
      </c>
      <c r="J178" s="85">
        <f>IF(H178,An,'2020'!An_max)</f>
        <v>2018</v>
      </c>
      <c r="K178" s="197">
        <f t="shared" si="50"/>
        <v>44360</v>
      </c>
      <c r="L178" s="147">
        <f>IF(t&lt;Tvie,1-EXP((T0-t)*PertePVj)+'2020'!Pspv,1-EXP((T0-t)*PertePVj)+Pspv)</f>
        <v>1.6817957881719137E-2</v>
      </c>
      <c r="M178" s="832"/>
      <c r="N178" s="832"/>
      <c r="O178" s="48">
        <f>IF(t&lt;Tnet,'2020'!Resal+('2020'!Salim-'2020'!Resal)*(1-EXP(('2020'!Tnet-t)/('2020'!Tau_j))),Resal+(Salim-Resal)*(1-EXP((Tnet-t)/(Tau_j))))*Salcycl</f>
        <v>4.6113685148713911E-2</v>
      </c>
      <c r="P178" s="169">
        <f>(INDEX(Models!$BJ178:$BT178,,T178)*(1-R178)+INDEX(Models!$BJ178:$BT178,,T178+1)*R178-ERP_i)*Q178*Ramure*Pc/MaxiM</f>
        <v>9.1668828250225868E-5</v>
      </c>
      <c r="Q178" s="304">
        <f t="shared" si="51"/>
        <v>0.7</v>
      </c>
      <c r="R178" s="177">
        <f t="shared" si="52"/>
        <v>0.74672699711801294</v>
      </c>
      <c r="S178" s="799">
        <f t="shared" si="53"/>
        <v>-1</v>
      </c>
      <c r="T178" s="176">
        <f t="shared" si="54"/>
        <v>5</v>
      </c>
      <c r="U178" s="250">
        <f t="shared" si="55"/>
        <v>-0.25327300288198706</v>
      </c>
      <c r="V178" s="382">
        <f t="shared" si="56"/>
        <v>57.906283871848153</v>
      </c>
      <c r="W178" s="400"/>
      <c r="X178" s="157">
        <f t="shared" si="57"/>
        <v>44360</v>
      </c>
      <c r="Y178" s="383">
        <f t="shared" si="58"/>
        <v>53.99164812039097</v>
      </c>
      <c r="Z178" s="383">
        <f t="shared" si="59"/>
        <v>54.915209805973603</v>
      </c>
      <c r="AA178" s="384">
        <f t="shared" si="60"/>
        <v>57.569973434973811</v>
      </c>
      <c r="AB178" s="197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4.6113685148713911E-2</v>
      </c>
      <c r="AD178" s="230">
        <f>(INDEX(Models!$BJ178:$BT178,,AH178)*(1-AF178)+INDEX(Models!$BJ178:$BT178,,AH178+1)*AF178-ERP_i)*AE178*Ramure*Pc/MaxiM</f>
        <v>9.8882107583135454E-5</v>
      </c>
      <c r="AE178" s="304">
        <f t="shared" si="62"/>
        <v>0.7</v>
      </c>
      <c r="AF178" s="177">
        <f t="shared" si="63"/>
        <v>0.81105921937784509</v>
      </c>
      <c r="AG178" s="799">
        <f t="shared" si="71"/>
        <v>-1</v>
      </c>
      <c r="AH178" s="176">
        <f t="shared" si="64"/>
        <v>5</v>
      </c>
      <c r="AI178" s="224">
        <f t="shared" si="65"/>
        <v>-0.18894078062215491</v>
      </c>
      <c r="AJ178" s="264" t="b">
        <f t="shared" si="66"/>
        <v>1</v>
      </c>
      <c r="AK178" s="264" t="b">
        <f t="shared" si="67"/>
        <v>0</v>
      </c>
      <c r="AL178" s="264"/>
      <c r="AM178" s="264"/>
      <c r="AN178" s="75"/>
    </row>
    <row r="179" spans="1:40" s="6" customFormat="1" ht="11.25" x14ac:dyDescent="0.2">
      <c r="A179" s="56">
        <f t="shared" si="68"/>
        <v>44361</v>
      </c>
      <c r="B179" s="607">
        <v>53.965000000000003</v>
      </c>
      <c r="C179" s="388"/>
      <c r="D179" s="391">
        <f t="shared" si="48"/>
        <v>54.889157790620402</v>
      </c>
      <c r="E179" s="383">
        <f t="shared" si="72"/>
        <v>57.546190139955101</v>
      </c>
      <c r="F179" s="383">
        <f t="shared" si="49"/>
        <v>57.550987024107755</v>
      </c>
      <c r="G179" s="110">
        <f t="shared" si="73"/>
        <v>0.93265518375599088</v>
      </c>
      <c r="H179" s="412" t="b">
        <f>Wh_hp&gt;='2020'!Maxi_hp</f>
        <v>1</v>
      </c>
      <c r="I179" s="379">
        <f>IF(H179,Wh_hp,'2020'!Maxi_hp)</f>
        <v>57.550987024107755</v>
      </c>
      <c r="J179" s="85">
        <f>IF(H179,An,'2020'!An_max)</f>
        <v>2021</v>
      </c>
      <c r="K179" s="197">
        <f t="shared" si="50"/>
        <v>44361</v>
      </c>
      <c r="L179" s="147">
        <f>IF(t&lt;Tvie,1-EXP((T0-t)*PertePVj)+'2020'!Pspv,1-EXP((T0-t)*PertePVj)+Pspv)</f>
        <v>1.6836800341256453E-2</v>
      </c>
      <c r="M179" s="832"/>
      <c r="N179" s="832"/>
      <c r="O179" s="48">
        <f>IF(t&lt;Tnet,'2020'!Resal+('2020'!Salim-'2020'!Resal)*(1-EXP(('2020'!Tnet-t)/('2020'!Tau_j))),Resal+(Salim-Resal)*(1-EXP((Tnet-t)/(Tau_j))))*Salcycl</f>
        <v>4.6172167833746551E-2</v>
      </c>
      <c r="P179" s="169">
        <f>(INDEX(Models!$BJ179:$BT179,,T179)*(1-R179)+INDEX(Models!$BJ179:$BT179,,T179+1)*R179-ERP_i)*Q179*Ramure*Pc/MaxiM</f>
        <v>9.2221406773131248E-5</v>
      </c>
      <c r="Q179" s="304">
        <f t="shared" si="51"/>
        <v>0.7</v>
      </c>
      <c r="R179" s="177">
        <f t="shared" si="52"/>
        <v>0.75082230865227362</v>
      </c>
      <c r="S179" s="799">
        <f t="shared" si="53"/>
        <v>-1</v>
      </c>
      <c r="T179" s="176">
        <f t="shared" si="54"/>
        <v>5</v>
      </c>
      <c r="U179" s="250">
        <f t="shared" si="55"/>
        <v>-0.24917769134772633</v>
      </c>
      <c r="V179" s="382">
        <f t="shared" si="56"/>
        <v>57.86117116306675</v>
      </c>
      <c r="W179" s="400"/>
      <c r="X179" s="157">
        <f t="shared" si="57"/>
        <v>44361</v>
      </c>
      <c r="Y179" s="383">
        <f t="shared" si="58"/>
        <v>53.964647724611773</v>
      </c>
      <c r="Z179" s="383">
        <f t="shared" si="59"/>
        <v>54.888799482469366</v>
      </c>
      <c r="AA179" s="384">
        <f t="shared" si="60"/>
        <v>57.545814487097267</v>
      </c>
      <c r="AB179" s="197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4.6172167833746551E-2</v>
      </c>
      <c r="AD179" s="230">
        <f>(INDEX(Models!$BJ179:$BT179,,AH179)*(1-AF179)+INDEX(Models!$BJ179:$BT179,,AH179+1)*AF179-ERP_i)*AE179*Ramure*Pc/MaxiM</f>
        <v>9.9443435470285038E-5</v>
      </c>
      <c r="AE179" s="304">
        <f t="shared" si="62"/>
        <v>0.7</v>
      </c>
      <c r="AF179" s="177">
        <f t="shared" si="63"/>
        <v>0.81515453091210577</v>
      </c>
      <c r="AG179" s="799">
        <f t="shared" si="71"/>
        <v>-1</v>
      </c>
      <c r="AH179" s="176">
        <f t="shared" si="64"/>
        <v>5</v>
      </c>
      <c r="AI179" s="224">
        <f t="shared" si="65"/>
        <v>-0.18484546908789418</v>
      </c>
      <c r="AJ179" s="264" t="b">
        <f t="shared" si="66"/>
        <v>1</v>
      </c>
      <c r="AK179" s="264" t="b">
        <f t="shared" si="67"/>
        <v>0</v>
      </c>
      <c r="AL179" s="264"/>
      <c r="AM179" s="264"/>
      <c r="AN179" s="75"/>
    </row>
    <row r="180" spans="1:40" s="6" customFormat="1" ht="11.25" x14ac:dyDescent="0.2">
      <c r="A180" s="56">
        <f t="shared" si="68"/>
        <v>44362</v>
      </c>
      <c r="B180" s="607">
        <v>50.31</v>
      </c>
      <c r="C180" s="388"/>
      <c r="D180" s="391">
        <f t="shared" si="48"/>
        <v>51.172546140471944</v>
      </c>
      <c r="E180" s="383">
        <f t="shared" si="72"/>
        <v>53.652919018506459</v>
      </c>
      <c r="F180" s="383">
        <f t="shared" si="49"/>
        <v>53.656973382002441</v>
      </c>
      <c r="G180" s="110">
        <f t="shared" si="73"/>
        <v>0.87020070671276584</v>
      </c>
      <c r="H180" s="412" t="b">
        <f>Wh_hp&gt;='2020'!Maxi_hp</f>
        <v>1</v>
      </c>
      <c r="I180" s="379">
        <f>IF(H180,Wh_hp,'2020'!Maxi_hp)</f>
        <v>53.656973382002441</v>
      </c>
      <c r="J180" s="85">
        <f>IF(H180,An,'2020'!An_max)</f>
        <v>2021</v>
      </c>
      <c r="K180" s="197">
        <f t="shared" si="50"/>
        <v>44362</v>
      </c>
      <c r="L180" s="147">
        <f>IF(t&lt;Tvie,1-EXP((T0-t)*PertePVj)+'2020'!Pspv,1-EXP((T0-t)*PertePVj)+Pspv)</f>
        <v>1.6855642439682406E-2</v>
      </c>
      <c r="M180" s="832"/>
      <c r="N180" s="832"/>
      <c r="O180" s="48">
        <f>IF(t&lt;Tnet,'2020'!Resal+('2020'!Salim-'2020'!Resal)*(1-EXP(('2020'!Tnet-t)/('2020'!Tau_j))),Resal+(Salim-Resal)*(1-EXP((Tnet-t)/(Tau_j))))*Salcycl</f>
        <v>4.6229970771561692E-2</v>
      </c>
      <c r="P180" s="169">
        <f>(INDEX(Models!$BJ180:$BT180,,T180)*(1-R180)+INDEX(Models!$BJ180:$BT180,,T180+1)*R180-ERP_i)*Q180*Ramure*Pc/MaxiM</f>
        <v>9.2758859515440546E-5</v>
      </c>
      <c r="Q180" s="304">
        <f t="shared" si="51"/>
        <v>0.7</v>
      </c>
      <c r="R180" s="177">
        <f t="shared" si="52"/>
        <v>0.75490384348998574</v>
      </c>
      <c r="S180" s="799">
        <f t="shared" si="53"/>
        <v>-1</v>
      </c>
      <c r="T180" s="176">
        <f t="shared" si="54"/>
        <v>5</v>
      </c>
      <c r="U180" s="250">
        <f t="shared" si="55"/>
        <v>-0.24509615651001429</v>
      </c>
      <c r="V180" s="382">
        <f t="shared" si="56"/>
        <v>57.813254243347465</v>
      </c>
      <c r="W180" s="400"/>
      <c r="X180" s="157">
        <f t="shared" si="57"/>
        <v>44362</v>
      </c>
      <c r="Y180" s="383">
        <f t="shared" si="58"/>
        <v>50.309703689693727</v>
      </c>
      <c r="Z180" s="383">
        <f t="shared" si="59"/>
        <v>51.172244750036256</v>
      </c>
      <c r="AA180" s="384">
        <f t="shared" si="60"/>
        <v>53.652603019443319</v>
      </c>
      <c r="AB180" s="197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4.6229970771561692E-2</v>
      </c>
      <c r="AD180" s="230">
        <f>(INDEX(Models!$BJ180:$BT180,,AH180)*(1-AF180)+INDEX(Models!$BJ180:$BT180,,AH180+1)*AF180-ERP_i)*AE180*Ramure*Pc/MaxiM</f>
        <v>9.9988530149056686E-5</v>
      </c>
      <c r="AE180" s="304">
        <f t="shared" si="62"/>
        <v>0.7</v>
      </c>
      <c r="AF180" s="177">
        <f t="shared" si="63"/>
        <v>0.81923606574981789</v>
      </c>
      <c r="AG180" s="799">
        <f t="shared" si="71"/>
        <v>-1</v>
      </c>
      <c r="AH180" s="176">
        <f t="shared" si="64"/>
        <v>5</v>
      </c>
      <c r="AI180" s="224">
        <f t="shared" si="65"/>
        <v>-0.18076393425018214</v>
      </c>
      <c r="AJ180" s="264" t="b">
        <f t="shared" si="66"/>
        <v>1</v>
      </c>
      <c r="AK180" s="264" t="b">
        <f t="shared" si="67"/>
        <v>0</v>
      </c>
      <c r="AL180" s="264"/>
      <c r="AM180" s="264"/>
      <c r="AN180" s="75"/>
    </row>
    <row r="181" spans="1:40" s="6" customFormat="1" ht="11.25" x14ac:dyDescent="0.2">
      <c r="A181" s="56">
        <f t="shared" si="68"/>
        <v>44363</v>
      </c>
      <c r="B181" s="607">
        <v>51.309000000000005</v>
      </c>
      <c r="C181" s="388"/>
      <c r="D181" s="391">
        <f t="shared" si="48"/>
        <v>52.189673825165755</v>
      </c>
      <c r="E181" s="383">
        <f t="shared" si="72"/>
        <v>54.722623936956175</v>
      </c>
      <c r="F181" s="383">
        <f t="shared" si="49"/>
        <v>54.726914102135467</v>
      </c>
      <c r="G181" s="110">
        <f t="shared" si="73"/>
        <v>0.88826150114781888</v>
      </c>
      <c r="H181" s="412" t="b">
        <f>Wh_hp&gt;='2020'!Maxi_hp</f>
        <v>0</v>
      </c>
      <c r="I181" s="379">
        <f>IF(H181,Wh_hp,'2020'!Maxi_hp)</f>
        <v>62.895191551516874</v>
      </c>
      <c r="J181" s="85">
        <f>IF(H181,An,'2020'!An_max)</f>
        <v>2018</v>
      </c>
      <c r="K181" s="197">
        <f t="shared" si="50"/>
        <v>44363</v>
      </c>
      <c r="L181" s="147">
        <f>IF(t&lt;Tvie,1-EXP((T0-t)*PertePVj)+'2020'!Pspv,1-EXP((T0-t)*PertePVj)+Pspv)</f>
        <v>1.6874484177003768E-2</v>
      </c>
      <c r="M181" s="832"/>
      <c r="N181" s="832"/>
      <c r="O181" s="48">
        <f>IF(t&lt;Tnet,'2020'!Resal+('2020'!Salim-'2020'!Resal)*(1-EXP(('2020'!Tnet-t)/('2020'!Tau_j))),Resal+(Salim-Resal)*(1-EXP((Tnet-t)/(Tau_j))))*Salcycl</f>
        <v>4.6287073417907304E-2</v>
      </c>
      <c r="P181" s="169">
        <f>(INDEX(Models!$BJ181:$BT181,,T181)*(1-R181)+INDEX(Models!$BJ181:$BT181,,T181+1)*R181-ERP_i)*Q181*Ramure*Pc/MaxiM</f>
        <v>9.3280507980098498E-5</v>
      </c>
      <c r="Q181" s="304">
        <f t="shared" si="51"/>
        <v>0.7</v>
      </c>
      <c r="R181" s="177">
        <f t="shared" si="52"/>
        <v>0.75896824418620323</v>
      </c>
      <c r="S181" s="799">
        <f t="shared" si="53"/>
        <v>-1</v>
      </c>
      <c r="T181" s="176">
        <f t="shared" si="54"/>
        <v>5</v>
      </c>
      <c r="U181" s="250">
        <f t="shared" si="55"/>
        <v>-0.24103175581379677</v>
      </c>
      <c r="V181" s="382">
        <f t="shared" si="56"/>
        <v>57.762534987136057</v>
      </c>
      <c r="W181" s="400"/>
      <c r="X181" s="157">
        <f t="shared" si="57"/>
        <v>44363</v>
      </c>
      <c r="Y181" s="383">
        <f t="shared" si="58"/>
        <v>51.308687952840486</v>
      </c>
      <c r="Z181" s="383">
        <f t="shared" si="59"/>
        <v>52.189356421991391</v>
      </c>
      <c r="AA181" s="384">
        <f t="shared" si="60"/>
        <v>54.722291129079174</v>
      </c>
      <c r="AB181" s="197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4.6287073417907304E-2</v>
      </c>
      <c r="AD181" s="230">
        <f>(INDEX(Models!$BJ181:$BT181,,AH181)*(1-AF181)+INDEX(Models!$BJ181:$BT181,,AH181+1)*AF181-ERP_i)*AE181*Ramure*Pc/MaxiM</f>
        <v>1.0051670671111758E-4</v>
      </c>
      <c r="AE181" s="304">
        <f t="shared" si="62"/>
        <v>0.7</v>
      </c>
      <c r="AF181" s="177">
        <f t="shared" si="63"/>
        <v>0.82330046644603538</v>
      </c>
      <c r="AG181" s="799">
        <f t="shared" si="71"/>
        <v>-1</v>
      </c>
      <c r="AH181" s="176">
        <f t="shared" si="64"/>
        <v>5</v>
      </c>
      <c r="AI181" s="224">
        <f t="shared" si="65"/>
        <v>-0.17669953355396462</v>
      </c>
      <c r="AJ181" s="264" t="b">
        <f t="shared" si="66"/>
        <v>1</v>
      </c>
      <c r="AK181" s="264" t="b">
        <f t="shared" si="67"/>
        <v>0</v>
      </c>
      <c r="AL181" s="264"/>
      <c r="AM181" s="264"/>
      <c r="AN181" s="75"/>
    </row>
    <row r="182" spans="1:40" s="6" customFormat="1" ht="11.25" x14ac:dyDescent="0.2">
      <c r="A182" s="56">
        <f t="shared" si="68"/>
        <v>44364</v>
      </c>
      <c r="B182" s="607">
        <v>15.477</v>
      </c>
      <c r="C182" s="388"/>
      <c r="D182" s="391">
        <f t="shared" si="48"/>
        <v>15.742950792913124</v>
      </c>
      <c r="E182" s="383">
        <f t="shared" si="72"/>
        <v>16.507988031709861</v>
      </c>
      <c r="F182" s="383">
        <f t="shared" si="49"/>
        <v>16.507988031709861</v>
      </c>
      <c r="G182" s="110">
        <f t="shared" si="73"/>
        <v>0.26816518088094821</v>
      </c>
      <c r="H182" s="412" t="b">
        <f>Wh_hp&gt;='2020'!Maxi_hp</f>
        <v>0</v>
      </c>
      <c r="I182" s="379">
        <f>IF(H182,Wh_hp,'2020'!Maxi_hp)</f>
        <v>61.943350764633465</v>
      </c>
      <c r="J182" s="85">
        <f>IF(H182,An,'2020'!An_max)</f>
        <v>2018</v>
      </c>
      <c r="K182" s="197">
        <f t="shared" si="50"/>
        <v>44364</v>
      </c>
      <c r="L182" s="147">
        <f>IF(t&lt;Tvie,1-EXP((T0-t)*PertePVj)+'2020'!Pspv,1-EXP((T0-t)*PertePVj)+Pspv)</f>
        <v>1.6893325553227534E-2</v>
      </c>
      <c r="M182" s="832"/>
      <c r="N182" s="832"/>
      <c r="O182" s="48">
        <f>IF(t&lt;Tnet,'2020'!Resal+('2020'!Salim-'2020'!Resal)*(1-EXP(('2020'!Tnet-t)/('2020'!Tau_j))),Resal+(Salim-Resal)*(1-EXP((Tnet-t)/(Tau_j))))*Salcycl</f>
        <v>4.6343457320613103E-2</v>
      </c>
      <c r="P182" s="169">
        <f>(INDEX(Models!$BJ182:$BT182,,T182)*(1-R182)+INDEX(Models!$BJ182:$BT182,,T182+1)*R182-ERP_i)*Q182*Ramure*Pc/MaxiM</f>
        <v>9.378569889440441E-5</v>
      </c>
      <c r="Q182" s="304">
        <f t="shared" si="51"/>
        <v>0.7</v>
      </c>
      <c r="R182" s="177">
        <f t="shared" si="52"/>
        <v>0.76301221020993104</v>
      </c>
      <c r="S182" s="799">
        <f t="shared" si="53"/>
        <v>-1</v>
      </c>
      <c r="T182" s="176">
        <f t="shared" si="54"/>
        <v>5</v>
      </c>
      <c r="U182" s="250">
        <f t="shared" si="55"/>
        <v>-0.23698778979006893</v>
      </c>
      <c r="V182" s="382">
        <f t="shared" si="56"/>
        <v>57.709015122319599</v>
      </c>
      <c r="W182" s="400"/>
      <c r="X182" s="157">
        <f t="shared" si="57"/>
        <v>44364</v>
      </c>
      <c r="Y182" s="383">
        <f t="shared" si="58"/>
        <v>15.477</v>
      </c>
      <c r="Z182" s="383">
        <f t="shared" si="59"/>
        <v>15.742950792913124</v>
      </c>
      <c r="AA182" s="384">
        <f t="shared" si="60"/>
        <v>16.507988031709861</v>
      </c>
      <c r="AB182" s="197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4.6343457320613103E-2</v>
      </c>
      <c r="AD182" s="230">
        <f>(INDEX(Models!$BJ182:$BT182,,AH182)*(1-AF182)+INDEX(Models!$BJ182:$BT182,,AH182+1)*AF182-ERP_i)*AE182*Ramure*Pc/MaxiM</f>
        <v>1.0102730702711949E-4</v>
      </c>
      <c r="AE182" s="304">
        <f t="shared" si="62"/>
        <v>0.7</v>
      </c>
      <c r="AF182" s="177">
        <f t="shared" si="63"/>
        <v>0.82734443246976319</v>
      </c>
      <c r="AG182" s="799">
        <f t="shared" si="71"/>
        <v>-1</v>
      </c>
      <c r="AH182" s="176">
        <f t="shared" si="64"/>
        <v>5</v>
      </c>
      <c r="AI182" s="224">
        <f t="shared" si="65"/>
        <v>-0.17265556753023678</v>
      </c>
      <c r="AJ182" s="264" t="b">
        <f t="shared" si="66"/>
        <v>1</v>
      </c>
      <c r="AK182" s="264" t="b">
        <f t="shared" si="67"/>
        <v>0</v>
      </c>
      <c r="AL182" s="264"/>
      <c r="AM182" s="264"/>
      <c r="AN182" s="75"/>
    </row>
    <row r="183" spans="1:40" s="6" customFormat="1" ht="11.25" x14ac:dyDescent="0.2">
      <c r="A183" s="56">
        <f t="shared" si="68"/>
        <v>44365</v>
      </c>
      <c r="B183" s="607">
        <v>36.384</v>
      </c>
      <c r="C183" s="388"/>
      <c r="D183" s="391">
        <f t="shared" si="48"/>
        <v>37.009917896140884</v>
      </c>
      <c r="E183" s="383">
        <f t="shared" si="72"/>
        <v>38.810699671015428</v>
      </c>
      <c r="F183" s="383">
        <f t="shared" si="49"/>
        <v>38.812430320007877</v>
      </c>
      <c r="G183" s="110">
        <f t="shared" si="73"/>
        <v>0.63105794882476896</v>
      </c>
      <c r="H183" s="412" t="b">
        <f>Wh_hp&gt;='2020'!Maxi_hp</f>
        <v>0</v>
      </c>
      <c r="I183" s="379">
        <f>IF(H183,Wh_hp,'2020'!Maxi_hp)</f>
        <v>57.79462411948343</v>
      </c>
      <c r="J183" s="85">
        <f>IF(H183,An,'2020'!An_max)</f>
        <v>2018</v>
      </c>
      <c r="K183" s="197">
        <f t="shared" si="50"/>
        <v>44365</v>
      </c>
      <c r="L183" s="147">
        <f>IF(t&lt;Tvie,1-EXP((T0-t)*PertePVj)+'2020'!Pspv,1-EXP((T0-t)*PertePVj)+Pspv)</f>
        <v>1.6912166568360587E-2</v>
      </c>
      <c r="M183" s="832"/>
      <c r="N183" s="832"/>
      <c r="O183" s="48">
        <f>IF(t&lt;Tnet,'2020'!Resal+('2020'!Salim-'2020'!Resal)*(1-EXP(('2020'!Tnet-t)/('2020'!Tau_j))),Resal+(Salim-Resal)*(1-EXP((Tnet-t)/(Tau_j))))*Salcycl</f>
        <v>4.6399106177913214E-2</v>
      </c>
      <c r="P183" s="169">
        <f>(INDEX(Models!$BJ183:$BT183,,T183)*(1-R183)+INDEX(Models!$BJ183:$BT183,,T183+1)*R183-ERP_i)*Q183*Ramure*Pc/MaxiM</f>
        <v>9.4273806663796954E-5</v>
      </c>
      <c r="Q183" s="304">
        <f t="shared" si="51"/>
        <v>0.7</v>
      </c>
      <c r="R183" s="177">
        <f t="shared" si="52"/>
        <v>0.76703250843574855</v>
      </c>
      <c r="S183" s="799">
        <f t="shared" si="53"/>
        <v>-1</v>
      </c>
      <c r="T183" s="176">
        <f t="shared" si="54"/>
        <v>5</v>
      </c>
      <c r="U183" s="250">
        <f t="shared" si="55"/>
        <v>-0.23296749156425139</v>
      </c>
      <c r="V183" s="382">
        <f t="shared" si="56"/>
        <v>57.652696228735948</v>
      </c>
      <c r="W183" s="400"/>
      <c r="X183" s="157">
        <f t="shared" si="57"/>
        <v>44365</v>
      </c>
      <c r="Y183" s="383">
        <f t="shared" si="58"/>
        <v>36.383875299271565</v>
      </c>
      <c r="Z183" s="383">
        <f t="shared" si="59"/>
        <v>37.009791050172304</v>
      </c>
      <c r="AA183" s="384">
        <f t="shared" si="60"/>
        <v>38.810566653136142</v>
      </c>
      <c r="AB183" s="197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4.6399106177913214E-2</v>
      </c>
      <c r="AD183" s="230">
        <f>(INDEX(Models!$BJ183:$BT183,,AH183)*(1-AF183)+INDEX(Models!$BJ183:$BT183,,AH183+1)*AF183-ERP_i)*AE183*Ramure*Pc/MaxiM</f>
        <v>1.0151970221488239E-4</v>
      </c>
      <c r="AE183" s="304">
        <f t="shared" si="62"/>
        <v>0.7</v>
      </c>
      <c r="AF183" s="177">
        <f t="shared" si="63"/>
        <v>0.8313647306955807</v>
      </c>
      <c r="AG183" s="799">
        <f t="shared" si="71"/>
        <v>-1</v>
      </c>
      <c r="AH183" s="176">
        <f t="shared" si="64"/>
        <v>5</v>
      </c>
      <c r="AI183" s="224">
        <f t="shared" si="65"/>
        <v>-0.16863526930441924</v>
      </c>
      <c r="AJ183" s="264" t="b">
        <f t="shared" si="66"/>
        <v>1</v>
      </c>
      <c r="AK183" s="264" t="b">
        <f t="shared" si="67"/>
        <v>0</v>
      </c>
      <c r="AL183" s="264"/>
      <c r="AM183" s="264"/>
      <c r="AN183" s="75"/>
    </row>
    <row r="184" spans="1:40" s="6" customFormat="1" ht="11.25" x14ac:dyDescent="0.2">
      <c r="A184" s="56">
        <f t="shared" si="68"/>
        <v>44366</v>
      </c>
      <c r="B184" s="607">
        <v>32.725999999999999</v>
      </c>
      <c r="C184" s="388"/>
      <c r="D184" s="391">
        <f t="shared" si="48"/>
        <v>33.289626913707309</v>
      </c>
      <c r="E184" s="383">
        <f t="shared" si="72"/>
        <v>34.911401357840099</v>
      </c>
      <c r="F184" s="383">
        <f t="shared" si="49"/>
        <v>34.912669153669654</v>
      </c>
      <c r="G184" s="110">
        <f t="shared" si="73"/>
        <v>0.56818985504910557</v>
      </c>
      <c r="H184" s="412" t="b">
        <f>Wh_hp&gt;='2020'!Maxi_hp</f>
        <v>0</v>
      </c>
      <c r="I184" s="379">
        <f>IF(H184,Wh_hp,'2020'!Maxi_hp)</f>
        <v>53.558889603798256</v>
      </c>
      <c r="J184" s="85">
        <f>IF(H184,An,'2020'!An_max)</f>
        <v>2018</v>
      </c>
      <c r="K184" s="197">
        <f t="shared" si="50"/>
        <v>44366</v>
      </c>
      <c r="L184" s="147">
        <f>IF(t&lt;Tvie,1-EXP((T0-t)*PertePVj)+'2020'!Pspv,1-EXP((T0-t)*PertePVj)+Pspv)</f>
        <v>1.6931007222409922E-2</v>
      </c>
      <c r="M184" s="832"/>
      <c r="N184" s="832"/>
      <c r="O184" s="48">
        <f>IF(t&lt;Tnet,'2020'!Resal+('2020'!Salim-'2020'!Resal)*(1-EXP(('2020'!Tnet-t)/('2020'!Tau_j))),Resal+(Salim-Resal)*(1-EXP((Tnet-t)/(Tau_j))))*Salcycl</f>
        <v>4.64540058850599E-2</v>
      </c>
      <c r="P184" s="169">
        <f>(INDEX(Models!$BJ184:$BT184,,T184)*(1-R184)+INDEX(Models!$BJ184:$BT184,,T184+1)*R184-ERP_i)*Q184*Ramure*Pc/MaxiM</f>
        <v>9.4769409185956399E-5</v>
      </c>
      <c r="Q184" s="304">
        <f t="shared" si="51"/>
        <v>0.7</v>
      </c>
      <c r="R184" s="177">
        <f t="shared" si="52"/>
        <v>0.77102598316727855</v>
      </c>
      <c r="S184" s="799">
        <f t="shared" si="53"/>
        <v>-1</v>
      </c>
      <c r="T184" s="176">
        <f t="shared" si="54"/>
        <v>5</v>
      </c>
      <c r="U184" s="250">
        <f t="shared" si="55"/>
        <v>-0.22897401683272139</v>
      </c>
      <c r="V184" s="382">
        <f t="shared" si="56"/>
        <v>57.59357828480055</v>
      </c>
      <c r="W184" s="400"/>
      <c r="X184" s="157">
        <f t="shared" si="57"/>
        <v>44366</v>
      </c>
      <c r="Y184" s="383">
        <f t="shared" si="58"/>
        <v>32.725909073196675</v>
      </c>
      <c r="Z184" s="383">
        <f t="shared" si="59"/>
        <v>33.289534420907728</v>
      </c>
      <c r="AA184" s="384">
        <f t="shared" si="60"/>
        <v>34.911304359058548</v>
      </c>
      <c r="AB184" s="197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4.64540058850599E-2</v>
      </c>
      <c r="AD184" s="230">
        <f>(INDEX(Models!$BJ184:$BT184,,AH184)*(1-AF184)+INDEX(Models!$BJ184:$BT184,,AH184+1)*AF184-ERP_i)*AE184*Ramure*Pc/MaxiM</f>
        <v>1.0202019594895941E-4</v>
      </c>
      <c r="AE184" s="304">
        <f t="shared" si="62"/>
        <v>0.7</v>
      </c>
      <c r="AF184" s="177">
        <f t="shared" si="63"/>
        <v>0.8353582054271107</v>
      </c>
      <c r="AG184" s="799">
        <f t="shared" si="71"/>
        <v>-1</v>
      </c>
      <c r="AH184" s="176">
        <f t="shared" si="64"/>
        <v>5</v>
      </c>
      <c r="AI184" s="224">
        <f t="shared" si="65"/>
        <v>-0.16464179457288924</v>
      </c>
      <c r="AJ184" s="264" t="b">
        <f t="shared" si="66"/>
        <v>1</v>
      </c>
      <c r="AK184" s="264" t="b">
        <f t="shared" si="67"/>
        <v>0</v>
      </c>
      <c r="AL184" s="264"/>
      <c r="AM184" s="264"/>
      <c r="AN184" s="75"/>
    </row>
    <row r="185" spans="1:40" s="6" customFormat="1" ht="11.25" x14ac:dyDescent="0.2">
      <c r="A185" s="56">
        <f t="shared" si="68"/>
        <v>44367</v>
      </c>
      <c r="B185" s="607">
        <v>30.754000000000001</v>
      </c>
      <c r="C185" s="388"/>
      <c r="D185" s="391">
        <f t="shared" si="48"/>
        <v>31.284263495886318</v>
      </c>
      <c r="E185" s="383">
        <f t="shared" si="72"/>
        <v>32.81020526571853</v>
      </c>
      <c r="F185" s="383">
        <f t="shared" si="49"/>
        <v>32.811253169491891</v>
      </c>
      <c r="G185" s="110">
        <f t="shared" si="73"/>
        <v>0.53452396075810626</v>
      </c>
      <c r="H185" s="412" t="b">
        <f>Wh_hp&gt;='2020'!Maxi_hp</f>
        <v>0</v>
      </c>
      <c r="I185" s="379">
        <f>IF(H185,Wh_hp,'2020'!Maxi_hp)</f>
        <v>55.931265464438617</v>
      </c>
      <c r="J185" s="85">
        <f>IF(H185,An,'2020'!An_max)</f>
        <v>2020</v>
      </c>
      <c r="K185" s="197">
        <f t="shared" si="50"/>
        <v>44367</v>
      </c>
      <c r="L185" s="147">
        <f>IF(t&lt;Tvie,1-EXP((T0-t)*PertePVj)+'2020'!Pspv,1-EXP((T0-t)*PertePVj)+Pspv)</f>
        <v>1.6949847515382421E-2</v>
      </c>
      <c r="M185" s="832"/>
      <c r="N185" s="832"/>
      <c r="O185" s="48">
        <f>IF(t&lt;Tnet,'2020'!Resal+('2020'!Salim-'2020'!Resal)*(1-EXP(('2020'!Tnet-t)/('2020'!Tau_j))),Resal+(Salim-Resal)*(1-EXP((Tnet-t)/(Tau_j))))*Salcycl</f>
        <v>4.6508144568866129E-2</v>
      </c>
      <c r="P185" s="169">
        <f>(INDEX(Models!$BJ185:$BT185,,T185)*(1-R185)+INDEX(Models!$BJ185:$BT185,,T185+1)*R185-ERP_i)*Q185*Ramure*Pc/MaxiM</f>
        <v>9.5311800624501289E-5</v>
      </c>
      <c r="Q185" s="304">
        <f t="shared" si="51"/>
        <v>0.7</v>
      </c>
      <c r="R185" s="177">
        <f t="shared" si="52"/>
        <v>0.7749895656289445</v>
      </c>
      <c r="S185" s="799">
        <f t="shared" si="53"/>
        <v>-1</v>
      </c>
      <c r="T185" s="176">
        <f t="shared" si="54"/>
        <v>5</v>
      </c>
      <c r="U185" s="250">
        <f t="shared" si="55"/>
        <v>-0.22501043437105553</v>
      </c>
      <c r="V185" s="382">
        <f t="shared" si="56"/>
        <v>57.531660275103434</v>
      </c>
      <c r="W185" s="400"/>
      <c r="X185" s="157">
        <f t="shared" si="57"/>
        <v>44367</v>
      </c>
      <c r="Y185" s="383">
        <f t="shared" si="58"/>
        <v>30.753925192026951</v>
      </c>
      <c r="Z185" s="383">
        <f t="shared" si="59"/>
        <v>31.284187398066834</v>
      </c>
      <c r="AA185" s="384">
        <f t="shared" si="60"/>
        <v>32.810125456101851</v>
      </c>
      <c r="AB185" s="197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4.6508144568866129E-2</v>
      </c>
      <c r="AD185" s="230">
        <f>(INDEX(Models!$BJ185:$BT185,,AH185)*(1-AF185)+INDEX(Models!$BJ185:$BT185,,AH185+1)*AF185-ERP_i)*AE185*Ramure*Pc/MaxiM</f>
        <v>1.0257086244506856E-4</v>
      </c>
      <c r="AE185" s="304">
        <f t="shared" si="62"/>
        <v>0.7</v>
      </c>
      <c r="AF185" s="177">
        <f t="shared" si="63"/>
        <v>0.83932178788877665</v>
      </c>
      <c r="AG185" s="799">
        <f t="shared" si="71"/>
        <v>-1</v>
      </c>
      <c r="AH185" s="176">
        <f t="shared" si="64"/>
        <v>5</v>
      </c>
      <c r="AI185" s="224">
        <f t="shared" si="65"/>
        <v>-0.16067821211122338</v>
      </c>
      <c r="AJ185" s="264" t="b">
        <f t="shared" si="66"/>
        <v>1</v>
      </c>
      <c r="AK185" s="264" t="b">
        <f t="shared" si="67"/>
        <v>0</v>
      </c>
      <c r="AL185" s="264"/>
      <c r="AM185" s="264"/>
      <c r="AN185" s="75"/>
    </row>
    <row r="186" spans="1:40" s="6" customFormat="1" ht="11.25" x14ac:dyDescent="0.2">
      <c r="A186" s="56">
        <f t="shared" si="68"/>
        <v>44368</v>
      </c>
      <c r="B186" s="607">
        <v>33.006</v>
      </c>
      <c r="C186" s="388"/>
      <c r="D186" s="391">
        <f t="shared" si="48"/>
        <v>33.575736172930966</v>
      </c>
      <c r="E186" s="383">
        <f t="shared" si="72"/>
        <v>35.21541936579456</v>
      </c>
      <c r="F186" s="383">
        <f t="shared" si="49"/>
        <v>35.216743032733511</v>
      </c>
      <c r="G186" s="110">
        <f t="shared" si="73"/>
        <v>0.57431408904121362</v>
      </c>
      <c r="H186" s="412" t="b">
        <f>Wh_hp&gt;='2020'!Maxi_hp</f>
        <v>0</v>
      </c>
      <c r="I186" s="379">
        <f>IF(H186,Wh_hp,'2020'!Maxi_hp)</f>
        <v>56.260411269728877</v>
      </c>
      <c r="J186" s="85">
        <f>IF(H186,An,'2020'!An_max)</f>
        <v>2020</v>
      </c>
      <c r="K186" s="197">
        <f t="shared" si="50"/>
        <v>44368</v>
      </c>
      <c r="L186" s="147">
        <f>IF(t&lt;Tvie,1-EXP((T0-t)*PertePVj)+'2020'!Pspv,1-EXP((T0-t)*PertePVj)+Pspv)</f>
        <v>1.696868744728508E-2</v>
      </c>
      <c r="M186" s="832"/>
      <c r="N186" s="832"/>
      <c r="O186" s="48">
        <f>IF(t&lt;Tnet,'2020'!Resal+('2020'!Salim-'2020'!Resal)*(1-EXP(('2020'!Tnet-t)/('2020'!Tau_j))),Resal+(Salim-Resal)*(1-EXP((Tnet-t)/(Tau_j))))*Salcycl</f>
        <v>4.6561512609906645E-2</v>
      </c>
      <c r="P186" s="169">
        <f>(INDEX(Models!$BJ186:$BT186,,T186)*(1-R186)+INDEX(Models!$BJ186:$BT186,,T186+1)*R186-ERP_i)*Q186*Ramure*Pc/MaxiM</f>
        <v>9.5901728289259007E-5</v>
      </c>
      <c r="Q186" s="304">
        <f t="shared" si="51"/>
        <v>0.7</v>
      </c>
      <c r="R186" s="177">
        <f t="shared" si="52"/>
        <v>0.7789202828686459</v>
      </c>
      <c r="S186" s="799">
        <f t="shared" si="53"/>
        <v>-1</v>
      </c>
      <c r="T186" s="176">
        <f t="shared" si="54"/>
        <v>5</v>
      </c>
      <c r="U186" s="250">
        <f t="shared" si="55"/>
        <v>-0.22107971713135416</v>
      </c>
      <c r="V186" s="382">
        <f t="shared" si="56"/>
        <v>57.466943260269936</v>
      </c>
      <c r="W186" s="400"/>
      <c r="X186" s="157">
        <f t="shared" si="57"/>
        <v>44368</v>
      </c>
      <c r="Y186" s="383">
        <f t="shared" si="58"/>
        <v>33.005905942865851</v>
      </c>
      <c r="Z186" s="383">
        <f t="shared" si="59"/>
        <v>33.575640492220757</v>
      </c>
      <c r="AA186" s="384">
        <f t="shared" si="60"/>
        <v>35.21531901248234</v>
      </c>
      <c r="AB186" s="197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4.6561512609906645E-2</v>
      </c>
      <c r="AD186" s="230">
        <f>(INDEX(Models!$BJ186:$BT186,,AH186)*(1-AF186)+INDEX(Models!$BJ186:$BT186,,AH186+1)*AF186-ERP_i)*AE186*Ramure*Pc/MaxiM</f>
        <v>1.0317248182903408E-4</v>
      </c>
      <c r="AE186" s="304">
        <f t="shared" si="62"/>
        <v>0.7</v>
      </c>
      <c r="AF186" s="177">
        <f t="shared" si="63"/>
        <v>0.84325250512847805</v>
      </c>
      <c r="AG186" s="799">
        <f t="shared" si="71"/>
        <v>-1</v>
      </c>
      <c r="AH186" s="176">
        <f t="shared" si="64"/>
        <v>5</v>
      </c>
      <c r="AI186" s="224">
        <f t="shared" si="65"/>
        <v>-0.15674749487152201</v>
      </c>
      <c r="AJ186" s="264" t="b">
        <f t="shared" si="66"/>
        <v>1</v>
      </c>
      <c r="AK186" s="264" t="b">
        <f t="shared" si="67"/>
        <v>0</v>
      </c>
      <c r="AL186" s="264"/>
      <c r="AM186" s="264"/>
      <c r="AN186" s="75"/>
    </row>
    <row r="187" spans="1:40" s="6" customFormat="1" ht="11.25" x14ac:dyDescent="0.2">
      <c r="A187" s="56">
        <f t="shared" si="68"/>
        <v>44369</v>
      </c>
      <c r="B187" s="607">
        <v>41.579000000000001</v>
      </c>
      <c r="C187" s="388"/>
      <c r="D187" s="391">
        <f t="shared" si="48"/>
        <v>42.297530441169314</v>
      </c>
      <c r="E187" s="383">
        <f t="shared" si="72"/>
        <v>44.365592735151409</v>
      </c>
      <c r="F187" s="383">
        <f t="shared" si="49"/>
        <v>44.368189518764034</v>
      </c>
      <c r="G187" s="110">
        <f t="shared" si="73"/>
        <v>0.72435250235703474</v>
      </c>
      <c r="H187" s="412" t="b">
        <f>Wh_hp&gt;='2020'!Maxi_hp</f>
        <v>0</v>
      </c>
      <c r="I187" s="379">
        <f>IF(H187,Wh_hp,'2020'!Maxi_hp)</f>
        <v>60.180759205917369</v>
      </c>
      <c r="J187" s="85">
        <f>IF(H187,An,'2020'!An_max)</f>
        <v>2020</v>
      </c>
      <c r="K187" s="197">
        <f t="shared" si="50"/>
        <v>44369</v>
      </c>
      <c r="L187" s="147">
        <f>IF(t&lt;Tvie,1-EXP((T0-t)*PertePVj)+'2020'!Pspv,1-EXP((T0-t)*PertePVj)+Pspv)</f>
        <v>1.6987527018124671E-2</v>
      </c>
      <c r="M187" s="832"/>
      <c r="N187" s="832"/>
      <c r="O187" s="48">
        <f>IF(t&lt;Tnet,'2020'!Resal+('2020'!Salim-'2020'!Resal)*(1-EXP(('2020'!Tnet-t)/('2020'!Tau_j))),Resal+(Salim-Resal)*(1-EXP((Tnet-t)/(Tau_j))))*Salcycl</f>
        <v>4.6614102652201159E-2</v>
      </c>
      <c r="P187" s="169">
        <f>(INDEX(Models!$BJ187:$BT187,,T187)*(1-R187)+INDEX(Models!$BJ187:$BT187,,T187+1)*R187-ERP_i)*Q187*Ramure*Pc/MaxiM</f>
        <v>9.6539967011324617E-5</v>
      </c>
      <c r="Q187" s="304">
        <f t="shared" si="51"/>
        <v>0.7</v>
      </c>
      <c r="R187" s="177">
        <f t="shared" si="52"/>
        <v>0.78281526602071594</v>
      </c>
      <c r="S187" s="799">
        <f t="shared" si="53"/>
        <v>-1</v>
      </c>
      <c r="T187" s="176">
        <f t="shared" si="54"/>
        <v>5</v>
      </c>
      <c r="U187" s="250">
        <f t="shared" si="55"/>
        <v>-0.21718473397928409</v>
      </c>
      <c r="V187" s="382">
        <f t="shared" si="56"/>
        <v>57.399428144031354</v>
      </c>
      <c r="W187" s="400"/>
      <c r="X187" s="157">
        <f t="shared" si="57"/>
        <v>44369</v>
      </c>
      <c r="Y187" s="383">
        <f t="shared" si="58"/>
        <v>41.5788163295244</v>
      </c>
      <c r="Z187" s="383">
        <f t="shared" si="59"/>
        <v>42.297343596667694</v>
      </c>
      <c r="AA187" s="384">
        <f t="shared" si="60"/>
        <v>44.365396755221205</v>
      </c>
      <c r="AB187" s="197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4.6614102652201159E-2</v>
      </c>
      <c r="AD187" s="230">
        <f>(INDEX(Models!$BJ187:$BT187,,AH187)*(1-AF187)+INDEX(Models!$BJ187:$BT187,,AH187+1)*AF187-ERP_i)*AE187*Ramure*Pc/MaxiM</f>
        <v>1.0382586326568314E-4</v>
      </c>
      <c r="AE187" s="304">
        <f t="shared" si="62"/>
        <v>0.7</v>
      </c>
      <c r="AF187" s="177">
        <f t="shared" si="63"/>
        <v>0.84714748828054809</v>
      </c>
      <c r="AG187" s="799">
        <f t="shared" si="71"/>
        <v>-1</v>
      </c>
      <c r="AH187" s="176">
        <f t="shared" si="64"/>
        <v>5</v>
      </c>
      <c r="AI187" s="224">
        <f t="shared" si="65"/>
        <v>-0.15285251171945194</v>
      </c>
      <c r="AJ187" s="264" t="b">
        <f t="shared" si="66"/>
        <v>1</v>
      </c>
      <c r="AK187" s="264" t="b">
        <f t="shared" si="67"/>
        <v>0</v>
      </c>
      <c r="AL187" s="264"/>
      <c r="AM187" s="264"/>
      <c r="AN187" s="75"/>
    </row>
    <row r="188" spans="1:40" s="6" customFormat="1" ht="11.25" customHeight="1" x14ac:dyDescent="0.2">
      <c r="A188" s="56">
        <f t="shared" si="68"/>
        <v>44370</v>
      </c>
      <c r="B188" s="607">
        <v>23.236000000000001</v>
      </c>
      <c r="C188" s="388"/>
      <c r="D188" s="391">
        <f t="shared" si="48"/>
        <v>23.637996424081923</v>
      </c>
      <c r="E188" s="383">
        <f t="shared" si="72"/>
        <v>24.79508145373396</v>
      </c>
      <c r="F188" s="383">
        <f t="shared" si="49"/>
        <v>24.795444133008914</v>
      </c>
      <c r="G188" s="110">
        <f t="shared" si="73"/>
        <v>0.40527540658858574</v>
      </c>
      <c r="H188" s="412" t="b">
        <f>Wh_hp&gt;='2020'!Maxi_hp</f>
        <v>0</v>
      </c>
      <c r="I188" s="379">
        <f>IF(H188,Wh_hp,'2020'!Maxi_hp)</f>
        <v>53.862501168142678</v>
      </c>
      <c r="J188" s="85">
        <f>IF(H188,An,'2020'!An_max)</f>
        <v>2018</v>
      </c>
      <c r="K188" s="197">
        <f t="shared" si="50"/>
        <v>44370</v>
      </c>
      <c r="L188" s="147">
        <f>IF(t&lt;Tvie,1-EXP((T0-t)*PertePVj)+'2020'!Pspv,1-EXP((T0-t)*PertePVj)+Pspv)</f>
        <v>1.7006366227908187E-2</v>
      </c>
      <c r="M188" s="832"/>
      <c r="N188" s="832"/>
      <c r="O188" s="48">
        <f>IF(t&lt;Tnet,'2020'!Resal+('2020'!Salim-'2020'!Resal)*(1-EXP(('2020'!Tnet-t)/('2020'!Tau_j))),Resal+(Salim-Resal)*(1-EXP((Tnet-t)/(Tau_j))))*Salcycl</f>
        <v>4.6665909600300447E-2</v>
      </c>
      <c r="P188" s="169">
        <f>(INDEX(Models!$BJ188:$BT188,,T188)*(1-R188)+INDEX(Models!$BJ188:$BT188,,T188+1)*R188-ERP_i)*Q188*Ramure*Pc/MaxiM</f>
        <v>9.722632513841941E-5</v>
      </c>
      <c r="Q188" s="304">
        <f t="shared" si="51"/>
        <v>0.7</v>
      </c>
      <c r="R188" s="177">
        <f t="shared" si="52"/>
        <v>0.78667175788569343</v>
      </c>
      <c r="S188" s="799">
        <f t="shared" si="53"/>
        <v>-1</v>
      </c>
      <c r="T188" s="176">
        <f t="shared" si="54"/>
        <v>5</v>
      </c>
      <c r="U188" s="250">
        <f t="shared" si="55"/>
        <v>-0.21332824211430657</v>
      </c>
      <c r="V188" s="382">
        <f t="shared" si="56"/>
        <v>57.329115739162319</v>
      </c>
      <c r="W188" s="400"/>
      <c r="X188" s="157">
        <f t="shared" si="57"/>
        <v>44370</v>
      </c>
      <c r="Y188" s="383">
        <f t="shared" si="58"/>
        <v>23.235974465798247</v>
      </c>
      <c r="Z188" s="383">
        <f t="shared" si="59"/>
        <v>23.637970448123507</v>
      </c>
      <c r="AA188" s="384">
        <f t="shared" si="60"/>
        <v>24.795054206246768</v>
      </c>
      <c r="AB188" s="197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4.6665909600300447E-2</v>
      </c>
      <c r="AD188" s="230">
        <f>(INDEX(Models!$BJ188:$BT188,,AH188)*(1-AF188)+INDEX(Models!$BJ188:$BT188,,AH188+1)*AF188-ERP_i)*AE188*Ramure*Pc/MaxiM</f>
        <v>1.0453077629368185E-4</v>
      </c>
      <c r="AE188" s="304">
        <f t="shared" si="62"/>
        <v>0.7</v>
      </c>
      <c r="AF188" s="177">
        <f t="shared" si="63"/>
        <v>0.85100398014552558</v>
      </c>
      <c r="AG188" s="799">
        <f t="shared" si="71"/>
        <v>-1</v>
      </c>
      <c r="AH188" s="176">
        <f t="shared" si="64"/>
        <v>5</v>
      </c>
      <c r="AI188" s="224">
        <f t="shared" si="65"/>
        <v>-0.14899601985447442</v>
      </c>
      <c r="AJ188" s="264" t="b">
        <f t="shared" si="66"/>
        <v>1</v>
      </c>
      <c r="AK188" s="264" t="b">
        <f t="shared" si="67"/>
        <v>0</v>
      </c>
      <c r="AL188" s="264"/>
      <c r="AM188" s="264"/>
      <c r="AN188" s="75"/>
    </row>
    <row r="189" spans="1:40" s="6" customFormat="1" ht="11.25" x14ac:dyDescent="0.2">
      <c r="A189" s="56">
        <f t="shared" si="68"/>
        <v>44371</v>
      </c>
      <c r="B189" s="607">
        <v>32.302</v>
      </c>
      <c r="C189" s="388"/>
      <c r="D189" s="391">
        <f t="shared" si="48"/>
        <v>32.861473322435074</v>
      </c>
      <c r="E189" s="383">
        <f t="shared" si="72"/>
        <v>34.471894421925491</v>
      </c>
      <c r="F189" s="383">
        <f t="shared" si="49"/>
        <v>34.473168847331983</v>
      </c>
      <c r="G189" s="110">
        <f t="shared" si="73"/>
        <v>0.56413347039894968</v>
      </c>
      <c r="H189" s="412" t="b">
        <f>Wh_hp&gt;='2020'!Maxi_hp</f>
        <v>0</v>
      </c>
      <c r="I189" s="379">
        <f>IF(H189,Wh_hp,'2020'!Maxi_hp)</f>
        <v>60.623696514192886</v>
      </c>
      <c r="J189" s="85">
        <f>IF(H189,An,'2020'!An_max)</f>
        <v>2020</v>
      </c>
      <c r="K189" s="197">
        <f t="shared" si="50"/>
        <v>44371</v>
      </c>
      <c r="L189" s="147">
        <f>IF(t&lt;Tvie,1-EXP((T0-t)*PertePVj)+'2020'!Pspv,1-EXP((T0-t)*PertePVj)+Pspv)</f>
        <v>1.7025205076642513E-2</v>
      </c>
      <c r="M189" s="832"/>
      <c r="N189" s="832"/>
      <c r="O189" s="48">
        <f>IF(t&lt;Tnet,'2020'!Resal+('2020'!Salim-'2020'!Resal)*(1-EXP(('2020'!Tnet-t)/('2020'!Tau_j))),Resal+(Salim-Resal)*(1-EXP((Tnet-t)/(Tau_j))))*Salcycl</f>
        <v>4.6716930603794185E-2</v>
      </c>
      <c r="P189" s="169">
        <f>(INDEX(Models!$BJ189:$BT189,,T189)*(1-R189)+INDEX(Models!$BJ189:$BT189,,T189+1)*R189-ERP_i)*Q189*Ramure*Pc/MaxiM</f>
        <v>9.7960555945941007E-5</v>
      </c>
      <c r="Q189" s="304">
        <f t="shared" si="51"/>
        <v>0.7</v>
      </c>
      <c r="R189" s="177">
        <f t="shared" si="52"/>
        <v>0.79048711979092734</v>
      </c>
      <c r="S189" s="799">
        <f t="shared" si="53"/>
        <v>-1</v>
      </c>
      <c r="T189" s="176">
        <f t="shared" si="54"/>
        <v>5</v>
      </c>
      <c r="U189" s="250">
        <f t="shared" si="55"/>
        <v>-0.20951288020907266</v>
      </c>
      <c r="V189" s="382">
        <f t="shared" si="56"/>
        <v>57.256006708373</v>
      </c>
      <c r="W189" s="400"/>
      <c r="X189" s="157">
        <f t="shared" si="57"/>
        <v>44371</v>
      </c>
      <c r="Y189" s="383">
        <f t="shared" si="58"/>
        <v>32.301910686593445</v>
      </c>
      <c r="Z189" s="383">
        <f t="shared" si="59"/>
        <v>32.8613824621129</v>
      </c>
      <c r="AA189" s="384">
        <f t="shared" si="60"/>
        <v>34.471799108869909</v>
      </c>
      <c r="AB189" s="197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4.6716930603794185E-2</v>
      </c>
      <c r="AD189" s="230">
        <f>(INDEX(Models!$BJ189:$BT189,,AH189)*(1-AF189)+INDEX(Models!$BJ189:$BT189,,AH189+1)*AF189-ERP_i)*AE189*Ramure*Pc/MaxiM</f>
        <v>1.0528693210398182E-4</v>
      </c>
      <c r="AE189" s="304">
        <f t="shared" si="62"/>
        <v>0.7</v>
      </c>
      <c r="AF189" s="177">
        <f t="shared" si="63"/>
        <v>0.85481934205075949</v>
      </c>
      <c r="AG189" s="799">
        <f t="shared" si="71"/>
        <v>-1</v>
      </c>
      <c r="AH189" s="176">
        <f t="shared" si="64"/>
        <v>5</v>
      </c>
      <c r="AI189" s="224">
        <f t="shared" si="65"/>
        <v>-0.14518065794924051</v>
      </c>
      <c r="AJ189" s="264" t="b">
        <f t="shared" si="66"/>
        <v>1</v>
      </c>
      <c r="AK189" s="264" t="b">
        <f t="shared" si="67"/>
        <v>0</v>
      </c>
      <c r="AL189" s="264"/>
      <c r="AM189" s="264"/>
      <c r="AN189" s="75"/>
    </row>
    <row r="190" spans="1:40" s="6" customFormat="1" ht="11.25" x14ac:dyDescent="0.2">
      <c r="A190" s="56">
        <f t="shared" si="68"/>
        <v>44372</v>
      </c>
      <c r="B190" s="607">
        <v>47.627000000000002</v>
      </c>
      <c r="C190" s="388"/>
      <c r="D190" s="391">
        <f t="shared" si="48"/>
        <v>48.452832182534515</v>
      </c>
      <c r="E190" s="383">
        <f t="shared" si="72"/>
        <v>50.83000753328723</v>
      </c>
      <c r="F190" s="383">
        <f t="shared" si="49"/>
        <v>50.833829022701359</v>
      </c>
      <c r="G190" s="110">
        <f t="shared" si="73"/>
        <v>0.83290998470843214</v>
      </c>
      <c r="H190" s="412" t="b">
        <f>Wh_hp&gt;='2020'!Maxi_hp</f>
        <v>0</v>
      </c>
      <c r="I190" s="379">
        <f>IF(H190,Wh_hp,'2020'!Maxi_hp)</f>
        <v>61.35509471330375</v>
      </c>
      <c r="J190" s="85">
        <f>IF(H190,An,'2020'!An_max)</f>
        <v>2020</v>
      </c>
      <c r="K190" s="197">
        <f t="shared" si="50"/>
        <v>44372</v>
      </c>
      <c r="L190" s="147">
        <f>IF(t&lt;Tvie,1-EXP((T0-t)*PertePVj)+'2020'!Pspv,1-EXP((T0-t)*PertePVj)+Pspv)</f>
        <v>1.7044043564334643E-2</v>
      </c>
      <c r="M190" s="832"/>
      <c r="N190" s="832"/>
      <c r="O190" s="48">
        <f>IF(t&lt;Tnet,'2020'!Resal+('2020'!Salim-'2020'!Resal)*(1-EXP(('2020'!Tnet-t)/('2020'!Tau_j))),Resal+(Salim-Resal)*(1-EXP((Tnet-t)/(Tau_j))))*Salcycl</f>
        <v>4.6767165029357231E-2</v>
      </c>
      <c r="P190" s="169">
        <f>(INDEX(Models!$BJ190:$BT190,,T190)*(1-R190)+INDEX(Models!$BJ190:$BT190,,T190+1)*R190-ERP_i)*Q190*Ramure*Pc/MaxiM</f>
        <v>9.8743387350436434E-5</v>
      </c>
      <c r="Q190" s="304">
        <f t="shared" si="51"/>
        <v>0.7</v>
      </c>
      <c r="R190" s="177">
        <f t="shared" si="52"/>
        <v>0.79425883770370809</v>
      </c>
      <c r="S190" s="799">
        <f t="shared" si="53"/>
        <v>-1</v>
      </c>
      <c r="T190" s="176">
        <f t="shared" si="54"/>
        <v>5</v>
      </c>
      <c r="U190" s="250">
        <f t="shared" si="55"/>
        <v>-0.20574116229629191</v>
      </c>
      <c r="V190" s="382">
        <f t="shared" si="56"/>
        <v>57.180101512968669</v>
      </c>
      <c r="W190" s="400"/>
      <c r="X190" s="157">
        <f t="shared" si="57"/>
        <v>44372</v>
      </c>
      <c r="Y190" s="383">
        <f t="shared" si="58"/>
        <v>47.626733408911704</v>
      </c>
      <c r="Z190" s="383">
        <f t="shared" si="59"/>
        <v>48.452560968868681</v>
      </c>
      <c r="AA190" s="384">
        <f t="shared" si="60"/>
        <v>50.829723013434489</v>
      </c>
      <c r="AB190" s="197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4.6767165029357231E-2</v>
      </c>
      <c r="AD190" s="230">
        <f>(INDEX(Models!$BJ190:$BT190,,AH190)*(1-AF190)+INDEX(Models!$BJ190:$BT190,,AH190+1)*AF190-ERP_i)*AE190*Ramure*Pc/MaxiM</f>
        <v>1.06095090046337E-4</v>
      </c>
      <c r="AE190" s="304">
        <f t="shared" si="62"/>
        <v>0.7</v>
      </c>
      <c r="AF190" s="177">
        <f t="shared" si="63"/>
        <v>0.85859105996354024</v>
      </c>
      <c r="AG190" s="799">
        <f t="shared" si="71"/>
        <v>-1</v>
      </c>
      <c r="AH190" s="176">
        <f t="shared" si="64"/>
        <v>5</v>
      </c>
      <c r="AI190" s="224">
        <f t="shared" si="65"/>
        <v>-0.14140894003645976</v>
      </c>
      <c r="AJ190" s="264" t="b">
        <f t="shared" si="66"/>
        <v>1</v>
      </c>
      <c r="AK190" s="264" t="b">
        <f t="shared" si="67"/>
        <v>0</v>
      </c>
      <c r="AL190" s="264"/>
      <c r="AM190" s="264"/>
      <c r="AN190" s="75"/>
    </row>
    <row r="191" spans="1:40" s="6" customFormat="1" ht="11.25" x14ac:dyDescent="0.2">
      <c r="A191" s="56">
        <f t="shared" si="68"/>
        <v>44373</v>
      </c>
      <c r="B191" s="607">
        <v>54.902999999999999</v>
      </c>
      <c r="C191" s="388"/>
      <c r="D191" s="391">
        <f t="shared" si="48"/>
        <v>55.856065436263236</v>
      </c>
      <c r="E191" s="383">
        <f t="shared" si="72"/>
        <v>58.599495418510422</v>
      </c>
      <c r="F191" s="383">
        <f t="shared" si="49"/>
        <v>58.605010243468428</v>
      </c>
      <c r="G191" s="110">
        <f t="shared" si="73"/>
        <v>0.96150593964874698</v>
      </c>
      <c r="H191" s="412" t="b">
        <f>Wh_hp&gt;='2020'!Maxi_hp</f>
        <v>0</v>
      </c>
      <c r="I191" s="379">
        <f>IF(H191,Wh_hp,'2020'!Maxi_hp)</f>
        <v>61.449694288761741</v>
      </c>
      <c r="J191" s="85">
        <f>IF(H191,An,'2020'!An_max)</f>
        <v>2018</v>
      </c>
      <c r="K191" s="197">
        <f t="shared" si="50"/>
        <v>44373</v>
      </c>
      <c r="L191" s="147">
        <f>IF(t&lt;Tvie,1-EXP((T0-t)*PertePVj)+'2020'!Pspv,1-EXP((T0-t)*PertePVj)+Pspv)</f>
        <v>1.706288169099146E-2</v>
      </c>
      <c r="M191" s="832"/>
      <c r="N191" s="832"/>
      <c r="O191" s="48">
        <f>IF(t&lt;Tnet,'2020'!Resal+('2020'!Salim-'2020'!Resal)*(1-EXP(('2020'!Tnet-t)/('2020'!Tau_j))),Resal+(Salim-Resal)*(1-EXP((Tnet-t)/(Tau_j))))*Salcycl</f>
        <v>4.6816614420549928E-2</v>
      </c>
      <c r="P191" s="169">
        <f>(INDEX(Models!$BJ191:$BT191,,T191)*(1-R191)+INDEX(Models!$BJ191:$BT191,,T191+1)*R191-ERP_i)*Q191*Ramure*Pc/MaxiM</f>
        <v>9.9576721113990444E-5</v>
      </c>
      <c r="Q191" s="304">
        <f t="shared" si="51"/>
        <v>0.7</v>
      </c>
      <c r="R191" s="177">
        <f t="shared" si="52"/>
        <v>0.79798452757637395</v>
      </c>
      <c r="S191" s="799">
        <f t="shared" si="53"/>
        <v>-1</v>
      </c>
      <c r="T191" s="176">
        <f t="shared" si="54"/>
        <v>5</v>
      </c>
      <c r="U191" s="250">
        <f t="shared" si="55"/>
        <v>-0.20201547242362611</v>
      </c>
      <c r="V191" s="382">
        <f t="shared" si="56"/>
        <v>57.100738650596362</v>
      </c>
      <c r="W191" s="400"/>
      <c r="X191" s="157">
        <f t="shared" si="57"/>
        <v>44373</v>
      </c>
      <c r="Y191" s="383">
        <f t="shared" si="58"/>
        <v>54.902617029985386</v>
      </c>
      <c r="Z191" s="383">
        <f t="shared" si="59"/>
        <v>55.855675818242432</v>
      </c>
      <c r="AA191" s="384">
        <f t="shared" si="60"/>
        <v>58.599086663986689</v>
      </c>
      <c r="AB191" s="197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4.6816614420549928E-2</v>
      </c>
      <c r="AD191" s="230">
        <f>(INDEX(Models!$BJ191:$BT191,,AH191)*(1-AF191)+INDEX(Models!$BJ191:$BT191,,AH191+1)*AF191-ERP_i)*AE191*Ramure*Pc/MaxiM</f>
        <v>1.0695727000244144E-4</v>
      </c>
      <c r="AE191" s="304">
        <f t="shared" si="62"/>
        <v>0.7</v>
      </c>
      <c r="AF191" s="177">
        <f t="shared" si="63"/>
        <v>0.8623167498362061</v>
      </c>
      <c r="AG191" s="799">
        <f t="shared" si="71"/>
        <v>-1</v>
      </c>
      <c r="AH191" s="176">
        <f t="shared" si="64"/>
        <v>5</v>
      </c>
      <c r="AI191" s="224">
        <f t="shared" si="65"/>
        <v>-0.13768325016379396</v>
      </c>
      <c r="AJ191" s="264" t="b">
        <f t="shared" si="66"/>
        <v>1</v>
      </c>
      <c r="AK191" s="264" t="b">
        <f t="shared" si="67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68"/>
        <v>44374</v>
      </c>
      <c r="B192" s="607">
        <v>7.9870000000000001</v>
      </c>
      <c r="C192" s="388"/>
      <c r="D192" s="391">
        <f t="shared" si="48"/>
        <v>8.1258026817698426</v>
      </c>
      <c r="E192" s="383">
        <f t="shared" si="72"/>
        <v>8.5253454019806743</v>
      </c>
      <c r="F192" s="383">
        <f t="shared" si="49"/>
        <v>8.5253454019806743</v>
      </c>
      <c r="G192" s="110">
        <f t="shared" si="73"/>
        <v>0.14006582489914557</v>
      </c>
      <c r="H192" s="412" t="b">
        <f>Wh_hp&gt;='2020'!Maxi_hp</f>
        <v>0</v>
      </c>
      <c r="I192" s="379">
        <f>IF(H192,Wh_hp,'2020'!Maxi_hp)</f>
        <v>60.093655665818403</v>
      </c>
      <c r="J192" s="85">
        <f>IF(H192,An,'2020'!An_max)</f>
        <v>2018</v>
      </c>
      <c r="K192" s="197">
        <f t="shared" si="50"/>
        <v>44374</v>
      </c>
      <c r="L192" s="147">
        <f>IF(t&lt;Tvie,1-EXP((T0-t)*PertePVj)+'2020'!Pspv,1-EXP((T0-t)*PertePVj)+Pspv)</f>
        <v>1.7081719456619848E-2</v>
      </c>
      <c r="M192" s="832"/>
      <c r="N192" s="832"/>
      <c r="O192" s="48">
        <f>IF(t&lt;Tnet,'2020'!Resal+('2020'!Salim-'2020'!Resal)*(1-EXP(('2020'!Tnet-t)/('2020'!Tau_j))),Resal+(Salim-Resal)*(1-EXP((Tnet-t)/(Tau_j))))*Salcycl</f>
        <v>4.6865282445683207E-2</v>
      </c>
      <c r="P192" s="169">
        <f>(INDEX(Models!$BJ192:$BT192,,T192)*(1-R192)+INDEX(Models!$BJ192:$BT192,,T192+1)*R192-ERP_i)*Q192*Ramure*Pc/MaxiM</f>
        <v>1.0042100544245227E-4</v>
      </c>
      <c r="Q192" s="304">
        <f t="shared" si="51"/>
        <v>0.7</v>
      </c>
      <c r="R192" s="177">
        <f t="shared" si="52"/>
        <v>0.80166193991054757</v>
      </c>
      <c r="S192" s="799">
        <f t="shared" si="53"/>
        <v>-1</v>
      </c>
      <c r="T192" s="176">
        <f t="shared" si="54"/>
        <v>5</v>
      </c>
      <c r="U192" s="250">
        <f t="shared" si="55"/>
        <v>-0.19833806008945243</v>
      </c>
      <c r="V192" s="382">
        <f t="shared" si="56"/>
        <v>57.017462633586717</v>
      </c>
      <c r="W192" s="400"/>
      <c r="X192" s="157">
        <f t="shared" si="57"/>
        <v>44374</v>
      </c>
      <c r="Y192" s="383">
        <f t="shared" si="58"/>
        <v>7.987000000000001</v>
      </c>
      <c r="Z192" s="383">
        <f t="shared" si="59"/>
        <v>8.1258026817698426</v>
      </c>
      <c r="AA192" s="384">
        <f t="shared" si="60"/>
        <v>8.5253454019806743</v>
      </c>
      <c r="AB192" s="197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4.6865282445683207E-2</v>
      </c>
      <c r="AD192" s="230">
        <f>(INDEX(Models!$BJ192:$BT192,,AH192)*(1-AF192)+INDEX(Models!$BJ192:$BT192,,AH192+1)*AF192-ERP_i)*AE192*Ramure*Pc/MaxiM</f>
        <v>1.0783120225962663E-4</v>
      </c>
      <c r="AE192" s="304">
        <f t="shared" si="62"/>
        <v>0.7</v>
      </c>
      <c r="AF192" s="177">
        <f t="shared" si="63"/>
        <v>0.86599416217037972</v>
      </c>
      <c r="AG192" s="799">
        <f t="shared" si="71"/>
        <v>-1</v>
      </c>
      <c r="AH192" s="176">
        <f t="shared" si="64"/>
        <v>5</v>
      </c>
      <c r="AI192" s="224">
        <f t="shared" si="65"/>
        <v>-0.13400583782962028</v>
      </c>
      <c r="AJ192" s="264" t="b">
        <f t="shared" si="66"/>
        <v>1</v>
      </c>
      <c r="AK192" s="264" t="b">
        <f t="shared" si="67"/>
        <v>0</v>
      </c>
      <c r="AL192" s="264"/>
      <c r="AM192" s="264"/>
      <c r="AN192" s="75"/>
    </row>
    <row r="193" spans="1:40" s="6" customFormat="1" ht="11.25" x14ac:dyDescent="0.2">
      <c r="A193" s="56">
        <f t="shared" si="68"/>
        <v>44375</v>
      </c>
      <c r="B193" s="607">
        <v>24.654</v>
      </c>
      <c r="C193" s="388"/>
      <c r="D193" s="391">
        <f t="shared" si="48"/>
        <v>25.082932106737555</v>
      </c>
      <c r="E193" s="383">
        <f t="shared" si="72"/>
        <v>26.317573010594177</v>
      </c>
      <c r="F193" s="383">
        <f t="shared" si="49"/>
        <v>26.31807950495644</v>
      </c>
      <c r="G193" s="110">
        <f t="shared" si="73"/>
        <v>0.43301821153866449</v>
      </c>
      <c r="H193" s="412" t="b">
        <f>Wh_hp&gt;='2020'!Maxi_hp</f>
        <v>0</v>
      </c>
      <c r="I193" s="379">
        <f>IF(H193,Wh_hp,'2020'!Maxi_hp)</f>
        <v>49.574216541941631</v>
      </c>
      <c r="J193" s="85">
        <f>IF(H193,An,'2020'!An_max)</f>
        <v>2018</v>
      </c>
      <c r="K193" s="197">
        <f t="shared" si="50"/>
        <v>44375</v>
      </c>
      <c r="L193" s="147">
        <f>IF(t&lt;Tvie,1-EXP((T0-t)*PertePVj)+'2020'!Pspv,1-EXP((T0-t)*PertePVj)+Pspv)</f>
        <v>1.710055686122669E-2</v>
      </c>
      <c r="M193" s="832"/>
      <c r="N193" s="832"/>
      <c r="O193" s="48">
        <f>IF(t&lt;Tnet,'2020'!Resal+('2020'!Salim-'2020'!Resal)*(1-EXP(('2020'!Tnet-t)/('2020'!Tau_j))),Resal+(Salim-Resal)*(1-EXP((Tnet-t)/(Tau_j))))*Salcycl</f>
        <v>4.6913174834154102E-2</v>
      </c>
      <c r="P193" s="169">
        <f>(INDEX(Models!$BJ193:$BT193,,T193)*(1-R193)+INDEX(Models!$BJ193:$BT193,,T193+1)*R193-ERP_i)*Q193*Ramure*Pc/MaxiM</f>
        <v>1.012491592116543E-4</v>
      </c>
      <c r="Q193" s="304">
        <f t="shared" si="51"/>
        <v>0.7</v>
      </c>
      <c r="R193" s="177">
        <f t="shared" si="52"/>
        <v>0.80528896353521118</v>
      </c>
      <c r="S193" s="799">
        <f t="shared" si="53"/>
        <v>-1</v>
      </c>
      <c r="T193" s="176">
        <f t="shared" si="54"/>
        <v>5</v>
      </c>
      <c r="U193" s="250">
        <f t="shared" si="55"/>
        <v>-0.19471103646478882</v>
      </c>
      <c r="V193" s="382">
        <f t="shared" si="56"/>
        <v>56.930580692414836</v>
      </c>
      <c r="W193" s="400"/>
      <c r="X193" s="157">
        <f t="shared" si="57"/>
        <v>44375</v>
      </c>
      <c r="Y193" s="383">
        <f t="shared" si="58"/>
        <v>24.653965139689802</v>
      </c>
      <c r="Z193" s="383">
        <f t="shared" si="59"/>
        <v>25.082896639925114</v>
      </c>
      <c r="AA193" s="384">
        <f t="shared" si="60"/>
        <v>26.317535798021822</v>
      </c>
      <c r="AB193" s="197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4.6913174834154102E-2</v>
      </c>
      <c r="AD193" s="230">
        <f>(INDEX(Models!$BJ193:$BT193,,AH193)*(1-AF193)+INDEX(Models!$BJ193:$BT193,,AH193+1)*AF193-ERP_i)*AE193*Ramure*Pc/MaxiM</f>
        <v>1.0868802120828796E-4</v>
      </c>
      <c r="AE193" s="304">
        <f t="shared" si="62"/>
        <v>0.7</v>
      </c>
      <c r="AF193" s="177">
        <f t="shared" si="63"/>
        <v>0.86962118579504333</v>
      </c>
      <c r="AG193" s="799">
        <f t="shared" si="71"/>
        <v>-1</v>
      </c>
      <c r="AH193" s="176">
        <f t="shared" si="64"/>
        <v>5</v>
      </c>
      <c r="AI193" s="224">
        <f t="shared" si="65"/>
        <v>-0.13037881420495667</v>
      </c>
      <c r="AJ193" s="264" t="b">
        <f t="shared" si="66"/>
        <v>1</v>
      </c>
      <c r="AK193" s="264" t="b">
        <f t="shared" si="67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68"/>
        <v>44376</v>
      </c>
      <c r="B194" s="607">
        <v>36.182000000000002</v>
      </c>
      <c r="C194" s="388"/>
      <c r="D194" s="391">
        <f t="shared" si="48"/>
        <v>36.812202596757906</v>
      </c>
      <c r="E194" s="383">
        <f t="shared" si="72"/>
        <v>38.626095607336332</v>
      </c>
      <c r="F194" s="383">
        <f t="shared" si="49"/>
        <v>38.627991073188277</v>
      </c>
      <c r="G194" s="110">
        <f t="shared" si="73"/>
        <v>0.63652056737072304</v>
      </c>
      <c r="H194" s="412" t="b">
        <f>Wh_hp&gt;='2020'!Maxi_hp</f>
        <v>0</v>
      </c>
      <c r="I194" s="379">
        <f>IF(H194,Wh_hp,'2020'!Maxi_hp)</f>
        <v>57.500643612557823</v>
      </c>
      <c r="J194" s="85">
        <f>IF(H194,An,'2020'!An_max)</f>
        <v>2018</v>
      </c>
      <c r="K194" s="197">
        <f t="shared" si="50"/>
        <v>44376</v>
      </c>
      <c r="L194" s="147">
        <f>IF(t&lt;Tvie,1-EXP((T0-t)*PertePVj)+'2020'!Pspv,1-EXP((T0-t)*PertePVj)+Pspv)</f>
        <v>1.7119393904819091E-2</v>
      </c>
      <c r="M194" s="832"/>
      <c r="N194" s="832"/>
      <c r="O194" s="48">
        <f>IF(t&lt;Tnet,'2020'!Resal+('2020'!Salim-'2020'!Resal)*(1-EXP(('2020'!Tnet-t)/('2020'!Tau_j))),Resal+(Salim-Resal)*(1-EXP((Tnet-t)/(Tau_j))))*Salcycl</f>
        <v>4.6960299301747457E-2</v>
      </c>
      <c r="P194" s="169">
        <f>(INDEX(Models!$BJ194:$BT194,,T194)*(1-R194)+INDEX(Models!$BJ194:$BT194,,T194+1)*R194-ERP_i)*Q194*Ramure*Pc/MaxiM</f>
        <v>1.0206027593737472E-4</v>
      </c>
      <c r="Q194" s="304">
        <f t="shared" si="51"/>
        <v>0.7</v>
      </c>
      <c r="R194" s="177">
        <f t="shared" si="52"/>
        <v>0.80886362860062899</v>
      </c>
      <c r="S194" s="799">
        <f t="shared" si="53"/>
        <v>-1</v>
      </c>
      <c r="T194" s="176">
        <f t="shared" si="54"/>
        <v>5</v>
      </c>
      <c r="U194" s="250">
        <f t="shared" si="55"/>
        <v>-0.19113637139937095</v>
      </c>
      <c r="V194" s="382">
        <f t="shared" si="56"/>
        <v>56.840398342729571</v>
      </c>
      <c r="W194" s="400"/>
      <c r="X194" s="157">
        <f t="shared" si="57"/>
        <v>44376</v>
      </c>
      <c r="Y194" s="383">
        <f t="shared" si="58"/>
        <v>36.181870106099282</v>
      </c>
      <c r="Z194" s="383">
        <f t="shared" si="59"/>
        <v>36.81207044042079</v>
      </c>
      <c r="AA194" s="384">
        <f t="shared" si="60"/>
        <v>38.625956939097208</v>
      </c>
      <c r="AB194" s="197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4.6960299301747457E-2</v>
      </c>
      <c r="AD194" s="230">
        <f>(INDEX(Models!$BJ194:$BT194,,AH194)*(1-AF194)+INDEX(Models!$BJ194:$BT194,,AH194+1)*AF194-ERP_i)*AE194*Ramure*Pc/MaxiM</f>
        <v>1.0952678805325339E-4</v>
      </c>
      <c r="AE194" s="304">
        <f t="shared" si="62"/>
        <v>0.7</v>
      </c>
      <c r="AF194" s="177">
        <f t="shared" si="63"/>
        <v>0.87319585086046114</v>
      </c>
      <c r="AG194" s="799">
        <f t="shared" si="71"/>
        <v>-1</v>
      </c>
      <c r="AH194" s="176">
        <f t="shared" si="64"/>
        <v>5</v>
      </c>
      <c r="AI194" s="224">
        <f t="shared" si="65"/>
        <v>-0.1268041491395388</v>
      </c>
      <c r="AJ194" s="264" t="b">
        <f t="shared" si="66"/>
        <v>1</v>
      </c>
      <c r="AK194" s="264" t="b">
        <f t="shared" si="67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68"/>
        <v>44377</v>
      </c>
      <c r="B195" s="607">
        <v>41.941000000000003</v>
      </c>
      <c r="C195" s="388"/>
      <c r="D195" s="391">
        <f t="shared" si="48"/>
        <v>42.672328200399832</v>
      </c>
      <c r="E195" s="383">
        <f t="shared" si="72"/>
        <v>44.777152844665977</v>
      </c>
      <c r="F195" s="383">
        <f t="shared" si="49"/>
        <v>44.78004188531709</v>
      </c>
      <c r="G195" s="110">
        <f t="shared" si="73"/>
        <v>0.73905631574804564</v>
      </c>
      <c r="H195" s="412" t="b">
        <f>Wh_hp&gt;='2020'!Maxi_hp</f>
        <v>0</v>
      </c>
      <c r="I195" s="379">
        <f>IF(H195,Wh_hp,'2020'!Maxi_hp)</f>
        <v>46.176742952915681</v>
      </c>
      <c r="J195" s="85">
        <f>IF(H195,An,'2020'!An_max)</f>
        <v>2018</v>
      </c>
      <c r="K195" s="197">
        <f t="shared" si="50"/>
        <v>44377</v>
      </c>
      <c r="L195" s="147">
        <f>IF(t&lt;Tvie,1-EXP((T0-t)*PertePVj)+'2020'!Pspv,1-EXP((T0-t)*PertePVj)+Pspv)</f>
        <v>1.7138230587403824E-2</v>
      </c>
      <c r="M195" s="832"/>
      <c r="N195" s="832"/>
      <c r="O195" s="48">
        <f>IF(t&lt;Tnet,'2020'!Resal+('2020'!Salim-'2020'!Resal)*(1-EXP(('2020'!Tnet-t)/('2020'!Tau_j))),Resal+(Salim-Resal)*(1-EXP((Tnet-t)/(Tau_j))))*Salcycl</f>
        <v>4.7006665465485972E-2</v>
      </c>
      <c r="P195" s="169">
        <f>(INDEX(Models!$BJ195:$BT195,,T195)*(1-R195)+INDEX(Models!$BJ195:$BT195,,T195+1)*R195-ERP_i)*Q195*Ramure*Pc/MaxiM</f>
        <v>1.0285346816986248E-4</v>
      </c>
      <c r="Q195" s="304">
        <f t="shared" si="51"/>
        <v>0.7</v>
      </c>
      <c r="R195" s="177">
        <f t="shared" si="52"/>
        <v>0.81238410879707357</v>
      </c>
      <c r="S195" s="799">
        <f t="shared" si="53"/>
        <v>-1</v>
      </c>
      <c r="T195" s="176">
        <f t="shared" si="54"/>
        <v>5</v>
      </c>
      <c r="U195" s="250">
        <f t="shared" si="55"/>
        <v>-0.18761589120292643</v>
      </c>
      <c r="V195" s="382">
        <f t="shared" si="56"/>
        <v>56.747220883698489</v>
      </c>
      <c r="W195" s="400"/>
      <c r="X195" s="157">
        <f t="shared" si="57"/>
        <v>44377</v>
      </c>
      <c r="Y195" s="383">
        <f t="shared" si="58"/>
        <v>41.940802857870672</v>
      </c>
      <c r="Z195" s="383">
        <f t="shared" si="59"/>
        <v>42.672127620689167</v>
      </c>
      <c r="AA195" s="384">
        <f t="shared" si="60"/>
        <v>44.776942371304415</v>
      </c>
      <c r="AB195" s="197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4.7006665465485972E-2</v>
      </c>
      <c r="AD195" s="230">
        <f>(INDEX(Models!$BJ195:$BT195,,AH195)*(1-AF195)+INDEX(Models!$BJ195:$BT195,,AH195+1)*AF195-ERP_i)*AE195*Ramure*Pc/MaxiM</f>
        <v>1.1034658363903756E-4</v>
      </c>
      <c r="AE195" s="304">
        <f t="shared" si="62"/>
        <v>0.7</v>
      </c>
      <c r="AF195" s="177">
        <f t="shared" si="63"/>
        <v>0.87671633105690572</v>
      </c>
      <c r="AG195" s="799">
        <f t="shared" si="71"/>
        <v>-1</v>
      </c>
      <c r="AH195" s="176">
        <f t="shared" si="64"/>
        <v>5</v>
      </c>
      <c r="AI195" s="224">
        <f t="shared" si="65"/>
        <v>-0.12328366894309428</v>
      </c>
      <c r="AJ195" s="264" t="b">
        <f t="shared" si="66"/>
        <v>1</v>
      </c>
      <c r="AK195" s="264" t="b">
        <f t="shared" si="67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68"/>
        <v>44378</v>
      </c>
      <c r="B196" s="607">
        <v>52.643000000000001</v>
      </c>
      <c r="C196" s="388"/>
      <c r="D196" s="391">
        <f t="shared" si="48"/>
        <v>53.561966238531426</v>
      </c>
      <c r="E196" s="383">
        <f t="shared" si="72"/>
        <v>56.206615936327928</v>
      </c>
      <c r="F196" s="383">
        <f t="shared" si="49"/>
        <v>56.211852258422866</v>
      </c>
      <c r="G196" s="110">
        <f t="shared" si="73"/>
        <v>0.92923549694287499</v>
      </c>
      <c r="H196" s="412" t="b">
        <f>Wh_hp&gt;='2020'!Maxi_hp</f>
        <v>0</v>
      </c>
      <c r="I196" s="379">
        <f>IF(H196,Wh_hp,'2020'!Maxi_hp)</f>
        <v>60.353143786946767</v>
      </c>
      <c r="J196" s="85">
        <f>IF(H196,An,'2020'!An_max)</f>
        <v>2020</v>
      </c>
      <c r="K196" s="197">
        <f t="shared" si="50"/>
        <v>44378</v>
      </c>
      <c r="L196" s="147">
        <f>IF(t&lt;Tvie,1-EXP((T0-t)*PertePVj)+'2020'!Pspv,1-EXP((T0-t)*PertePVj)+Pspv)</f>
        <v>1.7157066908987773E-2</v>
      </c>
      <c r="M196" s="832"/>
      <c r="N196" s="832"/>
      <c r="O196" s="48">
        <f>IF(t&lt;Tnet,'2020'!Resal+('2020'!Salim-'2020'!Resal)*(1-EXP(('2020'!Tnet-t)/('2020'!Tau_j))),Resal+(Salim-Resal)*(1-EXP((Tnet-t)/(Tau_j))))*Salcycl</f>
        <v>4.7052284748692601E-2</v>
      </c>
      <c r="P196" s="169">
        <f>(INDEX(Models!$BJ196:$BT196,,T196)*(1-R196)+INDEX(Models!$BJ196:$BT196,,T196+1)*R196-ERP_i)*Q196*Ramure*Pc/MaxiM</f>
        <v>1.0362786814354558E-4</v>
      </c>
      <c r="Q196" s="304">
        <f t="shared" si="51"/>
        <v>0.7</v>
      </c>
      <c r="R196" s="177">
        <f t="shared" si="52"/>
        <v>0.81584872281382781</v>
      </c>
      <c r="S196" s="799">
        <f t="shared" si="53"/>
        <v>-1</v>
      </c>
      <c r="T196" s="176">
        <f t="shared" si="54"/>
        <v>5</v>
      </c>
      <c r="U196" s="250">
        <f t="shared" si="55"/>
        <v>-0.18415127718617219</v>
      </c>
      <c r="V196" s="382">
        <f t="shared" si="56"/>
        <v>56.651353409899357</v>
      </c>
      <c r="W196" s="400"/>
      <c r="X196" s="157">
        <f t="shared" si="57"/>
        <v>44378</v>
      </c>
      <c r="Y196" s="383">
        <f t="shared" si="58"/>
        <v>52.642644170192895</v>
      </c>
      <c r="Z196" s="383">
        <f t="shared" si="59"/>
        <v>53.561604197156228</v>
      </c>
      <c r="AA196" s="384">
        <f t="shared" si="60"/>
        <v>56.206236018973179</v>
      </c>
      <c r="AB196" s="197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4.7052284748692601E-2</v>
      </c>
      <c r="AD196" s="230">
        <f>(INDEX(Models!$BJ196:$BT196,,AH196)*(1-AF196)+INDEX(Models!$BJ196:$BT196,,AH196+1)*AF196-ERP_i)*AE196*Ramure*Pc/MaxiM</f>
        <v>1.1114650905780522E-4</v>
      </c>
      <c r="AE196" s="304">
        <f t="shared" si="62"/>
        <v>0.7</v>
      </c>
      <c r="AF196" s="177">
        <f t="shared" si="63"/>
        <v>0.88018094507365996</v>
      </c>
      <c r="AG196" s="799">
        <f t="shared" si="71"/>
        <v>-1</v>
      </c>
      <c r="AH196" s="176">
        <f t="shared" si="64"/>
        <v>5</v>
      </c>
      <c r="AI196" s="224">
        <f t="shared" si="65"/>
        <v>-0.11981905492634004</v>
      </c>
      <c r="AJ196" s="264" t="b">
        <f t="shared" si="66"/>
        <v>1</v>
      </c>
      <c r="AK196" s="264" t="b">
        <f t="shared" si="67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68"/>
        <v>44379</v>
      </c>
      <c r="B197" s="607">
        <v>51.923999999999999</v>
      </c>
      <c r="C197" s="388"/>
      <c r="D197" s="391">
        <f t="shared" si="48"/>
        <v>52.83142746662795</v>
      </c>
      <c r="E197" s="383">
        <f t="shared" si="72"/>
        <v>55.442617881600562</v>
      </c>
      <c r="F197" s="383">
        <f t="shared" si="49"/>
        <v>55.447728870904406</v>
      </c>
      <c r="G197" s="110">
        <f t="shared" si="73"/>
        <v>0.91813473364704823</v>
      </c>
      <c r="H197" s="412" t="b">
        <f>Wh_hp&gt;='2020'!Maxi_hp</f>
        <v>1</v>
      </c>
      <c r="I197" s="379">
        <f>IF(H197,Wh_hp,'2020'!Maxi_hp)</f>
        <v>55.447728870904406</v>
      </c>
      <c r="J197" s="85">
        <f>IF(H197,An,'2020'!An_max)</f>
        <v>2021</v>
      </c>
      <c r="K197" s="197">
        <f t="shared" si="50"/>
        <v>44379</v>
      </c>
      <c r="L197" s="147">
        <f>IF(t&lt;Tvie,1-EXP((T0-t)*PertePVj)+'2020'!Pspv,1-EXP((T0-t)*PertePVj)+Pspv)</f>
        <v>1.717590286957793E-2</v>
      </c>
      <c r="M197" s="832"/>
      <c r="N197" s="832"/>
      <c r="O197" s="48">
        <f>IF(t&lt;Tnet,'2020'!Resal+('2020'!Salim-'2020'!Resal)*(1-EXP(('2020'!Tnet-t)/('2020'!Tau_j))),Resal+(Salim-Resal)*(1-EXP((Tnet-t)/(Tau_j))))*Salcycl</f>
        <v>4.7097170277004011E-2</v>
      </c>
      <c r="P197" s="169">
        <f>(INDEX(Models!$BJ197:$BT197,,T197)*(1-R197)+INDEX(Models!$BJ197:$BT197,,T197+1)*R197-ERP_i)*Q197*Ramure*Pc/MaxiM</f>
        <v>1.0438262823251267E-4</v>
      </c>
      <c r="Q197" s="304">
        <f t="shared" si="51"/>
        <v>0.7</v>
      </c>
      <c r="R197" s="177">
        <f t="shared" si="52"/>
        <v>0.81925593505995642</v>
      </c>
      <c r="S197" s="799">
        <f t="shared" si="53"/>
        <v>-1</v>
      </c>
      <c r="T197" s="176">
        <f t="shared" si="54"/>
        <v>5</v>
      </c>
      <c r="U197" s="250">
        <f t="shared" si="55"/>
        <v>-0.18074406494004364</v>
      </c>
      <c r="V197" s="382">
        <f t="shared" si="56"/>
        <v>56.553100823556868</v>
      </c>
      <c r="W197" s="400"/>
      <c r="X197" s="157">
        <f t="shared" si="57"/>
        <v>44379</v>
      </c>
      <c r="Y197" s="383">
        <f t="shared" si="58"/>
        <v>51.92365410156733</v>
      </c>
      <c r="Z197" s="383">
        <f t="shared" si="59"/>
        <v>52.831075523250007</v>
      </c>
      <c r="AA197" s="384">
        <f t="shared" si="60"/>
        <v>55.4422485434404</v>
      </c>
      <c r="AB197" s="197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4.7097170277004011E-2</v>
      </c>
      <c r="AD197" s="230">
        <f>(INDEX(Models!$BJ197:$BT197,,AH197)*(1-AF197)+INDEX(Models!$BJ197:$BT197,,AH197+1)*AF197-ERP_i)*AE197*Ramure*Pc/MaxiM</f>
        <v>1.1192568605802389E-4</v>
      </c>
      <c r="AE197" s="304">
        <f t="shared" si="62"/>
        <v>0.7</v>
      </c>
      <c r="AF197" s="177">
        <f t="shared" si="63"/>
        <v>0.88358815731978857</v>
      </c>
      <c r="AG197" s="799">
        <f t="shared" si="71"/>
        <v>-1</v>
      </c>
      <c r="AH197" s="176">
        <f t="shared" si="64"/>
        <v>5</v>
      </c>
      <c r="AI197" s="224">
        <f t="shared" si="65"/>
        <v>-0.11641184268021149</v>
      </c>
      <c r="AJ197" s="264" t="b">
        <f t="shared" si="66"/>
        <v>1</v>
      </c>
      <c r="AK197" s="264" t="b">
        <f t="shared" si="67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68"/>
        <v>44380</v>
      </c>
      <c r="B198" s="607">
        <v>26.187999999999999</v>
      </c>
      <c r="C198" s="388"/>
      <c r="D198" s="391">
        <f t="shared" si="48"/>
        <v>26.646173993014177</v>
      </c>
      <c r="E198" s="383">
        <f t="shared" si="72"/>
        <v>27.964455822420863</v>
      </c>
      <c r="F198" s="383">
        <f t="shared" si="49"/>
        <v>27.965143948967686</v>
      </c>
      <c r="G198" s="110">
        <f t="shared" si="73"/>
        <v>0.4638548745292993</v>
      </c>
      <c r="H198" s="412" t="b">
        <f>Wh_hp&gt;='2020'!Maxi_hp</f>
        <v>0</v>
      </c>
      <c r="I198" s="379">
        <f>IF(H198,Wh_hp,'2020'!Maxi_hp)</f>
        <v>48.384320538752554</v>
      </c>
      <c r="J198" s="85">
        <f>IF(H198,An,'2020'!An_max)</f>
        <v>2018</v>
      </c>
      <c r="K198" s="197">
        <f t="shared" si="50"/>
        <v>44380</v>
      </c>
      <c r="L198" s="147">
        <f>IF(t&lt;Tvie,1-EXP((T0-t)*PertePVj)+'2020'!Pspv,1-EXP((T0-t)*PertePVj)+Pspv)</f>
        <v>1.7194738469181292E-2</v>
      </c>
      <c r="M198" s="832"/>
      <c r="N198" s="832"/>
      <c r="O198" s="48">
        <f>IF(t&lt;Tnet,'2020'!Resal+('2020'!Salim-'2020'!Resal)*(1-EXP(('2020'!Tnet-t)/('2020'!Tau_j))),Resal+(Salim-Resal)*(1-EXP((Tnet-t)/(Tau_j))))*Salcycl</f>
        <v>4.7141336766143488E-2</v>
      </c>
      <c r="P198" s="169">
        <f>(INDEX(Models!$BJ198:$BT198,,T198)*(1-R198)+INDEX(Models!$BJ198:$BT198,,T198+1)*R198-ERP_i)*Q198*Ramure*Pc/MaxiM</f>
        <v>1.0509715753476627E-4</v>
      </c>
      <c r="Q198" s="304">
        <f t="shared" si="51"/>
        <v>0.7</v>
      </c>
      <c r="R198" s="177">
        <f t="shared" si="52"/>
        <v>0.82260435567379353</v>
      </c>
      <c r="S198" s="799">
        <f t="shared" si="53"/>
        <v>-1</v>
      </c>
      <c r="T198" s="176">
        <f t="shared" si="54"/>
        <v>5</v>
      </c>
      <c r="U198" s="250">
        <f t="shared" si="55"/>
        <v>-0.17739564432620647</v>
      </c>
      <c r="V198" s="382">
        <f t="shared" si="56"/>
        <v>56.452768955924086</v>
      </c>
      <c r="W198" s="400"/>
      <c r="X198" s="157">
        <f t="shared" si="57"/>
        <v>44380</v>
      </c>
      <c r="Y198" s="383">
        <f t="shared" si="58"/>
        <v>26.187953612313695</v>
      </c>
      <c r="Z198" s="383">
        <f t="shared" si="59"/>
        <v>26.646126793748852</v>
      </c>
      <c r="AA198" s="384">
        <f t="shared" si="60"/>
        <v>27.964406288038539</v>
      </c>
      <c r="AB198" s="197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4.7141336766143488E-2</v>
      </c>
      <c r="AD198" s="230">
        <f>(INDEX(Models!$BJ198:$BT198,,AH198)*(1-AF198)+INDEX(Models!$BJ198:$BT198,,AH198+1)*AF198-ERP_i)*AE198*Ramure*Pc/MaxiM</f>
        <v>1.1266251423663003E-4</v>
      </c>
      <c r="AE198" s="304">
        <f t="shared" si="62"/>
        <v>0.7</v>
      </c>
      <c r="AF198" s="177">
        <f t="shared" si="63"/>
        <v>0.88693657793362568</v>
      </c>
      <c r="AG198" s="799">
        <f t="shared" si="71"/>
        <v>-1</v>
      </c>
      <c r="AH198" s="176">
        <f t="shared" si="64"/>
        <v>5</v>
      </c>
      <c r="AI198" s="224">
        <f t="shared" si="65"/>
        <v>-0.11306342206637432</v>
      </c>
      <c r="AJ198" s="264" t="b">
        <f t="shared" si="66"/>
        <v>1</v>
      </c>
      <c r="AK198" s="264" t="b">
        <f t="shared" si="67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68"/>
        <v>44381</v>
      </c>
      <c r="B199" s="607">
        <v>31.618000000000002</v>
      </c>
      <c r="C199" s="388"/>
      <c r="D199" s="391">
        <f t="shared" si="48"/>
        <v>32.171791504372642</v>
      </c>
      <c r="E199" s="383">
        <f t="shared" si="72"/>
        <v>33.764985611015732</v>
      </c>
      <c r="F199" s="383">
        <f t="shared" si="49"/>
        <v>33.766317392012667</v>
      </c>
      <c r="G199" s="110">
        <f t="shared" si="73"/>
        <v>0.56105645248040925</v>
      </c>
      <c r="H199" s="412" t="b">
        <f>Wh_hp&gt;='2020'!Maxi_hp</f>
        <v>0</v>
      </c>
      <c r="I199" s="379">
        <f>IF(H199,Wh_hp,'2020'!Maxi_hp)</f>
        <v>58.802223324731905</v>
      </c>
      <c r="J199" s="85">
        <f>IF(H199,An,'2020'!An_max)</f>
        <v>2018</v>
      </c>
      <c r="K199" s="197">
        <f t="shared" si="50"/>
        <v>44381</v>
      </c>
      <c r="L199" s="147">
        <f>IF(t&lt;Tvie,1-EXP((T0-t)*PertePVj)+'2020'!Pspv,1-EXP((T0-t)*PertePVj)+Pspv)</f>
        <v>1.721357370780463E-2</v>
      </c>
      <c r="M199" s="832"/>
      <c r="N199" s="832"/>
      <c r="O199" s="48">
        <f>IF(t&lt;Tnet,'2020'!Resal+('2020'!Salim-'2020'!Resal)*(1-EXP(('2020'!Tnet-t)/('2020'!Tau_j))),Resal+(Salim-Resal)*(1-EXP((Tnet-t)/(Tau_j))))*Salcycl</f>
        <v>4.7184800402323084E-2</v>
      </c>
      <c r="P199" s="169">
        <f>(INDEX(Models!$BJ199:$BT199,,T199)*(1-R199)+INDEX(Models!$BJ199:$BT199,,T199+1)*R199-ERP_i)*Q199*Ramure*Pc/MaxiM</f>
        <v>1.057428074757208E-4</v>
      </c>
      <c r="Q199" s="304">
        <f t="shared" si="51"/>
        <v>0.7</v>
      </c>
      <c r="R199" s="177">
        <f t="shared" si="52"/>
        <v>0.82589273985295919</v>
      </c>
      <c r="S199" s="799">
        <f t="shared" si="53"/>
        <v>-1</v>
      </c>
      <c r="T199" s="176">
        <f t="shared" si="54"/>
        <v>5</v>
      </c>
      <c r="U199" s="250">
        <f t="shared" si="55"/>
        <v>-0.17410726014704081</v>
      </c>
      <c r="V199" s="382">
        <f t="shared" si="56"/>
        <v>56.350663913466832</v>
      </c>
      <c r="W199" s="400"/>
      <c r="X199" s="157">
        <f t="shared" si="57"/>
        <v>44381</v>
      </c>
      <c r="Y199" s="383">
        <f t="shared" si="58"/>
        <v>31.617910560001985</v>
      </c>
      <c r="Z199" s="383">
        <f t="shared" si="59"/>
        <v>32.171700497826741</v>
      </c>
      <c r="AA199" s="384">
        <f t="shared" si="60"/>
        <v>33.764890097692749</v>
      </c>
      <c r="AB199" s="197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4.7184800402323084E-2</v>
      </c>
      <c r="AD199" s="230">
        <f>(INDEX(Models!$BJ199:$BT199,,AH199)*(1-AF199)+INDEX(Models!$BJ199:$BT199,,AH199+1)*AF199-ERP_i)*AE199*Ramure*Pc/MaxiM</f>
        <v>1.1332652202602129E-4</v>
      </c>
      <c r="AE199" s="304">
        <f t="shared" si="62"/>
        <v>0.7</v>
      </c>
      <c r="AF199" s="177">
        <f t="shared" si="63"/>
        <v>0.89022496211279134</v>
      </c>
      <c r="AG199" s="799">
        <f t="shared" si="71"/>
        <v>-1</v>
      </c>
      <c r="AH199" s="176">
        <f t="shared" si="64"/>
        <v>5</v>
      </c>
      <c r="AI199" s="224">
        <f t="shared" si="65"/>
        <v>-0.10977503788720866</v>
      </c>
      <c r="AJ199" s="264" t="b">
        <f t="shared" si="66"/>
        <v>1</v>
      </c>
      <c r="AK199" s="264" t="b">
        <f t="shared" si="67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68"/>
        <v>44382</v>
      </c>
      <c r="B200" s="607">
        <v>54.834000000000003</v>
      </c>
      <c r="C200" s="388"/>
      <c r="D200" s="391">
        <f t="shared" si="48"/>
        <v>55.79549069284505</v>
      </c>
      <c r="E200" s="383">
        <f t="shared" si="72"/>
        <v>58.561194096764567</v>
      </c>
      <c r="F200" s="383">
        <f t="shared" si="49"/>
        <v>58.567197371106808</v>
      </c>
      <c r="G200" s="110">
        <f t="shared" si="73"/>
        <v>0.97487337830166199</v>
      </c>
      <c r="H200" s="412" t="b">
        <f>Wh_hp&gt;='2020'!Maxi_hp</f>
        <v>0</v>
      </c>
      <c r="I200" s="379">
        <f>IF(H200,Wh_hp,'2020'!Maxi_hp)</f>
        <v>58.911927074383357</v>
      </c>
      <c r="J200" s="85">
        <f>IF(H200,An,'2020'!An_max)</f>
        <v>2020</v>
      </c>
      <c r="K200" s="197">
        <f t="shared" si="50"/>
        <v>44382</v>
      </c>
      <c r="L200" s="147">
        <f>IF(t&lt;Tvie,1-EXP((T0-t)*PertePVj)+'2020'!Pspv,1-EXP((T0-t)*PertePVj)+Pspv)</f>
        <v>1.7232408585454828E-2</v>
      </c>
      <c r="M200" s="832"/>
      <c r="N200" s="832"/>
      <c r="O200" s="48">
        <f>IF(t&lt;Tnet,'2020'!Resal+('2020'!Salim-'2020'!Resal)*(1-EXP(('2020'!Tnet-t)/('2020'!Tau_j))),Resal+(Salim-Resal)*(1-EXP((Tnet-t)/(Tau_j))))*Salcycl</f>
        <v>4.7227578716198308E-2</v>
      </c>
      <c r="P200" s="169">
        <f>(INDEX(Models!$BJ200:$BT200,,T200)*(1-R200)+INDEX(Models!$BJ200:$BT200,,T200+1)*R200-ERP_i)*Q200*Ramure*Pc/MaxiM</f>
        <v>1.0631807324235869E-4</v>
      </c>
      <c r="Q200" s="304">
        <f t="shared" si="51"/>
        <v>0.7</v>
      </c>
      <c r="R200" s="177">
        <f t="shared" si="52"/>
        <v>0.82911998654093821</v>
      </c>
      <c r="S200" s="799">
        <f t="shared" si="53"/>
        <v>-1</v>
      </c>
      <c r="T200" s="176">
        <f t="shared" si="54"/>
        <v>5</v>
      </c>
      <c r="U200" s="250">
        <f t="shared" si="55"/>
        <v>-0.17088001345906173</v>
      </c>
      <c r="V200" s="382">
        <f t="shared" si="56"/>
        <v>56.247090100822312</v>
      </c>
      <c r="W200" s="400"/>
      <c r="X200" s="157">
        <f t="shared" si="57"/>
        <v>44382</v>
      </c>
      <c r="Y200" s="383">
        <f t="shared" si="58"/>
        <v>54.833598278382325</v>
      </c>
      <c r="Z200" s="383">
        <f t="shared" si="59"/>
        <v>55.795081927210951</v>
      </c>
      <c r="AA200" s="384">
        <f t="shared" si="60"/>
        <v>58.560765069197259</v>
      </c>
      <c r="AB200" s="197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4.7227578716198308E-2</v>
      </c>
      <c r="AD200" s="230">
        <f>(INDEX(Models!$BJ200:$BT200,,AH200)*(1-AF200)+INDEX(Models!$BJ200:$BT200,,AH200+1)*AF200-ERP_i)*AE200*Ramure*Pc/MaxiM</f>
        <v>1.1391615750829711E-4</v>
      </c>
      <c r="AE200" s="304">
        <f t="shared" si="62"/>
        <v>0.7</v>
      </c>
      <c r="AF200" s="177">
        <f t="shared" si="63"/>
        <v>0.89345220880077036</v>
      </c>
      <c r="AG200" s="799">
        <f t="shared" si="71"/>
        <v>-1</v>
      </c>
      <c r="AH200" s="176">
        <f t="shared" si="64"/>
        <v>5</v>
      </c>
      <c r="AI200" s="224">
        <f t="shared" si="65"/>
        <v>-0.10654779119922958</v>
      </c>
      <c r="AJ200" s="264" t="b">
        <f t="shared" si="66"/>
        <v>1</v>
      </c>
      <c r="AK200" s="264" t="b">
        <f t="shared" si="67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si="68"/>
        <v>44383</v>
      </c>
      <c r="B201" s="607">
        <v>21.23</v>
      </c>
      <c r="C201" s="388"/>
      <c r="D201" s="391">
        <f t="shared" si="48"/>
        <v>21.602672962939678</v>
      </c>
      <c r="E201" s="383">
        <f t="shared" si="72"/>
        <v>22.674489041052645</v>
      </c>
      <c r="F201" s="383">
        <f t="shared" si="49"/>
        <v>22.674759442779941</v>
      </c>
      <c r="G201" s="110">
        <f t="shared" si="73"/>
        <v>0.37811001247918591</v>
      </c>
      <c r="H201" s="412" t="b">
        <f>Wh_hp&gt;='2020'!Maxi_hp</f>
        <v>0</v>
      </c>
      <c r="I201" s="379">
        <f>IF(H201,Wh_hp,'2020'!Maxi_hp)</f>
        <v>58.562115804958381</v>
      </c>
      <c r="J201" s="85">
        <f>IF(H201,An,'2020'!An_max)</f>
        <v>2020</v>
      </c>
      <c r="K201" s="197">
        <f t="shared" si="50"/>
        <v>44383</v>
      </c>
      <c r="L201" s="147">
        <f>IF(t&lt;Tvie,1-EXP((T0-t)*PertePVj)+'2020'!Pspv,1-EXP((T0-t)*PertePVj)+Pspv)</f>
        <v>1.7251243102138991E-2</v>
      </c>
      <c r="M201" s="832"/>
      <c r="N201" s="832"/>
      <c r="O201" s="48">
        <f>IF(t&lt;Tnet,'2020'!Resal+('2020'!Salim-'2020'!Resal)*(1-EXP(('2020'!Tnet-t)/('2020'!Tau_j))),Resal+(Salim-Resal)*(1-EXP((Tnet-t)/(Tau_j))))*Salcycl</f>
        <v>4.7269690451344742E-2</v>
      </c>
      <c r="P201" s="169">
        <f>(INDEX(Models!$BJ201:$BT201,,T201)*(1-R201)+INDEX(Models!$BJ201:$BT201,,T201+1)*R201-ERP_i)*Q201*Ramure*Pc/MaxiM</f>
        <v>1.0682148955130062E-4</v>
      </c>
      <c r="Q201" s="304">
        <f t="shared" si="51"/>
        <v>0.7</v>
      </c>
      <c r="R201" s="177">
        <f t="shared" si="52"/>
        <v>0.83228513650983915</v>
      </c>
      <c r="S201" s="799">
        <f t="shared" si="53"/>
        <v>-1</v>
      </c>
      <c r="T201" s="176">
        <f t="shared" si="54"/>
        <v>5</v>
      </c>
      <c r="U201" s="250">
        <f t="shared" si="55"/>
        <v>-0.16771486349016085</v>
      </c>
      <c r="V201" s="382">
        <f t="shared" si="56"/>
        <v>56.14235177006384</v>
      </c>
      <c r="W201" s="400"/>
      <c r="X201" s="157">
        <f t="shared" si="57"/>
        <v>44383</v>
      </c>
      <c r="Y201" s="383">
        <f t="shared" si="58"/>
        <v>21.229981967424365</v>
      </c>
      <c r="Z201" s="383">
        <f t="shared" si="59"/>
        <v>21.602654613818899</v>
      </c>
      <c r="AA201" s="384">
        <f t="shared" si="60"/>
        <v>22.674469781540697</v>
      </c>
      <c r="AB201" s="197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4.7269690451344742E-2</v>
      </c>
      <c r="AD201" s="230">
        <f>(INDEX(Models!$BJ201:$BT201,,AH201)*(1-AF201)+INDEX(Models!$BJ201:$BT201,,AH201+1)*AF201-ERP_i)*AE201*Ramure*Pc/MaxiM</f>
        <v>1.1442990897597295E-4</v>
      </c>
      <c r="AE201" s="304">
        <f t="shared" si="62"/>
        <v>0.7</v>
      </c>
      <c r="AF201" s="177">
        <f t="shared" si="63"/>
        <v>0.8966173587696713</v>
      </c>
      <c r="AG201" s="799">
        <f t="shared" si="71"/>
        <v>-1</v>
      </c>
      <c r="AH201" s="176">
        <f t="shared" si="64"/>
        <v>5</v>
      </c>
      <c r="AI201" s="224">
        <f t="shared" si="65"/>
        <v>-0.1033826412303287</v>
      </c>
      <c r="AJ201" s="264" t="b">
        <f t="shared" si="66"/>
        <v>1</v>
      </c>
      <c r="AK201" s="264" t="b">
        <f t="shared" si="67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68"/>
        <v>44384</v>
      </c>
      <c r="B202" s="607">
        <v>37.576999999999998</v>
      </c>
      <c r="C202" s="388"/>
      <c r="D202" s="391">
        <f t="shared" si="48"/>
        <v>38.237362199319165</v>
      </c>
      <c r="E202" s="383">
        <f t="shared" si="72"/>
        <v>40.136254787897713</v>
      </c>
      <c r="F202" s="383">
        <f t="shared" si="49"/>
        <v>40.138533800463293</v>
      </c>
      <c r="G202" s="110">
        <f t="shared" si="73"/>
        <v>0.6705439062373153</v>
      </c>
      <c r="H202" s="412" t="b">
        <f>Wh_hp&gt;='2020'!Maxi_hp</f>
        <v>0</v>
      </c>
      <c r="I202" s="379">
        <f>IF(H202,Wh_hp,'2020'!Maxi_hp)</f>
        <v>48.064963584143612</v>
      </c>
      <c r="J202" s="85">
        <f>IF(H202,An,'2020'!An_max)</f>
        <v>2018</v>
      </c>
      <c r="K202" s="197">
        <f t="shared" si="50"/>
        <v>44384</v>
      </c>
      <c r="L202" s="147">
        <f>IF(t&lt;Tvie,1-EXP((T0-t)*PertePVj)+'2020'!Pspv,1-EXP((T0-t)*PertePVj)+Pspv)</f>
        <v>1.7270077257863892E-2</v>
      </c>
      <c r="M202" s="832"/>
      <c r="N202" s="832"/>
      <c r="O202" s="48">
        <f>IF(t&lt;Tnet,'2020'!Resal+('2020'!Salim-'2020'!Resal)*(1-EXP(('2020'!Tnet-t)/('2020'!Tau_j))),Resal+(Salim-Resal)*(1-EXP((Tnet-t)/(Tau_j))))*Salcycl</f>
        <v>4.7311155428261885E-2</v>
      </c>
      <c r="P202" s="169">
        <f>(INDEX(Models!$BJ202:$BT202,,T202)*(1-R202)+INDEX(Models!$BJ202:$BT202,,T202+1)*R202-ERP_i)*Q202*Ramure*Pc/MaxiM</f>
        <v>1.0725163224232985E-4</v>
      </c>
      <c r="Q202" s="304">
        <f t="shared" si="51"/>
        <v>0.7</v>
      </c>
      <c r="R202" s="177">
        <f t="shared" si="52"/>
        <v>0.83538736988187079</v>
      </c>
      <c r="S202" s="799">
        <f t="shared" si="53"/>
        <v>-1</v>
      </c>
      <c r="T202" s="176">
        <f t="shared" si="54"/>
        <v>5</v>
      </c>
      <c r="U202" s="250">
        <f t="shared" si="55"/>
        <v>-0.16461263011812916</v>
      </c>
      <c r="V202" s="382">
        <f t="shared" si="56"/>
        <v>56.036753030317179</v>
      </c>
      <c r="W202" s="400"/>
      <c r="X202" s="157">
        <f t="shared" si="57"/>
        <v>44384</v>
      </c>
      <c r="Y202" s="383">
        <f t="shared" si="58"/>
        <v>37.576848511592075</v>
      </c>
      <c r="Z202" s="383">
        <f t="shared" si="59"/>
        <v>38.237208048718458</v>
      </c>
      <c r="AA202" s="384">
        <f t="shared" si="60"/>
        <v>40.136092982076661</v>
      </c>
      <c r="AB202" s="197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4.7311155428261885E-2</v>
      </c>
      <c r="AD202" s="230">
        <f>(INDEX(Models!$BJ202:$BT202,,AH202)*(1-AF202)+INDEX(Models!$BJ202:$BT202,,AH202+1)*AF202-ERP_i)*AE202*Ramure*Pc/MaxiM</f>
        <v>1.1486630654319882E-4</v>
      </c>
      <c r="AE202" s="304">
        <f t="shared" si="62"/>
        <v>0.7</v>
      </c>
      <c r="AF202" s="177">
        <f t="shared" si="63"/>
        <v>0.89971959214170294</v>
      </c>
      <c r="AG202" s="799">
        <f t="shared" si="71"/>
        <v>-1</v>
      </c>
      <c r="AH202" s="176">
        <f t="shared" si="64"/>
        <v>5</v>
      </c>
      <c r="AI202" s="224">
        <f t="shared" si="65"/>
        <v>-0.100280407858297</v>
      </c>
      <c r="AJ202" s="264" t="b">
        <f t="shared" si="66"/>
        <v>1</v>
      </c>
      <c r="AK202" s="264" t="b">
        <f t="shared" si="67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68"/>
        <v>44385</v>
      </c>
      <c r="B203" s="607">
        <v>40.896999999999998</v>
      </c>
      <c r="C203" s="388"/>
      <c r="D203" s="391">
        <f t="shared" si="48"/>
        <v>41.61650403661065</v>
      </c>
      <c r="E203" s="383">
        <f t="shared" si="72"/>
        <v>43.685079685455577</v>
      </c>
      <c r="F203" s="383">
        <f t="shared" si="49"/>
        <v>43.687975651648436</v>
      </c>
      <c r="G203" s="110">
        <f t="shared" si="73"/>
        <v>0.73117956188576039</v>
      </c>
      <c r="H203" s="412" t="b">
        <f>Wh_hp&gt;='2020'!Maxi_hp</f>
        <v>0</v>
      </c>
      <c r="I203" s="379">
        <f>IF(H203,Wh_hp,'2020'!Maxi_hp)</f>
        <v>61.731530922923696</v>
      </c>
      <c r="J203" s="85">
        <f>IF(H203,An,'2020'!An_max)</f>
        <v>2020</v>
      </c>
      <c r="K203" s="197">
        <f t="shared" si="50"/>
        <v>44385</v>
      </c>
      <c r="L203" s="147">
        <f>IF(t&lt;Tvie,1-EXP((T0-t)*PertePVj)+'2020'!Pspv,1-EXP((T0-t)*PertePVj)+Pspv)</f>
        <v>1.7288911052636524E-2</v>
      </c>
      <c r="M203" s="832"/>
      <c r="N203" s="832"/>
      <c r="O203" s="48">
        <f>IF(t&lt;Tnet,'2020'!Resal+('2020'!Salim-'2020'!Resal)*(1-EXP(('2020'!Tnet-t)/('2020'!Tau_j))),Resal+(Salim-Resal)*(1-EXP((Tnet-t)/(Tau_j))))*Salcycl</f>
        <v>4.7351994404937245E-2</v>
      </c>
      <c r="P203" s="169">
        <f>(INDEX(Models!$BJ203:$BT203,,T203)*(1-R203)+INDEX(Models!$BJ203:$BT203,,T203+1)*R203-ERP_i)*Q203*Ramure*Pc/MaxiM</f>
        <v>1.0760711966929687E-4</v>
      </c>
      <c r="Q203" s="304">
        <f t="shared" si="51"/>
        <v>0.7</v>
      </c>
      <c r="R203" s="177">
        <f t="shared" si="52"/>
        <v>0.83842600313435278</v>
      </c>
      <c r="S203" s="799">
        <f t="shared" si="53"/>
        <v>-1</v>
      </c>
      <c r="T203" s="176">
        <f t="shared" si="54"/>
        <v>5</v>
      </c>
      <c r="U203" s="250">
        <f t="shared" si="55"/>
        <v>-0.16157399686564722</v>
      </c>
      <c r="V203" s="382">
        <f t="shared" si="56"/>
        <v>55.930597859652643</v>
      </c>
      <c r="W203" s="400"/>
      <c r="X203" s="157">
        <f t="shared" si="57"/>
        <v>44385</v>
      </c>
      <c r="Y203" s="383">
        <f t="shared" si="58"/>
        <v>40.896808096200338</v>
      </c>
      <c r="Z203" s="383">
        <f t="shared" si="59"/>
        <v>41.616308756632819</v>
      </c>
      <c r="AA203" s="384">
        <f t="shared" si="60"/>
        <v>43.684874698958275</v>
      </c>
      <c r="AB203" s="197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4.7351994404937245E-2</v>
      </c>
      <c r="AD203" s="230">
        <f>(INDEX(Models!$BJ203:$BT203,,AH203)*(1-AF203)+INDEX(Models!$BJ203:$BT203,,AH203+1)*AF203-ERP_i)*AE203*Ramure*Pc/MaxiM</f>
        <v>1.1522392355337733E-4</v>
      </c>
      <c r="AE203" s="304">
        <f t="shared" si="62"/>
        <v>0.7</v>
      </c>
      <c r="AF203" s="177">
        <f t="shared" si="63"/>
        <v>0.90275822539418493</v>
      </c>
      <c r="AG203" s="799">
        <f t="shared" si="71"/>
        <v>-1</v>
      </c>
      <c r="AH203" s="176">
        <f t="shared" si="64"/>
        <v>5</v>
      </c>
      <c r="AI203" s="224">
        <f t="shared" si="65"/>
        <v>-9.7241774605815068E-2</v>
      </c>
      <c r="AJ203" s="264" t="b">
        <f t="shared" si="66"/>
        <v>1</v>
      </c>
      <c r="AK203" s="264" t="b">
        <f t="shared" si="67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68"/>
        <v>44386</v>
      </c>
      <c r="B204" s="607">
        <v>49.393999999999998</v>
      </c>
      <c r="C204" s="388"/>
      <c r="D204" s="391">
        <f t="shared" si="48"/>
        <v>50.263955702172126</v>
      </c>
      <c r="E204" s="383">
        <f t="shared" si="72"/>
        <v>52.764587093362664</v>
      </c>
      <c r="F204" s="383">
        <f t="shared" si="49"/>
        <v>52.769343386815287</v>
      </c>
      <c r="G204" s="110">
        <f t="shared" si="73"/>
        <v>0.88479784350741653</v>
      </c>
      <c r="H204" s="412" t="b">
        <f>Wh_hp&gt;='2020'!Maxi_hp</f>
        <v>0</v>
      </c>
      <c r="I204" s="379">
        <f>IF(H204,Wh_hp,'2020'!Maxi_hp)</f>
        <v>59.794515524240495</v>
      </c>
      <c r="J204" s="85">
        <f>IF(H204,An,'2020'!An_max)</f>
        <v>2020</v>
      </c>
      <c r="K204" s="197">
        <f t="shared" si="50"/>
        <v>44386</v>
      </c>
      <c r="L204" s="147">
        <f>IF(t&lt;Tvie,1-EXP((T0-t)*PertePVj)+'2020'!Pspv,1-EXP((T0-t)*PertePVj)+Pspv)</f>
        <v>1.7307744486463772E-2</v>
      </c>
      <c r="M204" s="832"/>
      <c r="N204" s="832"/>
      <c r="O204" s="48">
        <f>IF(t&lt;Tnet,'2020'!Resal+('2020'!Salim-'2020'!Resal)*(1-EXP(('2020'!Tnet-t)/('2020'!Tau_j))),Resal+(Salim-Resal)*(1-EXP((Tnet-t)/(Tau_j))))*Salcycl</f>
        <v>4.7392228935021673E-2</v>
      </c>
      <c r="P204" s="169">
        <f>(INDEX(Models!$BJ204:$BT204,,T204)*(1-R204)+INDEX(Models!$BJ204:$BT204,,T204+1)*R204-ERP_i)*Q204*Ramure*Pc/MaxiM</f>
        <v>1.0788661391923396E-4</v>
      </c>
      <c r="Q204" s="304">
        <f t="shared" si="51"/>
        <v>0.7</v>
      </c>
      <c r="R204" s="177">
        <f t="shared" si="52"/>
        <v>0.84140048563471437</v>
      </c>
      <c r="S204" s="799">
        <f t="shared" si="53"/>
        <v>-1</v>
      </c>
      <c r="T204" s="176">
        <f t="shared" si="54"/>
        <v>5</v>
      </c>
      <c r="U204" s="250">
        <f t="shared" si="55"/>
        <v>-0.15859951436528558</v>
      </c>
      <c r="V204" s="382">
        <f t="shared" si="56"/>
        <v>55.824190116905037</v>
      </c>
      <c r="W204" s="400"/>
      <c r="X204" s="157">
        <f t="shared" si="57"/>
        <v>44386</v>
      </c>
      <c r="Y204" s="383">
        <f t="shared" si="58"/>
        <v>49.39368573995047</v>
      </c>
      <c r="Z204" s="383">
        <f t="shared" si="59"/>
        <v>50.263635907192807</v>
      </c>
      <c r="AA204" s="384">
        <f t="shared" si="60"/>
        <v>52.764251388585699</v>
      </c>
      <c r="AB204" s="197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4.7392228935021673E-2</v>
      </c>
      <c r="AD204" s="230">
        <f>(INDEX(Models!$BJ204:$BT204,,AH204)*(1-AF204)+INDEX(Models!$BJ204:$BT204,,AH204+1)*AF204-ERP_i)*AE204*Ramure*Pc/MaxiM</f>
        <v>1.1550137781570208E-4</v>
      </c>
      <c r="AE204" s="304">
        <f t="shared" si="62"/>
        <v>0.7</v>
      </c>
      <c r="AF204" s="177">
        <f t="shared" si="63"/>
        <v>0.90573270789454652</v>
      </c>
      <c r="AG204" s="799">
        <f t="shared" si="71"/>
        <v>-1</v>
      </c>
      <c r="AH204" s="176">
        <f t="shared" si="64"/>
        <v>5</v>
      </c>
      <c r="AI204" s="224">
        <f t="shared" si="65"/>
        <v>-9.4267292105453426E-2</v>
      </c>
      <c r="AJ204" s="264" t="b">
        <f t="shared" si="66"/>
        <v>1</v>
      </c>
      <c r="AK204" s="264" t="b">
        <f t="shared" si="67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68"/>
        <v>44387</v>
      </c>
      <c r="B205" s="607">
        <v>48.492000000000004</v>
      </c>
      <c r="C205" s="388"/>
      <c r="D205" s="391">
        <f t="shared" si="48"/>
        <v>49.347014880652154</v>
      </c>
      <c r="E205" s="383">
        <f t="shared" si="72"/>
        <v>51.804184822073864</v>
      </c>
      <c r="F205" s="383">
        <f t="shared" si="49"/>
        <v>51.808747492345667</v>
      </c>
      <c r="G205" s="110">
        <f t="shared" si="73"/>
        <v>0.87031174180208681</v>
      </c>
      <c r="H205" s="412" t="b">
        <f>Wh_hp&gt;='2020'!Maxi_hp</f>
        <v>0</v>
      </c>
      <c r="I205" s="379">
        <f>IF(H205,Wh_hp,'2020'!Maxi_hp)</f>
        <v>57.754614952040882</v>
      </c>
      <c r="J205" s="85">
        <f>IF(H205,An,'2020'!An_max)</f>
        <v>2018</v>
      </c>
      <c r="K205" s="197">
        <f t="shared" si="50"/>
        <v>44387</v>
      </c>
      <c r="L205" s="147">
        <f>IF(t&lt;Tvie,1-EXP((T0-t)*PertePVj)+'2020'!Pspv,1-EXP((T0-t)*PertePVj)+Pspv)</f>
        <v>1.7326577559352629E-2</v>
      </c>
      <c r="M205" s="832"/>
      <c r="N205" s="832"/>
      <c r="O205" s="48">
        <f>IF(t&lt;Tnet,'2020'!Resal+('2020'!Salim-'2020'!Resal)*(1-EXP(('2020'!Tnet-t)/('2020'!Tau_j))),Resal+(Salim-Resal)*(1-EXP((Tnet-t)/(Tau_j))))*Salcycl</f>
        <v>4.7431881224674843E-2</v>
      </c>
      <c r="P205" s="169">
        <f>(INDEX(Models!$BJ205:$BT205,,T205)*(1-R205)+INDEX(Models!$BJ205:$BT205,,T205+1)*R205-ERP_i)*Q205*Ramure*Pc/MaxiM</f>
        <v>1.0809072935325107E-4</v>
      </c>
      <c r="Q205" s="304">
        <f t="shared" si="51"/>
        <v>0.7</v>
      </c>
      <c r="R205" s="177">
        <f t="shared" si="52"/>
        <v>0.84431039575297739</v>
      </c>
      <c r="S205" s="799">
        <f t="shared" si="53"/>
        <v>-1</v>
      </c>
      <c r="T205" s="176">
        <f t="shared" si="54"/>
        <v>5</v>
      </c>
      <c r="U205" s="250">
        <f t="shared" si="55"/>
        <v>-0.15568960424702255</v>
      </c>
      <c r="V205" s="382">
        <f t="shared" si="56"/>
        <v>55.716850206825818</v>
      </c>
      <c r="W205" s="400"/>
      <c r="X205" s="157">
        <f t="shared" si="57"/>
        <v>44387</v>
      </c>
      <c r="Y205" s="383">
        <f t="shared" si="58"/>
        <v>48.491699362455137</v>
      </c>
      <c r="Z205" s="383">
        <f t="shared" si="59"/>
        <v>49.34670894224169</v>
      </c>
      <c r="AA205" s="384">
        <f t="shared" si="60"/>
        <v>51.80386364986115</v>
      </c>
      <c r="AB205" s="197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4.7431881224674843E-2</v>
      </c>
      <c r="AD205" s="230">
        <f>(INDEX(Models!$BJ205:$BT205,,AH205)*(1-AF205)+INDEX(Models!$BJ205:$BT205,,AH205+1)*AF205-ERP_i)*AE205*Ramure*Pc/MaxiM</f>
        <v>1.156993744344986E-4</v>
      </c>
      <c r="AE205" s="304">
        <f t="shared" si="62"/>
        <v>0.7</v>
      </c>
      <c r="AF205" s="177">
        <f t="shared" si="63"/>
        <v>0.90864261801280954</v>
      </c>
      <c r="AG205" s="799">
        <f t="shared" si="71"/>
        <v>-1</v>
      </c>
      <c r="AH205" s="176">
        <f t="shared" si="64"/>
        <v>5</v>
      </c>
      <c r="AI205" s="224">
        <f t="shared" si="65"/>
        <v>-9.13573819871904E-2</v>
      </c>
      <c r="AJ205" s="264" t="b">
        <f t="shared" si="66"/>
        <v>1</v>
      </c>
      <c r="AK205" s="264" t="b">
        <f t="shared" si="67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68"/>
        <v>44388</v>
      </c>
      <c r="B206" s="607">
        <v>50.875999999999998</v>
      </c>
      <c r="C206" s="388"/>
      <c r="D206" s="391">
        <f t="shared" si="48"/>
        <v>51.774041999892155</v>
      </c>
      <c r="E206" s="383">
        <f t="shared" si="72"/>
        <v>54.354293240510444</v>
      </c>
      <c r="F206" s="383">
        <f t="shared" si="49"/>
        <v>54.359502686488646</v>
      </c>
      <c r="G206" s="110">
        <f t="shared" si="73"/>
        <v>0.91489689459478596</v>
      </c>
      <c r="H206" s="412" t="b">
        <f>Wh_hp&gt;='2020'!Maxi_hp</f>
        <v>0</v>
      </c>
      <c r="I206" s="379">
        <f>IF(H206,Wh_hp,'2020'!Maxi_hp)</f>
        <v>58.03207866600949</v>
      </c>
      <c r="J206" s="85">
        <f>IF(H206,An,'2020'!An_max)</f>
        <v>2018</v>
      </c>
      <c r="K206" s="197">
        <f t="shared" si="50"/>
        <v>44388</v>
      </c>
      <c r="L206" s="147">
        <f>IF(t&lt;Tvie,1-EXP((T0-t)*PertePVj)+'2020'!Pspv,1-EXP((T0-t)*PertePVj)+Pspv)</f>
        <v>1.7345410271309869E-2</v>
      </c>
      <c r="M206" s="832"/>
      <c r="N206" s="832"/>
      <c r="O206" s="48">
        <f>IF(t&lt;Tnet,'2020'!Resal+('2020'!Salim-'2020'!Resal)*(1-EXP(('2020'!Tnet-t)/('2020'!Tau_j))),Resal+(Salim-Resal)*(1-EXP((Tnet-t)/(Tau_j))))*Salcycl</f>
        <v>4.7470973989138666E-2</v>
      </c>
      <c r="P206" s="169">
        <f>(INDEX(Models!$BJ206:$BT206,,T206)*(1-R206)+INDEX(Models!$BJ206:$BT206,,T206+1)*R206-ERP_i)*Q206*Ramure*Pc/MaxiM</f>
        <v>1.0909459492133371E-4</v>
      </c>
      <c r="Q206" s="304">
        <f t="shared" si="51"/>
        <v>0.7</v>
      </c>
      <c r="R206" s="177">
        <f t="shared" si="52"/>
        <v>0.84715543659966885</v>
      </c>
      <c r="S206" s="799">
        <f t="shared" si="53"/>
        <v>-1</v>
      </c>
      <c r="T206" s="176">
        <f t="shared" si="54"/>
        <v>5</v>
      </c>
      <c r="U206" s="250">
        <f t="shared" si="55"/>
        <v>-0.15284456340033115</v>
      </c>
      <c r="V206" s="382">
        <f t="shared" si="56"/>
        <v>55.607714432094667</v>
      </c>
      <c r="W206" s="400"/>
      <c r="X206" s="157">
        <f t="shared" si="57"/>
        <v>44388</v>
      </c>
      <c r="Y206" s="383">
        <f t="shared" si="58"/>
        <v>50.875657433086261</v>
      </c>
      <c r="Z206" s="383">
        <f t="shared" si="59"/>
        <v>51.773693386129679</v>
      </c>
      <c r="AA206" s="384">
        <f t="shared" si="60"/>
        <v>54.353927252962606</v>
      </c>
      <c r="AB206" s="197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4.7470973989138666E-2</v>
      </c>
      <c r="AD206" s="230">
        <f>(INDEX(Models!$BJ206:$BT206,,AH206)*(1-AF206)+INDEX(Models!$BJ206:$BT206,,AH206+1)*AF206-ERP_i)*AE206*Ramure*Pc/MaxiM</f>
        <v>1.167589921420835E-4</v>
      </c>
      <c r="AE206" s="304">
        <f t="shared" si="62"/>
        <v>0.7</v>
      </c>
      <c r="AF206" s="177">
        <f t="shared" si="63"/>
        <v>0.911487658859501</v>
      </c>
      <c r="AG206" s="799">
        <f t="shared" si="71"/>
        <v>-1</v>
      </c>
      <c r="AH206" s="176">
        <f t="shared" si="64"/>
        <v>5</v>
      </c>
      <c r="AI206" s="224">
        <f t="shared" si="65"/>
        <v>-8.8512341140498996E-2</v>
      </c>
      <c r="AJ206" s="264" t="b">
        <f t="shared" si="66"/>
        <v>1</v>
      </c>
      <c r="AK206" s="264" t="b">
        <f t="shared" si="67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68"/>
        <v>44389</v>
      </c>
      <c r="B207" s="607">
        <v>10.935</v>
      </c>
      <c r="C207" s="388"/>
      <c r="D207" s="391">
        <f t="shared" ref="D207:D270" si="74">Wh/(1-Ppv)</f>
        <v>11.128233343738721</v>
      </c>
      <c r="E207" s="383">
        <f t="shared" si="72"/>
        <v>11.683301510997312</v>
      </c>
      <c r="F207" s="383">
        <f t="shared" ref="F207:F270" si="75">Wh_sa/(1-Pvg*MEDIAN((-Sdif+Wh/Env_an)/Csdif,0,1))</f>
        <v>11.683301510997312</v>
      </c>
      <c r="G207" s="110">
        <f t="shared" si="73"/>
        <v>0.19701623998070344</v>
      </c>
      <c r="H207" s="412" t="b">
        <f>Wh_hp&gt;='2020'!Maxi_hp</f>
        <v>0</v>
      </c>
      <c r="I207" s="379">
        <f>IF(H207,Wh_hp,'2020'!Maxi_hp)</f>
        <v>56.604609123594045</v>
      </c>
      <c r="J207" s="85">
        <f>IF(H207,An,'2020'!An_max)</f>
        <v>2018</v>
      </c>
      <c r="K207" s="197">
        <f t="shared" ref="K207:K270" si="76">t</f>
        <v>44389</v>
      </c>
      <c r="L207" s="147">
        <f>IF(t&lt;Tvie,1-EXP((T0-t)*PertePVj)+'2020'!Pspv,1-EXP((T0-t)*PertePVj)+Pspv)</f>
        <v>1.7364242622342485E-2</v>
      </c>
      <c r="M207" s="832"/>
      <c r="N207" s="832"/>
      <c r="O207" s="48">
        <f>IF(t&lt;Tnet,'2020'!Resal+('2020'!Salim-'2020'!Resal)*(1-EXP(('2020'!Tnet-t)/('2020'!Tau_j))),Resal+(Salim-Resal)*(1-EXP((Tnet-t)/(Tau_j))))*Salcycl</f>
        <v>4.7509530310085188E-2</v>
      </c>
      <c r="P207" s="169">
        <f>(INDEX(Models!$BJ207:$BT207,,T207)*(1-R207)+INDEX(Models!$BJ207:$BT207,,T207+1)*R207-ERP_i)*Q207*Ramure*Pc/MaxiM</f>
        <v>1.1095587505912183E-4</v>
      </c>
      <c r="Q207" s="304">
        <f t="shared" ref="Q207:Q270" si="77">IF(OR(t&lt;Ttai,Notai),Dd+PousD*Croivg,Dens+PousD*(Croivg-Croi_tai))</f>
        <v>0.7</v>
      </c>
      <c r="R207" s="177">
        <f t="shared" ref="R207:R270" si="78">(Hp_vg-S207)/(INDEX(Echel_vg,T207+1)-S207)</f>
        <v>0.84993543143704342</v>
      </c>
      <c r="S207" s="799">
        <f t="shared" ref="S207:S270" si="79">INDEX(Echel_vg,T207)</f>
        <v>-1</v>
      </c>
      <c r="T207" s="176">
        <f t="shared" ref="T207:T270" si="80">MIN(MATCH(Hp_vg,Echel_vg),10)</f>
        <v>5</v>
      </c>
      <c r="U207" s="250">
        <f t="shared" ref="U207:U270" si="81">IF(OR(t&lt;Ttai,Notai),Hdd+PousH*Croivg,Hdtf+PousH*(Croivg-Croi_tai))</f>
        <v>-0.15006456856295658</v>
      </c>
      <c r="V207" s="382">
        <f t="shared" ref="V207:V270" si="82">MaxiM*(1-Ppv)*(1-Pvg)*(1-Psa)</f>
        <v>55.496880351473187</v>
      </c>
      <c r="W207" s="400"/>
      <c r="X207" s="157">
        <f t="shared" ref="X207:X270" si="83">t</f>
        <v>44389</v>
      </c>
      <c r="Y207" s="383">
        <f t="shared" ref="Y207:Y270" si="84">Wh_pvt_s*(1-Ppv)</f>
        <v>10.935</v>
      </c>
      <c r="Z207" s="383">
        <f t="shared" ref="Z207:Z270" si="85">Wh_sa_s*(1-Psa_s)</f>
        <v>11.128233343738721</v>
      </c>
      <c r="AA207" s="384">
        <f t="shared" ref="AA207:AA270" si="86">Wh_hp*(1-Pvg_s*MEDIAN((-Sdif+Wh/Env_an)/Csdif,0,1))</f>
        <v>11.683301510997312</v>
      </c>
      <c r="AB207" s="197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4.7509530310085188E-2</v>
      </c>
      <c r="AD207" s="230">
        <f>(INDEX(Models!$BJ207:$BT207,,AH207)*(1-AF207)+INDEX(Models!$BJ207:$BT207,,AH207+1)*AF207-ERP_i)*AE207*Ramure*Pc/MaxiM</f>
        <v>1.1874117774457974E-4</v>
      </c>
      <c r="AE207" s="304">
        <f t="shared" ref="AE207:AE270" si="88">IF(OR(t&lt;Ttai,Notai),Dd_s+PousD*Croivg,Dens_s+PousD*(Croivg-Croi_tai))</f>
        <v>0.7</v>
      </c>
      <c r="AF207" s="177">
        <f t="shared" ref="AF207:AF270" si="89">(Hp_vg_s-AG207)/(INDEX(Echel_vg,AH207+1)-AG207)</f>
        <v>0.91426765369687557</v>
      </c>
      <c r="AG207" s="799">
        <f t="shared" si="71"/>
        <v>-1</v>
      </c>
      <c r="AH207" s="176">
        <f t="shared" ref="AH207:AH270" si="90">MIN(MATCH(Hp_vg_s,Echel_vg),10)</f>
        <v>5</v>
      </c>
      <c r="AI207" s="224">
        <f t="shared" ref="AI207:AI270" si="91">IF(OR(t&lt;Ttai,Notai),Hdd_s+PousH*Croivg,Hdtai_s+PousH*(Croivg-Croi_tai))</f>
        <v>-8.5732346303124429E-2</v>
      </c>
      <c r="AJ207" s="264" t="b">
        <f t="shared" ref="AJ207:AJ270" si="92">t&lt;Tnet</f>
        <v>1</v>
      </c>
      <c r="AK207" s="264" t="b">
        <f t="shared" ref="AK207:AK270" si="93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4">A207+1</f>
        <v>44390</v>
      </c>
      <c r="B208" s="607">
        <v>25.057000000000002</v>
      </c>
      <c r="C208" s="388"/>
      <c r="D208" s="391">
        <f t="shared" si="74"/>
        <v>25.500273150818728</v>
      </c>
      <c r="E208" s="383">
        <f t="shared" si="72"/>
        <v>26.77327753196559</v>
      </c>
      <c r="F208" s="383">
        <f t="shared" si="75"/>
        <v>26.773940311159414</v>
      </c>
      <c r="G208" s="110">
        <f t="shared" si="73"/>
        <v>0.452379186896811</v>
      </c>
      <c r="H208" s="412" t="b">
        <f>Wh_hp&gt;='2020'!Maxi_hp</f>
        <v>0</v>
      </c>
      <c r="I208" s="379">
        <f>IF(H208,Wh_hp,'2020'!Maxi_hp)</f>
        <v>51.873409917799727</v>
      </c>
      <c r="J208" s="85">
        <f>IF(H208,An,'2020'!An_max)</f>
        <v>2018</v>
      </c>
      <c r="K208" s="197">
        <f t="shared" si="76"/>
        <v>44390</v>
      </c>
      <c r="L208" s="147">
        <f>IF(t&lt;Tvie,1-EXP((T0-t)*PertePVj)+'2020'!Pspv,1-EXP((T0-t)*PertePVj)+Pspv)</f>
        <v>1.7383074612457361E-2</v>
      </c>
      <c r="M208" s="832"/>
      <c r="N208" s="832"/>
      <c r="O208" s="48">
        <f>IF(t&lt;Tnet,'2020'!Resal+('2020'!Salim-'2020'!Resal)*(1-EXP(('2020'!Tnet-t)/('2020'!Tau_j))),Resal+(Salim-Resal)*(1-EXP((Tnet-t)/(Tau_j))))*Salcycl</f>
        <v>4.75475734947646E-2</v>
      </c>
      <c r="P208" s="169">
        <f>(INDEX(Models!$BJ208:$BT208,,T208)*(1-R208)+INDEX(Models!$BJ208:$BT208,,T208+1)*R208-ERP_i)*Q208*Ramure*Pc/MaxiM</f>
        <v>1.1368791514443527E-4</v>
      </c>
      <c r="Q208" s="304">
        <f t="shared" si="77"/>
        <v>0.7</v>
      </c>
      <c r="R208" s="177">
        <f t="shared" si="78"/>
        <v>0.85265031881091979</v>
      </c>
      <c r="S208" s="799">
        <f t="shared" si="79"/>
        <v>-1</v>
      </c>
      <c r="T208" s="176">
        <f t="shared" si="80"/>
        <v>5</v>
      </c>
      <c r="U208" s="250">
        <f t="shared" si="81"/>
        <v>-0.14734968118908021</v>
      </c>
      <c r="V208" s="382">
        <f t="shared" si="82"/>
        <v>55.384447979519955</v>
      </c>
      <c r="W208" s="400"/>
      <c r="X208" s="157">
        <f t="shared" si="83"/>
        <v>44390</v>
      </c>
      <c r="Y208" s="383">
        <f t="shared" si="84"/>
        <v>25.0569565053095</v>
      </c>
      <c r="Z208" s="383">
        <f t="shared" si="85"/>
        <v>25.500228886681423</v>
      </c>
      <c r="AA208" s="384">
        <f t="shared" si="86"/>
        <v>26.773231058109182</v>
      </c>
      <c r="AB208" s="197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4.75475734947646E-2</v>
      </c>
      <c r="AD208" s="230">
        <f>(INDEX(Models!$BJ208:$BT208,,AH208)*(1-AF208)+INDEX(Models!$BJ208:$BT208,,AH208+1)*AF208-ERP_i)*AE208*Ramure*Pc/MaxiM</f>
        <v>1.216596739035892E-4</v>
      </c>
      <c r="AE208" s="304">
        <f t="shared" si="88"/>
        <v>0.7</v>
      </c>
      <c r="AF208" s="177">
        <f t="shared" si="89"/>
        <v>0.91698254107075194</v>
      </c>
      <c r="AG208" s="799">
        <f t="shared" ref="AG208:AG271" si="95">INDEX(Echel_vg,AH208)</f>
        <v>-1</v>
      </c>
      <c r="AH208" s="176">
        <f t="shared" si="90"/>
        <v>5</v>
      </c>
      <c r="AI208" s="224">
        <f t="shared" si="91"/>
        <v>-8.3017458929248056E-2</v>
      </c>
      <c r="AJ208" s="264" t="b">
        <f t="shared" si="92"/>
        <v>1</v>
      </c>
      <c r="AK208" s="264" t="b">
        <f t="shared" si="93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4"/>
        <v>44391</v>
      </c>
      <c r="B209" s="607">
        <v>28.422000000000001</v>
      </c>
      <c r="C209" s="388"/>
      <c r="D209" s="391">
        <f t="shared" si="74"/>
        <v>28.925356339018244</v>
      </c>
      <c r="E209" s="383">
        <f t="shared" si="72"/>
        <v>30.370542457009414</v>
      </c>
      <c r="F209" s="383">
        <f t="shared" si="75"/>
        <v>30.371632820322091</v>
      </c>
      <c r="G209" s="110">
        <f t="shared" si="73"/>
        <v>0.51419251436597613</v>
      </c>
      <c r="H209" s="412" t="b">
        <f>Wh_hp&gt;='2020'!Maxi_hp</f>
        <v>0</v>
      </c>
      <c r="I209" s="379">
        <f>IF(H209,Wh_hp,'2020'!Maxi_hp)</f>
        <v>58.629820417743659</v>
      </c>
      <c r="J209" s="85">
        <f>IF(H209,An,'2020'!An_max)</f>
        <v>2018</v>
      </c>
      <c r="K209" s="197">
        <f t="shared" si="76"/>
        <v>44391</v>
      </c>
      <c r="L209" s="147">
        <f>IF(t&lt;Tvie,1-EXP((T0-t)*PertePVj)+'2020'!Pspv,1-EXP((T0-t)*PertePVj)+Pspv)</f>
        <v>1.7401906241661491E-2</v>
      </c>
      <c r="M209" s="832"/>
      <c r="N209" s="832"/>
      <c r="O209" s="48">
        <f>IF(t&lt;Tnet,'2020'!Resal+('2020'!Salim-'2020'!Resal)*(1-EXP(('2020'!Tnet-t)/('2020'!Tau_j))),Resal+(Salim-Resal)*(1-EXP((Tnet-t)/(Tau_j))))*Salcycl</f>
        <v>4.7585126937949196E-2</v>
      </c>
      <c r="P209" s="169">
        <f>(INDEX(Models!$BJ209:$BT209,,T209)*(1-R209)+INDEX(Models!$BJ209:$BT209,,T209+1)*R209-ERP_i)*Q209*Ramure*Pc/MaxiM</f>
        <v>1.1730377012611102E-4</v>
      </c>
      <c r="Q209" s="304">
        <f t="shared" si="77"/>
        <v>0.7</v>
      </c>
      <c r="R209" s="177">
        <f t="shared" si="78"/>
        <v>0.85530014744942617</v>
      </c>
      <c r="S209" s="799">
        <f t="shared" si="79"/>
        <v>-1</v>
      </c>
      <c r="T209" s="176">
        <f t="shared" si="80"/>
        <v>5</v>
      </c>
      <c r="U209" s="250">
        <f t="shared" si="81"/>
        <v>-0.14469985255057388</v>
      </c>
      <c r="V209" s="382">
        <f t="shared" si="82"/>
        <v>55.270517335955162</v>
      </c>
      <c r="W209" s="400"/>
      <c r="X209" s="157">
        <f t="shared" si="83"/>
        <v>44391</v>
      </c>
      <c r="Y209" s="383">
        <f t="shared" si="84"/>
        <v>28.421928459306312</v>
      </c>
      <c r="Z209" s="383">
        <f t="shared" si="85"/>
        <v>28.925283531332028</v>
      </c>
      <c r="AA209" s="384">
        <f t="shared" si="86"/>
        <v>30.37046601166162</v>
      </c>
      <c r="AB209" s="197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4.7585126937949196E-2</v>
      </c>
      <c r="AD209" s="230">
        <f>(INDEX(Models!$BJ209:$BT209,,AH209)*(1-AF209)+INDEX(Models!$BJ209:$BT209,,AH209+1)*AF209-ERP_i)*AE209*Ramure*Pc/MaxiM</f>
        <v>1.2552793486123308E-4</v>
      </c>
      <c r="AE209" s="304">
        <f t="shared" si="88"/>
        <v>0.7</v>
      </c>
      <c r="AF209" s="177">
        <f t="shared" si="89"/>
        <v>0.91963236970925832</v>
      </c>
      <c r="AG209" s="799">
        <f t="shared" si="95"/>
        <v>-1</v>
      </c>
      <c r="AH209" s="176">
        <f t="shared" si="90"/>
        <v>5</v>
      </c>
      <c r="AI209" s="224">
        <f t="shared" si="91"/>
        <v>-8.0367630290741732E-2</v>
      </c>
      <c r="AJ209" s="264" t="b">
        <f t="shared" si="92"/>
        <v>1</v>
      </c>
      <c r="AK209" s="264" t="b">
        <f t="shared" si="93"/>
        <v>0</v>
      </c>
      <c r="AL209" s="264"/>
      <c r="AM209" s="264"/>
      <c r="AN209" s="75"/>
    </row>
    <row r="210" spans="1:40" s="6" customFormat="1" ht="11.25" x14ac:dyDescent="0.2">
      <c r="A210" s="56">
        <f t="shared" si="94"/>
        <v>44392</v>
      </c>
      <c r="B210" s="607">
        <v>25.827000000000002</v>
      </c>
      <c r="C210" s="388"/>
      <c r="D210" s="391">
        <f t="shared" si="74"/>
        <v>26.284902384922706</v>
      </c>
      <c r="E210" s="383">
        <f t="shared" si="72"/>
        <v>27.599239263001138</v>
      </c>
      <c r="F210" s="383">
        <f t="shared" si="75"/>
        <v>27.600047426500502</v>
      </c>
      <c r="G210" s="110">
        <f t="shared" si="73"/>
        <v>0.46821723854262487</v>
      </c>
      <c r="H210" s="412" t="b">
        <f>Wh_hp&gt;='2020'!Maxi_hp</f>
        <v>0</v>
      </c>
      <c r="I210" s="379">
        <f>IF(H210,Wh_hp,'2020'!Maxi_hp)</f>
        <v>60.732811241786656</v>
      </c>
      <c r="J210" s="85">
        <f>IF(H210,An,'2020'!An_max)</f>
        <v>2018</v>
      </c>
      <c r="K210" s="197">
        <f t="shared" si="76"/>
        <v>44392</v>
      </c>
      <c r="L210" s="147">
        <f>IF(t&lt;Tvie,1-EXP((T0-t)*PertePVj)+'2020'!Pspv,1-EXP((T0-t)*PertePVj)+Pspv)</f>
        <v>1.7420737509961648E-2</v>
      </c>
      <c r="M210" s="832"/>
      <c r="N210" s="832"/>
      <c r="O210" s="48">
        <f>IF(t&lt;Tnet,'2020'!Resal+('2020'!Salim-'2020'!Resal)*(1-EXP(('2020'!Tnet-t)/('2020'!Tau_j))),Resal+(Salim-Resal)*(1-EXP((Tnet-t)/(Tau_j))))*Salcycl</f>
        <v>4.7622213987629732E-2</v>
      </c>
      <c r="P210" s="169">
        <f>(INDEX(Models!$BJ210:$BT210,,T210)*(1-R210)+INDEX(Models!$BJ210:$BT210,,T210+1)*R210-ERP_i)*Q210*Ramure*Pc/MaxiM</f>
        <v>1.2181621095083063E-4</v>
      </c>
      <c r="Q210" s="304">
        <f t="shared" si="77"/>
        <v>0.7</v>
      </c>
      <c r="R210" s="177">
        <f t="shared" si="78"/>
        <v>0.85788507097354794</v>
      </c>
      <c r="S210" s="799">
        <f t="shared" si="79"/>
        <v>-1</v>
      </c>
      <c r="T210" s="176">
        <f t="shared" si="80"/>
        <v>5</v>
      </c>
      <c r="U210" s="250">
        <f t="shared" si="81"/>
        <v>-0.14211492902645201</v>
      </c>
      <c r="V210" s="382">
        <f t="shared" si="82"/>
        <v>55.155188453974255</v>
      </c>
      <c r="W210" s="400"/>
      <c r="X210" s="157">
        <f t="shared" si="83"/>
        <v>44392</v>
      </c>
      <c r="Y210" s="383">
        <f t="shared" si="84"/>
        <v>25.826946963181285</v>
      </c>
      <c r="Z210" s="383">
        <f t="shared" si="85"/>
        <v>26.284848407782395</v>
      </c>
      <c r="AA210" s="384">
        <f t="shared" si="86"/>
        <v>27.599182586815381</v>
      </c>
      <c r="AB210" s="197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4.7622213987629732E-2</v>
      </c>
      <c r="AD210" s="230">
        <f>(INDEX(Models!$BJ210:$BT210,,AH210)*(1-AF210)+INDEX(Models!$BJ210:$BT210,,AH210+1)*AF210-ERP_i)*AE210*Ramure*Pc/MaxiM</f>
        <v>1.3035913352219537E-4</v>
      </c>
      <c r="AE210" s="304">
        <f t="shared" si="88"/>
        <v>0.7</v>
      </c>
      <c r="AF210" s="177">
        <f t="shared" si="89"/>
        <v>0.92221729323338009</v>
      </c>
      <c r="AG210" s="799">
        <f t="shared" si="95"/>
        <v>-1</v>
      </c>
      <c r="AH210" s="176">
        <f t="shared" si="90"/>
        <v>5</v>
      </c>
      <c r="AI210" s="224">
        <f t="shared" si="91"/>
        <v>-7.7782706766619858E-2</v>
      </c>
      <c r="AJ210" s="264" t="b">
        <f t="shared" si="92"/>
        <v>1</v>
      </c>
      <c r="AK210" s="264" t="b">
        <f t="shared" si="93"/>
        <v>0</v>
      </c>
      <c r="AL210" s="264"/>
      <c r="AM210" s="264"/>
      <c r="AN210" s="75"/>
    </row>
    <row r="211" spans="1:40" s="6" customFormat="1" ht="11.25" x14ac:dyDescent="0.2">
      <c r="A211" s="56">
        <f t="shared" si="94"/>
        <v>44393</v>
      </c>
      <c r="B211" s="607">
        <v>42.861000000000004</v>
      </c>
      <c r="C211" s="388"/>
      <c r="D211" s="391">
        <f t="shared" si="74"/>
        <v>43.621744395876703</v>
      </c>
      <c r="E211" s="383">
        <f t="shared" si="72"/>
        <v>45.804746286409951</v>
      </c>
      <c r="F211" s="383">
        <f t="shared" si="75"/>
        <v>45.808732589656486</v>
      </c>
      <c r="G211" s="110">
        <f t="shared" si="73"/>
        <v>0.77871359685764896</v>
      </c>
      <c r="H211" s="412" t="b">
        <f>Wh_hp&gt;='2020'!Maxi_hp</f>
        <v>0</v>
      </c>
      <c r="I211" s="379">
        <f>IF(H211,Wh_hp,'2020'!Maxi_hp)</f>
        <v>60.019024315602991</v>
      </c>
      <c r="J211" s="85">
        <f>IF(H211,An,'2020'!An_max)</f>
        <v>2018</v>
      </c>
      <c r="K211" s="197">
        <f t="shared" si="76"/>
        <v>44393</v>
      </c>
      <c r="L211" s="147">
        <f>IF(t&lt;Tvie,1-EXP((T0-t)*PertePVj)+'2020'!Pspv,1-EXP((T0-t)*PertePVj)+Pspv)</f>
        <v>1.7439568417364937E-2</v>
      </c>
      <c r="M211" s="832"/>
      <c r="N211" s="832"/>
      <c r="O211" s="48">
        <f>IF(t&lt;Tnet,'2020'!Resal+('2020'!Salim-'2020'!Resal)*(1-EXP(('2020'!Tnet-t)/('2020'!Tau_j))),Resal+(Salim-Resal)*(1-EXP((Tnet-t)/(Tau_j))))*Salcycl</f>
        <v>4.7658857815373004E-2</v>
      </c>
      <c r="P211" s="169">
        <f>(INDEX(Models!$BJ211:$BT211,,T211)*(1-R211)+INDEX(Models!$BJ211:$BT211,,T211+1)*R211-ERP_i)*Q211*Ramure*Pc/MaxiM</f>
        <v>1.2723773219919574E-4</v>
      </c>
      <c r="Q211" s="304">
        <f t="shared" si="77"/>
        <v>0.7</v>
      </c>
      <c r="R211" s="177">
        <f t="shared" si="78"/>
        <v>0.86040534246262113</v>
      </c>
      <c r="S211" s="799">
        <f t="shared" si="79"/>
        <v>-1</v>
      </c>
      <c r="T211" s="176">
        <f t="shared" si="80"/>
        <v>5</v>
      </c>
      <c r="U211" s="250">
        <f t="shared" si="81"/>
        <v>-0.13959465753737887</v>
      </c>
      <c r="V211" s="382">
        <f t="shared" si="82"/>
        <v>55.038561386745641</v>
      </c>
      <c r="W211" s="400"/>
      <c r="X211" s="157">
        <f t="shared" si="83"/>
        <v>44393</v>
      </c>
      <c r="Y211" s="383">
        <f t="shared" si="84"/>
        <v>42.860738253010993</v>
      </c>
      <c r="Z211" s="383">
        <f t="shared" si="85"/>
        <v>43.621478003112863</v>
      </c>
      <c r="AA211" s="384">
        <f t="shared" si="86"/>
        <v>45.804466562315255</v>
      </c>
      <c r="AB211" s="197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4.7658857815373004E-2</v>
      </c>
      <c r="AD211" s="230">
        <f>(INDEX(Models!$BJ211:$BT211,,AH211)*(1-AF211)+INDEX(Models!$BJ211:$BT211,,AH211+1)*AF211-ERP_i)*AE211*Ramure*Pc/MaxiM</f>
        <v>1.3616616971363953E-4</v>
      </c>
      <c r="AE211" s="304">
        <f t="shared" si="88"/>
        <v>0.7</v>
      </c>
      <c r="AF211" s="177">
        <f t="shared" si="89"/>
        <v>0.92473756472245328</v>
      </c>
      <c r="AG211" s="799">
        <f t="shared" si="95"/>
        <v>-1</v>
      </c>
      <c r="AH211" s="176">
        <f t="shared" si="90"/>
        <v>5</v>
      </c>
      <c r="AI211" s="224">
        <f t="shared" si="91"/>
        <v>-7.5262435277546724E-2</v>
      </c>
      <c r="AJ211" s="264" t="b">
        <f t="shared" si="92"/>
        <v>1</v>
      </c>
      <c r="AK211" s="264" t="b">
        <f t="shared" si="93"/>
        <v>0</v>
      </c>
      <c r="AL211" s="264"/>
      <c r="AM211" s="264"/>
      <c r="AN211" s="75"/>
    </row>
    <row r="212" spans="1:40" s="6" customFormat="1" ht="11.25" x14ac:dyDescent="0.2">
      <c r="A212" s="56">
        <f t="shared" si="94"/>
        <v>44394</v>
      </c>
      <c r="B212" s="607">
        <v>54.813000000000002</v>
      </c>
      <c r="C212" s="388"/>
      <c r="D212" s="391">
        <f t="shared" si="74"/>
        <v>55.786950844827253</v>
      </c>
      <c r="E212" s="383">
        <f t="shared" si="72"/>
        <v>58.5809752201272</v>
      </c>
      <c r="F212" s="383">
        <f t="shared" si="75"/>
        <v>58.588907311846619</v>
      </c>
      <c r="G212" s="110">
        <f t="shared" si="73"/>
        <v>0.99804013437364991</v>
      </c>
      <c r="H212" s="412" t="b">
        <f>Wh_hp&gt;='2020'!Maxi_hp</f>
        <v>1</v>
      </c>
      <c r="I212" s="379">
        <f>IF(H212,Wh_hp,'2020'!Maxi_hp)</f>
        <v>58.588907311846619</v>
      </c>
      <c r="J212" s="85">
        <f>IF(H212,An,'2020'!An_max)</f>
        <v>2021</v>
      </c>
      <c r="K212" s="197">
        <f t="shared" si="76"/>
        <v>44394</v>
      </c>
      <c r="L212" s="147">
        <f>IF(t&lt;Tvie,1-EXP((T0-t)*PertePVj)+'2020'!Pspv,1-EXP((T0-t)*PertePVj)+Pspv)</f>
        <v>1.745839896387813E-2</v>
      </c>
      <c r="M212" s="832"/>
      <c r="N212" s="832"/>
      <c r="O212" s="48">
        <f>IF(t&lt;Tnet,'2020'!Resal+('2020'!Salim-'2020'!Resal)*(1-EXP(('2020'!Tnet-t)/('2020'!Tau_j))),Resal+(Salim-Resal)*(1-EXP((Tnet-t)/(Tau_j))))*Salcycl</f>
        <v>4.7695081292193638E-2</v>
      </c>
      <c r="P212" s="169">
        <f>(INDEX(Models!$BJ212:$BT212,,T212)*(1-R212)+INDEX(Models!$BJ212:$BT212,,T212+1)*R212-ERP_i)*Q212*Ramure*Pc/MaxiM</f>
        <v>1.3576559880317153E-4</v>
      </c>
      <c r="Q212" s="304">
        <f t="shared" si="77"/>
        <v>0.7</v>
      </c>
      <c r="R212" s="177">
        <f t="shared" si="78"/>
        <v>0.8628613089158822</v>
      </c>
      <c r="S212" s="799">
        <f t="shared" si="79"/>
        <v>-1</v>
      </c>
      <c r="T212" s="176">
        <f t="shared" si="80"/>
        <v>5</v>
      </c>
      <c r="U212" s="250">
        <f t="shared" si="81"/>
        <v>-0.1371386910841178</v>
      </c>
      <c r="V212" s="382">
        <f t="shared" si="82"/>
        <v>54.920616193681383</v>
      </c>
      <c r="W212" s="400"/>
      <c r="X212" s="157">
        <f t="shared" si="83"/>
        <v>44394</v>
      </c>
      <c r="Y212" s="383">
        <f t="shared" si="84"/>
        <v>54.812479385832759</v>
      </c>
      <c r="Z212" s="383">
        <f t="shared" si="85"/>
        <v>55.786420980069678</v>
      </c>
      <c r="AA212" s="384">
        <f t="shared" si="86"/>
        <v>58.580418817711163</v>
      </c>
      <c r="AB212" s="197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4.7695081292193638E-2</v>
      </c>
      <c r="AD212" s="230">
        <f>(INDEX(Models!$BJ212:$BT212,,AH212)*(1-AF212)+INDEX(Models!$BJ212:$BT212,,AH212+1)*AF212-ERP_i)*AE212*Ramure*Pc/MaxiM</f>
        <v>1.4528897672925589E-4</v>
      </c>
      <c r="AE212" s="304">
        <f t="shared" si="88"/>
        <v>0.7</v>
      </c>
      <c r="AF212" s="177">
        <f t="shared" si="89"/>
        <v>0.92719353117571435</v>
      </c>
      <c r="AG212" s="799">
        <f t="shared" si="95"/>
        <v>-1</v>
      </c>
      <c r="AH212" s="176">
        <f t="shared" si="90"/>
        <v>5</v>
      </c>
      <c r="AI212" s="224">
        <f t="shared" si="91"/>
        <v>-7.2806468824285653E-2</v>
      </c>
      <c r="AJ212" s="264" t="b">
        <f t="shared" si="92"/>
        <v>1</v>
      </c>
      <c r="AK212" s="264" t="b">
        <f t="shared" si="93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4"/>
        <v>44395</v>
      </c>
      <c r="B213" s="607">
        <v>47.978999999999999</v>
      </c>
      <c r="C213" s="388"/>
      <c r="D213" s="391">
        <f t="shared" si="74"/>
        <v>48.832456023862328</v>
      </c>
      <c r="E213" s="383">
        <f t="shared" si="72"/>
        <v>51.280101786558049</v>
      </c>
      <c r="F213" s="383">
        <f t="shared" si="75"/>
        <v>51.286319534142571</v>
      </c>
      <c r="G213" s="110">
        <f t="shared" si="73"/>
        <v>0.87548305134275894</v>
      </c>
      <c r="H213" s="412" t="b">
        <f>Wh_hp&gt;='2020'!Maxi_hp</f>
        <v>1</v>
      </c>
      <c r="I213" s="379">
        <f>IF(H213,Wh_hp,'2020'!Maxi_hp)</f>
        <v>51.286319534142571</v>
      </c>
      <c r="J213" s="85">
        <f>IF(H213,An,'2020'!An_max)</f>
        <v>2021</v>
      </c>
      <c r="K213" s="197">
        <f t="shared" si="76"/>
        <v>44395</v>
      </c>
      <c r="L213" s="147">
        <f>IF(t&lt;Tvie,1-EXP((T0-t)*PertePVj)+'2020'!Pspv,1-EXP((T0-t)*PertePVj)+Pspv)</f>
        <v>1.7477229149508333E-2</v>
      </c>
      <c r="M213" s="832"/>
      <c r="N213" s="832"/>
      <c r="O213" s="48">
        <f>IF(t&lt;Tnet,'2020'!Resal+('2020'!Salim-'2020'!Resal)*(1-EXP(('2020'!Tnet-t)/('2020'!Tau_j))),Resal+(Salim-Resal)*(1-EXP((Tnet-t)/(Tau_j))))*Salcycl</f>
        <v>4.7730906870729367E-2</v>
      </c>
      <c r="P213" s="169">
        <f>(INDEX(Models!$BJ213:$BT213,,T213)*(1-R213)+INDEX(Models!$BJ213:$BT213,,T213+1)*R213-ERP_i)*Q213*Ramure*Pc/MaxiM</f>
        <v>1.4746186643246992E-4</v>
      </c>
      <c r="Q213" s="304">
        <f t="shared" si="77"/>
        <v>0.7</v>
      </c>
      <c r="R213" s="177">
        <f t="shared" si="78"/>
        <v>0.86525340564891451</v>
      </c>
      <c r="S213" s="799">
        <f t="shared" si="79"/>
        <v>-1</v>
      </c>
      <c r="T213" s="176">
        <f t="shared" si="80"/>
        <v>5</v>
      </c>
      <c r="U213" s="250">
        <f t="shared" si="81"/>
        <v>-0.13474659435108544</v>
      </c>
      <c r="V213" s="382">
        <f t="shared" si="82"/>
        <v>54.80145101883128</v>
      </c>
      <c r="W213" s="400"/>
      <c r="X213" s="157">
        <f t="shared" si="83"/>
        <v>44395</v>
      </c>
      <c r="Y213" s="383">
        <f t="shared" si="84"/>
        <v>47.978592472476592</v>
      </c>
      <c r="Z213" s="383">
        <f t="shared" si="85"/>
        <v>48.832041247192009</v>
      </c>
      <c r="AA213" s="384">
        <f t="shared" si="86"/>
        <v>51.279666219895951</v>
      </c>
      <c r="AB213" s="197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4.7730906870729367E-2</v>
      </c>
      <c r="AD213" s="230">
        <f>(INDEX(Models!$BJ213:$BT213,,AH213)*(1-AF213)+INDEX(Models!$BJ213:$BT213,,AH213+1)*AF213-ERP_i)*AE213*Ramure*Pc/MaxiM</f>
        <v>1.5779188901305816E-4</v>
      </c>
      <c r="AE213" s="304">
        <f t="shared" si="88"/>
        <v>0.7</v>
      </c>
      <c r="AF213" s="177">
        <f t="shared" si="89"/>
        <v>0.92958562790874666</v>
      </c>
      <c r="AG213" s="799">
        <f t="shared" si="95"/>
        <v>-1</v>
      </c>
      <c r="AH213" s="176">
        <f t="shared" si="90"/>
        <v>5</v>
      </c>
      <c r="AI213" s="224">
        <f t="shared" si="91"/>
        <v>-7.0414372091253286E-2</v>
      </c>
      <c r="AJ213" s="264" t="b">
        <f t="shared" si="92"/>
        <v>1</v>
      </c>
      <c r="AK213" s="264" t="b">
        <f t="shared" si="93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4"/>
        <v>44396</v>
      </c>
      <c r="B214" s="607">
        <v>52.206000000000003</v>
      </c>
      <c r="C214" s="388"/>
      <c r="D214" s="391">
        <f t="shared" si="74"/>
        <v>53.135664723641455</v>
      </c>
      <c r="E214" s="383">
        <f t="shared" si="72"/>
        <v>55.80107895254713</v>
      </c>
      <c r="F214" s="383">
        <f t="shared" si="75"/>
        <v>55.809554610764302</v>
      </c>
      <c r="G214" s="110">
        <f t="shared" si="73"/>
        <v>0.95472456639466918</v>
      </c>
      <c r="H214" s="412" t="b">
        <f>Wh_hp&gt;='2020'!Maxi_hp</f>
        <v>0</v>
      </c>
      <c r="I214" s="379">
        <f>IF(H214,Wh_hp,'2020'!Maxi_hp)</f>
        <v>58.821936669758294</v>
      </c>
      <c r="J214" s="85">
        <f>IF(H214,An,'2020'!An_max)</f>
        <v>2020</v>
      </c>
      <c r="K214" s="197">
        <f t="shared" si="76"/>
        <v>44396</v>
      </c>
      <c r="L214" s="147">
        <f>IF(t&lt;Tvie,1-EXP((T0-t)*PertePVj)+'2020'!Pspv,1-EXP((T0-t)*PertePVj)+Pspv)</f>
        <v>1.7496058974262207E-2</v>
      </c>
      <c r="M214" s="832"/>
      <c r="N214" s="832"/>
      <c r="O214" s="48">
        <f>IF(t&lt;Tnet,'2020'!Resal+('2020'!Salim-'2020'!Resal)*(1-EXP(('2020'!Tnet-t)/('2020'!Tau_j))),Resal+(Salim-Resal)*(1-EXP((Tnet-t)/(Tau_j))))*Salcycl</f>
        <v>4.7766356474438894E-2</v>
      </c>
      <c r="P214" s="169">
        <f>(INDEX(Models!$BJ214:$BT214,,T214)*(1-R214)+INDEX(Models!$BJ214:$BT214,,T214+1)*R214-ERP_i)*Q214*Ramure*Pc/MaxiM</f>
        <v>1.6236694966459113E-4</v>
      </c>
      <c r="Q214" s="304">
        <f t="shared" si="77"/>
        <v>0.7</v>
      </c>
      <c r="R214" s="177">
        <f t="shared" si="78"/>
        <v>0.86758215066136546</v>
      </c>
      <c r="S214" s="799">
        <f t="shared" si="79"/>
        <v>-1</v>
      </c>
      <c r="T214" s="176">
        <f t="shared" si="80"/>
        <v>5</v>
      </c>
      <c r="U214" s="250">
        <f t="shared" si="81"/>
        <v>-0.13241784933863449</v>
      </c>
      <c r="V214" s="382">
        <f t="shared" si="82"/>
        <v>54.681165249844177</v>
      </c>
      <c r="W214" s="400"/>
      <c r="X214" s="157">
        <f t="shared" si="83"/>
        <v>44396</v>
      </c>
      <c r="Y214" s="383">
        <f t="shared" si="84"/>
        <v>52.205445710716006</v>
      </c>
      <c r="Z214" s="383">
        <f t="shared" si="85"/>
        <v>53.135100563783311</v>
      </c>
      <c r="AA214" s="384">
        <f t="shared" si="86"/>
        <v>55.800486493057825</v>
      </c>
      <c r="AB214" s="197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4.7766356474438894E-2</v>
      </c>
      <c r="AD214" s="230">
        <f>(INDEX(Models!$BJ214:$BT214,,AH214)*(1-AF214)+INDEX(Models!$BJ214:$BT214,,AH214+1)*AF214-ERP_i)*AE214*Ramure*Pc/MaxiM</f>
        <v>1.7371660978700388E-4</v>
      </c>
      <c r="AE214" s="304">
        <f t="shared" si="88"/>
        <v>0.7</v>
      </c>
      <c r="AF214" s="177">
        <f t="shared" si="89"/>
        <v>0.93191437292119761</v>
      </c>
      <c r="AG214" s="799">
        <f t="shared" si="95"/>
        <v>-1</v>
      </c>
      <c r="AH214" s="176">
        <f t="shared" si="90"/>
        <v>5</v>
      </c>
      <c r="AI214" s="224">
        <f t="shared" si="91"/>
        <v>-6.8085627078802335E-2</v>
      </c>
      <c r="AJ214" s="264" t="b">
        <f t="shared" si="92"/>
        <v>1</v>
      </c>
      <c r="AK214" s="264" t="b">
        <f t="shared" si="93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4"/>
        <v>44397</v>
      </c>
      <c r="B215" s="607">
        <v>46.971000000000004</v>
      </c>
      <c r="C215" s="388"/>
      <c r="D215" s="391">
        <f t="shared" si="74"/>
        <v>47.808358057793228</v>
      </c>
      <c r="E215" s="383">
        <f t="shared" si="72"/>
        <v>50.208392070967832</v>
      </c>
      <c r="F215" s="383">
        <f t="shared" si="75"/>
        <v>50.215655787782786</v>
      </c>
      <c r="G215" s="110">
        <f t="shared" si="73"/>
        <v>0.86087677473429014</v>
      </c>
      <c r="H215" s="412" t="b">
        <f>Wh_hp&gt;='2020'!Maxi_hp</f>
        <v>0</v>
      </c>
      <c r="I215" s="379">
        <f>IF(H215,Wh_hp,'2020'!Maxi_hp)</f>
        <v>57.966887791855576</v>
      </c>
      <c r="J215" s="85">
        <f>IF(H215,An,'2020'!An_max)</f>
        <v>2020</v>
      </c>
      <c r="K215" s="197">
        <f t="shared" si="76"/>
        <v>44397</v>
      </c>
      <c r="L215" s="147">
        <f>IF(t&lt;Tvie,1-EXP((T0-t)*PertePVj)+'2020'!Pspv,1-EXP((T0-t)*PertePVj)+Pspv)</f>
        <v>1.7514888438146747E-2</v>
      </c>
      <c r="M215" s="832"/>
      <c r="N215" s="832"/>
      <c r="O215" s="48">
        <f>IF(t&lt;Tnet,'2020'!Resal+('2020'!Salim-'2020'!Resal)*(1-EXP(('2020'!Tnet-t)/('2020'!Tau_j))),Resal+(Salim-Resal)*(1-EXP((Tnet-t)/(Tau_j))))*Salcycl</f>
        <v>4.7801451394464942E-2</v>
      </c>
      <c r="P215" s="169">
        <f>(INDEX(Models!$BJ215:$BT215,,T215)*(1-R215)+INDEX(Models!$BJ215:$BT215,,T215+1)*R215-ERP_i)*Q215*Ramure*Pc/MaxiM</f>
        <v>1.8052046132302179E-4</v>
      </c>
      <c r="Q215" s="304">
        <f t="shared" si="77"/>
        <v>0.7</v>
      </c>
      <c r="R215" s="177">
        <f t="shared" si="78"/>
        <v>0.86984813900971369</v>
      </c>
      <c r="S215" s="799">
        <f t="shared" si="79"/>
        <v>-1</v>
      </c>
      <c r="T215" s="176">
        <f t="shared" si="80"/>
        <v>5</v>
      </c>
      <c r="U215" s="250">
        <f t="shared" si="81"/>
        <v>-0.13015186099028636</v>
      </c>
      <c r="V215" s="382">
        <f t="shared" si="82"/>
        <v>54.559858372389137</v>
      </c>
      <c r="W215" s="400"/>
      <c r="X215" s="157">
        <f t="shared" si="83"/>
        <v>44397</v>
      </c>
      <c r="Y215" s="383">
        <f t="shared" si="84"/>
        <v>46.970526313867211</v>
      </c>
      <c r="Z215" s="383">
        <f t="shared" si="85"/>
        <v>47.807875927196825</v>
      </c>
      <c r="AA215" s="384">
        <f t="shared" si="86"/>
        <v>50.207885736866494</v>
      </c>
      <c r="AB215" s="197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4.7801451394464942E-2</v>
      </c>
      <c r="AD215" s="230">
        <f>(INDEX(Models!$BJ215:$BT215,,AH215)*(1-AF215)+INDEX(Models!$BJ215:$BT215,,AH215+1)*AF215-ERP_i)*AE215*Ramure*Pc/MaxiM</f>
        <v>1.9310405562941285E-4</v>
      </c>
      <c r="AE215" s="304">
        <f t="shared" si="88"/>
        <v>0.7</v>
      </c>
      <c r="AF215" s="177">
        <f t="shared" si="89"/>
        <v>0.93418036126954584</v>
      </c>
      <c r="AG215" s="799">
        <f t="shared" si="95"/>
        <v>-1</v>
      </c>
      <c r="AH215" s="176">
        <f t="shared" si="90"/>
        <v>5</v>
      </c>
      <c r="AI215" s="224">
        <f t="shared" si="91"/>
        <v>-6.5819638730454211E-2</v>
      </c>
      <c r="AJ215" s="264" t="b">
        <f t="shared" si="92"/>
        <v>1</v>
      </c>
      <c r="AK215" s="264" t="b">
        <f t="shared" si="93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4"/>
        <v>44398</v>
      </c>
      <c r="B216" s="607">
        <v>39.923000000000002</v>
      </c>
      <c r="C216" s="388"/>
      <c r="D216" s="391">
        <f t="shared" si="74"/>
        <v>40.635491225290899</v>
      </c>
      <c r="E216" s="383">
        <f t="shared" si="72"/>
        <v>42.676997115123534</v>
      </c>
      <c r="F216" s="383">
        <f t="shared" si="75"/>
        <v>42.682333883988932</v>
      </c>
      <c r="G216" s="110">
        <f t="shared" si="73"/>
        <v>0.733314960549448</v>
      </c>
      <c r="H216" s="412" t="b">
        <f>Wh_hp&gt;='2020'!Maxi_hp</f>
        <v>0</v>
      </c>
      <c r="I216" s="379">
        <f>IF(H216,Wh_hp,'2020'!Maxi_hp)</f>
        <v>51.968443080988827</v>
      </c>
      <c r="J216" s="85">
        <f>IF(H216,An,'2020'!An_max)</f>
        <v>2020</v>
      </c>
      <c r="K216" s="197">
        <f t="shared" si="76"/>
        <v>44398</v>
      </c>
      <c r="L216" s="147">
        <f>IF(t&lt;Tvie,1-EXP((T0-t)*PertePVj)+'2020'!Pspv,1-EXP((T0-t)*PertePVj)+Pspv)</f>
        <v>1.7533717541168947E-2</v>
      </c>
      <c r="M216" s="832"/>
      <c r="N216" s="832"/>
      <c r="O216" s="48">
        <f>IF(t&lt;Tnet,'2020'!Resal+('2020'!Salim-'2020'!Resal)*(1-EXP(('2020'!Tnet-t)/('2020'!Tau_j))),Resal+(Salim-Resal)*(1-EXP((Tnet-t)/(Tau_j))))*Salcycl</f>
        <v>4.783621219472306E-2</v>
      </c>
      <c r="P216" s="169">
        <f>(INDEX(Models!$BJ216:$BT216,,T216)*(1-R216)+INDEX(Models!$BJ216:$BT216,,T216+1)*R216-ERP_i)*Q216*Ramure*Pc/MaxiM</f>
        <v>2.0196124760263104E-4</v>
      </c>
      <c r="Q216" s="304">
        <f t="shared" si="77"/>
        <v>0.7</v>
      </c>
      <c r="R216" s="177">
        <f t="shared" si="78"/>
        <v>0.87205203721616154</v>
      </c>
      <c r="S216" s="799">
        <f t="shared" si="79"/>
        <v>-1</v>
      </c>
      <c r="T216" s="176">
        <f t="shared" si="80"/>
        <v>5</v>
      </c>
      <c r="U216" s="250">
        <f t="shared" si="81"/>
        <v>-0.12794796278383841</v>
      </c>
      <c r="V216" s="382">
        <f t="shared" si="82"/>
        <v>54.437629969788709</v>
      </c>
      <c r="W216" s="400"/>
      <c r="X216" s="157">
        <f t="shared" si="83"/>
        <v>44398</v>
      </c>
      <c r="Y216" s="383">
        <f t="shared" si="84"/>
        <v>39.922653107677554</v>
      </c>
      <c r="Z216" s="383">
        <f t="shared" si="85"/>
        <v>40.63513814210765</v>
      </c>
      <c r="AA216" s="384">
        <f t="shared" si="86"/>
        <v>42.676626293225276</v>
      </c>
      <c r="AB216" s="197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4.783621219472306E-2</v>
      </c>
      <c r="AD216" s="230">
        <f>(INDEX(Models!$BJ216:$BT216,,AH216)*(1-AF216)+INDEX(Models!$BJ216:$BT216,,AH216+1)*AF216-ERP_i)*AE216*Ramure*Pc/MaxiM</f>
        <v>2.1599439295684646E-4</v>
      </c>
      <c r="AE216" s="304">
        <f t="shared" si="88"/>
        <v>0.7</v>
      </c>
      <c r="AF216" s="177">
        <f t="shared" si="89"/>
        <v>0.93638425947599369</v>
      </c>
      <c r="AG216" s="799">
        <f t="shared" si="95"/>
        <v>-1</v>
      </c>
      <c r="AH216" s="176">
        <f t="shared" si="90"/>
        <v>5</v>
      </c>
      <c r="AI216" s="224">
        <f t="shared" si="91"/>
        <v>-6.3615740524006259E-2</v>
      </c>
      <c r="AJ216" s="264" t="b">
        <f t="shared" si="92"/>
        <v>1</v>
      </c>
      <c r="AK216" s="264" t="b">
        <f t="shared" si="93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4"/>
        <v>44399</v>
      </c>
      <c r="B217" s="607">
        <v>51.426000000000002</v>
      </c>
      <c r="C217" s="388"/>
      <c r="D217" s="391">
        <f t="shared" si="74"/>
        <v>52.344784248207894</v>
      </c>
      <c r="E217" s="383">
        <f t="shared" si="72"/>
        <v>54.976547800378768</v>
      </c>
      <c r="F217" s="383">
        <f t="shared" si="75"/>
        <v>54.98806790169472</v>
      </c>
      <c r="G217" s="110">
        <f t="shared" si="73"/>
        <v>0.94680128675751318</v>
      </c>
      <c r="H217" s="412" t="b">
        <f>Wh_hp&gt;='2020'!Maxi_hp</f>
        <v>1</v>
      </c>
      <c r="I217" s="379">
        <f>IF(H217,Wh_hp,'2020'!Maxi_hp)</f>
        <v>54.98806790169472</v>
      </c>
      <c r="J217" s="85">
        <f>IF(H217,An,'2020'!An_max)</f>
        <v>2021</v>
      </c>
      <c r="K217" s="197">
        <f t="shared" si="76"/>
        <v>44399</v>
      </c>
      <c r="L217" s="147">
        <f>IF(t&lt;Tvie,1-EXP((T0-t)*PertePVj)+'2020'!Pspv,1-EXP((T0-t)*PertePVj)+Pspv)</f>
        <v>1.755254628333569E-2</v>
      </c>
      <c r="M217" s="832"/>
      <c r="N217" s="832"/>
      <c r="O217" s="48">
        <f>IF(t&lt;Tnet,'2020'!Resal+('2020'!Salim-'2020'!Resal)*(1-EXP(('2020'!Tnet-t)/('2020'!Tau_j))),Resal+(Salim-Resal)*(1-EXP((Tnet-t)/(Tau_j))))*Salcycl</f>
        <v>4.7870658625690302E-2</v>
      </c>
      <c r="P217" s="169">
        <f>(INDEX(Models!$BJ217:$BT217,,T217)*(1-R217)+INDEX(Models!$BJ217:$BT217,,T217+1)*R217-ERP_i)*Q217*Ramure*Pc/MaxiM</f>
        <v>2.2672742201683733E-4</v>
      </c>
      <c r="Q217" s="304">
        <f t="shared" si="77"/>
        <v>0.7</v>
      </c>
      <c r="R217" s="177">
        <f t="shared" si="78"/>
        <v>0.87419457774198484</v>
      </c>
      <c r="S217" s="799">
        <f t="shared" si="79"/>
        <v>-1</v>
      </c>
      <c r="T217" s="176">
        <f t="shared" si="80"/>
        <v>5</v>
      </c>
      <c r="U217" s="250">
        <f t="shared" si="81"/>
        <v>-0.12580542225801511</v>
      </c>
      <c r="V217" s="382">
        <f t="shared" si="82"/>
        <v>54.314579723087505</v>
      </c>
      <c r="W217" s="400"/>
      <c r="X217" s="157">
        <f t="shared" si="83"/>
        <v>44399</v>
      </c>
      <c r="Y217" s="383">
        <f t="shared" si="84"/>
        <v>51.425253813259708</v>
      </c>
      <c r="Z217" s="383">
        <f t="shared" si="85"/>
        <v>52.344024729988909</v>
      </c>
      <c r="AA217" s="384">
        <f t="shared" si="86"/>
        <v>54.975750095501944</v>
      </c>
      <c r="AB217" s="197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4.7870658625690302E-2</v>
      </c>
      <c r="AD217" s="230">
        <f>(INDEX(Models!$BJ217:$BT217,,AH217)*(1-AF217)+INDEX(Models!$BJ217:$BT217,,AH217+1)*AF217-ERP_i)*AE217*Ramure*Pc/MaxiM</f>
        <v>2.424270730260832E-4</v>
      </c>
      <c r="AE217" s="304">
        <f t="shared" si="88"/>
        <v>0.7</v>
      </c>
      <c r="AF217" s="177">
        <f t="shared" si="89"/>
        <v>0.93852680000181699</v>
      </c>
      <c r="AG217" s="799">
        <f t="shared" si="95"/>
        <v>-1</v>
      </c>
      <c r="AH217" s="176">
        <f t="shared" si="90"/>
        <v>5</v>
      </c>
      <c r="AI217" s="224">
        <f t="shared" si="91"/>
        <v>-6.1473199998182959E-2</v>
      </c>
      <c r="AJ217" s="264" t="b">
        <f t="shared" si="92"/>
        <v>1</v>
      </c>
      <c r="AK217" s="264" t="b">
        <f t="shared" si="93"/>
        <v>0</v>
      </c>
      <c r="AL217" s="264"/>
      <c r="AM217" s="264"/>
      <c r="AN217" s="75"/>
    </row>
    <row r="218" spans="1:40" s="6" customFormat="1" ht="11.25" x14ac:dyDescent="0.2">
      <c r="A218" s="56">
        <f t="shared" si="94"/>
        <v>44400</v>
      </c>
      <c r="B218" s="607">
        <v>43.852000000000004</v>
      </c>
      <c r="C218" s="388"/>
      <c r="D218" s="391">
        <f t="shared" si="74"/>
        <v>44.636321529242274</v>
      </c>
      <c r="E218" s="383">
        <f t="shared" si="72"/>
        <v>46.882204612353583</v>
      </c>
      <c r="F218" s="383">
        <f t="shared" si="75"/>
        <v>46.890897959322956</v>
      </c>
      <c r="G218" s="110">
        <f t="shared" si="73"/>
        <v>0.80915851816641093</v>
      </c>
      <c r="H218" s="412" t="b">
        <f>Wh_hp&gt;='2020'!Maxi_hp</f>
        <v>0</v>
      </c>
      <c r="I218" s="379">
        <f>IF(H218,Wh_hp,'2020'!Maxi_hp)</f>
        <v>56.499257606465072</v>
      </c>
      <c r="J218" s="85">
        <f>IF(H218,An,'2020'!An_max)</f>
        <v>2018</v>
      </c>
      <c r="K218" s="197">
        <f t="shared" si="76"/>
        <v>44400</v>
      </c>
      <c r="L218" s="147">
        <f>IF(t&lt;Tvie,1-EXP((T0-t)*PertePVj)+'2020'!Pspv,1-EXP((T0-t)*PertePVj)+Pspv)</f>
        <v>1.757137466465386E-2</v>
      </c>
      <c r="M218" s="832"/>
      <c r="N218" s="832"/>
      <c r="O218" s="48">
        <f>IF(t&lt;Tnet,'2020'!Resal+('2020'!Salim-'2020'!Resal)*(1-EXP(('2020'!Tnet-t)/('2020'!Tau_j))),Resal+(Salim-Resal)*(1-EXP((Tnet-t)/(Tau_j))))*Salcycl</f>
        <v>4.7904809547277834E-2</v>
      </c>
      <c r="P218" s="169">
        <f>(INDEX(Models!$BJ218:$BT218,,T218)*(1-R218)+INDEX(Models!$BJ218:$BT218,,T218+1)*R218-ERP_i)*Q218*Ramure*Pc/MaxiM</f>
        <v>2.548563973185236E-4</v>
      </c>
      <c r="Q218" s="304">
        <f t="shared" si="77"/>
        <v>0.7</v>
      </c>
      <c r="R218" s="177">
        <f t="shared" si="78"/>
        <v>0.87627655355089051</v>
      </c>
      <c r="S218" s="799">
        <f t="shared" si="79"/>
        <v>-1</v>
      </c>
      <c r="T218" s="176">
        <f t="shared" si="80"/>
        <v>5</v>
      </c>
      <c r="U218" s="250">
        <f t="shared" si="81"/>
        <v>-0.12372344644910943</v>
      </c>
      <c r="V218" s="382">
        <f t="shared" si="82"/>
        <v>54.190807410283838</v>
      </c>
      <c r="W218" s="400"/>
      <c r="X218" s="157">
        <f t="shared" si="83"/>
        <v>44400</v>
      </c>
      <c r="Y218" s="383">
        <f t="shared" si="84"/>
        <v>43.85143894935122</v>
      </c>
      <c r="Z218" s="383">
        <f t="shared" si="85"/>
        <v>44.635750443837885</v>
      </c>
      <c r="AA218" s="384">
        <f t="shared" si="86"/>
        <v>46.881604792703072</v>
      </c>
      <c r="AB218" s="197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4.7904809547277834E-2</v>
      </c>
      <c r="AD218" s="230">
        <f>(INDEX(Models!$BJ218:$BT218,,AH218)*(1-AF218)+INDEX(Models!$BJ218:$BT218,,AH218+1)*AF218-ERP_i)*AE218*Ramure*Pc/MaxiM</f>
        <v>2.7244086457932641E-4</v>
      </c>
      <c r="AE218" s="304">
        <f t="shared" si="88"/>
        <v>0.7</v>
      </c>
      <c r="AF218" s="177">
        <f t="shared" si="89"/>
        <v>0.94060877581072266</v>
      </c>
      <c r="AG218" s="799">
        <f t="shared" si="95"/>
        <v>-1</v>
      </c>
      <c r="AH218" s="176">
        <f t="shared" si="90"/>
        <v>5</v>
      </c>
      <c r="AI218" s="224">
        <f t="shared" si="91"/>
        <v>-5.9391224189277281E-2</v>
      </c>
      <c r="AJ218" s="264" t="b">
        <f t="shared" si="92"/>
        <v>1</v>
      </c>
      <c r="AK218" s="264" t="b">
        <f t="shared" si="93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4"/>
        <v>44401</v>
      </c>
      <c r="B219" s="607">
        <v>27.882000000000001</v>
      </c>
      <c r="C219" s="388"/>
      <c r="D219" s="391">
        <f t="shared" si="74"/>
        <v>28.381231616589442</v>
      </c>
      <c r="E219" s="383">
        <f t="shared" si="72"/>
        <v>29.810298040339525</v>
      </c>
      <c r="F219" s="383">
        <f t="shared" si="75"/>
        <v>29.812929018698451</v>
      </c>
      <c r="G219" s="110">
        <f t="shared" si="73"/>
        <v>0.51560142618505655</v>
      </c>
      <c r="H219" s="412" t="b">
        <f>Wh_hp&gt;='2020'!Maxi_hp</f>
        <v>0</v>
      </c>
      <c r="I219" s="379">
        <f>IF(H219,Wh_hp,'2020'!Maxi_hp)</f>
        <v>56.062614261064951</v>
      </c>
      <c r="J219" s="85">
        <f>IF(H219,An,'2020'!An_max)</f>
        <v>2018</v>
      </c>
      <c r="K219" s="197">
        <f t="shared" si="76"/>
        <v>44401</v>
      </c>
      <c r="L219" s="147">
        <f>IF(t&lt;Tvie,1-EXP((T0-t)*PertePVj)+'2020'!Pspv,1-EXP((T0-t)*PertePVj)+Pspv)</f>
        <v>1.7590202685130452E-2</v>
      </c>
      <c r="M219" s="832"/>
      <c r="N219" s="832"/>
      <c r="O219" s="48">
        <f>IF(t&lt;Tnet,'2020'!Resal+('2020'!Salim-'2020'!Resal)*(1-EXP(('2020'!Tnet-t)/('2020'!Tau_j))),Resal+(Salim-Resal)*(1-EXP((Tnet-t)/(Tau_j))))*Salcycl</f>
        <v>4.7938682861078996E-2</v>
      </c>
      <c r="P219" s="169">
        <f>(INDEX(Models!$BJ219:$BT219,,T219)*(1-R219)+INDEX(Models!$BJ219:$BT219,,T219+1)*R219-ERP_i)*Q219*Ramure*Pc/MaxiM</f>
        <v>2.863869639636703E-4</v>
      </c>
      <c r="Q219" s="304">
        <f t="shared" si="77"/>
        <v>0.7</v>
      </c>
      <c r="R219" s="177">
        <f t="shared" si="78"/>
        <v>0.8782988127851924</v>
      </c>
      <c r="S219" s="799">
        <f t="shared" si="79"/>
        <v>-1</v>
      </c>
      <c r="T219" s="176">
        <f t="shared" si="80"/>
        <v>5</v>
      </c>
      <c r="U219" s="250">
        <f t="shared" si="81"/>
        <v>-0.1217011872148076</v>
      </c>
      <c r="V219" s="382">
        <f t="shared" si="82"/>
        <v>54.065938591452799</v>
      </c>
      <c r="W219" s="400"/>
      <c r="X219" s="157">
        <f t="shared" si="83"/>
        <v>44401</v>
      </c>
      <c r="Y219" s="383">
        <f t="shared" si="84"/>
        <v>27.881830820509865</v>
      </c>
      <c r="Z219" s="383">
        <f t="shared" si="85"/>
        <v>28.381059407913799</v>
      </c>
      <c r="AA219" s="384">
        <f t="shared" si="86"/>
        <v>29.81011716052376</v>
      </c>
      <c r="AB219" s="197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4.7938682861078996E-2</v>
      </c>
      <c r="AD219" s="230">
        <f>(INDEX(Models!$BJ219:$BT219,,AH219)*(1-AF219)+INDEX(Models!$BJ219:$BT219,,AH219+1)*AF219-ERP_i)*AE219*Ramure*Pc/MaxiM</f>
        <v>3.0607607356952928E-4</v>
      </c>
      <c r="AE219" s="304">
        <f t="shared" si="88"/>
        <v>0.7</v>
      </c>
      <c r="AF219" s="177">
        <f t="shared" si="89"/>
        <v>0.94263103504502455</v>
      </c>
      <c r="AG219" s="799">
        <f t="shared" si="95"/>
        <v>-1</v>
      </c>
      <c r="AH219" s="176">
        <f t="shared" si="90"/>
        <v>5</v>
      </c>
      <c r="AI219" s="224">
        <f t="shared" si="91"/>
        <v>-5.7368964954975454E-2</v>
      </c>
      <c r="AJ219" s="264" t="b">
        <f t="shared" si="92"/>
        <v>1</v>
      </c>
      <c r="AK219" s="264" t="b">
        <f t="shared" si="93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4"/>
        <v>44402</v>
      </c>
      <c r="B220" s="607">
        <v>36.383000000000003</v>
      </c>
      <c r="C220" s="388"/>
      <c r="D220" s="391">
        <f t="shared" si="74"/>
        <v>37.035153135384277</v>
      </c>
      <c r="E220" s="383">
        <f t="shared" si="72"/>
        <v>38.901339696805408</v>
      </c>
      <c r="F220" s="383">
        <f t="shared" si="75"/>
        <v>38.908073331653455</v>
      </c>
      <c r="G220" s="110">
        <f t="shared" si="73"/>
        <v>0.67441368438420479</v>
      </c>
      <c r="H220" s="412" t="b">
        <f>Wh_hp&gt;='2020'!Maxi_hp</f>
        <v>0</v>
      </c>
      <c r="I220" s="379">
        <f>IF(H220,Wh_hp,'2020'!Maxi_hp)</f>
        <v>57.091704599474085</v>
      </c>
      <c r="J220" s="85">
        <f>IF(H220,An,'2020'!An_max)</f>
        <v>2018</v>
      </c>
      <c r="K220" s="197">
        <f t="shared" si="76"/>
        <v>44402</v>
      </c>
      <c r="L220" s="147">
        <f>IF(t&lt;Tvie,1-EXP((T0-t)*PertePVj)+'2020'!Pspv,1-EXP((T0-t)*PertePVj)+Pspv)</f>
        <v>1.7609030344772347E-2</v>
      </c>
      <c r="M220" s="832"/>
      <c r="N220" s="832"/>
      <c r="O220" s="48">
        <f>IF(t&lt;Tnet,'2020'!Resal+('2020'!Salim-'2020'!Resal)*(1-EXP(('2020'!Tnet-t)/('2020'!Tau_j))),Resal+(Salim-Resal)*(1-EXP((Tnet-t)/(Tau_j))))*Salcycl</f>
        <v>4.797229545218943E-2</v>
      </c>
      <c r="P220" s="169">
        <f>(INDEX(Models!$BJ220:$BT220,,T220)*(1-R220)+INDEX(Models!$BJ220:$BT220,,T220+1)*R220-ERP_i)*Q220*Ramure*Pc/MaxiM</f>
        <v>3.2347333060451415E-4</v>
      </c>
      <c r="Q220" s="304">
        <f t="shared" si="77"/>
        <v>0.7</v>
      </c>
      <c r="R220" s="177">
        <f t="shared" si="78"/>
        <v>0.8802622535749004</v>
      </c>
      <c r="S220" s="799">
        <f t="shared" si="79"/>
        <v>-1</v>
      </c>
      <c r="T220" s="176">
        <f t="shared" si="80"/>
        <v>5</v>
      </c>
      <c r="U220" s="250">
        <f t="shared" si="81"/>
        <v>-0.1197377464250996</v>
      </c>
      <c r="V220" s="382">
        <f t="shared" si="82"/>
        <v>53.939484914572567</v>
      </c>
      <c r="W220" s="400"/>
      <c r="X220" s="157">
        <f t="shared" si="83"/>
        <v>44402</v>
      </c>
      <c r="Y220" s="383">
        <f t="shared" si="84"/>
        <v>36.382568833563717</v>
      </c>
      <c r="Z220" s="383">
        <f t="shared" si="85"/>
        <v>37.03471424043348</v>
      </c>
      <c r="AA220" s="384">
        <f t="shared" si="86"/>
        <v>38.900878686113494</v>
      </c>
      <c r="AB220" s="197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4.797229545218943E-2</v>
      </c>
      <c r="AD220" s="230">
        <f>(INDEX(Models!$BJ220:$BT220,,AH220)*(1-AF220)+INDEX(Models!$BJ220:$BT220,,AH220+1)*AF220-ERP_i)*AE220*Ramure*Pc/MaxiM</f>
        <v>3.4561956622935943E-4</v>
      </c>
      <c r="AE220" s="304">
        <f t="shared" si="88"/>
        <v>0.7</v>
      </c>
      <c r="AF220" s="177">
        <f t="shared" si="89"/>
        <v>0.94459447583473255</v>
      </c>
      <c r="AG220" s="799">
        <f t="shared" si="95"/>
        <v>-1</v>
      </c>
      <c r="AH220" s="176">
        <f t="shared" si="90"/>
        <v>5</v>
      </c>
      <c r="AI220" s="224">
        <f t="shared" si="91"/>
        <v>-5.540552416526745E-2</v>
      </c>
      <c r="AJ220" s="264" t="b">
        <f t="shared" si="92"/>
        <v>1</v>
      </c>
      <c r="AK220" s="264" t="b">
        <f t="shared" si="93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4"/>
        <v>44403</v>
      </c>
      <c r="B221" s="607">
        <v>29.292000000000002</v>
      </c>
      <c r="C221" s="388"/>
      <c r="D221" s="391">
        <f t="shared" si="74"/>
        <v>29.81762077427944</v>
      </c>
      <c r="E221" s="383">
        <f t="shared" si="72"/>
        <v>31.32121654489039</v>
      </c>
      <c r="F221" s="383">
        <f t="shared" si="75"/>
        <v>31.325210236785008</v>
      </c>
      <c r="G221" s="110">
        <f t="shared" si="73"/>
        <v>0.54421420024979117</v>
      </c>
      <c r="H221" s="412" t="b">
        <f>Wh_hp&gt;='2020'!Maxi_hp</f>
        <v>0</v>
      </c>
      <c r="I221" s="379">
        <f>IF(H221,Wh_hp,'2020'!Maxi_hp)</f>
        <v>56.969060465949205</v>
      </c>
      <c r="J221" s="85">
        <f>IF(H221,An,'2020'!An_max)</f>
        <v>2020</v>
      </c>
      <c r="K221" s="197">
        <f t="shared" si="76"/>
        <v>44403</v>
      </c>
      <c r="L221" s="147">
        <f>IF(t&lt;Tvie,1-EXP((T0-t)*PertePVj)+'2020'!Pspv,1-EXP((T0-t)*PertePVj)+Pspv)</f>
        <v>1.762785764358632E-2</v>
      </c>
      <c r="M221" s="832"/>
      <c r="N221" s="832"/>
      <c r="O221" s="48">
        <f>IF(t&lt;Tnet,'2020'!Resal+('2020'!Salim-'2020'!Resal)*(1-EXP(('2020'!Tnet-t)/('2020'!Tau_j))),Resal+(Salim-Resal)*(1-EXP((Tnet-t)/(Tau_j))))*Salcycl</f>
        <v>4.8005663140700774E-2</v>
      </c>
      <c r="P221" s="169">
        <f>(INDEX(Models!$BJ221:$BT221,,T221)*(1-R221)+INDEX(Models!$BJ221:$BT221,,T221+1)*R221-ERP_i)*Q221*Ramure*Pc/MaxiM</f>
        <v>3.6523936152743554E-4</v>
      </c>
      <c r="Q221" s="304">
        <f t="shared" si="77"/>
        <v>0.7</v>
      </c>
      <c r="R221" s="177">
        <f t="shared" si="78"/>
        <v>0.88216781899718755</v>
      </c>
      <c r="S221" s="799">
        <f t="shared" si="79"/>
        <v>-1</v>
      </c>
      <c r="T221" s="176">
        <f t="shared" si="80"/>
        <v>5</v>
      </c>
      <c r="U221" s="250">
        <f t="shared" si="81"/>
        <v>-0.11783218100281245</v>
      </c>
      <c r="V221" s="382">
        <f t="shared" si="82"/>
        <v>53.811596578100449</v>
      </c>
      <c r="W221" s="400"/>
      <c r="X221" s="157">
        <f t="shared" si="83"/>
        <v>44403</v>
      </c>
      <c r="Y221" s="383">
        <f t="shared" si="84"/>
        <v>29.291745470755551</v>
      </c>
      <c r="Z221" s="383">
        <f t="shared" si="85"/>
        <v>29.817361677717685</v>
      </c>
      <c r="AA221" s="384">
        <f t="shared" si="86"/>
        <v>31.320944383017444</v>
      </c>
      <c r="AB221" s="197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4.8005663140700774E-2</v>
      </c>
      <c r="AD221" s="230">
        <f>(INDEX(Models!$BJ221:$BT221,,AH221)*(1-AF221)+INDEX(Models!$BJ221:$BT221,,AH221+1)*AF221-ERP_i)*AE221*Ramure*Pc/MaxiM</f>
        <v>3.9012967137874363E-4</v>
      </c>
      <c r="AE221" s="304">
        <f t="shared" si="88"/>
        <v>0.7</v>
      </c>
      <c r="AF221" s="177">
        <f t="shared" si="89"/>
        <v>0.9465000412570197</v>
      </c>
      <c r="AG221" s="799">
        <f t="shared" si="95"/>
        <v>-1</v>
      </c>
      <c r="AH221" s="176">
        <f t="shared" si="90"/>
        <v>5</v>
      </c>
      <c r="AI221" s="224">
        <f t="shared" si="91"/>
        <v>-5.3499958742980303E-2</v>
      </c>
      <c r="AJ221" s="264" t="b">
        <f t="shared" si="92"/>
        <v>1</v>
      </c>
      <c r="AK221" s="264" t="b">
        <f t="shared" si="93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4"/>
        <v>44404</v>
      </c>
      <c r="B222" s="607">
        <v>50.88</v>
      </c>
      <c r="C222" s="388"/>
      <c r="D222" s="391">
        <f t="shared" si="74"/>
        <v>51.793992244356943</v>
      </c>
      <c r="E222" s="383">
        <f t="shared" si="72"/>
        <v>54.40767153045131</v>
      </c>
      <c r="F222" s="383">
        <f t="shared" si="75"/>
        <v>54.42841033725513</v>
      </c>
      <c r="G222" s="110">
        <f t="shared" si="73"/>
        <v>0.94776802156725015</v>
      </c>
      <c r="H222" s="412" t="b">
        <f>Wh_hp&gt;='2020'!Maxi_hp</f>
        <v>1</v>
      </c>
      <c r="I222" s="379">
        <f>IF(H222,Wh_hp,'2020'!Maxi_hp)</f>
        <v>54.42841033725513</v>
      </c>
      <c r="J222" s="85">
        <f>IF(H222,An,'2020'!An_max)</f>
        <v>2021</v>
      </c>
      <c r="K222" s="197">
        <f t="shared" si="76"/>
        <v>44404</v>
      </c>
      <c r="L222" s="147">
        <f>IF(t&lt;Tvie,1-EXP((T0-t)*PertePVj)+'2020'!Pspv,1-EXP((T0-t)*PertePVj)+Pspv)</f>
        <v>1.7646684581579475E-2</v>
      </c>
      <c r="M222" s="832"/>
      <c r="N222" s="832"/>
      <c r="O222" s="48">
        <f>IF(t&lt;Tnet,'2020'!Resal+('2020'!Salim-'2020'!Resal)*(1-EXP(('2020'!Tnet-t)/('2020'!Tau_j))),Resal+(Salim-Resal)*(1-EXP((Tnet-t)/(Tau_j))))*Salcycl</f>
        <v>4.8038800642874808E-2</v>
      </c>
      <c r="P222" s="169">
        <f>(INDEX(Models!$BJ222:$BT222,,T222)*(1-R222)+INDEX(Models!$BJ222:$BT222,,T222+1)*R222-ERP_i)*Q222*Ramure*Pc/MaxiM</f>
        <v>4.1173438031826313E-4</v>
      </c>
      <c r="Q222" s="304">
        <f t="shared" si="77"/>
        <v>0.7</v>
      </c>
      <c r="R222" s="177">
        <f t="shared" si="78"/>
        <v>0.88401649220116019</v>
      </c>
      <c r="S222" s="799">
        <f t="shared" si="79"/>
        <v>-1</v>
      </c>
      <c r="T222" s="176">
        <f t="shared" si="80"/>
        <v>5</v>
      </c>
      <c r="U222" s="250">
        <f t="shared" si="81"/>
        <v>-0.11598350779883976</v>
      </c>
      <c r="V222" s="382">
        <f t="shared" si="82"/>
        <v>53.682373704052992</v>
      </c>
      <c r="W222" s="400"/>
      <c r="X222" s="157">
        <f t="shared" si="83"/>
        <v>44404</v>
      </c>
      <c r="Y222" s="383">
        <f t="shared" si="84"/>
        <v>50.878684714635789</v>
      </c>
      <c r="Z222" s="383">
        <f t="shared" si="85"/>
        <v>51.792653331622013</v>
      </c>
      <c r="AA222" s="384">
        <f t="shared" si="86"/>
        <v>54.40626505218745</v>
      </c>
      <c r="AB222" s="197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4.8038800642874808E-2</v>
      </c>
      <c r="AD222" s="230">
        <f>(INDEX(Models!$BJ222:$BT222,,AH222)*(1-AF222)+INDEX(Models!$BJ222:$BT222,,AH222+1)*AF222-ERP_i)*AE222*Ramure*Pc/MaxiM</f>
        <v>4.3965765777007727E-4</v>
      </c>
      <c r="AE222" s="304">
        <f t="shared" si="88"/>
        <v>0.7</v>
      </c>
      <c r="AF222" s="177">
        <f t="shared" si="89"/>
        <v>0.94834871446099234</v>
      </c>
      <c r="AG222" s="799">
        <f t="shared" si="95"/>
        <v>-1</v>
      </c>
      <c r="AH222" s="176">
        <f t="shared" si="90"/>
        <v>5</v>
      </c>
      <c r="AI222" s="224">
        <f t="shared" si="91"/>
        <v>-5.1651285539007608E-2</v>
      </c>
      <c r="AJ222" s="264" t="b">
        <f t="shared" si="92"/>
        <v>1</v>
      </c>
      <c r="AK222" s="264" t="b">
        <f t="shared" si="93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4"/>
        <v>44405</v>
      </c>
      <c r="B223" s="607">
        <v>23.375</v>
      </c>
      <c r="C223" s="388"/>
      <c r="D223" s="391">
        <f t="shared" si="74"/>
        <v>23.795357147210698</v>
      </c>
      <c r="E223" s="383">
        <f t="shared" si="72"/>
        <v>24.997006272104702</v>
      </c>
      <c r="F223" s="383">
        <f t="shared" si="75"/>
        <v>24.999263238369704</v>
      </c>
      <c r="G223" s="110">
        <f t="shared" si="73"/>
        <v>0.43632960798114245</v>
      </c>
      <c r="H223" s="412" t="b">
        <f>Wh_hp&gt;='2020'!Maxi_hp</f>
        <v>0</v>
      </c>
      <c r="I223" s="379">
        <f>IF(H223,Wh_hp,'2020'!Maxi_hp)</f>
        <v>55.235892081296527</v>
      </c>
      <c r="J223" s="85">
        <f>IF(H223,An,'2020'!An_max)</f>
        <v>2020</v>
      </c>
      <c r="K223" s="197">
        <f t="shared" si="76"/>
        <v>44405</v>
      </c>
      <c r="L223" s="147">
        <f>IF(t&lt;Tvie,1-EXP((T0-t)*PertePVj)+'2020'!Pspv,1-EXP((T0-t)*PertePVj)+Pspv)</f>
        <v>1.7665511158758695E-2</v>
      </c>
      <c r="M223" s="832"/>
      <c r="N223" s="832"/>
      <c r="O223" s="48">
        <f>IF(t&lt;Tnet,'2020'!Resal+('2020'!Salim-'2020'!Resal)*(1-EXP(('2020'!Tnet-t)/('2020'!Tau_j))),Resal+(Salim-Resal)*(1-EXP((Tnet-t)/(Tau_j))))*Salcycl</f>
        <v>4.8071721541910375E-2</v>
      </c>
      <c r="P223" s="169">
        <f>(INDEX(Models!$BJ223:$BT223,,T223)*(1-R223)+INDEX(Models!$BJ223:$BT223,,T223+1)*R223-ERP_i)*Q223*Ramure*Pc/MaxiM</f>
        <v>4.6300715195143866E-4</v>
      </c>
      <c r="Q223" s="304">
        <f t="shared" si="77"/>
        <v>0.7</v>
      </c>
      <c r="R223" s="177">
        <f t="shared" si="78"/>
        <v>0.88580929171042544</v>
      </c>
      <c r="S223" s="799">
        <f t="shared" si="79"/>
        <v>-1</v>
      </c>
      <c r="T223" s="176">
        <f t="shared" si="80"/>
        <v>5</v>
      </c>
      <c r="U223" s="250">
        <f t="shared" si="81"/>
        <v>-0.11419070828957456</v>
      </c>
      <c r="V223" s="382">
        <f t="shared" si="82"/>
        <v>53.551916531502307</v>
      </c>
      <c r="W223" s="400"/>
      <c r="X223" s="157">
        <f t="shared" si="83"/>
        <v>44405</v>
      </c>
      <c r="Y223" s="383">
        <f t="shared" si="84"/>
        <v>23.37485756689188</v>
      </c>
      <c r="Z223" s="383">
        <f t="shared" si="85"/>
        <v>23.79521215270044</v>
      </c>
      <c r="AA223" s="384">
        <f t="shared" si="86"/>
        <v>24.996853955471675</v>
      </c>
      <c r="AB223" s="197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4.8071721541910375E-2</v>
      </c>
      <c r="AD223" s="230">
        <f>(INDEX(Models!$BJ223:$BT223,,AH223)*(1-AF223)+INDEX(Models!$BJ223:$BT223,,AH223+1)*AF223-ERP_i)*AE223*Ramure*Pc/MaxiM</f>
        <v>4.9425426961857504E-4</v>
      </c>
      <c r="AE223" s="304">
        <f t="shared" si="88"/>
        <v>0.7</v>
      </c>
      <c r="AF223" s="177">
        <f t="shared" si="89"/>
        <v>0.95014151397025759</v>
      </c>
      <c r="AG223" s="799">
        <f t="shared" si="95"/>
        <v>-1</v>
      </c>
      <c r="AH223" s="176">
        <f t="shared" si="90"/>
        <v>5</v>
      </c>
      <c r="AI223" s="224">
        <f t="shared" si="91"/>
        <v>-4.985848602974241E-2</v>
      </c>
      <c r="AJ223" s="264" t="b">
        <f t="shared" si="92"/>
        <v>1</v>
      </c>
      <c r="AK223" s="264" t="b">
        <f t="shared" si="93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4"/>
        <v>44406</v>
      </c>
      <c r="B224" s="607">
        <v>50.972999999999999</v>
      </c>
      <c r="C224" s="388"/>
      <c r="D224" s="391">
        <f t="shared" si="74"/>
        <v>51.89065179292146</v>
      </c>
      <c r="E224" s="383">
        <f t="shared" si="72"/>
        <v>54.512967471464819</v>
      </c>
      <c r="F224" s="383">
        <f t="shared" si="75"/>
        <v>54.539426300329538</v>
      </c>
      <c r="G224" s="110">
        <f t="shared" si="73"/>
        <v>0.95415494054423944</v>
      </c>
      <c r="H224" s="412" t="b">
        <f>Wh_hp&gt;='2020'!Maxi_hp</f>
        <v>0</v>
      </c>
      <c r="I224" s="379">
        <f>IF(H224,Wh_hp,'2020'!Maxi_hp)</f>
        <v>58.807397280234632</v>
      </c>
      <c r="J224" s="85">
        <f>IF(H224,An,'2020'!An_max)</f>
        <v>2018</v>
      </c>
      <c r="K224" s="197">
        <f t="shared" si="76"/>
        <v>44406</v>
      </c>
      <c r="L224" s="147">
        <f>IF(t&lt;Tvie,1-EXP((T0-t)*PertePVj)+'2020'!Pspv,1-EXP((T0-t)*PertePVj)+Pspv)</f>
        <v>1.7684337375130865E-2</v>
      </c>
      <c r="M224" s="832"/>
      <c r="N224" s="832"/>
      <c r="O224" s="48">
        <f>IF(t&lt;Tnet,'2020'!Resal+('2020'!Salim-'2020'!Resal)*(1-EXP(('2020'!Tnet-t)/('2020'!Tau_j))),Resal+(Salim-Resal)*(1-EXP((Tnet-t)/(Tau_j))))*Salcycl</f>
        <v>4.8104438268124536E-2</v>
      </c>
      <c r="P224" s="169">
        <f>(INDEX(Models!$BJ224:$BT224,,T224)*(1-R224)+INDEX(Models!$BJ224:$BT224,,T224+1)*R224-ERP_i)*Q224*Ramure*Pc/MaxiM</f>
        <v>5.1910586351090391E-4</v>
      </c>
      <c r="Q224" s="304">
        <f t="shared" si="77"/>
        <v>0.7</v>
      </c>
      <c r="R224" s="177">
        <f t="shared" si="78"/>
        <v>0.88754726691365216</v>
      </c>
      <c r="S224" s="799">
        <f t="shared" si="79"/>
        <v>-1</v>
      </c>
      <c r="T224" s="176">
        <f t="shared" si="80"/>
        <v>5</v>
      </c>
      <c r="U224" s="250">
        <f t="shared" si="81"/>
        <v>-0.11245273308634784</v>
      </c>
      <c r="V224" s="382">
        <f t="shared" si="82"/>
        <v>53.420325411759684</v>
      </c>
      <c r="W224" s="400"/>
      <c r="X224" s="157">
        <f t="shared" si="83"/>
        <v>44406</v>
      </c>
      <c r="Y224" s="383">
        <f t="shared" si="84"/>
        <v>50.971338385498285</v>
      </c>
      <c r="Z224" s="383">
        <f t="shared" si="85"/>
        <v>51.888960264866952</v>
      </c>
      <c r="AA224" s="384">
        <f t="shared" si="86"/>
        <v>54.511190461336284</v>
      </c>
      <c r="AB224" s="197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4.8104438268124536E-2</v>
      </c>
      <c r="AD224" s="230">
        <f>(INDEX(Models!$BJ224:$BT224,,AH224)*(1-AF224)+INDEX(Models!$BJ224:$BT224,,AH224+1)*AF224-ERP_i)*AE224*Ramure*Pc/MaxiM</f>
        <v>5.5396970355305801E-4</v>
      </c>
      <c r="AE224" s="304">
        <f t="shared" si="88"/>
        <v>0.7</v>
      </c>
      <c r="AF224" s="177">
        <f t="shared" si="89"/>
        <v>0.95187948917348431</v>
      </c>
      <c r="AG224" s="799">
        <f t="shared" si="95"/>
        <v>-1</v>
      </c>
      <c r="AH224" s="176">
        <f t="shared" si="90"/>
        <v>5</v>
      </c>
      <c r="AI224" s="224">
        <f t="shared" si="91"/>
        <v>-4.8120510826515694E-2</v>
      </c>
      <c r="AJ224" s="264" t="b">
        <f t="shared" si="92"/>
        <v>1</v>
      </c>
      <c r="AK224" s="264" t="b">
        <f t="shared" si="93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4"/>
        <v>44407</v>
      </c>
      <c r="B225" s="607">
        <v>16.978999999999999</v>
      </c>
      <c r="C225" s="388"/>
      <c r="D225" s="391">
        <f t="shared" si="74"/>
        <v>17.284999161600371</v>
      </c>
      <c r="E225" s="383">
        <f t="shared" si="72"/>
        <v>18.159124236530623</v>
      </c>
      <c r="F225" s="383">
        <f t="shared" si="75"/>
        <v>18.15940457105761</v>
      </c>
      <c r="G225" s="110">
        <f t="shared" si="73"/>
        <v>0.3184489584165327</v>
      </c>
      <c r="H225" s="412" t="b">
        <f>Wh_hp&gt;='2020'!Maxi_hp</f>
        <v>0</v>
      </c>
      <c r="I225" s="379">
        <f>IF(H225,Wh_hp,'2020'!Maxi_hp)</f>
        <v>48.678240079056877</v>
      </c>
      <c r="J225" s="85">
        <f>IF(H225,An,'2020'!An_max)</f>
        <v>2020</v>
      </c>
      <c r="K225" s="197">
        <f t="shared" si="76"/>
        <v>44407</v>
      </c>
      <c r="L225" s="147">
        <f>IF(t&lt;Tvie,1-EXP((T0-t)*PertePVj)+'2020'!Pspv,1-EXP((T0-t)*PertePVj)+Pspv)</f>
        <v>1.7703163230702867E-2</v>
      </c>
      <c r="M225" s="832"/>
      <c r="N225" s="832"/>
      <c r="O225" s="48">
        <f>IF(t&lt;Tnet,'2020'!Resal+('2020'!Salim-'2020'!Resal)*(1-EXP(('2020'!Tnet-t)/('2020'!Tau_j))),Resal+(Salim-Resal)*(1-EXP((Tnet-t)/(Tau_j))))*Salcycl</f>
        <v>4.8136962088280569E-2</v>
      </c>
      <c r="P225" s="169">
        <f>(INDEX(Models!$BJ225:$BT225,,T225)*(1-R225)+INDEX(Models!$BJ225:$BT225,,T225+1)*R225-ERP_i)*Q225*Ramure*Pc/MaxiM</f>
        <v>5.8007809652851103E-4</v>
      </c>
      <c r="Q225" s="304">
        <f t="shared" si="77"/>
        <v>0.7</v>
      </c>
      <c r="R225" s="177">
        <f t="shared" si="78"/>
        <v>0.88923149375115806</v>
      </c>
      <c r="S225" s="799">
        <f t="shared" si="79"/>
        <v>-1</v>
      </c>
      <c r="T225" s="176">
        <f t="shared" si="80"/>
        <v>5</v>
      </c>
      <c r="U225" s="250">
        <f t="shared" si="81"/>
        <v>-0.11076850624884188</v>
      </c>
      <c r="V225" s="382">
        <f t="shared" si="82"/>
        <v>53.287700806093461</v>
      </c>
      <c r="W225" s="400"/>
      <c r="X225" s="157">
        <f t="shared" si="83"/>
        <v>44407</v>
      </c>
      <c r="Y225" s="383">
        <f t="shared" si="84"/>
        <v>16.97898247877303</v>
      </c>
      <c r="Z225" s="383">
        <f t="shared" si="85"/>
        <v>17.284981324602111</v>
      </c>
      <c r="AA225" s="384">
        <f t="shared" si="86"/>
        <v>18.159105497491968</v>
      </c>
      <c r="AB225" s="197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4.8136962088280569E-2</v>
      </c>
      <c r="AD225" s="230">
        <f>(INDEX(Models!$BJ225:$BT225,,AH225)*(1-AF225)+INDEX(Models!$BJ225:$BT225,,AH225+1)*AF225-ERP_i)*AE225*Ramure*Pc/MaxiM</f>
        <v>6.1885357662972134E-4</v>
      </c>
      <c r="AE225" s="304">
        <f t="shared" si="88"/>
        <v>0.7</v>
      </c>
      <c r="AF225" s="177">
        <f t="shared" si="89"/>
        <v>0.95356371601099021</v>
      </c>
      <c r="AG225" s="799">
        <f t="shared" si="95"/>
        <v>-1</v>
      </c>
      <c r="AH225" s="176">
        <f t="shared" si="90"/>
        <v>5</v>
      </c>
      <c r="AI225" s="224">
        <f t="shared" si="91"/>
        <v>-4.643628398900973E-2</v>
      </c>
      <c r="AJ225" s="264" t="b">
        <f t="shared" si="92"/>
        <v>1</v>
      </c>
      <c r="AK225" s="264" t="b">
        <f t="shared" si="93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4"/>
        <v>44408</v>
      </c>
      <c r="B226" s="607">
        <v>11.63</v>
      </c>
      <c r="C226" s="388"/>
      <c r="D226" s="391">
        <f t="shared" si="74"/>
        <v>11.839825249584814</v>
      </c>
      <c r="E226" s="383">
        <f t="shared" si="72"/>
        <v>12.439003373385505</v>
      </c>
      <c r="F226" s="383">
        <f t="shared" si="75"/>
        <v>12.439003373385505</v>
      </c>
      <c r="G226" s="110">
        <f t="shared" si="73"/>
        <v>0.21865628231434933</v>
      </c>
      <c r="H226" s="412" t="b">
        <f>Wh_hp&gt;='2020'!Maxi_hp</f>
        <v>0</v>
      </c>
      <c r="I226" s="379">
        <f>IF(H226,Wh_hp,'2020'!Maxi_hp)</f>
        <v>56.188132676281505</v>
      </c>
      <c r="J226" s="85">
        <f>IF(H226,An,'2020'!An_max)</f>
        <v>2018</v>
      </c>
      <c r="K226" s="197">
        <f t="shared" si="76"/>
        <v>44408</v>
      </c>
      <c r="L226" s="147">
        <f>IF(t&lt;Tvie,1-EXP((T0-t)*PertePVj)+'2020'!Pspv,1-EXP((T0-t)*PertePVj)+Pspv)</f>
        <v>1.7721988725481586E-2</v>
      </c>
      <c r="M226" s="832"/>
      <c r="N226" s="832"/>
      <c r="O226" s="48">
        <f>IF(t&lt;Tnet,'2020'!Resal+('2020'!Salim-'2020'!Resal)*(1-EXP(('2020'!Tnet-t)/('2020'!Tau_j))),Resal+(Salim-Resal)*(1-EXP((Tnet-t)/(Tau_j))))*Salcycl</f>
        <v>4.8169303103711002E-2</v>
      </c>
      <c r="P226" s="169">
        <f>(INDEX(Models!$BJ226:$BT226,,T226)*(1-R226)+INDEX(Models!$BJ226:$BT226,,T226+1)*R226-ERP_i)*Q226*Ramure*Pc/MaxiM</f>
        <v>6.4468425575833549E-4</v>
      </c>
      <c r="Q226" s="304">
        <f t="shared" si="77"/>
        <v>0.7</v>
      </c>
      <c r="R226" s="177">
        <f t="shared" si="78"/>
        <v>0.89086307060353653</v>
      </c>
      <c r="S226" s="799">
        <f t="shared" si="79"/>
        <v>-1</v>
      </c>
      <c r="T226" s="176">
        <f t="shared" si="80"/>
        <v>5</v>
      </c>
      <c r="U226" s="250">
        <f t="shared" si="81"/>
        <v>-0.10913692939646341</v>
      </c>
      <c r="V226" s="382">
        <f t="shared" si="82"/>
        <v>53.154211711129982</v>
      </c>
      <c r="W226" s="400"/>
      <c r="X226" s="157">
        <f t="shared" si="83"/>
        <v>44408</v>
      </c>
      <c r="Y226" s="383">
        <f t="shared" si="84"/>
        <v>11.63</v>
      </c>
      <c r="Z226" s="383">
        <f t="shared" si="85"/>
        <v>11.839825249584814</v>
      </c>
      <c r="AA226" s="384">
        <f t="shared" si="86"/>
        <v>12.439003373385505</v>
      </c>
      <c r="AB226" s="197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4.8169303103711002E-2</v>
      </c>
      <c r="AD226" s="230">
        <f>(INDEX(Models!$BJ226:$BT226,,AH226)*(1-AF226)+INDEX(Models!$BJ226:$BT226,,AH226+1)*AF226-ERP_i)*AE226*Ramure*Pc/MaxiM</f>
        <v>6.8757544451816593E-4</v>
      </c>
      <c r="AE226" s="304">
        <f t="shared" si="88"/>
        <v>0.7</v>
      </c>
      <c r="AF226" s="177">
        <f t="shared" si="89"/>
        <v>0.95519529286336868</v>
      </c>
      <c r="AG226" s="799">
        <f t="shared" si="95"/>
        <v>-1</v>
      </c>
      <c r="AH226" s="176">
        <f t="shared" si="90"/>
        <v>5</v>
      </c>
      <c r="AI226" s="224">
        <f t="shared" si="91"/>
        <v>-4.4804707136631261E-2</v>
      </c>
      <c r="AJ226" s="264" t="b">
        <f t="shared" si="92"/>
        <v>1</v>
      </c>
      <c r="AK226" s="264" t="b">
        <f t="shared" si="93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4"/>
        <v>44409</v>
      </c>
      <c r="B227" s="607">
        <v>44.416000000000004</v>
      </c>
      <c r="C227" s="388"/>
      <c r="D227" s="391">
        <f t="shared" si="74"/>
        <v>45.218207807776786</v>
      </c>
      <c r="E227" s="383">
        <f t="shared" si="72"/>
        <v>47.508171524468651</v>
      </c>
      <c r="F227" s="383">
        <f t="shared" si="75"/>
        <v>47.534119839520187</v>
      </c>
      <c r="G227" s="110">
        <f t="shared" si="73"/>
        <v>0.83758222836575469</v>
      </c>
      <c r="H227" s="412" t="b">
        <f>Wh_hp&gt;='2020'!Maxi_hp</f>
        <v>0</v>
      </c>
      <c r="I227" s="379">
        <f>IF(H227,Wh_hp,'2020'!Maxi_hp)</f>
        <v>53.840321505322102</v>
      </c>
      <c r="J227" s="85">
        <f>IF(H227,An,'2020'!An_max)</f>
        <v>2020</v>
      </c>
      <c r="K227" s="197">
        <f t="shared" si="76"/>
        <v>44409</v>
      </c>
      <c r="L227" s="147">
        <f>IF(t&lt;Tvie,1-EXP((T0-t)*PertePVj)+'2020'!Pspv,1-EXP((T0-t)*PertePVj)+Pspv)</f>
        <v>1.7740813859474014E-2</v>
      </c>
      <c r="M227" s="832"/>
      <c r="N227" s="832"/>
      <c r="O227" s="48">
        <f>IF(t&lt;Tnet,'2020'!Resal+('2020'!Salim-'2020'!Resal)*(1-EXP(('2020'!Tnet-t)/('2020'!Tau_j))),Resal+(Salim-Resal)*(1-EXP((Tnet-t)/(Tau_j))))*Salcycl</f>
        <v>4.820147025680499E-2</v>
      </c>
      <c r="P227" s="169">
        <f>(INDEX(Models!$BJ227:$BT227,,T227)*(1-R227)+INDEX(Models!$BJ227:$BT227,,T227+1)*R227-ERP_i)*Q227*Ramure*Pc/MaxiM</f>
        <v>7.1063288716590193E-4</v>
      </c>
      <c r="Q227" s="304">
        <f t="shared" si="77"/>
        <v>0.7</v>
      </c>
      <c r="R227" s="177">
        <f t="shared" si="78"/>
        <v>0.89244311438647195</v>
      </c>
      <c r="S227" s="799">
        <f t="shared" si="79"/>
        <v>-1</v>
      </c>
      <c r="T227" s="176">
        <f t="shared" si="80"/>
        <v>5</v>
      </c>
      <c r="U227" s="250">
        <f t="shared" si="81"/>
        <v>-0.10755688561352805</v>
      </c>
      <c r="V227" s="382">
        <f t="shared" si="82"/>
        <v>53.020082326664571</v>
      </c>
      <c r="W227" s="400"/>
      <c r="X227" s="157">
        <f t="shared" si="83"/>
        <v>44409</v>
      </c>
      <c r="Y227" s="383">
        <f t="shared" si="84"/>
        <v>44.414393285281577</v>
      </c>
      <c r="Z227" s="383">
        <f t="shared" si="85"/>
        <v>45.216572073806468</v>
      </c>
      <c r="AA227" s="384">
        <f t="shared" si="86"/>
        <v>47.50645295281803</v>
      </c>
      <c r="AB227" s="197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4.820147025680499E-2</v>
      </c>
      <c r="AD227" s="230">
        <f>(INDEX(Models!$BJ227:$BT227,,AH227)*(1-AF227)+INDEX(Models!$BJ227:$BT227,,AH227+1)*AF227-ERP_i)*AE227*Ramure*Pc/MaxiM</f>
        <v>7.576985070898237E-4</v>
      </c>
      <c r="AE227" s="304">
        <f t="shared" si="88"/>
        <v>0.7</v>
      </c>
      <c r="AF227" s="177">
        <f t="shared" si="89"/>
        <v>0.9567753366463041</v>
      </c>
      <c r="AG227" s="799">
        <f t="shared" si="95"/>
        <v>-1</v>
      </c>
      <c r="AH227" s="176">
        <f t="shared" si="90"/>
        <v>5</v>
      </c>
      <c r="AI227" s="224">
        <f t="shared" si="91"/>
        <v>-4.3224663353695902E-2</v>
      </c>
      <c r="AJ227" s="264" t="b">
        <f t="shared" si="92"/>
        <v>1</v>
      </c>
      <c r="AK227" s="264" t="b">
        <f t="shared" si="93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4"/>
        <v>44410</v>
      </c>
      <c r="B228" s="607">
        <v>42.558</v>
      </c>
      <c r="C228" s="388"/>
      <c r="D228" s="391">
        <f t="shared" si="74"/>
        <v>43.327480394674254</v>
      </c>
      <c r="E228" s="383">
        <f t="shared" si="72"/>
        <v>45.523223490448999</v>
      </c>
      <c r="F228" s="383">
        <f t="shared" si="75"/>
        <v>45.548772229042783</v>
      </c>
      <c r="G228" s="110">
        <f t="shared" si="73"/>
        <v>0.80454619848786013</v>
      </c>
      <c r="H228" s="412" t="b">
        <f>Wh_hp&gt;='2020'!Maxi_hp</f>
        <v>0</v>
      </c>
      <c r="I228" s="379">
        <f>IF(H228,Wh_hp,'2020'!Maxi_hp)</f>
        <v>55.293459971427438</v>
      </c>
      <c r="J228" s="85">
        <f>IF(H228,An,'2020'!An_max)</f>
        <v>2018</v>
      </c>
      <c r="K228" s="197">
        <f t="shared" si="76"/>
        <v>44410</v>
      </c>
      <c r="L228" s="147">
        <f>IF(t&lt;Tvie,1-EXP((T0-t)*PertePVj)+'2020'!Pspv,1-EXP((T0-t)*PertePVj)+Pspv)</f>
        <v>1.7759638632687147E-2</v>
      </c>
      <c r="M228" s="832"/>
      <c r="N228" s="832"/>
      <c r="O228" s="48">
        <f>IF(t&lt;Tnet,'2020'!Resal+('2020'!Salim-'2020'!Resal)*(1-EXP(('2020'!Tnet-t)/('2020'!Tau_j))),Resal+(Salim-Resal)*(1-EXP((Tnet-t)/(Tau_j))))*Salcycl</f>
        <v>4.8233471345354627E-2</v>
      </c>
      <c r="P228" s="169">
        <f>(INDEX(Models!$BJ228:$BT228,,T228)*(1-R228)+INDEX(Models!$BJ228:$BT228,,T228+1)*R228-ERP_i)*Q228*Ramure*Pc/MaxiM</f>
        <v>7.7792818742062014E-4</v>
      </c>
      <c r="Q228" s="304">
        <f t="shared" si="77"/>
        <v>0.7</v>
      </c>
      <c r="R228" s="177">
        <f t="shared" si="78"/>
        <v>0.89397275685418132</v>
      </c>
      <c r="S228" s="799">
        <f t="shared" si="79"/>
        <v>-1</v>
      </c>
      <c r="T228" s="176">
        <f t="shared" si="80"/>
        <v>5</v>
      </c>
      <c r="U228" s="250">
        <f t="shared" si="81"/>
        <v>-0.10602724314581863</v>
      </c>
      <c r="V228" s="382">
        <f t="shared" si="82"/>
        <v>52.88541418110897</v>
      </c>
      <c r="W228" s="400"/>
      <c r="X228" s="157">
        <f t="shared" si="83"/>
        <v>44410</v>
      </c>
      <c r="Y228" s="383">
        <f t="shared" si="84"/>
        <v>42.556424969104143</v>
      </c>
      <c r="Z228" s="383">
        <f t="shared" si="85"/>
        <v>43.32587688604459</v>
      </c>
      <c r="AA228" s="384">
        <f t="shared" si="86"/>
        <v>45.521538719466427</v>
      </c>
      <c r="AB228" s="197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4.8233471345354627E-2</v>
      </c>
      <c r="AD228" s="230">
        <f>(INDEX(Models!$BJ228:$BT228,,AH228)*(1-AF228)+INDEX(Models!$BJ228:$BT228,,AH228+1)*AF228-ERP_i)*AE228*Ramure*Pc/MaxiM</f>
        <v>8.2922742600629847E-4</v>
      </c>
      <c r="AE228" s="304">
        <f t="shared" si="88"/>
        <v>0.7</v>
      </c>
      <c r="AF228" s="177">
        <f t="shared" si="89"/>
        <v>0.95830497911401347</v>
      </c>
      <c r="AG228" s="799">
        <f t="shared" si="95"/>
        <v>-1</v>
      </c>
      <c r="AH228" s="176">
        <f t="shared" si="90"/>
        <v>5</v>
      </c>
      <c r="AI228" s="224">
        <f t="shared" si="91"/>
        <v>-4.1695020885986478E-2</v>
      </c>
      <c r="AJ228" s="264" t="b">
        <f t="shared" si="92"/>
        <v>1</v>
      </c>
      <c r="AK228" s="264" t="b">
        <f t="shared" si="93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4"/>
        <v>44411</v>
      </c>
      <c r="B229" s="607">
        <v>37.468000000000004</v>
      </c>
      <c r="C229" s="388"/>
      <c r="D229" s="391">
        <f t="shared" si="74"/>
        <v>38.146180459614023</v>
      </c>
      <c r="E229" s="383">
        <f t="shared" si="72"/>
        <v>40.080687383189961</v>
      </c>
      <c r="F229" s="383">
        <f t="shared" si="75"/>
        <v>40.100585328786124</v>
      </c>
      <c r="G229" s="110">
        <f t="shared" si="73"/>
        <v>0.71004069023499505</v>
      </c>
      <c r="H229" s="412" t="b">
        <f>Wh_hp&gt;='2020'!Maxi_hp</f>
        <v>0</v>
      </c>
      <c r="I229" s="379">
        <f>IF(H229,Wh_hp,'2020'!Maxi_hp)</f>
        <v>56.877146530332794</v>
      </c>
      <c r="J229" s="85">
        <f>IF(H229,An,'2020'!An_max)</f>
        <v>2018</v>
      </c>
      <c r="K229" s="197">
        <f t="shared" si="76"/>
        <v>44411</v>
      </c>
      <c r="L229" s="147">
        <f>IF(t&lt;Tvie,1-EXP((T0-t)*PertePVj)+'2020'!Pspv,1-EXP((T0-t)*PertePVj)+Pspv)</f>
        <v>1.7778463045127646E-2</v>
      </c>
      <c r="M229" s="832"/>
      <c r="N229" s="832"/>
      <c r="O229" s="48">
        <f>IF(t&lt;Tnet,'2020'!Resal+('2020'!Salim-'2020'!Resal)*(1-EXP(('2020'!Tnet-t)/('2020'!Tau_j))),Resal+(Salim-Resal)*(1-EXP((Tnet-t)/(Tau_j))))*Salcycl</f>
        <v>4.8265313044188934E-2</v>
      </c>
      <c r="P229" s="169">
        <f>(INDEX(Models!$BJ229:$BT229,,T229)*(1-R229)+INDEX(Models!$BJ229:$BT229,,T229+1)*R229-ERP_i)*Q229*Ramure*Pc/MaxiM</f>
        <v>8.4657409239296752E-4</v>
      </c>
      <c r="Q229" s="304">
        <f t="shared" si="77"/>
        <v>0.7</v>
      </c>
      <c r="R229" s="177">
        <f t="shared" si="78"/>
        <v>0.89545314111235974</v>
      </c>
      <c r="S229" s="799">
        <f t="shared" si="79"/>
        <v>-1</v>
      </c>
      <c r="T229" s="176">
        <f t="shared" si="80"/>
        <v>5</v>
      </c>
      <c r="U229" s="250">
        <f t="shared" si="81"/>
        <v>-0.10454685888764026</v>
      </c>
      <c r="V229" s="382">
        <f t="shared" si="82"/>
        <v>52.750308840337851</v>
      </c>
      <c r="W229" s="400"/>
      <c r="X229" s="157">
        <f t="shared" si="83"/>
        <v>44411</v>
      </c>
      <c r="Y229" s="383">
        <f t="shared" si="84"/>
        <v>37.466778524633376</v>
      </c>
      <c r="Z229" s="383">
        <f t="shared" si="85"/>
        <v>38.144936875228353</v>
      </c>
      <c r="AA229" s="384">
        <f t="shared" si="86"/>
        <v>40.079380732919972</v>
      </c>
      <c r="AB229" s="197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4.8265313044188934E-2</v>
      </c>
      <c r="AD229" s="230">
        <f>(INDEX(Models!$BJ229:$BT229,,AH229)*(1-AF229)+INDEX(Models!$BJ229:$BT229,,AH229+1)*AF229-ERP_i)*AE229*Ramure*Pc/MaxiM</f>
        <v>9.0216657861415153E-4</v>
      </c>
      <c r="AE229" s="304">
        <f t="shared" si="88"/>
        <v>0.7</v>
      </c>
      <c r="AF229" s="177">
        <f t="shared" si="89"/>
        <v>0.95978536337219189</v>
      </c>
      <c r="AG229" s="799">
        <f t="shared" si="95"/>
        <v>-1</v>
      </c>
      <c r="AH229" s="176">
        <f t="shared" si="90"/>
        <v>5</v>
      </c>
      <c r="AI229" s="224">
        <f t="shared" si="91"/>
        <v>-4.0214636627808109E-2</v>
      </c>
      <c r="AJ229" s="264" t="b">
        <f t="shared" si="92"/>
        <v>1</v>
      </c>
      <c r="AK229" s="264" t="b">
        <f t="shared" si="93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4"/>
        <v>44412</v>
      </c>
      <c r="B230" s="607">
        <v>23.599</v>
      </c>
      <c r="C230" s="388"/>
      <c r="D230" s="391">
        <f t="shared" si="74"/>
        <v>24.026608448520786</v>
      </c>
      <c r="E230" s="383">
        <f t="shared" si="72"/>
        <v>25.245910196864894</v>
      </c>
      <c r="F230" s="383">
        <f t="shared" si="75"/>
        <v>25.25082085856441</v>
      </c>
      <c r="G230" s="110">
        <f t="shared" si="73"/>
        <v>0.44819946931010729</v>
      </c>
      <c r="H230" s="412" t="b">
        <f>Wh_hp&gt;='2020'!Maxi_hp</f>
        <v>0</v>
      </c>
      <c r="I230" s="379">
        <f>IF(H230,Wh_hp,'2020'!Maxi_hp)</f>
        <v>54.940621976631377</v>
      </c>
      <c r="J230" s="85">
        <f>IF(H230,An,'2020'!An_max)</f>
        <v>2018</v>
      </c>
      <c r="K230" s="197">
        <f t="shared" si="76"/>
        <v>44412</v>
      </c>
      <c r="L230" s="147">
        <f>IF(t&lt;Tvie,1-EXP((T0-t)*PertePVj)+'2020'!Pspv,1-EXP((T0-t)*PertePVj)+Pspv)</f>
        <v>1.7797287096802616E-2</v>
      </c>
      <c r="M230" s="832"/>
      <c r="N230" s="832"/>
      <c r="O230" s="48">
        <f>IF(t&lt;Tnet,'2020'!Resal+('2020'!Salim-'2020'!Resal)*(1-EXP(('2020'!Tnet-t)/('2020'!Tau_j))),Resal+(Salim-Resal)*(1-EXP((Tnet-t)/(Tau_j))))*Salcycl</f>
        <v>4.8297000933463022E-2</v>
      </c>
      <c r="P230" s="169">
        <f>(INDEX(Models!$BJ230:$BT230,,T230)*(1-R230)+INDEX(Models!$BJ230:$BT230,,T230+1)*R230-ERP_i)*Q230*Ramure*Pc/MaxiM</f>
        <v>9.1657422847363462E-4</v>
      </c>
      <c r="Q230" s="304">
        <f t="shared" si="77"/>
        <v>0.7</v>
      </c>
      <c r="R230" s="177">
        <f t="shared" si="78"/>
        <v>0.89688541834010116</v>
      </c>
      <c r="S230" s="799">
        <f t="shared" si="79"/>
        <v>-1</v>
      </c>
      <c r="T230" s="176">
        <f t="shared" si="80"/>
        <v>5</v>
      </c>
      <c r="U230" s="250">
        <f t="shared" si="81"/>
        <v>-0.10311458165989879</v>
      </c>
      <c r="V230" s="382">
        <f t="shared" si="82"/>
        <v>52.614867906276125</v>
      </c>
      <c r="W230" s="400"/>
      <c r="X230" s="157">
        <f t="shared" si="83"/>
        <v>44412</v>
      </c>
      <c r="Y230" s="383">
        <f t="shared" si="84"/>
        <v>23.598699784203657</v>
      </c>
      <c r="Z230" s="383">
        <f t="shared" si="85"/>
        <v>24.02630279288331</v>
      </c>
      <c r="AA230" s="384">
        <f t="shared" si="86"/>
        <v>25.245589029822469</v>
      </c>
      <c r="AB230" s="197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4.8297000933463022E-2</v>
      </c>
      <c r="AD230" s="230">
        <f>(INDEX(Models!$BJ230:$BT230,,AH230)*(1-AF230)+INDEX(Models!$BJ230:$BT230,,AH230+1)*AF230-ERP_i)*AE230*Ramure*Pc/MaxiM</f>
        <v>9.7652000607585719E-4</v>
      </c>
      <c r="AE230" s="304">
        <f t="shared" si="88"/>
        <v>0.7</v>
      </c>
      <c r="AF230" s="177">
        <f t="shared" si="89"/>
        <v>0.96121764059993331</v>
      </c>
      <c r="AG230" s="799">
        <f t="shared" si="95"/>
        <v>-1</v>
      </c>
      <c r="AH230" s="176">
        <f t="shared" si="90"/>
        <v>5</v>
      </c>
      <c r="AI230" s="224">
        <f t="shared" si="91"/>
        <v>-3.8782359400066635E-2</v>
      </c>
      <c r="AJ230" s="264" t="b">
        <f t="shared" si="92"/>
        <v>1</v>
      </c>
      <c r="AK230" s="264" t="b">
        <f t="shared" si="93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4"/>
        <v>44413</v>
      </c>
      <c r="B231" s="607">
        <v>44.230000000000004</v>
      </c>
      <c r="C231" s="388"/>
      <c r="D231" s="391">
        <f t="shared" si="74"/>
        <v>45.032300453912768</v>
      </c>
      <c r="E231" s="383">
        <f t="shared" si="72"/>
        <v>47.31916667103885</v>
      </c>
      <c r="F231" s="383">
        <f t="shared" si="75"/>
        <v>47.355444967599119</v>
      </c>
      <c r="G231" s="110">
        <f t="shared" si="73"/>
        <v>0.84262309783278466</v>
      </c>
      <c r="H231" s="412" t="b">
        <f>Wh_hp&gt;='2020'!Maxi_hp</f>
        <v>0</v>
      </c>
      <c r="I231" s="379">
        <f>IF(H231,Wh_hp,'2020'!Maxi_hp)</f>
        <v>53.590627988169963</v>
      </c>
      <c r="J231" s="85">
        <f>IF(H231,An,'2020'!An_max)</f>
        <v>2018</v>
      </c>
      <c r="K231" s="197">
        <f t="shared" si="76"/>
        <v>44413</v>
      </c>
      <c r="L231" s="147">
        <f>IF(t&lt;Tvie,1-EXP((T0-t)*PertePVj)+'2020'!Pspv,1-EXP((T0-t)*PertePVj)+Pspv)</f>
        <v>1.7816110787719053E-2</v>
      </c>
      <c r="M231" s="832"/>
      <c r="N231" s="832"/>
      <c r="O231" s="48">
        <f>IF(t&lt;Tnet,'2020'!Resal+('2020'!Salim-'2020'!Resal)*(1-EXP(('2020'!Tnet-t)/('2020'!Tau_j))),Resal+(Salim-Resal)*(1-EXP((Tnet-t)/(Tau_j))))*Salcycl</f>
        <v>4.8328539532918914E-2</v>
      </c>
      <c r="P231" s="169">
        <f>(INDEX(Models!$BJ231:$BT231,,T231)*(1-R231)+INDEX(Models!$BJ231:$BT231,,T231+1)*R231-ERP_i)*Q231*Ramure*Pc/MaxiM</f>
        <v>9.879318620820822E-4</v>
      </c>
      <c r="Q231" s="304">
        <f t="shared" si="77"/>
        <v>0.7</v>
      </c>
      <c r="R231" s="177">
        <f t="shared" si="78"/>
        <v>0.89827074471901502</v>
      </c>
      <c r="S231" s="799">
        <f t="shared" si="79"/>
        <v>-1</v>
      </c>
      <c r="T231" s="176">
        <f t="shared" si="80"/>
        <v>5</v>
      </c>
      <c r="U231" s="250">
        <f t="shared" si="81"/>
        <v>-0.10172925528098492</v>
      </c>
      <c r="V231" s="382">
        <f t="shared" si="82"/>
        <v>52.479193016052406</v>
      </c>
      <c r="W231" s="400"/>
      <c r="X231" s="157">
        <f t="shared" si="83"/>
        <v>44413</v>
      </c>
      <c r="Y231" s="383">
        <f t="shared" si="84"/>
        <v>44.227790915180549</v>
      </c>
      <c r="Z231" s="383">
        <f t="shared" si="85"/>
        <v>45.030051297880256</v>
      </c>
      <c r="AA231" s="384">
        <f t="shared" si="86"/>
        <v>47.31680329656988</v>
      </c>
      <c r="AB231" s="197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4.8328539532918914E-2</v>
      </c>
      <c r="AD231" s="230">
        <f>(INDEX(Models!$BJ231:$BT231,,AH231)*(1-AF231)+INDEX(Models!$BJ231:$BT231,,AH231+1)*AF231-ERP_i)*AE231*Ramure*Pc/MaxiM</f>
        <v>1.0522913596691806E-3</v>
      </c>
      <c r="AE231" s="304">
        <f t="shared" si="88"/>
        <v>0.7</v>
      </c>
      <c r="AF231" s="177">
        <f t="shared" si="89"/>
        <v>0.96260296697884717</v>
      </c>
      <c r="AG231" s="799">
        <f t="shared" si="95"/>
        <v>-1</v>
      </c>
      <c r="AH231" s="176">
        <f t="shared" si="90"/>
        <v>5</v>
      </c>
      <c r="AI231" s="224">
        <f t="shared" si="91"/>
        <v>-3.739703302115277E-2</v>
      </c>
      <c r="AJ231" s="264" t="b">
        <f t="shared" si="92"/>
        <v>1</v>
      </c>
      <c r="AK231" s="264" t="b">
        <f t="shared" si="93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4"/>
        <v>44414</v>
      </c>
      <c r="B232" s="607">
        <v>18.001000000000001</v>
      </c>
      <c r="C232" s="388"/>
      <c r="D232" s="391">
        <f t="shared" si="74"/>
        <v>18.327876469351597</v>
      </c>
      <c r="E232" s="383">
        <f t="shared" si="72"/>
        <v>19.259252623153017</v>
      </c>
      <c r="F232" s="383">
        <f t="shared" si="75"/>
        <v>19.260533854483853</v>
      </c>
      <c r="G232" s="110">
        <f t="shared" si="73"/>
        <v>0.34356018833637547</v>
      </c>
      <c r="H232" s="412" t="b">
        <f>Wh_hp&gt;='2020'!Maxi_hp</f>
        <v>0</v>
      </c>
      <c r="I232" s="379">
        <f>IF(H232,Wh_hp,'2020'!Maxi_hp)</f>
        <v>56.645072121276598</v>
      </c>
      <c r="J232" s="85">
        <f>IF(H232,An,'2020'!An_max)</f>
        <v>2020</v>
      </c>
      <c r="K232" s="197">
        <f t="shared" si="76"/>
        <v>44414</v>
      </c>
      <c r="L232" s="147">
        <f>IF(t&lt;Tvie,1-EXP((T0-t)*PertePVj)+'2020'!Pspv,1-EXP((T0-t)*PertePVj)+Pspv)</f>
        <v>1.7834934117883616E-2</v>
      </c>
      <c r="M232" s="832"/>
      <c r="N232" s="832"/>
      <c r="O232" s="48">
        <f>IF(t&lt;Tnet,'2020'!Resal+('2020'!Salim-'2020'!Resal)*(1-EXP(('2020'!Tnet-t)/('2020'!Tau_j))),Resal+(Salim-Resal)*(1-EXP((Tnet-t)/(Tau_j))))*Salcycl</f>
        <v>4.8359932341389987E-2</v>
      </c>
      <c r="P232" s="169">
        <f>(INDEX(Models!$BJ232:$BT232,,T232)*(1-R232)+INDEX(Models!$BJ232:$BT232,,T232+1)*R232-ERP_i)*Q232*Ramure*Pc/MaxiM</f>
        <v>1.0606498476898041E-3</v>
      </c>
      <c r="Q232" s="304">
        <f t="shared" si="77"/>
        <v>0.7</v>
      </c>
      <c r="R232" s="177">
        <f t="shared" si="78"/>
        <v>0.89961027856664022</v>
      </c>
      <c r="S232" s="799">
        <f t="shared" si="79"/>
        <v>-1</v>
      </c>
      <c r="T232" s="176">
        <f t="shared" si="80"/>
        <v>5</v>
      </c>
      <c r="U232" s="250">
        <f t="shared" si="81"/>
        <v>-0.10038972143335972</v>
      </c>
      <c r="V232" s="382">
        <f t="shared" si="82"/>
        <v>52.343385840098193</v>
      </c>
      <c r="W232" s="400"/>
      <c r="X232" s="157">
        <f t="shared" si="83"/>
        <v>44414</v>
      </c>
      <c r="Y232" s="383">
        <f t="shared" si="84"/>
        <v>18.000922283056397</v>
      </c>
      <c r="Z232" s="383">
        <f t="shared" si="85"/>
        <v>18.327797341161943</v>
      </c>
      <c r="AA232" s="384">
        <f t="shared" si="86"/>
        <v>19.259169473869644</v>
      </c>
      <c r="AB232" s="197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4.8359932341389987E-2</v>
      </c>
      <c r="AD232" s="230">
        <f>(INDEX(Models!$BJ232:$BT232,,AH232)*(1-AF232)+INDEX(Models!$BJ232:$BT232,,AH232+1)*AF232-ERP_i)*AE232*Ramure*Pc/MaxiM</f>
        <v>1.1294838455962457E-3</v>
      </c>
      <c r="AE232" s="304">
        <f t="shared" si="88"/>
        <v>0.7</v>
      </c>
      <c r="AF232" s="177">
        <f t="shared" si="89"/>
        <v>0.96394250082647237</v>
      </c>
      <c r="AG232" s="799">
        <f t="shared" si="95"/>
        <v>-1</v>
      </c>
      <c r="AH232" s="176">
        <f t="shared" si="90"/>
        <v>5</v>
      </c>
      <c r="AI232" s="224">
        <f t="shared" si="91"/>
        <v>-3.6057499173527574E-2</v>
      </c>
      <c r="AJ232" s="264" t="b">
        <f t="shared" si="92"/>
        <v>1</v>
      </c>
      <c r="AK232" s="264" t="b">
        <f t="shared" si="93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4"/>
        <v>44415</v>
      </c>
      <c r="B233" s="607">
        <v>22.347000000000001</v>
      </c>
      <c r="C233" s="388"/>
      <c r="D233" s="391">
        <f t="shared" si="74"/>
        <v>22.753230653030595</v>
      </c>
      <c r="E233" s="383">
        <f t="shared" ref="E233:E296" si="96">Wh_pvt/(1-Psa)</f>
        <v>23.910277227149617</v>
      </c>
      <c r="F233" s="383">
        <f t="shared" si="75"/>
        <v>23.91524092959159</v>
      </c>
      <c r="G233" s="110">
        <f t="shared" ref="G233:G296" si="97">+Wh_hp/MaxiM</f>
        <v>0.42764127719832801</v>
      </c>
      <c r="H233" s="412" t="b">
        <f>Wh_hp&gt;='2020'!Maxi_hp</f>
        <v>0</v>
      </c>
      <c r="I233" s="379">
        <f>IF(H233,Wh_hp,'2020'!Maxi_hp)</f>
        <v>55.351742573370771</v>
      </c>
      <c r="J233" s="85">
        <f>IF(H233,An,'2020'!An_max)</f>
        <v>2020</v>
      </c>
      <c r="K233" s="197">
        <f t="shared" si="76"/>
        <v>44415</v>
      </c>
      <c r="L233" s="147">
        <f>IF(t&lt;Tvie,1-EXP((T0-t)*PertePVj)+'2020'!Pspv,1-EXP((T0-t)*PertePVj)+Pspv)</f>
        <v>1.7853757087303412E-2</v>
      </c>
      <c r="M233" s="832"/>
      <c r="N233" s="832"/>
      <c r="O233" s="48">
        <f>IF(t&lt;Tnet,'2020'!Resal+('2020'!Salim-'2020'!Resal)*(1-EXP(('2020'!Tnet-t)/('2020'!Tau_j))),Resal+(Salim-Resal)*(1-EXP((Tnet-t)/(Tau_j))))*Salcycl</f>
        <v>4.8391181880786373E-2</v>
      </c>
      <c r="P233" s="169">
        <f>(INDEX(Models!$BJ233:$BT233,,T233)*(1-R233)+INDEX(Models!$BJ233:$BT233,,T233+1)*R233-ERP_i)*Q233*Ramure*Pc/MaxiM</f>
        <v>1.1347217543630243E-3</v>
      </c>
      <c r="Q233" s="304">
        <f t="shared" si="77"/>
        <v>0.7</v>
      </c>
      <c r="R233" s="177">
        <f t="shared" si="78"/>
        <v>0.90090517767029121</v>
      </c>
      <c r="S233" s="799">
        <f t="shared" si="79"/>
        <v>-1</v>
      </c>
      <c r="T233" s="176">
        <f t="shared" si="80"/>
        <v>5</v>
      </c>
      <c r="U233" s="250">
        <f t="shared" si="81"/>
        <v>-9.9094822329708843E-2</v>
      </c>
      <c r="V233" s="382">
        <f t="shared" si="82"/>
        <v>52.207954353227393</v>
      </c>
      <c r="W233" s="400"/>
      <c r="X233" s="157">
        <f t="shared" si="83"/>
        <v>44415</v>
      </c>
      <c r="Y233" s="383">
        <f t="shared" si="84"/>
        <v>22.346700039744224</v>
      </c>
      <c r="Z233" s="383">
        <f t="shared" si="85"/>
        <v>22.752925240004846</v>
      </c>
      <c r="AA233" s="384">
        <f t="shared" si="86"/>
        <v>23.909956283270226</v>
      </c>
      <c r="AB233" s="197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4.8391181880786373E-2</v>
      </c>
      <c r="AD233" s="230">
        <f>(INDEX(Models!$BJ233:$BT233,,AH233)*(1-AF233)+INDEX(Models!$BJ233:$BT233,,AH233+1)*AF233-ERP_i)*AE233*Ramure*Pc/MaxiM</f>
        <v>1.2080907780169551E-3</v>
      </c>
      <c r="AE233" s="304">
        <f t="shared" si="88"/>
        <v>0.7</v>
      </c>
      <c r="AF233" s="177">
        <f t="shared" si="89"/>
        <v>0.96523739993012336</v>
      </c>
      <c r="AG233" s="799">
        <f t="shared" si="95"/>
        <v>-1</v>
      </c>
      <c r="AH233" s="176">
        <f t="shared" si="90"/>
        <v>5</v>
      </c>
      <c r="AI233" s="224">
        <f t="shared" si="91"/>
        <v>-3.4762600069876692E-2</v>
      </c>
      <c r="AJ233" s="264" t="b">
        <f t="shared" si="92"/>
        <v>1</v>
      </c>
      <c r="AK233" s="264" t="b">
        <f t="shared" si="93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4"/>
        <v>44416</v>
      </c>
      <c r="B234" s="607">
        <v>37.46</v>
      </c>
      <c r="C234" s="388"/>
      <c r="D234" s="391">
        <f t="shared" si="74"/>
        <v>38.14169040143932</v>
      </c>
      <c r="E234" s="383">
        <f t="shared" si="96"/>
        <v>40.082580739694997</v>
      </c>
      <c r="F234" s="383">
        <f t="shared" si="75"/>
        <v>40.111545778234131</v>
      </c>
      <c r="G234" s="110">
        <f t="shared" si="97"/>
        <v>0.71902151926845337</v>
      </c>
      <c r="H234" s="412" t="b">
        <f>Wh_hp&gt;='2020'!Maxi_hp</f>
        <v>0</v>
      </c>
      <c r="I234" s="379">
        <f>IF(H234,Wh_hp,'2020'!Maxi_hp)</f>
        <v>54.358388066695056</v>
      </c>
      <c r="J234" s="85">
        <f>IF(H234,An,'2020'!An_max)</f>
        <v>2020</v>
      </c>
      <c r="K234" s="197">
        <f t="shared" si="76"/>
        <v>44416</v>
      </c>
      <c r="L234" s="147">
        <f>IF(t&lt;Tvie,1-EXP((T0-t)*PertePVj)+'2020'!Pspv,1-EXP((T0-t)*PertePVj)+Pspv)</f>
        <v>1.7872579695985213E-2</v>
      </c>
      <c r="M234" s="832"/>
      <c r="N234" s="832"/>
      <c r="O234" s="48">
        <f>IF(t&lt;Tnet,'2020'!Resal+('2020'!Salim-'2020'!Resal)*(1-EXP(('2020'!Tnet-t)/('2020'!Tau_j))),Resal+(Salim-Resal)*(1-EXP((Tnet-t)/(Tau_j))))*Salcycl</f>
        <v>4.8422289743772814E-2</v>
      </c>
      <c r="P234" s="169">
        <f>(INDEX(Models!$BJ234:$BT234,,T234)*(1-R234)+INDEX(Models!$BJ234:$BT234,,T234+1)*R234-ERP_i)*Q234*Ramure*Pc/MaxiM</f>
        <v>1.2053301822257433E-3</v>
      </c>
      <c r="Q234" s="304">
        <f t="shared" si="77"/>
        <v>0.7</v>
      </c>
      <c r="R234" s="177">
        <f t="shared" si="78"/>
        <v>0.9021565968166283</v>
      </c>
      <c r="S234" s="799">
        <f t="shared" si="79"/>
        <v>-1</v>
      </c>
      <c r="T234" s="176">
        <f t="shared" si="80"/>
        <v>5</v>
      </c>
      <c r="U234" s="250">
        <f t="shared" si="81"/>
        <v>-9.7843403183371647E-2</v>
      </c>
      <c r="V234" s="382">
        <f t="shared" si="82"/>
        <v>52.073386640324252</v>
      </c>
      <c r="W234" s="400"/>
      <c r="X234" s="157">
        <f t="shared" si="83"/>
        <v>44416</v>
      </c>
      <c r="Y234" s="383">
        <f t="shared" si="84"/>
        <v>37.458256353462943</v>
      </c>
      <c r="Z234" s="383">
        <f t="shared" si="85"/>
        <v>38.139915024333447</v>
      </c>
      <c r="AA234" s="384">
        <f t="shared" si="86"/>
        <v>40.080715020178097</v>
      </c>
      <c r="AB234" s="197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4.8422289743772814E-2</v>
      </c>
      <c r="AD234" s="230">
        <f>(INDEX(Models!$BJ234:$BT234,,AH234)*(1-AF234)+INDEX(Models!$BJ234:$BT234,,AH234+1)*AF234-ERP_i)*AE234*Ramure*Pc/MaxiM</f>
        <v>1.2829688859427081E-3</v>
      </c>
      <c r="AE234" s="304">
        <f t="shared" si="88"/>
        <v>0.7</v>
      </c>
      <c r="AF234" s="177">
        <f t="shared" si="89"/>
        <v>0.96648881907646045</v>
      </c>
      <c r="AG234" s="799">
        <f t="shared" si="95"/>
        <v>-1</v>
      </c>
      <c r="AH234" s="176">
        <f t="shared" si="90"/>
        <v>5</v>
      </c>
      <c r="AI234" s="224">
        <f t="shared" si="91"/>
        <v>-3.3511180923539496E-2</v>
      </c>
      <c r="AJ234" s="264" t="b">
        <f t="shared" si="92"/>
        <v>1</v>
      </c>
      <c r="AK234" s="264" t="b">
        <f t="shared" si="93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4"/>
        <v>44417</v>
      </c>
      <c r="B235" s="607">
        <v>50.978000000000002</v>
      </c>
      <c r="C235" s="388"/>
      <c r="D235" s="391">
        <f t="shared" si="74"/>
        <v>51.906683335125336</v>
      </c>
      <c r="E235" s="383">
        <f t="shared" si="96"/>
        <v>54.549798733033768</v>
      </c>
      <c r="F235" s="383">
        <f t="shared" si="75"/>
        <v>54.617338872895246</v>
      </c>
      <c r="G235" s="110">
        <f t="shared" si="97"/>
        <v>0.98145515853943954</v>
      </c>
      <c r="H235" s="412" t="b">
        <f>Wh_hp&gt;='2020'!Maxi_hp</f>
        <v>0</v>
      </c>
      <c r="I235" s="379">
        <f>IF(H235,Wh_hp,'2020'!Maxi_hp)</f>
        <v>54.928479355291955</v>
      </c>
      <c r="J235" s="85">
        <f>IF(H235,An,'2020'!An_max)</f>
        <v>2018</v>
      </c>
      <c r="K235" s="197">
        <f t="shared" si="76"/>
        <v>44417</v>
      </c>
      <c r="L235" s="147">
        <f>IF(t&lt;Tvie,1-EXP((T0-t)*PertePVj)+'2020'!Pspv,1-EXP((T0-t)*PertePVj)+Pspv)</f>
        <v>1.7891401943936125E-2</v>
      </c>
      <c r="M235" s="832"/>
      <c r="N235" s="832"/>
      <c r="O235" s="48">
        <f>IF(t&lt;Tnet,'2020'!Resal+('2020'!Salim-'2020'!Resal)*(1-EXP(('2020'!Tnet-t)/('2020'!Tau_j))),Resal+(Salim-Resal)*(1-EXP((Tnet-t)/(Tau_j))))*Salcycl</f>
        <v>4.8453256644333684E-2</v>
      </c>
      <c r="P235" s="169">
        <f>(INDEX(Models!$BJ235:$BT235,,T235)*(1-R235)+INDEX(Models!$BJ235:$BT235,,T235+1)*R235-ERP_i)*Q235*Ramure*Pc/MaxiM</f>
        <v>1.2701971652763883E-3</v>
      </c>
      <c r="Q235" s="304">
        <f t="shared" si="77"/>
        <v>0.7</v>
      </c>
      <c r="R235" s="177">
        <f t="shared" si="78"/>
        <v>0.90336568551153107</v>
      </c>
      <c r="S235" s="799">
        <f t="shared" si="79"/>
        <v>-1</v>
      </c>
      <c r="T235" s="176">
        <f t="shared" si="80"/>
        <v>5</v>
      </c>
      <c r="U235" s="250">
        <f t="shared" si="81"/>
        <v>-9.6634314488468986E-2</v>
      </c>
      <c r="V235" s="382">
        <f t="shared" si="82"/>
        <v>51.939495183285963</v>
      </c>
      <c r="W235" s="400"/>
      <c r="X235" s="157">
        <f t="shared" si="83"/>
        <v>44417</v>
      </c>
      <c r="Y235" s="383">
        <f t="shared" si="84"/>
        <v>50.973949858337413</v>
      </c>
      <c r="Z235" s="383">
        <f t="shared" si="85"/>
        <v>51.902559410672787</v>
      </c>
      <c r="AA235" s="384">
        <f t="shared" si="86"/>
        <v>54.545464816196422</v>
      </c>
      <c r="AB235" s="197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4.8453256644333684E-2</v>
      </c>
      <c r="AD235" s="230">
        <f>(INDEX(Models!$BJ235:$BT235,,AH235)*(1-AF235)+INDEX(Models!$BJ235:$BT235,,AH235+1)*AF235-ERP_i)*AE235*Ramure*Pc/MaxiM</f>
        <v>1.3517031984684122E-3</v>
      </c>
      <c r="AE235" s="304">
        <f t="shared" si="88"/>
        <v>0.7</v>
      </c>
      <c r="AF235" s="177">
        <f t="shared" si="89"/>
        <v>0.96769790777136322</v>
      </c>
      <c r="AG235" s="799">
        <f t="shared" si="95"/>
        <v>-1</v>
      </c>
      <c r="AH235" s="176">
        <f t="shared" si="90"/>
        <v>5</v>
      </c>
      <c r="AI235" s="224">
        <f t="shared" si="91"/>
        <v>-3.2302092228636836E-2</v>
      </c>
      <c r="AJ235" s="264" t="b">
        <f t="shared" si="92"/>
        <v>1</v>
      </c>
      <c r="AK235" s="264" t="b">
        <f t="shared" si="93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4"/>
        <v>44418</v>
      </c>
      <c r="B236" s="607">
        <v>48.277000000000001</v>
      </c>
      <c r="C236" s="388"/>
      <c r="D236" s="391">
        <f t="shared" si="74"/>
        <v>49.157420402368999</v>
      </c>
      <c r="E236" s="383">
        <f t="shared" si="96"/>
        <v>51.662215520257448</v>
      </c>
      <c r="F236" s="383">
        <f t="shared" si="75"/>
        <v>51.72427978477829</v>
      </c>
      <c r="G236" s="110">
        <f t="shared" si="97"/>
        <v>0.93176021135521547</v>
      </c>
      <c r="H236" s="412" t="b">
        <f>Wh_hp&gt;='2020'!Maxi_hp</f>
        <v>1</v>
      </c>
      <c r="I236" s="379">
        <f>IF(H236,Wh_hp,'2020'!Maxi_hp)</f>
        <v>51.72427978477829</v>
      </c>
      <c r="J236" s="85">
        <f>IF(H236,An,'2020'!An_max)</f>
        <v>2021</v>
      </c>
      <c r="K236" s="197">
        <f t="shared" si="76"/>
        <v>44418</v>
      </c>
      <c r="L236" s="147">
        <f>IF(t&lt;Tvie,1-EXP((T0-t)*PertePVj)+'2020'!Pspv,1-EXP((T0-t)*PertePVj)+Pspv)</f>
        <v>1.7910223831162808E-2</v>
      </c>
      <c r="M236" s="832"/>
      <c r="N236" s="832"/>
      <c r="O236" s="48">
        <f>IF(t&lt;Tnet,'2020'!Resal+('2020'!Salim-'2020'!Resal)*(1-EXP(('2020'!Tnet-t)/('2020'!Tau_j))),Resal+(Salim-Resal)*(1-EXP((Tnet-t)/(Tau_j))))*Salcycl</f>
        <v>4.8484082470413671E-2</v>
      </c>
      <c r="P236" s="169">
        <f>(INDEX(Models!$BJ236:$BT236,,T236)*(1-R236)+INDEX(Models!$BJ236:$BT236,,T236+1)*R236-ERP_i)*Q236*Ramure*Pc/MaxiM</f>
        <v>1.3292601148473442E-3</v>
      </c>
      <c r="Q236" s="304">
        <f t="shared" si="77"/>
        <v>0.7</v>
      </c>
      <c r="R236" s="177">
        <f t="shared" si="78"/>
        <v>0.9045335858842487</v>
      </c>
      <c r="S236" s="799">
        <f t="shared" si="79"/>
        <v>-1</v>
      </c>
      <c r="T236" s="176">
        <f t="shared" si="80"/>
        <v>5</v>
      </c>
      <c r="U236" s="250">
        <f t="shared" si="81"/>
        <v>-9.5466414115751241E-2</v>
      </c>
      <c r="V236" s="382">
        <f t="shared" si="82"/>
        <v>51.805976551028436</v>
      </c>
      <c r="W236" s="400"/>
      <c r="X236" s="157">
        <f t="shared" si="83"/>
        <v>44418</v>
      </c>
      <c r="Y236" s="383">
        <f t="shared" si="84"/>
        <v>48.273292700356464</v>
      </c>
      <c r="Z236" s="383">
        <f t="shared" si="85"/>
        <v>49.153645493258345</v>
      </c>
      <c r="AA236" s="384">
        <f t="shared" si="86"/>
        <v>51.658248262284026</v>
      </c>
      <c r="AB236" s="197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4.8484082470413671E-2</v>
      </c>
      <c r="AD236" s="230">
        <f>(INDEX(Models!$BJ236:$BT236,,AH236)*(1-AF236)+INDEX(Models!$BJ236:$BT236,,AH236+1)*AF236-ERP_i)*AE236*Ramure*Pc/MaxiM</f>
        <v>1.4142287812788743E-3</v>
      </c>
      <c r="AE236" s="304">
        <f t="shared" si="88"/>
        <v>0.7</v>
      </c>
      <c r="AF236" s="177">
        <f t="shared" si="89"/>
        <v>0.96886580814408085</v>
      </c>
      <c r="AG236" s="799">
        <f t="shared" si="95"/>
        <v>-1</v>
      </c>
      <c r="AH236" s="176">
        <f t="shared" si="90"/>
        <v>5</v>
      </c>
      <c r="AI236" s="224">
        <f t="shared" si="91"/>
        <v>-3.1134191855919091E-2</v>
      </c>
      <c r="AJ236" s="264" t="b">
        <f t="shared" si="92"/>
        <v>1</v>
      </c>
      <c r="AK236" s="264" t="b">
        <f t="shared" si="93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4"/>
        <v>44419</v>
      </c>
      <c r="B237" s="607">
        <v>47.725000000000001</v>
      </c>
      <c r="C237" s="388"/>
      <c r="D237" s="391">
        <f t="shared" si="74"/>
        <v>48.59628499794249</v>
      </c>
      <c r="E237" s="383">
        <f t="shared" si="96"/>
        <v>51.074134709269245</v>
      </c>
      <c r="F237" s="383">
        <f t="shared" si="75"/>
        <v>51.137114320029383</v>
      </c>
      <c r="G237" s="110">
        <f t="shared" si="97"/>
        <v>0.92346538942432865</v>
      </c>
      <c r="H237" s="412" t="b">
        <f>Wh_hp&gt;='2020'!Maxi_hp</f>
        <v>1</v>
      </c>
      <c r="I237" s="379">
        <f>IF(H237,Wh_hp,'2020'!Maxi_hp)</f>
        <v>51.137114320029383</v>
      </c>
      <c r="J237" s="85">
        <f>IF(H237,An,'2020'!An_max)</f>
        <v>2021</v>
      </c>
      <c r="K237" s="197">
        <f t="shared" si="76"/>
        <v>44419</v>
      </c>
      <c r="L237" s="147">
        <f>IF(t&lt;Tvie,1-EXP((T0-t)*PertePVj)+'2020'!Pspv,1-EXP((T0-t)*PertePVj)+Pspv)</f>
        <v>1.792904535767248E-2</v>
      </c>
      <c r="M237" s="832"/>
      <c r="N237" s="832"/>
      <c r="O237" s="48">
        <f>IF(t&lt;Tnet,'2020'!Resal+('2020'!Salim-'2020'!Resal)*(1-EXP(('2020'!Tnet-t)/('2020'!Tau_j))),Resal+(Salim-Resal)*(1-EXP((Tnet-t)/(Tau_j))))*Salcycl</f>
        <v>4.8514766337824304E-2</v>
      </c>
      <c r="P237" s="169">
        <f>(INDEX(Models!$BJ237:$BT237,,T237)*(1-R237)+INDEX(Models!$BJ237:$BT237,,T237+1)*R237-ERP_i)*Q237*Ramure*Pc/MaxiM</f>
        <v>1.382459026690587E-3</v>
      </c>
      <c r="Q237" s="304">
        <f t="shared" si="77"/>
        <v>0.7</v>
      </c>
      <c r="R237" s="177">
        <f t="shared" si="78"/>
        <v>0.90566143076932271</v>
      </c>
      <c r="S237" s="799">
        <f t="shared" si="79"/>
        <v>-1</v>
      </c>
      <c r="T237" s="176">
        <f t="shared" si="80"/>
        <v>5</v>
      </c>
      <c r="U237" s="250">
        <f t="shared" si="81"/>
        <v>-9.4338569230677238E-2</v>
      </c>
      <c r="V237" s="382">
        <f t="shared" si="82"/>
        <v>51.6725273285913</v>
      </c>
      <c r="W237" s="400"/>
      <c r="X237" s="157">
        <f t="shared" si="83"/>
        <v>44419</v>
      </c>
      <c r="Y237" s="383">
        <f t="shared" si="84"/>
        <v>47.721252900157594</v>
      </c>
      <c r="Z237" s="383">
        <f t="shared" si="85"/>
        <v>48.592469489679374</v>
      </c>
      <c r="AA237" s="384">
        <f t="shared" si="86"/>
        <v>51.070124654117443</v>
      </c>
      <c r="AB237" s="197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4.8514766337824304E-2</v>
      </c>
      <c r="AD237" s="230">
        <f>(INDEX(Models!$BJ237:$BT237,,AH237)*(1-AF237)+INDEX(Models!$BJ237:$BT237,,AH237+1)*AF237-ERP_i)*AE237*Ramure*Pc/MaxiM</f>
        <v>1.470483339245355E-3</v>
      </c>
      <c r="AE237" s="304">
        <f t="shared" si="88"/>
        <v>0.7</v>
      </c>
      <c r="AF237" s="177">
        <f t="shared" si="89"/>
        <v>0.96999365302915486</v>
      </c>
      <c r="AG237" s="799">
        <f t="shared" si="95"/>
        <v>-1</v>
      </c>
      <c r="AH237" s="176">
        <f t="shared" si="90"/>
        <v>5</v>
      </c>
      <c r="AI237" s="224">
        <f t="shared" si="91"/>
        <v>-3.0006346970845088E-2</v>
      </c>
      <c r="AJ237" s="264" t="b">
        <f t="shared" si="92"/>
        <v>1</v>
      </c>
      <c r="AK237" s="264" t="b">
        <f t="shared" si="93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4"/>
        <v>44420</v>
      </c>
      <c r="B238" s="607">
        <v>45.963000000000001</v>
      </c>
      <c r="C238" s="388"/>
      <c r="D238" s="391">
        <f t="shared" si="74"/>
        <v>46.803014252703676</v>
      </c>
      <c r="E238" s="383">
        <f t="shared" si="96"/>
        <v>49.191006760026724</v>
      </c>
      <c r="F238" s="383">
        <f t="shared" si="75"/>
        <v>49.250539130072475</v>
      </c>
      <c r="G238" s="110">
        <f t="shared" si="97"/>
        <v>0.89161548033849969</v>
      </c>
      <c r="H238" s="412" t="b">
        <f>Wh_hp&gt;='2020'!Maxi_hp</f>
        <v>1</v>
      </c>
      <c r="I238" s="379">
        <f>IF(H238,Wh_hp,'2020'!Maxi_hp)</f>
        <v>49.250539130072475</v>
      </c>
      <c r="J238" s="85">
        <f>IF(H238,An,'2020'!An_max)</f>
        <v>2021</v>
      </c>
      <c r="K238" s="197">
        <f t="shared" si="76"/>
        <v>44420</v>
      </c>
      <c r="L238" s="147">
        <f>IF(t&lt;Tvie,1-EXP((T0-t)*PertePVj)+'2020'!Pspv,1-EXP((T0-t)*PertePVj)+Pspv)</f>
        <v>1.79478665234718E-2</v>
      </c>
      <c r="M238" s="832"/>
      <c r="N238" s="832"/>
      <c r="O238" s="48">
        <f>IF(t&lt;Tnet,'2020'!Resal+('2020'!Salim-'2020'!Resal)*(1-EXP(('2020'!Tnet-t)/('2020'!Tau_j))),Resal+(Salim-Resal)*(1-EXP((Tnet-t)/(Tau_j))))*Salcycl</f>
        <v>4.8545306644619535E-2</v>
      </c>
      <c r="P238" s="169">
        <f>(INDEX(Models!$BJ238:$BT238,,T238)*(1-R238)+INDEX(Models!$BJ238:$BT238,,T238+1)*R238-ERP_i)*Q238*Ramure*Pc/MaxiM</f>
        <v>1.4297360972825586E-3</v>
      </c>
      <c r="Q238" s="304">
        <f t="shared" si="77"/>
        <v>0.7</v>
      </c>
      <c r="R238" s="177">
        <f t="shared" si="78"/>
        <v>0.90675034195937565</v>
      </c>
      <c r="S238" s="799">
        <f t="shared" si="79"/>
        <v>-1</v>
      </c>
      <c r="T238" s="176">
        <f t="shared" si="80"/>
        <v>5</v>
      </c>
      <c r="U238" s="250">
        <f t="shared" si="81"/>
        <v>-9.3249658040624406E-2</v>
      </c>
      <c r="V238" s="382">
        <f t="shared" si="82"/>
        <v>51.538844116612587</v>
      </c>
      <c r="W238" s="400"/>
      <c r="X238" s="157">
        <f t="shared" si="83"/>
        <v>44420</v>
      </c>
      <c r="Y238" s="383">
        <f t="shared" si="84"/>
        <v>45.959472337911485</v>
      </c>
      <c r="Z238" s="383">
        <f t="shared" si="85"/>
        <v>46.799422119487666</v>
      </c>
      <c r="AA238" s="384">
        <f t="shared" si="86"/>
        <v>49.187231348290261</v>
      </c>
      <c r="AB238" s="197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4.8545306644619535E-2</v>
      </c>
      <c r="AD238" s="230">
        <f>(INDEX(Models!$BJ238:$BT238,,AH238)*(1-AF238)+INDEX(Models!$BJ238:$BT238,,AH238+1)*AF238-ERP_i)*AE238*Ramure*Pc/MaxiM</f>
        <v>1.5204068103345804E-3</v>
      </c>
      <c r="AE238" s="304">
        <f t="shared" si="88"/>
        <v>0.7</v>
      </c>
      <c r="AF238" s="177">
        <f t="shared" si="89"/>
        <v>0.9710825642192078</v>
      </c>
      <c r="AG238" s="799">
        <f t="shared" si="95"/>
        <v>-1</v>
      </c>
      <c r="AH238" s="176">
        <f t="shared" si="90"/>
        <v>5</v>
      </c>
      <c r="AI238" s="224">
        <f t="shared" si="91"/>
        <v>-2.8917435780792256E-2</v>
      </c>
      <c r="AJ238" s="264" t="b">
        <f t="shared" si="92"/>
        <v>1</v>
      </c>
      <c r="AK238" s="264" t="b">
        <f t="shared" si="93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4"/>
        <v>44421</v>
      </c>
      <c r="B239" s="607">
        <v>22.332000000000001</v>
      </c>
      <c r="C239" s="388"/>
      <c r="D239" s="391">
        <f t="shared" si="74"/>
        <v>22.740572760459727</v>
      </c>
      <c r="E239" s="383">
        <f t="shared" si="96"/>
        <v>23.901610235678202</v>
      </c>
      <c r="F239" s="383">
        <f t="shared" si="75"/>
        <v>23.908364675284488</v>
      </c>
      <c r="G239" s="110">
        <f t="shared" si="97"/>
        <v>0.43391914776966278</v>
      </c>
      <c r="H239" s="412" t="b">
        <f>Wh_hp&gt;='2020'!Maxi_hp</f>
        <v>0</v>
      </c>
      <c r="I239" s="379">
        <f>IF(H239,Wh_hp,'2020'!Maxi_hp)</f>
        <v>44.585045141201746</v>
      </c>
      <c r="J239" s="85">
        <f>IF(H239,An,'2020'!An_max)</f>
        <v>2018</v>
      </c>
      <c r="K239" s="197">
        <f t="shared" si="76"/>
        <v>44421</v>
      </c>
      <c r="L239" s="147">
        <f>IF(t&lt;Tvie,1-EXP((T0-t)*PertePVj)+'2020'!Pspv,1-EXP((T0-t)*PertePVj)+Pspv)</f>
        <v>1.7966687328567765E-2</v>
      </c>
      <c r="M239" s="832"/>
      <c r="N239" s="832"/>
      <c r="O239" s="48">
        <f>IF(t&lt;Tnet,'2020'!Resal+('2020'!Salim-'2020'!Resal)*(1-EXP(('2020'!Tnet-t)/('2020'!Tau_j))),Resal+(Salim-Resal)*(1-EXP((Tnet-t)/(Tau_j))))*Salcycl</f>
        <v>4.8575701125164447E-2</v>
      </c>
      <c r="P239" s="169">
        <f>(INDEX(Models!$BJ239:$BT239,,T239)*(1-R239)+INDEX(Models!$BJ239:$BT239,,T239+1)*R239-ERP_i)*Q239*Ramure*Pc/MaxiM</f>
        <v>1.4710353359927129E-3</v>
      </c>
      <c r="Q239" s="304">
        <f t="shared" si="77"/>
        <v>0.7</v>
      </c>
      <c r="R239" s="177">
        <f t="shared" si="78"/>
        <v>0.90780142862157054</v>
      </c>
      <c r="S239" s="799">
        <f t="shared" si="79"/>
        <v>-1</v>
      </c>
      <c r="T239" s="176">
        <f t="shared" si="80"/>
        <v>5</v>
      </c>
      <c r="U239" s="250">
        <f t="shared" si="81"/>
        <v>-9.2198571378429517E-2</v>
      </c>
      <c r="V239" s="382">
        <f t="shared" si="82"/>
        <v>51.4046235294376</v>
      </c>
      <c r="W239" s="400"/>
      <c r="X239" s="157">
        <f t="shared" si="83"/>
        <v>44421</v>
      </c>
      <c r="Y239" s="383">
        <f t="shared" si="84"/>
        <v>22.331601426280635</v>
      </c>
      <c r="Z239" s="383">
        <f t="shared" si="85"/>
        <v>22.74016689467674</v>
      </c>
      <c r="AA239" s="384">
        <f t="shared" si="86"/>
        <v>23.901183648104745</v>
      </c>
      <c r="AB239" s="197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4.8575701125164447E-2</v>
      </c>
      <c r="AD239" s="230">
        <f>(INDEX(Models!$BJ239:$BT239,,AH239)*(1-AF239)+INDEX(Models!$BJ239:$BT239,,AH239+1)*AF239-ERP_i)*AE239*Ramure*Pc/MaxiM</f>
        <v>1.5639409552642048E-3</v>
      </c>
      <c r="AE239" s="304">
        <f t="shared" si="88"/>
        <v>0.7</v>
      </c>
      <c r="AF239" s="177">
        <f t="shared" si="89"/>
        <v>0.97213365088140269</v>
      </c>
      <c r="AG239" s="799">
        <f t="shared" si="95"/>
        <v>-1</v>
      </c>
      <c r="AH239" s="176">
        <f t="shared" si="90"/>
        <v>5</v>
      </c>
      <c r="AI239" s="224">
        <f t="shared" si="91"/>
        <v>-2.7866349118597367E-2</v>
      </c>
      <c r="AJ239" s="264" t="b">
        <f t="shared" si="92"/>
        <v>1</v>
      </c>
      <c r="AK239" s="264" t="b">
        <f t="shared" si="93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4"/>
        <v>44422</v>
      </c>
      <c r="B240" s="607">
        <v>45.948999999999998</v>
      </c>
      <c r="C240" s="388"/>
      <c r="D240" s="391">
        <f t="shared" si="74"/>
        <v>46.790551833706552</v>
      </c>
      <c r="E240" s="383">
        <f t="shared" si="96"/>
        <v>49.181042998324763</v>
      </c>
      <c r="F240" s="383">
        <f t="shared" si="75"/>
        <v>49.244285080500092</v>
      </c>
      <c r="G240" s="110">
        <f t="shared" si="97"/>
        <v>0.89602450144763712</v>
      </c>
      <c r="H240" s="412" t="b">
        <f>Wh_hp&gt;='2020'!Maxi_hp</f>
        <v>0</v>
      </c>
      <c r="I240" s="379">
        <f>IF(H240,Wh_hp,'2020'!Maxi_hp)</f>
        <v>56.167943192678834</v>
      </c>
      <c r="J240" s="85">
        <f>IF(H240,An,'2020'!An_max)</f>
        <v>2018</v>
      </c>
      <c r="K240" s="197">
        <f t="shared" si="76"/>
        <v>44422</v>
      </c>
      <c r="L240" s="147">
        <f>IF(t&lt;Tvie,1-EXP((T0-t)*PertePVj)+'2020'!Pspv,1-EXP((T0-t)*PertePVj)+Pspv)</f>
        <v>1.7985507772967257E-2</v>
      </c>
      <c r="M240" s="832"/>
      <c r="N240" s="832"/>
      <c r="O240" s="48">
        <f>IF(t&lt;Tnet,'2020'!Resal+('2020'!Salim-'2020'!Resal)*(1-EXP(('2020'!Tnet-t)/('2020'!Tau_j))),Resal+(Salim-Resal)*(1-EXP((Tnet-t)/(Tau_j))))*Salcycl</f>
        <v>4.860594690315205E-2</v>
      </c>
      <c r="P240" s="169">
        <f>(INDEX(Models!$BJ240:$BT240,,T240)*(1-R240)+INDEX(Models!$BJ240:$BT240,,T240+1)*R240-ERP_i)*Q240*Ramure*Pc/MaxiM</f>
        <v>1.5077804747210886E-3</v>
      </c>
      <c r="Q240" s="304">
        <f t="shared" si="77"/>
        <v>0.7</v>
      </c>
      <c r="R240" s="177">
        <f t="shared" si="78"/>
        <v>0.90881578587032963</v>
      </c>
      <c r="S240" s="799">
        <f t="shared" si="79"/>
        <v>-1</v>
      </c>
      <c r="T240" s="176">
        <f t="shared" si="80"/>
        <v>5</v>
      </c>
      <c r="U240" s="250">
        <f t="shared" si="81"/>
        <v>-9.1184214129670371E-2</v>
      </c>
      <c r="V240" s="382">
        <f t="shared" si="82"/>
        <v>51.269486290132001</v>
      </c>
      <c r="W240" s="400"/>
      <c r="X240" s="157">
        <f t="shared" si="83"/>
        <v>44422</v>
      </c>
      <c r="Y240" s="383">
        <f t="shared" si="84"/>
        <v>45.945283600187722</v>
      </c>
      <c r="Z240" s="383">
        <f t="shared" si="85"/>
        <v>46.786767368363435</v>
      </c>
      <c r="AA240" s="384">
        <f t="shared" si="86"/>
        <v>49.177065187731138</v>
      </c>
      <c r="AB240" s="197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4.860594690315205E-2</v>
      </c>
      <c r="AD240" s="230">
        <f>(INDEX(Models!$BJ240:$BT240,,AH240)*(1-AF240)+INDEX(Models!$BJ240:$BT240,,AH240+1)*AF240-ERP_i)*AE240*Ramure*Pc/MaxiM</f>
        <v>1.6026170920320402E-3</v>
      </c>
      <c r="AE240" s="304">
        <f t="shared" si="88"/>
        <v>0.7</v>
      </c>
      <c r="AF240" s="177">
        <f t="shared" si="89"/>
        <v>0.97314800813016178</v>
      </c>
      <c r="AG240" s="799">
        <f t="shared" si="95"/>
        <v>-1</v>
      </c>
      <c r="AH240" s="176">
        <f t="shared" si="90"/>
        <v>5</v>
      </c>
      <c r="AI240" s="224">
        <f t="shared" si="91"/>
        <v>-2.6851991869838221E-2</v>
      </c>
      <c r="AJ240" s="264" t="b">
        <f t="shared" si="92"/>
        <v>1</v>
      </c>
      <c r="AK240" s="264" t="b">
        <f t="shared" si="93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4"/>
        <v>44423</v>
      </c>
      <c r="B241" s="607">
        <v>17.442</v>
      </c>
      <c r="C241" s="388"/>
      <c r="D241" s="391">
        <f t="shared" si="74"/>
        <v>17.76178907380595</v>
      </c>
      <c r="E241" s="383">
        <f t="shared" si="96"/>
        <v>18.669814950674699</v>
      </c>
      <c r="F241" s="383">
        <f t="shared" si="75"/>
        <v>18.671505058881596</v>
      </c>
      <c r="G241" s="110">
        <f t="shared" si="97"/>
        <v>0.34061512372145658</v>
      </c>
      <c r="H241" s="412" t="b">
        <f>Wh_hp&gt;='2020'!Maxi_hp</f>
        <v>0</v>
      </c>
      <c r="I241" s="379">
        <f>IF(H241,Wh_hp,'2020'!Maxi_hp)</f>
        <v>48.01365532613444</v>
      </c>
      <c r="J241" s="85">
        <f>IF(H241,An,'2020'!An_max)</f>
        <v>2020</v>
      </c>
      <c r="K241" s="197">
        <f t="shared" si="76"/>
        <v>44423</v>
      </c>
      <c r="L241" s="147">
        <f>IF(t&lt;Tvie,1-EXP((T0-t)*PertePVj)+'2020'!Pspv,1-EXP((T0-t)*PertePVj)+Pspv)</f>
        <v>1.8004327856677271E-2</v>
      </c>
      <c r="M241" s="832"/>
      <c r="N241" s="832"/>
      <c r="O241" s="48">
        <f>IF(t&lt;Tnet,'2020'!Resal+('2020'!Salim-'2020'!Resal)*(1-EXP(('2020'!Tnet-t)/('2020'!Tau_j))),Resal+(Salim-Resal)*(1-EXP((Tnet-t)/(Tau_j))))*Salcycl</f>
        <v>4.8636040542862122E-2</v>
      </c>
      <c r="P241" s="169">
        <f>(INDEX(Models!$BJ241:$BT241,,T241)*(1-R241)+INDEX(Models!$BJ241:$BT241,,T241+1)*R241-ERP_i)*Q241*Ramure*Pc/MaxiM</f>
        <v>1.5412933259126395E-3</v>
      </c>
      <c r="Q241" s="304">
        <f t="shared" si="77"/>
        <v>0.7</v>
      </c>
      <c r="R241" s="177">
        <f t="shared" si="78"/>
        <v>0.90979449348876185</v>
      </c>
      <c r="S241" s="799">
        <f t="shared" si="79"/>
        <v>-1</v>
      </c>
      <c r="T241" s="176">
        <f t="shared" si="80"/>
        <v>5</v>
      </c>
      <c r="U241" s="250">
        <f t="shared" si="81"/>
        <v>-9.0205506511238209E-2</v>
      </c>
      <c r="V241" s="382">
        <f t="shared" si="82"/>
        <v>51.133059203636073</v>
      </c>
      <c r="W241" s="400"/>
      <c r="X241" s="157">
        <f t="shared" si="83"/>
        <v>44423</v>
      </c>
      <c r="Y241" s="383">
        <f t="shared" si="84"/>
        <v>17.441901082006218</v>
      </c>
      <c r="Z241" s="383">
        <f t="shared" si="85"/>
        <v>17.761688342207442</v>
      </c>
      <c r="AA241" s="384">
        <f t="shared" si="86"/>
        <v>18.669709069431764</v>
      </c>
      <c r="AB241" s="197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4.8636040542862122E-2</v>
      </c>
      <c r="AD241" s="230">
        <f>(INDEX(Models!$BJ241:$BT241,,AH241)*(1-AF241)+INDEX(Models!$BJ241:$BT241,,AH241+1)*AF241-ERP_i)*AE241*Ramure*Pc/MaxiM</f>
        <v>1.6378516719456233E-3</v>
      </c>
      <c r="AE241" s="304">
        <f t="shared" si="88"/>
        <v>0.7</v>
      </c>
      <c r="AF241" s="177">
        <f t="shared" si="89"/>
        <v>0.974126715748594</v>
      </c>
      <c r="AG241" s="799">
        <f t="shared" si="95"/>
        <v>-1</v>
      </c>
      <c r="AH241" s="176">
        <f t="shared" si="90"/>
        <v>5</v>
      </c>
      <c r="AI241" s="224">
        <f t="shared" si="91"/>
        <v>-2.5873284251406059E-2</v>
      </c>
      <c r="AJ241" s="264" t="b">
        <f t="shared" si="92"/>
        <v>1</v>
      </c>
      <c r="AK241" s="264" t="b">
        <f t="shared" si="93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4"/>
        <v>44424</v>
      </c>
      <c r="B242" s="607">
        <v>28.987000000000002</v>
      </c>
      <c r="C242" s="388"/>
      <c r="D242" s="391">
        <f t="shared" si="74"/>
        <v>29.519025757639035</v>
      </c>
      <c r="E242" s="383">
        <f t="shared" si="96"/>
        <v>31.029086606849013</v>
      </c>
      <c r="F242" s="383">
        <f t="shared" si="75"/>
        <v>31.047797251799611</v>
      </c>
      <c r="G242" s="110">
        <f t="shared" si="97"/>
        <v>0.56787675930600079</v>
      </c>
      <c r="H242" s="412" t="b">
        <f>Wh_hp&gt;='2020'!Maxi_hp</f>
        <v>0</v>
      </c>
      <c r="I242" s="379">
        <f>IF(H242,Wh_hp,'2020'!Maxi_hp)</f>
        <v>56.53449474291795</v>
      </c>
      <c r="J242" s="85">
        <f>IF(H242,An,'2020'!An_max)</f>
        <v>2018</v>
      </c>
      <c r="K242" s="197">
        <f t="shared" si="76"/>
        <v>44424</v>
      </c>
      <c r="L242" s="147">
        <f>IF(t&lt;Tvie,1-EXP((T0-t)*PertePVj)+'2020'!Pspv,1-EXP((T0-t)*PertePVj)+Pspv)</f>
        <v>1.802314757970469E-2</v>
      </c>
      <c r="M242" s="832"/>
      <c r="N242" s="832"/>
      <c r="O242" s="48">
        <f>IF(t&lt;Tnet,'2020'!Resal+('2020'!Salim-'2020'!Resal)*(1-EXP(('2020'!Tnet-t)/('2020'!Tau_j))),Resal+(Salim-Resal)*(1-EXP((Tnet-t)/(Tau_j))))*Salcycl</f>
        <v>4.8665978098003826E-2</v>
      </c>
      <c r="P242" s="169">
        <f>(INDEX(Models!$BJ242:$BT242,,T242)*(1-R242)+INDEX(Models!$BJ242:$BT242,,T242+1)*R242-ERP_i)*Q242*Ramure*Pc/MaxiM</f>
        <v>1.571550841609205E-3</v>
      </c>
      <c r="Q242" s="304">
        <f t="shared" si="77"/>
        <v>0.7</v>
      </c>
      <c r="R242" s="177">
        <f t="shared" si="78"/>
        <v>0.91073861479117679</v>
      </c>
      <c r="S242" s="799">
        <f t="shared" si="79"/>
        <v>-1</v>
      </c>
      <c r="T242" s="176">
        <f t="shared" si="80"/>
        <v>5</v>
      </c>
      <c r="U242" s="250">
        <f t="shared" si="81"/>
        <v>-8.9261385208823207E-2</v>
      </c>
      <c r="V242" s="382">
        <f t="shared" si="82"/>
        <v>50.995038573805999</v>
      </c>
      <c r="W242" s="400"/>
      <c r="X242" s="157">
        <f t="shared" si="83"/>
        <v>44424</v>
      </c>
      <c r="Y242" s="383">
        <f t="shared" si="84"/>
        <v>28.985909236407824</v>
      </c>
      <c r="Z242" s="383">
        <f t="shared" si="85"/>
        <v>29.517914974233612</v>
      </c>
      <c r="AA242" s="384">
        <f t="shared" si="86"/>
        <v>31.027919000750789</v>
      </c>
      <c r="AB242" s="197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4.8665978098003826E-2</v>
      </c>
      <c r="AD242" s="230">
        <f>(INDEX(Models!$BJ242:$BT242,,AH242)*(1-AF242)+INDEX(Models!$BJ242:$BT242,,AH242+1)*AF242-ERP_i)*AE242*Ramure*Pc/MaxiM</f>
        <v>1.669620809329685E-3</v>
      </c>
      <c r="AE242" s="304">
        <f t="shared" si="88"/>
        <v>0.7</v>
      </c>
      <c r="AF242" s="177">
        <f t="shared" si="89"/>
        <v>0.97507083705100894</v>
      </c>
      <c r="AG242" s="799">
        <f t="shared" si="95"/>
        <v>-1</v>
      </c>
      <c r="AH242" s="176">
        <f t="shared" si="90"/>
        <v>5</v>
      </c>
      <c r="AI242" s="224">
        <f t="shared" si="91"/>
        <v>-2.4929162948991057E-2</v>
      </c>
      <c r="AJ242" s="264" t="b">
        <f t="shared" si="92"/>
        <v>1</v>
      </c>
      <c r="AK242" s="264" t="b">
        <f t="shared" si="93"/>
        <v>0</v>
      </c>
      <c r="AL242" s="264"/>
      <c r="AM242" s="264"/>
      <c r="AN242" s="75"/>
    </row>
    <row r="243" spans="1:40" s="6" customFormat="1" ht="11.25" x14ac:dyDescent="0.2">
      <c r="A243" s="56">
        <f t="shared" si="94"/>
        <v>44425</v>
      </c>
      <c r="B243" s="607">
        <v>43.366</v>
      </c>
      <c r="C243" s="388"/>
      <c r="D243" s="391">
        <f t="shared" si="74"/>
        <v>44.162783479608287</v>
      </c>
      <c r="E243" s="383">
        <f t="shared" si="96"/>
        <v>46.42340630669819</v>
      </c>
      <c r="F243" s="383">
        <f t="shared" si="75"/>
        <v>46.482077685996103</v>
      </c>
      <c r="G243" s="110">
        <f t="shared" si="97"/>
        <v>0.85244901999049072</v>
      </c>
      <c r="H243" s="412" t="b">
        <f>Wh_hp&gt;='2020'!Maxi_hp</f>
        <v>0</v>
      </c>
      <c r="I243" s="379">
        <f>IF(H243,Wh_hp,'2020'!Maxi_hp)</f>
        <v>53.858600637454124</v>
      </c>
      <c r="J243" s="85">
        <f>IF(H243,An,'2020'!An_max)</f>
        <v>2018</v>
      </c>
      <c r="K243" s="197">
        <f t="shared" si="76"/>
        <v>44425</v>
      </c>
      <c r="L243" s="147">
        <f>IF(t&lt;Tvie,1-EXP((T0-t)*PertePVj)+'2020'!Pspv,1-EXP((T0-t)*PertePVj)+Pspv)</f>
        <v>1.8041966942056398E-2</v>
      </c>
      <c r="M243" s="832"/>
      <c r="N243" s="832"/>
      <c r="O243" s="48">
        <f>IF(t&lt;Tnet,'2020'!Resal+('2020'!Salim-'2020'!Resal)*(1-EXP(('2020'!Tnet-t)/('2020'!Tau_j))),Resal+(Salim-Resal)*(1-EXP((Tnet-t)/(Tau_j))))*Salcycl</f>
        <v>4.8695755157538483E-2</v>
      </c>
      <c r="P243" s="169">
        <f>(INDEX(Models!$BJ243:$BT243,,T243)*(1-R243)+INDEX(Models!$BJ243:$BT243,,T243+1)*R243-ERP_i)*Q243*Ramure*Pc/MaxiM</f>
        <v>1.5985305286984881E-3</v>
      </c>
      <c r="Q243" s="304">
        <f t="shared" si="77"/>
        <v>0.7</v>
      </c>
      <c r="R243" s="177">
        <f t="shared" si="78"/>
        <v>0.91164919561905888</v>
      </c>
      <c r="S243" s="799">
        <f t="shared" si="79"/>
        <v>-1</v>
      </c>
      <c r="T243" s="176">
        <f t="shared" si="80"/>
        <v>5</v>
      </c>
      <c r="U243" s="250">
        <f t="shared" si="81"/>
        <v>-8.8350804380941061E-2</v>
      </c>
      <c r="V243" s="382">
        <f t="shared" si="82"/>
        <v>50.855120751061165</v>
      </c>
      <c r="W243" s="400"/>
      <c r="X243" s="157">
        <f t="shared" si="83"/>
        <v>44425</v>
      </c>
      <c r="Y243" s="383">
        <f t="shared" si="84"/>
        <v>43.362592971589457</v>
      </c>
      <c r="Z243" s="383">
        <f t="shared" si="85"/>
        <v>44.159313852296485</v>
      </c>
      <c r="AA243" s="384">
        <f t="shared" si="86"/>
        <v>46.419759074668463</v>
      </c>
      <c r="AB243" s="197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4.8695755157538483E-2</v>
      </c>
      <c r="AD243" s="230">
        <f>(INDEX(Models!$BJ243:$BT243,,AH243)*(1-AF243)+INDEX(Models!$BJ243:$BT243,,AH243+1)*AF243-ERP_i)*AE243*Ramure*Pc/MaxiM</f>
        <v>1.6979011556470145E-3</v>
      </c>
      <c r="AE243" s="304">
        <f t="shared" si="88"/>
        <v>0.7</v>
      </c>
      <c r="AF243" s="177">
        <f t="shared" si="89"/>
        <v>0.97598141787889103</v>
      </c>
      <c r="AG243" s="799">
        <f t="shared" si="95"/>
        <v>-1</v>
      </c>
      <c r="AH243" s="176">
        <f t="shared" si="90"/>
        <v>5</v>
      </c>
      <c r="AI243" s="224">
        <f t="shared" si="91"/>
        <v>-2.4018582121108911E-2</v>
      </c>
      <c r="AJ243" s="264" t="b">
        <f t="shared" si="92"/>
        <v>1</v>
      </c>
      <c r="AK243" s="264" t="b">
        <f t="shared" si="93"/>
        <v>0</v>
      </c>
      <c r="AL243" s="264"/>
      <c r="AM243" s="264"/>
      <c r="AN243" s="75"/>
    </row>
    <row r="244" spans="1:40" s="6" customFormat="1" ht="11.25" x14ac:dyDescent="0.2">
      <c r="A244" s="56">
        <f t="shared" si="94"/>
        <v>44426</v>
      </c>
      <c r="B244" s="607">
        <v>42.292000000000002</v>
      </c>
      <c r="C244" s="388"/>
      <c r="D244" s="391">
        <f t="shared" si="74"/>
        <v>43.069875807584218</v>
      </c>
      <c r="E244" s="383">
        <f t="shared" si="96"/>
        <v>45.275963752636592</v>
      </c>
      <c r="F244" s="383">
        <f t="shared" si="75"/>
        <v>45.332057361760235</v>
      </c>
      <c r="G244" s="110">
        <f t="shared" si="97"/>
        <v>0.83362655349282733</v>
      </c>
      <c r="H244" s="412" t="b">
        <f>Wh_hp&gt;='2020'!Maxi_hp</f>
        <v>1</v>
      </c>
      <c r="I244" s="379">
        <f>IF(H244,Wh_hp,'2020'!Maxi_hp)</f>
        <v>45.332057361760235</v>
      </c>
      <c r="J244" s="85">
        <f>IF(H244,An,'2020'!An_max)</f>
        <v>2021</v>
      </c>
      <c r="K244" s="197">
        <f t="shared" si="76"/>
        <v>44426</v>
      </c>
      <c r="L244" s="147">
        <f>IF(t&lt;Tvie,1-EXP((T0-t)*PertePVj)+'2020'!Pspv,1-EXP((T0-t)*PertePVj)+Pspv)</f>
        <v>1.8060785943739388E-2</v>
      </c>
      <c r="M244" s="832"/>
      <c r="N244" s="832"/>
      <c r="O244" s="48">
        <f>IF(t&lt;Tnet,'2020'!Resal+('2020'!Salim-'2020'!Resal)*(1-EXP(('2020'!Tnet-t)/('2020'!Tau_j))),Resal+(Salim-Resal)*(1-EXP((Tnet-t)/(Tau_j))))*Salcycl</f>
        <v>4.8725366887941782E-2</v>
      </c>
      <c r="P244" s="169">
        <f>(INDEX(Models!$BJ244:$BT244,,T244)*(1-R244)+INDEX(Models!$BJ244:$BT244,,T244+1)*R244-ERP_i)*Q244*Ramure*Pc/MaxiM</f>
        <v>1.6222102366129565E-3</v>
      </c>
      <c r="Q244" s="304">
        <f t="shared" si="77"/>
        <v>0.7</v>
      </c>
      <c r="R244" s="177">
        <f t="shared" si="78"/>
        <v>0.9125272634629098</v>
      </c>
      <c r="S244" s="799">
        <f t="shared" si="79"/>
        <v>-1</v>
      </c>
      <c r="T244" s="176">
        <f t="shared" si="80"/>
        <v>5</v>
      </c>
      <c r="U244" s="250">
        <f t="shared" si="81"/>
        <v>-8.7472736537090201E-2</v>
      </c>
      <c r="V244" s="382">
        <f t="shared" si="82"/>
        <v>50.713002129389565</v>
      </c>
      <c r="W244" s="400"/>
      <c r="X244" s="157">
        <f t="shared" si="83"/>
        <v>44426</v>
      </c>
      <c r="Y244" s="383">
        <f t="shared" si="84"/>
        <v>42.288755203125383</v>
      </c>
      <c r="Z244" s="383">
        <f t="shared" si="85"/>
        <v>43.066571329233454</v>
      </c>
      <c r="AA244" s="384">
        <f t="shared" si="86"/>
        <v>45.272490015152442</v>
      </c>
      <c r="AB244" s="197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4.8725366887941782E-2</v>
      </c>
      <c r="AD244" s="230">
        <f>(INDEX(Models!$BJ244:$BT244,,AH244)*(1-AF244)+INDEX(Models!$BJ244:$BT244,,AH244+1)*AF244-ERP_i)*AE244*Ramure*Pc/MaxiM</f>
        <v>1.7226696756496703E-3</v>
      </c>
      <c r="AE244" s="304">
        <f t="shared" si="88"/>
        <v>0.7</v>
      </c>
      <c r="AF244" s="177">
        <f t="shared" si="89"/>
        <v>0.97685948572274195</v>
      </c>
      <c r="AG244" s="799">
        <f t="shared" si="95"/>
        <v>-1</v>
      </c>
      <c r="AH244" s="176">
        <f t="shared" si="90"/>
        <v>5</v>
      </c>
      <c r="AI244" s="224">
        <f t="shared" si="91"/>
        <v>-2.3140514277258051E-2</v>
      </c>
      <c r="AJ244" s="264" t="b">
        <f t="shared" si="92"/>
        <v>1</v>
      </c>
      <c r="AK244" s="264" t="b">
        <f t="shared" si="93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4"/>
        <v>44427</v>
      </c>
      <c r="B245" s="607">
        <v>39.015999999999998</v>
      </c>
      <c r="C245" s="388"/>
      <c r="D245" s="391">
        <f t="shared" si="74"/>
        <v>39.734381913414389</v>
      </c>
      <c r="E245" s="383">
        <f t="shared" si="96"/>
        <v>41.770914849888854</v>
      </c>
      <c r="F245" s="383">
        <f t="shared" si="75"/>
        <v>41.817185675969036</v>
      </c>
      <c r="G245" s="110">
        <f t="shared" si="97"/>
        <v>0.77113528982184076</v>
      </c>
      <c r="H245" s="412" t="b">
        <f>Wh_hp&gt;='2020'!Maxi_hp</f>
        <v>1</v>
      </c>
      <c r="I245" s="379">
        <f>IF(H245,Wh_hp,'2020'!Maxi_hp)</f>
        <v>41.817185675969036</v>
      </c>
      <c r="J245" s="85">
        <f>IF(H245,An,'2020'!An_max)</f>
        <v>2021</v>
      </c>
      <c r="K245" s="197">
        <f t="shared" si="76"/>
        <v>44427</v>
      </c>
      <c r="L245" s="147">
        <f>IF(t&lt;Tvie,1-EXP((T0-t)*PertePVj)+'2020'!Pspv,1-EXP((T0-t)*PertePVj)+Pspv)</f>
        <v>1.8079604584760434E-2</v>
      </c>
      <c r="M245" s="832"/>
      <c r="N245" s="832"/>
      <c r="O245" s="48">
        <f>IF(t&lt;Tnet,'2020'!Resal+('2020'!Salim-'2020'!Resal)*(1-EXP(('2020'!Tnet-t)/('2020'!Tau_j))),Resal+(Salim-Resal)*(1-EXP((Tnet-t)/(Tau_j))))*Salcycl</f>
        <v>4.8754808071432142E-2</v>
      </c>
      <c r="P245" s="169">
        <f>(INDEX(Models!$BJ245:$BT245,,T245)*(1-R245)+INDEX(Models!$BJ245:$BT245,,T245+1)*R245-ERP_i)*Q245*Ramure*Pc/MaxiM</f>
        <v>1.6425679421669338E-3</v>
      </c>
      <c r="Q245" s="304">
        <f t="shared" si="77"/>
        <v>0.7</v>
      </c>
      <c r="R245" s="177">
        <f t="shared" si="78"/>
        <v>0.91337382670246126</v>
      </c>
      <c r="S245" s="799">
        <f t="shared" si="79"/>
        <v>-1</v>
      </c>
      <c r="T245" s="176">
        <f t="shared" si="80"/>
        <v>5</v>
      </c>
      <c r="U245" s="250">
        <f t="shared" si="81"/>
        <v>-8.6626173297538744E-2</v>
      </c>
      <c r="V245" s="382">
        <f t="shared" si="82"/>
        <v>50.568379144798996</v>
      </c>
      <c r="W245" s="400"/>
      <c r="X245" s="157">
        <f t="shared" si="83"/>
        <v>44427</v>
      </c>
      <c r="Y245" s="383">
        <f t="shared" si="84"/>
        <v>39.013333668227908</v>
      </c>
      <c r="Z245" s="383">
        <f t="shared" si="85"/>
        <v>39.731666487821293</v>
      </c>
      <c r="AA245" s="384">
        <f t="shared" si="86"/>
        <v>41.768060248765892</v>
      </c>
      <c r="AB245" s="197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4.8754808071432142E-2</v>
      </c>
      <c r="AD245" s="230">
        <f>(INDEX(Models!$BJ245:$BT245,,AH245)*(1-AF245)+INDEX(Models!$BJ245:$BT245,,AH245+1)*AF245-ERP_i)*AE245*Ramure*Pc/MaxiM</f>
        <v>1.7439034204687098E-3</v>
      </c>
      <c r="AE245" s="304">
        <f t="shared" si="88"/>
        <v>0.7</v>
      </c>
      <c r="AF245" s="177">
        <f t="shared" si="89"/>
        <v>0.97770604896229341</v>
      </c>
      <c r="AG245" s="799">
        <f t="shared" si="95"/>
        <v>-1</v>
      </c>
      <c r="AH245" s="176">
        <f t="shared" si="90"/>
        <v>5</v>
      </c>
      <c r="AI245" s="224">
        <f t="shared" si="91"/>
        <v>-2.2293951037706594E-2</v>
      </c>
      <c r="AJ245" s="264" t="b">
        <f t="shared" si="92"/>
        <v>1</v>
      </c>
      <c r="AK245" s="264" t="b">
        <f t="shared" si="93"/>
        <v>0</v>
      </c>
      <c r="AL245" s="264"/>
      <c r="AM245" s="264"/>
      <c r="AN245" s="75"/>
    </row>
    <row r="246" spans="1:40" s="6" customFormat="1" ht="11.25" x14ac:dyDescent="0.2">
      <c r="A246" s="56">
        <f t="shared" si="94"/>
        <v>44428</v>
      </c>
      <c r="B246" s="607">
        <v>49.143999999999998</v>
      </c>
      <c r="C246" s="388"/>
      <c r="D246" s="391">
        <f t="shared" si="74"/>
        <v>50.049822858416292</v>
      </c>
      <c r="E246" s="383">
        <f t="shared" si="96"/>
        <v>52.61667876359094</v>
      </c>
      <c r="F246" s="383">
        <f t="shared" si="75"/>
        <v>52.700976001951531</v>
      </c>
      <c r="G246" s="110">
        <f t="shared" si="97"/>
        <v>0.97461563501990078</v>
      </c>
      <c r="H246" s="412" t="b">
        <f>Wh_hp&gt;='2020'!Maxi_hp</f>
        <v>1</v>
      </c>
      <c r="I246" s="379">
        <f>IF(H246,Wh_hp,'2020'!Maxi_hp)</f>
        <v>52.700976001951531</v>
      </c>
      <c r="J246" s="85">
        <f>IF(H246,An,'2020'!An_max)</f>
        <v>2021</v>
      </c>
      <c r="K246" s="197">
        <f t="shared" si="76"/>
        <v>44428</v>
      </c>
      <c r="L246" s="147">
        <f>IF(t&lt;Tvie,1-EXP((T0-t)*PertePVj)+'2020'!Pspv,1-EXP((T0-t)*PertePVj)+Pspv)</f>
        <v>1.8098422865126529E-2</v>
      </c>
      <c r="M246" s="832"/>
      <c r="N246" s="832"/>
      <c r="O246" s="48">
        <f>IF(t&lt;Tnet,'2020'!Resal+('2020'!Salim-'2020'!Resal)*(1-EXP(('2020'!Tnet-t)/('2020'!Tau_j))),Resal+(Salim-Resal)*(1-EXP((Tnet-t)/(Tau_j))))*Salcycl</f>
        <v>4.8784073139767084E-2</v>
      </c>
      <c r="P246" s="169">
        <f>(INDEX(Models!$BJ246:$BT246,,T246)*(1-R246)+INDEX(Models!$BJ246:$BT246,,T246+1)*R246-ERP_i)*Q246*Ramure*Pc/MaxiM</f>
        <v>1.6595815311711384E-3</v>
      </c>
      <c r="Q246" s="304">
        <f t="shared" si="77"/>
        <v>0.7</v>
      </c>
      <c r="R246" s="177">
        <f t="shared" si="78"/>
        <v>0.91418987395788953</v>
      </c>
      <c r="S246" s="799">
        <f t="shared" si="79"/>
        <v>-1</v>
      </c>
      <c r="T246" s="176">
        <f t="shared" si="80"/>
        <v>5</v>
      </c>
      <c r="U246" s="250">
        <f t="shared" si="81"/>
        <v>-8.5810126042110524E-2</v>
      </c>
      <c r="V246" s="382">
        <f t="shared" si="82"/>
        <v>50.420948269764025</v>
      </c>
      <c r="W246" s="400"/>
      <c r="X246" s="157">
        <f t="shared" si="83"/>
        <v>44428</v>
      </c>
      <c r="Y246" s="383">
        <f t="shared" si="84"/>
        <v>49.13916103495422</v>
      </c>
      <c r="Z246" s="383">
        <f t="shared" si="85"/>
        <v>50.044894701502749</v>
      </c>
      <c r="AA246" s="384">
        <f t="shared" si="86"/>
        <v>52.611497861153985</v>
      </c>
      <c r="AB246" s="197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4.8784073139767084E-2</v>
      </c>
      <c r="AD246" s="230">
        <f>(INDEX(Models!$BJ246:$BT246,,AH246)*(1-AF246)+INDEX(Models!$BJ246:$BT246,,AH246+1)*AF246-ERP_i)*AE246*Ramure*Pc/MaxiM</f>
        <v>1.7615792972471703E-3</v>
      </c>
      <c r="AE246" s="304">
        <f t="shared" si="88"/>
        <v>0.7</v>
      </c>
      <c r="AF246" s="177">
        <f t="shared" si="89"/>
        <v>0.97852209621772168</v>
      </c>
      <c r="AG246" s="799">
        <f t="shared" si="95"/>
        <v>-1</v>
      </c>
      <c r="AH246" s="176">
        <f t="shared" si="90"/>
        <v>5</v>
      </c>
      <c r="AI246" s="224">
        <f t="shared" si="91"/>
        <v>-2.1477903782278374E-2</v>
      </c>
      <c r="AJ246" s="264" t="b">
        <f t="shared" si="92"/>
        <v>1</v>
      </c>
      <c r="AK246" s="264" t="b">
        <f t="shared" si="93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4"/>
        <v>44429</v>
      </c>
      <c r="B247" s="607">
        <v>45.84</v>
      </c>
      <c r="C247" s="388"/>
      <c r="D247" s="391">
        <f t="shared" si="74"/>
        <v>46.685818209743402</v>
      </c>
      <c r="E247" s="383">
        <f t="shared" si="96"/>
        <v>49.081648378771177</v>
      </c>
      <c r="F247" s="383">
        <f t="shared" si="75"/>
        <v>49.153533585662586</v>
      </c>
      <c r="G247" s="110">
        <f t="shared" si="97"/>
        <v>0.91165030751682408</v>
      </c>
      <c r="H247" s="412" t="b">
        <f>Wh_hp&gt;='2020'!Maxi_hp</f>
        <v>0</v>
      </c>
      <c r="I247" s="379">
        <f>IF(H247,Wh_hp,'2020'!Maxi_hp)</f>
        <v>53.982802943625828</v>
      </c>
      <c r="J247" s="85">
        <f>IF(H247,An,'2020'!An_max)</f>
        <v>2020</v>
      </c>
      <c r="K247" s="197">
        <f t="shared" si="76"/>
        <v>44429</v>
      </c>
      <c r="L247" s="147">
        <f>IF(t&lt;Tvie,1-EXP((T0-t)*PertePVj)+'2020'!Pspv,1-EXP((T0-t)*PertePVj)+Pspv)</f>
        <v>1.8117240784844557E-2</v>
      </c>
      <c r="M247" s="832"/>
      <c r="N247" s="832"/>
      <c r="O247" s="48">
        <f>IF(t&lt;Tnet,'2020'!Resal+('2020'!Salim-'2020'!Resal)*(1-EXP(('2020'!Tnet-t)/('2020'!Tau_j))),Resal+(Salim-Resal)*(1-EXP((Tnet-t)/(Tau_j))))*Salcycl</f>
        <v>4.8813156203287238E-2</v>
      </c>
      <c r="P247" s="169">
        <f>(INDEX(Models!$BJ247:$BT247,,T247)*(1-R247)+INDEX(Models!$BJ247:$BT247,,T247+1)*R247-ERP_i)*Q247*Ramure*Pc/MaxiM</f>
        <v>1.6731813607923482E-3</v>
      </c>
      <c r="Q247" s="304">
        <f t="shared" si="77"/>
        <v>0.7</v>
      </c>
      <c r="R247" s="177">
        <f t="shared" si="78"/>
        <v>0.91497637354482086</v>
      </c>
      <c r="S247" s="799">
        <f t="shared" si="79"/>
        <v>-1</v>
      </c>
      <c r="T247" s="176">
        <f t="shared" si="80"/>
        <v>5</v>
      </c>
      <c r="U247" s="250">
        <f t="shared" si="81"/>
        <v>-8.5023626455179135E-2</v>
      </c>
      <c r="V247" s="382">
        <f t="shared" si="82"/>
        <v>50.271826959530287</v>
      </c>
      <c r="W247" s="400"/>
      <c r="X247" s="157">
        <f t="shared" si="83"/>
        <v>44429</v>
      </c>
      <c r="Y247" s="383">
        <f t="shared" si="84"/>
        <v>45.835889434380817</v>
      </c>
      <c r="Z247" s="383">
        <f t="shared" si="85"/>
        <v>46.681631797892699</v>
      </c>
      <c r="AA247" s="384">
        <f t="shared" si="86"/>
        <v>49.077247127978019</v>
      </c>
      <c r="AB247" s="197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4.8813156203287238E-2</v>
      </c>
      <c r="AD247" s="230">
        <f>(INDEX(Models!$BJ247:$BT247,,AH247)*(1-AF247)+INDEX(Models!$BJ247:$BT247,,AH247+1)*AF247-ERP_i)*AE247*Ramure*Pc/MaxiM</f>
        <v>1.7756237284189116E-3</v>
      </c>
      <c r="AE247" s="304">
        <f t="shared" si="88"/>
        <v>0.7</v>
      </c>
      <c r="AF247" s="177">
        <f t="shared" si="89"/>
        <v>0.97930859580465301</v>
      </c>
      <c r="AG247" s="799">
        <f t="shared" si="95"/>
        <v>-1</v>
      </c>
      <c r="AH247" s="176">
        <f t="shared" si="90"/>
        <v>5</v>
      </c>
      <c r="AI247" s="224">
        <f t="shared" si="91"/>
        <v>-2.0691404195346985E-2</v>
      </c>
      <c r="AJ247" s="264" t="b">
        <f t="shared" si="92"/>
        <v>1</v>
      </c>
      <c r="AK247" s="264" t="b">
        <f t="shared" si="93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4"/>
        <v>44430</v>
      </c>
      <c r="B248" s="607">
        <v>17.565000000000001</v>
      </c>
      <c r="C248" s="388"/>
      <c r="D248" s="391">
        <f t="shared" si="74"/>
        <v>17.889444000126613</v>
      </c>
      <c r="E248" s="383">
        <f t="shared" si="96"/>
        <v>18.808068649738697</v>
      </c>
      <c r="F248" s="383">
        <f t="shared" si="75"/>
        <v>18.810356483015674</v>
      </c>
      <c r="G248" s="110">
        <f t="shared" si="97"/>
        <v>0.34989664434598822</v>
      </c>
      <c r="H248" s="412" t="b">
        <f>Wh_hp&gt;='2020'!Maxi_hp</f>
        <v>0</v>
      </c>
      <c r="I248" s="379">
        <f>IF(H248,Wh_hp,'2020'!Maxi_hp)</f>
        <v>55.500972969341134</v>
      </c>
      <c r="J248" s="85">
        <f>IF(H248,An,'2020'!An_max)</f>
        <v>2018</v>
      </c>
      <c r="K248" s="197">
        <f t="shared" si="76"/>
        <v>44430</v>
      </c>
      <c r="L248" s="147">
        <f>IF(t&lt;Tvie,1-EXP((T0-t)*PertePVj)+'2020'!Pspv,1-EXP((T0-t)*PertePVj)+Pspv)</f>
        <v>1.8136058343921513E-2</v>
      </c>
      <c r="M248" s="832"/>
      <c r="N248" s="832"/>
      <c r="O248" s="48">
        <f>IF(t&lt;Tnet,'2020'!Resal+('2020'!Salim-'2020'!Resal)*(1-EXP(('2020'!Tnet-t)/('2020'!Tau_j))),Resal+(Salim-Resal)*(1-EXP((Tnet-t)/(Tau_j))))*Salcycl</f>
        <v>4.8842051074970277E-2</v>
      </c>
      <c r="P248" s="169">
        <f>(INDEX(Models!$BJ248:$BT248,,T248)*(1-R248)+INDEX(Models!$BJ248:$BT248,,T248+1)*R248-ERP_i)*Q248*Ramure*Pc/MaxiM</f>
        <v>1.6877284493362846E-3</v>
      </c>
      <c r="Q248" s="304">
        <f t="shared" si="77"/>
        <v>0.7</v>
      </c>
      <c r="R248" s="177">
        <f t="shared" si="78"/>
        <v>0.91573427302611554</v>
      </c>
      <c r="S248" s="799">
        <f t="shared" si="79"/>
        <v>-1</v>
      </c>
      <c r="T248" s="176">
        <f t="shared" si="80"/>
        <v>5</v>
      </c>
      <c r="U248" s="250">
        <f t="shared" si="81"/>
        <v>-8.4265726973884403E-2</v>
      </c>
      <c r="V248" s="382">
        <f t="shared" si="82"/>
        <v>50.121909861759704</v>
      </c>
      <c r="W248" s="400"/>
      <c r="X248" s="157">
        <f t="shared" si="83"/>
        <v>44430</v>
      </c>
      <c r="Y248" s="383">
        <f t="shared" si="84"/>
        <v>17.564869653274961</v>
      </c>
      <c r="Z248" s="383">
        <f t="shared" si="85"/>
        <v>17.889311245760648</v>
      </c>
      <c r="AA248" s="384">
        <f t="shared" si="86"/>
        <v>18.807929078423424</v>
      </c>
      <c r="AB248" s="197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4.8842051074970277E-2</v>
      </c>
      <c r="AD248" s="230">
        <f>(INDEX(Models!$BJ248:$BT248,,AH248)*(1-AF248)+INDEX(Models!$BJ248:$BT248,,AH248+1)*AF248-ERP_i)*AE248*Ramure*Pc/MaxiM</f>
        <v>1.7906898328727593E-3</v>
      </c>
      <c r="AE248" s="304">
        <f t="shared" si="88"/>
        <v>0.7</v>
      </c>
      <c r="AF248" s="177">
        <f t="shared" si="89"/>
        <v>0.98006649528594769</v>
      </c>
      <c r="AG248" s="799">
        <f t="shared" si="95"/>
        <v>-1</v>
      </c>
      <c r="AH248" s="176">
        <f t="shared" si="90"/>
        <v>5</v>
      </c>
      <c r="AI248" s="224">
        <f t="shared" si="91"/>
        <v>-1.9933504714052253E-2</v>
      </c>
      <c r="AJ248" s="264" t="b">
        <f t="shared" si="92"/>
        <v>1</v>
      </c>
      <c r="AK248" s="264" t="b">
        <f t="shared" si="93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4"/>
        <v>44431</v>
      </c>
      <c r="B249" s="607">
        <v>40.21</v>
      </c>
      <c r="C249" s="388"/>
      <c r="D249" s="391">
        <f t="shared" si="74"/>
        <v>40.953505800837696</v>
      </c>
      <c r="E249" s="383">
        <f t="shared" si="96"/>
        <v>43.057771439952987</v>
      </c>
      <c r="F249" s="383">
        <f t="shared" si="75"/>
        <v>43.110867971246151</v>
      </c>
      <c r="G249" s="110">
        <f t="shared" si="97"/>
        <v>0.8042884700559283</v>
      </c>
      <c r="H249" s="412" t="b">
        <f>Wh_hp&gt;='2020'!Maxi_hp</f>
        <v>0</v>
      </c>
      <c r="I249" s="379">
        <f>IF(H249,Wh_hp,'2020'!Maxi_hp)</f>
        <v>53.062243382697936</v>
      </c>
      <c r="J249" s="85">
        <f>IF(H249,An,'2020'!An_max)</f>
        <v>2018</v>
      </c>
      <c r="K249" s="197">
        <f t="shared" si="76"/>
        <v>44431</v>
      </c>
      <c r="L249" s="147">
        <f>IF(t&lt;Tvie,1-EXP((T0-t)*PertePVj)+'2020'!Pspv,1-EXP((T0-t)*PertePVj)+Pspv)</f>
        <v>1.8154875542364168E-2</v>
      </c>
      <c r="M249" s="832"/>
      <c r="N249" s="832"/>
      <c r="O249" s="48">
        <f>IF(t&lt;Tnet,'2020'!Resal+('2020'!Salim-'2020'!Resal)*(1-EXP(('2020'!Tnet-t)/('2020'!Tau_j))),Resal+(Salim-Resal)*(1-EXP((Tnet-t)/(Tau_j))))*Salcycl</f>
        <v>4.8870751289342325E-2</v>
      </c>
      <c r="P249" s="169">
        <f>(INDEX(Models!$BJ249:$BT249,,T249)*(1-R249)+INDEX(Models!$BJ249:$BT249,,T249+1)*R249-ERP_i)*Q249*Ramure*Pc/MaxiM</f>
        <v>1.7083142600291491E-3</v>
      </c>
      <c r="Q249" s="304">
        <f t="shared" si="77"/>
        <v>0.7</v>
      </c>
      <c r="R249" s="177">
        <f t="shared" si="78"/>
        <v>0.91646449885362458</v>
      </c>
      <c r="S249" s="799">
        <f t="shared" si="79"/>
        <v>-1</v>
      </c>
      <c r="T249" s="176">
        <f t="shared" si="80"/>
        <v>5</v>
      </c>
      <c r="U249" s="250">
        <f t="shared" si="81"/>
        <v>-8.3535501146375368E-2</v>
      </c>
      <c r="V249" s="382">
        <f t="shared" si="82"/>
        <v>49.970639000782995</v>
      </c>
      <c r="W249" s="400"/>
      <c r="X249" s="157">
        <f t="shared" si="83"/>
        <v>44431</v>
      </c>
      <c r="Y249" s="383">
        <f t="shared" si="84"/>
        <v>40.206984414183765</v>
      </c>
      <c r="Z249" s="383">
        <f t="shared" si="85"/>
        <v>40.950434455122249</v>
      </c>
      <c r="AA249" s="384">
        <f t="shared" si="86"/>
        <v>43.054542282906652</v>
      </c>
      <c r="AB249" s="197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4.8870751289342325E-2</v>
      </c>
      <c r="AD249" s="230">
        <f>(INDEX(Models!$BJ249:$BT249,,AH249)*(1-AF249)+INDEX(Models!$BJ249:$BT249,,AH249+1)*AF249-ERP_i)*AE249*Ramure*Pc/MaxiM</f>
        <v>1.8122083355135569E-3</v>
      </c>
      <c r="AE249" s="304">
        <f t="shared" si="88"/>
        <v>0.7</v>
      </c>
      <c r="AF249" s="177">
        <f t="shared" si="89"/>
        <v>0.98079672111345673</v>
      </c>
      <c r="AG249" s="799">
        <f t="shared" si="95"/>
        <v>-1</v>
      </c>
      <c r="AH249" s="176">
        <f t="shared" si="90"/>
        <v>5</v>
      </c>
      <c r="AI249" s="224">
        <f t="shared" si="91"/>
        <v>-1.9203278886543218E-2</v>
      </c>
      <c r="AJ249" s="264" t="b">
        <f t="shared" si="92"/>
        <v>1</v>
      </c>
      <c r="AK249" s="264" t="b">
        <f t="shared" si="93"/>
        <v>0</v>
      </c>
      <c r="AL249" s="264"/>
      <c r="AM249" s="264"/>
      <c r="AN249" s="75"/>
    </row>
    <row r="250" spans="1:40" s="6" customFormat="1" ht="11.25" x14ac:dyDescent="0.2">
      <c r="A250" s="56">
        <f t="shared" si="94"/>
        <v>44432</v>
      </c>
      <c r="B250" s="607">
        <v>47.698</v>
      </c>
      <c r="C250" s="388"/>
      <c r="D250" s="391">
        <f t="shared" si="74"/>
        <v>48.580894227239895</v>
      </c>
      <c r="E250" s="383">
        <f t="shared" si="96"/>
        <v>51.07859943667826</v>
      </c>
      <c r="F250" s="383">
        <f t="shared" si="75"/>
        <v>51.161970521478679</v>
      </c>
      <c r="G250" s="110">
        <f t="shared" si="97"/>
        <v>0.95734953557691771</v>
      </c>
      <c r="H250" s="412" t="b">
        <f>Wh_hp&gt;='2020'!Maxi_hp</f>
        <v>0</v>
      </c>
      <c r="I250" s="379">
        <f>IF(H250,Wh_hp,'2020'!Maxi_hp)</f>
        <v>53.484889731597349</v>
      </c>
      <c r="J250" s="85">
        <f>IF(H250,An,'2020'!An_max)</f>
        <v>2018</v>
      </c>
      <c r="K250" s="197">
        <f t="shared" si="76"/>
        <v>44432</v>
      </c>
      <c r="L250" s="147">
        <f>IF(t&lt;Tvie,1-EXP((T0-t)*PertePVj)+'2020'!Pspv,1-EXP((T0-t)*PertePVj)+Pspv)</f>
        <v>1.8173692380179518E-2</v>
      </c>
      <c r="M250" s="832"/>
      <c r="N250" s="832"/>
      <c r="O250" s="48">
        <f>IF(t&lt;Tnet,'2020'!Resal+('2020'!Salim-'2020'!Resal)*(1-EXP(('2020'!Tnet-t)/('2020'!Tau_j))),Resal+(Salim-Resal)*(1-EXP((Tnet-t)/(Tau_j))))*Salcycl</f>
        <v>4.889925011618123E-2</v>
      </c>
      <c r="P250" s="169">
        <f>(INDEX(Models!$BJ250:$BT250,,T250)*(1-R250)+INDEX(Models!$BJ250:$BT250,,T250+1)*R250-ERP_i)*Q250*Ramure*Pc/MaxiM</f>
        <v>1.735014279375068E-3</v>
      </c>
      <c r="Q250" s="304">
        <f t="shared" si="77"/>
        <v>0.7</v>
      </c>
      <c r="R250" s="177">
        <f t="shared" si="78"/>
        <v>0.917167956093356</v>
      </c>
      <c r="S250" s="799">
        <f t="shared" si="79"/>
        <v>-1</v>
      </c>
      <c r="T250" s="176">
        <f t="shared" si="80"/>
        <v>5</v>
      </c>
      <c r="U250" s="250">
        <f t="shared" si="81"/>
        <v>-8.2832043906644004E-2</v>
      </c>
      <c r="V250" s="382">
        <f t="shared" si="82"/>
        <v>49.817709907518356</v>
      </c>
      <c r="W250" s="400"/>
      <c r="X250" s="157">
        <f t="shared" si="83"/>
        <v>44432</v>
      </c>
      <c r="Y250" s="383">
        <f t="shared" si="84"/>
        <v>47.693277488361055</v>
      </c>
      <c r="Z250" s="383">
        <f t="shared" si="85"/>
        <v>48.576084301489999</v>
      </c>
      <c r="AA250" s="384">
        <f t="shared" si="86"/>
        <v>51.073542216661892</v>
      </c>
      <c r="AB250" s="197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4.889925011618123E-2</v>
      </c>
      <c r="AD250" s="230">
        <f>(INDEX(Models!$BJ250:$BT250,,AH250)*(1-AF250)+INDEX(Models!$BJ250:$BT250,,AH250+1)*AF250-ERP_i)*AE250*Ramure*Pc/MaxiM</f>
        <v>1.8402587890673627E-3</v>
      </c>
      <c r="AE250" s="304">
        <f t="shared" si="88"/>
        <v>0.7</v>
      </c>
      <c r="AF250" s="177">
        <f t="shared" si="89"/>
        <v>0.98150017835318815</v>
      </c>
      <c r="AG250" s="799">
        <f t="shared" si="95"/>
        <v>-1</v>
      </c>
      <c r="AH250" s="176">
        <f t="shared" si="90"/>
        <v>5</v>
      </c>
      <c r="AI250" s="224">
        <f t="shared" si="91"/>
        <v>-1.8499821646811854E-2</v>
      </c>
      <c r="AJ250" s="264" t="b">
        <f t="shared" si="92"/>
        <v>1</v>
      </c>
      <c r="AK250" s="264" t="b">
        <f t="shared" si="93"/>
        <v>0</v>
      </c>
      <c r="AL250" s="264"/>
      <c r="AM250" s="264"/>
      <c r="AN250" s="75"/>
    </row>
    <row r="251" spans="1:40" s="6" customFormat="1" ht="11.25" x14ac:dyDescent="0.2">
      <c r="A251" s="56">
        <f t="shared" si="94"/>
        <v>44433</v>
      </c>
      <c r="B251" s="607">
        <v>47.933</v>
      </c>
      <c r="C251" s="388"/>
      <c r="D251" s="391">
        <f t="shared" si="74"/>
        <v>48.82117974493724</v>
      </c>
      <c r="E251" s="383">
        <f t="shared" si="96"/>
        <v>51.332765722337626</v>
      </c>
      <c r="F251" s="383">
        <f t="shared" si="75"/>
        <v>51.419146627981888</v>
      </c>
      <c r="G251" s="110">
        <f t="shared" si="97"/>
        <v>0.96508369841843544</v>
      </c>
      <c r="H251" s="412" t="b">
        <f>Wh_hp&gt;='2020'!Maxi_hp</f>
        <v>1</v>
      </c>
      <c r="I251" s="379">
        <f>IF(H251,Wh_hp,'2020'!Maxi_hp)</f>
        <v>51.419146627981888</v>
      </c>
      <c r="J251" s="85">
        <f>IF(H251,An,'2020'!An_max)</f>
        <v>2021</v>
      </c>
      <c r="K251" s="197">
        <f t="shared" si="76"/>
        <v>44433</v>
      </c>
      <c r="L251" s="147">
        <f>IF(t&lt;Tvie,1-EXP((T0-t)*PertePVj)+'2020'!Pspv,1-EXP((T0-t)*PertePVj)+Pspv)</f>
        <v>1.8192508857374445E-2</v>
      </c>
      <c r="M251" s="832"/>
      <c r="N251" s="832"/>
      <c r="O251" s="48">
        <f>IF(t&lt;Tnet,'2020'!Resal+('2020'!Salim-'2020'!Resal)*(1-EXP(('2020'!Tnet-t)/('2020'!Tau_j))),Resal+(Salim-Resal)*(1-EXP((Tnet-t)/(Tau_j))))*Salcycl</f>
        <v>4.8927540569033943E-2</v>
      </c>
      <c r="P251" s="169">
        <f>(INDEX(Models!$BJ251:$BT251,,T251)*(1-R251)+INDEX(Models!$BJ251:$BT251,,T251+1)*R251-ERP_i)*Q251*Ramure*Pc/MaxiM</f>
        <v>1.7679056882095091E-3</v>
      </c>
      <c r="Q251" s="304">
        <f t="shared" si="77"/>
        <v>0.7</v>
      </c>
      <c r="R251" s="177">
        <f t="shared" si="78"/>
        <v>0.91784552822772769</v>
      </c>
      <c r="S251" s="799">
        <f t="shared" si="79"/>
        <v>-1</v>
      </c>
      <c r="T251" s="176">
        <f t="shared" si="80"/>
        <v>5</v>
      </c>
      <c r="U251" s="250">
        <f t="shared" si="81"/>
        <v>-8.2154471772272308E-2</v>
      </c>
      <c r="V251" s="382">
        <f t="shared" si="82"/>
        <v>49.662818219800243</v>
      </c>
      <c r="W251" s="400"/>
      <c r="X251" s="157">
        <f t="shared" si="83"/>
        <v>44433</v>
      </c>
      <c r="Y251" s="383">
        <f t="shared" si="84"/>
        <v>47.928117401509127</v>
      </c>
      <c r="Z251" s="383">
        <f t="shared" si="85"/>
        <v>48.816206673805759</v>
      </c>
      <c r="AA251" s="384">
        <f t="shared" si="86"/>
        <v>51.327536813559789</v>
      </c>
      <c r="AB251" s="197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4.8927540569033943E-2</v>
      </c>
      <c r="AD251" s="230">
        <f>(INDEX(Models!$BJ251:$BT251,,AH251)*(1-AF251)+INDEX(Models!$BJ251:$BT251,,AH251+1)*AF251-ERP_i)*AE251*Ramure*Pc/MaxiM</f>
        <v>1.8749225978207695E-3</v>
      </c>
      <c r="AE251" s="304">
        <f t="shared" si="88"/>
        <v>0.7</v>
      </c>
      <c r="AF251" s="177">
        <f t="shared" si="89"/>
        <v>0.98217775048755984</v>
      </c>
      <c r="AG251" s="799">
        <f t="shared" si="95"/>
        <v>-1</v>
      </c>
      <c r="AH251" s="176">
        <f t="shared" si="90"/>
        <v>5</v>
      </c>
      <c r="AI251" s="224">
        <f t="shared" si="91"/>
        <v>-1.7822249512440158E-2</v>
      </c>
      <c r="AJ251" s="264" t="b">
        <f t="shared" si="92"/>
        <v>1</v>
      </c>
      <c r="AK251" s="264" t="b">
        <f t="shared" si="93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4"/>
        <v>44434</v>
      </c>
      <c r="B252" s="607">
        <v>47.832000000000001</v>
      </c>
      <c r="C252" s="388"/>
      <c r="D252" s="391">
        <f t="shared" si="74"/>
        <v>48.719241947592394</v>
      </c>
      <c r="E252" s="383">
        <f t="shared" si="96"/>
        <v>51.227095955702133</v>
      </c>
      <c r="F252" s="383">
        <f t="shared" si="75"/>
        <v>51.31534765165356</v>
      </c>
      <c r="G252" s="110">
        <f t="shared" si="97"/>
        <v>0.9661080877275342</v>
      </c>
      <c r="H252" s="412" t="b">
        <f>Wh_hp&gt;='2020'!Maxi_hp</f>
        <v>0</v>
      </c>
      <c r="I252" s="379">
        <f>IF(H252,Wh_hp,'2020'!Maxi_hp)</f>
        <v>52.553587232779272</v>
      </c>
      <c r="J252" s="85">
        <f>IF(H252,An,'2020'!An_max)</f>
        <v>2020</v>
      </c>
      <c r="K252" s="197">
        <f t="shared" si="76"/>
        <v>44434</v>
      </c>
      <c r="L252" s="147">
        <f>IF(t&lt;Tvie,1-EXP((T0-t)*PertePVj)+'2020'!Pspv,1-EXP((T0-t)*PertePVj)+Pspv)</f>
        <v>1.8211324973955945E-2</v>
      </c>
      <c r="M252" s="832"/>
      <c r="N252" s="832"/>
      <c r="O252" s="48">
        <f>IF(t&lt;Tnet,'2020'!Resal+('2020'!Salim-'2020'!Resal)*(1-EXP(('2020'!Tnet-t)/('2020'!Tau_j))),Resal+(Salim-Resal)*(1-EXP((Tnet-t)/(Tau_j))))*Salcycl</f>
        <v>4.8955615408657373E-2</v>
      </c>
      <c r="P252" s="169">
        <f>(INDEX(Models!$BJ252:$BT252,,T252)*(1-R252)+INDEX(Models!$BJ252:$BT252,,T252+1)*R252-ERP_i)*Q252*Ramure*Pc/MaxiM</f>
        <v>1.8070661394011085E-3</v>
      </c>
      <c r="Q252" s="304">
        <f t="shared" si="77"/>
        <v>0.7</v>
      </c>
      <c r="R252" s="177">
        <f t="shared" si="78"/>
        <v>0.91849807702885067</v>
      </c>
      <c r="S252" s="799">
        <f t="shared" si="79"/>
        <v>-1</v>
      </c>
      <c r="T252" s="176">
        <f t="shared" si="80"/>
        <v>5</v>
      </c>
      <c r="U252" s="250">
        <f t="shared" si="81"/>
        <v>-8.1501922971149388E-2</v>
      </c>
      <c r="V252" s="382">
        <f t="shared" si="82"/>
        <v>49.505659762872519</v>
      </c>
      <c r="W252" s="400"/>
      <c r="X252" s="157">
        <f t="shared" si="83"/>
        <v>44434</v>
      </c>
      <c r="Y252" s="383">
        <f t="shared" si="84"/>
        <v>47.827019735363969</v>
      </c>
      <c r="Z252" s="383">
        <f t="shared" si="85"/>
        <v>48.71416930338421</v>
      </c>
      <c r="AA252" s="384">
        <f t="shared" si="86"/>
        <v>51.221762193902613</v>
      </c>
      <c r="AB252" s="197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4.8955615408657373E-2</v>
      </c>
      <c r="AD252" s="230">
        <f>(INDEX(Models!$BJ252:$BT252,,AH252)*(1-AF252)+INDEX(Models!$BJ252:$BT252,,AH252+1)*AF252-ERP_i)*AE252*Ramure*Pc/MaxiM</f>
        <v>1.9162817214885342E-3</v>
      </c>
      <c r="AE252" s="304">
        <f t="shared" si="88"/>
        <v>0.7</v>
      </c>
      <c r="AF252" s="177">
        <f t="shared" si="89"/>
        <v>0.98283029928868282</v>
      </c>
      <c r="AG252" s="799">
        <f t="shared" si="95"/>
        <v>-1</v>
      </c>
      <c r="AH252" s="176">
        <f t="shared" si="90"/>
        <v>5</v>
      </c>
      <c r="AI252" s="224">
        <f t="shared" si="91"/>
        <v>-1.7169700711317237E-2</v>
      </c>
      <c r="AJ252" s="264" t="b">
        <f t="shared" si="92"/>
        <v>1</v>
      </c>
      <c r="AK252" s="264" t="b">
        <f t="shared" si="93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4"/>
        <v>44435</v>
      </c>
      <c r="B253" s="607">
        <v>44.341000000000001</v>
      </c>
      <c r="C253" s="388"/>
      <c r="D253" s="391">
        <f t="shared" si="74"/>
        <v>45.164352502089294</v>
      </c>
      <c r="E253" s="383">
        <f t="shared" si="96"/>
        <v>47.490607094222796</v>
      </c>
      <c r="F253" s="383">
        <f t="shared" si="75"/>
        <v>47.565958675854169</v>
      </c>
      <c r="G253" s="110">
        <f t="shared" si="97"/>
        <v>0.89833302149795646</v>
      </c>
      <c r="H253" s="412" t="b">
        <f>Wh_hp&gt;='2020'!Maxi_hp</f>
        <v>1</v>
      </c>
      <c r="I253" s="379">
        <f>IF(H253,Wh_hp,'2020'!Maxi_hp)</f>
        <v>47.565958675854169</v>
      </c>
      <c r="J253" s="85">
        <f>IF(H253,An,'2020'!An_max)</f>
        <v>2021</v>
      </c>
      <c r="K253" s="197">
        <f t="shared" si="76"/>
        <v>44435</v>
      </c>
      <c r="L253" s="147">
        <f>IF(t&lt;Tvie,1-EXP((T0-t)*PertePVj)+'2020'!Pspv,1-EXP((T0-t)*PertePVj)+Pspv)</f>
        <v>1.8230140729930788E-2</v>
      </c>
      <c r="M253" s="832"/>
      <c r="N253" s="832"/>
      <c r="O253" s="48">
        <f>IF(t&lt;Tnet,'2020'!Resal+('2020'!Salim-'2020'!Resal)*(1-EXP(('2020'!Tnet-t)/('2020'!Tau_j))),Resal+(Salim-Resal)*(1-EXP((Tnet-t)/(Tau_j))))*Salcycl</f>
        <v>4.8983467141579008E-2</v>
      </c>
      <c r="P253" s="169">
        <f>(INDEX(Models!$BJ253:$BT253,,T253)*(1-R253)+INDEX(Models!$BJ253:$BT253,,T253+1)*R253-ERP_i)*Q253*Ramure*Pc/MaxiM</f>
        <v>1.8525753059759878E-3</v>
      </c>
      <c r="Q253" s="304">
        <f t="shared" si="77"/>
        <v>0.7</v>
      </c>
      <c r="R253" s="177">
        <f t="shared" si="78"/>
        <v>0.91912644249704845</v>
      </c>
      <c r="S253" s="799">
        <f t="shared" si="79"/>
        <v>-1</v>
      </c>
      <c r="T253" s="176">
        <f t="shared" si="80"/>
        <v>5</v>
      </c>
      <c r="U253" s="250">
        <f t="shared" si="81"/>
        <v>-8.087355750295161E-2</v>
      </c>
      <c r="V253" s="382">
        <f t="shared" si="82"/>
        <v>49.3459304936178</v>
      </c>
      <c r="W253" s="400"/>
      <c r="X253" s="157">
        <f t="shared" si="83"/>
        <v>44435</v>
      </c>
      <c r="Y253" s="383">
        <f t="shared" si="84"/>
        <v>44.336752524491565</v>
      </c>
      <c r="Z253" s="383">
        <f t="shared" si="85"/>
        <v>45.16002615669548</v>
      </c>
      <c r="AA253" s="384">
        <f t="shared" si="86"/>
        <v>47.486057914219778</v>
      </c>
      <c r="AB253" s="197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4.8983467141579008E-2</v>
      </c>
      <c r="AD253" s="230">
        <f>(INDEX(Models!$BJ253:$BT253,,AH253)*(1-AF253)+INDEX(Models!$BJ253:$BT253,,AH253+1)*AF253-ERP_i)*AE253*Ramure*Pc/MaxiM</f>
        <v>1.9644203177668971E-3</v>
      </c>
      <c r="AE253" s="304">
        <f t="shared" si="88"/>
        <v>0.7</v>
      </c>
      <c r="AF253" s="177">
        <f t="shared" si="89"/>
        <v>0.9834586647568806</v>
      </c>
      <c r="AG253" s="799">
        <f t="shared" si="95"/>
        <v>-1</v>
      </c>
      <c r="AH253" s="176">
        <f t="shared" si="90"/>
        <v>5</v>
      </c>
      <c r="AI253" s="224">
        <f t="shared" si="91"/>
        <v>-1.6541335243119459E-2</v>
      </c>
      <c r="AJ253" s="264" t="b">
        <f t="shared" si="92"/>
        <v>1</v>
      </c>
      <c r="AK253" s="264" t="b">
        <f t="shared" si="93"/>
        <v>0</v>
      </c>
      <c r="AL253" s="264"/>
      <c r="AM253" s="264"/>
      <c r="AN253" s="75"/>
    </row>
    <row r="254" spans="1:40" s="6" customFormat="1" ht="11.25" x14ac:dyDescent="0.2">
      <c r="A254" s="56">
        <f t="shared" si="94"/>
        <v>44436</v>
      </c>
      <c r="B254" s="607">
        <v>49.686</v>
      </c>
      <c r="C254" s="388"/>
      <c r="D254" s="391">
        <f t="shared" si="74"/>
        <v>50.609571856326625</v>
      </c>
      <c r="E254" s="383">
        <f t="shared" si="96"/>
        <v>53.21783589530925</v>
      </c>
      <c r="F254" s="383">
        <f t="shared" si="75"/>
        <v>53.319342181775433</v>
      </c>
      <c r="G254" s="110">
        <f t="shared" si="97"/>
        <v>1.0102196222391799</v>
      </c>
      <c r="H254" s="412" t="b">
        <f>Wh_hp&gt;='2020'!Maxi_hp</f>
        <v>1</v>
      </c>
      <c r="I254" s="379">
        <f>IF(H254,Wh_hp,'2020'!Maxi_hp)</f>
        <v>53.319342181775433</v>
      </c>
      <c r="J254" s="85">
        <f>IF(H254,An,'2020'!An_max)</f>
        <v>2021</v>
      </c>
      <c r="K254" s="197">
        <f t="shared" si="76"/>
        <v>44436</v>
      </c>
      <c r="L254" s="147">
        <f>IF(t&lt;Tvie,1-EXP((T0-t)*PertePVj)+'2020'!Pspv,1-EXP((T0-t)*PertePVj)+Pspv)</f>
        <v>1.8248956125305971E-2</v>
      </c>
      <c r="M254" s="832"/>
      <c r="N254" s="832"/>
      <c r="O254" s="48">
        <f>IF(t&lt;Tnet,'2020'!Resal+('2020'!Salim-'2020'!Resal)*(1-EXP(('2020'!Tnet-t)/('2020'!Tau_j))),Resal+(Salim-Resal)*(1-EXP((Tnet-t)/(Tau_j))))*Salcycl</f>
        <v>4.9011088014056667E-2</v>
      </c>
      <c r="P254" s="169">
        <f>(INDEX(Models!$BJ254:$BT254,,T254)*(1-R254)+INDEX(Models!$BJ254:$BT254,,T254+1)*R254-ERP_i)*Q254*Ramure*Pc/MaxiM</f>
        <v>1.9037422877448446E-3</v>
      </c>
      <c r="Q254" s="304">
        <f t="shared" si="77"/>
        <v>0.7</v>
      </c>
      <c r="R254" s="177">
        <f t="shared" si="78"/>
        <v>0.91973144285909625</v>
      </c>
      <c r="S254" s="799">
        <f t="shared" si="79"/>
        <v>-1</v>
      </c>
      <c r="T254" s="176">
        <f t="shared" si="80"/>
        <v>5</v>
      </c>
      <c r="U254" s="250">
        <f t="shared" si="81"/>
        <v>-8.0268557140903751E-2</v>
      </c>
      <c r="V254" s="382">
        <f t="shared" si="82"/>
        <v>49.18336459340356</v>
      </c>
      <c r="W254" s="400"/>
      <c r="X254" s="157">
        <f t="shared" si="83"/>
        <v>44436</v>
      </c>
      <c r="Y254" s="383">
        <f t="shared" si="84"/>
        <v>49.680281122591005</v>
      </c>
      <c r="Z254" s="383">
        <f t="shared" si="85"/>
        <v>50.60374667544734</v>
      </c>
      <c r="AA254" s="384">
        <f t="shared" si="86"/>
        <v>53.211710502251698</v>
      </c>
      <c r="AB254" s="197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4.9011088014056667E-2</v>
      </c>
      <c r="AD254" s="230">
        <f>(INDEX(Models!$BJ254:$BT254,,AH254)*(1-AF254)+INDEX(Models!$BJ254:$BT254,,AH254+1)*AF254-ERP_i)*AE254*Ramure*Pc/MaxiM</f>
        <v>2.0186235448441973E-3</v>
      </c>
      <c r="AE254" s="304">
        <f t="shared" si="88"/>
        <v>0.7</v>
      </c>
      <c r="AF254" s="177">
        <f t="shared" si="89"/>
        <v>0.9840636651189284</v>
      </c>
      <c r="AG254" s="799">
        <f t="shared" si="95"/>
        <v>-1</v>
      </c>
      <c r="AH254" s="176">
        <f t="shared" si="90"/>
        <v>5</v>
      </c>
      <c r="AI254" s="224">
        <f t="shared" si="91"/>
        <v>-1.5936334881071601E-2</v>
      </c>
      <c r="AJ254" s="264" t="b">
        <f t="shared" si="92"/>
        <v>1</v>
      </c>
      <c r="AK254" s="264" t="b">
        <f t="shared" si="93"/>
        <v>0</v>
      </c>
      <c r="AL254" s="264"/>
      <c r="AM254" s="264"/>
      <c r="AN254" s="75"/>
    </row>
    <row r="255" spans="1:40" s="6" customFormat="1" ht="11.25" x14ac:dyDescent="0.2">
      <c r="A255" s="56">
        <f t="shared" si="94"/>
        <v>44437</v>
      </c>
      <c r="B255" s="607">
        <v>49.097000000000001</v>
      </c>
      <c r="C255" s="388"/>
      <c r="D255" s="391">
        <f t="shared" si="74"/>
        <v>50.010581865094416</v>
      </c>
      <c r="E255" s="383">
        <f t="shared" si="96"/>
        <v>52.589489992501562</v>
      </c>
      <c r="F255" s="383">
        <f t="shared" si="75"/>
        <v>52.692719517671406</v>
      </c>
      <c r="G255" s="110">
        <f t="shared" si="97"/>
        <v>1.0016170706029754</v>
      </c>
      <c r="H255" s="412" t="b">
        <f>Wh_hp&gt;='2020'!Maxi_hp</f>
        <v>1</v>
      </c>
      <c r="I255" s="379">
        <f>IF(H255,Wh_hp,'2020'!Maxi_hp)</f>
        <v>52.692719517671406</v>
      </c>
      <c r="J255" s="85">
        <f>IF(H255,An,'2020'!An_max)</f>
        <v>2021</v>
      </c>
      <c r="K255" s="197">
        <f t="shared" si="76"/>
        <v>44437</v>
      </c>
      <c r="L255" s="147">
        <f>IF(t&lt;Tvie,1-EXP((T0-t)*PertePVj)+'2020'!Pspv,1-EXP((T0-t)*PertePVj)+Pspv)</f>
        <v>1.8267771160088486E-2</v>
      </c>
      <c r="M255" s="832"/>
      <c r="N255" s="832"/>
      <c r="O255" s="48">
        <f>IF(t&lt;Tnet,'2020'!Resal+('2020'!Salim-'2020'!Resal)*(1-EXP(('2020'!Tnet-t)/('2020'!Tau_j))),Resal+(Salim-Resal)*(1-EXP((Tnet-t)/(Tau_j))))*Salcycl</f>
        <v>4.9038470001798042E-2</v>
      </c>
      <c r="P255" s="169">
        <f>(INDEX(Models!$BJ255:$BT255,,T255)*(1-R255)+INDEX(Models!$BJ255:$BT255,,T255+1)*R255-ERP_i)*Q255*Ramure*Pc/MaxiM</f>
        <v>1.9590851661247075E-3</v>
      </c>
      <c r="Q255" s="304">
        <f t="shared" si="77"/>
        <v>0.7</v>
      </c>
      <c r="R255" s="177">
        <f t="shared" si="78"/>
        <v>0.92031387462093195</v>
      </c>
      <c r="S255" s="799">
        <f t="shared" si="79"/>
        <v>-1</v>
      </c>
      <c r="T255" s="176">
        <f t="shared" si="80"/>
        <v>5</v>
      </c>
      <c r="U255" s="250">
        <f t="shared" si="81"/>
        <v>-7.9686125379068051E-2</v>
      </c>
      <c r="V255" s="382">
        <f t="shared" si="82"/>
        <v>49.017734861930336</v>
      </c>
      <c r="W255" s="400"/>
      <c r="X255" s="157">
        <f t="shared" si="83"/>
        <v>44437</v>
      </c>
      <c r="Y255" s="383">
        <f t="shared" si="84"/>
        <v>49.091184623148393</v>
      </c>
      <c r="Z255" s="383">
        <f t="shared" si="85"/>
        <v>50.004658277500191</v>
      </c>
      <c r="AA255" s="384">
        <f t="shared" si="86"/>
        <v>52.583260941790925</v>
      </c>
      <c r="AB255" s="197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4.9038470001798042E-2</v>
      </c>
      <c r="AD255" s="230">
        <f>(INDEX(Models!$BJ255:$BT255,,AH255)*(1-AF255)+INDEX(Models!$BJ255:$BT255,,AH255+1)*AF255-ERP_i)*AE255*Ramure*Pc/MaxiM</f>
        <v>2.0772998031307471E-3</v>
      </c>
      <c r="AE255" s="304">
        <f t="shared" si="88"/>
        <v>0.7</v>
      </c>
      <c r="AF255" s="177">
        <f t="shared" si="89"/>
        <v>0.9846460968807641</v>
      </c>
      <c r="AG255" s="799">
        <f t="shared" si="95"/>
        <v>-1</v>
      </c>
      <c r="AH255" s="176">
        <f t="shared" si="90"/>
        <v>5</v>
      </c>
      <c r="AI255" s="224">
        <f t="shared" si="91"/>
        <v>-1.5353903119235901E-2</v>
      </c>
      <c r="AJ255" s="264" t="b">
        <f t="shared" si="92"/>
        <v>1</v>
      </c>
      <c r="AK255" s="264" t="b">
        <f t="shared" si="93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4"/>
        <v>44438</v>
      </c>
      <c r="B256" s="607">
        <v>46.712000000000003</v>
      </c>
      <c r="C256" s="388"/>
      <c r="D256" s="391">
        <f t="shared" si="74"/>
        <v>47.582114419509132</v>
      </c>
      <c r="E256" s="383">
        <f t="shared" si="96"/>
        <v>50.037220926576502</v>
      </c>
      <c r="F256" s="383">
        <f t="shared" si="75"/>
        <v>50.132097120310497</v>
      </c>
      <c r="G256" s="110">
        <f t="shared" si="97"/>
        <v>0.95613722307725479</v>
      </c>
      <c r="H256" s="412" t="b">
        <f>Wh_hp&gt;='2020'!Maxi_hp</f>
        <v>0</v>
      </c>
      <c r="I256" s="379">
        <f>IF(H256,Wh_hp,'2020'!Maxi_hp)</f>
        <v>50.180898672951905</v>
      </c>
      <c r="J256" s="85">
        <f>IF(H256,An,'2020'!An_max)</f>
        <v>2018</v>
      </c>
      <c r="K256" s="197">
        <f t="shared" si="76"/>
        <v>44438</v>
      </c>
      <c r="L256" s="147">
        <f>IF(t&lt;Tvie,1-EXP((T0-t)*PertePVj)+'2020'!Pspv,1-EXP((T0-t)*PertePVj)+Pspv)</f>
        <v>1.8286585834285107E-2</v>
      </c>
      <c r="M256" s="832"/>
      <c r="N256" s="832"/>
      <c r="O256" s="48">
        <f>IF(t&lt;Tnet,'2020'!Resal+('2020'!Salim-'2020'!Resal)*(1-EXP(('2020'!Tnet-t)/('2020'!Tau_j))),Resal+(Salim-Resal)*(1-EXP((Tnet-t)/(Tau_j))))*Salcycl</f>
        <v>4.9065604795876662E-2</v>
      </c>
      <c r="P256" s="169">
        <f>(INDEX(Models!$BJ256:$BT256,,T256)*(1-R256)+INDEX(Models!$BJ256:$BT256,,T256+1)*R256-ERP_i)*Q256*Ramure*Pc/MaxiM</f>
        <v>2.0186673510234538E-3</v>
      </c>
      <c r="Q256" s="304">
        <f t="shared" si="77"/>
        <v>0.7</v>
      </c>
      <c r="R256" s="177">
        <f t="shared" si="78"/>
        <v>0.92087451266987164</v>
      </c>
      <c r="S256" s="799">
        <f t="shared" si="79"/>
        <v>-1</v>
      </c>
      <c r="T256" s="176">
        <f t="shared" si="80"/>
        <v>5</v>
      </c>
      <c r="U256" s="250">
        <f t="shared" si="81"/>
        <v>-7.9125487330128308E-2</v>
      </c>
      <c r="V256" s="382">
        <f t="shared" si="82"/>
        <v>48.848737700826476</v>
      </c>
      <c r="W256" s="400"/>
      <c r="X256" s="157">
        <f t="shared" si="83"/>
        <v>44438</v>
      </c>
      <c r="Y256" s="383">
        <f t="shared" si="84"/>
        <v>46.706653742554117</v>
      </c>
      <c r="Z256" s="383">
        <f t="shared" si="85"/>
        <v>47.576668576181802</v>
      </c>
      <c r="AA256" s="384">
        <f t="shared" si="86"/>
        <v>50.031494092680504</v>
      </c>
      <c r="AB256" s="197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4.9065604795876662E-2</v>
      </c>
      <c r="AD256" s="230">
        <f>(INDEX(Models!$BJ256:$BT256,,AH256)*(1-AF256)+INDEX(Models!$BJ256:$BT256,,AH256+1)*AF256-ERP_i)*AE256*Ramure*Pc/MaxiM</f>
        <v>2.1405163855977936E-3</v>
      </c>
      <c r="AE256" s="304">
        <f t="shared" si="88"/>
        <v>0.7</v>
      </c>
      <c r="AF256" s="177">
        <f t="shared" si="89"/>
        <v>0.98520673492970379</v>
      </c>
      <c r="AG256" s="799">
        <f t="shared" si="95"/>
        <v>-1</v>
      </c>
      <c r="AH256" s="176">
        <f t="shared" si="90"/>
        <v>5</v>
      </c>
      <c r="AI256" s="224">
        <f t="shared" si="91"/>
        <v>-1.4793265070296158E-2</v>
      </c>
      <c r="AJ256" s="264" t="b">
        <f t="shared" si="92"/>
        <v>1</v>
      </c>
      <c r="AK256" s="264" t="b">
        <f t="shared" si="93"/>
        <v>0</v>
      </c>
      <c r="AL256" s="264"/>
      <c r="AM256" s="264"/>
      <c r="AN256" s="75"/>
    </row>
    <row r="257" spans="1:40" s="6" customFormat="1" ht="11.25" x14ac:dyDescent="0.2">
      <c r="A257" s="56">
        <f t="shared" si="94"/>
        <v>44439</v>
      </c>
      <c r="B257" s="607">
        <v>47.617000000000004</v>
      </c>
      <c r="C257" s="388"/>
      <c r="D257" s="391">
        <f t="shared" si="74"/>
        <v>48.504901633536548</v>
      </c>
      <c r="E257" s="383">
        <f t="shared" si="96"/>
        <v>51.009063243735646</v>
      </c>
      <c r="F257" s="383">
        <f t="shared" si="75"/>
        <v>51.112198719060622</v>
      </c>
      <c r="G257" s="110">
        <f t="shared" si="97"/>
        <v>0.97817904940990441</v>
      </c>
      <c r="H257" s="412" t="b">
        <f>Wh_hp&gt;='2020'!Maxi_hp</f>
        <v>1</v>
      </c>
      <c r="I257" s="379">
        <f>IF(H257,Wh_hp,'2020'!Maxi_hp)</f>
        <v>51.112198719060622</v>
      </c>
      <c r="J257" s="85">
        <f>IF(H257,An,'2020'!An_max)</f>
        <v>2021</v>
      </c>
      <c r="K257" s="197">
        <f t="shared" si="76"/>
        <v>44439</v>
      </c>
      <c r="L257" s="147">
        <f>IF(t&lt;Tvie,1-EXP((T0-t)*PertePVj)+'2020'!Pspv,1-EXP((T0-t)*PertePVj)+Pspv)</f>
        <v>1.8305400147902717E-2</v>
      </c>
      <c r="M257" s="832"/>
      <c r="N257" s="832"/>
      <c r="O257" s="48">
        <f>IF(t&lt;Tnet,'2020'!Resal+('2020'!Salim-'2020'!Resal)*(1-EXP(('2020'!Tnet-t)/('2020'!Tau_j))),Resal+(Salim-Resal)*(1-EXP((Tnet-t)/(Tau_j))))*Salcycl</f>
        <v>4.9092483785352255E-2</v>
      </c>
      <c r="P257" s="169">
        <f>(INDEX(Models!$BJ257:$BT257,,T257)*(1-R257)+INDEX(Models!$BJ257:$BT257,,T257+1)*R257-ERP_i)*Q257*Ramure*Pc/MaxiM</f>
        <v>2.0825553421812107E-3</v>
      </c>
      <c r="Q257" s="304">
        <f t="shared" si="77"/>
        <v>0.7</v>
      </c>
      <c r="R257" s="177">
        <f t="shared" si="78"/>
        <v>0.92141411042163179</v>
      </c>
      <c r="S257" s="799">
        <f t="shared" si="79"/>
        <v>-1</v>
      </c>
      <c r="T257" s="176">
        <f t="shared" si="80"/>
        <v>5</v>
      </c>
      <c r="U257" s="250">
        <f t="shared" si="81"/>
        <v>-7.8585889578368151E-2</v>
      </c>
      <c r="V257" s="382">
        <f t="shared" si="82"/>
        <v>48.676069616010103</v>
      </c>
      <c r="W257" s="400"/>
      <c r="X257" s="157">
        <f t="shared" si="83"/>
        <v>44439</v>
      </c>
      <c r="Y257" s="383">
        <f t="shared" si="84"/>
        <v>47.611184763779413</v>
      </c>
      <c r="Z257" s="383">
        <f t="shared" si="85"/>
        <v>48.498977962140714</v>
      </c>
      <c r="AA257" s="384">
        <f t="shared" si="86"/>
        <v>51.002833751072245</v>
      </c>
      <c r="AB257" s="197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4.9092483785352255E-2</v>
      </c>
      <c r="AD257" s="230">
        <f>(INDEX(Models!$BJ257:$BT257,,AH257)*(1-AF257)+INDEX(Models!$BJ257:$BT257,,AH257+1)*AF257-ERP_i)*AE257*Ramure*Pc/MaxiM</f>
        <v>2.2083439050822875E-3</v>
      </c>
      <c r="AE257" s="304">
        <f t="shared" si="88"/>
        <v>0.7</v>
      </c>
      <c r="AF257" s="177">
        <f t="shared" si="89"/>
        <v>0.98574633268146394</v>
      </c>
      <c r="AG257" s="799">
        <f t="shared" si="95"/>
        <v>-1</v>
      </c>
      <c r="AH257" s="176">
        <f t="shared" si="90"/>
        <v>5</v>
      </c>
      <c r="AI257" s="224">
        <f t="shared" si="91"/>
        <v>-1.4253667318536001E-2</v>
      </c>
      <c r="AJ257" s="264" t="b">
        <f t="shared" si="92"/>
        <v>1</v>
      </c>
      <c r="AK257" s="264" t="b">
        <f t="shared" si="93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4"/>
        <v>44440</v>
      </c>
      <c r="B258" s="607">
        <v>35.436999999999998</v>
      </c>
      <c r="C258" s="388"/>
      <c r="D258" s="391">
        <f t="shared" si="74"/>
        <v>36.098476206730112</v>
      </c>
      <c r="E258" s="383">
        <f t="shared" si="96"/>
        <v>37.963194057441633</v>
      </c>
      <c r="F258" s="383">
        <f t="shared" si="75"/>
        <v>38.013496223611618</v>
      </c>
      <c r="G258" s="110">
        <f t="shared" si="97"/>
        <v>0.73006295868932536</v>
      </c>
      <c r="H258" s="412" t="b">
        <f>Wh_hp&gt;='2020'!Maxi_hp</f>
        <v>0</v>
      </c>
      <c r="I258" s="379">
        <f>IF(H258,Wh_hp,'2020'!Maxi_hp)</f>
        <v>46.064005519888724</v>
      </c>
      <c r="J258" s="85">
        <f>IF(H258,An,'2020'!An_max)</f>
        <v>2020</v>
      </c>
      <c r="K258" s="197">
        <f t="shared" si="76"/>
        <v>44440</v>
      </c>
      <c r="L258" s="147">
        <f>IF(t&lt;Tvie,1-EXP((T0-t)*PertePVj)+'2020'!Pspv,1-EXP((T0-t)*PertePVj)+Pspv)</f>
        <v>1.8324214100948422E-2</v>
      </c>
      <c r="M258" s="832"/>
      <c r="N258" s="832"/>
      <c r="O258" s="48">
        <f>IF(t&lt;Tnet,'2020'!Resal+('2020'!Salim-'2020'!Resal)*(1-EXP(('2020'!Tnet-t)/('2020'!Tau_j))),Resal+(Salim-Resal)*(1-EXP((Tnet-t)/(Tau_j))))*Salcycl</f>
        <v>4.9119098037168428E-2</v>
      </c>
      <c r="P258" s="169">
        <f>(INDEX(Models!$BJ258:$BT258,,T258)*(1-R258)+INDEX(Models!$BJ258:$BT258,,T258+1)*R258-ERP_i)*Q258*Ramure*Pc/MaxiM</f>
        <v>2.1508190907210032E-3</v>
      </c>
      <c r="Q258" s="304">
        <f t="shared" si="77"/>
        <v>0.7</v>
      </c>
      <c r="R258" s="177">
        <f t="shared" si="78"/>
        <v>0.92193340000772905</v>
      </c>
      <c r="S258" s="799">
        <f t="shared" si="79"/>
        <v>-1</v>
      </c>
      <c r="T258" s="176">
        <f t="shared" si="80"/>
        <v>5</v>
      </c>
      <c r="U258" s="250">
        <f t="shared" si="81"/>
        <v>-7.8066599992270946E-2</v>
      </c>
      <c r="V258" s="382">
        <f t="shared" si="82"/>
        <v>48.499427217688201</v>
      </c>
      <c r="W258" s="400"/>
      <c r="X258" s="157">
        <f t="shared" si="83"/>
        <v>44440</v>
      </c>
      <c r="Y258" s="383">
        <f t="shared" si="84"/>
        <v>35.434161127314574</v>
      </c>
      <c r="Z258" s="383">
        <f t="shared" si="85"/>
        <v>36.09558434291295</v>
      </c>
      <c r="AA258" s="384">
        <f t="shared" si="86"/>
        <v>37.960152810308379</v>
      </c>
      <c r="AB258" s="197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4.9119098037168428E-2</v>
      </c>
      <c r="AD258" s="230">
        <f>(INDEX(Models!$BJ258:$BT258,,AH258)*(1-AF258)+INDEX(Models!$BJ258:$BT258,,AH258+1)*AF258-ERP_i)*AE258*Ramure*Pc/MaxiM</f>
        <v>2.2808566793943831E-3</v>
      </c>
      <c r="AE258" s="304">
        <f t="shared" si="88"/>
        <v>0.7</v>
      </c>
      <c r="AF258" s="177">
        <f t="shared" si="89"/>
        <v>0.9862656222675612</v>
      </c>
      <c r="AG258" s="799">
        <f t="shared" si="95"/>
        <v>-1</v>
      </c>
      <c r="AH258" s="176">
        <f t="shared" si="90"/>
        <v>5</v>
      </c>
      <c r="AI258" s="224">
        <f t="shared" si="91"/>
        <v>-1.3734377732438796E-2</v>
      </c>
      <c r="AJ258" s="264" t="b">
        <f t="shared" si="92"/>
        <v>1</v>
      </c>
      <c r="AK258" s="264" t="b">
        <f t="shared" si="93"/>
        <v>0</v>
      </c>
      <c r="AL258" s="264"/>
      <c r="AM258" s="264"/>
      <c r="AN258" s="75"/>
    </row>
    <row r="259" spans="1:40" s="6" customFormat="1" ht="11.25" x14ac:dyDescent="0.2">
      <c r="A259" s="56">
        <f t="shared" si="94"/>
        <v>44441</v>
      </c>
      <c r="B259" s="607">
        <v>17.062999999999999</v>
      </c>
      <c r="C259" s="388"/>
      <c r="D259" s="391">
        <f t="shared" si="74"/>
        <v>17.381835489751129</v>
      </c>
      <c r="E259" s="383">
        <f t="shared" si="96"/>
        <v>18.280225167347055</v>
      </c>
      <c r="F259" s="383">
        <f t="shared" si="75"/>
        <v>18.283311113805361</v>
      </c>
      <c r="G259" s="110">
        <f t="shared" si="97"/>
        <v>0.35241018202854107</v>
      </c>
      <c r="H259" s="412" t="b">
        <f>Wh_hp&gt;='2020'!Maxi_hp</f>
        <v>0</v>
      </c>
      <c r="I259" s="379">
        <f>IF(H259,Wh_hp,'2020'!Maxi_hp)</f>
        <v>43.932172595785929</v>
      </c>
      <c r="J259" s="85">
        <f>IF(H259,An,'2020'!An_max)</f>
        <v>2018</v>
      </c>
      <c r="K259" s="197">
        <f t="shared" si="76"/>
        <v>44441</v>
      </c>
      <c r="L259" s="147">
        <f>IF(t&lt;Tvie,1-EXP((T0-t)*PertePVj)+'2020'!Pspv,1-EXP((T0-t)*PertePVj)+Pspv)</f>
        <v>1.8343027693428882E-2</v>
      </c>
      <c r="M259" s="832"/>
      <c r="N259" s="832"/>
      <c r="O259" s="48">
        <f>IF(t&lt;Tnet,'2020'!Resal+('2020'!Salim-'2020'!Resal)*(1-EXP(('2020'!Tnet-t)/('2020'!Tau_j))),Resal+(Salim-Resal)*(1-EXP((Tnet-t)/(Tau_j))))*Salcycl</f>
        <v>4.9145438273958862E-2</v>
      </c>
      <c r="P259" s="169">
        <f>(INDEX(Models!$BJ259:$BT259,,T259)*(1-R259)+INDEX(Models!$BJ259:$BT259,,T259+1)*R259-ERP_i)*Q259*Ramure*Pc/MaxiM</f>
        <v>2.2235323766428387E-3</v>
      </c>
      <c r="Q259" s="304">
        <f t="shared" si="77"/>
        <v>0.7</v>
      </c>
      <c r="R259" s="177">
        <f t="shared" si="78"/>
        <v>0.92243309249909433</v>
      </c>
      <c r="S259" s="799">
        <f t="shared" si="79"/>
        <v>-1</v>
      </c>
      <c r="T259" s="176">
        <f t="shared" si="80"/>
        <v>5</v>
      </c>
      <c r="U259" s="250">
        <f t="shared" si="81"/>
        <v>-7.7566907500905669E-2</v>
      </c>
      <c r="V259" s="382">
        <f t="shared" si="82"/>
        <v>48.318507220229399</v>
      </c>
      <c r="W259" s="400"/>
      <c r="X259" s="157">
        <f t="shared" si="83"/>
        <v>44441</v>
      </c>
      <c r="Y259" s="383">
        <f t="shared" si="84"/>
        <v>17.062825632202866</v>
      </c>
      <c r="Z259" s="383">
        <f t="shared" si="85"/>
        <v>17.381657863755439</v>
      </c>
      <c r="AA259" s="384">
        <f t="shared" si="86"/>
        <v>18.28003836065459</v>
      </c>
      <c r="AB259" s="197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4.9145438273958862E-2</v>
      </c>
      <c r="AD259" s="230">
        <f>(INDEX(Models!$BJ259:$BT259,,AH259)*(1-AF259)+INDEX(Models!$BJ259:$BT259,,AH259+1)*AF259-ERP_i)*AE259*Ramure*Pc/MaxiM</f>
        <v>2.3581331334886278E-3</v>
      </c>
      <c r="AE259" s="304">
        <f t="shared" si="88"/>
        <v>0.7</v>
      </c>
      <c r="AF259" s="177">
        <f t="shared" si="89"/>
        <v>0.98676531475892648</v>
      </c>
      <c r="AG259" s="799">
        <f t="shared" si="95"/>
        <v>-1</v>
      </c>
      <c r="AH259" s="176">
        <f t="shared" si="90"/>
        <v>5</v>
      </c>
      <c r="AI259" s="224">
        <f t="shared" si="91"/>
        <v>-1.3234685241073518E-2</v>
      </c>
      <c r="AJ259" s="264" t="b">
        <f t="shared" si="92"/>
        <v>1</v>
      </c>
      <c r="AK259" s="264" t="b">
        <f t="shared" si="93"/>
        <v>0</v>
      </c>
      <c r="AL259" s="264"/>
      <c r="AM259" s="264"/>
      <c r="AN259" s="75"/>
    </row>
    <row r="260" spans="1:40" s="6" customFormat="1" ht="11.25" x14ac:dyDescent="0.2">
      <c r="A260" s="56">
        <f t="shared" si="94"/>
        <v>44442</v>
      </c>
      <c r="B260" s="607">
        <v>28.172000000000001</v>
      </c>
      <c r="C260" s="388"/>
      <c r="D260" s="391">
        <f t="shared" si="74"/>
        <v>28.698965845578602</v>
      </c>
      <c r="E260" s="383">
        <f t="shared" si="96"/>
        <v>30.183114715376075</v>
      </c>
      <c r="F260" s="383">
        <f t="shared" si="75"/>
        <v>30.211444362604489</v>
      </c>
      <c r="G260" s="110">
        <f t="shared" si="97"/>
        <v>0.5844962924211704</v>
      </c>
      <c r="H260" s="412" t="b">
        <f>Wh_hp&gt;='2020'!Maxi_hp</f>
        <v>0</v>
      </c>
      <c r="I260" s="379">
        <f>IF(H260,Wh_hp,'2020'!Maxi_hp)</f>
        <v>53.184089947763461</v>
      </c>
      <c r="J260" s="85">
        <f>IF(H260,An,'2020'!An_max)</f>
        <v>2018</v>
      </c>
      <c r="K260" s="197">
        <f t="shared" si="76"/>
        <v>44442</v>
      </c>
      <c r="L260" s="147">
        <f>IF(t&lt;Tvie,1-EXP((T0-t)*PertePVj)+'2020'!Pspv,1-EXP((T0-t)*PertePVj)+Pspv)</f>
        <v>1.8361840925351203E-2</v>
      </c>
      <c r="M260" s="832"/>
      <c r="N260" s="832"/>
      <c r="O260" s="48">
        <f>IF(t&lt;Tnet,'2020'!Resal+('2020'!Salim-'2020'!Resal)*(1-EXP(('2020'!Tnet-t)/('2020'!Tau_j))),Resal+(Salim-Resal)*(1-EXP((Tnet-t)/(Tau_j))))*Salcycl</f>
        <v>4.9171494850443961E-2</v>
      </c>
      <c r="P260" s="169">
        <f>(INDEX(Models!$BJ260:$BT260,,T260)*(1-R260)+INDEX(Models!$BJ260:$BT260,,T260+1)*R260-ERP_i)*Q260*Ramure*Pc/MaxiM</f>
        <v>2.3007732038372946E-3</v>
      </c>
      <c r="Q260" s="304">
        <f t="shared" si="77"/>
        <v>0.7</v>
      </c>
      <c r="R260" s="177">
        <f t="shared" si="78"/>
        <v>0.92291387816199477</v>
      </c>
      <c r="S260" s="799">
        <f t="shared" si="79"/>
        <v>-1</v>
      </c>
      <c r="T260" s="176">
        <f t="shared" si="80"/>
        <v>5</v>
      </c>
      <c r="U260" s="250">
        <f t="shared" si="81"/>
        <v>-7.7086121838005284E-2</v>
      </c>
      <c r="V260" s="382">
        <f t="shared" si="82"/>
        <v>48.133006444826968</v>
      </c>
      <c r="W260" s="400"/>
      <c r="X260" s="157">
        <f t="shared" si="83"/>
        <v>44442</v>
      </c>
      <c r="Y260" s="383">
        <f t="shared" si="84"/>
        <v>28.170396967555245</v>
      </c>
      <c r="Z260" s="383">
        <f t="shared" si="85"/>
        <v>28.697332827923432</v>
      </c>
      <c r="AA260" s="384">
        <f t="shared" si="86"/>
        <v>30.18139724724557</v>
      </c>
      <c r="AB260" s="197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4.9171494850443961E-2</v>
      </c>
      <c r="AD260" s="230">
        <f>(INDEX(Models!$BJ260:$BT260,,AH260)*(1-AF260)+INDEX(Models!$BJ260:$BT260,,AH260+1)*AF260-ERP_i)*AE260*Ramure*Pc/MaxiM</f>
        <v>2.4402562203836016E-3</v>
      </c>
      <c r="AE260" s="304">
        <f t="shared" si="88"/>
        <v>0.7</v>
      </c>
      <c r="AF260" s="177">
        <f t="shared" si="89"/>
        <v>0.98724610042182692</v>
      </c>
      <c r="AG260" s="799">
        <f t="shared" si="95"/>
        <v>-1</v>
      </c>
      <c r="AH260" s="176">
        <f t="shared" si="90"/>
        <v>5</v>
      </c>
      <c r="AI260" s="224">
        <f t="shared" si="91"/>
        <v>-1.2753899578173133E-2</v>
      </c>
      <c r="AJ260" s="264" t="b">
        <f t="shared" si="92"/>
        <v>1</v>
      </c>
      <c r="AK260" s="264" t="b">
        <f t="shared" si="93"/>
        <v>0</v>
      </c>
      <c r="AL260" s="264"/>
      <c r="AM260" s="264"/>
      <c r="AN260" s="75"/>
    </row>
    <row r="261" spans="1:40" s="6" customFormat="1" ht="11.25" x14ac:dyDescent="0.2">
      <c r="A261" s="56">
        <f t="shared" si="94"/>
        <v>44443</v>
      </c>
      <c r="B261" s="607">
        <v>35.68</v>
      </c>
      <c r="C261" s="388"/>
      <c r="D261" s="391">
        <f t="shared" si="74"/>
        <v>36.348101876764801</v>
      </c>
      <c r="E261" s="383">
        <f t="shared" si="96"/>
        <v>38.228856797312645</v>
      </c>
      <c r="F261" s="383">
        <f t="shared" si="75"/>
        <v>38.286745506808764</v>
      </c>
      <c r="G261" s="110">
        <f t="shared" si="97"/>
        <v>0.7435656556555027</v>
      </c>
      <c r="H261" s="412" t="b">
        <f>Wh_hp&gt;='2020'!Maxi_hp</f>
        <v>0</v>
      </c>
      <c r="I261" s="379">
        <f>IF(H261,Wh_hp,'2020'!Maxi_hp)</f>
        <v>52.707977140675048</v>
      </c>
      <c r="J261" s="85">
        <f>IF(H261,An,'2020'!An_max)</f>
        <v>2018</v>
      </c>
      <c r="K261" s="197">
        <f t="shared" si="76"/>
        <v>44443</v>
      </c>
      <c r="L261" s="147">
        <f>IF(t&lt;Tvie,1-EXP((T0-t)*PertePVj)+'2020'!Pspv,1-EXP((T0-t)*PertePVj)+Pspv)</f>
        <v>1.8380653796722268E-2</v>
      </c>
      <c r="M261" s="832"/>
      <c r="N261" s="832"/>
      <c r="O261" s="48">
        <f>IF(t&lt;Tnet,'2020'!Resal+('2020'!Salim-'2020'!Resal)*(1-EXP(('2020'!Tnet-t)/('2020'!Tau_j))),Resal+(Salim-Resal)*(1-EXP((Tnet-t)/(Tau_j))))*Salcycl</f>
        <v>4.919725772914179E-2</v>
      </c>
      <c r="P261" s="169">
        <f>(INDEX(Models!$BJ261:$BT261,,T261)*(1-R261)+INDEX(Models!$BJ261:$BT261,,T261+1)*R261-ERP_i)*Q261*Ramure*Pc/MaxiM</f>
        <v>2.3825973956929205E-3</v>
      </c>
      <c r="Q261" s="304">
        <f t="shared" si="77"/>
        <v>0.7</v>
      </c>
      <c r="R261" s="177">
        <f t="shared" si="78"/>
        <v>0.92337642674260612</v>
      </c>
      <c r="S261" s="799">
        <f t="shared" si="79"/>
        <v>-1</v>
      </c>
      <c r="T261" s="176">
        <f t="shared" si="80"/>
        <v>5</v>
      </c>
      <c r="U261" s="250">
        <f t="shared" si="81"/>
        <v>-7.6623573257393884E-2</v>
      </c>
      <c r="V261" s="382">
        <f t="shared" si="82"/>
        <v>47.943162763320395</v>
      </c>
      <c r="W261" s="400"/>
      <c r="X261" s="157">
        <f t="shared" si="83"/>
        <v>44443</v>
      </c>
      <c r="Y261" s="383">
        <f t="shared" si="84"/>
        <v>35.676718976714035</v>
      </c>
      <c r="Z261" s="383">
        <f t="shared" si="85"/>
        <v>36.344759416880883</v>
      </c>
      <c r="AA261" s="384">
        <f t="shared" si="86"/>
        <v>38.225341388978904</v>
      </c>
      <c r="AB261" s="197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4.919725772914179E-2</v>
      </c>
      <c r="AD261" s="230">
        <f>(INDEX(Models!$BJ261:$BT261,,AH261)*(1-AF261)+INDEX(Models!$BJ261:$BT261,,AH261+1)*AF261-ERP_i)*AE261*Ramure*Pc/MaxiM</f>
        <v>2.5272854154065921E-3</v>
      </c>
      <c r="AE261" s="304">
        <f t="shared" si="88"/>
        <v>0.7</v>
      </c>
      <c r="AF261" s="177">
        <f t="shared" si="89"/>
        <v>0.98770864900243827</v>
      </c>
      <c r="AG261" s="799">
        <f t="shared" si="95"/>
        <v>-1</v>
      </c>
      <c r="AH261" s="176">
        <f t="shared" si="90"/>
        <v>5</v>
      </c>
      <c r="AI261" s="224">
        <f t="shared" si="91"/>
        <v>-1.2291350997561734E-2</v>
      </c>
      <c r="AJ261" s="264" t="b">
        <f t="shared" si="92"/>
        <v>1</v>
      </c>
      <c r="AK261" s="264" t="b">
        <f t="shared" si="93"/>
        <v>0</v>
      </c>
      <c r="AL261" s="264"/>
      <c r="AM261" s="264"/>
      <c r="AN261" s="75"/>
    </row>
    <row r="262" spans="1:40" s="6" customFormat="1" ht="11.25" x14ac:dyDescent="0.2">
      <c r="A262" s="56">
        <f t="shared" si="94"/>
        <v>44444</v>
      </c>
      <c r="B262" s="607">
        <v>42.621000000000002</v>
      </c>
      <c r="C262" s="388"/>
      <c r="D262" s="391">
        <f t="shared" si="74"/>
        <v>43.419903043118907</v>
      </c>
      <c r="E262" s="383">
        <f t="shared" si="96"/>
        <v>45.667796017674227</v>
      </c>
      <c r="F262" s="383">
        <f t="shared" si="75"/>
        <v>45.763365385724384</v>
      </c>
      <c r="G262" s="110">
        <f t="shared" si="97"/>
        <v>0.8922554922900936</v>
      </c>
      <c r="H262" s="412" t="b">
        <f>Wh_hp&gt;='2020'!Maxi_hp</f>
        <v>0</v>
      </c>
      <c r="I262" s="379">
        <f>IF(H262,Wh_hp,'2020'!Maxi_hp)</f>
        <v>52.360214050968047</v>
      </c>
      <c r="J262" s="85">
        <f>IF(H262,An,'2020'!An_max)</f>
        <v>2020</v>
      </c>
      <c r="K262" s="197">
        <f t="shared" si="76"/>
        <v>44444</v>
      </c>
      <c r="L262" s="147">
        <f>IF(t&lt;Tvie,1-EXP((T0-t)*PertePVj)+'2020'!Pspv,1-EXP((T0-t)*PertePVj)+Pspv)</f>
        <v>1.8399466307548851E-2</v>
      </c>
      <c r="M262" s="832"/>
      <c r="N262" s="832"/>
      <c r="O262" s="48">
        <f>IF(t&lt;Tnet,'2020'!Resal+('2020'!Salim-'2020'!Resal)*(1-EXP(('2020'!Tnet-t)/('2020'!Tau_j))),Resal+(Salim-Resal)*(1-EXP((Tnet-t)/(Tau_j))))*Salcycl</f>
        <v>4.9222716456151012E-2</v>
      </c>
      <c r="P262" s="169">
        <f>(INDEX(Models!$BJ262:$BT262,,T262)*(1-R262)+INDEX(Models!$BJ262:$BT262,,T262+1)*R262-ERP_i)*Q262*Ramure*Pc/MaxiM</f>
        <v>2.4668430144733021E-3</v>
      </c>
      <c r="Q262" s="304">
        <f t="shared" si="77"/>
        <v>0.7</v>
      </c>
      <c r="R262" s="177">
        <f t="shared" si="78"/>
        <v>0.92382138777682354</v>
      </c>
      <c r="S262" s="799">
        <f t="shared" si="79"/>
        <v>-1</v>
      </c>
      <c r="T262" s="176">
        <f t="shared" si="80"/>
        <v>5</v>
      </c>
      <c r="U262" s="250">
        <f t="shared" si="81"/>
        <v>-7.6178612223176401E-2</v>
      </c>
      <c r="V262" s="382">
        <f t="shared" si="82"/>
        <v>47.749590043853807</v>
      </c>
      <c r="W262" s="400"/>
      <c r="X262" s="157">
        <f t="shared" si="83"/>
        <v>44444</v>
      </c>
      <c r="Y262" s="383">
        <f t="shared" si="84"/>
        <v>42.615573796435378</v>
      </c>
      <c r="Z262" s="383">
        <f t="shared" si="85"/>
        <v>43.41437512888254</v>
      </c>
      <c r="AA262" s="384">
        <f t="shared" si="86"/>
        <v>45.661981917640453</v>
      </c>
      <c r="AB262" s="197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4.9222716456151012E-2</v>
      </c>
      <c r="AD262" s="230">
        <f>(INDEX(Models!$BJ262:$BT262,,AH262)*(1-AF262)+INDEX(Models!$BJ262:$BT262,,AH262+1)*AF262-ERP_i)*AE262*Ramure*Pc/MaxiM</f>
        <v>2.6169169591522693E-3</v>
      </c>
      <c r="AE262" s="304">
        <f t="shared" si="88"/>
        <v>0.7</v>
      </c>
      <c r="AF262" s="177">
        <f t="shared" si="89"/>
        <v>0.98815361003665569</v>
      </c>
      <c r="AG262" s="799">
        <f t="shared" si="95"/>
        <v>-1</v>
      </c>
      <c r="AH262" s="176">
        <f t="shared" si="90"/>
        <v>5</v>
      </c>
      <c r="AI262" s="224">
        <f t="shared" si="91"/>
        <v>-1.184638996334425E-2</v>
      </c>
      <c r="AJ262" s="264" t="b">
        <f t="shared" si="92"/>
        <v>1</v>
      </c>
      <c r="AK262" s="264" t="b">
        <f t="shared" si="93"/>
        <v>0</v>
      </c>
      <c r="AL262" s="264"/>
      <c r="AM262" s="264"/>
      <c r="AN262" s="75"/>
    </row>
    <row r="263" spans="1:40" s="6" customFormat="1" ht="11.25" x14ac:dyDescent="0.2">
      <c r="A263" s="56">
        <f t="shared" si="94"/>
        <v>44445</v>
      </c>
      <c r="B263" s="607">
        <v>46.564999999999998</v>
      </c>
      <c r="C263" s="388"/>
      <c r="D263" s="391">
        <f t="shared" si="74"/>
        <v>47.43873992156432</v>
      </c>
      <c r="E263" s="383">
        <f t="shared" si="96"/>
        <v>49.896011728608215</v>
      </c>
      <c r="F263" s="383">
        <f t="shared" si="75"/>
        <v>50.019722365699309</v>
      </c>
      <c r="G263" s="110">
        <f t="shared" si="97"/>
        <v>0.97915688908426268</v>
      </c>
      <c r="H263" s="412" t="b">
        <f>Wh_hp&gt;='2020'!Maxi_hp</f>
        <v>0</v>
      </c>
      <c r="I263" s="379">
        <f>IF(H263,Wh_hp,'2020'!Maxi_hp)</f>
        <v>51.253626858987126</v>
      </c>
      <c r="J263" s="85">
        <f>IF(H263,An,'2020'!An_max)</f>
        <v>2018</v>
      </c>
      <c r="K263" s="197">
        <f t="shared" si="76"/>
        <v>44445</v>
      </c>
      <c r="L263" s="147">
        <f>IF(t&lt;Tvie,1-EXP((T0-t)*PertePVj)+'2020'!Pspv,1-EXP((T0-t)*PertePVj)+Pspv)</f>
        <v>1.8418278457837944E-2</v>
      </c>
      <c r="M263" s="832"/>
      <c r="N263" s="832"/>
      <c r="O263" s="48">
        <f>IF(t&lt;Tnet,'2020'!Resal+('2020'!Salim-'2020'!Resal)*(1-EXP(('2020'!Tnet-t)/('2020'!Tau_j))),Resal+(Salim-Resal)*(1-EXP((Tnet-t)/(Tau_j))))*Salcycl</f>
        <v>4.9247860137787342E-2</v>
      </c>
      <c r="P263" s="169">
        <f>(INDEX(Models!$BJ263:$BT263,,T263)*(1-R263)+INDEX(Models!$BJ263:$BT263,,T263+1)*R263-ERP_i)*Q263*Ramure*Pc/MaxiM</f>
        <v>2.5488614389985284E-3</v>
      </c>
      <c r="Q263" s="304">
        <f t="shared" si="77"/>
        <v>0.7</v>
      </c>
      <c r="R263" s="177">
        <f t="shared" si="78"/>
        <v>0.92424939092212899</v>
      </c>
      <c r="S263" s="799">
        <f t="shared" si="79"/>
        <v>-1</v>
      </c>
      <c r="T263" s="176">
        <f t="shared" si="80"/>
        <v>5</v>
      </c>
      <c r="U263" s="250">
        <f t="shared" si="81"/>
        <v>-7.5750609077871067E-2</v>
      </c>
      <c r="V263" s="382">
        <f t="shared" si="82"/>
        <v>47.552614238326179</v>
      </c>
      <c r="W263" s="400"/>
      <c r="X263" s="157">
        <f t="shared" si="83"/>
        <v>44445</v>
      </c>
      <c r="Y263" s="383">
        <f t="shared" si="84"/>
        <v>46.55796411604198</v>
      </c>
      <c r="Z263" s="383">
        <f t="shared" si="85"/>
        <v>47.431572017146785</v>
      </c>
      <c r="AA263" s="384">
        <f t="shared" si="86"/>
        <v>49.888472535040293</v>
      </c>
      <c r="AB263" s="197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4.9247860137787342E-2</v>
      </c>
      <c r="AD263" s="230">
        <f>(INDEX(Models!$BJ263:$BT263,,AH263)*(1-AF263)+INDEX(Models!$BJ263:$BT263,,AH263+1)*AF263-ERP_i)*AE263*Ramure*Pc/MaxiM</f>
        <v>2.7041945632816878E-3</v>
      </c>
      <c r="AE263" s="304">
        <f t="shared" si="88"/>
        <v>0.7</v>
      </c>
      <c r="AF263" s="177">
        <f t="shared" si="89"/>
        <v>0.98858161318196114</v>
      </c>
      <c r="AG263" s="799">
        <f t="shared" si="95"/>
        <v>-1</v>
      </c>
      <c r="AH263" s="176">
        <f t="shared" si="90"/>
        <v>5</v>
      </c>
      <c r="AI263" s="224">
        <f t="shared" si="91"/>
        <v>-1.1418386818038917E-2</v>
      </c>
      <c r="AJ263" s="264" t="b">
        <f t="shared" si="92"/>
        <v>1</v>
      </c>
      <c r="AK263" s="264" t="b">
        <f t="shared" si="93"/>
        <v>0</v>
      </c>
      <c r="AL263" s="264"/>
      <c r="AM263" s="264"/>
      <c r="AN263" s="75"/>
    </row>
    <row r="264" spans="1:40" s="6" customFormat="1" ht="11.25" customHeight="1" x14ac:dyDescent="0.2">
      <c r="A264" s="56">
        <f t="shared" si="94"/>
        <v>44446</v>
      </c>
      <c r="B264" s="607">
        <v>38.518999999999998</v>
      </c>
      <c r="C264" s="388"/>
      <c r="D264" s="391">
        <f t="shared" si="74"/>
        <v>39.242517843014575</v>
      </c>
      <c r="E264" s="383">
        <f t="shared" si="96"/>
        <v>41.276312262147918</v>
      </c>
      <c r="F264" s="383">
        <f t="shared" si="75"/>
        <v>41.356051693323948</v>
      </c>
      <c r="G264" s="110">
        <f t="shared" si="97"/>
        <v>0.81288414772961914</v>
      </c>
      <c r="H264" s="412" t="b">
        <f>Wh_hp&gt;='2020'!Maxi_hp</f>
        <v>0</v>
      </c>
      <c r="I264" s="379">
        <f>IF(H264,Wh_hp,'2020'!Maxi_hp)</f>
        <v>52.759985924745806</v>
      </c>
      <c r="J264" s="85">
        <f>IF(H264,An,'2020'!An_max)</f>
        <v>2018</v>
      </c>
      <c r="K264" s="197">
        <f t="shared" si="76"/>
        <v>44446</v>
      </c>
      <c r="L264" s="147">
        <f>IF(t&lt;Tvie,1-EXP((T0-t)*PertePVj)+'2020'!Pspv,1-EXP((T0-t)*PertePVj)+Pspv)</f>
        <v>1.8437090247596544E-2</v>
      </c>
      <c r="M264" s="832"/>
      <c r="N264" s="832"/>
      <c r="O264" s="48">
        <f>IF(t&lt;Tnet,'2020'!Resal+('2020'!Salim-'2020'!Resal)*(1-EXP(('2020'!Tnet-t)/('2020'!Tau_j))),Resal+(Salim-Resal)*(1-EXP((Tnet-t)/(Tau_j))))*Salcycl</f>
        <v>4.9272677418869537E-2</v>
      </c>
      <c r="P264" s="169">
        <f>(INDEX(Models!$BJ264:$BT264,,T264)*(1-R264)+INDEX(Models!$BJ264:$BT264,,T264+1)*R264-ERP_i)*Q264*Ramure*Pc/MaxiM</f>
        <v>2.6286311272079943E-3</v>
      </c>
      <c r="Q264" s="304">
        <f t="shared" si="77"/>
        <v>0.7</v>
      </c>
      <c r="R264" s="177">
        <f t="shared" si="78"/>
        <v>0.92466104630855894</v>
      </c>
      <c r="S264" s="799">
        <f t="shared" si="79"/>
        <v>-1</v>
      </c>
      <c r="T264" s="176">
        <f t="shared" si="80"/>
        <v>5</v>
      </c>
      <c r="U264" s="250">
        <f t="shared" si="81"/>
        <v>-7.5338953691441002E-2</v>
      </c>
      <c r="V264" s="382">
        <f t="shared" si="82"/>
        <v>47.352337960070955</v>
      </c>
      <c r="W264" s="400"/>
      <c r="X264" s="157">
        <f t="shared" si="83"/>
        <v>44446</v>
      </c>
      <c r="Y264" s="383">
        <f t="shared" si="84"/>
        <v>38.514457476112185</v>
      </c>
      <c r="Z264" s="383">
        <f t="shared" si="85"/>
        <v>39.237889995076678</v>
      </c>
      <c r="AA264" s="384">
        <f t="shared" si="86"/>
        <v>41.271444569984268</v>
      </c>
      <c r="AB264" s="197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4.9272677418869537E-2</v>
      </c>
      <c r="AD264" s="230">
        <f>(INDEX(Models!$BJ264:$BT264,,AH264)*(1-AF264)+INDEX(Models!$BJ264:$BT264,,AH264+1)*AF264-ERP_i)*AE264*Ramure*Pc/MaxiM</f>
        <v>2.7890958678053711E-3</v>
      </c>
      <c r="AE264" s="304">
        <f t="shared" si="88"/>
        <v>0.7</v>
      </c>
      <c r="AF264" s="177">
        <f t="shared" si="89"/>
        <v>0.98899326856839109</v>
      </c>
      <c r="AG264" s="799">
        <f t="shared" si="95"/>
        <v>-1</v>
      </c>
      <c r="AH264" s="176">
        <f t="shared" si="90"/>
        <v>5</v>
      </c>
      <c r="AI264" s="224">
        <f t="shared" si="91"/>
        <v>-1.1006731431608852E-2</v>
      </c>
      <c r="AJ264" s="264" t="b">
        <f t="shared" si="92"/>
        <v>1</v>
      </c>
      <c r="AK264" s="264" t="b">
        <f t="shared" si="93"/>
        <v>0</v>
      </c>
      <c r="AL264" s="264"/>
      <c r="AM264" s="264"/>
      <c r="AN264" s="75"/>
    </row>
    <row r="265" spans="1:40" s="6" customFormat="1" ht="11.25" customHeight="1" x14ac:dyDescent="0.2">
      <c r="A265" s="56">
        <f t="shared" si="94"/>
        <v>44447</v>
      </c>
      <c r="B265" s="607">
        <v>27.974</v>
      </c>
      <c r="C265" s="388"/>
      <c r="D265" s="391">
        <f t="shared" si="74"/>
        <v>28.499993069888237</v>
      </c>
      <c r="E265" s="383">
        <f t="shared" si="96"/>
        <v>29.977814060038313</v>
      </c>
      <c r="F265" s="383">
        <f t="shared" si="75"/>
        <v>30.011844955442683</v>
      </c>
      <c r="G265" s="110">
        <f t="shared" si="97"/>
        <v>0.59237841014725212</v>
      </c>
      <c r="H265" s="412" t="b">
        <f>Wh_hp&gt;='2020'!Maxi_hp</f>
        <v>0</v>
      </c>
      <c r="I265" s="379">
        <f>IF(H265,Wh_hp,'2020'!Maxi_hp)</f>
        <v>48.227232610216525</v>
      </c>
      <c r="J265" s="85">
        <f>IF(H265,An,'2020'!An_max)</f>
        <v>2020</v>
      </c>
      <c r="K265" s="197">
        <f t="shared" si="76"/>
        <v>44447</v>
      </c>
      <c r="L265" s="147">
        <f>IF(t&lt;Tvie,1-EXP((T0-t)*PertePVj)+'2020'!Pspv,1-EXP((T0-t)*PertePVj)+Pspv)</f>
        <v>1.8455901676831532E-2</v>
      </c>
      <c r="M265" s="832"/>
      <c r="N265" s="832"/>
      <c r="O265" s="48">
        <f>IF(t&lt;Tnet,'2020'!Resal+('2020'!Salim-'2020'!Resal)*(1-EXP(('2020'!Tnet-t)/('2020'!Tau_j))),Resal+(Salim-Resal)*(1-EXP((Tnet-t)/(Tau_j))))*Salcycl</f>
        <v>4.9297156463455213E-2</v>
      </c>
      <c r="P265" s="169">
        <f>(INDEX(Models!$BJ265:$BT265,,T265)*(1-R265)+INDEX(Models!$BJ265:$BT265,,T265+1)*R265-ERP_i)*Q265*Ramure*Pc/MaxiM</f>
        <v>2.7061288567001279E-3</v>
      </c>
      <c r="Q265" s="304">
        <f t="shared" si="77"/>
        <v>0.7</v>
      </c>
      <c r="R265" s="177">
        <f t="shared" si="78"/>
        <v>0.92505694490603574</v>
      </c>
      <c r="S265" s="799">
        <f t="shared" si="79"/>
        <v>-1</v>
      </c>
      <c r="T265" s="176">
        <f t="shared" si="80"/>
        <v>5</v>
      </c>
      <c r="U265" s="250">
        <f t="shared" si="81"/>
        <v>-7.4943055093964317E-2</v>
      </c>
      <c r="V265" s="382">
        <f t="shared" si="82"/>
        <v>47.14886379541602</v>
      </c>
      <c r="W265" s="400"/>
      <c r="X265" s="157">
        <f t="shared" si="83"/>
        <v>44447</v>
      </c>
      <c r="Y265" s="383">
        <f t="shared" si="84"/>
        <v>27.972058250709701</v>
      </c>
      <c r="Z265" s="383">
        <f t="shared" si="85"/>
        <v>28.498014810028476</v>
      </c>
      <c r="AA265" s="384">
        <f t="shared" si="86"/>
        <v>29.97573322071695</v>
      </c>
      <c r="AB265" s="197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4.9297156463455213E-2</v>
      </c>
      <c r="AD265" s="230">
        <f>(INDEX(Models!$BJ265:$BT265,,AH265)*(1-AF265)+INDEX(Models!$BJ265:$BT265,,AH265+1)*AF265-ERP_i)*AE265*Ramure*Pc/MaxiM</f>
        <v>2.8715967136810415E-3</v>
      </c>
      <c r="AE265" s="304">
        <f t="shared" si="88"/>
        <v>0.7</v>
      </c>
      <c r="AF265" s="177">
        <f t="shared" si="89"/>
        <v>0.98938916716586789</v>
      </c>
      <c r="AG265" s="799">
        <f t="shared" si="95"/>
        <v>-1</v>
      </c>
      <c r="AH265" s="176">
        <f t="shared" si="90"/>
        <v>5</v>
      </c>
      <c r="AI265" s="224">
        <f t="shared" si="91"/>
        <v>-1.0610832834132167E-2</v>
      </c>
      <c r="AJ265" s="264" t="b">
        <f t="shared" si="92"/>
        <v>1</v>
      </c>
      <c r="AK265" s="264" t="b">
        <f t="shared" si="93"/>
        <v>0</v>
      </c>
      <c r="AL265" s="264"/>
      <c r="AM265" s="264"/>
      <c r="AN265" s="75"/>
    </row>
    <row r="266" spans="1:40" s="6" customFormat="1" ht="11.25" x14ac:dyDescent="0.2">
      <c r="A266" s="56">
        <f t="shared" si="94"/>
        <v>44448</v>
      </c>
      <c r="B266" s="607">
        <v>16.396000000000001</v>
      </c>
      <c r="C266" s="388"/>
      <c r="D266" s="391">
        <f t="shared" si="74"/>
        <v>16.704612925320902</v>
      </c>
      <c r="E266" s="383">
        <f t="shared" si="96"/>
        <v>17.571249530127446</v>
      </c>
      <c r="F266" s="383">
        <f t="shared" si="75"/>
        <v>17.574690746417929</v>
      </c>
      <c r="G266" s="110">
        <f t="shared" si="97"/>
        <v>0.34837665438046711</v>
      </c>
      <c r="H266" s="412" t="b">
        <f>Wh_hp&gt;='2020'!Maxi_hp</f>
        <v>0</v>
      </c>
      <c r="I266" s="379">
        <f>IF(H266,Wh_hp,'2020'!Maxi_hp)</f>
        <v>49.53769434119436</v>
      </c>
      <c r="J266" s="85">
        <f>IF(H266,An,'2020'!An_max)</f>
        <v>2020</v>
      </c>
      <c r="K266" s="197">
        <f t="shared" si="76"/>
        <v>44448</v>
      </c>
      <c r="L266" s="147">
        <f>IF(t&lt;Tvie,1-EXP((T0-t)*PertePVj)+'2020'!Pspv,1-EXP((T0-t)*PertePVj)+Pspv)</f>
        <v>1.8474712745549682E-2</v>
      </c>
      <c r="M266" s="832"/>
      <c r="N266" s="832"/>
      <c r="O266" s="48">
        <f>IF(t&lt;Tnet,'2020'!Resal+('2020'!Salim-'2020'!Resal)*(1-EXP(('2020'!Tnet-t)/('2020'!Tau_j))),Resal+(Salim-Resal)*(1-EXP((Tnet-t)/(Tau_j))))*Salcycl</f>
        <v>4.9321284938821104E-2</v>
      </c>
      <c r="P266" s="169">
        <f>(INDEX(Models!$BJ266:$BT266,,T266)*(1-R266)+INDEX(Models!$BJ266:$BT266,,T266+1)*R266-ERP_i)*Q266*Ramure*Pc/MaxiM</f>
        <v>2.7813297062221072E-3</v>
      </c>
      <c r="Q266" s="304">
        <f t="shared" si="77"/>
        <v>0.7</v>
      </c>
      <c r="R266" s="177">
        <f t="shared" si="78"/>
        <v>0.92543765890551977</v>
      </c>
      <c r="S266" s="799">
        <f t="shared" si="79"/>
        <v>-1</v>
      </c>
      <c r="T266" s="176">
        <f t="shared" si="80"/>
        <v>5</v>
      </c>
      <c r="U266" s="250">
        <f t="shared" si="81"/>
        <v>-7.4562341094480178E-2</v>
      </c>
      <c r="V266" s="382">
        <f t="shared" si="82"/>
        <v>46.942294303417754</v>
      </c>
      <c r="W266" s="400"/>
      <c r="X266" s="157">
        <f t="shared" si="83"/>
        <v>44448</v>
      </c>
      <c r="Y266" s="383">
        <f t="shared" si="84"/>
        <v>16.395803340460734</v>
      </c>
      <c r="Z266" s="383">
        <f t="shared" si="85"/>
        <v>16.704412564166869</v>
      </c>
      <c r="AA266" s="384">
        <f t="shared" si="86"/>
        <v>17.571038774221314</v>
      </c>
      <c r="AB266" s="197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4.9321284938821104E-2</v>
      </c>
      <c r="AD266" s="230">
        <f>(INDEX(Models!$BJ266:$BT266,,AH266)*(1-AF266)+INDEX(Models!$BJ266:$BT266,,AH266+1)*AF266-ERP_i)*AE266*Ramure*Pc/MaxiM</f>
        <v>2.9516711241965596E-3</v>
      </c>
      <c r="AE266" s="304">
        <f t="shared" si="88"/>
        <v>0.7</v>
      </c>
      <c r="AF266" s="177">
        <f t="shared" si="89"/>
        <v>0.98976988116535192</v>
      </c>
      <c r="AG266" s="799">
        <f t="shared" si="95"/>
        <v>-1</v>
      </c>
      <c r="AH266" s="176">
        <f t="shared" si="90"/>
        <v>5</v>
      </c>
      <c r="AI266" s="224">
        <f t="shared" si="91"/>
        <v>-1.0230118834648028E-2</v>
      </c>
      <c r="AJ266" s="264" t="b">
        <f t="shared" si="92"/>
        <v>1</v>
      </c>
      <c r="AK266" s="264" t="b">
        <f t="shared" si="93"/>
        <v>0</v>
      </c>
      <c r="AL266" s="264"/>
      <c r="AM266" s="264"/>
      <c r="AN266" s="75"/>
    </row>
    <row r="267" spans="1:40" s="6" customFormat="1" ht="11.25" x14ac:dyDescent="0.2">
      <c r="A267" s="56">
        <f t="shared" si="94"/>
        <v>44449</v>
      </c>
      <c r="B267" s="607">
        <v>31.837</v>
      </c>
      <c r="C267" s="388"/>
      <c r="D267" s="391">
        <f t="shared" si="74"/>
        <v>32.436872054099027</v>
      </c>
      <c r="E267" s="383">
        <f t="shared" si="96"/>
        <v>34.12055241937918</v>
      </c>
      <c r="F267" s="383">
        <f t="shared" si="75"/>
        <v>34.173677175791624</v>
      </c>
      <c r="G267" s="110">
        <f t="shared" si="97"/>
        <v>0.68037020492036304</v>
      </c>
      <c r="H267" s="412" t="b">
        <f>Wh_hp&gt;='2020'!Maxi_hp</f>
        <v>1</v>
      </c>
      <c r="I267" s="379">
        <f>IF(H267,Wh_hp,'2020'!Maxi_hp)</f>
        <v>34.173677175791624</v>
      </c>
      <c r="J267" s="85">
        <f>IF(H267,An,'2020'!An_max)</f>
        <v>2021</v>
      </c>
      <c r="K267" s="197">
        <f t="shared" si="76"/>
        <v>44449</v>
      </c>
      <c r="L267" s="147">
        <f>IF(t&lt;Tvie,1-EXP((T0-t)*PertePVj)+'2020'!Pspv,1-EXP((T0-t)*PertePVj)+Pspv)</f>
        <v>1.8493523453757987E-2</v>
      </c>
      <c r="M267" s="832"/>
      <c r="N267" s="832"/>
      <c r="O267" s="48">
        <f>IF(t&lt;Tnet,'2020'!Resal+('2020'!Salim-'2020'!Resal)*(1-EXP(('2020'!Tnet-t)/('2020'!Tau_j))),Resal+(Salim-Resal)*(1-EXP((Tnet-t)/(Tau_j))))*Salcycl</f>
        <v>4.9345050003466243E-2</v>
      </c>
      <c r="P267" s="169">
        <f>(INDEX(Models!$BJ267:$BT267,,T267)*(1-R267)+INDEX(Models!$BJ267:$BT267,,T267+1)*R267-ERP_i)*Q267*Ramure*Pc/MaxiM</f>
        <v>2.8542070391312422E-3</v>
      </c>
      <c r="Q267" s="304">
        <f t="shared" si="77"/>
        <v>0.7</v>
      </c>
      <c r="R267" s="177">
        <f t="shared" si="78"/>
        <v>0.92580374211165173</v>
      </c>
      <c r="S267" s="799">
        <f t="shared" si="79"/>
        <v>-1</v>
      </c>
      <c r="T267" s="176">
        <f t="shared" si="80"/>
        <v>5</v>
      </c>
      <c r="U267" s="250">
        <f t="shared" si="81"/>
        <v>-7.4196257888348272E-2</v>
      </c>
      <c r="V267" s="382">
        <f t="shared" si="82"/>
        <v>46.732732015424574</v>
      </c>
      <c r="W267" s="400"/>
      <c r="X267" s="157">
        <f t="shared" si="83"/>
        <v>44449</v>
      </c>
      <c r="Y267" s="383">
        <f t="shared" si="84"/>
        <v>31.833959292532622</v>
      </c>
      <c r="Z267" s="383">
        <f t="shared" si="85"/>
        <v>32.433774053688396</v>
      </c>
      <c r="AA267" s="384">
        <f t="shared" si="86"/>
        <v>34.117293613005067</v>
      </c>
      <c r="AB267" s="197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4.9345050003466243E-2</v>
      </c>
      <c r="AD267" s="230">
        <f>(INDEX(Models!$BJ267:$BT267,,AH267)*(1-AF267)+INDEX(Models!$BJ267:$BT267,,AH267+1)*AF267-ERP_i)*AE267*Ramure*Pc/MaxiM</f>
        <v>3.0292912883643636E-3</v>
      </c>
      <c r="AE267" s="304">
        <f t="shared" si="88"/>
        <v>0.7</v>
      </c>
      <c r="AF267" s="177">
        <f t="shared" si="89"/>
        <v>0.99013596437148388</v>
      </c>
      <c r="AG267" s="799">
        <f t="shared" si="95"/>
        <v>-1</v>
      </c>
      <c r="AH267" s="176">
        <f t="shared" si="90"/>
        <v>5</v>
      </c>
      <c r="AI267" s="224">
        <f t="shared" si="91"/>
        <v>-9.8640356285161213E-3</v>
      </c>
      <c r="AJ267" s="264" t="b">
        <f t="shared" si="92"/>
        <v>1</v>
      </c>
      <c r="AK267" s="264" t="b">
        <f t="shared" si="93"/>
        <v>0</v>
      </c>
      <c r="AL267" s="264"/>
      <c r="AM267" s="264"/>
      <c r="AN267" s="75"/>
    </row>
    <row r="268" spans="1:40" s="6" customFormat="1" ht="11.25" x14ac:dyDescent="0.2">
      <c r="A268" s="56">
        <f t="shared" si="94"/>
        <v>44450</v>
      </c>
      <c r="B268" s="607">
        <v>34.844999999999999</v>
      </c>
      <c r="C268" s="388"/>
      <c r="D268" s="391">
        <f t="shared" si="74"/>
        <v>35.502229116093147</v>
      </c>
      <c r="E268" s="383">
        <f t="shared" si="96"/>
        <v>37.345939842982865</v>
      </c>
      <c r="F268" s="383">
        <f t="shared" si="75"/>
        <v>37.415974579576279</v>
      </c>
      <c r="G268" s="110">
        <f t="shared" si="97"/>
        <v>0.74823800999977719</v>
      </c>
      <c r="H268" s="412" t="b">
        <f>Wh_hp&gt;='2020'!Maxi_hp</f>
        <v>0</v>
      </c>
      <c r="I268" s="379">
        <f>IF(H268,Wh_hp,'2020'!Maxi_hp)</f>
        <v>41.402055999367946</v>
      </c>
      <c r="J268" s="85">
        <f>IF(H268,An,'2020'!An_max)</f>
        <v>2020</v>
      </c>
      <c r="K268" s="197">
        <f t="shared" si="76"/>
        <v>44450</v>
      </c>
      <c r="L268" s="147">
        <f>IF(t&lt;Tvie,1-EXP((T0-t)*PertePVj)+'2020'!Pspv,1-EXP((T0-t)*PertePVj)+Pspv)</f>
        <v>1.8512333801463332E-2</v>
      </c>
      <c r="M268" s="832"/>
      <c r="N268" s="832"/>
      <c r="O268" s="48">
        <f>IF(t&lt;Tnet,'2020'!Resal+('2020'!Salim-'2020'!Resal)*(1-EXP(('2020'!Tnet-t)/('2020'!Tau_j))),Resal+(Salim-Resal)*(1-EXP((Tnet-t)/(Tau_j))))*Salcycl</f>
        <v>4.936843829989037E-2</v>
      </c>
      <c r="P268" s="169">
        <f>(INDEX(Models!$BJ268:$BT268,,T268)*(1-R268)+INDEX(Models!$BJ268:$BT268,,T268+1)*R268-ERP_i)*Q268*Ramure*Pc/MaxiM</f>
        <v>2.9180032739392157E-3</v>
      </c>
      <c r="Q268" s="304">
        <f t="shared" si="77"/>
        <v>0.7</v>
      </c>
      <c r="R268" s="177">
        <f t="shared" si="78"/>
        <v>0.9261557303447211</v>
      </c>
      <c r="S268" s="799">
        <f t="shared" si="79"/>
        <v>-1</v>
      </c>
      <c r="T268" s="176">
        <f t="shared" si="80"/>
        <v>5</v>
      </c>
      <c r="U268" s="250">
        <f t="shared" si="81"/>
        <v>-7.3844269655278905E-2</v>
      </c>
      <c r="V268" s="382">
        <f t="shared" si="82"/>
        <v>46.520593401673743</v>
      </c>
      <c r="W268" s="400"/>
      <c r="X268" s="157">
        <f t="shared" si="83"/>
        <v>44450</v>
      </c>
      <c r="Y268" s="383">
        <f t="shared" si="84"/>
        <v>34.840986543168945</v>
      </c>
      <c r="Z268" s="383">
        <f t="shared" si="85"/>
        <v>35.498139959428961</v>
      </c>
      <c r="AA268" s="384">
        <f t="shared" si="86"/>
        <v>37.341638327202268</v>
      </c>
      <c r="AB268" s="197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4.936843829989037E-2</v>
      </c>
      <c r="AD268" s="230">
        <f>(INDEX(Models!$BJ268:$BT268,,AH268)*(1-AF268)+INDEX(Models!$BJ268:$BT268,,AH268+1)*AF268-ERP_i)*AE268*Ramure*Pc/MaxiM</f>
        <v>3.0972262958456737E-3</v>
      </c>
      <c r="AE268" s="304">
        <f t="shared" si="88"/>
        <v>0.7</v>
      </c>
      <c r="AF268" s="177">
        <f t="shared" si="89"/>
        <v>0.99048795260455325</v>
      </c>
      <c r="AG268" s="799">
        <f t="shared" si="95"/>
        <v>-1</v>
      </c>
      <c r="AH268" s="176">
        <f t="shared" si="90"/>
        <v>5</v>
      </c>
      <c r="AI268" s="224">
        <f t="shared" si="91"/>
        <v>-9.5120473954467544E-3</v>
      </c>
      <c r="AJ268" s="264" t="b">
        <f t="shared" si="92"/>
        <v>1</v>
      </c>
      <c r="AK268" s="264" t="b">
        <f t="shared" si="93"/>
        <v>0</v>
      </c>
      <c r="AL268" s="264"/>
      <c r="AM268" s="264"/>
      <c r="AN268" s="75"/>
    </row>
    <row r="269" spans="1:40" s="6" customFormat="1" ht="11.25" x14ac:dyDescent="0.2">
      <c r="A269" s="56">
        <f t="shared" si="94"/>
        <v>44451</v>
      </c>
      <c r="B269" s="607">
        <v>43.823999999999998</v>
      </c>
      <c r="C269" s="388"/>
      <c r="D269" s="391">
        <f t="shared" si="74"/>
        <v>44.651442297588225</v>
      </c>
      <c r="E269" s="383">
        <f t="shared" si="96"/>
        <v>46.971428605154216</v>
      </c>
      <c r="F269" s="383">
        <f t="shared" si="75"/>
        <v>47.100755217315715</v>
      </c>
      <c r="G269" s="110">
        <f t="shared" si="97"/>
        <v>0.94618514019199496</v>
      </c>
      <c r="H269" s="412" t="b">
        <f>Wh_hp&gt;='2020'!Maxi_hp</f>
        <v>0</v>
      </c>
      <c r="I269" s="379">
        <f>IF(H269,Wh_hp,'2020'!Maxi_hp)</f>
        <v>50.45491962020855</v>
      </c>
      <c r="J269" s="85">
        <f>IF(H269,An,'2020'!An_max)</f>
        <v>2018</v>
      </c>
      <c r="K269" s="197">
        <f t="shared" si="76"/>
        <v>44451</v>
      </c>
      <c r="L269" s="147">
        <f>IF(t&lt;Tvie,1-EXP((T0-t)*PertePVj)+'2020'!Pspv,1-EXP((T0-t)*PertePVj)+Pspv)</f>
        <v>1.853114378867271E-2</v>
      </c>
      <c r="M269" s="832"/>
      <c r="N269" s="832"/>
      <c r="O269" s="48">
        <f>IF(t&lt;Tnet,'2020'!Resal+('2020'!Salim-'2020'!Resal)*(1-EXP(('2020'!Tnet-t)/('2020'!Tau_j))),Resal+(Salim-Resal)*(1-EXP((Tnet-t)/(Tau_j))))*Salcycl</f>
        <v>4.9391435952863758E-2</v>
      </c>
      <c r="P269" s="169">
        <f>(INDEX(Models!$BJ269:$BT269,,T269)*(1-R269)+INDEX(Models!$BJ269:$BT269,,T269+1)*R269-ERP_i)*Q269*Ramure*Pc/MaxiM</f>
        <v>2.9734176393375602E-3</v>
      </c>
      <c r="Q269" s="304">
        <f t="shared" si="77"/>
        <v>0.7</v>
      </c>
      <c r="R269" s="177">
        <f t="shared" si="78"/>
        <v>0.92649414184999068</v>
      </c>
      <c r="S269" s="799">
        <f t="shared" si="79"/>
        <v>-1</v>
      </c>
      <c r="T269" s="176">
        <f t="shared" si="80"/>
        <v>5</v>
      </c>
      <c r="U269" s="250">
        <f t="shared" si="81"/>
        <v>-7.3505858150009318E-2</v>
      </c>
      <c r="V269" s="382">
        <f t="shared" si="82"/>
        <v>46.305942774208688</v>
      </c>
      <c r="W269" s="400"/>
      <c r="X269" s="157">
        <f t="shared" si="83"/>
        <v>44451</v>
      </c>
      <c r="Y269" s="383">
        <f t="shared" si="84"/>
        <v>43.816582785747116</v>
      </c>
      <c r="Z269" s="383">
        <f t="shared" si="85"/>
        <v>44.643885038683941</v>
      </c>
      <c r="AA269" s="384">
        <f t="shared" si="86"/>
        <v>46.963478688448106</v>
      </c>
      <c r="AB269" s="197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4.9391435952863758E-2</v>
      </c>
      <c r="AD269" s="230">
        <f>(INDEX(Models!$BJ269:$BT269,,AH269)*(1-AF269)+INDEX(Models!$BJ269:$BT269,,AH269+1)*AF269-ERP_i)*AE269*Ramure*Pc/MaxiM</f>
        <v>3.1561984465522368E-3</v>
      </c>
      <c r="AE269" s="304">
        <f t="shared" si="88"/>
        <v>0.7</v>
      </c>
      <c r="AF269" s="177">
        <f t="shared" si="89"/>
        <v>0.99082636410982283</v>
      </c>
      <c r="AG269" s="799">
        <f t="shared" si="95"/>
        <v>-1</v>
      </c>
      <c r="AH269" s="176">
        <f t="shared" si="90"/>
        <v>5</v>
      </c>
      <c r="AI269" s="224">
        <f t="shared" si="91"/>
        <v>-9.1736358901771675E-3</v>
      </c>
      <c r="AJ269" s="264" t="b">
        <f t="shared" si="92"/>
        <v>1</v>
      </c>
      <c r="AK269" s="264" t="b">
        <f t="shared" si="93"/>
        <v>0</v>
      </c>
      <c r="AL269" s="264"/>
      <c r="AM269" s="264"/>
      <c r="AN269" s="75"/>
    </row>
    <row r="270" spans="1:40" s="6" customFormat="1" ht="11.25" x14ac:dyDescent="0.2">
      <c r="A270" s="56">
        <f t="shared" si="94"/>
        <v>44452</v>
      </c>
      <c r="B270" s="607">
        <v>35.386000000000003</v>
      </c>
      <c r="C270" s="388"/>
      <c r="D270" s="391">
        <f t="shared" si="74"/>
        <v>36.054815141271192</v>
      </c>
      <c r="E270" s="383">
        <f t="shared" si="96"/>
        <v>37.929041901574678</v>
      </c>
      <c r="F270" s="383">
        <f t="shared" si="75"/>
        <v>38.005750831517823</v>
      </c>
      <c r="G270" s="110">
        <f t="shared" si="97"/>
        <v>0.76700649169162138</v>
      </c>
      <c r="H270" s="412" t="b">
        <f>Wh_hp&gt;='2020'!Maxi_hp</f>
        <v>0</v>
      </c>
      <c r="I270" s="379">
        <f>IF(H270,Wh_hp,'2020'!Maxi_hp)</f>
        <v>48.157798418886934</v>
      </c>
      <c r="J270" s="85">
        <f>IF(H270,An,'2020'!An_max)</f>
        <v>2020</v>
      </c>
      <c r="K270" s="197">
        <f t="shared" si="76"/>
        <v>44452</v>
      </c>
      <c r="L270" s="147">
        <f>IF(t&lt;Tvie,1-EXP((T0-t)*PertePVj)+'2020'!Pspv,1-EXP((T0-t)*PertePVj)+Pspv)</f>
        <v>1.8549953415393006E-2</v>
      </c>
      <c r="M270" s="832"/>
      <c r="N270" s="832"/>
      <c r="O270" s="48">
        <f>IF(t&lt;Tnet,'2020'!Resal+('2020'!Salim-'2020'!Resal)*(1-EXP(('2020'!Tnet-t)/('2020'!Tau_j))),Resal+(Salim-Resal)*(1-EXP((Tnet-t)/(Tau_j))))*Salcycl</f>
        <v>4.9414028573858404E-2</v>
      </c>
      <c r="P270" s="169">
        <f>(INDEX(Models!$BJ270:$BT270,,T270)*(1-R270)+INDEX(Models!$BJ270:$BT270,,T270+1)*R270-ERP_i)*Q270*Ramure*Pc/MaxiM</f>
        <v>3.020337385101914E-3</v>
      </c>
      <c r="Q270" s="304">
        <f t="shared" si="77"/>
        <v>0.7</v>
      </c>
      <c r="R270" s="177">
        <f t="shared" si="78"/>
        <v>0.92681947771255868</v>
      </c>
      <c r="S270" s="799">
        <f t="shared" si="79"/>
        <v>-1</v>
      </c>
      <c r="T270" s="176">
        <f t="shared" si="80"/>
        <v>5</v>
      </c>
      <c r="U270" s="250">
        <f t="shared" si="81"/>
        <v>-7.3180522287441263E-2</v>
      </c>
      <c r="V270" s="382">
        <f t="shared" si="82"/>
        <v>46.088882389541133</v>
      </c>
      <c r="W270" s="400"/>
      <c r="X270" s="157">
        <f t="shared" si="83"/>
        <v>44452</v>
      </c>
      <c r="Y270" s="383">
        <f t="shared" si="84"/>
        <v>35.381598708617936</v>
      </c>
      <c r="Z270" s="383">
        <f t="shared" si="85"/>
        <v>36.050330663026593</v>
      </c>
      <c r="AA270" s="384">
        <f t="shared" si="86"/>
        <v>37.924324308027749</v>
      </c>
      <c r="AB270" s="197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4.9414028573858404E-2</v>
      </c>
      <c r="AD270" s="230">
        <f>(INDEX(Models!$BJ270:$BT270,,AH270)*(1-AF270)+INDEX(Models!$BJ270:$BT270,,AH270+1)*AF270-ERP_i)*AE270*Ramure*Pc/MaxiM</f>
        <v>3.2060879120361513E-3</v>
      </c>
      <c r="AE270" s="304">
        <f t="shared" si="88"/>
        <v>0.7</v>
      </c>
      <c r="AF270" s="177">
        <f t="shared" si="89"/>
        <v>0.99115169997239083</v>
      </c>
      <c r="AG270" s="799">
        <f t="shared" si="95"/>
        <v>-1</v>
      </c>
      <c r="AH270" s="176">
        <f t="shared" si="90"/>
        <v>5</v>
      </c>
      <c r="AI270" s="224">
        <f t="shared" si="91"/>
        <v>-8.8483000276091128E-3</v>
      </c>
      <c r="AJ270" s="264" t="b">
        <f t="shared" si="92"/>
        <v>1</v>
      </c>
      <c r="AK270" s="264" t="b">
        <f t="shared" si="93"/>
        <v>0</v>
      </c>
      <c r="AL270" s="264"/>
      <c r="AM270" s="264"/>
      <c r="AN270" s="75"/>
    </row>
    <row r="271" spans="1:40" s="6" customFormat="1" ht="11.25" x14ac:dyDescent="0.2">
      <c r="A271" s="56">
        <f t="shared" si="94"/>
        <v>44453</v>
      </c>
      <c r="B271" s="607">
        <v>22.582000000000001</v>
      </c>
      <c r="C271" s="388"/>
      <c r="D271" s="391">
        <f t="shared" ref="D271:D334" si="98">Wh/(1-Ppv)</f>
        <v>23.0092533652203</v>
      </c>
      <c r="E271" s="383">
        <f t="shared" si="96"/>
        <v>24.205901167303448</v>
      </c>
      <c r="F271" s="383">
        <f t="shared" ref="F271:F334" si="99">Wh_sa/(1-Pvg*MEDIAN((-Sdif+Wh/Env_an)/Csdif,0,1))</f>
        <v>24.226258381117898</v>
      </c>
      <c r="G271" s="110">
        <f t="shared" si="97"/>
        <v>0.49121651650703113</v>
      </c>
      <c r="H271" s="412" t="b">
        <f>Wh_hp&gt;='2020'!Maxi_hp</f>
        <v>0</v>
      </c>
      <c r="I271" s="379">
        <f>IF(H271,Wh_hp,'2020'!Maxi_hp)</f>
        <v>47.866073313841895</v>
      </c>
      <c r="J271" s="85">
        <f>IF(H271,An,'2020'!An_max)</f>
        <v>2020</v>
      </c>
      <c r="K271" s="197">
        <f t="shared" ref="K271:K334" si="100">t</f>
        <v>44453</v>
      </c>
      <c r="L271" s="147">
        <f>IF(t&lt;Tvie,1-EXP((T0-t)*PertePVj)+'2020'!Pspv,1-EXP((T0-t)*PertePVj)+Pspv)</f>
        <v>1.8568762681631101E-2</v>
      </c>
      <c r="M271" s="832"/>
      <c r="N271" s="832"/>
      <c r="O271" s="48">
        <f>IF(t&lt;Tnet,'2020'!Resal+('2020'!Salim-'2020'!Resal)*(1-EXP(('2020'!Tnet-t)/('2020'!Tau_j))),Resal+(Salim-Resal)*(1-EXP((Tnet-t)/(Tau_j))))*Salcycl</f>
        <v>4.9436201272256015E-2</v>
      </c>
      <c r="P271" s="169">
        <f>(INDEX(Models!$BJ271:$BT271,,T271)*(1-R271)+INDEX(Models!$BJ271:$BT271,,T271+1)*R271-ERP_i)*Q271*Ramure*Pc/MaxiM</f>
        <v>3.0586457595902674E-3</v>
      </c>
      <c r="Q271" s="304">
        <f t="shared" ref="Q271:Q334" si="101">IF(OR(t&lt;Ttai,Notai),Dd+PousD*Croivg,Dens+PousD*(Croivg-Croi_tai))</f>
        <v>0.7</v>
      </c>
      <c r="R271" s="177">
        <f t="shared" ref="R271:R334" si="102">(Hp_vg-S271)/(INDEX(Echel_vg,T271+1)-S271)</f>
        <v>0.92713222227610714</v>
      </c>
      <c r="S271" s="799">
        <f t="shared" ref="S271:S334" si="103">INDEX(Echel_vg,T271)</f>
        <v>-1</v>
      </c>
      <c r="T271" s="176">
        <f t="shared" ref="T271:T334" si="104">MIN(MATCH(Hp_vg,Echel_vg),10)</f>
        <v>5</v>
      </c>
      <c r="U271" s="250">
        <f t="shared" ref="U271:U334" si="105">IF(OR(t&lt;Ttai,Notai),Hdd+PousH*Croivg,Hdtf+PousH*(Croivg-Croi_tai))</f>
        <v>-7.2867777723892802E-2</v>
      </c>
      <c r="V271" s="382">
        <f t="shared" ref="V271:V334" si="106">MaxiM*(1-Ppv)*(1-Pvg)*(1-Psa)</f>
        <v>45.869514410658446</v>
      </c>
      <c r="W271" s="400"/>
      <c r="X271" s="157">
        <f t="shared" ref="X271:X334" si="107">t</f>
        <v>44453</v>
      </c>
      <c r="Y271" s="383">
        <f t="shared" ref="Y271:Y334" si="108">Wh_pvt_s*(1-Ppv)</f>
        <v>22.580831909951765</v>
      </c>
      <c r="Z271" s="383">
        <f t="shared" ref="Z271:Z334" si="109">Wh_sa_s*(1-Psa_s)</f>
        <v>23.008063174808765</v>
      </c>
      <c r="AA271" s="384">
        <f t="shared" ref="AA271:AA334" si="110">Wh_hp*(1-Pvg_s*MEDIAN((-Sdif+Wh/Env_an)/Csdif,0,1))</f>
        <v>24.204649078371464</v>
      </c>
      <c r="AB271" s="197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4.9436201272256015E-2</v>
      </c>
      <c r="AD271" s="230">
        <f>(INDEX(Models!$BJ271:$BT271,,AH271)*(1-AF271)+INDEX(Models!$BJ271:$BT271,,AH271+1)*AF271-ERP_i)*AE271*Ramure*Pc/MaxiM</f>
        <v>3.2467705460838599E-3</v>
      </c>
      <c r="AE271" s="304">
        <f t="shared" ref="AE271:AE334" si="112">IF(OR(t&lt;Ttai,Notai),Dd_s+PousD*Croivg,Dens_s+PousD*(Croivg-Croi_tai))</f>
        <v>0.7</v>
      </c>
      <c r="AF271" s="177">
        <f t="shared" ref="AF271:AF334" si="113">(Hp_vg_s-AG271)/(INDEX(Echel_vg,AH271+1)-AG271)</f>
        <v>0.99146444453593929</v>
      </c>
      <c r="AG271" s="799">
        <f t="shared" si="95"/>
        <v>-1</v>
      </c>
      <c r="AH271" s="176">
        <f t="shared" ref="AH271:AH334" si="114">MIN(MATCH(Hp_vg_s,Echel_vg),10)</f>
        <v>5</v>
      </c>
      <c r="AI271" s="224">
        <f t="shared" ref="AI271:AI334" si="115">IF(OR(t&lt;Ttai,Notai),Hdd_s+PousH*Croivg,Hdtai_s+PousH*(Croivg-Croi_tai))</f>
        <v>-8.5355554640606512E-3</v>
      </c>
      <c r="AJ271" s="264" t="b">
        <f t="shared" ref="AJ271:AJ334" si="116">t&lt;Tnet</f>
        <v>1</v>
      </c>
      <c r="AK271" s="264" t="b">
        <f t="shared" ref="AK271:AK334" si="117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18">A271+1</f>
        <v>44454</v>
      </c>
      <c r="B272" s="607">
        <v>27.653000000000002</v>
      </c>
      <c r="C272" s="388"/>
      <c r="D272" s="391">
        <f t="shared" si="98"/>
        <v>28.17673711828531</v>
      </c>
      <c r="E272" s="383">
        <f t="shared" si="96"/>
        <v>29.642809366032125</v>
      </c>
      <c r="F272" s="383">
        <f t="shared" si="99"/>
        <v>29.682853356756056</v>
      </c>
      <c r="G272" s="110">
        <f t="shared" si="97"/>
        <v>0.60473356457254235</v>
      </c>
      <c r="H272" s="412" t="b">
        <f>Wh_hp&gt;='2020'!Maxi_hp</f>
        <v>0</v>
      </c>
      <c r="I272" s="379">
        <f>IF(H272,Wh_hp,'2020'!Maxi_hp)</f>
        <v>49.308768016515323</v>
      </c>
      <c r="J272" s="85">
        <f>IF(H272,An,'2020'!An_max)</f>
        <v>2020</v>
      </c>
      <c r="K272" s="197">
        <f t="shared" si="100"/>
        <v>44454</v>
      </c>
      <c r="L272" s="147">
        <f>IF(t&lt;Tvie,1-EXP((T0-t)*PertePVj)+'2020'!Pspv,1-EXP((T0-t)*PertePVj)+Pspv)</f>
        <v>1.8587571587393881E-2</v>
      </c>
      <c r="M272" s="832"/>
      <c r="N272" s="832"/>
      <c r="O272" s="48">
        <f>IF(t&lt;Tnet,'2020'!Resal+('2020'!Salim-'2020'!Resal)*(1-EXP(('2020'!Tnet-t)/('2020'!Tau_j))),Resal+(Salim-Resal)*(1-EXP((Tnet-t)/(Tau_j))))*Salcycl</f>
        <v>4.9457938673882776E-2</v>
      </c>
      <c r="P272" s="169">
        <f>(INDEX(Models!$BJ272:$BT272,,T272)*(1-R272)+INDEX(Models!$BJ272:$BT272,,T272+1)*R272-ERP_i)*Q272*Ramure*Pc/MaxiM</f>
        <v>3.0882220813374353E-3</v>
      </c>
      <c r="Q272" s="304">
        <f t="shared" si="101"/>
        <v>0.7</v>
      </c>
      <c r="R272" s="177">
        <f t="shared" si="102"/>
        <v>0.92743284356402567</v>
      </c>
      <c r="S272" s="799">
        <f t="shared" si="103"/>
        <v>-1</v>
      </c>
      <c r="T272" s="176">
        <f t="shared" si="104"/>
        <v>5</v>
      </c>
      <c r="U272" s="250">
        <f t="shared" si="105"/>
        <v>-7.2567156435974334E-2</v>
      </c>
      <c r="V272" s="382">
        <f t="shared" si="106"/>
        <v>45.647940908005893</v>
      </c>
      <c r="W272" s="400"/>
      <c r="X272" s="157">
        <f t="shared" si="107"/>
        <v>44454</v>
      </c>
      <c r="Y272" s="383">
        <f t="shared" si="108"/>
        <v>27.650702966814737</v>
      </c>
      <c r="Z272" s="383">
        <f t="shared" si="109"/>
        <v>28.174396580180467</v>
      </c>
      <c r="AA272" s="384">
        <f t="shared" si="110"/>
        <v>29.640347046688174</v>
      </c>
      <c r="AB272" s="197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4.9457938673882776E-2</v>
      </c>
      <c r="AD272" s="230">
        <f>(INDEX(Models!$BJ272:$BT272,,AH272)*(1-AF272)+INDEX(Models!$BJ272:$BT272,,AH272+1)*AF272-ERP_i)*AE272*Ramure*Pc/MaxiM</f>
        <v>3.2781179641358095E-3</v>
      </c>
      <c r="AE272" s="304">
        <f t="shared" si="112"/>
        <v>0.7</v>
      </c>
      <c r="AF272" s="177">
        <f t="shared" si="113"/>
        <v>0.99176506582385782</v>
      </c>
      <c r="AG272" s="799">
        <f t="shared" ref="AG272:AG335" si="119">INDEX(Echel_vg,AH272)</f>
        <v>-1</v>
      </c>
      <c r="AH272" s="176">
        <f t="shared" si="114"/>
        <v>5</v>
      </c>
      <c r="AI272" s="224">
        <f t="shared" si="115"/>
        <v>-8.2349341761421835E-3</v>
      </c>
      <c r="AJ272" s="264" t="b">
        <f t="shared" si="116"/>
        <v>1</v>
      </c>
      <c r="AK272" s="264" t="b">
        <f t="shared" si="117"/>
        <v>0</v>
      </c>
      <c r="AL272" s="264"/>
      <c r="AM272" s="264"/>
      <c r="AN272" s="75"/>
    </row>
    <row r="273" spans="1:40" s="6" customFormat="1" ht="11.25" x14ac:dyDescent="0.2">
      <c r="A273" s="56">
        <f t="shared" si="118"/>
        <v>44455</v>
      </c>
      <c r="B273" s="607">
        <v>21.414000000000001</v>
      </c>
      <c r="C273" s="388"/>
      <c r="D273" s="391">
        <f t="shared" si="98"/>
        <v>21.819991047929634</v>
      </c>
      <c r="E273" s="383">
        <f t="shared" si="96"/>
        <v>22.955827605894267</v>
      </c>
      <c r="F273" s="383">
        <f t="shared" si="99"/>
        <v>22.973318217318731</v>
      </c>
      <c r="G273" s="110">
        <f t="shared" si="97"/>
        <v>0.47031450678775066</v>
      </c>
      <c r="H273" s="412" t="b">
        <f>Wh_hp&gt;='2020'!Maxi_hp</f>
        <v>0</v>
      </c>
      <c r="I273" s="379">
        <f>IF(H273,Wh_hp,'2020'!Maxi_hp)</f>
        <v>44.025352482191991</v>
      </c>
      <c r="J273" s="85">
        <f>IF(H273,An,'2020'!An_max)</f>
        <v>2018</v>
      </c>
      <c r="K273" s="197">
        <f t="shared" si="100"/>
        <v>44455</v>
      </c>
      <c r="L273" s="147">
        <f>IF(t&lt;Tvie,1-EXP((T0-t)*PertePVj)+'2020'!Pspv,1-EXP((T0-t)*PertePVj)+Pspv)</f>
        <v>1.8606380132688227E-2</v>
      </c>
      <c r="M273" s="832"/>
      <c r="N273" s="832"/>
      <c r="O273" s="48">
        <f>IF(t&lt;Tnet,'2020'!Resal+('2020'!Salim-'2020'!Resal)*(1-EXP(('2020'!Tnet-t)/('2020'!Tau_j))),Resal+(Salim-Resal)*(1-EXP((Tnet-t)/(Tau_j))))*Salcycl</f>
        <v>4.9479224947350103E-2</v>
      </c>
      <c r="P273" s="169">
        <f>(INDEX(Models!$BJ273:$BT273,,T273)*(1-R273)+INDEX(Models!$BJ273:$BT273,,T273+1)*R273-ERP_i)*Q273*Ramure*Pc/MaxiM</f>
        <v>3.1089418256582189E-3</v>
      </c>
      <c r="Q273" s="304">
        <f t="shared" si="101"/>
        <v>0.7</v>
      </c>
      <c r="R273" s="177">
        <f t="shared" si="102"/>
        <v>0.92772179370154217</v>
      </c>
      <c r="S273" s="799">
        <f t="shared" si="103"/>
        <v>-1</v>
      </c>
      <c r="T273" s="176">
        <f t="shared" si="104"/>
        <v>5</v>
      </c>
      <c r="U273" s="250">
        <f t="shared" si="105"/>
        <v>-7.2278206298457826E-2</v>
      </c>
      <c r="V273" s="382">
        <f t="shared" si="106"/>
        <v>45.424263851750617</v>
      </c>
      <c r="W273" s="400"/>
      <c r="X273" s="157">
        <f t="shared" si="107"/>
        <v>44455</v>
      </c>
      <c r="Y273" s="383">
        <f t="shared" si="108"/>
        <v>21.412997331213642</v>
      </c>
      <c r="Z273" s="383">
        <f t="shared" si="109"/>
        <v>21.818969369404257</v>
      </c>
      <c r="AA273" s="384">
        <f t="shared" si="110"/>
        <v>22.954752744037279</v>
      </c>
      <c r="AB273" s="197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4.9479224947350103E-2</v>
      </c>
      <c r="AD273" s="230">
        <f>(INDEX(Models!$BJ273:$BT273,,AH273)*(1-AF273)+INDEX(Models!$BJ273:$BT273,,AH273+1)*AF273-ERP_i)*AE273*Ramure*Pc/MaxiM</f>
        <v>3.2999976385679939E-3</v>
      </c>
      <c r="AE273" s="304">
        <f t="shared" si="112"/>
        <v>0.7</v>
      </c>
      <c r="AF273" s="177">
        <f t="shared" si="113"/>
        <v>0.99205401596137432</v>
      </c>
      <c r="AG273" s="799">
        <f t="shared" si="119"/>
        <v>-1</v>
      </c>
      <c r="AH273" s="176">
        <f t="shared" si="114"/>
        <v>5</v>
      </c>
      <c r="AI273" s="224">
        <f t="shared" si="115"/>
        <v>-7.9459840386256753E-3</v>
      </c>
      <c r="AJ273" s="264" t="b">
        <f t="shared" si="116"/>
        <v>1</v>
      </c>
      <c r="AK273" s="264" t="b">
        <f t="shared" si="117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18"/>
        <v>44456</v>
      </c>
      <c r="B274" s="607">
        <v>35.628999999999998</v>
      </c>
      <c r="C274" s="388"/>
      <c r="D274" s="391">
        <f t="shared" si="98"/>
        <v>36.305191019644454</v>
      </c>
      <c r="E274" s="383">
        <f t="shared" si="96"/>
        <v>38.19588920999341</v>
      </c>
      <c r="F274" s="383">
        <f t="shared" si="99"/>
        <v>38.279215094773235</v>
      </c>
      <c r="G274" s="110">
        <f t="shared" si="97"/>
        <v>0.78753122198442227</v>
      </c>
      <c r="H274" s="412" t="b">
        <f>Wh_hp&gt;='2020'!Maxi_hp</f>
        <v>0</v>
      </c>
      <c r="I274" s="379">
        <f>IF(H274,Wh_hp,'2020'!Maxi_hp)</f>
        <v>43.162967239899587</v>
      </c>
      <c r="J274" s="85">
        <f>IF(H274,An,'2020'!An_max)</f>
        <v>2018</v>
      </c>
      <c r="K274" s="197">
        <f t="shared" si="100"/>
        <v>44456</v>
      </c>
      <c r="L274" s="147">
        <f>IF(t&lt;Tvie,1-EXP((T0-t)*PertePVj)+'2020'!Pspv,1-EXP((T0-t)*PertePVj)+Pspv)</f>
        <v>1.8625188317521135E-2</v>
      </c>
      <c r="M274" s="832"/>
      <c r="N274" s="832"/>
      <c r="O274" s="48">
        <f>IF(t&lt;Tnet,'2020'!Resal+('2020'!Salim-'2020'!Resal)*(1-EXP(('2020'!Tnet-t)/('2020'!Tau_j))),Resal+(Salim-Resal)*(1-EXP((Tnet-t)/(Tau_j))))*Salcycl</f>
        <v>4.9500043838599343E-2</v>
      </c>
      <c r="P274" s="169">
        <f>(INDEX(Models!$BJ274:$BT274,,T274)*(1-R274)+INDEX(Models!$BJ274:$BT274,,T274+1)*R274-ERP_i)*Q274*Ramure*Pc/MaxiM</f>
        <v>3.1206767260225391E-3</v>
      </c>
      <c r="Q274" s="304">
        <f t="shared" si="101"/>
        <v>0.7</v>
      </c>
      <c r="R274" s="177">
        <f t="shared" si="102"/>
        <v>0.92799950933762076</v>
      </c>
      <c r="S274" s="799">
        <f t="shared" si="103"/>
        <v>-1</v>
      </c>
      <c r="T274" s="176">
        <f t="shared" si="104"/>
        <v>5</v>
      </c>
      <c r="U274" s="250">
        <f t="shared" si="105"/>
        <v>-7.200049066237918E-2</v>
      </c>
      <c r="V274" s="382">
        <f t="shared" si="106"/>
        <v>45.198585108543547</v>
      </c>
      <c r="W274" s="400"/>
      <c r="X274" s="157">
        <f t="shared" si="107"/>
        <v>44456</v>
      </c>
      <c r="Y274" s="383">
        <f t="shared" si="108"/>
        <v>35.624227947194285</v>
      </c>
      <c r="Z274" s="383">
        <f t="shared" si="109"/>
        <v>36.300328399625165</v>
      </c>
      <c r="AA274" s="384">
        <f t="shared" si="110"/>
        <v>38.190773354923905</v>
      </c>
      <c r="AB274" s="197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4.9500043838599343E-2</v>
      </c>
      <c r="AD274" s="230">
        <f>(INDEX(Models!$BJ274:$BT274,,AH274)*(1-AF274)+INDEX(Models!$BJ274:$BT274,,AH274+1)*AF274-ERP_i)*AE274*Ramure*Pc/MaxiM</f>
        <v>3.3122730095939807E-3</v>
      </c>
      <c r="AE274" s="304">
        <f t="shared" si="112"/>
        <v>0.7</v>
      </c>
      <c r="AF274" s="177">
        <f t="shared" si="113"/>
        <v>0.99233173159745292</v>
      </c>
      <c r="AG274" s="799">
        <f t="shared" si="119"/>
        <v>-1</v>
      </c>
      <c r="AH274" s="176">
        <f t="shared" si="114"/>
        <v>5</v>
      </c>
      <c r="AI274" s="224">
        <f t="shared" si="115"/>
        <v>-7.6682684025470293E-3</v>
      </c>
      <c r="AJ274" s="264" t="b">
        <f t="shared" si="116"/>
        <v>1</v>
      </c>
      <c r="AK274" s="264" t="b">
        <f t="shared" si="117"/>
        <v>0</v>
      </c>
      <c r="AL274" s="264"/>
      <c r="AM274" s="264"/>
      <c r="AN274" s="75"/>
    </row>
    <row r="275" spans="1:40" s="6" customFormat="1" ht="11.25" x14ac:dyDescent="0.2">
      <c r="A275" s="56">
        <f t="shared" si="118"/>
        <v>44457</v>
      </c>
      <c r="B275" s="607">
        <v>7.9770000000000003</v>
      </c>
      <c r="C275" s="388"/>
      <c r="D275" s="391">
        <f t="shared" si="98"/>
        <v>8.1285486292836051</v>
      </c>
      <c r="E275" s="383">
        <f t="shared" si="96"/>
        <v>8.5520493519738459</v>
      </c>
      <c r="F275" s="383">
        <f t="shared" si="99"/>
        <v>8.5520493519738459</v>
      </c>
      <c r="G275" s="110">
        <f t="shared" si="97"/>
        <v>0.17682965557816538</v>
      </c>
      <c r="H275" s="412" t="b">
        <f>Wh_hp&gt;='2020'!Maxi_hp</f>
        <v>0</v>
      </c>
      <c r="I275" s="379">
        <f>IF(H275,Wh_hp,'2020'!Maxi_hp)</f>
        <v>44.2336125017314</v>
      </c>
      <c r="J275" s="85">
        <f>IF(H275,An,'2020'!An_max)</f>
        <v>2020</v>
      </c>
      <c r="K275" s="197">
        <f t="shared" si="100"/>
        <v>44457</v>
      </c>
      <c r="L275" s="147">
        <f>IF(t&lt;Tvie,1-EXP((T0-t)*PertePVj)+'2020'!Pspv,1-EXP((T0-t)*PertePVj)+Pspv)</f>
        <v>1.8643996141899377E-2</v>
      </c>
      <c r="M275" s="832"/>
      <c r="N275" s="832"/>
      <c r="O275" s="48">
        <f>IF(t&lt;Tnet,'2020'!Resal+('2020'!Salim-'2020'!Resal)*(1-EXP(('2020'!Tnet-t)/('2020'!Tau_j))),Resal+(Salim-Resal)*(1-EXP((Tnet-t)/(Tau_j))))*Salcycl</f>
        <v>4.9520378713962344E-2</v>
      </c>
      <c r="P275" s="169">
        <f>(INDEX(Models!$BJ275:$BT275,,T275)*(1-R275)+INDEX(Models!$BJ275:$BT275,,T275+1)*R275-ERP_i)*Q275*Ramure*Pc/MaxiM</f>
        <v>3.1233428484205693E-3</v>
      </c>
      <c r="Q275" s="304">
        <f t="shared" si="101"/>
        <v>0.7</v>
      </c>
      <c r="R275" s="177">
        <f t="shared" si="102"/>
        <v>0.92826641206550708</v>
      </c>
      <c r="S275" s="799">
        <f t="shared" si="103"/>
        <v>-1</v>
      </c>
      <c r="T275" s="176">
        <f t="shared" si="104"/>
        <v>5</v>
      </c>
      <c r="U275" s="250">
        <f t="shared" si="105"/>
        <v>-7.173358793449286E-2</v>
      </c>
      <c r="V275" s="382">
        <f t="shared" si="106"/>
        <v>44.970313763819028</v>
      </c>
      <c r="W275" s="400"/>
      <c r="X275" s="157">
        <f t="shared" si="107"/>
        <v>44457</v>
      </c>
      <c r="Y275" s="383">
        <f t="shared" si="108"/>
        <v>7.9770000000000003</v>
      </c>
      <c r="Z275" s="383">
        <f t="shared" si="109"/>
        <v>8.1285486292836051</v>
      </c>
      <c r="AA275" s="384">
        <f t="shared" si="110"/>
        <v>8.5520493519738459</v>
      </c>
      <c r="AB275" s="197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4.9520378713962344E-2</v>
      </c>
      <c r="AD275" s="230">
        <f>(INDEX(Models!$BJ275:$BT275,,AH275)*(1-AF275)+INDEX(Models!$BJ275:$BT275,,AH275+1)*AF275-ERP_i)*AE275*Ramure*Pc/MaxiM</f>
        <v>3.3148545106319429E-3</v>
      </c>
      <c r="AE275" s="304">
        <f t="shared" si="112"/>
        <v>0.7</v>
      </c>
      <c r="AF275" s="177">
        <f t="shared" si="113"/>
        <v>0.99259863432533924</v>
      </c>
      <c r="AG275" s="799">
        <f t="shared" si="119"/>
        <v>-1</v>
      </c>
      <c r="AH275" s="176">
        <f t="shared" si="114"/>
        <v>5</v>
      </c>
      <c r="AI275" s="224">
        <f t="shared" si="115"/>
        <v>-7.4013656746607093E-3</v>
      </c>
      <c r="AJ275" s="264" t="b">
        <f t="shared" si="116"/>
        <v>1</v>
      </c>
      <c r="AK275" s="264" t="b">
        <f t="shared" si="117"/>
        <v>0</v>
      </c>
      <c r="AL275" s="264"/>
      <c r="AM275" s="264"/>
      <c r="AN275" s="75"/>
    </row>
    <row r="276" spans="1:40" s="6" customFormat="1" ht="11.25" x14ac:dyDescent="0.2">
      <c r="A276" s="56">
        <f t="shared" si="118"/>
        <v>44458</v>
      </c>
      <c r="B276" s="607">
        <v>33.611000000000004</v>
      </c>
      <c r="C276" s="388"/>
      <c r="D276" s="391">
        <f t="shared" si="98"/>
        <v>34.250204846509867</v>
      </c>
      <c r="E276" s="383">
        <f t="shared" si="96"/>
        <v>36.035406548479862</v>
      </c>
      <c r="F276" s="383">
        <f t="shared" si="99"/>
        <v>36.107842926535888</v>
      </c>
      <c r="G276" s="110">
        <f t="shared" si="97"/>
        <v>0.75043356273270589</v>
      </c>
      <c r="H276" s="412" t="b">
        <f>Wh_hp&gt;='2020'!Maxi_hp</f>
        <v>0</v>
      </c>
      <c r="I276" s="379">
        <f>IF(H276,Wh_hp,'2020'!Maxi_hp)</f>
        <v>36.268221149593323</v>
      </c>
      <c r="J276" s="85">
        <f>IF(H276,An,'2020'!An_max)</f>
        <v>2018</v>
      </c>
      <c r="K276" s="197">
        <f t="shared" si="100"/>
        <v>44458</v>
      </c>
      <c r="L276" s="147">
        <f>IF(t&lt;Tvie,1-EXP((T0-t)*PertePVj)+'2020'!Pspv,1-EXP((T0-t)*PertePVj)+Pspv)</f>
        <v>1.8662803605830058E-2</v>
      </c>
      <c r="M276" s="832"/>
      <c r="N276" s="832"/>
      <c r="O276" s="48">
        <f>IF(t&lt;Tnet,'2020'!Resal+('2020'!Salim-'2020'!Resal)*(1-EXP(('2020'!Tnet-t)/('2020'!Tau_j))),Resal+(Salim-Resal)*(1-EXP((Tnet-t)/(Tau_j))))*Salcycl</f>
        <v>4.9540212611957006E-2</v>
      </c>
      <c r="P276" s="169">
        <f>(INDEX(Models!$BJ276:$BT276,,T276)*(1-R276)+INDEX(Models!$BJ276:$BT276,,T276+1)*R276-ERP_i)*Q276*Ramure*Pc/MaxiM</f>
        <v>3.1118643696864947E-3</v>
      </c>
      <c r="Q276" s="304">
        <f t="shared" si="101"/>
        <v>0.7</v>
      </c>
      <c r="R276" s="177">
        <f t="shared" si="102"/>
        <v>0.92852290884091637</v>
      </c>
      <c r="S276" s="799">
        <f t="shared" si="103"/>
        <v>-1</v>
      </c>
      <c r="T276" s="176">
        <f t="shared" si="104"/>
        <v>5</v>
      </c>
      <c r="U276" s="250">
        <f t="shared" si="105"/>
        <v>-7.1477091159083572E-2</v>
      </c>
      <c r="V276" s="382">
        <f t="shared" si="106"/>
        <v>44.739150162639582</v>
      </c>
      <c r="W276" s="400"/>
      <c r="X276" s="157">
        <f t="shared" si="107"/>
        <v>44458</v>
      </c>
      <c r="Y276" s="383">
        <f t="shared" si="108"/>
        <v>33.606863810960213</v>
      </c>
      <c r="Z276" s="383">
        <f t="shared" si="109"/>
        <v>34.245989996553106</v>
      </c>
      <c r="AA276" s="384">
        <f t="shared" si="110"/>
        <v>36.030972010572327</v>
      </c>
      <c r="AB276" s="197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4.9540212611957006E-2</v>
      </c>
      <c r="AD276" s="230">
        <f>(INDEX(Models!$BJ276:$BT276,,AH276)*(1-AF276)+INDEX(Models!$BJ276:$BT276,,AH276+1)*AF276-ERP_i)*AE276*Ramure*Pc/MaxiM</f>
        <v>3.3023719693321624E-3</v>
      </c>
      <c r="AE276" s="304">
        <f t="shared" si="112"/>
        <v>0.7</v>
      </c>
      <c r="AF276" s="177">
        <f t="shared" si="113"/>
        <v>0.99285513110074852</v>
      </c>
      <c r="AG276" s="799">
        <f t="shared" si="119"/>
        <v>-1</v>
      </c>
      <c r="AH276" s="176">
        <f t="shared" si="114"/>
        <v>5</v>
      </c>
      <c r="AI276" s="224">
        <f t="shared" si="115"/>
        <v>-7.144868899251422E-3</v>
      </c>
      <c r="AJ276" s="264" t="b">
        <f t="shared" si="116"/>
        <v>1</v>
      </c>
      <c r="AK276" s="264" t="b">
        <f t="shared" si="117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18"/>
        <v>44459</v>
      </c>
      <c r="B277" s="607">
        <v>29.38</v>
      </c>
      <c r="C277" s="388"/>
      <c r="D277" s="391">
        <f t="shared" si="98"/>
        <v>29.939314620646773</v>
      </c>
      <c r="E277" s="383">
        <f t="shared" si="96"/>
        <v>31.500462693071228</v>
      </c>
      <c r="F277" s="383">
        <f t="shared" si="99"/>
        <v>31.550595357152048</v>
      </c>
      <c r="G277" s="110">
        <f t="shared" si="97"/>
        <v>0.65915628649665003</v>
      </c>
      <c r="H277" s="412" t="b">
        <f>Wh_hp&gt;='2020'!Maxi_hp</f>
        <v>0</v>
      </c>
      <c r="I277" s="379">
        <f>IF(H277,Wh_hp,'2020'!Maxi_hp)</f>
        <v>48.889969383535792</v>
      </c>
      <c r="J277" s="85">
        <f>IF(H277,An,'2020'!An_max)</f>
        <v>2018</v>
      </c>
      <c r="K277" s="197">
        <f t="shared" si="100"/>
        <v>44459</v>
      </c>
      <c r="L277" s="147">
        <f>IF(t&lt;Tvie,1-EXP((T0-t)*PertePVj)+'2020'!Pspv,1-EXP((T0-t)*PertePVj)+Pspv)</f>
        <v>1.8681610709319951E-2</v>
      </c>
      <c r="M277" s="832"/>
      <c r="N277" s="832"/>
      <c r="O277" s="48">
        <f>IF(t&lt;Tnet,'2020'!Resal+('2020'!Salim-'2020'!Resal)*(1-EXP(('2020'!Tnet-t)/('2020'!Tau_j))),Resal+(Salim-Resal)*(1-EXP((Tnet-t)/(Tau_j))))*Salcycl</f>
        <v>4.9559528303939511E-2</v>
      </c>
      <c r="P277" s="169">
        <f>(INDEX(Models!$BJ277:$BT277,,T277)*(1-R277)+INDEX(Models!$BJ277:$BT277,,T277+1)*R277-ERP_i)*Q277*Ramure*Pc/MaxiM</f>
        <v>3.0883792108116815E-3</v>
      </c>
      <c r="Q277" s="304">
        <f t="shared" si="101"/>
        <v>0.7</v>
      </c>
      <c r="R277" s="177">
        <f t="shared" si="102"/>
        <v>0.92876939239696332</v>
      </c>
      <c r="S277" s="799">
        <f t="shared" si="103"/>
        <v>-1</v>
      </c>
      <c r="T277" s="176">
        <f t="shared" si="104"/>
        <v>5</v>
      </c>
      <c r="U277" s="250">
        <f t="shared" si="105"/>
        <v>-7.1230607603036622E-2</v>
      </c>
      <c r="V277" s="382">
        <f t="shared" si="106"/>
        <v>44.505191838134735</v>
      </c>
      <c r="W277" s="400"/>
      <c r="X277" s="157">
        <f t="shared" si="107"/>
        <v>44459</v>
      </c>
      <c r="Y277" s="383">
        <f t="shared" si="108"/>
        <v>29.377142718106857</v>
      </c>
      <c r="Z277" s="383">
        <f t="shared" si="109"/>
        <v>29.936402943942937</v>
      </c>
      <c r="AA277" s="384">
        <f t="shared" si="110"/>
        <v>31.497399190631523</v>
      </c>
      <c r="AB277" s="197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4.9559528303939511E-2</v>
      </c>
      <c r="AD277" s="230">
        <f>(INDEX(Models!$BJ277:$BT277,,AH277)*(1-AF277)+INDEX(Models!$BJ277:$BT277,,AH277+1)*AF277-ERP_i)*AE277*Ramure*Pc/MaxiM</f>
        <v>3.2771036167557393E-3</v>
      </c>
      <c r="AE277" s="304">
        <f t="shared" si="112"/>
        <v>0.7</v>
      </c>
      <c r="AF277" s="177">
        <f t="shared" si="113"/>
        <v>0.99310161465679547</v>
      </c>
      <c r="AG277" s="799">
        <f t="shared" si="119"/>
        <v>-1</v>
      </c>
      <c r="AH277" s="176">
        <f t="shared" si="114"/>
        <v>5</v>
      </c>
      <c r="AI277" s="224">
        <f t="shared" si="115"/>
        <v>-6.8983853432044717E-3</v>
      </c>
      <c r="AJ277" s="264" t="b">
        <f t="shared" si="116"/>
        <v>1</v>
      </c>
      <c r="AK277" s="264" t="b">
        <f t="shared" si="117"/>
        <v>0</v>
      </c>
      <c r="AL277" s="264"/>
      <c r="AM277" s="264"/>
      <c r="AN277" s="75"/>
    </row>
    <row r="278" spans="1:40" s="6" customFormat="1" ht="11.25" x14ac:dyDescent="0.2">
      <c r="A278" s="56">
        <f t="shared" si="118"/>
        <v>44460</v>
      </c>
      <c r="B278" s="607">
        <v>10.616</v>
      </c>
      <c r="C278" s="388"/>
      <c r="D278" s="391">
        <f t="shared" si="98"/>
        <v>10.818306854303374</v>
      </c>
      <c r="E278" s="383">
        <f t="shared" si="96"/>
        <v>11.382638832324202</v>
      </c>
      <c r="F278" s="383">
        <f t="shared" si="99"/>
        <v>11.382638832324202</v>
      </c>
      <c r="G278" s="110">
        <f t="shared" si="97"/>
        <v>0.23907651614688641</v>
      </c>
      <c r="H278" s="412" t="b">
        <f>Wh_hp&gt;='2020'!Maxi_hp</f>
        <v>0</v>
      </c>
      <c r="I278" s="379">
        <f>IF(H278,Wh_hp,'2020'!Maxi_hp)</f>
        <v>36.187222369382674</v>
      </c>
      <c r="J278" s="85">
        <f>IF(H278,An,'2020'!An_max)</f>
        <v>2020</v>
      </c>
      <c r="K278" s="197">
        <f t="shared" si="100"/>
        <v>44460</v>
      </c>
      <c r="L278" s="147">
        <f>IF(t&lt;Tvie,1-EXP((T0-t)*PertePVj)+'2020'!Pspv,1-EXP((T0-t)*PertePVj)+Pspv)</f>
        <v>1.870041745237605E-2</v>
      </c>
      <c r="M278" s="832"/>
      <c r="N278" s="832"/>
      <c r="O278" s="48">
        <f>IF(t&lt;Tnet,'2020'!Resal+('2020'!Salim-'2020'!Resal)*(1-EXP(('2020'!Tnet-t)/('2020'!Tau_j))),Resal+(Salim-Resal)*(1-EXP((Tnet-t)/(Tau_j))))*Salcycl</f>
        <v>4.9578308363632556E-2</v>
      </c>
      <c r="P278" s="169">
        <f>(INDEX(Models!$BJ278:$BT278,,T278)*(1-R278)+INDEX(Models!$BJ278:$BT278,,T278+1)*R278-ERP_i)*Q278*Ramure*Pc/MaxiM</f>
        <v>3.0526972263044318E-3</v>
      </c>
      <c r="Q278" s="304">
        <f t="shared" si="101"/>
        <v>0.7</v>
      </c>
      <c r="R278" s="177">
        <f t="shared" si="102"/>
        <v>0.92900624165503354</v>
      </c>
      <c r="S278" s="799">
        <f t="shared" si="103"/>
        <v>-1</v>
      </c>
      <c r="T278" s="176">
        <f t="shared" si="104"/>
        <v>5</v>
      </c>
      <c r="U278" s="250">
        <f t="shared" si="105"/>
        <v>-7.0993758344966462E-2</v>
      </c>
      <c r="V278" s="382">
        <f t="shared" si="106"/>
        <v>44.268641424166859</v>
      </c>
      <c r="W278" s="400"/>
      <c r="X278" s="157">
        <f t="shared" si="107"/>
        <v>44460</v>
      </c>
      <c r="Y278" s="383">
        <f t="shared" si="108"/>
        <v>10.616</v>
      </c>
      <c r="Z278" s="383">
        <f t="shared" si="109"/>
        <v>10.818306854303374</v>
      </c>
      <c r="AA278" s="384">
        <f t="shared" si="110"/>
        <v>11.382638832324202</v>
      </c>
      <c r="AB278" s="197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4.9578308363632556E-2</v>
      </c>
      <c r="AD278" s="230">
        <f>(INDEX(Models!$BJ278:$BT278,,AH278)*(1-AF278)+INDEX(Models!$BJ278:$BT278,,AH278+1)*AF278-ERP_i)*AE278*Ramure*Pc/MaxiM</f>
        <v>3.238847425167115E-3</v>
      </c>
      <c r="AE278" s="304">
        <f t="shared" si="112"/>
        <v>0.7</v>
      </c>
      <c r="AF278" s="177">
        <f t="shared" si="113"/>
        <v>0.99333846391486569</v>
      </c>
      <c r="AG278" s="799">
        <f t="shared" si="119"/>
        <v>-1</v>
      </c>
      <c r="AH278" s="176">
        <f t="shared" si="114"/>
        <v>5</v>
      </c>
      <c r="AI278" s="224">
        <f t="shared" si="115"/>
        <v>-6.6615360851343119E-3</v>
      </c>
      <c r="AJ278" s="264" t="b">
        <f t="shared" si="116"/>
        <v>1</v>
      </c>
      <c r="AK278" s="264" t="b">
        <f t="shared" si="117"/>
        <v>0</v>
      </c>
      <c r="AL278" s="264"/>
      <c r="AM278" s="264"/>
      <c r="AN278" s="75"/>
    </row>
    <row r="279" spans="1:40" s="6" customFormat="1" ht="11.25" x14ac:dyDescent="0.2">
      <c r="A279" s="56">
        <f t="shared" si="118"/>
        <v>44461</v>
      </c>
      <c r="B279" s="607">
        <v>41.975999999999999</v>
      </c>
      <c r="C279" s="388"/>
      <c r="D279" s="391">
        <f t="shared" si="98"/>
        <v>42.776747511603197</v>
      </c>
      <c r="E279" s="383">
        <f t="shared" si="96"/>
        <v>45.009039947734692</v>
      </c>
      <c r="F279" s="383">
        <f t="shared" si="99"/>
        <v>45.135618901689156</v>
      </c>
      <c r="G279" s="110">
        <f t="shared" si="97"/>
        <v>0.95316504773962341</v>
      </c>
      <c r="H279" s="412" t="b">
        <f>Wh_hp&gt;='2020'!Maxi_hp</f>
        <v>1</v>
      </c>
      <c r="I279" s="379">
        <f>IF(H279,Wh_hp,'2020'!Maxi_hp)</f>
        <v>45.135618901689156</v>
      </c>
      <c r="J279" s="85">
        <f>IF(H279,An,'2020'!An_max)</f>
        <v>2021</v>
      </c>
      <c r="K279" s="197">
        <f t="shared" si="100"/>
        <v>44461</v>
      </c>
      <c r="L279" s="147">
        <f>IF(t&lt;Tvie,1-EXP((T0-t)*PertePVj)+'2020'!Pspv,1-EXP((T0-t)*PertePVj)+Pspv)</f>
        <v>1.8719223835005128E-2</v>
      </c>
      <c r="M279" s="832"/>
      <c r="N279" s="832"/>
      <c r="O279" s="48">
        <f>IF(t&lt;Tnet,'2020'!Resal+('2020'!Salim-'2020'!Resal)*(1-EXP(('2020'!Tnet-t)/('2020'!Tau_j))),Resal+(Salim-Resal)*(1-EXP((Tnet-t)/(Tau_j))))*Salcycl</f>
        <v>4.9596535245445626E-2</v>
      </c>
      <c r="P279" s="169">
        <f>(INDEX(Models!$BJ279:$BT279,,T279)*(1-R279)+INDEX(Models!$BJ279:$BT279,,T279+1)*R279-ERP_i)*Q279*Ramure*Pc/MaxiM</f>
        <v>3.0046227709308033E-3</v>
      </c>
      <c r="Q279" s="304">
        <f t="shared" si="101"/>
        <v>0.7</v>
      </c>
      <c r="R279" s="177">
        <f t="shared" si="102"/>
        <v>0.92923382213088157</v>
      </c>
      <c r="S279" s="799">
        <f t="shared" si="103"/>
        <v>-1</v>
      </c>
      <c r="T279" s="176">
        <f t="shared" si="104"/>
        <v>5</v>
      </c>
      <c r="U279" s="250">
        <f t="shared" si="105"/>
        <v>-7.0766177869118374E-2</v>
      </c>
      <c r="V279" s="382">
        <f t="shared" si="106"/>
        <v>44.029701356132051</v>
      </c>
      <c r="W279" s="400"/>
      <c r="X279" s="157">
        <f t="shared" si="107"/>
        <v>44461</v>
      </c>
      <c r="Y279" s="383">
        <f t="shared" si="108"/>
        <v>41.968819011843586</v>
      </c>
      <c r="Z279" s="383">
        <f t="shared" si="109"/>
        <v>42.769429536635343</v>
      </c>
      <c r="AA279" s="384">
        <f t="shared" si="110"/>
        <v>45.001340086318734</v>
      </c>
      <c r="AB279" s="197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4.9596535245445626E-2</v>
      </c>
      <c r="AD279" s="230">
        <f>(INDEX(Models!$BJ279:$BT279,,AH279)*(1-AF279)+INDEX(Models!$BJ279:$BT279,,AH279+1)*AF279-ERP_i)*AE279*Ramure*Pc/MaxiM</f>
        <v>3.1873954848822424E-3</v>
      </c>
      <c r="AE279" s="304">
        <f t="shared" si="112"/>
        <v>0.7</v>
      </c>
      <c r="AF279" s="177">
        <f t="shared" si="113"/>
        <v>0.99356604439071372</v>
      </c>
      <c r="AG279" s="799">
        <f t="shared" si="119"/>
        <v>-1</v>
      </c>
      <c r="AH279" s="176">
        <f t="shared" si="114"/>
        <v>5</v>
      </c>
      <c r="AI279" s="224">
        <f t="shared" si="115"/>
        <v>-6.4339556092862238E-3</v>
      </c>
      <c r="AJ279" s="264" t="b">
        <f t="shared" si="116"/>
        <v>1</v>
      </c>
      <c r="AK279" s="264" t="b">
        <f t="shared" si="117"/>
        <v>0</v>
      </c>
      <c r="AL279" s="264"/>
      <c r="AM279" s="264"/>
      <c r="AN279" s="75"/>
    </row>
    <row r="280" spans="1:40" s="6" customFormat="1" ht="11.25" x14ac:dyDescent="0.2">
      <c r="A280" s="56">
        <f t="shared" si="118"/>
        <v>44462</v>
      </c>
      <c r="B280" s="607">
        <v>39.033999999999999</v>
      </c>
      <c r="C280" s="388"/>
      <c r="D280" s="391">
        <f t="shared" si="98"/>
        <v>39.779387347825242</v>
      </c>
      <c r="E280" s="383">
        <f t="shared" si="96"/>
        <v>41.85604097479785</v>
      </c>
      <c r="F280" s="383">
        <f t="shared" si="99"/>
        <v>41.960409852229127</v>
      </c>
      <c r="G280" s="110">
        <f t="shared" si="97"/>
        <v>0.89101168939875963</v>
      </c>
      <c r="H280" s="412" t="b">
        <f>Wh_hp&gt;='2020'!Maxi_hp</f>
        <v>1</v>
      </c>
      <c r="I280" s="379">
        <f>IF(H280,Wh_hp,'2020'!Maxi_hp)</f>
        <v>41.960409852229127</v>
      </c>
      <c r="J280" s="85">
        <f>IF(H280,An,'2020'!An_max)</f>
        <v>2021</v>
      </c>
      <c r="K280" s="197">
        <f t="shared" si="100"/>
        <v>44462</v>
      </c>
      <c r="L280" s="147">
        <f>IF(t&lt;Tvie,1-EXP((T0-t)*PertePVj)+'2020'!Pspv,1-EXP((T0-t)*PertePVj)+Pspv)</f>
        <v>1.8738029857214289E-2</v>
      </c>
      <c r="M280" s="832"/>
      <c r="N280" s="832"/>
      <c r="O280" s="48">
        <f>IF(t&lt;Tnet,'2020'!Resal+('2020'!Salim-'2020'!Resal)*(1-EXP(('2020'!Tnet-t)/('2020'!Tau_j))),Resal+(Salim-Resal)*(1-EXP((Tnet-t)/(Tau_j))))*Salcycl</f>
        <v>4.9614191371395854E-2</v>
      </c>
      <c r="P280" s="169">
        <f>(INDEX(Models!$BJ280:$BT280,,T280)*(1-R280)+INDEX(Models!$BJ280:$BT280,,T280+1)*R280-ERP_i)*Q280*Ramure*Pc/MaxiM</f>
        <v>2.9439707445138939E-3</v>
      </c>
      <c r="Q280" s="304">
        <f t="shared" si="101"/>
        <v>0.7</v>
      </c>
      <c r="R280" s="177">
        <f t="shared" si="102"/>
        <v>0.92945248633533384</v>
      </c>
      <c r="S280" s="799">
        <f t="shared" si="103"/>
        <v>-1</v>
      </c>
      <c r="T280" s="176">
        <f t="shared" si="104"/>
        <v>5</v>
      </c>
      <c r="U280" s="250">
        <f t="shared" si="105"/>
        <v>-7.0547513664666162E-2</v>
      </c>
      <c r="V280" s="382">
        <f t="shared" si="106"/>
        <v>43.788573179348028</v>
      </c>
      <c r="W280" s="400"/>
      <c r="X280" s="157">
        <f t="shared" si="107"/>
        <v>44462</v>
      </c>
      <c r="Y280" s="383">
        <f t="shared" si="108"/>
        <v>39.02809586966309</v>
      </c>
      <c r="Z280" s="383">
        <f t="shared" si="109"/>
        <v>39.773370473110276</v>
      </c>
      <c r="AA280" s="384">
        <f t="shared" si="110"/>
        <v>41.849709993568609</v>
      </c>
      <c r="AB280" s="197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4.9614191371395854E-2</v>
      </c>
      <c r="AD280" s="230">
        <f>(INDEX(Models!$BJ280:$BT280,,AH280)*(1-AF280)+INDEX(Models!$BJ280:$BT280,,AH280+1)*AF280-ERP_i)*AE280*Ramure*Pc/MaxiM</f>
        <v>3.1225510261235637E-3</v>
      </c>
      <c r="AE280" s="304">
        <f t="shared" si="112"/>
        <v>0.7</v>
      </c>
      <c r="AF280" s="177">
        <f t="shared" si="113"/>
        <v>0.99378470859516599</v>
      </c>
      <c r="AG280" s="799">
        <f t="shared" si="119"/>
        <v>-1</v>
      </c>
      <c r="AH280" s="176">
        <f t="shared" si="114"/>
        <v>5</v>
      </c>
      <c r="AI280" s="224">
        <f t="shared" si="115"/>
        <v>-6.2152914048340113E-3</v>
      </c>
      <c r="AJ280" s="264" t="b">
        <f t="shared" si="116"/>
        <v>1</v>
      </c>
      <c r="AK280" s="264" t="b">
        <f t="shared" si="117"/>
        <v>0</v>
      </c>
      <c r="AL280" s="264"/>
      <c r="AM280" s="264"/>
      <c r="AN280" s="75"/>
    </row>
    <row r="281" spans="1:40" s="6" customFormat="1" ht="11.25" x14ac:dyDescent="0.2">
      <c r="A281" s="56">
        <f t="shared" si="118"/>
        <v>44463</v>
      </c>
      <c r="B281" s="607">
        <v>38.18</v>
      </c>
      <c r="C281" s="388"/>
      <c r="D281" s="391">
        <f t="shared" si="98"/>
        <v>38.909825191184488</v>
      </c>
      <c r="E281" s="383">
        <f t="shared" si="96"/>
        <v>40.941819234825722</v>
      </c>
      <c r="F281" s="383">
        <f t="shared" si="99"/>
        <v>41.038887067631343</v>
      </c>
      <c r="G281" s="110">
        <f t="shared" si="97"/>
        <v>0.87634081630407201</v>
      </c>
      <c r="H281" s="412" t="b">
        <f>Wh_hp&gt;='2020'!Maxi_hp</f>
        <v>1</v>
      </c>
      <c r="I281" s="379">
        <f>IF(H281,Wh_hp,'2020'!Maxi_hp)</f>
        <v>41.038887067631343</v>
      </c>
      <c r="J281" s="85">
        <f>IF(H281,An,'2020'!An_max)</f>
        <v>2021</v>
      </c>
      <c r="K281" s="197">
        <f t="shared" si="100"/>
        <v>44463</v>
      </c>
      <c r="L281" s="147">
        <f>IF(t&lt;Tvie,1-EXP((T0-t)*PertePVj)+'2020'!Pspv,1-EXP((T0-t)*PertePVj)+Pspv)</f>
        <v>1.8756835519010195E-2</v>
      </c>
      <c r="M281" s="832"/>
      <c r="N281" s="832"/>
      <c r="O281" s="48">
        <f>IF(t&lt;Tnet,'2020'!Resal+('2020'!Salim-'2020'!Resal)*(1-EXP(('2020'!Tnet-t)/('2020'!Tau_j))),Resal+(Salim-Resal)*(1-EXP((Tnet-t)/(Tau_j))))*Salcycl</f>
        <v>4.963125922633136E-2</v>
      </c>
      <c r="P281" s="169">
        <f>(INDEX(Models!$BJ281:$BT281,,T281)*(1-R281)+INDEX(Models!$BJ281:$BT281,,T281+1)*R281-ERP_i)*Q281*Ramure*Pc/MaxiM</f>
        <v>2.8705421412525524E-3</v>
      </c>
      <c r="Q281" s="304">
        <f t="shared" si="101"/>
        <v>0.7</v>
      </c>
      <c r="R281" s="177">
        <f t="shared" si="102"/>
        <v>0.92966257416904274</v>
      </c>
      <c r="S281" s="799">
        <f t="shared" si="103"/>
        <v>-1</v>
      </c>
      <c r="T281" s="176">
        <f t="shared" si="104"/>
        <v>5</v>
      </c>
      <c r="U281" s="250">
        <f t="shared" si="105"/>
        <v>-7.0337425830957312E-2</v>
      </c>
      <c r="V281" s="382">
        <f t="shared" si="106"/>
        <v>43.545458640547913</v>
      </c>
      <c r="W281" s="400"/>
      <c r="X281" s="157">
        <f t="shared" si="107"/>
        <v>44463</v>
      </c>
      <c r="Y281" s="383">
        <f t="shared" si="108"/>
        <v>38.174526934079054</v>
      </c>
      <c r="Z281" s="383">
        <f t="shared" si="109"/>
        <v>38.904247505531167</v>
      </c>
      <c r="AA281" s="384">
        <f t="shared" si="110"/>
        <v>40.935950264799644</v>
      </c>
      <c r="AB281" s="197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4.963125922633136E-2</v>
      </c>
      <c r="AD281" s="230">
        <f>(INDEX(Models!$BJ281:$BT281,,AH281)*(1-AF281)+INDEX(Models!$BJ281:$BT281,,AH281+1)*AF281-ERP_i)*AE281*Ramure*Pc/MaxiM</f>
        <v>3.0441024783760609E-3</v>
      </c>
      <c r="AE281" s="304">
        <f t="shared" si="112"/>
        <v>0.7</v>
      </c>
      <c r="AF281" s="177">
        <f t="shared" si="113"/>
        <v>0.99399479642887489</v>
      </c>
      <c r="AG281" s="799">
        <f t="shared" si="119"/>
        <v>-1</v>
      </c>
      <c r="AH281" s="176">
        <f t="shared" si="114"/>
        <v>5</v>
      </c>
      <c r="AI281" s="224">
        <f t="shared" si="115"/>
        <v>-6.0052035711251617E-3</v>
      </c>
      <c r="AJ281" s="264" t="b">
        <f t="shared" si="116"/>
        <v>1</v>
      </c>
      <c r="AK281" s="264" t="b">
        <f t="shared" si="117"/>
        <v>0</v>
      </c>
      <c r="AL281" s="264"/>
      <c r="AM281" s="264"/>
      <c r="AN281" s="75"/>
    </row>
    <row r="282" spans="1:40" s="6" customFormat="1" ht="11.25" x14ac:dyDescent="0.2">
      <c r="A282" s="56">
        <f t="shared" si="118"/>
        <v>44464</v>
      </c>
      <c r="B282" s="607">
        <v>29.353000000000002</v>
      </c>
      <c r="C282" s="388"/>
      <c r="D282" s="391">
        <f t="shared" si="98"/>
        <v>29.914667043673877</v>
      </c>
      <c r="E282" s="383">
        <f t="shared" si="96"/>
        <v>31.477450750856395</v>
      </c>
      <c r="F282" s="383">
        <f t="shared" si="99"/>
        <v>31.525006973211781</v>
      </c>
      <c r="G282" s="110">
        <f t="shared" si="97"/>
        <v>0.6770235983981211</v>
      </c>
      <c r="H282" s="412" t="b">
        <f>Wh_hp&gt;='2020'!Maxi_hp</f>
        <v>1</v>
      </c>
      <c r="I282" s="379">
        <f>IF(H282,Wh_hp,'2020'!Maxi_hp)</f>
        <v>31.525006973211781</v>
      </c>
      <c r="J282" s="85">
        <f>IF(H282,An,'2020'!An_max)</f>
        <v>2021</v>
      </c>
      <c r="K282" s="197">
        <f t="shared" si="100"/>
        <v>44464</v>
      </c>
      <c r="L282" s="147">
        <f>IF(t&lt;Tvie,1-EXP((T0-t)*PertePVj)+'2020'!Pspv,1-EXP((T0-t)*PertePVj)+Pspv)</f>
        <v>1.8775640820399953E-2</v>
      </c>
      <c r="M282" s="832"/>
      <c r="N282" s="832"/>
      <c r="O282" s="48">
        <f>IF(t&lt;Tnet,'2020'!Resal+('2020'!Salim-'2020'!Resal)*(1-EXP(('2020'!Tnet-t)/('2020'!Tau_j))),Resal+(Salim-Resal)*(1-EXP((Tnet-t)/(Tau_j))))*Salcycl</f>
        <v>4.9647721461052591E-2</v>
      </c>
      <c r="P282" s="169">
        <f>(INDEX(Models!$BJ282:$BT282,,T282)*(1-R282)+INDEX(Models!$BJ282:$BT282,,T282+1)*R282-ERP_i)*Q282*Ramure*Pc/MaxiM</f>
        <v>2.7943272281996992E-3</v>
      </c>
      <c r="Q282" s="304">
        <f t="shared" si="101"/>
        <v>0.7</v>
      </c>
      <c r="R282" s="177">
        <f t="shared" si="102"/>
        <v>0.92986441331081737</v>
      </c>
      <c r="S282" s="799">
        <f t="shared" si="103"/>
        <v>-1</v>
      </c>
      <c r="T282" s="176">
        <f t="shared" si="104"/>
        <v>5</v>
      </c>
      <c r="U282" s="250">
        <f t="shared" si="105"/>
        <v>-7.0135586689182683E-2</v>
      </c>
      <c r="V282" s="382">
        <f t="shared" si="106"/>
        <v>43.300116656840537</v>
      </c>
      <c r="W282" s="400"/>
      <c r="X282" s="157">
        <f t="shared" si="107"/>
        <v>44464</v>
      </c>
      <c r="Y282" s="383">
        <f t="shared" si="108"/>
        <v>29.3503270014935</v>
      </c>
      <c r="Z282" s="383">
        <f t="shared" si="109"/>
        <v>29.911942897578754</v>
      </c>
      <c r="AA282" s="384">
        <f t="shared" si="110"/>
        <v>31.474584291590038</v>
      </c>
      <c r="AB282" s="197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4.9647721461052591E-2</v>
      </c>
      <c r="AD282" s="230">
        <f>(INDEX(Models!$BJ282:$BT282,,AH282)*(1-AF282)+INDEX(Models!$BJ282:$BT282,,AH282+1)*AF282-ERP_i)*AE282*Ramure*Pc/MaxiM</f>
        <v>2.9627557698247145E-3</v>
      </c>
      <c r="AE282" s="304">
        <f t="shared" si="112"/>
        <v>0.7</v>
      </c>
      <c r="AF282" s="177">
        <f t="shared" si="113"/>
        <v>0.99419663557064952</v>
      </c>
      <c r="AG282" s="799">
        <f t="shared" si="119"/>
        <v>-1</v>
      </c>
      <c r="AH282" s="176">
        <f t="shared" si="114"/>
        <v>5</v>
      </c>
      <c r="AI282" s="224">
        <f t="shared" si="115"/>
        <v>-5.8033644293505326E-3</v>
      </c>
      <c r="AJ282" s="264" t="b">
        <f t="shared" si="116"/>
        <v>1</v>
      </c>
      <c r="AK282" s="264" t="b">
        <f t="shared" si="117"/>
        <v>0</v>
      </c>
      <c r="AL282" s="264"/>
      <c r="AM282" s="264"/>
      <c r="AN282" s="75"/>
    </row>
    <row r="283" spans="1:40" s="6" customFormat="1" ht="11.25" x14ac:dyDescent="0.2">
      <c r="A283" s="56">
        <f t="shared" si="118"/>
        <v>44465</v>
      </c>
      <c r="B283" s="607">
        <v>36.018999999999998</v>
      </c>
      <c r="C283" s="388"/>
      <c r="D283" s="391">
        <f t="shared" si="98"/>
        <v>36.708923878799098</v>
      </c>
      <c r="E283" s="383">
        <f t="shared" si="96"/>
        <v>38.627292790683022</v>
      </c>
      <c r="F283" s="383">
        <f t="shared" si="99"/>
        <v>38.708080413376315</v>
      </c>
      <c r="G283" s="110">
        <f t="shared" si="97"/>
        <v>0.83609820177278704</v>
      </c>
      <c r="H283" s="412" t="b">
        <f>Wh_hp&gt;='2020'!Maxi_hp</f>
        <v>0</v>
      </c>
      <c r="I283" s="379">
        <f>IF(H283,Wh_hp,'2020'!Maxi_hp)</f>
        <v>39.791402666859739</v>
      </c>
      <c r="J283" s="85">
        <f>IF(H283,An,'2020'!An_max)</f>
        <v>2018</v>
      </c>
      <c r="K283" s="197">
        <f t="shared" si="100"/>
        <v>44465</v>
      </c>
      <c r="L283" s="147">
        <f>IF(t&lt;Tvie,1-EXP((T0-t)*PertePVj)+'2020'!Pspv,1-EXP((T0-t)*PertePVj)+Pspv)</f>
        <v>1.8794445761390333E-2</v>
      </c>
      <c r="M283" s="832"/>
      <c r="N283" s="832"/>
      <c r="O283" s="48">
        <f>IF(t&lt;Tnet,'2020'!Resal+('2020'!Salim-'2020'!Resal)*(1-EXP(('2020'!Tnet-t)/('2020'!Tau_j))),Resal+(Salim-Resal)*(1-EXP((Tnet-t)/(Tau_j))))*Salcycl</f>
        <v>4.9663561002821308E-2</v>
      </c>
      <c r="P283" s="169">
        <f>(INDEX(Models!$BJ283:$BT283,,T283)*(1-R283)+INDEX(Models!$BJ283:$BT283,,T283+1)*R283-ERP_i)*Q283*Ramure*Pc/MaxiM</f>
        <v>2.7224854040620509E-3</v>
      </c>
      <c r="Q283" s="304">
        <f t="shared" si="101"/>
        <v>0.7</v>
      </c>
      <c r="R283" s="177">
        <f t="shared" si="102"/>
        <v>0.93005831959911966</v>
      </c>
      <c r="S283" s="799">
        <f t="shared" si="103"/>
        <v>-1</v>
      </c>
      <c r="T283" s="176">
        <f t="shared" si="104"/>
        <v>5</v>
      </c>
      <c r="U283" s="250">
        <f t="shared" si="105"/>
        <v>-6.9941680400880335E-2</v>
      </c>
      <c r="V283" s="382">
        <f t="shared" si="106"/>
        <v>43.052438219009318</v>
      </c>
      <c r="W283" s="400"/>
      <c r="X283" s="157">
        <f t="shared" si="107"/>
        <v>44465</v>
      </c>
      <c r="Y283" s="383">
        <f t="shared" si="108"/>
        <v>36.014470724457844</v>
      </c>
      <c r="Z283" s="383">
        <f t="shared" si="109"/>
        <v>36.704307847507188</v>
      </c>
      <c r="AA283" s="384">
        <f t="shared" si="110"/>
        <v>38.622435530556515</v>
      </c>
      <c r="AB283" s="197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4.9663561002821308E-2</v>
      </c>
      <c r="AD283" s="230">
        <f>(INDEX(Models!$BJ283:$BT283,,AH283)*(1-AF283)+INDEX(Models!$BJ283:$BT283,,AH283+1)*AF283-ERP_i)*AE283*Ramure*Pc/MaxiM</f>
        <v>2.8861716143662023E-3</v>
      </c>
      <c r="AE283" s="304">
        <f t="shared" si="112"/>
        <v>0.7</v>
      </c>
      <c r="AF283" s="177">
        <f t="shared" si="113"/>
        <v>0.99439054185895182</v>
      </c>
      <c r="AG283" s="799">
        <f t="shared" si="119"/>
        <v>-1</v>
      </c>
      <c r="AH283" s="176">
        <f t="shared" si="114"/>
        <v>5</v>
      </c>
      <c r="AI283" s="224">
        <f t="shared" si="115"/>
        <v>-5.6094581410481847E-3</v>
      </c>
      <c r="AJ283" s="264" t="b">
        <f t="shared" si="116"/>
        <v>1</v>
      </c>
      <c r="AK283" s="264" t="b">
        <f t="shared" si="117"/>
        <v>0</v>
      </c>
      <c r="AL283" s="264"/>
      <c r="AM283" s="264"/>
      <c r="AN283" s="75"/>
    </row>
    <row r="284" spans="1:40" s="6" customFormat="1" ht="11.25" x14ac:dyDescent="0.2">
      <c r="A284" s="56">
        <f t="shared" si="118"/>
        <v>44466</v>
      </c>
      <c r="B284" s="607">
        <v>23.498999999999999</v>
      </c>
      <c r="C284" s="388"/>
      <c r="D284" s="391">
        <f t="shared" si="98"/>
        <v>23.949569241727399</v>
      </c>
      <c r="E284" s="383">
        <f t="shared" si="96"/>
        <v>25.201551078959248</v>
      </c>
      <c r="F284" s="383">
        <f t="shared" si="99"/>
        <v>25.225375840951532</v>
      </c>
      <c r="G284" s="110">
        <f t="shared" si="97"/>
        <v>0.54806834695685958</v>
      </c>
      <c r="H284" s="412" t="b">
        <f>Wh_hp&gt;='2020'!Maxi_hp</f>
        <v>0</v>
      </c>
      <c r="I284" s="379">
        <f>IF(H284,Wh_hp,'2020'!Maxi_hp)</f>
        <v>40.257199501289676</v>
      </c>
      <c r="J284" s="85">
        <f>IF(H284,An,'2020'!An_max)</f>
        <v>2018</v>
      </c>
      <c r="K284" s="197">
        <f t="shared" si="100"/>
        <v>44466</v>
      </c>
      <c r="L284" s="147">
        <f>IF(t&lt;Tvie,1-EXP((T0-t)*PertePVj)+'2020'!Pspv,1-EXP((T0-t)*PertePVj)+Pspv)</f>
        <v>1.881325034198833E-2</v>
      </c>
      <c r="M284" s="832"/>
      <c r="N284" s="832"/>
      <c r="O284" s="48">
        <f>IF(t&lt;Tnet,'2020'!Resal+('2020'!Salim-'2020'!Resal)*(1-EXP(('2020'!Tnet-t)/('2020'!Tau_j))),Resal+(Salim-Resal)*(1-EXP((Tnet-t)/(Tau_j))))*Salcycl</f>
        <v>4.9678761172645788E-2</v>
      </c>
      <c r="P284" s="169">
        <f>(INDEX(Models!$BJ284:$BT284,,T284)*(1-R284)+INDEX(Models!$BJ284:$BT284,,T284+1)*R284-ERP_i)*Q284*Ramure*Pc/MaxiM</f>
        <v>2.6550642411389083E-3</v>
      </c>
      <c r="Q284" s="304">
        <f t="shared" si="101"/>
        <v>0.7</v>
      </c>
      <c r="R284" s="177">
        <f t="shared" si="102"/>
        <v>0.93024459740637511</v>
      </c>
      <c r="S284" s="799">
        <f t="shared" si="103"/>
        <v>-1</v>
      </c>
      <c r="T284" s="176">
        <f t="shared" si="104"/>
        <v>5</v>
      </c>
      <c r="U284" s="250">
        <f t="shared" si="105"/>
        <v>-6.9755402593624949E-2</v>
      </c>
      <c r="V284" s="382">
        <f t="shared" si="106"/>
        <v>42.802626745370844</v>
      </c>
      <c r="W284" s="400"/>
      <c r="X284" s="157">
        <f t="shared" si="107"/>
        <v>44466</v>
      </c>
      <c r="Y284" s="383">
        <f t="shared" si="108"/>
        <v>23.497666804042357</v>
      </c>
      <c r="Z284" s="383">
        <f t="shared" si="109"/>
        <v>23.948210483103615</v>
      </c>
      <c r="AA284" s="384">
        <f t="shared" si="110"/>
        <v>25.200121290201228</v>
      </c>
      <c r="AB284" s="197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4.9678761172645788E-2</v>
      </c>
      <c r="AD284" s="230">
        <f>(INDEX(Models!$BJ284:$BT284,,AH284)*(1-AF284)+INDEX(Models!$BJ284:$BT284,,AH284+1)*AF284-ERP_i)*AE284*Ramure*Pc/MaxiM</f>
        <v>2.8144018666325554E-3</v>
      </c>
      <c r="AE284" s="304">
        <f t="shared" si="112"/>
        <v>0.7</v>
      </c>
      <c r="AF284" s="177">
        <f t="shared" si="113"/>
        <v>0.99457681966620726</v>
      </c>
      <c r="AG284" s="799">
        <f t="shared" si="119"/>
        <v>-1</v>
      </c>
      <c r="AH284" s="176">
        <f t="shared" si="114"/>
        <v>5</v>
      </c>
      <c r="AI284" s="224">
        <f t="shared" si="115"/>
        <v>-5.4231803337927986E-3</v>
      </c>
      <c r="AJ284" s="264" t="b">
        <f t="shared" si="116"/>
        <v>1</v>
      </c>
      <c r="AK284" s="264" t="b">
        <f t="shared" si="117"/>
        <v>0</v>
      </c>
      <c r="AL284" s="264"/>
      <c r="AM284" s="264"/>
      <c r="AN284" s="75"/>
    </row>
    <row r="285" spans="1:40" s="6" customFormat="1" ht="11.25" x14ac:dyDescent="0.2">
      <c r="A285" s="56">
        <f t="shared" si="118"/>
        <v>44467</v>
      </c>
      <c r="B285" s="607">
        <v>28.919</v>
      </c>
      <c r="C285" s="388"/>
      <c r="D285" s="391">
        <f t="shared" si="98"/>
        <v>29.474057050545294</v>
      </c>
      <c r="E285" s="383">
        <f t="shared" si="96"/>
        <v>31.015310352649081</v>
      </c>
      <c r="F285" s="383">
        <f t="shared" si="99"/>
        <v>31.058972746779887</v>
      </c>
      <c r="G285" s="110">
        <f t="shared" si="97"/>
        <v>0.67882592763532323</v>
      </c>
      <c r="H285" s="412" t="b">
        <f>Wh_hp&gt;='2020'!Maxi_hp</f>
        <v>1</v>
      </c>
      <c r="I285" s="379">
        <f>IF(H285,Wh_hp,'2020'!Maxi_hp)</f>
        <v>31.058972746779887</v>
      </c>
      <c r="J285" s="85">
        <f>IF(H285,An,'2020'!An_max)</f>
        <v>2021</v>
      </c>
      <c r="K285" s="197">
        <f t="shared" si="100"/>
        <v>44467</v>
      </c>
      <c r="L285" s="147">
        <f>IF(t&lt;Tvie,1-EXP((T0-t)*PertePVj)+'2020'!Pspv,1-EXP((T0-t)*PertePVj)+Pspv)</f>
        <v>1.8832054562200939E-2</v>
      </c>
      <c r="M285" s="832"/>
      <c r="N285" s="832"/>
      <c r="O285" s="48">
        <f>IF(t&lt;Tnet,'2020'!Resal+('2020'!Salim-'2020'!Resal)*(1-EXP(('2020'!Tnet-t)/('2020'!Tau_j))),Resal+(Salim-Resal)*(1-EXP((Tnet-t)/(Tau_j))))*Salcycl</f>
        <v>4.9693305808630794E-2</v>
      </c>
      <c r="P285" s="169">
        <f>(INDEX(Models!$BJ285:$BT285,,T285)*(1-R285)+INDEX(Models!$BJ285:$BT285,,T285+1)*R285-ERP_i)*Q285*Ramure*Pc/MaxiM</f>
        <v>2.5921144049591716E-3</v>
      </c>
      <c r="Q285" s="304">
        <f t="shared" si="101"/>
        <v>0.7</v>
      </c>
      <c r="R285" s="177">
        <f t="shared" si="102"/>
        <v>0.93042354000580429</v>
      </c>
      <c r="S285" s="799">
        <f t="shared" si="103"/>
        <v>-1</v>
      </c>
      <c r="T285" s="176">
        <f t="shared" si="104"/>
        <v>5</v>
      </c>
      <c r="U285" s="250">
        <f t="shared" si="105"/>
        <v>-6.957645999419565E-2</v>
      </c>
      <c r="V285" s="382">
        <f t="shared" si="106"/>
        <v>42.550885599128215</v>
      </c>
      <c r="W285" s="400"/>
      <c r="X285" s="157">
        <f t="shared" si="107"/>
        <v>44467</v>
      </c>
      <c r="Y285" s="383">
        <f t="shared" si="108"/>
        <v>28.916559515031523</v>
      </c>
      <c r="Z285" s="383">
        <f t="shared" si="109"/>
        <v>29.471569724109663</v>
      </c>
      <c r="AA285" s="384">
        <f t="shared" si="110"/>
        <v>31.012692959284564</v>
      </c>
      <c r="AB285" s="197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4.9693305808630794E-2</v>
      </c>
      <c r="AD285" s="230">
        <f>(INDEX(Models!$BJ285:$BT285,,AH285)*(1-AF285)+INDEX(Models!$BJ285:$BT285,,AH285+1)*AF285-ERP_i)*AE285*Ramure*Pc/MaxiM</f>
        <v>2.7475017394987633E-3</v>
      </c>
      <c r="AE285" s="304">
        <f t="shared" si="112"/>
        <v>0.7</v>
      </c>
      <c r="AF285" s="177">
        <f t="shared" si="113"/>
        <v>0.99475576226563645</v>
      </c>
      <c r="AG285" s="799">
        <f t="shared" si="119"/>
        <v>-1</v>
      </c>
      <c r="AH285" s="176">
        <f t="shared" si="114"/>
        <v>5</v>
      </c>
      <c r="AI285" s="224">
        <f t="shared" si="115"/>
        <v>-5.2442377343634994E-3</v>
      </c>
      <c r="AJ285" s="264" t="b">
        <f t="shared" si="116"/>
        <v>1</v>
      </c>
      <c r="AK285" s="264" t="b">
        <f t="shared" si="117"/>
        <v>0</v>
      </c>
      <c r="AL285" s="264"/>
      <c r="AM285" s="264"/>
      <c r="AN285" s="75"/>
    </row>
    <row r="286" spans="1:40" s="6" customFormat="1" ht="11.25" x14ac:dyDescent="0.2">
      <c r="A286" s="56">
        <f t="shared" si="118"/>
        <v>44468</v>
      </c>
      <c r="B286" s="607">
        <v>25.510999999999999</v>
      </c>
      <c r="C286" s="388"/>
      <c r="D286" s="391">
        <f t="shared" si="98"/>
        <v>26.001143882133047</v>
      </c>
      <c r="E286" s="383">
        <f t="shared" si="96"/>
        <v>27.361191538381071</v>
      </c>
      <c r="F286" s="383">
        <f t="shared" si="99"/>
        <v>27.391245477607125</v>
      </c>
      <c r="G286" s="110">
        <f t="shared" si="97"/>
        <v>0.60226639973701934</v>
      </c>
      <c r="H286" s="412" t="b">
        <f>Wh_hp&gt;='2020'!Maxi_hp</f>
        <v>0</v>
      </c>
      <c r="I286" s="379">
        <f>IF(H286,Wh_hp,'2020'!Maxi_hp)</f>
        <v>45.479306908151436</v>
      </c>
      <c r="J286" s="85">
        <f>IF(H286,An,'2020'!An_max)</f>
        <v>2018</v>
      </c>
      <c r="K286" s="197">
        <f t="shared" si="100"/>
        <v>44468</v>
      </c>
      <c r="L286" s="147">
        <f>IF(t&lt;Tvie,1-EXP((T0-t)*PertePVj)+'2020'!Pspv,1-EXP((T0-t)*PertePVj)+Pspv)</f>
        <v>1.8850858422034822E-2</v>
      </c>
      <c r="M286" s="832"/>
      <c r="N286" s="832"/>
      <c r="O286" s="48">
        <f>IF(t&lt;Tnet,'2020'!Resal+('2020'!Salim-'2020'!Resal)*(1-EXP(('2020'!Tnet-t)/('2020'!Tau_j))),Resal+(Salim-Resal)*(1-EXP((Tnet-t)/(Tau_j))))*Salcycl</f>
        <v>4.970717939458922E-2</v>
      </c>
      <c r="P286" s="169">
        <f>(INDEX(Models!$BJ286:$BT286,,T286)*(1-R286)+INDEX(Models!$BJ286:$BT286,,T286+1)*R286-ERP_i)*Q286*Ramure*Pc/MaxiM</f>
        <v>2.5336894605387959E-3</v>
      </c>
      <c r="Q286" s="304">
        <f t="shared" si="101"/>
        <v>0.7</v>
      </c>
      <c r="R286" s="177">
        <f t="shared" si="102"/>
        <v>0.93059542993053257</v>
      </c>
      <c r="S286" s="799">
        <f t="shared" si="103"/>
        <v>-1</v>
      </c>
      <c r="T286" s="176">
        <f t="shared" si="104"/>
        <v>5</v>
      </c>
      <c r="U286" s="250">
        <f t="shared" si="105"/>
        <v>-6.9404570069467431E-2</v>
      </c>
      <c r="V286" s="382">
        <f t="shared" si="106"/>
        <v>42.297418090173956</v>
      </c>
      <c r="W286" s="400"/>
      <c r="X286" s="157">
        <f t="shared" si="107"/>
        <v>44468</v>
      </c>
      <c r="Y286" s="383">
        <f t="shared" si="108"/>
        <v>25.509320704738982</v>
      </c>
      <c r="Z286" s="383">
        <f t="shared" si="109"/>
        <v>25.999432322503779</v>
      </c>
      <c r="AA286" s="384">
        <f t="shared" si="110"/>
        <v>27.359390451818957</v>
      </c>
      <c r="AB286" s="197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4.970717939458922E-2</v>
      </c>
      <c r="AD286" s="230">
        <f>(INDEX(Models!$BJ286:$BT286,,AH286)*(1-AF286)+INDEX(Models!$BJ286:$BT286,,AH286+1)*AF286-ERP_i)*AE286*Ramure*Pc/MaxiM</f>
        <v>2.6855295905670045E-3</v>
      </c>
      <c r="AE286" s="304">
        <f t="shared" si="112"/>
        <v>0.7</v>
      </c>
      <c r="AF286" s="177">
        <f t="shared" si="113"/>
        <v>0.99492765219036472</v>
      </c>
      <c r="AG286" s="799">
        <f t="shared" si="119"/>
        <v>-1</v>
      </c>
      <c r="AH286" s="176">
        <f t="shared" si="114"/>
        <v>5</v>
      </c>
      <c r="AI286" s="224">
        <f t="shared" si="115"/>
        <v>-5.0723478096352803E-3</v>
      </c>
      <c r="AJ286" s="264" t="b">
        <f t="shared" si="116"/>
        <v>1</v>
      </c>
      <c r="AK286" s="264" t="b">
        <f t="shared" si="117"/>
        <v>0</v>
      </c>
      <c r="AL286" s="264"/>
      <c r="AM286" s="264"/>
      <c r="AN286" s="75"/>
    </row>
    <row r="287" spans="1:40" s="6" customFormat="1" ht="11.25" customHeight="1" x14ac:dyDescent="0.2">
      <c r="A287" s="56">
        <f t="shared" si="118"/>
        <v>44469</v>
      </c>
      <c r="B287" s="607">
        <v>15.296000000000001</v>
      </c>
      <c r="C287" s="388"/>
      <c r="D287" s="391">
        <f t="shared" si="98"/>
        <v>15.590181453318923</v>
      </c>
      <c r="E287" s="383">
        <f t="shared" si="96"/>
        <v>16.405888240778111</v>
      </c>
      <c r="F287" s="383">
        <f t="shared" si="99"/>
        <v>16.409598475998461</v>
      </c>
      <c r="G287" s="110">
        <f t="shared" si="97"/>
        <v>0.36300280097539689</v>
      </c>
      <c r="H287" s="412" t="b">
        <f>Wh_hp&gt;='2020'!Maxi_hp</f>
        <v>0</v>
      </c>
      <c r="I287" s="379">
        <f>IF(H287,Wh_hp,'2020'!Maxi_hp)</f>
        <v>37.731180167005817</v>
      </c>
      <c r="J287" s="85">
        <f>IF(H287,An,'2020'!An_max)</f>
        <v>2020</v>
      </c>
      <c r="K287" s="197">
        <f t="shared" si="100"/>
        <v>44469</v>
      </c>
      <c r="L287" s="147">
        <f>IF(t&lt;Tvie,1-EXP((T0-t)*PertePVj)+'2020'!Pspv,1-EXP((T0-t)*PertePVj)+Pspv)</f>
        <v>1.8869661921497083E-2</v>
      </c>
      <c r="M287" s="832"/>
      <c r="N287" s="832"/>
      <c r="O287" s="48">
        <f>IF(t&lt;Tnet,'2020'!Resal+('2020'!Salim-'2020'!Resal)*(1-EXP(('2020'!Tnet-t)/('2020'!Tau_j))),Resal+(Salim-Resal)*(1-EXP((Tnet-t)/(Tau_j))))*Salcycl</f>
        <v>4.9720367193023189E-2</v>
      </c>
      <c r="P287" s="169">
        <f>(INDEX(Models!$BJ287:$BT287,,T287)*(1-R287)+INDEX(Models!$BJ287:$BT287,,T287+1)*R287-ERP_i)*Q287*Ramure*Pc/MaxiM</f>
        <v>2.4798456671907901E-3</v>
      </c>
      <c r="Q287" s="304">
        <f t="shared" si="101"/>
        <v>0.7</v>
      </c>
      <c r="R287" s="177">
        <f t="shared" si="102"/>
        <v>0.93076053932477976</v>
      </c>
      <c r="S287" s="799">
        <f t="shared" si="103"/>
        <v>-1</v>
      </c>
      <c r="T287" s="176">
        <f t="shared" si="104"/>
        <v>5</v>
      </c>
      <c r="U287" s="250">
        <f t="shared" si="105"/>
        <v>-6.9239460675220244E-2</v>
      </c>
      <c r="V287" s="382">
        <f t="shared" si="106"/>
        <v>42.042427475360832</v>
      </c>
      <c r="W287" s="400"/>
      <c r="X287" s="157">
        <f t="shared" si="107"/>
        <v>44469</v>
      </c>
      <c r="Y287" s="383">
        <f t="shared" si="108"/>
        <v>15.295792571278437</v>
      </c>
      <c r="Z287" s="383">
        <f t="shared" si="109"/>
        <v>15.589970035209102</v>
      </c>
      <c r="AA287" s="384">
        <f t="shared" si="110"/>
        <v>16.405665760886382</v>
      </c>
      <c r="AB287" s="197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4.9720367193023189E-2</v>
      </c>
      <c r="AD287" s="230">
        <f>(INDEX(Models!$BJ287:$BT287,,AH287)*(1-AF287)+INDEX(Models!$BJ287:$BT287,,AH287+1)*AF287-ERP_i)*AE287*Ramure*Pc/MaxiM</f>
        <v>2.6285466963112394E-3</v>
      </c>
      <c r="AE287" s="304">
        <f t="shared" si="112"/>
        <v>0.7</v>
      </c>
      <c r="AF287" s="177">
        <f t="shared" si="113"/>
        <v>0.99509276158461191</v>
      </c>
      <c r="AG287" s="799">
        <f t="shared" si="119"/>
        <v>-1</v>
      </c>
      <c r="AH287" s="176">
        <f t="shared" si="114"/>
        <v>5</v>
      </c>
      <c r="AI287" s="224">
        <f t="shared" si="115"/>
        <v>-4.9072384153880932E-3</v>
      </c>
      <c r="AJ287" s="264" t="b">
        <f t="shared" si="116"/>
        <v>1</v>
      </c>
      <c r="AK287" s="264" t="b">
        <f t="shared" si="117"/>
        <v>0</v>
      </c>
      <c r="AL287" s="264"/>
      <c r="AM287" s="264"/>
      <c r="AN287" s="75"/>
    </row>
    <row r="288" spans="1:40" s="6" customFormat="1" ht="11.25" x14ac:dyDescent="0.2">
      <c r="A288" s="56">
        <f t="shared" si="118"/>
        <v>44470</v>
      </c>
      <c r="B288" s="607">
        <v>31.124000000000002</v>
      </c>
      <c r="C288" s="388"/>
      <c r="D288" s="391">
        <f t="shared" si="98"/>
        <v>31.723202603995741</v>
      </c>
      <c r="E288" s="383">
        <f t="shared" si="96"/>
        <v>33.383457255834777</v>
      </c>
      <c r="F288" s="383">
        <f t="shared" si="99"/>
        <v>33.435102469110774</v>
      </c>
      <c r="G288" s="110">
        <f t="shared" si="97"/>
        <v>0.74417973480711042</v>
      </c>
      <c r="H288" s="412" t="b">
        <f>Wh_hp&gt;='2020'!Maxi_hp</f>
        <v>0</v>
      </c>
      <c r="I288" s="379">
        <f>IF(H288,Wh_hp,'2020'!Maxi_hp)</f>
        <v>44.215885035477228</v>
      </c>
      <c r="J288" s="85">
        <f>IF(H288,An,'2020'!An_max)</f>
        <v>2020</v>
      </c>
      <c r="K288" s="197">
        <f t="shared" si="100"/>
        <v>44470</v>
      </c>
      <c r="L288" s="147">
        <f>IF(t&lt;Tvie,1-EXP((T0-t)*PertePVj)+'2020'!Pspv,1-EXP((T0-t)*PertePVj)+Pspv)</f>
        <v>1.8888465060594606E-2</v>
      </c>
      <c r="M288" s="832"/>
      <c r="N288" s="832"/>
      <c r="O288" s="48">
        <f>IF(t&lt;Tnet,'2020'!Resal+('2020'!Salim-'2020'!Resal)*(1-EXP(('2020'!Tnet-t)/('2020'!Tau_j))),Resal+(Salim-Resal)*(1-EXP((Tnet-t)/(Tau_j))))*Salcycl</f>
        <v>4.9732855381503481E-2</v>
      </c>
      <c r="P288" s="169">
        <f>(INDEX(Models!$BJ288:$BT288,,T288)*(1-R288)+INDEX(Models!$BJ288:$BT288,,T288+1)*R288-ERP_i)*Q288*Ramure*Pc/MaxiM</f>
        <v>2.4306417615909399E-3</v>
      </c>
      <c r="Q288" s="304">
        <f t="shared" si="101"/>
        <v>0.7</v>
      </c>
      <c r="R288" s="177">
        <f t="shared" si="102"/>
        <v>0.93091913028697837</v>
      </c>
      <c r="S288" s="799">
        <f t="shared" si="103"/>
        <v>-1</v>
      </c>
      <c r="T288" s="176">
        <f t="shared" si="104"/>
        <v>5</v>
      </c>
      <c r="U288" s="250">
        <f t="shared" si="105"/>
        <v>-6.9080869713021631E-2</v>
      </c>
      <c r="V288" s="382">
        <f t="shared" si="106"/>
        <v>41.78611695725705</v>
      </c>
      <c r="W288" s="400"/>
      <c r="X288" s="157">
        <f t="shared" si="107"/>
        <v>44470</v>
      </c>
      <c r="Y288" s="383">
        <f t="shared" si="108"/>
        <v>31.12110830523315</v>
      </c>
      <c r="Z288" s="383">
        <f t="shared" si="109"/>
        <v>31.720255238009436</v>
      </c>
      <c r="AA288" s="384">
        <f t="shared" si="110"/>
        <v>33.380355637513027</v>
      </c>
      <c r="AB288" s="197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4.9732855381503481E-2</v>
      </c>
      <c r="AD288" s="230">
        <f>(INDEX(Models!$BJ288:$BT288,,AH288)*(1-AF288)+INDEX(Models!$BJ288:$BT288,,AH288+1)*AF288-ERP_i)*AE288*Ramure*Pc/MaxiM</f>
        <v>2.5766170135680141E-3</v>
      </c>
      <c r="AE288" s="304">
        <f t="shared" si="112"/>
        <v>0.7</v>
      </c>
      <c r="AF288" s="177">
        <f t="shared" si="113"/>
        <v>0.99525135254681052</v>
      </c>
      <c r="AG288" s="799">
        <f t="shared" si="119"/>
        <v>-1</v>
      </c>
      <c r="AH288" s="176">
        <f t="shared" si="114"/>
        <v>5</v>
      </c>
      <c r="AI288" s="224">
        <f t="shared" si="115"/>
        <v>-4.7486474531894807E-3</v>
      </c>
      <c r="AJ288" s="264" t="b">
        <f t="shared" si="116"/>
        <v>1</v>
      </c>
      <c r="AK288" s="264" t="b">
        <f t="shared" si="117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18"/>
        <v>44471</v>
      </c>
      <c r="B289" s="607">
        <v>36.828000000000003</v>
      </c>
      <c r="C289" s="388"/>
      <c r="D289" s="391">
        <f t="shared" si="98"/>
        <v>37.53773602918605</v>
      </c>
      <c r="E289" s="383">
        <f t="shared" si="96"/>
        <v>39.502787630918412</v>
      </c>
      <c r="F289" s="383">
        <f t="shared" si="99"/>
        <v>39.581969886294104</v>
      </c>
      <c r="G289" s="110">
        <f t="shared" si="97"/>
        <v>0.88649540064149313</v>
      </c>
      <c r="H289" s="412" t="b">
        <f>Wh_hp&gt;='2020'!Maxi_hp</f>
        <v>1</v>
      </c>
      <c r="I289" s="379">
        <f>IF(H289,Wh_hp,'2020'!Maxi_hp)</f>
        <v>39.581969886294104</v>
      </c>
      <c r="J289" s="85">
        <f>IF(H289,An,'2020'!An_max)</f>
        <v>2021</v>
      </c>
      <c r="K289" s="197">
        <f t="shared" si="100"/>
        <v>44471</v>
      </c>
      <c r="L289" s="147">
        <f>IF(t&lt;Tvie,1-EXP((T0-t)*PertePVj)+'2020'!Pspv,1-EXP((T0-t)*PertePVj)+Pspv)</f>
        <v>1.8907267839334163E-2</v>
      </c>
      <c r="M289" s="832"/>
      <c r="N289" s="832"/>
      <c r="O289" s="48">
        <f>IF(t&lt;Tnet,'2020'!Resal+('2020'!Salim-'2020'!Resal)*(1-EXP(('2020'!Tnet-t)/('2020'!Tau_j))),Resal+(Salim-Resal)*(1-EXP((Tnet-t)/(Tau_j))))*Salcycl</f>
        <v>4.974463119140328E-2</v>
      </c>
      <c r="P289" s="169">
        <f>(INDEX(Models!$BJ289:$BT289,,T289)*(1-R289)+INDEX(Models!$BJ289:$BT289,,T289+1)*R289-ERP_i)*Q289*Ramure*Pc/MaxiM</f>
        <v>2.3862180997230842E-3</v>
      </c>
      <c r="Q289" s="304">
        <f t="shared" si="101"/>
        <v>0.7</v>
      </c>
      <c r="R289" s="177">
        <f t="shared" si="102"/>
        <v>0.93107145520470347</v>
      </c>
      <c r="S289" s="799">
        <f t="shared" si="103"/>
        <v>-1</v>
      </c>
      <c r="T289" s="176">
        <f t="shared" si="104"/>
        <v>5</v>
      </c>
      <c r="U289" s="250">
        <f t="shared" si="105"/>
        <v>-6.8928544795296531E-2</v>
      </c>
      <c r="V289" s="382">
        <f t="shared" si="106"/>
        <v>41.527305046044873</v>
      </c>
      <c r="W289" s="400"/>
      <c r="X289" s="157">
        <f t="shared" si="107"/>
        <v>44471</v>
      </c>
      <c r="Y289" s="383">
        <f t="shared" si="108"/>
        <v>36.823555292183272</v>
      </c>
      <c r="Z289" s="383">
        <f t="shared" si="109"/>
        <v>37.533205664551765</v>
      </c>
      <c r="AA289" s="384">
        <f t="shared" si="110"/>
        <v>39.498020107594691</v>
      </c>
      <c r="AB289" s="197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4.974463119140328E-2</v>
      </c>
      <c r="AD289" s="230">
        <f>(INDEX(Models!$BJ289:$BT289,,AH289)*(1-AF289)+INDEX(Models!$BJ289:$BT289,,AH289+1)*AF289-ERP_i)*AE289*Ramure*Pc/MaxiM</f>
        <v>2.529891077866356E-3</v>
      </c>
      <c r="AE289" s="304">
        <f t="shared" si="112"/>
        <v>0.7</v>
      </c>
      <c r="AF289" s="177">
        <f t="shared" si="113"/>
        <v>0.99540367746453562</v>
      </c>
      <c r="AG289" s="799">
        <f t="shared" si="119"/>
        <v>-1</v>
      </c>
      <c r="AH289" s="176">
        <f t="shared" si="114"/>
        <v>5</v>
      </c>
      <c r="AI289" s="224">
        <f t="shared" si="115"/>
        <v>-4.5963225354643811E-3</v>
      </c>
      <c r="AJ289" s="264" t="b">
        <f t="shared" si="116"/>
        <v>1</v>
      </c>
      <c r="AK289" s="264" t="b">
        <f t="shared" si="117"/>
        <v>0</v>
      </c>
      <c r="AL289" s="264"/>
      <c r="AM289" s="264"/>
      <c r="AN289" s="75"/>
    </row>
    <row r="290" spans="1:40" s="6" customFormat="1" ht="11.25" x14ac:dyDescent="0.2">
      <c r="A290" s="56">
        <f t="shared" si="118"/>
        <v>44472</v>
      </c>
      <c r="B290" s="607">
        <v>5.4450000000000003</v>
      </c>
      <c r="C290" s="388"/>
      <c r="D290" s="391">
        <f t="shared" si="98"/>
        <v>5.5500404555958109</v>
      </c>
      <c r="E290" s="383">
        <f t="shared" si="96"/>
        <v>5.8406457756015744</v>
      </c>
      <c r="F290" s="383">
        <f t="shared" si="99"/>
        <v>5.8406457756015744</v>
      </c>
      <c r="G290" s="110">
        <f t="shared" si="97"/>
        <v>0.13164253885827859</v>
      </c>
      <c r="H290" s="412" t="b">
        <f>Wh_hp&gt;='2020'!Maxi_hp</f>
        <v>0</v>
      </c>
      <c r="I290" s="379">
        <f>IF(H290,Wh_hp,'2020'!Maxi_hp)</f>
        <v>31.176737520851219</v>
      </c>
      <c r="J290" s="85">
        <f>IF(H290,An,'2020'!An_max)</f>
        <v>2018</v>
      </c>
      <c r="K290" s="197">
        <f t="shared" si="100"/>
        <v>44472</v>
      </c>
      <c r="L290" s="147">
        <f>IF(t&lt;Tvie,1-EXP((T0-t)*PertePVj)+'2020'!Pspv,1-EXP((T0-t)*PertePVj)+Pspv)</f>
        <v>1.892607025772286E-2</v>
      </c>
      <c r="M290" s="832"/>
      <c r="N290" s="832"/>
      <c r="O290" s="48">
        <f>IF(t&lt;Tnet,'2020'!Resal+('2020'!Salim-'2020'!Resal)*(1-EXP(('2020'!Tnet-t)/('2020'!Tau_j))),Resal+(Salim-Resal)*(1-EXP((Tnet-t)/(Tau_j))))*Salcycl</f>
        <v>4.9755683047878675E-2</v>
      </c>
      <c r="P290" s="169">
        <f>(INDEX(Models!$BJ290:$BT290,,T290)*(1-R290)+INDEX(Models!$BJ290:$BT290,,T290+1)*R290-ERP_i)*Q290*Ramure*Pc/MaxiM</f>
        <v>2.3705705249252103E-3</v>
      </c>
      <c r="Q290" s="304">
        <f t="shared" si="101"/>
        <v>0.7</v>
      </c>
      <c r="R290" s="177">
        <f t="shared" si="102"/>
        <v>0.93121775708133392</v>
      </c>
      <c r="S290" s="799">
        <f t="shared" si="103"/>
        <v>-1</v>
      </c>
      <c r="T290" s="176">
        <f t="shared" si="104"/>
        <v>5</v>
      </c>
      <c r="U290" s="250">
        <f t="shared" si="105"/>
        <v>-6.8782242918666081E-2</v>
      </c>
      <c r="V290" s="382">
        <f t="shared" si="106"/>
        <v>41.263958372451093</v>
      </c>
      <c r="W290" s="400"/>
      <c r="X290" s="157">
        <f t="shared" si="107"/>
        <v>44472</v>
      </c>
      <c r="Y290" s="383">
        <f t="shared" si="108"/>
        <v>5.4450000000000003</v>
      </c>
      <c r="Z290" s="383">
        <f t="shared" si="109"/>
        <v>5.5500404555958109</v>
      </c>
      <c r="AA290" s="384">
        <f t="shared" si="110"/>
        <v>5.8406457756015744</v>
      </c>
      <c r="AB290" s="197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4.9755683047878675E-2</v>
      </c>
      <c r="AD290" s="230">
        <f>(INDEX(Models!$BJ290:$BT290,,AH290)*(1-AF290)+INDEX(Models!$BJ290:$BT290,,AH290+1)*AF290-ERP_i)*AE290*Ramure*Pc/MaxiM</f>
        <v>2.5139233803832153E-3</v>
      </c>
      <c r="AE290" s="304">
        <f t="shared" si="112"/>
        <v>0.7</v>
      </c>
      <c r="AF290" s="177">
        <f t="shared" si="113"/>
        <v>0.99554997934116607</v>
      </c>
      <c r="AG290" s="799">
        <f t="shared" si="119"/>
        <v>-1</v>
      </c>
      <c r="AH290" s="176">
        <f t="shared" si="114"/>
        <v>5</v>
      </c>
      <c r="AI290" s="224">
        <f t="shared" si="115"/>
        <v>-4.4500206588339308E-3</v>
      </c>
      <c r="AJ290" s="264" t="b">
        <f t="shared" si="116"/>
        <v>1</v>
      </c>
      <c r="AK290" s="264" t="b">
        <f t="shared" si="117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18"/>
        <v>44473</v>
      </c>
      <c r="B291" s="607">
        <v>27.053000000000001</v>
      </c>
      <c r="C291" s="388"/>
      <c r="D291" s="391">
        <f t="shared" si="98"/>
        <v>27.57541267212806</v>
      </c>
      <c r="E291" s="383">
        <f t="shared" si="96"/>
        <v>29.019602216643587</v>
      </c>
      <c r="F291" s="383">
        <f t="shared" si="99"/>
        <v>29.055296998648128</v>
      </c>
      <c r="G291" s="110">
        <f t="shared" si="97"/>
        <v>0.6591223060543806</v>
      </c>
      <c r="H291" s="412" t="b">
        <f>Wh_hp&gt;='2020'!Maxi_hp</f>
        <v>1</v>
      </c>
      <c r="I291" s="379">
        <f>IF(H291,Wh_hp,'2020'!Maxi_hp)</f>
        <v>29.055296998648128</v>
      </c>
      <c r="J291" s="85">
        <f>IF(H291,An,'2020'!An_max)</f>
        <v>2021</v>
      </c>
      <c r="K291" s="197">
        <f t="shared" si="100"/>
        <v>44473</v>
      </c>
      <c r="L291" s="147">
        <f>IF(t&lt;Tvie,1-EXP((T0-t)*PertePVj)+'2020'!Pspv,1-EXP((T0-t)*PertePVj)+Pspv)</f>
        <v>1.8944872315767358E-2</v>
      </c>
      <c r="M291" s="832"/>
      <c r="N291" s="832"/>
      <c r="O291" s="48">
        <f>IF(t&lt;Tnet,'2020'!Resal+('2020'!Salim-'2020'!Resal)*(1-EXP(('2020'!Tnet-t)/('2020'!Tau_j))),Resal+(Salim-Resal)*(1-EXP((Tnet-t)/(Tau_j))))*Salcycl</f>
        <v>4.9766000709935414E-2</v>
      </c>
      <c r="P291" s="169">
        <f>(INDEX(Models!$BJ291:$BT291,,T291)*(1-R291)+INDEX(Models!$BJ291:$BT291,,T291+1)*R291-ERP_i)*Q291*Ramure*Pc/MaxiM</f>
        <v>2.389507660701647E-3</v>
      </c>
      <c r="Q291" s="304">
        <f t="shared" si="101"/>
        <v>0.7</v>
      </c>
      <c r="R291" s="177">
        <f t="shared" si="102"/>
        <v>0.93135826985439829</v>
      </c>
      <c r="S291" s="799">
        <f t="shared" si="103"/>
        <v>-1</v>
      </c>
      <c r="T291" s="176">
        <f t="shared" si="104"/>
        <v>5</v>
      </c>
      <c r="U291" s="250">
        <f t="shared" si="105"/>
        <v>-6.8641730145601709E-2</v>
      </c>
      <c r="V291" s="382">
        <f t="shared" si="106"/>
        <v>40.996265342589929</v>
      </c>
      <c r="W291" s="400"/>
      <c r="X291" s="157">
        <f t="shared" si="107"/>
        <v>44473</v>
      </c>
      <c r="Y291" s="383">
        <f t="shared" si="108"/>
        <v>27.050975828262555</v>
      </c>
      <c r="Z291" s="383">
        <f t="shared" si="109"/>
        <v>27.57334941219462</v>
      </c>
      <c r="AA291" s="384">
        <f t="shared" si="110"/>
        <v>29.017430898910291</v>
      </c>
      <c r="AB291" s="197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4.9766000709935414E-2</v>
      </c>
      <c r="AD291" s="230">
        <f>(INDEX(Models!$BJ291:$BT291,,AH291)*(1-AF291)+INDEX(Models!$BJ291:$BT291,,AH291+1)*AF291-ERP_i)*AE291*Ramure*Pc/MaxiM</f>
        <v>2.534861689110103E-3</v>
      </c>
      <c r="AE291" s="304">
        <f t="shared" si="112"/>
        <v>0.7</v>
      </c>
      <c r="AF291" s="177">
        <f t="shared" si="113"/>
        <v>0.99569049211423044</v>
      </c>
      <c r="AG291" s="799">
        <f t="shared" si="119"/>
        <v>-1</v>
      </c>
      <c r="AH291" s="176">
        <f t="shared" si="114"/>
        <v>5</v>
      </c>
      <c r="AI291" s="224">
        <f t="shared" si="115"/>
        <v>-4.309507885769559E-3</v>
      </c>
      <c r="AJ291" s="264" t="b">
        <f t="shared" si="116"/>
        <v>1</v>
      </c>
      <c r="AK291" s="264" t="b">
        <f t="shared" si="117"/>
        <v>0</v>
      </c>
      <c r="AL291" s="264"/>
      <c r="AM291" s="264"/>
      <c r="AN291" s="75"/>
    </row>
    <row r="292" spans="1:40" s="6" customFormat="1" ht="11.25" x14ac:dyDescent="0.2">
      <c r="A292" s="56">
        <f t="shared" si="118"/>
        <v>44474</v>
      </c>
      <c r="B292" s="607">
        <v>11.173</v>
      </c>
      <c r="C292" s="388"/>
      <c r="D292" s="391">
        <f t="shared" si="98"/>
        <v>11.388976844220815</v>
      </c>
      <c r="E292" s="383">
        <f t="shared" si="96"/>
        <v>11.98556525120625</v>
      </c>
      <c r="F292" s="383">
        <f t="shared" si="99"/>
        <v>11.98556525120625</v>
      </c>
      <c r="G292" s="110">
        <f t="shared" si="97"/>
        <v>0.27368440990359161</v>
      </c>
      <c r="H292" s="412" t="b">
        <f>Wh_hp&gt;='2020'!Maxi_hp</f>
        <v>0</v>
      </c>
      <c r="I292" s="379">
        <f>IF(H292,Wh_hp,'2020'!Maxi_hp)</f>
        <v>38.454927984098589</v>
      </c>
      <c r="J292" s="85">
        <f>IF(H292,An,'2020'!An_max)</f>
        <v>2018</v>
      </c>
      <c r="K292" s="197">
        <f t="shared" si="100"/>
        <v>44474</v>
      </c>
      <c r="L292" s="147">
        <f>IF(t&lt;Tvie,1-EXP((T0-t)*PertePVj)+'2020'!Pspv,1-EXP((T0-t)*PertePVj)+Pspv)</f>
        <v>1.8963674013474763E-2</v>
      </c>
      <c r="M292" s="832"/>
      <c r="N292" s="832"/>
      <c r="O292" s="48">
        <f>IF(t&lt;Tnet,'2020'!Resal+('2020'!Salim-'2020'!Resal)*(1-EXP(('2020'!Tnet-t)/('2020'!Tau_j))),Resal+(Salim-Resal)*(1-EXP((Tnet-t)/(Tau_j))))*Salcycl</f>
        <v>4.9775575409377736E-2</v>
      </c>
      <c r="P292" s="169">
        <f>(INDEX(Models!$BJ292:$BT292,,T292)*(1-R292)+INDEX(Models!$BJ292:$BT292,,T292+1)*R292-ERP_i)*Q292*Ramure*Pc/MaxiM</f>
        <v>2.4435630405058033E-3</v>
      </c>
      <c r="Q292" s="304">
        <f t="shared" si="101"/>
        <v>0.7</v>
      </c>
      <c r="R292" s="177">
        <f t="shared" si="102"/>
        <v>0.93149321870558355</v>
      </c>
      <c r="S292" s="799">
        <f t="shared" si="103"/>
        <v>-1</v>
      </c>
      <c r="T292" s="176">
        <f t="shared" si="104"/>
        <v>5</v>
      </c>
      <c r="U292" s="250">
        <f t="shared" si="105"/>
        <v>-6.8506781294416397E-2</v>
      </c>
      <c r="V292" s="382">
        <f t="shared" si="106"/>
        <v>40.72463635789348</v>
      </c>
      <c r="W292" s="400"/>
      <c r="X292" s="157">
        <f t="shared" si="107"/>
        <v>44474</v>
      </c>
      <c r="Y292" s="383">
        <f t="shared" si="108"/>
        <v>11.173</v>
      </c>
      <c r="Z292" s="383">
        <f t="shared" si="109"/>
        <v>11.388976844220815</v>
      </c>
      <c r="AA292" s="384">
        <f t="shared" si="110"/>
        <v>11.98556525120625</v>
      </c>
      <c r="AB292" s="197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4.9775575409377736E-2</v>
      </c>
      <c r="AD292" s="230">
        <f>(INDEX(Models!$BJ292:$BT292,,AH292)*(1-AF292)+INDEX(Models!$BJ292:$BT292,,AH292+1)*AF292-ERP_i)*AE292*Ramure*Pc/MaxiM</f>
        <v>2.593274537819074E-3</v>
      </c>
      <c r="AE292" s="304">
        <f t="shared" si="112"/>
        <v>0.7</v>
      </c>
      <c r="AF292" s="177">
        <f t="shared" si="113"/>
        <v>0.9958254409654157</v>
      </c>
      <c r="AG292" s="799">
        <f t="shared" si="119"/>
        <v>-1</v>
      </c>
      <c r="AH292" s="176">
        <f t="shared" si="114"/>
        <v>5</v>
      </c>
      <c r="AI292" s="224">
        <f t="shared" si="115"/>
        <v>-4.1745590345842465E-3</v>
      </c>
      <c r="AJ292" s="264" t="b">
        <f t="shared" si="116"/>
        <v>1</v>
      </c>
      <c r="AK292" s="264" t="b">
        <f t="shared" si="117"/>
        <v>0</v>
      </c>
      <c r="AL292" s="264"/>
      <c r="AM292" s="264"/>
      <c r="AN292" s="75"/>
    </row>
    <row r="293" spans="1:40" s="6" customFormat="1" ht="11.25" x14ac:dyDescent="0.2">
      <c r="A293" s="56">
        <f t="shared" si="118"/>
        <v>44475</v>
      </c>
      <c r="B293" s="607">
        <v>34.844999999999999</v>
      </c>
      <c r="C293" s="388"/>
      <c r="D293" s="391">
        <f t="shared" si="98"/>
        <v>35.519243157722379</v>
      </c>
      <c r="E293" s="383">
        <f t="shared" si="96"/>
        <v>37.380193671048445</v>
      </c>
      <c r="F293" s="383">
        <f t="shared" si="99"/>
        <v>37.456299477721394</v>
      </c>
      <c r="G293" s="110">
        <f t="shared" si="97"/>
        <v>0.86101206493367988</v>
      </c>
      <c r="H293" s="412" t="b">
        <f>Wh_hp&gt;='2020'!Maxi_hp</f>
        <v>1</v>
      </c>
      <c r="I293" s="379">
        <f>IF(H293,Wh_hp,'2020'!Maxi_hp)</f>
        <v>37.456299477721394</v>
      </c>
      <c r="J293" s="85">
        <f>IF(H293,An,'2020'!An_max)</f>
        <v>2021</v>
      </c>
      <c r="K293" s="197">
        <f t="shared" si="100"/>
        <v>44475</v>
      </c>
      <c r="L293" s="147">
        <f>IF(t&lt;Tvie,1-EXP((T0-t)*PertePVj)+'2020'!Pspv,1-EXP((T0-t)*PertePVj)+Pspv)</f>
        <v>1.8982475350851957E-2</v>
      </c>
      <c r="M293" s="832"/>
      <c r="N293" s="832"/>
      <c r="O293" s="48">
        <f>IF(t&lt;Tnet,'2020'!Resal+('2020'!Salim-'2020'!Resal)*(1-EXP(('2020'!Tnet-t)/('2020'!Tau_j))),Resal+(Salim-Resal)*(1-EXP((Tnet-t)/(Tau_j))))*Salcycl</f>
        <v>4.9784399987403083E-2</v>
      </c>
      <c r="P293" s="169">
        <f>(INDEX(Models!$BJ293:$BT293,,T293)*(1-R293)+INDEX(Models!$BJ293:$BT293,,T293+1)*R293-ERP_i)*Q293*Ramure*Pc/MaxiM</f>
        <v>2.5332836853092047E-3</v>
      </c>
      <c r="Q293" s="304">
        <f t="shared" si="101"/>
        <v>0.7</v>
      </c>
      <c r="R293" s="177">
        <f t="shared" si="102"/>
        <v>0.93162282036241495</v>
      </c>
      <c r="S293" s="799">
        <f t="shared" si="103"/>
        <v>-1</v>
      </c>
      <c r="T293" s="176">
        <f t="shared" si="104"/>
        <v>5</v>
      </c>
      <c r="U293" s="250">
        <f t="shared" si="105"/>
        <v>-6.837717963758505E-2</v>
      </c>
      <c r="V293" s="382">
        <f t="shared" si="106"/>
        <v>40.449482181726346</v>
      </c>
      <c r="W293" s="400"/>
      <c r="X293" s="157">
        <f t="shared" si="107"/>
        <v>44475</v>
      </c>
      <c r="Y293" s="383">
        <f t="shared" si="108"/>
        <v>34.840618331281178</v>
      </c>
      <c r="Z293" s="383">
        <f t="shared" si="109"/>
        <v>35.514776704668563</v>
      </c>
      <c r="AA293" s="384">
        <f t="shared" si="110"/>
        <v>37.375493208275834</v>
      </c>
      <c r="AB293" s="197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4.9784399987403083E-2</v>
      </c>
      <c r="AD293" s="230">
        <f>(INDEX(Models!$BJ293:$BT293,,AH293)*(1-AF293)+INDEX(Models!$BJ293:$BT293,,AH293+1)*AF293-ERP_i)*AE293*Ramure*Pc/MaxiM</f>
        <v>2.6897448828948874E-3</v>
      </c>
      <c r="AE293" s="304">
        <f t="shared" si="112"/>
        <v>0.7</v>
      </c>
      <c r="AF293" s="177">
        <f t="shared" si="113"/>
        <v>0.9959550426222471</v>
      </c>
      <c r="AG293" s="799">
        <f t="shared" si="119"/>
        <v>-1</v>
      </c>
      <c r="AH293" s="176">
        <f t="shared" si="114"/>
        <v>5</v>
      </c>
      <c r="AI293" s="224">
        <f t="shared" si="115"/>
        <v>-4.0449573777529002E-3</v>
      </c>
      <c r="AJ293" s="264" t="b">
        <f t="shared" si="116"/>
        <v>1</v>
      </c>
      <c r="AK293" s="264" t="b">
        <f t="shared" si="117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18"/>
        <v>44476</v>
      </c>
      <c r="B294" s="607">
        <v>39.356000000000002</v>
      </c>
      <c r="C294" s="388"/>
      <c r="D294" s="391">
        <f t="shared" si="98"/>
        <v>40.118298882879103</v>
      </c>
      <c r="E294" s="383">
        <f t="shared" si="96"/>
        <v>42.220565061006454</v>
      </c>
      <c r="F294" s="383">
        <f t="shared" si="99"/>
        <v>42.329866448649689</v>
      </c>
      <c r="G294" s="110">
        <f t="shared" si="97"/>
        <v>0.97963079046935342</v>
      </c>
      <c r="H294" s="412" t="b">
        <f>Wh_hp&gt;='2020'!Maxi_hp</f>
        <v>1</v>
      </c>
      <c r="I294" s="379">
        <f>IF(H294,Wh_hp,'2020'!Maxi_hp)</f>
        <v>42.329866448649689</v>
      </c>
      <c r="J294" s="85">
        <f>IF(H294,An,'2020'!An_max)</f>
        <v>2021</v>
      </c>
      <c r="K294" s="197">
        <f t="shared" si="100"/>
        <v>44476</v>
      </c>
      <c r="L294" s="147">
        <f>IF(t&lt;Tvie,1-EXP((T0-t)*PertePVj)+'2020'!Pspv,1-EXP((T0-t)*PertePVj)+Pspv)</f>
        <v>1.9001276327905825E-2</v>
      </c>
      <c r="M294" s="832"/>
      <c r="N294" s="832"/>
      <c r="O294" s="48">
        <f>IF(t&lt;Tnet,'2020'!Resal+('2020'!Salim-'2020'!Resal)*(1-EXP(('2020'!Tnet-t)/('2020'!Tau_j))),Resal+(Salim-Resal)*(1-EXP((Tnet-t)/(Tau_j))))*Salcycl</f>
        <v>4.979246902758621E-2</v>
      </c>
      <c r="P294" s="169">
        <f>(INDEX(Models!$BJ294:$BT294,,T294)*(1-R294)+INDEX(Models!$BJ294:$BT294,,T294+1)*R294-ERP_i)*Q294*Ramure*Pc/MaxiM</f>
        <v>2.6592268373543614E-3</v>
      </c>
      <c r="Q294" s="304">
        <f t="shared" si="101"/>
        <v>0.7</v>
      </c>
      <c r="R294" s="177">
        <f t="shared" si="102"/>
        <v>0.93174728339163315</v>
      </c>
      <c r="S294" s="799">
        <f t="shared" si="103"/>
        <v>-1</v>
      </c>
      <c r="T294" s="176">
        <f t="shared" si="104"/>
        <v>5</v>
      </c>
      <c r="U294" s="250">
        <f t="shared" si="105"/>
        <v>-6.8252716608366792E-2</v>
      </c>
      <c r="V294" s="382">
        <f t="shared" si="106"/>
        <v>40.171213954029511</v>
      </c>
      <c r="W294" s="400"/>
      <c r="X294" s="157">
        <f t="shared" si="107"/>
        <v>44476</v>
      </c>
      <c r="Y294" s="383">
        <f t="shared" si="108"/>
        <v>39.349653681897202</v>
      </c>
      <c r="Z294" s="383">
        <f t="shared" si="109"/>
        <v>40.111829640922252</v>
      </c>
      <c r="AA294" s="384">
        <f t="shared" si="110"/>
        <v>42.213756819915972</v>
      </c>
      <c r="AB294" s="197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4.979246902758621E-2</v>
      </c>
      <c r="AD294" s="230">
        <f>(INDEX(Models!$BJ294:$BT294,,AH294)*(1-AF294)+INDEX(Models!$BJ294:$BT294,,AH294+1)*AF294-ERP_i)*AE294*Ramure*Pc/MaxiM</f>
        <v>2.8248666138783107E-3</v>
      </c>
      <c r="AE294" s="304">
        <f t="shared" si="112"/>
        <v>0.7</v>
      </c>
      <c r="AF294" s="177">
        <f t="shared" si="113"/>
        <v>0.9960795056514653</v>
      </c>
      <c r="AG294" s="799">
        <f t="shared" si="119"/>
        <v>-1</v>
      </c>
      <c r="AH294" s="176">
        <f t="shared" si="114"/>
        <v>5</v>
      </c>
      <c r="AI294" s="224">
        <f t="shared" si="115"/>
        <v>-3.9204943485346422E-3</v>
      </c>
      <c r="AJ294" s="264" t="b">
        <f t="shared" si="116"/>
        <v>1</v>
      </c>
      <c r="AK294" s="264" t="b">
        <f t="shared" si="117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18"/>
        <v>44477</v>
      </c>
      <c r="B295" s="607">
        <v>39.683</v>
      </c>
      <c r="C295" s="388"/>
      <c r="D295" s="391">
        <f t="shared" si="98"/>
        <v>40.45240791106454</v>
      </c>
      <c r="E295" s="383">
        <f t="shared" si="96"/>
        <v>42.572509473645802</v>
      </c>
      <c r="F295" s="383">
        <f t="shared" si="99"/>
        <v>42.692090541725008</v>
      </c>
      <c r="G295" s="110">
        <f t="shared" si="97"/>
        <v>0.99478377017715458</v>
      </c>
      <c r="H295" s="412" t="b">
        <f>Wh_hp&gt;='2020'!Maxi_hp</f>
        <v>1</v>
      </c>
      <c r="I295" s="379">
        <f>IF(H295,Wh_hp,'2020'!Maxi_hp)</f>
        <v>42.692090541725008</v>
      </c>
      <c r="J295" s="85">
        <f>IF(H295,An,'2020'!An_max)</f>
        <v>2021</v>
      </c>
      <c r="K295" s="197">
        <f t="shared" si="100"/>
        <v>44477</v>
      </c>
      <c r="L295" s="147">
        <f>IF(t&lt;Tvie,1-EXP((T0-t)*PertePVj)+'2020'!Pspv,1-EXP((T0-t)*PertePVj)+Pspv)</f>
        <v>1.9020076944643249E-2</v>
      </c>
      <c r="M295" s="832"/>
      <c r="N295" s="832"/>
      <c r="O295" s="48">
        <f>IF(t&lt;Tnet,'2020'!Resal+('2020'!Salim-'2020'!Resal)*(1-EXP(('2020'!Tnet-t)/('2020'!Tau_j))),Resal+(Salim-Resal)*(1-EXP((Tnet-t)/(Tau_j))))*Salcycl</f>
        <v>4.9799778983987124E-2</v>
      </c>
      <c r="P295" s="169">
        <f>(INDEX(Models!$BJ295:$BT295,,T295)*(1-R295)+INDEX(Models!$BJ295:$BT295,,T295+1)*R295-ERP_i)*Q295*Ramure*Pc/MaxiM</f>
        <v>2.8219565408075511E-3</v>
      </c>
      <c r="Q295" s="304">
        <f t="shared" si="101"/>
        <v>0.7</v>
      </c>
      <c r="R295" s="177">
        <f t="shared" si="102"/>
        <v>0.93186680848432224</v>
      </c>
      <c r="S295" s="799">
        <f t="shared" si="103"/>
        <v>-1</v>
      </c>
      <c r="T295" s="176">
        <f t="shared" si="104"/>
        <v>5</v>
      </c>
      <c r="U295" s="250">
        <f t="shared" si="105"/>
        <v>-6.8133191515677816E-2</v>
      </c>
      <c r="V295" s="382">
        <f t="shared" si="106"/>
        <v>39.890243208952242</v>
      </c>
      <c r="W295" s="400"/>
      <c r="X295" s="157">
        <f t="shared" si="107"/>
        <v>44477</v>
      </c>
      <c r="Y295" s="383">
        <f t="shared" si="108"/>
        <v>39.675997424861535</v>
      </c>
      <c r="Z295" s="383">
        <f t="shared" si="109"/>
        <v>40.445269564015959</v>
      </c>
      <c r="AA295" s="384">
        <f t="shared" si="110"/>
        <v>42.564997007440574</v>
      </c>
      <c r="AB295" s="197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4.9799778983987124E-2</v>
      </c>
      <c r="AD295" s="230">
        <f>(INDEX(Models!$BJ295:$BT295,,AH295)*(1-AF295)+INDEX(Models!$BJ295:$BT295,,AH295+1)*AF295-ERP_i)*AE295*Ramure*Pc/MaxiM</f>
        <v>2.9992409009990824E-3</v>
      </c>
      <c r="AE295" s="304">
        <f t="shared" si="112"/>
        <v>0.7</v>
      </c>
      <c r="AF295" s="177">
        <f t="shared" si="113"/>
        <v>0.99619903074415439</v>
      </c>
      <c r="AG295" s="799">
        <f t="shared" si="119"/>
        <v>-1</v>
      </c>
      <c r="AH295" s="176">
        <f t="shared" si="114"/>
        <v>5</v>
      </c>
      <c r="AI295" s="224">
        <f t="shared" si="115"/>
        <v>-3.8009692558456654E-3</v>
      </c>
      <c r="AJ295" s="264" t="b">
        <f t="shared" si="116"/>
        <v>1</v>
      </c>
      <c r="AK295" s="264" t="b">
        <f t="shared" si="117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18"/>
        <v>44478</v>
      </c>
      <c r="B296" s="607">
        <v>13.232000000000001</v>
      </c>
      <c r="C296" s="388"/>
      <c r="D296" s="391">
        <f t="shared" si="98"/>
        <v>13.488811832058927</v>
      </c>
      <c r="E296" s="383">
        <f t="shared" si="96"/>
        <v>14.195855259665416</v>
      </c>
      <c r="F296" s="383">
        <f t="shared" si="99"/>
        <v>14.197956588367589</v>
      </c>
      <c r="G296" s="110">
        <f t="shared" si="97"/>
        <v>0.33312220402720366</v>
      </c>
      <c r="H296" s="412" t="b">
        <f>Wh_hp&gt;='2020'!Maxi_hp</f>
        <v>0</v>
      </c>
      <c r="I296" s="379">
        <f>IF(H296,Wh_hp,'2020'!Maxi_hp)</f>
        <v>33.772273144971557</v>
      </c>
      <c r="J296" s="85">
        <f>IF(H296,An,'2020'!An_max)</f>
        <v>2020</v>
      </c>
      <c r="K296" s="197">
        <f t="shared" si="100"/>
        <v>44478</v>
      </c>
      <c r="L296" s="147">
        <f>IF(t&lt;Tvie,1-EXP((T0-t)*PertePVj)+'2020'!Pspv,1-EXP((T0-t)*PertePVj)+Pspv)</f>
        <v>1.9038877201071114E-2</v>
      </c>
      <c r="M296" s="832"/>
      <c r="N296" s="832"/>
      <c r="O296" s="48">
        <f>IF(t&lt;Tnet,'2020'!Resal+('2020'!Salim-'2020'!Resal)*(1-EXP(('2020'!Tnet-t)/('2020'!Tau_j))),Resal+(Salim-Resal)*(1-EXP((Tnet-t)/(Tau_j))))*Salcycl</f>
        <v>4.9806328303121435E-2</v>
      </c>
      <c r="P296" s="169">
        <f>(INDEX(Models!$BJ296:$BT296,,T296)*(1-R296)+INDEX(Models!$BJ296:$BT296,,T296+1)*R296-ERP_i)*Q296*Ramure*Pc/MaxiM</f>
        <v>3.0392139005437262E-3</v>
      </c>
      <c r="Q296" s="304">
        <f t="shared" si="101"/>
        <v>0.7</v>
      </c>
      <c r="R296" s="177">
        <f t="shared" si="102"/>
        <v>0.9319815887328522</v>
      </c>
      <c r="S296" s="799">
        <f t="shared" si="103"/>
        <v>-1</v>
      </c>
      <c r="T296" s="176">
        <f t="shared" si="104"/>
        <v>5</v>
      </c>
      <c r="U296" s="250">
        <f t="shared" si="105"/>
        <v>-6.8018411267147749E-2</v>
      </c>
      <c r="V296" s="382">
        <f t="shared" si="106"/>
        <v>39.606299623047555</v>
      </c>
      <c r="W296" s="400"/>
      <c r="X296" s="157">
        <f t="shared" si="107"/>
        <v>44478</v>
      </c>
      <c r="Y296" s="383">
        <f t="shared" si="108"/>
        <v>13.231876047621656</v>
      </c>
      <c r="Z296" s="383">
        <f t="shared" si="109"/>
        <v>13.488685473964335</v>
      </c>
      <c r="AA296" s="384">
        <f t="shared" si="110"/>
        <v>14.19572227825504</v>
      </c>
      <c r="AB296" s="197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4.9806328303121435E-2</v>
      </c>
      <c r="AD296" s="230">
        <f>(INDEX(Models!$BJ296:$BT296,,AH296)*(1-AF296)+INDEX(Models!$BJ296:$BT296,,AH296+1)*AF296-ERP_i)*AE296*Ramure*Pc/MaxiM</f>
        <v>3.2315488505743166E-3</v>
      </c>
      <c r="AE296" s="304">
        <f t="shared" si="112"/>
        <v>0.7</v>
      </c>
      <c r="AF296" s="177">
        <f t="shared" si="113"/>
        <v>0.99631381099268435</v>
      </c>
      <c r="AG296" s="799">
        <f t="shared" si="119"/>
        <v>-1</v>
      </c>
      <c r="AH296" s="176">
        <f t="shared" si="114"/>
        <v>5</v>
      </c>
      <c r="AI296" s="224">
        <f t="shared" si="115"/>
        <v>-3.686189007315599E-3</v>
      </c>
      <c r="AJ296" s="264" t="b">
        <f t="shared" si="116"/>
        <v>1</v>
      </c>
      <c r="AK296" s="264" t="b">
        <f t="shared" si="117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18"/>
        <v>44479</v>
      </c>
      <c r="B297" s="607">
        <v>22.131</v>
      </c>
      <c r="C297" s="388"/>
      <c r="D297" s="391">
        <f t="shared" si="98"/>
        <v>22.560959480787783</v>
      </c>
      <c r="E297" s="383">
        <f t="shared" ref="E297:E360" si="120">Wh_pvt/(1-Psa)</f>
        <v>23.743682588693755</v>
      </c>
      <c r="F297" s="383">
        <f t="shared" si="99"/>
        <v>23.773147069329745</v>
      </c>
      <c r="G297" s="110">
        <f t="shared" ref="G297:G360" si="121">+Wh_hp/MaxiM</f>
        <v>0.56167830267274632</v>
      </c>
      <c r="H297" s="412" t="b">
        <f>Wh_hp&gt;='2020'!Maxi_hp</f>
        <v>0</v>
      </c>
      <c r="I297" s="379">
        <f>IF(H297,Wh_hp,'2020'!Maxi_hp)</f>
        <v>35.015332350833226</v>
      </c>
      <c r="J297" s="85">
        <f>IF(H297,An,'2020'!An_max)</f>
        <v>2018</v>
      </c>
      <c r="K297" s="197">
        <f t="shared" si="100"/>
        <v>44479</v>
      </c>
      <c r="L297" s="147">
        <f>IF(t&lt;Tvie,1-EXP((T0-t)*PertePVj)+'2020'!Pspv,1-EXP((T0-t)*PertePVj)+Pspv)</f>
        <v>1.9057677097196302E-2</v>
      </c>
      <c r="M297" s="832"/>
      <c r="N297" s="832"/>
      <c r="O297" s="48">
        <f>IF(t&lt;Tnet,'2020'!Resal+('2020'!Salim-'2020'!Resal)*(1-EXP(('2020'!Tnet-t)/('2020'!Tau_j))),Resal+(Salim-Resal)*(1-EXP((Tnet-t)/(Tau_j))))*Salcycl</f>
        <v>4.9812117538547203E-2</v>
      </c>
      <c r="P297" s="169">
        <f>(INDEX(Models!$BJ297:$BT297,,T297)*(1-R297)+INDEX(Models!$BJ297:$BT297,,T297+1)*R297-ERP_i)*Q297*Ramure*Pc/MaxiM</f>
        <v>3.3007963583718907E-3</v>
      </c>
      <c r="Q297" s="304">
        <f t="shared" si="101"/>
        <v>0.7</v>
      </c>
      <c r="R297" s="177">
        <f t="shared" si="102"/>
        <v>0.93209180989972507</v>
      </c>
      <c r="S297" s="799">
        <f t="shared" si="103"/>
        <v>-1</v>
      </c>
      <c r="T297" s="176">
        <f t="shared" si="104"/>
        <v>5</v>
      </c>
      <c r="U297" s="250">
        <f t="shared" si="105"/>
        <v>-6.7908190100274879E-2</v>
      </c>
      <c r="V297" s="382">
        <f t="shared" si="106"/>
        <v>39.320234658833371</v>
      </c>
      <c r="W297" s="400"/>
      <c r="X297" s="157">
        <f t="shared" si="107"/>
        <v>44479</v>
      </c>
      <c r="Y297" s="383">
        <f t="shared" si="108"/>
        <v>22.129252297001855</v>
      </c>
      <c r="Z297" s="383">
        <f t="shared" si="109"/>
        <v>22.559177823541134</v>
      </c>
      <c r="AA297" s="384">
        <f t="shared" si="110"/>
        <v>23.741807530845158</v>
      </c>
      <c r="AB297" s="197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4.9812117538547203E-2</v>
      </c>
      <c r="AD297" s="230">
        <f>(INDEX(Models!$BJ297:$BT297,,AH297)*(1-AF297)+INDEX(Models!$BJ297:$BT297,,AH297+1)*AF297-ERP_i)*AE297*Ramure*Pc/MaxiM</f>
        <v>3.5108521266999106E-3</v>
      </c>
      <c r="AE297" s="304">
        <f t="shared" si="112"/>
        <v>0.7</v>
      </c>
      <c r="AF297" s="177">
        <f t="shared" si="113"/>
        <v>0.99642403215955722</v>
      </c>
      <c r="AG297" s="799">
        <f t="shared" si="119"/>
        <v>-1</v>
      </c>
      <c r="AH297" s="176">
        <f t="shared" si="114"/>
        <v>5</v>
      </c>
      <c r="AI297" s="224">
        <f t="shared" si="115"/>
        <v>-3.5759678404427286E-3</v>
      </c>
      <c r="AJ297" s="264" t="b">
        <f t="shared" si="116"/>
        <v>1</v>
      </c>
      <c r="AK297" s="264" t="b">
        <f t="shared" si="117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18"/>
        <v>44480</v>
      </c>
      <c r="B298" s="607">
        <v>38.463999999999999</v>
      </c>
      <c r="C298" s="388"/>
      <c r="D298" s="391">
        <f t="shared" si="98"/>
        <v>39.212027322960019</v>
      </c>
      <c r="E298" s="383">
        <f t="shared" si="120"/>
        <v>41.267875231115177</v>
      </c>
      <c r="F298" s="383">
        <f t="shared" si="99"/>
        <v>41.41416305845248</v>
      </c>
      <c r="G298" s="110">
        <f t="shared" si="121"/>
        <v>0.98536193955351692</v>
      </c>
      <c r="H298" s="412" t="b">
        <f>Wh_hp&gt;='2020'!Maxi_hp</f>
        <v>0</v>
      </c>
      <c r="I298" s="379">
        <f>IF(H298,Wh_hp,'2020'!Maxi_hp)</f>
        <v>42.840909894173365</v>
      </c>
      <c r="J298" s="85">
        <f>IF(H298,An,'2020'!An_max)</f>
        <v>2018</v>
      </c>
      <c r="K298" s="197">
        <f t="shared" si="100"/>
        <v>44480</v>
      </c>
      <c r="L298" s="147">
        <f>IF(t&lt;Tvie,1-EXP((T0-t)*PertePVj)+'2020'!Pspv,1-EXP((T0-t)*PertePVj)+Pspv)</f>
        <v>1.9076476633025918E-2</v>
      </c>
      <c r="M298" s="832"/>
      <c r="N298" s="832"/>
      <c r="O298" s="48">
        <f>IF(t&lt;Tnet,'2020'!Resal+('2020'!Salim-'2020'!Resal)*(1-EXP(('2020'!Tnet-t)/('2020'!Tau_j))),Resal+(Salim-Resal)*(1-EXP((Tnet-t)/(Tau_j))))*Salcycl</f>
        <v>4.9817149456851353E-2</v>
      </c>
      <c r="P298" s="169">
        <f>(INDEX(Models!$BJ298:$BT298,,T298)*(1-R298)+INDEX(Models!$BJ298:$BT298,,T298+1)*R298-ERP_i)*Q298*Ramure*Pc/MaxiM</f>
        <v>3.607366998612162E-3</v>
      </c>
      <c r="Q298" s="304">
        <f t="shared" si="101"/>
        <v>0.7</v>
      </c>
      <c r="R298" s="177">
        <f t="shared" si="102"/>
        <v>0.9321976506784182</v>
      </c>
      <c r="S298" s="799">
        <f t="shared" si="103"/>
        <v>-1</v>
      </c>
      <c r="T298" s="176">
        <f t="shared" si="104"/>
        <v>5</v>
      </c>
      <c r="U298" s="250">
        <f t="shared" si="105"/>
        <v>-6.7802349321581856E-2</v>
      </c>
      <c r="V298" s="382">
        <f t="shared" si="106"/>
        <v>39.032462472552687</v>
      </c>
      <c r="W298" s="400"/>
      <c r="X298" s="157">
        <f t="shared" si="107"/>
        <v>44480</v>
      </c>
      <c r="Y298" s="383">
        <f t="shared" si="108"/>
        <v>38.455288269360338</v>
      </c>
      <c r="Z298" s="383">
        <f t="shared" si="109"/>
        <v>39.203146171237044</v>
      </c>
      <c r="AA298" s="384">
        <f t="shared" si="110"/>
        <v>41.258528449369017</v>
      </c>
      <c r="AB298" s="197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4.9817149456851353E-2</v>
      </c>
      <c r="AD298" s="230">
        <f>(INDEX(Models!$BJ298:$BT298,,AH298)*(1-AF298)+INDEX(Models!$BJ298:$BT298,,AH298+1)*AF298-ERP_i)*AE298*Ramure*Pc/MaxiM</f>
        <v>3.8378528334764655E-3</v>
      </c>
      <c r="AE298" s="304">
        <f t="shared" si="112"/>
        <v>0.7</v>
      </c>
      <c r="AF298" s="177">
        <f t="shared" si="113"/>
        <v>0.99652987293825035</v>
      </c>
      <c r="AG298" s="799">
        <f t="shared" si="119"/>
        <v>-1</v>
      </c>
      <c r="AH298" s="176">
        <f t="shared" si="114"/>
        <v>5</v>
      </c>
      <c r="AI298" s="224">
        <f t="shared" si="115"/>
        <v>-3.470127061749706E-3</v>
      </c>
      <c r="AJ298" s="264" t="b">
        <f t="shared" si="116"/>
        <v>1</v>
      </c>
      <c r="AK298" s="264" t="b">
        <f t="shared" si="117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18"/>
        <v>44481</v>
      </c>
      <c r="B299" s="607">
        <v>37.881999999999998</v>
      </c>
      <c r="C299" s="388"/>
      <c r="D299" s="391">
        <f t="shared" si="98"/>
        <v>38.619449030818359</v>
      </c>
      <c r="E299" s="383">
        <f t="shared" si="120"/>
        <v>40.644411708437666</v>
      </c>
      <c r="F299" s="383">
        <f t="shared" si="99"/>
        <v>40.800834584500151</v>
      </c>
      <c r="G299" s="110">
        <f t="shared" si="121"/>
        <v>0.97764315148160386</v>
      </c>
      <c r="H299" s="412" t="b">
        <f>Wh_hp&gt;='2020'!Maxi_hp</f>
        <v>1</v>
      </c>
      <c r="I299" s="379">
        <f>IF(H299,Wh_hp,'2020'!Maxi_hp)</f>
        <v>40.800834584500151</v>
      </c>
      <c r="J299" s="85">
        <f>IF(H299,An,'2020'!An_max)</f>
        <v>2021</v>
      </c>
      <c r="K299" s="197">
        <f t="shared" si="100"/>
        <v>44481</v>
      </c>
      <c r="L299" s="147">
        <f>IF(t&lt;Tvie,1-EXP((T0-t)*PertePVj)+'2020'!Pspv,1-EXP((T0-t)*PertePVj)+Pspv)</f>
        <v>1.9095275808566625E-2</v>
      </c>
      <c r="M299" s="832"/>
      <c r="N299" s="832"/>
      <c r="O299" s="48">
        <f>IF(t&lt;Tnet,'2020'!Resal+('2020'!Salim-'2020'!Resal)*(1-EXP(('2020'!Tnet-t)/('2020'!Tau_j))),Resal+(Salim-Resal)*(1-EXP((Tnet-t)/(Tau_j))))*Salcycl</f>
        <v>4.982142913385873E-2</v>
      </c>
      <c r="P299" s="169">
        <f>(INDEX(Models!$BJ299:$BT299,,T299)*(1-R299)+INDEX(Models!$BJ299:$BT299,,T299+1)*R299-ERP_i)*Q299*Ramure*Pc/MaxiM</f>
        <v>3.9595798133843499E-3</v>
      </c>
      <c r="Q299" s="304">
        <f t="shared" si="101"/>
        <v>0.7</v>
      </c>
      <c r="R299" s="177">
        <f t="shared" si="102"/>
        <v>0.93229928294633924</v>
      </c>
      <c r="S299" s="799">
        <f t="shared" si="103"/>
        <v>-1</v>
      </c>
      <c r="T299" s="176">
        <f t="shared" si="104"/>
        <v>5</v>
      </c>
      <c r="U299" s="250">
        <f t="shared" si="105"/>
        <v>-6.7700717053660708E-2</v>
      </c>
      <c r="V299" s="382">
        <f t="shared" si="106"/>
        <v>38.743397738992329</v>
      </c>
      <c r="W299" s="400"/>
      <c r="X299" s="157">
        <f t="shared" si="107"/>
        <v>44481</v>
      </c>
      <c r="Y299" s="383">
        <f t="shared" si="108"/>
        <v>37.872660119252394</v>
      </c>
      <c r="Z299" s="383">
        <f t="shared" si="109"/>
        <v>38.609927330578508</v>
      </c>
      <c r="AA299" s="384">
        <f t="shared" si="110"/>
        <v>40.63439074971285</v>
      </c>
      <c r="AB299" s="197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4.982142913385873E-2</v>
      </c>
      <c r="AD299" s="230">
        <f>(INDEX(Models!$BJ299:$BT299,,AH299)*(1-AF299)+INDEX(Models!$BJ299:$BT299,,AH299+1)*AF299-ERP_i)*AE299*Ramure*Pc/MaxiM</f>
        <v>4.2132433878968503E-3</v>
      </c>
      <c r="AE299" s="304">
        <f t="shared" si="112"/>
        <v>0.7</v>
      </c>
      <c r="AF299" s="177">
        <f t="shared" si="113"/>
        <v>0.99663150520617139</v>
      </c>
      <c r="AG299" s="799">
        <f t="shared" si="119"/>
        <v>-1</v>
      </c>
      <c r="AH299" s="176">
        <f t="shared" si="114"/>
        <v>5</v>
      </c>
      <c r="AI299" s="224">
        <f t="shared" si="115"/>
        <v>-3.3684947938285581E-3</v>
      </c>
      <c r="AJ299" s="264" t="b">
        <f t="shared" si="116"/>
        <v>1</v>
      </c>
      <c r="AK299" s="264" t="b">
        <f t="shared" si="117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18"/>
        <v>44482</v>
      </c>
      <c r="B300" s="607">
        <v>37.173000000000002</v>
      </c>
      <c r="C300" s="388"/>
      <c r="D300" s="391">
        <f t="shared" si="98"/>
        <v>37.897373219769641</v>
      </c>
      <c r="E300" s="383">
        <f t="shared" si="120"/>
        <v>39.88462313312413</v>
      </c>
      <c r="F300" s="383">
        <f t="shared" si="99"/>
        <v>40.05086474432693</v>
      </c>
      <c r="G300" s="110">
        <f t="shared" si="121"/>
        <v>0.96649991050141371</v>
      </c>
      <c r="H300" s="412" t="b">
        <f>Wh_hp&gt;='2020'!Maxi_hp</f>
        <v>1</v>
      </c>
      <c r="I300" s="379">
        <f>IF(H300,Wh_hp,'2020'!Maxi_hp)</f>
        <v>40.05086474432693</v>
      </c>
      <c r="J300" s="85">
        <f>IF(H300,An,'2020'!An_max)</f>
        <v>2021</v>
      </c>
      <c r="K300" s="197">
        <f t="shared" si="100"/>
        <v>44482</v>
      </c>
      <c r="L300" s="147">
        <f>IF(t&lt;Tvie,1-EXP((T0-t)*PertePVj)+'2020'!Pspv,1-EXP((T0-t)*PertePVj)+Pspv)</f>
        <v>1.9114074623825417E-2</v>
      </c>
      <c r="M300" s="832"/>
      <c r="N300" s="832"/>
      <c r="O300" s="48">
        <f>IF(t&lt;Tnet,'2020'!Resal+('2020'!Salim-'2020'!Resal)*(1-EXP(('2020'!Tnet-t)/('2020'!Tau_j))),Resal+(Salim-Resal)*(1-EXP((Tnet-t)/(Tau_j))))*Salcycl</f>
        <v>4.9824964039940557E-2</v>
      </c>
      <c r="P300" s="169">
        <f>(INDEX(Models!$BJ300:$BT300,,T300)*(1-R300)+INDEX(Models!$BJ300:$BT300,,T300+1)*R300-ERP_i)*Q300*Ramure*Pc/MaxiM</f>
        <v>4.3580747430463276E-3</v>
      </c>
      <c r="Q300" s="304">
        <f t="shared" si="101"/>
        <v>0.7</v>
      </c>
      <c r="R300" s="177">
        <f t="shared" si="102"/>
        <v>0.93239687201001464</v>
      </c>
      <c r="S300" s="799">
        <f t="shared" si="103"/>
        <v>-1</v>
      </c>
      <c r="T300" s="176">
        <f t="shared" si="104"/>
        <v>5</v>
      </c>
      <c r="U300" s="250">
        <f t="shared" si="105"/>
        <v>-6.7603127989985357E-2</v>
      </c>
      <c r="V300" s="382">
        <f t="shared" si="106"/>
        <v>38.45345565185837</v>
      </c>
      <c r="W300" s="400"/>
      <c r="X300" s="157">
        <f t="shared" si="107"/>
        <v>44482</v>
      </c>
      <c r="Y300" s="383">
        <f t="shared" si="108"/>
        <v>37.163058646086192</v>
      </c>
      <c r="Z300" s="383">
        <f t="shared" si="109"/>
        <v>37.887238143246854</v>
      </c>
      <c r="AA300" s="384">
        <f t="shared" si="110"/>
        <v>39.873956596813223</v>
      </c>
      <c r="AB300" s="197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4.9824964039940557E-2</v>
      </c>
      <c r="AD300" s="230">
        <f>(INDEX(Models!$BJ300:$BT300,,AH300)*(1-AF300)+INDEX(Models!$BJ300:$BT300,,AH300+1)*AF300-ERP_i)*AE300*Ramure*Pc/MaxiM</f>
        <v>4.6377012586702729E-3</v>
      </c>
      <c r="AE300" s="304">
        <f t="shared" si="112"/>
        <v>0.7</v>
      </c>
      <c r="AF300" s="177">
        <f t="shared" si="113"/>
        <v>0.99672909426984679</v>
      </c>
      <c r="AG300" s="799">
        <f t="shared" si="119"/>
        <v>-1</v>
      </c>
      <c r="AH300" s="176">
        <f t="shared" si="114"/>
        <v>5</v>
      </c>
      <c r="AI300" s="224">
        <f t="shared" si="115"/>
        <v>-3.2709057301532063E-3</v>
      </c>
      <c r="AJ300" s="264" t="b">
        <f t="shared" si="116"/>
        <v>1</v>
      </c>
      <c r="AK300" s="264" t="b">
        <f t="shared" si="117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18"/>
        <v>44483</v>
      </c>
      <c r="B301" s="607">
        <v>39.139000000000003</v>
      </c>
      <c r="C301" s="388"/>
      <c r="D301" s="391">
        <f t="shared" si="98"/>
        <v>39.902448482346458</v>
      </c>
      <c r="E301" s="383">
        <f t="shared" si="120"/>
        <v>41.994963623739402</v>
      </c>
      <c r="F301" s="383">
        <f t="shared" si="99"/>
        <v>42.197658918664054</v>
      </c>
      <c r="G301" s="110">
        <f t="shared" si="121"/>
        <v>1.0255731141765125</v>
      </c>
      <c r="H301" s="412" t="b">
        <f>Wh_hp&gt;='2020'!Maxi_hp</f>
        <v>1</v>
      </c>
      <c r="I301" s="379">
        <f>IF(H301,Wh_hp,'2020'!Maxi_hp)</f>
        <v>42.197658918664054</v>
      </c>
      <c r="J301" s="85">
        <f>IF(H301,An,'2020'!An_max)</f>
        <v>2021</v>
      </c>
      <c r="K301" s="197">
        <f t="shared" si="100"/>
        <v>44483</v>
      </c>
      <c r="L301" s="147">
        <f>IF(t&lt;Tvie,1-EXP((T0-t)*PertePVj)+'2020'!Pspv,1-EXP((T0-t)*PertePVj)+Pspv)</f>
        <v>1.9132873078809176E-2</v>
      </c>
      <c r="M301" s="832"/>
      <c r="N301" s="832"/>
      <c r="O301" s="48">
        <f>IF(t&lt;Tnet,'2020'!Resal+('2020'!Salim-'2020'!Resal)*(1-EXP(('2020'!Tnet-t)/('2020'!Tau_j))),Resal+(Salim-Resal)*(1-EXP((Tnet-t)/(Tau_j))))*Salcycl</f>
        <v>4.9827764113362941E-2</v>
      </c>
      <c r="P301" s="169">
        <f>(INDEX(Models!$BJ301:$BT301,,T301)*(1-R301)+INDEX(Models!$BJ301:$BT301,,T301+1)*R301-ERP_i)*Q301*Ramure*Pc/MaxiM</f>
        <v>4.8034725176425092E-3</v>
      </c>
      <c r="Q301" s="304">
        <f t="shared" si="101"/>
        <v>0.7</v>
      </c>
      <c r="R301" s="177">
        <f t="shared" si="102"/>
        <v>0.93249057684263925</v>
      </c>
      <c r="S301" s="799">
        <f t="shared" si="103"/>
        <v>-1</v>
      </c>
      <c r="T301" s="176">
        <f t="shared" si="104"/>
        <v>5</v>
      </c>
      <c r="U301" s="250">
        <f t="shared" si="105"/>
        <v>-6.7509423157360693E-2</v>
      </c>
      <c r="V301" s="382">
        <f t="shared" si="106"/>
        <v>38.163051916027257</v>
      </c>
      <c r="W301" s="400"/>
      <c r="X301" s="157">
        <f t="shared" si="107"/>
        <v>44483</v>
      </c>
      <c r="Y301" s="383">
        <f t="shared" si="108"/>
        <v>39.126870840698494</v>
      </c>
      <c r="Z301" s="383">
        <f t="shared" si="109"/>
        <v>39.890082730687944</v>
      </c>
      <c r="AA301" s="384">
        <f t="shared" si="110"/>
        <v>41.981949402536678</v>
      </c>
      <c r="AB301" s="197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4.9827764113362941E-2</v>
      </c>
      <c r="AD301" s="230">
        <f>(INDEX(Models!$BJ301:$BT301,,AH301)*(1-AF301)+INDEX(Models!$BJ301:$BT301,,AH301+1)*AF301-ERP_i)*AE301*Ramure*Pc/MaxiM</f>
        <v>5.1118834943699584E-3</v>
      </c>
      <c r="AE301" s="304">
        <f t="shared" si="112"/>
        <v>0.7</v>
      </c>
      <c r="AF301" s="177">
        <f t="shared" si="113"/>
        <v>0.9968227991024714</v>
      </c>
      <c r="AG301" s="799">
        <f t="shared" si="119"/>
        <v>-1</v>
      </c>
      <c r="AH301" s="176">
        <f t="shared" si="114"/>
        <v>5</v>
      </c>
      <c r="AI301" s="224">
        <f t="shared" si="115"/>
        <v>-3.1772008975285426E-3</v>
      </c>
      <c r="AJ301" s="264" t="b">
        <f t="shared" si="116"/>
        <v>1</v>
      </c>
      <c r="AK301" s="264" t="b">
        <f t="shared" si="117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18"/>
        <v>44484</v>
      </c>
      <c r="B302" s="607">
        <v>32.143999999999998</v>
      </c>
      <c r="C302" s="388"/>
      <c r="D302" s="391">
        <f t="shared" si="98"/>
        <v>32.771631510509195</v>
      </c>
      <c r="E302" s="383">
        <f t="shared" si="120"/>
        <v>34.490276534579223</v>
      </c>
      <c r="F302" s="383">
        <f t="shared" si="99"/>
        <v>34.634073779649718</v>
      </c>
      <c r="G302" s="110">
        <f t="shared" si="121"/>
        <v>0.84776478284915691</v>
      </c>
      <c r="H302" s="412" t="b">
        <f>Wh_hp&gt;='2020'!Maxi_hp</f>
        <v>0</v>
      </c>
      <c r="I302" s="379">
        <f>IF(H302,Wh_hp,'2020'!Maxi_hp)</f>
        <v>35.401449749905545</v>
      </c>
      <c r="J302" s="85">
        <f>IF(H302,An,'2020'!An_max)</f>
        <v>2018</v>
      </c>
      <c r="K302" s="197">
        <f t="shared" si="100"/>
        <v>44484</v>
      </c>
      <c r="L302" s="147">
        <f>IF(t&lt;Tvie,1-EXP((T0-t)*PertePVj)+'2020'!Pspv,1-EXP((T0-t)*PertePVj)+Pspv)</f>
        <v>1.9151671173524898E-2</v>
      </c>
      <c r="M302" s="832"/>
      <c r="N302" s="832"/>
      <c r="O302" s="48">
        <f>IF(t&lt;Tnet,'2020'!Resal+('2020'!Salim-'2020'!Resal)*(1-EXP(('2020'!Tnet-t)/('2020'!Tau_j))),Resal+(Salim-Resal)*(1-EXP((Tnet-t)/(Tau_j))))*Salcycl</f>
        <v>4.9829841820692479E-2</v>
      </c>
      <c r="P302" s="169">
        <f>(INDEX(Models!$BJ302:$BT302,,T302)*(1-R302)+INDEX(Models!$BJ302:$BT302,,T302+1)*R302-ERP_i)*Q302*Ramure*Pc/MaxiM</f>
        <v>5.296369299979984E-3</v>
      </c>
      <c r="Q302" s="304">
        <f t="shared" si="101"/>
        <v>0.7</v>
      </c>
      <c r="R302" s="177">
        <f t="shared" si="102"/>
        <v>0.93258055031413201</v>
      </c>
      <c r="S302" s="799">
        <f t="shared" si="103"/>
        <v>-1</v>
      </c>
      <c r="T302" s="176">
        <f t="shared" si="104"/>
        <v>5</v>
      </c>
      <c r="U302" s="250">
        <f t="shared" si="105"/>
        <v>-6.7419449685867938E-2</v>
      </c>
      <c r="V302" s="382">
        <f t="shared" si="106"/>
        <v>37.872602736038004</v>
      </c>
      <c r="W302" s="400"/>
      <c r="X302" s="157">
        <f t="shared" si="107"/>
        <v>44484</v>
      </c>
      <c r="Y302" s="383">
        <f t="shared" si="108"/>
        <v>32.135395600773201</v>
      </c>
      <c r="Z302" s="383">
        <f t="shared" si="109"/>
        <v>32.762859105057792</v>
      </c>
      <c r="AA302" s="384">
        <f t="shared" si="110"/>
        <v>34.481044077238934</v>
      </c>
      <c r="AB302" s="197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4.9829841820692479E-2</v>
      </c>
      <c r="AD302" s="230">
        <f>(INDEX(Models!$BJ302:$BT302,,AH302)*(1-AF302)+INDEX(Models!$BJ302:$BT302,,AH302+1)*AF302-ERP_i)*AE302*Ramure*Pc/MaxiM</f>
        <v>5.6364210415588041E-3</v>
      </c>
      <c r="AE302" s="304">
        <f t="shared" si="112"/>
        <v>0.7</v>
      </c>
      <c r="AF302" s="177">
        <f t="shared" si="113"/>
        <v>0.99691277257396416</v>
      </c>
      <c r="AG302" s="799">
        <f t="shared" si="119"/>
        <v>-1</v>
      </c>
      <c r="AH302" s="176">
        <f t="shared" si="114"/>
        <v>5</v>
      </c>
      <c r="AI302" s="224">
        <f t="shared" si="115"/>
        <v>-3.0872274260357879E-3</v>
      </c>
      <c r="AJ302" s="264" t="b">
        <f t="shared" si="116"/>
        <v>1</v>
      </c>
      <c r="AK302" s="264" t="b">
        <f t="shared" si="117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18"/>
        <v>44485</v>
      </c>
      <c r="B303" s="607">
        <v>34.206000000000003</v>
      </c>
      <c r="C303" s="388"/>
      <c r="D303" s="391">
        <f t="shared" si="98"/>
        <v>34.874561700763905</v>
      </c>
      <c r="E303" s="383">
        <f t="shared" si="120"/>
        <v>36.703543779453241</v>
      </c>
      <c r="F303" s="383">
        <f t="shared" si="99"/>
        <v>36.891271998355435</v>
      </c>
      <c r="G303" s="110">
        <f t="shared" si="121"/>
        <v>0.90951239100069448</v>
      </c>
      <c r="H303" s="412" t="b">
        <f>Wh_hp&gt;='2020'!Maxi_hp</f>
        <v>0</v>
      </c>
      <c r="I303" s="379">
        <f>IF(H303,Wh_hp,'2020'!Maxi_hp)</f>
        <v>39.40385171327874</v>
      </c>
      <c r="J303" s="85">
        <f>IF(H303,An,'2020'!An_max)</f>
        <v>2018</v>
      </c>
      <c r="K303" s="197">
        <f t="shared" si="100"/>
        <v>44485</v>
      </c>
      <c r="L303" s="147">
        <f>IF(t&lt;Tvie,1-EXP((T0-t)*PertePVj)+'2020'!Pspv,1-EXP((T0-t)*PertePVj)+Pspv)</f>
        <v>1.9170468907979354E-2</v>
      </c>
      <c r="M303" s="832"/>
      <c r="N303" s="832"/>
      <c r="O303" s="48">
        <f>IF(t&lt;Tnet,'2020'!Resal+('2020'!Salim-'2020'!Resal)*(1-EXP(('2020'!Tnet-t)/('2020'!Tau_j))),Resal+(Salim-Resal)*(1-EXP((Tnet-t)/(Tau_j))))*Salcycl</f>
        <v>4.9831212203362368E-2</v>
      </c>
      <c r="P303" s="169">
        <f>(INDEX(Models!$BJ303:$BT303,,T303)*(1-R303)+INDEX(Models!$BJ303:$BT303,,T303+1)*R303-ERP_i)*Q303*Ramure*Pc/MaxiM</f>
        <v>5.8375891850749343E-3</v>
      </c>
      <c r="Q303" s="304">
        <f t="shared" si="101"/>
        <v>0.7</v>
      </c>
      <c r="R303" s="177">
        <f t="shared" si="102"/>
        <v>0.93266693941383849</v>
      </c>
      <c r="S303" s="799">
        <f t="shared" si="103"/>
        <v>-1</v>
      </c>
      <c r="T303" s="176">
        <f t="shared" si="104"/>
        <v>5</v>
      </c>
      <c r="U303" s="250">
        <f t="shared" si="105"/>
        <v>-6.7333060586161508E-2</v>
      </c>
      <c r="V303" s="382">
        <f t="shared" si="106"/>
        <v>37.580853701036148</v>
      </c>
      <c r="W303" s="400"/>
      <c r="X303" s="157">
        <f t="shared" si="107"/>
        <v>44485</v>
      </c>
      <c r="Y303" s="383">
        <f t="shared" si="108"/>
        <v>34.194773196906667</v>
      </c>
      <c r="Z303" s="383">
        <f t="shared" si="109"/>
        <v>34.863115468021668</v>
      </c>
      <c r="AA303" s="384">
        <f t="shared" si="110"/>
        <v>36.691497253731448</v>
      </c>
      <c r="AB303" s="197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4.9831212203362368E-2</v>
      </c>
      <c r="AD303" s="230">
        <f>(INDEX(Models!$BJ303:$BT303,,AH303)*(1-AF303)+INDEX(Models!$BJ303:$BT303,,AH303+1)*AF303-ERP_i)*AE303*Ramure*Pc/MaxiM</f>
        <v>6.212187467008733E-3</v>
      </c>
      <c r="AE303" s="304">
        <f t="shared" si="112"/>
        <v>0.7</v>
      </c>
      <c r="AF303" s="177">
        <f t="shared" si="113"/>
        <v>0.99699916167367064</v>
      </c>
      <c r="AG303" s="799">
        <f t="shared" si="119"/>
        <v>-1</v>
      </c>
      <c r="AH303" s="176">
        <f t="shared" si="114"/>
        <v>5</v>
      </c>
      <c r="AI303" s="224">
        <f t="shared" si="115"/>
        <v>-3.0008383263293581E-3</v>
      </c>
      <c r="AJ303" s="264" t="b">
        <f t="shared" si="116"/>
        <v>1</v>
      </c>
      <c r="AK303" s="264" t="b">
        <f t="shared" si="117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18"/>
        <v>44486</v>
      </c>
      <c r="B304" s="607">
        <v>35.863</v>
      </c>
      <c r="C304" s="388"/>
      <c r="D304" s="391">
        <f t="shared" si="98"/>
        <v>36.56464878199202</v>
      </c>
      <c r="E304" s="383">
        <f t="shared" si="120"/>
        <v>38.482294353111975</v>
      </c>
      <c r="F304" s="383">
        <f t="shared" si="99"/>
        <v>38.717430776256577</v>
      </c>
      <c r="G304" s="110">
        <f t="shared" si="121"/>
        <v>0.96147962991251346</v>
      </c>
      <c r="H304" s="412" t="b">
        <f>Wh_hp&gt;='2020'!Maxi_hp</f>
        <v>1</v>
      </c>
      <c r="I304" s="379">
        <f>IF(H304,Wh_hp,'2020'!Maxi_hp)</f>
        <v>38.717430776256577</v>
      </c>
      <c r="J304" s="85">
        <f>IF(H304,An,'2020'!An_max)</f>
        <v>2021</v>
      </c>
      <c r="K304" s="197">
        <f t="shared" si="100"/>
        <v>44486</v>
      </c>
      <c r="L304" s="147">
        <f>IF(t&lt;Tvie,1-EXP((T0-t)*PertePVj)+'2020'!Pspv,1-EXP((T0-t)*PertePVj)+Pspv)</f>
        <v>1.918926628217954E-2</v>
      </c>
      <c r="M304" s="832"/>
      <c r="N304" s="832"/>
      <c r="O304" s="48">
        <f>IF(t&lt;Tnet,'2020'!Resal+('2020'!Salim-'2020'!Resal)*(1-EXP(('2020'!Tnet-t)/('2020'!Tau_j))),Resal+(Salim-Resal)*(1-EXP((Tnet-t)/(Tau_j))))*Salcycl</f>
        <v>4.9831892909599385E-2</v>
      </c>
      <c r="P304" s="169">
        <f>(INDEX(Models!$BJ304:$BT304,,T304)*(1-R304)+INDEX(Models!$BJ304:$BT304,,T304+1)*R304-ERP_i)*Q304*Ramure*Pc/MaxiM</f>
        <v>6.4235098703618008E-3</v>
      </c>
      <c r="Q304" s="304">
        <f t="shared" si="101"/>
        <v>0.7</v>
      </c>
      <c r="R304" s="177">
        <f t="shared" si="102"/>
        <v>0.93274988546603432</v>
      </c>
      <c r="S304" s="799">
        <f t="shared" si="103"/>
        <v>-1</v>
      </c>
      <c r="T304" s="176">
        <f t="shared" si="104"/>
        <v>5</v>
      </c>
      <c r="U304" s="250">
        <f t="shared" si="105"/>
        <v>-6.7250114533965621E-2</v>
      </c>
      <c r="V304" s="382">
        <f t="shared" si="106"/>
        <v>37.286653648490628</v>
      </c>
      <c r="W304" s="400"/>
      <c r="X304" s="157">
        <f t="shared" si="107"/>
        <v>44486</v>
      </c>
      <c r="Y304" s="383">
        <f t="shared" si="108"/>
        <v>35.848958930430761</v>
      </c>
      <c r="Z304" s="383">
        <f t="shared" si="109"/>
        <v>36.550333003130163</v>
      </c>
      <c r="AA304" s="384">
        <f t="shared" si="110"/>
        <v>38.467227778307972</v>
      </c>
      <c r="AB304" s="197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4.9831892909599385E-2</v>
      </c>
      <c r="AD304" s="230">
        <f>(INDEX(Models!$BJ304:$BT304,,AH304)*(1-AF304)+INDEX(Models!$BJ304:$BT304,,AH304+1)*AF304-ERP_i)*AE304*Ramure*Pc/MaxiM</f>
        <v>6.8351019609097698E-3</v>
      </c>
      <c r="AE304" s="304">
        <f t="shared" si="112"/>
        <v>0.7</v>
      </c>
      <c r="AF304" s="177">
        <f t="shared" si="113"/>
        <v>0.99708210772586647</v>
      </c>
      <c r="AG304" s="799">
        <f t="shared" si="119"/>
        <v>-1</v>
      </c>
      <c r="AH304" s="176">
        <f t="shared" si="114"/>
        <v>5</v>
      </c>
      <c r="AI304" s="224">
        <f t="shared" si="115"/>
        <v>-2.9178922741334712E-3</v>
      </c>
      <c r="AJ304" s="264" t="b">
        <f t="shared" si="116"/>
        <v>1</v>
      </c>
      <c r="AK304" s="264" t="b">
        <f t="shared" si="117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18"/>
        <v>44487</v>
      </c>
      <c r="B305" s="607">
        <v>31.720000000000002</v>
      </c>
      <c r="C305" s="388"/>
      <c r="D305" s="391">
        <f t="shared" si="98"/>
        <v>32.341212048093418</v>
      </c>
      <c r="E305" s="383">
        <f t="shared" si="120"/>
        <v>34.037358433129178</v>
      </c>
      <c r="F305" s="383">
        <f t="shared" si="99"/>
        <v>34.228972627803223</v>
      </c>
      <c r="G305" s="110">
        <f t="shared" si="121"/>
        <v>0.85626546126800274</v>
      </c>
      <c r="H305" s="412" t="b">
        <f>Wh_hp&gt;='2020'!Maxi_hp</f>
        <v>0</v>
      </c>
      <c r="I305" s="379">
        <f>IF(H305,Wh_hp,'2020'!Maxi_hp)</f>
        <v>38.750305617634922</v>
      </c>
      <c r="J305" s="85">
        <f>IF(H305,An,'2020'!An_max)</f>
        <v>2020</v>
      </c>
      <c r="K305" s="197">
        <f t="shared" si="100"/>
        <v>44487</v>
      </c>
      <c r="L305" s="147">
        <f>IF(t&lt;Tvie,1-EXP((T0-t)*PertePVj)+'2020'!Pspv,1-EXP((T0-t)*PertePVj)+Pspv)</f>
        <v>1.9208063296132338E-2</v>
      </c>
      <c r="M305" s="832"/>
      <c r="N305" s="832"/>
      <c r="O305" s="48">
        <f>IF(t&lt;Tnet,'2020'!Resal+('2020'!Salim-'2020'!Resal)*(1-EXP(('2020'!Tnet-t)/('2020'!Tau_j))),Resal+(Salim-Resal)*(1-EXP((Tnet-t)/(Tau_j))))*Salcycl</f>
        <v>4.9831904211017491E-2</v>
      </c>
      <c r="P305" s="169">
        <f>(INDEX(Models!$BJ305:$BT305,,T305)*(1-R305)+INDEX(Models!$BJ305:$BT305,,T305+1)*R305-ERP_i)*Q305*Ramure*Pc/MaxiM</f>
        <v>7.028901933544468E-3</v>
      </c>
      <c r="Q305" s="304">
        <f t="shared" si="101"/>
        <v>0.7</v>
      </c>
      <c r="R305" s="177">
        <f t="shared" si="102"/>
        <v>0.93282952433838673</v>
      </c>
      <c r="S305" s="799">
        <f t="shared" si="103"/>
        <v>-1</v>
      </c>
      <c r="T305" s="176">
        <f t="shared" si="104"/>
        <v>5</v>
      </c>
      <c r="U305" s="250">
        <f t="shared" si="105"/>
        <v>-6.7170475661613271E-2</v>
      </c>
      <c r="V305" s="382">
        <f t="shared" si="106"/>
        <v>36.991281427988945</v>
      </c>
      <c r="W305" s="400"/>
      <c r="X305" s="157">
        <f t="shared" si="107"/>
        <v>44487</v>
      </c>
      <c r="Y305" s="383">
        <f t="shared" si="108"/>
        <v>31.708583261001429</v>
      </c>
      <c r="Z305" s="383">
        <f t="shared" si="109"/>
        <v>32.32957172095437</v>
      </c>
      <c r="AA305" s="384">
        <f t="shared" si="110"/>
        <v>34.025107624887312</v>
      </c>
      <c r="AB305" s="197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4.9831904211017491E-2</v>
      </c>
      <c r="AD305" s="230">
        <f>(INDEX(Models!$BJ305:$BT305,,AH305)*(1-AF305)+INDEX(Models!$BJ305:$BT305,,AH305+1)*AF305-ERP_i)*AE305*Ramure*Pc/MaxiM</f>
        <v>7.4782931171425288E-3</v>
      </c>
      <c r="AE305" s="304">
        <f t="shared" si="112"/>
        <v>0.7</v>
      </c>
      <c r="AF305" s="177">
        <f t="shared" si="113"/>
        <v>0.99716174659821888</v>
      </c>
      <c r="AG305" s="799">
        <f t="shared" si="119"/>
        <v>-1</v>
      </c>
      <c r="AH305" s="176">
        <f t="shared" si="114"/>
        <v>5</v>
      </c>
      <c r="AI305" s="224">
        <f t="shared" si="115"/>
        <v>-2.8382534017811212E-3</v>
      </c>
      <c r="AJ305" s="264" t="b">
        <f t="shared" si="116"/>
        <v>1</v>
      </c>
      <c r="AK305" s="264" t="b">
        <f t="shared" si="117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18"/>
        <v>44488</v>
      </c>
      <c r="B306" s="607">
        <v>27.172000000000001</v>
      </c>
      <c r="C306" s="388"/>
      <c r="D306" s="391">
        <f t="shared" si="98"/>
        <v>27.704673884737979</v>
      </c>
      <c r="E306" s="383">
        <f t="shared" si="120"/>
        <v>29.157635881867563</v>
      </c>
      <c r="F306" s="383">
        <f t="shared" si="99"/>
        <v>29.298748572621001</v>
      </c>
      <c r="G306" s="110">
        <f t="shared" si="121"/>
        <v>0.73837002371495819</v>
      </c>
      <c r="H306" s="412" t="b">
        <f>Wh_hp&gt;='2020'!Maxi_hp</f>
        <v>0</v>
      </c>
      <c r="I306" s="379">
        <f>IF(H306,Wh_hp,'2020'!Maxi_hp)</f>
        <v>39.339930108632885</v>
      </c>
      <c r="J306" s="85">
        <f>IF(H306,An,'2020'!An_max)</f>
        <v>2020</v>
      </c>
      <c r="K306" s="197">
        <f t="shared" si="100"/>
        <v>44488</v>
      </c>
      <c r="L306" s="147">
        <f>IF(t&lt;Tvie,1-EXP((T0-t)*PertePVj)+'2020'!Pspv,1-EXP((T0-t)*PertePVj)+Pspv)</f>
        <v>1.9226859949844743E-2</v>
      </c>
      <c r="M306" s="832"/>
      <c r="N306" s="832"/>
      <c r="O306" s="48">
        <f>IF(t&lt;Tnet,'2020'!Resal+('2020'!Salim-'2020'!Resal)*(1-EXP(('2020'!Tnet-t)/('2020'!Tau_j))),Resal+(Salim-Resal)*(1-EXP((Tnet-t)/(Tau_j))))*Salcycl</f>
        <v>4.9831269003298893E-2</v>
      </c>
      <c r="P306" s="169">
        <f>(INDEX(Models!$BJ306:$BT306,,T306)*(1-R306)+INDEX(Models!$BJ306:$BT306,,T306+1)*R306-ERP_i)*Q306*Ramure*Pc/MaxiM</f>
        <v>7.653982284675293E-3</v>
      </c>
      <c r="Q306" s="304">
        <f t="shared" si="101"/>
        <v>0.7</v>
      </c>
      <c r="R306" s="177">
        <f t="shared" si="102"/>
        <v>0.93290598664353075</v>
      </c>
      <c r="S306" s="799">
        <f t="shared" si="103"/>
        <v>-1</v>
      </c>
      <c r="T306" s="176">
        <f t="shared" si="104"/>
        <v>5</v>
      </c>
      <c r="U306" s="250">
        <f t="shared" si="105"/>
        <v>-6.7094013356469195E-2</v>
      </c>
      <c r="V306" s="382">
        <f t="shared" si="106"/>
        <v>36.695046540949491</v>
      </c>
      <c r="W306" s="400"/>
      <c r="X306" s="157">
        <f t="shared" si="107"/>
        <v>44488</v>
      </c>
      <c r="Y306" s="383">
        <f t="shared" si="108"/>
        <v>27.16361563357194</v>
      </c>
      <c r="Z306" s="383">
        <f t="shared" si="109"/>
        <v>27.696125153042868</v>
      </c>
      <c r="AA306" s="384">
        <f t="shared" si="110"/>
        <v>29.148638814908576</v>
      </c>
      <c r="AB306" s="197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4.9831269003298893E-2</v>
      </c>
      <c r="AD306" s="230">
        <f>(INDEX(Models!$BJ306:$BT306,,AH306)*(1-AF306)+INDEX(Models!$BJ306:$BT306,,AH306+1)*AF306-ERP_i)*AE306*Ramure*Pc/MaxiM</f>
        <v>8.141985105331968E-3</v>
      </c>
      <c r="AE306" s="304">
        <f t="shared" si="112"/>
        <v>0.7</v>
      </c>
      <c r="AF306" s="177">
        <f t="shared" si="113"/>
        <v>0.9972382089033629</v>
      </c>
      <c r="AG306" s="799">
        <f t="shared" si="119"/>
        <v>-1</v>
      </c>
      <c r="AH306" s="176">
        <f t="shared" si="114"/>
        <v>5</v>
      </c>
      <c r="AI306" s="224">
        <f t="shared" si="115"/>
        <v>-2.7617910966370451E-3</v>
      </c>
      <c r="AJ306" s="264" t="b">
        <f t="shared" si="116"/>
        <v>1</v>
      </c>
      <c r="AK306" s="264" t="b">
        <f t="shared" si="117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18"/>
        <v>44489</v>
      </c>
      <c r="B307" s="607">
        <v>28.025000000000002</v>
      </c>
      <c r="C307" s="388"/>
      <c r="D307" s="391">
        <f t="shared" si="98"/>
        <v>28.574943540553878</v>
      </c>
      <c r="E307" s="383">
        <f t="shared" si="120"/>
        <v>30.073506767430235</v>
      </c>
      <c r="F307" s="383">
        <f t="shared" si="99"/>
        <v>30.242003573201607</v>
      </c>
      <c r="G307" s="110">
        <f t="shared" si="121"/>
        <v>0.76784272862788372</v>
      </c>
      <c r="H307" s="412" t="b">
        <f>Wh_hp&gt;='2020'!Maxi_hp</f>
        <v>0</v>
      </c>
      <c r="I307" s="379">
        <f>IF(H307,Wh_hp,'2020'!Maxi_hp)</f>
        <v>36.661931071686425</v>
      </c>
      <c r="J307" s="85">
        <f>IF(H307,An,'2020'!An_max)</f>
        <v>2020</v>
      </c>
      <c r="K307" s="197">
        <f t="shared" si="100"/>
        <v>44489</v>
      </c>
      <c r="L307" s="147">
        <f>IF(t&lt;Tvie,1-EXP((T0-t)*PertePVj)+'2020'!Pspv,1-EXP((T0-t)*PertePVj)+Pspv)</f>
        <v>1.9245656243323417E-2</v>
      </c>
      <c r="M307" s="832"/>
      <c r="N307" s="832"/>
      <c r="O307" s="48">
        <f>IF(t&lt;Tnet,'2020'!Resal+('2020'!Salim-'2020'!Resal)*(1-EXP(('2020'!Tnet-t)/('2020'!Tau_j))),Resal+(Salim-Resal)*(1-EXP((Tnet-t)/(Tau_j))))*Salcycl</f>
        <v>4.9830012790503975E-2</v>
      </c>
      <c r="P307" s="169">
        <f>(INDEX(Models!$BJ307:$BT307,,T307)*(1-R307)+INDEX(Models!$BJ307:$BT307,,T307+1)*R307-ERP_i)*Q307*Ramure*Pc/MaxiM</f>
        <v>8.298955042294302E-3</v>
      </c>
      <c r="Q307" s="304">
        <f t="shared" si="101"/>
        <v>0.7</v>
      </c>
      <c r="R307" s="177">
        <f t="shared" si="102"/>
        <v>0.93297939793392559</v>
      </c>
      <c r="S307" s="799">
        <f t="shared" si="103"/>
        <v>-1</v>
      </c>
      <c r="T307" s="176">
        <f t="shared" si="104"/>
        <v>5</v>
      </c>
      <c r="U307" s="250">
        <f t="shared" si="105"/>
        <v>-6.7020602066074464E-2</v>
      </c>
      <c r="V307" s="382">
        <f t="shared" si="106"/>
        <v>36.398258409950245</v>
      </c>
      <c r="W307" s="400"/>
      <c r="X307" s="157">
        <f t="shared" si="107"/>
        <v>44489</v>
      </c>
      <c r="Y307" s="383">
        <f t="shared" si="108"/>
        <v>28.015020760779141</v>
      </c>
      <c r="Z307" s="383">
        <f t="shared" si="109"/>
        <v>28.564768475529299</v>
      </c>
      <c r="AA307" s="384">
        <f t="shared" si="110"/>
        <v>30.062798088813199</v>
      </c>
      <c r="AB307" s="197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4.9830012790503975E-2</v>
      </c>
      <c r="AD307" s="230">
        <f>(INDEX(Models!$BJ307:$BT307,,AH307)*(1-AF307)+INDEX(Models!$BJ307:$BT307,,AH307+1)*AF307-ERP_i)*AE307*Ramure*Pc/MaxiM</f>
        <v>8.8263884378315047E-3</v>
      </c>
      <c r="AE307" s="304">
        <f t="shared" si="112"/>
        <v>0.7</v>
      </c>
      <c r="AF307" s="177">
        <f t="shared" si="113"/>
        <v>0.99731162019375774</v>
      </c>
      <c r="AG307" s="799">
        <f t="shared" si="119"/>
        <v>-1</v>
      </c>
      <c r="AH307" s="176">
        <f t="shared" si="114"/>
        <v>5</v>
      </c>
      <c r="AI307" s="224">
        <f t="shared" si="115"/>
        <v>-2.6883798062423137E-3</v>
      </c>
      <c r="AJ307" s="264" t="b">
        <f t="shared" si="116"/>
        <v>1</v>
      </c>
      <c r="AK307" s="264" t="b">
        <f t="shared" si="117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18"/>
        <v>44490</v>
      </c>
      <c r="B308" s="607">
        <v>7.99</v>
      </c>
      <c r="C308" s="388"/>
      <c r="D308" s="391">
        <f t="shared" si="98"/>
        <v>8.1469464604729023</v>
      </c>
      <c r="E308" s="383">
        <f t="shared" si="120"/>
        <v>8.5741822150734848</v>
      </c>
      <c r="F308" s="383">
        <f t="shared" si="99"/>
        <v>8.5741822150734848</v>
      </c>
      <c r="G308" s="110">
        <f t="shared" si="121"/>
        <v>0.21933818757650889</v>
      </c>
      <c r="H308" s="412" t="b">
        <f>Wh_hp&gt;='2020'!Maxi_hp</f>
        <v>0</v>
      </c>
      <c r="I308" s="379">
        <f>IF(H308,Wh_hp,'2020'!Maxi_hp)</f>
        <v>22.202361362008595</v>
      </c>
      <c r="J308" s="85">
        <f>IF(H308,An,'2020'!An_max)</f>
        <v>2018</v>
      </c>
      <c r="K308" s="197">
        <f t="shared" si="100"/>
        <v>44490</v>
      </c>
      <c r="L308" s="147">
        <f>IF(t&lt;Tvie,1-EXP((T0-t)*PertePVj)+'2020'!Pspv,1-EXP((T0-t)*PertePVj)+Pspv)</f>
        <v>1.9264452176575575E-2</v>
      </c>
      <c r="M308" s="832"/>
      <c r="N308" s="832"/>
      <c r="O308" s="48">
        <f>IF(t&lt;Tnet,'2020'!Resal+('2020'!Salim-'2020'!Resal)*(1-EXP(('2020'!Tnet-t)/('2020'!Tau_j))),Resal+(Salim-Resal)*(1-EXP((Tnet-t)/(Tau_j))))*Salcycl</f>
        <v>4.9828163652680411E-2</v>
      </c>
      <c r="P308" s="169">
        <f>(INDEX(Models!$BJ308:$BT308,,T308)*(1-R308)+INDEX(Models!$BJ308:$BT308,,T308+1)*R308-ERP_i)*Q308*Ramure*Pc/MaxiM</f>
        <v>8.964010302218035E-3</v>
      </c>
      <c r="Q308" s="304">
        <f t="shared" si="101"/>
        <v>0.7</v>
      </c>
      <c r="R308" s="177">
        <f t="shared" si="102"/>
        <v>0.93304987889015378</v>
      </c>
      <c r="S308" s="799">
        <f t="shared" si="103"/>
        <v>-1</v>
      </c>
      <c r="T308" s="176">
        <f t="shared" si="104"/>
        <v>5</v>
      </c>
      <c r="U308" s="250">
        <f t="shared" si="105"/>
        <v>-6.6950121109846217E-2</v>
      </c>
      <c r="V308" s="382">
        <f t="shared" si="106"/>
        <v>36.10122635358794</v>
      </c>
      <c r="W308" s="400"/>
      <c r="X308" s="157">
        <f t="shared" si="107"/>
        <v>44490</v>
      </c>
      <c r="Y308" s="383">
        <f t="shared" si="108"/>
        <v>7.99</v>
      </c>
      <c r="Z308" s="383">
        <f t="shared" si="109"/>
        <v>8.1469464604729023</v>
      </c>
      <c r="AA308" s="384">
        <f t="shared" si="110"/>
        <v>8.5741822150734848</v>
      </c>
      <c r="AB308" s="197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4.9828163652680411E-2</v>
      </c>
      <c r="AD308" s="230">
        <f>(INDEX(Models!$BJ308:$BT308,,AH308)*(1-AF308)+INDEX(Models!$BJ308:$BT308,,AH308+1)*AF308-ERP_i)*AE308*Ramure*Pc/MaxiM</f>
        <v>9.5316986878255395E-3</v>
      </c>
      <c r="AE308" s="304">
        <f t="shared" si="112"/>
        <v>0.7</v>
      </c>
      <c r="AF308" s="177">
        <f t="shared" si="113"/>
        <v>0.99738210114998593</v>
      </c>
      <c r="AG308" s="799">
        <f t="shared" si="119"/>
        <v>-1</v>
      </c>
      <c r="AH308" s="176">
        <f t="shared" si="114"/>
        <v>5</v>
      </c>
      <c r="AI308" s="224">
        <f t="shared" si="115"/>
        <v>-2.6178988500140665E-3</v>
      </c>
      <c r="AJ308" s="264" t="b">
        <f t="shared" si="116"/>
        <v>1</v>
      </c>
      <c r="AK308" s="264" t="b">
        <f t="shared" si="117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18"/>
        <v>44491</v>
      </c>
      <c r="B309" s="607">
        <v>16.463999999999999</v>
      </c>
      <c r="C309" s="388"/>
      <c r="D309" s="391">
        <f t="shared" si="98"/>
        <v>16.787721798593775</v>
      </c>
      <c r="E309" s="383">
        <f t="shared" si="120"/>
        <v>17.668045453139719</v>
      </c>
      <c r="F309" s="383">
        <f t="shared" si="99"/>
        <v>17.707058798172501</v>
      </c>
      <c r="G309" s="110">
        <f t="shared" si="121"/>
        <v>0.45640204843133741</v>
      </c>
      <c r="H309" s="412" t="b">
        <f>Wh_hp&gt;='2020'!Maxi_hp</f>
        <v>0</v>
      </c>
      <c r="I309" s="379">
        <f>IF(H309,Wh_hp,'2020'!Maxi_hp)</f>
        <v>26.35138316863285</v>
      </c>
      <c r="J309" s="85">
        <f>IF(H309,An,'2020'!An_max)</f>
        <v>2020</v>
      </c>
      <c r="K309" s="197">
        <f t="shared" si="100"/>
        <v>44491</v>
      </c>
      <c r="L309" s="147">
        <f>IF(t&lt;Tvie,1-EXP((T0-t)*PertePVj)+'2020'!Pspv,1-EXP((T0-t)*PertePVj)+Pspv)</f>
        <v>1.9283247749607879E-2</v>
      </c>
      <c r="M309" s="832"/>
      <c r="N309" s="832"/>
      <c r="O309" s="48">
        <f>IF(t&lt;Tnet,'2020'!Resal+('2020'!Salim-'2020'!Resal)*(1-EXP(('2020'!Tnet-t)/('2020'!Tau_j))),Resal+(Salim-Resal)*(1-EXP((Tnet-t)/(Tau_j))))*Salcycl</f>
        <v>4.9825752196573848E-2</v>
      </c>
      <c r="P309" s="169">
        <f>(INDEX(Models!$BJ309:$BT309,,T309)*(1-R309)+INDEX(Models!$BJ309:$BT309,,T309+1)*R309-ERP_i)*Q309*Ramure*Pc/MaxiM</f>
        <v>9.6493228412749162E-3</v>
      </c>
      <c r="Q309" s="304">
        <f t="shared" si="101"/>
        <v>0.7</v>
      </c>
      <c r="R309" s="177">
        <f t="shared" si="102"/>
        <v>0.93311754550283044</v>
      </c>
      <c r="S309" s="799">
        <f t="shared" si="103"/>
        <v>-1</v>
      </c>
      <c r="T309" s="176">
        <f t="shared" si="104"/>
        <v>5</v>
      </c>
      <c r="U309" s="250">
        <f t="shared" si="105"/>
        <v>-6.6882454497169508E-2</v>
      </c>
      <c r="V309" s="382">
        <f t="shared" si="106"/>
        <v>35.804259562331531</v>
      </c>
      <c r="W309" s="400"/>
      <c r="X309" s="157">
        <f t="shared" si="107"/>
        <v>44491</v>
      </c>
      <c r="Y309" s="383">
        <f t="shared" si="108"/>
        <v>16.461706397872529</v>
      </c>
      <c r="Z309" s="383">
        <f t="shared" si="109"/>
        <v>16.785383098737565</v>
      </c>
      <c r="AA309" s="384">
        <f t="shared" si="110"/>
        <v>17.665584115272882</v>
      </c>
      <c r="AB309" s="197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4.9825752196573848E-2</v>
      </c>
      <c r="AD309" s="230">
        <f>(INDEX(Models!$BJ309:$BT309,,AH309)*(1-AF309)+INDEX(Models!$BJ309:$BT309,,AH309+1)*AF309-ERP_i)*AE309*Ramure*Pc/MaxiM</f>
        <v>1.0258095139025364E-2</v>
      </c>
      <c r="AE309" s="304">
        <f t="shared" si="112"/>
        <v>0.7</v>
      </c>
      <c r="AF309" s="177">
        <f t="shared" si="113"/>
        <v>0.99744976776266259</v>
      </c>
      <c r="AG309" s="799">
        <f t="shared" si="119"/>
        <v>-1</v>
      </c>
      <c r="AH309" s="176">
        <f t="shared" si="114"/>
        <v>5</v>
      </c>
      <c r="AI309" s="224">
        <f t="shared" si="115"/>
        <v>-2.5502322373373576E-3</v>
      </c>
      <c r="AJ309" s="264" t="b">
        <f t="shared" si="116"/>
        <v>1</v>
      </c>
      <c r="AK309" s="264" t="b">
        <f t="shared" si="117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18"/>
        <v>44492</v>
      </c>
      <c r="B310" s="607">
        <v>32.271000000000001</v>
      </c>
      <c r="C310" s="388"/>
      <c r="D310" s="391">
        <f t="shared" si="98"/>
        <v>32.906156037565424</v>
      </c>
      <c r="E310" s="383">
        <f t="shared" si="120"/>
        <v>34.631599701046341</v>
      </c>
      <c r="F310" s="383">
        <f t="shared" si="99"/>
        <v>34.945512770955865</v>
      </c>
      <c r="G310" s="110">
        <f t="shared" si="121"/>
        <v>0.90758761582087788</v>
      </c>
      <c r="H310" s="412" t="b">
        <f>Wh_hp&gt;='2020'!Maxi_hp</f>
        <v>1</v>
      </c>
      <c r="I310" s="379">
        <f>IF(H310,Wh_hp,'2020'!Maxi_hp)</f>
        <v>34.945512770955865</v>
      </c>
      <c r="J310" s="85">
        <f>IF(H310,An,'2020'!An_max)</f>
        <v>2021</v>
      </c>
      <c r="K310" s="197">
        <f t="shared" si="100"/>
        <v>44492</v>
      </c>
      <c r="L310" s="147">
        <f>IF(t&lt;Tvie,1-EXP((T0-t)*PertePVj)+'2020'!Pspv,1-EXP((T0-t)*PertePVj)+Pspv)</f>
        <v>1.9302042962427324E-2</v>
      </c>
      <c r="M310" s="832"/>
      <c r="N310" s="832"/>
      <c r="O310" s="48">
        <f>IF(t&lt;Tnet,'2020'!Resal+('2020'!Salim-'2020'!Resal)*(1-EXP(('2020'!Tnet-t)/('2020'!Tau_j))),Resal+(Salim-Resal)*(1-EXP((Tnet-t)/(Tau_j))))*Salcycl</f>
        <v>4.9822811489380468E-2</v>
      </c>
      <c r="P310" s="169">
        <f>(INDEX(Models!$BJ310:$BT310,,T310)*(1-R310)+INDEX(Models!$BJ310:$BT310,,T310+1)*R310-ERP_i)*Q310*Ramure*Pc/MaxiM</f>
        <v>1.0328235995557032E-2</v>
      </c>
      <c r="Q310" s="304">
        <f t="shared" si="101"/>
        <v>0.7</v>
      </c>
      <c r="R310" s="177">
        <f t="shared" si="102"/>
        <v>0.93318250924828794</v>
      </c>
      <c r="S310" s="799">
        <f t="shared" si="103"/>
        <v>-1</v>
      </c>
      <c r="T310" s="176">
        <f t="shared" si="104"/>
        <v>5</v>
      </c>
      <c r="U310" s="250">
        <f t="shared" si="105"/>
        <v>-6.6817490751712061E-2</v>
      </c>
      <c r="V310" s="382">
        <f t="shared" si="106"/>
        <v>35.508629163533776</v>
      </c>
      <c r="W310" s="400"/>
      <c r="X310" s="157">
        <f t="shared" si="107"/>
        <v>44492</v>
      </c>
      <c r="Y310" s="383">
        <f t="shared" si="108"/>
        <v>32.252617894933806</v>
      </c>
      <c r="Z310" s="383">
        <f t="shared" si="109"/>
        <v>32.887412136923764</v>
      </c>
      <c r="AA310" s="384">
        <f t="shared" si="110"/>
        <v>34.611872958636283</v>
      </c>
      <c r="AB310" s="197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4.9822811489380468E-2</v>
      </c>
      <c r="AD310" s="230">
        <f>(INDEX(Models!$BJ310:$BT310,,AH310)*(1-AF310)+INDEX(Models!$BJ310:$BT310,,AH310+1)*AF310-ERP_i)*AE310*Ramure*Pc/MaxiM</f>
        <v>1.0977276989910727E-2</v>
      </c>
      <c r="AE310" s="304">
        <f t="shared" si="112"/>
        <v>0.7</v>
      </c>
      <c r="AF310" s="177">
        <f t="shared" si="113"/>
        <v>0.99751473150812009</v>
      </c>
      <c r="AG310" s="799">
        <f t="shared" si="119"/>
        <v>-1</v>
      </c>
      <c r="AH310" s="176">
        <f t="shared" si="114"/>
        <v>5</v>
      </c>
      <c r="AI310" s="224">
        <f t="shared" si="115"/>
        <v>-2.4852684918799106E-3</v>
      </c>
      <c r="AJ310" s="264" t="b">
        <f t="shared" si="116"/>
        <v>1</v>
      </c>
      <c r="AK310" s="264" t="b">
        <f t="shared" si="117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18"/>
        <v>44493</v>
      </c>
      <c r="B311" s="607">
        <v>36.061999999999998</v>
      </c>
      <c r="C311" s="388"/>
      <c r="D311" s="391">
        <f t="shared" si="98"/>
        <v>36.772475026035671</v>
      </c>
      <c r="E311" s="383">
        <f t="shared" si="120"/>
        <v>38.700510339803223</v>
      </c>
      <c r="F311" s="383">
        <f t="shared" si="99"/>
        <v>39.130239680184168</v>
      </c>
      <c r="G311" s="110">
        <f t="shared" si="121"/>
        <v>1.0240437096506543</v>
      </c>
      <c r="H311" s="412" t="b">
        <f>Wh_hp&gt;='2020'!Maxi_hp</f>
        <v>1</v>
      </c>
      <c r="I311" s="379">
        <f>IF(H311,Wh_hp,'2020'!Maxi_hp)</f>
        <v>39.130239680184168</v>
      </c>
      <c r="J311" s="85">
        <f>IF(H311,An,'2020'!An_max)</f>
        <v>2021</v>
      </c>
      <c r="K311" s="197">
        <f t="shared" si="100"/>
        <v>44493</v>
      </c>
      <c r="L311" s="147">
        <f>IF(t&lt;Tvie,1-EXP((T0-t)*PertePVj)+'2020'!Pspv,1-EXP((T0-t)*PertePVj)+Pspv)</f>
        <v>1.9320837815040792E-2</v>
      </c>
      <c r="M311" s="832"/>
      <c r="N311" s="832"/>
      <c r="O311" s="48">
        <f>IF(t&lt;Tnet,'2020'!Resal+('2020'!Salim-'2020'!Resal)*(1-EXP(('2020'!Tnet-t)/('2020'!Tau_j))),Resal+(Salim-Resal)*(1-EXP((Tnet-t)/(Tau_j))))*Salcycl</f>
        <v>4.9819376975620389E-2</v>
      </c>
      <c r="P311" s="169">
        <f>(INDEX(Models!$BJ311:$BT311,,T311)*(1-R311)+INDEX(Models!$BJ311:$BT311,,T311+1)*R311-ERP_i)*Q311*Ramure*Pc/MaxiM</f>
        <v>1.0982026787803242E-2</v>
      </c>
      <c r="Q311" s="304">
        <f t="shared" si="101"/>
        <v>0.7</v>
      </c>
      <c r="R311" s="177">
        <f t="shared" si="102"/>
        <v>0.93324487725820204</v>
      </c>
      <c r="S311" s="799">
        <f t="shared" si="103"/>
        <v>-1</v>
      </c>
      <c r="T311" s="176">
        <f t="shared" si="104"/>
        <v>5</v>
      </c>
      <c r="U311" s="250">
        <f t="shared" si="105"/>
        <v>-6.6755122741797901E-2</v>
      </c>
      <c r="V311" s="382">
        <f t="shared" si="106"/>
        <v>35.215293702943903</v>
      </c>
      <c r="W311" s="400"/>
      <c r="X311" s="157">
        <f t="shared" si="107"/>
        <v>44493</v>
      </c>
      <c r="Y311" s="383">
        <f t="shared" si="108"/>
        <v>36.036931917603738</v>
      </c>
      <c r="Z311" s="383">
        <f t="shared" si="109"/>
        <v>36.746913065138685</v>
      </c>
      <c r="AA311" s="384">
        <f t="shared" si="110"/>
        <v>38.673608127447402</v>
      </c>
      <c r="AB311" s="197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4.9819376975620389E-2</v>
      </c>
      <c r="AD311" s="230">
        <f>(INDEX(Models!$BJ311:$BT311,,AH311)*(1-AF311)+INDEX(Models!$BJ311:$BT311,,AH311+1)*AF311-ERP_i)*AE311*Ramure*Pc/MaxiM</f>
        <v>1.1669531198093035E-2</v>
      </c>
      <c r="AE311" s="304">
        <f t="shared" si="112"/>
        <v>0.7</v>
      </c>
      <c r="AF311" s="177">
        <f t="shared" si="113"/>
        <v>0.99757709951803419</v>
      </c>
      <c r="AG311" s="799">
        <f t="shared" si="119"/>
        <v>-1</v>
      </c>
      <c r="AH311" s="176">
        <f t="shared" si="114"/>
        <v>5</v>
      </c>
      <c r="AI311" s="224">
        <f t="shared" si="115"/>
        <v>-2.4229004819657507E-3</v>
      </c>
      <c r="AJ311" s="264" t="b">
        <f t="shared" si="116"/>
        <v>1</v>
      </c>
      <c r="AK311" s="264" t="b">
        <f t="shared" si="117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18"/>
        <v>44494</v>
      </c>
      <c r="B312" s="607">
        <v>33.776000000000003</v>
      </c>
      <c r="C312" s="388"/>
      <c r="D312" s="391">
        <f t="shared" si="98"/>
        <v>34.44209750157804</v>
      </c>
      <c r="E312" s="383">
        <f t="shared" si="120"/>
        <v>36.247799251394923</v>
      </c>
      <c r="F312" s="383">
        <f t="shared" si="99"/>
        <v>36.653360755544639</v>
      </c>
      <c r="G312" s="110">
        <f t="shared" si="121"/>
        <v>0.96658010769644354</v>
      </c>
      <c r="H312" s="412" t="b">
        <f>Wh_hp&gt;='2020'!Maxi_hp</f>
        <v>1</v>
      </c>
      <c r="I312" s="379">
        <f>IF(H312,Wh_hp,'2020'!Maxi_hp)</f>
        <v>36.653360755544639</v>
      </c>
      <c r="J312" s="85">
        <f>IF(H312,An,'2020'!An_max)</f>
        <v>2021</v>
      </c>
      <c r="K312" s="197">
        <f t="shared" si="100"/>
        <v>44494</v>
      </c>
      <c r="L312" s="147">
        <f>IF(t&lt;Tvie,1-EXP((T0-t)*PertePVj)+'2020'!Pspv,1-EXP((T0-t)*PertePVj)+Pspv)</f>
        <v>1.9339632307455168E-2</v>
      </c>
      <c r="M312" s="832"/>
      <c r="N312" s="832"/>
      <c r="O312" s="48">
        <f>IF(t&lt;Tnet,'2020'!Resal+('2020'!Salim-'2020'!Resal)*(1-EXP(('2020'!Tnet-t)/('2020'!Tau_j))),Resal+(Salim-Resal)*(1-EXP((Tnet-t)/(Tau_j))))*Salcycl</f>
        <v>4.9815486377352919E-2</v>
      </c>
      <c r="P312" s="169">
        <f>(INDEX(Models!$BJ312:$BT312,,T312)*(1-R312)+INDEX(Models!$BJ312:$BT312,,T312+1)*R312-ERP_i)*Q312*Ramure*Pc/MaxiM</f>
        <v>1.1610240493834169E-2</v>
      </c>
      <c r="Q312" s="304">
        <f t="shared" si="101"/>
        <v>0.7</v>
      </c>
      <c r="R312" s="177">
        <f t="shared" si="102"/>
        <v>0.93330475248332867</v>
      </c>
      <c r="S312" s="799">
        <f t="shared" si="103"/>
        <v>-1</v>
      </c>
      <c r="T312" s="176">
        <f t="shared" si="104"/>
        <v>5</v>
      </c>
      <c r="U312" s="250">
        <f t="shared" si="105"/>
        <v>-6.669524751667133E-2</v>
      </c>
      <c r="V312" s="382">
        <f t="shared" si="106"/>
        <v>34.924545050318947</v>
      </c>
      <c r="W312" s="400"/>
      <c r="X312" s="157">
        <f t="shared" si="107"/>
        <v>44494</v>
      </c>
      <c r="Y312" s="383">
        <f t="shared" si="108"/>
        <v>33.752430005733466</v>
      </c>
      <c r="Z312" s="383">
        <f t="shared" si="109"/>
        <v>34.418062682752847</v>
      </c>
      <c r="AA312" s="384">
        <f t="shared" si="110"/>
        <v>36.22250435500311</v>
      </c>
      <c r="AB312" s="197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4.9815486377352919E-2</v>
      </c>
      <c r="AD312" s="230">
        <f>(INDEX(Models!$BJ312:$BT312,,AH312)*(1-AF312)+INDEX(Models!$BJ312:$BT312,,AH312+1)*AF312-ERP_i)*AE312*Ramure*Pc/MaxiM</f>
        <v>1.2334371919944947E-2</v>
      </c>
      <c r="AE312" s="304">
        <f t="shared" si="112"/>
        <v>0.7</v>
      </c>
      <c r="AF312" s="177">
        <f t="shared" si="113"/>
        <v>0.99763697474316082</v>
      </c>
      <c r="AG312" s="799">
        <f t="shared" si="119"/>
        <v>-1</v>
      </c>
      <c r="AH312" s="176">
        <f t="shared" si="114"/>
        <v>5</v>
      </c>
      <c r="AI312" s="224">
        <f t="shared" si="115"/>
        <v>-2.3630252568391796E-3</v>
      </c>
      <c r="AJ312" s="264" t="b">
        <f t="shared" si="116"/>
        <v>1</v>
      </c>
      <c r="AK312" s="264" t="b">
        <f t="shared" si="117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18"/>
        <v>44495</v>
      </c>
      <c r="B313" s="607">
        <v>26.986000000000001</v>
      </c>
      <c r="C313" s="388"/>
      <c r="D313" s="391">
        <f t="shared" si="98"/>
        <v>27.518719099399878</v>
      </c>
      <c r="E313" s="383">
        <f t="shared" si="120"/>
        <v>28.961316433065328</v>
      </c>
      <c r="F313" s="383">
        <f t="shared" si="99"/>
        <v>29.20543733146727</v>
      </c>
      <c r="G313" s="110">
        <f t="shared" si="121"/>
        <v>0.7760886101002531</v>
      </c>
      <c r="H313" s="412" t="b">
        <f>Wh_hp&gt;='2020'!Maxi_hp</f>
        <v>0</v>
      </c>
      <c r="I313" s="379">
        <f>IF(H313,Wh_hp,'2020'!Maxi_hp)</f>
        <v>37.378397618671073</v>
      </c>
      <c r="J313" s="85">
        <f>IF(H313,An,'2020'!An_max)</f>
        <v>2018</v>
      </c>
      <c r="K313" s="197">
        <f t="shared" si="100"/>
        <v>44495</v>
      </c>
      <c r="L313" s="147">
        <f>IF(t&lt;Tvie,1-EXP((T0-t)*PertePVj)+'2020'!Pspv,1-EXP((T0-t)*PertePVj)+Pspv)</f>
        <v>1.9358426439677334E-2</v>
      </c>
      <c r="M313" s="832"/>
      <c r="N313" s="832"/>
      <c r="O313" s="48">
        <f>IF(t&lt;Tnet,'2020'!Resal+('2020'!Salim-'2020'!Resal)*(1-EXP(('2020'!Tnet-t)/('2020'!Tau_j))),Resal+(Salim-Resal)*(1-EXP((Tnet-t)/(Tau_j))))*Salcycl</f>
        <v>4.9811179578094993E-2</v>
      </c>
      <c r="P313" s="169">
        <f>(INDEX(Models!$BJ313:$BT313,,T313)*(1-R313)+INDEX(Models!$BJ313:$BT313,,T313+1)*R313-ERP_i)*Q313*Ramure*Pc/MaxiM</f>
        <v>1.2212324557994954E-2</v>
      </c>
      <c r="Q313" s="304">
        <f t="shared" si="101"/>
        <v>0.7</v>
      </c>
      <c r="R313" s="177">
        <f t="shared" si="102"/>
        <v>0.93336223385151218</v>
      </c>
      <c r="S313" s="799">
        <f t="shared" si="103"/>
        <v>-1</v>
      </c>
      <c r="T313" s="176">
        <f t="shared" si="104"/>
        <v>5</v>
      </c>
      <c r="U313" s="250">
        <f t="shared" si="105"/>
        <v>-6.6637766148487765E-2</v>
      </c>
      <c r="V313" s="382">
        <f t="shared" si="106"/>
        <v>34.636677390951291</v>
      </c>
      <c r="W313" s="400"/>
      <c r="X313" s="157">
        <f t="shared" si="107"/>
        <v>44495</v>
      </c>
      <c r="Y313" s="383">
        <f t="shared" si="108"/>
        <v>26.971864776392557</v>
      </c>
      <c r="Z313" s="383">
        <f t="shared" si="109"/>
        <v>27.504304838380815</v>
      </c>
      <c r="AA313" s="384">
        <f t="shared" si="110"/>
        <v>28.946146541871848</v>
      </c>
      <c r="AB313" s="197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4.9811179578094993E-2</v>
      </c>
      <c r="AD313" s="230">
        <f>(INDEX(Models!$BJ313:$BT313,,AH313)*(1-AF313)+INDEX(Models!$BJ313:$BT313,,AH313+1)*AF313-ERP_i)*AE313*Ramure*Pc/MaxiM</f>
        <v>1.2971209339990242E-2</v>
      </c>
      <c r="AE313" s="304">
        <f t="shared" si="112"/>
        <v>0.7</v>
      </c>
      <c r="AF313" s="177">
        <f t="shared" si="113"/>
        <v>0.99769445611134433</v>
      </c>
      <c r="AG313" s="799">
        <f t="shared" si="119"/>
        <v>-1</v>
      </c>
      <c r="AH313" s="176">
        <f t="shared" si="114"/>
        <v>5</v>
      </c>
      <c r="AI313" s="224">
        <f t="shared" si="115"/>
        <v>-2.3055438886556145E-3</v>
      </c>
      <c r="AJ313" s="264" t="b">
        <f t="shared" si="116"/>
        <v>1</v>
      </c>
      <c r="AK313" s="264" t="b">
        <f t="shared" si="117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18"/>
        <v>44496</v>
      </c>
      <c r="B314" s="607">
        <v>31.385000000000002</v>
      </c>
      <c r="C314" s="388"/>
      <c r="D314" s="391">
        <f t="shared" si="98"/>
        <v>32.005171251249088</v>
      </c>
      <c r="E314" s="383">
        <f t="shared" si="120"/>
        <v>33.682793242029007</v>
      </c>
      <c r="F314" s="383">
        <f t="shared" si="99"/>
        <v>34.064654173647206</v>
      </c>
      <c r="G314" s="110">
        <f t="shared" si="121"/>
        <v>0.91217201018114247</v>
      </c>
      <c r="H314" s="412" t="b">
        <f>Wh_hp&gt;='2020'!Maxi_hp</f>
        <v>1</v>
      </c>
      <c r="I314" s="379">
        <f>IF(H314,Wh_hp,'2020'!Maxi_hp)</f>
        <v>34.064654173647206</v>
      </c>
      <c r="J314" s="85">
        <f>IF(H314,An,'2020'!An_max)</f>
        <v>2021</v>
      </c>
      <c r="K314" s="197">
        <f t="shared" si="100"/>
        <v>44496</v>
      </c>
      <c r="L314" s="147">
        <f>IF(t&lt;Tvie,1-EXP((T0-t)*PertePVj)+'2020'!Pspv,1-EXP((T0-t)*PertePVj)+Pspv)</f>
        <v>1.9377220211714397E-2</v>
      </c>
      <c r="M314" s="832"/>
      <c r="N314" s="832"/>
      <c r="O314" s="48">
        <f>IF(t&lt;Tnet,'2020'!Resal+('2020'!Salim-'2020'!Resal)*(1-EXP(('2020'!Tnet-t)/('2020'!Tau_j))),Resal+(Salim-Resal)*(1-EXP((Tnet-t)/(Tau_j))))*Salcycl</f>
        <v>4.9806498490944699E-2</v>
      </c>
      <c r="P314" s="169">
        <f>(INDEX(Models!$BJ314:$BT314,,T314)*(1-R314)+INDEX(Models!$BJ314:$BT314,,T314+1)*R314-ERP_i)*Q314*Ramure*Pc/MaxiM</f>
        <v>1.2787709777807641E-2</v>
      </c>
      <c r="Q314" s="304">
        <f t="shared" si="101"/>
        <v>0.7</v>
      </c>
      <c r="R314" s="177">
        <f t="shared" si="102"/>
        <v>0.93341741642013409</v>
      </c>
      <c r="S314" s="799">
        <f t="shared" si="103"/>
        <v>-1</v>
      </c>
      <c r="T314" s="176">
        <f t="shared" si="104"/>
        <v>5</v>
      </c>
      <c r="U314" s="250">
        <f t="shared" si="105"/>
        <v>-6.6582583579865906E-2</v>
      </c>
      <c r="V314" s="382">
        <f t="shared" si="106"/>
        <v>34.351984365813749</v>
      </c>
      <c r="W314" s="400"/>
      <c r="X314" s="157">
        <f t="shared" si="107"/>
        <v>44496</v>
      </c>
      <c r="Y314" s="383">
        <f t="shared" si="108"/>
        <v>31.362970658467535</v>
      </c>
      <c r="Z314" s="383">
        <f t="shared" si="109"/>
        <v>31.982706607365103</v>
      </c>
      <c r="AA314" s="384">
        <f t="shared" si="110"/>
        <v>33.659151064042831</v>
      </c>
      <c r="AB314" s="197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4.9806498490944699E-2</v>
      </c>
      <c r="AD314" s="230">
        <f>(INDEX(Models!$BJ314:$BT314,,AH314)*(1-AF314)+INDEX(Models!$BJ314:$BT314,,AH314+1)*AF314-ERP_i)*AE314*Ramure*Pc/MaxiM</f>
        <v>1.357943599426353E-2</v>
      </c>
      <c r="AE314" s="304">
        <f t="shared" si="112"/>
        <v>0.7</v>
      </c>
      <c r="AF314" s="177">
        <f t="shared" si="113"/>
        <v>0.99774963867996624</v>
      </c>
      <c r="AG314" s="799">
        <f t="shared" si="119"/>
        <v>-1</v>
      </c>
      <c r="AH314" s="176">
        <f t="shared" si="114"/>
        <v>5</v>
      </c>
      <c r="AI314" s="224">
        <f t="shared" si="115"/>
        <v>-2.2503613200337558E-3</v>
      </c>
      <c r="AJ314" s="264" t="b">
        <f t="shared" si="116"/>
        <v>1</v>
      </c>
      <c r="AK314" s="264" t="b">
        <f t="shared" si="117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18"/>
        <v>44497</v>
      </c>
      <c r="B315" s="607">
        <v>33.356999999999999</v>
      </c>
      <c r="C315" s="388"/>
      <c r="D315" s="391">
        <f t="shared" si="98"/>
        <v>34.016790124688683</v>
      </c>
      <c r="E315" s="383">
        <f t="shared" si="120"/>
        <v>35.799666760289028</v>
      </c>
      <c r="F315" s="383">
        <f t="shared" si="99"/>
        <v>36.268866308329294</v>
      </c>
      <c r="G315" s="110">
        <f t="shared" si="121"/>
        <v>0.97865481508191388</v>
      </c>
      <c r="H315" s="412" t="b">
        <f>Wh_hp&gt;='2020'!Maxi_hp</f>
        <v>1</v>
      </c>
      <c r="I315" s="379">
        <f>IF(H315,Wh_hp,'2020'!Maxi_hp)</f>
        <v>36.268866308329294</v>
      </c>
      <c r="J315" s="85">
        <f>IF(H315,An,'2020'!An_max)</f>
        <v>2021</v>
      </c>
      <c r="K315" s="197">
        <f t="shared" si="100"/>
        <v>44497</v>
      </c>
      <c r="L315" s="147">
        <f>IF(t&lt;Tvie,1-EXP((T0-t)*PertePVj)+'2020'!Pspv,1-EXP((T0-t)*PertePVj)+Pspv)</f>
        <v>1.9396013623573016E-2</v>
      </c>
      <c r="M315" s="832"/>
      <c r="N315" s="832"/>
      <c r="O315" s="48">
        <f>IF(t&lt;Tnet,'2020'!Resal+('2020'!Salim-'2020'!Resal)*(1-EXP(('2020'!Tnet-t)/('2020'!Tau_j))),Resal+(Salim-Resal)*(1-EXP((Tnet-t)/(Tau_j))))*Salcycl</f>
        <v>4.9801486911548884E-2</v>
      </c>
      <c r="P315" s="169">
        <f>(INDEX(Models!$BJ315:$BT315,,T315)*(1-R315)+INDEX(Models!$BJ315:$BT315,,T315+1)*R315-ERP_i)*Q315*Ramure*Pc/MaxiM</f>
        <v>1.3335811662897852E-2</v>
      </c>
      <c r="Q315" s="304">
        <f t="shared" si="101"/>
        <v>0.7</v>
      </c>
      <c r="R315" s="177">
        <f t="shared" si="102"/>
        <v>0.93347039152315969</v>
      </c>
      <c r="S315" s="799">
        <f t="shared" si="103"/>
        <v>-1</v>
      </c>
      <c r="T315" s="176">
        <f t="shared" si="104"/>
        <v>5</v>
      </c>
      <c r="U315" s="250">
        <f t="shared" si="105"/>
        <v>-6.6529608476840252E-2</v>
      </c>
      <c r="V315" s="382">
        <f t="shared" si="106"/>
        <v>34.070759097823689</v>
      </c>
      <c r="W315" s="400"/>
      <c r="X315" s="157">
        <f t="shared" si="107"/>
        <v>44497</v>
      </c>
      <c r="Y315" s="383">
        <f t="shared" si="108"/>
        <v>33.330032320037354</v>
      </c>
      <c r="Z315" s="383">
        <f t="shared" si="109"/>
        <v>33.989289033180484</v>
      </c>
      <c r="AA315" s="384">
        <f t="shared" si="110"/>
        <v>35.770724290763567</v>
      </c>
      <c r="AB315" s="197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4.9801486911548884E-2</v>
      </c>
      <c r="AD315" s="230">
        <f>(INDEX(Models!$BJ315:$BT315,,AH315)*(1-AF315)+INDEX(Models!$BJ315:$BT315,,AH315+1)*AF315-ERP_i)*AE315*Ramure*Pc/MaxiM</f>
        <v>1.4158428232463842E-2</v>
      </c>
      <c r="AE315" s="304">
        <f t="shared" si="112"/>
        <v>0.7</v>
      </c>
      <c r="AF315" s="177">
        <f t="shared" si="113"/>
        <v>0.99780261378299184</v>
      </c>
      <c r="AG315" s="799">
        <f t="shared" si="119"/>
        <v>-1</v>
      </c>
      <c r="AH315" s="176">
        <f t="shared" si="114"/>
        <v>5</v>
      </c>
      <c r="AI315" s="224">
        <f t="shared" si="115"/>
        <v>-2.1973862170081015E-3</v>
      </c>
      <c r="AJ315" s="264" t="b">
        <f t="shared" si="116"/>
        <v>1</v>
      </c>
      <c r="AK315" s="264" t="b">
        <f t="shared" si="117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18"/>
        <v>44498</v>
      </c>
      <c r="B316" s="607">
        <v>18.32</v>
      </c>
      <c r="C316" s="388"/>
      <c r="D316" s="391">
        <f t="shared" si="98"/>
        <v>18.682721424626873</v>
      </c>
      <c r="E316" s="383">
        <f t="shared" si="120"/>
        <v>19.661804378199651</v>
      </c>
      <c r="F316" s="383">
        <f t="shared" si="99"/>
        <v>19.756489157415054</v>
      </c>
      <c r="G316" s="110">
        <f t="shared" si="121"/>
        <v>0.53718225997474078</v>
      </c>
      <c r="H316" s="412" t="b">
        <f>Wh_hp&gt;='2020'!Maxi_hp</f>
        <v>0</v>
      </c>
      <c r="I316" s="379">
        <f>IF(H316,Wh_hp,'2020'!Maxi_hp)</f>
        <v>29.099104002218521</v>
      </c>
      <c r="J316" s="85">
        <f>IF(H316,An,'2020'!An_max)</f>
        <v>2018</v>
      </c>
      <c r="K316" s="197">
        <f t="shared" si="100"/>
        <v>44498</v>
      </c>
      <c r="L316" s="147">
        <f>IF(t&lt;Tvie,1-EXP((T0-t)*PertePVj)+'2020'!Pspv,1-EXP((T0-t)*PertePVj)+Pspv)</f>
        <v>1.9414806675260188E-2</v>
      </c>
      <c r="M316" s="832"/>
      <c r="N316" s="832"/>
      <c r="O316" s="48">
        <f>IF(t&lt;Tnet,'2020'!Resal+('2020'!Salim-'2020'!Resal)*(1-EXP(('2020'!Tnet-t)/('2020'!Tau_j))),Resal+(Salim-Resal)*(1-EXP((Tnet-t)/(Tau_j))))*Salcycl</f>
        <v>4.9796190356687337E-2</v>
      </c>
      <c r="P316" s="169">
        <f>(INDEX(Models!$BJ316:$BT316,,T316)*(1-R316)+INDEX(Models!$BJ316:$BT316,,T316+1)*R316-ERP_i)*Q316*Ramure*Pc/MaxiM</f>
        <v>1.3856031824160623E-2</v>
      </c>
      <c r="Q316" s="304">
        <f t="shared" si="101"/>
        <v>0.7</v>
      </c>
      <c r="R316" s="177">
        <f t="shared" si="102"/>
        <v>0.93352124691294869</v>
      </c>
      <c r="S316" s="799">
        <f t="shared" si="103"/>
        <v>-1</v>
      </c>
      <c r="T316" s="176">
        <f t="shared" si="104"/>
        <v>5</v>
      </c>
      <c r="U316" s="250">
        <f t="shared" si="105"/>
        <v>-6.6478753087051312E-2</v>
      </c>
      <c r="V316" s="382">
        <f t="shared" si="106"/>
        <v>33.793294229030181</v>
      </c>
      <c r="W316" s="400"/>
      <c r="X316" s="157">
        <f t="shared" si="107"/>
        <v>44498</v>
      </c>
      <c r="Y316" s="383">
        <f t="shared" si="108"/>
        <v>18.314578291632486</v>
      </c>
      <c r="Z316" s="383">
        <f t="shared" si="109"/>
        <v>18.677192370747186</v>
      </c>
      <c r="AA316" s="384">
        <f t="shared" si="110"/>
        <v>19.655985569830779</v>
      </c>
      <c r="AB316" s="197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4.9796190356687337E-2</v>
      </c>
      <c r="AD316" s="230">
        <f>(INDEX(Models!$BJ316:$BT316,,AH316)*(1-AF316)+INDEX(Models!$BJ316:$BT316,,AH316+1)*AF316-ERP_i)*AE316*Ramure*Pc/MaxiM</f>
        <v>1.4707547713049553E-2</v>
      </c>
      <c r="AE316" s="304">
        <f t="shared" si="112"/>
        <v>0.7</v>
      </c>
      <c r="AF316" s="177">
        <f t="shared" si="113"/>
        <v>0.99785346917278084</v>
      </c>
      <c r="AG316" s="799">
        <f t="shared" si="119"/>
        <v>-1</v>
      </c>
      <c r="AH316" s="176">
        <f t="shared" si="114"/>
        <v>5</v>
      </c>
      <c r="AI316" s="224">
        <f t="shared" si="115"/>
        <v>-2.1465308272191619E-3</v>
      </c>
      <c r="AJ316" s="264" t="b">
        <f t="shared" si="116"/>
        <v>1</v>
      </c>
      <c r="AK316" s="264" t="b">
        <f t="shared" si="117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18"/>
        <v>44499</v>
      </c>
      <c r="B317" s="607">
        <v>12.508000000000001</v>
      </c>
      <c r="C317" s="388"/>
      <c r="D317" s="391">
        <f t="shared" si="98"/>
        <v>12.755892912425665</v>
      </c>
      <c r="E317" s="383">
        <f t="shared" si="120"/>
        <v>13.424297489270533</v>
      </c>
      <c r="F317" s="383">
        <f t="shared" si="99"/>
        <v>13.444457751679773</v>
      </c>
      <c r="G317" s="110">
        <f t="shared" si="121"/>
        <v>0.36835598020269295</v>
      </c>
      <c r="H317" s="412" t="b">
        <f>Wh_hp&gt;='2020'!Maxi_hp</f>
        <v>0</v>
      </c>
      <c r="I317" s="379">
        <f>IF(H317,Wh_hp,'2020'!Maxi_hp)</f>
        <v>31.493556755699309</v>
      </c>
      <c r="J317" s="85">
        <f>IF(H317,An,'2020'!An_max)</f>
        <v>2020</v>
      </c>
      <c r="K317" s="197">
        <f t="shared" si="100"/>
        <v>44499</v>
      </c>
      <c r="L317" s="147">
        <f>IF(t&lt;Tvie,1-EXP((T0-t)*PertePVj)+'2020'!Pspv,1-EXP((T0-t)*PertePVj)+Pspv)</f>
        <v>1.9433599366782794E-2</v>
      </c>
      <c r="M317" s="832"/>
      <c r="N317" s="832"/>
      <c r="O317" s="48">
        <f>IF(t&lt;Tnet,'2020'!Resal+('2020'!Salim-'2020'!Resal)*(1-EXP(('2020'!Tnet-t)/('2020'!Tau_j))),Resal+(Salim-Resal)*(1-EXP((Tnet-t)/(Tau_j))))*Salcycl</f>
        <v>4.9790655889374778E-2</v>
      </c>
      <c r="P317" s="169">
        <f>(INDEX(Models!$BJ317:$BT317,,T317)*(1-R317)+INDEX(Models!$BJ317:$BT317,,T317+1)*R317-ERP_i)*Q317*Ramure*Pc/MaxiM</f>
        <v>1.4347987248407914E-2</v>
      </c>
      <c r="Q317" s="304">
        <f t="shared" si="101"/>
        <v>0.7</v>
      </c>
      <c r="R317" s="177">
        <f t="shared" si="102"/>
        <v>0.93357006689698285</v>
      </c>
      <c r="S317" s="799">
        <f t="shared" si="103"/>
        <v>-1</v>
      </c>
      <c r="T317" s="176">
        <f t="shared" si="104"/>
        <v>5</v>
      </c>
      <c r="U317" s="250">
        <f t="shared" si="105"/>
        <v>-6.6429933103017147E-2</v>
      </c>
      <c r="V317" s="382">
        <f t="shared" si="106"/>
        <v>33.519341925545099</v>
      </c>
      <c r="W317" s="400"/>
      <c r="X317" s="157">
        <f t="shared" si="107"/>
        <v>44499</v>
      </c>
      <c r="Y317" s="383">
        <f t="shared" si="108"/>
        <v>12.506850013906877</v>
      </c>
      <c r="Z317" s="383">
        <f t="shared" si="109"/>
        <v>12.754720135046815</v>
      </c>
      <c r="AA317" s="384">
        <f t="shared" si="110"/>
        <v>13.423063258744261</v>
      </c>
      <c r="AB317" s="197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4.9790655889374778E-2</v>
      </c>
      <c r="AD317" s="230">
        <f>(INDEX(Models!$BJ317:$BT317,,AH317)*(1-AF317)+INDEX(Models!$BJ317:$BT317,,AH317+1)*AF317-ERP_i)*AE317*Ramure*Pc/MaxiM</f>
        <v>1.5226384736151569E-2</v>
      </c>
      <c r="AE317" s="304">
        <f t="shared" si="112"/>
        <v>0.7</v>
      </c>
      <c r="AF317" s="177">
        <f t="shared" si="113"/>
        <v>0.997902289156815</v>
      </c>
      <c r="AG317" s="799">
        <f t="shared" si="119"/>
        <v>-1</v>
      </c>
      <c r="AH317" s="176">
        <f t="shared" si="114"/>
        <v>5</v>
      </c>
      <c r="AI317" s="224">
        <f t="shared" si="115"/>
        <v>-2.0977108431849967E-3</v>
      </c>
      <c r="AJ317" s="264" t="b">
        <f t="shared" si="116"/>
        <v>1</v>
      </c>
      <c r="AK317" s="264" t="b">
        <f t="shared" si="117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18"/>
        <v>44500</v>
      </c>
      <c r="B318" s="607">
        <v>19.205000000000002</v>
      </c>
      <c r="C318" s="388"/>
      <c r="D318" s="391">
        <f t="shared" si="98"/>
        <v>19.585994435558224</v>
      </c>
      <c r="E318" s="383">
        <f t="shared" si="120"/>
        <v>20.612169911566131</v>
      </c>
      <c r="F318" s="383">
        <f t="shared" si="99"/>
        <v>20.733727345834566</v>
      </c>
      <c r="G318" s="110">
        <f t="shared" si="121"/>
        <v>0.57242263705421936</v>
      </c>
      <c r="H318" s="412" t="b">
        <f>Wh_hp&gt;='2020'!Maxi_hp</f>
        <v>0</v>
      </c>
      <c r="I318" s="379">
        <f>IF(H318,Wh_hp,'2020'!Maxi_hp)</f>
        <v>35.545081569193108</v>
      </c>
      <c r="J318" s="85">
        <f>IF(H318,An,'2020'!An_max)</f>
        <v>2020</v>
      </c>
      <c r="K318" s="197">
        <f t="shared" si="100"/>
        <v>44500</v>
      </c>
      <c r="L318" s="147">
        <f>IF(t&lt;Tvie,1-EXP((T0-t)*PertePVj)+'2020'!Pspv,1-EXP((T0-t)*PertePVj)+Pspv)</f>
        <v>1.9452391698147831E-2</v>
      </c>
      <c r="M318" s="832"/>
      <c r="N318" s="832"/>
      <c r="O318" s="48">
        <f>IF(t&lt;Tnet,'2020'!Resal+('2020'!Salim-'2020'!Resal)*(1-EXP(('2020'!Tnet-t)/('2020'!Tau_j))),Resal+(Salim-Resal)*(1-EXP((Tnet-t)/(Tau_j))))*Salcycl</f>
        <v>4.9784931931503629E-2</v>
      </c>
      <c r="P318" s="169">
        <f>(INDEX(Models!$BJ318:$BT318,,T318)*(1-R318)+INDEX(Models!$BJ318:$BT318,,T318+1)*R318-ERP_i)*Q318*Ramure*Pc/MaxiM</f>
        <v>1.4783386799377705E-2</v>
      </c>
      <c r="Q318" s="304">
        <f t="shared" si="101"/>
        <v>0.7</v>
      </c>
      <c r="R318" s="177">
        <f t="shared" si="102"/>
        <v>0.93361693246967148</v>
      </c>
      <c r="S318" s="799">
        <f t="shared" si="103"/>
        <v>-1</v>
      </c>
      <c r="T318" s="176">
        <f t="shared" si="104"/>
        <v>5</v>
      </c>
      <c r="U318" s="250">
        <f t="shared" si="105"/>
        <v>-6.6383067530328466E-2</v>
      </c>
      <c r="V318" s="382">
        <f t="shared" si="106"/>
        <v>33.249330684438789</v>
      </c>
      <c r="W318" s="400"/>
      <c r="X318" s="157">
        <f t="shared" si="107"/>
        <v>44500</v>
      </c>
      <c r="Y318" s="383">
        <f t="shared" si="108"/>
        <v>19.198092699425992</v>
      </c>
      <c r="Z318" s="383">
        <f t="shared" si="109"/>
        <v>19.578950105924935</v>
      </c>
      <c r="AA318" s="384">
        <f t="shared" si="110"/>
        <v>20.604756506043518</v>
      </c>
      <c r="AB318" s="197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4.9784931931503629E-2</v>
      </c>
      <c r="AD318" s="230">
        <f>(INDEX(Models!$BJ318:$BT318,,AH318)*(1-AF318)+INDEX(Models!$BJ318:$BT318,,AH318+1)*AF318-ERP_i)*AE318*Ramure*Pc/MaxiM</f>
        <v>1.5684979054931485E-2</v>
      </c>
      <c r="AE318" s="304">
        <f t="shared" si="112"/>
        <v>0.7</v>
      </c>
      <c r="AF318" s="177">
        <f t="shared" si="113"/>
        <v>0.99794915472950363</v>
      </c>
      <c r="AG318" s="799">
        <f t="shared" si="119"/>
        <v>-1</v>
      </c>
      <c r="AH318" s="176">
        <f t="shared" si="114"/>
        <v>5</v>
      </c>
      <c r="AI318" s="224">
        <f t="shared" si="115"/>
        <v>-2.0508452704963154E-3</v>
      </c>
      <c r="AJ318" s="264" t="b">
        <f t="shared" si="116"/>
        <v>1</v>
      </c>
      <c r="AK318" s="264" t="b">
        <f t="shared" si="117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18"/>
        <v>44501</v>
      </c>
      <c r="B319" s="607">
        <v>14.975</v>
      </c>
      <c r="C319" s="388"/>
      <c r="D319" s="391">
        <f t="shared" si="98"/>
        <v>15.272371143603774</v>
      </c>
      <c r="E319" s="383">
        <f t="shared" si="120"/>
        <v>16.072442345072584</v>
      </c>
      <c r="F319" s="383">
        <f t="shared" si="99"/>
        <v>16.12625682660045</v>
      </c>
      <c r="G319" s="110">
        <f t="shared" si="121"/>
        <v>0.44863338235926503</v>
      </c>
      <c r="H319" s="412" t="b">
        <f>Wh_hp&gt;='2020'!Maxi_hp</f>
        <v>0</v>
      </c>
      <c r="I319" s="379">
        <f>IF(H319,Wh_hp,'2020'!Maxi_hp)</f>
        <v>28.832623963315033</v>
      </c>
      <c r="J319" s="85">
        <f>IF(H319,An,'2020'!An_max)</f>
        <v>2020</v>
      </c>
      <c r="K319" s="197">
        <f t="shared" si="100"/>
        <v>44501</v>
      </c>
      <c r="L319" s="147">
        <f>IF(t&lt;Tvie,1-EXP((T0-t)*PertePVj)+'2020'!Pspv,1-EXP((T0-t)*PertePVj)+Pspv)</f>
        <v>1.9471183669362069E-2</v>
      </c>
      <c r="M319" s="832"/>
      <c r="N319" s="832"/>
      <c r="O319" s="48">
        <f>IF(t&lt;Tnet,'2020'!Resal+('2020'!Salim-'2020'!Resal)*(1-EXP(('2020'!Tnet-t)/('2020'!Tau_j))),Resal+(Salim-Resal)*(1-EXP((Tnet-t)/(Tau_j))))*Salcycl</f>
        <v>4.9779068065165119E-2</v>
      </c>
      <c r="P319" s="169">
        <f>(INDEX(Models!$BJ319:$BT319,,T319)*(1-R319)+INDEX(Models!$BJ319:$BT319,,T319+1)*R319-ERP_i)*Q319*Ramure*Pc/MaxiM</f>
        <v>1.5166331988358088E-2</v>
      </c>
      <c r="Q319" s="304">
        <f t="shared" si="101"/>
        <v>0.7</v>
      </c>
      <c r="R319" s="177">
        <f t="shared" si="102"/>
        <v>0.93366192143938487</v>
      </c>
      <c r="S319" s="799">
        <f t="shared" si="103"/>
        <v>-1</v>
      </c>
      <c r="T319" s="176">
        <f t="shared" si="104"/>
        <v>5</v>
      </c>
      <c r="U319" s="250">
        <f t="shared" si="105"/>
        <v>-6.6338078560615077E-2</v>
      </c>
      <c r="V319" s="382">
        <f t="shared" si="106"/>
        <v>32.982975177564867</v>
      </c>
      <c r="W319" s="400"/>
      <c r="X319" s="157">
        <f t="shared" si="107"/>
        <v>44501</v>
      </c>
      <c r="Y319" s="383">
        <f t="shared" si="108"/>
        <v>14.971953175498307</v>
      </c>
      <c r="Z319" s="383">
        <f t="shared" si="109"/>
        <v>15.269263815750733</v>
      </c>
      <c r="AA319" s="384">
        <f t="shared" si="110"/>
        <v>16.069172234145103</v>
      </c>
      <c r="AB319" s="197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4.9779068065165119E-2</v>
      </c>
      <c r="AD319" s="230">
        <f>(INDEX(Models!$BJ319:$BT319,,AH319)*(1-AF319)+INDEX(Models!$BJ319:$BT319,,AH319+1)*AF319-ERP_i)*AE319*Ramure*Pc/MaxiM</f>
        <v>1.6087934994776978E-2</v>
      </c>
      <c r="AE319" s="304">
        <f t="shared" si="112"/>
        <v>0.7</v>
      </c>
      <c r="AF319" s="177">
        <f t="shared" si="113"/>
        <v>0.99799414369921702</v>
      </c>
      <c r="AG319" s="799">
        <f t="shared" si="119"/>
        <v>-1</v>
      </c>
      <c r="AH319" s="176">
        <f t="shared" si="114"/>
        <v>5</v>
      </c>
      <c r="AI319" s="224">
        <f t="shared" si="115"/>
        <v>-2.0058563007829266E-3</v>
      </c>
      <c r="AJ319" s="264" t="b">
        <f t="shared" si="116"/>
        <v>0</v>
      </c>
      <c r="AK319" s="264" t="b">
        <f t="shared" si="117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18"/>
        <v>44502</v>
      </c>
      <c r="B320" s="607">
        <v>25.716000000000001</v>
      </c>
      <c r="C320" s="388"/>
      <c r="D320" s="391">
        <f t="shared" si="98"/>
        <v>26.227166833255939</v>
      </c>
      <c r="E320" s="383">
        <f t="shared" si="120"/>
        <v>27.60752572061185</v>
      </c>
      <c r="F320" s="383">
        <f t="shared" si="99"/>
        <v>27.907855771812947</v>
      </c>
      <c r="G320" s="110">
        <f t="shared" si="121"/>
        <v>0.78236228345260672</v>
      </c>
      <c r="H320" s="412" t="b">
        <f>Wh_hp&gt;='2020'!Maxi_hp</f>
        <v>0</v>
      </c>
      <c r="I320" s="379">
        <f>IF(H320,Wh_hp,'2020'!Maxi_hp)</f>
        <v>32.061506207065662</v>
      </c>
      <c r="J320" s="85">
        <f>IF(H320,An,'2020'!An_max)</f>
        <v>2020</v>
      </c>
      <c r="K320" s="197">
        <f t="shared" si="100"/>
        <v>44502</v>
      </c>
      <c r="L320" s="147">
        <f>IF(t&lt;Tvie,1-EXP((T0-t)*PertePVj)+'2020'!Pspv,1-EXP((T0-t)*PertePVj)+Pspv)</f>
        <v>1.9489975280432503E-2</v>
      </c>
      <c r="M320" s="832"/>
      <c r="N320" s="832"/>
      <c r="O320" s="48">
        <f>IF(t&lt;Tnet,'2020'!Resal+('2020'!Salim-'2020'!Resal)*(1-EXP(('2020'!Tnet-t)/('2020'!Tau_j))),Resal+(Salim-Resal)*(1-EXP((Tnet-t)/(Tau_j))))*Salcycl</f>
        <v>4.9999369785077623E-2</v>
      </c>
      <c r="P320" s="169">
        <f>(INDEX(Models!$BJ320:$BT320,,T320)*(1-R320)+INDEX(Models!$BJ320:$BT320,,T320+1)*R320-ERP_i)*Q320*Ramure*Pc/MaxiM</f>
        <v>1.5496106956414561E-2</v>
      </c>
      <c r="Q320" s="304">
        <f t="shared" si="101"/>
        <v>0.7</v>
      </c>
      <c r="R320" s="177">
        <f t="shared" si="102"/>
        <v>0.93370510855086819</v>
      </c>
      <c r="S320" s="799">
        <f t="shared" si="103"/>
        <v>-1</v>
      </c>
      <c r="T320" s="176">
        <f t="shared" si="104"/>
        <v>5</v>
      </c>
      <c r="U320" s="250">
        <f t="shared" si="105"/>
        <v>-6.629489144913181E-2</v>
      </c>
      <c r="V320" s="382">
        <f t="shared" si="106"/>
        <v>32.712364275380914</v>
      </c>
      <c r="W320" s="400"/>
      <c r="X320" s="157">
        <f t="shared" si="107"/>
        <v>44502</v>
      </c>
      <c r="Y320" s="383">
        <f t="shared" si="108"/>
        <v>25.699059192097426</v>
      </c>
      <c r="Z320" s="383">
        <f t="shared" si="109"/>
        <v>26.20988928639208</v>
      </c>
      <c r="AA320" s="384">
        <f t="shared" si="110"/>
        <v>27.589338841241098</v>
      </c>
      <c r="AB320" s="197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4.9999369785077623E-2</v>
      </c>
      <c r="AD320" s="230">
        <f>(INDEX(Models!$BJ320:$BT320,,AH320)*(1-AF320)+INDEX(Models!$BJ320:$BT320,,AH320+1)*AF320-ERP_i)*AE320*Ramure*Pc/MaxiM</f>
        <v>1.6434493996957063E-2</v>
      </c>
      <c r="AE320" s="304">
        <f t="shared" si="112"/>
        <v>0.7</v>
      </c>
      <c r="AF320" s="177">
        <f t="shared" si="113"/>
        <v>0.99803733081070034</v>
      </c>
      <c r="AG320" s="799">
        <f t="shared" si="119"/>
        <v>-1</v>
      </c>
      <c r="AH320" s="176">
        <f t="shared" si="114"/>
        <v>5</v>
      </c>
      <c r="AI320" s="224">
        <f t="shared" si="115"/>
        <v>-1.9626691892996595E-3</v>
      </c>
      <c r="AJ320" s="264" t="b">
        <f t="shared" si="116"/>
        <v>0</v>
      </c>
      <c r="AK320" s="264" t="b">
        <f t="shared" si="117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18"/>
        <v>44503</v>
      </c>
      <c r="B321" s="607">
        <v>18.981000000000002</v>
      </c>
      <c r="C321" s="388"/>
      <c r="D321" s="391">
        <f t="shared" si="98"/>
        <v>19.358663649497284</v>
      </c>
      <c r="E321" s="383">
        <f t="shared" si="120"/>
        <v>20.382231633477165</v>
      </c>
      <c r="F321" s="383">
        <f t="shared" si="99"/>
        <v>20.513968112752028</v>
      </c>
      <c r="G321" s="110">
        <f t="shared" si="121"/>
        <v>0.57950956328515713</v>
      </c>
      <c r="H321" s="412" t="b">
        <f>Wh_hp&gt;='2020'!Maxi_hp</f>
        <v>0</v>
      </c>
      <c r="I321" s="379">
        <f>IF(H321,Wh_hp,'2020'!Maxi_hp)</f>
        <v>28.049300463393088</v>
      </c>
      <c r="J321" s="85">
        <f>IF(H321,An,'2020'!An_max)</f>
        <v>2020</v>
      </c>
      <c r="K321" s="197">
        <f t="shared" si="100"/>
        <v>44503</v>
      </c>
      <c r="L321" s="147">
        <f>IF(t&lt;Tvie,1-EXP((T0-t)*PertePVj)+'2020'!Pspv,1-EXP((T0-t)*PertePVj)+Pspv)</f>
        <v>1.9508766531365906E-2</v>
      </c>
      <c r="M321" s="832"/>
      <c r="N321" s="832"/>
      <c r="O321" s="48">
        <f>IF(t&lt;Tnet,'2020'!Resal+('2020'!Salim-'2020'!Resal)*(1-EXP(('2020'!Tnet-t)/('2020'!Tau_j))),Resal+(Salim-Resal)*(1-EXP((Tnet-t)/(Tau_j))))*Salcycl</f>
        <v>5.0218641529846231E-2</v>
      </c>
      <c r="P321" s="169">
        <f>(INDEX(Models!$BJ321:$BT321,,T321)*(1-R321)+INDEX(Models!$BJ321:$BT321,,T321+1)*R321-ERP_i)*Q321*Ramure*Pc/MaxiM</f>
        <v>1.5772001451508099E-2</v>
      </c>
      <c r="Q321" s="304">
        <f t="shared" si="101"/>
        <v>0.7</v>
      </c>
      <c r="R321" s="177">
        <f t="shared" si="102"/>
        <v>0.9337465656031827</v>
      </c>
      <c r="S321" s="799">
        <f t="shared" si="103"/>
        <v>-1</v>
      </c>
      <c r="T321" s="176">
        <f t="shared" si="104"/>
        <v>5</v>
      </c>
      <c r="U321" s="250">
        <f t="shared" si="105"/>
        <v>-6.6253434396817246E-2</v>
      </c>
      <c r="V321" s="382">
        <f t="shared" si="106"/>
        <v>32.445325880509799</v>
      </c>
      <c r="W321" s="400"/>
      <c r="X321" s="157">
        <f t="shared" si="107"/>
        <v>44503</v>
      </c>
      <c r="Y321" s="383">
        <f t="shared" si="108"/>
        <v>18.973595788945097</v>
      </c>
      <c r="Z321" s="383">
        <f t="shared" si="109"/>
        <v>19.351112117365059</v>
      </c>
      <c r="AA321" s="384">
        <f t="shared" si="110"/>
        <v>20.374280822414303</v>
      </c>
      <c r="AB321" s="197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5.0218641529846231E-2</v>
      </c>
      <c r="AD321" s="230">
        <f>(INDEX(Models!$BJ321:$BT321,,AH321)*(1-AF321)+INDEX(Models!$BJ321:$BT321,,AH321+1)*AF321-ERP_i)*AE321*Ramure*Pc/MaxiM</f>
        <v>1.6723903341663238E-2</v>
      </c>
      <c r="AE321" s="304">
        <f t="shared" si="112"/>
        <v>0.7</v>
      </c>
      <c r="AF321" s="177">
        <f t="shared" si="113"/>
        <v>0.99807878786301485</v>
      </c>
      <c r="AG321" s="799">
        <f t="shared" si="119"/>
        <v>-1</v>
      </c>
      <c r="AH321" s="176">
        <f t="shared" si="114"/>
        <v>5</v>
      </c>
      <c r="AI321" s="224">
        <f t="shared" si="115"/>
        <v>-1.9212121369850954E-3</v>
      </c>
      <c r="AJ321" s="264" t="b">
        <f t="shared" si="116"/>
        <v>0</v>
      </c>
      <c r="AK321" s="264" t="b">
        <f t="shared" si="117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18"/>
        <v>44504</v>
      </c>
      <c r="B322" s="607">
        <v>14.608000000000001</v>
      </c>
      <c r="C322" s="388"/>
      <c r="D322" s="391">
        <f t="shared" si="98"/>
        <v>14.898939904514865</v>
      </c>
      <c r="E322" s="383">
        <f t="shared" si="120"/>
        <v>15.690311180195586</v>
      </c>
      <c r="F322" s="383">
        <f t="shared" si="99"/>
        <v>15.745684768405171</v>
      </c>
      <c r="G322" s="110">
        <f t="shared" si="121"/>
        <v>0.44823868929381011</v>
      </c>
      <c r="H322" s="412" t="b">
        <f>Wh_hp&gt;='2020'!Maxi_hp</f>
        <v>0</v>
      </c>
      <c r="I322" s="379">
        <f>IF(H322,Wh_hp,'2020'!Maxi_hp)</f>
        <v>18.973893501694523</v>
      </c>
      <c r="J322" s="85">
        <f>IF(H322,An,'2020'!An_max)</f>
        <v>2018</v>
      </c>
      <c r="K322" s="197">
        <f t="shared" si="100"/>
        <v>44504</v>
      </c>
      <c r="L322" s="147">
        <f>IF(t&lt;Tvie,1-EXP((T0-t)*PertePVj)+'2020'!Pspv,1-EXP((T0-t)*PertePVj)+Pspv)</f>
        <v>1.9527557422169384E-2</v>
      </c>
      <c r="M322" s="832"/>
      <c r="N322" s="832"/>
      <c r="O322" s="48">
        <f>IF(t&lt;Tnet,'2020'!Resal+('2020'!Salim-'2020'!Resal)*(1-EXP(('2020'!Tnet-t)/('2020'!Tau_j))),Resal+(Salim-Resal)*(1-EXP((Tnet-t)/(Tau_j))))*Salcycl</f>
        <v>5.0436939496750974E-2</v>
      </c>
      <c r="P322" s="169">
        <f>(INDEX(Models!$BJ322:$BT322,,T322)*(1-R322)+INDEX(Models!$BJ322:$BT322,,T322+1)*R322-ERP_i)*Q322*Ramure*Pc/MaxiM</f>
        <v>1.5993307252424208E-2</v>
      </c>
      <c r="Q322" s="304">
        <f t="shared" si="101"/>
        <v>0.7</v>
      </c>
      <c r="R322" s="177">
        <f t="shared" si="102"/>
        <v>0.93378636156332062</v>
      </c>
      <c r="S322" s="799">
        <f t="shared" si="103"/>
        <v>-1</v>
      </c>
      <c r="T322" s="176">
        <f t="shared" si="104"/>
        <v>5</v>
      </c>
      <c r="U322" s="250">
        <f t="shared" si="105"/>
        <v>-6.6213638436679323E-2</v>
      </c>
      <c r="V322" s="382">
        <f t="shared" si="106"/>
        <v>32.181736059746072</v>
      </c>
      <c r="W322" s="400"/>
      <c r="X322" s="157">
        <f t="shared" si="107"/>
        <v>44504</v>
      </c>
      <c r="Y322" s="383">
        <f t="shared" si="108"/>
        <v>14.604898683379711</v>
      </c>
      <c r="Z322" s="383">
        <f t="shared" si="109"/>
        <v>14.895776820591633</v>
      </c>
      <c r="AA322" s="384">
        <f t="shared" si="110"/>
        <v>15.686980086079988</v>
      </c>
      <c r="AB322" s="197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5.0436939496750974E-2</v>
      </c>
      <c r="AD322" s="230">
        <f>(INDEX(Models!$BJ322:$BT322,,AH322)*(1-AF322)+INDEX(Models!$BJ322:$BT322,,AH322+1)*AF322-ERP_i)*AE322*Ramure*Pc/MaxiM</f>
        <v>1.6955412353431558E-2</v>
      </c>
      <c r="AE322" s="304">
        <f t="shared" si="112"/>
        <v>0.7</v>
      </c>
      <c r="AF322" s="177">
        <f t="shared" si="113"/>
        <v>0.99811858382315277</v>
      </c>
      <c r="AG322" s="799">
        <f t="shared" si="119"/>
        <v>-1</v>
      </c>
      <c r="AH322" s="176">
        <f t="shared" si="114"/>
        <v>5</v>
      </c>
      <c r="AI322" s="224">
        <f t="shared" si="115"/>
        <v>-1.8814161768471727E-3</v>
      </c>
      <c r="AJ322" s="264" t="b">
        <f t="shared" si="116"/>
        <v>0</v>
      </c>
      <c r="AK322" s="264" t="b">
        <f t="shared" si="117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18"/>
        <v>44505</v>
      </c>
      <c r="B323" s="607">
        <v>8.9960000000000004</v>
      </c>
      <c r="C323" s="388"/>
      <c r="D323" s="391">
        <f t="shared" si="98"/>
        <v>9.1753444757094744</v>
      </c>
      <c r="E323" s="383">
        <f t="shared" si="120"/>
        <v>9.6649141397660081</v>
      </c>
      <c r="F323" s="383">
        <f t="shared" si="99"/>
        <v>9.6649141397660081</v>
      </c>
      <c r="G323" s="110">
        <f t="shared" si="121"/>
        <v>0.27726262446478517</v>
      </c>
      <c r="H323" s="412" t="b">
        <f>Wh_hp&gt;='2020'!Maxi_hp</f>
        <v>0</v>
      </c>
      <c r="I323" s="379">
        <f>IF(H323,Wh_hp,'2020'!Maxi_hp)</f>
        <v>14.339243064325444</v>
      </c>
      <c r="J323" s="85">
        <f>IF(H323,An,'2020'!An_max)</f>
        <v>2018</v>
      </c>
      <c r="K323" s="197">
        <f t="shared" si="100"/>
        <v>44505</v>
      </c>
      <c r="L323" s="147">
        <f>IF(t&lt;Tvie,1-EXP((T0-t)*PertePVj)+'2020'!Pspv,1-EXP((T0-t)*PertePVj)+Pspv)</f>
        <v>1.9546347952849707E-2</v>
      </c>
      <c r="M323" s="832"/>
      <c r="N323" s="832"/>
      <c r="O323" s="48">
        <f>IF(t&lt;Tnet,'2020'!Resal+('2020'!Salim-'2020'!Resal)*(1-EXP(('2020'!Tnet-t)/('2020'!Tau_j))),Resal+(Salim-Resal)*(1-EXP((Tnet-t)/(Tau_j))))*Salcycl</f>
        <v>5.065432108105488E-2</v>
      </c>
      <c r="P323" s="169">
        <f>(INDEX(Models!$BJ323:$BT323,,T323)*(1-R323)+INDEX(Models!$BJ323:$BT323,,T323+1)*R323-ERP_i)*Q323*Ramure*Pc/MaxiM</f>
        <v>1.615931429145849E-2</v>
      </c>
      <c r="Q323" s="304">
        <f t="shared" si="101"/>
        <v>0.7</v>
      </c>
      <c r="R323" s="177">
        <f t="shared" si="102"/>
        <v>0.93382456267563219</v>
      </c>
      <c r="S323" s="799">
        <f t="shared" si="103"/>
        <v>-1</v>
      </c>
      <c r="T323" s="176">
        <f t="shared" si="104"/>
        <v>5</v>
      </c>
      <c r="U323" s="250">
        <f t="shared" si="105"/>
        <v>-6.6175437324367814E-2</v>
      </c>
      <c r="V323" s="382">
        <f t="shared" si="106"/>
        <v>31.921470936513291</v>
      </c>
      <c r="W323" s="400"/>
      <c r="X323" s="157">
        <f t="shared" si="107"/>
        <v>44505</v>
      </c>
      <c r="Y323" s="383">
        <f t="shared" si="108"/>
        <v>8.9960000000000004</v>
      </c>
      <c r="Z323" s="383">
        <f t="shared" si="109"/>
        <v>9.1753444757094744</v>
      </c>
      <c r="AA323" s="384">
        <f t="shared" si="110"/>
        <v>9.6649141397660081</v>
      </c>
      <c r="AB323" s="197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5.065432108105488E-2</v>
      </c>
      <c r="AD323" s="230">
        <f>(INDEX(Models!$BJ323:$BT323,,AH323)*(1-AF323)+INDEX(Models!$BJ323:$BT323,,AH323+1)*AF323-ERP_i)*AE323*Ramure*Pc/MaxiM</f>
        <v>1.7128268287378231E-2</v>
      </c>
      <c r="AE323" s="304">
        <f t="shared" si="112"/>
        <v>0.7</v>
      </c>
      <c r="AF323" s="177">
        <f t="shared" si="113"/>
        <v>0.99815678493546434</v>
      </c>
      <c r="AG323" s="799">
        <f t="shared" si="119"/>
        <v>-1</v>
      </c>
      <c r="AH323" s="176">
        <f t="shared" si="114"/>
        <v>5</v>
      </c>
      <c r="AI323" s="224">
        <f t="shared" si="115"/>
        <v>-1.8432150645356637E-3</v>
      </c>
      <c r="AJ323" s="264" t="b">
        <f t="shared" si="116"/>
        <v>0</v>
      </c>
      <c r="AK323" s="264" t="b">
        <f t="shared" si="117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18"/>
        <v>44506</v>
      </c>
      <c r="B324" s="607">
        <v>20.004999999999999</v>
      </c>
      <c r="C324" s="388"/>
      <c r="D324" s="391">
        <f t="shared" si="98"/>
        <v>20.404211210635388</v>
      </c>
      <c r="E324" s="383">
        <f t="shared" si="120"/>
        <v>21.497823657871873</v>
      </c>
      <c r="F324" s="383">
        <f t="shared" si="99"/>
        <v>21.664847842190124</v>
      </c>
      <c r="G324" s="110">
        <f t="shared" si="121"/>
        <v>0.62633195367434069</v>
      </c>
      <c r="H324" s="412" t="b">
        <f>Wh_hp&gt;='2020'!Maxi_hp</f>
        <v>0</v>
      </c>
      <c r="I324" s="379">
        <f>IF(H324,Wh_hp,'2020'!Maxi_hp)</f>
        <v>21.730757185658799</v>
      </c>
      <c r="J324" s="85">
        <f>IF(H324,An,'2020'!An_max)</f>
        <v>2020</v>
      </c>
      <c r="K324" s="197">
        <f t="shared" si="100"/>
        <v>44506</v>
      </c>
      <c r="L324" s="147">
        <f>IF(t&lt;Tvie,1-EXP((T0-t)*PertePVj)+'2020'!Pspv,1-EXP((T0-t)*PertePVj)+Pspv)</f>
        <v>1.9565138123413761E-2</v>
      </c>
      <c r="M324" s="832"/>
      <c r="N324" s="832"/>
      <c r="O324" s="48">
        <f>IF(t&lt;Tnet,'2020'!Resal+('2020'!Salim-'2020'!Resal)*(1-EXP(('2020'!Tnet-t)/('2020'!Tau_j))),Resal+(Salim-Resal)*(1-EXP((Tnet-t)/(Tau_j))))*Salcycl</f>
        <v>5.0870844632500092E-2</v>
      </c>
      <c r="P324" s="169">
        <f>(INDEX(Models!$BJ324:$BT324,,T324)*(1-R324)+INDEX(Models!$BJ324:$BT324,,T324+1)*R324-ERP_i)*Q324*Ramure*Pc/MaxiM</f>
        <v>1.6265674662382268E-2</v>
      </c>
      <c r="Q324" s="304">
        <f t="shared" si="101"/>
        <v>0.7</v>
      </c>
      <c r="R324" s="177">
        <f t="shared" si="102"/>
        <v>0.93386123256720754</v>
      </c>
      <c r="S324" s="799">
        <f t="shared" si="103"/>
        <v>-1</v>
      </c>
      <c r="T324" s="176">
        <f t="shared" si="104"/>
        <v>5</v>
      </c>
      <c r="U324" s="250">
        <f t="shared" si="105"/>
        <v>-6.6138767432792456E-2</v>
      </c>
      <c r="V324" s="382">
        <f t="shared" si="106"/>
        <v>31.664523684045236</v>
      </c>
      <c r="W324" s="400"/>
      <c r="X324" s="157">
        <f t="shared" si="107"/>
        <v>44506</v>
      </c>
      <c r="Y324" s="383">
        <f t="shared" si="108"/>
        <v>19.995709429705716</v>
      </c>
      <c r="Z324" s="383">
        <f t="shared" si="109"/>
        <v>20.394735241700033</v>
      </c>
      <c r="AA324" s="384">
        <f t="shared" si="110"/>
        <v>21.487839801742531</v>
      </c>
      <c r="AB324" s="197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5.0870844632500092E-2</v>
      </c>
      <c r="AD324" s="230">
        <f>(INDEX(Models!$BJ324:$BT324,,AH324)*(1-AF324)+INDEX(Models!$BJ324:$BT324,,AH324+1)*AF324-ERP_i)*AE324*Ramure*Pc/MaxiM</f>
        <v>1.7237953954382434E-2</v>
      </c>
      <c r="AE324" s="304">
        <f t="shared" si="112"/>
        <v>0.7</v>
      </c>
      <c r="AF324" s="177">
        <f t="shared" si="113"/>
        <v>0.99819345482703969</v>
      </c>
      <c r="AG324" s="799">
        <f t="shared" si="119"/>
        <v>-1</v>
      </c>
      <c r="AH324" s="176">
        <f t="shared" si="114"/>
        <v>5</v>
      </c>
      <c r="AI324" s="224">
        <f t="shared" si="115"/>
        <v>-1.8065451729603055E-3</v>
      </c>
      <c r="AJ324" s="264" t="b">
        <f t="shared" si="116"/>
        <v>0</v>
      </c>
      <c r="AK324" s="264" t="b">
        <f t="shared" si="117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18"/>
        <v>44507</v>
      </c>
      <c r="B325" s="607">
        <v>13.58</v>
      </c>
      <c r="C325" s="388"/>
      <c r="D325" s="391">
        <f t="shared" si="98"/>
        <v>13.851262119134248</v>
      </c>
      <c r="E325" s="383">
        <f t="shared" si="120"/>
        <v>14.596971303797195</v>
      </c>
      <c r="F325" s="383">
        <f t="shared" si="99"/>
        <v>14.642208238695305</v>
      </c>
      <c r="G325" s="110">
        <f t="shared" si="121"/>
        <v>0.42660168062616916</v>
      </c>
      <c r="H325" s="412" t="b">
        <f>Wh_hp&gt;='2020'!Maxi_hp</f>
        <v>0</v>
      </c>
      <c r="I325" s="379">
        <f>IF(H325,Wh_hp,'2020'!Maxi_hp)</f>
        <v>17.606157739575622</v>
      </c>
      <c r="J325" s="85">
        <f>IF(H325,An,'2020'!An_max)</f>
        <v>2020</v>
      </c>
      <c r="K325" s="197">
        <f t="shared" si="100"/>
        <v>44507</v>
      </c>
      <c r="L325" s="147">
        <f>IF(t&lt;Tvie,1-EXP((T0-t)*PertePVj)+'2020'!Pspv,1-EXP((T0-t)*PertePVj)+Pspv)</f>
        <v>1.9583927933868428E-2</v>
      </c>
      <c r="M325" s="832"/>
      <c r="N325" s="832"/>
      <c r="O325" s="48">
        <f>IF(t&lt;Tnet,'2020'!Resal+('2020'!Salim-'2020'!Resal)*(1-EXP(('2020'!Tnet-t)/('2020'!Tau_j))),Resal+(Salim-Resal)*(1-EXP((Tnet-t)/(Tau_j))))*Salcycl</f>
        <v>5.1086569202815554E-2</v>
      </c>
      <c r="P325" s="169">
        <f>(INDEX(Models!$BJ325:$BT325,,T325)*(1-R325)+INDEX(Models!$BJ325:$BT325,,T325+1)*R325-ERP_i)*Q325*Ramure*Pc/MaxiM</f>
        <v>1.634051069107105E-2</v>
      </c>
      <c r="Q325" s="304">
        <f t="shared" si="101"/>
        <v>0.7</v>
      </c>
      <c r="R325" s="177">
        <f t="shared" si="102"/>
        <v>0.93389643234934439</v>
      </c>
      <c r="S325" s="799">
        <f t="shared" si="103"/>
        <v>-1</v>
      </c>
      <c r="T325" s="176">
        <f t="shared" si="104"/>
        <v>5</v>
      </c>
      <c r="U325" s="250">
        <f t="shared" si="105"/>
        <v>-6.6103567650655559E-2</v>
      </c>
      <c r="V325" s="382">
        <f t="shared" si="106"/>
        <v>31.409846831610039</v>
      </c>
      <c r="W325" s="400"/>
      <c r="X325" s="157">
        <f t="shared" si="107"/>
        <v>44507</v>
      </c>
      <c r="Y325" s="383">
        <f t="shared" si="108"/>
        <v>13.577491935122588</v>
      </c>
      <c r="Z325" s="383">
        <f t="shared" si="109"/>
        <v>13.848703955361874</v>
      </c>
      <c r="AA325" s="384">
        <f t="shared" si="110"/>
        <v>14.594275416386028</v>
      </c>
      <c r="AB325" s="197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5.1086569202815554E-2</v>
      </c>
      <c r="AD325" s="230">
        <f>(INDEX(Models!$BJ325:$BT325,,AH325)*(1-AF325)+INDEX(Models!$BJ325:$BT325,,AH325+1)*AF325-ERP_i)*AE325*Ramure*Pc/MaxiM</f>
        <v>1.7314320635606589E-2</v>
      </c>
      <c r="AE325" s="304">
        <f t="shared" si="112"/>
        <v>0.7</v>
      </c>
      <c r="AF325" s="177">
        <f t="shared" si="113"/>
        <v>0.99822865460917654</v>
      </c>
      <c r="AG325" s="799">
        <f t="shared" si="119"/>
        <v>-1</v>
      </c>
      <c r="AH325" s="176">
        <f t="shared" si="114"/>
        <v>5</v>
      </c>
      <c r="AI325" s="224">
        <f t="shared" si="115"/>
        <v>-1.7713453908234089E-3</v>
      </c>
      <c r="AJ325" s="264" t="b">
        <f t="shared" si="116"/>
        <v>0</v>
      </c>
      <c r="AK325" s="264" t="b">
        <f t="shared" si="117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18"/>
        <v>44508</v>
      </c>
      <c r="B326" s="607">
        <v>27.272000000000002</v>
      </c>
      <c r="C326" s="388"/>
      <c r="D326" s="391">
        <f t="shared" si="98"/>
        <v>27.81729456372635</v>
      </c>
      <c r="E326" s="383">
        <f t="shared" si="120"/>
        <v>29.321534876964058</v>
      </c>
      <c r="F326" s="383">
        <f t="shared" si="99"/>
        <v>29.721733914268235</v>
      </c>
      <c r="G326" s="110">
        <f t="shared" si="121"/>
        <v>0.87271028593282995</v>
      </c>
      <c r="H326" s="412" t="b">
        <f>Wh_hp&gt;='2020'!Maxi_hp</f>
        <v>1</v>
      </c>
      <c r="I326" s="379">
        <f>IF(H326,Wh_hp,'2020'!Maxi_hp)</f>
        <v>29.721733914268235</v>
      </c>
      <c r="J326" s="85">
        <f>IF(H326,An,'2020'!An_max)</f>
        <v>2021</v>
      </c>
      <c r="K326" s="197">
        <f t="shared" si="100"/>
        <v>44508</v>
      </c>
      <c r="L326" s="147">
        <f>IF(t&lt;Tvie,1-EXP((T0-t)*PertePVj)+'2020'!Pspv,1-EXP((T0-t)*PertePVj)+Pspv)</f>
        <v>1.9602717384220703E-2</v>
      </c>
      <c r="M326" s="832"/>
      <c r="N326" s="832"/>
      <c r="O326" s="48">
        <f>IF(t&lt;Tnet,'2020'!Resal+('2020'!Salim-'2020'!Resal)*(1-EXP(('2020'!Tnet-t)/('2020'!Tau_j))),Resal+(Salim-Resal)*(1-EXP((Tnet-t)/(Tau_j))))*Salcycl</f>
        <v>5.1301554285941887E-2</v>
      </c>
      <c r="P326" s="169">
        <f>(INDEX(Models!$BJ326:$BT326,,T326)*(1-R326)+INDEX(Models!$BJ326:$BT326,,T326+1)*R326-ERP_i)*Q326*Ramure*Pc/MaxiM</f>
        <v>1.6383463243351236E-2</v>
      </c>
      <c r="Q326" s="304">
        <f t="shared" si="101"/>
        <v>0.7</v>
      </c>
      <c r="R326" s="177">
        <f t="shared" si="102"/>
        <v>0.93393022071523724</v>
      </c>
      <c r="S326" s="799">
        <f t="shared" si="103"/>
        <v>-1</v>
      </c>
      <c r="T326" s="176">
        <f t="shared" si="104"/>
        <v>5</v>
      </c>
      <c r="U326" s="250">
        <f t="shared" si="105"/>
        <v>-6.6069779284762764E-2</v>
      </c>
      <c r="V326" s="382">
        <f t="shared" si="106"/>
        <v>31.157324439954628</v>
      </c>
      <c r="W326" s="400"/>
      <c r="X326" s="157">
        <f t="shared" si="107"/>
        <v>44508</v>
      </c>
      <c r="Y326" s="383">
        <f t="shared" si="108"/>
        <v>27.249881885686708</v>
      </c>
      <c r="Z326" s="383">
        <f t="shared" si="109"/>
        <v>27.794734205078392</v>
      </c>
      <c r="AA326" s="384">
        <f t="shared" si="110"/>
        <v>29.297754550612858</v>
      </c>
      <c r="AB326" s="197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5.1301554285941887E-2</v>
      </c>
      <c r="AD326" s="230">
        <f>(INDEX(Models!$BJ326:$BT326,,AH326)*(1-AF326)+INDEX(Models!$BJ326:$BT326,,AH326+1)*AF326-ERP_i)*AE326*Ramure*Pc/MaxiM</f>
        <v>1.7356989080180338E-2</v>
      </c>
      <c r="AE326" s="304">
        <f t="shared" si="112"/>
        <v>0.7</v>
      </c>
      <c r="AF326" s="177">
        <f t="shared" si="113"/>
        <v>0.99826244297506939</v>
      </c>
      <c r="AG326" s="799">
        <f t="shared" si="119"/>
        <v>-1</v>
      </c>
      <c r="AH326" s="176">
        <f t="shared" si="114"/>
        <v>5</v>
      </c>
      <c r="AI326" s="224">
        <f t="shared" si="115"/>
        <v>-1.7375570249306138E-3</v>
      </c>
      <c r="AJ326" s="264" t="b">
        <f t="shared" si="116"/>
        <v>0</v>
      </c>
      <c r="AK326" s="264" t="b">
        <f t="shared" si="117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18"/>
        <v>44509</v>
      </c>
      <c r="B327" s="607">
        <v>19.696999999999999</v>
      </c>
      <c r="C327" s="388"/>
      <c r="D327" s="391">
        <f t="shared" si="98"/>
        <v>20.091220003376399</v>
      </c>
      <c r="E327" s="383">
        <f t="shared" si="120"/>
        <v>21.18245223784421</v>
      </c>
      <c r="F327" s="383">
        <f t="shared" si="99"/>
        <v>21.35111964073602</v>
      </c>
      <c r="G327" s="110">
        <f t="shared" si="121"/>
        <v>0.63184562643096243</v>
      </c>
      <c r="H327" s="412" t="b">
        <f>Wh_hp&gt;='2020'!Maxi_hp</f>
        <v>0</v>
      </c>
      <c r="I327" s="379">
        <f>IF(H327,Wh_hp,'2020'!Maxi_hp)</f>
        <v>28.934926580180637</v>
      </c>
      <c r="J327" s="85">
        <f>IF(H327,An,'2020'!An_max)</f>
        <v>2020</v>
      </c>
      <c r="K327" s="197">
        <f t="shared" si="100"/>
        <v>44509</v>
      </c>
      <c r="L327" s="147">
        <f>IF(t&lt;Tvie,1-EXP((T0-t)*PertePVj)+'2020'!Pspv,1-EXP((T0-t)*PertePVj)+Pspv)</f>
        <v>1.9621506474477468E-2</v>
      </c>
      <c r="M327" s="832"/>
      <c r="N327" s="832"/>
      <c r="O327" s="48">
        <f>IF(t&lt;Tnet,'2020'!Resal+('2020'!Salim-'2020'!Resal)*(1-EXP(('2020'!Tnet-t)/('2020'!Tau_j))),Resal+(Salim-Resal)*(1-EXP((Tnet-t)/(Tau_j))))*Salcycl</f>
        <v>5.1515859552759079E-2</v>
      </c>
      <c r="P327" s="169">
        <f>(INDEX(Models!$BJ327:$BT327,,T327)*(1-R327)+INDEX(Models!$BJ327:$BT327,,T327+1)*R327-ERP_i)*Q327*Ramure*Pc/MaxiM</f>
        <v>1.6394163945793041E-2</v>
      </c>
      <c r="Q327" s="304">
        <f t="shared" si="101"/>
        <v>0.7</v>
      </c>
      <c r="R327" s="177">
        <f t="shared" si="102"/>
        <v>0.93396265403401291</v>
      </c>
      <c r="S327" s="799">
        <f t="shared" si="103"/>
        <v>-1</v>
      </c>
      <c r="T327" s="176">
        <f t="shared" si="104"/>
        <v>5</v>
      </c>
      <c r="U327" s="250">
        <f t="shared" si="105"/>
        <v>-6.6037345965987149E-2</v>
      </c>
      <c r="V327" s="382">
        <f t="shared" si="106"/>
        <v>30.906840890079337</v>
      </c>
      <c r="W327" s="400"/>
      <c r="X327" s="157">
        <f t="shared" si="107"/>
        <v>44509</v>
      </c>
      <c r="Y327" s="383">
        <f t="shared" si="108"/>
        <v>19.687706771336899</v>
      </c>
      <c r="Z327" s="383">
        <f t="shared" si="109"/>
        <v>20.081740778031829</v>
      </c>
      <c r="AA327" s="384">
        <f t="shared" si="110"/>
        <v>21.172458158934148</v>
      </c>
      <c r="AB327" s="197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5.1515859552759079E-2</v>
      </c>
      <c r="AD327" s="230">
        <f>(INDEX(Models!$BJ327:$BT327,,AH327)*(1-AF327)+INDEX(Models!$BJ327:$BT327,,AH327+1)*AF327-ERP_i)*AE327*Ramure*Pc/MaxiM</f>
        <v>1.7365570188668977E-2</v>
      </c>
      <c r="AE327" s="304">
        <f t="shared" si="112"/>
        <v>0.7</v>
      </c>
      <c r="AF327" s="177">
        <f t="shared" si="113"/>
        <v>0.99829487629384506</v>
      </c>
      <c r="AG327" s="799">
        <f t="shared" si="119"/>
        <v>-1</v>
      </c>
      <c r="AH327" s="176">
        <f t="shared" si="114"/>
        <v>5</v>
      </c>
      <c r="AI327" s="224">
        <f t="shared" si="115"/>
        <v>-1.7051237061549984E-3</v>
      </c>
      <c r="AJ327" s="264" t="b">
        <f t="shared" si="116"/>
        <v>0</v>
      </c>
      <c r="AK327" s="264" t="b">
        <f t="shared" si="117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18"/>
        <v>44510</v>
      </c>
      <c r="B328" s="607">
        <v>6.1290000000000004</v>
      </c>
      <c r="C328" s="388"/>
      <c r="D328" s="391">
        <f t="shared" si="98"/>
        <v>6.251786941079347</v>
      </c>
      <c r="E328" s="383">
        <f t="shared" si="120"/>
        <v>6.5928310909197902</v>
      </c>
      <c r="F328" s="383">
        <f t="shared" si="99"/>
        <v>6.5928310909197902</v>
      </c>
      <c r="G328" s="110">
        <f t="shared" si="121"/>
        <v>0.19664033349092719</v>
      </c>
      <c r="H328" s="412" t="b">
        <f>Wh_hp&gt;='2020'!Maxi_hp</f>
        <v>0</v>
      </c>
      <c r="I328" s="379">
        <f>IF(H328,Wh_hp,'2020'!Maxi_hp)</f>
        <v>22.812135853800971</v>
      </c>
      <c r="J328" s="85">
        <f>IF(H328,An,'2020'!An_max)</f>
        <v>2020</v>
      </c>
      <c r="K328" s="197">
        <f t="shared" si="100"/>
        <v>44510</v>
      </c>
      <c r="L328" s="147">
        <f>IF(t&lt;Tvie,1-EXP((T0-t)*PertePVj)+'2020'!Pspv,1-EXP((T0-t)*PertePVj)+Pspv)</f>
        <v>1.9640295204645608E-2</v>
      </c>
      <c r="M328" s="832"/>
      <c r="N328" s="832"/>
      <c r="O328" s="48">
        <f>IF(t&lt;Tnet,'2020'!Resal+('2020'!Salim-'2020'!Resal)*(1-EXP(('2020'!Tnet-t)/('2020'!Tau_j))),Resal+(Salim-Resal)*(1-EXP((Tnet-t)/(Tau_j))))*Salcycl</f>
        <v>5.1729544582168725E-2</v>
      </c>
      <c r="P328" s="169">
        <f>(INDEX(Models!$BJ328:$BT328,,T328)*(1-R328)+INDEX(Models!$BJ328:$BT328,,T328+1)*R328-ERP_i)*Q328*Ramure*Pc/MaxiM</f>
        <v>1.6372232209701201E-2</v>
      </c>
      <c r="Q328" s="304">
        <f t="shared" si="101"/>
        <v>0.7</v>
      </c>
      <c r="R328" s="177">
        <f t="shared" si="102"/>
        <v>0.93399378644124098</v>
      </c>
      <c r="S328" s="799">
        <f t="shared" si="103"/>
        <v>-1</v>
      </c>
      <c r="T328" s="176">
        <f t="shared" si="104"/>
        <v>5</v>
      </c>
      <c r="U328" s="250">
        <f t="shared" si="105"/>
        <v>-6.6006213558759019E-2</v>
      </c>
      <c r="V328" s="382">
        <f t="shared" si="106"/>
        <v>30.658280942474597</v>
      </c>
      <c r="W328" s="400"/>
      <c r="X328" s="157">
        <f t="shared" si="107"/>
        <v>44510</v>
      </c>
      <c r="Y328" s="383">
        <f t="shared" si="108"/>
        <v>6.1290000000000004</v>
      </c>
      <c r="Z328" s="383">
        <f t="shared" si="109"/>
        <v>6.251786941079347</v>
      </c>
      <c r="AA328" s="384">
        <f t="shared" si="110"/>
        <v>6.5928310909197902</v>
      </c>
      <c r="AB328" s="197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5.1729544582168725E-2</v>
      </c>
      <c r="AD328" s="230">
        <f>(INDEX(Models!$BJ328:$BT328,,AH328)*(1-AF328)+INDEX(Models!$BJ328:$BT328,,AH328+1)*AF328-ERP_i)*AE328*Ramure*Pc/MaxiM</f>
        <v>1.7339661866331683E-2</v>
      </c>
      <c r="AE328" s="304">
        <f t="shared" si="112"/>
        <v>0.7</v>
      </c>
      <c r="AF328" s="177">
        <f t="shared" si="113"/>
        <v>0.99832600870107313</v>
      </c>
      <c r="AG328" s="799">
        <f t="shared" si="119"/>
        <v>-1</v>
      </c>
      <c r="AH328" s="176">
        <f t="shared" si="114"/>
        <v>5</v>
      </c>
      <c r="AI328" s="224">
        <f t="shared" si="115"/>
        <v>-1.673991298926869E-3</v>
      </c>
      <c r="AJ328" s="264" t="b">
        <f t="shared" si="116"/>
        <v>0</v>
      </c>
      <c r="AK328" s="264" t="b">
        <f t="shared" si="117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18"/>
        <v>44511</v>
      </c>
      <c r="B329" s="607">
        <v>11.214</v>
      </c>
      <c r="C329" s="388"/>
      <c r="D329" s="391">
        <f t="shared" si="98"/>
        <v>11.438877855767689</v>
      </c>
      <c r="E329" s="383">
        <f t="shared" si="120"/>
        <v>12.065597170964766</v>
      </c>
      <c r="F329" s="383">
        <f t="shared" si="99"/>
        <v>12.084962070300417</v>
      </c>
      <c r="G329" s="110">
        <f t="shared" si="121"/>
        <v>0.36330702919670399</v>
      </c>
      <c r="H329" s="412" t="b">
        <f>Wh_hp&gt;='2020'!Maxi_hp</f>
        <v>0</v>
      </c>
      <c r="I329" s="379">
        <f>IF(H329,Wh_hp,'2020'!Maxi_hp)</f>
        <v>26.122542819390926</v>
      </c>
      <c r="J329" s="85">
        <f>IF(H329,An,'2020'!An_max)</f>
        <v>2018</v>
      </c>
      <c r="K329" s="197">
        <f t="shared" si="100"/>
        <v>44511</v>
      </c>
      <c r="L329" s="147">
        <f>IF(t&lt;Tvie,1-EXP((T0-t)*PertePVj)+'2020'!Pspv,1-EXP((T0-t)*PertePVj)+Pspv)</f>
        <v>1.9659083574732117E-2</v>
      </c>
      <c r="M329" s="832"/>
      <c r="N329" s="832"/>
      <c r="O329" s="48">
        <f>IF(t&lt;Tnet,'2020'!Resal+('2020'!Salim-'2020'!Resal)*(1-EXP(('2020'!Tnet-t)/('2020'!Tau_j))),Resal+(Salim-Resal)*(1-EXP((Tnet-t)/(Tau_j))))*Salcycl</f>
        <v>5.1942668590432069E-2</v>
      </c>
      <c r="P329" s="169">
        <f>(INDEX(Models!$BJ329:$BT329,,T329)*(1-R329)+INDEX(Models!$BJ329:$BT329,,T329+1)*R329-ERP_i)*Q329*Ramure*Pc/MaxiM</f>
        <v>1.6317272145722369E-2</v>
      </c>
      <c r="Q329" s="304">
        <f t="shared" si="101"/>
        <v>0.7</v>
      </c>
      <c r="R329" s="177">
        <f t="shared" si="102"/>
        <v>0.93402366992603869</v>
      </c>
      <c r="S329" s="799">
        <f t="shared" si="103"/>
        <v>-1</v>
      </c>
      <c r="T329" s="176">
        <f t="shared" si="104"/>
        <v>5</v>
      </c>
      <c r="U329" s="250">
        <f t="shared" si="105"/>
        <v>-6.5976330073961309E-2</v>
      </c>
      <c r="V329" s="382">
        <f t="shared" si="106"/>
        <v>30.411529794696065</v>
      </c>
      <c r="W329" s="400"/>
      <c r="X329" s="157">
        <f t="shared" si="107"/>
        <v>44511</v>
      </c>
      <c r="Y329" s="383">
        <f t="shared" si="108"/>
        <v>11.212939374766755</v>
      </c>
      <c r="Z329" s="383">
        <f t="shared" si="109"/>
        <v>11.437795961484309</v>
      </c>
      <c r="AA329" s="384">
        <f t="shared" si="110"/>
        <v>12.064456001282791</v>
      </c>
      <c r="AB329" s="197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5.1942668590432069E-2</v>
      </c>
      <c r="AD329" s="230">
        <f>(INDEX(Models!$BJ329:$BT329,,AH329)*(1-AF329)+INDEX(Models!$BJ329:$BT329,,AH329+1)*AF329-ERP_i)*AE329*Ramure*Pc/MaxiM</f>
        <v>1.7278845761081976E-2</v>
      </c>
      <c r="AE329" s="304">
        <f t="shared" si="112"/>
        <v>0.7</v>
      </c>
      <c r="AF329" s="177">
        <f t="shared" si="113"/>
        <v>0.99835589218587084</v>
      </c>
      <c r="AG329" s="799">
        <f t="shared" si="119"/>
        <v>-1</v>
      </c>
      <c r="AH329" s="176">
        <f t="shared" si="114"/>
        <v>5</v>
      </c>
      <c r="AI329" s="224">
        <f t="shared" si="115"/>
        <v>-1.6441078141291587E-3</v>
      </c>
      <c r="AJ329" s="264" t="b">
        <f t="shared" si="116"/>
        <v>0</v>
      </c>
      <c r="AK329" s="264" t="b">
        <f t="shared" si="117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18"/>
        <v>44512</v>
      </c>
      <c r="B330" s="607">
        <v>10.577</v>
      </c>
      <c r="C330" s="388"/>
      <c r="D330" s="391">
        <f t="shared" si="98"/>
        <v>10.789310669849197</v>
      </c>
      <c r="E330" s="383">
        <f t="shared" si="120"/>
        <v>11.382994026182235</v>
      </c>
      <c r="F330" s="383">
        <f t="shared" si="99"/>
        <v>11.396368839613897</v>
      </c>
      <c r="G330" s="110">
        <f t="shared" si="121"/>
        <v>0.34533613850478212</v>
      </c>
      <c r="H330" s="412" t="b">
        <f>Wh_hp&gt;='2020'!Maxi_hp</f>
        <v>0</v>
      </c>
      <c r="I330" s="379">
        <f>IF(H330,Wh_hp,'2020'!Maxi_hp)</f>
        <v>33.228636444643307</v>
      </c>
      <c r="J330" s="85">
        <f>IF(H330,An,'2020'!An_max)</f>
        <v>2020</v>
      </c>
      <c r="K330" s="197">
        <f t="shared" si="100"/>
        <v>44512</v>
      </c>
      <c r="L330" s="147">
        <f>IF(t&lt;Tvie,1-EXP((T0-t)*PertePVj)+'2020'!Pspv,1-EXP((T0-t)*PertePVj)+Pspv)</f>
        <v>1.9677871584743656E-2</v>
      </c>
      <c r="M330" s="832"/>
      <c r="N330" s="832"/>
      <c r="O330" s="48">
        <f>IF(t&lt;Tnet,'2020'!Resal+('2020'!Salim-'2020'!Resal)*(1-EXP(('2020'!Tnet-t)/('2020'!Tau_j))),Resal+(Salim-Resal)*(1-EXP((Tnet-t)/(Tau_j))))*Salcycl</f>
        <v>5.2155290160699093E-2</v>
      </c>
      <c r="P330" s="169">
        <f>(INDEX(Models!$BJ330:$BT330,,T330)*(1-R330)+INDEX(Models!$BJ330:$BT330,,T330+1)*R330-ERP_i)*Q330*Ramure*Pc/MaxiM</f>
        <v>1.6228869382893939E-2</v>
      </c>
      <c r="Q330" s="304">
        <f t="shared" si="101"/>
        <v>0.7</v>
      </c>
      <c r="R330" s="177">
        <f t="shared" si="102"/>
        <v>0.93405235441488932</v>
      </c>
      <c r="S330" s="799">
        <f t="shared" si="103"/>
        <v>-1</v>
      </c>
      <c r="T330" s="176">
        <f t="shared" si="104"/>
        <v>5</v>
      </c>
      <c r="U330" s="250">
        <f t="shared" si="105"/>
        <v>-6.5947645585110737E-2</v>
      </c>
      <c r="V330" s="382">
        <f t="shared" si="106"/>
        <v>30.166473134490175</v>
      </c>
      <c r="W330" s="400"/>
      <c r="X330" s="157">
        <f t="shared" si="107"/>
        <v>44512</v>
      </c>
      <c r="Y330" s="383">
        <f t="shared" si="108"/>
        <v>10.576269585488943</v>
      </c>
      <c r="Z330" s="383">
        <f t="shared" si="109"/>
        <v>10.788565593827871</v>
      </c>
      <c r="AA330" s="384">
        <f t="shared" si="110"/>
        <v>11.382207952246715</v>
      </c>
      <c r="AB330" s="197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5.2155290160699093E-2</v>
      </c>
      <c r="AD330" s="230">
        <f>(INDEX(Models!$BJ330:$BT330,,AH330)*(1-AF330)+INDEX(Models!$BJ330:$BT330,,AH330+1)*AF330-ERP_i)*AE330*Ramure*Pc/MaxiM</f>
        <v>1.7182683900760876E-2</v>
      </c>
      <c r="AE330" s="304">
        <f t="shared" si="112"/>
        <v>0.7</v>
      </c>
      <c r="AF330" s="177">
        <f t="shared" si="113"/>
        <v>0.99838457667472147</v>
      </c>
      <c r="AG330" s="799">
        <f t="shared" si="119"/>
        <v>-1</v>
      </c>
      <c r="AH330" s="176">
        <f t="shared" si="114"/>
        <v>5</v>
      </c>
      <c r="AI330" s="224">
        <f t="shared" si="115"/>
        <v>-1.6154233252785866E-3</v>
      </c>
      <c r="AJ330" s="264" t="b">
        <f t="shared" si="116"/>
        <v>0</v>
      </c>
      <c r="AK330" s="264" t="b">
        <f t="shared" si="117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18"/>
        <v>44513</v>
      </c>
      <c r="B331" s="607">
        <v>5.3250000000000002</v>
      </c>
      <c r="C331" s="388"/>
      <c r="D331" s="391">
        <f t="shared" si="98"/>
        <v>5.4319920973061544</v>
      </c>
      <c r="E331" s="383">
        <f t="shared" si="120"/>
        <v>5.7321713934456255</v>
      </c>
      <c r="F331" s="383">
        <f t="shared" si="99"/>
        <v>5.7321713934456255</v>
      </c>
      <c r="G331" s="110">
        <f t="shared" si="121"/>
        <v>0.17509408016234482</v>
      </c>
      <c r="H331" s="412" t="b">
        <f>Wh_hp&gt;='2020'!Maxi_hp</f>
        <v>0</v>
      </c>
      <c r="I331" s="379">
        <f>IF(H331,Wh_hp,'2020'!Maxi_hp)</f>
        <v>30.739525900094989</v>
      </c>
      <c r="J331" s="85">
        <f>IF(H331,An,'2020'!An_max)</f>
        <v>2020</v>
      </c>
      <c r="K331" s="197">
        <f t="shared" si="100"/>
        <v>44513</v>
      </c>
      <c r="L331" s="147">
        <f>IF(t&lt;Tvie,1-EXP((T0-t)*PertePVj)+'2020'!Pspv,1-EXP((T0-t)*PertePVj)+Pspv)</f>
        <v>1.969665923468733E-2</v>
      </c>
      <c r="M331" s="832"/>
      <c r="N331" s="832"/>
      <c r="O331" s="48">
        <f>IF(t&lt;Tnet,'2020'!Resal+('2020'!Salim-'2020'!Resal)*(1-EXP(('2020'!Tnet-t)/('2020'!Tau_j))),Resal+(Salim-Resal)*(1-EXP((Tnet-t)/(Tau_j))))*Salcycl</f>
        <v>5.2367466974680352E-2</v>
      </c>
      <c r="P331" s="169">
        <f>(INDEX(Models!$BJ331:$BT331,,T331)*(1-R331)+INDEX(Models!$BJ331:$BT331,,T331+1)*R331-ERP_i)*Q331*Ramure*Pc/MaxiM</f>
        <v>1.6106917509474489E-2</v>
      </c>
      <c r="Q331" s="304">
        <f t="shared" si="101"/>
        <v>0.7</v>
      </c>
      <c r="R331" s="177">
        <f t="shared" si="102"/>
        <v>0.93407988785228979</v>
      </c>
      <c r="S331" s="799">
        <f t="shared" si="103"/>
        <v>-1</v>
      </c>
      <c r="T331" s="176">
        <f t="shared" si="104"/>
        <v>5</v>
      </c>
      <c r="U331" s="250">
        <f t="shared" si="105"/>
        <v>-6.5920112147710153E-2</v>
      </c>
      <c r="V331" s="382">
        <f t="shared" si="106"/>
        <v>29.922374642274068</v>
      </c>
      <c r="W331" s="400"/>
      <c r="X331" s="157">
        <f t="shared" si="107"/>
        <v>44513</v>
      </c>
      <c r="Y331" s="383">
        <f t="shared" si="108"/>
        <v>5.3250000000000002</v>
      </c>
      <c r="Z331" s="383">
        <f t="shared" si="109"/>
        <v>5.4319920973061544</v>
      </c>
      <c r="AA331" s="384">
        <f t="shared" si="110"/>
        <v>5.7321713934456255</v>
      </c>
      <c r="AB331" s="197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5.2367466974680352E-2</v>
      </c>
      <c r="AD331" s="230">
        <f>(INDEX(Models!$BJ331:$BT331,,AH331)*(1-AF331)+INDEX(Models!$BJ331:$BT331,,AH331+1)*AF331-ERP_i)*AE331*Ramure*Pc/MaxiM</f>
        <v>1.705106427422989E-2</v>
      </c>
      <c r="AE331" s="304">
        <f t="shared" si="112"/>
        <v>0.7</v>
      </c>
      <c r="AF331" s="177">
        <f t="shared" si="113"/>
        <v>0.99841211011212194</v>
      </c>
      <c r="AG331" s="799">
        <f t="shared" si="119"/>
        <v>-1</v>
      </c>
      <c r="AH331" s="176">
        <f t="shared" si="114"/>
        <v>5</v>
      </c>
      <c r="AI331" s="224">
        <f t="shared" si="115"/>
        <v>-1.5878898878780023E-3</v>
      </c>
      <c r="AJ331" s="264" t="b">
        <f t="shared" si="116"/>
        <v>0</v>
      </c>
      <c r="AK331" s="264" t="b">
        <f t="shared" si="117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18"/>
        <v>44514</v>
      </c>
      <c r="B332" s="607">
        <v>4.6020000000000003</v>
      </c>
      <c r="C332" s="388"/>
      <c r="D332" s="391">
        <f t="shared" si="98"/>
        <v>4.6945552530481089</v>
      </c>
      <c r="E332" s="383">
        <f t="shared" si="120"/>
        <v>4.9550902073244618</v>
      </c>
      <c r="F332" s="383">
        <f t="shared" si="99"/>
        <v>4.9550902073244618</v>
      </c>
      <c r="G332" s="110">
        <f t="shared" si="121"/>
        <v>0.15258661332026163</v>
      </c>
      <c r="H332" s="412" t="b">
        <f>Wh_hp&gt;='2020'!Maxi_hp</f>
        <v>0</v>
      </c>
      <c r="I332" s="379">
        <f>IF(H332,Wh_hp,'2020'!Maxi_hp)</f>
        <v>18.993319038472997</v>
      </c>
      <c r="J332" s="85">
        <f>IF(H332,An,'2020'!An_max)</f>
        <v>2020</v>
      </c>
      <c r="K332" s="197">
        <f t="shared" si="100"/>
        <v>44514</v>
      </c>
      <c r="L332" s="147">
        <f>IF(t&lt;Tvie,1-EXP((T0-t)*PertePVj)+'2020'!Pspv,1-EXP((T0-t)*PertePVj)+Pspv)</f>
        <v>1.9715446524569913E-2</v>
      </c>
      <c r="M332" s="832"/>
      <c r="N332" s="832"/>
      <c r="O332" s="48">
        <f>IF(t&lt;Tnet,'2020'!Resal+('2020'!Salim-'2020'!Resal)*(1-EXP(('2020'!Tnet-t)/('2020'!Tau_j))),Resal+(Salim-Resal)*(1-EXP((Tnet-t)/(Tau_j))))*Salcycl</f>
        <v>5.2579255548413265E-2</v>
      </c>
      <c r="P332" s="169">
        <f>(INDEX(Models!$BJ332:$BT332,,T332)*(1-R332)+INDEX(Models!$BJ332:$BT332,,T332+1)*R332-ERP_i)*Q332*Ramure*Pc/MaxiM</f>
        <v>1.5956771558821754E-2</v>
      </c>
      <c r="Q332" s="304">
        <f t="shared" si="101"/>
        <v>0.7</v>
      </c>
      <c r="R332" s="177">
        <f t="shared" si="102"/>
        <v>0.93410631627833918</v>
      </c>
      <c r="S332" s="799">
        <f t="shared" si="103"/>
        <v>-1</v>
      </c>
      <c r="T332" s="176">
        <f t="shared" si="104"/>
        <v>5</v>
      </c>
      <c r="U332" s="250">
        <f t="shared" si="105"/>
        <v>-6.5893683721660823E-2</v>
      </c>
      <c r="V332" s="382">
        <f t="shared" si="106"/>
        <v>29.678664718649756</v>
      </c>
      <c r="W332" s="400"/>
      <c r="X332" s="157">
        <f t="shared" si="107"/>
        <v>44514</v>
      </c>
      <c r="Y332" s="383">
        <f t="shared" si="108"/>
        <v>4.6020000000000003</v>
      </c>
      <c r="Z332" s="383">
        <f t="shared" si="109"/>
        <v>4.6945552530481089</v>
      </c>
      <c r="AA332" s="384">
        <f t="shared" si="110"/>
        <v>4.9550902073244618</v>
      </c>
      <c r="AB332" s="197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5.2579255548413265E-2</v>
      </c>
      <c r="AD332" s="230">
        <f>(INDEX(Models!$BJ332:$BT332,,AH332)*(1-AF332)+INDEX(Models!$BJ332:$BT332,,AH332+1)*AF332-ERP_i)*AE332*Ramure*Pc/MaxiM</f>
        <v>1.688981353371408E-2</v>
      </c>
      <c r="AE332" s="304">
        <f t="shared" si="112"/>
        <v>0.7</v>
      </c>
      <c r="AF332" s="177">
        <f t="shared" si="113"/>
        <v>0.99843853853817133</v>
      </c>
      <c r="AG332" s="799">
        <f t="shared" si="119"/>
        <v>-1</v>
      </c>
      <c r="AH332" s="176">
        <f t="shared" si="114"/>
        <v>5</v>
      </c>
      <c r="AI332" s="224">
        <f t="shared" si="115"/>
        <v>-1.5614614618286726E-3</v>
      </c>
      <c r="AJ332" s="264" t="b">
        <f t="shared" si="116"/>
        <v>0</v>
      </c>
      <c r="AK332" s="264" t="b">
        <f t="shared" si="117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18"/>
        <v>44515</v>
      </c>
      <c r="B333" s="607">
        <v>6.4430000000000005</v>
      </c>
      <c r="C333" s="388"/>
      <c r="D333" s="391">
        <f t="shared" si="98"/>
        <v>6.5727073410966401</v>
      </c>
      <c r="E333" s="383">
        <f t="shared" si="120"/>
        <v>6.9390233153811689</v>
      </c>
      <c r="F333" s="383">
        <f t="shared" si="99"/>
        <v>6.9390233153811689</v>
      </c>
      <c r="G333" s="110">
        <f t="shared" si="121"/>
        <v>0.2154301003106672</v>
      </c>
      <c r="H333" s="412" t="b">
        <f>Wh_hp&gt;='2020'!Maxi_hp</f>
        <v>0</v>
      </c>
      <c r="I333" s="379">
        <f>IF(H333,Wh_hp,'2020'!Maxi_hp)</f>
        <v>31.702886154707713</v>
      </c>
      <c r="J333" s="85">
        <f>IF(H333,An,'2020'!An_max)</f>
        <v>2020</v>
      </c>
      <c r="K333" s="197">
        <f t="shared" si="100"/>
        <v>44515</v>
      </c>
      <c r="L333" s="147">
        <f>IF(t&lt;Tvie,1-EXP((T0-t)*PertePVj)+'2020'!Pspv,1-EXP((T0-t)*PertePVj)+Pspv)</f>
        <v>1.9734233454398509E-2</v>
      </c>
      <c r="M333" s="832"/>
      <c r="N333" s="832"/>
      <c r="O333" s="48">
        <f>IF(t&lt;Tnet,'2020'!Resal+('2020'!Salim-'2020'!Resal)*(1-EXP(('2020'!Tnet-t)/('2020'!Tau_j))),Resal+(Salim-Resal)*(1-EXP((Tnet-t)/(Tau_j))))*Salcycl</f>
        <v>5.2790710974056833E-2</v>
      </c>
      <c r="P333" s="169">
        <f>(INDEX(Models!$BJ333:$BT333,,T333)*(1-R333)+INDEX(Models!$BJ333:$BT333,,T333+1)*R333-ERP_i)*Q333*Ramure*Pc/MaxiM</f>
        <v>1.5808055475695578E-2</v>
      </c>
      <c r="Q333" s="304">
        <f t="shared" si="101"/>
        <v>0.7</v>
      </c>
      <c r="R333" s="177">
        <f t="shared" si="102"/>
        <v>0.93413168390337531</v>
      </c>
      <c r="S333" s="799">
        <f t="shared" si="103"/>
        <v>-1</v>
      </c>
      <c r="T333" s="176">
        <f t="shared" si="104"/>
        <v>5</v>
      </c>
      <c r="U333" s="250">
        <f t="shared" si="105"/>
        <v>-6.5868316096624746E-2</v>
      </c>
      <c r="V333" s="382">
        <f t="shared" si="106"/>
        <v>29.434831480956731</v>
      </c>
      <c r="W333" s="400"/>
      <c r="X333" s="157">
        <f t="shared" si="107"/>
        <v>44515</v>
      </c>
      <c r="Y333" s="383">
        <f t="shared" si="108"/>
        <v>6.4430000000000005</v>
      </c>
      <c r="Z333" s="383">
        <f t="shared" si="109"/>
        <v>6.5727073410966401</v>
      </c>
      <c r="AA333" s="384">
        <f t="shared" si="110"/>
        <v>6.9390233153811689</v>
      </c>
      <c r="AB333" s="197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5.2790710974056833E-2</v>
      </c>
      <c r="AD333" s="230">
        <f>(INDEX(Models!$BJ333:$BT333,,AH333)*(1-AF333)+INDEX(Models!$BJ333:$BT333,,AH333+1)*AF333-ERP_i)*AE333*Ramure*Pc/MaxiM</f>
        <v>1.6730301566681843E-2</v>
      </c>
      <c r="AE333" s="304">
        <f t="shared" si="112"/>
        <v>0.7</v>
      </c>
      <c r="AF333" s="177">
        <f t="shared" si="113"/>
        <v>0.99846390616320746</v>
      </c>
      <c r="AG333" s="799">
        <f t="shared" si="119"/>
        <v>-1</v>
      </c>
      <c r="AH333" s="176">
        <f t="shared" si="114"/>
        <v>5</v>
      </c>
      <c r="AI333" s="224">
        <f t="shared" si="115"/>
        <v>-1.5360938367925958E-3</v>
      </c>
      <c r="AJ333" s="264" t="b">
        <f t="shared" si="116"/>
        <v>0</v>
      </c>
      <c r="AK333" s="264" t="b">
        <f t="shared" si="117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18"/>
        <v>44516</v>
      </c>
      <c r="B334" s="607">
        <v>8.3670000000000009</v>
      </c>
      <c r="C334" s="388"/>
      <c r="D334" s="391">
        <f t="shared" si="98"/>
        <v>8.5356039558585426</v>
      </c>
      <c r="E334" s="383">
        <f t="shared" si="120"/>
        <v>9.0133273083730714</v>
      </c>
      <c r="F334" s="383">
        <f t="shared" si="99"/>
        <v>9.0133273083730714</v>
      </c>
      <c r="G334" s="110">
        <f t="shared" si="121"/>
        <v>0.28213797989191775</v>
      </c>
      <c r="H334" s="412" t="b">
        <f>Wh_hp&gt;='2020'!Maxi_hp</f>
        <v>0</v>
      </c>
      <c r="I334" s="379">
        <f>IF(H334,Wh_hp,'2020'!Maxi_hp)</f>
        <v>23.167929701478929</v>
      </c>
      <c r="J334" s="85">
        <f>IF(H334,An,'2020'!An_max)</f>
        <v>2020</v>
      </c>
      <c r="K334" s="197">
        <f t="shared" si="100"/>
        <v>44516</v>
      </c>
      <c r="L334" s="147">
        <f>IF(t&lt;Tvie,1-EXP((T0-t)*PertePVj)+'2020'!Pspv,1-EXP((T0-t)*PertePVj)+Pspv)</f>
        <v>1.9753020024179779E-2</v>
      </c>
      <c r="M334" s="832"/>
      <c r="N334" s="832"/>
      <c r="O334" s="48">
        <f>IF(t&lt;Tnet,'2020'!Resal+('2020'!Salim-'2020'!Resal)*(1-EXP(('2020'!Tnet-t)/('2020'!Tau_j))),Resal+(Salim-Resal)*(1-EXP((Tnet-t)/(Tau_j))))*Salcycl</f>
        <v>5.3001886669614265E-2</v>
      </c>
      <c r="P334" s="169">
        <f>(INDEX(Models!$BJ334:$BT334,,T334)*(1-R334)+INDEX(Models!$BJ334:$BT334,,T334+1)*R334-ERP_i)*Q334*Ramure*Pc/MaxiM</f>
        <v>1.5660591939449648E-2</v>
      </c>
      <c r="Q334" s="304">
        <f t="shared" si="101"/>
        <v>0.7</v>
      </c>
      <c r="R334" s="177">
        <f t="shared" si="102"/>
        <v>0.93415603317976692</v>
      </c>
      <c r="S334" s="799">
        <f t="shared" si="103"/>
        <v>-1</v>
      </c>
      <c r="T334" s="176">
        <f t="shared" si="104"/>
        <v>5</v>
      </c>
      <c r="U334" s="250">
        <f t="shared" si="105"/>
        <v>-6.584396682023308E-2</v>
      </c>
      <c r="V334" s="382">
        <f t="shared" si="106"/>
        <v>29.191276659731116</v>
      </c>
      <c r="W334" s="400"/>
      <c r="X334" s="157">
        <f t="shared" si="107"/>
        <v>44516</v>
      </c>
      <c r="Y334" s="383">
        <f t="shared" si="108"/>
        <v>8.3670000000000009</v>
      </c>
      <c r="Z334" s="383">
        <f t="shared" si="109"/>
        <v>8.5356039558585426</v>
      </c>
      <c r="AA334" s="384">
        <f t="shared" si="110"/>
        <v>9.0133273083730714</v>
      </c>
      <c r="AB334" s="197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5.3001886669614265E-2</v>
      </c>
      <c r="AD334" s="230">
        <f>(INDEX(Models!$BJ334:$BT334,,AH334)*(1-AF334)+INDEX(Models!$BJ334:$BT334,,AH334+1)*AF334-ERP_i)*AE334*Ramure*Pc/MaxiM</f>
        <v>1.6572343925488855E-2</v>
      </c>
      <c r="AE334" s="304">
        <f t="shared" si="112"/>
        <v>0.7</v>
      </c>
      <c r="AF334" s="177">
        <f t="shared" si="113"/>
        <v>0.99848825543959907</v>
      </c>
      <c r="AG334" s="799">
        <f t="shared" si="119"/>
        <v>-1</v>
      </c>
      <c r="AH334" s="176">
        <f t="shared" si="114"/>
        <v>5</v>
      </c>
      <c r="AI334" s="224">
        <f t="shared" si="115"/>
        <v>-1.5117445604009294E-3</v>
      </c>
      <c r="AJ334" s="264" t="b">
        <f t="shared" si="116"/>
        <v>0</v>
      </c>
      <c r="AK334" s="264" t="b">
        <f t="shared" si="117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18"/>
        <v>44517</v>
      </c>
      <c r="B335" s="607">
        <v>3.0779999999999998</v>
      </c>
      <c r="C335" s="388"/>
      <c r="D335" s="391">
        <f t="shared" ref="D335:D379" si="122">Wh/(1-Ppv)</f>
        <v>3.1400851552475655</v>
      </c>
      <c r="E335" s="383">
        <f t="shared" si="120"/>
        <v>3.3165692021079649</v>
      </c>
      <c r="F335" s="383">
        <f t="shared" ref="F335:F379" si="123">Wh_sa/(1-Pvg*MEDIAN((-Sdif+Wh/Env_an)/Csdif,0,1))</f>
        <v>3.3165692021079649</v>
      </c>
      <c r="G335" s="110">
        <f t="shared" si="121"/>
        <v>0.10467753298908068</v>
      </c>
      <c r="H335" s="412" t="b">
        <f>Wh_hp&gt;='2020'!Maxi_hp</f>
        <v>0</v>
      </c>
      <c r="I335" s="379">
        <f>IF(H335,Wh_hp,'2020'!Maxi_hp)</f>
        <v>19.304439918384041</v>
      </c>
      <c r="J335" s="85">
        <f>IF(H335,An,'2020'!An_max)</f>
        <v>2020</v>
      </c>
      <c r="K335" s="197">
        <f t="shared" ref="K335:K380" si="124">t</f>
        <v>44517</v>
      </c>
      <c r="L335" s="147">
        <f>IF(t&lt;Tvie,1-EXP((T0-t)*PertePVj)+'2020'!Pspv,1-EXP((T0-t)*PertePVj)+Pspv)</f>
        <v>1.9771806233920719E-2</v>
      </c>
      <c r="M335" s="832"/>
      <c r="N335" s="832"/>
      <c r="O335" s="48">
        <f>IF(t&lt;Tnet,'2020'!Resal+('2020'!Salim-'2020'!Resal)*(1-EXP(('2020'!Tnet-t)/('2020'!Tau_j))),Resal+(Salim-Resal)*(1-EXP((Tnet-t)/(Tau_j))))*Salcycl</f>
        <v>5.3212834138430885E-2</v>
      </c>
      <c r="P335" s="169">
        <f>(INDEX(Models!$BJ335:$BT335,,T335)*(1-R335)+INDEX(Models!$BJ335:$BT335,,T335+1)*R335-ERP_i)*Q335*Ramure*Pc/MaxiM</f>
        <v>1.5514199886675632E-2</v>
      </c>
      <c r="Q335" s="304">
        <f t="shared" ref="Q335:Q379" si="125">IF(OR(t&lt;Ttai,Notai),Dd+PousD*Croivg,Dens+PousD*(Croivg-Croi_tai))</f>
        <v>0.7</v>
      </c>
      <c r="R335" s="177">
        <f t="shared" ref="R335:R379" si="126">(Hp_vg-S335)/(INDEX(Echel_vg,T335+1)-S335)</f>
        <v>0.93417940487096229</v>
      </c>
      <c r="S335" s="799">
        <f t="shared" ref="S335:S379" si="127">INDEX(Echel_vg,T335)</f>
        <v>-1</v>
      </c>
      <c r="T335" s="176">
        <f t="shared" ref="T335:T379" si="128">MIN(MATCH(Hp_vg,Echel_vg),10)</f>
        <v>5</v>
      </c>
      <c r="U335" s="250">
        <f t="shared" ref="U335:U379" si="129">IF(OR(t&lt;Ttai,Notai),Hdd+PousH*Croivg,Hdtf+PousH*(Croivg-Croi_tai))</f>
        <v>-6.5820595129037707E-2</v>
      </c>
      <c r="V335" s="382">
        <f t="shared" ref="V335:V379" si="130">MaxiM*(1-Ppv)*(1-Pvg)*(1-Psa)</f>
        <v>28.94840187975111</v>
      </c>
      <c r="W335" s="400"/>
      <c r="X335" s="157">
        <f t="shared" ref="X335:X379" si="131">t</f>
        <v>44517</v>
      </c>
      <c r="Y335" s="383">
        <f t="shared" ref="Y335:Y379" si="132">Wh_pvt_s*(1-Ppv)</f>
        <v>3.0779999999999998</v>
      </c>
      <c r="Z335" s="383">
        <f t="shared" ref="Z335:Z379" si="133">Wh_sa_s*(1-Psa_s)</f>
        <v>3.1400851552475655</v>
      </c>
      <c r="AA335" s="384">
        <f t="shared" ref="AA335:AA379" si="134">Wh_hp*(1-Pvg_s*MEDIAN((-Sdif+Wh/Env_an)/Csdif,0,1))</f>
        <v>3.3165692021079649</v>
      </c>
      <c r="AB335" s="197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5.3212834138430885E-2</v>
      </c>
      <c r="AD335" s="230">
        <f>(INDEX(Models!$BJ335:$BT335,,AH335)*(1-AF335)+INDEX(Models!$BJ335:$BT335,,AH335+1)*AF335-ERP_i)*AE335*Ramure*Pc/MaxiM</f>
        <v>1.641575246091587E-2</v>
      </c>
      <c r="AE335" s="304">
        <f t="shared" ref="AE335:AE379" si="136">IF(OR(t&lt;Ttai,Notai),Dd_s+PousD*Croivg,Dens_s+PousD*(Croivg-Croi_tai))</f>
        <v>0.7</v>
      </c>
      <c r="AF335" s="177">
        <f t="shared" ref="AF335:AF379" si="137">(Hp_vg_s-AG335)/(INDEX(Echel_vg,AH335+1)-AG335)</f>
        <v>0.99851162713079444</v>
      </c>
      <c r="AG335" s="799">
        <f t="shared" si="119"/>
        <v>-1</v>
      </c>
      <c r="AH335" s="176">
        <f t="shared" ref="AH335:AH379" si="138">MIN(MATCH(Hp_vg_s,Echel_vg),10)</f>
        <v>5</v>
      </c>
      <c r="AI335" s="224">
        <f t="shared" ref="AI335:AI379" si="139">IF(OR(t&lt;Ttai,Notai),Hdd_s+PousH*Croivg,Hdtai_s+PousH*(Croivg-Croi_tai))</f>
        <v>-1.4883728692055564E-3</v>
      </c>
      <c r="AJ335" s="264" t="b">
        <f t="shared" ref="AJ335:AJ380" si="140">t&lt;Tnet</f>
        <v>0</v>
      </c>
      <c r="AK335" s="264" t="b">
        <f t="shared" ref="AK335:AK380" si="141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79" si="142">A335+1</f>
        <v>44518</v>
      </c>
      <c r="B336" s="607">
        <v>18.375</v>
      </c>
      <c r="C336" s="388"/>
      <c r="D336" s="391">
        <f t="shared" si="122"/>
        <v>18.745994326926205</v>
      </c>
      <c r="E336" s="383">
        <f t="shared" si="120"/>
        <v>19.803995093469521</v>
      </c>
      <c r="F336" s="383">
        <f t="shared" si="123"/>
        <v>19.952982281524694</v>
      </c>
      <c r="G336" s="110">
        <f t="shared" si="121"/>
        <v>0.63500055582565484</v>
      </c>
      <c r="H336" s="412" t="b">
        <f>Wh_hp&gt;='2020'!Maxi_hp</f>
        <v>0</v>
      </c>
      <c r="I336" s="379">
        <f>IF(H336,Wh_hp,'2020'!Maxi_hp)</f>
        <v>28.981060402104621</v>
      </c>
      <c r="J336" s="85">
        <f>IF(H336,An,'2020'!An_max)</f>
        <v>2020</v>
      </c>
      <c r="K336" s="197">
        <f t="shared" si="124"/>
        <v>44518</v>
      </c>
      <c r="L336" s="147">
        <f>IF(t&lt;Tvie,1-EXP((T0-t)*PertePVj)+'2020'!Pspv,1-EXP((T0-t)*PertePVj)+Pspv)</f>
        <v>1.9790592083628211E-2</v>
      </c>
      <c r="M336" s="832"/>
      <c r="N336" s="832"/>
      <c r="O336" s="48">
        <f>IF(t&lt;Tnet,'2020'!Resal+('2020'!Salim-'2020'!Resal)*(1-EXP(('2020'!Tnet-t)/('2020'!Tau_j))),Resal+(Salim-Resal)*(1-EXP((Tnet-t)/(Tau_j))))*Salcycl</f>
        <v>5.3423602740246982E-2</v>
      </c>
      <c r="P336" s="169">
        <f>(INDEX(Models!$BJ336:$BT336,,T336)*(1-R336)+INDEX(Models!$BJ336:$BT336,,T336+1)*R336-ERP_i)*Q336*Ramure*Pc/MaxiM</f>
        <v>1.5368694301391967E-2</v>
      </c>
      <c r="Q336" s="304">
        <f t="shared" si="125"/>
        <v>0.7</v>
      </c>
      <c r="R336" s="177">
        <f t="shared" si="126"/>
        <v>0.93420183811789292</v>
      </c>
      <c r="S336" s="799">
        <f t="shared" si="127"/>
        <v>-1</v>
      </c>
      <c r="T336" s="176">
        <f t="shared" si="128"/>
        <v>5</v>
      </c>
      <c r="U336" s="250">
        <f t="shared" si="129"/>
        <v>-6.579816188210702E-2</v>
      </c>
      <c r="V336" s="382">
        <f t="shared" si="130"/>
        <v>28.70660866326666</v>
      </c>
      <c r="W336" s="400"/>
      <c r="X336" s="157">
        <f t="shared" si="131"/>
        <v>44518</v>
      </c>
      <c r="Y336" s="383">
        <f t="shared" si="132"/>
        <v>18.366979962202485</v>
      </c>
      <c r="Z336" s="383">
        <f t="shared" si="133"/>
        <v>18.737812363222588</v>
      </c>
      <c r="AA336" s="384">
        <f t="shared" si="134"/>
        <v>19.795351349840054</v>
      </c>
      <c r="AB336" s="197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5.3423602740246982E-2</v>
      </c>
      <c r="AD336" s="230">
        <f>(INDEX(Models!$BJ336:$BT336,,AH336)*(1-AF336)+INDEX(Models!$BJ336:$BT336,,AH336+1)*AF336-ERP_i)*AE336*Ramure*Pc/MaxiM</f>
        <v>1.6260335087388198E-2</v>
      </c>
      <c r="AE336" s="304">
        <f t="shared" si="136"/>
        <v>0.7</v>
      </c>
      <c r="AF336" s="177">
        <f t="shared" si="137"/>
        <v>0.99853406037772507</v>
      </c>
      <c r="AG336" s="799">
        <f t="shared" ref="AG336:AG379" si="143">INDEX(Echel_vg,AH336)</f>
        <v>-1</v>
      </c>
      <c r="AH336" s="176">
        <f t="shared" si="138"/>
        <v>5</v>
      </c>
      <c r="AI336" s="224">
        <f t="shared" si="139"/>
        <v>-1.46593962227487E-3</v>
      </c>
      <c r="AJ336" s="264" t="b">
        <f t="shared" si="140"/>
        <v>0</v>
      </c>
      <c r="AK336" s="264" t="b">
        <f t="shared" si="141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42"/>
        <v>44519</v>
      </c>
      <c r="B337" s="607">
        <v>27.01</v>
      </c>
      <c r="C337" s="388"/>
      <c r="D337" s="391">
        <f t="shared" si="122"/>
        <v>27.555864524729323</v>
      </c>
      <c r="E337" s="383">
        <f t="shared" si="120"/>
        <v>29.117562864338161</v>
      </c>
      <c r="F337" s="383">
        <f t="shared" si="123"/>
        <v>29.534329648101671</v>
      </c>
      <c r="G337" s="110">
        <f t="shared" si="121"/>
        <v>0.94777050333393698</v>
      </c>
      <c r="H337" s="412" t="b">
        <f>Wh_hp&gt;='2020'!Maxi_hp</f>
        <v>0</v>
      </c>
      <c r="I337" s="379">
        <f>IF(H337,Wh_hp,'2020'!Maxi_hp)</f>
        <v>31.083466174894443</v>
      </c>
      <c r="J337" s="85">
        <f>IF(H337,An,'2020'!An_max)</f>
        <v>2020</v>
      </c>
      <c r="K337" s="197">
        <f t="shared" si="124"/>
        <v>44519</v>
      </c>
      <c r="L337" s="147">
        <f>IF(t&lt;Tvie,1-EXP((T0-t)*PertePVj)+'2020'!Pspv,1-EXP((T0-t)*PertePVj)+Pspv)</f>
        <v>1.980937757330925E-2</v>
      </c>
      <c r="M337" s="832"/>
      <c r="N337" s="832"/>
      <c r="O337" s="48">
        <f>IF(t&lt;Tnet,'2020'!Resal+('2020'!Salim-'2020'!Resal)*(1-EXP(('2020'!Tnet-t)/('2020'!Tau_j))),Resal+(Salim-Resal)*(1-EXP((Tnet-t)/(Tau_j))))*Salcycl</f>
        <v>5.3634239475500042E-2</v>
      </c>
      <c r="P337" s="169">
        <f>(INDEX(Models!$BJ337:$BT337,,T337)*(1-R337)+INDEX(Models!$BJ337:$BT337,,T337+1)*R337-ERP_i)*Q337*Ramure*Pc/MaxiM</f>
        <v>1.5223886085271464E-2</v>
      </c>
      <c r="Q337" s="304">
        <f t="shared" si="125"/>
        <v>0.7</v>
      </c>
      <c r="R337" s="177">
        <f t="shared" si="126"/>
        <v>0.93422337050282933</v>
      </c>
      <c r="S337" s="799">
        <f t="shared" si="127"/>
        <v>-1</v>
      </c>
      <c r="T337" s="176">
        <f t="shared" si="128"/>
        <v>5</v>
      </c>
      <c r="U337" s="250">
        <f t="shared" si="129"/>
        <v>-6.5776629497170613E-2</v>
      </c>
      <c r="V337" s="382">
        <f t="shared" si="130"/>
        <v>28.46629843267819</v>
      </c>
      <c r="W337" s="400"/>
      <c r="X337" s="157">
        <f t="shared" si="131"/>
        <v>44519</v>
      </c>
      <c r="Y337" s="383">
        <f t="shared" si="132"/>
        <v>26.987601939139818</v>
      </c>
      <c r="Z337" s="383">
        <f t="shared" si="133"/>
        <v>27.533013805340953</v>
      </c>
      <c r="AA337" s="384">
        <f t="shared" si="134"/>
        <v>29.093417105540102</v>
      </c>
      <c r="AB337" s="197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5.3634239475500042E-2</v>
      </c>
      <c r="AD337" s="230">
        <f>(INDEX(Models!$BJ337:$BT337,,AH337)*(1-AF337)+INDEX(Models!$BJ337:$BT337,,AH337+1)*AF337-ERP_i)*AE337*Ramure*Pc/MaxiM</f>
        <v>1.6105895630429166E-2</v>
      </c>
      <c r="AE337" s="304">
        <f t="shared" si="136"/>
        <v>0.7</v>
      </c>
      <c r="AF337" s="177">
        <f t="shared" si="137"/>
        <v>0.99855559276266148</v>
      </c>
      <c r="AG337" s="799">
        <f t="shared" si="143"/>
        <v>-1</v>
      </c>
      <c r="AH337" s="176">
        <f t="shared" si="138"/>
        <v>5</v>
      </c>
      <c r="AI337" s="224">
        <f t="shared" si="139"/>
        <v>-1.4444072373384631E-3</v>
      </c>
      <c r="AJ337" s="264" t="b">
        <f t="shared" si="140"/>
        <v>0</v>
      </c>
      <c r="AK337" s="264" t="b">
        <f t="shared" si="141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42"/>
        <v>44520</v>
      </c>
      <c r="B338" s="607">
        <v>22.962</v>
      </c>
      <c r="C338" s="388"/>
      <c r="D338" s="391">
        <f t="shared" si="122"/>
        <v>23.42650454365344</v>
      </c>
      <c r="E338" s="383">
        <f t="shared" si="120"/>
        <v>24.759684527401522</v>
      </c>
      <c r="F338" s="383">
        <f t="shared" si="123"/>
        <v>25.036696002601261</v>
      </c>
      <c r="G338" s="110">
        <f t="shared" si="121"/>
        <v>0.81014846853080047</v>
      </c>
      <c r="H338" s="412" t="b">
        <f>Wh_hp&gt;='2020'!Maxi_hp</f>
        <v>0</v>
      </c>
      <c r="I338" s="379">
        <f>IF(H338,Wh_hp,'2020'!Maxi_hp)</f>
        <v>30.262737933685557</v>
      </c>
      <c r="J338" s="85">
        <f>IF(H338,An,'2020'!An_max)</f>
        <v>2018</v>
      </c>
      <c r="K338" s="197">
        <f t="shared" si="124"/>
        <v>44520</v>
      </c>
      <c r="L338" s="147">
        <f>IF(t&lt;Tvie,1-EXP((T0-t)*PertePVj)+'2020'!Pspv,1-EXP((T0-t)*PertePVj)+Pspv)</f>
        <v>1.9828162702970609E-2</v>
      </c>
      <c r="M338" s="832"/>
      <c r="N338" s="832"/>
      <c r="O338" s="48">
        <f>IF(t&lt;Tnet,'2020'!Resal+('2020'!Salim-'2020'!Resal)*(1-EXP(('2020'!Tnet-t)/('2020'!Tau_j))),Resal+(Salim-Resal)*(1-EXP((Tnet-t)/(Tau_j))))*Salcycl</f>
        <v>5.3844788784471506E-2</v>
      </c>
      <c r="P338" s="169">
        <f>(INDEX(Models!$BJ338:$BT338,,T338)*(1-R338)+INDEX(Models!$BJ338:$BT338,,T338+1)*R338-ERP_i)*Q338*Ramure*Pc/MaxiM</f>
        <v>1.5083996735679159E-2</v>
      </c>
      <c r="Q338" s="304">
        <f t="shared" si="125"/>
        <v>0.7</v>
      </c>
      <c r="R338" s="177">
        <f t="shared" si="126"/>
        <v>0.93424403811078061</v>
      </c>
      <c r="S338" s="799">
        <f t="shared" si="127"/>
        <v>-1</v>
      </c>
      <c r="T338" s="176">
        <f t="shared" si="128"/>
        <v>5</v>
      </c>
      <c r="U338" s="250">
        <f t="shared" si="129"/>
        <v>-6.5755961889219339E-2</v>
      </c>
      <c r="V338" s="382">
        <f t="shared" si="130"/>
        <v>28.22774597948754</v>
      </c>
      <c r="W338" s="400"/>
      <c r="X338" s="157">
        <f t="shared" si="131"/>
        <v>44520</v>
      </c>
      <c r="Y338" s="383">
        <f t="shared" si="132"/>
        <v>22.94713222630611</v>
      </c>
      <c r="Z338" s="383">
        <f t="shared" si="133"/>
        <v>23.41133600572147</v>
      </c>
      <c r="AA338" s="384">
        <f t="shared" si="134"/>
        <v>24.74365276247314</v>
      </c>
      <c r="AB338" s="197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5.3844788784471506E-2</v>
      </c>
      <c r="AD338" s="230">
        <f>(INDEX(Models!$BJ338:$BT338,,AH338)*(1-AF338)+INDEX(Models!$BJ338:$BT338,,AH338+1)*AF338-ERP_i)*AE338*Ramure*Pc/MaxiM</f>
        <v>1.595696811591726E-2</v>
      </c>
      <c r="AE338" s="304">
        <f t="shared" si="136"/>
        <v>0.7</v>
      </c>
      <c r="AF338" s="177">
        <f t="shared" si="137"/>
        <v>0.99857626037061276</v>
      </c>
      <c r="AG338" s="799">
        <f t="shared" si="143"/>
        <v>-1</v>
      </c>
      <c r="AH338" s="176">
        <f t="shared" si="138"/>
        <v>5</v>
      </c>
      <c r="AI338" s="224">
        <f t="shared" si="139"/>
        <v>-1.4237396293871885E-3</v>
      </c>
      <c r="AJ338" s="264" t="b">
        <f t="shared" si="140"/>
        <v>0</v>
      </c>
      <c r="AK338" s="264" t="b">
        <f t="shared" si="141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42"/>
        <v>44521</v>
      </c>
      <c r="B339" s="607">
        <v>12.055</v>
      </c>
      <c r="C339" s="388"/>
      <c r="D339" s="391">
        <f t="shared" si="122"/>
        <v>12.299099583392096</v>
      </c>
      <c r="E339" s="383">
        <f t="shared" si="120"/>
        <v>13.001922294287688</v>
      </c>
      <c r="F339" s="383">
        <f t="shared" si="123"/>
        <v>13.0383158776486</v>
      </c>
      <c r="G339" s="110">
        <f t="shared" si="121"/>
        <v>0.4254181403758005</v>
      </c>
      <c r="H339" s="412" t="b">
        <f>Wh_hp&gt;='2020'!Maxi_hp</f>
        <v>0</v>
      </c>
      <c r="I339" s="379">
        <f>IF(H339,Wh_hp,'2020'!Maxi_hp)</f>
        <v>27.490335001003508</v>
      </c>
      <c r="J339" s="85">
        <f>IF(H339,An,'2020'!An_max)</f>
        <v>2018</v>
      </c>
      <c r="K339" s="197">
        <f t="shared" si="124"/>
        <v>44521</v>
      </c>
      <c r="L339" s="147">
        <f>IF(t&lt;Tvie,1-EXP((T0-t)*PertePVj)+'2020'!Pspv,1-EXP((T0-t)*PertePVj)+Pspv)</f>
        <v>1.9846947472619281E-2</v>
      </c>
      <c r="M339" s="832"/>
      <c r="N339" s="832"/>
      <c r="O339" s="48">
        <f>IF(t&lt;Tnet,'2020'!Resal+('2020'!Salim-'2020'!Resal)*(1-EXP(('2020'!Tnet-t)/('2020'!Tau_j))),Resal+(Salim-Resal)*(1-EXP((Tnet-t)/(Tau_j))))*Salcycl</f>
        <v>5.4055292362758751E-2</v>
      </c>
      <c r="P339" s="169">
        <f>(INDEX(Models!$BJ339:$BT339,,T339)*(1-R339)+INDEX(Models!$BJ339:$BT339,,T339+1)*R339-ERP_i)*Q339*Ramure*Pc/MaxiM</f>
        <v>1.495285210643664E-2</v>
      </c>
      <c r="Q339" s="304">
        <f t="shared" si="125"/>
        <v>0.7</v>
      </c>
      <c r="R339" s="177">
        <f t="shared" si="126"/>
        <v>0.93426387558852864</v>
      </c>
      <c r="S339" s="799">
        <f t="shared" si="127"/>
        <v>-1</v>
      </c>
      <c r="T339" s="176">
        <f t="shared" si="128"/>
        <v>5</v>
      </c>
      <c r="U339" s="250">
        <f t="shared" si="129"/>
        <v>-6.5736124411471308E-2</v>
      </c>
      <c r="V339" s="382">
        <f t="shared" si="130"/>
        <v>27.991241423329623</v>
      </c>
      <c r="W339" s="400"/>
      <c r="X339" s="157">
        <f t="shared" si="131"/>
        <v>44521</v>
      </c>
      <c r="Y339" s="383">
        <f t="shared" si="132"/>
        <v>12.05304877786743</v>
      </c>
      <c r="Z339" s="383">
        <f t="shared" si="133"/>
        <v>12.297108851304349</v>
      </c>
      <c r="AA339" s="384">
        <f t="shared" si="134"/>
        <v>12.999817803325717</v>
      </c>
      <c r="AB339" s="197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5.4055292362758751E-2</v>
      </c>
      <c r="AD339" s="230">
        <f>(INDEX(Models!$BJ339:$BT339,,AH339)*(1-AF339)+INDEX(Models!$BJ339:$BT339,,AH339+1)*AF339-ERP_i)*AE339*Ramure*Pc/MaxiM</f>
        <v>1.5817513928869615E-2</v>
      </c>
      <c r="AE339" s="304">
        <f t="shared" si="136"/>
        <v>0.7</v>
      </c>
      <c r="AF339" s="177">
        <f t="shared" si="137"/>
        <v>0.99859609784836079</v>
      </c>
      <c r="AG339" s="799">
        <f t="shared" si="143"/>
        <v>-1</v>
      </c>
      <c r="AH339" s="176">
        <f t="shared" si="138"/>
        <v>5</v>
      </c>
      <c r="AI339" s="224">
        <f t="shared" si="139"/>
        <v>-1.4039021516391581E-3</v>
      </c>
      <c r="AJ339" s="264" t="b">
        <f t="shared" si="140"/>
        <v>0</v>
      </c>
      <c r="AK339" s="264" t="b">
        <f t="shared" si="141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42"/>
        <v>44522</v>
      </c>
      <c r="B340" s="607">
        <v>13.21</v>
      </c>
      <c r="C340" s="388"/>
      <c r="D340" s="391">
        <f t="shared" si="122"/>
        <v>13.477745273990523</v>
      </c>
      <c r="E340" s="383">
        <f t="shared" si="120"/>
        <v>14.251092026860245</v>
      </c>
      <c r="F340" s="383">
        <f t="shared" si="123"/>
        <v>14.304403666907369</v>
      </c>
      <c r="G340" s="110">
        <f t="shared" si="121"/>
        <v>0.47060871969507762</v>
      </c>
      <c r="H340" s="412" t="b">
        <f>Wh_hp&gt;='2020'!Maxi_hp</f>
        <v>0</v>
      </c>
      <c r="I340" s="379">
        <f>IF(H340,Wh_hp,'2020'!Maxi_hp)</f>
        <v>31.520653340989391</v>
      </c>
      <c r="J340" s="85">
        <f>IF(H340,An,'2020'!An_max)</f>
        <v>2020</v>
      </c>
      <c r="K340" s="197">
        <f t="shared" si="124"/>
        <v>44522</v>
      </c>
      <c r="L340" s="147">
        <f>IF(t&lt;Tvie,1-EXP((T0-t)*PertePVj)+'2020'!Pspv,1-EXP((T0-t)*PertePVj)+Pspv)</f>
        <v>1.986573188226215E-2</v>
      </c>
      <c r="M340" s="832"/>
      <c r="N340" s="832"/>
      <c r="O340" s="48">
        <f>IF(t&lt;Tnet,'2020'!Resal+('2020'!Salim-'2020'!Resal)*(1-EXP(('2020'!Tnet-t)/('2020'!Tau_j))),Resal+(Salim-Resal)*(1-EXP((Tnet-t)/(Tau_j))))*Salcycl</f>
        <v>5.4265788994424406E-2</v>
      </c>
      <c r="P340" s="169">
        <f>(INDEX(Models!$BJ340:$BT340,,T340)*(1-R340)+INDEX(Models!$BJ340:$BT340,,T340+1)*R340-ERP_i)*Q340*Ramure*Pc/MaxiM</f>
        <v>1.4830403368174138E-2</v>
      </c>
      <c r="Q340" s="304">
        <f t="shared" si="125"/>
        <v>0.7</v>
      </c>
      <c r="R340" s="177">
        <f t="shared" si="126"/>
        <v>0.9342829162013836</v>
      </c>
      <c r="S340" s="799">
        <f t="shared" si="127"/>
        <v>-1</v>
      </c>
      <c r="T340" s="176">
        <f t="shared" si="128"/>
        <v>5</v>
      </c>
      <c r="U340" s="250">
        <f t="shared" si="129"/>
        <v>-6.5717083798616405E-2</v>
      </c>
      <c r="V340" s="382">
        <f t="shared" si="130"/>
        <v>27.757187635560673</v>
      </c>
      <c r="W340" s="400"/>
      <c r="X340" s="157">
        <f t="shared" si="131"/>
        <v>44522</v>
      </c>
      <c r="Y340" s="383">
        <f t="shared" si="132"/>
        <v>13.207144079461621</v>
      </c>
      <c r="Z340" s="383">
        <f t="shared" si="133"/>
        <v>13.474831468575001</v>
      </c>
      <c r="AA340" s="384">
        <f t="shared" si="134"/>
        <v>14.24801102864572</v>
      </c>
      <c r="AB340" s="197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5.4265788994424406E-2</v>
      </c>
      <c r="AD340" s="230">
        <f>(INDEX(Models!$BJ340:$BT340,,AH340)*(1-AF340)+INDEX(Models!$BJ340:$BT340,,AH340+1)*AF340-ERP_i)*AE340*Ramure*Pc/MaxiM</f>
        <v>1.5687485353602777E-2</v>
      </c>
      <c r="AE340" s="304">
        <f t="shared" si="136"/>
        <v>0.7</v>
      </c>
      <c r="AF340" s="177">
        <f t="shared" si="137"/>
        <v>0.99861513846121575</v>
      </c>
      <c r="AG340" s="799">
        <f t="shared" si="143"/>
        <v>-1</v>
      </c>
      <c r="AH340" s="176">
        <f t="shared" si="138"/>
        <v>5</v>
      </c>
      <c r="AI340" s="224">
        <f t="shared" si="139"/>
        <v>-1.3848615387842544E-3</v>
      </c>
      <c r="AJ340" s="264" t="b">
        <f t="shared" si="140"/>
        <v>0</v>
      </c>
      <c r="AK340" s="264" t="b">
        <f t="shared" si="141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42"/>
        <v>44523</v>
      </c>
      <c r="B341" s="607">
        <v>9.6050000000000004</v>
      </c>
      <c r="C341" s="388"/>
      <c r="D341" s="391">
        <f t="shared" si="122"/>
        <v>9.7998655833221076</v>
      </c>
      <c r="E341" s="383">
        <f t="shared" si="120"/>
        <v>10.364484499555655</v>
      </c>
      <c r="F341" s="383">
        <f t="shared" si="123"/>
        <v>10.375160084343046</v>
      </c>
      <c r="G341" s="110">
        <f t="shared" si="121"/>
        <v>0.34416185205207067</v>
      </c>
      <c r="H341" s="412" t="b">
        <f>Wh_hp&gt;='2020'!Maxi_hp</f>
        <v>0</v>
      </c>
      <c r="I341" s="379">
        <f>IF(H341,Wh_hp,'2020'!Maxi_hp)</f>
        <v>31.418721073336016</v>
      </c>
      <c r="J341" s="85">
        <f>IF(H341,An,'2020'!An_max)</f>
        <v>2020</v>
      </c>
      <c r="K341" s="197">
        <f t="shared" si="124"/>
        <v>44523</v>
      </c>
      <c r="L341" s="147">
        <f>IF(t&lt;Tvie,1-EXP((T0-t)*PertePVj)+'2020'!Pspv,1-EXP((T0-t)*PertePVj)+Pspv)</f>
        <v>1.9884515931906099E-2</v>
      </c>
      <c r="M341" s="832"/>
      <c r="N341" s="832"/>
      <c r="O341" s="48">
        <f>IF(t&lt;Tnet,'2020'!Resal+('2020'!Salim-'2020'!Resal)*(1-EXP(('2020'!Tnet-t)/('2020'!Tau_j))),Resal+(Salim-Resal)*(1-EXP((Tnet-t)/(Tau_j))))*Salcycl</f>
        <v>5.4476314404035588E-2</v>
      </c>
      <c r="P341" s="169">
        <f>(INDEX(Models!$BJ341:$BT341,,T341)*(1-R341)+INDEX(Models!$BJ341:$BT341,,T341+1)*R341-ERP_i)*Q341*Ramure*Pc/MaxiM</f>
        <v>1.4716508842474227E-2</v>
      </c>
      <c r="Q341" s="304">
        <f t="shared" si="125"/>
        <v>0.7</v>
      </c>
      <c r="R341" s="177">
        <f t="shared" si="126"/>
        <v>0.9343011918877433</v>
      </c>
      <c r="S341" s="799">
        <f t="shared" si="127"/>
        <v>-1</v>
      </c>
      <c r="T341" s="176">
        <f t="shared" si="128"/>
        <v>5</v>
      </c>
      <c r="U341" s="250">
        <f t="shared" si="129"/>
        <v>-6.5698808112256646E-2</v>
      </c>
      <c r="V341" s="382">
        <f t="shared" si="130"/>
        <v>27.5259898353046</v>
      </c>
      <c r="W341" s="400"/>
      <c r="X341" s="157">
        <f t="shared" si="131"/>
        <v>44523</v>
      </c>
      <c r="Y341" s="383">
        <f t="shared" si="132"/>
        <v>9.6044284268564777</v>
      </c>
      <c r="Z341" s="383">
        <f t="shared" si="133"/>
        <v>9.799282414141727</v>
      </c>
      <c r="AA341" s="384">
        <f t="shared" si="134"/>
        <v>10.36386773110314</v>
      </c>
      <c r="AB341" s="197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5.4476314404035588E-2</v>
      </c>
      <c r="AD341" s="230">
        <f>(INDEX(Models!$BJ341:$BT341,,AH341)*(1-AF341)+INDEX(Models!$BJ341:$BT341,,AH341+1)*AF341-ERP_i)*AE341*Ramure*Pc/MaxiM</f>
        <v>1.5566736587928261E-2</v>
      </c>
      <c r="AE341" s="304">
        <f t="shared" si="136"/>
        <v>0.7</v>
      </c>
      <c r="AF341" s="177">
        <f t="shared" si="137"/>
        <v>0.99863341414757545</v>
      </c>
      <c r="AG341" s="799">
        <f t="shared" si="143"/>
        <v>-1</v>
      </c>
      <c r="AH341" s="176">
        <f t="shared" si="138"/>
        <v>5</v>
      </c>
      <c r="AI341" s="224">
        <f t="shared" si="139"/>
        <v>-1.3665858524244956E-3</v>
      </c>
      <c r="AJ341" s="264" t="b">
        <f t="shared" si="140"/>
        <v>0</v>
      </c>
      <c r="AK341" s="264" t="b">
        <f t="shared" si="141"/>
        <v>0</v>
      </c>
      <c r="AL341" s="264"/>
      <c r="AM341" s="264"/>
      <c r="AN341" s="75"/>
    </row>
    <row r="342" spans="1:40" s="6" customFormat="1" ht="11.25" x14ac:dyDescent="0.2">
      <c r="A342" s="56">
        <f t="shared" si="142"/>
        <v>44524</v>
      </c>
      <c r="B342" s="607">
        <v>1.0210000000000001</v>
      </c>
      <c r="C342" s="388"/>
      <c r="D342" s="391">
        <f t="shared" si="122"/>
        <v>1.0417339427892822</v>
      </c>
      <c r="E342" s="383">
        <f t="shared" si="120"/>
        <v>1.1019988446505786</v>
      </c>
      <c r="F342" s="383">
        <f t="shared" si="123"/>
        <v>1.1019988446505786</v>
      </c>
      <c r="G342" s="110">
        <f t="shared" si="121"/>
        <v>3.6855454355791586E-2</v>
      </c>
      <c r="H342" s="412" t="b">
        <f>Wh_hp&gt;='2020'!Maxi_hp</f>
        <v>0</v>
      </c>
      <c r="I342" s="379">
        <f>IF(H342,Wh_hp,'2020'!Maxi_hp)</f>
        <v>29.328916242000091</v>
      </c>
      <c r="J342" s="85">
        <f>IF(H342,An,'2020'!An_max)</f>
        <v>2020</v>
      </c>
      <c r="K342" s="197">
        <f t="shared" si="124"/>
        <v>44524</v>
      </c>
      <c r="L342" s="147">
        <f>IF(t&lt;Tvie,1-EXP((T0-t)*PertePVj)+'2020'!Pspv,1-EXP((T0-t)*PertePVj)+Pspv)</f>
        <v>1.9903299621558013E-2</v>
      </c>
      <c r="M342" s="832"/>
      <c r="N342" s="832"/>
      <c r="O342" s="48">
        <f>IF(t&lt;Tnet,'2020'!Resal+('2020'!Salim-'2020'!Resal)*(1-EXP(('2020'!Tnet-t)/('2020'!Tau_j))),Resal+(Salim-Resal)*(1-EXP((Tnet-t)/(Tau_j))))*Salcycl</f>
        <v>5.4686901128653334E-2</v>
      </c>
      <c r="P342" s="169">
        <f>(INDEX(Models!$BJ342:$BT342,,T342)*(1-R342)+INDEX(Models!$BJ342:$BT342,,T342+1)*R342-ERP_i)*Q342*Ramure*Pc/MaxiM</f>
        <v>1.4611087863701994E-2</v>
      </c>
      <c r="Q342" s="304">
        <f t="shared" si="125"/>
        <v>0.7</v>
      </c>
      <c r="R342" s="177">
        <f t="shared" si="126"/>
        <v>0.93431873331154169</v>
      </c>
      <c r="S342" s="799">
        <f t="shared" si="127"/>
        <v>-1</v>
      </c>
      <c r="T342" s="176">
        <f t="shared" si="128"/>
        <v>5</v>
      </c>
      <c r="U342" s="250">
        <f t="shared" si="129"/>
        <v>-6.5681266688458251E-2</v>
      </c>
      <c r="V342" s="382">
        <f t="shared" si="130"/>
        <v>27.298051180667681</v>
      </c>
      <c r="W342" s="400"/>
      <c r="X342" s="157">
        <f t="shared" si="131"/>
        <v>44524</v>
      </c>
      <c r="Y342" s="383">
        <f t="shared" si="132"/>
        <v>1.0210000000000001</v>
      </c>
      <c r="Z342" s="383">
        <f t="shared" si="133"/>
        <v>1.0417339427892822</v>
      </c>
      <c r="AA342" s="384">
        <f t="shared" si="134"/>
        <v>1.1019988446505786</v>
      </c>
      <c r="AB342" s="197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5.4686901128653334E-2</v>
      </c>
      <c r="AD342" s="230">
        <f>(INDEX(Models!$BJ342:$BT342,,AH342)*(1-AF342)+INDEX(Models!$BJ342:$BT342,,AH342+1)*AF342-ERP_i)*AE342*Ramure*Pc/MaxiM</f>
        <v>1.5455186465633751E-2</v>
      </c>
      <c r="AE342" s="304">
        <f t="shared" si="136"/>
        <v>0.7</v>
      </c>
      <c r="AF342" s="177">
        <f t="shared" si="137"/>
        <v>0.99865095557137384</v>
      </c>
      <c r="AG342" s="799">
        <f t="shared" si="143"/>
        <v>-1</v>
      </c>
      <c r="AH342" s="176">
        <f t="shared" si="138"/>
        <v>5</v>
      </c>
      <c r="AI342" s="224">
        <f t="shared" si="139"/>
        <v>-1.3490444286261005E-3</v>
      </c>
      <c r="AJ342" s="264" t="b">
        <f t="shared" si="140"/>
        <v>0</v>
      </c>
      <c r="AK342" s="264" t="b">
        <f t="shared" si="141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42"/>
        <v>44525</v>
      </c>
      <c r="B343" s="607">
        <v>19.719000000000001</v>
      </c>
      <c r="C343" s="388"/>
      <c r="D343" s="391">
        <f t="shared" si="122"/>
        <v>20.119828900316556</v>
      </c>
      <c r="E343" s="383">
        <f t="shared" si="120"/>
        <v>21.288516927596167</v>
      </c>
      <c r="F343" s="383">
        <f t="shared" si="123"/>
        <v>21.479284596627679</v>
      </c>
      <c r="G343" s="110">
        <f t="shared" si="121"/>
        <v>0.7242039974058363</v>
      </c>
      <c r="H343" s="412" t="b">
        <f>Wh_hp&gt;='2020'!Maxi_hp</f>
        <v>0</v>
      </c>
      <c r="I343" s="379">
        <f>IF(H343,Wh_hp,'2020'!Maxi_hp)</f>
        <v>27.79857439619018</v>
      </c>
      <c r="J343" s="85">
        <f>IF(H343,An,'2020'!An_max)</f>
        <v>2020</v>
      </c>
      <c r="K343" s="197">
        <f t="shared" si="124"/>
        <v>44525</v>
      </c>
      <c r="L343" s="147">
        <f>IF(t&lt;Tvie,1-EXP((T0-t)*PertePVj)+'2020'!Pspv,1-EXP((T0-t)*PertePVj)+Pspv)</f>
        <v>1.9922082951224773E-2</v>
      </c>
      <c r="M343" s="832"/>
      <c r="N343" s="832"/>
      <c r="O343" s="48">
        <f>IF(t&lt;Tnet,'2020'!Resal+('2020'!Salim-'2020'!Resal)*(1-EXP(('2020'!Tnet-t)/('2020'!Tau_j))),Resal+(Salim-Resal)*(1-EXP((Tnet-t)/(Tau_j))))*Salcycl</f>
        <v>5.4897578410671097E-2</v>
      </c>
      <c r="P343" s="169">
        <f>(INDEX(Models!$BJ343:$BT343,,T343)*(1-R343)+INDEX(Models!$BJ343:$BT343,,T343+1)*R343-ERP_i)*Q343*Ramure*Pc/MaxiM</f>
        <v>1.4514131491699946E-2</v>
      </c>
      <c r="Q343" s="304">
        <f t="shared" si="125"/>
        <v>0.7</v>
      </c>
      <c r="R343" s="177">
        <f t="shared" si="126"/>
        <v>0.93433556991265965</v>
      </c>
      <c r="S343" s="799">
        <f t="shared" si="127"/>
        <v>-1</v>
      </c>
      <c r="T343" s="176">
        <f t="shared" si="128"/>
        <v>5</v>
      </c>
      <c r="U343" s="250">
        <f t="shared" si="129"/>
        <v>-6.5664430087340353E-2</v>
      </c>
      <c r="V343" s="382">
        <f t="shared" si="130"/>
        <v>27.073772518681732</v>
      </c>
      <c r="W343" s="400"/>
      <c r="X343" s="157">
        <f t="shared" si="131"/>
        <v>44525</v>
      </c>
      <c r="Y343" s="383">
        <f t="shared" si="132"/>
        <v>19.708789219558675</v>
      </c>
      <c r="Z343" s="383">
        <f t="shared" si="133"/>
        <v>20.109410564933516</v>
      </c>
      <c r="AA343" s="384">
        <f t="shared" si="134"/>
        <v>21.277493428824975</v>
      </c>
      <c r="AB343" s="197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5.4897578410671097E-2</v>
      </c>
      <c r="AD343" s="230">
        <f>(INDEX(Models!$BJ343:$BT343,,AH343)*(1-AF343)+INDEX(Models!$BJ343:$BT343,,AH343+1)*AF343-ERP_i)*AE343*Ramure*Pc/MaxiM</f>
        <v>1.5352829744270451E-2</v>
      </c>
      <c r="AE343" s="304">
        <f t="shared" si="136"/>
        <v>0.7</v>
      </c>
      <c r="AF343" s="177">
        <f t="shared" si="137"/>
        <v>0.9986677921724918</v>
      </c>
      <c r="AG343" s="799">
        <f t="shared" si="143"/>
        <v>-1</v>
      </c>
      <c r="AH343" s="176">
        <f t="shared" si="138"/>
        <v>5</v>
      </c>
      <c r="AI343" s="224">
        <f t="shared" si="139"/>
        <v>-1.3322078275082028E-3</v>
      </c>
      <c r="AJ343" s="264" t="b">
        <f t="shared" si="140"/>
        <v>0</v>
      </c>
      <c r="AK343" s="264" t="b">
        <f t="shared" si="141"/>
        <v>0</v>
      </c>
      <c r="AL343" s="264"/>
      <c r="AM343" s="264"/>
      <c r="AN343" s="75"/>
    </row>
    <row r="344" spans="1:40" s="6" customFormat="1" ht="11.25" x14ac:dyDescent="0.2">
      <c r="A344" s="56">
        <f t="shared" si="142"/>
        <v>44526</v>
      </c>
      <c r="B344" s="607">
        <v>7.4859999999999998</v>
      </c>
      <c r="C344" s="388"/>
      <c r="D344" s="391">
        <f t="shared" si="122"/>
        <v>7.6383146074488915</v>
      </c>
      <c r="E344" s="383">
        <f t="shared" si="120"/>
        <v>8.0837996464459678</v>
      </c>
      <c r="F344" s="383">
        <f t="shared" si="123"/>
        <v>8.0837996464459678</v>
      </c>
      <c r="G344" s="110">
        <f t="shared" si="121"/>
        <v>0.27474983843112738</v>
      </c>
      <c r="H344" s="412" t="b">
        <f>Wh_hp&gt;='2020'!Maxi_hp</f>
        <v>0</v>
      </c>
      <c r="I344" s="379">
        <f>IF(H344,Wh_hp,'2020'!Maxi_hp)</f>
        <v>28.034337428546774</v>
      </c>
      <c r="J344" s="85">
        <f>IF(H344,An,'2020'!An_max)</f>
        <v>2020</v>
      </c>
      <c r="K344" s="197">
        <f t="shared" si="124"/>
        <v>44526</v>
      </c>
      <c r="L344" s="147">
        <f>IF(t&lt;Tvie,1-EXP((T0-t)*PertePVj)+'2020'!Pspv,1-EXP((T0-t)*PertePVj)+Pspv)</f>
        <v>1.9940865920913264E-2</v>
      </c>
      <c r="M344" s="832"/>
      <c r="N344" s="832"/>
      <c r="O344" s="48">
        <f>IF(t&lt;Tnet,'2020'!Resal+('2020'!Salim-'2020'!Resal)*(1-EXP(('2020'!Tnet-t)/('2020'!Tau_j))),Resal+(Salim-Resal)*(1-EXP((Tnet-t)/(Tau_j))))*Salcycl</f>
        <v>5.5108372112232289E-2</v>
      </c>
      <c r="P344" s="169">
        <f>(INDEX(Models!$BJ344:$BT344,,T344)*(1-R344)+INDEX(Models!$BJ344:$BT344,,T344+1)*R344-ERP_i)*Q344*Ramure*Pc/MaxiM</f>
        <v>1.4425625082614127E-2</v>
      </c>
      <c r="Q344" s="304">
        <f t="shared" si="125"/>
        <v>0.7</v>
      </c>
      <c r="R344" s="177">
        <f t="shared" si="126"/>
        <v>0.9343517299553783</v>
      </c>
      <c r="S344" s="799">
        <f t="shared" si="127"/>
        <v>-1</v>
      </c>
      <c r="T344" s="176">
        <f t="shared" si="128"/>
        <v>5</v>
      </c>
      <c r="U344" s="250">
        <f t="shared" si="129"/>
        <v>-6.5648270044621648E-2</v>
      </c>
      <c r="V344" s="382">
        <f t="shared" si="130"/>
        <v>26.853554538053078</v>
      </c>
      <c r="W344" s="400"/>
      <c r="X344" s="157">
        <f t="shared" si="131"/>
        <v>44526</v>
      </c>
      <c r="Y344" s="383">
        <f t="shared" si="132"/>
        <v>7.4859999999999998</v>
      </c>
      <c r="Z344" s="383">
        <f t="shared" si="133"/>
        <v>7.6383146074488915</v>
      </c>
      <c r="AA344" s="384">
        <f t="shared" si="134"/>
        <v>8.0837996464459678</v>
      </c>
      <c r="AB344" s="197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5.5108372112232289E-2</v>
      </c>
      <c r="AD344" s="230">
        <f>(INDEX(Models!$BJ344:$BT344,,AH344)*(1-AF344)+INDEX(Models!$BJ344:$BT344,,AH344+1)*AF344-ERP_i)*AE344*Ramure*Pc/MaxiM</f>
        <v>1.5259655168210533E-2</v>
      </c>
      <c r="AE344" s="304">
        <f t="shared" si="136"/>
        <v>0.7</v>
      </c>
      <c r="AF344" s="177">
        <f t="shared" si="137"/>
        <v>0.99868395221521045</v>
      </c>
      <c r="AG344" s="799">
        <f t="shared" si="143"/>
        <v>-1</v>
      </c>
      <c r="AH344" s="176">
        <f t="shared" si="138"/>
        <v>5</v>
      </c>
      <c r="AI344" s="224">
        <f t="shared" si="139"/>
        <v>-1.316047784789498E-3</v>
      </c>
      <c r="AJ344" s="264" t="b">
        <f t="shared" si="140"/>
        <v>0</v>
      </c>
      <c r="AK344" s="264" t="b">
        <f t="shared" si="141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42"/>
        <v>44527</v>
      </c>
      <c r="B345" s="607">
        <v>13.713000000000001</v>
      </c>
      <c r="C345" s="388"/>
      <c r="D345" s="391">
        <f t="shared" si="122"/>
        <v>13.992281011123849</v>
      </c>
      <c r="E345" s="383">
        <f t="shared" si="120"/>
        <v>14.811651259546609</v>
      </c>
      <c r="F345" s="383">
        <f t="shared" si="123"/>
        <v>14.877175069796044</v>
      </c>
      <c r="G345" s="110">
        <f t="shared" si="121"/>
        <v>0.50973512736849191</v>
      </c>
      <c r="H345" s="412" t="b">
        <f>Wh_hp&gt;='2020'!Maxi_hp</f>
        <v>0</v>
      </c>
      <c r="I345" s="379">
        <f>IF(H345,Wh_hp,'2020'!Maxi_hp)</f>
        <v>23.110543581605093</v>
      </c>
      <c r="J345" s="85">
        <f>IF(H345,An,'2020'!An_max)</f>
        <v>2020</v>
      </c>
      <c r="K345" s="197">
        <f t="shared" si="124"/>
        <v>44527</v>
      </c>
      <c r="L345" s="147">
        <f>IF(t&lt;Tvie,1-EXP((T0-t)*PertePVj)+'2020'!Pspv,1-EXP((T0-t)*PertePVj)+Pspv)</f>
        <v>1.9959648530630481E-2</v>
      </c>
      <c r="M345" s="832"/>
      <c r="N345" s="832"/>
      <c r="O345" s="48">
        <f>IF(t&lt;Tnet,'2020'!Resal+('2020'!Salim-'2020'!Resal)*(1-EXP(('2020'!Tnet-t)/('2020'!Tau_j))),Resal+(Salim-Resal)*(1-EXP((Tnet-t)/(Tau_j))))*Salcycl</f>
        <v>5.5319304651778693E-2</v>
      </c>
      <c r="P345" s="169">
        <f>(INDEX(Models!$BJ345:$BT345,,T345)*(1-R345)+INDEX(Models!$BJ345:$BT345,,T345+1)*R345-ERP_i)*Q345*Ramure*Pc/MaxiM</f>
        <v>1.4347817675933077E-2</v>
      </c>
      <c r="Q345" s="304">
        <f t="shared" si="125"/>
        <v>0.7</v>
      </c>
      <c r="R345" s="177">
        <f t="shared" si="126"/>
        <v>0.9343672405749468</v>
      </c>
      <c r="S345" s="799">
        <f t="shared" si="127"/>
        <v>-1</v>
      </c>
      <c r="T345" s="176">
        <f t="shared" si="128"/>
        <v>5</v>
      </c>
      <c r="U345" s="250">
        <f t="shared" si="129"/>
        <v>-6.56327594250532E-2</v>
      </c>
      <c r="V345" s="382">
        <f t="shared" si="130"/>
        <v>26.633521709350063</v>
      </c>
      <c r="W345" s="400"/>
      <c r="X345" s="157">
        <f t="shared" si="131"/>
        <v>44527</v>
      </c>
      <c r="Y345" s="383">
        <f t="shared" si="132"/>
        <v>13.709489734945215</v>
      </c>
      <c r="Z345" s="383">
        <f t="shared" si="133"/>
        <v>13.988699255485397</v>
      </c>
      <c r="AA345" s="384">
        <f t="shared" si="134"/>
        <v>14.807859760835893</v>
      </c>
      <c r="AB345" s="197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5.5319304651778693E-2</v>
      </c>
      <c r="AD345" s="230">
        <f>(INDEX(Models!$BJ345:$BT345,,AH345)*(1-AF345)+INDEX(Models!$BJ345:$BT345,,AH345+1)*AF345-ERP_i)*AE345*Ramure*Pc/MaxiM</f>
        <v>1.5178046138118286E-2</v>
      </c>
      <c r="AE345" s="304">
        <f t="shared" si="136"/>
        <v>0.7</v>
      </c>
      <c r="AF345" s="177">
        <f t="shared" si="137"/>
        <v>0.99869946283477895</v>
      </c>
      <c r="AG345" s="799">
        <f t="shared" si="143"/>
        <v>-1</v>
      </c>
      <c r="AH345" s="176">
        <f t="shared" si="138"/>
        <v>5</v>
      </c>
      <c r="AI345" s="224">
        <f t="shared" si="139"/>
        <v>-1.3005371652210496E-3</v>
      </c>
      <c r="AJ345" s="264" t="b">
        <f t="shared" si="140"/>
        <v>0</v>
      </c>
      <c r="AK345" s="264" t="b">
        <f t="shared" si="141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42"/>
        <v>44528</v>
      </c>
      <c r="B346" s="607">
        <v>5.702</v>
      </c>
      <c r="C346" s="388"/>
      <c r="D346" s="391">
        <f t="shared" si="122"/>
        <v>5.8182392909377052</v>
      </c>
      <c r="E346" s="383">
        <f t="shared" si="120"/>
        <v>6.1603245460825606</v>
      </c>
      <c r="F346" s="383">
        <f t="shared" si="123"/>
        <v>6.1603245460825606</v>
      </c>
      <c r="G346" s="110">
        <f t="shared" si="121"/>
        <v>0.21281506041758699</v>
      </c>
      <c r="H346" s="412" t="b">
        <f>Wh_hp&gt;='2020'!Maxi_hp</f>
        <v>0</v>
      </c>
      <c r="I346" s="379">
        <f>IF(H346,Wh_hp,'2020'!Maxi_hp)</f>
        <v>17.324015395081876</v>
      </c>
      <c r="J346" s="85">
        <f>IF(H346,An,'2020'!An_max)</f>
        <v>2020</v>
      </c>
      <c r="K346" s="197">
        <f t="shared" si="124"/>
        <v>44528</v>
      </c>
      <c r="L346" s="147">
        <f>IF(t&lt;Tvie,1-EXP((T0-t)*PertePVj)+'2020'!Pspv,1-EXP((T0-t)*PertePVj)+Pspv)</f>
        <v>1.9978430780383305E-2</v>
      </c>
      <c r="M346" s="832"/>
      <c r="N346" s="832"/>
      <c r="O346" s="48">
        <f>IF(t&lt;Tnet,'2020'!Resal+('2020'!Salim-'2020'!Resal)*(1-EXP(('2020'!Tnet-t)/('2020'!Tau_j))),Resal+(Salim-Resal)*(1-EXP((Tnet-t)/(Tau_j))))*Salcycl</f>
        <v>5.5530394963101755E-2</v>
      </c>
      <c r="P346" s="169">
        <f>(INDEX(Models!$BJ346:$BT346,,T346)*(1-R346)+INDEX(Models!$BJ346:$BT346,,T346+1)*R346-ERP_i)*Q346*Ramure*Pc/MaxiM</f>
        <v>1.4287458931867862E-2</v>
      </c>
      <c r="Q346" s="304">
        <f t="shared" si="125"/>
        <v>0.7</v>
      </c>
      <c r="R346" s="177">
        <f t="shared" si="126"/>
        <v>0.93438212782233454</v>
      </c>
      <c r="S346" s="799">
        <f t="shared" si="127"/>
        <v>-1</v>
      </c>
      <c r="T346" s="176">
        <f t="shared" si="128"/>
        <v>5</v>
      </c>
      <c r="U346" s="250">
        <f t="shared" si="129"/>
        <v>-6.5617872177665404E-2</v>
      </c>
      <c r="V346" s="382">
        <f t="shared" si="130"/>
        <v>26.410409574124344</v>
      </c>
      <c r="W346" s="400"/>
      <c r="X346" s="157">
        <f t="shared" si="131"/>
        <v>44528</v>
      </c>
      <c r="Y346" s="383">
        <f t="shared" si="132"/>
        <v>5.702</v>
      </c>
      <c r="Z346" s="383">
        <f t="shared" si="133"/>
        <v>5.8182392909377052</v>
      </c>
      <c r="AA346" s="384">
        <f t="shared" si="134"/>
        <v>6.1603245460825606</v>
      </c>
      <c r="AB346" s="197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5.5530394963101755E-2</v>
      </c>
      <c r="AD346" s="230">
        <f>(INDEX(Models!$BJ346:$BT346,,AH346)*(1-AF346)+INDEX(Models!$BJ346:$BT346,,AH346+1)*AF346-ERP_i)*AE346*Ramure*Pc/MaxiM</f>
        <v>1.5115114937157802E-2</v>
      </c>
      <c r="AE346" s="304">
        <f t="shared" si="136"/>
        <v>0.7</v>
      </c>
      <c r="AF346" s="177">
        <f t="shared" si="137"/>
        <v>0.99871435008216669</v>
      </c>
      <c r="AG346" s="799">
        <f t="shared" si="143"/>
        <v>-1</v>
      </c>
      <c r="AH346" s="176">
        <f t="shared" si="138"/>
        <v>5</v>
      </c>
      <c r="AI346" s="224">
        <f t="shared" si="139"/>
        <v>-1.2856499178332537E-3</v>
      </c>
      <c r="AJ346" s="264" t="b">
        <f t="shared" si="140"/>
        <v>0</v>
      </c>
      <c r="AK346" s="264" t="b">
        <f t="shared" si="141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42"/>
        <v>44529</v>
      </c>
      <c r="B347" s="607">
        <v>7.843</v>
      </c>
      <c r="C347" s="388"/>
      <c r="D347" s="391">
        <f t="shared" si="122"/>
        <v>8.0030384621349313</v>
      </c>
      <c r="E347" s="383">
        <f t="shared" si="120"/>
        <v>8.4754755242378668</v>
      </c>
      <c r="F347" s="383">
        <f t="shared" si="123"/>
        <v>8.4754755242378668</v>
      </c>
      <c r="G347" s="110">
        <f t="shared" si="121"/>
        <v>0.29524796486530058</v>
      </c>
      <c r="H347" s="412" t="b">
        <f>Wh_hp&gt;='2020'!Maxi_hp</f>
        <v>0</v>
      </c>
      <c r="I347" s="379">
        <f>IF(H347,Wh_hp,'2020'!Maxi_hp)</f>
        <v>14.807733331286865</v>
      </c>
      <c r="J347" s="85">
        <f>IF(H347,An,'2020'!An_max)</f>
        <v>2018</v>
      </c>
      <c r="K347" s="197">
        <f t="shared" si="124"/>
        <v>44529</v>
      </c>
      <c r="L347" s="147">
        <f>IF(t&lt;Tvie,1-EXP((T0-t)*PertePVj)+'2020'!Pspv,1-EXP((T0-t)*PertePVj)+Pspv)</f>
        <v>1.999721267017851E-2</v>
      </c>
      <c r="M347" s="832"/>
      <c r="N347" s="832"/>
      <c r="O347" s="48">
        <f>IF(t&lt;Tnet,'2020'!Resal+('2020'!Salim-'2020'!Resal)*(1-EXP(('2020'!Tnet-t)/('2020'!Tau_j))),Resal+(Salim-Resal)*(1-EXP((Tnet-t)/(Tau_j))))*Salcycl</f>
        <v>5.5741658477081964E-2</v>
      </c>
      <c r="P347" s="169">
        <f>(INDEX(Models!$BJ347:$BT347,,T347)*(1-R347)+INDEX(Models!$BJ347:$BT347,,T347+1)*R347-ERP_i)*Q347*Ramure*Pc/MaxiM</f>
        <v>1.4237869179427586E-2</v>
      </c>
      <c r="Q347" s="304">
        <f t="shared" si="125"/>
        <v>0.7</v>
      </c>
      <c r="R347" s="177">
        <f t="shared" si="126"/>
        <v>0.93439641670723783</v>
      </c>
      <c r="S347" s="799">
        <f t="shared" si="127"/>
        <v>-1</v>
      </c>
      <c r="T347" s="176">
        <f t="shared" si="128"/>
        <v>5</v>
      </c>
      <c r="U347" s="250">
        <f t="shared" si="129"/>
        <v>-6.5603583292762113E-2</v>
      </c>
      <c r="V347" s="382">
        <f t="shared" si="130"/>
        <v>26.185895626928286</v>
      </c>
      <c r="W347" s="400"/>
      <c r="X347" s="157">
        <f t="shared" si="131"/>
        <v>44529</v>
      </c>
      <c r="Y347" s="383">
        <f t="shared" si="132"/>
        <v>7.8430000000000009</v>
      </c>
      <c r="Z347" s="383">
        <f t="shared" si="133"/>
        <v>8.0030384621349313</v>
      </c>
      <c r="AA347" s="384">
        <f t="shared" si="134"/>
        <v>8.4754755242378668</v>
      </c>
      <c r="AB347" s="197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5.5741658477081964E-2</v>
      </c>
      <c r="AD347" s="230">
        <f>(INDEX(Models!$BJ347:$BT347,,AH347)*(1-AF347)+INDEX(Models!$BJ347:$BT347,,AH347+1)*AF347-ERP_i)*AE347*Ramure*Pc/MaxiM</f>
        <v>1.5063623345944578E-2</v>
      </c>
      <c r="AE347" s="304">
        <f t="shared" si="136"/>
        <v>0.7</v>
      </c>
      <c r="AF347" s="177">
        <f t="shared" si="137"/>
        <v>0.99872863896706998</v>
      </c>
      <c r="AG347" s="799">
        <f t="shared" si="143"/>
        <v>-1</v>
      </c>
      <c r="AH347" s="176">
        <f t="shared" si="138"/>
        <v>5</v>
      </c>
      <c r="AI347" s="224">
        <f t="shared" si="139"/>
        <v>-1.2713610329299629E-3</v>
      </c>
      <c r="AJ347" s="264" t="b">
        <f t="shared" si="140"/>
        <v>0</v>
      </c>
      <c r="AK347" s="264" t="b">
        <f t="shared" si="141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42"/>
        <v>44530</v>
      </c>
      <c r="B348" s="607">
        <v>22.308</v>
      </c>
      <c r="C348" s="388"/>
      <c r="D348" s="391">
        <f t="shared" si="122"/>
        <v>22.763636822612849</v>
      </c>
      <c r="E348" s="383">
        <f t="shared" si="120"/>
        <v>24.112824261637456</v>
      </c>
      <c r="F348" s="383">
        <f t="shared" si="123"/>
        <v>24.38949885513513</v>
      </c>
      <c r="G348" s="110">
        <f t="shared" si="121"/>
        <v>0.8567918185274962</v>
      </c>
      <c r="H348" s="412" t="b">
        <f>Wh_hp&gt;='2020'!Maxi_hp</f>
        <v>0</v>
      </c>
      <c r="I348" s="379">
        <f>IF(H348,Wh_hp,'2020'!Maxi_hp)</f>
        <v>27.039927040267969</v>
      </c>
      <c r="J348" s="85">
        <f>IF(H348,An,'2020'!An_max)</f>
        <v>2020</v>
      </c>
      <c r="K348" s="197">
        <f t="shared" si="124"/>
        <v>44530</v>
      </c>
      <c r="L348" s="147">
        <f>IF(t&lt;Tvie,1-EXP((T0-t)*PertePVj)+'2020'!Pspv,1-EXP((T0-t)*PertePVj)+Pspv)</f>
        <v>2.0015994200023091E-2</v>
      </c>
      <c r="M348" s="832"/>
      <c r="N348" s="832"/>
      <c r="O348" s="48">
        <f>IF(t&lt;Tnet,'2020'!Resal+('2020'!Salim-'2020'!Resal)*(1-EXP(('2020'!Tnet-t)/('2020'!Tau_j))),Resal+(Salim-Resal)*(1-EXP((Tnet-t)/(Tau_j))))*Salcycl</f>
        <v>5.5953107126115842E-2</v>
      </c>
      <c r="P348" s="169">
        <f>(INDEX(Models!$BJ348:$BT348,,T348)*(1-R348)+INDEX(Models!$BJ348:$BT348,,T348+1)*R348-ERP_i)*Q348*Ramure*Pc/MaxiM</f>
        <v>1.4198446171955837E-2</v>
      </c>
      <c r="Q348" s="304">
        <f t="shared" si="125"/>
        <v>0.7</v>
      </c>
      <c r="R348" s="177">
        <f t="shared" si="126"/>
        <v>0.93441013123940508</v>
      </c>
      <c r="S348" s="799">
        <f t="shared" si="127"/>
        <v>-1</v>
      </c>
      <c r="T348" s="176">
        <f t="shared" si="128"/>
        <v>5</v>
      </c>
      <c r="U348" s="250">
        <f t="shared" si="129"/>
        <v>-6.558986876059486E-2</v>
      </c>
      <c r="V348" s="382">
        <f t="shared" si="130"/>
        <v>25.961490297868355</v>
      </c>
      <c r="W348" s="400"/>
      <c r="X348" s="157">
        <f t="shared" si="131"/>
        <v>44530</v>
      </c>
      <c r="Y348" s="383">
        <f t="shared" si="132"/>
        <v>22.293136331901973</v>
      </c>
      <c r="Z348" s="383">
        <f t="shared" si="133"/>
        <v>22.748469566810655</v>
      </c>
      <c r="AA348" s="384">
        <f t="shared" si="134"/>
        <v>24.096758051455861</v>
      </c>
      <c r="AB348" s="197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5.5953107126115842E-2</v>
      </c>
      <c r="AD348" s="230">
        <f>(INDEX(Models!$BJ348:$BT348,,AH348)*(1-AF348)+INDEX(Models!$BJ348:$BT348,,AH348+1)*AF348-ERP_i)*AE348*Ramure*Pc/MaxiM</f>
        <v>1.5022935394355693E-2</v>
      </c>
      <c r="AE348" s="304">
        <f t="shared" si="136"/>
        <v>0.7</v>
      </c>
      <c r="AF348" s="177">
        <f t="shared" si="137"/>
        <v>0.99874235349923723</v>
      </c>
      <c r="AG348" s="799">
        <f t="shared" si="143"/>
        <v>-1</v>
      </c>
      <c r="AH348" s="176">
        <f t="shared" si="138"/>
        <v>5</v>
      </c>
      <c r="AI348" s="224">
        <f t="shared" si="139"/>
        <v>-1.2576465007627102E-3</v>
      </c>
      <c r="AJ348" s="264" t="b">
        <f t="shared" si="140"/>
        <v>0</v>
      </c>
      <c r="AK348" s="264" t="b">
        <f t="shared" si="141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42"/>
        <v>44531</v>
      </c>
      <c r="B349" s="607">
        <v>4.2960000000000003</v>
      </c>
      <c r="C349" s="388"/>
      <c r="D349" s="391">
        <f t="shared" si="122"/>
        <v>4.3838290298736711</v>
      </c>
      <c r="E349" s="383">
        <f t="shared" si="120"/>
        <v>4.6446972890155909</v>
      </c>
      <c r="F349" s="383">
        <f t="shared" si="123"/>
        <v>4.6446972890155909</v>
      </c>
      <c r="G349" s="110">
        <f t="shared" si="121"/>
        <v>0.16454332804982386</v>
      </c>
      <c r="H349" s="412" t="b">
        <f>Wh_hp&gt;='2020'!Maxi_hp</f>
        <v>0</v>
      </c>
      <c r="I349" s="379">
        <f>IF(H349,Wh_hp,'2020'!Maxi_hp)</f>
        <v>27.868335200452961</v>
      </c>
      <c r="J349" s="85">
        <f>IF(H349,An,'2020'!An_max)</f>
        <v>2020</v>
      </c>
      <c r="K349" s="197">
        <f t="shared" si="124"/>
        <v>44531</v>
      </c>
      <c r="L349" s="147">
        <f>IF(t&lt;Tvie,1-EXP((T0-t)*PertePVj)+'2020'!Pspv,1-EXP((T0-t)*PertePVj)+Pspv)</f>
        <v>2.0034775369924041E-2</v>
      </c>
      <c r="M349" s="832"/>
      <c r="N349" s="832"/>
      <c r="O349" s="48">
        <f>IF(t&lt;Tnet,'2020'!Resal+('2020'!Salim-'2020'!Resal)*(1-EXP(('2020'!Tnet-t)/('2020'!Tau_j))),Resal+(Salim-Resal)*(1-EXP((Tnet-t)/(Tau_j))))*Salcycl</f>
        <v>5.6164749371042225E-2</v>
      </c>
      <c r="P349" s="169">
        <f>(INDEX(Models!$BJ349:$BT349,,T349)*(1-R349)+INDEX(Models!$BJ349:$BT349,,T349+1)*R349-ERP_i)*Q349*Ramure*Pc/MaxiM</f>
        <v>1.4168575327541648E-2</v>
      </c>
      <c r="Q349" s="304">
        <f t="shared" si="125"/>
        <v>0.7</v>
      </c>
      <c r="R349" s="177">
        <f t="shared" si="126"/>
        <v>0.93442329446834549</v>
      </c>
      <c r="S349" s="799">
        <f t="shared" si="127"/>
        <v>-1</v>
      </c>
      <c r="T349" s="176">
        <f t="shared" si="128"/>
        <v>5</v>
      </c>
      <c r="U349" s="250">
        <f t="shared" si="129"/>
        <v>-6.5576705531654456E-2</v>
      </c>
      <c r="V349" s="382">
        <f t="shared" si="130"/>
        <v>25.738702690579345</v>
      </c>
      <c r="W349" s="400"/>
      <c r="X349" s="157">
        <f t="shared" si="131"/>
        <v>44531</v>
      </c>
      <c r="Y349" s="383">
        <f t="shared" si="132"/>
        <v>4.2960000000000003</v>
      </c>
      <c r="Z349" s="383">
        <f t="shared" si="133"/>
        <v>4.3838290298736711</v>
      </c>
      <c r="AA349" s="384">
        <f t="shared" si="134"/>
        <v>4.6446972890155909</v>
      </c>
      <c r="AB349" s="197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5.6164749371042225E-2</v>
      </c>
      <c r="AD349" s="230">
        <f>(INDEX(Models!$BJ349:$BT349,,AH349)*(1-AF349)+INDEX(Models!$BJ349:$BT349,,AH349+1)*AF349-ERP_i)*AE349*Ramure*Pc/MaxiM</f>
        <v>1.499240189430741E-2</v>
      </c>
      <c r="AE349" s="304">
        <f t="shared" si="136"/>
        <v>0.7</v>
      </c>
      <c r="AF349" s="177">
        <f t="shared" si="137"/>
        <v>0.99875551672817764</v>
      </c>
      <c r="AG349" s="799">
        <f t="shared" si="143"/>
        <v>-1</v>
      </c>
      <c r="AH349" s="176">
        <f t="shared" si="138"/>
        <v>5</v>
      </c>
      <c r="AI349" s="224">
        <f t="shared" si="139"/>
        <v>-1.2444832718223053E-3</v>
      </c>
      <c r="AJ349" s="264" t="b">
        <f t="shared" si="140"/>
        <v>0</v>
      </c>
      <c r="AK349" s="264" t="b">
        <f t="shared" si="141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42"/>
        <v>44532</v>
      </c>
      <c r="B350" s="607">
        <v>9.9930000000000003</v>
      </c>
      <c r="C350" s="388"/>
      <c r="D350" s="391">
        <f t="shared" si="122"/>
        <v>10.197496060136126</v>
      </c>
      <c r="E350" s="383">
        <f t="shared" si="120"/>
        <v>10.806743405019933</v>
      </c>
      <c r="F350" s="383">
        <f t="shared" si="123"/>
        <v>10.826785026069079</v>
      </c>
      <c r="G350" s="110">
        <f t="shared" si="121"/>
        <v>0.38676583745259147</v>
      </c>
      <c r="H350" s="412" t="b">
        <f>Wh_hp&gt;='2020'!Maxi_hp</f>
        <v>1</v>
      </c>
      <c r="I350" s="379">
        <f>IF(H350,Wh_hp,'2020'!Maxi_hp)</f>
        <v>10.826785026069079</v>
      </c>
      <c r="J350" s="85">
        <f>IF(H350,An,'2020'!An_max)</f>
        <v>2021</v>
      </c>
      <c r="K350" s="197">
        <f t="shared" si="124"/>
        <v>44532</v>
      </c>
      <c r="L350" s="147">
        <f>IF(t&lt;Tvie,1-EXP((T0-t)*PertePVj)+'2020'!Pspv,1-EXP((T0-t)*PertePVj)+Pspv)</f>
        <v>2.0053556179888021E-2</v>
      </c>
      <c r="M350" s="832"/>
      <c r="N350" s="832"/>
      <c r="O350" s="48">
        <f>IF(t&lt;Tnet,'2020'!Resal+('2020'!Salim-'2020'!Resal)*(1-EXP(('2020'!Tnet-t)/('2020'!Tau_j))),Resal+(Salim-Resal)*(1-EXP((Tnet-t)/(Tau_j))))*Salcycl</f>
        <v>5.6376590250195195E-2</v>
      </c>
      <c r="P350" s="169">
        <f>(INDEX(Models!$BJ350:$BT350,,T350)*(1-R350)+INDEX(Models!$BJ350:$BT350,,T350+1)*R350-ERP_i)*Q350*Ramure*Pc/MaxiM</f>
        <v>1.4147624256233473E-2</v>
      </c>
      <c r="Q350" s="304">
        <f t="shared" si="125"/>
        <v>0.7</v>
      </c>
      <c r="R350" s="177">
        <f t="shared" si="126"/>
        <v>0.93443592852148316</v>
      </c>
      <c r="S350" s="799">
        <f t="shared" si="127"/>
        <v>-1</v>
      </c>
      <c r="T350" s="176">
        <f t="shared" si="128"/>
        <v>5</v>
      </c>
      <c r="U350" s="250">
        <f t="shared" si="129"/>
        <v>-6.5564071478516894E-2</v>
      </c>
      <c r="V350" s="382">
        <f t="shared" si="130"/>
        <v>25.519040565041966</v>
      </c>
      <c r="W350" s="400"/>
      <c r="X350" s="157">
        <f t="shared" si="131"/>
        <v>44532</v>
      </c>
      <c r="Y350" s="383">
        <f t="shared" si="132"/>
        <v>9.9919209652081484</v>
      </c>
      <c r="Z350" s="383">
        <f t="shared" si="133"/>
        <v>10.196394944051001</v>
      </c>
      <c r="AA350" s="384">
        <f t="shared" si="134"/>
        <v>10.805576502976439</v>
      </c>
      <c r="AB350" s="197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5.6376590250195195E-2</v>
      </c>
      <c r="AD350" s="230">
        <f>(INDEX(Models!$BJ350:$BT350,,AH350)*(1-AF350)+INDEX(Models!$BJ350:$BT350,,AH350+1)*AF350-ERP_i)*AE350*Ramure*Pc/MaxiM</f>
        <v>1.4971354612908735E-2</v>
      </c>
      <c r="AE350" s="304">
        <f t="shared" si="136"/>
        <v>0.7</v>
      </c>
      <c r="AF350" s="177">
        <f t="shared" si="137"/>
        <v>0.99876815078131531</v>
      </c>
      <c r="AG350" s="799">
        <f t="shared" si="143"/>
        <v>-1</v>
      </c>
      <c r="AH350" s="176">
        <f t="shared" si="138"/>
        <v>5</v>
      </c>
      <c r="AI350" s="224">
        <f t="shared" si="139"/>
        <v>-1.2318492186847441E-3</v>
      </c>
      <c r="AJ350" s="264" t="b">
        <f t="shared" si="140"/>
        <v>0</v>
      </c>
      <c r="AK350" s="264" t="b">
        <f t="shared" si="141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42"/>
        <v>44533</v>
      </c>
      <c r="B351" s="607">
        <v>16.483000000000001</v>
      </c>
      <c r="C351" s="388"/>
      <c r="D351" s="391">
        <f t="shared" si="122"/>
        <v>16.82062933432573</v>
      </c>
      <c r="E351" s="383">
        <f t="shared" si="120"/>
        <v>17.829580917791073</v>
      </c>
      <c r="F351" s="383">
        <f t="shared" si="123"/>
        <v>17.956998625515752</v>
      </c>
      <c r="G351" s="110">
        <f t="shared" si="121"/>
        <v>0.64678061204039505</v>
      </c>
      <c r="H351" s="412" t="b">
        <f>Wh_hp&gt;='2020'!Maxi_hp</f>
        <v>1</v>
      </c>
      <c r="I351" s="379">
        <f>IF(H351,Wh_hp,'2020'!Maxi_hp)</f>
        <v>17.956998625515752</v>
      </c>
      <c r="J351" s="85">
        <f>IF(H351,An,'2020'!An_max)</f>
        <v>2021</v>
      </c>
      <c r="K351" s="197">
        <f t="shared" si="124"/>
        <v>44533</v>
      </c>
      <c r="L351" s="147">
        <f>IF(t&lt;Tvie,1-EXP((T0-t)*PertePVj)+'2020'!Pspv,1-EXP((T0-t)*PertePVj)+Pspv)</f>
        <v>2.0072336629922138E-2</v>
      </c>
      <c r="M351" s="832"/>
      <c r="N351" s="832"/>
      <c r="O351" s="48">
        <f>IF(t&lt;Tnet,'2020'!Resal+('2020'!Salim-'2020'!Resal)*(1-EXP(('2020'!Tnet-t)/('2020'!Tau_j))),Resal+(Salim-Resal)*(1-EXP((Tnet-t)/(Tau_j))))*Salcycl</f>
        <v>5.658863145002864E-2</v>
      </c>
      <c r="P351" s="169">
        <f>(INDEX(Models!$BJ351:$BT351,,T351)*(1-R351)+INDEX(Models!$BJ351:$BT351,,T351+1)*R351-ERP_i)*Q351*Ramure*Pc/MaxiM</f>
        <v>1.4134937730895735E-2</v>
      </c>
      <c r="Q351" s="304">
        <f t="shared" si="125"/>
        <v>0.7</v>
      </c>
      <c r="R351" s="177">
        <f t="shared" si="126"/>
        <v>0.93444805464081315</v>
      </c>
      <c r="S351" s="799">
        <f t="shared" si="127"/>
        <v>-1</v>
      </c>
      <c r="T351" s="176">
        <f t="shared" si="128"/>
        <v>5</v>
      </c>
      <c r="U351" s="250">
        <f t="shared" si="129"/>
        <v>-6.5551945359186792E-2</v>
      </c>
      <c r="V351" s="382">
        <f t="shared" si="130"/>
        <v>25.304010311269806</v>
      </c>
      <c r="W351" s="400"/>
      <c r="X351" s="157">
        <f t="shared" si="131"/>
        <v>44533</v>
      </c>
      <c r="Y351" s="383">
        <f t="shared" si="132"/>
        <v>16.476131779643065</v>
      </c>
      <c r="Z351" s="383">
        <f t="shared" si="133"/>
        <v>16.813620428858854</v>
      </c>
      <c r="AA351" s="384">
        <f t="shared" si="134"/>
        <v>17.822151597241707</v>
      </c>
      <c r="AB351" s="197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5.658863145002864E-2</v>
      </c>
      <c r="AD351" s="230">
        <f>(INDEX(Models!$BJ351:$BT351,,AH351)*(1-AF351)+INDEX(Models!$BJ351:$BT351,,AH351+1)*AF351-ERP_i)*AE351*Ramure*Pc/MaxiM</f>
        <v>1.4959100912163212E-2</v>
      </c>
      <c r="AE351" s="304">
        <f t="shared" si="136"/>
        <v>0.7</v>
      </c>
      <c r="AF351" s="177">
        <f t="shared" si="137"/>
        <v>0.9987802769006453</v>
      </c>
      <c r="AG351" s="799">
        <f t="shared" si="143"/>
        <v>-1</v>
      </c>
      <c r="AH351" s="176">
        <f t="shared" si="138"/>
        <v>5</v>
      </c>
      <c r="AI351" s="224">
        <f t="shared" si="139"/>
        <v>-1.2197230993546415E-3</v>
      </c>
      <c r="AJ351" s="264" t="b">
        <f t="shared" si="140"/>
        <v>0</v>
      </c>
      <c r="AK351" s="264" t="b">
        <f t="shared" si="141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42"/>
        <v>44534</v>
      </c>
      <c r="B352" s="607">
        <v>5.4489999999999998</v>
      </c>
      <c r="C352" s="388"/>
      <c r="D352" s="391">
        <f t="shared" si="122"/>
        <v>5.5607210965993277</v>
      </c>
      <c r="E352" s="383">
        <f t="shared" si="120"/>
        <v>5.8955960920288462</v>
      </c>
      <c r="F352" s="383">
        <f t="shared" si="123"/>
        <v>5.8955960920288462</v>
      </c>
      <c r="G352" s="110">
        <f t="shared" si="121"/>
        <v>0.21406581026679466</v>
      </c>
      <c r="H352" s="412" t="b">
        <f>Wh_hp&gt;='2020'!Maxi_hp</f>
        <v>0</v>
      </c>
      <c r="I352" s="379">
        <f>IF(H352,Wh_hp,'2020'!Maxi_hp)</f>
        <v>14.931962547241282</v>
      </c>
      <c r="J352" s="85">
        <f>IF(H352,An,'2020'!An_max)</f>
        <v>2020</v>
      </c>
      <c r="K352" s="197">
        <f t="shared" si="124"/>
        <v>44534</v>
      </c>
      <c r="L352" s="147">
        <f>IF(t&lt;Tvie,1-EXP((T0-t)*PertePVj)+'2020'!Pspv,1-EXP((T0-t)*PertePVj)+Pspv)</f>
        <v>2.0091116720033164E-2</v>
      </c>
      <c r="M352" s="832"/>
      <c r="N352" s="832"/>
      <c r="O352" s="48">
        <f>IF(t&lt;Tnet,'2020'!Resal+('2020'!Salim-'2020'!Resal)*(1-EXP(('2020'!Tnet-t)/('2020'!Tau_j))),Resal+(Salim-Resal)*(1-EXP((Tnet-t)/(Tau_j))))*Salcycl</f>
        <v>5.680087139658143E-2</v>
      </c>
      <c r="P352" s="169">
        <f>(INDEX(Models!$BJ352:$BT352,,T352)*(1-R352)+INDEX(Models!$BJ352:$BT352,,T352+1)*R352-ERP_i)*Q352*Ramure*Pc/MaxiM</f>
        <v>1.4131659591496905E-2</v>
      </c>
      <c r="Q352" s="304">
        <f t="shared" si="125"/>
        <v>0.7</v>
      </c>
      <c r="R352" s="177">
        <f t="shared" si="126"/>
        <v>0.93445969321812117</v>
      </c>
      <c r="S352" s="799">
        <f t="shared" si="127"/>
        <v>-1</v>
      </c>
      <c r="T352" s="176">
        <f t="shared" si="128"/>
        <v>5</v>
      </c>
      <c r="U352" s="250">
        <f t="shared" si="129"/>
        <v>-6.5540306781878832E-2</v>
      </c>
      <c r="V352" s="382">
        <f t="shared" si="130"/>
        <v>25.095070437407557</v>
      </c>
      <c r="W352" s="400"/>
      <c r="X352" s="157">
        <f t="shared" si="131"/>
        <v>44534</v>
      </c>
      <c r="Y352" s="383">
        <f t="shared" si="132"/>
        <v>5.4489999999999998</v>
      </c>
      <c r="Z352" s="383">
        <f t="shared" si="133"/>
        <v>5.5607210965993277</v>
      </c>
      <c r="AA352" s="384">
        <f t="shared" si="134"/>
        <v>5.8955960920288462</v>
      </c>
      <c r="AB352" s="197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5.680087139658143E-2</v>
      </c>
      <c r="AD352" s="230">
        <f>(INDEX(Models!$BJ352:$BT352,,AH352)*(1-AF352)+INDEX(Models!$BJ352:$BT352,,AH352+1)*AF352-ERP_i)*AE352*Ramure*Pc/MaxiM</f>
        <v>1.4956809519481553E-2</v>
      </c>
      <c r="AE352" s="304">
        <f t="shared" si="136"/>
        <v>0.7</v>
      </c>
      <c r="AF352" s="177">
        <f t="shared" si="137"/>
        <v>0.99879191547795332</v>
      </c>
      <c r="AG352" s="799">
        <f t="shared" si="143"/>
        <v>-1</v>
      </c>
      <c r="AH352" s="176">
        <f t="shared" si="138"/>
        <v>5</v>
      </c>
      <c r="AI352" s="224">
        <f t="shared" si="139"/>
        <v>-1.2080845220466818E-3</v>
      </c>
      <c r="AJ352" s="264" t="b">
        <f t="shared" si="140"/>
        <v>0</v>
      </c>
      <c r="AK352" s="264" t="b">
        <f t="shared" si="141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42"/>
        <v>44535</v>
      </c>
      <c r="B353" s="607">
        <v>6.5460000000000003</v>
      </c>
      <c r="C353" s="388"/>
      <c r="D353" s="391">
        <f t="shared" si="122"/>
        <v>6.6803409650595649</v>
      </c>
      <c r="E353" s="383">
        <f t="shared" si="120"/>
        <v>7.0842367162546722</v>
      </c>
      <c r="F353" s="383">
        <f t="shared" si="123"/>
        <v>7.0842367162546722</v>
      </c>
      <c r="G353" s="110">
        <f t="shared" si="121"/>
        <v>0.25924037207020839</v>
      </c>
      <c r="H353" s="412" t="b">
        <f>Wh_hp&gt;='2020'!Maxi_hp</f>
        <v>0</v>
      </c>
      <c r="I353" s="379">
        <f>IF(H353,Wh_hp,'2020'!Maxi_hp)</f>
        <v>11.159896146615354</v>
      </c>
      <c r="J353" s="85">
        <f>IF(H353,An,'2020'!An_max)</f>
        <v>2018</v>
      </c>
      <c r="K353" s="197">
        <f t="shared" si="124"/>
        <v>44535</v>
      </c>
      <c r="L353" s="147">
        <f>IF(t&lt;Tvie,1-EXP((T0-t)*PertePVj)+'2020'!Pspv,1-EXP((T0-t)*PertePVj)+Pspv)</f>
        <v>2.0109896450228093E-2</v>
      </c>
      <c r="M353" s="832"/>
      <c r="N353" s="832"/>
      <c r="O353" s="48">
        <f>IF(t&lt;Tnet,'2020'!Resal+('2020'!Salim-'2020'!Resal)*(1-EXP(('2020'!Tnet-t)/('2020'!Tau_j))),Resal+(Salim-Resal)*(1-EXP((Tnet-t)/(Tau_j))))*Salcycl</f>
        <v>5.701330536688233E-2</v>
      </c>
      <c r="P353" s="169">
        <f>(INDEX(Models!$BJ353:$BT353,,T353)*(1-R353)+INDEX(Models!$BJ353:$BT353,,T353+1)*R353-ERP_i)*Q353*Ramure*Pc/MaxiM</f>
        <v>1.4132257584162122E-2</v>
      </c>
      <c r="Q353" s="304">
        <f t="shared" si="125"/>
        <v>0.7</v>
      </c>
      <c r="R353" s="177">
        <f t="shared" si="126"/>
        <v>0.93447086382881639</v>
      </c>
      <c r="S353" s="799">
        <f t="shared" si="127"/>
        <v>-1</v>
      </c>
      <c r="T353" s="176">
        <f t="shared" si="128"/>
        <v>5</v>
      </c>
      <c r="U353" s="250">
        <f t="shared" si="129"/>
        <v>-6.5529136171183666E-2</v>
      </c>
      <c r="V353" s="382">
        <f t="shared" si="130"/>
        <v>24.893847321382168</v>
      </c>
      <c r="W353" s="400"/>
      <c r="X353" s="157">
        <f t="shared" si="131"/>
        <v>44535</v>
      </c>
      <c r="Y353" s="383">
        <f t="shared" si="132"/>
        <v>6.5460000000000003</v>
      </c>
      <c r="Z353" s="383">
        <f t="shared" si="133"/>
        <v>6.6803409650595649</v>
      </c>
      <c r="AA353" s="384">
        <f t="shared" si="134"/>
        <v>7.0842367162546722</v>
      </c>
      <c r="AB353" s="197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5.701330536688233E-2</v>
      </c>
      <c r="AD353" s="230">
        <f>(INDEX(Models!$BJ353:$BT353,,AH353)*(1-AF353)+INDEX(Models!$BJ353:$BT353,,AH353+1)*AF353-ERP_i)*AE353*Ramure*Pc/MaxiM</f>
        <v>1.4958556677015525E-2</v>
      </c>
      <c r="AE353" s="304">
        <f t="shared" si="136"/>
        <v>0.7</v>
      </c>
      <c r="AF353" s="177">
        <f t="shared" si="137"/>
        <v>0.99880308608864854</v>
      </c>
      <c r="AG353" s="799">
        <f t="shared" si="143"/>
        <v>-1</v>
      </c>
      <c r="AH353" s="176">
        <f t="shared" si="138"/>
        <v>5</v>
      </c>
      <c r="AI353" s="224">
        <f t="shared" si="139"/>
        <v>-1.1969139113515159E-3</v>
      </c>
      <c r="AJ353" s="264" t="b">
        <f t="shared" si="140"/>
        <v>0</v>
      </c>
      <c r="AK353" s="264" t="b">
        <f t="shared" si="141"/>
        <v>0</v>
      </c>
      <c r="AL353" s="264"/>
      <c r="AM353" s="264"/>
      <c r="AN353" s="75"/>
    </row>
    <row r="354" spans="1:40" s="6" customFormat="1" ht="11.25" x14ac:dyDescent="0.2">
      <c r="A354" s="56">
        <f t="shared" si="142"/>
        <v>44536</v>
      </c>
      <c r="B354" s="607">
        <v>11.224</v>
      </c>
      <c r="C354" s="388"/>
      <c r="D354" s="391">
        <f t="shared" si="122"/>
        <v>11.454565230183288</v>
      </c>
      <c r="E354" s="383">
        <f t="shared" si="120"/>
        <v>12.149851742271203</v>
      </c>
      <c r="F354" s="383">
        <f t="shared" si="123"/>
        <v>12.187848072396378</v>
      </c>
      <c r="G354" s="110">
        <f t="shared" si="121"/>
        <v>0.44935688393357925</v>
      </c>
      <c r="H354" s="412" t="b">
        <f>Wh_hp&gt;='2020'!Maxi_hp</f>
        <v>0</v>
      </c>
      <c r="I354" s="379">
        <f>IF(H354,Wh_hp,'2020'!Maxi_hp)</f>
        <v>24.344380996305986</v>
      </c>
      <c r="J354" s="85">
        <f>IF(H354,An,'2020'!An_max)</f>
        <v>2020</v>
      </c>
      <c r="K354" s="197">
        <f t="shared" si="124"/>
        <v>44536</v>
      </c>
      <c r="L354" s="147">
        <f>IF(t&lt;Tvie,1-EXP((T0-t)*PertePVj)+'2020'!Pspv,1-EXP((T0-t)*PertePVj)+Pspv)</f>
        <v>2.0128675820513808E-2</v>
      </c>
      <c r="M354" s="832"/>
      <c r="N354" s="832"/>
      <c r="O354" s="48">
        <f>IF(t&lt;Tnet,'2020'!Resal+('2020'!Salim-'2020'!Resal)*(1-EXP(('2020'!Tnet-t)/('2020'!Tau_j))),Resal+(Salim-Resal)*(1-EXP((Tnet-t)/(Tau_j))))*Salcycl</f>
        <v>5.7225925619232607E-2</v>
      </c>
      <c r="P354" s="169">
        <f>(INDEX(Models!$BJ354:$BT354,,T354)*(1-R354)+INDEX(Models!$BJ354:$BT354,,T354+1)*R354-ERP_i)*Q354*Ramure*Pc/MaxiM</f>
        <v>1.413592649215672E-2</v>
      </c>
      <c r="Q354" s="304">
        <f t="shared" si="125"/>
        <v>0.7</v>
      </c>
      <c r="R354" s="177">
        <f t="shared" si="126"/>
        <v>0.9344815852644347</v>
      </c>
      <c r="S354" s="799">
        <f t="shared" si="127"/>
        <v>-1</v>
      </c>
      <c r="T354" s="176">
        <f t="shared" si="128"/>
        <v>5</v>
      </c>
      <c r="U354" s="250">
        <f t="shared" si="129"/>
        <v>-6.55184147355653E-2</v>
      </c>
      <c r="V354" s="382">
        <f t="shared" si="130"/>
        <v>24.701842745785864</v>
      </c>
      <c r="W354" s="400"/>
      <c r="X354" s="157">
        <f t="shared" si="131"/>
        <v>44536</v>
      </c>
      <c r="Y354" s="383">
        <f t="shared" si="132"/>
        <v>11.221945082671079</v>
      </c>
      <c r="Z354" s="383">
        <f t="shared" si="133"/>
        <v>11.452468100408987</v>
      </c>
      <c r="AA354" s="384">
        <f t="shared" si="134"/>
        <v>12.147627317744385</v>
      </c>
      <c r="AB354" s="197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5.7225925619232607E-2</v>
      </c>
      <c r="AD354" s="230">
        <f>(INDEX(Models!$BJ354:$BT354,,AH354)*(1-AF354)+INDEX(Models!$BJ354:$BT354,,AH354+1)*AF354-ERP_i)*AE354*Ramure*Pc/MaxiM</f>
        <v>1.4963488035465851E-2</v>
      </c>
      <c r="AE354" s="304">
        <f t="shared" si="136"/>
        <v>0.7</v>
      </c>
      <c r="AF354" s="177">
        <f t="shared" si="137"/>
        <v>0.99881380752426685</v>
      </c>
      <c r="AG354" s="799">
        <f t="shared" si="143"/>
        <v>-1</v>
      </c>
      <c r="AH354" s="176">
        <f t="shared" si="138"/>
        <v>5</v>
      </c>
      <c r="AI354" s="224">
        <f t="shared" si="139"/>
        <v>-1.1861924757331499E-3</v>
      </c>
      <c r="AJ354" s="264" t="b">
        <f t="shared" si="140"/>
        <v>0</v>
      </c>
      <c r="AK354" s="264" t="b">
        <f t="shared" si="141"/>
        <v>0</v>
      </c>
      <c r="AL354" s="264"/>
      <c r="AM354" s="264"/>
      <c r="AN354" s="75"/>
    </row>
    <row r="355" spans="1:40" s="6" customFormat="1" ht="11.25" x14ac:dyDescent="0.2">
      <c r="A355" s="56">
        <f t="shared" si="142"/>
        <v>44537</v>
      </c>
      <c r="B355" s="607">
        <v>6.7279999999999998</v>
      </c>
      <c r="C355" s="388"/>
      <c r="D355" s="391">
        <f t="shared" si="122"/>
        <v>6.8663392600964075</v>
      </c>
      <c r="E355" s="383">
        <f t="shared" si="120"/>
        <v>7.2847669610652233</v>
      </c>
      <c r="F355" s="383">
        <f t="shared" si="123"/>
        <v>7.2847669610652233</v>
      </c>
      <c r="G355" s="110">
        <f t="shared" si="121"/>
        <v>0.27050175711818492</v>
      </c>
      <c r="H355" s="412" t="b">
        <f>Wh_hp&gt;='2020'!Maxi_hp</f>
        <v>0</v>
      </c>
      <c r="I355" s="379">
        <f>IF(H355,Wh_hp,'2020'!Maxi_hp)</f>
        <v>17.844821447176248</v>
      </c>
      <c r="J355" s="85">
        <f>IF(H355,An,'2020'!An_max)</f>
        <v>2018</v>
      </c>
      <c r="K355" s="197">
        <f t="shared" si="124"/>
        <v>44537</v>
      </c>
      <c r="L355" s="147">
        <f>IF(t&lt;Tvie,1-EXP((T0-t)*PertePVj)+'2020'!Pspv,1-EXP((T0-t)*PertePVj)+Pspv)</f>
        <v>2.0147454830897082E-2</v>
      </c>
      <c r="M355" s="832"/>
      <c r="N355" s="832"/>
      <c r="O355" s="48">
        <f>IF(t&lt;Tnet,'2020'!Resal+('2020'!Salim-'2020'!Resal)*(1-EXP(('2020'!Tnet-t)/('2020'!Tau_j))),Resal+(Salim-Resal)*(1-EXP((Tnet-t)/(Tau_j))))*Salcycl</f>
        <v>5.7438721541152857E-2</v>
      </c>
      <c r="P355" s="169">
        <f>(INDEX(Models!$BJ355:$BT355,,T355)*(1-R355)+INDEX(Models!$BJ355:$BT355,,T355+1)*R355-ERP_i)*Q355*Ramure*Pc/MaxiM</f>
        <v>1.4141828722651807E-2</v>
      </c>
      <c r="Q355" s="304">
        <f t="shared" si="125"/>
        <v>0.7</v>
      </c>
      <c r="R355" s="177">
        <f t="shared" si="126"/>
        <v>0.93449187556386271</v>
      </c>
      <c r="S355" s="799">
        <f t="shared" si="127"/>
        <v>-1</v>
      </c>
      <c r="T355" s="176">
        <f t="shared" si="128"/>
        <v>5</v>
      </c>
      <c r="U355" s="250">
        <f t="shared" si="129"/>
        <v>-6.5508124436137238E-2</v>
      </c>
      <c r="V355" s="382">
        <f t="shared" si="130"/>
        <v>24.520557082577614</v>
      </c>
      <c r="W355" s="400"/>
      <c r="X355" s="157">
        <f t="shared" si="131"/>
        <v>44537</v>
      </c>
      <c r="Y355" s="383">
        <f t="shared" si="132"/>
        <v>6.7279999999999998</v>
      </c>
      <c r="Z355" s="383">
        <f t="shared" si="133"/>
        <v>6.8663392600964075</v>
      </c>
      <c r="AA355" s="384">
        <f t="shared" si="134"/>
        <v>7.2847669610652233</v>
      </c>
      <c r="AB355" s="197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5.7438721541152857E-2</v>
      </c>
      <c r="AD355" s="230">
        <f>(INDEX(Models!$BJ355:$BT355,,AH355)*(1-AF355)+INDEX(Models!$BJ355:$BT355,,AH355+1)*AF355-ERP_i)*AE355*Ramure*Pc/MaxiM</f>
        <v>1.49707147652907E-2</v>
      </c>
      <c r="AE355" s="304">
        <f t="shared" si="136"/>
        <v>0.7</v>
      </c>
      <c r="AF355" s="177">
        <f t="shared" si="137"/>
        <v>0.99882409782369486</v>
      </c>
      <c r="AG355" s="799">
        <f t="shared" si="143"/>
        <v>-1</v>
      </c>
      <c r="AH355" s="176">
        <f t="shared" si="138"/>
        <v>5</v>
      </c>
      <c r="AI355" s="224">
        <f t="shared" si="139"/>
        <v>-1.1759021763050881E-3</v>
      </c>
      <c r="AJ355" s="264" t="b">
        <f t="shared" si="140"/>
        <v>0</v>
      </c>
      <c r="AK355" s="264" t="b">
        <f t="shared" si="141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42"/>
        <v>44538</v>
      </c>
      <c r="B356" s="607">
        <v>8.3279999999999994</v>
      </c>
      <c r="C356" s="388"/>
      <c r="D356" s="391">
        <f t="shared" si="122"/>
        <v>8.499400903063064</v>
      </c>
      <c r="E356" s="383">
        <f t="shared" si="120"/>
        <v>9.019383513499788</v>
      </c>
      <c r="F356" s="383">
        <f t="shared" si="123"/>
        <v>9.0270454165424088</v>
      </c>
      <c r="G356" s="110">
        <f t="shared" si="121"/>
        <v>0.33743894357164428</v>
      </c>
      <c r="H356" s="412" t="b">
        <f>Wh_hp&gt;='2020'!Maxi_hp</f>
        <v>0</v>
      </c>
      <c r="I356" s="379">
        <f>IF(H356,Wh_hp,'2020'!Maxi_hp)</f>
        <v>18.164839905008368</v>
      </c>
      <c r="J356" s="85">
        <f>IF(H356,An,'2020'!An_max)</f>
        <v>2018</v>
      </c>
      <c r="K356" s="197">
        <f t="shared" si="124"/>
        <v>44538</v>
      </c>
      <c r="L356" s="147">
        <f>IF(t&lt;Tvie,1-EXP((T0-t)*PertePVj)+'2020'!Pspv,1-EXP((T0-t)*PertePVj)+Pspv)</f>
        <v>2.0166233481385021E-2</v>
      </c>
      <c r="M356" s="832"/>
      <c r="N356" s="832"/>
      <c r="O356" s="48">
        <f>IF(t&lt;Tnet,'2020'!Resal+('2020'!Salim-'2020'!Resal)*(1-EXP(('2020'!Tnet-t)/('2020'!Tau_j))),Resal+(Salim-Resal)*(1-EXP((Tnet-t)/(Tau_j))))*Salcycl</f>
        <v>5.7651679813641173E-2</v>
      </c>
      <c r="P356" s="169">
        <f>(INDEX(Models!$BJ356:$BT356,,T356)*(1-R356)+INDEX(Models!$BJ356:$BT356,,T356+1)*R356-ERP_i)*Q356*Ramure*Pc/MaxiM</f>
        <v>1.4149095266406364E-2</v>
      </c>
      <c r="Q356" s="304">
        <f t="shared" si="125"/>
        <v>0.7</v>
      </c>
      <c r="R356" s="177">
        <f t="shared" si="126"/>
        <v>0.93450175204332997</v>
      </c>
      <c r="S356" s="799">
        <f t="shared" si="127"/>
        <v>-1</v>
      </c>
      <c r="T356" s="176">
        <f t="shared" si="128"/>
        <v>5</v>
      </c>
      <c r="U356" s="250">
        <f t="shared" si="129"/>
        <v>-6.549824795667003E-2</v>
      </c>
      <c r="V356" s="382">
        <f t="shared" si="130"/>
        <v>24.351489269053058</v>
      </c>
      <c r="W356" s="400"/>
      <c r="X356" s="157">
        <f t="shared" si="131"/>
        <v>44538</v>
      </c>
      <c r="Y356" s="383">
        <f t="shared" si="132"/>
        <v>8.3275848885682873</v>
      </c>
      <c r="Z356" s="383">
        <f t="shared" si="133"/>
        <v>8.4989772481065842</v>
      </c>
      <c r="AA356" s="384">
        <f t="shared" si="134"/>
        <v>9.0189339398682495</v>
      </c>
      <c r="AB356" s="197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5.7651679813641173E-2</v>
      </c>
      <c r="AD356" s="230">
        <f>(INDEX(Models!$BJ356:$BT356,,AH356)*(1-AF356)+INDEX(Models!$BJ356:$BT356,,AH356+1)*AF356-ERP_i)*AE356*Ramure*Pc/MaxiM</f>
        <v>1.4979314613545125E-2</v>
      </c>
      <c r="AE356" s="304">
        <f t="shared" si="136"/>
        <v>0.7</v>
      </c>
      <c r="AF356" s="177">
        <f t="shared" si="137"/>
        <v>0.99883397430316212</v>
      </c>
      <c r="AG356" s="799">
        <f t="shared" si="143"/>
        <v>-1</v>
      </c>
      <c r="AH356" s="176">
        <f t="shared" si="138"/>
        <v>5</v>
      </c>
      <c r="AI356" s="224">
        <f t="shared" si="139"/>
        <v>-1.1660256968378802E-3</v>
      </c>
      <c r="AJ356" s="264" t="b">
        <f t="shared" si="140"/>
        <v>0</v>
      </c>
      <c r="AK356" s="264" t="b">
        <f t="shared" si="141"/>
        <v>0</v>
      </c>
      <c r="AL356" s="264"/>
      <c r="AM356" s="264"/>
      <c r="AN356" s="75"/>
    </row>
    <row r="357" spans="1:40" s="6" customFormat="1" ht="11.25" x14ac:dyDescent="0.2">
      <c r="A357" s="56">
        <f t="shared" si="142"/>
        <v>44539</v>
      </c>
      <c r="B357" s="607">
        <v>8.9090000000000007</v>
      </c>
      <c r="C357" s="388"/>
      <c r="D357" s="391">
        <f t="shared" si="122"/>
        <v>9.0925328832862888</v>
      </c>
      <c r="E357" s="383">
        <f t="shared" si="120"/>
        <v>9.6509850545517608</v>
      </c>
      <c r="F357" s="383">
        <f t="shared" si="123"/>
        <v>9.6643147040171424</v>
      </c>
      <c r="G357" s="110">
        <f t="shared" si="121"/>
        <v>0.36348808659702375</v>
      </c>
      <c r="H357" s="412" t="b">
        <f>Wh_hp&gt;='2020'!Maxi_hp</f>
        <v>1</v>
      </c>
      <c r="I357" s="379">
        <f>IF(H357,Wh_hp,'2020'!Maxi_hp)</f>
        <v>9.6643147040171424</v>
      </c>
      <c r="J357" s="85">
        <f>IF(H357,An,'2020'!An_max)</f>
        <v>2021</v>
      </c>
      <c r="K357" s="197">
        <f t="shared" si="124"/>
        <v>44539</v>
      </c>
      <c r="L357" s="147">
        <f>IF(t&lt;Tvie,1-EXP((T0-t)*PertePVj)+'2020'!Pspv,1-EXP((T0-t)*PertePVj)+Pspv)</f>
        <v>2.0185011771984285E-2</v>
      </c>
      <c r="M357" s="832"/>
      <c r="N357" s="832"/>
      <c r="O357" s="48">
        <f>IF(t&lt;Tnet,'2020'!Resal+('2020'!Salim-'2020'!Resal)*(1-EXP(('2020'!Tnet-t)/('2020'!Tau_j))),Resal+(Salim-Resal)*(1-EXP((Tnet-t)/(Tau_j))))*Salcycl</f>
        <v>5.7864784590261654E-2</v>
      </c>
      <c r="P357" s="169">
        <f>(INDEX(Models!$BJ357:$BT357,,T357)*(1-R357)+INDEX(Models!$BJ357:$BT357,,T357+1)*R357-ERP_i)*Q357*Ramure*Pc/MaxiM</f>
        <v>1.4156827930564348E-2</v>
      </c>
      <c r="Q357" s="304">
        <f t="shared" si="125"/>
        <v>0.7</v>
      </c>
      <c r="R357" s="177">
        <f t="shared" si="126"/>
        <v>0.93451123132521796</v>
      </c>
      <c r="S357" s="799">
        <f t="shared" si="127"/>
        <v>-1</v>
      </c>
      <c r="T357" s="176">
        <f t="shared" si="128"/>
        <v>5</v>
      </c>
      <c r="U357" s="250">
        <f t="shared" si="129"/>
        <v>-6.5488768674781983E-2</v>
      </c>
      <c r="V357" s="382">
        <f t="shared" si="130"/>
        <v>24.19613678913397</v>
      </c>
      <c r="W357" s="400"/>
      <c r="X357" s="157">
        <f t="shared" si="131"/>
        <v>44539</v>
      </c>
      <c r="Y357" s="383">
        <f t="shared" si="132"/>
        <v>8.9082772706711459</v>
      </c>
      <c r="Z357" s="383">
        <f t="shared" si="133"/>
        <v>9.0917952651261889</v>
      </c>
      <c r="AA357" s="384">
        <f t="shared" si="134"/>
        <v>9.6502021327927228</v>
      </c>
      <c r="AB357" s="197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5.7864784590261654E-2</v>
      </c>
      <c r="AD357" s="230">
        <f>(INDEX(Models!$BJ357:$BT357,,AH357)*(1-AF357)+INDEX(Models!$BJ357:$BT357,,AH357+1)*AF357-ERP_i)*AE357*Ramure*Pc/MaxiM</f>
        <v>1.4988334314479053E-2</v>
      </c>
      <c r="AE357" s="304">
        <f t="shared" si="136"/>
        <v>0.7</v>
      </c>
      <c r="AF357" s="177">
        <f t="shared" si="137"/>
        <v>0.99884345358505011</v>
      </c>
      <c r="AG357" s="799">
        <f t="shared" si="143"/>
        <v>-1</v>
      </c>
      <c r="AH357" s="176">
        <f t="shared" si="138"/>
        <v>5</v>
      </c>
      <c r="AI357" s="224">
        <f t="shared" si="139"/>
        <v>-1.1565464149498328E-3</v>
      </c>
      <c r="AJ357" s="264" t="b">
        <f t="shared" si="140"/>
        <v>0</v>
      </c>
      <c r="AK357" s="264" t="b">
        <f t="shared" si="141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42"/>
        <v>44540</v>
      </c>
      <c r="B358" s="607">
        <v>2.601</v>
      </c>
      <c r="C358" s="388"/>
      <c r="D358" s="391">
        <f t="shared" si="122"/>
        <v>2.6546336602085678</v>
      </c>
      <c r="E358" s="383">
        <f t="shared" si="120"/>
        <v>2.8183158584926149</v>
      </c>
      <c r="F358" s="383">
        <f t="shared" si="123"/>
        <v>2.8183158584926149</v>
      </c>
      <c r="G358" s="110">
        <f t="shared" si="121"/>
        <v>0.10659127162160341</v>
      </c>
      <c r="H358" s="412" t="b">
        <f>Wh_hp&gt;='2020'!Maxi_hp</f>
        <v>0</v>
      </c>
      <c r="I358" s="379">
        <f>IF(H358,Wh_hp,'2020'!Maxi_hp)</f>
        <v>19.483808473016875</v>
      </c>
      <c r="J358" s="85">
        <f>IF(H358,An,'2020'!An_max)</f>
        <v>2018</v>
      </c>
      <c r="K358" s="197">
        <f t="shared" si="124"/>
        <v>44540</v>
      </c>
      <c r="L358" s="147">
        <f>IF(t&lt;Tvie,1-EXP((T0-t)*PertePVj)+'2020'!Pspv,1-EXP((T0-t)*PertePVj)+Pspv)</f>
        <v>2.020378970270198E-2</v>
      </c>
      <c r="M358" s="832"/>
      <c r="N358" s="832"/>
      <c r="O358" s="48">
        <f>IF(t&lt;Tnet,'2020'!Resal+('2020'!Salim-'2020'!Resal)*(1-EXP(('2020'!Tnet-t)/('2020'!Tau_j))),Resal+(Salim-Resal)*(1-EXP((Tnet-t)/(Tau_j))))*Salcycl</f>
        <v>5.8078017689469588E-2</v>
      </c>
      <c r="P358" s="169">
        <f>(INDEX(Models!$BJ358:$BT358,,T358)*(1-R358)+INDEX(Models!$BJ358:$BT358,,T358+1)*R358-ERP_i)*Q358*Ramure*Pc/MaxiM</f>
        <v>1.4164102947752187E-2</v>
      </c>
      <c r="Q358" s="304">
        <f t="shared" si="125"/>
        <v>0.7</v>
      </c>
      <c r="R358" s="177">
        <f t="shared" si="126"/>
        <v>0.93452032936573359</v>
      </c>
      <c r="S358" s="799">
        <f t="shared" si="127"/>
        <v>-1</v>
      </c>
      <c r="T358" s="176">
        <f t="shared" si="128"/>
        <v>5</v>
      </c>
      <c r="U358" s="250">
        <f t="shared" si="129"/>
        <v>-6.5479670634266351E-2</v>
      </c>
      <c r="V358" s="382">
        <f t="shared" si="130"/>
        <v>24.055995666658372</v>
      </c>
      <c r="W358" s="400"/>
      <c r="X358" s="157">
        <f t="shared" si="131"/>
        <v>44540</v>
      </c>
      <c r="Y358" s="383">
        <f t="shared" si="132"/>
        <v>2.601</v>
      </c>
      <c r="Z358" s="383">
        <f t="shared" si="133"/>
        <v>2.6546336602085678</v>
      </c>
      <c r="AA358" s="384">
        <f t="shared" si="134"/>
        <v>2.8183158584926149</v>
      </c>
      <c r="AB358" s="197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5.8078017689469588E-2</v>
      </c>
      <c r="AD358" s="230">
        <f>(INDEX(Models!$BJ358:$BT358,,AH358)*(1-AF358)+INDEX(Models!$BJ358:$BT358,,AH358+1)*AF358-ERP_i)*AE358*Ramure*Pc/MaxiM</f>
        <v>1.4996793463233717E-2</v>
      </c>
      <c r="AE358" s="304">
        <f t="shared" si="136"/>
        <v>0.7</v>
      </c>
      <c r="AF358" s="177">
        <f t="shared" si="137"/>
        <v>0.99885255162556574</v>
      </c>
      <c r="AG358" s="799">
        <f t="shared" si="143"/>
        <v>-1</v>
      </c>
      <c r="AH358" s="176">
        <f t="shared" si="138"/>
        <v>5</v>
      </c>
      <c r="AI358" s="224">
        <f t="shared" si="139"/>
        <v>-1.1474483744342012E-3</v>
      </c>
      <c r="AJ358" s="264" t="b">
        <f t="shared" si="140"/>
        <v>0</v>
      </c>
      <c r="AK358" s="264" t="b">
        <f t="shared" si="141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42"/>
        <v>44541</v>
      </c>
      <c r="B359" s="607">
        <v>15.074</v>
      </c>
      <c r="C359" s="388"/>
      <c r="D359" s="391">
        <f t="shared" si="122"/>
        <v>15.385126760935025</v>
      </c>
      <c r="E359" s="383">
        <f t="shared" si="120"/>
        <v>16.337459472927051</v>
      </c>
      <c r="F359" s="383">
        <f t="shared" si="123"/>
        <v>16.447360617108369</v>
      </c>
      <c r="G359" s="110">
        <f t="shared" si="121"/>
        <v>0.62525917251967023</v>
      </c>
      <c r="H359" s="412" t="b">
        <f>Wh_hp&gt;='2020'!Maxi_hp</f>
        <v>1</v>
      </c>
      <c r="I359" s="379">
        <f>IF(H359,Wh_hp,'2020'!Maxi_hp)</f>
        <v>16.447360617108369</v>
      </c>
      <c r="J359" s="85">
        <f>IF(H359,An,'2020'!An_max)</f>
        <v>2021</v>
      </c>
      <c r="K359" s="197">
        <f t="shared" si="124"/>
        <v>44541</v>
      </c>
      <c r="L359" s="147">
        <f>IF(t&lt;Tvie,1-EXP((T0-t)*PertePVj)+'2020'!Pspv,1-EXP((T0-t)*PertePVj)+Pspv)</f>
        <v>2.0222567273544878E-2</v>
      </c>
      <c r="M359" s="832"/>
      <c r="N359" s="832"/>
      <c r="O359" s="48">
        <f>IF(t&lt;Tnet,'2020'!Resal+('2020'!Salim-'2020'!Resal)*(1-EXP(('2020'!Tnet-t)/('2020'!Tau_j))),Resal+(Salim-Resal)*(1-EXP((Tnet-t)/(Tau_j))))*Salcycl</f>
        <v>5.8291358798480714E-2</v>
      </c>
      <c r="P359" s="169">
        <f>(INDEX(Models!$BJ359:$BT359,,T359)*(1-R359)+INDEX(Models!$BJ359:$BT359,,T359+1)*R359-ERP_i)*Q359*Ramure*Pc/MaxiM</f>
        <v>1.4173467411886001E-2</v>
      </c>
      <c r="Q359" s="304">
        <f t="shared" si="125"/>
        <v>0.7</v>
      </c>
      <c r="R359" s="177">
        <f t="shared" si="126"/>
        <v>0.93452906148148673</v>
      </c>
      <c r="S359" s="799">
        <f t="shared" si="127"/>
        <v>-1</v>
      </c>
      <c r="T359" s="176">
        <f t="shared" si="128"/>
        <v>5</v>
      </c>
      <c r="U359" s="250">
        <f t="shared" si="129"/>
        <v>-6.5470938518513266E-2</v>
      </c>
      <c r="V359" s="382">
        <f t="shared" si="130"/>
        <v>23.926580397857435</v>
      </c>
      <c r="W359" s="400"/>
      <c r="X359" s="157">
        <f t="shared" si="131"/>
        <v>44541</v>
      </c>
      <c r="Y359" s="383">
        <f t="shared" si="132"/>
        <v>15.068033850583497</v>
      </c>
      <c r="Z359" s="383">
        <f t="shared" si="133"/>
        <v>15.379037470431669</v>
      </c>
      <c r="AA359" s="384">
        <f t="shared" si="134"/>
        <v>16.330993257967418</v>
      </c>
      <c r="AB359" s="197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5.8291358798480714E-2</v>
      </c>
      <c r="AD359" s="230">
        <f>(INDEX(Models!$BJ359:$BT359,,AH359)*(1-AF359)+INDEX(Models!$BJ359:$BT359,,AH359+1)*AF359-ERP_i)*AE359*Ramure*Pc/MaxiM</f>
        <v>1.5007386728116377E-2</v>
      </c>
      <c r="AE359" s="304">
        <f t="shared" si="136"/>
        <v>0.7</v>
      </c>
      <c r="AF359" s="177">
        <f t="shared" si="137"/>
        <v>0.99886128374131888</v>
      </c>
      <c r="AG359" s="799">
        <f t="shared" si="143"/>
        <v>-1</v>
      </c>
      <c r="AH359" s="176">
        <f t="shared" si="138"/>
        <v>5</v>
      </c>
      <c r="AI359" s="224">
        <f t="shared" si="139"/>
        <v>-1.1387162586811161E-3</v>
      </c>
      <c r="AJ359" s="264" t="b">
        <f t="shared" si="140"/>
        <v>0</v>
      </c>
      <c r="AK359" s="264" t="b">
        <f t="shared" si="141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42"/>
        <v>44542</v>
      </c>
      <c r="B360" s="607">
        <v>22.873999999999999</v>
      </c>
      <c r="C360" s="388"/>
      <c r="D360" s="391">
        <f t="shared" si="122"/>
        <v>23.346565882559425</v>
      </c>
      <c r="E360" s="383">
        <f t="shared" si="120"/>
        <v>24.797328257895536</v>
      </c>
      <c r="F360" s="383">
        <f t="shared" si="123"/>
        <v>25.134038937177625</v>
      </c>
      <c r="G360" s="110">
        <f t="shared" si="121"/>
        <v>0.96019710217309096</v>
      </c>
      <c r="H360" s="412" t="b">
        <f>Wh_hp&gt;='2020'!Maxi_hp</f>
        <v>1</v>
      </c>
      <c r="I360" s="379">
        <f>IF(H360,Wh_hp,'2020'!Maxi_hp)</f>
        <v>25.134038937177625</v>
      </c>
      <c r="J360" s="85">
        <f>IF(H360,An,'2020'!An_max)</f>
        <v>2021</v>
      </c>
      <c r="K360" s="197">
        <f t="shared" si="124"/>
        <v>44542</v>
      </c>
      <c r="L360" s="147">
        <f>IF(t&lt;Tvie,1-EXP((T0-t)*PertePVj)+'2020'!Pspv,1-EXP((T0-t)*PertePVj)+Pspv)</f>
        <v>2.0241344484519974E-2</v>
      </c>
      <c r="M360" s="832"/>
      <c r="N360" s="832"/>
      <c r="O360" s="48">
        <f>IF(t&lt;Tnet,'2020'!Resal+('2020'!Salim-'2020'!Resal)*(1-EXP(('2020'!Tnet-t)/('2020'!Tau_j))),Resal+(Salim-Resal)*(1-EXP((Tnet-t)/(Tau_j))))*Salcycl</f>
        <v>5.8504785686908922E-2</v>
      </c>
      <c r="P360" s="169">
        <f>(INDEX(Models!$BJ360:$BT360,,T360)*(1-R360)+INDEX(Models!$BJ360:$BT360,,T360+1)*R360-ERP_i)*Q360*Ramure*Pc/MaxiM</f>
        <v>1.4187714375212849E-2</v>
      </c>
      <c r="Q360" s="304">
        <f t="shared" si="125"/>
        <v>0.7</v>
      </c>
      <c r="R360" s="177">
        <f t="shared" si="126"/>
        <v>0.93453744237501857</v>
      </c>
      <c r="S360" s="799">
        <f t="shared" si="127"/>
        <v>-1</v>
      </c>
      <c r="T360" s="176">
        <f t="shared" si="128"/>
        <v>5</v>
      </c>
      <c r="U360" s="250">
        <f t="shared" si="129"/>
        <v>-6.5462557624981488E-2</v>
      </c>
      <c r="V360" s="382">
        <f t="shared" si="130"/>
        <v>23.803090317923484</v>
      </c>
      <c r="W360" s="400"/>
      <c r="X360" s="157">
        <f t="shared" si="131"/>
        <v>44542</v>
      </c>
      <c r="Y360" s="383">
        <f t="shared" si="132"/>
        <v>22.855712555869466</v>
      </c>
      <c r="Z360" s="383">
        <f t="shared" si="133"/>
        <v>23.327900628593476</v>
      </c>
      <c r="AA360" s="384">
        <f t="shared" si="134"/>
        <v>24.777503139634508</v>
      </c>
      <c r="AB360" s="197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5.8504785686908922E-2</v>
      </c>
      <c r="AD360" s="230">
        <f>(INDEX(Models!$BJ360:$BT360,,AH360)*(1-AF360)+INDEX(Models!$BJ360:$BT360,,AH360+1)*AF360-ERP_i)*AE360*Ramure*Pc/MaxiM</f>
        <v>1.50230698677739E-2</v>
      </c>
      <c r="AE360" s="304">
        <f t="shared" si="136"/>
        <v>0.7</v>
      </c>
      <c r="AF360" s="177">
        <f t="shared" si="137"/>
        <v>0.99886966463485072</v>
      </c>
      <c r="AG360" s="799">
        <f t="shared" si="143"/>
        <v>-1</v>
      </c>
      <c r="AH360" s="176">
        <f t="shared" si="138"/>
        <v>5</v>
      </c>
      <c r="AI360" s="224">
        <f t="shared" si="139"/>
        <v>-1.1303353651493375E-3</v>
      </c>
      <c r="AJ360" s="264" t="b">
        <f t="shared" si="140"/>
        <v>0</v>
      </c>
      <c r="AK360" s="264" t="b">
        <f t="shared" si="141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42"/>
        <v>44543</v>
      </c>
      <c r="B361" s="607">
        <v>23.489000000000001</v>
      </c>
      <c r="C361" s="388"/>
      <c r="D361" s="391">
        <f t="shared" si="122"/>
        <v>23.974730958202361</v>
      </c>
      <c r="E361" s="383">
        <f t="shared" ref="E361:E379" si="144">Wh_pvt/(1-Psa)</f>
        <v>25.470303211975967</v>
      </c>
      <c r="F361" s="383">
        <f t="shared" si="123"/>
        <v>25.832835378767957</v>
      </c>
      <c r="G361" s="110">
        <f t="shared" ref="G361:G379" si="145">+Wh_hp/MaxiM</f>
        <v>0.99148647620650221</v>
      </c>
      <c r="H361" s="412" t="b">
        <f>Wh_hp&gt;='2020'!Maxi_hp</f>
        <v>1</v>
      </c>
      <c r="I361" s="379">
        <f>IF(H361,Wh_hp,'2020'!Maxi_hp)</f>
        <v>25.832835378767957</v>
      </c>
      <c r="J361" s="85">
        <f>IF(H361,An,'2020'!An_max)</f>
        <v>2021</v>
      </c>
      <c r="K361" s="197">
        <f t="shared" si="124"/>
        <v>44543</v>
      </c>
      <c r="L361" s="147">
        <f>IF(t&lt;Tvie,1-EXP((T0-t)*PertePVj)+'2020'!Pspv,1-EXP((T0-t)*PertePVj)+Pspv)</f>
        <v>2.026012133563404E-2</v>
      </c>
      <c r="M361" s="832"/>
      <c r="N361" s="832"/>
      <c r="O361" s="48">
        <f>IF(t&lt;Tnet,'2020'!Resal+('2020'!Salim-'2020'!Resal)*(1-EXP(('2020'!Tnet-t)/('2020'!Tau_j))),Resal+(Salim-Resal)*(1-EXP((Tnet-t)/(Tau_j))))*Salcycl</f>
        <v>5.8718274428331017E-2</v>
      </c>
      <c r="P361" s="169">
        <f>(INDEX(Models!$BJ361:$BT361,,T361)*(1-R361)+INDEX(Models!$BJ361:$BT361,,T361+1)*R361-ERP_i)*Q361*Ramure*Pc/MaxiM</f>
        <v>1.4203059218180981E-2</v>
      </c>
      <c r="Q361" s="304">
        <f t="shared" si="125"/>
        <v>0.7</v>
      </c>
      <c r="R361" s="177">
        <f t="shared" si="126"/>
        <v>0.93454548615931921</v>
      </c>
      <c r="S361" s="799">
        <f t="shared" si="127"/>
        <v>-1</v>
      </c>
      <c r="T361" s="176">
        <f t="shared" si="128"/>
        <v>5</v>
      </c>
      <c r="U361" s="250">
        <f t="shared" si="129"/>
        <v>-6.5454513840680739E-2</v>
      </c>
      <c r="V361" s="382">
        <f t="shared" si="130"/>
        <v>23.686623690376607</v>
      </c>
      <c r="W361" s="400"/>
      <c r="X361" s="157">
        <f t="shared" si="131"/>
        <v>44543</v>
      </c>
      <c r="Y361" s="383">
        <f t="shared" si="132"/>
        <v>23.46930239794845</v>
      </c>
      <c r="Z361" s="383">
        <f t="shared" si="133"/>
        <v>23.95462602782186</v>
      </c>
      <c r="AA361" s="384">
        <f t="shared" si="134"/>
        <v>25.448944112107867</v>
      </c>
      <c r="AB361" s="197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5.8718274428331017E-2</v>
      </c>
      <c r="AD361" s="230">
        <f>(INDEX(Models!$BJ361:$BT361,,AH361)*(1-AF361)+INDEX(Models!$BJ361:$BT361,,AH361+1)*AF361-ERP_i)*AE361*Ramure*Pc/MaxiM</f>
        <v>1.5039852716970656E-2</v>
      </c>
      <c r="AE361" s="304">
        <f t="shared" si="136"/>
        <v>0.7</v>
      </c>
      <c r="AF361" s="177">
        <f t="shared" si="137"/>
        <v>0.99887770841915136</v>
      </c>
      <c r="AG361" s="799">
        <f t="shared" si="143"/>
        <v>-1</v>
      </c>
      <c r="AH361" s="176">
        <f t="shared" si="138"/>
        <v>5</v>
      </c>
      <c r="AI361" s="224">
        <f t="shared" si="139"/>
        <v>-1.1222915808485889E-3</v>
      </c>
      <c r="AJ361" s="264" t="b">
        <f t="shared" si="140"/>
        <v>0</v>
      </c>
      <c r="AK361" s="264" t="b">
        <f t="shared" si="141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42"/>
        <v>44544</v>
      </c>
      <c r="B362" s="607">
        <v>23.591000000000001</v>
      </c>
      <c r="C362" s="388"/>
      <c r="D362" s="391">
        <f t="shared" si="122"/>
        <v>24.079301698894845</v>
      </c>
      <c r="E362" s="383">
        <f t="shared" si="144"/>
        <v>25.58720153265568</v>
      </c>
      <c r="F362" s="383">
        <f t="shared" si="123"/>
        <v>25.956270173874294</v>
      </c>
      <c r="G362" s="110">
        <f t="shared" si="145"/>
        <v>1.0005428475200633</v>
      </c>
      <c r="H362" s="412" t="b">
        <f>Wh_hp&gt;='2020'!Maxi_hp</f>
        <v>1</v>
      </c>
      <c r="I362" s="379">
        <f>IF(H362,Wh_hp,'2020'!Maxi_hp)</f>
        <v>25.956270173874294</v>
      </c>
      <c r="J362" s="85">
        <f>IF(H362,An,'2020'!An_max)</f>
        <v>2021</v>
      </c>
      <c r="K362" s="197">
        <f t="shared" si="124"/>
        <v>44544</v>
      </c>
      <c r="L362" s="147">
        <f>IF(t&lt;Tvie,1-EXP((T0-t)*PertePVj)+'2020'!Pspv,1-EXP((T0-t)*PertePVj)+Pspv)</f>
        <v>2.0278897826894071E-2</v>
      </c>
      <c r="M362" s="832"/>
      <c r="N362" s="832"/>
      <c r="O362" s="48">
        <f>IF(t&lt;Tnet,'2020'!Resal+('2020'!Salim-'2020'!Resal)*(1-EXP(('2020'!Tnet-t)/('2020'!Tau_j))),Resal+(Salim-Resal)*(1-EXP((Tnet-t)/(Tau_j))))*Salcycl</f>
        <v>5.8931799627887284E-2</v>
      </c>
      <c r="P362" s="169">
        <f>(INDEX(Models!$BJ362:$BT362,,T362)*(1-R362)+INDEX(Models!$BJ362:$BT362,,T362+1)*R362-ERP_i)*Q362*Ramure*Pc/MaxiM</f>
        <v>1.421886267735384E-2</v>
      </c>
      <c r="Q362" s="304">
        <f t="shared" si="125"/>
        <v>0.7</v>
      </c>
      <c r="R362" s="177">
        <f t="shared" si="126"/>
        <v>0.93455320638137462</v>
      </c>
      <c r="S362" s="799">
        <f t="shared" si="127"/>
        <v>-1</v>
      </c>
      <c r="T362" s="176">
        <f t="shared" si="128"/>
        <v>5</v>
      </c>
      <c r="U362" s="250">
        <f t="shared" si="129"/>
        <v>-6.5446793618625321E-2</v>
      </c>
      <c r="V362" s="382">
        <f t="shared" si="130"/>
        <v>23.578200632259225</v>
      </c>
      <c r="W362" s="400"/>
      <c r="X362" s="157">
        <f t="shared" si="131"/>
        <v>44544</v>
      </c>
      <c r="Y362" s="383">
        <f t="shared" si="132"/>
        <v>23.570940934853841</v>
      </c>
      <c r="Z362" s="383">
        <f t="shared" si="133"/>
        <v>24.05882743831021</v>
      </c>
      <c r="AA362" s="384">
        <f t="shared" si="134"/>
        <v>25.565445127990706</v>
      </c>
      <c r="AB362" s="197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5.8931799627887284E-2</v>
      </c>
      <c r="AD362" s="230">
        <f>(INDEX(Models!$BJ362:$BT362,,AH362)*(1-AF362)+INDEX(Models!$BJ362:$BT362,,AH362+1)*AF362-ERP_i)*AE362*Ramure*Pc/MaxiM</f>
        <v>1.5057057245342018E-2</v>
      </c>
      <c r="AE362" s="304">
        <f t="shared" si="136"/>
        <v>0.7</v>
      </c>
      <c r="AF362" s="177">
        <f t="shared" si="137"/>
        <v>0.99888542864120677</v>
      </c>
      <c r="AG362" s="799">
        <f t="shared" si="143"/>
        <v>-1</v>
      </c>
      <c r="AH362" s="176">
        <f t="shared" si="138"/>
        <v>5</v>
      </c>
      <c r="AI362" s="224">
        <f t="shared" si="139"/>
        <v>-1.1145713587931705E-3</v>
      </c>
      <c r="AJ362" s="264" t="b">
        <f t="shared" si="140"/>
        <v>0</v>
      </c>
      <c r="AK362" s="264" t="b">
        <f t="shared" si="141"/>
        <v>0</v>
      </c>
      <c r="AL362" s="264"/>
      <c r="AM362" s="264"/>
      <c r="AN362" s="75"/>
    </row>
    <row r="363" spans="1:40" s="6" customFormat="1" ht="11.25" x14ac:dyDescent="0.2">
      <c r="A363" s="56">
        <f t="shared" si="142"/>
        <v>44545</v>
      </c>
      <c r="B363" s="607">
        <v>22.52</v>
      </c>
      <c r="C363" s="388"/>
      <c r="D363" s="391">
        <f t="shared" si="122"/>
        <v>22.986573984148748</v>
      </c>
      <c r="E363" s="383">
        <f t="shared" si="144"/>
        <v>24.431588459728058</v>
      </c>
      <c r="F363" s="383">
        <f t="shared" si="123"/>
        <v>24.763519229949193</v>
      </c>
      <c r="G363" s="110">
        <f t="shared" si="145"/>
        <v>0.95835415905255072</v>
      </c>
      <c r="H363" s="412" t="b">
        <f>Wh_hp&gt;='2020'!Maxi_hp</f>
        <v>0</v>
      </c>
      <c r="I363" s="379">
        <f>IF(H363,Wh_hp,'2020'!Maxi_hp)</f>
        <v>25.992364486751338</v>
      </c>
      <c r="J363" s="85">
        <f>IF(H363,An,'2020'!An_max)</f>
        <v>2018</v>
      </c>
      <c r="K363" s="197">
        <f t="shared" si="124"/>
        <v>44545</v>
      </c>
      <c r="L363" s="147">
        <f>IF(t&lt;Tvie,1-EXP((T0-t)*PertePVj)+'2020'!Pspv,1-EXP((T0-t)*PertePVj)+Pspv)</f>
        <v>2.0297673958306839E-2</v>
      </c>
      <c r="M363" s="832"/>
      <c r="N363" s="832"/>
      <c r="O363" s="48">
        <f>IF(t&lt;Tnet,'2020'!Resal+('2020'!Salim-'2020'!Resal)*(1-EXP(('2020'!Tnet-t)/('2020'!Tau_j))),Resal+(Salim-Resal)*(1-EXP((Tnet-t)/(Tau_j))))*Salcycl</f>
        <v>5.9145334653995546E-2</v>
      </c>
      <c r="P363" s="169">
        <f>(INDEX(Models!$BJ363:$BT363,,T363)*(1-R363)+INDEX(Models!$BJ363:$BT363,,T363+1)*R363-ERP_i)*Q363*Ramure*Pc/MaxiM</f>
        <v>1.4234471469256025E-2</v>
      </c>
      <c r="Q363" s="304">
        <f t="shared" si="125"/>
        <v>0.7</v>
      </c>
      <c r="R363" s="177">
        <f t="shared" si="126"/>
        <v>0.93456061604477991</v>
      </c>
      <c r="S363" s="799">
        <f t="shared" si="127"/>
        <v>-1</v>
      </c>
      <c r="T363" s="176">
        <f t="shared" si="128"/>
        <v>5</v>
      </c>
      <c r="U363" s="250">
        <f t="shared" si="129"/>
        <v>-6.5439383955220087E-2</v>
      </c>
      <c r="V363" s="382">
        <f t="shared" si="130"/>
        <v>23.478840253316331</v>
      </c>
      <c r="W363" s="400"/>
      <c r="X363" s="157">
        <f t="shared" si="131"/>
        <v>44545</v>
      </c>
      <c r="Y363" s="383">
        <f t="shared" si="132"/>
        <v>22.501955143579071</v>
      </c>
      <c r="Z363" s="383">
        <f t="shared" si="133"/>
        <v>22.968155270687248</v>
      </c>
      <c r="AA363" s="384">
        <f t="shared" si="134"/>
        <v>24.412011883089917</v>
      </c>
      <c r="AB363" s="197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5.9145334653995546E-2</v>
      </c>
      <c r="AD363" s="230">
        <f>(INDEX(Models!$BJ363:$BT363,,AH363)*(1-AF363)+INDEX(Models!$BJ363:$BT363,,AH363+1)*AF363-ERP_i)*AE363*Ramure*Pc/MaxiM</f>
        <v>1.5073990569686896E-2</v>
      </c>
      <c r="AE363" s="304">
        <f t="shared" si="136"/>
        <v>0.7</v>
      </c>
      <c r="AF363" s="177">
        <f t="shared" si="137"/>
        <v>0.99889283830461206</v>
      </c>
      <c r="AG363" s="799">
        <f t="shared" si="143"/>
        <v>-1</v>
      </c>
      <c r="AH363" s="176">
        <f t="shared" si="138"/>
        <v>5</v>
      </c>
      <c r="AI363" s="224">
        <f t="shared" si="139"/>
        <v>-1.1071616953879371E-3</v>
      </c>
      <c r="AJ363" s="264" t="b">
        <f t="shared" si="140"/>
        <v>0</v>
      </c>
      <c r="AK363" s="264" t="b">
        <f t="shared" si="141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42"/>
        <v>44546</v>
      </c>
      <c r="B364" s="607">
        <v>23.119</v>
      </c>
      <c r="C364" s="388"/>
      <c r="D364" s="391">
        <f t="shared" si="122"/>
        <v>23.59843644779539</v>
      </c>
      <c r="E364" s="383">
        <f t="shared" si="144"/>
        <v>25.087608058360459</v>
      </c>
      <c r="F364" s="383">
        <f t="shared" si="123"/>
        <v>25.444176400080966</v>
      </c>
      <c r="G364" s="110">
        <f t="shared" si="145"/>
        <v>0.98819636536399214</v>
      </c>
      <c r="H364" s="412" t="b">
        <f>Wh_hp&gt;='2020'!Maxi_hp</f>
        <v>1</v>
      </c>
      <c r="I364" s="379">
        <f>IF(H364,Wh_hp,'2020'!Maxi_hp)</f>
        <v>25.444176400080966</v>
      </c>
      <c r="J364" s="85">
        <f>IF(H364,An,'2020'!An_max)</f>
        <v>2021</v>
      </c>
      <c r="K364" s="197">
        <f t="shared" si="124"/>
        <v>44546</v>
      </c>
      <c r="L364" s="147">
        <f>IF(t&lt;Tvie,1-EXP((T0-t)*PertePVj)+'2020'!Pspv,1-EXP((T0-t)*PertePVj)+Pspv)</f>
        <v>2.0316449729879449E-2</v>
      </c>
      <c r="M364" s="832"/>
      <c r="N364" s="832"/>
      <c r="O364" s="48">
        <f>IF(t&lt;Tnet,'2020'!Resal+('2020'!Salim-'2020'!Resal)*(1-EXP(('2020'!Tnet-t)/('2020'!Tau_j))),Resal+(Salim-Resal)*(1-EXP((Tnet-t)/(Tau_j))))*Salcycl</f>
        <v>5.935885187224138E-2</v>
      </c>
      <c r="P364" s="169">
        <f>(INDEX(Models!$BJ364:$BT364,,T364)*(1-R364)+INDEX(Models!$BJ364:$BT364,,T364+1)*R364-ERP_i)*Q364*Ramure*Pc/MaxiM</f>
        <v>1.4249220585144082E-2</v>
      </c>
      <c r="Q364" s="304">
        <f t="shared" si="125"/>
        <v>0.7</v>
      </c>
      <c r="R364" s="177">
        <f t="shared" si="126"/>
        <v>0.93456772763145612</v>
      </c>
      <c r="S364" s="799">
        <f t="shared" si="127"/>
        <v>-1</v>
      </c>
      <c r="T364" s="176">
        <f t="shared" si="128"/>
        <v>5</v>
      </c>
      <c r="U364" s="250">
        <f t="shared" si="129"/>
        <v>-6.5432272368543931E-2</v>
      </c>
      <c r="V364" s="382">
        <f t="shared" si="130"/>
        <v>23.389560624021787</v>
      </c>
      <c r="W364" s="400"/>
      <c r="X364" s="157">
        <f t="shared" si="131"/>
        <v>44546</v>
      </c>
      <c r="Y364" s="383">
        <f t="shared" si="132"/>
        <v>23.099612742960669</v>
      </c>
      <c r="Z364" s="383">
        <f t="shared" si="133"/>
        <v>23.578647142326307</v>
      </c>
      <c r="AA364" s="384">
        <f t="shared" si="134"/>
        <v>25.066569955244866</v>
      </c>
      <c r="AB364" s="197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5.935885187224138E-2</v>
      </c>
      <c r="AD364" s="230">
        <f>(INDEX(Models!$BJ364:$BT364,,AH364)*(1-AF364)+INDEX(Models!$BJ364:$BT364,,AH364+1)*AF364-ERP_i)*AE364*Ramure*Pc/MaxiM</f>
        <v>1.5089947416193039E-2</v>
      </c>
      <c r="AE364" s="304">
        <f t="shared" si="136"/>
        <v>0.7</v>
      </c>
      <c r="AF364" s="177">
        <f t="shared" si="137"/>
        <v>0.99889994989128827</v>
      </c>
      <c r="AG364" s="799">
        <f t="shared" si="143"/>
        <v>-1</v>
      </c>
      <c r="AH364" s="176">
        <f t="shared" si="138"/>
        <v>5</v>
      </c>
      <c r="AI364" s="224">
        <f t="shared" si="139"/>
        <v>-1.1000501087117809E-3</v>
      </c>
      <c r="AJ364" s="264" t="b">
        <f t="shared" si="140"/>
        <v>0</v>
      </c>
      <c r="AK364" s="264" t="b">
        <f t="shared" si="141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42"/>
        <v>44547</v>
      </c>
      <c r="B365" s="607">
        <v>23.451000000000001</v>
      </c>
      <c r="C365" s="388"/>
      <c r="D365" s="391">
        <f t="shared" si="122"/>
        <v>23.937780148714683</v>
      </c>
      <c r="E365" s="383">
        <f t="shared" si="144"/>
        <v>25.454142547154927</v>
      </c>
      <c r="F365" s="383">
        <f t="shared" si="123"/>
        <v>25.822433356414916</v>
      </c>
      <c r="G365" s="110">
        <f t="shared" si="145"/>
        <v>1.0059894015248256</v>
      </c>
      <c r="H365" s="412" t="b">
        <f>Wh_hp&gt;='2020'!Maxi_hp</f>
        <v>1</v>
      </c>
      <c r="I365" s="379">
        <f>IF(H365,Wh_hp,'2020'!Maxi_hp)</f>
        <v>25.822433356414916</v>
      </c>
      <c r="J365" s="85">
        <f>IF(H365,An,'2020'!An_max)</f>
        <v>2021</v>
      </c>
      <c r="K365" s="197">
        <f t="shared" si="124"/>
        <v>44547</v>
      </c>
      <c r="L365" s="147">
        <f>IF(t&lt;Tvie,1-EXP((T0-t)*PertePVj)+'2020'!Pspv,1-EXP((T0-t)*PertePVj)+Pspv)</f>
        <v>2.0335225141618674E-2</v>
      </c>
      <c r="M365" s="832"/>
      <c r="N365" s="832"/>
      <c r="O365" s="48">
        <f>IF(t&lt;Tnet,'2020'!Resal+('2020'!Salim-'2020'!Resal)*(1-EXP(('2020'!Tnet-t)/('2020'!Tau_j))),Resal+(Salim-Resal)*(1-EXP((Tnet-t)/(Tau_j))))*Salcycl</f>
        <v>5.9572322879512286E-2</v>
      </c>
      <c r="P365" s="169">
        <f>(INDEX(Models!$BJ365:$BT365,,T365)*(1-R365)+INDEX(Models!$BJ365:$BT365,,T365+1)*R365-ERP_i)*Q365*Ramure*Pc/MaxiM</f>
        <v>1.4262436238159338E-2</v>
      </c>
      <c r="Q365" s="304">
        <f t="shared" si="125"/>
        <v>0.7</v>
      </c>
      <c r="R365" s="177">
        <f t="shared" si="126"/>
        <v>0.93457455312250604</v>
      </c>
      <c r="S365" s="799">
        <f t="shared" si="127"/>
        <v>-1</v>
      </c>
      <c r="T365" s="176">
        <f t="shared" si="128"/>
        <v>5</v>
      </c>
      <c r="U365" s="250">
        <f t="shared" si="129"/>
        <v>-6.5425446877493965E-2</v>
      </c>
      <c r="V365" s="382">
        <f t="shared" si="130"/>
        <v>23.311378792315519</v>
      </c>
      <c r="W365" s="400"/>
      <c r="X365" s="157">
        <f t="shared" si="131"/>
        <v>44547</v>
      </c>
      <c r="Y365" s="383">
        <f t="shared" si="132"/>
        <v>23.430973865234733</v>
      </c>
      <c r="Z365" s="383">
        <f t="shared" si="133"/>
        <v>23.917338324859006</v>
      </c>
      <c r="AA365" s="384">
        <f t="shared" si="134"/>
        <v>25.432405815715605</v>
      </c>
      <c r="AB365" s="197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5.9572322879512286E-2</v>
      </c>
      <c r="AD365" s="230">
        <f>(INDEX(Models!$BJ365:$BT365,,AH365)*(1-AF365)+INDEX(Models!$BJ365:$BT365,,AH365+1)*AF365-ERP_i)*AE365*Ramure*Pc/MaxiM</f>
        <v>1.5104213275176033E-2</v>
      </c>
      <c r="AE365" s="304">
        <f t="shared" si="136"/>
        <v>0.7</v>
      </c>
      <c r="AF365" s="177">
        <f t="shared" si="137"/>
        <v>0.99890677538233819</v>
      </c>
      <c r="AG365" s="799">
        <f t="shared" si="143"/>
        <v>-1</v>
      </c>
      <c r="AH365" s="176">
        <f t="shared" si="138"/>
        <v>5</v>
      </c>
      <c r="AI365" s="224">
        <f t="shared" si="139"/>
        <v>-1.0932246176618143E-3</v>
      </c>
      <c r="AJ365" s="264" t="b">
        <f t="shared" si="140"/>
        <v>0</v>
      </c>
      <c r="AK365" s="264" t="b">
        <f t="shared" si="141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42"/>
        <v>44548</v>
      </c>
      <c r="B366" s="607">
        <v>22.087</v>
      </c>
      <c r="C366" s="388"/>
      <c r="D366" s="391">
        <f t="shared" si="122"/>
        <v>22.545899237442239</v>
      </c>
      <c r="E366" s="383">
        <f t="shared" si="144"/>
        <v>23.979532843452695</v>
      </c>
      <c r="F366" s="383">
        <f t="shared" si="123"/>
        <v>24.301759677464336</v>
      </c>
      <c r="G366" s="110">
        <f t="shared" si="145"/>
        <v>0.94919367855260406</v>
      </c>
      <c r="H366" s="412" t="b">
        <f>Wh_hp&gt;='2020'!Maxi_hp</f>
        <v>1</v>
      </c>
      <c r="I366" s="379">
        <f>IF(H366,Wh_hp,'2020'!Maxi_hp)</f>
        <v>24.301759677464336</v>
      </c>
      <c r="J366" s="85">
        <f>IF(H366,An,'2020'!An_max)</f>
        <v>2021</v>
      </c>
      <c r="K366" s="197">
        <f t="shared" si="124"/>
        <v>44548</v>
      </c>
      <c r="L366" s="147">
        <f>IF(t&lt;Tvie,1-EXP((T0-t)*PertePVj)+'2020'!Pspv,1-EXP((T0-t)*PertePVj)+Pspv)</f>
        <v>2.0354000193531396E-2</v>
      </c>
      <c r="M366" s="832"/>
      <c r="N366" s="832"/>
      <c r="O366" s="48">
        <f>IF(t&lt;Tnet,'2020'!Resal+('2020'!Salim-'2020'!Resal)*(1-EXP(('2020'!Tnet-t)/('2020'!Tau_j))),Resal+(Salim-Resal)*(1-EXP((Tnet-t)/(Tau_j))))*Salcycl</f>
        <v>5.9785718736463656E-2</v>
      </c>
      <c r="P366" s="169">
        <f>(INDEX(Models!$BJ366:$BT366,,T366)*(1-R366)+INDEX(Models!$BJ366:$BT366,,T366+1)*R366-ERP_i)*Q366*Ramure*Pc/MaxiM</f>
        <v>1.4275575719948273E-2</v>
      </c>
      <c r="Q366" s="304">
        <f t="shared" si="125"/>
        <v>0.7</v>
      </c>
      <c r="R366" s="177">
        <f t="shared" si="126"/>
        <v>0.93458110401824146</v>
      </c>
      <c r="S366" s="799">
        <f t="shared" si="127"/>
        <v>-1</v>
      </c>
      <c r="T366" s="176">
        <f t="shared" si="128"/>
        <v>5</v>
      </c>
      <c r="U366" s="250">
        <f t="shared" si="129"/>
        <v>-6.541889598175854E-2</v>
      </c>
      <c r="V366" s="382">
        <f t="shared" si="130"/>
        <v>23.245260376311176</v>
      </c>
      <c r="W366" s="400"/>
      <c r="X366" s="157">
        <f t="shared" si="131"/>
        <v>44548</v>
      </c>
      <c r="Y366" s="383">
        <f t="shared" si="132"/>
        <v>22.069479218259318</v>
      </c>
      <c r="Z366" s="383">
        <f t="shared" si="133"/>
        <v>22.528014428292664</v>
      </c>
      <c r="AA366" s="384">
        <f t="shared" si="134"/>
        <v>23.960510786985374</v>
      </c>
      <c r="AB366" s="197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5.9785718736463656E-2</v>
      </c>
      <c r="AD366" s="230">
        <f>(INDEX(Models!$BJ366:$BT366,,AH366)*(1-AF366)+INDEX(Models!$BJ366:$BT366,,AH366+1)*AF366-ERP_i)*AE366*Ramure*Pc/MaxiM</f>
        <v>1.5118307543575911E-2</v>
      </c>
      <c r="AE366" s="304">
        <f t="shared" si="136"/>
        <v>0.7</v>
      </c>
      <c r="AF366" s="177">
        <f t="shared" si="137"/>
        <v>0.99891332627807361</v>
      </c>
      <c r="AG366" s="799">
        <f t="shared" si="143"/>
        <v>-1</v>
      </c>
      <c r="AH366" s="176">
        <f t="shared" si="138"/>
        <v>5</v>
      </c>
      <c r="AI366" s="224">
        <f t="shared" si="139"/>
        <v>-1.08667372192639E-3</v>
      </c>
      <c r="AJ366" s="264" t="b">
        <f t="shared" si="140"/>
        <v>0</v>
      </c>
      <c r="AK366" s="264" t="b">
        <f t="shared" si="141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42"/>
        <v>44549</v>
      </c>
      <c r="B367" s="607">
        <v>23.149000000000001</v>
      </c>
      <c r="C367" s="388"/>
      <c r="D367" s="391">
        <f t="shared" si="122"/>
        <v>23.630417169446531</v>
      </c>
      <c r="E367" s="383">
        <f t="shared" si="144"/>
        <v>25.138715198996639</v>
      </c>
      <c r="F367" s="383">
        <f t="shared" si="123"/>
        <v>25.50206749437104</v>
      </c>
      <c r="G367" s="110">
        <f t="shared" si="145"/>
        <v>0.99809590810918325</v>
      </c>
      <c r="H367" s="412" t="b">
        <f>Wh_hp&gt;='2020'!Maxi_hp</f>
        <v>1</v>
      </c>
      <c r="I367" s="379">
        <f>IF(H367,Wh_hp,'2020'!Maxi_hp)</f>
        <v>25.50206749437104</v>
      </c>
      <c r="J367" s="85">
        <f>IF(H367,An,'2020'!An_max)</f>
        <v>2021</v>
      </c>
      <c r="K367" s="197">
        <f t="shared" si="124"/>
        <v>44549</v>
      </c>
      <c r="L367" s="147">
        <f>IF(t&lt;Tvie,1-EXP((T0-t)*PertePVj)+'2020'!Pspv,1-EXP((T0-t)*PertePVj)+Pspv)</f>
        <v>2.0372774885624501E-2</v>
      </c>
      <c r="M367" s="832"/>
      <c r="N367" s="832"/>
      <c r="O367" s="48">
        <f>IF(t&lt;Tnet,'2020'!Resal+('2020'!Salim-'2020'!Resal)*(1-EXP(('2020'!Tnet-t)/('2020'!Tau_j))),Resal+(Salim-Resal)*(1-EXP((Tnet-t)/(Tau_j))))*Salcycl</f>
        <v>5.9999010196444269E-2</v>
      </c>
      <c r="P367" s="169">
        <f>(INDEX(Models!$BJ367:$BT367,,T367)*(1-R367)+INDEX(Models!$BJ367:$BT367,,T367+1)*R367-ERP_i)*Q367*Ramure*Pc/MaxiM</f>
        <v>1.4286027514752811E-2</v>
      </c>
      <c r="Q367" s="304">
        <f t="shared" si="125"/>
        <v>0.7</v>
      </c>
      <c r="R367" s="177">
        <f t="shared" si="126"/>
        <v>0.93458739135741442</v>
      </c>
      <c r="S367" s="799">
        <f t="shared" si="127"/>
        <v>-1</v>
      </c>
      <c r="T367" s="176">
        <f t="shared" si="128"/>
        <v>5</v>
      </c>
      <c r="U367" s="250">
        <f t="shared" si="129"/>
        <v>-6.5412608642585579E-2</v>
      </c>
      <c r="V367" s="382">
        <f t="shared" si="130"/>
        <v>23.192266112858462</v>
      </c>
      <c r="W367" s="400"/>
      <c r="X367" s="157">
        <f t="shared" si="131"/>
        <v>44549</v>
      </c>
      <c r="Y367" s="383">
        <f t="shared" si="132"/>
        <v>23.129244786951531</v>
      </c>
      <c r="Z367" s="383">
        <f t="shared" si="133"/>
        <v>23.610251117971018</v>
      </c>
      <c r="AA367" s="384">
        <f t="shared" si="134"/>
        <v>25.11726197533596</v>
      </c>
      <c r="AB367" s="197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5.9999010196444269E-2</v>
      </c>
      <c r="AD367" s="230">
        <f>(INDEX(Models!$BJ367:$BT367,,AH367)*(1-AF367)+INDEX(Models!$BJ367:$BT367,,AH367+1)*AF367-ERP_i)*AE367*Ramure*Pc/MaxiM</f>
        <v>1.5129510127628025E-2</v>
      </c>
      <c r="AE367" s="304">
        <f t="shared" si="136"/>
        <v>0.7</v>
      </c>
      <c r="AF367" s="177">
        <f t="shared" si="137"/>
        <v>0.99891961361724657</v>
      </c>
      <c r="AG367" s="799">
        <f t="shared" si="143"/>
        <v>-1</v>
      </c>
      <c r="AH367" s="176">
        <f t="shared" si="138"/>
        <v>5</v>
      </c>
      <c r="AI367" s="224">
        <f t="shared" si="139"/>
        <v>-1.0803863827534288E-3</v>
      </c>
      <c r="AJ367" s="264" t="b">
        <f t="shared" si="140"/>
        <v>0</v>
      </c>
      <c r="AK367" s="264" t="b">
        <f t="shared" si="141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42"/>
        <v>44550</v>
      </c>
      <c r="B368" s="607">
        <v>23.571000000000002</v>
      </c>
      <c r="C368" s="388"/>
      <c r="D368" s="391">
        <f t="shared" si="122"/>
        <v>24.061654410169183</v>
      </c>
      <c r="E368" s="383">
        <f t="shared" si="144"/>
        <v>25.603283623226346</v>
      </c>
      <c r="F368" s="383">
        <f t="shared" si="123"/>
        <v>25.974540677970943</v>
      </c>
      <c r="G368" s="110">
        <f t="shared" si="145"/>
        <v>1.0180357932084565</v>
      </c>
      <c r="H368" s="412" t="b">
        <f>Wh_hp&gt;='2020'!Maxi_hp</f>
        <v>1</v>
      </c>
      <c r="I368" s="379">
        <f>IF(H368,Wh_hp,'2020'!Maxi_hp)</f>
        <v>25.974540677970943</v>
      </c>
      <c r="J368" s="85">
        <f>IF(H368,An,'2020'!An_max)</f>
        <v>2021</v>
      </c>
      <c r="K368" s="197">
        <f t="shared" si="124"/>
        <v>44550</v>
      </c>
      <c r="L368" s="147">
        <f>IF(t&lt;Tvie,1-EXP((T0-t)*PertePVj)+'2020'!Pspv,1-EXP((T0-t)*PertePVj)+Pspv)</f>
        <v>2.039154921790487E-2</v>
      </c>
      <c r="M368" s="832"/>
      <c r="N368" s="832"/>
      <c r="O368" s="48">
        <f>IF(t&lt;Tnet,'2020'!Resal+('2020'!Salim-'2020'!Resal)*(1-EXP(('2020'!Tnet-t)/('2020'!Tau_j))),Resal+(Salim-Resal)*(1-EXP((Tnet-t)/(Tau_j))))*Salcycl</f>
        <v>6.0212167929064149E-2</v>
      </c>
      <c r="P368" s="169">
        <f>(INDEX(Models!$BJ368:$BT368,,T368)*(1-R368)+INDEX(Models!$BJ368:$BT368,,T368+1)*R368-ERP_i)*Q368*Ramure*Pc/MaxiM</f>
        <v>1.42931133738762E-2</v>
      </c>
      <c r="Q368" s="304">
        <f t="shared" si="125"/>
        <v>0.7</v>
      </c>
      <c r="R368" s="177">
        <f t="shared" si="126"/>
        <v>0.93459342573568516</v>
      </c>
      <c r="S368" s="799">
        <f t="shared" si="127"/>
        <v>-1</v>
      </c>
      <c r="T368" s="176">
        <f t="shared" si="128"/>
        <v>5</v>
      </c>
      <c r="U368" s="250">
        <f t="shared" si="129"/>
        <v>-6.5406574264314898E-2</v>
      </c>
      <c r="V368" s="382">
        <f t="shared" si="130"/>
        <v>23.153409887203761</v>
      </c>
      <c r="W368" s="400"/>
      <c r="X368" s="157">
        <f t="shared" si="131"/>
        <v>44550</v>
      </c>
      <c r="Y368" s="383">
        <f t="shared" si="132"/>
        <v>23.55081787160978</v>
      </c>
      <c r="Z368" s="383">
        <f t="shared" si="133"/>
        <v>24.041052170188397</v>
      </c>
      <c r="AA368" s="384">
        <f t="shared" si="134"/>
        <v>25.581361398573378</v>
      </c>
      <c r="AB368" s="197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6.0212167929064149E-2</v>
      </c>
      <c r="AD368" s="230">
        <f>(INDEX(Models!$BJ368:$BT368,,AH368)*(1-AF368)+INDEX(Models!$BJ368:$BT368,,AH368+1)*AF368-ERP_i)*AE368*Ramure*Pc/MaxiM</f>
        <v>1.5137102298444909E-2</v>
      </c>
      <c r="AE368" s="304">
        <f t="shared" si="136"/>
        <v>0.7</v>
      </c>
      <c r="AF368" s="177">
        <f t="shared" si="137"/>
        <v>0.99892564799551731</v>
      </c>
      <c r="AG368" s="799">
        <f t="shared" si="143"/>
        <v>-1</v>
      </c>
      <c r="AH368" s="176">
        <f t="shared" si="138"/>
        <v>5</v>
      </c>
      <c r="AI368" s="224">
        <f t="shared" si="139"/>
        <v>-1.0743520044827481E-3</v>
      </c>
      <c r="AJ368" s="264" t="b">
        <f t="shared" si="140"/>
        <v>0</v>
      </c>
      <c r="AK368" s="264" t="b">
        <f t="shared" si="141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42"/>
        <v>44551</v>
      </c>
      <c r="B369" s="607">
        <v>17.353000000000002</v>
      </c>
      <c r="C369" s="388"/>
      <c r="D369" s="391">
        <f t="shared" si="122"/>
        <v>17.714559892582955</v>
      </c>
      <c r="E369" s="383">
        <f t="shared" si="144"/>
        <v>18.853804071828286</v>
      </c>
      <c r="F369" s="383">
        <f t="shared" si="123"/>
        <v>19.028782154385247</v>
      </c>
      <c r="G369" s="110">
        <f t="shared" si="145"/>
        <v>0.74638505253853171</v>
      </c>
      <c r="H369" s="412" t="b">
        <f>Wh_hp&gt;='2020'!Maxi_hp</f>
        <v>0</v>
      </c>
      <c r="I369" s="379">
        <f>IF(H369,Wh_hp,'2020'!Maxi_hp)</f>
        <v>22.295003218801163</v>
      </c>
      <c r="J369" s="85">
        <f>IF(H369,An,'2020'!An_max)</f>
        <v>2018</v>
      </c>
      <c r="K369" s="197">
        <f t="shared" si="124"/>
        <v>44551</v>
      </c>
      <c r="L369" s="147">
        <f>IF(t&lt;Tvie,1-EXP((T0-t)*PertePVj)+'2020'!Pspv,1-EXP((T0-t)*PertePVj)+Pspv)</f>
        <v>2.0410323190379498E-2</v>
      </c>
      <c r="M369" s="832"/>
      <c r="N369" s="832"/>
      <c r="O369" s="48">
        <f>IF(t&lt;Tnet,'2020'!Resal+('2020'!Salim-'2020'!Resal)*(1-EXP(('2020'!Tnet-t)/('2020'!Tau_j))),Resal+(Salim-Resal)*(1-EXP((Tnet-t)/(Tau_j))))*Salcycl</f>
        <v>6.0425162736660196E-2</v>
      </c>
      <c r="P369" s="169">
        <f>(INDEX(Models!$BJ369:$BT369,,T369)*(1-R369)+INDEX(Models!$BJ369:$BT369,,T369+1)*R369-ERP_i)*Q369*Ramure*Pc/MaxiM</f>
        <v>1.4296163740181106E-2</v>
      </c>
      <c r="Q369" s="304">
        <f t="shared" si="125"/>
        <v>0.7</v>
      </c>
      <c r="R369" s="177">
        <f t="shared" si="126"/>
        <v>0.9345992173233546</v>
      </c>
      <c r="S369" s="799">
        <f t="shared" si="127"/>
        <v>-1</v>
      </c>
      <c r="T369" s="176">
        <f t="shared" si="128"/>
        <v>5</v>
      </c>
      <c r="U369" s="250">
        <f t="shared" si="129"/>
        <v>-6.5400782676645342E-2</v>
      </c>
      <c r="V369" s="382">
        <f t="shared" si="130"/>
        <v>23.129704522974411</v>
      </c>
      <c r="W369" s="400"/>
      <c r="X369" s="157">
        <f t="shared" si="131"/>
        <v>44551</v>
      </c>
      <c r="Y369" s="383">
        <f t="shared" si="132"/>
        <v>17.343489777432957</v>
      </c>
      <c r="Z369" s="383">
        <f t="shared" si="133"/>
        <v>17.704851518972873</v>
      </c>
      <c r="AA369" s="384">
        <f t="shared" si="134"/>
        <v>18.843471341294165</v>
      </c>
      <c r="AB369" s="197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6.0425162736660196E-2</v>
      </c>
      <c r="AD369" s="230">
        <f>(INDEX(Models!$BJ369:$BT369,,AH369)*(1-AF369)+INDEX(Models!$BJ369:$BT369,,AH369+1)*AF369-ERP_i)*AE369*Ramure*Pc/MaxiM</f>
        <v>1.514037465757328E-2</v>
      </c>
      <c r="AE369" s="304">
        <f t="shared" si="136"/>
        <v>0.7</v>
      </c>
      <c r="AF369" s="177">
        <f t="shared" si="137"/>
        <v>0.99893143958318675</v>
      </c>
      <c r="AG369" s="799">
        <f t="shared" si="143"/>
        <v>-1</v>
      </c>
      <c r="AH369" s="176">
        <f t="shared" si="138"/>
        <v>5</v>
      </c>
      <c r="AI369" s="224">
        <f t="shared" si="139"/>
        <v>-1.0685604168131912E-3</v>
      </c>
      <c r="AJ369" s="264" t="b">
        <f t="shared" si="140"/>
        <v>0</v>
      </c>
      <c r="AK369" s="264" t="b">
        <f t="shared" si="141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42"/>
        <v>44552</v>
      </c>
      <c r="B370" s="607">
        <v>22.721</v>
      </c>
      <c r="C370" s="388"/>
      <c r="D370" s="391">
        <f t="shared" si="122"/>
        <v>23.194849832561733</v>
      </c>
      <c r="E370" s="383">
        <f t="shared" si="144"/>
        <v>24.692130389724756</v>
      </c>
      <c r="F370" s="383">
        <f t="shared" si="123"/>
        <v>25.041210642089073</v>
      </c>
      <c r="G370" s="110">
        <f t="shared" si="145"/>
        <v>0.98229726633904768</v>
      </c>
      <c r="H370" s="412" t="b">
        <f>Wh_hp&gt;='2020'!Maxi_hp</f>
        <v>1</v>
      </c>
      <c r="I370" s="379">
        <f>IF(H370,Wh_hp,'2020'!Maxi_hp)</f>
        <v>25.041210642089073</v>
      </c>
      <c r="J370" s="85">
        <f>IF(H370,An,'2020'!An_max)</f>
        <v>2021</v>
      </c>
      <c r="K370" s="197">
        <f t="shared" si="124"/>
        <v>44552</v>
      </c>
      <c r="L370" s="147">
        <f>IF(t&lt;Tvie,1-EXP((T0-t)*PertePVj)+'2020'!Pspv,1-EXP((T0-t)*PertePVj)+Pspv)</f>
        <v>2.0429096803055269E-2</v>
      </c>
      <c r="M370" s="832"/>
      <c r="N370" s="832"/>
      <c r="O370" s="48">
        <f>IF(t&lt;Tnet,'2020'!Resal+('2020'!Salim-'2020'!Resal)*(1-EXP(('2020'!Tnet-t)/('2020'!Tau_j))),Resal+(Salim-Resal)*(1-EXP((Tnet-t)/(Tau_j))))*Salcycl</f>
        <v>6.0637965762002179E-2</v>
      </c>
      <c r="P370" s="169">
        <f>(INDEX(Models!$BJ370:$BT370,,T370)*(1-R370)+INDEX(Models!$BJ370:$BT370,,T370+1)*R370-ERP_i)*Q370*Ramure*Pc/MaxiM</f>
        <v>1.4294523813161823E-2</v>
      </c>
      <c r="Q370" s="304">
        <f t="shared" si="125"/>
        <v>0.7</v>
      </c>
      <c r="R370" s="177">
        <f t="shared" si="126"/>
        <v>0.93460477588239244</v>
      </c>
      <c r="S370" s="799">
        <f t="shared" si="127"/>
        <v>-1</v>
      </c>
      <c r="T370" s="176">
        <f t="shared" si="128"/>
        <v>5</v>
      </c>
      <c r="U370" s="250">
        <f t="shared" si="129"/>
        <v>-6.5395224117607564E-2</v>
      </c>
      <c r="V370" s="382">
        <f t="shared" si="130"/>
        <v>23.122161772965416</v>
      </c>
      <c r="W370" s="400"/>
      <c r="X370" s="157">
        <f t="shared" si="131"/>
        <v>44552</v>
      </c>
      <c r="Y370" s="383">
        <f t="shared" si="132"/>
        <v>22.70203191898446</v>
      </c>
      <c r="Z370" s="383">
        <f t="shared" si="133"/>
        <v>23.17548616939694</v>
      </c>
      <c r="AA370" s="384">
        <f t="shared" si="134"/>
        <v>24.671516757856505</v>
      </c>
      <c r="AB370" s="197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6.0637965762002179E-2</v>
      </c>
      <c r="AD370" s="230">
        <f>(INDEX(Models!$BJ370:$BT370,,AH370)*(1-AF370)+INDEX(Models!$BJ370:$BT370,,AH370+1)*AF370-ERP_i)*AE370*Ramure*Pc/MaxiM</f>
        <v>1.5138633583395766E-2</v>
      </c>
      <c r="AE370" s="304">
        <f t="shared" si="136"/>
        <v>0.7</v>
      </c>
      <c r="AF370" s="177">
        <f t="shared" si="137"/>
        <v>0.99893699814222459</v>
      </c>
      <c r="AG370" s="799">
        <f t="shared" si="143"/>
        <v>-1</v>
      </c>
      <c r="AH370" s="176">
        <f t="shared" si="138"/>
        <v>5</v>
      </c>
      <c r="AI370" s="224">
        <f t="shared" si="139"/>
        <v>-1.0630018577754141E-3</v>
      </c>
      <c r="AJ370" s="264" t="b">
        <f t="shared" si="140"/>
        <v>0</v>
      </c>
      <c r="AK370" s="264" t="b">
        <f t="shared" si="141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42"/>
        <v>44553</v>
      </c>
      <c r="B371" s="607">
        <v>9.463000000000001</v>
      </c>
      <c r="C371" s="388"/>
      <c r="D371" s="391">
        <f t="shared" si="122"/>
        <v>9.6605374137059989</v>
      </c>
      <c r="E371" s="383">
        <f t="shared" si="144"/>
        <v>10.2864750654822</v>
      </c>
      <c r="F371" s="383">
        <f t="shared" si="123"/>
        <v>10.309430224407709</v>
      </c>
      <c r="G371" s="110">
        <f t="shared" si="145"/>
        <v>0.4041456223627734</v>
      </c>
      <c r="H371" s="412" t="b">
        <f>Wh_hp&gt;='2020'!Maxi_hp</f>
        <v>0</v>
      </c>
      <c r="I371" s="379">
        <f>IF(H371,Wh_hp,'2020'!Maxi_hp)</f>
        <v>22.181600514114333</v>
      </c>
      <c r="J371" s="85">
        <f>IF(H371,An,'2020'!An_max)</f>
        <v>2020</v>
      </c>
      <c r="K371" s="197">
        <f t="shared" si="124"/>
        <v>44553</v>
      </c>
      <c r="L371" s="147">
        <f>IF(t&lt;Tvie,1-EXP((T0-t)*PertePVj)+'2020'!Pspv,1-EXP((T0-t)*PertePVj)+Pspv)</f>
        <v>2.0447870055939066E-2</v>
      </c>
      <c r="M371" s="832"/>
      <c r="N371" s="832"/>
      <c r="O371" s="48">
        <f>IF(t&lt;Tnet,'2020'!Resal+('2020'!Salim-'2020'!Resal)*(1-EXP(('2020'!Tnet-t)/('2020'!Tau_j))),Resal+(Salim-Resal)*(1-EXP((Tnet-t)/(Tau_j))))*Salcycl</f>
        <v>6.0850548685684187E-2</v>
      </c>
      <c r="P371" s="169">
        <f>(INDEX(Models!$BJ371:$BT371,,T371)*(1-R371)+INDEX(Models!$BJ371:$BT371,,T371+1)*R371-ERP_i)*Q371*Ramure*Pc/MaxiM</f>
        <v>1.4287499976664942E-2</v>
      </c>
      <c r="Q371" s="304">
        <f t="shared" si="125"/>
        <v>0.7</v>
      </c>
      <c r="R371" s="177">
        <f t="shared" si="126"/>
        <v>0.93460477588239244</v>
      </c>
      <c r="S371" s="799">
        <f t="shared" si="127"/>
        <v>-1</v>
      </c>
      <c r="T371" s="176">
        <f t="shared" si="128"/>
        <v>5</v>
      </c>
      <c r="U371" s="250">
        <f t="shared" si="129"/>
        <v>-6.5395224117607564E-2</v>
      </c>
      <c r="V371" s="382">
        <f t="shared" si="130"/>
        <v>23.131793732724777</v>
      </c>
      <c r="W371" s="400"/>
      <c r="X371" s="157">
        <f t="shared" si="131"/>
        <v>44553</v>
      </c>
      <c r="Y371" s="383">
        <f t="shared" si="132"/>
        <v>9.4617530531260847</v>
      </c>
      <c r="Z371" s="383">
        <f t="shared" si="133"/>
        <v>9.6592644371733591</v>
      </c>
      <c r="AA371" s="384">
        <f t="shared" si="134"/>
        <v>10.285119608658093</v>
      </c>
      <c r="AB371" s="197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6.0850548685684187E-2</v>
      </c>
      <c r="AD371" s="230">
        <f>(INDEX(Models!$BJ371:$BT371,,AH371)*(1-AF371)+INDEX(Models!$BJ371:$BT371,,AH371+1)*AF371-ERP_i)*AE371*Ramure*Pc/MaxiM</f>
        <v>1.5131148648654242E-2</v>
      </c>
      <c r="AE371" s="304">
        <f t="shared" si="136"/>
        <v>0.7</v>
      </c>
      <c r="AF371" s="177">
        <f t="shared" si="137"/>
        <v>0.99893699814222459</v>
      </c>
      <c r="AG371" s="799">
        <f t="shared" si="143"/>
        <v>-1</v>
      </c>
      <c r="AH371" s="176">
        <f t="shared" si="138"/>
        <v>5</v>
      </c>
      <c r="AI371" s="224">
        <f t="shared" si="139"/>
        <v>-1.0630018577754141E-3</v>
      </c>
      <c r="AJ371" s="264" t="b">
        <f t="shared" si="140"/>
        <v>0</v>
      </c>
      <c r="AK371" s="264" t="b">
        <f t="shared" si="141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42"/>
        <v>44554</v>
      </c>
      <c r="B372" s="607">
        <v>14.484999999999999</v>
      </c>
      <c r="C372" s="388"/>
      <c r="D372" s="391">
        <f t="shared" si="122"/>
        <v>14.787653626834462</v>
      </c>
      <c r="E372" s="383">
        <f t="shared" si="144"/>
        <v>15.749354640960613</v>
      </c>
      <c r="F372" s="383">
        <f t="shared" si="123"/>
        <v>15.854573192498403</v>
      </c>
      <c r="G372" s="110">
        <f t="shared" si="145"/>
        <v>0.62063326245141348</v>
      </c>
      <c r="H372" s="412" t="b">
        <f>Wh_hp&gt;='2020'!Maxi_hp</f>
        <v>1</v>
      </c>
      <c r="I372" s="379">
        <f>IF(H372,Wh_hp,'2020'!Maxi_hp)</f>
        <v>15.854573192498403</v>
      </c>
      <c r="J372" s="85">
        <f>IF(H372,An,'2020'!An_max)</f>
        <v>2021</v>
      </c>
      <c r="K372" s="197">
        <f t="shared" si="124"/>
        <v>44554</v>
      </c>
      <c r="L372" s="147">
        <f>IF(t&lt;Tvie,1-EXP((T0-t)*PertePVj)+'2020'!Pspv,1-EXP((T0-t)*PertePVj)+Pspv)</f>
        <v>2.0466642949037661E-2</v>
      </c>
      <c r="M372" s="832"/>
      <c r="N372" s="832"/>
      <c r="O372" s="48">
        <f>IF(t&lt;Tnet,'2020'!Resal+('2020'!Salim-'2020'!Resal)*(1-EXP(('2020'!Tnet-t)/('2020'!Tau_j))),Resal+(Salim-Resal)*(1-EXP((Tnet-t)/(Tau_j))))*Salcycl</f>
        <v>6.1062883911762199E-2</v>
      </c>
      <c r="P372" s="169">
        <f>(INDEX(Models!$BJ372:$BT372,,T372)*(1-R372)+INDEX(Models!$BJ372:$BT372,,T372+1)*R372-ERP_i)*Q372*Ramure*Pc/MaxiM</f>
        <v>1.4274527918398517E-2</v>
      </c>
      <c r="Q372" s="304">
        <f t="shared" si="125"/>
        <v>0.7</v>
      </c>
      <c r="R372" s="177">
        <f t="shared" si="126"/>
        <v>0.93460477588239244</v>
      </c>
      <c r="S372" s="799">
        <f t="shared" si="127"/>
        <v>-1</v>
      </c>
      <c r="T372" s="176">
        <f t="shared" si="128"/>
        <v>5</v>
      </c>
      <c r="U372" s="250">
        <f t="shared" si="129"/>
        <v>-6.5395224117607564E-2</v>
      </c>
      <c r="V372" s="382">
        <f t="shared" si="130"/>
        <v>23.159609053065694</v>
      </c>
      <c r="W372" s="400"/>
      <c r="X372" s="157">
        <f t="shared" si="131"/>
        <v>44554</v>
      </c>
      <c r="Y372" s="383">
        <f t="shared" si="132"/>
        <v>14.479286453328628</v>
      </c>
      <c r="Z372" s="383">
        <f t="shared" si="133"/>
        <v>14.781820699726627</v>
      </c>
      <c r="AA372" s="384">
        <f t="shared" si="134"/>
        <v>15.743142374976138</v>
      </c>
      <c r="AB372" s="197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6.1062883911762199E-2</v>
      </c>
      <c r="AD372" s="230">
        <f>(INDEX(Models!$BJ372:$BT372,,AH372)*(1-AF372)+INDEX(Models!$BJ372:$BT372,,AH372+1)*AF372-ERP_i)*AE372*Ramure*Pc/MaxiM</f>
        <v>1.5117318119706883E-2</v>
      </c>
      <c r="AE372" s="304">
        <f t="shared" si="136"/>
        <v>0.7</v>
      </c>
      <c r="AF372" s="177">
        <f t="shared" si="137"/>
        <v>0.99893699814222459</v>
      </c>
      <c r="AG372" s="799">
        <f t="shared" si="143"/>
        <v>-1</v>
      </c>
      <c r="AH372" s="176">
        <f t="shared" si="138"/>
        <v>5</v>
      </c>
      <c r="AI372" s="224">
        <f t="shared" si="139"/>
        <v>-1.0630018577754141E-3</v>
      </c>
      <c r="AJ372" s="264" t="b">
        <f t="shared" si="140"/>
        <v>0</v>
      </c>
      <c r="AK372" s="264" t="b">
        <f t="shared" si="141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42"/>
        <v>44555</v>
      </c>
      <c r="B373" s="607">
        <v>11.919</v>
      </c>
      <c r="C373" s="388"/>
      <c r="D373" s="391">
        <f t="shared" si="122"/>
        <v>12.168272109873142</v>
      </c>
      <c r="E373" s="383">
        <f t="shared" si="144"/>
        <v>12.962551752181701</v>
      </c>
      <c r="F373" s="383">
        <f t="shared" si="123"/>
        <v>13.019182654929411</v>
      </c>
      <c r="G373" s="110">
        <f t="shared" si="145"/>
        <v>0.50849159138725475</v>
      </c>
      <c r="H373" s="412" t="b">
        <f>Wh_hp&gt;='2020'!Maxi_hp</f>
        <v>0</v>
      </c>
      <c r="I373" s="379">
        <f>IF(H373,Wh_hp,'2020'!Maxi_hp)</f>
        <v>15.402591944038759</v>
      </c>
      <c r="J373" s="85">
        <f>IF(H373,An,'2020'!An_max)</f>
        <v>2018</v>
      </c>
      <c r="K373" s="197">
        <f t="shared" si="124"/>
        <v>44555</v>
      </c>
      <c r="L373" s="147">
        <f>IF(t&lt;Tvie,1-EXP((T0-t)*PertePVj)+'2020'!Pspv,1-EXP((T0-t)*PertePVj)+Pspv)</f>
        <v>2.0485415482358049E-2</v>
      </c>
      <c r="M373" s="832"/>
      <c r="N373" s="832"/>
      <c r="O373" s="48">
        <f>IF(t&lt;Tnet,'2020'!Resal+('2020'!Salim-'2020'!Resal)*(1-EXP(('2020'!Tnet-t)/('2020'!Tau_j))),Resal+(Salim-Resal)*(1-EXP((Tnet-t)/(Tau_j))))*Salcycl</f>
        <v>6.1274944740326832E-2</v>
      </c>
      <c r="P373" s="169">
        <f>(INDEX(Models!$BJ373:$BT373,,T373)*(1-R373)+INDEX(Models!$BJ373:$BT373,,T373+1)*R373-ERP_i)*Q373*Ramure*Pc/MaxiM</f>
        <v>1.4254905602547795E-2</v>
      </c>
      <c r="Q373" s="304">
        <f t="shared" si="125"/>
        <v>0.7</v>
      </c>
      <c r="R373" s="177">
        <f t="shared" si="126"/>
        <v>0.93460477588239244</v>
      </c>
      <c r="S373" s="799">
        <f t="shared" si="127"/>
        <v>-1</v>
      </c>
      <c r="T373" s="176">
        <f t="shared" si="128"/>
        <v>5</v>
      </c>
      <c r="U373" s="250">
        <f t="shared" si="129"/>
        <v>-6.5395224117607564E-2</v>
      </c>
      <c r="V373" s="382">
        <f t="shared" si="130"/>
        <v>23.20672657387027</v>
      </c>
      <c r="W373" s="400"/>
      <c r="X373" s="157">
        <f t="shared" si="131"/>
        <v>44555</v>
      </c>
      <c r="Y373" s="383">
        <f t="shared" si="132"/>
        <v>11.915926104282519</v>
      </c>
      <c r="Z373" s="383">
        <f t="shared" si="133"/>
        <v>12.165133927179317</v>
      </c>
      <c r="AA373" s="384">
        <f t="shared" si="134"/>
        <v>12.959208725726574</v>
      </c>
      <c r="AB373" s="197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6.1274944740326832E-2</v>
      </c>
      <c r="AD373" s="230">
        <f>(INDEX(Models!$BJ373:$BT373,,AH373)*(1-AF373)+INDEX(Models!$BJ373:$BT373,,AH373+1)*AF373-ERP_i)*AE373*Ramure*Pc/MaxiM</f>
        <v>1.5096398925671408E-2</v>
      </c>
      <c r="AE373" s="304">
        <f t="shared" si="136"/>
        <v>0.7</v>
      </c>
      <c r="AF373" s="177">
        <f t="shared" si="137"/>
        <v>0.99893699814222459</v>
      </c>
      <c r="AG373" s="799">
        <f t="shared" si="143"/>
        <v>-1</v>
      </c>
      <c r="AH373" s="176">
        <f t="shared" si="138"/>
        <v>5</v>
      </c>
      <c r="AI373" s="224">
        <f t="shared" si="139"/>
        <v>-1.0630018577754141E-3</v>
      </c>
      <c r="AJ373" s="264" t="b">
        <f t="shared" si="140"/>
        <v>0</v>
      </c>
      <c r="AK373" s="264" t="b">
        <f t="shared" si="141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42"/>
        <v>44556</v>
      </c>
      <c r="B374" s="607">
        <v>12.241</v>
      </c>
      <c r="C374" s="388"/>
      <c r="D374" s="391">
        <f t="shared" si="122"/>
        <v>12.4972458745947</v>
      </c>
      <c r="E374" s="383">
        <f t="shared" si="144"/>
        <v>13.316003031791649</v>
      </c>
      <c r="F374" s="383">
        <f t="shared" si="123"/>
        <v>13.377451589213054</v>
      </c>
      <c r="G374" s="110">
        <f t="shared" si="145"/>
        <v>0.52088690224687328</v>
      </c>
      <c r="H374" s="412" t="b">
        <f>Wh_hp&gt;='2020'!Maxi_hp</f>
        <v>1</v>
      </c>
      <c r="I374" s="379">
        <f>IF(H374,Wh_hp,'2020'!Maxi_hp)</f>
        <v>13.377451589213054</v>
      </c>
      <c r="J374" s="85">
        <f>IF(H374,An,'2020'!An_max)</f>
        <v>2021</v>
      </c>
      <c r="K374" s="197">
        <f t="shared" si="124"/>
        <v>44556</v>
      </c>
      <c r="L374" s="147">
        <f>IF(t&lt;Tvie,1-EXP((T0-t)*PertePVj)+'2020'!Pspv,1-EXP((T0-t)*PertePVj)+Pspv)</f>
        <v>2.0504187655907113E-2</v>
      </c>
      <c r="M374" s="832"/>
      <c r="N374" s="832"/>
      <c r="O374" s="48">
        <f>IF(t&lt;Tnet,'2020'!Resal+('2020'!Salim-'2020'!Resal)*(1-EXP(('2020'!Tnet-t)/('2020'!Tau_j))),Resal+(Salim-Resal)*(1-EXP((Tnet-t)/(Tau_j))))*Salcycl</f>
        <v>6.1486705525838715E-2</v>
      </c>
      <c r="P374" s="169">
        <f>(INDEX(Models!$BJ374:$BT374,,T374)*(1-R374)+INDEX(Models!$BJ374:$BT374,,T374+1)*R374-ERP_i)*Q374*Ramure*Pc/MaxiM</f>
        <v>1.4228843560215313E-2</v>
      </c>
      <c r="Q374" s="304">
        <f t="shared" si="125"/>
        <v>0.7</v>
      </c>
      <c r="R374" s="177">
        <f t="shared" si="126"/>
        <v>0.93460477588239244</v>
      </c>
      <c r="S374" s="799">
        <f t="shared" si="127"/>
        <v>-1</v>
      </c>
      <c r="T374" s="176">
        <f t="shared" si="128"/>
        <v>5</v>
      </c>
      <c r="U374" s="250">
        <f t="shared" si="129"/>
        <v>-6.5395224117607564E-2</v>
      </c>
      <c r="V374" s="382">
        <f t="shared" si="130"/>
        <v>23.272823185217607</v>
      </c>
      <c r="W374" s="400"/>
      <c r="X374" s="157">
        <f t="shared" si="131"/>
        <v>44556</v>
      </c>
      <c r="Y374" s="383">
        <f t="shared" si="132"/>
        <v>12.237666150265243</v>
      </c>
      <c r="Z374" s="383">
        <f t="shared" si="133"/>
        <v>12.493842236015809</v>
      </c>
      <c r="AA374" s="384">
        <f t="shared" si="134"/>
        <v>13.312376403805736</v>
      </c>
      <c r="AB374" s="197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6.1486705525838715E-2</v>
      </c>
      <c r="AD374" s="230">
        <f>(INDEX(Models!$BJ374:$BT374,,AH374)*(1-AF374)+INDEX(Models!$BJ374:$BT374,,AH374+1)*AF374-ERP_i)*AE374*Ramure*Pc/MaxiM</f>
        <v>1.5068614653761706E-2</v>
      </c>
      <c r="AE374" s="304">
        <f t="shared" si="136"/>
        <v>0.7</v>
      </c>
      <c r="AF374" s="177">
        <f t="shared" si="137"/>
        <v>0.99893699814222459</v>
      </c>
      <c r="AG374" s="799">
        <f t="shared" si="143"/>
        <v>-1</v>
      </c>
      <c r="AH374" s="176">
        <f t="shared" si="138"/>
        <v>5</v>
      </c>
      <c r="AI374" s="224">
        <f t="shared" si="139"/>
        <v>-1.0630018577754141E-3</v>
      </c>
      <c r="AJ374" s="264" t="b">
        <f t="shared" si="140"/>
        <v>0</v>
      </c>
      <c r="AK374" s="264" t="b">
        <f t="shared" si="141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42"/>
        <v>44557</v>
      </c>
      <c r="B375" s="607">
        <v>8.7349999999999994</v>
      </c>
      <c r="C375" s="388"/>
      <c r="D375" s="391">
        <f t="shared" si="122"/>
        <v>8.9180242502373499</v>
      </c>
      <c r="E375" s="383">
        <f t="shared" si="144"/>
        <v>9.5044299150567024</v>
      </c>
      <c r="F375" s="383">
        <f t="shared" si="123"/>
        <v>9.5187145025336939</v>
      </c>
      <c r="G375" s="110">
        <f t="shared" si="145"/>
        <v>0.36922651286043778</v>
      </c>
      <c r="H375" s="412" t="b">
        <f>Wh_hp&gt;='2020'!Maxi_hp</f>
        <v>0</v>
      </c>
      <c r="I375" s="379">
        <f>IF(H375,Wh_hp,'2020'!Maxi_hp)</f>
        <v>24.49923801757005</v>
      </c>
      <c r="J375" s="85">
        <f>IF(H375,An,'2020'!An_max)</f>
        <v>2018</v>
      </c>
      <c r="K375" s="197">
        <f t="shared" si="124"/>
        <v>44557</v>
      </c>
      <c r="L375" s="147">
        <f>IF(t&lt;Tvie,1-EXP((T0-t)*PertePVj)+'2020'!Pspv,1-EXP((T0-t)*PertePVj)+Pspv)</f>
        <v>2.0522959469691848E-2</v>
      </c>
      <c r="M375" s="832"/>
      <c r="N375" s="832"/>
      <c r="O375" s="48">
        <f>IF(t&lt;Tnet,'2020'!Resal+('2020'!Salim-'2020'!Resal)*(1-EXP(('2020'!Tnet-t)/('2020'!Tau_j))),Resal+(Salim-Resal)*(1-EXP((Tnet-t)/(Tau_j))))*Salcycl</f>
        <v>6.1698141820203542E-2</v>
      </c>
      <c r="P375" s="169">
        <f>(INDEX(Models!$BJ375:$BT375,,T375)*(1-R375)+INDEX(Models!$BJ375:$BT375,,T375+1)*R375-ERP_i)*Q375*Ramure*Pc/MaxiM</f>
        <v>1.4199002959202477E-2</v>
      </c>
      <c r="Q375" s="304">
        <f t="shared" si="125"/>
        <v>0.7</v>
      </c>
      <c r="R375" s="177">
        <f t="shared" si="126"/>
        <v>0.93460477588239244</v>
      </c>
      <c r="S375" s="799">
        <f t="shared" si="127"/>
        <v>-1</v>
      </c>
      <c r="T375" s="176">
        <f t="shared" si="128"/>
        <v>5</v>
      </c>
      <c r="U375" s="250">
        <f t="shared" si="129"/>
        <v>-6.5395224117607564E-2</v>
      </c>
      <c r="V375" s="382">
        <f t="shared" si="130"/>
        <v>23.356701597026227</v>
      </c>
      <c r="W375" s="400"/>
      <c r="X375" s="157">
        <f t="shared" si="131"/>
        <v>44557</v>
      </c>
      <c r="Y375" s="383">
        <f t="shared" si="132"/>
        <v>8.734225442646407</v>
      </c>
      <c r="Z375" s="383">
        <f t="shared" si="133"/>
        <v>8.9172334636016846</v>
      </c>
      <c r="AA375" s="384">
        <f t="shared" si="134"/>
        <v>9.5035871301588877</v>
      </c>
      <c r="AB375" s="197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6.1698141820203542E-2</v>
      </c>
      <c r="AD375" s="230">
        <f>(INDEX(Models!$BJ375:$BT375,,AH375)*(1-AF375)+INDEX(Models!$BJ375:$BT375,,AH375+1)*AF375-ERP_i)*AE375*Ramure*Pc/MaxiM</f>
        <v>1.5036738404998039E-2</v>
      </c>
      <c r="AE375" s="304">
        <f t="shared" si="136"/>
        <v>0.7</v>
      </c>
      <c r="AF375" s="177">
        <f t="shared" si="137"/>
        <v>0.99893699814222459</v>
      </c>
      <c r="AG375" s="799">
        <f t="shared" si="143"/>
        <v>-1</v>
      </c>
      <c r="AH375" s="176">
        <f t="shared" si="138"/>
        <v>5</v>
      </c>
      <c r="AI375" s="224">
        <f t="shared" si="139"/>
        <v>-1.0630018577754141E-3</v>
      </c>
      <c r="AJ375" s="264" t="b">
        <f t="shared" si="140"/>
        <v>0</v>
      </c>
      <c r="AK375" s="264" t="b">
        <f t="shared" si="141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42"/>
        <v>44558</v>
      </c>
      <c r="B376" s="607">
        <v>3.544</v>
      </c>
      <c r="C376" s="388"/>
      <c r="D376" s="391">
        <f t="shared" si="122"/>
        <v>3.6183266933284628</v>
      </c>
      <c r="E376" s="383">
        <f t="shared" si="144"/>
        <v>3.8571178940988209</v>
      </c>
      <c r="F376" s="383">
        <f t="shared" si="123"/>
        <v>3.8571178940988209</v>
      </c>
      <c r="G376" s="110">
        <f t="shared" si="145"/>
        <v>0.14894333698409187</v>
      </c>
      <c r="H376" s="412" t="b">
        <f>Wh_hp&gt;='2020'!Maxi_hp</f>
        <v>0</v>
      </c>
      <c r="I376" s="379">
        <f>IF(H376,Wh_hp,'2020'!Maxi_hp)</f>
        <v>6.6479524070099991</v>
      </c>
      <c r="J376" s="85">
        <f>IF(H376,An,'2020'!An_max)</f>
        <v>2020</v>
      </c>
      <c r="K376" s="197">
        <f t="shared" si="124"/>
        <v>44558</v>
      </c>
      <c r="L376" s="147">
        <f>IF(t&lt;Tvie,1-EXP((T0-t)*PertePVj)+'2020'!Pspv,1-EXP((T0-t)*PertePVj)+Pspv)</f>
        <v>2.0541730923718915E-2</v>
      </c>
      <c r="M376" s="832"/>
      <c r="N376" s="832"/>
      <c r="O376" s="48">
        <f>IF(t&lt;Tnet,'2020'!Resal+('2020'!Salim-'2020'!Resal)*(1-EXP(('2020'!Tnet-t)/('2020'!Tau_j))),Resal+(Salim-Resal)*(1-EXP((Tnet-t)/(Tau_j))))*Salcycl</f>
        <v>6.1909230499719851E-2</v>
      </c>
      <c r="P376" s="169">
        <f>(INDEX(Models!$BJ376:$BT376,,T376)*(1-R376)+INDEX(Models!$BJ376:$BT376,,T376+1)*R376-ERP_i)*Q376*Ramure*Pc/MaxiM</f>
        <v>1.4164000193601103E-2</v>
      </c>
      <c r="Q376" s="304">
        <f t="shared" si="125"/>
        <v>0.7</v>
      </c>
      <c r="R376" s="177">
        <f t="shared" si="126"/>
        <v>0.93460477588239244</v>
      </c>
      <c r="S376" s="799">
        <f t="shared" si="127"/>
        <v>-1</v>
      </c>
      <c r="T376" s="176">
        <f t="shared" si="128"/>
        <v>5</v>
      </c>
      <c r="U376" s="250">
        <f t="shared" si="129"/>
        <v>-6.5395224117607564E-2</v>
      </c>
      <c r="V376" s="382">
        <f t="shared" si="130"/>
        <v>23.457261358975991</v>
      </c>
      <c r="W376" s="400"/>
      <c r="X376" s="157">
        <f t="shared" si="131"/>
        <v>44558</v>
      </c>
      <c r="Y376" s="383">
        <f t="shared" si="132"/>
        <v>3.544</v>
      </c>
      <c r="Z376" s="383">
        <f t="shared" si="133"/>
        <v>3.6183266933284628</v>
      </c>
      <c r="AA376" s="384">
        <f t="shared" si="134"/>
        <v>3.8571178940988209</v>
      </c>
      <c r="AB376" s="197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6.1909230499719851E-2</v>
      </c>
      <c r="AD376" s="230">
        <f>(INDEX(Models!$BJ376:$BT376,,AH376)*(1-AF376)+INDEX(Models!$BJ376:$BT376,,AH376+1)*AF376-ERP_i)*AE376*Ramure*Pc/MaxiM</f>
        <v>1.4999329229019866E-2</v>
      </c>
      <c r="AE376" s="304">
        <f t="shared" si="136"/>
        <v>0.7</v>
      </c>
      <c r="AF376" s="177">
        <f t="shared" si="137"/>
        <v>0.99893699814222459</v>
      </c>
      <c r="AG376" s="799">
        <f t="shared" si="143"/>
        <v>-1</v>
      </c>
      <c r="AH376" s="176">
        <f t="shared" si="138"/>
        <v>5</v>
      </c>
      <c r="AI376" s="224">
        <f t="shared" si="139"/>
        <v>-1.0630018577754141E-3</v>
      </c>
      <c r="AJ376" s="264" t="b">
        <f t="shared" si="140"/>
        <v>0</v>
      </c>
      <c r="AK376" s="264" t="b">
        <f t="shared" si="141"/>
        <v>0</v>
      </c>
      <c r="AL376" s="264"/>
      <c r="AM376" s="264"/>
      <c r="AN376" s="75"/>
    </row>
    <row r="377" spans="1:40" s="6" customFormat="1" ht="11.25" customHeight="1" x14ac:dyDescent="0.2">
      <c r="A377" s="56">
        <f t="shared" si="142"/>
        <v>44559</v>
      </c>
      <c r="B377" s="607">
        <v>5.3550000000000004</v>
      </c>
      <c r="C377" s="388"/>
      <c r="D377" s="391">
        <f t="shared" si="122"/>
        <v>5.4674127508980535</v>
      </c>
      <c r="E377" s="383">
        <f t="shared" si="144"/>
        <v>5.8295437142207067</v>
      </c>
      <c r="F377" s="383">
        <f t="shared" si="123"/>
        <v>5.8295437142207067</v>
      </c>
      <c r="G377" s="110">
        <f t="shared" si="145"/>
        <v>0.22395468512280439</v>
      </c>
      <c r="H377" s="412" t="b">
        <f>Wh_hp&gt;='2020'!Maxi_hp</f>
        <v>0</v>
      </c>
      <c r="I377" s="379">
        <f>IF(H377,Wh_hp,'2020'!Maxi_hp)</f>
        <v>25.350843824112598</v>
      </c>
      <c r="J377" s="85">
        <f>IF(H377,An,'2020'!An_max)</f>
        <v>2018</v>
      </c>
      <c r="K377" s="197">
        <f t="shared" si="124"/>
        <v>44559</v>
      </c>
      <c r="L377" s="147">
        <f>IF(t&lt;Tvie,1-EXP((T0-t)*PertePVj)+'2020'!Pspv,1-EXP((T0-t)*PertePVj)+Pspv)</f>
        <v>2.0560502017995419E-2</v>
      </c>
      <c r="M377" s="832"/>
      <c r="N377" s="832"/>
      <c r="O377" s="48">
        <f>IF(t&lt;Tnet,'2020'!Resal+('2020'!Salim-'2020'!Resal)*(1-EXP(('2020'!Tnet-t)/('2020'!Tau_j))),Resal+(Salim-Resal)*(1-EXP((Tnet-t)/(Tau_j))))*Salcycl</f>
        <v>6.2119949875195896E-2</v>
      </c>
      <c r="P377" s="169">
        <f>(INDEX(Models!$BJ377:$BT377,,T377)*(1-R377)+INDEX(Models!$BJ377:$BT377,,T377+1)*R377-ERP_i)*Q377*Ramure*Pc/MaxiM</f>
        <v>1.4124590746527841E-2</v>
      </c>
      <c r="Q377" s="304">
        <f t="shared" si="125"/>
        <v>0.7</v>
      </c>
      <c r="R377" s="177">
        <f t="shared" si="126"/>
        <v>0.93460477588239244</v>
      </c>
      <c r="S377" s="799">
        <f t="shared" si="127"/>
        <v>-1</v>
      </c>
      <c r="T377" s="176">
        <f t="shared" si="128"/>
        <v>5</v>
      </c>
      <c r="U377" s="250">
        <f t="shared" si="129"/>
        <v>-6.5395224117607564E-2</v>
      </c>
      <c r="V377" s="382">
        <f t="shared" si="130"/>
        <v>23.5733528577776</v>
      </c>
      <c r="W377" s="400"/>
      <c r="X377" s="157">
        <f t="shared" si="131"/>
        <v>44559</v>
      </c>
      <c r="Y377" s="383">
        <f t="shared" si="132"/>
        <v>5.3550000000000004</v>
      </c>
      <c r="Z377" s="383">
        <f t="shared" si="133"/>
        <v>5.4674127508980535</v>
      </c>
      <c r="AA377" s="384">
        <f t="shared" si="134"/>
        <v>5.8295437142207067</v>
      </c>
      <c r="AB377" s="197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6.2119949875195896E-2</v>
      </c>
      <c r="AD377" s="230">
        <f>(INDEX(Models!$BJ377:$BT377,,AH377)*(1-AF377)+INDEX(Models!$BJ377:$BT377,,AH377+1)*AF377-ERP_i)*AE377*Ramure*Pc/MaxiM</f>
        <v>1.4957188689062187E-2</v>
      </c>
      <c r="AE377" s="304">
        <f t="shared" si="136"/>
        <v>0.7</v>
      </c>
      <c r="AF377" s="177">
        <f t="shared" si="137"/>
        <v>0.99893699814222459</v>
      </c>
      <c r="AG377" s="799">
        <f t="shared" si="143"/>
        <v>-1</v>
      </c>
      <c r="AH377" s="176">
        <f t="shared" si="138"/>
        <v>5</v>
      </c>
      <c r="AI377" s="224">
        <f t="shared" si="139"/>
        <v>-1.0630018577754141E-3</v>
      </c>
      <c r="AJ377" s="264" t="b">
        <f t="shared" si="140"/>
        <v>0</v>
      </c>
      <c r="AK377" s="264" t="b">
        <f t="shared" si="141"/>
        <v>0</v>
      </c>
      <c r="AL377" s="264"/>
      <c r="AM377" s="264"/>
      <c r="AN377" s="75"/>
    </row>
    <row r="378" spans="1:40" s="6" customFormat="1" ht="11.25" customHeight="1" x14ac:dyDescent="0.2">
      <c r="A378" s="56">
        <f t="shared" si="142"/>
        <v>44560</v>
      </c>
      <c r="B378" s="607">
        <v>16.077000000000002</v>
      </c>
      <c r="C378" s="388"/>
      <c r="D378" s="391">
        <f t="shared" si="122"/>
        <v>16.414804744006403</v>
      </c>
      <c r="E378" s="383">
        <f t="shared" si="144"/>
        <v>17.505955871367359</v>
      </c>
      <c r="F378" s="383">
        <f t="shared" si="123"/>
        <v>17.640179143933739</v>
      </c>
      <c r="G378" s="110">
        <f t="shared" si="145"/>
        <v>0.67382124260558118</v>
      </c>
      <c r="H378" s="412" t="b">
        <f>Wh_hp&gt;='2020'!Maxi_hp</f>
        <v>0</v>
      </c>
      <c r="I378" s="379">
        <f>IF(H378,Wh_hp,'2020'!Maxi_hp)</f>
        <v>26.258304943114872</v>
      </c>
      <c r="J378" s="85">
        <f>IF(H378,An,'2020'!An_max)</f>
        <v>2018</v>
      </c>
      <c r="K378" s="197">
        <f t="shared" si="124"/>
        <v>44560</v>
      </c>
      <c r="L378" s="147">
        <f>IF(t&lt;Tvie,1-EXP((T0-t)*PertePVj)+'2020'!Pspv,1-EXP((T0-t)*PertePVj)+Pspv)</f>
        <v>2.0579272752528244E-2</v>
      </c>
      <c r="M378" s="832"/>
      <c r="N378" s="832"/>
      <c r="O378" s="48">
        <f>IF(t&lt;Tnet,'2020'!Resal+('2020'!Salim-'2020'!Resal)*(1-EXP(('2020'!Tnet-t)/('2020'!Tau_j))),Resal+(Salim-Resal)*(1-EXP((Tnet-t)/(Tau_j))))*Salcycl</f>
        <v>6.2330279784700959E-2</v>
      </c>
      <c r="P378" s="169">
        <f>(INDEX(Models!$BJ378:$BT378,,T378)*(1-R378)+INDEX(Models!$BJ378:$BT378,,T378+1)*R378-ERP_i)*Q378*Ramure*Pc/MaxiM</f>
        <v>1.4081528481961347E-2</v>
      </c>
      <c r="Q378" s="304">
        <f t="shared" si="125"/>
        <v>0.7</v>
      </c>
      <c r="R378" s="177">
        <f t="shared" si="126"/>
        <v>0.93460477588239244</v>
      </c>
      <c r="S378" s="799">
        <f t="shared" si="127"/>
        <v>-1</v>
      </c>
      <c r="T378" s="176">
        <f t="shared" si="128"/>
        <v>5</v>
      </c>
      <c r="U378" s="250">
        <f t="shared" si="129"/>
        <v>-6.5395224117607564E-2</v>
      </c>
      <c r="V378" s="382">
        <f t="shared" si="130"/>
        <v>23.703827542187064</v>
      </c>
      <c r="W378" s="400"/>
      <c r="X378" s="157">
        <f t="shared" si="131"/>
        <v>44560</v>
      </c>
      <c r="Y378" s="383">
        <f t="shared" si="132"/>
        <v>16.069737940138364</v>
      </c>
      <c r="Z378" s="383">
        <f t="shared" si="133"/>
        <v>16.407390096082782</v>
      </c>
      <c r="AA378" s="384">
        <f t="shared" si="134"/>
        <v>17.498048345120356</v>
      </c>
      <c r="AB378" s="197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6.2330279784700959E-2</v>
      </c>
      <c r="AD378" s="230">
        <f>(INDEX(Models!$BJ378:$BT378,,AH378)*(1-AF378)+INDEX(Models!$BJ378:$BT378,,AH378+1)*AF378-ERP_i)*AE378*Ramure*Pc/MaxiM</f>
        <v>1.4911116778684796E-2</v>
      </c>
      <c r="AE378" s="304">
        <f t="shared" si="136"/>
        <v>0.7</v>
      </c>
      <c r="AF378" s="177">
        <f t="shared" si="137"/>
        <v>0.99893699814222459</v>
      </c>
      <c r="AG378" s="799">
        <f t="shared" si="143"/>
        <v>-1</v>
      </c>
      <c r="AH378" s="176">
        <f t="shared" si="138"/>
        <v>5</v>
      </c>
      <c r="AI378" s="224">
        <f t="shared" si="139"/>
        <v>-1.0630018577754141E-3</v>
      </c>
      <c r="AJ378" s="264" t="b">
        <f t="shared" si="140"/>
        <v>0</v>
      </c>
      <c r="AK378" s="264" t="b">
        <f t="shared" si="141"/>
        <v>0</v>
      </c>
      <c r="AL378" s="264"/>
      <c r="AM378" s="264"/>
      <c r="AN378" s="75"/>
    </row>
    <row r="379" spans="1:40" s="18" customFormat="1" ht="12.75" x14ac:dyDescent="0.2">
      <c r="A379" s="56">
        <f t="shared" si="142"/>
        <v>44561</v>
      </c>
      <c r="B379" s="607">
        <v>23.419</v>
      </c>
      <c r="C379" s="388"/>
      <c r="D379" s="391">
        <f t="shared" si="122"/>
        <v>23.911530741452783</v>
      </c>
      <c r="E379" s="383">
        <f t="shared" si="144"/>
        <v>25.506726564715574</v>
      </c>
      <c r="F379" s="383">
        <f t="shared" si="123"/>
        <v>25.860373589041732</v>
      </c>
      <c r="G379" s="110">
        <f t="shared" si="145"/>
        <v>0.98167135603912337</v>
      </c>
      <c r="H379" s="412" t="b">
        <f>Wh_hp&gt;='2020'!Maxi_hp</f>
        <v>1</v>
      </c>
      <c r="I379" s="379">
        <f>IF(H379,Wh_hp,'2020'!Maxi_hp)</f>
        <v>25.860373589041732</v>
      </c>
      <c r="J379" s="85">
        <f>IF(H379,An,'2020'!An_max)</f>
        <v>2021</v>
      </c>
      <c r="K379" s="197">
        <f t="shared" si="124"/>
        <v>44561</v>
      </c>
      <c r="L379" s="147">
        <f>IF(t&lt;Tvie,1-EXP((T0-t)*PertePVj)+'2020'!Pspv,1-EXP((T0-t)*PertePVj)+Pspv)</f>
        <v>2.0598043127324162E-2</v>
      </c>
      <c r="M379" s="832"/>
      <c r="N379" s="832"/>
      <c r="O379" s="48">
        <f>IF(t&lt;Tnet,'2020'!Resal+('2020'!Salim-'2020'!Resal)*(1-EXP(('2020'!Tnet-t)/('2020'!Tau_j))),Resal+(Salim-Resal)*(1-EXP((Tnet-t)/(Tau_j))))*Salcycl</f>
        <v>6.2540201668585996E-2</v>
      </c>
      <c r="P379" s="169">
        <f>(INDEX(Models!$BJ379:$BT379,,T379)*(1-R379)+INDEX(Models!$BJ379:$BT379,,T379+1)*R379-ERP_i)*Q379*Ramure*Pc/MaxiM</f>
        <v>1.403555896542262E-2</v>
      </c>
      <c r="Q379" s="305">
        <f t="shared" si="125"/>
        <v>0.7</v>
      </c>
      <c r="R379" s="177">
        <f t="shared" si="126"/>
        <v>0.93460477588239244</v>
      </c>
      <c r="S379" s="799">
        <f t="shared" si="127"/>
        <v>-1</v>
      </c>
      <c r="T379" s="176">
        <f t="shared" si="128"/>
        <v>5</v>
      </c>
      <c r="U379" s="306">
        <f t="shared" si="129"/>
        <v>-6.5395224117607564E-2</v>
      </c>
      <c r="V379" s="382">
        <f t="shared" si="130"/>
        <v>23.847537917960786</v>
      </c>
      <c r="W379" s="400"/>
      <c r="X379" s="157">
        <f t="shared" si="131"/>
        <v>44561</v>
      </c>
      <c r="Y379" s="383">
        <f t="shared" si="132"/>
        <v>23.399883175148624</v>
      </c>
      <c r="Z379" s="383">
        <f t="shared" si="133"/>
        <v>23.892011865962253</v>
      </c>
      <c r="AA379" s="384">
        <f t="shared" si="134"/>
        <v>25.485905538016326</v>
      </c>
      <c r="AB379" s="197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6.2540201668585996E-2</v>
      </c>
      <c r="AD379" s="230">
        <f>(INDEX(Models!$BJ379:$BT379,,AH379)*(1-AF379)+INDEX(Models!$BJ379:$BT379,,AH379+1)*AF379-ERP_i)*AE379*Ramure*Pc/MaxiM</f>
        <v>1.4861904807056039E-2</v>
      </c>
      <c r="AE379" s="305">
        <f t="shared" si="136"/>
        <v>0.7</v>
      </c>
      <c r="AF379" s="177">
        <f t="shared" si="137"/>
        <v>0.99893699814222459</v>
      </c>
      <c r="AG379" s="799">
        <f t="shared" si="143"/>
        <v>-1</v>
      </c>
      <c r="AH379" s="176">
        <f t="shared" si="138"/>
        <v>5</v>
      </c>
      <c r="AI379" s="221">
        <f t="shared" si="139"/>
        <v>-1.0630018577754141E-3</v>
      </c>
      <c r="AJ379" s="264" t="b">
        <f t="shared" si="140"/>
        <v>0</v>
      </c>
      <c r="AK379" s="264" t="b">
        <f t="shared" si="141"/>
        <v>0</v>
      </c>
      <c r="AL379" s="264"/>
      <c r="AM379" s="264"/>
      <c r="AN379" s="264"/>
    </row>
    <row r="380" spans="1:40" s="18" customFormat="1" ht="11.25" customHeight="1" thickBot="1" x14ac:dyDescent="0.25">
      <c r="A380" s="1121"/>
      <c r="B380" s="609"/>
      <c r="C380" s="839"/>
      <c r="D380" s="393"/>
      <c r="E380" s="1122"/>
      <c r="F380" s="1122"/>
      <c r="G380" s="1123"/>
      <c r="H380" s="412" t="b">
        <f>Wh_hp&gt;='2020'!Maxi_hp</f>
        <v>0</v>
      </c>
      <c r="I380" s="380">
        <f>IF(H380,Wh_hp,'2020'!Maxi_hp)</f>
        <v>16.851465220813907</v>
      </c>
      <c r="J380" s="128">
        <f>IF(H380,An,'2020'!An_max)</f>
        <v>2020</v>
      </c>
      <c r="K380" s="233">
        <f t="shared" si="124"/>
        <v>0</v>
      </c>
      <c r="L380" s="1124"/>
      <c r="M380" s="1125"/>
      <c r="N380" s="1125"/>
      <c r="O380" s="1126"/>
      <c r="P380" s="321"/>
      <c r="Q380" s="1127"/>
      <c r="R380" s="1128"/>
      <c r="S380" s="1129"/>
      <c r="T380" s="1130"/>
      <c r="U380" s="322"/>
      <c r="V380" s="395"/>
      <c r="W380" s="400"/>
      <c r="X380" s="1131"/>
      <c r="Y380" s="1132"/>
      <c r="Z380" s="1132"/>
      <c r="AA380" s="1133"/>
      <c r="AB380" s="1134"/>
      <c r="AC380" s="1135"/>
      <c r="AD380" s="1136"/>
      <c r="AE380" s="1127"/>
      <c r="AF380" s="1128"/>
      <c r="AG380" s="1129"/>
      <c r="AH380" s="1130"/>
      <c r="AI380" s="1137"/>
      <c r="AJ380" s="264" t="b">
        <f t="shared" si="140"/>
        <v>1</v>
      </c>
      <c r="AK380" s="264" t="b">
        <f t="shared" si="141"/>
        <v>1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1.0210000000000001</v>
      </c>
      <c r="C381" s="374"/>
      <c r="D381" s="372">
        <f>MIN(D15:D380)</f>
        <v>1.0417339427892822</v>
      </c>
      <c r="E381" s="372">
        <f>MIN(E15:E380)</f>
        <v>1.1019988446505786</v>
      </c>
      <c r="F381" s="373">
        <f>MIN(F15:F380)</f>
        <v>1.1019988446505786</v>
      </c>
      <c r="G381" s="125">
        <f>+MIN(G15:G380)</f>
        <v>3.6855454355791586E-2</v>
      </c>
      <c r="H381" s="94"/>
      <c r="I381" s="373">
        <f>MIN(I15:I380)</f>
        <v>4.7399046696174114</v>
      </c>
      <c r="J381" s="57">
        <f>MIN(J15:J380)</f>
        <v>2018</v>
      </c>
      <c r="K381" s="200" t="s">
        <v>7</v>
      </c>
      <c r="L381" s="146">
        <f t="shared" ref="L381:T381" si="146">MIN(L15:L380)</f>
        <v>1.3741805270046314E-2</v>
      </c>
      <c r="M381" s="833"/>
      <c r="N381" s="833"/>
      <c r="O381" s="47">
        <f t="shared" si="146"/>
        <v>3.8647557071153291E-2</v>
      </c>
      <c r="P381" s="168">
        <f t="shared" si="146"/>
        <v>8.457603208842023E-5</v>
      </c>
      <c r="Q381" s="309">
        <f t="shared" si="146"/>
        <v>0.7</v>
      </c>
      <c r="R381" s="310">
        <f t="shared" si="146"/>
        <v>0.53460579431132926</v>
      </c>
      <c r="S381" s="799">
        <f t="shared" si="146"/>
        <v>-1</v>
      </c>
      <c r="T381" s="176">
        <f t="shared" si="146"/>
        <v>5</v>
      </c>
      <c r="U381" s="251">
        <f>+MIN(U15:U380)</f>
        <v>-0.46539420568867074</v>
      </c>
      <c r="V381" s="372">
        <f>MIN(V15:V380)</f>
        <v>23.122161772965416</v>
      </c>
      <c r="W381" s="793"/>
      <c r="X381" s="112" t="s">
        <v>7</v>
      </c>
      <c r="Y381" s="374">
        <f>MIN(Y15:Y380)</f>
        <v>1.0210000000000001</v>
      </c>
      <c r="Z381" s="374">
        <f>MIN(Z15:Z380)</f>
        <v>1.0417339427892822</v>
      </c>
      <c r="AA381" s="374">
        <f>MIN(AA15:AA380)</f>
        <v>1.1019988446505786</v>
      </c>
      <c r="AB381" s="200" t="s">
        <v>7</v>
      </c>
      <c r="AC381" s="48">
        <f t="shared" ref="AC381:AH381" si="147">MIN(AC15:AC380)</f>
        <v>3.8647557071153291E-2</v>
      </c>
      <c r="AD381" s="169">
        <f t="shared" si="147"/>
        <v>9.1602807665806869E-5</v>
      </c>
      <c r="AE381" s="309">
        <f t="shared" si="147"/>
        <v>0.7</v>
      </c>
      <c r="AF381" s="310">
        <f t="shared" si="147"/>
        <v>0.59893801657116141</v>
      </c>
      <c r="AG381" s="799">
        <f t="shared" si="147"/>
        <v>-1</v>
      </c>
      <c r="AH381" s="176">
        <f t="shared" si="147"/>
        <v>5</v>
      </c>
      <c r="AI381" s="224">
        <f>MIN(AI15:AI380)</f>
        <v>-0.40106198342883859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29.365232876712323</v>
      </c>
      <c r="C382" s="374"/>
      <c r="D382" s="374">
        <f>AVERAGE(D15:D380)</f>
        <v>29.874620383060243</v>
      </c>
      <c r="E382" s="374">
        <f>AVERAGE(E15:E380)</f>
        <v>31.326857492125892</v>
      </c>
      <c r="F382" s="375">
        <f>AVERAGE(F15:F380)</f>
        <v>31.388597254633101</v>
      </c>
      <c r="G382" s="126">
        <f>AVERAGE(G15:G380)</f>
        <v>0.64746979414232897</v>
      </c>
      <c r="H382" s="94"/>
      <c r="I382" s="375">
        <f>AVERAGE(I15:I380)</f>
        <v>41.363555400597868</v>
      </c>
      <c r="J382" s="59">
        <f>AVERAGE(J15:J380)</f>
        <v>2019.7295081967213</v>
      </c>
      <c r="K382" s="200" t="s">
        <v>8</v>
      </c>
      <c r="L382" s="147">
        <f t="shared" ref="L382:V382" si="148">AVERAGE(L15:L380)</f>
        <v>1.717389903013964E-2</v>
      </c>
      <c r="M382" s="832"/>
      <c r="N382" s="832"/>
      <c r="O382" s="48">
        <f t="shared" si="148"/>
        <v>4.6862680175033353E-2</v>
      </c>
      <c r="P382" s="169">
        <f t="shared" si="148"/>
        <v>4.9287943663923386E-3</v>
      </c>
      <c r="Q382" s="311">
        <f t="shared" si="148"/>
        <v>0.69999999999999529</v>
      </c>
      <c r="R382" s="177">
        <f t="shared" si="148"/>
        <v>0.75851267191064509</v>
      </c>
      <c r="S382" s="799">
        <f t="shared" si="148"/>
        <v>-1</v>
      </c>
      <c r="T382" s="176">
        <f t="shared" si="148"/>
        <v>5</v>
      </c>
      <c r="U382" s="250">
        <f t="shared" si="148"/>
        <v>-0.24148732808935566</v>
      </c>
      <c r="V382" s="374">
        <f t="shared" si="148"/>
        <v>43.986574521714111</v>
      </c>
      <c r="X382" s="112" t="s">
        <v>8</v>
      </c>
      <c r="Y382" s="374">
        <f>AVERAGE(Y15:Y380)</f>
        <v>29.361135142321945</v>
      </c>
      <c r="Z382" s="374">
        <f>AVERAGE(Z15:Z380)</f>
        <v>29.870449388949442</v>
      </c>
      <c r="AA382" s="374">
        <f>AVERAGE(AA15:AA380)</f>
        <v>31.322475629241278</v>
      </c>
      <c r="AB382" s="200" t="s">
        <v>8</v>
      </c>
      <c r="AC382" s="48">
        <f t="shared" ref="AC382:AH382" si="149">AVERAGE(AC15:AC380)</f>
        <v>4.6862680175033353E-2</v>
      </c>
      <c r="AD382" s="169">
        <f t="shared" si="149"/>
        <v>5.2742045044169988E-3</v>
      </c>
      <c r="AE382" s="311">
        <f t="shared" si="149"/>
        <v>0.69999999999999529</v>
      </c>
      <c r="AF382" s="177">
        <f t="shared" si="149"/>
        <v>0.82284489417047535</v>
      </c>
      <c r="AG382" s="799">
        <f t="shared" si="149"/>
        <v>-1</v>
      </c>
      <c r="AH382" s="176">
        <f t="shared" si="149"/>
        <v>5</v>
      </c>
      <c r="AI382" s="224">
        <f>AVERAGE(AI15:AI380)</f>
        <v>-0.17715510582952318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57.605000000000004</v>
      </c>
      <c r="C383" s="376"/>
      <c r="D383" s="376">
        <f>MAX(D15:D380)</f>
        <v>58.534253180649863</v>
      </c>
      <c r="E383" s="376">
        <f>MAX(E15:E380)</f>
        <v>61.166485683281856</v>
      </c>
      <c r="F383" s="377">
        <f>MAX(F15:F380)</f>
        <v>61.221202275533329</v>
      </c>
      <c r="G383" s="127">
        <f>+MAX(G15:G380)</f>
        <v>1.043887979774113</v>
      </c>
      <c r="H383" s="94"/>
      <c r="I383" s="377">
        <f>MAX(I15:I380)</f>
        <v>64.215122991320413</v>
      </c>
      <c r="J383" s="60">
        <f>MAX(J15:J380)</f>
        <v>2021</v>
      </c>
      <c r="K383" s="200" t="s">
        <v>9</v>
      </c>
      <c r="L383" s="148">
        <f t="shared" ref="L383:T383" si="150">MAX(L15:L380)</f>
        <v>2.0598043127324162E-2</v>
      </c>
      <c r="M383" s="834"/>
      <c r="N383" s="834"/>
      <c r="O383" s="49">
        <f t="shared" si="150"/>
        <v>6.2540201668585996E-2</v>
      </c>
      <c r="P383" s="170">
        <f t="shared" si="150"/>
        <v>1.6394163945793041E-2</v>
      </c>
      <c r="Q383" s="312">
        <f t="shared" si="150"/>
        <v>0.7</v>
      </c>
      <c r="R383" s="313">
        <f t="shared" si="150"/>
        <v>0.93460477588239244</v>
      </c>
      <c r="S383" s="800">
        <f t="shared" si="150"/>
        <v>-1</v>
      </c>
      <c r="T383" s="232">
        <f t="shared" si="150"/>
        <v>5</v>
      </c>
      <c r="U383" s="252">
        <f>+MAX(U15:U380)</f>
        <v>-6.5395224117607564E-2</v>
      </c>
      <c r="V383" s="376">
        <f>MAX(V15:V380)</f>
        <v>58.244222603616805</v>
      </c>
      <c r="X383" s="112" t="s">
        <v>9</v>
      </c>
      <c r="Y383" s="376">
        <f>MAX(Y15:Y380)</f>
        <v>57.600378473795381</v>
      </c>
      <c r="Z383" s="376">
        <f>MAX(Z15:Z380)</f>
        <v>58.529557102445843</v>
      </c>
      <c r="AA383" s="376">
        <f>MAX(AA15:AA380)</f>
        <v>61.161578426682077</v>
      </c>
      <c r="AB383" s="200" t="s">
        <v>9</v>
      </c>
      <c r="AC383" s="49">
        <f t="shared" ref="AC383:AH383" si="151">MAX(AC15:AC380)</f>
        <v>6.2540201668585996E-2</v>
      </c>
      <c r="AD383" s="170">
        <f t="shared" si="151"/>
        <v>1.7365570188668977E-2</v>
      </c>
      <c r="AE383" s="312">
        <f t="shared" si="151"/>
        <v>0.7</v>
      </c>
      <c r="AF383" s="313">
        <f t="shared" si="151"/>
        <v>0.99893699814222459</v>
      </c>
      <c r="AG383" s="800">
        <f t="shared" si="151"/>
        <v>-1</v>
      </c>
      <c r="AH383" s="232">
        <f t="shared" si="151"/>
        <v>5</v>
      </c>
      <c r="AI383" s="226">
        <f>MAX(AI15:AI380)</f>
        <v>-1.0630018577754141E-3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5" priority="4" stopIfTrue="1" operator="lessThan">
      <formula>0.01</formula>
    </cfRule>
    <cfRule type="cellIs" dxfId="14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W368" activePane="bottomRight" state="frozen"/>
      <selection pane="topRight"/>
      <selection pane="bottomLeft"/>
      <selection pane="bottomRight" activeCell="B288" sqref="B288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3">
        <f>'2021'!An+1</f>
        <v>2022</v>
      </c>
      <c r="K1" s="1274"/>
      <c r="L1" s="113" t="str">
        <f>"Calcul pertes et enveloppes en "&amp;TEXT(An,0)</f>
        <v>Calcul pertes et enveloppes en 2022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2022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3">
        <f>Tmaj</f>
        <v>44926</v>
      </c>
      <c r="F3" s="1283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165</v>
      </c>
      <c r="V3" s="622">
        <f>Salim_i</f>
        <v>0.08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-0.62254437567418108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4" t="str">
        <f>Station</f>
        <v>Noueilles salle des fêtes</v>
      </c>
      <c r="F4" s="1215"/>
      <c r="G4" s="1215"/>
      <c r="H4" s="1215"/>
      <c r="I4" s="1216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0.8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632.97649395152894</v>
      </c>
      <c r="AK4" s="822">
        <f>AM12-AK12</f>
        <v>0.2016852483288929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4">
        <f>T0</f>
        <v>43475</v>
      </c>
      <c r="F5" s="1284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633.22426340792936</v>
      </c>
      <c r="AA5" s="236">
        <f>Wh_Pvg_s-Wh_Pvg</f>
        <v>0.17860601135433996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2993.8510000000006</v>
      </c>
      <c r="AK5" s="514">
        <f>SUMIF(AK15:AK380,"VRAI",Wh)</f>
        <v>6.9190000000000005</v>
      </c>
      <c r="AL5" s="514">
        <f>SUMIF(AJ15:AJ380,"VRAI",Wh_s)</f>
        <v>2986.2225346056603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5">
        <f>Tservice</f>
        <v>43522</v>
      </c>
      <c r="F6" s="1285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8485.2899999999972</v>
      </c>
      <c r="AK6" s="514">
        <f>SUMIF(AK15:AK380,"FAUX",Wh)</f>
        <v>11472.221999999998</v>
      </c>
      <c r="AL6" s="514">
        <f>SUMIF(AJ15:AJ380,"FAUX",Wh_s)</f>
        <v>7850.5091178494085</v>
      </c>
      <c r="AM6" s="514">
        <f>SUMIF(AK15:AK380,"FAUX",Wh_s)</f>
        <v>10836.731652455055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AND(YEAR(Tnet)=An,Resal_2022="I")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3053.8221652538259</v>
      </c>
      <c r="AK7" s="514">
        <f>SUMIF(AK15:AK380,"VRAI",Wh_sa)</f>
        <v>0</v>
      </c>
      <c r="AL7" s="514">
        <f>SUMIF(AJ15:AJ380,"VRAI",Wh_pvt_s)</f>
        <v>3053.0971844787105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AND(YEAR(Tnet)=An,Resal_2022&lt;&gt;"I")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1" t="s">
        <v>102</v>
      </c>
      <c r="Y8" s="1272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8700.2276445902316</v>
      </c>
      <c r="AK8" s="514">
        <f>SUMIF(AK15:AK380,"FAUX",Wh_sa)</f>
        <v>12116.999137221526</v>
      </c>
      <c r="AL8" s="514">
        <f>SUMIF(AJ15:AJ380,"FAUX",Wh_pvt_s)</f>
        <v>8049.4074862763227</v>
      </c>
      <c r="AM8" s="514">
        <f>SUMIF(AK15:AK380,"FAUX",Wh_sa_s)</f>
        <v>12114.412612699547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11754.049809844068</v>
      </c>
      <c r="E9" s="184">
        <f>SUM(E$15:E$380)</f>
        <v>12116.999137221526</v>
      </c>
      <c r="F9" s="184">
        <f>SUM(F$15:F$380)</f>
        <v>12157.416985828029</v>
      </c>
      <c r="H9" s="1275">
        <f>+SUM(Wh)</f>
        <v>11479.140999999998</v>
      </c>
      <c r="I9" s="1276"/>
      <c r="J9" s="1277"/>
      <c r="K9" s="191" t="s">
        <v>10</v>
      </c>
      <c r="L9" s="231"/>
      <c r="M9" s="231"/>
      <c r="N9" s="231"/>
      <c r="O9" s="222">
        <f>Tnet_2022</f>
        <v>44683</v>
      </c>
      <c r="P9" s="243" t="s">
        <v>91</v>
      </c>
      <c r="Q9" s="244"/>
      <c r="R9" s="244"/>
      <c r="S9" s="244"/>
      <c r="T9" s="244"/>
      <c r="U9" s="245"/>
      <c r="V9" s="460"/>
      <c r="W9" s="519"/>
      <c r="X9" s="1269">
        <f>+SUM(Wh_s)</f>
        <v>10836.731652455055</v>
      </c>
      <c r="Y9" s="1270"/>
      <c r="Z9" s="514">
        <f>SUM(Wh_pvt_s)</f>
        <v>11102.504670755021</v>
      </c>
      <c r="AA9" s="514">
        <f>SUM(Wh_sa_s)</f>
        <v>12114.412612699547</v>
      </c>
      <c r="AB9" s="514">
        <f>F9</f>
        <v>12157.416985828029</v>
      </c>
      <c r="AC9" s="324">
        <f>IF(An_Tnet,Tnet,'2021'!Tnet_s)</f>
        <v>44683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3304.6815061346533</v>
      </c>
      <c r="AK9" s="514">
        <f>SUMIF(AK15:AK380,"VRAI",Wh_hp)</f>
        <v>0</v>
      </c>
      <c r="AL9" s="514">
        <f>SUMIF(AJ15:AJ380,"VRAI",Wh_sa_s)</f>
        <v>3303.9011666790088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IF(Inflex,'2021'!Resal+('2021'!Salim-'2021'!Resal)*(1-EXP(-(Tnet-'2021'!Tnet)/('2021'!Tau_j))),IF(An_Tnet,Resal_2022,'2021'!Resal))</f>
        <v>7.0000000000000001E-3</v>
      </c>
      <c r="P10" s="419" t="b">
        <f>NOT(Acti_tai)</f>
        <v>1</v>
      </c>
      <c r="Q10" s="256">
        <f>IF(Acti_tai,'2021'!PousD,Dens-Dd)</f>
        <v>0</v>
      </c>
      <c r="R10" s="273"/>
      <c r="S10" s="274"/>
      <c r="T10" s="275"/>
      <c r="U10" s="265">
        <f>IF(Acti_tai,'2021'!PousH,Hdtf-Hdd)</f>
        <v>0.4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IF(OR(Inflex,GainD),'2021'!Resal_s+('2021'!Salim-'2021'!Resal_s)*(1-EXP(('2021'!Tnet_s-Tnet)/('2021'!Tau_j))),IF(Acti_net,'2021'!Resal+('2021'!Salim-'2021'!Resal)*(1-EXP(('2021'!Tnet-Tnet)/'2021'!Tau_j)),'2021'!Resal_s))</f>
        <v>8.4520784357244402E-2</v>
      </c>
      <c r="AD10" s="426"/>
      <c r="AE10" s="426"/>
      <c r="AF10" s="259"/>
      <c r="AG10" s="260"/>
      <c r="AH10" s="261"/>
      <c r="AI10" s="471"/>
      <c r="AJ10" s="514">
        <f>SUMIF(AJ15:AJ380,"FAUX",Wh_sa)</f>
        <v>8812.3176310868803</v>
      </c>
      <c r="AK10" s="514">
        <f>SUMIF(AK15:AK380,"FAUX",Wh_hp)</f>
        <v>12157.416985828029</v>
      </c>
      <c r="AL10" s="514">
        <f>SUMIF(AJ15:AJ380,"FAUX",Wh_sa_s)</f>
        <v>8810.5114460205368</v>
      </c>
      <c r="AM10" s="514">
        <f>SUMIF(AK15:AK380,"FAUX",Wh_hp)</f>
        <v>12157.416985828029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274.90880984406976</v>
      </c>
      <c r="E11" s="51">
        <f>(E$9-D$9)*Prod_an/D$9</f>
        <v>354.46051124708316</v>
      </c>
      <c r="F11" s="186">
        <f>(F$9-E$9)*Prod_an/E$9</f>
        <v>38.290188669361342</v>
      </c>
      <c r="G11" s="185" t="s">
        <v>6</v>
      </c>
      <c r="K11" s="194"/>
      <c r="L11" s="211">
        <f>Tvie_2022</f>
        <v>43475</v>
      </c>
      <c r="M11" s="831"/>
      <c r="N11" s="831"/>
      <c r="O11" s="202">
        <f>IF(An_Tnet,Salim_2022,'2021'!Salim)</f>
        <v>7.0000000000000007E-2</v>
      </c>
      <c r="P11" s="255">
        <f>Ttai_2022</f>
        <v>43586</v>
      </c>
      <c r="Q11" s="271">
        <f>Dens_2022</f>
        <v>0.7</v>
      </c>
      <c r="R11" s="276"/>
      <c r="S11" s="229"/>
      <c r="T11" s="229"/>
      <c r="U11" s="265">
        <f>Htf_2022</f>
        <v>0.33460477588239246</v>
      </c>
      <c r="V11" s="19"/>
      <c r="W11" s="824"/>
      <c r="X11" s="234" t="s">
        <v>43</v>
      </c>
      <c r="Y11" s="50">
        <f>Z$9-Prod_an_s</f>
        <v>265.77301829996577</v>
      </c>
      <c r="Z11" s="51">
        <f>(AA$9-Z$9)*Prod_an_s/Z$9</f>
        <v>987.68477465501257</v>
      </c>
      <c r="AA11" s="186">
        <f>(AB$9-AA$9)*Prod_an_s/AA$9</f>
        <v>38.468794680715682</v>
      </c>
      <c r="AB11" s="185" t="s">
        <v>6</v>
      </c>
      <c r="AC11" s="324"/>
      <c r="AD11" s="19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245.9329482576409</v>
      </c>
      <c r="AK11" s="822">
        <f>IF($AK7=0,0,($AK9-$AK7)*$AK5/$AK7)</f>
        <v>0</v>
      </c>
      <c r="AL11" s="821">
        <f>IF($AL7=0,0,($AL9-$AL7)*$AL5/$AL7)</f>
        <v>245.31040388196672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4.8244182657660062E-2</v>
      </c>
      <c r="K12" s="191"/>
      <c r="L12" s="212">
        <f>Pspv_2022</f>
        <v>0</v>
      </c>
      <c r="M12" s="212"/>
      <c r="N12" s="212"/>
      <c r="O12" s="205">
        <f>IF(An_Tnet,Tau_2022*365,'2021'!Tau_j)</f>
        <v>1095</v>
      </c>
      <c r="P12" s="280">
        <f>INDEX(Croivg,MIN(MAX(Ttai-$A$15,0)+1,366))</f>
        <v>2.3909964587625958E-6</v>
      </c>
      <c r="Q12" s="279">
        <f>'2021'!Df</f>
        <v>0.7</v>
      </c>
      <c r="R12" s="277"/>
      <c r="S12" s="278"/>
      <c r="T12" s="278"/>
      <c r="U12" s="266">
        <f>'2021'!Hdf</f>
        <v>-6.5395224117607564E-2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'2021'!Df_s</f>
        <v>0.7</v>
      </c>
      <c r="AF12" s="203"/>
      <c r="AG12" s="203"/>
      <c r="AH12" s="203"/>
      <c r="AI12" s="296">
        <f>'2021'!Hdf_s</f>
        <v>-1.0630018577754141E-3</v>
      </c>
      <c r="AJ12" s="821">
        <f>IF($AJ8=0,0,($AJ10-$AJ8)*$AJ6/$AJ8)</f>
        <v>109.3208224398068</v>
      </c>
      <c r="AK12" s="822">
        <f>IF($AK8=0,0,($AK10-$AK8)*$AK6/$AK8)</f>
        <v>38.267109432386789</v>
      </c>
      <c r="AL12" s="821">
        <f>IF($AL8=0,0,($AL10-$AL8)*$AL6/$AL8)</f>
        <v>742.2973163913357</v>
      </c>
      <c r="AM12" s="822">
        <f>IF($AM8=0,0,($AM10-$AM8)*$AM6/$AM8)</f>
        <v>38.468794680715682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202</v>
      </c>
      <c r="V13" s="124" t="s">
        <v>41</v>
      </c>
      <c r="W13" s="825" t="s">
        <v>271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206</v>
      </c>
      <c r="AJ13" s="73">
        <f>+AJ11+AJ12</f>
        <v>355.25377069744769</v>
      </c>
      <c r="AK13" s="73">
        <f>+AK11+AK12</f>
        <v>38.267109432386789</v>
      </c>
      <c r="AL13" s="73">
        <f>+AL11+AL12</f>
        <v>987.60772027330245</v>
      </c>
      <c r="AM13" s="73">
        <f>+AM11+AM12</f>
        <v>38.468794680715682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188</v>
      </c>
      <c r="C14" s="387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2022</v>
      </c>
      <c r="W14" s="826" t="s">
        <v>116</v>
      </c>
      <c r="X14" s="257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56">
        <f>DATE(An,1,1)</f>
        <v>44562</v>
      </c>
      <c r="B15" s="1146">
        <v>23.740000000000002</v>
      </c>
      <c r="C15" s="388"/>
      <c r="D15" s="391">
        <f t="shared" ref="D15:D78" si="0">Wh/(1-Ppv)</f>
        <v>24.239746320508871</v>
      </c>
      <c r="E15" s="398">
        <f t="shared" ref="E15:E79" si="1">Wh_pvt/(1-Psa)</f>
        <v>25.862617792694998</v>
      </c>
      <c r="F15" s="398">
        <f t="shared" ref="F15:F78" si="2">Wh_sa/(1-Pvg*MEDIAN((-Sdif+Wh/Env_an)/Csdif,0,1))</f>
        <v>26.223670689072435</v>
      </c>
      <c r="G15" s="123">
        <f>+Wh_hp/MaxiM</f>
        <v>0.98880929798499118</v>
      </c>
      <c r="H15" s="412" t="b">
        <f>Wh_hp&gt;='2021'!Maxi_hp</f>
        <v>1</v>
      </c>
      <c r="I15" s="378">
        <f>IF(H15,Wh_hp,'2021'!Maxi_hp)</f>
        <v>26.223670689072435</v>
      </c>
      <c r="J15" s="84">
        <f>IF(H15,An,'2021'!An_max)</f>
        <v>2022</v>
      </c>
      <c r="K15" s="197">
        <f t="shared" ref="K15:K78" si="3">t</f>
        <v>44562</v>
      </c>
      <c r="L15" s="146">
        <f>IF(t&lt;Tvie,1-EXP((T0-t)*PertePVj)+'2021'!Pspv,1-EXP((T0-t)*PertePVj)+Pspv)</f>
        <v>2.0616813142390167E-2</v>
      </c>
      <c r="M15" s="832"/>
      <c r="N15" s="832"/>
      <c r="O15" s="48">
        <f>IF(t&lt;Tnet,'2021'!Resal+('2021'!Salim-'2021'!Resal)*(1-EXP(('2021'!Tnet-t)/('2021'!Tau_j))),Resal+(Salim-Resal)*(1-EXP((Tnet-t)/(Tau_j))))*Salcycl</f>
        <v>6.2749698626583417E-2</v>
      </c>
      <c r="P15" s="301">
        <f>(INDEX(Models!$BJ15:$BT15,,T15)*(1-R15)+INDEX(Models!$BJ15:$BT15,,T15+1)*R15-ERP_i)*Q15*Ramure*Pc/MaxiM</f>
        <v>1.3987425990737289E-2</v>
      </c>
      <c r="Q15" s="302">
        <f t="shared" ref="Q15:Q78" si="4">IF(OR(t&lt;Ttai,Notai),Dd+PousD*Croivg,Dens+PousD*(Croivg-Croi_tai))</f>
        <v>0.7</v>
      </c>
      <c r="R15" s="303">
        <f t="shared" ref="R15:R78" si="5">(Hp_vg-S15)/(INDEX(Echel_vg,T15+1)-S15)</f>
        <v>0.93460573228097599</v>
      </c>
      <c r="S15" s="798">
        <f t="shared" ref="S15:S78" si="6">INDEX(Echel_vg,T15)</f>
        <v>-1</v>
      </c>
      <c r="T15" s="248">
        <f t="shared" ref="T15:T78" si="7">MIN(MATCH(Hp_vg,Echel_vg),10)</f>
        <v>5</v>
      </c>
      <c r="U15" s="249">
        <f t="shared" ref="U15:U78" si="8">IF(OR(t&lt;Ttai,Notai),Hdd+PousH*Croivg,Hdtf+PousH*(Croivg-Croi_tai))</f>
        <v>-6.5394267719024055E-2</v>
      </c>
      <c r="V15" s="381">
        <f t="shared" ref="V15:V78" si="9">MaxiM*(1-Ppv)*(1-Pvg)*(1-Psa)</f>
        <v>24.0033372546152</v>
      </c>
      <c r="W15" s="400">
        <f t="shared" ref="W15:W78" si="10">Wh*(A15&gt;Tmaj)</f>
        <v>0</v>
      </c>
      <c r="X15" s="156">
        <f t="shared" ref="X15:X78" si="11">t</f>
        <v>44562</v>
      </c>
      <c r="Y15" s="383">
        <f t="shared" ref="Y15:Y78" si="12">Wh_pvt_s*(1-Ppv)</f>
        <v>23.72050170943</v>
      </c>
      <c r="Z15" s="383">
        <f t="shared" ref="Z15:Z78" si="13">Wh_sa_s*(1-Psa_s)</f>
        <v>24.219837575053926</v>
      </c>
      <c r="AA15" s="384">
        <f t="shared" ref="AA15:AA78" si="14">Wh_hp*(1-Pvg_s*MEDIAN((-Sdif+Wh/Env_an)/Csdif,0,1))</f>
        <v>25.841376139930766</v>
      </c>
      <c r="AB15" s="197">
        <f t="shared" ref="AB15:AB78" si="15">t</f>
        <v>44562</v>
      </c>
      <c r="AC15" s="119">
        <f>IF(OR(t&lt;Tnet,NoTnet),'2021'!Resal_s+('2021'!Salim-'2021'!Resal_s)*(1-EXP(('2021'!Tnet_s-t)/'2021'!Tau_j)),Resal_s+(Salim-Resal_s)*(1-EXP((Tnet_s-t)/Tau_j)))*Salcycl</f>
        <v>6.2749698626583417E-2</v>
      </c>
      <c r="AD15" s="230">
        <f>(INDEX(Models!$BJ15:$BT15,,AH15)*(1-AF15)+INDEX(Models!$BJ15:$BT15,,AH15+1)*AF15-ERP_i)*AE15*Ramure*Pc/MaxiM</f>
        <v>1.4810341549486928E-2</v>
      </c>
      <c r="AE15" s="302">
        <f t="shared" ref="AE15:AE78" si="16">IF(OR(t&lt;Ttai,Notai),Dd_s+PousD*Croivg,Dens_s+PousD*(Croivg-Croi_tai))</f>
        <v>0.7</v>
      </c>
      <c r="AF15" s="303">
        <f>(Hp_vg_s-AG15)/(INDEX(Echel_vg,AH15+1)-AG15)</f>
        <v>0.99893795454080814</v>
      </c>
      <c r="AG15" s="798">
        <f>INDEX(Echel_vg,AH15)</f>
        <v>-1</v>
      </c>
      <c r="AH15" s="248">
        <f t="shared" ref="AH15:AH78" si="17">MIN(MATCH(Hp_vg_s,Echel_vg),10)</f>
        <v>5</v>
      </c>
      <c r="AI15" s="223">
        <f t="shared" ref="AI15:AI78" si="18">IF(OR(t&lt;Ttai,Notai),Hdd_s+PousH*Croivg,Hdtai_s+PousH*(Croivg-Croi_tai))</f>
        <v>-1.0620454591919091E-3</v>
      </c>
      <c r="AJ15" s="264" t="b">
        <f t="shared" ref="AJ15:AJ78" si="19">t&lt;Tnet</f>
        <v>1</v>
      </c>
      <c r="AK15" s="264" t="b">
        <f t="shared" ref="AK15:AK78" si="20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1">A15+1</f>
        <v>44563</v>
      </c>
      <c r="B16" s="1147">
        <v>16.067</v>
      </c>
      <c r="C16" s="388"/>
      <c r="D16" s="391">
        <f t="shared" si="0"/>
        <v>16.405537834321482</v>
      </c>
      <c r="E16" s="383">
        <f t="shared" si="1"/>
        <v>17.50780761237672</v>
      </c>
      <c r="F16" s="383">
        <f t="shared" si="2"/>
        <v>17.635921476573621</v>
      </c>
      <c r="G16" s="110">
        <f t="shared" ref="G16:G79" si="22">+Wh_hp/MaxiM</f>
        <v>0.66027884942246662</v>
      </c>
      <c r="H16" s="412" t="b">
        <f>Wh_hp&gt;='2021'!Maxi_hp</f>
        <v>0</v>
      </c>
      <c r="I16" s="379">
        <f>IF(H16,Wh_hp,'2021'!Maxi_hp)</f>
        <v>26.138638462365517</v>
      </c>
      <c r="J16" s="85">
        <f>IF(H16,An,'2021'!An_max)</f>
        <v>2020</v>
      </c>
      <c r="K16" s="197">
        <f t="shared" si="3"/>
        <v>44563</v>
      </c>
      <c r="L16" s="147">
        <f>IF(t&lt;Tvie,1-EXP((T0-t)*PertePVj)+'2021'!Pspv,1-EXP((T0-t)*PertePVj)+Pspv)</f>
        <v>2.0635582797733032E-2</v>
      </c>
      <c r="M16" s="832"/>
      <c r="N16" s="832"/>
      <c r="O16" s="48">
        <f>IF(t&lt;Tnet,'2021'!Resal+('2021'!Salim-'2021'!Resal)*(1-EXP(('2021'!Tnet-t)/('2021'!Tau_j))),Resal+(Salim-Resal)*(1-EXP((Tnet-t)/(Tau_j))))*Salcycl</f>
        <v>6.2958755456966303E-2</v>
      </c>
      <c r="P16" s="169">
        <f>(INDEX(Models!$BJ16:$BT16,,T16)*(1-R16)+INDEX(Models!$BJ16:$BT16,,T16+1)*R16-ERP_i)*Q16*Ramure*Pc/MaxiM</f>
        <v>1.3941226769716698E-2</v>
      </c>
      <c r="Q16" s="304">
        <f t="shared" si="4"/>
        <v>0.7</v>
      </c>
      <c r="R16" s="177">
        <f t="shared" si="5"/>
        <v>0.93462910397217136</v>
      </c>
      <c r="S16" s="799">
        <f t="shared" si="6"/>
        <v>-1</v>
      </c>
      <c r="T16" s="176">
        <f t="shared" si="7"/>
        <v>5</v>
      </c>
      <c r="U16" s="250">
        <f t="shared" si="8"/>
        <v>-6.5370896027828668E-2</v>
      </c>
      <c r="V16" s="382">
        <f t="shared" si="9"/>
        <v>24.169997203879355</v>
      </c>
      <c r="W16" s="400">
        <f t="shared" si="10"/>
        <v>0</v>
      </c>
      <c r="X16" s="157">
        <f t="shared" si="11"/>
        <v>44563</v>
      </c>
      <c r="Y16" s="383">
        <f t="shared" si="12"/>
        <v>16.06008884656924</v>
      </c>
      <c r="Z16" s="383">
        <f t="shared" si="13"/>
        <v>16.398481060244983</v>
      </c>
      <c r="AA16" s="384">
        <f t="shared" si="14"/>
        <v>17.500276701525575</v>
      </c>
      <c r="AB16" s="197">
        <f t="shared" si="15"/>
        <v>44563</v>
      </c>
      <c r="AC16" s="119">
        <f>IF(OR(t&lt;Tnet,NoTnet),'2021'!Resal_s+('2021'!Salim-'2021'!Resal_s)*(1-EXP(('2021'!Tnet_s-t)/'2021'!Tau_j)),Resal_s+(Salim-Resal_s)*(1-EXP((Tnet_s-t)/Tau_j)))*Salcycl</f>
        <v>6.2958755456966303E-2</v>
      </c>
      <c r="AD16" s="230">
        <f>(INDEX(Models!$BJ16:$BT16,,AH16)*(1-AF16)+INDEX(Models!$BJ16:$BT16,,AH16+1)*AF16-ERP_i)*AE16*Ramure*Pc/MaxiM</f>
        <v>1.4760733203438696E-2</v>
      </c>
      <c r="AE16" s="304">
        <f t="shared" si="16"/>
        <v>0.7</v>
      </c>
      <c r="AF16" s="177">
        <f t="shared" ref="AF16:AF78" si="23">(Hp_vg_s-AG16)/(INDEX(Echel_vg,AH16+1)-AG16)</f>
        <v>0.99896132623200351</v>
      </c>
      <c r="AG16" s="799">
        <f t="shared" ref="AG16:AG79" si="24">INDEX(Echel_vg,AH16)</f>
        <v>-1</v>
      </c>
      <c r="AH16" s="176">
        <f t="shared" si="17"/>
        <v>5</v>
      </c>
      <c r="AI16" s="224">
        <f t="shared" si="18"/>
        <v>-1.0386737679965181E-3</v>
      </c>
      <c r="AJ16" s="264" t="b">
        <f t="shared" si="19"/>
        <v>1</v>
      </c>
      <c r="AK16" s="264" t="b">
        <f t="shared" si="20"/>
        <v>0</v>
      </c>
      <c r="AL16" s="264"/>
      <c r="AM16" s="264"/>
      <c r="AN16" s="75"/>
    </row>
    <row r="17" spans="1:40" s="6" customFormat="1" ht="11.25" x14ac:dyDescent="0.2">
      <c r="A17" s="56">
        <f t="shared" si="21"/>
        <v>44564</v>
      </c>
      <c r="B17" s="1147">
        <v>18.212</v>
      </c>
      <c r="C17" s="388"/>
      <c r="D17" s="391">
        <f t="shared" si="0"/>
        <v>18.59609019443575</v>
      </c>
      <c r="E17" s="383">
        <f t="shared" si="1"/>
        <v>19.849959719798516</v>
      </c>
      <c r="F17" s="383">
        <f t="shared" si="2"/>
        <v>20.028110124820333</v>
      </c>
      <c r="G17" s="110">
        <f t="shared" si="22"/>
        <v>0.74426179975713969</v>
      </c>
      <c r="H17" s="412" t="b">
        <f>Wh_hp&gt;='2021'!Maxi_hp</f>
        <v>0</v>
      </c>
      <c r="I17" s="379">
        <f>IF(H17,Wh_hp,'2021'!Maxi_hp)</f>
        <v>25.752586103343905</v>
      </c>
      <c r="J17" s="85">
        <f>IF(H17,An,'2021'!An_max)</f>
        <v>2021</v>
      </c>
      <c r="K17" s="197">
        <f t="shared" si="3"/>
        <v>44564</v>
      </c>
      <c r="L17" s="147">
        <f>IF(t&lt;Tvie,1-EXP((T0-t)*PertePVj)+'2021'!Pspv,1-EXP((T0-t)*PertePVj)+Pspv)</f>
        <v>2.0654352093359751E-2</v>
      </c>
      <c r="M17" s="832"/>
      <c r="N17" s="832"/>
      <c r="O17" s="48">
        <f>IF(t&lt;Tnet,'2021'!Resal+('2021'!Salim-'2021'!Resal)*(1-EXP(('2021'!Tnet-t)/('2021'!Tau_j))),Resal+(Salim-Resal)*(1-EXP((Tnet-t)/(Tau_j))))*Salcycl</f>
        <v>6.316735867791945E-2</v>
      </c>
      <c r="P17" s="169">
        <f>(INDEX(Models!$BJ17:$BT17,,T17)*(1-R17)+INDEX(Models!$BJ17:$BT17,,T17+1)*R17-ERP_i)*Q17*Ramure*Pc/MaxiM</f>
        <v>1.3897309461414542E-2</v>
      </c>
      <c r="Q17" s="304">
        <f t="shared" si="4"/>
        <v>0.7</v>
      </c>
      <c r="R17" s="177">
        <f t="shared" si="5"/>
        <v>0.93465345324856297</v>
      </c>
      <c r="S17" s="799">
        <f t="shared" si="6"/>
        <v>-1</v>
      </c>
      <c r="T17" s="176">
        <f t="shared" si="7"/>
        <v>5</v>
      </c>
      <c r="U17" s="250">
        <f t="shared" si="8"/>
        <v>-6.5346546751437001E-2</v>
      </c>
      <c r="V17" s="382">
        <f t="shared" si="9"/>
        <v>24.346380069501386</v>
      </c>
      <c r="W17" s="400">
        <f t="shared" si="10"/>
        <v>0</v>
      </c>
      <c r="X17" s="157">
        <f t="shared" si="11"/>
        <v>44564</v>
      </c>
      <c r="Y17" s="383">
        <f t="shared" si="12"/>
        <v>18.202400954033241</v>
      </c>
      <c r="Z17" s="383">
        <f t="shared" si="13"/>
        <v>18.586288705056308</v>
      </c>
      <c r="AA17" s="384">
        <f t="shared" si="14"/>
        <v>19.839497350163732</v>
      </c>
      <c r="AB17" s="197">
        <f t="shared" si="15"/>
        <v>44564</v>
      </c>
      <c r="AC17" s="119">
        <f>IF(OR(t&lt;Tnet,NoTnet),'2021'!Resal_s+('2021'!Salim-'2021'!Resal_s)*(1-EXP(('2021'!Tnet_s-t)/'2021'!Tau_j)),Resal_s+(Salim-Resal_s)*(1-EXP((Tnet_s-t)/Tau_j)))*Salcycl</f>
        <v>6.316735867791945E-2</v>
      </c>
      <c r="AD17" s="230">
        <f>(INDEX(Models!$BJ17:$BT17,,AH17)*(1-AF17)+INDEX(Models!$BJ17:$BT17,,AH17+1)*AF17-ERP_i)*AE17*Ramure*Pc/MaxiM</f>
        <v>1.4713466957640926E-2</v>
      </c>
      <c r="AE17" s="304">
        <f t="shared" si="16"/>
        <v>0.7</v>
      </c>
      <c r="AF17" s="177">
        <f>(Hp_vg_s-AG17)/(INDEX(Echel_vg,AH17+1)-AG17)</f>
        <v>0.99898567550839512</v>
      </c>
      <c r="AG17" s="799">
        <f>INDEX(Echel_vg,AH17)</f>
        <v>-1</v>
      </c>
      <c r="AH17" s="176">
        <f t="shared" si="17"/>
        <v>5</v>
      </c>
      <c r="AI17" s="224">
        <f t="shared" si="18"/>
        <v>-1.0143244916048519E-3</v>
      </c>
      <c r="AJ17" s="264" t="b">
        <f t="shared" si="19"/>
        <v>1</v>
      </c>
      <c r="AK17" s="264" t="b">
        <f t="shared" si="20"/>
        <v>0</v>
      </c>
      <c r="AL17" s="264"/>
      <c r="AM17" s="264"/>
      <c r="AN17" s="75"/>
    </row>
    <row r="18" spans="1:40" s="6" customFormat="1" ht="11.25" x14ac:dyDescent="0.2">
      <c r="A18" s="56">
        <f t="shared" si="21"/>
        <v>44565</v>
      </c>
      <c r="B18" s="1147">
        <v>18.504000000000001</v>
      </c>
      <c r="C18" s="388"/>
      <c r="D18" s="391">
        <f t="shared" si="0"/>
        <v>18.894610571138205</v>
      </c>
      <c r="E18" s="383">
        <f t="shared" si="1"/>
        <v>20.173090177725069</v>
      </c>
      <c r="F18" s="383">
        <f t="shared" si="2"/>
        <v>20.356147414172096</v>
      </c>
      <c r="G18" s="110">
        <f t="shared" si="22"/>
        <v>0.75059847710519367</v>
      </c>
      <c r="H18" s="412" t="b">
        <f>Wh_hp&gt;='2021'!Maxi_hp</f>
        <v>0</v>
      </c>
      <c r="I18" s="379">
        <f>IF(H18,Wh_hp,'2021'!Maxi_hp)</f>
        <v>23.895973120339946</v>
      </c>
      <c r="J18" s="85">
        <f>IF(H18,An,'2021'!An_max)</f>
        <v>2021</v>
      </c>
      <c r="K18" s="197">
        <f t="shared" si="3"/>
        <v>44565</v>
      </c>
      <c r="L18" s="147">
        <f>IF(t&lt;Tvie,1-EXP((T0-t)*PertePVj)+'2021'!Pspv,1-EXP((T0-t)*PertePVj)+Pspv)</f>
        <v>2.0673121029277319E-2</v>
      </c>
      <c r="M18" s="832"/>
      <c r="N18" s="832"/>
      <c r="O18" s="48">
        <f>IF(t&lt;Tnet,'2021'!Resal+('2021'!Salim-'2021'!Resal)*(1-EXP(('2021'!Tnet-t)/('2021'!Tau_j))),Resal+(Salim-Resal)*(1-EXP((Tnet-t)/(Tau_j))))*Salcycl</f>
        <v>6.337549653144102E-2</v>
      </c>
      <c r="P18" s="169">
        <f>(INDEX(Models!$BJ18:$BT18,,T18)*(1-R18)+INDEX(Models!$BJ18:$BT18,,T18+1)*R18-ERP_i)*Q18*Ramure*Pc/MaxiM</f>
        <v>1.385626858844158E-2</v>
      </c>
      <c r="Q18" s="304">
        <f t="shared" si="4"/>
        <v>0.7</v>
      </c>
      <c r="R18" s="177">
        <f t="shared" si="5"/>
        <v>0.9346788208735991</v>
      </c>
      <c r="S18" s="799">
        <f t="shared" si="6"/>
        <v>-1</v>
      </c>
      <c r="T18" s="176">
        <f t="shared" si="7"/>
        <v>5</v>
      </c>
      <c r="U18" s="250">
        <f t="shared" si="8"/>
        <v>-6.5321179126400911E-2</v>
      </c>
      <c r="V18" s="382">
        <f t="shared" si="9"/>
        <v>24.531342531956792</v>
      </c>
      <c r="W18" s="400">
        <f t="shared" si="10"/>
        <v>0</v>
      </c>
      <c r="X18" s="157">
        <f t="shared" si="11"/>
        <v>44565</v>
      </c>
      <c r="Y18" s="383">
        <f t="shared" si="12"/>
        <v>18.494149140228142</v>
      </c>
      <c r="Z18" s="383">
        <f>Wh_sa_s*(1-Psa_s)</f>
        <v>18.884551764438022</v>
      </c>
      <c r="AA18" s="384">
        <f t="shared" si="14"/>
        <v>20.162350754762148</v>
      </c>
      <c r="AB18" s="197">
        <f>t</f>
        <v>44565</v>
      </c>
      <c r="AC18" s="119">
        <f>IF(OR(t&lt;Tnet,NoTnet),'2021'!Resal_s+('2021'!Salim-'2021'!Resal_s)*(1-EXP(('2021'!Tnet_s-t)/'2021'!Tau_j)),Resal_s+(Salim-Resal_s)*(1-EXP((Tnet_s-t)/Tau_j)))*Salcycl</f>
        <v>6.337549653144102E-2</v>
      </c>
      <c r="AD18" s="230">
        <f>(INDEX(Models!$BJ18:$BT18,,AH18)*(1-AF18)+INDEX(Models!$BJ18:$BT18,,AH18+1)*AF18-ERP_i)*AE18*Ramure*Pc/MaxiM</f>
        <v>1.4669174605965752E-2</v>
      </c>
      <c r="AE18" s="304">
        <f t="shared" si="16"/>
        <v>0.7</v>
      </c>
      <c r="AF18" s="177">
        <f t="shared" si="23"/>
        <v>0.99901104313343125</v>
      </c>
      <c r="AG18" s="799">
        <f t="shared" si="24"/>
        <v>-1</v>
      </c>
      <c r="AH18" s="176">
        <f t="shared" si="17"/>
        <v>5</v>
      </c>
      <c r="AI18" s="224">
        <f t="shared" si="18"/>
        <v>-9.8895686656875624E-4</v>
      </c>
      <c r="AJ18" s="264" t="b">
        <f t="shared" si="19"/>
        <v>1</v>
      </c>
      <c r="AK18" s="264" t="b">
        <f t="shared" si="20"/>
        <v>0</v>
      </c>
      <c r="AL18" s="264"/>
      <c r="AM18" s="264"/>
      <c r="AN18" s="75"/>
    </row>
    <row r="19" spans="1:40" s="6" customFormat="1" ht="11.25" x14ac:dyDescent="0.2">
      <c r="A19" s="56">
        <f t="shared" si="21"/>
        <v>44566</v>
      </c>
      <c r="B19" s="1147">
        <v>13.374000000000001</v>
      </c>
      <c r="C19" s="388"/>
      <c r="D19" s="391">
        <f t="shared" si="0"/>
        <v>13.656580455166837</v>
      </c>
      <c r="E19" s="383">
        <f t="shared" si="1"/>
        <v>14.583868910504831</v>
      </c>
      <c r="F19" s="383">
        <f t="shared" si="2"/>
        <v>14.653566209757251</v>
      </c>
      <c r="G19" s="110">
        <f t="shared" si="22"/>
        <v>0.53601194290647436</v>
      </c>
      <c r="H19" s="412" t="b">
        <f>Wh_hp&gt;='2021'!Maxi_hp</f>
        <v>1</v>
      </c>
      <c r="I19" s="379">
        <f>IF(H19,Wh_hp,'2021'!Maxi_hp)</f>
        <v>14.653566209757251</v>
      </c>
      <c r="J19" s="85">
        <f>IF(H19,An,'2021'!An_max)</f>
        <v>2022</v>
      </c>
      <c r="K19" s="197">
        <f t="shared" si="3"/>
        <v>44566</v>
      </c>
      <c r="L19" s="147">
        <f>IF(t&lt;Tvie,1-EXP((T0-t)*PertePVj)+'2021'!Pspv,1-EXP((T0-t)*PertePVj)+Pspv)</f>
        <v>2.0691889605492397E-2</v>
      </c>
      <c r="M19" s="832"/>
      <c r="N19" s="832"/>
      <c r="O19" s="48">
        <f>IF(t&lt;Tnet,'2021'!Resal+('2021'!Salim-'2021'!Resal)*(1-EXP(('2021'!Tnet-t)/('2021'!Tau_j))),Resal+(Salim-Resal)*(1-EXP((Tnet-t)/(Tau_j))))*Salcycl</f>
        <v>6.3583158970255321E-2</v>
      </c>
      <c r="P19" s="169">
        <f>(INDEX(Models!$BJ19:$BT19,,T19)*(1-R19)+INDEX(Models!$BJ19:$BT19,,T19+1)*R19-ERP_i)*Q19*Ramure*Pc/MaxiM</f>
        <v>1.3818668929227639E-2</v>
      </c>
      <c r="Q19" s="304">
        <f t="shared" si="4"/>
        <v>0.7</v>
      </c>
      <c r="R19" s="177">
        <f t="shared" si="5"/>
        <v>0.93470524929964838</v>
      </c>
      <c r="S19" s="799">
        <f t="shared" si="6"/>
        <v>-1</v>
      </c>
      <c r="T19" s="176">
        <f t="shared" si="7"/>
        <v>5</v>
      </c>
      <c r="U19" s="250">
        <f t="shared" si="8"/>
        <v>-6.5294750700351567E-2</v>
      </c>
      <c r="V19" s="382">
        <f t="shared" si="9"/>
        <v>24.723742310244148</v>
      </c>
      <c r="W19" s="400">
        <f t="shared" si="10"/>
        <v>0</v>
      </c>
      <c r="X19" s="157">
        <f t="shared" si="11"/>
        <v>44566</v>
      </c>
      <c r="Y19" s="383">
        <f t="shared" si="12"/>
        <v>13.370254503887834</v>
      </c>
      <c r="Z19" s="383">
        <f t="shared" si="13"/>
        <v>13.65275582012868</v>
      </c>
      <c r="AA19" s="384">
        <f t="shared" si="14"/>
        <v>14.579784580887317</v>
      </c>
      <c r="AB19" s="197">
        <f t="shared" si="15"/>
        <v>44566</v>
      </c>
      <c r="AC19" s="119">
        <f>IF(OR(t&lt;Tnet,NoTnet),'2021'!Resal_s+('2021'!Salim-'2021'!Resal_s)*(1-EXP(('2021'!Tnet_s-t)/'2021'!Tau_j)),Resal_s+(Salim-Resal_s)*(1-EXP((Tnet_s-t)/Tau_j)))*Salcycl</f>
        <v>6.3583158970255321E-2</v>
      </c>
      <c r="AD19" s="230">
        <f>(INDEX(Models!$BJ19:$BT19,,AH19)*(1-AF19)+INDEX(Models!$BJ19:$BT19,,AH19+1)*AF19-ERP_i)*AE19*Ramure*Pc/MaxiM</f>
        <v>1.4628456387101089E-2</v>
      </c>
      <c r="AE19" s="304">
        <f t="shared" si="16"/>
        <v>0.7</v>
      </c>
      <c r="AF19" s="177">
        <f t="shared" si="23"/>
        <v>0.99903747155948053</v>
      </c>
      <c r="AG19" s="799">
        <f t="shared" si="24"/>
        <v>-1</v>
      </c>
      <c r="AH19" s="176">
        <f t="shared" si="17"/>
        <v>5</v>
      </c>
      <c r="AI19" s="224">
        <f t="shared" si="18"/>
        <v>-9.6252844051942274E-4</v>
      </c>
      <c r="AJ19" s="264" t="b">
        <f t="shared" si="19"/>
        <v>1</v>
      </c>
      <c r="AK19" s="264" t="b">
        <f t="shared" si="20"/>
        <v>0</v>
      </c>
      <c r="AL19" s="264"/>
      <c r="AM19" s="264"/>
      <c r="AN19" s="75"/>
    </row>
    <row r="20" spans="1:40" s="6" customFormat="1" ht="11.25" x14ac:dyDescent="0.2">
      <c r="A20" s="56">
        <f t="shared" si="21"/>
        <v>44567</v>
      </c>
      <c r="B20" s="1147">
        <v>25.144000000000002</v>
      </c>
      <c r="C20" s="388"/>
      <c r="D20" s="391">
        <f t="shared" si="0"/>
        <v>25.675761919432819</v>
      </c>
      <c r="E20" s="383">
        <f t="shared" si="1"/>
        <v>27.425226369049007</v>
      </c>
      <c r="F20" s="383">
        <f t="shared" si="2"/>
        <v>27.808568767464173</v>
      </c>
      <c r="G20" s="110">
        <f t="shared" si="22"/>
        <v>1.0088900542938466</v>
      </c>
      <c r="H20" s="412" t="b">
        <f>Wh_hp&gt;='2021'!Maxi_hp</f>
        <v>1</v>
      </c>
      <c r="I20" s="379">
        <f>IF(H20,Wh_hp,'2021'!Maxi_hp)</f>
        <v>27.808568767464173</v>
      </c>
      <c r="J20" s="85">
        <f>IF(H20,An,'2021'!An_max)</f>
        <v>2022</v>
      </c>
      <c r="K20" s="197">
        <f t="shared" si="3"/>
        <v>44567</v>
      </c>
      <c r="L20" s="147">
        <f>IF(t&lt;Tvie,1-EXP((T0-t)*PertePVj)+'2021'!Pspv,1-EXP((T0-t)*PertePVj)+Pspv)</f>
        <v>2.071065782201198E-2</v>
      </c>
      <c r="M20" s="832"/>
      <c r="N20" s="832"/>
      <c r="O20" s="48">
        <f>IF(t&lt;Tnet,'2021'!Resal+('2021'!Salim-'2021'!Resal)*(1-EXP(('2021'!Tnet-t)/('2021'!Tau_j))),Resal+(Salim-Resal)*(1-EXP((Tnet-t)/(Tau_j))))*Salcycl</f>
        <v>6.3790337628372759E-2</v>
      </c>
      <c r="P20" s="169">
        <f>(INDEX(Models!$BJ20:$BT20,,T20)*(1-R20)+INDEX(Models!$BJ20:$BT20,,T20+1)*R20-ERP_i)*Q20*Ramure*Pc/MaxiM</f>
        <v>1.3785045955463742E-2</v>
      </c>
      <c r="Q20" s="304">
        <f t="shared" si="4"/>
        <v>0.7</v>
      </c>
      <c r="R20" s="177">
        <f t="shared" si="5"/>
        <v>0.93473278273704896</v>
      </c>
      <c r="S20" s="799">
        <f t="shared" si="6"/>
        <v>-1</v>
      </c>
      <c r="T20" s="176">
        <f t="shared" si="7"/>
        <v>5</v>
      </c>
      <c r="U20" s="250">
        <f t="shared" si="8"/>
        <v>-6.5267217262951011E-2</v>
      </c>
      <c r="V20" s="382">
        <f t="shared" si="9"/>
        <v>24.922438171520152</v>
      </c>
      <c r="W20" s="400">
        <f t="shared" si="10"/>
        <v>0</v>
      </c>
      <c r="X20" s="157">
        <f t="shared" si="11"/>
        <v>44567</v>
      </c>
      <c r="Y20" s="383">
        <f t="shared" si="12"/>
        <v>25.123429362065281</v>
      </c>
      <c r="Z20" s="383">
        <f t="shared" si="13"/>
        <v>25.654756240060298</v>
      </c>
      <c r="AA20" s="384">
        <f t="shared" si="14"/>
        <v>27.402789429742793</v>
      </c>
      <c r="AB20" s="197">
        <f t="shared" si="15"/>
        <v>44567</v>
      </c>
      <c r="AC20" s="119">
        <f>IF(OR(t&lt;Tnet,NoTnet),'2021'!Resal_s+('2021'!Salim-'2021'!Resal_s)*(1-EXP(('2021'!Tnet_s-t)/'2021'!Tau_j)),Resal_s+(Salim-Resal_s)*(1-EXP((Tnet_s-t)/Tau_j)))*Salcycl</f>
        <v>6.3790337628372759E-2</v>
      </c>
      <c r="AD20" s="230">
        <f>(INDEX(Models!$BJ20:$BT20,,AH20)*(1-AF20)+INDEX(Models!$BJ20:$BT20,,AH20+1)*AF20-ERP_i)*AE20*Ramure*Pc/MaxiM</f>
        <v>1.4591881413046357E-2</v>
      </c>
      <c r="AE20" s="304">
        <f t="shared" si="16"/>
        <v>0.7</v>
      </c>
      <c r="AF20" s="177">
        <f t="shared" si="23"/>
        <v>0.99906500499688111</v>
      </c>
      <c r="AG20" s="799">
        <f t="shared" si="24"/>
        <v>-1</v>
      </c>
      <c r="AH20" s="176">
        <f t="shared" si="17"/>
        <v>5</v>
      </c>
      <c r="AI20" s="224">
        <f t="shared" si="18"/>
        <v>-9.3499500311885347E-4</v>
      </c>
      <c r="AJ20" s="264" t="b">
        <f t="shared" si="19"/>
        <v>1</v>
      </c>
      <c r="AK20" s="264" t="b">
        <f t="shared" si="20"/>
        <v>0</v>
      </c>
      <c r="AL20" s="264"/>
      <c r="AM20" s="264"/>
      <c r="AN20" s="75"/>
    </row>
    <row r="21" spans="1:40" s="6" customFormat="1" ht="11.25" x14ac:dyDescent="0.2">
      <c r="A21" s="56">
        <f t="shared" si="21"/>
        <v>44568</v>
      </c>
      <c r="B21" s="1147">
        <v>8.636000000000001</v>
      </c>
      <c r="C21" s="388"/>
      <c r="D21" s="391">
        <f t="shared" si="0"/>
        <v>8.8188088424760327</v>
      </c>
      <c r="E21" s="383">
        <f t="shared" si="1"/>
        <v>9.4217743803518132</v>
      </c>
      <c r="F21" s="383">
        <f t="shared" si="2"/>
        <v>9.4298730877973469</v>
      </c>
      <c r="G21" s="110">
        <f t="shared" si="22"/>
        <v>0.33926716510687083</v>
      </c>
      <c r="H21" s="412" t="b">
        <f>Wh_hp&gt;='2021'!Maxi_hp</f>
        <v>0</v>
      </c>
      <c r="I21" s="379">
        <f>IF(H21,Wh_hp,'2021'!Maxi_hp)</f>
        <v>14.667527811072381</v>
      </c>
      <c r="J21" s="85">
        <f>IF(H21,An,'2021'!An_max)</f>
        <v>2021</v>
      </c>
      <c r="K21" s="197">
        <f t="shared" si="3"/>
        <v>44568</v>
      </c>
      <c r="L21" s="147">
        <f>IF(t&lt;Tvie,1-EXP((T0-t)*PertePVj)+'2021'!Pspv,1-EXP((T0-t)*PertePVj)+Pspv)</f>
        <v>2.0729425678843061E-2</v>
      </c>
      <c r="M21" s="832"/>
      <c r="N21" s="832"/>
      <c r="O21" s="48">
        <f>IF(t&lt;Tnet,'2021'!Resal+('2021'!Salim-'2021'!Resal)*(1-EXP(('2021'!Tnet-t)/('2021'!Tau_j))),Resal+(Salim-Resal)*(1-EXP((Tnet-t)/(Tau_j))))*Salcycl</f>
        <v>6.3997025776079505E-2</v>
      </c>
      <c r="P21" s="169">
        <f>(INDEX(Models!$BJ21:$BT21,,T21)*(1-R21)+INDEX(Models!$BJ21:$BT21,,T21+1)*R21-ERP_i)*Q21*Ramure*Pc/MaxiM</f>
        <v>1.3755906883021011E-2</v>
      </c>
      <c r="Q21" s="304">
        <f t="shared" si="4"/>
        <v>0.7</v>
      </c>
      <c r="R21" s="177">
        <f t="shared" si="5"/>
        <v>0.93476146722589959</v>
      </c>
      <c r="S21" s="799">
        <f t="shared" si="6"/>
        <v>-1</v>
      </c>
      <c r="T21" s="176">
        <f t="shared" si="7"/>
        <v>5</v>
      </c>
      <c r="U21" s="250">
        <f t="shared" si="8"/>
        <v>-6.5238532774100452E-2</v>
      </c>
      <c r="V21" s="382">
        <f t="shared" si="9"/>
        <v>25.126289920197337</v>
      </c>
      <c r="W21" s="400">
        <f t="shared" si="10"/>
        <v>0</v>
      </c>
      <c r="X21" s="157">
        <f t="shared" si="11"/>
        <v>44568</v>
      </c>
      <c r="Y21" s="383">
        <f t="shared" si="12"/>
        <v>8.6355660829792047</v>
      </c>
      <c r="Z21" s="383">
        <f t="shared" si="13"/>
        <v>8.8183657401995266</v>
      </c>
      <c r="AA21" s="384">
        <f t="shared" si="14"/>
        <v>9.4213009819880167</v>
      </c>
      <c r="AB21" s="197">
        <f t="shared" si="15"/>
        <v>44568</v>
      </c>
      <c r="AC21" s="119">
        <f>IF(OR(t&lt;Tnet,NoTnet),'2021'!Resal_s+('2021'!Salim-'2021'!Resal_s)*(1-EXP(('2021'!Tnet_s-t)/'2021'!Tau_j)),Resal_s+(Salim-Resal_s)*(1-EXP((Tnet_s-t)/Tau_j)))*Salcycl</f>
        <v>6.3997025776079505E-2</v>
      </c>
      <c r="AD21" s="230">
        <f>(INDEX(Models!$BJ21:$BT21,,AH21)*(1-AF21)+INDEX(Models!$BJ21:$BT21,,AH21+1)*AF21-ERP_i)*AE21*Ramure*Pc/MaxiM</f>
        <v>1.4559988750994252E-2</v>
      </c>
      <c r="AE21" s="304">
        <f t="shared" si="16"/>
        <v>0.7</v>
      </c>
      <c r="AF21" s="177">
        <f t="shared" si="23"/>
        <v>0.99909368948573174</v>
      </c>
      <c r="AG21" s="799">
        <f t="shared" si="24"/>
        <v>-1</v>
      </c>
      <c r="AH21" s="176">
        <f t="shared" si="17"/>
        <v>5</v>
      </c>
      <c r="AI21" s="224">
        <f t="shared" si="18"/>
        <v>-9.0631051426830656E-4</v>
      </c>
      <c r="AJ21" s="264" t="b">
        <f t="shared" si="19"/>
        <v>1</v>
      </c>
      <c r="AK21" s="264" t="b">
        <f t="shared" si="20"/>
        <v>0</v>
      </c>
      <c r="AL21" s="264"/>
      <c r="AM21" s="264"/>
      <c r="AN21" s="75"/>
    </row>
    <row r="22" spans="1:40" s="6" customFormat="1" ht="11.25" x14ac:dyDescent="0.2">
      <c r="A22" s="56">
        <f t="shared" si="21"/>
        <v>44569</v>
      </c>
      <c r="B22" s="1147">
        <v>6.0090000000000003</v>
      </c>
      <c r="C22" s="388"/>
      <c r="D22" s="391">
        <f t="shared" si="0"/>
        <v>6.1363175008978521</v>
      </c>
      <c r="E22" s="383">
        <f t="shared" si="1"/>
        <v>6.5573184484455433</v>
      </c>
      <c r="F22" s="383">
        <f t="shared" si="2"/>
        <v>6.5573184484455433</v>
      </c>
      <c r="G22" s="110">
        <f t="shared" si="22"/>
        <v>0.23393261870815621</v>
      </c>
      <c r="H22" s="412" t="b">
        <f>Wh_hp&gt;='2021'!Maxi_hp</f>
        <v>0</v>
      </c>
      <c r="I22" s="379">
        <f>IF(H22,Wh_hp,'2021'!Maxi_hp)</f>
        <v>22.512666153472253</v>
      </c>
      <c r="J22" s="85">
        <f>IF(H22,An,'2021'!An_max)</f>
        <v>2021</v>
      </c>
      <c r="K22" s="197">
        <f t="shared" si="3"/>
        <v>44569</v>
      </c>
      <c r="L22" s="147">
        <f>IF(t&lt;Tvie,1-EXP((T0-t)*PertePVj)+'2021'!Pspv,1-EXP((T0-t)*PertePVj)+Pspv)</f>
        <v>2.0748193175992413E-2</v>
      </c>
      <c r="M22" s="832"/>
      <c r="N22" s="832"/>
      <c r="O22" s="48">
        <f>IF(t&lt;Tnet,'2021'!Resal+('2021'!Salim-'2021'!Resal)*(1-EXP(('2021'!Tnet-t)/('2021'!Tau_j))),Resal+(Salim-Resal)*(1-EXP((Tnet-t)/(Tau_j))))*Salcycl</f>
        <v>6.420321826027714E-2</v>
      </c>
      <c r="P22" s="169">
        <f>(INDEX(Models!$BJ22:$BT22,,T22)*(1-R22)+INDEX(Models!$BJ22:$BT22,,T22+1)*R22-ERP_i)*Q22*Ramure*Pc/MaxiM</f>
        <v>1.3731732225247701E-2</v>
      </c>
      <c r="Q22" s="304">
        <f t="shared" si="4"/>
        <v>0.7</v>
      </c>
      <c r="R22" s="177">
        <f t="shared" si="5"/>
        <v>0.9347913507106973</v>
      </c>
      <c r="S22" s="799">
        <f t="shared" si="6"/>
        <v>-1</v>
      </c>
      <c r="T22" s="176">
        <f t="shared" si="7"/>
        <v>5</v>
      </c>
      <c r="U22" s="250">
        <f t="shared" si="8"/>
        <v>-6.5208649289302728E-2</v>
      </c>
      <c r="V22" s="382">
        <f t="shared" si="9"/>
        <v>25.334158416155311</v>
      </c>
      <c r="W22" s="400">
        <f t="shared" si="10"/>
        <v>0</v>
      </c>
      <c r="X22" s="157">
        <f t="shared" si="11"/>
        <v>44569</v>
      </c>
      <c r="Y22" s="383">
        <f t="shared" si="12"/>
        <v>6.0090000000000003</v>
      </c>
      <c r="Z22" s="383">
        <f t="shared" si="13"/>
        <v>6.1363175008978521</v>
      </c>
      <c r="AA22" s="384">
        <f t="shared" si="14"/>
        <v>6.5573184484455433</v>
      </c>
      <c r="AB22" s="197">
        <f t="shared" si="15"/>
        <v>44569</v>
      </c>
      <c r="AC22" s="119">
        <f>IF(OR(t&lt;Tnet,NoTnet),'2021'!Resal_s+('2021'!Salim-'2021'!Resal_s)*(1-EXP(('2021'!Tnet_s-t)/'2021'!Tau_j)),Resal_s+(Salim-Resal_s)*(1-EXP((Tnet_s-t)/Tau_j)))*Salcycl</f>
        <v>6.420321826027714E-2</v>
      </c>
      <c r="AD22" s="230">
        <f>(INDEX(Models!$BJ22:$BT22,,AH22)*(1-AF22)+INDEX(Models!$BJ22:$BT22,,AH22+1)*AF22-ERP_i)*AE22*Ramure*Pc/MaxiM</f>
        <v>1.4533289040787736E-2</v>
      </c>
      <c r="AE22" s="304">
        <f t="shared" si="16"/>
        <v>0.7</v>
      </c>
      <c r="AF22" s="177">
        <f t="shared" si="23"/>
        <v>0.99912357297052945</v>
      </c>
      <c r="AG22" s="799">
        <f t="shared" si="24"/>
        <v>-1</v>
      </c>
      <c r="AH22" s="176">
        <f t="shared" si="17"/>
        <v>5</v>
      </c>
      <c r="AI22" s="224">
        <f t="shared" si="18"/>
        <v>-8.7642702947058444E-4</v>
      </c>
      <c r="AJ22" s="264" t="b">
        <f t="shared" si="19"/>
        <v>1</v>
      </c>
      <c r="AK22" s="264" t="b">
        <f t="shared" si="20"/>
        <v>0</v>
      </c>
      <c r="AL22" s="264"/>
      <c r="AM22" s="264"/>
      <c r="AN22" s="75"/>
    </row>
    <row r="23" spans="1:40" s="6" customFormat="1" ht="11.25" x14ac:dyDescent="0.2">
      <c r="A23" s="56">
        <f t="shared" si="21"/>
        <v>44570</v>
      </c>
      <c r="B23" s="1147">
        <v>1.7130000000000001</v>
      </c>
      <c r="C23" s="388"/>
      <c r="D23" s="391">
        <f t="shared" si="0"/>
        <v>1.7493282299261028</v>
      </c>
      <c r="E23" s="383">
        <f t="shared" si="1"/>
        <v>1.8697572596615191</v>
      </c>
      <c r="F23" s="383">
        <f t="shared" si="2"/>
        <v>1.8697572596615191</v>
      </c>
      <c r="G23" s="110">
        <f t="shared" si="22"/>
        <v>6.6124470728026671E-2</v>
      </c>
      <c r="H23" s="412" t="b">
        <f>Wh_hp&gt;='2021'!Maxi_hp</f>
        <v>0</v>
      </c>
      <c r="I23" s="379">
        <f>IF(H23,Wh_hp,'2021'!Maxi_hp)</f>
        <v>26.668518012021664</v>
      </c>
      <c r="J23" s="85">
        <f>IF(H23,An,'2021'!An_max)</f>
        <v>2020</v>
      </c>
      <c r="K23" s="197">
        <f t="shared" si="3"/>
        <v>44570</v>
      </c>
      <c r="L23" s="147">
        <f>IF(t&lt;Tvie,1-EXP((T0-t)*PertePVj)+'2021'!Pspv,1-EXP((T0-t)*PertePVj)+Pspv)</f>
        <v>2.076696031346692E-2</v>
      </c>
      <c r="M23" s="832"/>
      <c r="N23" s="832"/>
      <c r="O23" s="48">
        <f>IF(t&lt;Tnet,'2021'!Resal+('2021'!Salim-'2021'!Resal)*(1-EXP(('2021'!Tnet-t)/('2021'!Tau_j))),Resal+(Salim-Resal)*(1-EXP((Tnet-t)/(Tau_j))))*Salcycl</f>
        <v>6.4408911431218255E-2</v>
      </c>
      <c r="P23" s="169">
        <f>(INDEX(Models!$BJ23:$BT23,,T23)*(1-R23)+INDEX(Models!$BJ23:$BT23,,T23+1)*R23-ERP_i)*Q23*Ramure*Pc/MaxiM</f>
        <v>1.3710004641191365E-2</v>
      </c>
      <c r="Q23" s="304">
        <f t="shared" si="4"/>
        <v>0.7</v>
      </c>
      <c r="R23" s="177">
        <f t="shared" si="5"/>
        <v>0.93482248311792537</v>
      </c>
      <c r="S23" s="799">
        <f t="shared" si="6"/>
        <v>-1</v>
      </c>
      <c r="T23" s="176">
        <f t="shared" si="7"/>
        <v>5</v>
      </c>
      <c r="U23" s="250">
        <f t="shared" si="8"/>
        <v>-6.517751688207464E-2</v>
      </c>
      <c r="V23" s="382">
        <f t="shared" si="9"/>
        <v>25.550522271833369</v>
      </c>
      <c r="W23" s="400">
        <f t="shared" si="10"/>
        <v>0</v>
      </c>
      <c r="X23" s="157">
        <f t="shared" si="11"/>
        <v>44570</v>
      </c>
      <c r="Y23" s="383">
        <f t="shared" si="12"/>
        <v>1.7130000000000001</v>
      </c>
      <c r="Z23" s="383">
        <f t="shared" si="13"/>
        <v>1.7493282299261028</v>
      </c>
      <c r="AA23" s="384">
        <f t="shared" si="14"/>
        <v>1.8697572596615191</v>
      </c>
      <c r="AB23" s="197">
        <f t="shared" si="15"/>
        <v>44570</v>
      </c>
      <c r="AC23" s="119">
        <f>IF(OR(t&lt;Tnet,NoTnet),'2021'!Resal_s+('2021'!Salim-'2021'!Resal_s)*(1-EXP(('2021'!Tnet_s-t)/'2021'!Tau_j)),Resal_s+(Salim-Resal_s)*(1-EXP((Tnet_s-t)/Tau_j)))*Salcycl</f>
        <v>6.4408911431218255E-2</v>
      </c>
      <c r="AD23" s="230">
        <f>(INDEX(Models!$BJ23:$BT23,,AH23)*(1-AF23)+INDEX(Models!$BJ23:$BT23,,AH23+1)*AF23-ERP_i)*AE23*Ramure*Pc/MaxiM</f>
        <v>1.4509120140756046E-2</v>
      </c>
      <c r="AE23" s="304">
        <f t="shared" si="16"/>
        <v>0.7</v>
      </c>
      <c r="AF23" s="177">
        <f t="shared" si="23"/>
        <v>0.99915470537775752</v>
      </c>
      <c r="AG23" s="799">
        <f t="shared" si="24"/>
        <v>-1</v>
      </c>
      <c r="AH23" s="176">
        <f t="shared" si="17"/>
        <v>5</v>
      </c>
      <c r="AI23" s="224">
        <f t="shared" si="18"/>
        <v>-8.4529462224249116E-4</v>
      </c>
      <c r="AJ23" s="264" t="b">
        <f t="shared" si="19"/>
        <v>1</v>
      </c>
      <c r="AK23" s="264" t="b">
        <f t="shared" si="20"/>
        <v>0</v>
      </c>
      <c r="AL23" s="264"/>
      <c r="AM23" s="264"/>
      <c r="AN23" s="75"/>
    </row>
    <row r="24" spans="1:40" s="6" customFormat="1" ht="11.25" x14ac:dyDescent="0.2">
      <c r="A24" s="56">
        <f t="shared" si="21"/>
        <v>44571</v>
      </c>
      <c r="B24" s="1147">
        <v>1.3780000000000001</v>
      </c>
      <c r="C24" s="388"/>
      <c r="D24" s="391">
        <f t="shared" si="0"/>
        <v>1.4072507296147683</v>
      </c>
      <c r="E24" s="383">
        <f t="shared" si="1"/>
        <v>1.5044600674583619</v>
      </c>
      <c r="F24" s="383">
        <f t="shared" si="2"/>
        <v>1.5044600674583619</v>
      </c>
      <c r="G24" s="110">
        <f t="shared" si="22"/>
        <v>5.2720989170978227E-2</v>
      </c>
      <c r="H24" s="412" t="b">
        <f>Wh_hp&gt;='2021'!Maxi_hp</f>
        <v>0</v>
      </c>
      <c r="I24" s="379">
        <f>IF(H24,Wh_hp,'2021'!Maxi_hp)</f>
        <v>10.460260744050126</v>
      </c>
      <c r="J24" s="85">
        <f>IF(H24,An,'2021'!An_max)</f>
        <v>2020</v>
      </c>
      <c r="K24" s="197">
        <f t="shared" si="3"/>
        <v>44571</v>
      </c>
      <c r="L24" s="147">
        <f>IF(t&lt;Tvie,1-EXP((T0-t)*PertePVj)+'2021'!Pspv,1-EXP((T0-t)*PertePVj)+Pspv)</f>
        <v>2.0785727091273576E-2</v>
      </c>
      <c r="M24" s="832"/>
      <c r="N24" s="832"/>
      <c r="O24" s="48">
        <f>IF(t&lt;Tnet,'2021'!Resal+('2021'!Salim-'2021'!Resal)*(1-EXP(('2021'!Tnet-t)/('2021'!Tau_j))),Resal+(Salim-Resal)*(1-EXP((Tnet-t)/(Tau_j))))*Salcycl</f>
        <v>6.4614103056799127E-2</v>
      </c>
      <c r="P24" s="169">
        <f>(INDEX(Models!$BJ24:$BT24,,T24)*(1-R24)+INDEX(Models!$BJ24:$BT24,,T24+1)*R24-ERP_i)*Q24*Ramure*Pc/MaxiM</f>
        <v>1.36929305248933E-2</v>
      </c>
      <c r="Q24" s="304">
        <f t="shared" si="4"/>
        <v>0.7</v>
      </c>
      <c r="R24" s="177">
        <f t="shared" si="5"/>
        <v>0.93485491643670104</v>
      </c>
      <c r="S24" s="799">
        <f t="shared" si="6"/>
        <v>-1</v>
      </c>
      <c r="T24" s="176">
        <f t="shared" si="7"/>
        <v>5</v>
      </c>
      <c r="U24" s="250">
        <f t="shared" si="8"/>
        <v>-6.5145083563298997E-2</v>
      </c>
      <c r="V24" s="382">
        <f t="shared" si="9"/>
        <v>25.779697291508135</v>
      </c>
      <c r="W24" s="400">
        <f t="shared" si="10"/>
        <v>0</v>
      </c>
      <c r="X24" s="157">
        <f t="shared" si="11"/>
        <v>44571</v>
      </c>
      <c r="Y24" s="383">
        <f t="shared" si="12"/>
        <v>1.3780000000000001</v>
      </c>
      <c r="Z24" s="383">
        <f t="shared" si="13"/>
        <v>1.4072507296147683</v>
      </c>
      <c r="AA24" s="384">
        <f t="shared" si="14"/>
        <v>1.5044600674583619</v>
      </c>
      <c r="AB24" s="197">
        <f t="shared" si="15"/>
        <v>44571</v>
      </c>
      <c r="AC24" s="119">
        <f>IF(OR(t&lt;Tnet,NoTnet),'2021'!Resal_s+('2021'!Salim-'2021'!Resal_s)*(1-EXP(('2021'!Tnet_s-t)/'2021'!Tau_j)),Resal_s+(Salim-Resal_s)*(1-EXP((Tnet_s-t)/Tau_j)))*Salcycl</f>
        <v>6.4614103056799127E-2</v>
      </c>
      <c r="AD24" s="230">
        <f>(INDEX(Models!$BJ24:$BT24,,AH24)*(1-AF24)+INDEX(Models!$BJ24:$BT24,,AH24+1)*AF24-ERP_i)*AE24*Ramure*Pc/MaxiM</f>
        <v>1.4489884613976317E-2</v>
      </c>
      <c r="AE24" s="304">
        <f t="shared" si="16"/>
        <v>0.7</v>
      </c>
      <c r="AF24" s="177">
        <f t="shared" si="23"/>
        <v>0.99918713869653319</v>
      </c>
      <c r="AG24" s="799">
        <f t="shared" si="24"/>
        <v>-1</v>
      </c>
      <c r="AH24" s="176">
        <f t="shared" si="17"/>
        <v>5</v>
      </c>
      <c r="AI24" s="224">
        <f t="shared" si="18"/>
        <v>-8.1286130346684476E-4</v>
      </c>
      <c r="AJ24" s="264" t="b">
        <f t="shared" si="19"/>
        <v>1</v>
      </c>
      <c r="AK24" s="264" t="b">
        <f t="shared" si="20"/>
        <v>0</v>
      </c>
      <c r="AL24" s="264"/>
      <c r="AM24" s="264"/>
      <c r="AN24" s="75"/>
    </row>
    <row r="25" spans="1:40" s="6" customFormat="1" ht="11.25" x14ac:dyDescent="0.2">
      <c r="A25" s="56">
        <f t="shared" si="21"/>
        <v>44572</v>
      </c>
      <c r="B25" s="1147">
        <v>23.948</v>
      </c>
      <c r="C25" s="388"/>
      <c r="D25" s="391">
        <f t="shared" si="0"/>
        <v>24.456811577729972</v>
      </c>
      <c r="E25" s="383">
        <f t="shared" si="1"/>
        <v>26.151949348870719</v>
      </c>
      <c r="F25" s="383">
        <f t="shared" si="2"/>
        <v>26.472873963078193</v>
      </c>
      <c r="G25" s="110">
        <f t="shared" si="22"/>
        <v>0.91890016854289314</v>
      </c>
      <c r="H25" s="412" t="b">
        <f>Wh_hp&gt;='2021'!Maxi_hp</f>
        <v>0</v>
      </c>
      <c r="I25" s="379">
        <f>IF(H25,Wh_hp,'2021'!Maxi_hp)</f>
        <v>28.239972558041078</v>
      </c>
      <c r="J25" s="85">
        <f>IF(H25,An,'2021'!An_max)</f>
        <v>2020</v>
      </c>
      <c r="K25" s="197">
        <f t="shared" si="3"/>
        <v>44572</v>
      </c>
      <c r="L25" s="147">
        <f>IF(t&lt;Tvie,1-EXP((T0-t)*PertePVj)+'2021'!Pspv,1-EXP((T0-t)*PertePVj)+Pspv)</f>
        <v>2.0804493509419153E-2</v>
      </c>
      <c r="M25" s="832"/>
      <c r="N25" s="832"/>
      <c r="O25" s="48">
        <f>IF(t&lt;Tnet,'2021'!Resal+('2021'!Salim-'2021'!Resal)*(1-EXP(('2021'!Tnet-t)/('2021'!Tau_j))),Resal+(Salim-Resal)*(1-EXP((Tnet-t)/(Tau_j))))*Salcycl</f>
        <v>6.4818792225671898E-2</v>
      </c>
      <c r="P25" s="169">
        <f>(INDEX(Models!$BJ25:$BT25,,T25)*(1-R25)+INDEX(Models!$BJ25:$BT25,,T25+1)*R25-ERP_i)*Q25*Ramure*Pc/MaxiM</f>
        <v>1.3679272398327728E-2</v>
      </c>
      <c r="Q25" s="304">
        <f t="shared" si="4"/>
        <v>0.7</v>
      </c>
      <c r="R25" s="177">
        <f t="shared" si="5"/>
        <v>0.93488870480259378</v>
      </c>
      <c r="S25" s="799">
        <f t="shared" si="6"/>
        <v>-1</v>
      </c>
      <c r="T25" s="176">
        <f t="shared" si="7"/>
        <v>5</v>
      </c>
      <c r="U25" s="250">
        <f t="shared" si="8"/>
        <v>-6.5111295197406188E-2</v>
      </c>
      <c r="V25" s="382">
        <f t="shared" si="9"/>
        <v>26.020527935054183</v>
      </c>
      <c r="W25" s="400">
        <f t="shared" si="10"/>
        <v>0</v>
      </c>
      <c r="X25" s="157">
        <f t="shared" si="11"/>
        <v>44572</v>
      </c>
      <c r="Y25" s="383">
        <f t="shared" si="12"/>
        <v>23.930919712585194</v>
      </c>
      <c r="Z25" s="383">
        <f t="shared" si="13"/>
        <v>24.43936839370636</v>
      </c>
      <c r="AA25" s="384">
        <f t="shared" si="14"/>
        <v>26.13329715197176</v>
      </c>
      <c r="AB25" s="197">
        <f t="shared" si="15"/>
        <v>44572</v>
      </c>
      <c r="AC25" s="119">
        <f>IF(OR(t&lt;Tnet,NoTnet),'2021'!Resal_s+('2021'!Salim-'2021'!Resal_s)*(1-EXP(('2021'!Tnet_s-t)/'2021'!Tau_j)),Resal_s+(Salim-Resal_s)*(1-EXP((Tnet_s-t)/Tau_j)))*Salcycl</f>
        <v>6.4818792225671898E-2</v>
      </c>
      <c r="AD25" s="230">
        <f>(INDEX(Models!$BJ25:$BT25,,AH25)*(1-AF25)+INDEX(Models!$BJ25:$BT25,,AH25+1)*AF25-ERP_i)*AE25*Ramure*Pc/MaxiM</f>
        <v>1.4474314196035364E-2</v>
      </c>
      <c r="AE25" s="304">
        <f t="shared" si="16"/>
        <v>0.7</v>
      </c>
      <c r="AF25" s="177">
        <f t="shared" si="23"/>
        <v>0.99922092706242593</v>
      </c>
      <c r="AG25" s="799">
        <f t="shared" si="24"/>
        <v>-1</v>
      </c>
      <c r="AH25" s="176">
        <f t="shared" si="17"/>
        <v>5</v>
      </c>
      <c r="AI25" s="224">
        <f t="shared" si="18"/>
        <v>-7.7907293757403383E-4</v>
      </c>
      <c r="AJ25" s="264" t="b">
        <f t="shared" si="19"/>
        <v>1</v>
      </c>
      <c r="AK25" s="264" t="b">
        <f t="shared" si="20"/>
        <v>0</v>
      </c>
      <c r="AL25" s="264"/>
      <c r="AM25" s="264"/>
      <c r="AN25" s="75"/>
    </row>
    <row r="26" spans="1:40" s="6" customFormat="1" ht="11.25" x14ac:dyDescent="0.2">
      <c r="A26" s="56">
        <f t="shared" si="21"/>
        <v>44573</v>
      </c>
      <c r="B26" s="1147">
        <v>20.46</v>
      </c>
      <c r="C26" s="388"/>
      <c r="D26" s="391">
        <f t="shared" si="0"/>
        <v>20.895104177996966</v>
      </c>
      <c r="E26" s="383">
        <f t="shared" si="1"/>
        <v>22.348254250167592</v>
      </c>
      <c r="F26" s="383">
        <f t="shared" si="2"/>
        <v>22.559173472391588</v>
      </c>
      <c r="G26" s="110">
        <f t="shared" si="22"/>
        <v>0.77538535192846492</v>
      </c>
      <c r="H26" s="412" t="b">
        <f>Wh_hp&gt;='2021'!Maxi_hp</f>
        <v>0</v>
      </c>
      <c r="I26" s="379">
        <f>IF(H26,Wh_hp,'2021'!Maxi_hp)</f>
        <v>29.063431932857039</v>
      </c>
      <c r="J26" s="85">
        <f>IF(H26,An,'2021'!An_max)</f>
        <v>2020</v>
      </c>
      <c r="K26" s="197">
        <f t="shared" si="3"/>
        <v>44573</v>
      </c>
      <c r="L26" s="147">
        <f>IF(t&lt;Tvie,1-EXP((T0-t)*PertePVj)+'2021'!Pspv,1-EXP((T0-t)*PertePVj)+Pspv)</f>
        <v>2.0823259567910646E-2</v>
      </c>
      <c r="M26" s="832"/>
      <c r="N26" s="832"/>
      <c r="O26" s="48">
        <f>IF(t&lt;Tnet,'2021'!Resal+('2021'!Salim-'2021'!Resal)*(1-EXP(('2021'!Tnet-t)/('2021'!Tau_j))),Resal+(Salim-Resal)*(1-EXP((Tnet-t)/(Tau_j))))*Salcycl</f>
        <v>6.5022979240525247E-2</v>
      </c>
      <c r="P26" s="169">
        <f>(INDEX(Models!$BJ26:$BT26,,T26)*(1-R26)+INDEX(Models!$BJ26:$BT26,,T26+1)*R26-ERP_i)*Q26*Ramure*Pc/MaxiM</f>
        <v>1.366953547230546E-2</v>
      </c>
      <c r="Q26" s="304">
        <f t="shared" si="4"/>
        <v>0.7</v>
      </c>
      <c r="R26" s="177">
        <f t="shared" si="5"/>
        <v>0.93492390458473074</v>
      </c>
      <c r="S26" s="799">
        <f t="shared" si="6"/>
        <v>-1</v>
      </c>
      <c r="T26" s="176">
        <f t="shared" si="7"/>
        <v>5</v>
      </c>
      <c r="U26" s="250">
        <f t="shared" si="8"/>
        <v>-6.5076095415269292E-2</v>
      </c>
      <c r="V26" s="382">
        <f t="shared" si="9"/>
        <v>26.271814232770765</v>
      </c>
      <c r="W26" s="400">
        <f t="shared" si="10"/>
        <v>0</v>
      </c>
      <c r="X26" s="157">
        <f t="shared" si="11"/>
        <v>44573</v>
      </c>
      <c r="Y26" s="383">
        <f t="shared" si="12"/>
        <v>20.448792184018465</v>
      </c>
      <c r="Z26" s="383">
        <f t="shared" si="13"/>
        <v>20.883658015604883</v>
      </c>
      <c r="AA26" s="384">
        <f t="shared" si="14"/>
        <v>22.336012064383407</v>
      </c>
      <c r="AB26" s="197">
        <f t="shared" si="15"/>
        <v>44573</v>
      </c>
      <c r="AC26" s="119">
        <f>IF(OR(t&lt;Tnet,NoTnet),'2021'!Resal_s+('2021'!Salim-'2021'!Resal_s)*(1-EXP(('2021'!Tnet_s-t)/'2021'!Tau_j)),Resal_s+(Salim-Resal_s)*(1-EXP((Tnet_s-t)/Tau_j)))*Salcycl</f>
        <v>6.5022979240525247E-2</v>
      </c>
      <c r="AD26" s="230">
        <f>(INDEX(Models!$BJ26:$BT26,,AH26)*(1-AF26)+INDEX(Models!$BJ26:$BT26,,AH26+1)*AF26-ERP_i)*AE26*Ramure*Pc/MaxiM</f>
        <v>1.4462943446557078E-2</v>
      </c>
      <c r="AE26" s="304">
        <f t="shared" si="16"/>
        <v>0.7</v>
      </c>
      <c r="AF26" s="177">
        <f t="shared" si="23"/>
        <v>0.99925612684456289</v>
      </c>
      <c r="AG26" s="799">
        <f t="shared" si="24"/>
        <v>-1</v>
      </c>
      <c r="AH26" s="176">
        <f t="shared" si="17"/>
        <v>5</v>
      </c>
      <c r="AI26" s="224">
        <f t="shared" si="18"/>
        <v>-7.4387315543714225E-4</v>
      </c>
      <c r="AJ26" s="264" t="b">
        <f t="shared" si="19"/>
        <v>1</v>
      </c>
      <c r="AK26" s="264" t="b">
        <f t="shared" si="20"/>
        <v>0</v>
      </c>
      <c r="AL26" s="264"/>
      <c r="AM26" s="264"/>
      <c r="AN26" s="75"/>
    </row>
    <row r="27" spans="1:40" s="6" customFormat="1" ht="11.25" x14ac:dyDescent="0.2">
      <c r="A27" s="56">
        <f t="shared" si="21"/>
        <v>44574</v>
      </c>
      <c r="B27" s="1147">
        <v>6.2069999999999999</v>
      </c>
      <c r="C27" s="388"/>
      <c r="D27" s="391">
        <f t="shared" si="0"/>
        <v>6.3391201013207201</v>
      </c>
      <c r="E27" s="383">
        <f t="shared" si="1"/>
        <v>6.7814515748157245</v>
      </c>
      <c r="F27" s="383">
        <f t="shared" si="2"/>
        <v>6.7814515748157245</v>
      </c>
      <c r="G27" s="110">
        <f t="shared" si="22"/>
        <v>0.23074415391726089</v>
      </c>
      <c r="H27" s="412" t="b">
        <f>Wh_hp&gt;='2021'!Maxi_hp</f>
        <v>0</v>
      </c>
      <c r="I27" s="379">
        <f>IF(H27,Wh_hp,'2021'!Maxi_hp)</f>
        <v>18.417034678656321</v>
      </c>
      <c r="J27" s="85">
        <f>IF(H27,An,'2021'!An_max)</f>
        <v>2020</v>
      </c>
      <c r="K27" s="197">
        <f t="shared" si="3"/>
        <v>44574</v>
      </c>
      <c r="L27" s="147">
        <f>IF(t&lt;Tvie,1-EXP((T0-t)*PertePVj)+'2021'!Pspv,1-EXP((T0-t)*PertePVj)+Pspv)</f>
        <v>2.0842025266754938E-2</v>
      </c>
      <c r="M27" s="832"/>
      <c r="N27" s="832"/>
      <c r="O27" s="48">
        <f>IF(t&lt;Tnet,'2021'!Resal+('2021'!Salim-'2021'!Resal)*(1-EXP(('2021'!Tnet-t)/('2021'!Tau_j))),Resal+(Salim-Resal)*(1-EXP((Tnet-t)/(Tau_j))))*Salcycl</f>
        <v>6.5226665502956735E-2</v>
      </c>
      <c r="P27" s="169">
        <f>(INDEX(Models!$BJ27:$BT27,,T27)*(1-R27)+INDEX(Models!$BJ27:$BT27,,T27+1)*R27-ERP_i)*Q27*Ramure*Pc/MaxiM</f>
        <v>1.3664193766904765E-2</v>
      </c>
      <c r="Q27" s="304">
        <f t="shared" si="4"/>
        <v>0.7</v>
      </c>
      <c r="R27" s="177">
        <f t="shared" si="5"/>
        <v>0.93496057447630598</v>
      </c>
      <c r="S27" s="799">
        <f t="shared" si="6"/>
        <v>-1</v>
      </c>
      <c r="T27" s="176">
        <f t="shared" si="7"/>
        <v>5</v>
      </c>
      <c r="U27" s="250">
        <f t="shared" si="8"/>
        <v>-6.5039425523694003E-2</v>
      </c>
      <c r="V27" s="382">
        <f t="shared" si="9"/>
        <v>26.532357354908697</v>
      </c>
      <c r="W27" s="400">
        <f t="shared" si="10"/>
        <v>0</v>
      </c>
      <c r="X27" s="157">
        <f t="shared" si="11"/>
        <v>44574</v>
      </c>
      <c r="Y27" s="383">
        <f t="shared" si="12"/>
        <v>6.2069999999999999</v>
      </c>
      <c r="Z27" s="383">
        <f t="shared" si="13"/>
        <v>6.3391201013207201</v>
      </c>
      <c r="AA27" s="384">
        <f t="shared" si="14"/>
        <v>6.7814515748157245</v>
      </c>
      <c r="AB27" s="197">
        <f t="shared" si="15"/>
        <v>44574</v>
      </c>
      <c r="AC27" s="119">
        <f>IF(OR(t&lt;Tnet,NoTnet),'2021'!Resal_s+('2021'!Salim-'2021'!Resal_s)*(1-EXP(('2021'!Tnet_s-t)/'2021'!Tau_j)),Resal_s+(Salim-Resal_s)*(1-EXP((Tnet_s-t)/Tau_j)))*Salcycl</f>
        <v>6.5226665502956735E-2</v>
      </c>
      <c r="AD27" s="230">
        <f>(INDEX(Models!$BJ27:$BT27,,AH27)*(1-AF27)+INDEX(Models!$BJ27:$BT27,,AH27+1)*AF27-ERP_i)*AE27*Ramure*Pc/MaxiM</f>
        <v>1.4456273608533878E-2</v>
      </c>
      <c r="AE27" s="304">
        <f t="shared" si="16"/>
        <v>0.7</v>
      </c>
      <c r="AF27" s="177">
        <f t="shared" si="23"/>
        <v>0.99929279673613813</v>
      </c>
      <c r="AG27" s="799">
        <f t="shared" si="24"/>
        <v>-1</v>
      </c>
      <c r="AH27" s="176">
        <f t="shared" si="17"/>
        <v>5</v>
      </c>
      <c r="AI27" s="224">
        <f t="shared" si="18"/>
        <v>-7.0720326386184687E-4</v>
      </c>
      <c r="AJ27" s="264" t="b">
        <f t="shared" si="19"/>
        <v>1</v>
      </c>
      <c r="AK27" s="264" t="b">
        <f t="shared" si="20"/>
        <v>0</v>
      </c>
      <c r="AL27" s="264"/>
      <c r="AM27" s="264"/>
      <c r="AN27" s="75"/>
    </row>
    <row r="28" spans="1:40" s="6" customFormat="1" ht="11.25" x14ac:dyDescent="0.2">
      <c r="A28" s="56">
        <f t="shared" si="21"/>
        <v>44575</v>
      </c>
      <c r="B28" s="1147">
        <v>26.628</v>
      </c>
      <c r="C28" s="388"/>
      <c r="D28" s="391">
        <f t="shared" si="0"/>
        <v>27.195315788118876</v>
      </c>
      <c r="E28" s="383">
        <f t="shared" si="1"/>
        <v>29.099277231149145</v>
      </c>
      <c r="F28" s="383">
        <f t="shared" si="2"/>
        <v>29.498621369457005</v>
      </c>
      <c r="G28" s="110">
        <f t="shared" si="22"/>
        <v>0.99341963940344269</v>
      </c>
      <c r="H28" s="412" t="b">
        <f>Wh_hp&gt;='2021'!Maxi_hp</f>
        <v>1</v>
      </c>
      <c r="I28" s="379">
        <f>IF(H28,Wh_hp,'2021'!Maxi_hp)</f>
        <v>29.498621369457005</v>
      </c>
      <c r="J28" s="85">
        <f>IF(H28,An,'2021'!An_max)</f>
        <v>2022</v>
      </c>
      <c r="K28" s="197">
        <f t="shared" si="3"/>
        <v>44575</v>
      </c>
      <c r="L28" s="147">
        <f>IF(t&lt;Tvie,1-EXP((T0-t)*PertePVj)+'2021'!Pspv,1-EXP((T0-t)*PertePVj)+Pspv)</f>
        <v>2.0860790605958912E-2</v>
      </c>
      <c r="M28" s="832"/>
      <c r="N28" s="832"/>
      <c r="O28" s="48">
        <f>IF(t&lt;Tnet,'2021'!Resal+('2021'!Salim-'2021'!Resal)*(1-EXP(('2021'!Tnet-t)/('2021'!Tau_j))),Resal+(Salim-Resal)*(1-EXP((Tnet-t)/(Tau_j))))*Salcycl</f>
        <v>6.5429853391416368E-2</v>
      </c>
      <c r="P28" s="169">
        <f>(INDEX(Models!$BJ28:$BT28,,T28)*(1-R28)+INDEX(Models!$BJ28:$BT28,,T28+1)*R28-ERP_i)*Q28*Ramure*Pc/MaxiM</f>
        <v>1.3663691311021508E-2</v>
      </c>
      <c r="Q28" s="304">
        <f t="shared" si="4"/>
        <v>0.7</v>
      </c>
      <c r="R28" s="177">
        <f t="shared" si="5"/>
        <v>0.93499877558861755</v>
      </c>
      <c r="S28" s="799">
        <f t="shared" si="6"/>
        <v>-1</v>
      </c>
      <c r="T28" s="176">
        <f t="shared" si="7"/>
        <v>5</v>
      </c>
      <c r="U28" s="250">
        <f t="shared" si="8"/>
        <v>-6.5001224411382411E-2</v>
      </c>
      <c r="V28" s="382">
        <f t="shared" si="9"/>
        <v>26.800959637612028</v>
      </c>
      <c r="W28" s="400">
        <f t="shared" si="10"/>
        <v>0</v>
      </c>
      <c r="X28" s="157">
        <f t="shared" si="11"/>
        <v>44575</v>
      </c>
      <c r="Y28" s="383">
        <f t="shared" si="12"/>
        <v>26.60684283600478</v>
      </c>
      <c r="Z28" s="383">
        <f t="shared" si="13"/>
        <v>27.173707865780322</v>
      </c>
      <c r="AA28" s="384">
        <f t="shared" si="14"/>
        <v>29.076156524354726</v>
      </c>
      <c r="AB28" s="197">
        <f t="shared" si="15"/>
        <v>44575</v>
      </c>
      <c r="AC28" s="119">
        <f>IF(OR(t&lt;Tnet,NoTnet),'2021'!Resal_s+('2021'!Salim-'2021'!Resal_s)*(1-EXP(('2021'!Tnet_s-t)/'2021'!Tau_j)),Resal_s+(Salim-Resal_s)*(1-EXP((Tnet_s-t)/Tau_j)))*Salcycl</f>
        <v>6.5429853391416368E-2</v>
      </c>
      <c r="AD28" s="230">
        <f>(INDEX(Models!$BJ28:$BT28,,AH28)*(1-AF28)+INDEX(Models!$BJ28:$BT28,,AH28+1)*AF28-ERP_i)*AE28*Ramure*Pc/MaxiM</f>
        <v>1.4454773914287395E-2</v>
      </c>
      <c r="AE28" s="304">
        <f t="shared" si="16"/>
        <v>0.7</v>
      </c>
      <c r="AF28" s="177">
        <f t="shared" si="23"/>
        <v>0.9993309978484497</v>
      </c>
      <c r="AG28" s="799">
        <f t="shared" si="24"/>
        <v>-1</v>
      </c>
      <c r="AH28" s="176">
        <f t="shared" si="17"/>
        <v>5</v>
      </c>
      <c r="AI28" s="224">
        <f t="shared" si="18"/>
        <v>-6.6900215155026228E-4</v>
      </c>
      <c r="AJ28" s="264" t="b">
        <f t="shared" si="19"/>
        <v>1</v>
      </c>
      <c r="AK28" s="264" t="b">
        <f t="shared" si="20"/>
        <v>0</v>
      </c>
      <c r="AL28" s="264"/>
      <c r="AM28" s="264"/>
      <c r="AN28" s="75"/>
    </row>
    <row r="29" spans="1:40" s="6" customFormat="1" ht="11.25" x14ac:dyDescent="0.2">
      <c r="A29" s="56">
        <f t="shared" si="21"/>
        <v>44576</v>
      </c>
      <c r="B29" s="1147">
        <v>27.411000000000001</v>
      </c>
      <c r="C29" s="388"/>
      <c r="D29" s="391">
        <f t="shared" si="0"/>
        <v>27.995534314874007</v>
      </c>
      <c r="E29" s="383">
        <f t="shared" si="1"/>
        <v>29.962017832527422</v>
      </c>
      <c r="F29" s="383">
        <f t="shared" si="2"/>
        <v>30.377227257533896</v>
      </c>
      <c r="G29" s="110">
        <f t="shared" si="22"/>
        <v>1.0123567064288315</v>
      </c>
      <c r="H29" s="412" t="b">
        <f>Wh_hp&gt;='2021'!Maxi_hp</f>
        <v>1</v>
      </c>
      <c r="I29" s="379">
        <f>IF(H29,Wh_hp,'2021'!Maxi_hp)</f>
        <v>30.377227257533896</v>
      </c>
      <c r="J29" s="85">
        <f>IF(H29,An,'2021'!An_max)</f>
        <v>2022</v>
      </c>
      <c r="K29" s="197">
        <f t="shared" si="3"/>
        <v>44576</v>
      </c>
      <c r="L29" s="147">
        <f>IF(t&lt;Tvie,1-EXP((T0-t)*PertePVj)+'2021'!Pspv,1-EXP((T0-t)*PertePVj)+Pspv)</f>
        <v>2.0879555585529341E-2</v>
      </c>
      <c r="M29" s="832"/>
      <c r="N29" s="832"/>
      <c r="O29" s="48">
        <f>IF(t&lt;Tnet,'2021'!Resal+('2021'!Salim-'2021'!Resal)*(1-EXP(('2021'!Tnet-t)/('2021'!Tau_j))),Resal+(Salim-Resal)*(1-EXP((Tnet-t)/(Tau_j))))*Salcycl</f>
        <v>6.5632546133743863E-2</v>
      </c>
      <c r="P29" s="169">
        <f>(INDEX(Models!$BJ29:$BT29,,T29)*(1-R29)+INDEX(Models!$BJ29:$BT29,,T29+1)*R29-ERP_i)*Q29*Ramure*Pc/MaxiM</f>
        <v>1.3668443847306595E-2</v>
      </c>
      <c r="Q29" s="304">
        <f t="shared" si="4"/>
        <v>0.7</v>
      </c>
      <c r="R29" s="177">
        <f t="shared" si="5"/>
        <v>0.93503857154875547</v>
      </c>
      <c r="S29" s="799">
        <f t="shared" si="6"/>
        <v>-1</v>
      </c>
      <c r="T29" s="176">
        <f t="shared" si="7"/>
        <v>5</v>
      </c>
      <c r="U29" s="250">
        <f t="shared" si="8"/>
        <v>-6.4961428451244571E-2</v>
      </c>
      <c r="V29" s="382">
        <f t="shared" si="9"/>
        <v>27.076424570440668</v>
      </c>
      <c r="W29" s="400">
        <f t="shared" si="10"/>
        <v>0</v>
      </c>
      <c r="X29" s="157">
        <f t="shared" si="11"/>
        <v>44576</v>
      </c>
      <c r="Y29" s="383">
        <f t="shared" si="12"/>
        <v>27.389033006107802</v>
      </c>
      <c r="Z29" s="383">
        <f t="shared" si="13"/>
        <v>27.973098879052486</v>
      </c>
      <c r="AA29" s="384">
        <f t="shared" si="14"/>
        <v>29.938006469836346</v>
      </c>
      <c r="AB29" s="197">
        <f t="shared" si="15"/>
        <v>44576</v>
      </c>
      <c r="AC29" s="119">
        <f>IF(OR(t&lt;Tnet,NoTnet),'2021'!Resal_s+('2021'!Salim-'2021'!Resal_s)*(1-EXP(('2021'!Tnet_s-t)/'2021'!Tau_j)),Resal_s+(Salim-Resal_s)*(1-EXP((Tnet_s-t)/Tau_j)))*Salcycl</f>
        <v>6.5632546133743863E-2</v>
      </c>
      <c r="AD29" s="230">
        <f>(INDEX(Models!$BJ29:$BT29,,AH29)*(1-AF29)+INDEX(Models!$BJ29:$BT29,,AH29+1)*AF29-ERP_i)*AE29*Ramure*Pc/MaxiM</f>
        <v>1.445888342520197E-2</v>
      </c>
      <c r="AE29" s="304">
        <f t="shared" si="16"/>
        <v>0.7</v>
      </c>
      <c r="AF29" s="177">
        <f t="shared" si="23"/>
        <v>0.99937079380858762</v>
      </c>
      <c r="AG29" s="799">
        <f t="shared" si="24"/>
        <v>-1</v>
      </c>
      <c r="AH29" s="176">
        <f t="shared" si="17"/>
        <v>5</v>
      </c>
      <c r="AI29" s="224">
        <f t="shared" si="18"/>
        <v>-6.2920619141241889E-4</v>
      </c>
      <c r="AJ29" s="264" t="b">
        <f t="shared" si="19"/>
        <v>1</v>
      </c>
      <c r="AK29" s="264" t="b">
        <f t="shared" si="20"/>
        <v>0</v>
      </c>
      <c r="AL29" s="264"/>
      <c r="AM29" s="264"/>
      <c r="AN29" s="75"/>
    </row>
    <row r="30" spans="1:40" s="6" customFormat="1" ht="11.25" x14ac:dyDescent="0.2">
      <c r="A30" s="56">
        <f t="shared" si="21"/>
        <v>44577</v>
      </c>
      <c r="B30" s="1147">
        <v>27.113</v>
      </c>
      <c r="C30" s="388"/>
      <c r="D30" s="391">
        <f t="shared" si="0"/>
        <v>27.691710227368731</v>
      </c>
      <c r="E30" s="383">
        <f t="shared" si="1"/>
        <v>29.643267246853014</v>
      </c>
      <c r="F30" s="383">
        <f t="shared" si="2"/>
        <v>30.049231450929494</v>
      </c>
      <c r="G30" s="110">
        <f t="shared" si="22"/>
        <v>0.99089106802996296</v>
      </c>
      <c r="H30" s="412" t="b">
        <f>Wh_hp&gt;='2021'!Maxi_hp</f>
        <v>1</v>
      </c>
      <c r="I30" s="379">
        <f>IF(H30,Wh_hp,'2021'!Maxi_hp)</f>
        <v>30.049231450929494</v>
      </c>
      <c r="J30" s="85">
        <f>IF(H30,An,'2021'!An_max)</f>
        <v>2022</v>
      </c>
      <c r="K30" s="197">
        <f t="shared" si="3"/>
        <v>44577</v>
      </c>
      <c r="L30" s="147">
        <f>IF(t&lt;Tvie,1-EXP((T0-t)*PertePVj)+'2021'!Pspv,1-EXP((T0-t)*PertePVj)+Pspv)</f>
        <v>2.0898320205473331E-2</v>
      </c>
      <c r="M30" s="832"/>
      <c r="N30" s="832"/>
      <c r="O30" s="48">
        <f>IF(t&lt;Tnet,'2021'!Resal+('2021'!Salim-'2021'!Resal)*(1-EXP(('2021'!Tnet-t)/('2021'!Tau_j))),Resal+(Salim-Resal)*(1-EXP((Tnet-t)/(Tau_j))))*Salcycl</f>
        <v>6.5834747675847516E-2</v>
      </c>
      <c r="P30" s="169">
        <f>(INDEX(Models!$BJ30:$BT30,,T30)*(1-R30)+INDEX(Models!$BJ30:$BT30,,T30+1)*R30-ERP_i)*Q30*Ramure*Pc/MaxiM</f>
        <v>1.3684614177866575E-2</v>
      </c>
      <c r="Q30" s="304">
        <f t="shared" si="4"/>
        <v>0.7</v>
      </c>
      <c r="R30" s="177">
        <f t="shared" si="5"/>
        <v>0.93508002860107009</v>
      </c>
      <c r="S30" s="799">
        <f t="shared" si="6"/>
        <v>-1</v>
      </c>
      <c r="T30" s="176">
        <f t="shared" si="7"/>
        <v>5</v>
      </c>
      <c r="U30" s="250">
        <f t="shared" si="8"/>
        <v>-6.4919971398929938E-2</v>
      </c>
      <c r="V30" s="382">
        <f t="shared" si="9"/>
        <v>27.357396679740674</v>
      </c>
      <c r="W30" s="400">
        <f t="shared" si="10"/>
        <v>0</v>
      </c>
      <c r="X30" s="157">
        <f t="shared" si="11"/>
        <v>44577</v>
      </c>
      <c r="Y30" s="383">
        <f t="shared" si="12"/>
        <v>27.091546302267336</v>
      </c>
      <c r="Z30" s="383">
        <f t="shared" si="13"/>
        <v>27.669798613717774</v>
      </c>
      <c r="AA30" s="384">
        <f t="shared" si="14"/>
        <v>29.619811425095094</v>
      </c>
      <c r="AB30" s="197">
        <f t="shared" si="15"/>
        <v>44577</v>
      </c>
      <c r="AC30" s="119">
        <f>IF(OR(t&lt;Tnet,NoTnet),'2021'!Resal_s+('2021'!Salim-'2021'!Resal_s)*(1-EXP(('2021'!Tnet_s-t)/'2021'!Tau_j)),Resal_s+(Salim-Resal_s)*(1-EXP((Tnet_s-t)/Tau_j)))*Salcycl</f>
        <v>6.5834747675847516E-2</v>
      </c>
      <c r="AD30" s="230">
        <f>(INDEX(Models!$BJ30:$BT30,,AH30)*(1-AF30)+INDEX(Models!$BJ30:$BT30,,AH30+1)*AF30-ERP_i)*AE30*Ramure*Pc/MaxiM</f>
        <v>1.4475284556581753E-2</v>
      </c>
      <c r="AE30" s="304">
        <f t="shared" si="16"/>
        <v>0.7</v>
      </c>
      <c r="AF30" s="177">
        <f t="shared" si="23"/>
        <v>0.99941225086090224</v>
      </c>
      <c r="AG30" s="799">
        <f t="shared" si="24"/>
        <v>-1</v>
      </c>
      <c r="AH30" s="176">
        <f t="shared" si="17"/>
        <v>5</v>
      </c>
      <c r="AI30" s="224">
        <f t="shared" si="18"/>
        <v>-5.8774913909778823E-4</v>
      </c>
      <c r="AJ30" s="264" t="b">
        <f t="shared" si="19"/>
        <v>1</v>
      </c>
      <c r="AK30" s="264" t="b">
        <f t="shared" si="20"/>
        <v>0</v>
      </c>
      <c r="AL30" s="264"/>
      <c r="AM30" s="264"/>
      <c r="AN30" s="75"/>
    </row>
    <row r="31" spans="1:40" s="6" customFormat="1" ht="11.25" x14ac:dyDescent="0.2">
      <c r="A31" s="56">
        <f t="shared" si="21"/>
        <v>44578</v>
      </c>
      <c r="B31" s="1147">
        <v>17.559000000000001</v>
      </c>
      <c r="C31" s="388"/>
      <c r="D31" s="391">
        <f t="shared" si="0"/>
        <v>17.93412970587843</v>
      </c>
      <c r="E31" s="383">
        <f t="shared" si="1"/>
        <v>19.20217330411759</v>
      </c>
      <c r="F31" s="383">
        <f t="shared" si="2"/>
        <v>19.329055345753776</v>
      </c>
      <c r="G31" s="110">
        <f t="shared" si="22"/>
        <v>0.63064277854701145</v>
      </c>
      <c r="H31" s="412" t="b">
        <f>Wh_hp&gt;='2021'!Maxi_hp</f>
        <v>1</v>
      </c>
      <c r="I31" s="379">
        <f>IF(H31,Wh_hp,'2021'!Maxi_hp)</f>
        <v>19.329055345753776</v>
      </c>
      <c r="J31" s="85">
        <f>IF(H31,An,'2021'!An_max)</f>
        <v>2022</v>
      </c>
      <c r="K31" s="197">
        <f t="shared" si="3"/>
        <v>44578</v>
      </c>
      <c r="L31" s="147">
        <f>IF(t&lt;Tvie,1-EXP((T0-t)*PertePVj)+'2021'!Pspv,1-EXP((T0-t)*PertePVj)+Pspv)</f>
        <v>2.0917084465797542E-2</v>
      </c>
      <c r="M31" s="832"/>
      <c r="N31" s="832"/>
      <c r="O31" s="48">
        <f>IF(t&lt;Tnet,'2021'!Resal+('2021'!Salim-'2021'!Resal)*(1-EXP(('2021'!Tnet-t)/('2021'!Tau_j))),Resal+(Salim-Resal)*(1-EXP((Tnet-t)/(Tau_j))))*Salcycl</f>
        <v>6.6036462548083041E-2</v>
      </c>
      <c r="P31" s="169">
        <f>(INDEX(Models!$BJ31:$BT31,,T31)*(1-R31)+INDEX(Models!$BJ31:$BT31,,T31+1)*R31-ERP_i)*Q31*Ramure*Pc/MaxiM</f>
        <v>1.3707872441527744E-2</v>
      </c>
      <c r="Q31" s="304">
        <f t="shared" si="4"/>
        <v>0.7</v>
      </c>
      <c r="R31" s="177">
        <f t="shared" si="5"/>
        <v>0.9351232157125533</v>
      </c>
      <c r="S31" s="799">
        <f t="shared" si="6"/>
        <v>-1</v>
      </c>
      <c r="T31" s="176">
        <f t="shared" si="7"/>
        <v>5</v>
      </c>
      <c r="U31" s="250">
        <f t="shared" si="8"/>
        <v>-6.4876784287446643E-2</v>
      </c>
      <c r="V31" s="382">
        <f t="shared" si="9"/>
        <v>27.642808371598889</v>
      </c>
      <c r="W31" s="400">
        <f t="shared" si="10"/>
        <v>0</v>
      </c>
      <c r="X31" s="157">
        <f t="shared" si="11"/>
        <v>44578</v>
      </c>
      <c r="Y31" s="383">
        <f t="shared" si="12"/>
        <v>17.552300273272035</v>
      </c>
      <c r="Z31" s="383">
        <f t="shared" si="13"/>
        <v>17.927286846482492</v>
      </c>
      <c r="AA31" s="384">
        <f t="shared" si="14"/>
        <v>19.194846616167215</v>
      </c>
      <c r="AB31" s="197">
        <f t="shared" si="15"/>
        <v>44578</v>
      </c>
      <c r="AC31" s="119">
        <f>IF(OR(t&lt;Tnet,NoTnet),'2021'!Resal_s+('2021'!Salim-'2021'!Resal_s)*(1-EXP(('2021'!Tnet_s-t)/'2021'!Tau_j)),Resal_s+(Salim-Resal_s)*(1-EXP((Tnet_s-t)/Tau_j)))*Salcycl</f>
        <v>6.6036462548083041E-2</v>
      </c>
      <c r="AD31" s="230">
        <f>(INDEX(Models!$BJ31:$BT31,,AH31)*(1-AF31)+INDEX(Models!$BJ31:$BT31,,AH31+1)*AF31-ERP_i)*AE31*Ramure*Pc/MaxiM</f>
        <v>1.4499421052722093E-2</v>
      </c>
      <c r="AE31" s="304">
        <f t="shared" si="16"/>
        <v>0.7</v>
      </c>
      <c r="AF31" s="177">
        <f t="shared" si="23"/>
        <v>0.99945543797238556</v>
      </c>
      <c r="AG31" s="799">
        <f t="shared" si="24"/>
        <v>-1</v>
      </c>
      <c r="AH31" s="176">
        <f t="shared" si="17"/>
        <v>5</v>
      </c>
      <c r="AI31" s="224">
        <f t="shared" si="18"/>
        <v>-5.4456202761448953E-4</v>
      </c>
      <c r="AJ31" s="264" t="b">
        <f t="shared" si="19"/>
        <v>1</v>
      </c>
      <c r="AK31" s="264" t="b">
        <f t="shared" si="20"/>
        <v>0</v>
      </c>
      <c r="AL31" s="264"/>
      <c r="AM31" s="264"/>
      <c r="AN31" s="75"/>
    </row>
    <row r="32" spans="1:40" s="6" customFormat="1" ht="11.25" x14ac:dyDescent="0.2">
      <c r="A32" s="56">
        <f t="shared" si="21"/>
        <v>44579</v>
      </c>
      <c r="B32" s="1147">
        <v>4.6189999999999998</v>
      </c>
      <c r="C32" s="388"/>
      <c r="D32" s="391">
        <f t="shared" si="0"/>
        <v>4.7177705284107931</v>
      </c>
      <c r="E32" s="383">
        <f t="shared" si="1"/>
        <v>5.0524319806458022</v>
      </c>
      <c r="F32" s="383">
        <f t="shared" si="2"/>
        <v>5.0524319806458022</v>
      </c>
      <c r="G32" s="110">
        <f t="shared" si="22"/>
        <v>0.16309711904109431</v>
      </c>
      <c r="H32" s="412" t="b">
        <f>Wh_hp&gt;='2021'!Maxi_hp</f>
        <v>0</v>
      </c>
      <c r="I32" s="379">
        <f>IF(H32,Wh_hp,'2021'!Maxi_hp)</f>
        <v>30.433829557852597</v>
      </c>
      <c r="J32" s="85">
        <f>IF(H32,An,'2021'!An_max)</f>
        <v>2021</v>
      </c>
      <c r="K32" s="197">
        <f t="shared" si="3"/>
        <v>44579</v>
      </c>
      <c r="L32" s="147">
        <f>IF(t&lt;Tvie,1-EXP((T0-t)*PertePVj)+'2021'!Pspv,1-EXP((T0-t)*PertePVj)+Pspv)</f>
        <v>2.093584836650908E-2</v>
      </c>
      <c r="M32" s="832"/>
      <c r="N32" s="832"/>
      <c r="O32" s="48">
        <f>IF(t&lt;Tnet,'2021'!Resal+('2021'!Salim-'2021'!Resal)*(1-EXP(('2021'!Tnet-t)/('2021'!Tau_j))),Resal+(Salim-Resal)*(1-EXP((Tnet-t)/(Tau_j))))*Salcycl</f>
        <v>6.6237695730885032E-2</v>
      </c>
      <c r="P32" s="169">
        <f>(INDEX(Models!$BJ32:$BT32,,T32)*(1-R32)+INDEX(Models!$BJ32:$BT32,,T32+1)*R32-ERP_i)*Q32*Ramure*Pc/MaxiM</f>
        <v>1.3738527528801347E-2</v>
      </c>
      <c r="Q32" s="304">
        <f t="shared" si="4"/>
        <v>0.7</v>
      </c>
      <c r="R32" s="177">
        <f t="shared" si="5"/>
        <v>0.93516820468226669</v>
      </c>
      <c r="S32" s="799">
        <f t="shared" si="6"/>
        <v>-1</v>
      </c>
      <c r="T32" s="176">
        <f t="shared" si="7"/>
        <v>5</v>
      </c>
      <c r="U32" s="250">
        <f t="shared" si="8"/>
        <v>-6.4831795317733296E-2</v>
      </c>
      <c r="V32" s="382">
        <f t="shared" si="9"/>
        <v>27.93146665084036</v>
      </c>
      <c r="W32" s="400">
        <f t="shared" si="10"/>
        <v>0</v>
      </c>
      <c r="X32" s="157">
        <f t="shared" si="11"/>
        <v>44579</v>
      </c>
      <c r="Y32" s="383">
        <f t="shared" si="12"/>
        <v>4.6189999999999998</v>
      </c>
      <c r="Z32" s="383">
        <f t="shared" si="13"/>
        <v>4.7177705284107931</v>
      </c>
      <c r="AA32" s="384">
        <f t="shared" si="14"/>
        <v>5.0524319806458022</v>
      </c>
      <c r="AB32" s="197">
        <f t="shared" si="15"/>
        <v>44579</v>
      </c>
      <c r="AC32" s="119">
        <f>IF(OR(t&lt;Tnet,NoTnet),'2021'!Resal_s+('2021'!Salim-'2021'!Resal_s)*(1-EXP(('2021'!Tnet_s-t)/'2021'!Tau_j)),Resal_s+(Salim-Resal_s)*(1-EXP((Tnet_s-t)/Tau_j)))*Salcycl</f>
        <v>6.6237695730885032E-2</v>
      </c>
      <c r="AD32" s="230">
        <f>(INDEX(Models!$BJ32:$BT32,,AH32)*(1-AF32)+INDEX(Models!$BJ32:$BT32,,AH32+1)*AF32-ERP_i)*AE32*Ramure*Pc/MaxiM</f>
        <v>1.4531612368167223E-2</v>
      </c>
      <c r="AE32" s="304">
        <f t="shared" si="16"/>
        <v>0.7</v>
      </c>
      <c r="AF32" s="177">
        <f t="shared" si="23"/>
        <v>0.99950042694209884</v>
      </c>
      <c r="AG32" s="799">
        <f t="shared" si="24"/>
        <v>-1</v>
      </c>
      <c r="AH32" s="176">
        <f t="shared" si="17"/>
        <v>5</v>
      </c>
      <c r="AI32" s="224">
        <f t="shared" si="18"/>
        <v>-4.9957305790114277E-4</v>
      </c>
      <c r="AJ32" s="264" t="b">
        <f t="shared" si="19"/>
        <v>1</v>
      </c>
      <c r="AK32" s="264" t="b">
        <f t="shared" si="20"/>
        <v>0</v>
      </c>
      <c r="AL32" s="264"/>
      <c r="AM32" s="264"/>
      <c r="AN32" s="75"/>
    </row>
    <row r="33" spans="1:40" s="6" customFormat="1" ht="11.25" x14ac:dyDescent="0.2">
      <c r="A33" s="56">
        <f t="shared" si="21"/>
        <v>44580</v>
      </c>
      <c r="B33" s="1147">
        <v>11.667</v>
      </c>
      <c r="C33" s="388"/>
      <c r="D33" s="391">
        <f t="shared" si="0"/>
        <v>11.916710033977578</v>
      </c>
      <c r="E33" s="383">
        <f t="shared" si="1"/>
        <v>12.764782425068725</v>
      </c>
      <c r="F33" s="383">
        <f t="shared" si="2"/>
        <v>12.793334832690372</v>
      </c>
      <c r="G33" s="110">
        <f t="shared" si="22"/>
        <v>0.40861488019526232</v>
      </c>
      <c r="H33" s="412" t="b">
        <f>Wh_hp&gt;='2021'!Maxi_hp</f>
        <v>0</v>
      </c>
      <c r="I33" s="379">
        <f>IF(H33,Wh_hp,'2021'!Maxi_hp)</f>
        <v>32.683118262088648</v>
      </c>
      <c r="J33" s="85">
        <f>IF(H33,An,'2021'!An_max)</f>
        <v>2021</v>
      </c>
      <c r="K33" s="197">
        <f t="shared" si="3"/>
        <v>44580</v>
      </c>
      <c r="L33" s="147">
        <f>IF(t&lt;Tvie,1-EXP((T0-t)*PertePVj)+'2021'!Pspv,1-EXP((T0-t)*PertePVj)+Pspv)</f>
        <v>2.0954611907614717E-2</v>
      </c>
      <c r="M33" s="832"/>
      <c r="N33" s="832"/>
      <c r="O33" s="48">
        <f>IF(t&lt;Tnet,'2021'!Resal+('2021'!Salim-'2021'!Resal)*(1-EXP(('2021'!Tnet-t)/('2021'!Tau_j))),Resal+(Salim-Resal)*(1-EXP((Tnet-t)/(Tau_j))))*Salcycl</f>
        <v>6.6438452521182134E-2</v>
      </c>
      <c r="P33" s="169">
        <f>(INDEX(Models!$BJ33:$BT33,,T33)*(1-R33)+INDEX(Models!$BJ33:$BT33,,T33+1)*R33-ERP_i)*Q33*Ramure*Pc/MaxiM</f>
        <v>1.3776871752995974E-2</v>
      </c>
      <c r="Q33" s="304">
        <f t="shared" si="4"/>
        <v>0.7</v>
      </c>
      <c r="R33" s="177">
        <f t="shared" si="5"/>
        <v>0.93521507025495543</v>
      </c>
      <c r="S33" s="799">
        <f t="shared" si="6"/>
        <v>-1</v>
      </c>
      <c r="T33" s="176">
        <f t="shared" si="7"/>
        <v>5</v>
      </c>
      <c r="U33" s="250">
        <f t="shared" si="8"/>
        <v>-6.4784929745044587E-2</v>
      </c>
      <c r="V33" s="382">
        <f t="shared" si="9"/>
        <v>28.222179706460789</v>
      </c>
      <c r="W33" s="400">
        <f t="shared" si="10"/>
        <v>0</v>
      </c>
      <c r="X33" s="157">
        <f t="shared" si="11"/>
        <v>44580</v>
      </c>
      <c r="Y33" s="383">
        <f t="shared" si="12"/>
        <v>11.665493522292001</v>
      </c>
      <c r="Z33" s="383">
        <f t="shared" si="13"/>
        <v>11.91517131296799</v>
      </c>
      <c r="AA33" s="384">
        <f t="shared" si="14"/>
        <v>12.76313419843199</v>
      </c>
      <c r="AB33" s="197">
        <f t="shared" si="15"/>
        <v>44580</v>
      </c>
      <c r="AC33" s="119">
        <f>IF(OR(t&lt;Tnet,NoTnet),'2021'!Resal_s+('2021'!Salim-'2021'!Resal_s)*(1-EXP(('2021'!Tnet_s-t)/'2021'!Tau_j)),Resal_s+(Salim-Resal_s)*(1-EXP((Tnet_s-t)/Tau_j)))*Salcycl</f>
        <v>6.6438452521182134E-2</v>
      </c>
      <c r="AD33" s="230">
        <f>(INDEX(Models!$BJ33:$BT33,,AH33)*(1-AF33)+INDEX(Models!$BJ33:$BT33,,AH33+1)*AF33-ERP_i)*AE33*Ramure*Pc/MaxiM</f>
        <v>1.457216044791414E-2</v>
      </c>
      <c r="AE33" s="304">
        <f t="shared" si="16"/>
        <v>0.7</v>
      </c>
      <c r="AF33" s="177">
        <f t="shared" si="23"/>
        <v>0.99954729251478758</v>
      </c>
      <c r="AG33" s="799">
        <f t="shared" si="24"/>
        <v>-1</v>
      </c>
      <c r="AH33" s="176">
        <f t="shared" si="17"/>
        <v>5</v>
      </c>
      <c r="AI33" s="224">
        <f t="shared" si="18"/>
        <v>-4.5270748521243826E-4</v>
      </c>
      <c r="AJ33" s="264" t="b">
        <f t="shared" si="19"/>
        <v>1</v>
      </c>
      <c r="AK33" s="264" t="b">
        <f t="shared" si="20"/>
        <v>0</v>
      </c>
      <c r="AL33" s="264"/>
      <c r="AM33" s="264"/>
      <c r="AN33" s="75"/>
    </row>
    <row r="34" spans="1:40" s="6" customFormat="1" ht="11.25" x14ac:dyDescent="0.2">
      <c r="A34" s="56">
        <f t="shared" si="21"/>
        <v>44581</v>
      </c>
      <c r="B34" s="1147">
        <v>4.8369999999999997</v>
      </c>
      <c r="C34" s="388"/>
      <c r="D34" s="391">
        <f t="shared" si="0"/>
        <v>4.9406215080619633</v>
      </c>
      <c r="E34" s="383">
        <f t="shared" si="1"/>
        <v>5.2933646502516654</v>
      </c>
      <c r="F34" s="383">
        <f t="shared" si="2"/>
        <v>5.2933646502516654</v>
      </c>
      <c r="G34" s="110">
        <f t="shared" si="22"/>
        <v>0.16729248520085768</v>
      </c>
      <c r="H34" s="412" t="b">
        <f>Wh_hp&gt;='2021'!Maxi_hp</f>
        <v>0</v>
      </c>
      <c r="I34" s="379">
        <f>IF(H34,Wh_hp,'2021'!Maxi_hp)</f>
        <v>11.30286271509741</v>
      </c>
      <c r="J34" s="85">
        <f>IF(H34,An,'2021'!An_max)</f>
        <v>2020</v>
      </c>
      <c r="K34" s="197">
        <f t="shared" si="3"/>
        <v>44581</v>
      </c>
      <c r="L34" s="147">
        <f>IF(t&lt;Tvie,1-EXP((T0-t)*PertePVj)+'2021'!Pspv,1-EXP((T0-t)*PertePVj)+Pspv)</f>
        <v>2.0973375089121338E-2</v>
      </c>
      <c r="M34" s="832"/>
      <c r="N34" s="832"/>
      <c r="O34" s="48">
        <f>IF(t&lt;Tnet,'2021'!Resal+('2021'!Salim-'2021'!Resal)*(1-EXP(('2021'!Tnet-t)/('2021'!Tau_j))),Resal+(Salim-Resal)*(1-EXP((Tnet-t)/(Tau_j))))*Salcycl</f>
        <v>6.6638738401090664E-2</v>
      </c>
      <c r="P34" s="169">
        <f>(INDEX(Models!$BJ34:$BT34,,T34)*(1-R34)+INDEX(Models!$BJ34:$BT34,,T34+1)*R34-ERP_i)*Q34*Ramure*Pc/MaxiM</f>
        <v>1.3823261270339712E-2</v>
      </c>
      <c r="Q34" s="304">
        <f t="shared" si="4"/>
        <v>0.7</v>
      </c>
      <c r="R34" s="177">
        <f t="shared" si="5"/>
        <v>0.93526389023898959</v>
      </c>
      <c r="S34" s="799">
        <f t="shared" si="6"/>
        <v>-1</v>
      </c>
      <c r="T34" s="176">
        <f t="shared" si="7"/>
        <v>5</v>
      </c>
      <c r="U34" s="250">
        <f t="shared" si="8"/>
        <v>-6.4736109761010463E-2</v>
      </c>
      <c r="V34" s="382">
        <f t="shared" si="9"/>
        <v>28.513754694409375</v>
      </c>
      <c r="W34" s="400">
        <f t="shared" si="10"/>
        <v>0</v>
      </c>
      <c r="X34" s="157">
        <f t="shared" si="11"/>
        <v>44581</v>
      </c>
      <c r="Y34" s="383">
        <f t="shared" si="12"/>
        <v>4.8369999999999997</v>
      </c>
      <c r="Z34" s="383">
        <f t="shared" si="13"/>
        <v>4.9406215080619633</v>
      </c>
      <c r="AA34" s="384">
        <f t="shared" si="14"/>
        <v>5.2933646502516654</v>
      </c>
      <c r="AB34" s="197">
        <f t="shared" si="15"/>
        <v>44581</v>
      </c>
      <c r="AC34" s="119">
        <f>IF(OR(t&lt;Tnet,NoTnet),'2021'!Resal_s+('2021'!Salim-'2021'!Resal_s)*(1-EXP(('2021'!Tnet_s-t)/'2021'!Tau_j)),Resal_s+(Salim-Resal_s)*(1-EXP((Tnet_s-t)/Tau_j)))*Salcycl</f>
        <v>6.6638738401090664E-2</v>
      </c>
      <c r="AD34" s="230">
        <f>(INDEX(Models!$BJ34:$BT34,,AH34)*(1-AF34)+INDEX(Models!$BJ34:$BT34,,AH34+1)*AF34-ERP_i)*AE34*Ramure*Pc/MaxiM</f>
        <v>1.4621434885339615E-2</v>
      </c>
      <c r="AE34" s="304">
        <f t="shared" si="16"/>
        <v>0.7</v>
      </c>
      <c r="AF34" s="177">
        <f t="shared" si="23"/>
        <v>0.99959611249882163</v>
      </c>
      <c r="AG34" s="799">
        <f t="shared" si="24"/>
        <v>-1</v>
      </c>
      <c r="AH34" s="176">
        <f t="shared" si="17"/>
        <v>5</v>
      </c>
      <c r="AI34" s="224">
        <f t="shared" si="18"/>
        <v>-4.0388750117831837E-4</v>
      </c>
      <c r="AJ34" s="264" t="b">
        <f t="shared" si="19"/>
        <v>1</v>
      </c>
      <c r="AK34" s="264" t="b">
        <f t="shared" si="20"/>
        <v>0</v>
      </c>
      <c r="AL34" s="264"/>
      <c r="AM34" s="264"/>
      <c r="AN34" s="75"/>
    </row>
    <row r="35" spans="1:40" s="6" customFormat="1" ht="11.25" x14ac:dyDescent="0.2">
      <c r="A35" s="56">
        <f t="shared" si="21"/>
        <v>44582</v>
      </c>
      <c r="B35" s="1147">
        <v>18.462</v>
      </c>
      <c r="C35" s="388"/>
      <c r="D35" s="391">
        <f t="shared" si="0"/>
        <v>18.857866943587759</v>
      </c>
      <c r="E35" s="383">
        <f t="shared" si="1"/>
        <v>20.208579258876238</v>
      </c>
      <c r="F35" s="383">
        <f t="shared" si="2"/>
        <v>20.346103196063709</v>
      </c>
      <c r="G35" s="110">
        <f t="shared" si="22"/>
        <v>0.63633668186676429</v>
      </c>
      <c r="H35" s="412" t="b">
        <f>Wh_hp&gt;='2021'!Maxi_hp</f>
        <v>1</v>
      </c>
      <c r="I35" s="379">
        <f>IF(H35,Wh_hp,'2021'!Maxi_hp)</f>
        <v>20.346103196063709</v>
      </c>
      <c r="J35" s="85">
        <f>IF(H35,An,'2021'!An_max)</f>
        <v>2022</v>
      </c>
      <c r="K35" s="197">
        <f t="shared" si="3"/>
        <v>44582</v>
      </c>
      <c r="L35" s="147">
        <f>IF(t&lt;Tvie,1-EXP((T0-t)*PertePVj)+'2021'!Pspv,1-EXP((T0-t)*PertePVj)+Pspv)</f>
        <v>2.0992137911035935E-2</v>
      </c>
      <c r="M35" s="832"/>
      <c r="N35" s="832"/>
      <c r="O35" s="48">
        <f>IF(t&lt;Tnet,'2021'!Resal+('2021'!Salim-'2021'!Resal)*(1-EXP(('2021'!Tnet-t)/('2021'!Tau_j))),Resal+(Salim-Resal)*(1-EXP((Tnet-t)/(Tau_j))))*Salcycl</f>
        <v>6.6838558910330276E-2</v>
      </c>
      <c r="P35" s="169">
        <f>(INDEX(Models!$BJ35:$BT35,,T35)*(1-R35)+INDEX(Models!$BJ35:$BT35,,T35+1)*R35-ERP_i)*Q35*Ramure*Pc/MaxiM</f>
        <v>1.3878078527757532E-2</v>
      </c>
      <c r="Q35" s="304">
        <f t="shared" si="4"/>
        <v>0.7</v>
      </c>
      <c r="R35" s="177">
        <f t="shared" si="5"/>
        <v>0.93531474562877848</v>
      </c>
      <c r="S35" s="799">
        <f t="shared" si="6"/>
        <v>-1</v>
      </c>
      <c r="T35" s="176">
        <f t="shared" si="7"/>
        <v>5</v>
      </c>
      <c r="U35" s="250">
        <f t="shared" si="8"/>
        <v>-6.4685254371221509E-2</v>
      </c>
      <c r="V35" s="382">
        <f t="shared" si="9"/>
        <v>28.804998820826686</v>
      </c>
      <c r="W35" s="400">
        <f t="shared" si="10"/>
        <v>0</v>
      </c>
      <c r="X35" s="157">
        <f t="shared" si="11"/>
        <v>44582</v>
      </c>
      <c r="Y35" s="383">
        <f t="shared" si="12"/>
        <v>18.454741724108253</v>
      </c>
      <c r="Z35" s="383">
        <f t="shared" si="13"/>
        <v>18.850453033880989</v>
      </c>
      <c r="AA35" s="384">
        <f t="shared" si="14"/>
        <v>20.200634320969122</v>
      </c>
      <c r="AB35" s="197">
        <f t="shared" si="15"/>
        <v>44582</v>
      </c>
      <c r="AC35" s="119">
        <f>IF(OR(t&lt;Tnet,NoTnet),'2021'!Resal_s+('2021'!Salim-'2021'!Resal_s)*(1-EXP(('2021'!Tnet_s-t)/'2021'!Tau_j)),Resal_s+(Salim-Resal_s)*(1-EXP((Tnet_s-t)/Tau_j)))*Salcycl</f>
        <v>6.6838558910330276E-2</v>
      </c>
      <c r="AD35" s="230">
        <f>(INDEX(Models!$BJ35:$BT35,,AH35)*(1-AF35)+INDEX(Models!$BJ35:$BT35,,AH35+1)*AF35-ERP_i)*AE35*Ramure*Pc/MaxiM</f>
        <v>1.4679833294440881E-2</v>
      </c>
      <c r="AE35" s="304">
        <f t="shared" si="16"/>
        <v>0.7</v>
      </c>
      <c r="AF35" s="177">
        <f t="shared" si="23"/>
        <v>0.99964696788861063</v>
      </c>
      <c r="AG35" s="799">
        <f t="shared" si="24"/>
        <v>-1</v>
      </c>
      <c r="AH35" s="176">
        <f t="shared" si="17"/>
        <v>5</v>
      </c>
      <c r="AI35" s="224">
        <f t="shared" si="18"/>
        <v>-3.5303211138936581E-4</v>
      </c>
      <c r="AJ35" s="264" t="b">
        <f t="shared" si="19"/>
        <v>1</v>
      </c>
      <c r="AK35" s="264" t="b">
        <f t="shared" si="20"/>
        <v>0</v>
      </c>
      <c r="AL35" s="264"/>
      <c r="AM35" s="264"/>
      <c r="AN35" s="75"/>
    </row>
    <row r="36" spans="1:40" s="6" customFormat="1" ht="11.25" x14ac:dyDescent="0.2">
      <c r="A36" s="56">
        <f t="shared" si="21"/>
        <v>44583</v>
      </c>
      <c r="B36" s="1147">
        <v>28.536999999999999</v>
      </c>
      <c r="C36" s="388"/>
      <c r="D36" s="391">
        <f t="shared" si="0"/>
        <v>29.149456322734743</v>
      </c>
      <c r="E36" s="383">
        <f t="shared" si="1"/>
        <v>31.243988295702714</v>
      </c>
      <c r="F36" s="383">
        <f t="shared" si="2"/>
        <v>31.673476071580343</v>
      </c>
      <c r="G36" s="110">
        <f t="shared" si="22"/>
        <v>0.98045120172953226</v>
      </c>
      <c r="H36" s="412" t="b">
        <f>Wh_hp&gt;='2021'!Maxi_hp</f>
        <v>1</v>
      </c>
      <c r="I36" s="379">
        <f>IF(H36,Wh_hp,'2021'!Maxi_hp)</f>
        <v>31.673476071580343</v>
      </c>
      <c r="J36" s="85">
        <f>IF(H36,An,'2021'!An_max)</f>
        <v>2022</v>
      </c>
      <c r="K36" s="197">
        <f t="shared" si="3"/>
        <v>44583</v>
      </c>
      <c r="L36" s="147">
        <f>IF(t&lt;Tvie,1-EXP((T0-t)*PertePVj)+'2021'!Pspv,1-EXP((T0-t)*PertePVj)+Pspv)</f>
        <v>2.1010900373365282E-2</v>
      </c>
      <c r="M36" s="832"/>
      <c r="N36" s="832"/>
      <c r="O36" s="48">
        <f>IF(t&lt;Tnet,'2021'!Resal+('2021'!Salim-'2021'!Resal)*(1-EXP(('2021'!Tnet-t)/('2021'!Tau_j))),Resal+(Salim-Resal)*(1-EXP((Tnet-t)/(Tau_j))))*Salcycl</f>
        <v>6.7037919523739248E-2</v>
      </c>
      <c r="P36" s="169">
        <f>(INDEX(Models!$BJ36:$BT36,,T36)*(1-R36)+INDEX(Models!$BJ36:$BT36,,T36+1)*R36-ERP_i)*Q36*Ramure*Pc/MaxiM</f>
        <v>1.3941641597703223E-2</v>
      </c>
      <c r="Q36" s="304">
        <f t="shared" si="4"/>
        <v>0.7</v>
      </c>
      <c r="R36" s="177">
        <f t="shared" si="5"/>
        <v>0.93536772073180419</v>
      </c>
      <c r="S36" s="799">
        <f t="shared" si="6"/>
        <v>-1</v>
      </c>
      <c r="T36" s="176">
        <f t="shared" si="7"/>
        <v>5</v>
      </c>
      <c r="U36" s="250">
        <f t="shared" si="8"/>
        <v>-6.4632279268195841E-2</v>
      </c>
      <c r="V36" s="382">
        <f t="shared" si="9"/>
        <v>29.09472207249776</v>
      </c>
      <c r="W36" s="400">
        <f t="shared" si="10"/>
        <v>0</v>
      </c>
      <c r="X36" s="157">
        <f t="shared" si="11"/>
        <v>44583</v>
      </c>
      <c r="Y36" s="383">
        <f t="shared" si="12"/>
        <v>28.514320293217352</v>
      </c>
      <c r="Z36" s="383">
        <f t="shared" si="13"/>
        <v>29.126289867877077</v>
      </c>
      <c r="AA36" s="384">
        <f t="shared" si="14"/>
        <v>31.219157216988517</v>
      </c>
      <c r="AB36" s="197">
        <f t="shared" si="15"/>
        <v>44583</v>
      </c>
      <c r="AC36" s="119">
        <f>IF(OR(t&lt;Tnet,NoTnet),'2021'!Resal_s+('2021'!Salim-'2021'!Resal_s)*(1-EXP(('2021'!Tnet_s-t)/'2021'!Tau_j)),Resal_s+(Salim-Resal_s)*(1-EXP((Tnet_s-t)/Tau_j)))*Salcycl</f>
        <v>6.7037919523739248E-2</v>
      </c>
      <c r="AD36" s="230">
        <f>(INDEX(Models!$BJ36:$BT36,,AH36)*(1-AF36)+INDEX(Models!$BJ36:$BT36,,AH36+1)*AF36-ERP_i)*AE36*Ramure*Pc/MaxiM</f>
        <v>1.4747685493155792E-2</v>
      </c>
      <c r="AE36" s="304">
        <f t="shared" si="16"/>
        <v>0.7</v>
      </c>
      <c r="AF36" s="177">
        <f t="shared" si="23"/>
        <v>0.99969994299163634</v>
      </c>
      <c r="AG36" s="799">
        <f t="shared" si="24"/>
        <v>-1</v>
      </c>
      <c r="AH36" s="176">
        <f t="shared" si="17"/>
        <v>5</v>
      </c>
      <c r="AI36" s="224">
        <f t="shared" si="18"/>
        <v>-3.0005700836368936E-4</v>
      </c>
      <c r="AJ36" s="264" t="b">
        <f t="shared" si="19"/>
        <v>1</v>
      </c>
      <c r="AK36" s="264" t="b">
        <f t="shared" si="20"/>
        <v>0</v>
      </c>
      <c r="AL36" s="264"/>
      <c r="AM36" s="264"/>
      <c r="AN36" s="75"/>
    </row>
    <row r="37" spans="1:40" s="6" customFormat="1" ht="11.25" x14ac:dyDescent="0.2">
      <c r="A37" s="56">
        <f t="shared" si="21"/>
        <v>44584</v>
      </c>
      <c r="B37" s="1147">
        <v>28.878</v>
      </c>
      <c r="C37" s="388"/>
      <c r="D37" s="391">
        <f t="shared" si="0"/>
        <v>29.498340136680056</v>
      </c>
      <c r="E37" s="383">
        <f t="shared" si="1"/>
        <v>31.62468346116394</v>
      </c>
      <c r="F37" s="383">
        <f t="shared" si="2"/>
        <v>32.062853586562348</v>
      </c>
      <c r="G37" s="110">
        <f t="shared" si="22"/>
        <v>0.98236075996459005</v>
      </c>
      <c r="H37" s="412" t="b">
        <f>Wh_hp&gt;='2021'!Maxi_hp</f>
        <v>1</v>
      </c>
      <c r="I37" s="379">
        <f>IF(H37,Wh_hp,'2021'!Maxi_hp)</f>
        <v>32.062853586562348</v>
      </c>
      <c r="J37" s="85">
        <f>IF(H37,An,'2021'!An_max)</f>
        <v>2022</v>
      </c>
      <c r="K37" s="197">
        <f t="shared" si="3"/>
        <v>44584</v>
      </c>
      <c r="L37" s="147">
        <f>IF(t&lt;Tvie,1-EXP((T0-t)*PertePVj)+'2021'!Pspv,1-EXP((T0-t)*PertePVj)+Pspv)</f>
        <v>2.1029662476116262E-2</v>
      </c>
      <c r="M37" s="832"/>
      <c r="N37" s="832"/>
      <c r="O37" s="48">
        <f>IF(t&lt;Tnet,'2021'!Resal+('2021'!Salim-'2021'!Resal)*(1-EXP(('2021'!Tnet-t)/('2021'!Tau_j))),Resal+(Salim-Resal)*(1-EXP((Tnet-t)/(Tau_j))))*Salcycl</f>
        <v>6.7236825535189892E-2</v>
      </c>
      <c r="P37" s="169">
        <f>(INDEX(Models!$BJ37:$BT37,,T37)*(1-R37)+INDEX(Models!$BJ37:$BT37,,T37+1)*R37-ERP_i)*Q37*Ramure*Pc/MaxiM</f>
        <v>1.4012161043652957E-2</v>
      </c>
      <c r="Q37" s="304">
        <f t="shared" si="4"/>
        <v>0.7</v>
      </c>
      <c r="R37" s="177">
        <f t="shared" si="5"/>
        <v>0.93542290330042599</v>
      </c>
      <c r="S37" s="799">
        <f t="shared" si="6"/>
        <v>-1</v>
      </c>
      <c r="T37" s="176">
        <f t="shared" si="7"/>
        <v>5</v>
      </c>
      <c r="U37" s="250">
        <f t="shared" si="8"/>
        <v>-6.457709669957401E-2</v>
      </c>
      <c r="V37" s="382">
        <f t="shared" si="9"/>
        <v>29.386214794534315</v>
      </c>
      <c r="W37" s="400">
        <f t="shared" si="10"/>
        <v>0</v>
      </c>
      <c r="X37" s="157">
        <f t="shared" si="11"/>
        <v>44584</v>
      </c>
      <c r="Y37" s="383">
        <f t="shared" si="12"/>
        <v>28.854844052984429</v>
      </c>
      <c r="Z37" s="383">
        <f t="shared" si="13"/>
        <v>29.474686767289782</v>
      </c>
      <c r="AA37" s="384">
        <f t="shared" si="14"/>
        <v>31.599325074343142</v>
      </c>
      <c r="AB37" s="197">
        <f t="shared" si="15"/>
        <v>44584</v>
      </c>
      <c r="AC37" s="119">
        <f>IF(OR(t&lt;Tnet,NoTnet),'2021'!Resal_s+('2021'!Salim-'2021'!Resal_s)*(1-EXP(('2021'!Tnet_s-t)/'2021'!Tau_j)),Resal_s+(Salim-Resal_s)*(1-EXP((Tnet_s-t)/Tau_j)))*Salcycl</f>
        <v>6.7236825535189892E-2</v>
      </c>
      <c r="AD37" s="230">
        <f>(INDEX(Models!$BJ37:$BT37,,AH37)*(1-AF37)+INDEX(Models!$BJ37:$BT37,,AH37+1)*AF37-ERP_i)*AE37*Ramure*Pc/MaxiM</f>
        <v>1.4823092185106792E-2</v>
      </c>
      <c r="AE37" s="304">
        <f t="shared" si="16"/>
        <v>0.7</v>
      </c>
      <c r="AF37" s="177">
        <f t="shared" si="23"/>
        <v>0.99975512556025814</v>
      </c>
      <c r="AG37" s="799">
        <f t="shared" si="24"/>
        <v>-1</v>
      </c>
      <c r="AH37" s="176">
        <f t="shared" si="17"/>
        <v>5</v>
      </c>
      <c r="AI37" s="224">
        <f t="shared" si="18"/>
        <v>-2.4487443974185443E-4</v>
      </c>
      <c r="AJ37" s="264" t="b">
        <f t="shared" si="19"/>
        <v>1</v>
      </c>
      <c r="AK37" s="264" t="b">
        <f t="shared" si="20"/>
        <v>0</v>
      </c>
      <c r="AL37" s="264"/>
      <c r="AM37" s="264"/>
      <c r="AN37" s="75"/>
    </row>
    <row r="38" spans="1:40" s="6" customFormat="1" ht="11.25" x14ac:dyDescent="0.2">
      <c r="A38" s="56">
        <f t="shared" si="21"/>
        <v>44585</v>
      </c>
      <c r="B38" s="1147">
        <v>29.374000000000002</v>
      </c>
      <c r="C38" s="388"/>
      <c r="D38" s="391">
        <f t="shared" si="0"/>
        <v>30.005569965577237</v>
      </c>
      <c r="E38" s="383">
        <f t="shared" si="1"/>
        <v>32.175321867516693</v>
      </c>
      <c r="F38" s="383">
        <f t="shared" si="2"/>
        <v>32.62802258873004</v>
      </c>
      <c r="G38" s="110">
        <f t="shared" si="22"/>
        <v>0.98937297703022298</v>
      </c>
      <c r="H38" s="412" t="b">
        <f>Wh_hp&gt;='2021'!Maxi_hp</f>
        <v>1</v>
      </c>
      <c r="I38" s="379">
        <f>IF(H38,Wh_hp,'2021'!Maxi_hp)</f>
        <v>32.62802258873004</v>
      </c>
      <c r="J38" s="85">
        <f>IF(H38,An,'2021'!An_max)</f>
        <v>2022</v>
      </c>
      <c r="K38" s="197">
        <f t="shared" si="3"/>
        <v>44585</v>
      </c>
      <c r="L38" s="147">
        <f>IF(t&lt;Tvie,1-EXP((T0-t)*PertePVj)+'2021'!Pspv,1-EXP((T0-t)*PertePVj)+Pspv)</f>
        <v>2.104842421929598E-2</v>
      </c>
      <c r="M38" s="832"/>
      <c r="N38" s="832"/>
      <c r="O38" s="48">
        <f>IF(t&lt;Tnet,'2021'!Resal+('2021'!Salim-'2021'!Resal)*(1-EXP(('2021'!Tnet-t)/('2021'!Tau_j))),Resal+(Salim-Resal)*(1-EXP((Tnet-t)/(Tau_j))))*Salcycl</f>
        <v>6.7435281949113302E-2</v>
      </c>
      <c r="P38" s="169">
        <f>(INDEX(Models!$BJ38:$BT38,,T38)*(1-R38)+INDEX(Models!$BJ38:$BT38,,T38+1)*R38-ERP_i)*Q38*Ramure*Pc/MaxiM</f>
        <v>1.4084185533667496E-2</v>
      </c>
      <c r="Q38" s="304">
        <f t="shared" si="4"/>
        <v>0.7</v>
      </c>
      <c r="R38" s="177">
        <f t="shared" si="5"/>
        <v>0.93548038466860961</v>
      </c>
      <c r="S38" s="799">
        <f t="shared" si="6"/>
        <v>-1</v>
      </c>
      <c r="T38" s="176">
        <f t="shared" si="7"/>
        <v>5</v>
      </c>
      <c r="U38" s="250">
        <f t="shared" si="8"/>
        <v>-6.4519615331390417E-2</v>
      </c>
      <c r="V38" s="382">
        <f t="shared" si="9"/>
        <v>29.683201037445471</v>
      </c>
      <c r="W38" s="400">
        <f t="shared" si="10"/>
        <v>0</v>
      </c>
      <c r="X38" s="157">
        <f t="shared" si="11"/>
        <v>44585</v>
      </c>
      <c r="Y38" s="383">
        <f t="shared" si="12"/>
        <v>29.350050091185157</v>
      </c>
      <c r="Z38" s="383">
        <f t="shared" si="13"/>
        <v>29.981105110105968</v>
      </c>
      <c r="AA38" s="384">
        <f t="shared" si="14"/>
        <v>32.149087918282156</v>
      </c>
      <c r="AB38" s="197">
        <f t="shared" si="15"/>
        <v>44585</v>
      </c>
      <c r="AC38" s="119">
        <f>IF(OR(t&lt;Tnet,NoTnet),'2021'!Resal_s+('2021'!Salim-'2021'!Resal_s)*(1-EXP(('2021'!Tnet_s-t)/'2021'!Tau_j)),Resal_s+(Salim-Resal_s)*(1-EXP((Tnet_s-t)/Tau_j)))*Salcycl</f>
        <v>6.7435281949113302E-2</v>
      </c>
      <c r="AD38" s="230">
        <f>(INDEX(Models!$BJ38:$BT38,,AH38)*(1-AF38)+INDEX(Models!$BJ38:$BT38,,AH38+1)*AF38-ERP_i)*AE38*Ramure*Pc/MaxiM</f>
        <v>1.4900362294574112E-2</v>
      </c>
      <c r="AE38" s="304">
        <f t="shared" si="16"/>
        <v>0.7</v>
      </c>
      <c r="AF38" s="177">
        <f t="shared" si="23"/>
        <v>0.99981260692844176</v>
      </c>
      <c r="AG38" s="799">
        <f t="shared" si="24"/>
        <v>-1</v>
      </c>
      <c r="AH38" s="176">
        <f t="shared" si="17"/>
        <v>5</v>
      </c>
      <c r="AI38" s="224">
        <f t="shared" si="18"/>
        <v>-1.8739307155827309E-4</v>
      </c>
      <c r="AJ38" s="264" t="b">
        <f t="shared" si="19"/>
        <v>1</v>
      </c>
      <c r="AK38" s="264" t="b">
        <f t="shared" si="20"/>
        <v>0</v>
      </c>
      <c r="AL38" s="264"/>
      <c r="AM38" s="264"/>
      <c r="AN38" s="75"/>
    </row>
    <row r="39" spans="1:40" s="6" customFormat="1" ht="11.25" x14ac:dyDescent="0.2">
      <c r="A39" s="56">
        <f t="shared" si="21"/>
        <v>44586</v>
      </c>
      <c r="B39" s="1147">
        <v>27.43</v>
      </c>
      <c r="C39" s="388"/>
      <c r="D39" s="391">
        <f t="shared" si="0"/>
        <v>28.020309051437561</v>
      </c>
      <c r="E39" s="383">
        <f t="shared" si="1"/>
        <v>30.052884613435612</v>
      </c>
      <c r="F39" s="383">
        <f t="shared" si="2"/>
        <v>30.431174944513202</v>
      </c>
      <c r="G39" s="110">
        <f t="shared" si="22"/>
        <v>0.91319157796474404</v>
      </c>
      <c r="H39" s="412" t="b">
        <f>Wh_hp&gt;='2021'!Maxi_hp</f>
        <v>1</v>
      </c>
      <c r="I39" s="379">
        <f>IF(H39,Wh_hp,'2021'!Maxi_hp)</f>
        <v>30.431174944513202</v>
      </c>
      <c r="J39" s="85">
        <f>IF(H39,An,'2021'!An_max)</f>
        <v>2022</v>
      </c>
      <c r="K39" s="197">
        <f t="shared" si="3"/>
        <v>44586</v>
      </c>
      <c r="L39" s="147">
        <f>IF(t&lt;Tvie,1-EXP((T0-t)*PertePVj)+'2021'!Pspv,1-EXP((T0-t)*PertePVj)+Pspv)</f>
        <v>2.1067185602910987E-2</v>
      </c>
      <c r="M39" s="832"/>
      <c r="N39" s="832"/>
      <c r="O39" s="48">
        <f>IF(t&lt;Tnet,'2021'!Resal+('2021'!Salim-'2021'!Resal)*(1-EXP(('2021'!Tnet-t)/('2021'!Tau_j))),Resal+(Salim-Resal)*(1-EXP((Tnet-t)/(Tau_j))))*Salcycl</f>
        <v>6.7633293380741075E-2</v>
      </c>
      <c r="P39" s="169">
        <f>(INDEX(Models!$BJ39:$BT39,,T39)*(1-R39)+INDEX(Models!$BJ39:$BT39,,T39+1)*R39-ERP_i)*Q39*Ramure*Pc/MaxiM</f>
        <v>1.4154008941893106E-2</v>
      </c>
      <c r="Q39" s="304">
        <f t="shared" si="4"/>
        <v>0.7</v>
      </c>
      <c r="R39" s="177">
        <f t="shared" si="5"/>
        <v>0.93554025989373613</v>
      </c>
      <c r="S39" s="799">
        <f t="shared" si="6"/>
        <v>-1</v>
      </c>
      <c r="T39" s="176">
        <f t="shared" si="7"/>
        <v>5</v>
      </c>
      <c r="U39" s="250">
        <f t="shared" si="8"/>
        <v>-6.4459740106263833E-2</v>
      </c>
      <c r="V39" s="382">
        <f t="shared" si="9"/>
        <v>29.985102770021967</v>
      </c>
      <c r="W39" s="400">
        <f t="shared" si="10"/>
        <v>0</v>
      </c>
      <c r="X39" s="157">
        <f t="shared" si="11"/>
        <v>44586</v>
      </c>
      <c r="Y39" s="383">
        <f t="shared" si="12"/>
        <v>27.409960216495641</v>
      </c>
      <c r="Z39" s="383">
        <f t="shared" si="13"/>
        <v>27.999838000503694</v>
      </c>
      <c r="AA39" s="384">
        <f t="shared" si="14"/>
        <v>30.03092860536654</v>
      </c>
      <c r="AB39" s="197">
        <f t="shared" si="15"/>
        <v>44586</v>
      </c>
      <c r="AC39" s="119">
        <f>IF(OR(t&lt;Tnet,NoTnet),'2021'!Resal_s+('2021'!Salim-'2021'!Resal_s)*(1-EXP(('2021'!Tnet_s-t)/'2021'!Tau_j)),Resal_s+(Salim-Resal_s)*(1-EXP((Tnet_s-t)/Tau_j)))*Salcycl</f>
        <v>6.7633293380741075E-2</v>
      </c>
      <c r="AD39" s="230">
        <f>(INDEX(Models!$BJ39:$BT39,,AH39)*(1-AF39)+INDEX(Models!$BJ39:$BT39,,AH39+1)*AF39-ERP_i)*AE39*Ramure*Pc/MaxiM</f>
        <v>1.4975509014741043E-2</v>
      </c>
      <c r="AE39" s="304">
        <f t="shared" si="16"/>
        <v>0.7</v>
      </c>
      <c r="AF39" s="177">
        <f t="shared" si="23"/>
        <v>0.99987248215356828</v>
      </c>
      <c r="AG39" s="799">
        <f t="shared" si="24"/>
        <v>-1</v>
      </c>
      <c r="AH39" s="176">
        <f t="shared" si="17"/>
        <v>5</v>
      </c>
      <c r="AI39" s="224">
        <f t="shared" si="18"/>
        <v>-1.2751784643168663E-4</v>
      </c>
      <c r="AJ39" s="264" t="b">
        <f t="shared" si="19"/>
        <v>1</v>
      </c>
      <c r="AK39" s="264" t="b">
        <f t="shared" si="20"/>
        <v>0</v>
      </c>
      <c r="AL39" s="264"/>
      <c r="AM39" s="264"/>
      <c r="AN39" s="75"/>
    </row>
    <row r="40" spans="1:40" s="6" customFormat="1" ht="11.25" x14ac:dyDescent="0.2">
      <c r="A40" s="56">
        <f t="shared" si="21"/>
        <v>44587</v>
      </c>
      <c r="B40" s="1147">
        <v>29.541</v>
      </c>
      <c r="C40" s="388"/>
      <c r="D40" s="391">
        <f t="shared" si="0"/>
        <v>30.177317301974529</v>
      </c>
      <c r="E40" s="383">
        <f t="shared" si="1"/>
        <v>32.373220840982462</v>
      </c>
      <c r="F40" s="383">
        <f t="shared" si="2"/>
        <v>32.823520357866578</v>
      </c>
      <c r="G40" s="110">
        <f t="shared" si="22"/>
        <v>0.97473545947445006</v>
      </c>
      <c r="H40" s="412" t="b">
        <f>Wh_hp&gt;='2021'!Maxi_hp</f>
        <v>1</v>
      </c>
      <c r="I40" s="379">
        <f>IF(H40,Wh_hp,'2021'!Maxi_hp)</f>
        <v>32.823520357866578</v>
      </c>
      <c r="J40" s="85">
        <f>IF(H40,An,'2021'!An_max)</f>
        <v>2022</v>
      </c>
      <c r="K40" s="197">
        <f t="shared" si="3"/>
        <v>44587</v>
      </c>
      <c r="L40" s="147">
        <f>IF(t&lt;Tvie,1-EXP((T0-t)*PertePVj)+'2021'!Pspv,1-EXP((T0-t)*PertePVj)+Pspv)</f>
        <v>2.1085946626968499E-2</v>
      </c>
      <c r="M40" s="832"/>
      <c r="N40" s="832"/>
      <c r="O40" s="48">
        <f>IF(t&lt;Tnet,'2021'!Resal+('2021'!Salim-'2021'!Resal)*(1-EXP(('2021'!Tnet-t)/('2021'!Tau_j))),Resal+(Salim-Resal)*(1-EXP((Tnet-t)/(Tau_j))))*Salcycl</f>
        <v>6.7830863966061014E-2</v>
      </c>
      <c r="P40" s="169">
        <f>(INDEX(Models!$BJ40:$BT40,,T40)*(1-R40)+INDEX(Models!$BJ40:$BT40,,T40+1)*R40-ERP_i)*Q40*Ramure*Pc/MaxiM</f>
        <v>1.4222000621209107E-2</v>
      </c>
      <c r="Q40" s="304">
        <f t="shared" si="4"/>
        <v>0.7</v>
      </c>
      <c r="R40" s="177">
        <f t="shared" si="5"/>
        <v>0.93560262790365034</v>
      </c>
      <c r="S40" s="799">
        <f t="shared" si="6"/>
        <v>-1</v>
      </c>
      <c r="T40" s="176">
        <f t="shared" si="7"/>
        <v>5</v>
      </c>
      <c r="U40" s="250">
        <f t="shared" si="8"/>
        <v>-6.43973720963497E-2</v>
      </c>
      <c r="V40" s="382">
        <f t="shared" si="9"/>
        <v>30.291222181274097</v>
      </c>
      <c r="W40" s="400">
        <f t="shared" si="10"/>
        <v>0</v>
      </c>
      <c r="X40" s="157">
        <f t="shared" si="11"/>
        <v>44587</v>
      </c>
      <c r="Y40" s="383">
        <f t="shared" si="12"/>
        <v>29.517108626004688</v>
      </c>
      <c r="Z40" s="383">
        <f t="shared" si="13"/>
        <v>30.152911304417348</v>
      </c>
      <c r="AA40" s="384">
        <f t="shared" si="14"/>
        <v>32.347038899729803</v>
      </c>
      <c r="AB40" s="197">
        <f t="shared" si="15"/>
        <v>44587</v>
      </c>
      <c r="AC40" s="119">
        <f>IF(OR(t&lt;Tnet,NoTnet),'2021'!Resal_s+('2021'!Salim-'2021'!Resal_s)*(1-EXP(('2021'!Tnet_s-t)/'2021'!Tau_j)),Resal_s+(Salim-Resal_s)*(1-EXP((Tnet_s-t)/Tau_j)))*Salcycl</f>
        <v>6.7830863966061014E-2</v>
      </c>
      <c r="AD40" s="230">
        <f>(INDEX(Models!$BJ40:$BT40,,AH40)*(1-AF40)+INDEX(Models!$BJ40:$BT40,,AH40+1)*AF40-ERP_i)*AE40*Ramure*Pc/MaxiM</f>
        <v>1.5048915975985276E-2</v>
      </c>
      <c r="AE40" s="304">
        <f t="shared" si="16"/>
        <v>0.7</v>
      </c>
      <c r="AF40" s="177">
        <f t="shared" si="23"/>
        <v>0.99993485016348249</v>
      </c>
      <c r="AG40" s="799">
        <f t="shared" si="24"/>
        <v>-1</v>
      </c>
      <c r="AH40" s="176">
        <f t="shared" si="17"/>
        <v>5</v>
      </c>
      <c r="AI40" s="224">
        <f t="shared" si="18"/>
        <v>-6.5149836517551648E-5</v>
      </c>
      <c r="AJ40" s="264" t="b">
        <f t="shared" si="19"/>
        <v>1</v>
      </c>
      <c r="AK40" s="264" t="b">
        <f t="shared" si="20"/>
        <v>0</v>
      </c>
      <c r="AL40" s="264"/>
      <c r="AM40" s="264"/>
      <c r="AN40" s="75"/>
    </row>
    <row r="41" spans="1:40" s="6" customFormat="1" ht="11.25" x14ac:dyDescent="0.2">
      <c r="A41" s="56">
        <f t="shared" si="21"/>
        <v>44588</v>
      </c>
      <c r="B41" s="1147">
        <v>29.331</v>
      </c>
      <c r="C41" s="388"/>
      <c r="D41" s="391">
        <f t="shared" si="0"/>
        <v>29.963368113502185</v>
      </c>
      <c r="E41" s="383">
        <f t="shared" si="1"/>
        <v>32.15050240364387</v>
      </c>
      <c r="F41" s="383">
        <f t="shared" si="2"/>
        <v>32.588540192320359</v>
      </c>
      <c r="G41" s="110">
        <f t="shared" si="22"/>
        <v>0.95767944019173967</v>
      </c>
      <c r="H41" s="412" t="b">
        <f>Wh_hp&gt;='2021'!Maxi_hp</f>
        <v>1</v>
      </c>
      <c r="I41" s="379">
        <f>IF(H41,Wh_hp,'2021'!Maxi_hp)</f>
        <v>32.588540192320359</v>
      </c>
      <c r="J41" s="85">
        <f>IF(H41,An,'2021'!An_max)</f>
        <v>2022</v>
      </c>
      <c r="K41" s="197">
        <f t="shared" si="3"/>
        <v>44588</v>
      </c>
      <c r="L41" s="147">
        <f>IF(t&lt;Tvie,1-EXP((T0-t)*PertePVj)+'2021'!Pspv,1-EXP((T0-t)*PertePVj)+Pspv)</f>
        <v>2.1104707291475178E-2</v>
      </c>
      <c r="M41" s="832"/>
      <c r="N41" s="832"/>
      <c r="O41" s="48">
        <f>IF(t&lt;Tnet,'2021'!Resal+('2021'!Salim-'2021'!Resal)*(1-EXP(('2021'!Tnet-t)/('2021'!Tau_j))),Resal+(Salim-Resal)*(1-EXP((Tnet-t)/(Tau_j))))*Salcycl</f>
        <v>6.8027997282362765E-2</v>
      </c>
      <c r="P41" s="169">
        <f>(INDEX(Models!$BJ41:$BT41,,T41)*(1-R41)+INDEX(Models!$BJ41:$BT41,,T41+1)*R41-ERP_i)*Q41*Ramure*Pc/MaxiM</f>
        <v>1.4288523196343824E-2</v>
      </c>
      <c r="Q41" s="304">
        <f t="shared" si="4"/>
        <v>0.7</v>
      </c>
      <c r="R41" s="177">
        <f t="shared" si="5"/>
        <v>0.93566759164910773</v>
      </c>
      <c r="S41" s="799">
        <f t="shared" si="6"/>
        <v>-1</v>
      </c>
      <c r="T41" s="176">
        <f t="shared" si="7"/>
        <v>5</v>
      </c>
      <c r="U41" s="250">
        <f t="shared" si="8"/>
        <v>-6.4332408350892309E-2</v>
      </c>
      <c r="V41" s="382">
        <f t="shared" si="9"/>
        <v>30.600862107412013</v>
      </c>
      <c r="W41" s="400">
        <f t="shared" si="10"/>
        <v>0</v>
      </c>
      <c r="X41" s="157">
        <f t="shared" si="11"/>
        <v>44588</v>
      </c>
      <c r="Y41" s="383">
        <f t="shared" si="12"/>
        <v>29.307718306438275</v>
      </c>
      <c r="Z41" s="383">
        <f t="shared" si="13"/>
        <v>29.939584473172985</v>
      </c>
      <c r="AA41" s="384">
        <f t="shared" si="14"/>
        <v>32.124982709640349</v>
      </c>
      <c r="AB41" s="197">
        <f t="shared" si="15"/>
        <v>44588</v>
      </c>
      <c r="AC41" s="119">
        <f>IF(OR(t&lt;Tnet,NoTnet),'2021'!Resal_s+('2021'!Salim-'2021'!Resal_s)*(1-EXP(('2021'!Tnet_s-t)/'2021'!Tau_j)),Resal_s+(Salim-Resal_s)*(1-EXP((Tnet_s-t)/Tau_j)))*Salcycl</f>
        <v>6.8027997282362765E-2</v>
      </c>
      <c r="AD41" s="230">
        <f>(INDEX(Models!$BJ41:$BT41,,AH41)*(1-AF41)+INDEX(Models!$BJ41:$BT41,,AH41+1)*AF41-ERP_i)*AE41*Ramure*Pc/MaxiM</f>
        <v>1.5120959915638388E-2</v>
      </c>
      <c r="AE41" s="304">
        <f t="shared" si="16"/>
        <v>0.7</v>
      </c>
      <c r="AF41" s="177">
        <f t="shared" si="23"/>
        <v>0.99999981390893988</v>
      </c>
      <c r="AG41" s="799">
        <f t="shared" si="24"/>
        <v>-1</v>
      </c>
      <c r="AH41" s="176">
        <f t="shared" si="17"/>
        <v>5</v>
      </c>
      <c r="AI41" s="224">
        <f t="shared" si="18"/>
        <v>-1.8609106015800465E-7</v>
      </c>
      <c r="AJ41" s="264" t="b">
        <f t="shared" si="19"/>
        <v>1</v>
      </c>
      <c r="AK41" s="264" t="b">
        <f t="shared" si="20"/>
        <v>0</v>
      </c>
      <c r="AL41" s="264"/>
      <c r="AM41" s="264"/>
      <c r="AN41" s="75"/>
    </row>
    <row r="42" spans="1:40" s="6" customFormat="1" ht="11.25" x14ac:dyDescent="0.2">
      <c r="A42" s="56">
        <f t="shared" si="21"/>
        <v>44589</v>
      </c>
      <c r="B42" s="1147">
        <v>4</v>
      </c>
      <c r="C42" s="388"/>
      <c r="D42" s="391">
        <f t="shared" si="0"/>
        <v>4.086317188724796</v>
      </c>
      <c r="E42" s="383">
        <f t="shared" si="1"/>
        <v>4.3855178092950222</v>
      </c>
      <c r="F42" s="383">
        <f t="shared" si="2"/>
        <v>4.3855178092950222</v>
      </c>
      <c r="G42" s="110">
        <f t="shared" si="22"/>
        <v>0.1275367221065179</v>
      </c>
      <c r="H42" s="412" t="b">
        <f>Wh_hp&gt;='2021'!Maxi_hp</f>
        <v>0</v>
      </c>
      <c r="I42" s="379">
        <f>IF(H42,Wh_hp,'2021'!Maxi_hp)</f>
        <v>18.718380052919283</v>
      </c>
      <c r="J42" s="85">
        <f>IF(H42,An,'2021'!An_max)</f>
        <v>2021</v>
      </c>
      <c r="K42" s="197">
        <f t="shared" si="3"/>
        <v>44589</v>
      </c>
      <c r="L42" s="147">
        <f>IF(t&lt;Tvie,1-EXP((T0-t)*PertePVj)+'2021'!Pspv,1-EXP((T0-t)*PertePVj)+Pspv)</f>
        <v>2.1123467596438017E-2</v>
      </c>
      <c r="M42" s="832"/>
      <c r="N42" s="832"/>
      <c r="O42" s="48">
        <f>IF(t&lt;Tnet,'2021'!Resal+('2021'!Salim-'2021'!Resal)*(1-EXP(('2021'!Tnet-t)/('2021'!Tau_j))),Resal+(Salim-Resal)*(1-EXP((Tnet-t)/(Tau_j))))*Salcycl</f>
        <v>6.8224696280123662E-2</v>
      </c>
      <c r="P42" s="169">
        <f>(INDEX(Models!$BJ42:$BT42,,T42)*(1-R42)+INDEX(Models!$BJ42:$BT42,,T42+1)*R42-ERP_i)*Q42*Ramure*Pc/MaxiM</f>
        <v>1.4353931999305151E-2</v>
      </c>
      <c r="Q42" s="304">
        <f t="shared" si="4"/>
        <v>0.7</v>
      </c>
      <c r="R42" s="177">
        <f t="shared" si="5"/>
        <v>0.9357352582617845</v>
      </c>
      <c r="S42" s="799">
        <f t="shared" si="6"/>
        <v>-1</v>
      </c>
      <c r="T42" s="176">
        <f t="shared" si="7"/>
        <v>5</v>
      </c>
      <c r="U42" s="250">
        <f t="shared" si="8"/>
        <v>-6.4264741738215544E-2</v>
      </c>
      <c r="V42" s="382">
        <f t="shared" si="9"/>
        <v>30.913326035696269</v>
      </c>
      <c r="W42" s="400">
        <f t="shared" si="10"/>
        <v>0</v>
      </c>
      <c r="X42" s="157">
        <f t="shared" si="11"/>
        <v>44589</v>
      </c>
      <c r="Y42" s="383">
        <f t="shared" si="12"/>
        <v>4</v>
      </c>
      <c r="Z42" s="383">
        <f t="shared" si="13"/>
        <v>4.086317188724796</v>
      </c>
      <c r="AA42" s="384">
        <f t="shared" si="14"/>
        <v>4.3855178092950222</v>
      </c>
      <c r="AB42" s="197">
        <f t="shared" si="15"/>
        <v>44589</v>
      </c>
      <c r="AC42" s="119">
        <f>IF(OR(t&lt;Tnet,NoTnet),'2021'!Resal_s+('2021'!Salim-'2021'!Resal_s)*(1-EXP(('2021'!Tnet_s-t)/'2021'!Tau_j)),Resal_s+(Salim-Resal_s)*(1-EXP((Tnet_s-t)/Tau_j)))*Salcycl</f>
        <v>6.8224696280123662E-2</v>
      </c>
      <c r="AD42" s="230">
        <f>(INDEX(Models!$BJ42:$BT42,,AH42)*(1-AF42)+INDEX(Models!$BJ42:$BT42,,AH42+1)*AF42-ERP_i)*AE42*Ramure*Pc/MaxiM</f>
        <v>1.5192151146185821E-2</v>
      </c>
      <c r="AE42" s="304">
        <f t="shared" si="16"/>
        <v>0.7</v>
      </c>
      <c r="AF42" s="177">
        <f t="shared" si="23"/>
        <v>6.748052161660383E-5</v>
      </c>
      <c r="AG42" s="799">
        <f t="shared" si="24"/>
        <v>0</v>
      </c>
      <c r="AH42" s="176">
        <f t="shared" si="17"/>
        <v>6</v>
      </c>
      <c r="AI42" s="224">
        <f t="shared" si="18"/>
        <v>6.748052161660383E-5</v>
      </c>
      <c r="AJ42" s="264" t="b">
        <f t="shared" si="19"/>
        <v>1</v>
      </c>
      <c r="AK42" s="264" t="b">
        <f t="shared" si="20"/>
        <v>0</v>
      </c>
      <c r="AL42" s="264"/>
      <c r="AM42" s="264"/>
      <c r="AN42" s="75"/>
    </row>
    <row r="43" spans="1:40" s="6" customFormat="1" ht="11.25" x14ac:dyDescent="0.2">
      <c r="A43" s="56">
        <f t="shared" si="21"/>
        <v>44590</v>
      </c>
      <c r="B43" s="1147">
        <v>6.1559999999999997</v>
      </c>
      <c r="C43" s="388"/>
      <c r="D43" s="391">
        <f t="shared" si="0"/>
        <v>6.2889626799824798</v>
      </c>
      <c r="E43" s="383">
        <f t="shared" si="1"/>
        <v>6.7508632458782074</v>
      </c>
      <c r="F43" s="383">
        <f t="shared" si="2"/>
        <v>6.7508632458782074</v>
      </c>
      <c r="G43" s="110">
        <f t="shared" si="22"/>
        <v>0.19428894470874278</v>
      </c>
      <c r="H43" s="412" t="b">
        <f>Wh_hp&gt;='2021'!Maxi_hp</f>
        <v>0</v>
      </c>
      <c r="I43" s="379">
        <f>IF(H43,Wh_hp,'2021'!Maxi_hp)</f>
        <v>27.689355662253256</v>
      </c>
      <c r="J43" s="85">
        <f>IF(H43,An,'2021'!An_max)</f>
        <v>2020</v>
      </c>
      <c r="K43" s="197">
        <f t="shared" si="3"/>
        <v>44590</v>
      </c>
      <c r="L43" s="147">
        <f>IF(t&lt;Tvie,1-EXP((T0-t)*PertePVj)+'2021'!Pspv,1-EXP((T0-t)*PertePVj)+Pspv)</f>
        <v>2.1142227541863901E-2</v>
      </c>
      <c r="M43" s="832"/>
      <c r="N43" s="832"/>
      <c r="O43" s="48">
        <f>IF(t&lt;Tnet,'2021'!Resal+('2021'!Salim-'2021'!Resal)*(1-EXP(('2021'!Tnet-t)/('2021'!Tau_j))),Resal+(Salim-Resal)*(1-EXP((Tnet-t)/(Tau_j))))*Salcycl</f>
        <v>6.8420963226850207E-2</v>
      </c>
      <c r="P43" s="169">
        <f>(INDEX(Models!$BJ43:$BT43,,T43)*(1-R43)+INDEX(Models!$BJ43:$BT43,,T43+1)*R43-ERP_i)*Q43*Ramure*Pc/MaxiM</f>
        <v>1.4418574718497008E-2</v>
      </c>
      <c r="Q43" s="304">
        <f t="shared" si="4"/>
        <v>0.7</v>
      </c>
      <c r="R43" s="177">
        <f t="shared" si="5"/>
        <v>0.93580573921801269</v>
      </c>
      <c r="S43" s="799">
        <f t="shared" si="6"/>
        <v>-1</v>
      </c>
      <c r="T43" s="176">
        <f t="shared" si="7"/>
        <v>5</v>
      </c>
      <c r="U43" s="250">
        <f t="shared" si="8"/>
        <v>-6.4194260781987325E-2</v>
      </c>
      <c r="V43" s="382">
        <f t="shared" si="9"/>
        <v>31.227918104801532</v>
      </c>
      <c r="W43" s="400">
        <f t="shared" si="10"/>
        <v>0</v>
      </c>
      <c r="X43" s="157">
        <f t="shared" si="11"/>
        <v>44590</v>
      </c>
      <c r="Y43" s="383">
        <f t="shared" si="12"/>
        <v>6.1559999999999997</v>
      </c>
      <c r="Z43" s="383">
        <f t="shared" si="13"/>
        <v>6.2889626799824798</v>
      </c>
      <c r="AA43" s="384">
        <f t="shared" si="14"/>
        <v>6.7508632458782074</v>
      </c>
      <c r="AB43" s="197">
        <f t="shared" si="15"/>
        <v>44590</v>
      </c>
      <c r="AC43" s="119">
        <f>IF(OR(t&lt;Tnet,NoTnet),'2021'!Resal_s+('2021'!Salim-'2021'!Resal_s)*(1-EXP(('2021'!Tnet_s-t)/'2021'!Tau_j)),Resal_s+(Salim-Resal_s)*(1-EXP((Tnet_s-t)/Tau_j)))*Salcycl</f>
        <v>6.8420963226850207E-2</v>
      </c>
      <c r="AD43" s="230">
        <f>(INDEX(Models!$BJ43:$BT43,,AH43)*(1-AF43)+INDEX(Models!$BJ43:$BT43,,AH43+1)*AF43-ERP_i)*AE43*Ramure*Pc/MaxiM</f>
        <v>1.5262709604561442E-2</v>
      </c>
      <c r="AE43" s="304">
        <f t="shared" si="16"/>
        <v>0.7</v>
      </c>
      <c r="AF43" s="177">
        <f t="shared" si="23"/>
        <v>1.3796147784482255E-4</v>
      </c>
      <c r="AG43" s="799">
        <f t="shared" si="24"/>
        <v>0</v>
      </c>
      <c r="AH43" s="176">
        <f t="shared" si="17"/>
        <v>6</v>
      </c>
      <c r="AI43" s="224">
        <f t="shared" si="18"/>
        <v>1.3796147784482255E-4</v>
      </c>
      <c r="AJ43" s="264" t="b">
        <f t="shared" si="19"/>
        <v>1</v>
      </c>
      <c r="AK43" s="264" t="b">
        <f t="shared" si="20"/>
        <v>0</v>
      </c>
      <c r="AL43" s="264"/>
      <c r="AM43" s="264"/>
      <c r="AN43" s="75"/>
    </row>
    <row r="44" spans="1:40" s="6" customFormat="1" ht="11.25" x14ac:dyDescent="0.2">
      <c r="A44" s="56">
        <f t="shared" si="21"/>
        <v>44591</v>
      </c>
      <c r="B44" s="1147">
        <v>5.55</v>
      </c>
      <c r="C44" s="388"/>
      <c r="D44" s="391">
        <f t="shared" si="0"/>
        <v>5.669982425112428</v>
      </c>
      <c r="E44" s="383">
        <f t="shared" si="1"/>
        <v>6.087700983937693</v>
      </c>
      <c r="F44" s="383">
        <f t="shared" si="2"/>
        <v>6.087700983937693</v>
      </c>
      <c r="G44" s="110">
        <f t="shared" si="22"/>
        <v>0.17339685435385241</v>
      </c>
      <c r="H44" s="412" t="b">
        <f>Wh_hp&gt;='2021'!Maxi_hp</f>
        <v>0</v>
      </c>
      <c r="I44" s="379">
        <f>IF(H44,Wh_hp,'2021'!Maxi_hp)</f>
        <v>10.667841852164717</v>
      </c>
      <c r="J44" s="85">
        <f>IF(H44,An,'2021'!An_max)</f>
        <v>2020</v>
      </c>
      <c r="K44" s="197">
        <f t="shared" si="3"/>
        <v>44591</v>
      </c>
      <c r="L44" s="147">
        <f>IF(t&lt;Tvie,1-EXP((T0-t)*PertePVj)+'2021'!Pspv,1-EXP((T0-t)*PertePVj)+Pspv)</f>
        <v>2.1160987127759712E-2</v>
      </c>
      <c r="M44" s="832"/>
      <c r="N44" s="832"/>
      <c r="O44" s="48">
        <f>IF(t&lt;Tnet,'2021'!Resal+('2021'!Salim-'2021'!Resal)*(1-EXP(('2021'!Tnet-t)/('2021'!Tau_j))),Resal+(Salim-Resal)*(1-EXP((Tnet-t)/(Tau_j))))*Salcycl</f>
        <v>6.8616799663355488E-2</v>
      </c>
      <c r="P44" s="169">
        <f>(INDEX(Models!$BJ44:$BT44,,T44)*(1-R44)+INDEX(Models!$BJ44:$BT44,,T44+1)*R44-ERP_i)*Q44*Ramure*Pc/MaxiM</f>
        <v>1.4456248093948777E-2</v>
      </c>
      <c r="Q44" s="304">
        <f t="shared" si="4"/>
        <v>0.7</v>
      </c>
      <c r="R44" s="177">
        <f t="shared" si="5"/>
        <v>0.93587915050840742</v>
      </c>
      <c r="S44" s="799">
        <f t="shared" si="6"/>
        <v>-1</v>
      </c>
      <c r="T44" s="176">
        <f t="shared" si="7"/>
        <v>5</v>
      </c>
      <c r="U44" s="250">
        <f t="shared" si="8"/>
        <v>-6.4120849491592552E-2</v>
      </c>
      <c r="V44" s="382">
        <f t="shared" si="9"/>
        <v>31.544792686471599</v>
      </c>
      <c r="W44" s="400">
        <f t="shared" si="10"/>
        <v>0</v>
      </c>
      <c r="X44" s="157">
        <f t="shared" si="11"/>
        <v>44591</v>
      </c>
      <c r="Y44" s="383">
        <f t="shared" si="12"/>
        <v>5.55</v>
      </c>
      <c r="Z44" s="383">
        <f t="shared" si="13"/>
        <v>5.669982425112428</v>
      </c>
      <c r="AA44" s="384">
        <f t="shared" si="14"/>
        <v>6.087700983937693</v>
      </c>
      <c r="AB44" s="197">
        <f t="shared" si="15"/>
        <v>44591</v>
      </c>
      <c r="AC44" s="119">
        <f>IF(OR(t&lt;Tnet,NoTnet),'2021'!Resal_s+('2021'!Salim-'2021'!Resal_s)*(1-EXP(('2021'!Tnet_s-t)/'2021'!Tau_j)),Resal_s+(Salim-Resal_s)*(1-EXP((Tnet_s-t)/Tau_j)))*Salcycl</f>
        <v>6.8616799663355488E-2</v>
      </c>
      <c r="AD44" s="230">
        <f>(INDEX(Models!$BJ44:$BT44,,AH44)*(1-AF44)+INDEX(Models!$BJ44:$BT44,,AH44+1)*AF44-ERP_i)*AE44*Ramure*Pc/MaxiM</f>
        <v>1.530489727353479E-2</v>
      </c>
      <c r="AE44" s="304">
        <f t="shared" si="16"/>
        <v>0.7</v>
      </c>
      <c r="AF44" s="177">
        <f t="shared" si="23"/>
        <v>2.1137276823959979E-4</v>
      </c>
      <c r="AG44" s="799">
        <f t="shared" si="24"/>
        <v>0</v>
      </c>
      <c r="AH44" s="176">
        <f t="shared" si="17"/>
        <v>6</v>
      </c>
      <c r="AI44" s="224">
        <f t="shared" si="18"/>
        <v>2.1137276823959979E-4</v>
      </c>
      <c r="AJ44" s="264" t="b">
        <f t="shared" si="19"/>
        <v>1</v>
      </c>
      <c r="AK44" s="264" t="b">
        <f t="shared" si="20"/>
        <v>0</v>
      </c>
      <c r="AL44" s="264"/>
      <c r="AM44" s="264"/>
      <c r="AN44" s="75"/>
    </row>
    <row r="45" spans="1:40" s="6" customFormat="1" ht="11.25" x14ac:dyDescent="0.2">
      <c r="A45" s="56">
        <f t="shared" si="21"/>
        <v>44592</v>
      </c>
      <c r="B45" s="1147">
        <v>6.9420000000000002</v>
      </c>
      <c r="C45" s="388"/>
      <c r="D45" s="391">
        <f t="shared" si="0"/>
        <v>7.09221123504825</v>
      </c>
      <c r="E45" s="383">
        <f t="shared" si="1"/>
        <v>7.6163060594066296</v>
      </c>
      <c r="F45" s="383">
        <f t="shared" si="2"/>
        <v>7.6163060594066296</v>
      </c>
      <c r="G45" s="110">
        <f t="shared" si="22"/>
        <v>0.21471637260202961</v>
      </c>
      <c r="H45" s="412" t="b">
        <f>Wh_hp&gt;='2021'!Maxi_hp</f>
        <v>0</v>
      </c>
      <c r="I45" s="379">
        <f>IF(H45,Wh_hp,'2021'!Maxi_hp)</f>
        <v>21.848733659114771</v>
      </c>
      <c r="J45" s="85">
        <f>IF(H45,An,'2021'!An_max)</f>
        <v>2020</v>
      </c>
      <c r="K45" s="197">
        <f t="shared" si="3"/>
        <v>44592</v>
      </c>
      <c r="L45" s="147">
        <f>IF(t&lt;Tvie,1-EXP((T0-t)*PertePVj)+'2021'!Pspv,1-EXP((T0-t)*PertePVj)+Pspv)</f>
        <v>2.1179746354132334E-2</v>
      </c>
      <c r="M45" s="832"/>
      <c r="N45" s="832"/>
      <c r="O45" s="48">
        <f>IF(t&lt;Tnet,'2021'!Resal+('2021'!Salim-'2021'!Resal)*(1-EXP(('2021'!Tnet-t)/('2021'!Tau_j))),Resal+(Salim-Resal)*(1-EXP((Tnet-t)/(Tau_j))))*Salcycl</f>
        <v>6.881220637281088E-2</v>
      </c>
      <c r="P45" s="169">
        <f>(INDEX(Models!$BJ45:$BT45,,T45)*(1-R45)+INDEX(Models!$BJ45:$BT45,,T45+1)*R45-ERP_i)*Q45*Ramure*Pc/MaxiM</f>
        <v>1.446314851668826E-2</v>
      </c>
      <c r="Q45" s="304">
        <f t="shared" si="4"/>
        <v>0.7</v>
      </c>
      <c r="R45" s="177">
        <f t="shared" si="5"/>
        <v>0.93595561281355155</v>
      </c>
      <c r="S45" s="799">
        <f t="shared" si="6"/>
        <v>-1</v>
      </c>
      <c r="T45" s="176">
        <f t="shared" si="7"/>
        <v>5</v>
      </c>
      <c r="U45" s="250">
        <f t="shared" si="8"/>
        <v>-6.4044387186448504E-2</v>
      </c>
      <c r="V45" s="382">
        <f t="shared" si="9"/>
        <v>31.863414699529432</v>
      </c>
      <c r="W45" s="400">
        <f t="shared" si="10"/>
        <v>0</v>
      </c>
      <c r="X45" s="157">
        <f t="shared" si="11"/>
        <v>44592</v>
      </c>
      <c r="Y45" s="383">
        <f t="shared" si="12"/>
        <v>6.9420000000000002</v>
      </c>
      <c r="Z45" s="383">
        <f t="shared" si="13"/>
        <v>7.09221123504825</v>
      </c>
      <c r="AA45" s="384">
        <f t="shared" si="14"/>
        <v>7.6163060594066296</v>
      </c>
      <c r="AB45" s="197">
        <f t="shared" si="15"/>
        <v>44592</v>
      </c>
      <c r="AC45" s="119">
        <f>IF(OR(t&lt;Tnet,NoTnet),'2021'!Resal_s+('2021'!Salim-'2021'!Resal_s)*(1-EXP(('2021'!Tnet_s-t)/'2021'!Tau_j)),Resal_s+(Salim-Resal_s)*(1-EXP((Tnet_s-t)/Tau_j)))*Salcycl</f>
        <v>6.881220637281088E-2</v>
      </c>
      <c r="AD45" s="230">
        <f>(INDEX(Models!$BJ45:$BT45,,AH45)*(1-AF45)+INDEX(Models!$BJ45:$BT45,,AH45+1)*AF45-ERP_i)*AE45*Ramure*Pc/MaxiM</f>
        <v>1.5314553778942515E-2</v>
      </c>
      <c r="AE45" s="304">
        <f t="shared" si="16"/>
        <v>0.7</v>
      </c>
      <c r="AF45" s="177">
        <f t="shared" si="23"/>
        <v>2.8783507338364807E-4</v>
      </c>
      <c r="AG45" s="799">
        <f t="shared" si="24"/>
        <v>0</v>
      </c>
      <c r="AH45" s="176">
        <f t="shared" si="17"/>
        <v>6</v>
      </c>
      <c r="AI45" s="224">
        <f t="shared" si="18"/>
        <v>2.8783507338364807E-4</v>
      </c>
      <c r="AJ45" s="264" t="b">
        <f t="shared" si="19"/>
        <v>1</v>
      </c>
      <c r="AK45" s="264" t="b">
        <f t="shared" si="20"/>
        <v>0</v>
      </c>
      <c r="AL45" s="264"/>
      <c r="AM45" s="264"/>
      <c r="AN45" s="75"/>
    </row>
    <row r="46" spans="1:40" s="6" customFormat="1" ht="11.25" x14ac:dyDescent="0.2">
      <c r="A46" s="56">
        <f t="shared" si="21"/>
        <v>44593</v>
      </c>
      <c r="B46" s="1147">
        <v>17.413</v>
      </c>
      <c r="C46" s="388"/>
      <c r="D46" s="391">
        <f t="shared" si="0"/>
        <v>17.790124037286454</v>
      </c>
      <c r="E46" s="383">
        <f t="shared" si="1"/>
        <v>19.108766168083701</v>
      </c>
      <c r="F46" s="383">
        <f t="shared" si="2"/>
        <v>19.204267390617314</v>
      </c>
      <c r="G46" s="110">
        <f t="shared" si="22"/>
        <v>0.5359123903586378</v>
      </c>
      <c r="H46" s="412" t="b">
        <f>Wh_hp&gt;='2021'!Maxi_hp</f>
        <v>1</v>
      </c>
      <c r="I46" s="379">
        <f>IF(H46,Wh_hp,'2021'!Maxi_hp)</f>
        <v>19.204267390617314</v>
      </c>
      <c r="J46" s="85">
        <f>IF(H46,An,'2021'!An_max)</f>
        <v>2022</v>
      </c>
      <c r="K46" s="197">
        <f t="shared" si="3"/>
        <v>44593</v>
      </c>
      <c r="L46" s="147">
        <f>IF(t&lt;Tvie,1-EXP((T0-t)*PertePVj)+'2021'!Pspv,1-EXP((T0-t)*PertePVj)+Pspv)</f>
        <v>2.1198505220988761E-2</v>
      </c>
      <c r="M46" s="832"/>
      <c r="N46" s="832"/>
      <c r="O46" s="48">
        <f>IF(t&lt;Tnet,'2021'!Resal+('2021'!Salim-'2021'!Resal)*(1-EXP(('2021'!Tnet-t)/('2021'!Tau_j))),Resal+(Salim-Resal)*(1-EXP((Tnet-t)/(Tau_j))))*Salcycl</f>
        <v>6.9007183362769953E-2</v>
      </c>
      <c r="P46" s="169">
        <f>(INDEX(Models!$BJ46:$BT46,,T46)*(1-R46)+INDEX(Models!$BJ46:$BT46,,T46+1)*R46-ERP_i)*Q46*Ramure*Pc/MaxiM</f>
        <v>1.4440528778837787E-2</v>
      </c>
      <c r="Q46" s="304">
        <f t="shared" si="4"/>
        <v>0.7</v>
      </c>
      <c r="R46" s="177">
        <f t="shared" si="5"/>
        <v>0.93603525168590385</v>
      </c>
      <c r="S46" s="799">
        <f t="shared" si="6"/>
        <v>-1</v>
      </c>
      <c r="T46" s="176">
        <f t="shared" si="7"/>
        <v>5</v>
      </c>
      <c r="U46" s="250">
        <f t="shared" si="8"/>
        <v>-6.3964748314096126E-2</v>
      </c>
      <c r="V46" s="382">
        <f t="shared" si="9"/>
        <v>32.183089720604208</v>
      </c>
      <c r="W46" s="400">
        <f t="shared" si="10"/>
        <v>0</v>
      </c>
      <c r="X46" s="157">
        <f t="shared" si="11"/>
        <v>44593</v>
      </c>
      <c r="Y46" s="383">
        <f t="shared" si="12"/>
        <v>17.40786248042204</v>
      </c>
      <c r="Z46" s="383">
        <f t="shared" si="13"/>
        <v>17.784875251291169</v>
      </c>
      <c r="AA46" s="384">
        <f t="shared" si="14"/>
        <v>19.103128330818485</v>
      </c>
      <c r="AB46" s="197">
        <f t="shared" si="15"/>
        <v>44593</v>
      </c>
      <c r="AC46" s="119">
        <f>IF(OR(t&lt;Tnet,NoTnet),'2021'!Resal_s+('2021'!Salim-'2021'!Resal_s)*(1-EXP(('2021'!Tnet_s-t)/'2021'!Tau_j)),Resal_s+(Salim-Resal_s)*(1-EXP((Tnet_s-t)/Tau_j)))*Salcycl</f>
        <v>6.9007183362769953E-2</v>
      </c>
      <c r="AD46" s="230">
        <f>(INDEX(Models!$BJ46:$BT46,,AH46)*(1-AF46)+INDEX(Models!$BJ46:$BT46,,AH46+1)*AF46-ERP_i)*AE46*Ramure*Pc/MaxiM</f>
        <v>1.5293013690746612E-2</v>
      </c>
      <c r="AE46" s="304">
        <f t="shared" si="16"/>
        <v>0.7</v>
      </c>
      <c r="AF46" s="177">
        <f t="shared" si="23"/>
        <v>3.6747394573602779E-4</v>
      </c>
      <c r="AG46" s="799">
        <f t="shared" si="24"/>
        <v>0</v>
      </c>
      <c r="AH46" s="176">
        <f t="shared" si="17"/>
        <v>6</v>
      </c>
      <c r="AI46" s="224">
        <f t="shared" si="18"/>
        <v>3.6747394573602779E-4</v>
      </c>
      <c r="AJ46" s="264" t="b">
        <f t="shared" si="19"/>
        <v>1</v>
      </c>
      <c r="AK46" s="264" t="b">
        <f t="shared" si="20"/>
        <v>0</v>
      </c>
      <c r="AL46" s="264"/>
      <c r="AM46" s="264"/>
      <c r="AN46" s="75"/>
    </row>
    <row r="47" spans="1:40" s="6" customFormat="1" ht="11.25" x14ac:dyDescent="0.2">
      <c r="A47" s="56">
        <f t="shared" si="21"/>
        <v>44594</v>
      </c>
      <c r="B47" s="1147">
        <v>6.391</v>
      </c>
      <c r="C47" s="388"/>
      <c r="D47" s="391">
        <f t="shared" si="0"/>
        <v>6.5295389499249987</v>
      </c>
      <c r="E47" s="383">
        <f t="shared" si="1"/>
        <v>7.0149882733929587</v>
      </c>
      <c r="F47" s="383">
        <f t="shared" si="2"/>
        <v>7.0149882733929587</v>
      </c>
      <c r="G47" s="110">
        <f t="shared" si="22"/>
        <v>0.1937978675149713</v>
      </c>
      <c r="H47" s="412" t="b">
        <f>Wh_hp&gt;='2021'!Maxi_hp</f>
        <v>0</v>
      </c>
      <c r="I47" s="379">
        <f>IF(H47,Wh_hp,'2021'!Maxi_hp)</f>
        <v>33.054204591173026</v>
      </c>
      <c r="J47" s="85">
        <f>IF(H47,An,'2021'!An_max)</f>
        <v>2021</v>
      </c>
      <c r="K47" s="197">
        <f t="shared" si="3"/>
        <v>44594</v>
      </c>
      <c r="L47" s="147">
        <f>IF(t&lt;Tvie,1-EXP((T0-t)*PertePVj)+'2021'!Pspv,1-EXP((T0-t)*PertePVj)+Pspv)</f>
        <v>2.1217263728335656E-2</v>
      </c>
      <c r="M47" s="832"/>
      <c r="N47" s="832"/>
      <c r="O47" s="48">
        <f>IF(t&lt;Tnet,'2021'!Resal+('2021'!Salim-'2021'!Resal)*(1-EXP(('2021'!Tnet-t)/('2021'!Tau_j))),Resal+(Salim-Resal)*(1-EXP((Tnet-t)/(Tau_j))))*Salcycl</f>
        <v>6.9201729860221287E-2</v>
      </c>
      <c r="P47" s="169">
        <f>(INDEX(Models!$BJ47:$BT47,,T47)*(1-R47)+INDEX(Models!$BJ47:$BT47,,T47+1)*R47-ERP_i)*Q47*Ramure*Pc/MaxiM</f>
        <v>1.4389592323033246E-2</v>
      </c>
      <c r="Q47" s="304">
        <f t="shared" si="4"/>
        <v>0.7</v>
      </c>
      <c r="R47" s="177">
        <f t="shared" si="5"/>
        <v>0.93611819773809979</v>
      </c>
      <c r="S47" s="799">
        <f t="shared" si="6"/>
        <v>-1</v>
      </c>
      <c r="T47" s="176">
        <f t="shared" si="7"/>
        <v>5</v>
      </c>
      <c r="U47" s="250">
        <f t="shared" si="8"/>
        <v>-6.3881802261900211E-2</v>
      </c>
      <c r="V47" s="382">
        <f t="shared" si="9"/>
        <v>32.503123982914211</v>
      </c>
      <c r="W47" s="400">
        <f t="shared" si="10"/>
        <v>0</v>
      </c>
      <c r="X47" s="157">
        <f t="shared" si="11"/>
        <v>44594</v>
      </c>
      <c r="Y47" s="383">
        <f t="shared" si="12"/>
        <v>6.391</v>
      </c>
      <c r="Z47" s="383">
        <f t="shared" si="13"/>
        <v>6.5295389499249987</v>
      </c>
      <c r="AA47" s="384">
        <f t="shared" si="14"/>
        <v>7.0149882733929587</v>
      </c>
      <c r="AB47" s="197">
        <f t="shared" si="15"/>
        <v>44594</v>
      </c>
      <c r="AC47" s="119">
        <f>IF(OR(t&lt;Tnet,NoTnet),'2021'!Resal_s+('2021'!Salim-'2021'!Resal_s)*(1-EXP(('2021'!Tnet_s-t)/'2021'!Tau_j)),Resal_s+(Salim-Resal_s)*(1-EXP((Tnet_s-t)/Tau_j)))*Salcycl</f>
        <v>6.9201729860221287E-2</v>
      </c>
      <c r="AD47" s="230">
        <f>(INDEX(Models!$BJ47:$BT47,,AH47)*(1-AF47)+INDEX(Models!$BJ47:$BT47,,AH47+1)*AF47-ERP_i)*AE47*Ramure*Pc/MaxiM</f>
        <v>1.5241560005344169E-2</v>
      </c>
      <c r="AE47" s="304">
        <f t="shared" si="16"/>
        <v>0.7</v>
      </c>
      <c r="AF47" s="177">
        <f t="shared" si="23"/>
        <v>4.5041999793193205E-4</v>
      </c>
      <c r="AG47" s="799">
        <f t="shared" si="24"/>
        <v>0</v>
      </c>
      <c r="AH47" s="176">
        <f t="shared" si="17"/>
        <v>6</v>
      </c>
      <c r="AI47" s="224">
        <f t="shared" si="18"/>
        <v>4.5041999793193205E-4</v>
      </c>
      <c r="AJ47" s="264" t="b">
        <f t="shared" si="19"/>
        <v>1</v>
      </c>
      <c r="AK47" s="264" t="b">
        <f t="shared" si="20"/>
        <v>0</v>
      </c>
      <c r="AL47" s="264"/>
      <c r="AM47" s="264"/>
      <c r="AN47" s="75"/>
    </row>
    <row r="48" spans="1:40" s="6" customFormat="1" ht="11.25" x14ac:dyDescent="0.2">
      <c r="A48" s="56">
        <f t="shared" si="21"/>
        <v>44595</v>
      </c>
      <c r="B48" s="1147">
        <v>15.096</v>
      </c>
      <c r="C48" s="388"/>
      <c r="D48" s="391">
        <f t="shared" si="0"/>
        <v>15.423534516398252</v>
      </c>
      <c r="E48" s="383">
        <f t="shared" si="1"/>
        <v>16.573678961406856</v>
      </c>
      <c r="F48" s="383">
        <f t="shared" si="2"/>
        <v>16.628046701955256</v>
      </c>
      <c r="G48" s="110">
        <f t="shared" si="22"/>
        <v>0.45482878873412824</v>
      </c>
      <c r="H48" s="412" t="b">
        <f>Wh_hp&gt;='2021'!Maxi_hp</f>
        <v>0</v>
      </c>
      <c r="I48" s="379">
        <f>IF(H48,Wh_hp,'2021'!Maxi_hp)</f>
        <v>27.412753039742405</v>
      </c>
      <c r="J48" s="85">
        <f>IF(H48,An,'2021'!An_max)</f>
        <v>2020</v>
      </c>
      <c r="K48" s="197">
        <f t="shared" si="3"/>
        <v>44595</v>
      </c>
      <c r="L48" s="147">
        <f>IF(t&lt;Tvie,1-EXP((T0-t)*PertePVj)+'2021'!Pspv,1-EXP((T0-t)*PertePVj)+Pspv)</f>
        <v>2.1236021876180122E-2</v>
      </c>
      <c r="M48" s="832"/>
      <c r="N48" s="832"/>
      <c r="O48" s="48">
        <f>IF(t&lt;Tnet,'2021'!Resal+('2021'!Salim-'2021'!Resal)*(1-EXP(('2021'!Tnet-t)/('2021'!Tau_j))),Resal+(Salim-Resal)*(1-EXP((Tnet-t)/(Tau_j))))*Salcycl</f>
        <v>6.9395844319587022E-2</v>
      </c>
      <c r="P48" s="169">
        <f>(INDEX(Models!$BJ48:$BT48,,T48)*(1-R48)+INDEX(Models!$BJ48:$BT48,,T48+1)*R48-ERP_i)*Q48*Ramure*Pc/MaxiM</f>
        <v>1.4311489381821687E-2</v>
      </c>
      <c r="Q48" s="304">
        <f t="shared" si="4"/>
        <v>0.7</v>
      </c>
      <c r="R48" s="177">
        <f t="shared" si="5"/>
        <v>0.93620458683780616</v>
      </c>
      <c r="S48" s="799">
        <f t="shared" si="6"/>
        <v>-1</v>
      </c>
      <c r="T48" s="176">
        <f t="shared" si="7"/>
        <v>5</v>
      </c>
      <c r="U48" s="250">
        <f t="shared" si="8"/>
        <v>-6.3795413162193837E-2</v>
      </c>
      <c r="V48" s="382">
        <f t="shared" si="9"/>
        <v>32.822824384178077</v>
      </c>
      <c r="W48" s="400">
        <f t="shared" si="10"/>
        <v>0</v>
      </c>
      <c r="X48" s="157">
        <f t="shared" si="11"/>
        <v>44595</v>
      </c>
      <c r="Y48" s="383">
        <f t="shared" si="12"/>
        <v>15.093059081843448</v>
      </c>
      <c r="Z48" s="383">
        <f t="shared" si="13"/>
        <v>15.42052978980197</v>
      </c>
      <c r="AA48" s="384">
        <f t="shared" si="14"/>
        <v>16.570450170112576</v>
      </c>
      <c r="AB48" s="197">
        <f t="shared" si="15"/>
        <v>44595</v>
      </c>
      <c r="AC48" s="119">
        <f>IF(OR(t&lt;Tnet,NoTnet),'2021'!Resal_s+('2021'!Salim-'2021'!Resal_s)*(1-EXP(('2021'!Tnet_s-t)/'2021'!Tau_j)),Resal_s+(Salim-Resal_s)*(1-EXP((Tnet_s-t)/Tau_j)))*Salcycl</f>
        <v>6.9395844319587022E-2</v>
      </c>
      <c r="AD48" s="230">
        <f>(INDEX(Models!$BJ48:$BT48,,AH48)*(1-AF48)+INDEX(Models!$BJ48:$BT48,,AH48+1)*AF48-ERP_i)*AE48*Ramure*Pc/MaxiM</f>
        <v>1.5161420091800111E-2</v>
      </c>
      <c r="AE48" s="304">
        <f t="shared" si="16"/>
        <v>0.7</v>
      </c>
      <c r="AF48" s="177">
        <f t="shared" si="23"/>
        <v>5.3680909763831894E-4</v>
      </c>
      <c r="AG48" s="799">
        <f t="shared" si="24"/>
        <v>0</v>
      </c>
      <c r="AH48" s="176">
        <f t="shared" si="17"/>
        <v>6</v>
      </c>
      <c r="AI48" s="224">
        <f t="shared" si="18"/>
        <v>5.3680909763831894E-4</v>
      </c>
      <c r="AJ48" s="264" t="b">
        <f t="shared" si="19"/>
        <v>1</v>
      </c>
      <c r="AK48" s="264" t="b">
        <f t="shared" si="20"/>
        <v>0</v>
      </c>
      <c r="AL48" s="264"/>
      <c r="AM48" s="264"/>
      <c r="AN48" s="75"/>
    </row>
    <row r="49" spans="1:40" s="6" customFormat="1" ht="11.25" x14ac:dyDescent="0.2">
      <c r="A49" s="56">
        <f t="shared" si="21"/>
        <v>44596</v>
      </c>
      <c r="B49" s="1147">
        <v>13.633000000000001</v>
      </c>
      <c r="C49" s="388"/>
      <c r="D49" s="391">
        <f t="shared" si="0"/>
        <v>13.92905908171608</v>
      </c>
      <c r="E49" s="383">
        <f t="shared" si="1"/>
        <v>14.970875164946955</v>
      </c>
      <c r="F49" s="383">
        <f t="shared" si="2"/>
        <v>15.004787898745249</v>
      </c>
      <c r="G49" s="110">
        <f t="shared" si="22"/>
        <v>0.4064316843248042</v>
      </c>
      <c r="H49" s="412" t="b">
        <f>Wh_hp&gt;='2021'!Maxi_hp</f>
        <v>0</v>
      </c>
      <c r="I49" s="379">
        <f>IF(H49,Wh_hp,'2021'!Maxi_hp)</f>
        <v>16.754733277342279</v>
      </c>
      <c r="J49" s="85">
        <f>IF(H49,An,'2021'!An_max)</f>
        <v>2020</v>
      </c>
      <c r="K49" s="197">
        <f t="shared" si="3"/>
        <v>44596</v>
      </c>
      <c r="L49" s="147">
        <f>IF(t&lt;Tvie,1-EXP((T0-t)*PertePVj)+'2021'!Pspv,1-EXP((T0-t)*PertePVj)+Pspv)</f>
        <v>2.1254779664528822E-2</v>
      </c>
      <c r="M49" s="832"/>
      <c r="N49" s="832"/>
      <c r="O49" s="48">
        <f>IF(t&lt;Tnet,'2021'!Resal+('2021'!Salim-'2021'!Resal)*(1-EXP(('2021'!Tnet-t)/('2021'!Tau_j))),Resal+(Salim-Resal)*(1-EXP((Tnet-t)/(Tau_j))))*Salcycl</f>
        <v>6.9589524443447362E-2</v>
      </c>
      <c r="P49" s="169">
        <f>(INDEX(Models!$BJ49:$BT49,,T49)*(1-R49)+INDEX(Models!$BJ49:$BT49,,T49+1)*R49-ERP_i)*Q49*Ramure*Pc/MaxiM</f>
        <v>1.4207313851897692E-2</v>
      </c>
      <c r="Q49" s="304">
        <f t="shared" si="4"/>
        <v>0.7</v>
      </c>
      <c r="R49" s="177">
        <f t="shared" si="5"/>
        <v>0.93629456030929892</v>
      </c>
      <c r="S49" s="799">
        <f t="shared" si="6"/>
        <v>-1</v>
      </c>
      <c r="T49" s="176">
        <f t="shared" si="7"/>
        <v>5</v>
      </c>
      <c r="U49" s="250">
        <f t="shared" si="8"/>
        <v>-6.3705439690701055E-2</v>
      </c>
      <c r="V49" s="382">
        <f t="shared" si="9"/>
        <v>33.141498494348561</v>
      </c>
      <c r="W49" s="400">
        <f t="shared" si="10"/>
        <v>0</v>
      </c>
      <c r="X49" s="157">
        <f t="shared" si="11"/>
        <v>44596</v>
      </c>
      <c r="Y49" s="383">
        <f t="shared" si="12"/>
        <v>13.631160093950241</v>
      </c>
      <c r="Z49" s="383">
        <f t="shared" si="13"/>
        <v>13.927179219611487</v>
      </c>
      <c r="AA49" s="384">
        <f t="shared" si="14"/>
        <v>14.968854699621188</v>
      </c>
      <c r="AB49" s="197">
        <f t="shared" si="15"/>
        <v>44596</v>
      </c>
      <c r="AC49" s="119">
        <f>IF(OR(t&lt;Tnet,NoTnet),'2021'!Resal_s+('2021'!Salim-'2021'!Resal_s)*(1-EXP(('2021'!Tnet_s-t)/'2021'!Tau_j)),Resal_s+(Salim-Resal_s)*(1-EXP((Tnet_s-t)/Tau_j)))*Salcycl</f>
        <v>6.9589524443447362E-2</v>
      </c>
      <c r="AD49" s="230">
        <f>(INDEX(Models!$BJ49:$BT49,,AH49)*(1-AF49)+INDEX(Models!$BJ49:$BT49,,AH49+1)*AF49-ERP_i)*AE49*Ramure*Pc/MaxiM</f>
        <v>1.5053762421358105E-2</v>
      </c>
      <c r="AE49" s="304">
        <f t="shared" si="16"/>
        <v>0.7</v>
      </c>
      <c r="AF49" s="177">
        <f t="shared" si="23"/>
        <v>6.2678256913109315E-4</v>
      </c>
      <c r="AG49" s="799">
        <f t="shared" si="24"/>
        <v>0</v>
      </c>
      <c r="AH49" s="176">
        <f t="shared" si="17"/>
        <v>6</v>
      </c>
      <c r="AI49" s="224">
        <f t="shared" si="18"/>
        <v>6.2678256913109315E-4</v>
      </c>
      <c r="AJ49" s="264" t="b">
        <f t="shared" si="19"/>
        <v>1</v>
      </c>
      <c r="AK49" s="264" t="b">
        <f t="shared" si="20"/>
        <v>0</v>
      </c>
      <c r="AL49" s="264"/>
      <c r="AM49" s="264"/>
      <c r="AN49" s="75"/>
    </row>
    <row r="50" spans="1:40" s="6" customFormat="1" ht="11.25" x14ac:dyDescent="0.2">
      <c r="A50" s="56">
        <f t="shared" si="21"/>
        <v>44597</v>
      </c>
      <c r="B50" s="1147">
        <v>10.013</v>
      </c>
      <c r="C50" s="388"/>
      <c r="D50" s="391">
        <f t="shared" si="0"/>
        <v>10.230641940817154</v>
      </c>
      <c r="E50" s="383">
        <f t="shared" si="1"/>
        <v>10.998121277751896</v>
      </c>
      <c r="F50" s="383">
        <f t="shared" si="2"/>
        <v>10.998121277751896</v>
      </c>
      <c r="G50" s="110">
        <f t="shared" si="22"/>
        <v>0.29505355540581879</v>
      </c>
      <c r="H50" s="412" t="b">
        <f>Wh_hp&gt;='2021'!Maxi_hp</f>
        <v>0</v>
      </c>
      <c r="I50" s="379">
        <f>IF(H50,Wh_hp,'2021'!Maxi_hp)</f>
        <v>35.887391837973411</v>
      </c>
      <c r="J50" s="85">
        <f>IF(H50,An,'2021'!An_max)</f>
        <v>2020</v>
      </c>
      <c r="K50" s="197">
        <f t="shared" si="3"/>
        <v>44597</v>
      </c>
      <c r="L50" s="147">
        <f>IF(t&lt;Tvie,1-EXP((T0-t)*PertePVj)+'2021'!Pspv,1-EXP((T0-t)*PertePVj)+Pspv)</f>
        <v>2.1273537093388972E-2</v>
      </c>
      <c r="M50" s="832"/>
      <c r="N50" s="832"/>
      <c r="O50" s="48">
        <f>IF(t&lt;Tnet,'2021'!Resal+('2021'!Salim-'2021'!Resal)*(1-EXP(('2021'!Tnet-t)/('2021'!Tau_j))),Resal+(Salim-Resal)*(1-EXP((Tnet-t)/(Tau_j))))*Salcycl</f>
        <v>6.9782767215640321E-2</v>
      </c>
      <c r="P50" s="169">
        <f>(INDEX(Models!$BJ50:$BT50,,T50)*(1-R50)+INDEX(Models!$BJ50:$BT50,,T50+1)*R50-ERP_i)*Q50*Ramure*Pc/MaxiM</f>
        <v>1.4078100812014533E-2</v>
      </c>
      <c r="Q50" s="304">
        <f t="shared" si="4"/>
        <v>0.7</v>
      </c>
      <c r="R50" s="177">
        <f t="shared" si="5"/>
        <v>0.93638826514192364</v>
      </c>
      <c r="S50" s="799">
        <f t="shared" si="6"/>
        <v>-1</v>
      </c>
      <c r="T50" s="176">
        <f t="shared" si="7"/>
        <v>5</v>
      </c>
      <c r="U50" s="250">
        <f t="shared" si="8"/>
        <v>-6.3611734858076377E-2</v>
      </c>
      <c r="V50" s="382">
        <f t="shared" si="9"/>
        <v>33.458454560871928</v>
      </c>
      <c r="W50" s="400">
        <f t="shared" si="10"/>
        <v>0</v>
      </c>
      <c r="X50" s="157">
        <f t="shared" si="11"/>
        <v>44597</v>
      </c>
      <c r="Y50" s="383">
        <f t="shared" si="12"/>
        <v>10.013</v>
      </c>
      <c r="Z50" s="383">
        <f t="shared" si="13"/>
        <v>10.230641940817154</v>
      </c>
      <c r="AA50" s="384">
        <f t="shared" si="14"/>
        <v>10.998121277751896</v>
      </c>
      <c r="AB50" s="197">
        <f t="shared" si="15"/>
        <v>44597</v>
      </c>
      <c r="AC50" s="119">
        <f>IF(OR(t&lt;Tnet,NoTnet),'2021'!Resal_s+('2021'!Salim-'2021'!Resal_s)*(1-EXP(('2021'!Tnet_s-t)/'2021'!Tau_j)),Resal_s+(Salim-Resal_s)*(1-EXP((Tnet_s-t)/Tau_j)))*Salcycl</f>
        <v>6.9782767215640321E-2</v>
      </c>
      <c r="AD50" s="230">
        <f>(INDEX(Models!$BJ50:$BT50,,AH50)*(1-AF50)+INDEX(Models!$BJ50:$BT50,,AH50+1)*AF50-ERP_i)*AE50*Ramure*Pc/MaxiM</f>
        <v>1.4919693984086768E-2</v>
      </c>
      <c r="AE50" s="304">
        <f t="shared" si="16"/>
        <v>0.7</v>
      </c>
      <c r="AF50" s="177">
        <f t="shared" si="23"/>
        <v>7.2048740175577265E-4</v>
      </c>
      <c r="AG50" s="799">
        <f t="shared" si="24"/>
        <v>0</v>
      </c>
      <c r="AH50" s="176">
        <f t="shared" si="17"/>
        <v>6</v>
      </c>
      <c r="AI50" s="224">
        <f t="shared" si="18"/>
        <v>7.2048740175577265E-4</v>
      </c>
      <c r="AJ50" s="264" t="b">
        <f t="shared" si="19"/>
        <v>1</v>
      </c>
      <c r="AK50" s="264" t="b">
        <f t="shared" si="20"/>
        <v>0</v>
      </c>
      <c r="AL50" s="264"/>
      <c r="AM50" s="264"/>
      <c r="AN50" s="75"/>
    </row>
    <row r="51" spans="1:40" s="6" customFormat="1" ht="11.25" x14ac:dyDescent="0.2">
      <c r="A51" s="56">
        <f t="shared" si="21"/>
        <v>44598</v>
      </c>
      <c r="B51" s="1147">
        <v>26.353000000000002</v>
      </c>
      <c r="C51" s="388"/>
      <c r="D51" s="391">
        <f t="shared" si="0"/>
        <v>26.926323194172053</v>
      </c>
      <c r="E51" s="383">
        <f t="shared" si="1"/>
        <v>28.952275117830872</v>
      </c>
      <c r="F51" s="383">
        <f t="shared" si="2"/>
        <v>29.231522072213981</v>
      </c>
      <c r="G51" s="110">
        <f t="shared" si="22"/>
        <v>0.77680943835486993</v>
      </c>
      <c r="H51" s="412" t="b">
        <f>Wh_hp&gt;='2021'!Maxi_hp</f>
        <v>0</v>
      </c>
      <c r="I51" s="379">
        <f>IF(H51,Wh_hp,'2021'!Maxi_hp)</f>
        <v>39.205696557026307</v>
      </c>
      <c r="J51" s="85">
        <f>IF(H51,An,'2021'!An_max)</f>
        <v>2020</v>
      </c>
      <c r="K51" s="197">
        <f t="shared" si="3"/>
        <v>44598</v>
      </c>
      <c r="L51" s="147">
        <f>IF(t&lt;Tvie,1-EXP((T0-t)*PertePVj)+'2021'!Pspv,1-EXP((T0-t)*PertePVj)+Pspv)</f>
        <v>2.1292294162767123E-2</v>
      </c>
      <c r="M51" s="832"/>
      <c r="N51" s="832"/>
      <c r="O51" s="48">
        <f>IF(t&lt;Tnet,'2021'!Resal+('2021'!Salim-'2021'!Resal)*(1-EXP(('2021'!Tnet-t)/('2021'!Tau_j))),Resal+(Salim-Resal)*(1-EXP((Tnet-t)/(Tau_j))))*Salcycl</f>
        <v>6.9975568946258573E-2</v>
      </c>
      <c r="P51" s="169">
        <f>(INDEX(Models!$BJ51:$BT51,,T51)*(1-R51)+INDEX(Models!$BJ51:$BT51,,T51+1)*R51-ERP_i)*Q51*Ramure*Pc/MaxiM</f>
        <v>1.3924033721877638E-2</v>
      </c>
      <c r="Q51" s="304">
        <f t="shared" si="4"/>
        <v>0.7</v>
      </c>
      <c r="R51" s="177">
        <f t="shared" si="5"/>
        <v>0.93648585420559893</v>
      </c>
      <c r="S51" s="799">
        <f t="shared" si="6"/>
        <v>-1</v>
      </c>
      <c r="T51" s="176">
        <f t="shared" si="7"/>
        <v>5</v>
      </c>
      <c r="U51" s="250">
        <f t="shared" si="8"/>
        <v>-6.3514145794401053E-2</v>
      </c>
      <c r="V51" s="382">
        <f t="shared" si="9"/>
        <v>33.774946880469706</v>
      </c>
      <c r="W51" s="400">
        <f t="shared" si="10"/>
        <v>0</v>
      </c>
      <c r="X51" s="157">
        <f t="shared" si="11"/>
        <v>44598</v>
      </c>
      <c r="Y51" s="383">
        <f t="shared" si="12"/>
        <v>26.337750413468722</v>
      </c>
      <c r="Z51" s="383">
        <f t="shared" si="13"/>
        <v>26.910741844970111</v>
      </c>
      <c r="AA51" s="384">
        <f t="shared" si="14"/>
        <v>28.935521419022887</v>
      </c>
      <c r="AB51" s="197">
        <f t="shared" si="15"/>
        <v>44598</v>
      </c>
      <c r="AC51" s="119">
        <f>IF(OR(t&lt;Tnet,NoTnet),'2021'!Resal_s+('2021'!Salim-'2021'!Resal_s)*(1-EXP(('2021'!Tnet_s-t)/'2021'!Tau_j)),Resal_s+(Salim-Resal_s)*(1-EXP((Tnet_s-t)/Tau_j)))*Salcycl</f>
        <v>6.9975568946258573E-2</v>
      </c>
      <c r="AD51" s="230">
        <f>(INDEX(Models!$BJ51:$BT51,,AH51)*(1-AF51)+INDEX(Models!$BJ51:$BT51,,AH51+1)*AF51-ERP_i)*AE51*Ramure*Pc/MaxiM</f>
        <v>1.4759419975897433E-2</v>
      </c>
      <c r="AE51" s="304">
        <f t="shared" si="16"/>
        <v>0.7</v>
      </c>
      <c r="AF51" s="177">
        <f t="shared" si="23"/>
        <v>8.1807646543109215E-4</v>
      </c>
      <c r="AG51" s="799">
        <f t="shared" si="24"/>
        <v>0</v>
      </c>
      <c r="AH51" s="176">
        <f t="shared" si="17"/>
        <v>6</v>
      </c>
      <c r="AI51" s="224">
        <f t="shared" si="18"/>
        <v>8.1807646543109215E-4</v>
      </c>
      <c r="AJ51" s="264" t="b">
        <f t="shared" si="19"/>
        <v>1</v>
      </c>
      <c r="AK51" s="264" t="b">
        <f t="shared" si="20"/>
        <v>0</v>
      </c>
      <c r="AL51" s="264"/>
      <c r="AM51" s="264"/>
      <c r="AN51" s="75"/>
    </row>
    <row r="52" spans="1:40" s="6" customFormat="1" ht="11.25" x14ac:dyDescent="0.2">
      <c r="A52" s="56">
        <f t="shared" si="21"/>
        <v>44599</v>
      </c>
      <c r="B52" s="1147">
        <v>11.899000000000001</v>
      </c>
      <c r="C52" s="388"/>
      <c r="D52" s="391">
        <f t="shared" si="0"/>
        <v>12.158101928718022</v>
      </c>
      <c r="E52" s="383">
        <f t="shared" si="1"/>
        <v>13.075588872330664</v>
      </c>
      <c r="F52" s="383">
        <f t="shared" si="2"/>
        <v>13.088162253897609</v>
      </c>
      <c r="G52" s="110">
        <f t="shared" si="22"/>
        <v>0.34455344750150069</v>
      </c>
      <c r="H52" s="412" t="b">
        <f>Wh_hp&gt;='2021'!Maxi_hp</f>
        <v>0</v>
      </c>
      <c r="I52" s="379">
        <f>IF(H52,Wh_hp,'2021'!Maxi_hp)</f>
        <v>26.902092201697947</v>
      </c>
      <c r="J52" s="85">
        <f>IF(H52,An,'2021'!An_max)</f>
        <v>2020</v>
      </c>
      <c r="K52" s="197">
        <f t="shared" si="3"/>
        <v>44599</v>
      </c>
      <c r="L52" s="147">
        <f>IF(t&lt;Tvie,1-EXP((T0-t)*PertePVj)+'2021'!Pspv,1-EXP((T0-t)*PertePVj)+Pspv)</f>
        <v>2.1311050872670378E-2</v>
      </c>
      <c r="M52" s="832"/>
      <c r="N52" s="832"/>
      <c r="O52" s="48">
        <f>IF(t&lt;Tnet,'2021'!Resal+('2021'!Salim-'2021'!Resal)*(1-EXP(('2021'!Tnet-t)/('2021'!Tau_j))),Resal+(Salim-Resal)*(1-EXP((Tnet-t)/(Tau_j))))*Salcycl</f>
        <v>7.0167925327947758E-2</v>
      </c>
      <c r="P52" s="169">
        <f>(INDEX(Models!$BJ52:$BT52,,T52)*(1-R52)+INDEX(Models!$BJ52:$BT52,,T52+1)*R52-ERP_i)*Q52*Ramure*Pc/MaxiM</f>
        <v>1.3720715634193493E-2</v>
      </c>
      <c r="Q52" s="304">
        <f t="shared" si="4"/>
        <v>0.7</v>
      </c>
      <c r="R52" s="177">
        <f t="shared" si="5"/>
        <v>0.93658748647352008</v>
      </c>
      <c r="S52" s="799">
        <f t="shared" si="6"/>
        <v>-1</v>
      </c>
      <c r="T52" s="176">
        <f t="shared" si="7"/>
        <v>5</v>
      </c>
      <c r="U52" s="250">
        <f t="shared" si="8"/>
        <v>-6.3412513526479891E-2</v>
      </c>
      <c r="V52" s="382">
        <f t="shared" si="9"/>
        <v>34.093468751458992</v>
      </c>
      <c r="W52" s="400">
        <f t="shared" si="10"/>
        <v>0</v>
      </c>
      <c r="X52" s="157">
        <f t="shared" si="11"/>
        <v>44599</v>
      </c>
      <c r="Y52" s="383">
        <f t="shared" si="12"/>
        <v>11.89831090259919</v>
      </c>
      <c r="Z52" s="383">
        <f t="shared" si="13"/>
        <v>12.1573978261516</v>
      </c>
      <c r="AA52" s="384">
        <f t="shared" si="14"/>
        <v>13.074831636066612</v>
      </c>
      <c r="AB52" s="197">
        <f t="shared" si="15"/>
        <v>44599</v>
      </c>
      <c r="AC52" s="119">
        <f>IF(OR(t&lt;Tnet,NoTnet),'2021'!Resal_s+('2021'!Salim-'2021'!Resal_s)*(1-EXP(('2021'!Tnet_s-t)/'2021'!Tau_j)),Resal_s+(Salim-Resal_s)*(1-EXP((Tnet_s-t)/Tau_j)))*Salcycl</f>
        <v>7.0167925327947758E-2</v>
      </c>
      <c r="AD52" s="230">
        <f>(INDEX(Models!$BJ52:$BT52,,AH52)*(1-AF52)+INDEX(Models!$BJ52:$BT52,,AH52+1)*AF52-ERP_i)*AE52*Ramure*Pc/MaxiM</f>
        <v>1.4547050490225467E-2</v>
      </c>
      <c r="AE52" s="304">
        <f t="shared" si="16"/>
        <v>0.7</v>
      </c>
      <c r="AF52" s="177">
        <f t="shared" si="23"/>
        <v>9.1970873335226562E-4</v>
      </c>
      <c r="AG52" s="799">
        <f t="shared" si="24"/>
        <v>0</v>
      </c>
      <c r="AH52" s="176">
        <f t="shared" si="17"/>
        <v>6</v>
      </c>
      <c r="AI52" s="224">
        <f t="shared" si="18"/>
        <v>9.1970873335226562E-4</v>
      </c>
      <c r="AJ52" s="264" t="b">
        <f t="shared" si="19"/>
        <v>1</v>
      </c>
      <c r="AK52" s="264" t="b">
        <f t="shared" si="20"/>
        <v>0</v>
      </c>
      <c r="AL52" s="264"/>
      <c r="AM52" s="264"/>
      <c r="AN52" s="75"/>
    </row>
    <row r="53" spans="1:40" s="6" customFormat="1" ht="11.25" x14ac:dyDescent="0.2">
      <c r="A53" s="56">
        <f t="shared" si="21"/>
        <v>44600</v>
      </c>
      <c r="B53" s="1147">
        <v>34.247</v>
      </c>
      <c r="C53" s="388"/>
      <c r="D53" s="391">
        <f t="shared" si="0"/>
        <v>34.993402530046424</v>
      </c>
      <c r="E53" s="383">
        <f t="shared" si="1"/>
        <v>37.641878778339141</v>
      </c>
      <c r="F53" s="383">
        <f t="shared" si="2"/>
        <v>38.152331128620446</v>
      </c>
      <c r="G53" s="110">
        <f t="shared" si="22"/>
        <v>0.99505860398648416</v>
      </c>
      <c r="H53" s="412" t="b">
        <f>Wh_hp&gt;='2021'!Maxi_hp</f>
        <v>1</v>
      </c>
      <c r="I53" s="379">
        <f>IF(H53,Wh_hp,'2021'!Maxi_hp)</f>
        <v>38.152331128620446</v>
      </c>
      <c r="J53" s="85">
        <f>IF(H53,An,'2021'!An_max)</f>
        <v>2022</v>
      </c>
      <c r="K53" s="197">
        <f t="shared" si="3"/>
        <v>44600</v>
      </c>
      <c r="L53" s="147">
        <f>IF(t&lt;Tvie,1-EXP((T0-t)*PertePVj)+'2021'!Pspv,1-EXP((T0-t)*PertePVj)+Pspv)</f>
        <v>2.1329807223105623E-2</v>
      </c>
      <c r="M53" s="832"/>
      <c r="N53" s="832"/>
      <c r="O53" s="48">
        <f>IF(t&lt;Tnet,'2021'!Resal+('2021'!Salim-'2021'!Resal)*(1-EXP(('2021'!Tnet-t)/('2021'!Tau_j))),Resal+(Salim-Resal)*(1-EXP((Tnet-t)/(Tau_j))))*Salcycl</f>
        <v>7.03598315027988E-2</v>
      </c>
      <c r="P53" s="169">
        <f>(INDEX(Models!$BJ53:$BT53,,T53)*(1-R53)+INDEX(Models!$BJ53:$BT53,,T53+1)*R53-ERP_i)*Q53*Ramure*Pc/MaxiM</f>
        <v>1.3472616639784749E-2</v>
      </c>
      <c r="Q53" s="304">
        <f t="shared" si="4"/>
        <v>0.7</v>
      </c>
      <c r="R53" s="177">
        <f t="shared" si="5"/>
        <v>0.9366933272522131</v>
      </c>
      <c r="S53" s="799">
        <f t="shared" si="6"/>
        <v>-1</v>
      </c>
      <c r="T53" s="176">
        <f t="shared" si="7"/>
        <v>5</v>
      </c>
      <c r="U53" s="250">
        <f t="shared" si="8"/>
        <v>-6.3306672747786868E-2</v>
      </c>
      <c r="V53" s="382">
        <f t="shared" si="9"/>
        <v>34.413813918547334</v>
      </c>
      <c r="W53" s="400">
        <f t="shared" si="10"/>
        <v>0</v>
      </c>
      <c r="X53" s="157">
        <f t="shared" si="11"/>
        <v>44600</v>
      </c>
      <c r="Y53" s="383">
        <f t="shared" si="12"/>
        <v>34.218918997782694</v>
      </c>
      <c r="Z53" s="383">
        <f t="shared" si="13"/>
        <v>34.964709511269973</v>
      </c>
      <c r="AA53" s="384">
        <f t="shared" si="14"/>
        <v>37.611014127962825</v>
      </c>
      <c r="AB53" s="197">
        <f t="shared" si="15"/>
        <v>44600</v>
      </c>
      <c r="AC53" s="119">
        <f>IF(OR(t&lt;Tnet,NoTnet),'2021'!Resal_s+('2021'!Salim-'2021'!Resal_s)*(1-EXP(('2021'!Tnet_s-t)/'2021'!Tau_j)),Resal_s+(Salim-Resal_s)*(1-EXP((Tnet_s-t)/Tau_j)))*Salcycl</f>
        <v>7.03598315027988E-2</v>
      </c>
      <c r="AD53" s="230">
        <f>(INDEX(Models!$BJ53:$BT53,,AH53)*(1-AF53)+INDEX(Models!$BJ53:$BT53,,AH53+1)*AF53-ERP_i)*AE53*Ramure*Pc/MaxiM</f>
        <v>1.4287242337975591E-2</v>
      </c>
      <c r="AE53" s="304">
        <f t="shared" si="16"/>
        <v>0.7</v>
      </c>
      <c r="AF53" s="177">
        <f t="shared" si="23"/>
        <v>1.0255495120452757E-3</v>
      </c>
      <c r="AG53" s="799">
        <f t="shared" si="24"/>
        <v>0</v>
      </c>
      <c r="AH53" s="176">
        <f t="shared" si="17"/>
        <v>6</v>
      </c>
      <c r="AI53" s="224">
        <f t="shared" si="18"/>
        <v>1.0255495120452757E-3</v>
      </c>
      <c r="AJ53" s="264" t="b">
        <f t="shared" si="19"/>
        <v>1</v>
      </c>
      <c r="AK53" s="264" t="b">
        <f t="shared" si="20"/>
        <v>0</v>
      </c>
      <c r="AL53" s="264"/>
      <c r="AM53" s="264"/>
      <c r="AN53" s="75"/>
    </row>
    <row r="54" spans="1:40" s="6" customFormat="1" ht="11.25" x14ac:dyDescent="0.2">
      <c r="A54" s="56">
        <f t="shared" si="21"/>
        <v>44601</v>
      </c>
      <c r="B54" s="1147">
        <v>34.869999999999997</v>
      </c>
      <c r="C54" s="388"/>
      <c r="D54" s="391">
        <f t="shared" si="0"/>
        <v>35.630663471480496</v>
      </c>
      <c r="E54" s="383">
        <f t="shared" si="1"/>
        <v>38.335265611512838</v>
      </c>
      <c r="F54" s="383">
        <f t="shared" si="2"/>
        <v>38.847312619802175</v>
      </c>
      <c r="G54" s="110">
        <f t="shared" si="22"/>
        <v>1.0038610536611314</v>
      </c>
      <c r="H54" s="412" t="b">
        <f>Wh_hp&gt;='2021'!Maxi_hp</f>
        <v>1</v>
      </c>
      <c r="I54" s="379">
        <f>IF(H54,Wh_hp,'2021'!Maxi_hp)</f>
        <v>38.847312619802175</v>
      </c>
      <c r="J54" s="85">
        <f>IF(H54,An,'2021'!An_max)</f>
        <v>2022</v>
      </c>
      <c r="K54" s="197">
        <f t="shared" si="3"/>
        <v>44601</v>
      </c>
      <c r="L54" s="147">
        <f>IF(t&lt;Tvie,1-EXP((T0-t)*PertePVj)+'2021'!Pspv,1-EXP((T0-t)*PertePVj)+Pspv)</f>
        <v>2.134856321407963E-2</v>
      </c>
      <c r="M54" s="832"/>
      <c r="N54" s="832"/>
      <c r="O54" s="48">
        <f>IF(t&lt;Tnet,'2021'!Resal+('2021'!Salim-'2021'!Resal)*(1-EXP(('2021'!Tnet-t)/('2021'!Tau_j))),Resal+(Salim-Resal)*(1-EXP((Tnet-t)/(Tau_j))))*Salcycl</f>
        <v>7.0551282139025923E-2</v>
      </c>
      <c r="P54" s="169">
        <f>(INDEX(Models!$BJ54:$BT54,,T54)*(1-R54)+INDEX(Models!$BJ54:$BT54,,T54+1)*R54-ERP_i)*Q54*Ramure*Pc/MaxiM</f>
        <v>1.3181014946921333E-2</v>
      </c>
      <c r="Q54" s="304">
        <f t="shared" si="4"/>
        <v>0.7</v>
      </c>
      <c r="R54" s="177">
        <f t="shared" si="5"/>
        <v>0.93680354841908597</v>
      </c>
      <c r="S54" s="799">
        <f t="shared" si="6"/>
        <v>-1</v>
      </c>
      <c r="T54" s="176">
        <f t="shared" si="7"/>
        <v>5</v>
      </c>
      <c r="U54" s="250">
        <f t="shared" si="8"/>
        <v>-6.319645158091397E-2</v>
      </c>
      <c r="V54" s="382">
        <f t="shared" si="9"/>
        <v>34.735882892186488</v>
      </c>
      <c r="W54" s="400">
        <f t="shared" si="10"/>
        <v>0</v>
      </c>
      <c r="X54" s="157">
        <f t="shared" si="11"/>
        <v>44601</v>
      </c>
      <c r="Y54" s="383">
        <f t="shared" si="12"/>
        <v>34.841719241883162</v>
      </c>
      <c r="Z54" s="383">
        <f t="shared" si="13"/>
        <v>35.60176578937039</v>
      </c>
      <c r="AA54" s="384">
        <f t="shared" si="14"/>
        <v>38.30417440491393</v>
      </c>
      <c r="AB54" s="197">
        <f t="shared" si="15"/>
        <v>44601</v>
      </c>
      <c r="AC54" s="119">
        <f>IF(OR(t&lt;Tnet,NoTnet),'2021'!Resal_s+('2021'!Salim-'2021'!Resal_s)*(1-EXP(('2021'!Tnet_s-t)/'2021'!Tau_j)),Resal_s+(Salim-Resal_s)*(1-EXP((Tnet_s-t)/Tau_j)))*Salcycl</f>
        <v>7.0551282139025923E-2</v>
      </c>
      <c r="AD54" s="230">
        <f>(INDEX(Models!$BJ54:$BT54,,AH54)*(1-AF54)+INDEX(Models!$BJ54:$BT54,,AH54+1)*AF54-ERP_i)*AE54*Ramure*Pc/MaxiM</f>
        <v>1.3981358767437238E-2</v>
      </c>
      <c r="AE54" s="304">
        <f t="shared" si="16"/>
        <v>0.7</v>
      </c>
      <c r="AF54" s="177">
        <f t="shared" si="23"/>
        <v>1.1357706789181816E-3</v>
      </c>
      <c r="AG54" s="799">
        <f t="shared" si="24"/>
        <v>0</v>
      </c>
      <c r="AH54" s="176">
        <f t="shared" si="17"/>
        <v>6</v>
      </c>
      <c r="AI54" s="224">
        <f t="shared" si="18"/>
        <v>1.1357706789181816E-3</v>
      </c>
      <c r="AJ54" s="264" t="b">
        <f t="shared" si="19"/>
        <v>1</v>
      </c>
      <c r="AK54" s="264" t="b">
        <f t="shared" si="20"/>
        <v>0</v>
      </c>
      <c r="AL54" s="264"/>
      <c r="AM54" s="264"/>
      <c r="AN54" s="75"/>
    </row>
    <row r="55" spans="1:40" s="6" customFormat="1" ht="11.25" x14ac:dyDescent="0.2">
      <c r="A55" s="56">
        <f t="shared" si="21"/>
        <v>44602</v>
      </c>
      <c r="B55" s="1147">
        <v>32.890999999999998</v>
      </c>
      <c r="C55" s="388"/>
      <c r="D55" s="391">
        <f t="shared" si="0"/>
        <v>33.609137149601004</v>
      </c>
      <c r="E55" s="383">
        <f t="shared" si="1"/>
        <v>36.167724108628619</v>
      </c>
      <c r="F55" s="383">
        <f t="shared" si="2"/>
        <v>36.596337758972943</v>
      </c>
      <c r="G55" s="110">
        <f t="shared" si="22"/>
        <v>0.93706834741176304</v>
      </c>
      <c r="H55" s="412" t="b">
        <f>Wh_hp&gt;='2021'!Maxi_hp</f>
        <v>1</v>
      </c>
      <c r="I55" s="379">
        <f>IF(H55,Wh_hp,'2021'!Maxi_hp)</f>
        <v>36.596337758972943</v>
      </c>
      <c r="J55" s="85">
        <f>IF(H55,An,'2021'!An_max)</f>
        <v>2022</v>
      </c>
      <c r="K55" s="197">
        <f t="shared" si="3"/>
        <v>44602</v>
      </c>
      <c r="L55" s="147">
        <f>IF(t&lt;Tvie,1-EXP((T0-t)*PertePVj)+'2021'!Pspv,1-EXP((T0-t)*PertePVj)+Pspv)</f>
        <v>2.1367318845599392E-2</v>
      </c>
      <c r="M55" s="832"/>
      <c r="N55" s="832"/>
      <c r="O55" s="48">
        <f>IF(t&lt;Tnet,'2021'!Resal+('2021'!Salim-'2021'!Resal)*(1-EXP(('2021'!Tnet-t)/('2021'!Tau_j))),Resal+(Salim-Resal)*(1-EXP((Tnet-t)/(Tau_j))))*Salcycl</f>
        <v>7.0742271516531674E-2</v>
      </c>
      <c r="P55" s="169">
        <f>(INDEX(Models!$BJ55:$BT55,,T55)*(1-R55)+INDEX(Models!$BJ55:$BT55,,T55+1)*R55-ERP_i)*Q55*Ramure*Pc/MaxiM</f>
        <v>1.2847137901175143E-2</v>
      </c>
      <c r="Q55" s="304">
        <f t="shared" si="4"/>
        <v>0.7</v>
      </c>
      <c r="R55" s="177">
        <f t="shared" si="5"/>
        <v>0.93691832866761604</v>
      </c>
      <c r="S55" s="799">
        <f t="shared" si="6"/>
        <v>-1</v>
      </c>
      <c r="T55" s="176">
        <f t="shared" si="7"/>
        <v>5</v>
      </c>
      <c r="U55" s="250">
        <f t="shared" si="8"/>
        <v>-6.308167133238396E-2</v>
      </c>
      <c r="V55" s="382">
        <f t="shared" si="9"/>
        <v>35.059576387219529</v>
      </c>
      <c r="W55" s="400">
        <f t="shared" si="10"/>
        <v>0</v>
      </c>
      <c r="X55" s="157">
        <f t="shared" si="11"/>
        <v>44602</v>
      </c>
      <c r="Y55" s="383">
        <f t="shared" si="12"/>
        <v>32.867226442066411</v>
      </c>
      <c r="Z55" s="383">
        <f t="shared" si="13"/>
        <v>33.584844523377299</v>
      </c>
      <c r="AA55" s="384">
        <f t="shared" si="14"/>
        <v>36.141582140174556</v>
      </c>
      <c r="AB55" s="197">
        <f t="shared" si="15"/>
        <v>44602</v>
      </c>
      <c r="AC55" s="119">
        <f>IF(OR(t&lt;Tnet,NoTnet),'2021'!Resal_s+('2021'!Salim-'2021'!Resal_s)*(1-EXP(('2021'!Tnet_s-t)/'2021'!Tau_j)),Resal_s+(Salim-Resal_s)*(1-EXP((Tnet_s-t)/Tau_j)))*Salcycl</f>
        <v>7.0742271516531674E-2</v>
      </c>
      <c r="AD55" s="230">
        <f>(INDEX(Models!$BJ55:$BT55,,AH55)*(1-AF55)+INDEX(Models!$BJ55:$BT55,,AH55+1)*AF55-ERP_i)*AE55*Ramure*Pc/MaxiM</f>
        <v>1.3630709477740078E-2</v>
      </c>
      <c r="AE55" s="304">
        <f t="shared" si="16"/>
        <v>0.7</v>
      </c>
      <c r="AF55" s="177">
        <f t="shared" si="23"/>
        <v>1.2505509274481873E-3</v>
      </c>
      <c r="AG55" s="799">
        <f t="shared" si="24"/>
        <v>0</v>
      </c>
      <c r="AH55" s="176">
        <f t="shared" si="17"/>
        <v>6</v>
      </c>
      <c r="AI55" s="224">
        <f t="shared" si="18"/>
        <v>1.2505509274481873E-3</v>
      </c>
      <c r="AJ55" s="264" t="b">
        <f t="shared" si="19"/>
        <v>1</v>
      </c>
      <c r="AK55" s="264" t="b">
        <f t="shared" si="20"/>
        <v>0</v>
      </c>
      <c r="AL55" s="264"/>
      <c r="AM55" s="264"/>
      <c r="AN55" s="75"/>
    </row>
    <row r="56" spans="1:40" s="6" customFormat="1" ht="11.25" x14ac:dyDescent="0.2">
      <c r="A56" s="56">
        <f t="shared" si="21"/>
        <v>44603</v>
      </c>
      <c r="B56" s="1147">
        <v>13.796000000000001</v>
      </c>
      <c r="C56" s="388"/>
      <c r="D56" s="391">
        <f t="shared" si="0"/>
        <v>14.097489965270407</v>
      </c>
      <c r="E56" s="383">
        <f t="shared" si="1"/>
        <v>15.173810751759655</v>
      </c>
      <c r="F56" s="383">
        <f t="shared" si="2"/>
        <v>15.198150807867231</v>
      </c>
      <c r="G56" s="110">
        <f t="shared" si="22"/>
        <v>0.38563987271597311</v>
      </c>
      <c r="H56" s="412" t="b">
        <f>Wh_hp&gt;='2021'!Maxi_hp</f>
        <v>0</v>
      </c>
      <c r="I56" s="379">
        <f>IF(H56,Wh_hp,'2021'!Maxi_hp)</f>
        <v>36.404215155133031</v>
      </c>
      <c r="J56" s="85">
        <f>IF(H56,An,'2021'!An_max)</f>
        <v>2021</v>
      </c>
      <c r="K56" s="197">
        <f t="shared" si="3"/>
        <v>44603</v>
      </c>
      <c r="L56" s="147">
        <f>IF(t&lt;Tvie,1-EXP((T0-t)*PertePVj)+'2021'!Pspv,1-EXP((T0-t)*PertePVj)+Pspv)</f>
        <v>2.1386074117671683E-2</v>
      </c>
      <c r="M56" s="832"/>
      <c r="N56" s="832"/>
      <c r="O56" s="48">
        <f>IF(t&lt;Tnet,'2021'!Resal+('2021'!Salim-'2021'!Resal)*(1-EXP(('2021'!Tnet-t)/('2021'!Tau_j))),Resal+(Salim-Resal)*(1-EXP((Tnet-t)/(Tau_j))))*Salcycl</f>
        <v>7.0932793620378562E-2</v>
      </c>
      <c r="P56" s="169">
        <f>(INDEX(Models!$BJ56:$BT56,,T56)*(1-R56)+INDEX(Models!$BJ56:$BT56,,T56+1)*R56-ERP_i)*Q56*Ramure*Pc/MaxiM</f>
        <v>1.247216274918142E-2</v>
      </c>
      <c r="Q56" s="304">
        <f t="shared" si="4"/>
        <v>0.7</v>
      </c>
      <c r="R56" s="177">
        <f t="shared" si="5"/>
        <v>0.93703785376030502</v>
      </c>
      <c r="S56" s="799">
        <f t="shared" si="6"/>
        <v>-1</v>
      </c>
      <c r="T56" s="176">
        <f t="shared" si="7"/>
        <v>5</v>
      </c>
      <c r="U56" s="250">
        <f t="shared" si="8"/>
        <v>-6.2962146239694997E-2</v>
      </c>
      <c r="V56" s="382">
        <f t="shared" si="9"/>
        <v>35.384795330944449</v>
      </c>
      <c r="W56" s="400">
        <f t="shared" si="10"/>
        <v>0</v>
      </c>
      <c r="X56" s="157">
        <f t="shared" si="11"/>
        <v>44603</v>
      </c>
      <c r="Y56" s="383">
        <f t="shared" si="12"/>
        <v>13.794643709912988</v>
      </c>
      <c r="Z56" s="383">
        <f t="shared" si="13"/>
        <v>14.096104035588494</v>
      </c>
      <c r="AA56" s="384">
        <f t="shared" si="14"/>
        <v>15.172319008565626</v>
      </c>
      <c r="AB56" s="197">
        <f t="shared" si="15"/>
        <v>44603</v>
      </c>
      <c r="AC56" s="119">
        <f>IF(OR(t&lt;Tnet,NoTnet),'2021'!Resal_s+('2021'!Salim-'2021'!Resal_s)*(1-EXP(('2021'!Tnet_s-t)/'2021'!Tau_j)),Resal_s+(Salim-Resal_s)*(1-EXP((Tnet_s-t)/Tau_j)))*Salcycl</f>
        <v>7.0932793620378562E-2</v>
      </c>
      <c r="AD56" s="230">
        <f>(INDEX(Models!$BJ56:$BT56,,AH56)*(1-AF56)+INDEX(Models!$BJ56:$BT56,,AH56+1)*AF56-ERP_i)*AE56*Ramure*Pc/MaxiM</f>
        <v>1.3236551451232564E-2</v>
      </c>
      <c r="AE56" s="304">
        <f t="shared" si="16"/>
        <v>0.7</v>
      </c>
      <c r="AF56" s="177">
        <f t="shared" si="23"/>
        <v>1.3700760201371519E-3</v>
      </c>
      <c r="AG56" s="799">
        <f t="shared" si="24"/>
        <v>0</v>
      </c>
      <c r="AH56" s="176">
        <f t="shared" si="17"/>
        <v>6</v>
      </c>
      <c r="AI56" s="224">
        <f t="shared" si="18"/>
        <v>1.3700760201371519E-3</v>
      </c>
      <c r="AJ56" s="264" t="b">
        <f t="shared" si="19"/>
        <v>1</v>
      </c>
      <c r="AK56" s="264" t="b">
        <f t="shared" si="20"/>
        <v>0</v>
      </c>
      <c r="AL56" s="264"/>
      <c r="AM56" s="264"/>
      <c r="AN56" s="75"/>
    </row>
    <row r="57" spans="1:40" s="6" customFormat="1" ht="11.25" x14ac:dyDescent="0.2">
      <c r="A57" s="56">
        <f t="shared" si="21"/>
        <v>44604</v>
      </c>
      <c r="B57" s="1147">
        <v>26.163</v>
      </c>
      <c r="C57" s="388"/>
      <c r="D57" s="391">
        <f t="shared" si="0"/>
        <v>26.735263749641138</v>
      </c>
      <c r="E57" s="383">
        <f t="shared" si="1"/>
        <v>28.782346003798658</v>
      </c>
      <c r="F57" s="383">
        <f t="shared" si="2"/>
        <v>28.998434960170048</v>
      </c>
      <c r="G57" s="110">
        <f t="shared" si="22"/>
        <v>0.72922295428992445</v>
      </c>
      <c r="H57" s="412" t="b">
        <f>Wh_hp&gt;='2021'!Maxi_hp</f>
        <v>1</v>
      </c>
      <c r="I57" s="379">
        <f>IF(H57,Wh_hp,'2021'!Maxi_hp)</f>
        <v>28.998434960170048</v>
      </c>
      <c r="J57" s="85">
        <f>IF(H57,An,'2021'!An_max)</f>
        <v>2022</v>
      </c>
      <c r="K57" s="197">
        <f t="shared" si="3"/>
        <v>44604</v>
      </c>
      <c r="L57" s="147">
        <f>IF(t&lt;Tvie,1-EXP((T0-t)*PertePVj)+'2021'!Pspv,1-EXP((T0-t)*PertePVj)+Pspv)</f>
        <v>2.1404829030303496E-2</v>
      </c>
      <c r="M57" s="832"/>
      <c r="N57" s="832"/>
      <c r="O57" s="48">
        <f>IF(t&lt;Tnet,'2021'!Resal+('2021'!Salim-'2021'!Resal)*(1-EXP(('2021'!Tnet-t)/('2021'!Tau_j))),Resal+(Salim-Resal)*(1-EXP((Tnet-t)/(Tau_j))))*Salcycl</f>
        <v>7.112284224112049E-2</v>
      </c>
      <c r="P57" s="169">
        <f>(INDEX(Models!$BJ57:$BT57,,T57)*(1-R57)+INDEX(Models!$BJ57:$BT57,,T57+1)*R57-ERP_i)*Q57*Ramure*Pc/MaxiM</f>
        <v>1.2057217430005993E-2</v>
      </c>
      <c r="Q57" s="304">
        <f t="shared" si="4"/>
        <v>0.7</v>
      </c>
      <c r="R57" s="177">
        <f t="shared" si="5"/>
        <v>0.93716231678952333</v>
      </c>
      <c r="S57" s="799">
        <f t="shared" si="6"/>
        <v>-1</v>
      </c>
      <c r="T57" s="176">
        <f t="shared" si="7"/>
        <v>5</v>
      </c>
      <c r="U57" s="250">
        <f t="shared" si="8"/>
        <v>-6.2837683210476725E-2</v>
      </c>
      <c r="V57" s="382">
        <f t="shared" si="9"/>
        <v>35.711440870054062</v>
      </c>
      <c r="W57" s="400">
        <f t="shared" si="10"/>
        <v>0</v>
      </c>
      <c r="X57" s="157">
        <f t="shared" si="11"/>
        <v>44604</v>
      </c>
      <c r="Y57" s="383">
        <f t="shared" si="12"/>
        <v>26.150897891385828</v>
      </c>
      <c r="Z57" s="383">
        <f t="shared" si="13"/>
        <v>26.722896931396797</v>
      </c>
      <c r="AA57" s="384">
        <f t="shared" si="14"/>
        <v>28.769032275345928</v>
      </c>
      <c r="AB57" s="197">
        <f t="shared" si="15"/>
        <v>44604</v>
      </c>
      <c r="AC57" s="119">
        <f>IF(OR(t&lt;Tnet,NoTnet),'2021'!Resal_s+('2021'!Salim-'2021'!Resal_s)*(1-EXP(('2021'!Tnet_s-t)/'2021'!Tau_j)),Resal_s+(Salim-Resal_s)*(1-EXP((Tnet_s-t)/Tau_j)))*Salcycl</f>
        <v>7.112284224112049E-2</v>
      </c>
      <c r="AD57" s="230">
        <f>(INDEX(Models!$BJ57:$BT57,,AH57)*(1-AF57)+INDEX(Models!$BJ57:$BT57,,AH57+1)*AF57-ERP_i)*AE57*Ramure*Pc/MaxiM</f>
        <v>1.2800089816703527E-2</v>
      </c>
      <c r="AE57" s="304">
        <f t="shared" si="16"/>
        <v>0.7</v>
      </c>
      <c r="AF57" s="177">
        <f t="shared" si="23"/>
        <v>1.4945390493554252E-3</v>
      </c>
      <c r="AG57" s="799">
        <f t="shared" si="24"/>
        <v>0</v>
      </c>
      <c r="AH57" s="176">
        <f t="shared" si="17"/>
        <v>6</v>
      </c>
      <c r="AI57" s="224">
        <f t="shared" si="18"/>
        <v>1.4945390493554252E-3</v>
      </c>
      <c r="AJ57" s="264" t="b">
        <f t="shared" si="19"/>
        <v>1</v>
      </c>
      <c r="AK57" s="264" t="b">
        <f t="shared" si="20"/>
        <v>0</v>
      </c>
      <c r="AL57" s="264"/>
      <c r="AM57" s="264"/>
      <c r="AN57" s="75"/>
    </row>
    <row r="58" spans="1:40" s="6" customFormat="1" ht="11.25" x14ac:dyDescent="0.2">
      <c r="A58" s="56">
        <f t="shared" si="21"/>
        <v>44605</v>
      </c>
      <c r="B58" s="1147">
        <v>33.11</v>
      </c>
      <c r="C58" s="388"/>
      <c r="D58" s="391">
        <f t="shared" si="0"/>
        <v>33.834864037749135</v>
      </c>
      <c r="E58" s="383">
        <f t="shared" si="1"/>
        <v>36.432988274484437</v>
      </c>
      <c r="F58" s="383">
        <f t="shared" si="2"/>
        <v>36.810381507352595</v>
      </c>
      <c r="G58" s="110">
        <f t="shared" si="22"/>
        <v>0.91746230745039359</v>
      </c>
      <c r="H58" s="412" t="b">
        <f>Wh_hp&gt;='2021'!Maxi_hp</f>
        <v>1</v>
      </c>
      <c r="I58" s="379">
        <f>IF(H58,Wh_hp,'2021'!Maxi_hp)</f>
        <v>36.810381507352595</v>
      </c>
      <c r="J58" s="85">
        <f>IF(H58,An,'2021'!An_max)</f>
        <v>2022</v>
      </c>
      <c r="K58" s="197">
        <f t="shared" si="3"/>
        <v>44605</v>
      </c>
      <c r="L58" s="147">
        <f>IF(t&lt;Tvie,1-EXP((T0-t)*PertePVj)+'2021'!Pspv,1-EXP((T0-t)*PertePVj)+Pspv)</f>
        <v>2.1423583583501715E-2</v>
      </c>
      <c r="M58" s="832"/>
      <c r="N58" s="832"/>
      <c r="O58" s="48">
        <f>IF(t&lt;Tnet,'2021'!Resal+('2021'!Salim-'2021'!Resal)*(1-EXP(('2021'!Tnet-t)/('2021'!Tau_j))),Resal+(Salim-Resal)*(1-EXP((Tnet-t)/(Tau_j))))*Salcycl</f>
        <v>7.131241108089062E-2</v>
      </c>
      <c r="P58" s="169">
        <f>(INDEX(Models!$BJ58:$BT58,,T58)*(1-R58)+INDEX(Models!$BJ58:$BT58,,T58+1)*R58-ERP_i)*Q58*Ramure*Pc/MaxiM</f>
        <v>1.159932898488605E-2</v>
      </c>
      <c r="Q58" s="304">
        <f t="shared" si="4"/>
        <v>0.7</v>
      </c>
      <c r="R58" s="177">
        <f t="shared" si="5"/>
        <v>0.93729191844635462</v>
      </c>
      <c r="S58" s="799">
        <f t="shared" si="6"/>
        <v>-1</v>
      </c>
      <c r="T58" s="176">
        <f t="shared" si="7"/>
        <v>5</v>
      </c>
      <c r="U58" s="250">
        <f t="shared" si="8"/>
        <v>-6.2708081553645378E-2</v>
      </c>
      <c r="V58" s="382">
        <f t="shared" si="9"/>
        <v>36.039562138326417</v>
      </c>
      <c r="W58" s="400">
        <f t="shared" si="10"/>
        <v>0</v>
      </c>
      <c r="X58" s="157">
        <f t="shared" si="11"/>
        <v>44605</v>
      </c>
      <c r="Y58" s="383">
        <f t="shared" si="12"/>
        <v>33.088752405938806</v>
      </c>
      <c r="Z58" s="383">
        <f t="shared" si="13"/>
        <v>33.813151278576989</v>
      </c>
      <c r="AA58" s="384">
        <f t="shared" si="14"/>
        <v>36.40960822781296</v>
      </c>
      <c r="AB58" s="197">
        <f t="shared" si="15"/>
        <v>44605</v>
      </c>
      <c r="AC58" s="119">
        <f>IF(OR(t&lt;Tnet,NoTnet),'2021'!Resal_s+('2021'!Salim-'2021'!Resal_s)*(1-EXP(('2021'!Tnet_s-t)/'2021'!Tau_j)),Resal_s+(Salim-Resal_s)*(1-EXP((Tnet_s-t)/Tau_j)))*Salcycl</f>
        <v>7.131241108089062E-2</v>
      </c>
      <c r="AD58" s="230">
        <f>(INDEX(Models!$BJ58:$BT58,,AH58)*(1-AF58)+INDEX(Models!$BJ58:$BT58,,AH58+1)*AF58-ERP_i)*AE58*Ramure*Pc/MaxiM</f>
        <v>1.2317923886451735E-2</v>
      </c>
      <c r="AE58" s="304">
        <f t="shared" si="16"/>
        <v>0.7</v>
      </c>
      <c r="AF58" s="177">
        <f t="shared" si="23"/>
        <v>1.624140706186771E-3</v>
      </c>
      <c r="AG58" s="799">
        <f t="shared" si="24"/>
        <v>0</v>
      </c>
      <c r="AH58" s="176">
        <f t="shared" si="17"/>
        <v>6</v>
      </c>
      <c r="AI58" s="224">
        <f t="shared" si="18"/>
        <v>1.624140706186771E-3</v>
      </c>
      <c r="AJ58" s="264" t="b">
        <f t="shared" si="19"/>
        <v>1</v>
      </c>
      <c r="AK58" s="264" t="b">
        <f t="shared" si="20"/>
        <v>0</v>
      </c>
      <c r="AL58" s="264"/>
      <c r="AM58" s="264"/>
      <c r="AN58" s="75"/>
    </row>
    <row r="59" spans="1:40" s="6" customFormat="1" ht="11.25" x14ac:dyDescent="0.2">
      <c r="A59" s="56">
        <f t="shared" si="21"/>
        <v>44606</v>
      </c>
      <c r="B59" s="1147">
        <v>15.764000000000001</v>
      </c>
      <c r="C59" s="388"/>
      <c r="D59" s="391">
        <f t="shared" si="0"/>
        <v>16.109423704468423</v>
      </c>
      <c r="E59" s="383">
        <f t="shared" si="1"/>
        <v>17.349972668788048</v>
      </c>
      <c r="F59" s="383">
        <f t="shared" si="2"/>
        <v>17.386842270084291</v>
      </c>
      <c r="G59" s="110">
        <f t="shared" si="22"/>
        <v>0.42954512872033745</v>
      </c>
      <c r="H59" s="412" t="b">
        <f>Wh_hp&gt;='2021'!Maxi_hp</f>
        <v>0</v>
      </c>
      <c r="I59" s="379">
        <f>IF(H59,Wh_hp,'2021'!Maxi_hp)</f>
        <v>33.094825571206165</v>
      </c>
      <c r="J59" s="85">
        <f>IF(H59,An,'2021'!An_max)</f>
        <v>2021</v>
      </c>
      <c r="K59" s="197">
        <f t="shared" si="3"/>
        <v>44606</v>
      </c>
      <c r="L59" s="147">
        <f>IF(t&lt;Tvie,1-EXP((T0-t)*PertePVj)+'2021'!Pspv,1-EXP((T0-t)*PertePVj)+Pspv)</f>
        <v>2.1442337777273113E-2</v>
      </c>
      <c r="M59" s="832"/>
      <c r="N59" s="832"/>
      <c r="O59" s="48">
        <f>IF(t&lt;Tnet,'2021'!Resal+('2021'!Salim-'2021'!Resal)*(1-EXP(('2021'!Tnet-t)/('2021'!Tau_j))),Resal+(Salim-Resal)*(1-EXP((Tnet-t)/(Tau_j))))*Salcycl</f>
        <v>7.1501493864098403E-2</v>
      </c>
      <c r="P59" s="169">
        <f>(INDEX(Models!$BJ59:$BT59,,T59)*(1-R59)+INDEX(Models!$BJ59:$BT59,,T59+1)*R59-ERP_i)*Q59*Ramure*Pc/MaxiM</f>
        <v>1.1122680680559046E-2</v>
      </c>
      <c r="Q59" s="304">
        <f t="shared" si="4"/>
        <v>0.7</v>
      </c>
      <c r="R59" s="177">
        <f t="shared" si="5"/>
        <v>0.93742686729753999</v>
      </c>
      <c r="S59" s="799">
        <f t="shared" si="6"/>
        <v>-1</v>
      </c>
      <c r="T59" s="176">
        <f t="shared" si="7"/>
        <v>5</v>
      </c>
      <c r="U59" s="250">
        <f t="shared" si="8"/>
        <v>-6.257313270246001E-2</v>
      </c>
      <c r="V59" s="382">
        <f t="shared" si="9"/>
        <v>36.36821311937657</v>
      </c>
      <c r="W59" s="400">
        <f t="shared" si="10"/>
        <v>0</v>
      </c>
      <c r="X59" s="157">
        <f t="shared" si="11"/>
        <v>44606</v>
      </c>
      <c r="Y59" s="383">
        <f t="shared" si="12"/>
        <v>15.761912987696844</v>
      </c>
      <c r="Z59" s="383">
        <f t="shared" si="13"/>
        <v>16.107290961162917</v>
      </c>
      <c r="AA59" s="384">
        <f t="shared" si="14"/>
        <v>17.347675687919029</v>
      </c>
      <c r="AB59" s="197">
        <f t="shared" si="15"/>
        <v>44606</v>
      </c>
      <c r="AC59" s="119">
        <f>IF(OR(t&lt;Tnet,NoTnet),'2021'!Resal_s+('2021'!Salim-'2021'!Resal_s)*(1-EXP(('2021'!Tnet_s-t)/'2021'!Tau_j)),Resal_s+(Salim-Resal_s)*(1-EXP((Tnet_s-t)/Tau_j)))*Salcycl</f>
        <v>7.1501493864098403E-2</v>
      </c>
      <c r="AD59" s="230">
        <f>(INDEX(Models!$BJ59:$BT59,,AH59)*(1-AF59)+INDEX(Models!$BJ59:$BT59,,AH59+1)*AF59-ERP_i)*AE59*Ramure*Pc/MaxiM</f>
        <v>1.1815625107328632E-2</v>
      </c>
      <c r="AE59" s="304">
        <f t="shared" si="16"/>
        <v>0.7</v>
      </c>
      <c r="AF59" s="177">
        <f t="shared" si="23"/>
        <v>1.7590895573721334E-3</v>
      </c>
      <c r="AG59" s="799">
        <f t="shared" si="24"/>
        <v>0</v>
      </c>
      <c r="AH59" s="176">
        <f t="shared" si="17"/>
        <v>6</v>
      </c>
      <c r="AI59" s="224">
        <f t="shared" si="18"/>
        <v>1.7590895573721334E-3</v>
      </c>
      <c r="AJ59" s="264" t="b">
        <f t="shared" si="19"/>
        <v>1</v>
      </c>
      <c r="AK59" s="264" t="b">
        <f t="shared" si="20"/>
        <v>0</v>
      </c>
      <c r="AL59" s="264"/>
      <c r="AM59" s="264"/>
      <c r="AN59" s="75"/>
    </row>
    <row r="60" spans="1:40" s="6" customFormat="1" ht="11.25" x14ac:dyDescent="0.2">
      <c r="A60" s="56">
        <f t="shared" si="21"/>
        <v>44607</v>
      </c>
      <c r="B60" s="1147">
        <v>20.831</v>
      </c>
      <c r="C60" s="388"/>
      <c r="D60" s="391">
        <f t="shared" si="0"/>
        <v>21.287860729327608</v>
      </c>
      <c r="E60" s="383">
        <f t="shared" si="1"/>
        <v>22.931846760196308</v>
      </c>
      <c r="F60" s="383">
        <f t="shared" si="2"/>
        <v>23.025410766207525</v>
      </c>
      <c r="G60" s="110">
        <f t="shared" si="22"/>
        <v>0.56390264174114257</v>
      </c>
      <c r="H60" s="412" t="b">
        <f>Wh_hp&gt;='2021'!Maxi_hp</f>
        <v>0</v>
      </c>
      <c r="I60" s="379">
        <f>IF(H60,Wh_hp,'2021'!Maxi_hp)</f>
        <v>40.783875694870723</v>
      </c>
      <c r="J60" s="85">
        <f>IF(H60,An,'2021'!An_max)</f>
        <v>2020</v>
      </c>
      <c r="K60" s="197">
        <f t="shared" si="3"/>
        <v>44607</v>
      </c>
      <c r="L60" s="147">
        <f>IF(t&lt;Tvie,1-EXP((T0-t)*PertePVj)+'2021'!Pspv,1-EXP((T0-t)*PertePVj)+Pspv)</f>
        <v>2.1461091611624794E-2</v>
      </c>
      <c r="M60" s="832"/>
      <c r="N60" s="832"/>
      <c r="O60" s="48">
        <f>IF(t&lt;Tnet,'2021'!Resal+('2021'!Salim-'2021'!Resal)*(1-EXP(('2021'!Tnet-t)/('2021'!Tau_j))),Resal+(Salim-Resal)*(1-EXP((Tnet-t)/(Tau_j))))*Salcycl</f>
        <v>7.1690084451559638E-2</v>
      </c>
      <c r="P60" s="169">
        <f>(INDEX(Models!$BJ60:$BT60,,T60)*(1-R60)+INDEX(Models!$BJ60:$BT60,,T60+1)*R60-ERP_i)*Q60*Ramure*Pc/MaxiM</f>
        <v>1.0627764997205563E-2</v>
      </c>
      <c r="Q60" s="304">
        <f t="shared" si="4"/>
        <v>0.7</v>
      </c>
      <c r="R60" s="177">
        <f t="shared" si="5"/>
        <v>0.93756738007060436</v>
      </c>
      <c r="S60" s="799">
        <f t="shared" si="6"/>
        <v>-1</v>
      </c>
      <c r="T60" s="176">
        <f t="shared" si="7"/>
        <v>5</v>
      </c>
      <c r="U60" s="250">
        <f t="shared" si="8"/>
        <v>-6.2432619929395666E-2</v>
      </c>
      <c r="V60" s="382">
        <f t="shared" si="9"/>
        <v>36.697295912788171</v>
      </c>
      <c r="W60" s="400">
        <f t="shared" si="10"/>
        <v>0</v>
      </c>
      <c r="X60" s="157">
        <f t="shared" si="11"/>
        <v>44607</v>
      </c>
      <c r="Y60" s="383">
        <f t="shared" si="12"/>
        <v>20.825674278040992</v>
      </c>
      <c r="Z60" s="383">
        <f t="shared" si="13"/>
        <v>21.282418204852238</v>
      </c>
      <c r="AA60" s="384">
        <f t="shared" si="14"/>
        <v>22.925983928846332</v>
      </c>
      <c r="AB60" s="197">
        <f t="shared" si="15"/>
        <v>44607</v>
      </c>
      <c r="AC60" s="119">
        <f>IF(OR(t&lt;Tnet,NoTnet),'2021'!Resal_s+('2021'!Salim-'2021'!Resal_s)*(1-EXP(('2021'!Tnet_s-t)/'2021'!Tau_j)),Resal_s+(Salim-Resal_s)*(1-EXP((Tnet_s-t)/Tau_j)))*Salcycl</f>
        <v>7.1690084451559638E-2</v>
      </c>
      <c r="AD60" s="230">
        <f>(INDEX(Models!$BJ60:$BT60,,AH60)*(1-AF60)+INDEX(Models!$BJ60:$BT60,,AH60+1)*AF60-ERP_i)*AE60*Ramure*Pc/MaxiM</f>
        <v>1.129371332992557E-2</v>
      </c>
      <c r="AE60" s="304">
        <f t="shared" si="16"/>
        <v>0.7</v>
      </c>
      <c r="AF60" s="177">
        <f t="shared" si="23"/>
        <v>1.8996023304364853E-3</v>
      </c>
      <c r="AG60" s="799">
        <f t="shared" si="24"/>
        <v>0</v>
      </c>
      <c r="AH60" s="176">
        <f t="shared" si="17"/>
        <v>6</v>
      </c>
      <c r="AI60" s="224">
        <f t="shared" si="18"/>
        <v>1.8996023304364853E-3</v>
      </c>
      <c r="AJ60" s="264" t="b">
        <f t="shared" si="19"/>
        <v>1</v>
      </c>
      <c r="AK60" s="264" t="b">
        <f t="shared" si="20"/>
        <v>0</v>
      </c>
      <c r="AL60" s="264"/>
      <c r="AM60" s="264"/>
      <c r="AN60" s="75"/>
    </row>
    <row r="61" spans="1:40" s="6" customFormat="1" ht="11.25" x14ac:dyDescent="0.2">
      <c r="A61" s="56">
        <f t="shared" si="21"/>
        <v>44608</v>
      </c>
      <c r="B61" s="1147">
        <v>8.8930000000000007</v>
      </c>
      <c r="C61" s="388"/>
      <c r="D61" s="391">
        <f t="shared" si="0"/>
        <v>9.0882134162956589</v>
      </c>
      <c r="E61" s="383">
        <f t="shared" si="1"/>
        <v>9.792047973289904</v>
      </c>
      <c r="F61" s="383">
        <f t="shared" si="2"/>
        <v>9.792047973289904</v>
      </c>
      <c r="G61" s="110">
        <f t="shared" si="22"/>
        <v>0.23774853903018558</v>
      </c>
      <c r="H61" s="412" t="b">
        <f>Wh_hp&gt;='2021'!Maxi_hp</f>
        <v>0</v>
      </c>
      <c r="I61" s="379">
        <f>IF(H61,Wh_hp,'2021'!Maxi_hp)</f>
        <v>34.426764095706375</v>
      </c>
      <c r="J61" s="85">
        <f>IF(H61,An,'2021'!An_max)</f>
        <v>2021</v>
      </c>
      <c r="K61" s="197">
        <f t="shared" si="3"/>
        <v>44608</v>
      </c>
      <c r="L61" s="147">
        <f>IF(t&lt;Tvie,1-EXP((T0-t)*PertePVj)+'2021'!Pspv,1-EXP((T0-t)*PertePVj)+Pspv)</f>
        <v>2.1479845086563421E-2</v>
      </c>
      <c r="M61" s="832"/>
      <c r="N61" s="832"/>
      <c r="O61" s="48">
        <f>IF(t&lt;Tnet,'2021'!Resal+('2021'!Salim-'2021'!Resal)*(1-EXP(('2021'!Tnet-t)/('2021'!Tau_j))),Resal+(Salim-Resal)*(1-EXP((Tnet-t)/(Tau_j))))*Salcycl</f>
        <v>7.1878176956865186E-2</v>
      </c>
      <c r="P61" s="169">
        <f>(INDEX(Models!$BJ61:$BT61,,T61)*(1-R61)+INDEX(Models!$BJ61:$BT61,,T61+1)*R61-ERP_i)*Q61*Ramure*Pc/MaxiM</f>
        <v>1.0115048033392872E-2</v>
      </c>
      <c r="Q61" s="304">
        <f t="shared" si="4"/>
        <v>0.7</v>
      </c>
      <c r="R61" s="177">
        <f t="shared" si="5"/>
        <v>0.93771368194723481</v>
      </c>
      <c r="S61" s="799">
        <f t="shared" si="6"/>
        <v>-1</v>
      </c>
      <c r="T61" s="176">
        <f t="shared" si="7"/>
        <v>5</v>
      </c>
      <c r="U61" s="250">
        <f t="shared" si="8"/>
        <v>-6.2286318052765202E-2</v>
      </c>
      <c r="V61" s="382">
        <f t="shared" si="9"/>
        <v>37.026712819132676</v>
      </c>
      <c r="W61" s="400">
        <f t="shared" si="10"/>
        <v>0</v>
      </c>
      <c r="X61" s="157">
        <f t="shared" si="11"/>
        <v>44608</v>
      </c>
      <c r="Y61" s="383">
        <f t="shared" si="12"/>
        <v>8.8930000000000007</v>
      </c>
      <c r="Z61" s="383">
        <f t="shared" si="13"/>
        <v>9.0882134162956589</v>
      </c>
      <c r="AA61" s="384">
        <f t="shared" si="14"/>
        <v>9.792047973289904</v>
      </c>
      <c r="AB61" s="197">
        <f t="shared" si="15"/>
        <v>44608</v>
      </c>
      <c r="AC61" s="119">
        <f>IF(OR(t&lt;Tnet,NoTnet),'2021'!Resal_s+('2021'!Salim-'2021'!Resal_s)*(1-EXP(('2021'!Tnet_s-t)/'2021'!Tau_j)),Resal_s+(Salim-Resal_s)*(1-EXP((Tnet_s-t)/Tau_j)))*Salcycl</f>
        <v>7.1878176956865186E-2</v>
      </c>
      <c r="AD61" s="230">
        <f>(INDEX(Models!$BJ61:$BT61,,AH61)*(1-AF61)+INDEX(Models!$BJ61:$BT61,,AH61+1)*AF61-ERP_i)*AE61*Ramure*Pc/MaxiM</f>
        <v>1.0752679608196437E-2</v>
      </c>
      <c r="AE61" s="304">
        <f t="shared" si="16"/>
        <v>0.7</v>
      </c>
      <c r="AF61" s="177">
        <f t="shared" si="23"/>
        <v>2.0459042070669481E-3</v>
      </c>
      <c r="AG61" s="799">
        <f t="shared" si="24"/>
        <v>0</v>
      </c>
      <c r="AH61" s="176">
        <f t="shared" si="17"/>
        <v>6</v>
      </c>
      <c r="AI61" s="224">
        <f t="shared" si="18"/>
        <v>2.0459042070669481E-3</v>
      </c>
      <c r="AJ61" s="264" t="b">
        <f t="shared" si="19"/>
        <v>1</v>
      </c>
      <c r="AK61" s="264" t="b">
        <f t="shared" si="20"/>
        <v>0</v>
      </c>
      <c r="AL61" s="264"/>
      <c r="AM61" s="264"/>
      <c r="AN61" s="75"/>
    </row>
    <row r="62" spans="1:40" s="6" customFormat="1" ht="11.25" x14ac:dyDescent="0.2">
      <c r="A62" s="56">
        <f t="shared" si="21"/>
        <v>44609</v>
      </c>
      <c r="B62" s="1147">
        <v>9.8119999999999994</v>
      </c>
      <c r="C62" s="388"/>
      <c r="D62" s="391">
        <f t="shared" si="0"/>
        <v>10.027578889484856</v>
      </c>
      <c r="E62" s="383">
        <f t="shared" si="1"/>
        <v>10.80634652823136</v>
      </c>
      <c r="F62" s="383">
        <f t="shared" si="2"/>
        <v>10.80634652823136</v>
      </c>
      <c r="G62" s="110">
        <f t="shared" si="22"/>
        <v>0.26014179712756463</v>
      </c>
      <c r="H62" s="412" t="b">
        <f>Wh_hp&gt;='2021'!Maxi_hp</f>
        <v>0</v>
      </c>
      <c r="I62" s="379">
        <f>IF(H62,Wh_hp,'2021'!Maxi_hp)</f>
        <v>38.684101035723138</v>
      </c>
      <c r="J62" s="85">
        <f>IF(H62,An,'2021'!An_max)</f>
        <v>2021</v>
      </c>
      <c r="K62" s="197">
        <f t="shared" si="3"/>
        <v>44609</v>
      </c>
      <c r="L62" s="147">
        <f>IF(t&lt;Tvie,1-EXP((T0-t)*PertePVj)+'2021'!Pspv,1-EXP((T0-t)*PertePVj)+Pspv)</f>
        <v>2.1498598202096098E-2</v>
      </c>
      <c r="M62" s="832"/>
      <c r="N62" s="832"/>
      <c r="O62" s="48">
        <f>IF(t&lt;Tnet,'2021'!Resal+('2021'!Salim-'2021'!Resal)*(1-EXP(('2021'!Tnet-t)/('2021'!Tau_j))),Resal+(Salim-Resal)*(1-EXP((Tnet-t)/(Tau_j))))*Salcycl</f>
        <v>7.2065765863790321E-2</v>
      </c>
      <c r="P62" s="169">
        <f>(INDEX(Models!$BJ62:$BT62,,T62)*(1-R62)+INDEX(Models!$BJ62:$BT62,,T62+1)*R62-ERP_i)*Q62*Ramure*Pc/MaxiM</f>
        <v>9.5849699771987703E-3</v>
      </c>
      <c r="Q62" s="304">
        <f t="shared" si="4"/>
        <v>0.7</v>
      </c>
      <c r="R62" s="177">
        <f t="shared" si="5"/>
        <v>0.93786600686495991</v>
      </c>
      <c r="S62" s="799">
        <f t="shared" si="6"/>
        <v>-1</v>
      </c>
      <c r="T62" s="176">
        <f t="shared" si="7"/>
        <v>5</v>
      </c>
      <c r="U62" s="250">
        <f t="shared" si="8"/>
        <v>-6.2133993135040137E-2</v>
      </c>
      <c r="V62" s="382">
        <f t="shared" si="9"/>
        <v>37.356366342846378</v>
      </c>
      <c r="W62" s="400">
        <f t="shared" si="10"/>
        <v>0</v>
      </c>
      <c r="X62" s="157">
        <f t="shared" si="11"/>
        <v>44609</v>
      </c>
      <c r="Y62" s="383">
        <f t="shared" si="12"/>
        <v>9.8119999999999994</v>
      </c>
      <c r="Z62" s="383">
        <f t="shared" si="13"/>
        <v>10.027578889484856</v>
      </c>
      <c r="AA62" s="384">
        <f t="shared" si="14"/>
        <v>10.80634652823136</v>
      </c>
      <c r="AB62" s="197">
        <f t="shared" si="15"/>
        <v>44609</v>
      </c>
      <c r="AC62" s="119">
        <f>IF(OR(t&lt;Tnet,NoTnet),'2021'!Resal_s+('2021'!Salim-'2021'!Resal_s)*(1-EXP(('2021'!Tnet_s-t)/'2021'!Tau_j)),Resal_s+(Salim-Resal_s)*(1-EXP((Tnet_s-t)/Tau_j)))*Salcycl</f>
        <v>7.2065765863790321E-2</v>
      </c>
      <c r="AD62" s="230">
        <f>(INDEX(Models!$BJ62:$BT62,,AH62)*(1-AF62)+INDEX(Models!$BJ62:$BT62,,AH62+1)*AF62-ERP_i)*AE62*Ramure*Pc/MaxiM</f>
        <v>1.0192986657652756E-2</v>
      </c>
      <c r="AE62" s="304">
        <f t="shared" si="16"/>
        <v>0.7</v>
      </c>
      <c r="AF62" s="177">
        <f t="shared" si="23"/>
        <v>2.198229124792016E-3</v>
      </c>
      <c r="AG62" s="799">
        <f t="shared" si="24"/>
        <v>0</v>
      </c>
      <c r="AH62" s="176">
        <f t="shared" si="17"/>
        <v>6</v>
      </c>
      <c r="AI62" s="224">
        <f t="shared" si="18"/>
        <v>2.198229124792016E-3</v>
      </c>
      <c r="AJ62" s="264" t="b">
        <f t="shared" si="19"/>
        <v>1</v>
      </c>
      <c r="AK62" s="264" t="b">
        <f t="shared" si="20"/>
        <v>0</v>
      </c>
      <c r="AL62" s="264"/>
      <c r="AM62" s="264"/>
      <c r="AN62" s="75"/>
    </row>
    <row r="63" spans="1:40" s="6" customFormat="1" ht="11.25" x14ac:dyDescent="0.2">
      <c r="A63" s="56">
        <f t="shared" si="21"/>
        <v>44610</v>
      </c>
      <c r="B63" s="1147">
        <v>32.688000000000002</v>
      </c>
      <c r="C63" s="388"/>
      <c r="D63" s="391">
        <f t="shared" si="0"/>
        <v>33.406826408226458</v>
      </c>
      <c r="E63" s="383">
        <f t="shared" si="1"/>
        <v>36.008546368869474</v>
      </c>
      <c r="F63" s="383">
        <f t="shared" si="2"/>
        <v>36.274275992109793</v>
      </c>
      <c r="G63" s="110">
        <f t="shared" si="22"/>
        <v>0.86587790800680364</v>
      </c>
      <c r="H63" s="412" t="b">
        <f>Wh_hp&gt;='2021'!Maxi_hp</f>
        <v>0</v>
      </c>
      <c r="I63" s="379">
        <f>IF(H63,Wh_hp,'2021'!Maxi_hp)</f>
        <v>38.693234723420318</v>
      </c>
      <c r="J63" s="85">
        <f>IF(H63,An,'2021'!An_max)</f>
        <v>2020</v>
      </c>
      <c r="K63" s="197">
        <f t="shared" si="3"/>
        <v>44610</v>
      </c>
      <c r="L63" s="147">
        <f>IF(t&lt;Tvie,1-EXP((T0-t)*PertePVj)+'2021'!Pspv,1-EXP((T0-t)*PertePVj)+Pspv)</f>
        <v>2.1517350958229486E-2</v>
      </c>
      <c r="M63" s="832"/>
      <c r="N63" s="832"/>
      <c r="O63" s="48">
        <f>IF(t&lt;Tnet,'2021'!Resal+('2021'!Salim-'2021'!Resal)*(1-EXP(('2021'!Tnet-t)/('2021'!Tau_j))),Resal+(Salim-Resal)*(1-EXP((Tnet-t)/(Tau_j))))*Salcycl</f>
        <v>7.2252846143555802E-2</v>
      </c>
      <c r="P63" s="169">
        <f>(INDEX(Models!$BJ63:$BT63,,T63)*(1-R63)+INDEX(Models!$BJ63:$BT63,,T63+1)*R63-ERP_i)*Q63*Ramure*Pc/MaxiM</f>
        <v>9.0379455339314359E-3</v>
      </c>
      <c r="Q63" s="304">
        <f t="shared" si="4"/>
        <v>0.7</v>
      </c>
      <c r="R63" s="177">
        <f t="shared" si="5"/>
        <v>0.93802459782715852</v>
      </c>
      <c r="S63" s="799">
        <f t="shared" si="6"/>
        <v>-1</v>
      </c>
      <c r="T63" s="176">
        <f t="shared" si="7"/>
        <v>5</v>
      </c>
      <c r="U63" s="250">
        <f t="shared" si="8"/>
        <v>-6.1975402172841518E-2</v>
      </c>
      <c r="V63" s="382">
        <f t="shared" si="9"/>
        <v>37.686159197943169</v>
      </c>
      <c r="W63" s="400">
        <f t="shared" si="10"/>
        <v>0</v>
      </c>
      <c r="X63" s="157">
        <f t="shared" si="11"/>
        <v>44610</v>
      </c>
      <c r="Y63" s="383">
        <f t="shared" si="12"/>
        <v>32.672596410221452</v>
      </c>
      <c r="Z63" s="383">
        <f t="shared" si="13"/>
        <v>33.391084085361939</v>
      </c>
      <c r="AA63" s="384">
        <f t="shared" si="14"/>
        <v>35.991578035634411</v>
      </c>
      <c r="AB63" s="197">
        <f t="shared" si="15"/>
        <v>44610</v>
      </c>
      <c r="AC63" s="119">
        <f>IF(OR(t&lt;Tnet,NoTnet),'2021'!Resal_s+('2021'!Salim-'2021'!Resal_s)*(1-EXP(('2021'!Tnet_s-t)/'2021'!Tau_j)),Resal_s+(Salim-Resal_s)*(1-EXP((Tnet_s-t)/Tau_j)))*Salcycl</f>
        <v>7.2252846143555802E-2</v>
      </c>
      <c r="AD63" s="230">
        <f>(INDEX(Models!$BJ63:$BT63,,AH63)*(1-AF63)+INDEX(Models!$BJ63:$BT63,,AH63+1)*AF63-ERP_i)*AE63*Ramure*Pc/MaxiM</f>
        <v>9.6150692648502897E-3</v>
      </c>
      <c r="AE63" s="304">
        <f t="shared" si="16"/>
        <v>0.7</v>
      </c>
      <c r="AF63" s="177">
        <f t="shared" si="23"/>
        <v>2.3568200869906334E-3</v>
      </c>
      <c r="AG63" s="799">
        <f t="shared" si="24"/>
        <v>0</v>
      </c>
      <c r="AH63" s="176">
        <f t="shared" si="17"/>
        <v>6</v>
      </c>
      <c r="AI63" s="224">
        <f t="shared" si="18"/>
        <v>2.3568200869906334E-3</v>
      </c>
      <c r="AJ63" s="264" t="b">
        <f t="shared" si="19"/>
        <v>1</v>
      </c>
      <c r="AK63" s="264" t="b">
        <f t="shared" si="20"/>
        <v>0</v>
      </c>
      <c r="AL63" s="264"/>
      <c r="AM63" s="264"/>
      <c r="AN63" s="75"/>
    </row>
    <row r="64" spans="1:40" s="6" customFormat="1" ht="11.25" x14ac:dyDescent="0.2">
      <c r="A64" s="56">
        <f t="shared" si="21"/>
        <v>44611</v>
      </c>
      <c r="B64" s="1147">
        <v>14.984</v>
      </c>
      <c r="C64" s="388"/>
      <c r="D64" s="391">
        <f t="shared" si="0"/>
        <v>15.313799570303358</v>
      </c>
      <c r="E64" s="383">
        <f t="shared" si="1"/>
        <v>16.509756657464269</v>
      </c>
      <c r="F64" s="383">
        <f t="shared" si="2"/>
        <v>16.528595962301601</v>
      </c>
      <c r="G64" s="110">
        <f t="shared" si="22"/>
        <v>0.39125567433528968</v>
      </c>
      <c r="H64" s="412" t="b">
        <f>Wh_hp&gt;='2021'!Maxi_hp</f>
        <v>0</v>
      </c>
      <c r="I64" s="379">
        <f>IF(H64,Wh_hp,'2021'!Maxi_hp)</f>
        <v>39.852198656392886</v>
      </c>
      <c r="J64" s="85">
        <f>IF(H64,An,'2021'!An_max)</f>
        <v>2021</v>
      </c>
      <c r="K64" s="197">
        <f t="shared" si="3"/>
        <v>44611</v>
      </c>
      <c r="L64" s="147">
        <f>IF(t&lt;Tvie,1-EXP((T0-t)*PertePVj)+'2021'!Pspv,1-EXP((T0-t)*PertePVj)+Pspv)</f>
        <v>2.1536103354970582E-2</v>
      </c>
      <c r="M64" s="832"/>
      <c r="N64" s="832"/>
      <c r="O64" s="48">
        <f>IF(t&lt;Tnet,'2021'!Resal+('2021'!Salim-'2021'!Resal)*(1-EXP(('2021'!Tnet-t)/('2021'!Tau_j))),Resal+(Salim-Resal)*(1-EXP((Tnet-t)/(Tau_j))))*Salcycl</f>
        <v>7.2439413370772143E-2</v>
      </c>
      <c r="P64" s="169">
        <f>(INDEX(Models!$BJ64:$BT64,,T64)*(1-R64)+INDEX(Models!$BJ64:$BT64,,T64+1)*R64-ERP_i)*Q64*Ramure*Pc/MaxiM</f>
        <v>8.4743643075290663E-3</v>
      </c>
      <c r="Q64" s="304">
        <f t="shared" si="4"/>
        <v>0.7</v>
      </c>
      <c r="R64" s="177">
        <f t="shared" si="5"/>
        <v>0.9381897072214056</v>
      </c>
      <c r="S64" s="799">
        <f t="shared" si="6"/>
        <v>-1</v>
      </c>
      <c r="T64" s="176">
        <f t="shared" si="7"/>
        <v>5</v>
      </c>
      <c r="U64" s="250">
        <f t="shared" si="8"/>
        <v>-6.1810292778594345E-2</v>
      </c>
      <c r="V64" s="382">
        <f t="shared" si="9"/>
        <v>38.015994312445812</v>
      </c>
      <c r="W64" s="400">
        <f t="shared" si="10"/>
        <v>0</v>
      </c>
      <c r="X64" s="157">
        <f t="shared" si="11"/>
        <v>44611</v>
      </c>
      <c r="Y64" s="383">
        <f t="shared" si="12"/>
        <v>14.982900443120963</v>
      </c>
      <c r="Z64" s="383">
        <f t="shared" si="13"/>
        <v>15.31267581205044</v>
      </c>
      <c r="AA64" s="384">
        <f t="shared" si="14"/>
        <v>16.508545137409282</v>
      </c>
      <c r="AB64" s="197">
        <f t="shared" si="15"/>
        <v>44611</v>
      </c>
      <c r="AC64" s="119">
        <f>IF(OR(t&lt;Tnet,NoTnet),'2021'!Resal_s+('2021'!Salim-'2021'!Resal_s)*(1-EXP(('2021'!Tnet_s-t)/'2021'!Tau_j)),Resal_s+(Salim-Resal_s)*(1-EXP((Tnet_s-t)/Tau_j)))*Salcycl</f>
        <v>7.2439413370772143E-2</v>
      </c>
      <c r="AD64" s="230">
        <f>(INDEX(Models!$BJ64:$BT64,,AH64)*(1-AF64)+INDEX(Models!$BJ64:$BT64,,AH64+1)*AF64-ERP_i)*AE64*Ramure*Pc/MaxiM</f>
        <v>9.0193346448364936E-3</v>
      </c>
      <c r="AE64" s="304">
        <f t="shared" si="16"/>
        <v>0.7</v>
      </c>
      <c r="AF64" s="177">
        <f t="shared" si="23"/>
        <v>2.5219294812378053E-3</v>
      </c>
      <c r="AG64" s="799">
        <f t="shared" si="24"/>
        <v>0</v>
      </c>
      <c r="AH64" s="176">
        <f t="shared" si="17"/>
        <v>6</v>
      </c>
      <c r="AI64" s="224">
        <f t="shared" si="18"/>
        <v>2.5219294812378053E-3</v>
      </c>
      <c r="AJ64" s="264" t="b">
        <f t="shared" si="19"/>
        <v>1</v>
      </c>
      <c r="AK64" s="264" t="b">
        <f t="shared" si="20"/>
        <v>0</v>
      </c>
      <c r="AL64" s="264"/>
      <c r="AM64" s="264"/>
      <c r="AN64" s="75"/>
    </row>
    <row r="65" spans="1:40" s="6" customFormat="1" ht="11.25" x14ac:dyDescent="0.2">
      <c r="A65" s="56">
        <f t="shared" si="21"/>
        <v>44612</v>
      </c>
      <c r="B65" s="1147">
        <v>26</v>
      </c>
      <c r="C65" s="388"/>
      <c r="D65" s="391">
        <f t="shared" si="0"/>
        <v>26.572772263513247</v>
      </c>
      <c r="E65" s="383">
        <f t="shared" si="1"/>
        <v>28.653765255897387</v>
      </c>
      <c r="F65" s="383">
        <f t="shared" si="2"/>
        <v>28.776452598067056</v>
      </c>
      <c r="G65" s="110">
        <f t="shared" si="22"/>
        <v>0.67556390031950075</v>
      </c>
      <c r="H65" s="412" t="b">
        <f>Wh_hp&gt;='2021'!Maxi_hp</f>
        <v>0</v>
      </c>
      <c r="I65" s="379">
        <f>IF(H65,Wh_hp,'2021'!Maxi_hp)</f>
        <v>42.526823693851945</v>
      </c>
      <c r="J65" s="85">
        <f>IF(H65,An,'2021'!An_max)</f>
        <v>2020</v>
      </c>
      <c r="K65" s="197">
        <f t="shared" si="3"/>
        <v>44612</v>
      </c>
      <c r="L65" s="147">
        <f>IF(t&lt;Tvie,1-EXP((T0-t)*PertePVj)+'2021'!Pspv,1-EXP((T0-t)*PertePVj)+Pspv)</f>
        <v>2.1554855392326266E-2</v>
      </c>
      <c r="M65" s="832"/>
      <c r="N65" s="832"/>
      <c r="O65" s="48">
        <f>IF(t&lt;Tnet,'2021'!Resal+('2021'!Salim-'2021'!Resal)*(1-EXP(('2021'!Tnet-t)/('2021'!Tau_j))),Resal+(Salim-Resal)*(1-EXP((Tnet-t)/(Tau_j))))*Salcycl</f>
        <v>7.2625463836932871E-2</v>
      </c>
      <c r="P65" s="169">
        <f>(INDEX(Models!$BJ65:$BT65,,T65)*(1-R65)+INDEX(Models!$BJ65:$BT65,,T65+1)*R65-ERP_i)*Q65*Ramure*Pc/MaxiM</f>
        <v>7.8945407780256875E-3</v>
      </c>
      <c r="Q65" s="304">
        <f t="shared" si="4"/>
        <v>0.7</v>
      </c>
      <c r="R65" s="177">
        <f t="shared" si="5"/>
        <v>0.93836159714613387</v>
      </c>
      <c r="S65" s="799">
        <f t="shared" si="6"/>
        <v>-1</v>
      </c>
      <c r="T65" s="176">
        <f t="shared" si="7"/>
        <v>5</v>
      </c>
      <c r="U65" s="250">
        <f t="shared" si="8"/>
        <v>-6.1638402853866119E-2</v>
      </c>
      <c r="V65" s="382">
        <f t="shared" si="9"/>
        <v>38.346021358044304</v>
      </c>
      <c r="W65" s="400">
        <f t="shared" si="10"/>
        <v>0</v>
      </c>
      <c r="X65" s="157">
        <f t="shared" si="11"/>
        <v>44612</v>
      </c>
      <c r="Y65" s="383">
        <f t="shared" si="12"/>
        <v>25.992786131846152</v>
      </c>
      <c r="Z65" s="383">
        <f t="shared" si="13"/>
        <v>26.565399475990507</v>
      </c>
      <c r="AA65" s="384">
        <f t="shared" si="14"/>
        <v>28.645815083410181</v>
      </c>
      <c r="AB65" s="197">
        <f t="shared" si="15"/>
        <v>44612</v>
      </c>
      <c r="AC65" s="119">
        <f>IF(OR(t&lt;Tnet,NoTnet),'2021'!Resal_s+('2021'!Salim-'2021'!Resal_s)*(1-EXP(('2021'!Tnet_s-t)/'2021'!Tau_j)),Resal_s+(Salim-Resal_s)*(1-EXP((Tnet_s-t)/Tau_j)))*Salcycl</f>
        <v>7.2625463836932871E-2</v>
      </c>
      <c r="AD65" s="230">
        <f>(INDEX(Models!$BJ65:$BT65,,AH65)*(1-AF65)+INDEX(Models!$BJ65:$BT65,,AH65+1)*AF65-ERP_i)*AE65*Ramure*Pc/MaxiM</f>
        <v>8.4061091255230955E-3</v>
      </c>
      <c r="AE65" s="304">
        <f t="shared" si="16"/>
        <v>0.7</v>
      </c>
      <c r="AF65" s="177">
        <f t="shared" si="23"/>
        <v>2.6938194059660339E-3</v>
      </c>
      <c r="AG65" s="799">
        <f t="shared" si="24"/>
        <v>0</v>
      </c>
      <c r="AH65" s="176">
        <f t="shared" si="17"/>
        <v>6</v>
      </c>
      <c r="AI65" s="224">
        <f t="shared" si="18"/>
        <v>2.6938194059660339E-3</v>
      </c>
      <c r="AJ65" s="264" t="b">
        <f t="shared" si="19"/>
        <v>1</v>
      </c>
      <c r="AK65" s="264" t="b">
        <f t="shared" si="20"/>
        <v>0</v>
      </c>
      <c r="AL65" s="264"/>
      <c r="AM65" s="264"/>
      <c r="AN65" s="75"/>
    </row>
    <row r="66" spans="1:40" s="6" customFormat="1" ht="11.25" x14ac:dyDescent="0.2">
      <c r="A66" s="56">
        <f t="shared" si="21"/>
        <v>44613</v>
      </c>
      <c r="B66" s="1147">
        <v>19.486000000000001</v>
      </c>
      <c r="C66" s="388"/>
      <c r="D66" s="391">
        <f t="shared" si="0"/>
        <v>19.915652460736656</v>
      </c>
      <c r="E66" s="383">
        <f t="shared" si="1"/>
        <v>21.479603776623154</v>
      </c>
      <c r="F66" s="383">
        <f t="shared" si="2"/>
        <v>21.52544485018046</v>
      </c>
      <c r="G66" s="110">
        <f t="shared" si="22"/>
        <v>0.50121084432957508</v>
      </c>
      <c r="H66" s="412" t="b">
        <f>Wh_hp&gt;='2021'!Maxi_hp</f>
        <v>1</v>
      </c>
      <c r="I66" s="379">
        <f>IF(H66,Wh_hp,'2021'!Maxi_hp)</f>
        <v>21.52544485018046</v>
      </c>
      <c r="J66" s="85">
        <f>IF(H66,An,'2021'!An_max)</f>
        <v>2022</v>
      </c>
      <c r="K66" s="197">
        <f t="shared" si="3"/>
        <v>44613</v>
      </c>
      <c r="L66" s="147">
        <f>IF(t&lt;Tvie,1-EXP((T0-t)*PertePVj)+'2021'!Pspv,1-EXP((T0-t)*PertePVj)+Pspv)</f>
        <v>2.1573607070303535E-2</v>
      </c>
      <c r="M66" s="832"/>
      <c r="N66" s="832"/>
      <c r="O66" s="48">
        <f>IF(t&lt;Tnet,'2021'!Resal+('2021'!Salim-'2021'!Resal)*(1-EXP(('2021'!Tnet-t)/('2021'!Tau_j))),Resal+(Salim-Resal)*(1-EXP((Tnet-t)/(Tau_j))))*Salcycl</f>
        <v>7.281099466036671E-2</v>
      </c>
      <c r="P66" s="169">
        <f>(INDEX(Models!$BJ66:$BT66,,T66)*(1-R66)+INDEX(Models!$BJ66:$BT66,,T66+1)*R66-ERP_i)*Q66*Ramure*Pc/MaxiM</f>
        <v>7.3136843317202467E-3</v>
      </c>
      <c r="Q66" s="304">
        <f t="shared" si="4"/>
        <v>0.7</v>
      </c>
      <c r="R66" s="177">
        <f t="shared" si="5"/>
        <v>0.93854053974556317</v>
      </c>
      <c r="S66" s="799">
        <f t="shared" si="6"/>
        <v>-1</v>
      </c>
      <c r="T66" s="176">
        <f t="shared" si="7"/>
        <v>5</v>
      </c>
      <c r="U66" s="250">
        <f t="shared" si="8"/>
        <v>-6.1459460254436819E-2</v>
      </c>
      <c r="V66" s="382">
        <f t="shared" si="9"/>
        <v>38.675874645871545</v>
      </c>
      <c r="W66" s="400">
        <f t="shared" si="10"/>
        <v>0</v>
      </c>
      <c r="X66" s="157">
        <f t="shared" si="11"/>
        <v>44613</v>
      </c>
      <c r="Y66" s="383">
        <f t="shared" si="12"/>
        <v>19.483283958984675</v>
      </c>
      <c r="Z66" s="383">
        <f t="shared" si="13"/>
        <v>19.912876532945919</v>
      </c>
      <c r="AA66" s="384">
        <f t="shared" si="14"/>
        <v>21.476609858689756</v>
      </c>
      <c r="AB66" s="197">
        <f t="shared" si="15"/>
        <v>44613</v>
      </c>
      <c r="AC66" s="119">
        <f>IF(OR(t&lt;Tnet,NoTnet),'2021'!Resal_s+('2021'!Salim-'2021'!Resal_s)*(1-EXP(('2021'!Tnet_s-t)/'2021'!Tau_j)),Resal_s+(Salim-Resal_s)*(1-EXP((Tnet_s-t)/Tau_j)))*Salcycl</f>
        <v>7.281099466036671E-2</v>
      </c>
      <c r="AD66" s="230">
        <f>(INDEX(Models!$BJ66:$BT66,,AH66)*(1-AF66)+INDEX(Models!$BJ66:$BT66,,AH66+1)*AF66-ERP_i)*AE66*Ramure*Pc/MaxiM</f>
        <v>7.7913470254740757E-3</v>
      </c>
      <c r="AE66" s="304">
        <f t="shared" si="16"/>
        <v>0.7</v>
      </c>
      <c r="AF66" s="177">
        <f t="shared" si="23"/>
        <v>2.8727620053953309E-3</v>
      </c>
      <c r="AG66" s="799">
        <f t="shared" si="24"/>
        <v>0</v>
      </c>
      <c r="AH66" s="176">
        <f t="shared" si="17"/>
        <v>6</v>
      </c>
      <c r="AI66" s="224">
        <f t="shared" si="18"/>
        <v>2.8727620053953309E-3</v>
      </c>
      <c r="AJ66" s="264" t="b">
        <f t="shared" si="19"/>
        <v>1</v>
      </c>
      <c r="AK66" s="264" t="b">
        <f t="shared" si="20"/>
        <v>0</v>
      </c>
      <c r="AL66" s="264"/>
      <c r="AM66" s="264"/>
      <c r="AN66" s="75"/>
    </row>
    <row r="67" spans="1:40" s="6" customFormat="1" ht="11.25" x14ac:dyDescent="0.2">
      <c r="A67" s="56">
        <f t="shared" si="21"/>
        <v>44614</v>
      </c>
      <c r="B67" s="1147">
        <v>32.262</v>
      </c>
      <c r="C67" s="388"/>
      <c r="D67" s="391">
        <f t="shared" si="0"/>
        <v>32.973986125942261</v>
      </c>
      <c r="E67" s="383">
        <f t="shared" si="1"/>
        <v>35.570489732912598</v>
      </c>
      <c r="F67" s="383">
        <f t="shared" si="2"/>
        <v>35.752306920569495</v>
      </c>
      <c r="G67" s="110">
        <f t="shared" si="22"/>
        <v>0.82574429840123098</v>
      </c>
      <c r="H67" s="412" t="b">
        <f>Wh_hp&gt;='2021'!Maxi_hp</f>
        <v>0</v>
      </c>
      <c r="I67" s="379">
        <f>IF(H67,Wh_hp,'2021'!Maxi_hp)</f>
        <v>41.235374874521426</v>
      </c>
      <c r="J67" s="85">
        <f>IF(H67,An,'2021'!An_max)</f>
        <v>2020</v>
      </c>
      <c r="K67" s="197">
        <f t="shared" si="3"/>
        <v>44614</v>
      </c>
      <c r="L67" s="147">
        <f>IF(t&lt;Tvie,1-EXP((T0-t)*PertePVj)+'2021'!Pspv,1-EXP((T0-t)*PertePVj)+Pspv)</f>
        <v>2.159235838890905E-2</v>
      </c>
      <c r="M67" s="832"/>
      <c r="N67" s="832"/>
      <c r="O67" s="48">
        <f>IF(t&lt;Tnet,'2021'!Resal+('2021'!Salim-'2021'!Resal)*(1-EXP(('2021'!Tnet-t)/('2021'!Tau_j))),Resal+(Salim-Resal)*(1-EXP((Tnet-t)/(Tau_j))))*Salcycl</f>
        <v>7.2996003891614841E-2</v>
      </c>
      <c r="P67" s="169">
        <f>(INDEX(Models!$BJ67:$BT67,,T67)*(1-R67)+INDEX(Models!$BJ67:$BT67,,T67+1)*R67-ERP_i)*Q67*Ramure*Pc/MaxiM</f>
        <v>6.7532140942140138E-3</v>
      </c>
      <c r="Q67" s="304">
        <f t="shared" si="4"/>
        <v>0.7</v>
      </c>
      <c r="R67" s="177">
        <f t="shared" si="5"/>
        <v>0.93872681755281862</v>
      </c>
      <c r="S67" s="799">
        <f t="shared" si="6"/>
        <v>-1</v>
      </c>
      <c r="T67" s="176">
        <f t="shared" si="7"/>
        <v>5</v>
      </c>
      <c r="U67" s="250">
        <f t="shared" si="8"/>
        <v>-6.1273182447181385E-2</v>
      </c>
      <c r="V67" s="382">
        <f t="shared" si="9"/>
        <v>39.004713921492268</v>
      </c>
      <c r="W67" s="400">
        <f t="shared" si="10"/>
        <v>0</v>
      </c>
      <c r="X67" s="157">
        <f t="shared" si="11"/>
        <v>44614</v>
      </c>
      <c r="Y67" s="383">
        <f t="shared" si="12"/>
        <v>32.251143939000293</v>
      </c>
      <c r="Z67" s="383">
        <f t="shared" si="13"/>
        <v>32.962890483862203</v>
      </c>
      <c r="AA67" s="384">
        <f t="shared" si="14"/>
        <v>35.558520375577956</v>
      </c>
      <c r="AB67" s="197">
        <f t="shared" si="15"/>
        <v>44614</v>
      </c>
      <c r="AC67" s="119">
        <f>IF(OR(t&lt;Tnet,NoTnet),'2021'!Resal_s+('2021'!Salim-'2021'!Resal_s)*(1-EXP(('2021'!Tnet_s-t)/'2021'!Tau_j)),Resal_s+(Salim-Resal_s)*(1-EXP((Tnet_s-t)/Tau_j)))*Salcycl</f>
        <v>7.2996003891614841E-2</v>
      </c>
      <c r="AD67" s="230">
        <f>(INDEX(Models!$BJ67:$BT67,,AH67)*(1-AF67)+INDEX(Models!$BJ67:$BT67,,AH67+1)*AF67-ERP_i)*AE67*Ramure*Pc/MaxiM</f>
        <v>7.1977905046880326E-3</v>
      </c>
      <c r="AE67" s="304">
        <f t="shared" si="16"/>
        <v>0.7</v>
      </c>
      <c r="AF67" s="177">
        <f t="shared" si="23"/>
        <v>3.0590398126507622E-3</v>
      </c>
      <c r="AG67" s="799">
        <f t="shared" si="24"/>
        <v>0</v>
      </c>
      <c r="AH67" s="176">
        <f t="shared" si="17"/>
        <v>6</v>
      </c>
      <c r="AI67" s="224">
        <f t="shared" si="18"/>
        <v>3.0590398126507622E-3</v>
      </c>
      <c r="AJ67" s="264" t="b">
        <f t="shared" si="19"/>
        <v>1</v>
      </c>
      <c r="AK67" s="264" t="b">
        <f t="shared" si="20"/>
        <v>0</v>
      </c>
      <c r="AL67" s="264"/>
      <c r="AM67" s="264"/>
      <c r="AN67" s="75"/>
    </row>
    <row r="68" spans="1:40" s="6" customFormat="1" ht="11.25" x14ac:dyDescent="0.2">
      <c r="A68" s="56">
        <f t="shared" si="21"/>
        <v>44615</v>
      </c>
      <c r="B68" s="1147">
        <v>37.355000000000004</v>
      </c>
      <c r="C68" s="388"/>
      <c r="D68" s="391">
        <f t="shared" si="0"/>
        <v>38.180114632242294</v>
      </c>
      <c r="E68" s="383">
        <f t="shared" si="1"/>
        <v>41.194767962432692</v>
      </c>
      <c r="F68" s="383">
        <f t="shared" si="2"/>
        <v>41.43368928277183</v>
      </c>
      <c r="G68" s="110">
        <f t="shared" si="22"/>
        <v>0.94929624916884803</v>
      </c>
      <c r="H68" s="412" t="b">
        <f>Wh_hp&gt;='2021'!Maxi_hp</f>
        <v>0</v>
      </c>
      <c r="I68" s="379">
        <f>IF(H68,Wh_hp,'2021'!Maxi_hp)</f>
        <v>41.868249695321026</v>
      </c>
      <c r="J68" s="85">
        <f>IF(H68,An,'2021'!An_max)</f>
        <v>2020</v>
      </c>
      <c r="K68" s="197">
        <f t="shared" si="3"/>
        <v>44615</v>
      </c>
      <c r="L68" s="147">
        <f>IF(t&lt;Tvie,1-EXP((T0-t)*PertePVj)+'2021'!Pspv,1-EXP((T0-t)*PertePVj)+Pspv)</f>
        <v>2.1611109348149915E-2</v>
      </c>
      <c r="M68" s="832"/>
      <c r="N68" s="832"/>
      <c r="O68" s="48">
        <f>IF(t&lt;Tnet,'2021'!Resal+('2021'!Salim-'2021'!Resal)*(1-EXP(('2021'!Tnet-t)/('2021'!Tau_j))),Resal+(Salim-Resal)*(1-EXP((Tnet-t)/(Tau_j))))*Salcycl</f>
        <v>7.318049061326419E-2</v>
      </c>
      <c r="P68" s="169">
        <f>(INDEX(Models!$BJ68:$BT68,,T68)*(1-R68)+INDEX(Models!$BJ68:$BT68,,T68+1)*R68-ERP_i)*Q68*Ramure*Pc/MaxiM</f>
        <v>6.21257208537655E-3</v>
      </c>
      <c r="Q68" s="304">
        <f t="shared" si="4"/>
        <v>0.7</v>
      </c>
      <c r="R68" s="177">
        <f t="shared" si="5"/>
        <v>0.93892072384112091</v>
      </c>
      <c r="S68" s="799">
        <f t="shared" si="6"/>
        <v>-1</v>
      </c>
      <c r="T68" s="176">
        <f t="shared" si="7"/>
        <v>5</v>
      </c>
      <c r="U68" s="250">
        <f t="shared" si="8"/>
        <v>-6.1079276158879092E-2</v>
      </c>
      <c r="V68" s="382">
        <f t="shared" si="9"/>
        <v>39.332542272963359</v>
      </c>
      <c r="W68" s="400">
        <f t="shared" si="10"/>
        <v>0</v>
      </c>
      <c r="X68" s="157">
        <f t="shared" si="11"/>
        <v>44615</v>
      </c>
      <c r="Y68" s="383">
        <f t="shared" si="12"/>
        <v>37.340623118568395</v>
      </c>
      <c r="Z68" s="383">
        <f t="shared" si="13"/>
        <v>38.165420187559839</v>
      </c>
      <c r="AA68" s="384">
        <f t="shared" si="14"/>
        <v>41.178913263072538</v>
      </c>
      <c r="AB68" s="197">
        <f t="shared" si="15"/>
        <v>44615</v>
      </c>
      <c r="AC68" s="119">
        <f>IF(OR(t&lt;Tnet,NoTnet),'2021'!Resal_s+('2021'!Salim-'2021'!Resal_s)*(1-EXP(('2021'!Tnet_s-t)/'2021'!Tau_j)),Resal_s+(Salim-Resal_s)*(1-EXP((Tnet_s-t)/Tau_j)))*Salcycl</f>
        <v>7.318049061326419E-2</v>
      </c>
      <c r="AD68" s="230">
        <f>(INDEX(Models!$BJ68:$BT68,,AH68)*(1-AF68)+INDEX(Models!$BJ68:$BT68,,AH68+1)*AF68-ERP_i)*AE68*Ramure*Pc/MaxiM</f>
        <v>6.6248352627571293E-3</v>
      </c>
      <c r="AE68" s="304">
        <f t="shared" si="16"/>
        <v>0.7</v>
      </c>
      <c r="AF68" s="177">
        <f t="shared" si="23"/>
        <v>3.2529461009530546E-3</v>
      </c>
      <c r="AG68" s="799">
        <f t="shared" si="24"/>
        <v>0</v>
      </c>
      <c r="AH68" s="176">
        <f t="shared" si="17"/>
        <v>6</v>
      </c>
      <c r="AI68" s="224">
        <f t="shared" si="18"/>
        <v>3.2529461009530546E-3</v>
      </c>
      <c r="AJ68" s="264" t="b">
        <f t="shared" si="19"/>
        <v>1</v>
      </c>
      <c r="AK68" s="264" t="b">
        <f t="shared" si="20"/>
        <v>0</v>
      </c>
      <c r="AL68" s="264"/>
      <c r="AM68" s="264"/>
      <c r="AN68" s="75"/>
    </row>
    <row r="69" spans="1:40" s="6" customFormat="1" ht="11.25" x14ac:dyDescent="0.2">
      <c r="A69" s="56">
        <f t="shared" si="21"/>
        <v>44616</v>
      </c>
      <c r="B69" s="1147">
        <v>24.001999999999999</v>
      </c>
      <c r="C69" s="388"/>
      <c r="D69" s="391">
        <f t="shared" si="0"/>
        <v>24.532637513574471</v>
      </c>
      <c r="E69" s="383">
        <f t="shared" si="1"/>
        <v>26.474958409303436</v>
      </c>
      <c r="F69" s="383">
        <f t="shared" si="2"/>
        <v>26.540817336653891</v>
      </c>
      <c r="G69" s="110">
        <f t="shared" si="22"/>
        <v>0.60325645965052865</v>
      </c>
      <c r="H69" s="412" t="b">
        <f>Wh_hp&gt;='2021'!Maxi_hp</f>
        <v>0</v>
      </c>
      <c r="I69" s="379">
        <f>IF(H69,Wh_hp,'2021'!Maxi_hp)</f>
        <v>42.008924715628446</v>
      </c>
      <c r="J69" s="85">
        <f>IF(H69,An,'2021'!An_max)</f>
        <v>2020</v>
      </c>
      <c r="K69" s="197">
        <f t="shared" si="3"/>
        <v>44616</v>
      </c>
      <c r="L69" s="147">
        <f>IF(t&lt;Tvie,1-EXP((T0-t)*PertePVj)+'2021'!Pspv,1-EXP((T0-t)*PertePVj)+Pspv)</f>
        <v>2.1629859948032792E-2</v>
      </c>
      <c r="M69" s="832"/>
      <c r="N69" s="832"/>
      <c r="O69" s="48">
        <f>IF(t&lt;Tnet,'2021'!Resal+('2021'!Salim-'2021'!Resal)*(1-EXP(('2021'!Tnet-t)/('2021'!Tau_j))),Resal+(Salim-Resal)*(1-EXP((Tnet-t)/(Tau_j))))*Salcycl</f>
        <v>7.3364455033342893E-2</v>
      </c>
      <c r="P69" s="169">
        <f>(INDEX(Models!$BJ69:$BT69,,T69)*(1-R69)+INDEX(Models!$BJ69:$BT69,,T69+1)*R69-ERP_i)*Q69*Ramure*Pc/MaxiM</f>
        <v>5.6912586458413034E-3</v>
      </c>
      <c r="Q69" s="304">
        <f t="shared" si="4"/>
        <v>0.7</v>
      </c>
      <c r="R69" s="177">
        <f t="shared" si="5"/>
        <v>0.93912256298289554</v>
      </c>
      <c r="S69" s="799">
        <f t="shared" si="6"/>
        <v>-1</v>
      </c>
      <c r="T69" s="176">
        <f t="shared" si="7"/>
        <v>5</v>
      </c>
      <c r="U69" s="250">
        <f t="shared" si="8"/>
        <v>-6.0877437017104463E-2</v>
      </c>
      <c r="V69" s="382">
        <f t="shared" si="9"/>
        <v>39.659361173522392</v>
      </c>
      <c r="W69" s="400">
        <f t="shared" si="10"/>
        <v>0</v>
      </c>
      <c r="X69" s="157">
        <f t="shared" si="11"/>
        <v>44616</v>
      </c>
      <c r="Y69" s="383">
        <f t="shared" si="12"/>
        <v>23.998006283795778</v>
      </c>
      <c r="Z69" s="383">
        <f t="shared" si="13"/>
        <v>24.5285555040765</v>
      </c>
      <c r="AA69" s="384">
        <f t="shared" si="14"/>
        <v>26.470553215136061</v>
      </c>
      <c r="AB69" s="197">
        <f t="shared" si="15"/>
        <v>44616</v>
      </c>
      <c r="AC69" s="119">
        <f>IF(OR(t&lt;Tnet,NoTnet),'2021'!Resal_s+('2021'!Salim-'2021'!Resal_s)*(1-EXP(('2021'!Tnet_s-t)/'2021'!Tau_j)),Resal_s+(Salim-Resal_s)*(1-EXP((Tnet_s-t)/Tau_j)))*Salcycl</f>
        <v>7.3364455033342893E-2</v>
      </c>
      <c r="AD69" s="230">
        <f>(INDEX(Models!$BJ69:$BT69,,AH69)*(1-AF69)+INDEX(Models!$BJ69:$BT69,,AH69+1)*AF69-ERP_i)*AE69*Ramure*Pc/MaxiM</f>
        <v>6.0719374755811234E-3</v>
      </c>
      <c r="AE69" s="304">
        <f t="shared" si="16"/>
        <v>0.7</v>
      </c>
      <c r="AF69" s="177">
        <f t="shared" si="23"/>
        <v>3.4547852427276836E-3</v>
      </c>
      <c r="AG69" s="799">
        <f t="shared" si="24"/>
        <v>0</v>
      </c>
      <c r="AH69" s="176">
        <f t="shared" si="17"/>
        <v>6</v>
      </c>
      <c r="AI69" s="224">
        <f t="shared" si="18"/>
        <v>3.4547852427276836E-3</v>
      </c>
      <c r="AJ69" s="264" t="b">
        <f t="shared" si="19"/>
        <v>1</v>
      </c>
      <c r="AK69" s="264" t="b">
        <f t="shared" si="20"/>
        <v>0</v>
      </c>
      <c r="AL69" s="264"/>
      <c r="AM69" s="264"/>
      <c r="AN69" s="75"/>
    </row>
    <row r="70" spans="1:40" s="6" customFormat="1" ht="11.25" x14ac:dyDescent="0.2">
      <c r="A70" s="56">
        <f t="shared" si="21"/>
        <v>44617</v>
      </c>
      <c r="B70" s="1147">
        <v>26.103000000000002</v>
      </c>
      <c r="C70" s="388"/>
      <c r="D70" s="391">
        <f t="shared" si="0"/>
        <v>26.68059786272806</v>
      </c>
      <c r="E70" s="383">
        <f t="shared" si="1"/>
        <v>28.798680278870513</v>
      </c>
      <c r="F70" s="383">
        <f t="shared" si="2"/>
        <v>28.874194304295813</v>
      </c>
      <c r="G70" s="110">
        <f t="shared" si="22"/>
        <v>0.65113255972747208</v>
      </c>
      <c r="H70" s="412" t="b">
        <f>Wh_hp&gt;='2021'!Maxi_hp</f>
        <v>0</v>
      </c>
      <c r="I70" s="379">
        <f>IF(H70,Wh_hp,'2021'!Maxi_hp)</f>
        <v>38.500224990742687</v>
      </c>
      <c r="J70" s="85">
        <f>IF(H70,An,'2021'!An_max)</f>
        <v>2021</v>
      </c>
      <c r="K70" s="197">
        <f t="shared" si="3"/>
        <v>44617</v>
      </c>
      <c r="L70" s="147">
        <f>IF(t&lt;Tvie,1-EXP((T0-t)*PertePVj)+'2021'!Pspv,1-EXP((T0-t)*PertePVj)+Pspv)</f>
        <v>2.1648610188564898E-2</v>
      </c>
      <c r="M70" s="832"/>
      <c r="N70" s="832"/>
      <c r="O70" s="48">
        <f>IF(t&lt;Tnet,'2021'!Resal+('2021'!Salim-'2021'!Resal)*(1-EXP(('2021'!Tnet-t)/('2021'!Tau_j))),Resal+(Salim-Resal)*(1-EXP((Tnet-t)/(Tau_j))))*Salcycl</f>
        <v>7.3547898571466222E-2</v>
      </c>
      <c r="P70" s="169">
        <f>(INDEX(Models!$BJ70:$BT70,,T70)*(1-R70)+INDEX(Models!$BJ70:$BT70,,T70+1)*R70-ERP_i)*Q70*Ramure*Pc/MaxiM</f>
        <v>5.1887922798090139E-3</v>
      </c>
      <c r="Q70" s="304">
        <f t="shared" si="4"/>
        <v>0.7</v>
      </c>
      <c r="R70" s="177">
        <f t="shared" si="5"/>
        <v>0.93933265081660433</v>
      </c>
      <c r="S70" s="799">
        <f t="shared" si="6"/>
        <v>-1</v>
      </c>
      <c r="T70" s="176">
        <f t="shared" si="7"/>
        <v>5</v>
      </c>
      <c r="U70" s="250">
        <f t="shared" si="8"/>
        <v>-6.0667349183395627E-2</v>
      </c>
      <c r="V70" s="382">
        <f t="shared" si="9"/>
        <v>39.985171996453751</v>
      </c>
      <c r="W70" s="400">
        <f t="shared" si="10"/>
        <v>0</v>
      </c>
      <c r="X70" s="157">
        <f t="shared" si="11"/>
        <v>44617</v>
      </c>
      <c r="Y70" s="383">
        <f t="shared" si="12"/>
        <v>26.098386053813062</v>
      </c>
      <c r="Z70" s="383">
        <f t="shared" si="13"/>
        <v>26.675881820787517</v>
      </c>
      <c r="AA70" s="384">
        <f t="shared" si="14"/>
        <v>28.793589846312511</v>
      </c>
      <c r="AB70" s="197">
        <f t="shared" si="15"/>
        <v>44617</v>
      </c>
      <c r="AC70" s="119">
        <f>IF(OR(t&lt;Tnet,NoTnet),'2021'!Resal_s+('2021'!Salim-'2021'!Resal_s)*(1-EXP(('2021'!Tnet_s-t)/'2021'!Tau_j)),Resal_s+(Salim-Resal_s)*(1-EXP((Tnet_s-t)/Tau_j)))*Salcycl</f>
        <v>7.3547898571466222E-2</v>
      </c>
      <c r="AD70" s="230">
        <f>(INDEX(Models!$BJ70:$BT70,,AH70)*(1-AF70)+INDEX(Models!$BJ70:$BT70,,AH70+1)*AF70-ERP_i)*AE70*Ramure*Pc/MaxiM</f>
        <v>5.5385709733574307E-3</v>
      </c>
      <c r="AE70" s="304">
        <f t="shared" si="16"/>
        <v>0.7</v>
      </c>
      <c r="AF70" s="177">
        <f t="shared" si="23"/>
        <v>3.6648730764365263E-3</v>
      </c>
      <c r="AG70" s="799">
        <f t="shared" si="24"/>
        <v>0</v>
      </c>
      <c r="AH70" s="176">
        <f t="shared" si="17"/>
        <v>6</v>
      </c>
      <c r="AI70" s="224">
        <f t="shared" si="18"/>
        <v>3.6648730764365263E-3</v>
      </c>
      <c r="AJ70" s="264" t="b">
        <f t="shared" si="19"/>
        <v>1</v>
      </c>
      <c r="AK70" s="264" t="b">
        <f t="shared" si="20"/>
        <v>0</v>
      </c>
      <c r="AL70" s="264"/>
      <c r="AM70" s="264"/>
      <c r="AN70" s="75"/>
    </row>
    <row r="71" spans="1:40" s="6" customFormat="1" ht="11.25" x14ac:dyDescent="0.2">
      <c r="A71" s="56">
        <f t="shared" si="21"/>
        <v>44618</v>
      </c>
      <c r="B71" s="1193">
        <f>42.54*0.95</f>
        <v>40.412999999999997</v>
      </c>
      <c r="C71" s="388"/>
      <c r="D71" s="391">
        <f t="shared" si="0"/>
        <v>41.308036091774824</v>
      </c>
      <c r="E71" s="383">
        <f t="shared" si="1"/>
        <v>44.596146734959198</v>
      </c>
      <c r="F71" s="383">
        <f t="shared" si="2"/>
        <v>44.806950383067353</v>
      </c>
      <c r="G71" s="110">
        <f t="shared" si="22"/>
        <v>1.0025557936565526</v>
      </c>
      <c r="H71" s="412" t="b">
        <f>Wh_hp&gt;='2021'!Maxi_hp</f>
        <v>1</v>
      </c>
      <c r="I71" s="379">
        <f>IF(H71,Wh_hp,'2021'!Maxi_hp)</f>
        <v>44.806950383067353</v>
      </c>
      <c r="J71" s="85">
        <f>IF(H71,An,'2021'!An_max)</f>
        <v>2022</v>
      </c>
      <c r="K71" s="197">
        <f t="shared" si="3"/>
        <v>44618</v>
      </c>
      <c r="L71" s="147">
        <f>IF(t&lt;Tvie,1-EXP((T0-t)*PertePVj)+'2021'!Pspv,1-EXP((T0-t)*PertePVj)+Pspv)</f>
        <v>2.1667360069752784E-2</v>
      </c>
      <c r="M71" s="832"/>
      <c r="N71" s="832"/>
      <c r="O71" s="48">
        <f>IF(t&lt;Tnet,'2021'!Resal+('2021'!Salim-'2021'!Resal)*(1-EXP(('2021'!Tnet-t)/('2021'!Tau_j))),Resal+(Salim-Resal)*(1-EXP((Tnet-t)/(Tau_j))))*Salcycl</f>
        <v>7.3730823937010845E-2</v>
      </c>
      <c r="P71" s="169">
        <f>(INDEX(Models!$BJ71:$BT71,,T71)*(1-R71)+INDEX(Models!$BJ71:$BT71,,T71+1)*R71-ERP_i)*Q71*Ramure*Pc/MaxiM</f>
        <v>4.7047086736752087E-3</v>
      </c>
      <c r="Q71" s="304">
        <f t="shared" si="4"/>
        <v>0.7</v>
      </c>
      <c r="R71" s="177">
        <f t="shared" si="5"/>
        <v>0.9395513150210566</v>
      </c>
      <c r="S71" s="799">
        <f t="shared" si="6"/>
        <v>-1</v>
      </c>
      <c r="T71" s="176">
        <f t="shared" si="7"/>
        <v>5</v>
      </c>
      <c r="U71" s="250">
        <f t="shared" si="8"/>
        <v>-6.0448684978943387E-2</v>
      </c>
      <c r="V71" s="382">
        <f t="shared" si="9"/>
        <v>40.309976018994867</v>
      </c>
      <c r="W71" s="400">
        <f t="shared" si="10"/>
        <v>0</v>
      </c>
      <c r="X71" s="157">
        <f t="shared" si="11"/>
        <v>44618</v>
      </c>
      <c r="Y71" s="383">
        <f t="shared" si="12"/>
        <v>40.400026303655892</v>
      </c>
      <c r="Z71" s="383">
        <f t="shared" si="13"/>
        <v>41.294775063966298</v>
      </c>
      <c r="AA71" s="384">
        <f t="shared" si="14"/>
        <v>44.581830132235908</v>
      </c>
      <c r="AB71" s="197">
        <f t="shared" si="15"/>
        <v>44618</v>
      </c>
      <c r="AC71" s="119">
        <f>IF(OR(t&lt;Tnet,NoTnet),'2021'!Resal_s+('2021'!Salim-'2021'!Resal_s)*(1-EXP(('2021'!Tnet_s-t)/'2021'!Tau_j)),Resal_s+(Salim-Resal_s)*(1-EXP((Tnet_s-t)/Tau_j)))*Salcycl</f>
        <v>7.3730823937010845E-2</v>
      </c>
      <c r="AD71" s="230">
        <f>(INDEX(Models!$BJ71:$BT71,,AH71)*(1-AF71)+INDEX(Models!$BJ71:$BT71,,AH71+1)*AF71-ERP_i)*AE71*Ramure*Pc/MaxiM</f>
        <v>5.0242261280186683E-3</v>
      </c>
      <c r="AE71" s="304">
        <f t="shared" si="16"/>
        <v>0.7</v>
      </c>
      <c r="AF71" s="177">
        <f t="shared" si="23"/>
        <v>3.8835372808887665E-3</v>
      </c>
      <c r="AG71" s="799">
        <f t="shared" si="24"/>
        <v>0</v>
      </c>
      <c r="AH71" s="176">
        <f t="shared" si="17"/>
        <v>6</v>
      </c>
      <c r="AI71" s="224">
        <f t="shared" si="18"/>
        <v>3.8835372808887665E-3</v>
      </c>
      <c r="AJ71" s="264" t="b">
        <f t="shared" si="19"/>
        <v>1</v>
      </c>
      <c r="AK71" s="264" t="b">
        <f t="shared" si="20"/>
        <v>0</v>
      </c>
      <c r="AL71" s="264"/>
      <c r="AM71" s="264"/>
      <c r="AN71" s="75"/>
    </row>
    <row r="72" spans="1:40" s="6" customFormat="1" ht="11.25" x14ac:dyDescent="0.2">
      <c r="A72" s="56">
        <f t="shared" si="21"/>
        <v>44619</v>
      </c>
      <c r="B72" s="1147">
        <v>21.401</v>
      </c>
      <c r="C72" s="388"/>
      <c r="D72" s="391">
        <f t="shared" si="0"/>
        <v>21.875392151557989</v>
      </c>
      <c r="E72" s="383">
        <f t="shared" si="1"/>
        <v>23.621320358952886</v>
      </c>
      <c r="F72" s="383">
        <f t="shared" si="2"/>
        <v>23.653945370540871</v>
      </c>
      <c r="G72" s="110">
        <f t="shared" si="22"/>
        <v>0.52517207608082073</v>
      </c>
      <c r="H72" s="412" t="b">
        <f>Wh_hp&gt;='2021'!Maxi_hp</f>
        <v>0</v>
      </c>
      <c r="I72" s="379">
        <f>IF(H72,Wh_hp,'2021'!Maxi_hp)</f>
        <v>43.222165638946798</v>
      </c>
      <c r="J72" s="85">
        <f>IF(H72,An,'2021'!An_max)</f>
        <v>2021</v>
      </c>
      <c r="K72" s="197">
        <f t="shared" si="3"/>
        <v>44619</v>
      </c>
      <c r="L72" s="147">
        <f>IF(t&lt;Tvie,1-EXP((T0-t)*PertePVj)+'2021'!Pspv,1-EXP((T0-t)*PertePVj)+Pspv)</f>
        <v>2.1686109591603442E-2</v>
      </c>
      <c r="M72" s="832"/>
      <c r="N72" s="832"/>
      <c r="O72" s="48">
        <f>IF(t&lt;Tnet,'2021'!Resal+('2021'!Salim-'2021'!Resal)*(1-EXP(('2021'!Tnet-t)/('2021'!Tau_j))),Resal+(Salim-Resal)*(1-EXP((Tnet-t)/(Tau_j))))*Salcycl</f>
        <v>7.3913235198690322E-2</v>
      </c>
      <c r="P72" s="169">
        <f>(INDEX(Models!$BJ72:$BT72,,T72)*(1-R72)+INDEX(Models!$BJ72:$BT72,,T72+1)*R72-ERP_i)*Q72*Ramure*Pc/MaxiM</f>
        <v>4.2590329578678487E-3</v>
      </c>
      <c r="Q72" s="304">
        <f t="shared" si="4"/>
        <v>0.7</v>
      </c>
      <c r="R72" s="177">
        <f t="shared" si="5"/>
        <v>0.93977889549690474</v>
      </c>
      <c r="S72" s="799">
        <f t="shared" si="6"/>
        <v>-1</v>
      </c>
      <c r="T72" s="176">
        <f t="shared" si="7"/>
        <v>5</v>
      </c>
      <c r="U72" s="250">
        <f t="shared" si="8"/>
        <v>-6.0221104503095278E-2</v>
      </c>
      <c r="V72" s="382">
        <f t="shared" si="9"/>
        <v>40.632938980678986</v>
      </c>
      <c r="W72" s="400">
        <f t="shared" si="10"/>
        <v>0</v>
      </c>
      <c r="X72" s="157">
        <f t="shared" si="11"/>
        <v>44619</v>
      </c>
      <c r="Y72" s="383">
        <f t="shared" si="12"/>
        <v>21.398979135423076</v>
      </c>
      <c r="Z72" s="383">
        <f t="shared" si="13"/>
        <v>21.873326490836273</v>
      </c>
      <c r="AA72" s="384">
        <f t="shared" si="14"/>
        <v>23.619089832829172</v>
      </c>
      <c r="AB72" s="197">
        <f t="shared" si="15"/>
        <v>44619</v>
      </c>
      <c r="AC72" s="119">
        <f>IF(OR(t&lt;Tnet,NoTnet),'2021'!Resal_s+('2021'!Salim-'2021'!Resal_s)*(1-EXP(('2021'!Tnet_s-t)/'2021'!Tau_j)),Resal_s+(Salim-Resal_s)*(1-EXP((Tnet_s-t)/Tau_j)))*Salcycl</f>
        <v>7.3913235198690322E-2</v>
      </c>
      <c r="AD72" s="230">
        <f>(INDEX(Models!$BJ72:$BT72,,AH72)*(1-AF72)+INDEX(Models!$BJ72:$BT72,,AH72+1)*AF72-ERP_i)*AE72*Ramure*Pc/MaxiM</f>
        <v>4.5502170467580606E-3</v>
      </c>
      <c r="AE72" s="304">
        <f t="shared" si="16"/>
        <v>0.7</v>
      </c>
      <c r="AF72" s="177">
        <f t="shared" si="23"/>
        <v>4.1111177567368712E-3</v>
      </c>
      <c r="AG72" s="799">
        <f t="shared" si="24"/>
        <v>0</v>
      </c>
      <c r="AH72" s="176">
        <f t="shared" si="17"/>
        <v>6</v>
      </c>
      <c r="AI72" s="224">
        <f t="shared" si="18"/>
        <v>4.1111177567368712E-3</v>
      </c>
      <c r="AJ72" s="264" t="b">
        <f t="shared" si="19"/>
        <v>1</v>
      </c>
      <c r="AK72" s="264" t="b">
        <f t="shared" si="20"/>
        <v>0</v>
      </c>
      <c r="AL72" s="264"/>
      <c r="AM72" s="264"/>
      <c r="AN72" s="75"/>
    </row>
    <row r="73" spans="1:40" s="6" customFormat="1" ht="11.25" x14ac:dyDescent="0.2">
      <c r="A73" s="56">
        <f t="shared" si="21"/>
        <v>44620</v>
      </c>
      <c r="B73" s="1147">
        <v>37.036000000000001</v>
      </c>
      <c r="C73" s="388"/>
      <c r="D73" s="391">
        <f t="shared" si="0"/>
        <v>37.857695943203808</v>
      </c>
      <c r="E73" s="383">
        <f t="shared" si="1"/>
        <v>40.887241757314015</v>
      </c>
      <c r="F73" s="383">
        <f t="shared" si="2"/>
        <v>41.02375672593805</v>
      </c>
      <c r="G73" s="110">
        <f t="shared" si="22"/>
        <v>0.90385562196329983</v>
      </c>
      <c r="H73" s="412" t="b">
        <f>Wh_hp&gt;='2021'!Maxi_hp</f>
        <v>1</v>
      </c>
      <c r="I73" s="379">
        <f>IF(H73,Wh_hp,'2021'!Maxi_hp)</f>
        <v>41.02375672593805</v>
      </c>
      <c r="J73" s="85">
        <f>IF(H73,An,'2021'!An_max)</f>
        <v>2022</v>
      </c>
      <c r="K73" s="197">
        <f t="shared" si="3"/>
        <v>44620</v>
      </c>
      <c r="L73" s="147">
        <f>IF(t&lt;Tvie,1-EXP((T0-t)*PertePVj)+'2021'!Pspv,1-EXP((T0-t)*PertePVj)+Pspv)</f>
        <v>2.1704858754123868E-2</v>
      </c>
      <c r="M73" s="832"/>
      <c r="N73" s="832"/>
      <c r="O73" s="48">
        <f>IF(t&lt;Tnet,'2021'!Resal+('2021'!Salim-'2021'!Resal)*(1-EXP(('2021'!Tnet-t)/('2021'!Tau_j))),Resal+(Salim-Resal)*(1-EXP((Tnet-t)/(Tau_j))))*Salcycl</f>
        <v>7.4095137845004599E-2</v>
      </c>
      <c r="P73" s="169">
        <f>(INDEX(Models!$BJ73:$BT73,,T73)*(1-R73)+INDEX(Models!$BJ73:$BT73,,T73+1)*R73-ERP_i)*Q73*Ramure*Pc/MaxiM</f>
        <v>3.854483116853651E-3</v>
      </c>
      <c r="Q73" s="304">
        <f t="shared" si="4"/>
        <v>0.7</v>
      </c>
      <c r="R73" s="177">
        <f t="shared" si="5"/>
        <v>0.94001574475497485</v>
      </c>
      <c r="S73" s="799">
        <f t="shared" si="6"/>
        <v>-1</v>
      </c>
      <c r="T73" s="176">
        <f t="shared" si="7"/>
        <v>5</v>
      </c>
      <c r="U73" s="250">
        <f t="shared" si="8"/>
        <v>-5.9984255245025153E-2</v>
      </c>
      <c r="V73" s="382">
        <f t="shared" si="9"/>
        <v>40.953913671803988</v>
      </c>
      <c r="W73" s="400">
        <f t="shared" si="10"/>
        <v>0</v>
      </c>
      <c r="X73" s="157">
        <f t="shared" si="11"/>
        <v>44620</v>
      </c>
      <c r="Y73" s="383">
        <f t="shared" si="12"/>
        <v>37.027491475228821</v>
      </c>
      <c r="Z73" s="383">
        <f t="shared" si="13"/>
        <v>37.848998644799217</v>
      </c>
      <c r="AA73" s="384">
        <f t="shared" si="14"/>
        <v>40.877848461350162</v>
      </c>
      <c r="AB73" s="197">
        <f t="shared" si="15"/>
        <v>44620</v>
      </c>
      <c r="AC73" s="119">
        <f>IF(OR(t&lt;Tnet,NoTnet),'2021'!Resal_s+('2021'!Salim-'2021'!Resal_s)*(1-EXP(('2021'!Tnet_s-t)/'2021'!Tau_j)),Resal_s+(Salim-Resal_s)*(1-EXP((Tnet_s-t)/Tau_j)))*Salcycl</f>
        <v>7.4095137845004599E-2</v>
      </c>
      <c r="AD73" s="230">
        <f>(INDEX(Models!$BJ73:$BT73,,AH73)*(1-AF73)+INDEX(Models!$BJ73:$BT73,,AH73+1)*AF73-ERP_i)*AE73*Ramure*Pc/MaxiM</f>
        <v>4.1197016571294367E-3</v>
      </c>
      <c r="AE73" s="304">
        <f t="shared" si="16"/>
        <v>0.7</v>
      </c>
      <c r="AF73" s="177">
        <f t="shared" si="23"/>
        <v>4.347967014806998E-3</v>
      </c>
      <c r="AG73" s="799">
        <f t="shared" si="24"/>
        <v>0</v>
      </c>
      <c r="AH73" s="176">
        <f t="shared" si="17"/>
        <v>6</v>
      </c>
      <c r="AI73" s="224">
        <f t="shared" si="18"/>
        <v>4.347967014806998E-3</v>
      </c>
      <c r="AJ73" s="264" t="b">
        <f t="shared" si="19"/>
        <v>1</v>
      </c>
      <c r="AK73" s="264" t="b">
        <f t="shared" si="20"/>
        <v>0</v>
      </c>
      <c r="AL73" s="264"/>
      <c r="AM73" s="264"/>
      <c r="AN73" s="75"/>
    </row>
    <row r="74" spans="1:40" s="6" customFormat="1" ht="11.25" x14ac:dyDescent="0.2">
      <c r="A74" s="56">
        <f t="shared" si="21"/>
        <v>44621</v>
      </c>
      <c r="B74" s="1147">
        <v>40.997999999999998</v>
      </c>
      <c r="C74" s="388"/>
      <c r="D74" s="391">
        <f t="shared" si="0"/>
        <v>41.908401671261039</v>
      </c>
      <c r="E74" s="383">
        <f t="shared" si="1"/>
        <v>45.270972843797907</v>
      </c>
      <c r="F74" s="383">
        <f t="shared" si="2"/>
        <v>45.428013886424807</v>
      </c>
      <c r="G74" s="110">
        <f t="shared" si="22"/>
        <v>0.9933063363266722</v>
      </c>
      <c r="H74" s="412" t="b">
        <f>Wh_hp&gt;='2021'!Maxi_hp</f>
        <v>1</v>
      </c>
      <c r="I74" s="379">
        <f>IF(H74,Wh_hp,'2021'!Maxi_hp)</f>
        <v>45.428013886424807</v>
      </c>
      <c r="J74" s="85">
        <f>IF(H74,An,'2021'!An_max)</f>
        <v>2022</v>
      </c>
      <c r="K74" s="197">
        <f t="shared" si="3"/>
        <v>44621</v>
      </c>
      <c r="L74" s="147">
        <f>IF(t&lt;Tvie,1-EXP((T0-t)*PertePVj)+'2021'!Pspv,1-EXP((T0-t)*PertePVj)+Pspv)</f>
        <v>2.1723607557320834E-2</v>
      </c>
      <c r="M74" s="832"/>
      <c r="N74" s="832"/>
      <c r="O74" s="48">
        <f>IF(t&lt;Tnet,'2021'!Resal+('2021'!Salim-'2021'!Resal)*(1-EXP(('2021'!Tnet-t)/('2021'!Tau_j))),Resal+(Salim-Resal)*(1-EXP((Tnet-t)/(Tau_j))))*Salcycl</f>
        <v>7.4276538835138683E-2</v>
      </c>
      <c r="P74" s="169">
        <f>(INDEX(Models!$BJ74:$BT74,,T74)*(1-R74)+INDEX(Models!$BJ74:$BT74,,T74+1)*R74-ERP_i)*Q74*Ramure*Pc/MaxiM</f>
        <v>3.4901296135133254E-3</v>
      </c>
      <c r="Q74" s="304">
        <f t="shared" si="4"/>
        <v>0.7</v>
      </c>
      <c r="R74" s="177">
        <f t="shared" si="5"/>
        <v>0.94026222831102191</v>
      </c>
      <c r="S74" s="799">
        <f t="shared" si="6"/>
        <v>-1</v>
      </c>
      <c r="T74" s="176">
        <f t="shared" si="7"/>
        <v>5</v>
      </c>
      <c r="U74" s="250">
        <f t="shared" si="8"/>
        <v>-5.9737771688978127E-2</v>
      </c>
      <c r="V74" s="382">
        <f t="shared" si="9"/>
        <v>41.272900695081006</v>
      </c>
      <c r="W74" s="400">
        <f t="shared" si="10"/>
        <v>0</v>
      </c>
      <c r="X74" s="157">
        <f t="shared" si="11"/>
        <v>44621</v>
      </c>
      <c r="Y74" s="383">
        <f t="shared" si="12"/>
        <v>40.988156979808281</v>
      </c>
      <c r="Z74" s="383">
        <f t="shared" si="13"/>
        <v>41.898340076942958</v>
      </c>
      <c r="AA74" s="384">
        <f t="shared" si="14"/>
        <v>45.260103945319926</v>
      </c>
      <c r="AB74" s="197">
        <f t="shared" si="15"/>
        <v>44621</v>
      </c>
      <c r="AC74" s="119">
        <f>IF(OR(t&lt;Tnet,NoTnet),'2021'!Resal_s+('2021'!Salim-'2021'!Resal_s)*(1-EXP(('2021'!Tnet_s-t)/'2021'!Tau_j)),Resal_s+(Salim-Resal_s)*(1-EXP((Tnet_s-t)/Tau_j)))*Salcycl</f>
        <v>7.4276538835138683E-2</v>
      </c>
      <c r="AD74" s="230">
        <f>(INDEX(Models!$BJ74:$BT74,,AH74)*(1-AF74)+INDEX(Models!$BJ74:$BT74,,AH74+1)*AF74-ERP_i)*AE74*Ramure*Pc/MaxiM</f>
        <v>3.7316834379768063E-3</v>
      </c>
      <c r="AE74" s="304">
        <f t="shared" si="16"/>
        <v>0.7</v>
      </c>
      <c r="AF74" s="177">
        <f t="shared" si="23"/>
        <v>4.5944505708540237E-3</v>
      </c>
      <c r="AG74" s="799">
        <f t="shared" si="24"/>
        <v>0</v>
      </c>
      <c r="AH74" s="176">
        <f t="shared" si="17"/>
        <v>6</v>
      </c>
      <c r="AI74" s="224">
        <f t="shared" si="18"/>
        <v>4.5944505708540237E-3</v>
      </c>
      <c r="AJ74" s="264" t="b">
        <f t="shared" si="19"/>
        <v>1</v>
      </c>
      <c r="AK74" s="264" t="b">
        <f t="shared" si="20"/>
        <v>0</v>
      </c>
      <c r="AL74" s="264"/>
      <c r="AM74" s="264"/>
      <c r="AN74" s="75"/>
    </row>
    <row r="75" spans="1:40" s="6" customFormat="1" ht="11.25" x14ac:dyDescent="0.2">
      <c r="A75" s="56">
        <f t="shared" si="21"/>
        <v>44622</v>
      </c>
      <c r="B75" s="1147">
        <v>14.207000000000001</v>
      </c>
      <c r="C75" s="388"/>
      <c r="D75" s="391">
        <f t="shared" si="0"/>
        <v>14.522758996215364</v>
      </c>
      <c r="E75" s="383">
        <f t="shared" si="1"/>
        <v>15.691076486427574</v>
      </c>
      <c r="F75" s="383">
        <f t="shared" si="2"/>
        <v>15.694028281101195</v>
      </c>
      <c r="G75" s="110">
        <f t="shared" si="22"/>
        <v>0.34058023121220776</v>
      </c>
      <c r="H75" s="412" t="b">
        <f>Wh_hp&gt;='2021'!Maxi_hp</f>
        <v>0</v>
      </c>
      <c r="I75" s="379">
        <f>IF(H75,Wh_hp,'2021'!Maxi_hp)</f>
        <v>33.203726330911472</v>
      </c>
      <c r="J75" s="85">
        <f>IF(H75,An,'2021'!An_max)</f>
        <v>2020</v>
      </c>
      <c r="K75" s="197">
        <f t="shared" si="3"/>
        <v>44622</v>
      </c>
      <c r="L75" s="147">
        <f>IF(t&lt;Tvie,1-EXP((T0-t)*PertePVj)+'2021'!Pspv,1-EXP((T0-t)*PertePVj)+Pspv)</f>
        <v>2.1742356001201335E-2</v>
      </c>
      <c r="M75" s="832"/>
      <c r="N75" s="832"/>
      <c r="O75" s="48">
        <f>IF(t&lt;Tnet,'2021'!Resal+('2021'!Salim-'2021'!Resal)*(1-EXP(('2021'!Tnet-t)/('2021'!Tau_j))),Resal+(Salim-Resal)*(1-EXP((Tnet-t)/(Tau_j))))*Salcycl</f>
        <v>7.4457446639991764E-2</v>
      </c>
      <c r="P75" s="169">
        <f>(INDEX(Models!$BJ75:$BT75,,T75)*(1-R75)+INDEX(Models!$BJ75:$BT75,,T75+1)*R75-ERP_i)*Q75*Ramure*Pc/MaxiM</f>
        <v>3.1650752412197931E-3</v>
      </c>
      <c r="Q75" s="304">
        <f t="shared" si="4"/>
        <v>0.7</v>
      </c>
      <c r="R75" s="177">
        <f t="shared" si="5"/>
        <v>0.94051872508643108</v>
      </c>
      <c r="S75" s="799">
        <f t="shared" si="6"/>
        <v>-1</v>
      </c>
      <c r="T75" s="176">
        <f t="shared" si="7"/>
        <v>5</v>
      </c>
      <c r="U75" s="250">
        <f t="shared" si="8"/>
        <v>-5.9481274913568888E-2</v>
      </c>
      <c r="V75" s="382">
        <f t="shared" si="9"/>
        <v>41.589900499590598</v>
      </c>
      <c r="W75" s="400">
        <f t="shared" si="10"/>
        <v>0</v>
      </c>
      <c r="X75" s="157">
        <f t="shared" si="11"/>
        <v>44622</v>
      </c>
      <c r="Y75" s="383">
        <f t="shared" si="12"/>
        <v>14.206814125579728</v>
      </c>
      <c r="Z75" s="383">
        <f t="shared" si="13"/>
        <v>14.522568990625924</v>
      </c>
      <c r="AA75" s="384">
        <f t="shared" si="14"/>
        <v>15.690871195391793</v>
      </c>
      <c r="AB75" s="197">
        <f t="shared" si="15"/>
        <v>44622</v>
      </c>
      <c r="AC75" s="119">
        <f>IF(OR(t&lt;Tnet,NoTnet),'2021'!Resal_s+('2021'!Salim-'2021'!Resal_s)*(1-EXP(('2021'!Tnet_s-t)/'2021'!Tau_j)),Resal_s+(Salim-Resal_s)*(1-EXP((Tnet_s-t)/Tau_j)))*Salcycl</f>
        <v>7.4457446639991764E-2</v>
      </c>
      <c r="AD75" s="230">
        <f>(INDEX(Models!$BJ75:$BT75,,AH75)*(1-AF75)+INDEX(Models!$BJ75:$BT75,,AH75+1)*AF75-ERP_i)*AE75*Ramure*Pc/MaxiM</f>
        <v>3.3851994864460551E-3</v>
      </c>
      <c r="AE75" s="304">
        <f t="shared" si="16"/>
        <v>0.7</v>
      </c>
      <c r="AF75" s="177">
        <f t="shared" si="23"/>
        <v>4.8509473462632659E-3</v>
      </c>
      <c r="AG75" s="799">
        <f t="shared" si="24"/>
        <v>0</v>
      </c>
      <c r="AH75" s="176">
        <f t="shared" si="17"/>
        <v>6</v>
      </c>
      <c r="AI75" s="224">
        <f t="shared" si="18"/>
        <v>4.8509473462632659E-3</v>
      </c>
      <c r="AJ75" s="264" t="b">
        <f t="shared" si="19"/>
        <v>1</v>
      </c>
      <c r="AK75" s="264" t="b">
        <f t="shared" si="20"/>
        <v>0</v>
      </c>
      <c r="AL75" s="264"/>
      <c r="AM75" s="264"/>
      <c r="AN75" s="75"/>
    </row>
    <row r="76" spans="1:40" s="6" customFormat="1" ht="11.25" x14ac:dyDescent="0.2">
      <c r="A76" s="56">
        <f t="shared" si="21"/>
        <v>44623</v>
      </c>
      <c r="B76" s="1147">
        <v>37.029000000000003</v>
      </c>
      <c r="C76" s="388"/>
      <c r="D76" s="391">
        <f t="shared" si="0"/>
        <v>37.852716912665791</v>
      </c>
      <c r="E76" s="383">
        <f t="shared" si="1"/>
        <v>40.905841872677371</v>
      </c>
      <c r="F76" s="383">
        <f t="shared" si="2"/>
        <v>41.004251522825243</v>
      </c>
      <c r="G76" s="110">
        <f t="shared" si="22"/>
        <v>0.88321958519304244</v>
      </c>
      <c r="H76" s="412" t="b">
        <f>Wh_hp&gt;='2021'!Maxi_hp</f>
        <v>1</v>
      </c>
      <c r="I76" s="379">
        <f>IF(H76,Wh_hp,'2021'!Maxi_hp)</f>
        <v>41.004251522825243</v>
      </c>
      <c r="J76" s="85">
        <f>IF(H76,An,'2021'!An_max)</f>
        <v>2022</v>
      </c>
      <c r="K76" s="197">
        <f t="shared" si="3"/>
        <v>44623</v>
      </c>
      <c r="L76" s="147">
        <f>IF(t&lt;Tvie,1-EXP((T0-t)*PertePVj)+'2021'!Pspv,1-EXP((T0-t)*PertePVj)+Pspv)</f>
        <v>2.1761104085772143E-2</v>
      </c>
      <c r="M76" s="832"/>
      <c r="N76" s="832"/>
      <c r="O76" s="48">
        <f>IF(t&lt;Tnet,'2021'!Resal+('2021'!Salim-'2021'!Resal)*(1-EXP(('2021'!Tnet-t)/('2021'!Tau_j))),Resal+(Salim-Resal)*(1-EXP((Tnet-t)/(Tau_j))))*Salcycl</f>
        <v>7.4637871273122047E-2</v>
      </c>
      <c r="P76" s="169">
        <f>(INDEX(Models!$BJ76:$BT76,,T76)*(1-R76)+INDEX(Models!$BJ76:$BT76,,T76+1)*R76-ERP_i)*Q76*Ramure*Pc/MaxiM</f>
        <v>2.8784537957104767E-3</v>
      </c>
      <c r="Q76" s="304">
        <f t="shared" si="4"/>
        <v>0.7</v>
      </c>
      <c r="R76" s="177">
        <f t="shared" si="5"/>
        <v>0.9407856278143174</v>
      </c>
      <c r="S76" s="799">
        <f t="shared" si="6"/>
        <v>-1</v>
      </c>
      <c r="T76" s="176">
        <f t="shared" si="7"/>
        <v>5</v>
      </c>
      <c r="U76" s="250">
        <f t="shared" si="8"/>
        <v>-5.9214372185682582E-2</v>
      </c>
      <c r="V76" s="382">
        <f t="shared" si="9"/>
        <v>41.904913378036291</v>
      </c>
      <c r="W76" s="400">
        <f t="shared" si="10"/>
        <v>0</v>
      </c>
      <c r="X76" s="157">
        <f t="shared" si="11"/>
        <v>44623</v>
      </c>
      <c r="Y76" s="383">
        <f t="shared" si="12"/>
        <v>37.022783585840358</v>
      </c>
      <c r="Z76" s="383">
        <f t="shared" si="13"/>
        <v>37.846362213230293</v>
      </c>
      <c r="AA76" s="384">
        <f t="shared" si="14"/>
        <v>40.898974615807631</v>
      </c>
      <c r="AB76" s="197">
        <f t="shared" si="15"/>
        <v>44623</v>
      </c>
      <c r="AC76" s="119">
        <f>IF(OR(t&lt;Tnet,NoTnet),'2021'!Resal_s+('2021'!Salim-'2021'!Resal_s)*(1-EXP(('2021'!Tnet_s-t)/'2021'!Tau_j)),Resal_s+(Salim-Resal_s)*(1-EXP((Tnet_s-t)/Tau_j)))*Salcycl</f>
        <v>7.4637871273122047E-2</v>
      </c>
      <c r="AD76" s="230">
        <f>(INDEX(Models!$BJ76:$BT76,,AH76)*(1-AF76)+INDEX(Models!$BJ76:$BT76,,AH76+1)*AF76-ERP_i)*AE76*Ramure*Pc/MaxiM</f>
        <v>3.0793190723691238E-3</v>
      </c>
      <c r="AE76" s="304">
        <f t="shared" si="16"/>
        <v>0.7</v>
      </c>
      <c r="AF76" s="177">
        <f t="shared" si="23"/>
        <v>5.1178500741495721E-3</v>
      </c>
      <c r="AG76" s="799">
        <f t="shared" si="24"/>
        <v>0</v>
      </c>
      <c r="AH76" s="176">
        <f t="shared" si="17"/>
        <v>6</v>
      </c>
      <c r="AI76" s="224">
        <f t="shared" si="18"/>
        <v>5.1178500741495721E-3</v>
      </c>
      <c r="AJ76" s="264" t="b">
        <f t="shared" si="19"/>
        <v>1</v>
      </c>
      <c r="AK76" s="264" t="b">
        <f t="shared" si="20"/>
        <v>0</v>
      </c>
      <c r="AL76" s="264"/>
      <c r="AM76" s="264"/>
      <c r="AN76" s="75"/>
    </row>
    <row r="77" spans="1:40" s="6" customFormat="1" ht="11.25" x14ac:dyDescent="0.2">
      <c r="A77" s="56">
        <f t="shared" si="21"/>
        <v>44624</v>
      </c>
      <c r="B77" s="1147">
        <v>4.931</v>
      </c>
      <c r="C77" s="388"/>
      <c r="D77" s="391">
        <f t="shared" si="0"/>
        <v>5.0407876070934226</v>
      </c>
      <c r="E77" s="383">
        <f t="shared" si="1"/>
        <v>5.4484270660988248</v>
      </c>
      <c r="F77" s="383">
        <f t="shared" si="2"/>
        <v>5.4484270660988248</v>
      </c>
      <c r="G77" s="110">
        <f t="shared" si="22"/>
        <v>0.11649157559473698</v>
      </c>
      <c r="H77" s="412" t="b">
        <f>Wh_hp&gt;='2021'!Maxi_hp</f>
        <v>0</v>
      </c>
      <c r="I77" s="379">
        <f>IF(H77,Wh_hp,'2021'!Maxi_hp)</f>
        <v>31.937048727030085</v>
      </c>
      <c r="J77" s="85">
        <f>IF(H77,An,'2021'!An_max)</f>
        <v>2021</v>
      </c>
      <c r="K77" s="197">
        <f t="shared" si="3"/>
        <v>44624</v>
      </c>
      <c r="L77" s="147">
        <f>IF(t&lt;Tvie,1-EXP((T0-t)*PertePVj)+'2021'!Pspv,1-EXP((T0-t)*PertePVj)+Pspv)</f>
        <v>2.1779851811040141E-2</v>
      </c>
      <c r="M77" s="832"/>
      <c r="N77" s="832"/>
      <c r="O77" s="48">
        <f>IF(t&lt;Tnet,'2021'!Resal+('2021'!Salim-'2021'!Resal)*(1-EXP(('2021'!Tnet-t)/('2021'!Tau_j))),Resal+(Salim-Resal)*(1-EXP((Tnet-t)/(Tau_j))))*Salcycl</f>
        <v>7.4817824311499706E-2</v>
      </c>
      <c r="P77" s="169">
        <f>(INDEX(Models!$BJ77:$BT77,,T77)*(1-R77)+INDEX(Models!$BJ77:$BT77,,T77+1)*R77-ERP_i)*Q77*Ramure*Pc/MaxiM</f>
        <v>2.6294288625723621E-3</v>
      </c>
      <c r="Q77" s="304">
        <f t="shared" si="4"/>
        <v>0.7</v>
      </c>
      <c r="R77" s="177">
        <f t="shared" si="5"/>
        <v>0.94106334345039611</v>
      </c>
      <c r="S77" s="799">
        <f t="shared" si="6"/>
        <v>-1</v>
      </c>
      <c r="T77" s="176">
        <f t="shared" si="7"/>
        <v>5</v>
      </c>
      <c r="U77" s="250">
        <f t="shared" si="8"/>
        <v>-5.893665654960395E-2</v>
      </c>
      <c r="V77" s="382">
        <f t="shared" si="9"/>
        <v>42.217939461888868</v>
      </c>
      <c r="W77" s="400">
        <f t="shared" si="10"/>
        <v>0</v>
      </c>
      <c r="X77" s="157">
        <f t="shared" si="11"/>
        <v>44624</v>
      </c>
      <c r="Y77" s="383">
        <f t="shared" si="12"/>
        <v>4.931</v>
      </c>
      <c r="Z77" s="383">
        <f t="shared" si="13"/>
        <v>5.0407876070934226</v>
      </c>
      <c r="AA77" s="384">
        <f t="shared" si="14"/>
        <v>5.4484270660988248</v>
      </c>
      <c r="AB77" s="197">
        <f t="shared" si="15"/>
        <v>44624</v>
      </c>
      <c r="AC77" s="119">
        <f>IF(OR(t&lt;Tnet,NoTnet),'2021'!Resal_s+('2021'!Salim-'2021'!Resal_s)*(1-EXP(('2021'!Tnet_s-t)/'2021'!Tau_j)),Resal_s+(Salim-Resal_s)*(1-EXP((Tnet_s-t)/Tau_j)))*Salcycl</f>
        <v>7.4817824311499706E-2</v>
      </c>
      <c r="AD77" s="230">
        <f>(INDEX(Models!$BJ77:$BT77,,AH77)*(1-AF77)+INDEX(Models!$BJ77:$BT77,,AH77+1)*AF77-ERP_i)*AE77*Ramure*Pc/MaxiM</f>
        <v>2.813142313414869E-3</v>
      </c>
      <c r="AE77" s="304">
        <f t="shared" si="16"/>
        <v>0.7</v>
      </c>
      <c r="AF77" s="177">
        <f t="shared" si="23"/>
        <v>5.3955657102282006E-3</v>
      </c>
      <c r="AG77" s="799">
        <f t="shared" si="24"/>
        <v>0</v>
      </c>
      <c r="AH77" s="176">
        <f t="shared" si="17"/>
        <v>6</v>
      </c>
      <c r="AI77" s="224">
        <f t="shared" si="18"/>
        <v>5.3955657102282006E-3</v>
      </c>
      <c r="AJ77" s="264" t="b">
        <f t="shared" si="19"/>
        <v>1</v>
      </c>
      <c r="AK77" s="264" t="b">
        <f t="shared" si="20"/>
        <v>0</v>
      </c>
      <c r="AL77" s="264"/>
      <c r="AM77" s="264"/>
      <c r="AN77" s="75"/>
    </row>
    <row r="78" spans="1:40" s="6" customFormat="1" ht="11.25" x14ac:dyDescent="0.2">
      <c r="A78" s="56">
        <f t="shared" si="21"/>
        <v>44625</v>
      </c>
      <c r="B78" s="1147">
        <v>15.178000000000001</v>
      </c>
      <c r="C78" s="388"/>
      <c r="D78" s="391">
        <f t="shared" si="0"/>
        <v>15.516232124826578</v>
      </c>
      <c r="E78" s="383">
        <f t="shared" si="1"/>
        <v>16.77425637996701</v>
      </c>
      <c r="F78" s="383">
        <f t="shared" si="2"/>
        <v>16.777552080562103</v>
      </c>
      <c r="G78" s="110">
        <f t="shared" si="22"/>
        <v>0.35609335508012863</v>
      </c>
      <c r="H78" s="412" t="b">
        <f>Wh_hp&gt;='2021'!Maxi_hp</f>
        <v>0</v>
      </c>
      <c r="I78" s="379">
        <f>IF(H78,Wh_hp,'2021'!Maxi_hp)</f>
        <v>34.948583246258117</v>
      </c>
      <c r="J78" s="85">
        <f>IF(H78,An,'2021'!An_max)</f>
        <v>2021</v>
      </c>
      <c r="K78" s="197">
        <f t="shared" si="3"/>
        <v>44625</v>
      </c>
      <c r="L78" s="147">
        <f>IF(t&lt;Tvie,1-EXP((T0-t)*PertePVj)+'2021'!Pspv,1-EXP((T0-t)*PertePVj)+Pspv)</f>
        <v>2.1798599177012323E-2</v>
      </c>
      <c r="M78" s="832"/>
      <c r="N78" s="832"/>
      <c r="O78" s="48">
        <f>IF(t&lt;Tnet,'2021'!Resal+('2021'!Salim-'2021'!Resal)*(1-EXP(('2021'!Tnet-t)/('2021'!Tau_j))),Resal+(Salim-Resal)*(1-EXP((Tnet-t)/(Tau_j))))*Salcycl</f>
        <v>7.4997318906061941E-2</v>
      </c>
      <c r="P78" s="169">
        <f>(INDEX(Models!$BJ78:$BT78,,T78)*(1-R78)+INDEX(Models!$BJ78:$BT78,,T78+1)*R78-ERP_i)*Q78*Ramure*Pc/MaxiM</f>
        <v>2.4171927159857328E-3</v>
      </c>
      <c r="Q78" s="304">
        <f t="shared" si="4"/>
        <v>0.7</v>
      </c>
      <c r="R78" s="177">
        <f t="shared" si="5"/>
        <v>0.94135229358791261</v>
      </c>
      <c r="S78" s="799">
        <f t="shared" si="6"/>
        <v>-1</v>
      </c>
      <c r="T78" s="176">
        <f t="shared" si="7"/>
        <v>5</v>
      </c>
      <c r="U78" s="250">
        <f t="shared" si="8"/>
        <v>-5.8647706412087434E-2</v>
      </c>
      <c r="V78" s="382">
        <f t="shared" si="9"/>
        <v>42.528978715295715</v>
      </c>
      <c r="W78" s="400">
        <f t="shared" si="10"/>
        <v>0</v>
      </c>
      <c r="X78" s="157">
        <f t="shared" si="11"/>
        <v>44625</v>
      </c>
      <c r="Y78" s="383">
        <f t="shared" si="12"/>
        <v>15.177791991340325</v>
      </c>
      <c r="Z78" s="383">
        <f t="shared" si="13"/>
        <v>15.516019480825555</v>
      </c>
      <c r="AA78" s="384">
        <f t="shared" si="14"/>
        <v>16.774026495226813</v>
      </c>
      <c r="AB78" s="197">
        <f t="shared" si="15"/>
        <v>44625</v>
      </c>
      <c r="AC78" s="119">
        <f>IF(OR(t&lt;Tnet,NoTnet),'2021'!Resal_s+('2021'!Salim-'2021'!Resal_s)*(1-EXP(('2021'!Tnet_s-t)/'2021'!Tau_j)),Resal_s+(Salim-Resal_s)*(1-EXP((Tnet_s-t)/Tau_j)))*Salcycl</f>
        <v>7.4997318906061941E-2</v>
      </c>
      <c r="AD78" s="230">
        <f>(INDEX(Models!$BJ78:$BT78,,AH78)*(1-AF78)+INDEX(Models!$BJ78:$BT78,,AH78+1)*AF78-ERP_i)*AE78*Ramure*Pc/MaxiM</f>
        <v>2.5857989663071756E-3</v>
      </c>
      <c r="AE78" s="304">
        <f t="shared" si="16"/>
        <v>0.7</v>
      </c>
      <c r="AF78" s="177">
        <f t="shared" si="23"/>
        <v>5.6845158477447149E-3</v>
      </c>
      <c r="AG78" s="799">
        <f t="shared" si="24"/>
        <v>0</v>
      </c>
      <c r="AH78" s="176">
        <f t="shared" si="17"/>
        <v>6</v>
      </c>
      <c r="AI78" s="224">
        <f t="shared" si="18"/>
        <v>5.6845158477447149E-3</v>
      </c>
      <c r="AJ78" s="264" t="b">
        <f t="shared" si="19"/>
        <v>1</v>
      </c>
      <c r="AK78" s="264" t="b">
        <f t="shared" si="20"/>
        <v>0</v>
      </c>
      <c r="AL78" s="264"/>
      <c r="AM78" s="264"/>
      <c r="AN78" s="75"/>
    </row>
    <row r="79" spans="1:40" s="6" customFormat="1" ht="11.25" x14ac:dyDescent="0.2">
      <c r="A79" s="56">
        <f t="shared" si="21"/>
        <v>44626</v>
      </c>
      <c r="B79" s="1147">
        <v>21.885000000000002</v>
      </c>
      <c r="C79" s="388"/>
      <c r="D79" s="391">
        <f t="shared" ref="D79:D142" si="25">Wh/(1-Ppv)</f>
        <v>22.373122151182454</v>
      </c>
      <c r="E79" s="383">
        <f t="shared" si="1"/>
        <v>24.191771728316098</v>
      </c>
      <c r="F79" s="383">
        <f t="shared" ref="F79:F142" si="26">Wh_sa/(1-Pvg*MEDIAN((-Sdif+Wh/Env_an)/Csdif,0,1))</f>
        <v>24.208113232054881</v>
      </c>
      <c r="G79" s="110">
        <f t="shared" si="22"/>
        <v>0.51006463497929044</v>
      </c>
      <c r="H79" s="412" t="b">
        <f>Wh_hp&gt;='2021'!Maxi_hp</f>
        <v>1</v>
      </c>
      <c r="I79" s="379">
        <f>IF(H79,Wh_hp,'2021'!Maxi_hp)</f>
        <v>24.208113232054881</v>
      </c>
      <c r="J79" s="85">
        <f>IF(H79,An,'2021'!An_max)</f>
        <v>2022</v>
      </c>
      <c r="K79" s="197">
        <f t="shared" ref="K79:K142" si="27">t</f>
        <v>44626</v>
      </c>
      <c r="L79" s="147">
        <f>IF(t&lt;Tvie,1-EXP((T0-t)*PertePVj)+'2021'!Pspv,1-EXP((T0-t)*PertePVj)+Pspv)</f>
        <v>2.1817346183695463E-2</v>
      </c>
      <c r="M79" s="832"/>
      <c r="N79" s="832"/>
      <c r="O79" s="48">
        <f>IF(t&lt;Tnet,'2021'!Resal+('2021'!Salim-'2021'!Resal)*(1-EXP(('2021'!Tnet-t)/('2021'!Tau_j))),Resal+(Salim-Resal)*(1-EXP((Tnet-t)/(Tau_j))))*Salcycl</f>
        <v>7.5176369782166089E-2</v>
      </c>
      <c r="P79" s="169">
        <f>(INDEX(Models!$BJ79:$BT79,,T79)*(1-R79)+INDEX(Models!$BJ79:$BT79,,T79+1)*R79-ERP_i)*Q79*Ramure*Pc/MaxiM</f>
        <v>2.2409097356266765E-3</v>
      </c>
      <c r="Q79" s="304">
        <f t="shared" ref="Q79:Q142" si="28">IF(OR(t&lt;Ttai,Notai),Dd+PousD*Croivg,Dens+PousD*(Croivg-Croi_tai))</f>
        <v>0.7</v>
      </c>
      <c r="R79" s="177">
        <f t="shared" ref="R79:R142" si="29">(Hp_vg-S79)/(INDEX(Echel_vg,T79+1)-S79)</f>
        <v>0.94165291487583103</v>
      </c>
      <c r="S79" s="799">
        <f t="shared" ref="S79:S142" si="30">INDEX(Echel_vg,T79)</f>
        <v>-1</v>
      </c>
      <c r="T79" s="176">
        <f t="shared" ref="T79:T142" si="31">MIN(MATCH(Hp_vg,Echel_vg),10)</f>
        <v>5</v>
      </c>
      <c r="U79" s="250">
        <f t="shared" ref="U79:U142" si="32">IF(OR(t&lt;Ttai,Notai),Hdd+PousH*Croivg,Hdtf+PousH*(Croivg-Croi_tai))</f>
        <v>-5.8347085124168932E-2</v>
      </c>
      <c r="V79" s="382">
        <f t="shared" ref="V79:V142" si="33">MaxiM*(1-Ppv)*(1-Pvg)*(1-Psa)</f>
        <v>42.839095963565207</v>
      </c>
      <c r="W79" s="400">
        <f t="shared" ref="W79:W142" si="34">Wh*(A79&gt;Tmaj)</f>
        <v>0</v>
      </c>
      <c r="X79" s="157">
        <f t="shared" ref="X79:X142" si="35">t</f>
        <v>44626</v>
      </c>
      <c r="Y79" s="383">
        <f t="shared" ref="Y79:Y142" si="36">Wh_pvt_s*(1-Ppv)</f>
        <v>21.883974310549501</v>
      </c>
      <c r="Z79" s="383">
        <f t="shared" ref="Z79:Z142" si="37">Wh_sa_s*(1-Psa_s)</f>
        <v>22.372073584796105</v>
      </c>
      <c r="AA79" s="384">
        <f t="shared" ref="AA79:AA142" si="38">Wh_hp*(1-Pvg_s*MEDIAN((-Sdif+Wh/Env_an)/Csdif,0,1))</f>
        <v>24.190637926851593</v>
      </c>
      <c r="AB79" s="197">
        <f t="shared" ref="AB79:AB142" si="39">t</f>
        <v>44626</v>
      </c>
      <c r="AC79" s="119">
        <f>IF(OR(t&lt;Tnet,NoTnet),'2021'!Resal_s+('2021'!Salim-'2021'!Resal_s)*(1-EXP(('2021'!Tnet_s-t)/'2021'!Tau_j)),Resal_s+(Salim-Resal_s)*(1-EXP((Tnet_s-t)/Tau_j)))*Salcycl</f>
        <v>7.5176369782166089E-2</v>
      </c>
      <c r="AD79" s="230">
        <f>(INDEX(Models!$BJ79:$BT79,,AH79)*(1-AF79)+INDEX(Models!$BJ79:$BT79,,AH79+1)*AF79-ERP_i)*AE79*Ramure*Pc/MaxiM</f>
        <v>2.3963878838248217E-3</v>
      </c>
      <c r="AE79" s="304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5.9851371356632148E-3</v>
      </c>
      <c r="AG79" s="799">
        <f t="shared" si="24"/>
        <v>0</v>
      </c>
      <c r="AH79" s="176">
        <f t="shared" ref="AH79:AH142" si="42">MIN(MATCH(Hp_vg_s,Echel_vg),10)</f>
        <v>6</v>
      </c>
      <c r="AI79" s="224">
        <f t="shared" ref="AI79:AI142" si="43">IF(OR(t&lt;Ttai,Notai),Hdd_s+PousH*Croivg,Hdtai_s+PousH*(Croivg-Croi_tai))</f>
        <v>5.9851371356632148E-3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44627</v>
      </c>
      <c r="B80" s="1147">
        <v>34.103999999999999</v>
      </c>
      <c r="C80" s="388"/>
      <c r="D80" s="391">
        <f t="shared" si="25"/>
        <v>34.865322416881128</v>
      </c>
      <c r="E80" s="383">
        <f t="shared" ref="E80:E143" si="47">Wh_pvt/(1-Psa)</f>
        <v>37.706711399090118</v>
      </c>
      <c r="F80" s="383">
        <f t="shared" si="26"/>
        <v>37.762488842107338</v>
      </c>
      <c r="G80" s="110">
        <f t="shared" ref="G80:G143" si="48">+Wh_hp/MaxiM</f>
        <v>0.78988409897058443</v>
      </c>
      <c r="H80" s="412" t="b">
        <f>Wh_hp&gt;='2021'!Maxi_hp</f>
        <v>1</v>
      </c>
      <c r="I80" s="379">
        <f>IF(H80,Wh_hp,'2021'!Maxi_hp)</f>
        <v>37.762488842107338</v>
      </c>
      <c r="J80" s="85">
        <f>IF(H80,An,'2021'!An_max)</f>
        <v>2022</v>
      </c>
      <c r="K80" s="197">
        <f t="shared" si="27"/>
        <v>44627</v>
      </c>
      <c r="L80" s="147">
        <f>IF(t&lt;Tvie,1-EXP((T0-t)*PertePVj)+'2021'!Pspv,1-EXP((T0-t)*PertePVj)+Pspv)</f>
        <v>2.1836092831096554E-2</v>
      </c>
      <c r="M80" s="832"/>
      <c r="N80" s="832"/>
      <c r="O80" s="48">
        <f>IF(t&lt;Tnet,'2021'!Resal+('2021'!Salim-'2021'!Resal)*(1-EXP(('2021'!Tnet-t)/('2021'!Tau_j))),Resal+(Salim-Resal)*(1-EXP((Tnet-t)/(Tau_j))))*Salcycl</f>
        <v>7.5354993230132325E-2</v>
      </c>
      <c r="P80" s="169">
        <f>(INDEX(Models!$BJ80:$BT80,,T80)*(1-R80)+INDEX(Models!$BJ80:$BT80,,T80+1)*R80-ERP_i)*Q80*Ramure*Pc/MaxiM</f>
        <v>2.108433263493679E-3</v>
      </c>
      <c r="Q80" s="304">
        <f t="shared" si="28"/>
        <v>0.7</v>
      </c>
      <c r="R80" s="177">
        <f t="shared" si="29"/>
        <v>0.94196565943937949</v>
      </c>
      <c r="S80" s="799">
        <f t="shared" si="30"/>
        <v>-1</v>
      </c>
      <c r="T80" s="176">
        <f t="shared" si="31"/>
        <v>5</v>
      </c>
      <c r="U80" s="250">
        <f t="shared" si="32"/>
        <v>-5.8034340560620484E-2</v>
      </c>
      <c r="V80" s="382">
        <f t="shared" si="33"/>
        <v>43.14865411528725</v>
      </c>
      <c r="W80" s="400">
        <f t="shared" si="34"/>
        <v>0</v>
      </c>
      <c r="X80" s="157">
        <f t="shared" si="35"/>
        <v>44627</v>
      </c>
      <c r="Y80" s="383">
        <f t="shared" si="36"/>
        <v>34.100531409843796</v>
      </c>
      <c r="Z80" s="383">
        <f t="shared" si="37"/>
        <v>34.861776395472262</v>
      </c>
      <c r="AA80" s="384">
        <f t="shared" si="38"/>
        <v>37.702876390645898</v>
      </c>
      <c r="AB80" s="197">
        <f t="shared" si="39"/>
        <v>44627</v>
      </c>
      <c r="AC80" s="119">
        <f>IF(OR(t&lt;Tnet,NoTnet),'2021'!Resal_s+('2021'!Salim-'2021'!Resal_s)*(1-EXP(('2021'!Tnet_s-t)/'2021'!Tau_j)),Resal_s+(Salim-Resal_s)*(1-EXP((Tnet_s-t)/Tau_j)))*Salcycl</f>
        <v>7.5354993230132325E-2</v>
      </c>
      <c r="AD80" s="230">
        <f>(INDEX(Models!$BJ80:$BT80,,AH80)*(1-AF80)+INDEX(Models!$BJ80:$BT80,,AH80+1)*AF80-ERP_i)*AE80*Ramure*Pc/MaxiM</f>
        <v>2.2533997397639711E-3</v>
      </c>
      <c r="AE80" s="304">
        <f t="shared" si="40"/>
        <v>0.7</v>
      </c>
      <c r="AF80" s="177">
        <f t="shared" si="41"/>
        <v>6.2978816992116694E-3</v>
      </c>
      <c r="AG80" s="799">
        <f t="shared" ref="AG80:AG143" si="49">INDEX(Echel_vg,AH80)</f>
        <v>0</v>
      </c>
      <c r="AH80" s="176">
        <f t="shared" si="42"/>
        <v>6</v>
      </c>
      <c r="AI80" s="224">
        <f t="shared" si="43"/>
        <v>6.2978816992116694E-3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44628</v>
      </c>
      <c r="B81" s="1147">
        <v>34.480000000000004</v>
      </c>
      <c r="C81" s="388"/>
      <c r="D81" s="391">
        <f t="shared" si="25"/>
        <v>35.25039163814116</v>
      </c>
      <c r="E81" s="383">
        <f t="shared" si="47"/>
        <v>38.13051145626865</v>
      </c>
      <c r="F81" s="383">
        <f t="shared" si="26"/>
        <v>38.184491330413124</v>
      </c>
      <c r="G81" s="110">
        <f t="shared" si="48"/>
        <v>0.79294417917705862</v>
      </c>
      <c r="H81" s="412" t="b">
        <f>Wh_hp&gt;='2021'!Maxi_hp</f>
        <v>1</v>
      </c>
      <c r="I81" s="379">
        <f>IF(H81,Wh_hp,'2021'!Maxi_hp)</f>
        <v>38.184491330413124</v>
      </c>
      <c r="J81" s="85">
        <f>IF(H81,An,'2021'!An_max)</f>
        <v>2022</v>
      </c>
      <c r="K81" s="197">
        <f t="shared" si="27"/>
        <v>44628</v>
      </c>
      <c r="L81" s="147">
        <f>IF(t&lt;Tvie,1-EXP((T0-t)*PertePVj)+'2021'!Pspv,1-EXP((T0-t)*PertePVj)+Pspv)</f>
        <v>2.1854839119222369E-2</v>
      </c>
      <c r="M81" s="832"/>
      <c r="N81" s="832"/>
      <c r="O81" s="48">
        <f>IF(t&lt;Tnet,'2021'!Resal+('2021'!Salim-'2021'!Resal)*(1-EXP(('2021'!Tnet-t)/('2021'!Tau_j))),Resal+(Salim-Resal)*(1-EXP((Tnet-t)/(Tau_j))))*Salcycl</f>
        <v>7.5533207086158752E-2</v>
      </c>
      <c r="P81" s="169">
        <f>(INDEX(Models!$BJ81:$BT81,,T81)*(1-R81)+INDEX(Models!$BJ81:$BT81,,T81+1)*R81-ERP_i)*Q81*Ramure*Pc/MaxiM</f>
        <v>2.0055386441815651E-3</v>
      </c>
      <c r="Q81" s="304">
        <f t="shared" si="28"/>
        <v>0.7</v>
      </c>
      <c r="R81" s="177">
        <f t="shared" si="29"/>
        <v>0.9422909953019476</v>
      </c>
      <c r="S81" s="799">
        <f t="shared" si="30"/>
        <v>-1</v>
      </c>
      <c r="T81" s="176">
        <f t="shared" si="31"/>
        <v>5</v>
      </c>
      <c r="U81" s="250">
        <f t="shared" si="32"/>
        <v>-5.7709004698052416E-2</v>
      </c>
      <c r="V81" s="382">
        <f t="shared" si="33"/>
        <v>43.457741447571756</v>
      </c>
      <c r="W81" s="400">
        <f t="shared" si="34"/>
        <v>0</v>
      </c>
      <c r="X81" s="157">
        <f t="shared" si="35"/>
        <v>44628</v>
      </c>
      <c r="Y81" s="383">
        <f t="shared" si="36"/>
        <v>34.476680028325248</v>
      </c>
      <c r="Z81" s="383">
        <f t="shared" si="37"/>
        <v>35.246997487858017</v>
      </c>
      <c r="AA81" s="384">
        <f t="shared" si="38"/>
        <v>38.126839988229818</v>
      </c>
      <c r="AB81" s="197">
        <f t="shared" si="39"/>
        <v>44628</v>
      </c>
      <c r="AC81" s="119">
        <f>IF(OR(t&lt;Tnet,NoTnet),'2021'!Resal_s+('2021'!Salim-'2021'!Resal_s)*(1-EXP(('2021'!Tnet_s-t)/'2021'!Tau_j)),Resal_s+(Salim-Resal_s)*(1-EXP((Tnet_s-t)/Tau_j)))*Salcycl</f>
        <v>7.5533207086158752E-2</v>
      </c>
      <c r="AD81" s="230">
        <f>(INDEX(Models!$BJ81:$BT81,,AH81)*(1-AF81)+INDEX(Models!$BJ81:$BT81,,AH81+1)*AF81-ERP_i)*AE81*Ramure*Pc/MaxiM</f>
        <v>2.1419463544523564E-3</v>
      </c>
      <c r="AE81" s="304">
        <f t="shared" si="40"/>
        <v>0.7</v>
      </c>
      <c r="AF81" s="177">
        <f t="shared" si="41"/>
        <v>6.6232175617797337E-3</v>
      </c>
      <c r="AG81" s="799">
        <f t="shared" si="49"/>
        <v>0</v>
      </c>
      <c r="AH81" s="176">
        <f t="shared" si="42"/>
        <v>6</v>
      </c>
      <c r="AI81" s="224">
        <f t="shared" si="43"/>
        <v>6.6232175617797337E-3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44629</v>
      </c>
      <c r="B82" s="1147">
        <v>31.413</v>
      </c>
      <c r="C82" s="388"/>
      <c r="D82" s="391">
        <f t="shared" si="25"/>
        <v>32.115480698416789</v>
      </c>
      <c r="E82" s="383">
        <f t="shared" si="47"/>
        <v>34.74614732541631</v>
      </c>
      <c r="F82" s="383">
        <f t="shared" si="26"/>
        <v>34.786248355455413</v>
      </c>
      <c r="G82" s="110">
        <f t="shared" si="48"/>
        <v>0.71719147393707705</v>
      </c>
      <c r="H82" s="412" t="b">
        <f>Wh_hp&gt;='2021'!Maxi_hp</f>
        <v>0</v>
      </c>
      <c r="I82" s="379">
        <f>IF(H82,Wh_hp,'2021'!Maxi_hp)</f>
        <v>44.80891493400317</v>
      </c>
      <c r="J82" s="85">
        <f>IF(H82,An,'2021'!An_max)</f>
        <v>2021</v>
      </c>
      <c r="K82" s="197">
        <f t="shared" si="27"/>
        <v>44629</v>
      </c>
      <c r="L82" s="147">
        <f>IF(t&lt;Tvie,1-EXP((T0-t)*PertePVj)+'2021'!Pspv,1-EXP((T0-t)*PertePVj)+Pspv)</f>
        <v>2.1873585048079902E-2</v>
      </c>
      <c r="M82" s="832"/>
      <c r="N82" s="832"/>
      <c r="O82" s="48">
        <f>IF(t&lt;Tnet,'2021'!Resal+('2021'!Salim-'2021'!Resal)*(1-EXP(('2021'!Tnet-t)/('2021'!Tau_j))),Resal+(Salim-Resal)*(1-EXP((Tnet-t)/(Tau_j))))*Salcycl</f>
        <v>7.5711030703977458E-2</v>
      </c>
      <c r="P82" s="169">
        <f>(INDEX(Models!$BJ82:$BT82,,T82)*(1-R82)+INDEX(Models!$BJ82:$BT82,,T82+1)*R82-ERP_i)*Q82*Ramure*Pc/MaxiM</f>
        <v>1.9316494732367644E-3</v>
      </c>
      <c r="Q82" s="304">
        <f t="shared" si="28"/>
        <v>0.7</v>
      </c>
      <c r="R82" s="177">
        <f t="shared" si="29"/>
        <v>0.94262940680721707</v>
      </c>
      <c r="S82" s="799">
        <f t="shared" si="30"/>
        <v>-1</v>
      </c>
      <c r="T82" s="176">
        <f t="shared" si="31"/>
        <v>5</v>
      </c>
      <c r="U82" s="250">
        <f t="shared" si="32"/>
        <v>-5.7370593192782877E-2</v>
      </c>
      <c r="V82" s="382">
        <f t="shared" si="33"/>
        <v>43.765865047166649</v>
      </c>
      <c r="W82" s="400">
        <f t="shared" si="34"/>
        <v>0</v>
      </c>
      <c r="X82" s="157">
        <f t="shared" si="35"/>
        <v>44629</v>
      </c>
      <c r="Y82" s="383">
        <f t="shared" si="36"/>
        <v>31.410564392822771</v>
      </c>
      <c r="Z82" s="383">
        <f t="shared" si="37"/>
        <v>32.112990624393639</v>
      </c>
      <c r="AA82" s="384">
        <f t="shared" si="38"/>
        <v>34.743453282637624</v>
      </c>
      <c r="AB82" s="197">
        <f t="shared" si="39"/>
        <v>44629</v>
      </c>
      <c r="AC82" s="119">
        <f>IF(OR(t&lt;Tnet,NoTnet),'2021'!Resal_s+('2021'!Salim-'2021'!Resal_s)*(1-EXP(('2021'!Tnet_s-t)/'2021'!Tau_j)),Resal_s+(Salim-Resal_s)*(1-EXP((Tnet_s-t)/Tau_j)))*Salcycl</f>
        <v>7.5711030703977458E-2</v>
      </c>
      <c r="AD82" s="230">
        <f>(INDEX(Models!$BJ82:$BT82,,AH82)*(1-AF82)+INDEX(Models!$BJ82:$BT82,,AH82+1)*AF82-ERP_i)*AE82*Ramure*Pc/MaxiM</f>
        <v>2.0614203621454161E-3</v>
      </c>
      <c r="AE82" s="304">
        <f t="shared" si="40"/>
        <v>0.7</v>
      </c>
      <c r="AF82" s="177">
        <f t="shared" si="41"/>
        <v>6.9616290670492728E-3</v>
      </c>
      <c r="AG82" s="799">
        <f t="shared" si="49"/>
        <v>0</v>
      </c>
      <c r="AH82" s="176">
        <f t="shared" si="42"/>
        <v>6</v>
      </c>
      <c r="AI82" s="224">
        <f t="shared" si="43"/>
        <v>6.9616290670492728E-3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44630</v>
      </c>
      <c r="B83" s="1147">
        <v>25.26</v>
      </c>
      <c r="C83" s="388"/>
      <c r="D83" s="391">
        <f t="shared" si="25"/>
        <v>25.825377707089977</v>
      </c>
      <c r="E83" s="383">
        <f t="shared" si="47"/>
        <v>27.946170224694061</v>
      </c>
      <c r="F83" s="383">
        <f t="shared" si="26"/>
        <v>27.966754115739633</v>
      </c>
      <c r="G83" s="110">
        <f t="shared" si="48"/>
        <v>0.57248638859627121</v>
      </c>
      <c r="H83" s="412" t="b">
        <f>Wh_hp&gt;='2021'!Maxi_hp</f>
        <v>0</v>
      </c>
      <c r="I83" s="379">
        <f>IF(H83,Wh_hp,'2021'!Maxi_hp)</f>
        <v>45.219822593394703</v>
      </c>
      <c r="J83" s="85">
        <f>IF(H83,An,'2021'!An_max)</f>
        <v>2021</v>
      </c>
      <c r="K83" s="197">
        <f t="shared" si="27"/>
        <v>44630</v>
      </c>
      <c r="L83" s="147">
        <f>IF(t&lt;Tvie,1-EXP((T0-t)*PertePVj)+'2021'!Pspv,1-EXP((T0-t)*PertePVj)+Pspv)</f>
        <v>2.1892330617676037E-2</v>
      </c>
      <c r="M83" s="832"/>
      <c r="N83" s="832"/>
      <c r="O83" s="48">
        <f>IF(t&lt;Tnet,'2021'!Resal+('2021'!Salim-'2021'!Resal)*(1-EXP(('2021'!Tnet-t)/('2021'!Tau_j))),Resal+(Salim-Resal)*(1-EXP((Tnet-t)/(Tau_j))))*Salcycl</f>
        <v>7.5888484917696841E-2</v>
      </c>
      <c r="P83" s="169">
        <f>(INDEX(Models!$BJ83:$BT83,,T83)*(1-R83)+INDEX(Models!$BJ83:$BT83,,T83+1)*R83-ERP_i)*Q83*Ramure*Pc/MaxiM</f>
        <v>1.8862030572529499E-3</v>
      </c>
      <c r="Q83" s="304">
        <f t="shared" si="28"/>
        <v>0.7</v>
      </c>
      <c r="R83" s="177">
        <f t="shared" si="29"/>
        <v>0.94298139504028655</v>
      </c>
      <c r="S83" s="799">
        <f t="shared" si="30"/>
        <v>-1</v>
      </c>
      <c r="T83" s="176">
        <f t="shared" si="31"/>
        <v>5</v>
      </c>
      <c r="U83" s="250">
        <f t="shared" si="32"/>
        <v>-5.7018604959713469E-2</v>
      </c>
      <c r="V83" s="382">
        <f t="shared" si="33"/>
        <v>44.072532201311745</v>
      </c>
      <c r="W83" s="400">
        <f t="shared" si="34"/>
        <v>0</v>
      </c>
      <c r="X83" s="157">
        <f t="shared" si="35"/>
        <v>44630</v>
      </c>
      <c r="Y83" s="383">
        <f t="shared" si="36"/>
        <v>25.258766747201314</v>
      </c>
      <c r="Z83" s="383">
        <f t="shared" si="37"/>
        <v>25.824116851217671</v>
      </c>
      <c r="AA83" s="384">
        <f t="shared" si="38"/>
        <v>27.944805826727226</v>
      </c>
      <c r="AB83" s="197">
        <f t="shared" si="39"/>
        <v>44630</v>
      </c>
      <c r="AC83" s="119">
        <f>IF(OR(t&lt;Tnet,NoTnet),'2021'!Resal_s+('2021'!Salim-'2021'!Resal_s)*(1-EXP(('2021'!Tnet_s-t)/'2021'!Tau_j)),Resal_s+(Salim-Resal_s)*(1-EXP((Tnet_s-t)/Tau_j)))*Salcycl</f>
        <v>7.5888484917696841E-2</v>
      </c>
      <c r="AD83" s="230">
        <f>(INDEX(Models!$BJ83:$BT83,,AH83)*(1-AF83)+INDEX(Models!$BJ83:$BT83,,AH83+1)*AF83-ERP_i)*AE83*Ramure*Pc/MaxiM</f>
        <v>2.0112295457167585E-3</v>
      </c>
      <c r="AE83" s="304">
        <f t="shared" si="40"/>
        <v>0.7</v>
      </c>
      <c r="AF83" s="177">
        <f t="shared" si="41"/>
        <v>7.3136173001186796E-3</v>
      </c>
      <c r="AG83" s="799">
        <f t="shared" si="49"/>
        <v>0</v>
      </c>
      <c r="AH83" s="176">
        <f t="shared" si="42"/>
        <v>6</v>
      </c>
      <c r="AI83" s="224">
        <f t="shared" si="43"/>
        <v>7.3136173001186796E-3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44631</v>
      </c>
      <c r="B84" s="1147">
        <v>17.670000000000002</v>
      </c>
      <c r="C84" s="388"/>
      <c r="D84" s="391">
        <f t="shared" si="25"/>
        <v>18.065842034719729</v>
      </c>
      <c r="E84" s="383">
        <f t="shared" si="47"/>
        <v>19.553165114561146</v>
      </c>
      <c r="F84" s="383">
        <f t="shared" si="26"/>
        <v>19.55829102894274</v>
      </c>
      <c r="G84" s="110">
        <f t="shared" si="48"/>
        <v>0.3975371237240109</v>
      </c>
      <c r="H84" s="412" t="b">
        <f>Wh_hp&gt;='2021'!Maxi_hp</f>
        <v>0</v>
      </c>
      <c r="I84" s="379">
        <f>IF(H84,Wh_hp,'2021'!Maxi_hp)</f>
        <v>39.829659361090641</v>
      </c>
      <c r="J84" s="85">
        <f>IF(H84,An,'2021'!An_max)</f>
        <v>2021</v>
      </c>
      <c r="K84" s="197">
        <f t="shared" si="27"/>
        <v>44631</v>
      </c>
      <c r="L84" s="147">
        <f>IF(t&lt;Tvie,1-EXP((T0-t)*PertePVj)+'2021'!Pspv,1-EXP((T0-t)*PertePVj)+Pspv)</f>
        <v>2.1911075828017434E-2</v>
      </c>
      <c r="M84" s="832"/>
      <c r="N84" s="832"/>
      <c r="O84" s="48">
        <f>IF(t&lt;Tnet,'2021'!Resal+('2021'!Salim-'2021'!Resal)*(1-EXP(('2021'!Tnet-t)/('2021'!Tau_j))),Resal+(Salim-Resal)*(1-EXP((Tnet-t)/(Tau_j))))*Salcycl</f>
        <v>7.6065591996347187E-2</v>
      </c>
      <c r="P84" s="169">
        <f>(INDEX(Models!$BJ84:$BT84,,T84)*(1-R84)+INDEX(Models!$BJ84:$BT84,,T84+1)*R84-ERP_i)*Q84*Ramure*Pc/MaxiM</f>
        <v>1.8686534577701283E-3</v>
      </c>
      <c r="Q84" s="304">
        <f t="shared" si="28"/>
        <v>0.7</v>
      </c>
      <c r="R84" s="177">
        <f t="shared" si="29"/>
        <v>0.9433474782464184</v>
      </c>
      <c r="S84" s="799">
        <f t="shared" si="30"/>
        <v>-1</v>
      </c>
      <c r="T84" s="176">
        <f t="shared" si="31"/>
        <v>5</v>
      </c>
      <c r="U84" s="250">
        <f t="shared" si="32"/>
        <v>-5.665252175358159E-2</v>
      </c>
      <c r="V84" s="382">
        <f t="shared" si="33"/>
        <v>44.377250380335646</v>
      </c>
      <c r="W84" s="400">
        <f t="shared" si="34"/>
        <v>0</v>
      </c>
      <c r="X84" s="157">
        <f t="shared" si="35"/>
        <v>44631</v>
      </c>
      <c r="Y84" s="383">
        <f t="shared" si="36"/>
        <v>17.669697208497919</v>
      </c>
      <c r="Z84" s="383">
        <f t="shared" si="37"/>
        <v>18.065532460104784</v>
      </c>
      <c r="AA84" s="384">
        <f t="shared" si="38"/>
        <v>19.552830053314089</v>
      </c>
      <c r="AB84" s="197">
        <f t="shared" si="39"/>
        <v>44631</v>
      </c>
      <c r="AC84" s="119">
        <f>IF(OR(t&lt;Tnet,NoTnet),'2021'!Resal_s+('2021'!Salim-'2021'!Resal_s)*(1-EXP(('2021'!Tnet_s-t)/'2021'!Tau_j)),Resal_s+(Salim-Resal_s)*(1-EXP((Tnet_s-t)/Tau_j)))*Salcycl</f>
        <v>7.6065591996347187E-2</v>
      </c>
      <c r="AD84" s="230">
        <f>(INDEX(Models!$BJ84:$BT84,,AH84)*(1-AF84)+INDEX(Models!$BJ84:$BT84,,AH84+1)*AF84-ERP_i)*AE84*Ramure*Pc/MaxiM</f>
        <v>1.990800124933832E-3</v>
      </c>
      <c r="AE84" s="304">
        <f t="shared" si="40"/>
        <v>0.7</v>
      </c>
      <c r="AF84" s="177">
        <f t="shared" si="41"/>
        <v>7.6797005062505582E-3</v>
      </c>
      <c r="AG84" s="799">
        <f t="shared" si="49"/>
        <v>0</v>
      </c>
      <c r="AH84" s="176">
        <f t="shared" si="42"/>
        <v>6</v>
      </c>
      <c r="AI84" s="224">
        <f t="shared" si="43"/>
        <v>7.6797005062505582E-3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44632</v>
      </c>
      <c r="B85" s="1147">
        <v>12.887</v>
      </c>
      <c r="C85" s="388"/>
      <c r="D85" s="391">
        <f t="shared" si="25"/>
        <v>13.175946136041009</v>
      </c>
      <c r="E85" s="383">
        <f t="shared" si="47"/>
        <v>14.263423421773119</v>
      </c>
      <c r="F85" s="383">
        <f t="shared" si="26"/>
        <v>14.263423421773119</v>
      </c>
      <c r="G85" s="110">
        <f t="shared" si="48"/>
        <v>0.28789006736061423</v>
      </c>
      <c r="H85" s="412" t="b">
        <f>Wh_hp&gt;='2021'!Maxi_hp</f>
        <v>0</v>
      </c>
      <c r="I85" s="379">
        <f>IF(H85,Wh_hp,'2021'!Maxi_hp)</f>
        <v>46.64301638858592</v>
      </c>
      <c r="J85" s="85">
        <f>IF(H85,An,'2021'!An_max)</f>
        <v>2018</v>
      </c>
      <c r="K85" s="197">
        <f t="shared" si="27"/>
        <v>44632</v>
      </c>
      <c r="L85" s="147">
        <f>IF(t&lt;Tvie,1-EXP((T0-t)*PertePVj)+'2021'!Pspv,1-EXP((T0-t)*PertePVj)+Pspv)</f>
        <v>2.1929820679111311E-2</v>
      </c>
      <c r="M85" s="832"/>
      <c r="N85" s="832"/>
      <c r="O85" s="48">
        <f>IF(t&lt;Tnet,'2021'!Resal+('2021'!Salim-'2021'!Resal)*(1-EXP(('2021'!Tnet-t)/('2021'!Tau_j))),Resal+(Salim-Resal)*(1-EXP((Tnet-t)/(Tau_j))))*Salcycl</f>
        <v>7.6242375590706804E-2</v>
      </c>
      <c r="P85" s="169">
        <f>(INDEX(Models!$BJ85:$BT85,,T85)*(1-R85)+INDEX(Models!$BJ85:$BT85,,T85+1)*R85-ERP_i)*Q85*Ramure*Pc/MaxiM</f>
        <v>1.8784743277338242E-3</v>
      </c>
      <c r="Q85" s="304">
        <f t="shared" si="28"/>
        <v>0.7</v>
      </c>
      <c r="R85" s="177">
        <f t="shared" si="29"/>
        <v>0.94372819224590265</v>
      </c>
      <c r="S85" s="799">
        <f t="shared" si="30"/>
        <v>-1</v>
      </c>
      <c r="T85" s="176">
        <f t="shared" si="31"/>
        <v>5</v>
      </c>
      <c r="U85" s="250">
        <f t="shared" si="32"/>
        <v>-5.6271807754097396E-2</v>
      </c>
      <c r="V85" s="382">
        <f t="shared" si="33"/>
        <v>44.679527221154252</v>
      </c>
      <c r="W85" s="400">
        <f t="shared" si="34"/>
        <v>0</v>
      </c>
      <c r="X85" s="157">
        <f t="shared" si="35"/>
        <v>44632</v>
      </c>
      <c r="Y85" s="383">
        <f t="shared" si="36"/>
        <v>12.887</v>
      </c>
      <c r="Z85" s="383">
        <f t="shared" si="37"/>
        <v>13.175946136041009</v>
      </c>
      <c r="AA85" s="384">
        <f t="shared" si="38"/>
        <v>14.263423421773119</v>
      </c>
      <c r="AB85" s="197">
        <f t="shared" si="39"/>
        <v>44632</v>
      </c>
      <c r="AC85" s="119">
        <f>IF(OR(t&lt;Tnet,NoTnet),'2021'!Resal_s+('2021'!Salim-'2021'!Resal_s)*(1-EXP(('2021'!Tnet_s-t)/'2021'!Tau_j)),Resal_s+(Salim-Resal_s)*(1-EXP((Tnet_s-t)/Tau_j)))*Salcycl</f>
        <v>7.6242375590706804E-2</v>
      </c>
      <c r="AD85" s="230">
        <f>(INDEX(Models!$BJ85:$BT85,,AH85)*(1-AF85)+INDEX(Models!$BJ85:$BT85,,AH85+1)*AF85-ERP_i)*AE85*Ramure*Pc/MaxiM</f>
        <v>1.9995798273551163E-3</v>
      </c>
      <c r="AE85" s="304">
        <f t="shared" si="40"/>
        <v>0.7</v>
      </c>
      <c r="AF85" s="177">
        <f t="shared" si="41"/>
        <v>8.0604145057347528E-3</v>
      </c>
      <c r="AG85" s="799">
        <f t="shared" si="49"/>
        <v>0</v>
      </c>
      <c r="AH85" s="176">
        <f t="shared" si="42"/>
        <v>6</v>
      </c>
      <c r="AI85" s="224">
        <f t="shared" si="43"/>
        <v>8.0604145057347528E-3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44633</v>
      </c>
      <c r="B86" s="1147">
        <v>9.57</v>
      </c>
      <c r="C86" s="388"/>
      <c r="D86" s="391">
        <f t="shared" si="25"/>
        <v>9.784761474914502</v>
      </c>
      <c r="E86" s="383">
        <f t="shared" si="47"/>
        <v>10.594371255832405</v>
      </c>
      <c r="F86" s="383">
        <f t="shared" si="26"/>
        <v>10.594371255832405</v>
      </c>
      <c r="G86" s="110">
        <f t="shared" si="48"/>
        <v>0.21235908765142422</v>
      </c>
      <c r="H86" s="412" t="b">
        <f>Wh_hp&gt;='2021'!Maxi_hp</f>
        <v>0</v>
      </c>
      <c r="I86" s="379">
        <f>IF(H86,Wh_hp,'2021'!Maxi_hp)</f>
        <v>40.981762819051319</v>
      </c>
      <c r="J86" s="85">
        <f>IF(H86,An,'2021'!An_max)</f>
        <v>2021</v>
      </c>
      <c r="K86" s="197">
        <f t="shared" si="27"/>
        <v>44633</v>
      </c>
      <c r="L86" s="147">
        <f>IF(t&lt;Tvie,1-EXP((T0-t)*PertePVj)+'2021'!Pspv,1-EXP((T0-t)*PertePVj)+Pspv)</f>
        <v>2.1948565170964329E-2</v>
      </c>
      <c r="M86" s="832"/>
      <c r="N86" s="832"/>
      <c r="O86" s="48">
        <f>IF(t&lt;Tnet,'2021'!Resal+('2021'!Salim-'2021'!Resal)*(1-EXP(('2021'!Tnet-t)/('2021'!Tau_j))),Resal+(Salim-Resal)*(1-EXP((Tnet-t)/(Tau_j))))*Salcycl</f>
        <v>7.6418860673038727E-2</v>
      </c>
      <c r="P86" s="169">
        <f>(INDEX(Models!$BJ86:$BT86,,T86)*(1-R86)+INDEX(Models!$BJ86:$BT86,,T86+1)*R86-ERP_i)*Q86*Ramure*Pc/MaxiM</f>
        <v>1.9110031465337737E-3</v>
      </c>
      <c r="Q86" s="304">
        <f t="shared" si="28"/>
        <v>0.7</v>
      </c>
      <c r="R86" s="177">
        <f t="shared" si="29"/>
        <v>0.94412409084337923</v>
      </c>
      <c r="S86" s="799">
        <f t="shared" si="30"/>
        <v>-1</v>
      </c>
      <c r="T86" s="176">
        <f t="shared" si="31"/>
        <v>5</v>
      </c>
      <c r="U86" s="250">
        <f t="shared" si="32"/>
        <v>-5.5875909156620773E-2</v>
      </c>
      <c r="V86" s="382">
        <f t="shared" si="33"/>
        <v>44.979057903875926</v>
      </c>
      <c r="W86" s="400">
        <f t="shared" si="34"/>
        <v>0</v>
      </c>
      <c r="X86" s="157">
        <f t="shared" si="35"/>
        <v>44633</v>
      </c>
      <c r="Y86" s="383">
        <f t="shared" si="36"/>
        <v>9.57</v>
      </c>
      <c r="Z86" s="383">
        <f t="shared" si="37"/>
        <v>9.784761474914502</v>
      </c>
      <c r="AA86" s="384">
        <f t="shared" si="38"/>
        <v>10.594371255832405</v>
      </c>
      <c r="AB86" s="197">
        <f t="shared" si="39"/>
        <v>44633</v>
      </c>
      <c r="AC86" s="119">
        <f>IF(OR(t&lt;Tnet,NoTnet),'2021'!Resal_s+('2021'!Salim-'2021'!Resal_s)*(1-EXP(('2021'!Tnet_s-t)/'2021'!Tau_j)),Resal_s+(Salim-Resal_s)*(1-EXP((Tnet_s-t)/Tau_j)))*Salcycl</f>
        <v>7.6418860673038727E-2</v>
      </c>
      <c r="AD86" s="230">
        <f>(INDEX(Models!$BJ86:$BT86,,AH86)*(1-AF86)+INDEX(Models!$BJ86:$BT86,,AH86+1)*AF86-ERP_i)*AE86*Ramure*Pc/MaxiM</f>
        <v>2.0327115346092236E-3</v>
      </c>
      <c r="AE86" s="304">
        <f t="shared" si="40"/>
        <v>0.7</v>
      </c>
      <c r="AF86" s="177">
        <f t="shared" si="41"/>
        <v>8.4563131032113804E-3</v>
      </c>
      <c r="AG86" s="799">
        <f t="shared" si="49"/>
        <v>0</v>
      </c>
      <c r="AH86" s="176">
        <f t="shared" si="42"/>
        <v>6</v>
      </c>
      <c r="AI86" s="224">
        <f t="shared" si="43"/>
        <v>8.4563131032113804E-3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44634</v>
      </c>
      <c r="B87" s="1147">
        <v>12.967000000000001</v>
      </c>
      <c r="C87" s="388"/>
      <c r="D87" s="391">
        <f t="shared" si="25"/>
        <v>13.258248035417646</v>
      </c>
      <c r="E87" s="383">
        <f t="shared" si="47"/>
        <v>14.358000108626033</v>
      </c>
      <c r="F87" s="383">
        <f t="shared" si="26"/>
        <v>14.358000108626033</v>
      </c>
      <c r="G87" s="110">
        <f t="shared" si="48"/>
        <v>0.28584006131164719</v>
      </c>
      <c r="H87" s="412" t="b">
        <f>Wh_hp&gt;='2021'!Maxi_hp</f>
        <v>0</v>
      </c>
      <c r="I87" s="379">
        <f>IF(H87,Wh_hp,'2021'!Maxi_hp)</f>
        <v>38.557146236700596</v>
      </c>
      <c r="J87" s="85">
        <f>IF(H87,An,'2021'!An_max)</f>
        <v>2020</v>
      </c>
      <c r="K87" s="197">
        <f t="shared" si="27"/>
        <v>44634</v>
      </c>
      <c r="L87" s="147">
        <f>IF(t&lt;Tvie,1-EXP((T0-t)*PertePVj)+'2021'!Pspv,1-EXP((T0-t)*PertePVj)+Pspv)</f>
        <v>2.1967309303583371E-2</v>
      </c>
      <c r="M87" s="832"/>
      <c r="N87" s="832"/>
      <c r="O87" s="48">
        <f>IF(t&lt;Tnet,'2021'!Resal+('2021'!Salim-'2021'!Resal)*(1-EXP(('2021'!Tnet-t)/('2021'!Tau_j))),Resal+(Salim-Resal)*(1-EXP((Tnet-t)/(Tau_j))))*Salcycl</f>
        <v>7.6595073470411487E-2</v>
      </c>
      <c r="P87" s="169">
        <f>(INDEX(Models!$BJ87:$BT87,,T87)*(1-R87)+INDEX(Models!$BJ87:$BT87,,T87+1)*R87-ERP_i)*Q87*Ramure*Pc/MaxiM</f>
        <v>1.9473711851500102E-3</v>
      </c>
      <c r="Q87" s="304">
        <f t="shared" si="28"/>
        <v>0.7</v>
      </c>
      <c r="R87" s="177">
        <f t="shared" si="29"/>
        <v>0.94453574622980929</v>
      </c>
      <c r="S87" s="799">
        <f t="shared" si="30"/>
        <v>-1</v>
      </c>
      <c r="T87" s="176">
        <f t="shared" si="31"/>
        <v>5</v>
      </c>
      <c r="U87" s="250">
        <f t="shared" si="32"/>
        <v>-5.5464253770190666E-2</v>
      </c>
      <c r="V87" s="382">
        <f t="shared" si="33"/>
        <v>45.276188293746429</v>
      </c>
      <c r="W87" s="400">
        <f t="shared" si="34"/>
        <v>0</v>
      </c>
      <c r="X87" s="157">
        <f t="shared" si="35"/>
        <v>44634</v>
      </c>
      <c r="Y87" s="383">
        <f t="shared" si="36"/>
        <v>12.967000000000001</v>
      </c>
      <c r="Z87" s="383">
        <f t="shared" si="37"/>
        <v>13.258248035417646</v>
      </c>
      <c r="AA87" s="384">
        <f t="shared" si="38"/>
        <v>14.358000108626033</v>
      </c>
      <c r="AB87" s="197">
        <f t="shared" si="39"/>
        <v>44634</v>
      </c>
      <c r="AC87" s="119">
        <f>IF(OR(t&lt;Tnet,NoTnet),'2021'!Resal_s+('2021'!Salim-'2021'!Resal_s)*(1-EXP(('2021'!Tnet_s-t)/'2021'!Tau_j)),Resal_s+(Salim-Resal_s)*(1-EXP((Tnet_s-t)/Tau_j)))*Salcycl</f>
        <v>7.6595073470411487E-2</v>
      </c>
      <c r="AD87" s="230">
        <f>(INDEX(Models!$BJ87:$BT87,,AH87)*(1-AF87)+INDEX(Models!$BJ87:$BT87,,AH87+1)*AF87-ERP_i)*AE87*Ramure*Pc/MaxiM</f>
        <v>2.0701011896869501E-3</v>
      </c>
      <c r="AE87" s="304">
        <f t="shared" si="40"/>
        <v>0.7</v>
      </c>
      <c r="AF87" s="177">
        <f t="shared" si="41"/>
        <v>8.8679684896414875E-3</v>
      </c>
      <c r="AG87" s="799">
        <f t="shared" si="49"/>
        <v>0</v>
      </c>
      <c r="AH87" s="176">
        <f t="shared" si="42"/>
        <v>6</v>
      </c>
      <c r="AI87" s="224">
        <f t="shared" si="43"/>
        <v>8.8679684896414875E-3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44635</v>
      </c>
      <c r="B88" s="1147">
        <v>15.843</v>
      </c>
      <c r="C88" s="388"/>
      <c r="D88" s="391">
        <f t="shared" si="25"/>
        <v>16.199155492459393</v>
      </c>
      <c r="E88" s="383">
        <f t="shared" si="47"/>
        <v>17.546195167977743</v>
      </c>
      <c r="F88" s="383">
        <f t="shared" si="26"/>
        <v>17.548569880452828</v>
      </c>
      <c r="G88" s="110">
        <f t="shared" si="48"/>
        <v>0.34701564586793893</v>
      </c>
      <c r="H88" s="412" t="b">
        <f>Wh_hp&gt;='2021'!Maxi_hp</f>
        <v>0</v>
      </c>
      <c r="I88" s="379">
        <f>IF(H88,Wh_hp,'2021'!Maxi_hp)</f>
        <v>34.117673354504483</v>
      </c>
      <c r="J88" s="85">
        <f>IF(H88,An,'2021'!An_max)</f>
        <v>2020</v>
      </c>
      <c r="K88" s="197">
        <f t="shared" si="27"/>
        <v>44635</v>
      </c>
      <c r="L88" s="147">
        <f>IF(t&lt;Tvie,1-EXP((T0-t)*PertePVj)+'2021'!Pspv,1-EXP((T0-t)*PertePVj)+Pspv)</f>
        <v>2.1986053076975542E-2</v>
      </c>
      <c r="M88" s="832"/>
      <c r="N88" s="832"/>
      <c r="O88" s="48">
        <f>IF(t&lt;Tnet,'2021'!Resal+('2021'!Salim-'2021'!Resal)*(1-EXP(('2021'!Tnet-t)/('2021'!Tau_j))),Resal+(Salim-Resal)*(1-EXP((Tnet-t)/(Tau_j))))*Salcycl</f>
        <v>7.677104139230892E-2</v>
      </c>
      <c r="P88" s="169">
        <f>(INDEX(Models!$BJ88:$BT88,,T88)*(1-R88)+INDEX(Models!$BJ88:$BT88,,T88+1)*R88-ERP_i)*Q88*Ramure*Pc/MaxiM</f>
        <v>1.9875417829933618E-3</v>
      </c>
      <c r="Q88" s="304">
        <f t="shared" si="28"/>
        <v>0.7</v>
      </c>
      <c r="R88" s="177">
        <f t="shared" si="29"/>
        <v>0.94496374937511463</v>
      </c>
      <c r="S88" s="799">
        <f t="shared" si="30"/>
        <v>-1</v>
      </c>
      <c r="T88" s="176">
        <f t="shared" si="31"/>
        <v>5</v>
      </c>
      <c r="U88" s="250">
        <f t="shared" si="32"/>
        <v>-5.5036250624885381E-2</v>
      </c>
      <c r="V88" s="382">
        <f t="shared" si="33"/>
        <v>45.570427452399272</v>
      </c>
      <c r="W88" s="400">
        <f t="shared" si="34"/>
        <v>0</v>
      </c>
      <c r="X88" s="157">
        <f t="shared" si="35"/>
        <v>44635</v>
      </c>
      <c r="Y88" s="383">
        <f t="shared" si="36"/>
        <v>15.842866027757996</v>
      </c>
      <c r="Z88" s="383">
        <f t="shared" si="37"/>
        <v>16.199018508480354</v>
      </c>
      <c r="AA88" s="384">
        <f t="shared" si="38"/>
        <v>17.546046793105223</v>
      </c>
      <c r="AB88" s="197">
        <f t="shared" si="39"/>
        <v>44635</v>
      </c>
      <c r="AC88" s="119">
        <f>IF(OR(t&lt;Tnet,NoTnet),'2021'!Resal_s+('2021'!Salim-'2021'!Resal_s)*(1-EXP(('2021'!Tnet_s-t)/'2021'!Tau_j)),Resal_s+(Salim-Resal_s)*(1-EXP((Tnet_s-t)/Tau_j)))*Salcycl</f>
        <v>7.677104139230892E-2</v>
      </c>
      <c r="AD88" s="230">
        <f>(INDEX(Models!$BJ88:$BT88,,AH88)*(1-AF88)+INDEX(Models!$BJ88:$BT88,,AH88+1)*AF88-ERP_i)*AE88*Ramure*Pc/MaxiM</f>
        <v>2.111725768120068E-3</v>
      </c>
      <c r="AE88" s="304">
        <f t="shared" si="40"/>
        <v>0.7</v>
      </c>
      <c r="AF88" s="177">
        <f t="shared" si="41"/>
        <v>9.2959716349467689E-3</v>
      </c>
      <c r="AG88" s="799">
        <f t="shared" si="49"/>
        <v>0</v>
      </c>
      <c r="AH88" s="176">
        <f t="shared" si="42"/>
        <v>6</v>
      </c>
      <c r="AI88" s="224">
        <f t="shared" si="43"/>
        <v>9.2959716349467689E-3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44636</v>
      </c>
      <c r="B89" s="1147">
        <v>11.547000000000001</v>
      </c>
      <c r="C89" s="388"/>
      <c r="D89" s="391">
        <f t="shared" si="25"/>
        <v>11.806806371413334</v>
      </c>
      <c r="E89" s="383">
        <f t="shared" si="47"/>
        <v>12.791035534331291</v>
      </c>
      <c r="F89" s="383">
        <f t="shared" si="26"/>
        <v>12.791035534331291</v>
      </c>
      <c r="G89" s="110">
        <f t="shared" si="48"/>
        <v>0.25126950838618384</v>
      </c>
      <c r="H89" s="412" t="b">
        <f>Wh_hp&gt;='2021'!Maxi_hp</f>
        <v>0</v>
      </c>
      <c r="I89" s="379">
        <f>IF(H89,Wh_hp,'2021'!Maxi_hp)</f>
        <v>53.119225306767447</v>
      </c>
      <c r="J89" s="85">
        <f>IF(H89,An,'2021'!An_max)</f>
        <v>2020</v>
      </c>
      <c r="K89" s="197">
        <f t="shared" si="27"/>
        <v>44636</v>
      </c>
      <c r="L89" s="147">
        <f>IF(t&lt;Tvie,1-EXP((T0-t)*PertePVj)+'2021'!Pspv,1-EXP((T0-t)*PertePVj)+Pspv)</f>
        <v>2.2004796491147394E-2</v>
      </c>
      <c r="M89" s="832"/>
      <c r="N89" s="832"/>
      <c r="O89" s="48">
        <f>IF(t&lt;Tnet,'2021'!Resal+('2021'!Salim-'2021'!Resal)*(1-EXP(('2021'!Tnet-t)/('2021'!Tau_j))),Resal+(Salim-Resal)*(1-EXP((Tnet-t)/(Tau_j))))*Salcycl</f>
        <v>7.6946792953258084E-2</v>
      </c>
      <c r="P89" s="169">
        <f>(INDEX(Models!$BJ89:$BT89,,T89)*(1-R89)+INDEX(Models!$BJ89:$BT89,,T89+1)*R89-ERP_i)*Q89*Ramure*Pc/MaxiM</f>
        <v>2.0314834590040107E-3</v>
      </c>
      <c r="Q89" s="304">
        <f t="shared" si="28"/>
        <v>0.7</v>
      </c>
      <c r="R89" s="177">
        <f t="shared" si="29"/>
        <v>0.94540871040933216</v>
      </c>
      <c r="S89" s="799">
        <f t="shared" si="30"/>
        <v>-1</v>
      </c>
      <c r="T89" s="176">
        <f t="shared" si="31"/>
        <v>5</v>
      </c>
      <c r="U89" s="250">
        <f t="shared" si="32"/>
        <v>-5.4591289590667842E-2</v>
      </c>
      <c r="V89" s="382">
        <f t="shared" si="33"/>
        <v>45.861284699884848</v>
      </c>
      <c r="W89" s="400">
        <f t="shared" si="34"/>
        <v>0</v>
      </c>
      <c r="X89" s="157">
        <f t="shared" si="35"/>
        <v>44636</v>
      </c>
      <c r="Y89" s="383">
        <f t="shared" si="36"/>
        <v>11.547000000000001</v>
      </c>
      <c r="Z89" s="383">
        <f t="shared" si="37"/>
        <v>11.806806371413334</v>
      </c>
      <c r="AA89" s="384">
        <f t="shared" si="38"/>
        <v>12.791035534331291</v>
      </c>
      <c r="AB89" s="197">
        <f t="shared" si="39"/>
        <v>44636</v>
      </c>
      <c r="AC89" s="119">
        <f>IF(OR(t&lt;Tnet,NoTnet),'2021'!Resal_s+('2021'!Salim-'2021'!Resal_s)*(1-EXP(('2021'!Tnet_s-t)/'2021'!Tau_j)),Resal_s+(Salim-Resal_s)*(1-EXP((Tnet_s-t)/Tau_j)))*Salcycl</f>
        <v>7.6946792953258084E-2</v>
      </c>
      <c r="AD89" s="230">
        <f>(INDEX(Models!$BJ89:$BT89,,AH89)*(1-AF89)+INDEX(Models!$BJ89:$BT89,,AH89+1)*AF89-ERP_i)*AE89*Ramure*Pc/MaxiM</f>
        <v>2.1575691120356232E-3</v>
      </c>
      <c r="AE89" s="304">
        <f t="shared" si="40"/>
        <v>0.7</v>
      </c>
      <c r="AF89" s="177">
        <f t="shared" si="41"/>
        <v>9.7409326691643098E-3</v>
      </c>
      <c r="AG89" s="799">
        <f t="shared" si="49"/>
        <v>0</v>
      </c>
      <c r="AH89" s="176">
        <f t="shared" si="42"/>
        <v>6</v>
      </c>
      <c r="AI89" s="224">
        <f t="shared" si="43"/>
        <v>9.7409326691643098E-3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44637</v>
      </c>
      <c r="B90" s="1147">
        <v>9.9369999999999994</v>
      </c>
      <c r="C90" s="388"/>
      <c r="D90" s="391">
        <f t="shared" si="25"/>
        <v>10.16077625773128</v>
      </c>
      <c r="E90" s="383">
        <f t="shared" si="47"/>
        <v>11.009884508971126</v>
      </c>
      <c r="F90" s="383">
        <f t="shared" si="26"/>
        <v>11.009884508971126</v>
      </c>
      <c r="G90" s="110">
        <f t="shared" si="48"/>
        <v>0.2148799807458899</v>
      </c>
      <c r="H90" s="412" t="b">
        <f>Wh_hp&gt;='2021'!Maxi_hp</f>
        <v>0</v>
      </c>
      <c r="I90" s="379">
        <f>IF(H90,Wh_hp,'2021'!Maxi_hp)</f>
        <v>33.792366122986927</v>
      </c>
      <c r="J90" s="85">
        <f>IF(H90,An,'2021'!An_max)</f>
        <v>2021</v>
      </c>
      <c r="K90" s="197">
        <f t="shared" si="27"/>
        <v>44637</v>
      </c>
      <c r="L90" s="147">
        <f>IF(t&lt;Tvie,1-EXP((T0-t)*PertePVj)+'2021'!Pspv,1-EXP((T0-t)*PertePVj)+Pspv)</f>
        <v>2.2023539546106141E-2</v>
      </c>
      <c r="M90" s="832"/>
      <c r="N90" s="832"/>
      <c r="O90" s="48">
        <f>IF(t&lt;Tnet,'2021'!Resal+('2021'!Salim-'2021'!Resal)*(1-EXP(('2021'!Tnet-t)/('2021'!Tau_j))),Resal+(Salim-Resal)*(1-EXP((Tnet-t)/(Tau_j))))*Salcycl</f>
        <v>7.7122357691215643E-2</v>
      </c>
      <c r="P90" s="169">
        <f>(INDEX(Models!$BJ90:$BT90,,T90)*(1-R90)+INDEX(Models!$BJ90:$BT90,,T90+1)*R90-ERP_i)*Q90*Ramure*Pc/MaxiM</f>
        <v>2.0791702172724457E-3</v>
      </c>
      <c r="Q90" s="304">
        <f t="shared" si="28"/>
        <v>0.7</v>
      </c>
      <c r="R90" s="177">
        <f t="shared" si="29"/>
        <v>0.94587125898994351</v>
      </c>
      <c r="S90" s="799">
        <f t="shared" si="30"/>
        <v>-1</v>
      </c>
      <c r="T90" s="176">
        <f t="shared" si="31"/>
        <v>5</v>
      </c>
      <c r="U90" s="250">
        <f t="shared" si="32"/>
        <v>-5.4128741010056443E-2</v>
      </c>
      <c r="V90" s="382">
        <f t="shared" si="33"/>
        <v>46.148269611386944</v>
      </c>
      <c r="W90" s="400">
        <f t="shared" si="34"/>
        <v>0</v>
      </c>
      <c r="X90" s="157">
        <f t="shared" si="35"/>
        <v>44637</v>
      </c>
      <c r="Y90" s="383">
        <f t="shared" si="36"/>
        <v>9.9369999999999994</v>
      </c>
      <c r="Z90" s="383">
        <f t="shared" si="37"/>
        <v>10.16077625773128</v>
      </c>
      <c r="AA90" s="384">
        <f t="shared" si="38"/>
        <v>11.009884508971126</v>
      </c>
      <c r="AB90" s="197">
        <f t="shared" si="39"/>
        <v>44637</v>
      </c>
      <c r="AC90" s="119">
        <f>IF(OR(t&lt;Tnet,NoTnet),'2021'!Resal_s+('2021'!Salim-'2021'!Resal_s)*(1-EXP(('2021'!Tnet_s-t)/'2021'!Tau_j)),Resal_s+(Salim-Resal_s)*(1-EXP((Tnet_s-t)/Tau_j)))*Salcycl</f>
        <v>7.7122357691215643E-2</v>
      </c>
      <c r="AD90" s="230">
        <f>(INDEX(Models!$BJ90:$BT90,,AH90)*(1-AF90)+INDEX(Models!$BJ90:$BT90,,AH90+1)*AF90-ERP_i)*AE90*Ramure*Pc/MaxiM</f>
        <v>2.2076223634410002E-3</v>
      </c>
      <c r="AE90" s="304">
        <f t="shared" si="40"/>
        <v>0.7</v>
      </c>
      <c r="AF90" s="177">
        <f t="shared" si="41"/>
        <v>1.0203481249775709E-2</v>
      </c>
      <c r="AG90" s="799">
        <f t="shared" si="49"/>
        <v>0</v>
      </c>
      <c r="AH90" s="176">
        <f t="shared" si="42"/>
        <v>6</v>
      </c>
      <c r="AI90" s="224">
        <f t="shared" si="43"/>
        <v>1.0203481249775709E-2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44638</v>
      </c>
      <c r="B91" s="1147">
        <v>13.046000000000001</v>
      </c>
      <c r="C91" s="388"/>
      <c r="D91" s="391">
        <f t="shared" si="25"/>
        <v>13.340045037843245</v>
      </c>
      <c r="E91" s="383">
        <f t="shared" si="47"/>
        <v>14.457583982651725</v>
      </c>
      <c r="F91" s="383">
        <f t="shared" si="26"/>
        <v>14.457583982651725</v>
      </c>
      <c r="G91" s="110">
        <f t="shared" si="48"/>
        <v>0.28037808157421978</v>
      </c>
      <c r="H91" s="412" t="b">
        <f>Wh_hp&gt;='2021'!Maxi_hp</f>
        <v>0</v>
      </c>
      <c r="I91" s="379">
        <f>IF(H91,Wh_hp,'2021'!Maxi_hp)</f>
        <v>34.313153622269041</v>
      </c>
      <c r="J91" s="85">
        <f>IF(H91,An,'2021'!An_max)</f>
        <v>2018</v>
      </c>
      <c r="K91" s="197">
        <f t="shared" si="27"/>
        <v>44638</v>
      </c>
      <c r="L91" s="147">
        <f>IF(t&lt;Tvie,1-EXP((T0-t)*PertePVj)+'2021'!Pspv,1-EXP((T0-t)*PertePVj)+Pspv)</f>
        <v>2.2042282241858446E-2</v>
      </c>
      <c r="M91" s="832"/>
      <c r="N91" s="832"/>
      <c r="O91" s="48">
        <f>IF(t&lt;Tnet,'2021'!Resal+('2021'!Salim-'2021'!Resal)*(1-EXP(('2021'!Tnet-t)/('2021'!Tau_j))),Resal+(Salim-Resal)*(1-EXP((Tnet-t)/(Tau_j))))*Salcycl</f>
        <v>7.7297766082456337E-2</v>
      </c>
      <c r="P91" s="169">
        <f>(INDEX(Models!$BJ91:$BT91,,T91)*(1-R91)+INDEX(Models!$BJ91:$BT91,,T91+1)*R91-ERP_i)*Q91*Ramure*Pc/MaxiM</f>
        <v>2.1305818428769942E-3</v>
      </c>
      <c r="Q91" s="304">
        <f t="shared" si="28"/>
        <v>0.7</v>
      </c>
      <c r="R91" s="177">
        <f t="shared" si="29"/>
        <v>0.94635204465284395</v>
      </c>
      <c r="S91" s="799">
        <f t="shared" si="30"/>
        <v>-1</v>
      </c>
      <c r="T91" s="176">
        <f t="shared" si="31"/>
        <v>5</v>
      </c>
      <c r="U91" s="250">
        <f t="shared" si="32"/>
        <v>-5.36479553471561E-2</v>
      </c>
      <c r="V91" s="382">
        <f t="shared" si="33"/>
        <v>46.430892016185432</v>
      </c>
      <c r="W91" s="400">
        <f t="shared" si="34"/>
        <v>0</v>
      </c>
      <c r="X91" s="157">
        <f t="shared" si="35"/>
        <v>44638</v>
      </c>
      <c r="Y91" s="383">
        <f t="shared" si="36"/>
        <v>13.046000000000001</v>
      </c>
      <c r="Z91" s="383">
        <f t="shared" si="37"/>
        <v>13.340045037843245</v>
      </c>
      <c r="AA91" s="384">
        <f t="shared" si="38"/>
        <v>14.457583982651725</v>
      </c>
      <c r="AB91" s="197">
        <f t="shared" si="39"/>
        <v>44638</v>
      </c>
      <c r="AC91" s="119">
        <f>IF(OR(t&lt;Tnet,NoTnet),'2021'!Resal_s+('2021'!Salim-'2021'!Resal_s)*(1-EXP(('2021'!Tnet_s-t)/'2021'!Tau_j)),Resal_s+(Salim-Resal_s)*(1-EXP((Tnet_s-t)/Tau_j)))*Salcycl</f>
        <v>7.7297766082456337E-2</v>
      </c>
      <c r="AD91" s="230">
        <f>(INDEX(Models!$BJ91:$BT91,,AH91)*(1-AF91)+INDEX(Models!$BJ91:$BT91,,AH91+1)*AF91-ERP_i)*AE91*Ramure*Pc/MaxiM</f>
        <v>2.2618843951227024E-3</v>
      </c>
      <c r="AE91" s="304">
        <f t="shared" si="40"/>
        <v>0.7</v>
      </c>
      <c r="AF91" s="177">
        <f t="shared" si="41"/>
        <v>1.0684266912676051E-2</v>
      </c>
      <c r="AG91" s="799">
        <f t="shared" si="49"/>
        <v>0</v>
      </c>
      <c r="AH91" s="176">
        <f t="shared" si="42"/>
        <v>6</v>
      </c>
      <c r="AI91" s="224">
        <f t="shared" si="43"/>
        <v>1.0684266912676051E-2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44639</v>
      </c>
      <c r="B92" s="1147">
        <v>27.181000000000001</v>
      </c>
      <c r="C92" s="388"/>
      <c r="D92" s="391">
        <f t="shared" si="25"/>
        <v>27.794167819400279</v>
      </c>
      <c r="E92" s="383">
        <f t="shared" si="47"/>
        <v>30.128299019276504</v>
      </c>
      <c r="F92" s="383">
        <f t="shared" si="26"/>
        <v>30.154844223059275</v>
      </c>
      <c r="G92" s="110">
        <f t="shared" si="48"/>
        <v>0.58116600412438624</v>
      </c>
      <c r="H92" s="412" t="b">
        <f>Wh_hp&gt;='2021'!Maxi_hp</f>
        <v>0</v>
      </c>
      <c r="I92" s="379">
        <f>IF(H92,Wh_hp,'2021'!Maxi_hp)</f>
        <v>45.384654125633041</v>
      </c>
      <c r="J92" s="85">
        <f>IF(H92,An,'2021'!An_max)</f>
        <v>2020</v>
      </c>
      <c r="K92" s="197">
        <f t="shared" si="27"/>
        <v>44639</v>
      </c>
      <c r="L92" s="147">
        <f>IF(t&lt;Tvie,1-EXP((T0-t)*PertePVj)+'2021'!Pspv,1-EXP((T0-t)*PertePVj)+Pspv)</f>
        <v>2.2061024578411303E-2</v>
      </c>
      <c r="M92" s="832"/>
      <c r="N92" s="832"/>
      <c r="O92" s="48">
        <f>IF(t&lt;Tnet,'2021'!Resal+('2021'!Salim-'2021'!Resal)*(1-EXP(('2021'!Tnet-t)/('2021'!Tau_j))),Resal+(Salim-Resal)*(1-EXP((Tnet-t)/(Tau_j))))*Salcycl</f>
        <v>7.7473049453698484E-2</v>
      </c>
      <c r="P92" s="169">
        <f>(INDEX(Models!$BJ92:$BT92,,T92)*(1-R92)+INDEX(Models!$BJ92:$BT92,,T92+1)*R92-ERP_i)*Q92*Ramure*Pc/MaxiM</f>
        <v>2.1857041905614842E-3</v>
      </c>
      <c r="Q92" s="304">
        <f t="shared" si="28"/>
        <v>0.7</v>
      </c>
      <c r="R92" s="177">
        <f t="shared" si="29"/>
        <v>0.94685173714420912</v>
      </c>
      <c r="S92" s="799">
        <f t="shared" si="30"/>
        <v>-1</v>
      </c>
      <c r="T92" s="176">
        <f t="shared" si="31"/>
        <v>5</v>
      </c>
      <c r="U92" s="250">
        <f t="shared" si="32"/>
        <v>-5.3148262855790829E-2</v>
      </c>
      <c r="V92" s="382">
        <f t="shared" si="33"/>
        <v>46.708661997475936</v>
      </c>
      <c r="W92" s="400">
        <f t="shared" si="34"/>
        <v>0</v>
      </c>
      <c r="X92" s="157">
        <f t="shared" si="35"/>
        <v>44639</v>
      </c>
      <c r="Y92" s="383">
        <f t="shared" si="36"/>
        <v>27.179524572669198</v>
      </c>
      <c r="Z92" s="383">
        <f t="shared" si="37"/>
        <v>27.792659108358094</v>
      </c>
      <c r="AA92" s="384">
        <f t="shared" si="38"/>
        <v>30.126663607930212</v>
      </c>
      <c r="AB92" s="197">
        <f t="shared" si="39"/>
        <v>44639</v>
      </c>
      <c r="AC92" s="119">
        <f>IF(OR(t&lt;Tnet,NoTnet),'2021'!Resal_s+('2021'!Salim-'2021'!Resal_s)*(1-EXP(('2021'!Tnet_s-t)/'2021'!Tau_j)),Resal_s+(Salim-Resal_s)*(1-EXP((Tnet_s-t)/Tau_j)))*Salcycl</f>
        <v>7.7473049453698484E-2</v>
      </c>
      <c r="AD92" s="230">
        <f>(INDEX(Models!$BJ92:$BT92,,AH92)*(1-AF92)+INDEX(Models!$BJ92:$BT92,,AH92+1)*AF92-ERP_i)*AE92*Ramure*Pc/MaxiM</f>
        <v>2.3203622426201161E-3</v>
      </c>
      <c r="AE92" s="304">
        <f t="shared" si="40"/>
        <v>0.7</v>
      </c>
      <c r="AF92" s="177">
        <f t="shared" si="41"/>
        <v>1.1183959404041321E-2</v>
      </c>
      <c r="AG92" s="799">
        <f t="shared" si="49"/>
        <v>0</v>
      </c>
      <c r="AH92" s="176">
        <f t="shared" si="42"/>
        <v>6</v>
      </c>
      <c r="AI92" s="224">
        <f t="shared" si="43"/>
        <v>1.1183959404041321E-2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44640</v>
      </c>
      <c r="B93" s="1147">
        <v>31.818000000000001</v>
      </c>
      <c r="C93" s="388"/>
      <c r="D93" s="391">
        <f t="shared" si="25"/>
        <v>32.536396028883885</v>
      </c>
      <c r="E93" s="383">
        <f t="shared" si="47"/>
        <v>35.275474538131377</v>
      </c>
      <c r="F93" s="383">
        <f t="shared" si="26"/>
        <v>35.318189582475313</v>
      </c>
      <c r="G93" s="110">
        <f t="shared" si="48"/>
        <v>0.67650732805979619</v>
      </c>
      <c r="H93" s="412" t="b">
        <f>Wh_hp&gt;='2021'!Maxi_hp</f>
        <v>0</v>
      </c>
      <c r="I93" s="379">
        <f>IF(H93,Wh_hp,'2021'!Maxi_hp)</f>
        <v>51.000305055199313</v>
      </c>
      <c r="J93" s="85">
        <f>IF(H93,An,'2021'!An_max)</f>
        <v>2018</v>
      </c>
      <c r="K93" s="197">
        <f t="shared" si="27"/>
        <v>44640</v>
      </c>
      <c r="L93" s="147">
        <f>IF(t&lt;Tvie,1-EXP((T0-t)*PertePVj)+'2021'!Pspv,1-EXP((T0-t)*PertePVj)+Pspv)</f>
        <v>2.2079766555771485E-2</v>
      </c>
      <c r="M93" s="832"/>
      <c r="N93" s="832"/>
      <c r="O93" s="48">
        <f>IF(t&lt;Tnet,'2021'!Resal+('2021'!Salim-'2021'!Resal)*(1-EXP(('2021'!Tnet-t)/('2021'!Tau_j))),Resal+(Salim-Resal)*(1-EXP((Tnet-t)/(Tau_j))))*Salcycl</f>
        <v>7.7648239892185084E-2</v>
      </c>
      <c r="P93" s="169">
        <f>(INDEX(Models!$BJ93:$BT93,,T93)*(1-R93)+INDEX(Models!$BJ93:$BT93,,T93+1)*R93-ERP_i)*Q93*Ramure*Pc/MaxiM</f>
        <v>2.2443901558360344E-3</v>
      </c>
      <c r="Q93" s="304">
        <f t="shared" si="28"/>
        <v>0.7</v>
      </c>
      <c r="R93" s="177">
        <f t="shared" si="29"/>
        <v>0.94737102673030638</v>
      </c>
      <c r="S93" s="799">
        <f t="shared" si="30"/>
        <v>-1</v>
      </c>
      <c r="T93" s="176">
        <f t="shared" si="31"/>
        <v>5</v>
      </c>
      <c r="U93" s="250">
        <f t="shared" si="32"/>
        <v>-5.2628973269693652E-2</v>
      </c>
      <c r="V93" s="382">
        <f t="shared" si="33"/>
        <v>46.984014206596001</v>
      </c>
      <c r="W93" s="400">
        <f t="shared" si="34"/>
        <v>0</v>
      </c>
      <c r="X93" s="157">
        <f t="shared" si="35"/>
        <v>44640</v>
      </c>
      <c r="Y93" s="383">
        <f t="shared" si="36"/>
        <v>31.81562186096858</v>
      </c>
      <c r="Z93" s="383">
        <f t="shared" si="37"/>
        <v>32.53396419553993</v>
      </c>
      <c r="AA93" s="384">
        <f t="shared" si="38"/>
        <v>35.272837980747163</v>
      </c>
      <c r="AB93" s="197">
        <f t="shared" si="39"/>
        <v>44640</v>
      </c>
      <c r="AC93" s="119">
        <f>IF(OR(t&lt;Tnet,NoTnet),'2021'!Resal_s+('2021'!Salim-'2021'!Resal_s)*(1-EXP(('2021'!Tnet_s-t)/'2021'!Tau_j)),Resal_s+(Salim-Resal_s)*(1-EXP((Tnet_s-t)/Tau_j)))*Salcycl</f>
        <v>7.7648239892185084E-2</v>
      </c>
      <c r="AD93" s="230">
        <f>(INDEX(Models!$BJ93:$BT93,,AH93)*(1-AF93)+INDEX(Models!$BJ93:$BT93,,AH93+1)*AF93-ERP_i)*AE93*Ramure*Pc/MaxiM</f>
        <v>2.3829236287451422E-3</v>
      </c>
      <c r="AE93" s="304">
        <f t="shared" si="40"/>
        <v>0.7</v>
      </c>
      <c r="AF93" s="177">
        <f t="shared" si="41"/>
        <v>1.1703248990138502E-2</v>
      </c>
      <c r="AG93" s="799">
        <f t="shared" si="49"/>
        <v>0</v>
      </c>
      <c r="AH93" s="176">
        <f t="shared" si="42"/>
        <v>6</v>
      </c>
      <c r="AI93" s="224">
        <f t="shared" si="43"/>
        <v>1.1703248990138502E-2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44641</v>
      </c>
      <c r="B94" s="1147">
        <v>44.313000000000002</v>
      </c>
      <c r="C94" s="388"/>
      <c r="D94" s="391">
        <f t="shared" si="25"/>
        <v>45.314380201275178</v>
      </c>
      <c r="E94" s="383">
        <f t="shared" si="47"/>
        <v>49.138504202674014</v>
      </c>
      <c r="F94" s="383">
        <f t="shared" si="26"/>
        <v>49.241714616232784</v>
      </c>
      <c r="G94" s="110">
        <f t="shared" si="48"/>
        <v>0.93746120189441207</v>
      </c>
      <c r="H94" s="412" t="b">
        <f>Wh_hp&gt;='2021'!Maxi_hp</f>
        <v>0</v>
      </c>
      <c r="I94" s="379">
        <f>IF(H94,Wh_hp,'2021'!Maxi_hp)</f>
        <v>51.582949818940655</v>
      </c>
      <c r="J94" s="85">
        <f>IF(H94,An,'2021'!An_max)</f>
        <v>2020</v>
      </c>
      <c r="K94" s="197">
        <f t="shared" si="27"/>
        <v>44641</v>
      </c>
      <c r="L94" s="147">
        <f>IF(t&lt;Tvie,1-EXP((T0-t)*PertePVj)+'2021'!Pspv,1-EXP((T0-t)*PertePVj)+Pspv)</f>
        <v>2.2098508173945985E-2</v>
      </c>
      <c r="M94" s="832"/>
      <c r="N94" s="832"/>
      <c r="O94" s="48">
        <f>IF(t&lt;Tnet,'2021'!Resal+('2021'!Salim-'2021'!Resal)*(1-EXP(('2021'!Tnet-t)/('2021'!Tau_j))),Resal+(Salim-Resal)*(1-EXP((Tnet-t)/(Tau_j))))*Salcycl</f>
        <v>7.7823370154412097E-2</v>
      </c>
      <c r="P94" s="169">
        <f>(INDEX(Models!$BJ94:$BT94,,T94)*(1-R94)+INDEX(Models!$BJ94:$BT94,,T94+1)*R94-ERP_i)*Q94*Ramure*Pc/MaxiM</f>
        <v>2.3009303056292538E-3</v>
      </c>
      <c r="Q94" s="304">
        <f t="shared" si="28"/>
        <v>0.7</v>
      </c>
      <c r="R94" s="177">
        <f t="shared" si="29"/>
        <v>0.94791062448206653</v>
      </c>
      <c r="S94" s="799">
        <f t="shared" si="30"/>
        <v>-1</v>
      </c>
      <c r="T94" s="176">
        <f t="shared" si="31"/>
        <v>5</v>
      </c>
      <c r="U94" s="250">
        <f t="shared" si="32"/>
        <v>-5.2089375517933481E-2</v>
      </c>
      <c r="V94" s="382">
        <f t="shared" si="33"/>
        <v>47.259448776459038</v>
      </c>
      <c r="W94" s="400">
        <f t="shared" si="34"/>
        <v>0</v>
      </c>
      <c r="X94" s="157">
        <f t="shared" si="35"/>
        <v>44641</v>
      </c>
      <c r="Y94" s="383">
        <f t="shared" si="36"/>
        <v>44.307233277553436</v>
      </c>
      <c r="Z94" s="383">
        <f t="shared" si="37"/>
        <v>45.308483163081895</v>
      </c>
      <c r="AA94" s="384">
        <f t="shared" si="38"/>
        <v>49.132109507772377</v>
      </c>
      <c r="AB94" s="197">
        <f t="shared" si="39"/>
        <v>44641</v>
      </c>
      <c r="AC94" s="119">
        <f>IF(OR(t&lt;Tnet,NoTnet),'2021'!Resal_s+('2021'!Salim-'2021'!Resal_s)*(1-EXP(('2021'!Tnet_s-t)/'2021'!Tau_j)),Resal_s+(Salim-Resal_s)*(1-EXP((Tnet_s-t)/Tau_j)))*Salcycl</f>
        <v>7.7823370154412097E-2</v>
      </c>
      <c r="AD94" s="230">
        <f>(INDEX(Models!$BJ94:$BT94,,AH94)*(1-AF94)+INDEX(Models!$BJ94:$BT94,,AH94+1)*AF94-ERP_i)*AE94*Ramure*Pc/MaxiM</f>
        <v>2.443490991000938E-3</v>
      </c>
      <c r="AE94" s="304">
        <f t="shared" si="40"/>
        <v>0.7</v>
      </c>
      <c r="AF94" s="177">
        <f t="shared" si="41"/>
        <v>1.2242846741898667E-2</v>
      </c>
      <c r="AG94" s="799">
        <f t="shared" si="49"/>
        <v>0</v>
      </c>
      <c r="AH94" s="176">
        <f t="shared" si="42"/>
        <v>6</v>
      </c>
      <c r="AI94" s="224">
        <f t="shared" si="43"/>
        <v>1.2242846741898667E-2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44642</v>
      </c>
      <c r="B95" s="1147">
        <v>40.724000000000004</v>
      </c>
      <c r="C95" s="388"/>
      <c r="D95" s="391">
        <f t="shared" si="25"/>
        <v>41.645074500378307</v>
      </c>
      <c r="E95" s="383">
        <f t="shared" si="47"/>
        <v>45.168118822770715</v>
      </c>
      <c r="F95" s="383">
        <f t="shared" si="26"/>
        <v>45.252607512614375</v>
      </c>
      <c r="G95" s="110">
        <f t="shared" si="48"/>
        <v>0.85631170912642141</v>
      </c>
      <c r="H95" s="412" t="b">
        <f>Wh_hp&gt;='2021'!Maxi_hp</f>
        <v>0</v>
      </c>
      <c r="I95" s="379">
        <f>IF(H95,Wh_hp,'2021'!Maxi_hp)</f>
        <v>50.061246590023678</v>
      </c>
      <c r="J95" s="85">
        <f>IF(H95,An,'2021'!An_max)</f>
        <v>2020</v>
      </c>
      <c r="K95" s="197">
        <f t="shared" si="27"/>
        <v>44642</v>
      </c>
      <c r="L95" s="147">
        <f>IF(t&lt;Tvie,1-EXP((T0-t)*PertePVj)+'2021'!Pspv,1-EXP((T0-t)*PertePVj)+Pspv)</f>
        <v>2.2117249432941688E-2</v>
      </c>
      <c r="M95" s="832"/>
      <c r="N95" s="832"/>
      <c r="O95" s="48">
        <f>IF(t&lt;Tnet,'2021'!Resal+('2021'!Salim-'2021'!Resal)*(1-EXP(('2021'!Tnet-t)/('2021'!Tau_j))),Resal+(Salim-Resal)*(1-EXP((Tnet-t)/(Tau_j))))*Salcycl</f>
        <v>7.7998473574160149E-2</v>
      </c>
      <c r="P95" s="169">
        <f>(INDEX(Models!$BJ95:$BT95,,T95)*(1-R95)+INDEX(Models!$BJ95:$BT95,,T95+1)*R95-ERP_i)*Q95*Ramure*Pc/MaxiM</f>
        <v>2.3475397867237192E-3</v>
      </c>
      <c r="Q95" s="304">
        <f t="shared" si="28"/>
        <v>0.7</v>
      </c>
      <c r="R95" s="177">
        <f t="shared" si="29"/>
        <v>0.94847126253100633</v>
      </c>
      <c r="S95" s="799">
        <f t="shared" si="30"/>
        <v>-1</v>
      </c>
      <c r="T95" s="176">
        <f t="shared" si="31"/>
        <v>5</v>
      </c>
      <c r="U95" s="250">
        <f t="shared" si="32"/>
        <v>-5.1528737468993717E-2</v>
      </c>
      <c r="V95" s="382">
        <f t="shared" si="33"/>
        <v>47.534554679323207</v>
      </c>
      <c r="W95" s="400">
        <f t="shared" si="34"/>
        <v>0</v>
      </c>
      <c r="X95" s="157">
        <f t="shared" si="35"/>
        <v>44642</v>
      </c>
      <c r="Y95" s="383">
        <f t="shared" si="36"/>
        <v>40.719260656999566</v>
      </c>
      <c r="Z95" s="383">
        <f t="shared" si="37"/>
        <v>41.640227965353851</v>
      </c>
      <c r="AA95" s="384">
        <f t="shared" si="38"/>
        <v>45.162862285893553</v>
      </c>
      <c r="AB95" s="197">
        <f t="shared" si="39"/>
        <v>44642</v>
      </c>
      <c r="AC95" s="119">
        <f>IF(OR(t&lt;Tnet,NoTnet),'2021'!Resal_s+('2021'!Salim-'2021'!Resal_s)*(1-EXP(('2021'!Tnet_s-t)/'2021'!Tau_j)),Resal_s+(Salim-Resal_s)*(1-EXP((Tnet_s-t)/Tau_j)))*Salcycl</f>
        <v>7.7998473574160149E-2</v>
      </c>
      <c r="AD95" s="230">
        <f>(INDEX(Models!$BJ95:$BT95,,AH95)*(1-AF95)+INDEX(Models!$BJ95:$BT95,,AH95+1)*AF95-ERP_i)*AE95*Ramure*Pc/MaxiM</f>
        <v>2.493594003949088E-3</v>
      </c>
      <c r="AE95" s="304">
        <f t="shared" si="40"/>
        <v>0.7</v>
      </c>
      <c r="AF95" s="177">
        <f t="shared" si="41"/>
        <v>1.2803484790838435E-2</v>
      </c>
      <c r="AG95" s="799">
        <f t="shared" si="49"/>
        <v>0</v>
      </c>
      <c r="AH95" s="176">
        <f t="shared" si="42"/>
        <v>6</v>
      </c>
      <c r="AI95" s="224">
        <f t="shared" si="43"/>
        <v>1.2803484790838435E-2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44643</v>
      </c>
      <c r="B96" s="1147">
        <v>48.017000000000003</v>
      </c>
      <c r="C96" s="388"/>
      <c r="D96" s="391">
        <f t="shared" si="25"/>
        <v>49.103964892153158</v>
      </c>
      <c r="E96" s="383">
        <f t="shared" si="47"/>
        <v>53.268125146219198</v>
      </c>
      <c r="F96" s="383">
        <f t="shared" si="26"/>
        <v>53.395442827230923</v>
      </c>
      <c r="G96" s="110">
        <f t="shared" si="48"/>
        <v>1.0043601605751804</v>
      </c>
      <c r="H96" s="412" t="b">
        <f>Wh_hp&gt;='2021'!Maxi_hp</f>
        <v>1</v>
      </c>
      <c r="I96" s="379">
        <f>IF(H96,Wh_hp,'2021'!Maxi_hp)</f>
        <v>53.395442827230923</v>
      </c>
      <c r="J96" s="85">
        <f>IF(H96,An,'2021'!An_max)</f>
        <v>2022</v>
      </c>
      <c r="K96" s="197">
        <f t="shared" si="27"/>
        <v>44643</v>
      </c>
      <c r="L96" s="147">
        <f>IF(t&lt;Tvie,1-EXP((T0-t)*PertePVj)+'2021'!Pspv,1-EXP((T0-t)*PertePVj)+Pspv)</f>
        <v>2.2135990332765365E-2</v>
      </c>
      <c r="M96" s="832"/>
      <c r="N96" s="832"/>
      <c r="O96" s="48">
        <f>IF(t&lt;Tnet,'2021'!Resal+('2021'!Salim-'2021'!Resal)*(1-EXP(('2021'!Tnet-t)/('2021'!Tau_j))),Resal+(Salim-Resal)*(1-EXP((Tnet-t)/(Tau_j))))*Salcycl</f>
        <v>7.8173583970443106E-2</v>
      </c>
      <c r="P96" s="169">
        <f>(INDEX(Models!$BJ96:$BT96,,T96)*(1-R96)+INDEX(Models!$BJ96:$BT96,,T96+1)*R96-ERP_i)*Q96*Ramure*Pc/MaxiM</f>
        <v>2.3844297241560502E-3</v>
      </c>
      <c r="Q96" s="304">
        <f t="shared" si="28"/>
        <v>0.7</v>
      </c>
      <c r="R96" s="177">
        <f t="shared" si="29"/>
        <v>0.94905369429284203</v>
      </c>
      <c r="S96" s="799">
        <f t="shared" si="30"/>
        <v>-1</v>
      </c>
      <c r="T96" s="176">
        <f t="shared" si="31"/>
        <v>5</v>
      </c>
      <c r="U96" s="250">
        <f t="shared" si="32"/>
        <v>-5.0946305707158003E-2</v>
      </c>
      <c r="V96" s="382">
        <f t="shared" si="33"/>
        <v>47.808547057961228</v>
      </c>
      <c r="W96" s="400">
        <f t="shared" si="34"/>
        <v>0</v>
      </c>
      <c r="X96" s="157">
        <f t="shared" si="35"/>
        <v>44643</v>
      </c>
      <c r="Y96" s="383">
        <f t="shared" si="36"/>
        <v>48.009826451233458</v>
      </c>
      <c r="Z96" s="383">
        <f t="shared" si="37"/>
        <v>49.096628955156163</v>
      </c>
      <c r="AA96" s="384">
        <f t="shared" si="38"/>
        <v>53.260167100247166</v>
      </c>
      <c r="AB96" s="197">
        <f t="shared" si="39"/>
        <v>44643</v>
      </c>
      <c r="AC96" s="119">
        <f>IF(OR(t&lt;Tnet,NoTnet),'2021'!Resal_s+('2021'!Salim-'2021'!Resal_s)*(1-EXP(('2021'!Tnet_s-t)/'2021'!Tau_j)),Resal_s+(Salim-Resal_s)*(1-EXP((Tnet_s-t)/Tau_j)))*Salcycl</f>
        <v>7.8173583970443106E-2</v>
      </c>
      <c r="AD96" s="230">
        <f>(INDEX(Models!$BJ96:$BT96,,AH96)*(1-AF96)+INDEX(Models!$BJ96:$BT96,,AH96+1)*AF96-ERP_i)*AE96*Ramure*Pc/MaxiM</f>
        <v>2.5334695213870871E-3</v>
      </c>
      <c r="AE96" s="304">
        <f t="shared" si="40"/>
        <v>0.7</v>
      </c>
      <c r="AF96" s="177">
        <f t="shared" si="41"/>
        <v>1.3385916552674149E-2</v>
      </c>
      <c r="AG96" s="799">
        <f t="shared" si="49"/>
        <v>0</v>
      </c>
      <c r="AH96" s="176">
        <f t="shared" si="42"/>
        <v>6</v>
      </c>
      <c r="AI96" s="224">
        <f t="shared" si="43"/>
        <v>1.3385916552674149E-2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44644</v>
      </c>
      <c r="B97" s="1147">
        <v>46.923000000000002</v>
      </c>
      <c r="C97" s="388"/>
      <c r="D97" s="391">
        <f t="shared" si="25"/>
        <v>47.986119564613972</v>
      </c>
      <c r="E97" s="383">
        <f t="shared" si="47"/>
        <v>52.065375935396816</v>
      </c>
      <c r="F97" s="383">
        <f t="shared" si="26"/>
        <v>52.18691136739492</v>
      </c>
      <c r="G97" s="110">
        <f t="shared" si="48"/>
        <v>0.97584176613429596</v>
      </c>
      <c r="H97" s="412" t="b">
        <f>Wh_hp&gt;='2021'!Maxi_hp</f>
        <v>1</v>
      </c>
      <c r="I97" s="379">
        <f>IF(H97,Wh_hp,'2021'!Maxi_hp)</f>
        <v>52.18691136739492</v>
      </c>
      <c r="J97" s="85">
        <f>IF(H97,An,'2021'!An_max)</f>
        <v>2022</v>
      </c>
      <c r="K97" s="197">
        <f t="shared" si="27"/>
        <v>44644</v>
      </c>
      <c r="L97" s="147">
        <f>IF(t&lt;Tvie,1-EXP((T0-t)*PertePVj)+'2021'!Pspv,1-EXP((T0-t)*PertePVj)+Pspv)</f>
        <v>2.2154730873424011E-2</v>
      </c>
      <c r="M97" s="832"/>
      <c r="N97" s="832"/>
      <c r="O97" s="48">
        <f>IF(t&lt;Tnet,'2021'!Resal+('2021'!Salim-'2021'!Resal)*(1-EXP(('2021'!Tnet-t)/('2021'!Tau_j))),Resal+(Salim-Resal)*(1-EXP((Tnet-t)/(Tau_j))))*Salcycl</f>
        <v>7.8348735555936855E-2</v>
      </c>
      <c r="P97" s="169">
        <f>(INDEX(Models!$BJ97:$BT97,,T97)*(1-R97)+INDEX(Models!$BJ97:$BT97,,T97+1)*R97-ERP_i)*Q97*Ramure*Pc/MaxiM</f>
        <v>2.4118049680898696E-3</v>
      </c>
      <c r="Q97" s="304">
        <f t="shared" si="28"/>
        <v>0.7</v>
      </c>
      <c r="R97" s="177">
        <f t="shared" si="29"/>
        <v>0.94965869465488983</v>
      </c>
      <c r="S97" s="799">
        <f t="shared" si="30"/>
        <v>-1</v>
      </c>
      <c r="T97" s="176">
        <f t="shared" si="31"/>
        <v>5</v>
      </c>
      <c r="U97" s="250">
        <f t="shared" si="32"/>
        <v>-5.0341305345110152E-2</v>
      </c>
      <c r="V97" s="382">
        <f t="shared" si="33"/>
        <v>48.080641754807147</v>
      </c>
      <c r="W97" s="400">
        <f t="shared" si="34"/>
        <v>0</v>
      </c>
      <c r="X97" s="157">
        <f t="shared" si="35"/>
        <v>44644</v>
      </c>
      <c r="Y97" s="383">
        <f t="shared" si="36"/>
        <v>46.916117675817709</v>
      </c>
      <c r="Z97" s="383">
        <f t="shared" si="37"/>
        <v>47.979081309790239</v>
      </c>
      <c r="AA97" s="384">
        <f t="shared" si="38"/>
        <v>52.057739364933283</v>
      </c>
      <c r="AB97" s="197">
        <f t="shared" si="39"/>
        <v>44644</v>
      </c>
      <c r="AC97" s="119">
        <f>IF(OR(t&lt;Tnet,NoTnet),'2021'!Resal_s+('2021'!Salim-'2021'!Resal_s)*(1-EXP(('2021'!Tnet_s-t)/'2021'!Tau_j)),Resal_s+(Salim-Resal_s)*(1-EXP((Tnet_s-t)/Tau_j)))*Salcycl</f>
        <v>7.8348735555936855E-2</v>
      </c>
      <c r="AD97" s="230">
        <f>(INDEX(Models!$BJ97:$BT97,,AH97)*(1-AF97)+INDEX(Models!$BJ97:$BT97,,AH97+1)*AF97-ERP_i)*AE97*Ramure*Pc/MaxiM</f>
        <v>2.5633485819999908E-3</v>
      </c>
      <c r="AE97" s="304">
        <f t="shared" si="40"/>
        <v>0.7</v>
      </c>
      <c r="AF97" s="177">
        <f t="shared" si="41"/>
        <v>1.3990916914722002E-2</v>
      </c>
      <c r="AG97" s="799">
        <f t="shared" si="49"/>
        <v>0</v>
      </c>
      <c r="AH97" s="176">
        <f t="shared" si="42"/>
        <v>6</v>
      </c>
      <c r="AI97" s="224">
        <f t="shared" si="43"/>
        <v>1.3990916914722002E-2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44645</v>
      </c>
      <c r="B98" s="1147">
        <v>37.012999999999998</v>
      </c>
      <c r="C98" s="388"/>
      <c r="D98" s="391">
        <f t="shared" si="25"/>
        <v>37.852317261151974</v>
      </c>
      <c r="E98" s="383">
        <f t="shared" si="47"/>
        <v>41.077918182306632</v>
      </c>
      <c r="F98" s="383">
        <f t="shared" si="26"/>
        <v>41.144404773392168</v>
      </c>
      <c r="G98" s="110">
        <f t="shared" si="48"/>
        <v>0.76489726856353135</v>
      </c>
      <c r="H98" s="412" t="b">
        <f>Wh_hp&gt;='2021'!Maxi_hp</f>
        <v>0</v>
      </c>
      <c r="I98" s="379">
        <f>IF(H98,Wh_hp,'2021'!Maxi_hp)</f>
        <v>52.042805728748291</v>
      </c>
      <c r="J98" s="85">
        <f>IF(H98,An,'2021'!An_max)</f>
        <v>2020</v>
      </c>
      <c r="K98" s="197">
        <f t="shared" si="27"/>
        <v>44645</v>
      </c>
      <c r="L98" s="147">
        <f>IF(t&lt;Tvie,1-EXP((T0-t)*PertePVj)+'2021'!Pspv,1-EXP((T0-t)*PertePVj)+Pspv)</f>
        <v>2.217347105492451E-2</v>
      </c>
      <c r="M98" s="832"/>
      <c r="N98" s="832"/>
      <c r="O98" s="48">
        <f>IF(t&lt;Tnet,'2021'!Resal+('2021'!Salim-'2021'!Resal)*(1-EXP(('2021'!Tnet-t)/('2021'!Tau_j))),Resal+(Salim-Resal)*(1-EXP((Tnet-t)/(Tau_j))))*Salcycl</f>
        <v>7.8523962846393999E-2</v>
      </c>
      <c r="P98" s="169">
        <f>(INDEX(Models!$BJ98:$BT98,,T98)*(1-R98)+INDEX(Models!$BJ98:$BT98,,T98+1)*R98-ERP_i)*Q98*Ramure*Pc/MaxiM</f>
        <v>2.4298625726102696E-3</v>
      </c>
      <c r="Q98" s="304">
        <f t="shared" si="28"/>
        <v>0.7</v>
      </c>
      <c r="R98" s="177">
        <f t="shared" si="29"/>
        <v>0.95028706012308761</v>
      </c>
      <c r="S98" s="799">
        <f t="shared" si="30"/>
        <v>-1</v>
      </c>
      <c r="T98" s="176">
        <f t="shared" si="31"/>
        <v>5</v>
      </c>
      <c r="U98" s="250">
        <f t="shared" si="32"/>
        <v>-4.971293987691236E-2</v>
      </c>
      <c r="V98" s="382">
        <f t="shared" si="33"/>
        <v>48.350055327704631</v>
      </c>
      <c r="W98" s="400">
        <f t="shared" si="34"/>
        <v>0</v>
      </c>
      <c r="X98" s="157">
        <f t="shared" si="35"/>
        <v>44645</v>
      </c>
      <c r="Y98" s="383">
        <f t="shared" si="36"/>
        <v>37.009213241393319</v>
      </c>
      <c r="Z98" s="383">
        <f t="shared" si="37"/>
        <v>37.848444632935632</v>
      </c>
      <c r="AA98" s="384">
        <f t="shared" si="38"/>
        <v>41.073715546469998</v>
      </c>
      <c r="AB98" s="197">
        <f t="shared" si="39"/>
        <v>44645</v>
      </c>
      <c r="AC98" s="119">
        <f>IF(OR(t&lt;Tnet,NoTnet),'2021'!Resal_s+('2021'!Salim-'2021'!Resal_s)*(1-EXP(('2021'!Tnet_s-t)/'2021'!Tau_j)),Resal_s+(Salim-Resal_s)*(1-EXP((Tnet_s-t)/Tau_j)))*Salcycl</f>
        <v>7.8523962846393999E-2</v>
      </c>
      <c r="AD98" s="230">
        <f>(INDEX(Models!$BJ98:$BT98,,AH98)*(1-AF98)+INDEX(Models!$BJ98:$BT98,,AH98+1)*AF98-ERP_i)*AE98*Ramure*Pc/MaxiM</f>
        <v>2.5834548587992476E-3</v>
      </c>
      <c r="AE98" s="304">
        <f t="shared" si="40"/>
        <v>0.7</v>
      </c>
      <c r="AF98" s="177">
        <f t="shared" si="41"/>
        <v>1.4619282382919794E-2</v>
      </c>
      <c r="AG98" s="799">
        <f t="shared" si="49"/>
        <v>0</v>
      </c>
      <c r="AH98" s="176">
        <f t="shared" si="42"/>
        <v>6</v>
      </c>
      <c r="AI98" s="224">
        <f t="shared" si="43"/>
        <v>1.4619282382919794E-2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44646</v>
      </c>
      <c r="B99" s="1147">
        <v>42.305999999999997</v>
      </c>
      <c r="C99" s="388"/>
      <c r="D99" s="391">
        <f t="shared" si="25"/>
        <v>43.266172013168628</v>
      </c>
      <c r="E99" s="383">
        <f t="shared" si="47"/>
        <v>46.96205271526108</v>
      </c>
      <c r="F99" s="383">
        <f t="shared" si="26"/>
        <v>47.055532964976827</v>
      </c>
      <c r="G99" s="110">
        <f t="shared" si="48"/>
        <v>0.86981296071870406</v>
      </c>
      <c r="H99" s="412" t="b">
        <f>Wh_hp&gt;='2021'!Maxi_hp</f>
        <v>0</v>
      </c>
      <c r="I99" s="379">
        <f>IF(H99,Wh_hp,'2021'!Maxi_hp)</f>
        <v>54.406274588280766</v>
      </c>
      <c r="J99" s="85">
        <f>IF(H99,An,'2021'!An_max)</f>
        <v>2020</v>
      </c>
      <c r="K99" s="197">
        <f t="shared" si="27"/>
        <v>44646</v>
      </c>
      <c r="L99" s="147">
        <f>IF(t&lt;Tvie,1-EXP((T0-t)*PertePVj)+'2021'!Pspv,1-EXP((T0-t)*PertePVj)+Pspv)</f>
        <v>2.2192210877273633E-2</v>
      </c>
      <c r="M99" s="832"/>
      <c r="N99" s="832"/>
      <c r="O99" s="48">
        <f>IF(t&lt;Tnet,'2021'!Resal+('2021'!Salim-'2021'!Resal)*(1-EXP(('2021'!Tnet-t)/('2021'!Tau_j))),Resal+(Salim-Resal)*(1-EXP((Tnet-t)/(Tau_j))))*Salcycl</f>
        <v>7.8699300571489203E-2</v>
      </c>
      <c r="P99" s="169">
        <f>(INDEX(Models!$BJ99:$BT99,,T99)*(1-R99)+INDEX(Models!$BJ99:$BT99,,T99+1)*R99-ERP_i)*Q99*Ramure*Pc/MaxiM</f>
        <v>2.4387903811680833E-3</v>
      </c>
      <c r="Q99" s="304">
        <f t="shared" si="28"/>
        <v>0.7</v>
      </c>
      <c r="R99" s="177">
        <f t="shared" si="29"/>
        <v>0.95093960892421059</v>
      </c>
      <c r="S99" s="799">
        <f t="shared" si="30"/>
        <v>-1</v>
      </c>
      <c r="T99" s="176">
        <f t="shared" si="31"/>
        <v>5</v>
      </c>
      <c r="U99" s="250">
        <f t="shared" si="32"/>
        <v>-4.9060391075789467E-2</v>
      </c>
      <c r="V99" s="382">
        <f t="shared" si="33"/>
        <v>48.616005070528679</v>
      </c>
      <c r="W99" s="400">
        <f t="shared" si="34"/>
        <v>0</v>
      </c>
      <c r="X99" s="157">
        <f t="shared" si="35"/>
        <v>44646</v>
      </c>
      <c r="Y99" s="383">
        <f t="shared" si="36"/>
        <v>42.300640454665285</v>
      </c>
      <c r="Z99" s="383">
        <f t="shared" si="37"/>
        <v>43.260690828221719</v>
      </c>
      <c r="AA99" s="384">
        <f t="shared" si="38"/>
        <v>46.956103316817874</v>
      </c>
      <c r="AB99" s="197">
        <f t="shared" si="39"/>
        <v>44646</v>
      </c>
      <c r="AC99" s="119">
        <f>IF(OR(t&lt;Tnet,NoTnet),'2021'!Resal_s+('2021'!Salim-'2021'!Resal_s)*(1-EXP(('2021'!Tnet_s-t)/'2021'!Tau_j)),Resal_s+(Salim-Resal_s)*(1-EXP((Tnet_s-t)/Tau_j)))*Salcycl</f>
        <v>7.8699300571489203E-2</v>
      </c>
      <c r="AD99" s="230">
        <f>(INDEX(Models!$BJ99:$BT99,,AH99)*(1-AF99)+INDEX(Models!$BJ99:$BT99,,AH99+1)*AF99-ERP_i)*AE99*Ramure*Pc/MaxiM</f>
        <v>2.5940032281720981E-3</v>
      </c>
      <c r="AE99" s="304">
        <f t="shared" si="40"/>
        <v>0.7</v>
      </c>
      <c r="AF99" s="177">
        <f t="shared" si="41"/>
        <v>1.5271831184042687E-2</v>
      </c>
      <c r="AG99" s="799">
        <f t="shared" si="49"/>
        <v>0</v>
      </c>
      <c r="AH99" s="176">
        <f t="shared" si="42"/>
        <v>6</v>
      </c>
      <c r="AI99" s="224">
        <f t="shared" si="43"/>
        <v>1.5271831184042687E-2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44647</v>
      </c>
      <c r="B100" s="1147">
        <v>44.872</v>
      </c>
      <c r="C100" s="388"/>
      <c r="D100" s="391">
        <f t="shared" si="25"/>
        <v>45.891289144243324</v>
      </c>
      <c r="E100" s="383">
        <f t="shared" si="47"/>
        <v>49.820902008279006</v>
      </c>
      <c r="F100" s="383">
        <f t="shared" si="26"/>
        <v>49.928329497289553</v>
      </c>
      <c r="G100" s="110">
        <f t="shared" si="48"/>
        <v>0.91778213294092648</v>
      </c>
      <c r="H100" s="412" t="b">
        <f>Wh_hp&gt;='2021'!Maxi_hp</f>
        <v>0</v>
      </c>
      <c r="I100" s="379">
        <f>IF(H100,Wh_hp,'2021'!Maxi_hp)</f>
        <v>53.384217171307384</v>
      </c>
      <c r="J100" s="85">
        <f>IF(H100,An,'2021'!An_max)</f>
        <v>2018</v>
      </c>
      <c r="K100" s="197">
        <f t="shared" si="27"/>
        <v>44647</v>
      </c>
      <c r="L100" s="147">
        <f>IF(t&lt;Tvie,1-EXP((T0-t)*PertePVj)+'2021'!Pspv,1-EXP((T0-t)*PertePVj)+Pspv)</f>
        <v>2.2210950340478375E-2</v>
      </c>
      <c r="M100" s="832"/>
      <c r="N100" s="832"/>
      <c r="O100" s="48">
        <f>IF(t&lt;Tnet,'2021'!Resal+('2021'!Salim-'2021'!Resal)*(1-EXP(('2021'!Tnet-t)/('2021'!Tau_j))),Resal+(Salim-Resal)*(1-EXP((Tnet-t)/(Tau_j))))*Salcycl</f>
        <v>7.8874783587472533E-2</v>
      </c>
      <c r="P100" s="169">
        <f>(INDEX(Models!$BJ100:$BT100,,T100)*(1-R100)+INDEX(Models!$BJ100:$BT100,,T100+1)*R100-ERP_i)*Q100*Ramure*Pc/MaxiM</f>
        <v>2.4369498471953689E-3</v>
      </c>
      <c r="Q100" s="304">
        <f t="shared" si="28"/>
        <v>0.7</v>
      </c>
      <c r="R100" s="177">
        <f t="shared" si="29"/>
        <v>0.95161718105858217</v>
      </c>
      <c r="S100" s="799">
        <f t="shared" si="30"/>
        <v>-1</v>
      </c>
      <c r="T100" s="176">
        <f t="shared" si="31"/>
        <v>5</v>
      </c>
      <c r="U100" s="250">
        <f t="shared" si="32"/>
        <v>-4.8382818941417799E-2</v>
      </c>
      <c r="V100" s="382">
        <f t="shared" si="33"/>
        <v>48.877797996983716</v>
      </c>
      <c r="W100" s="400">
        <f t="shared" si="34"/>
        <v>0</v>
      </c>
      <c r="X100" s="157">
        <f t="shared" si="35"/>
        <v>44647</v>
      </c>
      <c r="Y100" s="383">
        <f t="shared" si="36"/>
        <v>44.865794184610635</v>
      </c>
      <c r="Z100" s="383">
        <f t="shared" si="37"/>
        <v>45.884942360761215</v>
      </c>
      <c r="AA100" s="384">
        <f t="shared" si="38"/>
        <v>49.814011757779923</v>
      </c>
      <c r="AB100" s="197">
        <f t="shared" si="39"/>
        <v>44647</v>
      </c>
      <c r="AC100" s="119">
        <f>IF(OR(t&lt;Tnet,NoTnet),'2021'!Resal_s+('2021'!Salim-'2021'!Resal_s)*(1-EXP(('2021'!Tnet_s-t)/'2021'!Tau_j)),Resal_s+(Salim-Resal_s)*(1-EXP((Tnet_s-t)/Tau_j)))*Salcycl</f>
        <v>7.8874783587472533E-2</v>
      </c>
      <c r="AD100" s="230">
        <f>(INDEX(Models!$BJ100:$BT100,,AH100)*(1-AF100)+INDEX(Models!$BJ100:$BT100,,AH100+1)*AF100-ERP_i)*AE100*Ramure*Pc/MaxiM</f>
        <v>2.5932524384179676E-3</v>
      </c>
      <c r="AE100" s="304">
        <f t="shared" si="40"/>
        <v>0.7</v>
      </c>
      <c r="AF100" s="177">
        <f t="shared" si="41"/>
        <v>1.5949403318414348E-2</v>
      </c>
      <c r="AG100" s="799">
        <f t="shared" si="49"/>
        <v>0</v>
      </c>
      <c r="AH100" s="176">
        <f t="shared" si="42"/>
        <v>6</v>
      </c>
      <c r="AI100" s="224">
        <f t="shared" si="43"/>
        <v>1.5949403318414348E-2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44648</v>
      </c>
      <c r="B101" s="1147">
        <v>38.288000000000004</v>
      </c>
      <c r="C101" s="388"/>
      <c r="D101" s="391">
        <f t="shared" si="25"/>
        <v>39.158480868834367</v>
      </c>
      <c r="E101" s="383">
        <f t="shared" si="47"/>
        <v>42.519680619235473</v>
      </c>
      <c r="F101" s="383">
        <f t="shared" si="26"/>
        <v>42.590489872538953</v>
      </c>
      <c r="G101" s="110">
        <f t="shared" si="48"/>
        <v>0.77865161657690352</v>
      </c>
      <c r="H101" s="412" t="b">
        <f>Wh_hp&gt;='2021'!Maxi_hp</f>
        <v>0</v>
      </c>
      <c r="I101" s="379">
        <f>IF(H101,Wh_hp,'2021'!Maxi_hp)</f>
        <v>52.671348096668545</v>
      </c>
      <c r="J101" s="85">
        <f>IF(H101,An,'2021'!An_max)</f>
        <v>2021</v>
      </c>
      <c r="K101" s="197">
        <f t="shared" si="27"/>
        <v>44648</v>
      </c>
      <c r="L101" s="147">
        <f>IF(t&lt;Tvie,1-EXP((T0-t)*PertePVj)+'2021'!Pspv,1-EXP((T0-t)*PertePVj)+Pspv)</f>
        <v>2.2229689444545508E-2</v>
      </c>
      <c r="M101" s="832"/>
      <c r="N101" s="832"/>
      <c r="O101" s="48">
        <f>IF(t&lt;Tnet,'2021'!Resal+('2021'!Salim-'2021'!Resal)*(1-EXP(('2021'!Tnet-t)/('2021'!Tau_j))),Resal+(Salim-Resal)*(1-EXP((Tnet-t)/(Tau_j))))*Salcycl</f>
        <v>7.9050446791938858E-2</v>
      </c>
      <c r="P101" s="169">
        <f>(INDEX(Models!$BJ101:$BT101,,T101)*(1-R101)+INDEX(Models!$BJ101:$BT101,,T101+1)*R101-ERP_i)*Q101*Ramure*Pc/MaxiM</f>
        <v>2.4283644991602835E-3</v>
      </c>
      <c r="Q101" s="304">
        <f t="shared" si="28"/>
        <v>0.7</v>
      </c>
      <c r="R101" s="177">
        <f t="shared" si="29"/>
        <v>0.95232063829831359</v>
      </c>
      <c r="S101" s="799">
        <f t="shared" si="30"/>
        <v>-1</v>
      </c>
      <c r="T101" s="176">
        <f t="shared" si="31"/>
        <v>5</v>
      </c>
      <c r="U101" s="250">
        <f t="shared" si="32"/>
        <v>-4.7679361701686407E-2</v>
      </c>
      <c r="V101" s="382">
        <f t="shared" si="33"/>
        <v>49.13446429846752</v>
      </c>
      <c r="W101" s="400">
        <f t="shared" si="34"/>
        <v>0</v>
      </c>
      <c r="X101" s="157">
        <f t="shared" si="35"/>
        <v>44648</v>
      </c>
      <c r="Y101" s="383">
        <f t="shared" si="36"/>
        <v>38.283877956775207</v>
      </c>
      <c r="Z101" s="383">
        <f t="shared" si="37"/>
        <v>39.154265110613551</v>
      </c>
      <c r="AA101" s="384">
        <f t="shared" si="38"/>
        <v>42.51510299801167</v>
      </c>
      <c r="AB101" s="197">
        <f t="shared" si="39"/>
        <v>44648</v>
      </c>
      <c r="AC101" s="119">
        <f>IF(OR(t&lt;Tnet,NoTnet),'2021'!Resal_s+('2021'!Salim-'2021'!Resal_s)*(1-EXP(('2021'!Tnet_s-t)/'2021'!Tau_j)),Resal_s+(Salim-Resal_s)*(1-EXP((Tnet_s-t)/Tau_j)))*Salcycl</f>
        <v>7.9050446791938858E-2</v>
      </c>
      <c r="AD101" s="230">
        <f>(INDEX(Models!$BJ101:$BT101,,AH101)*(1-AF101)+INDEX(Models!$BJ101:$BT101,,AH101+1)*AF101-ERP_i)*AE101*Ramure*Pc/MaxiM</f>
        <v>2.5853515079463478E-3</v>
      </c>
      <c r="AE101" s="304">
        <f t="shared" si="40"/>
        <v>0.7</v>
      </c>
      <c r="AF101" s="177">
        <f t="shared" si="41"/>
        <v>1.665286055814574E-2</v>
      </c>
      <c r="AG101" s="799">
        <f t="shared" si="49"/>
        <v>0</v>
      </c>
      <c r="AH101" s="176">
        <f t="shared" si="42"/>
        <v>6</v>
      </c>
      <c r="AI101" s="224">
        <f t="shared" si="43"/>
        <v>1.665286055814574E-2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44649</v>
      </c>
      <c r="B102" s="1147">
        <v>26.695</v>
      </c>
      <c r="C102" s="388"/>
      <c r="D102" s="391">
        <f t="shared" si="25"/>
        <v>27.302436293268698</v>
      </c>
      <c r="E102" s="383">
        <f t="shared" si="47"/>
        <v>29.65162562285775</v>
      </c>
      <c r="F102" s="383">
        <f t="shared" si="26"/>
        <v>29.676234713713832</v>
      </c>
      <c r="G102" s="110">
        <f t="shared" si="48"/>
        <v>0.53968941910096735</v>
      </c>
      <c r="H102" s="412" t="b">
        <f>Wh_hp&gt;='2021'!Maxi_hp</f>
        <v>0</v>
      </c>
      <c r="I102" s="379">
        <f>IF(H102,Wh_hp,'2021'!Maxi_hp)</f>
        <v>55.509547390631532</v>
      </c>
      <c r="J102" s="85">
        <f>IF(H102,An,'2021'!An_max)</f>
        <v>2021</v>
      </c>
      <c r="K102" s="197">
        <f t="shared" si="27"/>
        <v>44649</v>
      </c>
      <c r="L102" s="147">
        <f>IF(t&lt;Tvie,1-EXP((T0-t)*PertePVj)+'2021'!Pspv,1-EXP((T0-t)*PertePVj)+Pspv)</f>
        <v>2.2248428189482139E-2</v>
      </c>
      <c r="M102" s="832"/>
      <c r="N102" s="832"/>
      <c r="O102" s="48">
        <f>IF(t&lt;Tnet,'2021'!Resal+('2021'!Salim-'2021'!Resal)*(1-EXP(('2021'!Tnet-t)/('2021'!Tau_j))),Resal+(Salim-Resal)*(1-EXP((Tnet-t)/(Tau_j))))*Salcycl</f>
        <v>7.9226325040948772E-2</v>
      </c>
      <c r="P102" s="169">
        <f>(INDEX(Models!$BJ102:$BT102,,T102)*(1-R102)+INDEX(Models!$BJ102:$BT102,,T102+1)*R102-ERP_i)*Q102*Ramure*Pc/MaxiM</f>
        <v>2.4131600232747616E-3</v>
      </c>
      <c r="Q102" s="304">
        <f t="shared" si="28"/>
        <v>0.7</v>
      </c>
      <c r="R102" s="177">
        <f t="shared" si="29"/>
        <v>0.95305086412582274</v>
      </c>
      <c r="S102" s="799">
        <f t="shared" si="30"/>
        <v>-1</v>
      </c>
      <c r="T102" s="176">
        <f t="shared" si="31"/>
        <v>5</v>
      </c>
      <c r="U102" s="250">
        <f t="shared" si="32"/>
        <v>-4.6949135874177303E-2</v>
      </c>
      <c r="V102" s="382">
        <f t="shared" si="33"/>
        <v>49.385223338817902</v>
      </c>
      <c r="W102" s="400">
        <f t="shared" si="34"/>
        <v>0</v>
      </c>
      <c r="X102" s="157">
        <f t="shared" si="35"/>
        <v>44649</v>
      </c>
      <c r="Y102" s="383">
        <f t="shared" si="36"/>
        <v>26.69355603554062</v>
      </c>
      <c r="Z102" s="383">
        <f t="shared" si="37"/>
        <v>27.300959471854128</v>
      </c>
      <c r="AA102" s="384">
        <f t="shared" si="38"/>
        <v>29.650021730984282</v>
      </c>
      <c r="AB102" s="197">
        <f t="shared" si="39"/>
        <v>44649</v>
      </c>
      <c r="AC102" s="119">
        <f>IF(OR(t&lt;Tnet,NoTnet),'2021'!Resal_s+('2021'!Salim-'2021'!Resal_s)*(1-EXP(('2021'!Tnet_s-t)/'2021'!Tau_j)),Resal_s+(Salim-Resal_s)*(1-EXP((Tnet_s-t)/Tau_j)))*Salcycl</f>
        <v>7.9226325040948772E-2</v>
      </c>
      <c r="AD102" s="230">
        <f>(INDEX(Models!$BJ102:$BT102,,AH102)*(1-AF102)+INDEX(Models!$BJ102:$BT102,,AH102+1)*AF102-ERP_i)*AE102*Ramure*Pc/MaxiM</f>
        <v>2.5704371763947301E-3</v>
      </c>
      <c r="AE102" s="304">
        <f t="shared" si="40"/>
        <v>0.7</v>
      </c>
      <c r="AF102" s="177">
        <f t="shared" si="41"/>
        <v>1.7383086385654847E-2</v>
      </c>
      <c r="AG102" s="799">
        <f t="shared" si="49"/>
        <v>0</v>
      </c>
      <c r="AH102" s="176">
        <f t="shared" si="42"/>
        <v>6</v>
      </c>
      <c r="AI102" s="224">
        <f t="shared" si="43"/>
        <v>1.7383086385654847E-2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44650</v>
      </c>
      <c r="B103" s="1147">
        <v>6.0449999999999999</v>
      </c>
      <c r="C103" s="388"/>
      <c r="D103" s="391">
        <f t="shared" si="25"/>
        <v>6.1826705551312786</v>
      </c>
      <c r="E103" s="383">
        <f t="shared" si="47"/>
        <v>6.7159320332106205</v>
      </c>
      <c r="F103" s="383">
        <f t="shared" si="26"/>
        <v>6.7159320332106205</v>
      </c>
      <c r="G103" s="110">
        <f t="shared" si="48"/>
        <v>0.12151177339365092</v>
      </c>
      <c r="H103" s="412" t="b">
        <f>Wh_hp&gt;='2021'!Maxi_hp</f>
        <v>0</v>
      </c>
      <c r="I103" s="379">
        <f>IF(H103,Wh_hp,'2021'!Maxi_hp)</f>
        <v>54.961612248927921</v>
      </c>
      <c r="J103" s="85">
        <f>IF(H103,An,'2021'!An_max)</f>
        <v>2018</v>
      </c>
      <c r="K103" s="197">
        <f t="shared" si="27"/>
        <v>44650</v>
      </c>
      <c r="L103" s="147">
        <f>IF(t&lt;Tvie,1-EXP((T0-t)*PertePVj)+'2021'!Pspv,1-EXP((T0-t)*PertePVj)+Pspv)</f>
        <v>2.2267166575294817E-2</v>
      </c>
      <c r="M103" s="832"/>
      <c r="N103" s="832"/>
      <c r="O103" s="48">
        <f>IF(t&lt;Tnet,'2021'!Resal+('2021'!Salim-'2021'!Resal)*(1-EXP(('2021'!Tnet-t)/('2021'!Tau_j))),Resal+(Salim-Resal)*(1-EXP((Tnet-t)/(Tau_j))))*Salcycl</f>
        <v>7.9402453068663795E-2</v>
      </c>
      <c r="P103" s="169">
        <f>(INDEX(Models!$BJ103:$BT103,,T103)*(1-R103)+INDEX(Models!$BJ103:$BT103,,T103+1)*R103-ERP_i)*Q103*Ramure*Pc/MaxiM</f>
        <v>2.3914509662045186E-3</v>
      </c>
      <c r="Q103" s="304">
        <f t="shared" si="28"/>
        <v>0.7</v>
      </c>
      <c r="R103" s="177">
        <f t="shared" si="29"/>
        <v>0.95380876360711742</v>
      </c>
      <c r="S103" s="799">
        <f t="shared" si="30"/>
        <v>-1</v>
      </c>
      <c r="T103" s="176">
        <f t="shared" si="31"/>
        <v>5</v>
      </c>
      <c r="U103" s="250">
        <f t="shared" si="32"/>
        <v>-4.6191236392882626E-2</v>
      </c>
      <c r="V103" s="382">
        <f t="shared" si="33"/>
        <v>49.629295256622385</v>
      </c>
      <c r="W103" s="400">
        <f t="shared" si="34"/>
        <v>0</v>
      </c>
      <c r="X103" s="157">
        <f t="shared" si="35"/>
        <v>44650</v>
      </c>
      <c r="Y103" s="383">
        <f t="shared" si="36"/>
        <v>6.0449999999999999</v>
      </c>
      <c r="Z103" s="383">
        <f t="shared" si="37"/>
        <v>6.1826705551312786</v>
      </c>
      <c r="AA103" s="384">
        <f t="shared" si="38"/>
        <v>6.7159320332106205</v>
      </c>
      <c r="AB103" s="197">
        <f t="shared" si="39"/>
        <v>44650</v>
      </c>
      <c r="AC103" s="119">
        <f>IF(OR(t&lt;Tnet,NoTnet),'2021'!Resal_s+('2021'!Salim-'2021'!Resal_s)*(1-EXP(('2021'!Tnet_s-t)/'2021'!Tau_j)),Resal_s+(Salim-Resal_s)*(1-EXP((Tnet_s-t)/Tau_j)))*Salcycl</f>
        <v>7.9402453068663795E-2</v>
      </c>
      <c r="AD103" s="230">
        <f>(INDEX(Models!$BJ103:$BT103,,AH103)*(1-AF103)+INDEX(Models!$BJ103:$BT103,,AH103+1)*AF103-ERP_i)*AE103*Ramure*Pc/MaxiM</f>
        <v>2.5486344614352742E-3</v>
      </c>
      <c r="AE103" s="304">
        <f t="shared" si="40"/>
        <v>0.7</v>
      </c>
      <c r="AF103" s="177">
        <f t="shared" si="41"/>
        <v>1.8140985866949521E-2</v>
      </c>
      <c r="AG103" s="799">
        <f t="shared" si="49"/>
        <v>0</v>
      </c>
      <c r="AH103" s="176">
        <f t="shared" si="42"/>
        <v>6</v>
      </c>
      <c r="AI103" s="224">
        <f t="shared" si="43"/>
        <v>1.8140985866949521E-2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44651</v>
      </c>
      <c r="B104" s="1147">
        <v>16.733000000000001</v>
      </c>
      <c r="C104" s="388"/>
      <c r="D104" s="391">
        <f t="shared" si="25"/>
        <v>17.114410111054301</v>
      </c>
      <c r="E104" s="383">
        <f t="shared" si="47"/>
        <v>18.594108140150606</v>
      </c>
      <c r="F104" s="383">
        <f t="shared" si="26"/>
        <v>18.59634077130535</v>
      </c>
      <c r="G104" s="110">
        <f t="shared" si="48"/>
        <v>0.3348071190980485</v>
      </c>
      <c r="H104" s="412" t="b">
        <f>Wh_hp&gt;='2021'!Maxi_hp</f>
        <v>0</v>
      </c>
      <c r="I104" s="379">
        <f>IF(H104,Wh_hp,'2021'!Maxi_hp)</f>
        <v>51.391422760958996</v>
      </c>
      <c r="J104" s="85">
        <f>IF(H104,An,'2021'!An_max)</f>
        <v>2021</v>
      </c>
      <c r="K104" s="197">
        <f t="shared" si="27"/>
        <v>44651</v>
      </c>
      <c r="L104" s="147">
        <f>IF(t&lt;Tvie,1-EXP((T0-t)*PertePVj)+'2021'!Pspv,1-EXP((T0-t)*PertePVj)+Pspv)</f>
        <v>2.2285904601990758E-2</v>
      </c>
      <c r="M104" s="832"/>
      <c r="N104" s="832"/>
      <c r="O104" s="48">
        <f>IF(t&lt;Tnet,'2021'!Resal+('2021'!Salim-'2021'!Resal)*(1-EXP(('2021'!Tnet-t)/('2021'!Tau_j))),Resal+(Salim-Resal)*(1-EXP((Tnet-t)/(Tau_j))))*Salcycl</f>
        <v>7.9578865409584448E-2</v>
      </c>
      <c r="P104" s="169">
        <f>(INDEX(Models!$BJ104:$BT104,,T104)*(1-R104)+INDEX(Models!$BJ104:$BT104,,T104+1)*R104-ERP_i)*Q104*Ramure*Pc/MaxiM</f>
        <v>2.3633399533803268E-3</v>
      </c>
      <c r="Q104" s="304">
        <f t="shared" si="28"/>
        <v>0.7</v>
      </c>
      <c r="R104" s="177">
        <f t="shared" si="29"/>
        <v>0.95459526319404875</v>
      </c>
      <c r="S104" s="799">
        <f t="shared" si="30"/>
        <v>-1</v>
      </c>
      <c r="T104" s="176">
        <f t="shared" si="31"/>
        <v>5</v>
      </c>
      <c r="U104" s="250">
        <f t="shared" si="32"/>
        <v>-4.5404736805951224E-2</v>
      </c>
      <c r="V104" s="382">
        <f t="shared" si="33"/>
        <v>49.865900980351242</v>
      </c>
      <c r="W104" s="400">
        <f t="shared" si="34"/>
        <v>0</v>
      </c>
      <c r="X104" s="157">
        <f t="shared" si="35"/>
        <v>44651</v>
      </c>
      <c r="Y104" s="383">
        <f t="shared" si="36"/>
        <v>16.732866769932663</v>
      </c>
      <c r="Z104" s="383">
        <f t="shared" si="37"/>
        <v>17.114273844155868</v>
      </c>
      <c r="AA104" s="384">
        <f t="shared" si="38"/>
        <v>18.593960091726562</v>
      </c>
      <c r="AB104" s="197">
        <f t="shared" si="39"/>
        <v>44651</v>
      </c>
      <c r="AC104" s="119">
        <f>IF(OR(t&lt;Tnet,NoTnet),'2021'!Resal_s+('2021'!Salim-'2021'!Resal_s)*(1-EXP(('2021'!Tnet_s-t)/'2021'!Tau_j)),Resal_s+(Salim-Resal_s)*(1-EXP((Tnet_s-t)/Tau_j)))*Salcycl</f>
        <v>7.9578865409584448E-2</v>
      </c>
      <c r="AD104" s="230">
        <f>(INDEX(Models!$BJ104:$BT104,,AH104)*(1-AF104)+INDEX(Models!$BJ104:$BT104,,AH104+1)*AF104-ERP_i)*AE104*Ramure*Pc/MaxiM</f>
        <v>2.5200558331330983E-3</v>
      </c>
      <c r="AE104" s="304">
        <f t="shared" si="40"/>
        <v>0.7</v>
      </c>
      <c r="AF104" s="177">
        <f t="shared" si="41"/>
        <v>1.8927485453880927E-2</v>
      </c>
      <c r="AG104" s="799">
        <f t="shared" si="49"/>
        <v>0</v>
      </c>
      <c r="AH104" s="176">
        <f t="shared" si="42"/>
        <v>6</v>
      </c>
      <c r="AI104" s="224">
        <f t="shared" si="43"/>
        <v>1.8927485453880927E-2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44652</v>
      </c>
      <c r="B105" s="1147">
        <v>31.589000000000002</v>
      </c>
      <c r="C105" s="388"/>
      <c r="D105" s="391">
        <f t="shared" si="25"/>
        <v>32.309655303395573</v>
      </c>
      <c r="E105" s="383">
        <f t="shared" si="47"/>
        <v>35.109863395322982</v>
      </c>
      <c r="F105" s="383">
        <f t="shared" si="26"/>
        <v>35.148522723317086</v>
      </c>
      <c r="G105" s="110">
        <f t="shared" si="48"/>
        <v>0.62981531098695931</v>
      </c>
      <c r="H105" s="412" t="b">
        <f>Wh_hp&gt;='2021'!Maxi_hp</f>
        <v>0</v>
      </c>
      <c r="I105" s="379">
        <f>IF(H105,Wh_hp,'2021'!Maxi_hp)</f>
        <v>51.899466717873182</v>
      </c>
      <c r="J105" s="85">
        <f>IF(H105,An,'2021'!An_max)</f>
        <v>2021</v>
      </c>
      <c r="K105" s="197">
        <f t="shared" si="27"/>
        <v>44652</v>
      </c>
      <c r="L105" s="147">
        <f>IF(t&lt;Tvie,1-EXP((T0-t)*PertePVj)+'2021'!Pspv,1-EXP((T0-t)*PertePVj)+Pspv)</f>
        <v>2.2304642269576624E-2</v>
      </c>
      <c r="M105" s="832"/>
      <c r="N105" s="832"/>
      <c r="O105" s="48">
        <f>IF(t&lt;Tnet,'2021'!Resal+('2021'!Salim-'2021'!Resal)*(1-EXP(('2021'!Tnet-t)/('2021'!Tau_j))),Resal+(Salim-Resal)*(1-EXP((Tnet-t)/(Tau_j))))*Salcycl</f>
        <v>7.9755596323408895E-2</v>
      </c>
      <c r="P105" s="169">
        <f>(INDEX(Models!$BJ105:$BT105,,T105)*(1-R105)+INDEX(Models!$BJ105:$BT105,,T105+1)*R105-ERP_i)*Q105*Ramure*Pc/MaxiM</f>
        <v>2.3289169400067889E-3</v>
      </c>
      <c r="Q105" s="304">
        <f t="shared" si="28"/>
        <v>0.7</v>
      </c>
      <c r="R105" s="177">
        <f t="shared" si="29"/>
        <v>0.95541131044947702</v>
      </c>
      <c r="S105" s="799">
        <f t="shared" si="30"/>
        <v>-1</v>
      </c>
      <c r="T105" s="176">
        <f t="shared" si="31"/>
        <v>5</v>
      </c>
      <c r="U105" s="250">
        <f t="shared" si="32"/>
        <v>-4.4588689550523031E-2</v>
      </c>
      <c r="V105" s="382">
        <f t="shared" si="33"/>
        <v>50.094262248643446</v>
      </c>
      <c r="W105" s="400">
        <f t="shared" si="34"/>
        <v>0</v>
      </c>
      <c r="X105" s="157">
        <f t="shared" si="35"/>
        <v>44652</v>
      </c>
      <c r="Y105" s="383">
        <f t="shared" si="36"/>
        <v>31.58667187045479</v>
      </c>
      <c r="Z105" s="383">
        <f t="shared" si="37"/>
        <v>32.307274061092635</v>
      </c>
      <c r="AA105" s="384">
        <f t="shared" si="38"/>
        <v>35.107275775889029</v>
      </c>
      <c r="AB105" s="197">
        <f t="shared" si="39"/>
        <v>44652</v>
      </c>
      <c r="AC105" s="119">
        <f>IF(OR(t&lt;Tnet,NoTnet),'2021'!Resal_s+('2021'!Salim-'2021'!Resal_s)*(1-EXP(('2021'!Tnet_s-t)/'2021'!Tau_j)),Resal_s+(Salim-Resal_s)*(1-EXP((Tnet_s-t)/Tau_j)))*Salcycl</f>
        <v>7.9755596323408895E-2</v>
      </c>
      <c r="AD105" s="230">
        <f>(INDEX(Models!$BJ105:$BT105,,AH105)*(1-AF105)+INDEX(Models!$BJ105:$BT105,,AH105+1)*AF105-ERP_i)*AE105*Ramure*Pc/MaxiM</f>
        <v>2.4848004239344866E-3</v>
      </c>
      <c r="AE105" s="304">
        <f t="shared" si="40"/>
        <v>0.7</v>
      </c>
      <c r="AF105" s="177">
        <f t="shared" si="41"/>
        <v>1.9743532709309116E-2</v>
      </c>
      <c r="AG105" s="799">
        <f t="shared" si="49"/>
        <v>0</v>
      </c>
      <c r="AH105" s="176">
        <f t="shared" si="42"/>
        <v>6</v>
      </c>
      <c r="AI105" s="224">
        <f t="shared" si="43"/>
        <v>1.9743532709309116E-2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44653</v>
      </c>
      <c r="B106" s="1147">
        <v>16.690000000000001</v>
      </c>
      <c r="C106" s="388"/>
      <c r="D106" s="391">
        <f t="shared" si="25"/>
        <v>17.071084294515519</v>
      </c>
      <c r="E106" s="383">
        <f t="shared" si="47"/>
        <v>18.554168720356209</v>
      </c>
      <c r="F106" s="383">
        <f t="shared" si="26"/>
        <v>18.556092782764161</v>
      </c>
      <c r="G106" s="110">
        <f t="shared" si="48"/>
        <v>0.33099470550932231</v>
      </c>
      <c r="H106" s="412" t="b">
        <f>Wh_hp&gt;='2021'!Maxi_hp</f>
        <v>0</v>
      </c>
      <c r="I106" s="379">
        <f>IF(H106,Wh_hp,'2021'!Maxi_hp)</f>
        <v>43.794374405786975</v>
      </c>
      <c r="J106" s="85">
        <f>IF(H106,An,'2021'!An_max)</f>
        <v>2021</v>
      </c>
      <c r="K106" s="197">
        <f t="shared" si="27"/>
        <v>44653</v>
      </c>
      <c r="L106" s="147">
        <f>IF(t&lt;Tvie,1-EXP((T0-t)*PertePVj)+'2021'!Pspv,1-EXP((T0-t)*PertePVj)+Pspv)</f>
        <v>2.2323379578059299E-2</v>
      </c>
      <c r="M106" s="832"/>
      <c r="N106" s="832"/>
      <c r="O106" s="48">
        <f>IF(t&lt;Tnet,'2021'!Resal+('2021'!Salim-'2021'!Resal)*(1-EXP(('2021'!Tnet-t)/('2021'!Tau_j))),Resal+(Salim-Resal)*(1-EXP((Tnet-t)/(Tau_j))))*Salcycl</f>
        <v>7.9932679722458586E-2</v>
      </c>
      <c r="P106" s="169">
        <f>(INDEX(Models!$BJ106:$BT106,,T106)*(1-R106)+INDEX(Models!$BJ106:$BT106,,T106+1)*R106-ERP_i)*Q106*Ramure*Pc/MaxiM</f>
        <v>2.2882584855883569E-3</v>
      </c>
      <c r="Q106" s="304">
        <f t="shared" si="28"/>
        <v>0.7</v>
      </c>
      <c r="R106" s="177">
        <f t="shared" si="29"/>
        <v>0.95625787368902848</v>
      </c>
      <c r="S106" s="799">
        <f t="shared" si="30"/>
        <v>-1</v>
      </c>
      <c r="T106" s="176">
        <f t="shared" si="31"/>
        <v>5</v>
      </c>
      <c r="U106" s="250">
        <f t="shared" si="32"/>
        <v>-4.3742126310971546E-2</v>
      </c>
      <c r="V106" s="382">
        <f t="shared" si="33"/>
        <v>50.313601628317009</v>
      </c>
      <c r="W106" s="400">
        <f t="shared" si="34"/>
        <v>0</v>
      </c>
      <c r="X106" s="157">
        <f t="shared" si="35"/>
        <v>44653</v>
      </c>
      <c r="Y106" s="383">
        <f t="shared" si="36"/>
        <v>16.689882994961348</v>
      </c>
      <c r="Z106" s="383">
        <f t="shared" si="37"/>
        <v>17.07096461789013</v>
      </c>
      <c r="AA106" s="384">
        <f t="shared" si="38"/>
        <v>18.554038646585791</v>
      </c>
      <c r="AB106" s="197">
        <f t="shared" si="39"/>
        <v>44653</v>
      </c>
      <c r="AC106" s="119">
        <f>IF(OR(t&lt;Tnet,NoTnet),'2021'!Resal_s+('2021'!Salim-'2021'!Resal_s)*(1-EXP(('2021'!Tnet_s-t)/'2021'!Tau_j)),Resal_s+(Salim-Resal_s)*(1-EXP((Tnet_s-t)/Tau_j)))*Salcycl</f>
        <v>7.9932679722458586E-2</v>
      </c>
      <c r="AD106" s="230">
        <f>(INDEX(Models!$BJ106:$BT106,,AH106)*(1-AF106)+INDEX(Models!$BJ106:$BT106,,AH106+1)*AF106-ERP_i)*AE106*Ramure*Pc/MaxiM</f>
        <v>2.44295326455523E-3</v>
      </c>
      <c r="AE106" s="304">
        <f t="shared" si="40"/>
        <v>0.7</v>
      </c>
      <c r="AF106" s="177">
        <f t="shared" si="41"/>
        <v>2.0590095948860604E-2</v>
      </c>
      <c r="AG106" s="799">
        <f t="shared" si="49"/>
        <v>0</v>
      </c>
      <c r="AH106" s="176">
        <f t="shared" si="42"/>
        <v>6</v>
      </c>
      <c r="AI106" s="224">
        <f t="shared" si="43"/>
        <v>2.0590095948860604E-2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44654</v>
      </c>
      <c r="B107" s="1147">
        <v>31.047000000000001</v>
      </c>
      <c r="C107" s="388"/>
      <c r="D107" s="391">
        <f t="shared" si="25"/>
        <v>31.756507593150896</v>
      </c>
      <c r="E107" s="383">
        <f t="shared" si="47"/>
        <v>34.522076270473683</v>
      </c>
      <c r="F107" s="383">
        <f t="shared" si="26"/>
        <v>34.556875372437148</v>
      </c>
      <c r="G107" s="110">
        <f t="shared" si="48"/>
        <v>0.61373771634670782</v>
      </c>
      <c r="H107" s="412" t="b">
        <f>Wh_hp&gt;='2021'!Maxi_hp</f>
        <v>0</v>
      </c>
      <c r="I107" s="379">
        <f>IF(H107,Wh_hp,'2021'!Maxi_hp)</f>
        <v>44.063854252234997</v>
      </c>
      <c r="J107" s="85">
        <f>IF(H107,An,'2021'!An_max)</f>
        <v>2021</v>
      </c>
      <c r="K107" s="197">
        <f t="shared" si="27"/>
        <v>44654</v>
      </c>
      <c r="L107" s="147">
        <f>IF(t&lt;Tvie,1-EXP((T0-t)*PertePVj)+'2021'!Pspv,1-EXP((T0-t)*PertePVj)+Pspv)</f>
        <v>2.2342116527445888E-2</v>
      </c>
      <c r="M107" s="832"/>
      <c r="N107" s="832"/>
      <c r="O107" s="48">
        <f>IF(t&lt;Tnet,'2021'!Resal+('2021'!Salim-'2021'!Resal)*(1-EXP(('2021'!Tnet-t)/('2021'!Tau_j))),Resal+(Salim-Resal)*(1-EXP((Tnet-t)/(Tau_j))))*Salcycl</f>
        <v>8.0110149101551648E-2</v>
      </c>
      <c r="P107" s="169">
        <f>(INDEX(Models!$BJ107:$BT107,,T107)*(1-R107)+INDEX(Models!$BJ107:$BT107,,T107+1)*R107-ERP_i)*Q107*Ramure*Pc/MaxiM</f>
        <v>2.2413780129068375E-3</v>
      </c>
      <c r="Q107" s="304">
        <f t="shared" si="28"/>
        <v>0.7</v>
      </c>
      <c r="R107" s="177">
        <f t="shared" si="29"/>
        <v>0.95713594153287929</v>
      </c>
      <c r="S107" s="799">
        <f t="shared" si="30"/>
        <v>-1</v>
      </c>
      <c r="T107" s="176">
        <f t="shared" si="31"/>
        <v>5</v>
      </c>
      <c r="U107" s="250">
        <f t="shared" si="32"/>
        <v>-4.2864058467120686E-2</v>
      </c>
      <c r="V107" s="382">
        <f t="shared" si="33"/>
        <v>50.524250187109232</v>
      </c>
      <c r="W107" s="400">
        <f t="shared" si="34"/>
        <v>0</v>
      </c>
      <c r="X107" s="157">
        <f t="shared" si="35"/>
        <v>44654</v>
      </c>
      <c r="Y107" s="383">
        <f t="shared" si="36"/>
        <v>31.0448615238417</v>
      </c>
      <c r="Z107" s="383">
        <f t="shared" si="37"/>
        <v>31.754320247051151</v>
      </c>
      <c r="AA107" s="384">
        <f t="shared" si="38"/>
        <v>34.519698435673561</v>
      </c>
      <c r="AB107" s="197">
        <f t="shared" si="39"/>
        <v>44654</v>
      </c>
      <c r="AC107" s="119">
        <f>IF(OR(t&lt;Tnet,NoTnet),'2021'!Resal_s+('2021'!Salim-'2021'!Resal_s)*(1-EXP(('2021'!Tnet_s-t)/'2021'!Tau_j)),Resal_s+(Salim-Resal_s)*(1-EXP((Tnet_s-t)/Tau_j)))*Salcycl</f>
        <v>8.0110149101551648E-2</v>
      </c>
      <c r="AD107" s="230">
        <f>(INDEX(Models!$BJ107:$BT107,,AH107)*(1-AF107)+INDEX(Models!$BJ107:$BT107,,AH107+1)*AF107-ERP_i)*AE107*Ramure*Pc/MaxiM</f>
        <v>2.3945321559336822E-3</v>
      </c>
      <c r="AE107" s="304">
        <f t="shared" si="40"/>
        <v>0.7</v>
      </c>
      <c r="AF107" s="177">
        <f t="shared" si="41"/>
        <v>2.1468163792711461E-2</v>
      </c>
      <c r="AG107" s="799">
        <f t="shared" si="49"/>
        <v>0</v>
      </c>
      <c r="AH107" s="176">
        <f t="shared" si="42"/>
        <v>6</v>
      </c>
      <c r="AI107" s="224">
        <f t="shared" si="43"/>
        <v>2.1468163792711461E-2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44655</v>
      </c>
      <c r="B108" s="1147">
        <v>42.987000000000002</v>
      </c>
      <c r="C108" s="388"/>
      <c r="D108" s="391">
        <f t="shared" si="25"/>
        <v>43.970211439556017</v>
      </c>
      <c r="E108" s="383">
        <f t="shared" si="47"/>
        <v>47.808676227943003</v>
      </c>
      <c r="F108" s="383">
        <f t="shared" si="26"/>
        <v>47.890605408417088</v>
      </c>
      <c r="G108" s="110">
        <f t="shared" si="48"/>
        <v>0.84700785436486647</v>
      </c>
      <c r="H108" s="412" t="b">
        <f>Wh_hp&gt;='2021'!Maxi_hp</f>
        <v>0</v>
      </c>
      <c r="I108" s="379">
        <f>IF(H108,Wh_hp,'2021'!Maxi_hp)</f>
        <v>54.48441415561728</v>
      </c>
      <c r="J108" s="85">
        <f>IF(H108,An,'2021'!An_max)</f>
        <v>2020</v>
      </c>
      <c r="K108" s="197">
        <f t="shared" si="27"/>
        <v>44655</v>
      </c>
      <c r="L108" s="147">
        <f>IF(t&lt;Tvie,1-EXP((T0-t)*PertePVj)+'2021'!Pspv,1-EXP((T0-t)*PertePVj)+Pspv)</f>
        <v>2.2360853117743051E-2</v>
      </c>
      <c r="M108" s="832"/>
      <c r="N108" s="832"/>
      <c r="O108" s="48">
        <f>IF(t&lt;Tnet,'2021'!Resal+('2021'!Salim-'2021'!Resal)*(1-EXP(('2021'!Tnet-t)/('2021'!Tau_j))),Resal+(Salim-Resal)*(1-EXP((Tnet-t)/(Tau_j))))*Salcycl</f>
        <v>8.0288037470142196E-2</v>
      </c>
      <c r="P108" s="169">
        <f>(INDEX(Models!$BJ108:$BT108,,T108)*(1-R108)+INDEX(Models!$BJ108:$BT108,,T108+1)*R108-ERP_i)*Q108*Ramure*Pc/MaxiM</f>
        <v>2.1876180507660659E-3</v>
      </c>
      <c r="Q108" s="304">
        <f t="shared" si="28"/>
        <v>0.7</v>
      </c>
      <c r="R108" s="177">
        <f t="shared" si="29"/>
        <v>0.95804652236076149</v>
      </c>
      <c r="S108" s="799">
        <f t="shared" si="30"/>
        <v>-1</v>
      </c>
      <c r="T108" s="176">
        <f t="shared" si="31"/>
        <v>5</v>
      </c>
      <c r="U108" s="250">
        <f t="shared" si="32"/>
        <v>-4.1953477639238554E-2</v>
      </c>
      <c r="V108" s="382">
        <f t="shared" si="33"/>
        <v>50.727352546767904</v>
      </c>
      <c r="W108" s="400">
        <f t="shared" si="34"/>
        <v>0</v>
      </c>
      <c r="X108" s="157">
        <f t="shared" si="35"/>
        <v>44655</v>
      </c>
      <c r="Y108" s="383">
        <f t="shared" si="36"/>
        <v>42.981908967506818</v>
      </c>
      <c r="Z108" s="383">
        <f t="shared" si="37"/>
        <v>43.96500396345462</v>
      </c>
      <c r="AA108" s="384">
        <f t="shared" si="38"/>
        <v>47.803014155127215</v>
      </c>
      <c r="AB108" s="197">
        <f t="shared" si="39"/>
        <v>44655</v>
      </c>
      <c r="AC108" s="119">
        <f>IF(OR(t&lt;Tnet,NoTnet),'2021'!Resal_s+('2021'!Salim-'2021'!Resal_s)*(1-EXP(('2021'!Tnet_s-t)/'2021'!Tau_j)),Resal_s+(Salim-Resal_s)*(1-EXP((Tnet_s-t)/Tau_j)))*Salcycl</f>
        <v>8.0288037470142196E-2</v>
      </c>
      <c r="AD108" s="230">
        <f>(INDEX(Models!$BJ108:$BT108,,AH108)*(1-AF108)+INDEX(Models!$BJ108:$BT108,,AH108+1)*AF108-ERP_i)*AE108*Ramure*Pc/MaxiM</f>
        <v>2.3388029231752564E-3</v>
      </c>
      <c r="AE108" s="304">
        <f t="shared" si="40"/>
        <v>0.7</v>
      </c>
      <c r="AF108" s="177">
        <f t="shared" si="41"/>
        <v>2.2378744620593596E-2</v>
      </c>
      <c r="AG108" s="799">
        <f t="shared" si="49"/>
        <v>0</v>
      </c>
      <c r="AH108" s="176">
        <f t="shared" si="42"/>
        <v>6</v>
      </c>
      <c r="AI108" s="224">
        <f t="shared" si="43"/>
        <v>2.2378744620593596E-2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44656</v>
      </c>
      <c r="B109" s="1147">
        <v>50.832000000000001</v>
      </c>
      <c r="C109" s="388"/>
      <c r="D109" s="391">
        <f t="shared" si="25"/>
        <v>51.99564109565658</v>
      </c>
      <c r="E109" s="383">
        <f t="shared" si="47"/>
        <v>56.545665989046888</v>
      </c>
      <c r="F109" s="383">
        <f t="shared" si="26"/>
        <v>56.666183193970497</v>
      </c>
      <c r="G109" s="110">
        <f t="shared" si="48"/>
        <v>0.99820683487597406</v>
      </c>
      <c r="H109" s="412" t="b">
        <f>Wh_hp&gt;='2021'!Maxi_hp</f>
        <v>0</v>
      </c>
      <c r="I109" s="379">
        <f>IF(H109,Wh_hp,'2021'!Maxi_hp)</f>
        <v>58.465341345603605</v>
      </c>
      <c r="J109" s="85">
        <f>IF(H109,An,'2021'!An_max)</f>
        <v>2020</v>
      </c>
      <c r="K109" s="197">
        <f t="shared" si="27"/>
        <v>44656</v>
      </c>
      <c r="L109" s="147">
        <f>IF(t&lt;Tvie,1-EXP((T0-t)*PertePVj)+'2021'!Pspv,1-EXP((T0-t)*PertePVj)+Pspv)</f>
        <v>2.2379589348957674E-2</v>
      </c>
      <c r="M109" s="832"/>
      <c r="N109" s="832"/>
      <c r="O109" s="48">
        <f>IF(t&lt;Tnet,'2021'!Resal+('2021'!Salim-'2021'!Resal)*(1-EXP(('2021'!Tnet-t)/('2021'!Tau_j))),Resal+(Salim-Resal)*(1-EXP((Tnet-t)/(Tau_j))))*Salcycl</f>
        <v>8.0466377286486757E-2</v>
      </c>
      <c r="P109" s="169">
        <f>(INDEX(Models!$BJ109:$BT109,,T109)*(1-R109)+INDEX(Models!$BJ109:$BT109,,T109+1)*R109-ERP_i)*Q109*Ramure*Pc/MaxiM</f>
        <v>2.132237835063075E-3</v>
      </c>
      <c r="Q109" s="304">
        <f t="shared" si="28"/>
        <v>0.7</v>
      </c>
      <c r="R109" s="177">
        <f t="shared" si="29"/>
        <v>0.95899064366317643</v>
      </c>
      <c r="S109" s="799">
        <f t="shared" si="30"/>
        <v>-1</v>
      </c>
      <c r="T109" s="176">
        <f t="shared" si="31"/>
        <v>5</v>
      </c>
      <c r="U109" s="250">
        <f t="shared" si="32"/>
        <v>-4.1009356336823566E-2</v>
      </c>
      <c r="V109" s="382">
        <f t="shared" si="33"/>
        <v>50.923036017340493</v>
      </c>
      <c r="W109" s="400">
        <f t="shared" si="34"/>
        <v>0</v>
      </c>
      <c r="X109" s="157">
        <f t="shared" si="35"/>
        <v>44656</v>
      </c>
      <c r="Y109" s="383">
        <f t="shared" si="36"/>
        <v>50.824421832116158</v>
      </c>
      <c r="Z109" s="383">
        <f t="shared" si="37"/>
        <v>51.987889449106163</v>
      </c>
      <c r="AA109" s="384">
        <f t="shared" si="38"/>
        <v>56.537236012851409</v>
      </c>
      <c r="AB109" s="197">
        <f t="shared" si="39"/>
        <v>44656</v>
      </c>
      <c r="AC109" s="119">
        <f>IF(OR(t&lt;Tnet,NoTnet),'2021'!Resal_s+('2021'!Salim-'2021'!Resal_s)*(1-EXP(('2021'!Tnet_s-t)/'2021'!Tau_j)),Resal_s+(Salim-Resal_s)*(1-EXP((Tnet_s-t)/Tau_j)))*Salcycl</f>
        <v>8.0466377286486757E-2</v>
      </c>
      <c r="AD109" s="230">
        <f>(INDEX(Models!$BJ109:$BT109,,AH109)*(1-AF109)+INDEX(Models!$BJ109:$BT109,,AH109+1)*AF109-ERP_i)*AE109*Ramure*Pc/MaxiM</f>
        <v>2.2813842926503857E-3</v>
      </c>
      <c r="AE109" s="304">
        <f t="shared" si="40"/>
        <v>0.7</v>
      </c>
      <c r="AF109" s="177">
        <f t="shared" si="41"/>
        <v>2.3322865923008581E-2</v>
      </c>
      <c r="AG109" s="799">
        <f t="shared" si="49"/>
        <v>0</v>
      </c>
      <c r="AH109" s="176">
        <f t="shared" si="42"/>
        <v>6</v>
      </c>
      <c r="AI109" s="224">
        <f t="shared" si="43"/>
        <v>2.3322865923008581E-2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44657</v>
      </c>
      <c r="B110" s="1147">
        <v>11.697000000000001</v>
      </c>
      <c r="C110" s="388"/>
      <c r="D110" s="391">
        <f t="shared" si="25"/>
        <v>11.964995868737052</v>
      </c>
      <c r="E110" s="383">
        <f t="shared" si="47"/>
        <v>13.014557463406843</v>
      </c>
      <c r="F110" s="383">
        <f t="shared" si="26"/>
        <v>13.014557463406843</v>
      </c>
      <c r="G110" s="110">
        <f t="shared" si="48"/>
        <v>0.2283768214453627</v>
      </c>
      <c r="H110" s="412" t="b">
        <f>Wh_hp&gt;='2021'!Maxi_hp</f>
        <v>0</v>
      </c>
      <c r="I110" s="379">
        <f>IF(H110,Wh_hp,'2021'!Maxi_hp)</f>
        <v>59.416138633229195</v>
      </c>
      <c r="J110" s="85">
        <f>IF(H110,An,'2021'!An_max)</f>
        <v>2020</v>
      </c>
      <c r="K110" s="197">
        <f t="shared" si="27"/>
        <v>44657</v>
      </c>
      <c r="L110" s="147">
        <f>IF(t&lt;Tvie,1-EXP((T0-t)*PertePVj)+'2021'!Pspv,1-EXP((T0-t)*PertePVj)+Pspv)</f>
        <v>2.2398325221096749E-2</v>
      </c>
      <c r="M110" s="832"/>
      <c r="N110" s="832"/>
      <c r="O110" s="48">
        <f>IF(t&lt;Tnet,'2021'!Resal+('2021'!Salim-'2021'!Resal)*(1-EXP(('2021'!Tnet-t)/('2021'!Tau_j))),Resal+(Salim-Resal)*(1-EXP((Tnet-t)/(Tau_j))))*Salcycl</f>
        <v>8.0645200393548055E-2</v>
      </c>
      <c r="P110" s="169">
        <f>(INDEX(Models!$BJ110:$BT110,,T110)*(1-R110)+INDEX(Models!$BJ110:$BT110,,T110+1)*R110-ERP_i)*Q110*Ramure*Pc/MaxiM</f>
        <v>2.0751979355378945E-3</v>
      </c>
      <c r="Q110" s="304">
        <f t="shared" si="28"/>
        <v>0.7</v>
      </c>
      <c r="R110" s="177">
        <f t="shared" si="29"/>
        <v>0.95996935128160854</v>
      </c>
      <c r="S110" s="799">
        <f t="shared" si="30"/>
        <v>-1</v>
      </c>
      <c r="T110" s="176">
        <f t="shared" si="31"/>
        <v>5</v>
      </c>
      <c r="U110" s="250">
        <f t="shared" si="32"/>
        <v>-4.0030648718391404E-2</v>
      </c>
      <c r="V110" s="382">
        <f t="shared" si="33"/>
        <v>51.11169485534073</v>
      </c>
      <c r="W110" s="400">
        <f t="shared" si="34"/>
        <v>0</v>
      </c>
      <c r="X110" s="157">
        <f t="shared" si="35"/>
        <v>44657</v>
      </c>
      <c r="Y110" s="383">
        <f t="shared" si="36"/>
        <v>11.697000000000001</v>
      </c>
      <c r="Z110" s="383">
        <f t="shared" si="37"/>
        <v>11.964995868737052</v>
      </c>
      <c r="AA110" s="384">
        <f t="shared" si="38"/>
        <v>13.014557463406843</v>
      </c>
      <c r="AB110" s="197">
        <f t="shared" si="39"/>
        <v>44657</v>
      </c>
      <c r="AC110" s="119">
        <f>IF(OR(t&lt;Tnet,NoTnet),'2021'!Resal_s+('2021'!Salim-'2021'!Resal_s)*(1-EXP(('2021'!Tnet_s-t)/'2021'!Tau_j)),Resal_s+(Salim-Resal_s)*(1-EXP((Tnet_s-t)/Tau_j)))*Salcycl</f>
        <v>8.0645200393548055E-2</v>
      </c>
      <c r="AD110" s="230">
        <f>(INDEX(Models!$BJ110:$BT110,,AH110)*(1-AF110)+INDEX(Models!$BJ110:$BT110,,AH110+1)*AF110-ERP_i)*AE110*Ramure*Pc/MaxiM</f>
        <v>2.2222303518941934E-3</v>
      </c>
      <c r="AE110" s="304">
        <f t="shared" si="40"/>
        <v>0.7</v>
      </c>
      <c r="AF110" s="177">
        <f t="shared" si="41"/>
        <v>2.4301573541440743E-2</v>
      </c>
      <c r="AG110" s="799">
        <f t="shared" si="49"/>
        <v>0</v>
      </c>
      <c r="AH110" s="176">
        <f t="shared" si="42"/>
        <v>6</v>
      </c>
      <c r="AI110" s="224">
        <f t="shared" si="43"/>
        <v>2.4301573541440743E-2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44658</v>
      </c>
      <c r="B111" s="1147">
        <v>42.538000000000004</v>
      </c>
      <c r="C111" s="388"/>
      <c r="D111" s="391">
        <f t="shared" si="25"/>
        <v>43.513443505822778</v>
      </c>
      <c r="E111" s="383">
        <f t="shared" si="47"/>
        <v>47.339648742444567</v>
      </c>
      <c r="F111" s="383">
        <f t="shared" si="26"/>
        <v>47.411939477901832</v>
      </c>
      <c r="G111" s="110">
        <f t="shared" si="48"/>
        <v>0.82889384217535467</v>
      </c>
      <c r="H111" s="412" t="b">
        <f>Wh_hp&gt;='2021'!Maxi_hp</f>
        <v>0</v>
      </c>
      <c r="I111" s="379">
        <f>IF(H111,Wh_hp,'2021'!Maxi_hp)</f>
        <v>57.546398916195137</v>
      </c>
      <c r="J111" s="85">
        <f>IF(H111,An,'2021'!An_max)</f>
        <v>2021</v>
      </c>
      <c r="K111" s="197">
        <f t="shared" si="27"/>
        <v>44658</v>
      </c>
      <c r="L111" s="147">
        <f>IF(t&lt;Tvie,1-EXP((T0-t)*PertePVj)+'2021'!Pspv,1-EXP((T0-t)*PertePVj)+Pspv)</f>
        <v>2.2417060734167049E-2</v>
      </c>
      <c r="M111" s="832"/>
      <c r="N111" s="832"/>
      <c r="O111" s="48">
        <f>IF(t&lt;Tnet,'2021'!Resal+('2021'!Salim-'2021'!Resal)*(1-EXP(('2021'!Tnet-t)/('2021'!Tau_j))),Resal+(Salim-Resal)*(1-EXP((Tnet-t)/(Tau_j))))*Salcycl</f>
        <v>8.0824537956303635E-2</v>
      </c>
      <c r="P111" s="169">
        <f>(INDEX(Models!$BJ111:$BT111,,T111)*(1-R111)+INDEX(Models!$BJ111:$BT111,,T111+1)*R111-ERP_i)*Q111*Ramure*Pc/MaxiM</f>
        <v>2.0164581885345734E-3</v>
      </c>
      <c r="Q111" s="304">
        <f t="shared" si="28"/>
        <v>0.7</v>
      </c>
      <c r="R111" s="177">
        <f t="shared" si="29"/>
        <v>0.96098370853036785</v>
      </c>
      <c r="S111" s="799">
        <f t="shared" si="30"/>
        <v>-1</v>
      </c>
      <c r="T111" s="176">
        <f t="shared" si="31"/>
        <v>5</v>
      </c>
      <c r="U111" s="250">
        <f t="shared" si="32"/>
        <v>-3.9016291469632203E-2</v>
      </c>
      <c r="V111" s="382">
        <f t="shared" si="33"/>
        <v>51.293723100311446</v>
      </c>
      <c r="W111" s="400">
        <f t="shared" si="34"/>
        <v>0</v>
      </c>
      <c r="X111" s="157">
        <f t="shared" si="35"/>
        <v>44658</v>
      </c>
      <c r="Y111" s="383">
        <f t="shared" si="36"/>
        <v>42.533334252008622</v>
      </c>
      <c r="Z111" s="383">
        <f t="shared" si="37"/>
        <v>43.508670767056607</v>
      </c>
      <c r="AA111" s="384">
        <f t="shared" si="38"/>
        <v>47.334456329283803</v>
      </c>
      <c r="AB111" s="197">
        <f t="shared" si="39"/>
        <v>44658</v>
      </c>
      <c r="AC111" s="119">
        <f>IF(OR(t&lt;Tnet,NoTnet),'2021'!Resal_s+('2021'!Salim-'2021'!Resal_s)*(1-EXP(('2021'!Tnet_s-t)/'2021'!Tau_j)),Resal_s+(Salim-Resal_s)*(1-EXP((Tnet_s-t)/Tau_j)))*Salcycl</f>
        <v>8.0824537956303635E-2</v>
      </c>
      <c r="AD111" s="230">
        <f>(INDEX(Models!$BJ111:$BT111,,AH111)*(1-AF111)+INDEX(Models!$BJ111:$BT111,,AH111+1)*AF111-ERP_i)*AE111*Ramure*Pc/MaxiM</f>
        <v>2.1612939544187392E-3</v>
      </c>
      <c r="AE111" s="304">
        <f t="shared" si="40"/>
        <v>0.7</v>
      </c>
      <c r="AF111" s="177">
        <f t="shared" si="41"/>
        <v>2.5315930790199948E-2</v>
      </c>
      <c r="AG111" s="799">
        <f t="shared" si="49"/>
        <v>0</v>
      </c>
      <c r="AH111" s="176">
        <f t="shared" si="42"/>
        <v>6</v>
      </c>
      <c r="AI111" s="224">
        <f t="shared" si="43"/>
        <v>2.5315930790199948E-2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44659</v>
      </c>
      <c r="B112" s="1147">
        <v>37.15</v>
      </c>
      <c r="C112" s="388"/>
      <c r="D112" s="391">
        <f t="shared" si="25"/>
        <v>38.002619003171247</v>
      </c>
      <c r="E112" s="383">
        <f t="shared" si="47"/>
        <v>41.352341454913052</v>
      </c>
      <c r="F112" s="383">
        <f t="shared" si="26"/>
        <v>41.401135944814655</v>
      </c>
      <c r="G112" s="110">
        <f t="shared" si="48"/>
        <v>0.72122470636160907</v>
      </c>
      <c r="H112" s="412" t="b">
        <f>Wh_hp&gt;='2021'!Maxi_hp</f>
        <v>0</v>
      </c>
      <c r="I112" s="379">
        <f>IF(H112,Wh_hp,'2021'!Maxi_hp)</f>
        <v>58.154414706140663</v>
      </c>
      <c r="J112" s="85">
        <f>IF(H112,An,'2021'!An_max)</f>
        <v>2021</v>
      </c>
      <c r="K112" s="197">
        <f t="shared" si="27"/>
        <v>44659</v>
      </c>
      <c r="L112" s="147">
        <f>IF(t&lt;Tvie,1-EXP((T0-t)*PertePVj)+'2021'!Pspv,1-EXP((T0-t)*PertePVj)+Pspv)</f>
        <v>2.2435795888175569E-2</v>
      </c>
      <c r="M112" s="832"/>
      <c r="N112" s="832"/>
      <c r="O112" s="48">
        <f>IF(t&lt;Tnet,'2021'!Resal+('2021'!Salim-'2021'!Resal)*(1-EXP(('2021'!Tnet-t)/('2021'!Tau_j))),Resal+(Salim-Resal)*(1-EXP((Tnet-t)/(Tau_j))))*Salcycl</f>
        <v>8.1004420400089067E-2</v>
      </c>
      <c r="P112" s="169">
        <f>(INDEX(Models!$BJ112:$BT112,,T112)*(1-R112)+INDEX(Models!$BJ112:$BT112,,T112+1)*R112-ERP_i)*Q112*Ramure*Pc/MaxiM</f>
        <v>1.9559777286527772E-3</v>
      </c>
      <c r="Q112" s="304">
        <f t="shared" si="28"/>
        <v>0.7</v>
      </c>
      <c r="R112" s="177">
        <f t="shared" si="29"/>
        <v>0.96203479519256263</v>
      </c>
      <c r="S112" s="799">
        <f t="shared" si="30"/>
        <v>-1</v>
      </c>
      <c r="T112" s="176">
        <f t="shared" si="31"/>
        <v>5</v>
      </c>
      <c r="U112" s="250">
        <f t="shared" si="32"/>
        <v>-3.7965204807437335E-2</v>
      </c>
      <c r="V112" s="382">
        <f t="shared" si="33"/>
        <v>51.469514583104363</v>
      </c>
      <c r="W112" s="400">
        <f t="shared" si="34"/>
        <v>0</v>
      </c>
      <c r="X112" s="157">
        <f t="shared" si="35"/>
        <v>44659</v>
      </c>
      <c r="Y112" s="383">
        <f t="shared" si="36"/>
        <v>37.146805302576418</v>
      </c>
      <c r="Z112" s="383">
        <f t="shared" si="37"/>
        <v>37.999350985162671</v>
      </c>
      <c r="AA112" s="384">
        <f t="shared" si="38"/>
        <v>41.348785379039434</v>
      </c>
      <c r="AB112" s="197">
        <f t="shared" si="39"/>
        <v>44659</v>
      </c>
      <c r="AC112" s="119">
        <f>IF(OR(t&lt;Tnet,NoTnet),'2021'!Resal_s+('2021'!Salim-'2021'!Resal_s)*(1-EXP(('2021'!Tnet_s-t)/'2021'!Tau_j)),Resal_s+(Salim-Resal_s)*(1-EXP((Tnet_s-t)/Tau_j)))*Salcycl</f>
        <v>8.1004420400089067E-2</v>
      </c>
      <c r="AD112" s="230">
        <f>(INDEX(Models!$BJ112:$BT112,,AH112)*(1-AF112)+INDEX(Models!$BJ112:$BT112,,AH112+1)*AF112-ERP_i)*AE112*Ramure*Pc/MaxiM</f>
        <v>2.0985267177747653E-3</v>
      </c>
      <c r="AE112" s="304">
        <f t="shared" si="40"/>
        <v>0.7</v>
      </c>
      <c r="AF112" s="177">
        <f t="shared" si="41"/>
        <v>2.6367017452394816E-2</v>
      </c>
      <c r="AG112" s="799">
        <f t="shared" si="49"/>
        <v>0</v>
      </c>
      <c r="AH112" s="176">
        <f t="shared" si="42"/>
        <v>6</v>
      </c>
      <c r="AI112" s="224">
        <f t="shared" si="43"/>
        <v>2.6367017452394816E-2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44660</v>
      </c>
      <c r="B113" s="1147">
        <v>29.945</v>
      </c>
      <c r="C113" s="388"/>
      <c r="D113" s="391">
        <f t="shared" si="25"/>
        <v>30.632846184562844</v>
      </c>
      <c r="E113" s="383">
        <f t="shared" si="47"/>
        <v>33.339510233787998</v>
      </c>
      <c r="F113" s="383">
        <f t="shared" si="26"/>
        <v>33.364773290140569</v>
      </c>
      <c r="G113" s="110">
        <f t="shared" si="48"/>
        <v>0.57922640743427256</v>
      </c>
      <c r="H113" s="412" t="b">
        <f>Wh_hp&gt;='2021'!Maxi_hp</f>
        <v>0</v>
      </c>
      <c r="I113" s="379">
        <f>IF(H113,Wh_hp,'2021'!Maxi_hp)</f>
        <v>44.615117230380669</v>
      </c>
      <c r="J113" s="85">
        <f>IF(H113,An,'2021'!An_max)</f>
        <v>2018</v>
      </c>
      <c r="K113" s="197">
        <f t="shared" si="27"/>
        <v>44660</v>
      </c>
      <c r="L113" s="147">
        <f>IF(t&lt;Tvie,1-EXP((T0-t)*PertePVj)+'2021'!Pspv,1-EXP((T0-t)*PertePVj)+Pspv)</f>
        <v>2.2454530683129192E-2</v>
      </c>
      <c r="M113" s="832"/>
      <c r="N113" s="832"/>
      <c r="O113" s="48">
        <f>IF(t&lt;Tnet,'2021'!Resal+('2021'!Salim-'2021'!Resal)*(1-EXP(('2021'!Tnet-t)/('2021'!Tau_j))),Resal+(Salim-Resal)*(1-EXP((Tnet-t)/(Tau_j))))*Salcycl</f>
        <v>8.118487734958027E-2</v>
      </c>
      <c r="P113" s="169">
        <f>(INDEX(Models!$BJ113:$BT113,,T113)*(1-R113)+INDEX(Models!$BJ113:$BT113,,T113+1)*R113-ERP_i)*Q113*Ramure*Pc/MaxiM</f>
        <v>1.8937150265630174E-3</v>
      </c>
      <c r="Q113" s="304">
        <f t="shared" si="28"/>
        <v>0.7</v>
      </c>
      <c r="R113" s="177">
        <f t="shared" si="29"/>
        <v>0.96312370638261546</v>
      </c>
      <c r="S113" s="799">
        <f t="shared" si="30"/>
        <v>-1</v>
      </c>
      <c r="T113" s="176">
        <f t="shared" si="31"/>
        <v>5</v>
      </c>
      <c r="U113" s="250">
        <f t="shared" si="32"/>
        <v>-3.6876293617384509E-2</v>
      </c>
      <c r="V113" s="382">
        <f t="shared" si="33"/>
        <v>51.639462931075087</v>
      </c>
      <c r="W113" s="400">
        <f t="shared" si="34"/>
        <v>0</v>
      </c>
      <c r="X113" s="157">
        <f t="shared" si="35"/>
        <v>44660</v>
      </c>
      <c r="Y113" s="383">
        <f t="shared" si="36"/>
        <v>29.943320527676928</v>
      </c>
      <c r="Z113" s="383">
        <f t="shared" si="37"/>
        <v>30.631128134225762</v>
      </c>
      <c r="AA113" s="384">
        <f t="shared" si="38"/>
        <v>33.337640379565173</v>
      </c>
      <c r="AB113" s="197">
        <f t="shared" si="39"/>
        <v>44660</v>
      </c>
      <c r="AC113" s="119">
        <f>IF(OR(t&lt;Tnet,NoTnet),'2021'!Resal_s+('2021'!Salim-'2021'!Resal_s)*(1-EXP(('2021'!Tnet_s-t)/'2021'!Tau_j)),Resal_s+(Salim-Resal_s)*(1-EXP((Tnet_s-t)/Tau_j)))*Salcycl</f>
        <v>8.118487734958027E-2</v>
      </c>
      <c r="AD113" s="230">
        <f>(INDEX(Models!$BJ113:$BT113,,AH113)*(1-AF113)+INDEX(Models!$BJ113:$BT113,,AH113+1)*AF113-ERP_i)*AE113*Ramure*Pc/MaxiM</f>
        <v>2.0338790269052946E-3</v>
      </c>
      <c r="AE113" s="304">
        <f t="shared" si="40"/>
        <v>0.7</v>
      </c>
      <c r="AF113" s="177">
        <f t="shared" si="41"/>
        <v>2.7455928642447641E-2</v>
      </c>
      <c r="AG113" s="799">
        <f t="shared" si="49"/>
        <v>0</v>
      </c>
      <c r="AH113" s="176">
        <f t="shared" si="42"/>
        <v>6</v>
      </c>
      <c r="AI113" s="224">
        <f t="shared" si="43"/>
        <v>2.7455928642447641E-2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44661</v>
      </c>
      <c r="B114" s="1147">
        <v>54.303000000000004</v>
      </c>
      <c r="C114" s="388"/>
      <c r="D114" s="391">
        <f t="shared" si="25"/>
        <v>55.551421830536995</v>
      </c>
      <c r="E114" s="383">
        <f t="shared" si="47"/>
        <v>60.471763569782709</v>
      </c>
      <c r="F114" s="383">
        <f t="shared" si="26"/>
        <v>60.582831847269297</v>
      </c>
      <c r="G114" s="110">
        <f t="shared" si="48"/>
        <v>1.0482441826576601</v>
      </c>
      <c r="H114" s="412" t="b">
        <f>Wh_hp&gt;='2021'!Maxi_hp</f>
        <v>1</v>
      </c>
      <c r="I114" s="379">
        <f>IF(H114,Wh_hp,'2021'!Maxi_hp)</f>
        <v>60.582831847269297</v>
      </c>
      <c r="J114" s="85">
        <f>IF(H114,An,'2021'!An_max)</f>
        <v>2022</v>
      </c>
      <c r="K114" s="197">
        <f t="shared" si="27"/>
        <v>44661</v>
      </c>
      <c r="L114" s="147">
        <f>IF(t&lt;Tvie,1-EXP((T0-t)*PertePVj)+'2021'!Pspv,1-EXP((T0-t)*PertePVj)+Pspv)</f>
        <v>2.2473265119034691E-2</v>
      </c>
      <c r="M114" s="832"/>
      <c r="N114" s="832"/>
      <c r="O114" s="48">
        <f>IF(t&lt;Tnet,'2021'!Resal+('2021'!Salim-'2021'!Resal)*(1-EXP(('2021'!Tnet-t)/('2021'!Tau_j))),Resal+(Salim-Resal)*(1-EXP((Tnet-t)/(Tau_j))))*Salcycl</f>
        <v>8.136593756799862E-2</v>
      </c>
      <c r="P114" s="169">
        <f>(INDEX(Models!$BJ114:$BT114,,T114)*(1-R114)+INDEX(Models!$BJ114:$BT114,,T114+1)*R114-ERP_i)*Q114*Ramure*Pc/MaxiM</f>
        <v>1.8333292469159027E-3</v>
      </c>
      <c r="Q114" s="304">
        <f t="shared" si="28"/>
        <v>0.7</v>
      </c>
      <c r="R114" s="177">
        <f t="shared" si="29"/>
        <v>0.96425155126768947</v>
      </c>
      <c r="S114" s="799">
        <f t="shared" si="30"/>
        <v>-1</v>
      </c>
      <c r="T114" s="176">
        <f t="shared" si="31"/>
        <v>5</v>
      </c>
      <c r="U114" s="250">
        <f t="shared" si="32"/>
        <v>-3.5748448732310492E-2</v>
      </c>
      <c r="V114" s="382">
        <f t="shared" si="33"/>
        <v>51.803769482720334</v>
      </c>
      <c r="W114" s="400">
        <f t="shared" si="34"/>
        <v>0</v>
      </c>
      <c r="X114" s="157">
        <f t="shared" si="35"/>
        <v>44661</v>
      </c>
      <c r="Y114" s="383">
        <f t="shared" si="36"/>
        <v>54.295504844997573</v>
      </c>
      <c r="Z114" s="383">
        <f t="shared" si="37"/>
        <v>55.543754362492407</v>
      </c>
      <c r="AA114" s="384">
        <f t="shared" si="38"/>
        <v>60.463416973071183</v>
      </c>
      <c r="AB114" s="197">
        <f t="shared" si="39"/>
        <v>44661</v>
      </c>
      <c r="AC114" s="119">
        <f>IF(OR(t&lt;Tnet,NoTnet),'2021'!Resal_s+('2021'!Salim-'2021'!Resal_s)*(1-EXP(('2021'!Tnet_s-t)/'2021'!Tau_j)),Resal_s+(Salim-Resal_s)*(1-EXP((Tnet_s-t)/Tau_j)))*Salcycl</f>
        <v>8.136593756799862E-2</v>
      </c>
      <c r="AD114" s="230">
        <f>(INDEX(Models!$BJ114:$BT114,,AH114)*(1-AF114)+INDEX(Models!$BJ114:$BT114,,AH114+1)*AF114-ERP_i)*AE114*Ramure*Pc/MaxiM</f>
        <v>1.9711008970191494E-3</v>
      </c>
      <c r="AE114" s="304">
        <f t="shared" si="40"/>
        <v>0.7</v>
      </c>
      <c r="AF114" s="177">
        <f t="shared" si="41"/>
        <v>2.8583773527521662E-2</v>
      </c>
      <c r="AG114" s="799">
        <f t="shared" si="49"/>
        <v>0</v>
      </c>
      <c r="AH114" s="176">
        <f t="shared" si="42"/>
        <v>6</v>
      </c>
      <c r="AI114" s="224">
        <f t="shared" si="43"/>
        <v>2.8583773527521662E-2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44662</v>
      </c>
      <c r="B115" s="1147">
        <v>43.316000000000003</v>
      </c>
      <c r="C115" s="388"/>
      <c r="D115" s="391">
        <f t="shared" si="25"/>
        <v>44.312680780482751</v>
      </c>
      <c r="E115" s="383">
        <f t="shared" si="47"/>
        <v>48.247118930319111</v>
      </c>
      <c r="F115" s="383">
        <f t="shared" si="26"/>
        <v>48.312543973420233</v>
      </c>
      <c r="G115" s="110">
        <f t="shared" si="48"/>
        <v>0.83324486506020301</v>
      </c>
      <c r="H115" s="412" t="b">
        <f>Wh_hp&gt;='2021'!Maxi_hp</f>
        <v>0</v>
      </c>
      <c r="I115" s="379">
        <f>IF(H115,Wh_hp,'2021'!Maxi_hp)</f>
        <v>58.211509097292016</v>
      </c>
      <c r="J115" s="85">
        <f>IF(H115,An,'2021'!An_max)</f>
        <v>2020</v>
      </c>
      <c r="K115" s="197">
        <f t="shared" si="27"/>
        <v>44662</v>
      </c>
      <c r="L115" s="147">
        <f>IF(t&lt;Tvie,1-EXP((T0-t)*PertePVj)+'2021'!Pspv,1-EXP((T0-t)*PertePVj)+Pspv)</f>
        <v>2.2491999195898948E-2</v>
      </c>
      <c r="M115" s="832"/>
      <c r="N115" s="832"/>
      <c r="O115" s="48">
        <f>IF(t&lt;Tnet,'2021'!Resal+('2021'!Salim-'2021'!Resal)*(1-EXP(('2021'!Tnet-t)/('2021'!Tau_j))),Resal+(Salim-Resal)*(1-EXP((Tnet-t)/(Tau_j))))*Salcycl</f>
        <v>8.1547628896114457E-2</v>
      </c>
      <c r="P115" s="169">
        <f>(INDEX(Models!$BJ115:$BT115,,T115)*(1-R115)+INDEX(Models!$BJ115:$BT115,,T115+1)*R115-ERP_i)*Q115*Ramure*Pc/MaxiM</f>
        <v>1.7765133022122012E-3</v>
      </c>
      <c r="Q115" s="304">
        <f t="shared" si="28"/>
        <v>0.7</v>
      </c>
      <c r="R115" s="177">
        <f t="shared" si="29"/>
        <v>0.96541945164040721</v>
      </c>
      <c r="S115" s="799">
        <f t="shared" si="30"/>
        <v>-1</v>
      </c>
      <c r="T115" s="176">
        <f t="shared" si="31"/>
        <v>5</v>
      </c>
      <c r="U115" s="250">
        <f t="shared" si="32"/>
        <v>-3.4580548359592803E-2</v>
      </c>
      <c r="V115" s="382">
        <f t="shared" si="33"/>
        <v>51.962735400649493</v>
      </c>
      <c r="W115" s="400">
        <f t="shared" si="34"/>
        <v>0</v>
      </c>
      <c r="X115" s="157">
        <f t="shared" si="35"/>
        <v>44662</v>
      </c>
      <c r="Y115" s="383">
        <f t="shared" si="36"/>
        <v>43.311520501376044</v>
      </c>
      <c r="Z115" s="383">
        <f t="shared" si="37"/>
        <v>44.308098210702987</v>
      </c>
      <c r="AA115" s="384">
        <f t="shared" si="38"/>
        <v>48.242129482935731</v>
      </c>
      <c r="AB115" s="197">
        <f t="shared" si="39"/>
        <v>44662</v>
      </c>
      <c r="AC115" s="119">
        <f>IF(OR(t&lt;Tnet,NoTnet),'2021'!Resal_s+('2021'!Salim-'2021'!Resal_s)*(1-EXP(('2021'!Tnet_s-t)/'2021'!Tau_j)),Resal_s+(Salim-Resal_s)*(1-EXP((Tnet_s-t)/Tau_j)))*Salcycl</f>
        <v>8.1547628896114457E-2</v>
      </c>
      <c r="AD115" s="230">
        <f>(INDEX(Models!$BJ115:$BT115,,AH115)*(1-AF115)+INDEX(Models!$BJ115:$BT115,,AH115+1)*AF115-ERP_i)*AE115*Ramure*Pc/MaxiM</f>
        <v>1.9119938342396013E-3</v>
      </c>
      <c r="AE115" s="304">
        <f t="shared" si="40"/>
        <v>0.7</v>
      </c>
      <c r="AF115" s="177">
        <f t="shared" si="41"/>
        <v>2.9751673900239348E-2</v>
      </c>
      <c r="AG115" s="799">
        <f t="shared" si="49"/>
        <v>0</v>
      </c>
      <c r="AH115" s="176">
        <f t="shared" si="42"/>
        <v>6</v>
      </c>
      <c r="AI115" s="224">
        <f t="shared" si="43"/>
        <v>2.9751673900239348E-2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44663</v>
      </c>
      <c r="B116" s="1147">
        <v>37.99</v>
      </c>
      <c r="C116" s="388"/>
      <c r="D116" s="391">
        <f t="shared" si="25"/>
        <v>38.864876862783078</v>
      </c>
      <c r="E116" s="383">
        <f t="shared" si="47"/>
        <v>42.324017924709146</v>
      </c>
      <c r="F116" s="383">
        <f t="shared" si="26"/>
        <v>42.368756640469293</v>
      </c>
      <c r="G116" s="110">
        <f t="shared" si="48"/>
        <v>0.72845336647946457</v>
      </c>
      <c r="H116" s="412" t="b">
        <f>Wh_hp&gt;='2021'!Maxi_hp</f>
        <v>0</v>
      </c>
      <c r="I116" s="379">
        <f>IF(H116,Wh_hp,'2021'!Maxi_hp)</f>
        <v>57.589141732142863</v>
      </c>
      <c r="J116" s="85">
        <f>IF(H116,An,'2021'!An_max)</f>
        <v>2020</v>
      </c>
      <c r="K116" s="197">
        <f t="shared" si="27"/>
        <v>44663</v>
      </c>
      <c r="L116" s="147">
        <f>IF(t&lt;Tvie,1-EXP((T0-t)*PertePVj)+'2021'!Pspv,1-EXP((T0-t)*PertePVj)+Pspv)</f>
        <v>2.2510732913728959E-2</v>
      </c>
      <c r="M116" s="832"/>
      <c r="N116" s="832"/>
      <c r="O116" s="48">
        <f>IF(t&lt;Tnet,'2021'!Resal+('2021'!Salim-'2021'!Resal)*(1-EXP(('2021'!Tnet-t)/('2021'!Tau_j))),Resal+(Salim-Resal)*(1-EXP((Tnet-t)/(Tau_j))))*Salcycl</f>
        <v>8.1729978190624178E-2</v>
      </c>
      <c r="P116" s="169">
        <f>(INDEX(Models!$BJ116:$BT116,,T116)*(1-R116)+INDEX(Models!$BJ116:$BT116,,T116+1)*R116-ERP_i)*Q116*Ramure*Pc/MaxiM</f>
        <v>1.7232131399576311E-3</v>
      </c>
      <c r="Q116" s="304">
        <f t="shared" si="28"/>
        <v>0.7</v>
      </c>
      <c r="R116" s="177">
        <f t="shared" si="29"/>
        <v>0.96662854033530987</v>
      </c>
      <c r="S116" s="799">
        <f t="shared" si="30"/>
        <v>-1</v>
      </c>
      <c r="T116" s="176">
        <f t="shared" si="31"/>
        <v>5</v>
      </c>
      <c r="U116" s="250">
        <f t="shared" si="32"/>
        <v>-3.3371459664690142E-2</v>
      </c>
      <c r="V116" s="382">
        <f t="shared" si="33"/>
        <v>52.116751889089372</v>
      </c>
      <c r="W116" s="400">
        <f t="shared" si="34"/>
        <v>0</v>
      </c>
      <c r="X116" s="157">
        <f t="shared" si="35"/>
        <v>44663</v>
      </c>
      <c r="Y116" s="383">
        <f t="shared" si="36"/>
        <v>37.986894424840855</v>
      </c>
      <c r="Z116" s="383">
        <f t="shared" si="37"/>
        <v>38.861699768912366</v>
      </c>
      <c r="AA116" s="384">
        <f t="shared" si="38"/>
        <v>42.320558055830432</v>
      </c>
      <c r="AB116" s="197">
        <f t="shared" si="39"/>
        <v>44663</v>
      </c>
      <c r="AC116" s="119">
        <f>IF(OR(t&lt;Tnet,NoTnet),'2021'!Resal_s+('2021'!Salim-'2021'!Resal_s)*(1-EXP(('2021'!Tnet_s-t)/'2021'!Tau_j)),Resal_s+(Salim-Resal_s)*(1-EXP((Tnet_s-t)/Tau_j)))*Salcycl</f>
        <v>8.1729978190624178E-2</v>
      </c>
      <c r="AD116" s="230">
        <f>(INDEX(Models!$BJ116:$BT116,,AH116)*(1-AF116)+INDEX(Models!$BJ116:$BT116,,AH116+1)*AF116-ERP_i)*AE116*Ramure*Pc/MaxiM</f>
        <v>1.8564778395142279E-3</v>
      </c>
      <c r="AE116" s="304">
        <f t="shared" si="40"/>
        <v>0.7</v>
      </c>
      <c r="AF116" s="177">
        <f t="shared" si="41"/>
        <v>3.0960762595142008E-2</v>
      </c>
      <c r="AG116" s="799">
        <f t="shared" si="49"/>
        <v>0</v>
      </c>
      <c r="AH116" s="176">
        <f t="shared" si="42"/>
        <v>6</v>
      </c>
      <c r="AI116" s="224">
        <f t="shared" si="43"/>
        <v>3.0960762595142008E-2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44664</v>
      </c>
      <c r="B117" s="1147">
        <v>5.8860000000000001</v>
      </c>
      <c r="C117" s="388"/>
      <c r="D117" s="391">
        <f t="shared" si="25"/>
        <v>6.0216648961830437</v>
      </c>
      <c r="E117" s="383">
        <f t="shared" si="47"/>
        <v>6.5589263000633942</v>
      </c>
      <c r="F117" s="383">
        <f t="shared" si="26"/>
        <v>6.5589263000633942</v>
      </c>
      <c r="G117" s="110">
        <f t="shared" si="48"/>
        <v>0.11242733125931574</v>
      </c>
      <c r="H117" s="412" t="b">
        <f>Wh_hp&gt;='2021'!Maxi_hp</f>
        <v>0</v>
      </c>
      <c r="I117" s="379">
        <f>IF(H117,Wh_hp,'2021'!Maxi_hp)</f>
        <v>56.994672036100951</v>
      </c>
      <c r="J117" s="85">
        <f>IF(H117,An,'2021'!An_max)</f>
        <v>2018</v>
      </c>
      <c r="K117" s="197">
        <f t="shared" si="27"/>
        <v>44664</v>
      </c>
      <c r="L117" s="147">
        <f>IF(t&lt;Tvie,1-EXP((T0-t)*PertePVj)+'2021'!Pspv,1-EXP((T0-t)*PertePVj)+Pspv)</f>
        <v>2.2529466272531606E-2</v>
      </c>
      <c r="M117" s="832"/>
      <c r="N117" s="832"/>
      <c r="O117" s="48">
        <f>IF(t&lt;Tnet,'2021'!Resal+('2021'!Salim-'2021'!Resal)*(1-EXP(('2021'!Tnet-t)/('2021'!Tau_j))),Resal+(Salim-Resal)*(1-EXP((Tnet-t)/(Tau_j))))*Salcycl</f>
        <v>8.191301126148616E-2</v>
      </c>
      <c r="P117" s="169">
        <f>(INDEX(Models!$BJ117:$BT117,,T117)*(1-R117)+INDEX(Models!$BJ117:$BT117,,T117+1)*R117-ERP_i)*Q117*Ramure*Pc/MaxiM</f>
        <v>1.6733802315577425E-3</v>
      </c>
      <c r="Q117" s="304">
        <f t="shared" si="28"/>
        <v>0.7</v>
      </c>
      <c r="R117" s="177">
        <f t="shared" si="29"/>
        <v>0.96787995948164707</v>
      </c>
      <c r="S117" s="799">
        <f t="shared" si="30"/>
        <v>-1</v>
      </c>
      <c r="T117" s="176">
        <f t="shared" si="31"/>
        <v>5</v>
      </c>
      <c r="U117" s="250">
        <f t="shared" si="32"/>
        <v>-3.2120040518352905E-2</v>
      </c>
      <c r="V117" s="382">
        <f t="shared" si="33"/>
        <v>52.266209809815727</v>
      </c>
      <c r="W117" s="400">
        <f t="shared" si="34"/>
        <v>0</v>
      </c>
      <c r="X117" s="157">
        <f t="shared" si="35"/>
        <v>44664</v>
      </c>
      <c r="Y117" s="383">
        <f t="shared" si="36"/>
        <v>5.8860000000000001</v>
      </c>
      <c r="Z117" s="383">
        <f t="shared" si="37"/>
        <v>6.0216648961830437</v>
      </c>
      <c r="AA117" s="384">
        <f t="shared" si="38"/>
        <v>6.5589263000633942</v>
      </c>
      <c r="AB117" s="197">
        <f t="shared" si="39"/>
        <v>44664</v>
      </c>
      <c r="AC117" s="119">
        <f>IF(OR(t&lt;Tnet,NoTnet),'2021'!Resal_s+('2021'!Salim-'2021'!Resal_s)*(1-EXP(('2021'!Tnet_s-t)/'2021'!Tau_j)),Resal_s+(Salim-Resal_s)*(1-EXP((Tnet_s-t)/Tau_j)))*Salcycl</f>
        <v>8.191301126148616E-2</v>
      </c>
      <c r="AD117" s="230">
        <f>(INDEX(Models!$BJ117:$BT117,,AH117)*(1-AF117)+INDEX(Models!$BJ117:$BT117,,AH117+1)*AF117-ERP_i)*AE117*Ramure*Pc/MaxiM</f>
        <v>1.804477015835259E-3</v>
      </c>
      <c r="AE117" s="304">
        <f t="shared" si="40"/>
        <v>0.7</v>
      </c>
      <c r="AF117" s="177">
        <f t="shared" si="41"/>
        <v>3.2212181741479246E-2</v>
      </c>
      <c r="AG117" s="799">
        <f t="shared" si="49"/>
        <v>0</v>
      </c>
      <c r="AH117" s="176">
        <f t="shared" si="42"/>
        <v>6</v>
      </c>
      <c r="AI117" s="224">
        <f t="shared" si="43"/>
        <v>3.2212181741479246E-2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44665</v>
      </c>
      <c r="B118" s="1147">
        <v>42.500999999999998</v>
      </c>
      <c r="C118" s="388"/>
      <c r="D118" s="391">
        <f t="shared" si="25"/>
        <v>43.481427900955474</v>
      </c>
      <c r="E118" s="383">
        <f t="shared" si="47"/>
        <v>47.370382481991399</v>
      </c>
      <c r="F118" s="383">
        <f t="shared" si="26"/>
        <v>47.426700713577866</v>
      </c>
      <c r="G118" s="110">
        <f t="shared" si="48"/>
        <v>0.81055301250629519</v>
      </c>
      <c r="H118" s="412" t="b">
        <f>Wh_hp&gt;='2021'!Maxi_hp</f>
        <v>0</v>
      </c>
      <c r="I118" s="379">
        <f>IF(H118,Wh_hp,'2021'!Maxi_hp)</f>
        <v>57.747438215709053</v>
      </c>
      <c r="J118" s="85">
        <f>IF(H118,An,'2021'!An_max)</f>
        <v>2021</v>
      </c>
      <c r="K118" s="197">
        <f t="shared" si="27"/>
        <v>44665</v>
      </c>
      <c r="L118" s="147">
        <f>IF(t&lt;Tvie,1-EXP((T0-t)*PertePVj)+'2021'!Pspv,1-EXP((T0-t)*PertePVj)+Pspv)</f>
        <v>2.2548199272313552E-2</v>
      </c>
      <c r="M118" s="832"/>
      <c r="N118" s="832"/>
      <c r="O118" s="48">
        <f>IF(t&lt;Tnet,'2021'!Resal+('2021'!Salim-'2021'!Resal)*(1-EXP(('2021'!Tnet-t)/('2021'!Tau_j))),Resal+(Salim-Resal)*(1-EXP((Tnet-t)/(Tau_j))))*Salcycl</f>
        <v>8.2096752807819764E-2</v>
      </c>
      <c r="P118" s="169">
        <f>(INDEX(Models!$BJ118:$BT118,,T118)*(1-R118)+INDEX(Models!$BJ118:$BT118,,T118+1)*R118-ERP_i)*Q118*Ramure*Pc/MaxiM</f>
        <v>1.6269712619358943E-3</v>
      </c>
      <c r="Q118" s="304">
        <f t="shared" si="28"/>
        <v>0.7</v>
      </c>
      <c r="R118" s="177">
        <f t="shared" si="29"/>
        <v>0.96917485858529795</v>
      </c>
      <c r="S118" s="799">
        <f t="shared" si="30"/>
        <v>-1</v>
      </c>
      <c r="T118" s="176">
        <f t="shared" si="31"/>
        <v>5</v>
      </c>
      <c r="U118" s="250">
        <f t="shared" si="32"/>
        <v>-3.0825141414702044E-2</v>
      </c>
      <c r="V118" s="382">
        <f t="shared" si="33"/>
        <v>52.411499673822888</v>
      </c>
      <c r="W118" s="400">
        <f t="shared" si="34"/>
        <v>0</v>
      </c>
      <c r="X118" s="157">
        <f t="shared" si="35"/>
        <v>44665</v>
      </c>
      <c r="Y118" s="383">
        <f t="shared" si="36"/>
        <v>42.49699524822443</v>
      </c>
      <c r="Z118" s="383">
        <f t="shared" si="37"/>
        <v>43.477330766168279</v>
      </c>
      <c r="AA118" s="384">
        <f t="shared" si="38"/>
        <v>47.365918901761425</v>
      </c>
      <c r="AB118" s="197">
        <f t="shared" si="39"/>
        <v>44665</v>
      </c>
      <c r="AC118" s="119">
        <f>IF(OR(t&lt;Tnet,NoTnet),'2021'!Resal_s+('2021'!Salim-'2021'!Resal_s)*(1-EXP(('2021'!Tnet_s-t)/'2021'!Tau_j)),Resal_s+(Salim-Resal_s)*(1-EXP((Tnet_s-t)/Tau_j)))*Salcycl</f>
        <v>8.2096752807819764E-2</v>
      </c>
      <c r="AD118" s="230">
        <f>(INDEX(Models!$BJ118:$BT118,,AH118)*(1-AF118)+INDEX(Models!$BJ118:$BT118,,AH118+1)*AF118-ERP_i)*AE118*Ramure*Pc/MaxiM</f>
        <v>1.7559191453289443E-3</v>
      </c>
      <c r="AE118" s="304">
        <f t="shared" si="40"/>
        <v>0.7</v>
      </c>
      <c r="AF118" s="177">
        <f t="shared" si="41"/>
        <v>3.3507080845130106E-2</v>
      </c>
      <c r="AG118" s="799">
        <f t="shared" si="49"/>
        <v>0</v>
      </c>
      <c r="AH118" s="176">
        <f t="shared" si="42"/>
        <v>6</v>
      </c>
      <c r="AI118" s="224">
        <f t="shared" si="43"/>
        <v>3.3507080845130106E-2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44666</v>
      </c>
      <c r="B119" s="1147">
        <v>43.484000000000002</v>
      </c>
      <c r="C119" s="388"/>
      <c r="D119" s="391">
        <f t="shared" si="25"/>
        <v>44.487956689565564</v>
      </c>
      <c r="E119" s="383">
        <f t="shared" si="47"/>
        <v>48.476677133587117</v>
      </c>
      <c r="F119" s="383">
        <f t="shared" si="26"/>
        <v>48.534601340357831</v>
      </c>
      <c r="G119" s="110">
        <f t="shared" si="48"/>
        <v>0.8271076855172641</v>
      </c>
      <c r="H119" s="412" t="b">
        <f>Wh_hp&gt;='2021'!Maxi_hp</f>
        <v>0</v>
      </c>
      <c r="I119" s="379">
        <f>IF(H119,Wh_hp,'2021'!Maxi_hp)</f>
        <v>58.651705388898215</v>
      </c>
      <c r="J119" s="85">
        <f>IF(H119,An,'2021'!An_max)</f>
        <v>2021</v>
      </c>
      <c r="K119" s="197">
        <f t="shared" si="27"/>
        <v>44666</v>
      </c>
      <c r="L119" s="147">
        <f>IF(t&lt;Tvie,1-EXP((T0-t)*PertePVj)+'2021'!Pspv,1-EXP((T0-t)*PertePVj)+Pspv)</f>
        <v>2.25669319130819E-2</v>
      </c>
      <c r="M119" s="832"/>
      <c r="N119" s="832"/>
      <c r="O119" s="48">
        <f>IF(t&lt;Tnet,'2021'!Resal+('2021'!Salim-'2021'!Resal)*(1-EXP(('2021'!Tnet-t)/('2021'!Tau_j))),Resal+(Salim-Resal)*(1-EXP((Tnet-t)/(Tau_j))))*Salcycl</f>
        <v>8.2281226352000997E-2</v>
      </c>
      <c r="P119" s="169">
        <f>(INDEX(Models!$BJ119:$BT119,,T119)*(1-R119)+INDEX(Models!$BJ119:$BT119,,T119+1)*R119-ERP_i)*Q119*Ramure*Pc/MaxiM</f>
        <v>1.5839478364917908E-3</v>
      </c>
      <c r="Q119" s="304">
        <f t="shared" si="28"/>
        <v>0.7</v>
      </c>
      <c r="R119" s="177">
        <f t="shared" si="29"/>
        <v>0.97051439243292315</v>
      </c>
      <c r="S119" s="799">
        <f t="shared" si="30"/>
        <v>-1</v>
      </c>
      <c r="T119" s="176">
        <f t="shared" si="31"/>
        <v>5</v>
      </c>
      <c r="U119" s="250">
        <f t="shared" si="32"/>
        <v>-2.9485607567076841E-2</v>
      </c>
      <c r="V119" s="382">
        <f t="shared" si="33"/>
        <v>52.55301164511819</v>
      </c>
      <c r="W119" s="400">
        <f t="shared" si="34"/>
        <v>0</v>
      </c>
      <c r="X119" s="157">
        <f t="shared" si="35"/>
        <v>44666</v>
      </c>
      <c r="Y119" s="383">
        <f t="shared" si="36"/>
        <v>43.479840969311226</v>
      </c>
      <c r="Z119" s="383">
        <f t="shared" si="37"/>
        <v>44.483701635358202</v>
      </c>
      <c r="AA119" s="384">
        <f t="shared" si="38"/>
        <v>48.472040577891029</v>
      </c>
      <c r="AB119" s="197">
        <f t="shared" si="39"/>
        <v>44666</v>
      </c>
      <c r="AC119" s="119">
        <f>IF(OR(t&lt;Tnet,NoTnet),'2021'!Resal_s+('2021'!Salim-'2021'!Resal_s)*(1-EXP(('2021'!Tnet_s-t)/'2021'!Tau_j)),Resal_s+(Salim-Resal_s)*(1-EXP((Tnet_s-t)/Tau_j)))*Salcycl</f>
        <v>8.2281226352000997E-2</v>
      </c>
      <c r="AD119" s="230">
        <f>(INDEX(Models!$BJ119:$BT119,,AH119)*(1-AF119)+INDEX(Models!$BJ119:$BT119,,AH119+1)*AF119-ERP_i)*AE119*Ramure*Pc/MaxiM</f>
        <v>1.7107352846593238E-3</v>
      </c>
      <c r="AE119" s="304">
        <f t="shared" si="40"/>
        <v>0.7</v>
      </c>
      <c r="AF119" s="177">
        <f t="shared" si="41"/>
        <v>3.4846614692755309E-2</v>
      </c>
      <c r="AG119" s="799">
        <f t="shared" si="49"/>
        <v>0</v>
      </c>
      <c r="AH119" s="176">
        <f t="shared" si="42"/>
        <v>6</v>
      </c>
      <c r="AI119" s="224">
        <f t="shared" si="43"/>
        <v>3.4846614692755309E-2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44667</v>
      </c>
      <c r="B120" s="1147">
        <v>35.575000000000003</v>
      </c>
      <c r="C120" s="388"/>
      <c r="D120" s="391">
        <f t="shared" si="25"/>
        <v>36.397051584776158</v>
      </c>
      <c r="E120" s="383">
        <f t="shared" si="47"/>
        <v>39.668360628619787</v>
      </c>
      <c r="F120" s="383">
        <f t="shared" si="26"/>
        <v>39.70121918454128</v>
      </c>
      <c r="G120" s="110">
        <f t="shared" si="48"/>
        <v>0.67467676299529689</v>
      </c>
      <c r="H120" s="412" t="b">
        <f>Wh_hp&gt;='2021'!Maxi_hp</f>
        <v>0</v>
      </c>
      <c r="I120" s="379">
        <f>IF(H120,Wh_hp,'2021'!Maxi_hp)</f>
        <v>57.771393300679215</v>
      </c>
      <c r="J120" s="85">
        <f>IF(H120,An,'2021'!An_max)</f>
        <v>2020</v>
      </c>
      <c r="K120" s="197">
        <f t="shared" si="27"/>
        <v>44667</v>
      </c>
      <c r="L120" s="147">
        <f>IF(t&lt;Tvie,1-EXP((T0-t)*PertePVj)+'2021'!Pspv,1-EXP((T0-t)*PertePVj)+Pspv)</f>
        <v>2.2585664194843535E-2</v>
      </c>
      <c r="M120" s="832"/>
      <c r="N120" s="832"/>
      <c r="O120" s="48">
        <f>IF(t&lt;Tnet,'2021'!Resal+('2021'!Salim-'2021'!Resal)*(1-EXP(('2021'!Tnet-t)/('2021'!Tau_j))),Resal+(Salim-Resal)*(1-EXP((Tnet-t)/(Tau_j))))*Salcycl</f>
        <v>8.2466454171626596E-2</v>
      </c>
      <c r="P120" s="169">
        <f>(INDEX(Models!$BJ120:$BT120,,T120)*(1-R120)+INDEX(Models!$BJ120:$BT120,,T120+1)*R120-ERP_i)*Q120*Ramure*Pc/MaxiM</f>
        <v>1.5442762035058014E-3</v>
      </c>
      <c r="Q120" s="304">
        <f t="shared" si="28"/>
        <v>0.7</v>
      </c>
      <c r="R120" s="177">
        <f t="shared" si="29"/>
        <v>0.97189971881183712</v>
      </c>
      <c r="S120" s="799">
        <f t="shared" si="30"/>
        <v>-1</v>
      </c>
      <c r="T120" s="176">
        <f t="shared" si="31"/>
        <v>5</v>
      </c>
      <c r="U120" s="250">
        <f t="shared" si="32"/>
        <v>-2.8100281188162927E-2</v>
      </c>
      <c r="V120" s="382">
        <f t="shared" si="33"/>
        <v>52.6911355382979</v>
      </c>
      <c r="W120" s="400">
        <f t="shared" si="34"/>
        <v>0</v>
      </c>
      <c r="X120" s="157">
        <f t="shared" si="35"/>
        <v>44667</v>
      </c>
      <c r="Y120" s="383">
        <f t="shared" si="36"/>
        <v>35.572622702463391</v>
      </c>
      <c r="Z120" s="383">
        <f t="shared" si="37"/>
        <v>36.394619353684874</v>
      </c>
      <c r="AA120" s="384">
        <f t="shared" si="38"/>
        <v>39.6657097924707</v>
      </c>
      <c r="AB120" s="197">
        <f t="shared" si="39"/>
        <v>44667</v>
      </c>
      <c r="AC120" s="119">
        <f>IF(OR(t&lt;Tnet,NoTnet),'2021'!Resal_s+('2021'!Salim-'2021'!Resal_s)*(1-EXP(('2021'!Tnet_s-t)/'2021'!Tau_j)),Resal_s+(Salim-Resal_s)*(1-EXP((Tnet_s-t)/Tau_j)))*Salcycl</f>
        <v>8.2466454171626596E-2</v>
      </c>
      <c r="AD120" s="230">
        <f>(INDEX(Models!$BJ120:$BT120,,AH120)*(1-AF120)+INDEX(Models!$BJ120:$BT120,,AH120+1)*AF120-ERP_i)*AE120*Ramure*Pc/MaxiM</f>
        <v>1.6688593773434735E-3</v>
      </c>
      <c r="AE120" s="304">
        <f t="shared" si="40"/>
        <v>0.7</v>
      </c>
      <c r="AF120" s="177">
        <f t="shared" si="41"/>
        <v>3.6231941071669223E-2</v>
      </c>
      <c r="AG120" s="799">
        <f t="shared" si="49"/>
        <v>0</v>
      </c>
      <c r="AH120" s="176">
        <f t="shared" si="42"/>
        <v>6</v>
      </c>
      <c r="AI120" s="224">
        <f t="shared" si="43"/>
        <v>3.6231941071669223E-2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44668</v>
      </c>
      <c r="B121" s="1147">
        <v>52.378999999999998</v>
      </c>
      <c r="C121" s="388"/>
      <c r="D121" s="391">
        <f t="shared" si="25"/>
        <v>53.590378135466324</v>
      </c>
      <c r="E121" s="383">
        <f t="shared" si="47"/>
        <v>58.418838702714012</v>
      </c>
      <c r="F121" s="383">
        <f t="shared" si="26"/>
        <v>58.506000012119351</v>
      </c>
      <c r="G121" s="110">
        <f t="shared" si="48"/>
        <v>0.99154152077015534</v>
      </c>
      <c r="H121" s="412" t="b">
        <f>Wh_hp&gt;='2021'!Maxi_hp</f>
        <v>1</v>
      </c>
      <c r="I121" s="379">
        <f>IF(H121,Wh_hp,'2021'!Maxi_hp)</f>
        <v>58.506000012119351</v>
      </c>
      <c r="J121" s="85">
        <f>IF(H121,An,'2021'!An_max)</f>
        <v>2022</v>
      </c>
      <c r="K121" s="197">
        <f t="shared" si="27"/>
        <v>44668</v>
      </c>
      <c r="L121" s="147">
        <f>IF(t&lt;Tvie,1-EXP((T0-t)*PertePVj)+'2021'!Pspv,1-EXP((T0-t)*PertePVj)+Pspv)</f>
        <v>2.2604396117605119E-2</v>
      </c>
      <c r="M121" s="832"/>
      <c r="N121" s="832"/>
      <c r="O121" s="48">
        <f>IF(t&lt;Tnet,'2021'!Resal+('2021'!Salim-'2021'!Resal)*(1-EXP(('2021'!Tnet-t)/('2021'!Tau_j))),Resal+(Salim-Resal)*(1-EXP((Tnet-t)/(Tau_j))))*Salcycl</f>
        <v>8.2652457229064558E-2</v>
      </c>
      <c r="P121" s="169">
        <f>(INDEX(Models!$BJ121:$BT121,,T121)*(1-R121)+INDEX(Models!$BJ121:$BT121,,T121+1)*R121-ERP_i)*Q121*Ramure*Pc/MaxiM</f>
        <v>1.5079667968205556E-3</v>
      </c>
      <c r="Q121" s="304">
        <f t="shared" si="28"/>
        <v>0.7</v>
      </c>
      <c r="R121" s="177">
        <f t="shared" si="29"/>
        <v>0.97333199603957854</v>
      </c>
      <c r="S121" s="799">
        <f t="shared" si="30"/>
        <v>-1</v>
      </c>
      <c r="T121" s="176">
        <f t="shared" si="31"/>
        <v>5</v>
      </c>
      <c r="U121" s="250">
        <f t="shared" si="32"/>
        <v>-2.6668003960421495E-2</v>
      </c>
      <c r="V121" s="382">
        <f t="shared" si="33"/>
        <v>52.824864204992487</v>
      </c>
      <c r="W121" s="400">
        <f t="shared" si="34"/>
        <v>0</v>
      </c>
      <c r="X121" s="157">
        <f t="shared" si="35"/>
        <v>44668</v>
      </c>
      <c r="Y121" s="383">
        <f t="shared" si="36"/>
        <v>52.37266163364491</v>
      </c>
      <c r="Z121" s="383">
        <f t="shared" si="37"/>
        <v>53.583893180623157</v>
      </c>
      <c r="AA121" s="384">
        <f t="shared" si="38"/>
        <v>58.411769457372628</v>
      </c>
      <c r="AB121" s="197">
        <f t="shared" si="39"/>
        <v>44668</v>
      </c>
      <c r="AC121" s="119">
        <f>IF(OR(t&lt;Tnet,NoTnet),'2021'!Resal_s+('2021'!Salim-'2021'!Resal_s)*(1-EXP(('2021'!Tnet_s-t)/'2021'!Tau_j)),Resal_s+(Salim-Resal_s)*(1-EXP((Tnet_s-t)/Tau_j)))*Salcycl</f>
        <v>8.2652457229064558E-2</v>
      </c>
      <c r="AD121" s="230">
        <f>(INDEX(Models!$BJ121:$BT121,,AH121)*(1-AF121)+INDEX(Models!$BJ121:$BT121,,AH121+1)*AF121-ERP_i)*AE121*Ramure*Pc/MaxiM</f>
        <v>1.630270916918284E-3</v>
      </c>
      <c r="AE121" s="304">
        <f t="shared" si="40"/>
        <v>0.7</v>
      </c>
      <c r="AF121" s="177">
        <f t="shared" si="41"/>
        <v>3.7664218299410655E-2</v>
      </c>
      <c r="AG121" s="799">
        <f t="shared" si="49"/>
        <v>0</v>
      </c>
      <c r="AH121" s="176">
        <f t="shared" si="42"/>
        <v>6</v>
      </c>
      <c r="AI121" s="224">
        <f t="shared" si="43"/>
        <v>3.7664218299410655E-2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44669</v>
      </c>
      <c r="B122" s="1147">
        <v>34.121000000000002</v>
      </c>
      <c r="C122" s="388"/>
      <c r="D122" s="391">
        <f t="shared" si="25"/>
        <v>34.910791288783955</v>
      </c>
      <c r="E122" s="383">
        <f t="shared" si="47"/>
        <v>38.063983312465204</v>
      </c>
      <c r="F122" s="383">
        <f t="shared" si="26"/>
        <v>38.091648034359238</v>
      </c>
      <c r="G122" s="110">
        <f t="shared" si="48"/>
        <v>0.64388029322328244</v>
      </c>
      <c r="H122" s="412" t="b">
        <f>Wh_hp&gt;='2021'!Maxi_hp</f>
        <v>0</v>
      </c>
      <c r="I122" s="379">
        <f>IF(H122,Wh_hp,'2021'!Maxi_hp)</f>
        <v>47.717829043951738</v>
      </c>
      <c r="J122" s="85">
        <f>IF(H122,An,'2021'!An_max)</f>
        <v>2021</v>
      </c>
      <c r="K122" s="197">
        <f t="shared" si="27"/>
        <v>44669</v>
      </c>
      <c r="L122" s="147">
        <f>IF(t&lt;Tvie,1-EXP((T0-t)*PertePVj)+'2021'!Pspv,1-EXP((T0-t)*PertePVj)+Pspv)</f>
        <v>2.2623127681373756E-2</v>
      </c>
      <c r="M122" s="832"/>
      <c r="N122" s="832"/>
      <c r="O122" s="48">
        <f>IF(t&lt;Tnet,'2021'!Resal+('2021'!Salim-'2021'!Resal)*(1-EXP(('2021'!Tnet-t)/('2021'!Tau_j))),Resal+(Salim-Resal)*(1-EXP((Tnet-t)/(Tau_j))))*Salcycl</f>
        <v>8.283925509836601E-2</v>
      </c>
      <c r="P122" s="169">
        <f>(INDEX(Models!$BJ122:$BT122,,T122)*(1-R122)+INDEX(Models!$BJ122:$BT122,,T122+1)*R122-ERP_i)*Q122*Ramure*Pc/MaxiM</f>
        <v>1.4763077969799886E-3</v>
      </c>
      <c r="Q122" s="304">
        <f t="shared" si="28"/>
        <v>0.7</v>
      </c>
      <c r="R122" s="177">
        <f t="shared" si="29"/>
        <v>0.97481238029775685</v>
      </c>
      <c r="S122" s="799">
        <f t="shared" si="30"/>
        <v>-1</v>
      </c>
      <c r="T122" s="176">
        <f t="shared" si="31"/>
        <v>5</v>
      </c>
      <c r="U122" s="250">
        <f t="shared" si="32"/>
        <v>-2.5187619702243168E-2</v>
      </c>
      <c r="V122" s="382">
        <f t="shared" si="33"/>
        <v>52.952993949293102</v>
      </c>
      <c r="W122" s="400">
        <f t="shared" si="34"/>
        <v>0</v>
      </c>
      <c r="X122" s="157">
        <f t="shared" si="35"/>
        <v>44669</v>
      </c>
      <c r="Y122" s="383">
        <f t="shared" si="36"/>
        <v>34.118981161954665</v>
      </c>
      <c r="Z122" s="383">
        <f t="shared" si="37"/>
        <v>34.908725721138026</v>
      </c>
      <c r="AA122" s="384">
        <f t="shared" si="38"/>
        <v>38.061731179829337</v>
      </c>
      <c r="AB122" s="197">
        <f t="shared" si="39"/>
        <v>44669</v>
      </c>
      <c r="AC122" s="119">
        <f>IF(OR(t&lt;Tnet,NoTnet),'2021'!Resal_s+('2021'!Salim-'2021'!Resal_s)*(1-EXP(('2021'!Tnet_s-t)/'2021'!Tau_j)),Resal_s+(Salim-Resal_s)*(1-EXP((Tnet_s-t)/Tau_j)))*Salcycl</f>
        <v>8.283925509836601E-2</v>
      </c>
      <c r="AD122" s="230">
        <f>(INDEX(Models!$BJ122:$BT122,,AH122)*(1-AF122)+INDEX(Models!$BJ122:$BT122,,AH122+1)*AF122-ERP_i)*AE122*Ramure*Pc/MaxiM</f>
        <v>1.5964912198572195E-3</v>
      </c>
      <c r="AE122" s="304">
        <f t="shared" si="40"/>
        <v>0.7</v>
      </c>
      <c r="AF122" s="177">
        <f t="shared" si="41"/>
        <v>3.9144602557588982E-2</v>
      </c>
      <c r="AG122" s="799">
        <f t="shared" si="49"/>
        <v>0</v>
      </c>
      <c r="AH122" s="176">
        <f t="shared" si="42"/>
        <v>6</v>
      </c>
      <c r="AI122" s="224">
        <f t="shared" si="43"/>
        <v>3.9144602557588982E-2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44670</v>
      </c>
      <c r="B123" s="1147">
        <v>9.141</v>
      </c>
      <c r="C123" s="388"/>
      <c r="D123" s="391">
        <f t="shared" si="25"/>
        <v>9.3527639618190346</v>
      </c>
      <c r="E123" s="383">
        <f t="shared" si="47"/>
        <v>10.199605216231667</v>
      </c>
      <c r="F123" s="383">
        <f t="shared" si="26"/>
        <v>10.199605216231667</v>
      </c>
      <c r="G123" s="110">
        <f t="shared" si="48"/>
        <v>0.17197603931282648</v>
      </c>
      <c r="H123" s="412" t="b">
        <f>Wh_hp&gt;='2021'!Maxi_hp</f>
        <v>0</v>
      </c>
      <c r="I123" s="379">
        <f>IF(H123,Wh_hp,'2021'!Maxi_hp)</f>
        <v>57.424115414132181</v>
      </c>
      <c r="J123" s="85">
        <f>IF(H123,An,'2021'!An_max)</f>
        <v>2021</v>
      </c>
      <c r="K123" s="197">
        <f t="shared" si="27"/>
        <v>44670</v>
      </c>
      <c r="L123" s="147">
        <f>IF(t&lt;Tvie,1-EXP((T0-t)*PertePVj)+'2021'!Pspv,1-EXP((T0-t)*PertePVj)+Pspv)</f>
        <v>2.264185888615633E-2</v>
      </c>
      <c r="M123" s="832"/>
      <c r="N123" s="832"/>
      <c r="O123" s="48">
        <f>IF(t&lt;Tnet,'2021'!Resal+('2021'!Salim-'2021'!Resal)*(1-EXP(('2021'!Tnet-t)/('2021'!Tau_j))),Resal+(Salim-Resal)*(1-EXP((Tnet-t)/(Tau_j))))*Salcycl</f>
        <v>8.3026865889374579E-2</v>
      </c>
      <c r="P123" s="169">
        <f>(INDEX(Models!$BJ123:$BT123,,T123)*(1-R123)+INDEX(Models!$BJ123:$BT123,,T123+1)*R123-ERP_i)*Q123*Ramure*Pc/MaxiM</f>
        <v>1.4498955926634564E-3</v>
      </c>
      <c r="Q123" s="304">
        <f t="shared" si="28"/>
        <v>0.7</v>
      </c>
      <c r="R123" s="177">
        <f t="shared" si="29"/>
        <v>0.97634202276546633</v>
      </c>
      <c r="S123" s="799">
        <f t="shared" si="30"/>
        <v>-1</v>
      </c>
      <c r="T123" s="176">
        <f t="shared" si="31"/>
        <v>5</v>
      </c>
      <c r="U123" s="250">
        <f t="shared" si="32"/>
        <v>-2.3657977234533681E-2</v>
      </c>
      <c r="V123" s="382">
        <f t="shared" si="33"/>
        <v>53.07568740889527</v>
      </c>
      <c r="W123" s="400">
        <f t="shared" si="34"/>
        <v>0</v>
      </c>
      <c r="X123" s="157">
        <f t="shared" si="35"/>
        <v>44670</v>
      </c>
      <c r="Y123" s="383">
        <f t="shared" si="36"/>
        <v>9.141</v>
      </c>
      <c r="Z123" s="383">
        <f t="shared" si="37"/>
        <v>9.3527639618190346</v>
      </c>
      <c r="AA123" s="384">
        <f t="shared" si="38"/>
        <v>10.199605216231667</v>
      </c>
      <c r="AB123" s="197">
        <f t="shared" si="39"/>
        <v>44670</v>
      </c>
      <c r="AC123" s="119">
        <f>IF(OR(t&lt;Tnet,NoTnet),'2021'!Resal_s+('2021'!Salim-'2021'!Resal_s)*(1-EXP(('2021'!Tnet_s-t)/'2021'!Tau_j)),Resal_s+(Salim-Resal_s)*(1-EXP((Tnet_s-t)/Tau_j)))*Salcycl</f>
        <v>8.3026865889374579E-2</v>
      </c>
      <c r="AD123" s="230">
        <f>(INDEX(Models!$BJ123:$BT123,,AH123)*(1-AF123)+INDEX(Models!$BJ123:$BT123,,AH123+1)*AF123-ERP_i)*AE123*Ramure*Pc/MaxiM</f>
        <v>1.5682182829949731E-3</v>
      </c>
      <c r="AE123" s="304">
        <f t="shared" si="40"/>
        <v>0.7</v>
      </c>
      <c r="AF123" s="177">
        <f t="shared" si="41"/>
        <v>4.0674245025298469E-2</v>
      </c>
      <c r="AG123" s="799">
        <f t="shared" si="49"/>
        <v>0</v>
      </c>
      <c r="AH123" s="176">
        <f t="shared" si="42"/>
        <v>6</v>
      </c>
      <c r="AI123" s="224">
        <f t="shared" si="43"/>
        <v>4.0674245025298469E-2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44671</v>
      </c>
      <c r="B124" s="1147">
        <v>9.4130000000000003</v>
      </c>
      <c r="C124" s="388"/>
      <c r="D124" s="391">
        <f t="shared" si="25"/>
        <v>9.6312498003313252</v>
      </c>
      <c r="E124" s="383">
        <f t="shared" si="47"/>
        <v>10.505465312781634</v>
      </c>
      <c r="F124" s="383">
        <f t="shared" si="26"/>
        <v>10.505465312781634</v>
      </c>
      <c r="G124" s="110">
        <f t="shared" si="48"/>
        <v>0.17670608600395163</v>
      </c>
      <c r="H124" s="412" t="b">
        <f>Wh_hp&gt;='2021'!Maxi_hp</f>
        <v>0</v>
      </c>
      <c r="I124" s="379">
        <f>IF(H124,Wh_hp,'2021'!Maxi_hp)</f>
        <v>54.37744314192939</v>
      </c>
      <c r="J124" s="85">
        <f>IF(H124,An,'2021'!An_max)</f>
        <v>2018</v>
      </c>
      <c r="K124" s="197">
        <f t="shared" si="27"/>
        <v>44671</v>
      </c>
      <c r="L124" s="147">
        <f>IF(t&lt;Tvie,1-EXP((T0-t)*PertePVj)+'2021'!Pspv,1-EXP((T0-t)*PertePVj)+Pspv)</f>
        <v>2.2660589731959502E-2</v>
      </c>
      <c r="M124" s="832"/>
      <c r="N124" s="832"/>
      <c r="O124" s="48">
        <f>IF(t&lt;Tnet,'2021'!Resal+('2021'!Salim-'2021'!Resal)*(1-EXP(('2021'!Tnet-t)/('2021'!Tau_j))),Resal+(Salim-Resal)*(1-EXP((Tnet-t)/(Tau_j))))*Salcycl</f>
        <v>8.3215306168940545E-2</v>
      </c>
      <c r="P124" s="169">
        <f>(INDEX(Models!$BJ124:$BT124,,T124)*(1-R124)+INDEX(Models!$BJ124:$BT124,,T124+1)*R124-ERP_i)*Q124*Ramure*Pc/MaxiM</f>
        <v>1.4287173828250494E-3</v>
      </c>
      <c r="Q124" s="304">
        <f t="shared" si="28"/>
        <v>0.7</v>
      </c>
      <c r="R124" s="177">
        <f t="shared" si="29"/>
        <v>0.97792206654840164</v>
      </c>
      <c r="S124" s="799">
        <f t="shared" si="30"/>
        <v>-1</v>
      </c>
      <c r="T124" s="176">
        <f t="shared" si="31"/>
        <v>5</v>
      </c>
      <c r="U124" s="250">
        <f t="shared" si="32"/>
        <v>-2.2077933451598308E-2</v>
      </c>
      <c r="V124" s="382">
        <f t="shared" si="33"/>
        <v>53.193139499820454</v>
      </c>
      <c r="W124" s="400">
        <f t="shared" si="34"/>
        <v>0</v>
      </c>
      <c r="X124" s="157">
        <f t="shared" si="35"/>
        <v>44671</v>
      </c>
      <c r="Y124" s="383">
        <f t="shared" si="36"/>
        <v>9.4130000000000003</v>
      </c>
      <c r="Z124" s="383">
        <f t="shared" si="37"/>
        <v>9.6312498003313252</v>
      </c>
      <c r="AA124" s="384">
        <f t="shared" si="38"/>
        <v>10.505465312781634</v>
      </c>
      <c r="AB124" s="197">
        <f t="shared" si="39"/>
        <v>44671</v>
      </c>
      <c r="AC124" s="119">
        <f>IF(OR(t&lt;Tnet,NoTnet),'2021'!Resal_s+('2021'!Salim-'2021'!Resal_s)*(1-EXP(('2021'!Tnet_s-t)/'2021'!Tau_j)),Resal_s+(Salim-Resal_s)*(1-EXP((Tnet_s-t)/Tau_j)))*Salcycl</f>
        <v>8.3215306168940545E-2</v>
      </c>
      <c r="AD124" s="230">
        <f>(INDEX(Models!$BJ124:$BT124,,AH124)*(1-AF124)+INDEX(Models!$BJ124:$BT124,,AH124+1)*AF124-ERP_i)*AE124*Ramure*Pc/MaxiM</f>
        <v>1.5454314685715072E-3</v>
      </c>
      <c r="AE124" s="304">
        <f t="shared" si="40"/>
        <v>0.7</v>
      </c>
      <c r="AF124" s="177">
        <f t="shared" si="41"/>
        <v>4.2254288808233842E-2</v>
      </c>
      <c r="AG124" s="799">
        <f t="shared" si="49"/>
        <v>0</v>
      </c>
      <c r="AH124" s="176">
        <f t="shared" si="42"/>
        <v>6</v>
      </c>
      <c r="AI124" s="224">
        <f t="shared" si="43"/>
        <v>4.2254288808233842E-2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44672</v>
      </c>
      <c r="B125" s="1147">
        <v>8.6609999999999996</v>
      </c>
      <c r="C125" s="388"/>
      <c r="D125" s="391">
        <f t="shared" si="25"/>
        <v>8.8619837676400302</v>
      </c>
      <c r="E125" s="383">
        <f t="shared" si="47"/>
        <v>9.6683702312459534</v>
      </c>
      <c r="F125" s="383">
        <f t="shared" si="26"/>
        <v>9.6683702312459534</v>
      </c>
      <c r="G125" s="110">
        <f t="shared" si="48"/>
        <v>0.16224886251400403</v>
      </c>
      <c r="H125" s="412" t="b">
        <f>Wh_hp&gt;='2021'!Maxi_hp</f>
        <v>0</v>
      </c>
      <c r="I125" s="379">
        <f>IF(H125,Wh_hp,'2021'!Maxi_hp)</f>
        <v>48.591897253026858</v>
      </c>
      <c r="J125" s="85">
        <f>IF(H125,An,'2021'!An_max)</f>
        <v>2021</v>
      </c>
      <c r="K125" s="197">
        <f t="shared" si="27"/>
        <v>44672</v>
      </c>
      <c r="L125" s="147">
        <f>IF(t&lt;Tvie,1-EXP((T0-t)*PertePVj)+'2021'!Pspv,1-EXP((T0-t)*PertePVj)+Pspv)</f>
        <v>2.2679320218790378E-2</v>
      </c>
      <c r="M125" s="832"/>
      <c r="N125" s="832"/>
      <c r="O125" s="48">
        <f>IF(t&lt;Tnet,'2021'!Resal+('2021'!Salim-'2021'!Resal)*(1-EXP(('2021'!Tnet-t)/('2021'!Tau_j))),Resal+(Salim-Resal)*(1-EXP((Tnet-t)/(Tau_j))))*Salcycl</f>
        <v>8.3404590879222612E-2</v>
      </c>
      <c r="P125" s="169">
        <f>(INDEX(Models!$BJ125:$BT125,,T125)*(1-R125)+INDEX(Models!$BJ125:$BT125,,T125+1)*R125-ERP_i)*Q125*Ramure*Pc/MaxiM</f>
        <v>1.4127708021285192E-3</v>
      </c>
      <c r="Q125" s="304">
        <f t="shared" si="28"/>
        <v>0.7</v>
      </c>
      <c r="R125" s="177">
        <f t="shared" si="29"/>
        <v>0.97955364340078011</v>
      </c>
      <c r="S125" s="799">
        <f t="shared" si="30"/>
        <v>-1</v>
      </c>
      <c r="T125" s="176">
        <f t="shared" si="31"/>
        <v>5</v>
      </c>
      <c r="U125" s="250">
        <f t="shared" si="32"/>
        <v>-2.044635659921986E-2</v>
      </c>
      <c r="V125" s="382">
        <f t="shared" si="33"/>
        <v>53.305544692717163</v>
      </c>
      <c r="W125" s="400">
        <f t="shared" si="34"/>
        <v>0</v>
      </c>
      <c r="X125" s="157">
        <f t="shared" si="35"/>
        <v>44672</v>
      </c>
      <c r="Y125" s="383">
        <f t="shared" si="36"/>
        <v>8.6609999999999996</v>
      </c>
      <c r="Z125" s="383">
        <f t="shared" si="37"/>
        <v>8.8619837676400302</v>
      </c>
      <c r="AA125" s="384">
        <f t="shared" si="38"/>
        <v>9.6683702312459534</v>
      </c>
      <c r="AB125" s="197">
        <f t="shared" si="39"/>
        <v>44672</v>
      </c>
      <c r="AC125" s="119">
        <f>IF(OR(t&lt;Tnet,NoTnet),'2021'!Resal_s+('2021'!Salim-'2021'!Resal_s)*(1-EXP(('2021'!Tnet_s-t)/'2021'!Tau_j)),Resal_s+(Salim-Resal_s)*(1-EXP((Tnet_s-t)/Tau_j)))*Salcycl</f>
        <v>8.3404590879222612E-2</v>
      </c>
      <c r="AD125" s="230">
        <f>(INDEX(Models!$BJ125:$BT125,,AH125)*(1-AF125)+INDEX(Models!$BJ125:$BT125,,AH125+1)*AF125-ERP_i)*AE125*Ramure*Pc/MaxiM</f>
        <v>1.5281209364708692E-3</v>
      </c>
      <c r="AE125" s="304">
        <f t="shared" si="40"/>
        <v>0.7</v>
      </c>
      <c r="AF125" s="177">
        <f t="shared" si="41"/>
        <v>4.388586566061229E-2</v>
      </c>
      <c r="AG125" s="799">
        <f t="shared" si="49"/>
        <v>0</v>
      </c>
      <c r="AH125" s="176">
        <f t="shared" si="42"/>
        <v>6</v>
      </c>
      <c r="AI125" s="224">
        <f t="shared" si="43"/>
        <v>4.388586566061229E-2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44673</v>
      </c>
      <c r="B126" s="1147">
        <v>26.741</v>
      </c>
      <c r="C126" s="388"/>
      <c r="D126" s="391">
        <f t="shared" si="25"/>
        <v>27.362065541243641</v>
      </c>
      <c r="E126" s="383">
        <f t="shared" si="47"/>
        <v>29.858040469776057</v>
      </c>
      <c r="F126" s="383">
        <f t="shared" si="26"/>
        <v>29.870044654568773</v>
      </c>
      <c r="G126" s="110">
        <f t="shared" si="48"/>
        <v>0.50014406267701039</v>
      </c>
      <c r="H126" s="412" t="b">
        <f>Wh_hp&gt;='2021'!Maxi_hp</f>
        <v>0</v>
      </c>
      <c r="I126" s="379">
        <f>IF(H126,Wh_hp,'2021'!Maxi_hp)</f>
        <v>56.763007267600109</v>
      </c>
      <c r="J126" s="85">
        <f>IF(H126,An,'2021'!An_max)</f>
        <v>2021</v>
      </c>
      <c r="K126" s="197">
        <f t="shared" si="27"/>
        <v>44673</v>
      </c>
      <c r="L126" s="147">
        <f>IF(t&lt;Tvie,1-EXP((T0-t)*PertePVj)+'2021'!Pspv,1-EXP((T0-t)*PertePVj)+Pspv)</f>
        <v>2.2698050346655729E-2</v>
      </c>
      <c r="M126" s="832"/>
      <c r="N126" s="832"/>
      <c r="O126" s="48">
        <f>IF(t&lt;Tnet,'2021'!Resal+('2021'!Salim-'2021'!Resal)*(1-EXP(('2021'!Tnet-t)/('2021'!Tau_j))),Resal+(Salim-Resal)*(1-EXP((Tnet-t)/(Tau_j))))*Salcycl</f>
        <v>8.3594733253140915E-2</v>
      </c>
      <c r="P126" s="169">
        <f>(INDEX(Models!$BJ126:$BT126,,T126)*(1-R126)+INDEX(Models!$BJ126:$BT126,,T126+1)*R126-ERP_i)*Q126*Ramure*Pc/MaxiM</f>
        <v>1.4020596840522126E-3</v>
      </c>
      <c r="Q126" s="304">
        <f t="shared" si="28"/>
        <v>0.7</v>
      </c>
      <c r="R126" s="177">
        <f t="shared" si="29"/>
        <v>0.98123787023828613</v>
      </c>
      <c r="S126" s="799">
        <f t="shared" si="30"/>
        <v>-1</v>
      </c>
      <c r="T126" s="176">
        <f t="shared" si="31"/>
        <v>5</v>
      </c>
      <c r="U126" s="250">
        <f t="shared" si="32"/>
        <v>-1.8762129761713896E-2</v>
      </c>
      <c r="V126" s="382">
        <f t="shared" si="33"/>
        <v>53.413097236861319</v>
      </c>
      <c r="W126" s="400">
        <f t="shared" si="34"/>
        <v>0</v>
      </c>
      <c r="X126" s="157">
        <f t="shared" si="35"/>
        <v>44673</v>
      </c>
      <c r="Y126" s="383">
        <f t="shared" si="36"/>
        <v>26.74012413439965</v>
      </c>
      <c r="Z126" s="383">
        <f t="shared" si="37"/>
        <v>27.361169333474219</v>
      </c>
      <c r="AA126" s="384">
        <f t="shared" si="38"/>
        <v>29.857062509694483</v>
      </c>
      <c r="AB126" s="197">
        <f t="shared" si="39"/>
        <v>44673</v>
      </c>
      <c r="AC126" s="119">
        <f>IF(OR(t&lt;Tnet,NoTnet),'2021'!Resal_s+('2021'!Salim-'2021'!Resal_s)*(1-EXP(('2021'!Tnet_s-t)/'2021'!Tau_j)),Resal_s+(Salim-Resal_s)*(1-EXP((Tnet_s-t)/Tau_j)))*Salcycl</f>
        <v>8.3594733253140915E-2</v>
      </c>
      <c r="AD126" s="230">
        <f>(INDEX(Models!$BJ126:$BT126,,AH126)*(1-AF126)+INDEX(Models!$BJ126:$BT126,,AH126+1)*AF126-ERP_i)*AE126*Ramure*Pc/MaxiM</f>
        <v>1.5162830508748028E-3</v>
      </c>
      <c r="AE126" s="304">
        <f t="shared" si="40"/>
        <v>0.7</v>
      </c>
      <c r="AF126" s="177">
        <f t="shared" si="41"/>
        <v>4.5570092498118255E-2</v>
      </c>
      <c r="AG126" s="799">
        <f t="shared" si="49"/>
        <v>0</v>
      </c>
      <c r="AH126" s="176">
        <f t="shared" si="42"/>
        <v>6</v>
      </c>
      <c r="AI126" s="224">
        <f t="shared" si="43"/>
        <v>4.5570092498118255E-2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44674</v>
      </c>
      <c r="B127" s="1147">
        <v>9.15</v>
      </c>
      <c r="C127" s="388"/>
      <c r="D127" s="391">
        <f t="shared" si="25"/>
        <v>9.3626901739722648</v>
      </c>
      <c r="E127" s="383">
        <f t="shared" si="47"/>
        <v>10.218887252724357</v>
      </c>
      <c r="F127" s="383">
        <f t="shared" si="26"/>
        <v>10.218887252724357</v>
      </c>
      <c r="G127" s="110">
        <f t="shared" si="48"/>
        <v>0.17073814700838827</v>
      </c>
      <c r="H127" s="412" t="b">
        <f>Wh_hp&gt;='2021'!Maxi_hp</f>
        <v>0</v>
      </c>
      <c r="I127" s="379">
        <f>IF(H127,Wh_hp,'2021'!Maxi_hp)</f>
        <v>60.533577473745396</v>
      </c>
      <c r="J127" s="85">
        <f>IF(H127,An,'2021'!An_max)</f>
        <v>2021</v>
      </c>
      <c r="K127" s="197">
        <f t="shared" si="27"/>
        <v>44674</v>
      </c>
      <c r="L127" s="147">
        <f>IF(t&lt;Tvie,1-EXP((T0-t)*PertePVj)+'2021'!Pspv,1-EXP((T0-t)*PertePVj)+Pspv)</f>
        <v>2.2716780115562329E-2</v>
      </c>
      <c r="M127" s="832"/>
      <c r="N127" s="832"/>
      <c r="O127" s="48">
        <f>IF(t&lt;Tnet,'2021'!Resal+('2021'!Salim-'2021'!Resal)*(1-EXP(('2021'!Tnet-t)/('2021'!Tau_j))),Resal+(Salim-Resal)*(1-EXP((Tnet-t)/(Tau_j))))*Salcycl</f>
        <v>8.3785744727130726E-2</v>
      </c>
      <c r="P127" s="169">
        <f>(INDEX(Models!$BJ127:$BT127,,T127)*(1-R127)+INDEX(Models!$BJ127:$BT127,,T127+1)*R127-ERP_i)*Q127*Ramure*Pc/MaxiM</f>
        <v>1.3965899952537292E-3</v>
      </c>
      <c r="Q127" s="304">
        <f t="shared" si="28"/>
        <v>0.7</v>
      </c>
      <c r="R127" s="177">
        <f t="shared" si="29"/>
        <v>0.98297584544151284</v>
      </c>
      <c r="S127" s="799">
        <f t="shared" si="30"/>
        <v>-1</v>
      </c>
      <c r="T127" s="176">
        <f t="shared" si="31"/>
        <v>5</v>
      </c>
      <c r="U127" s="250">
        <f t="shared" si="32"/>
        <v>-1.7024154558487187E-2</v>
      </c>
      <c r="V127" s="382">
        <f t="shared" si="33"/>
        <v>53.515991368317486</v>
      </c>
      <c r="W127" s="400">
        <f t="shared" si="34"/>
        <v>0</v>
      </c>
      <c r="X127" s="157">
        <f t="shared" si="35"/>
        <v>44674</v>
      </c>
      <c r="Y127" s="383">
        <f t="shared" si="36"/>
        <v>9.15</v>
      </c>
      <c r="Z127" s="383">
        <f t="shared" si="37"/>
        <v>9.3626901739722648</v>
      </c>
      <c r="AA127" s="384">
        <f t="shared" si="38"/>
        <v>10.218887252724357</v>
      </c>
      <c r="AB127" s="197">
        <f t="shared" si="39"/>
        <v>44674</v>
      </c>
      <c r="AC127" s="119">
        <f>IF(OR(t&lt;Tnet,NoTnet),'2021'!Resal_s+('2021'!Salim-'2021'!Resal_s)*(1-EXP(('2021'!Tnet_s-t)/'2021'!Tau_j)),Resal_s+(Salim-Resal_s)*(1-EXP((Tnet_s-t)/Tau_j)))*Salcycl</f>
        <v>8.3785744727130726E-2</v>
      </c>
      <c r="AD127" s="230">
        <f>(INDEX(Models!$BJ127:$BT127,,AH127)*(1-AF127)+INDEX(Models!$BJ127:$BT127,,AH127+1)*AF127-ERP_i)*AE127*Ramure*Pc/MaxiM</f>
        <v>1.5099159720190413E-3</v>
      </c>
      <c r="AE127" s="304">
        <f t="shared" si="40"/>
        <v>0.7</v>
      </c>
      <c r="AF127" s="177">
        <f t="shared" si="41"/>
        <v>4.7308067701344964E-2</v>
      </c>
      <c r="AG127" s="799">
        <f t="shared" si="49"/>
        <v>0</v>
      </c>
      <c r="AH127" s="176">
        <f t="shared" si="42"/>
        <v>6</v>
      </c>
      <c r="AI127" s="224">
        <f t="shared" si="43"/>
        <v>4.7308067701344964E-2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44675</v>
      </c>
      <c r="B128" s="1147">
        <v>25.954000000000001</v>
      </c>
      <c r="C128" s="388"/>
      <c r="D128" s="391">
        <f t="shared" si="25"/>
        <v>26.55780523387152</v>
      </c>
      <c r="E128" s="383">
        <f t="shared" si="47"/>
        <v>28.992529270357053</v>
      </c>
      <c r="F128" s="383">
        <f t="shared" si="26"/>
        <v>29.003147367388284</v>
      </c>
      <c r="G128" s="110">
        <f t="shared" si="48"/>
        <v>0.48358725124304147</v>
      </c>
      <c r="H128" s="412" t="b">
        <f>Wh_hp&gt;='2021'!Maxi_hp</f>
        <v>0</v>
      </c>
      <c r="I128" s="379">
        <f>IF(H128,Wh_hp,'2021'!Maxi_hp)</f>
        <v>61.221202275533329</v>
      </c>
      <c r="J128" s="85">
        <f>IF(H128,An,'2021'!An_max)</f>
        <v>2021</v>
      </c>
      <c r="K128" s="197">
        <f t="shared" si="27"/>
        <v>44675</v>
      </c>
      <c r="L128" s="147">
        <f>IF(t&lt;Tvie,1-EXP((T0-t)*PertePVj)+'2021'!Pspv,1-EXP((T0-t)*PertePVj)+Pspv)</f>
        <v>2.2735509525517283E-2</v>
      </c>
      <c r="M128" s="832"/>
      <c r="N128" s="832"/>
      <c r="O128" s="48">
        <f>IF(t&lt;Tnet,'2021'!Resal+('2021'!Salim-'2021'!Resal)*(1-EXP(('2021'!Tnet-t)/('2021'!Tau_j))),Resal+(Salim-Resal)*(1-EXP((Tnet-t)/(Tau_j))))*Salcycl</f>
        <v>8.3977634851433114E-2</v>
      </c>
      <c r="P128" s="169">
        <f>(INDEX(Models!$BJ128:$BT128,,T128)*(1-R128)+INDEX(Models!$BJ128:$BT128,,T128+1)*R128-ERP_i)*Q128*Ramure*Pc/MaxiM</f>
        <v>1.3921411424430267E-3</v>
      </c>
      <c r="Q128" s="304">
        <f t="shared" si="28"/>
        <v>0.7</v>
      </c>
      <c r="R128" s="177">
        <f t="shared" si="29"/>
        <v>0.98476864495077798</v>
      </c>
      <c r="S128" s="799">
        <f t="shared" si="30"/>
        <v>-1</v>
      </c>
      <c r="T128" s="176">
        <f t="shared" si="31"/>
        <v>5</v>
      </c>
      <c r="U128" s="250">
        <f t="shared" si="32"/>
        <v>-1.5231355049221983E-2</v>
      </c>
      <c r="V128" s="382">
        <f t="shared" si="33"/>
        <v>53.61464833661973</v>
      </c>
      <c r="W128" s="400">
        <f t="shared" si="34"/>
        <v>0</v>
      </c>
      <c r="X128" s="157">
        <f t="shared" si="35"/>
        <v>44675</v>
      </c>
      <c r="Y128" s="383">
        <f t="shared" si="36"/>
        <v>25.953231055603627</v>
      </c>
      <c r="Z128" s="383">
        <f t="shared" si="37"/>
        <v>26.557018400415615</v>
      </c>
      <c r="AA128" s="384">
        <f t="shared" si="38"/>
        <v>28.99167030284071</v>
      </c>
      <c r="AB128" s="197">
        <f t="shared" si="39"/>
        <v>44675</v>
      </c>
      <c r="AC128" s="119">
        <f>IF(OR(t&lt;Tnet,NoTnet),'2021'!Resal_s+('2021'!Salim-'2021'!Resal_s)*(1-EXP(('2021'!Tnet_s-t)/'2021'!Tau_j)),Resal_s+(Salim-Resal_s)*(1-EXP((Tnet_s-t)/Tau_j)))*Salcycl</f>
        <v>8.3977634851433114E-2</v>
      </c>
      <c r="AD128" s="230">
        <f>(INDEX(Models!$BJ128:$BT128,,AH128)*(1-AF128)+INDEX(Models!$BJ128:$BT128,,AH128+1)*AF128-ERP_i)*AE128*Ramure*Pc/MaxiM</f>
        <v>1.5047605709538506E-3</v>
      </c>
      <c r="AE128" s="304">
        <f t="shared" si="40"/>
        <v>0.7</v>
      </c>
      <c r="AF128" s="177">
        <f t="shared" si="41"/>
        <v>4.9100867210610168E-2</v>
      </c>
      <c r="AG128" s="799">
        <f t="shared" si="49"/>
        <v>0</v>
      </c>
      <c r="AH128" s="176">
        <f t="shared" si="42"/>
        <v>6</v>
      </c>
      <c r="AI128" s="224">
        <f t="shared" si="43"/>
        <v>4.9100867210610168E-2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44676</v>
      </c>
      <c r="B129" s="1147">
        <v>40.936999999999998</v>
      </c>
      <c r="C129" s="388"/>
      <c r="D129" s="391">
        <f t="shared" si="25"/>
        <v>41.890179129936037</v>
      </c>
      <c r="E129" s="383">
        <f t="shared" si="47"/>
        <v>45.740146029507677</v>
      </c>
      <c r="F129" s="383">
        <f t="shared" si="26"/>
        <v>45.782012586504571</v>
      </c>
      <c r="G129" s="110">
        <f t="shared" si="48"/>
        <v>0.76183446359105567</v>
      </c>
      <c r="H129" s="412" t="b">
        <f>Wh_hp&gt;='2021'!Maxi_hp</f>
        <v>0</v>
      </c>
      <c r="I129" s="379">
        <f>IF(H129,Wh_hp,'2021'!Maxi_hp)</f>
        <v>49.231227193041249</v>
      </c>
      <c r="J129" s="85">
        <f>IF(H129,An,'2021'!An_max)</f>
        <v>2020</v>
      </c>
      <c r="K129" s="197">
        <f t="shared" si="27"/>
        <v>44676</v>
      </c>
      <c r="L129" s="147">
        <f>IF(t&lt;Tvie,1-EXP((T0-t)*PertePVj)+'2021'!Pspv,1-EXP((T0-t)*PertePVj)+Pspv)</f>
        <v>2.2754238576527475E-2</v>
      </c>
      <c r="M129" s="832"/>
      <c r="N129" s="832"/>
      <c r="O129" s="48">
        <f>IF(t&lt;Tnet,'2021'!Resal+('2021'!Salim-'2021'!Resal)*(1-EXP(('2021'!Tnet-t)/('2021'!Tau_j))),Resal+(Salim-Resal)*(1-EXP((Tnet-t)/(Tau_j))))*Salcycl</f>
        <v>8.4170411198249528E-2</v>
      </c>
      <c r="P129" s="169">
        <f>(INDEX(Models!$BJ129:$BT129,,T129)*(1-R129)+INDEX(Models!$BJ129:$BT129,,T129+1)*R129-ERP_i)*Q129*Ramure*Pc/MaxiM</f>
        <v>1.3849900502910576E-3</v>
      </c>
      <c r="Q129" s="304">
        <f t="shared" si="28"/>
        <v>0.7</v>
      </c>
      <c r="R129" s="177">
        <f t="shared" si="29"/>
        <v>0.98661731815475073</v>
      </c>
      <c r="S129" s="799">
        <f t="shared" si="30"/>
        <v>-1</v>
      </c>
      <c r="T129" s="176">
        <f t="shared" si="31"/>
        <v>5</v>
      </c>
      <c r="U129" s="250">
        <f t="shared" si="32"/>
        <v>-1.3382681845249308E-2</v>
      </c>
      <c r="V129" s="382">
        <f t="shared" si="33"/>
        <v>53.70946432104045</v>
      </c>
      <c r="W129" s="400">
        <f t="shared" si="34"/>
        <v>0</v>
      </c>
      <c r="X129" s="157">
        <f t="shared" si="35"/>
        <v>44676</v>
      </c>
      <c r="Y129" s="383">
        <f t="shared" si="36"/>
        <v>40.933966413775856</v>
      </c>
      <c r="Z129" s="383">
        <f t="shared" si="37"/>
        <v>41.887074909540416</v>
      </c>
      <c r="AA129" s="384">
        <f t="shared" si="38"/>
        <v>45.7367565120324</v>
      </c>
      <c r="AB129" s="197">
        <f t="shared" si="39"/>
        <v>44676</v>
      </c>
      <c r="AC129" s="119">
        <f>IF(OR(t&lt;Tnet,NoTnet),'2021'!Resal_s+('2021'!Salim-'2021'!Resal_s)*(1-EXP(('2021'!Tnet_s-t)/'2021'!Tau_j)),Resal_s+(Salim-Resal_s)*(1-EXP((Tnet_s-t)/Tau_j)))*Salcycl</f>
        <v>8.4170411198249528E-2</v>
      </c>
      <c r="AD129" s="230">
        <f>(INDEX(Models!$BJ129:$BT129,,AH129)*(1-AF129)+INDEX(Models!$BJ129:$BT129,,AH129+1)*AF129-ERP_i)*AE129*Ramure*Pc/MaxiM</f>
        <v>1.497118878532227E-3</v>
      </c>
      <c r="AE129" s="304">
        <f t="shared" si="40"/>
        <v>0.7</v>
      </c>
      <c r="AF129" s="177">
        <f t="shared" si="41"/>
        <v>5.0949540414582842E-2</v>
      </c>
      <c r="AG129" s="799">
        <f t="shared" si="49"/>
        <v>0</v>
      </c>
      <c r="AH129" s="176">
        <f t="shared" si="42"/>
        <v>6</v>
      </c>
      <c r="AI129" s="224">
        <f t="shared" si="43"/>
        <v>5.0949540414582842E-2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44677</v>
      </c>
      <c r="B130" s="1147">
        <v>52.542999999999999</v>
      </c>
      <c r="C130" s="388"/>
      <c r="D130" s="391">
        <f t="shared" si="25"/>
        <v>53.767444247975398</v>
      </c>
      <c r="E130" s="383">
        <f t="shared" si="47"/>
        <v>58.721423035699289</v>
      </c>
      <c r="F130" s="383">
        <f t="shared" si="26"/>
        <v>58.799579012279175</v>
      </c>
      <c r="G130" s="110">
        <f t="shared" si="48"/>
        <v>0.97657920808238241</v>
      </c>
      <c r="H130" s="412" t="b">
        <f>Wh_hp&gt;='2021'!Maxi_hp</f>
        <v>1</v>
      </c>
      <c r="I130" s="379">
        <f>IF(H130,Wh_hp,'2021'!Maxi_hp)</f>
        <v>58.799579012279175</v>
      </c>
      <c r="J130" s="85">
        <f>IF(H130,An,'2021'!An_max)</f>
        <v>2022</v>
      </c>
      <c r="K130" s="197">
        <f t="shared" si="27"/>
        <v>44677</v>
      </c>
      <c r="L130" s="147">
        <f>IF(t&lt;Tvie,1-EXP((T0-t)*PertePVj)+'2021'!Pspv,1-EXP((T0-t)*PertePVj)+Pspv)</f>
        <v>2.2772967268599564E-2</v>
      </c>
      <c r="M130" s="832"/>
      <c r="N130" s="832"/>
      <c r="O130" s="48">
        <f>IF(t&lt;Tnet,'2021'!Resal+('2021'!Salim-'2021'!Resal)*(1-EXP(('2021'!Tnet-t)/('2021'!Tau_j))),Resal+(Salim-Resal)*(1-EXP((Tnet-t)/(Tau_j))))*Salcycl</f>
        <v>8.4364079268176961E-2</v>
      </c>
      <c r="P130" s="169">
        <f>(INDEX(Models!$BJ130:$BT130,,T130)*(1-R130)+INDEX(Models!$BJ130:$BT130,,T130+1)*R130-ERP_i)*Q130*Ramure*Pc/MaxiM</f>
        <v>1.3751134988042298E-3</v>
      </c>
      <c r="Q130" s="304">
        <f t="shared" si="28"/>
        <v>0.7</v>
      </c>
      <c r="R130" s="177">
        <f t="shared" si="29"/>
        <v>0.98852288357703788</v>
      </c>
      <c r="S130" s="799">
        <f t="shared" si="30"/>
        <v>-1</v>
      </c>
      <c r="T130" s="176">
        <f t="shared" si="31"/>
        <v>5</v>
      </c>
      <c r="U130" s="250">
        <f t="shared" si="32"/>
        <v>-1.147711642296214E-2</v>
      </c>
      <c r="V130" s="382">
        <f t="shared" si="33"/>
        <v>53.800637513158605</v>
      </c>
      <c r="W130" s="400">
        <f t="shared" si="34"/>
        <v>0</v>
      </c>
      <c r="X130" s="157">
        <f t="shared" si="35"/>
        <v>44677</v>
      </c>
      <c r="Y130" s="383">
        <f t="shared" si="36"/>
        <v>52.537309173136045</v>
      </c>
      <c r="Z130" s="383">
        <f t="shared" si="37"/>
        <v>53.761620804012686</v>
      </c>
      <c r="AA130" s="384">
        <f t="shared" si="38"/>
        <v>58.715063036237872</v>
      </c>
      <c r="AB130" s="197">
        <f t="shared" si="39"/>
        <v>44677</v>
      </c>
      <c r="AC130" s="119">
        <f>IF(OR(t&lt;Tnet,NoTnet),'2021'!Resal_s+('2021'!Salim-'2021'!Resal_s)*(1-EXP(('2021'!Tnet_s-t)/'2021'!Tau_j)),Resal_s+(Salim-Resal_s)*(1-EXP((Tnet_s-t)/Tau_j)))*Salcycl</f>
        <v>8.4364079268176961E-2</v>
      </c>
      <c r="AD130" s="230">
        <f>(INDEX(Models!$BJ130:$BT130,,AH130)*(1-AF130)+INDEX(Models!$BJ130:$BT130,,AH130+1)*AF130-ERP_i)*AE130*Ramure*Pc/MaxiM</f>
        <v>1.4870143603184659E-3</v>
      </c>
      <c r="AE130" s="304">
        <f t="shared" si="40"/>
        <v>0.7</v>
      </c>
      <c r="AF130" s="177">
        <f t="shared" si="41"/>
        <v>5.285510583687001E-2</v>
      </c>
      <c r="AG130" s="799">
        <f t="shared" si="49"/>
        <v>0</v>
      </c>
      <c r="AH130" s="176">
        <f t="shared" si="42"/>
        <v>6</v>
      </c>
      <c r="AI130" s="224">
        <f t="shared" si="43"/>
        <v>5.285510583687001E-2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44678</v>
      </c>
      <c r="B131" s="1147">
        <v>40.369</v>
      </c>
      <c r="C131" s="388"/>
      <c r="D131" s="391">
        <f t="shared" si="25"/>
        <v>41.310537188750381</v>
      </c>
      <c r="E131" s="383">
        <f t="shared" si="47"/>
        <v>45.126361012186969</v>
      </c>
      <c r="F131" s="383">
        <f t="shared" si="26"/>
        <v>45.165843898017897</v>
      </c>
      <c r="G131" s="110">
        <f t="shared" si="48"/>
        <v>0.74875660627756446</v>
      </c>
      <c r="H131" s="412" t="b">
        <f>Wh_hp&gt;='2021'!Maxi_hp</f>
        <v>1</v>
      </c>
      <c r="I131" s="379">
        <f>IF(H131,Wh_hp,'2021'!Maxi_hp)</f>
        <v>45.165843898017897</v>
      </c>
      <c r="J131" s="85">
        <f>IF(H131,An,'2021'!An_max)</f>
        <v>2022</v>
      </c>
      <c r="K131" s="197">
        <f t="shared" si="27"/>
        <v>44678</v>
      </c>
      <c r="L131" s="147">
        <f>IF(t&lt;Tvie,1-EXP((T0-t)*PertePVj)+'2021'!Pspv,1-EXP((T0-t)*PertePVj)+Pspv)</f>
        <v>2.2791695601740547E-2</v>
      </c>
      <c r="M131" s="832"/>
      <c r="N131" s="832"/>
      <c r="O131" s="48">
        <f>IF(t&lt;Tnet,'2021'!Resal+('2021'!Salim-'2021'!Resal)*(1-EXP(('2021'!Tnet-t)/('2021'!Tau_j))),Resal+(Salim-Resal)*(1-EXP((Tnet-t)/(Tau_j))))*Salcycl</f>
        <v>8.4558642395429831E-2</v>
      </c>
      <c r="P131" s="169">
        <f>(INDEX(Models!$BJ131:$BT131,,T131)*(1-R131)+INDEX(Models!$BJ131:$BT131,,T131+1)*R131-ERP_i)*Q131*Ramure*Pc/MaxiM</f>
        <v>1.3624851067629768E-3</v>
      </c>
      <c r="Q131" s="304">
        <f t="shared" si="28"/>
        <v>0.7</v>
      </c>
      <c r="R131" s="177">
        <f t="shared" si="29"/>
        <v>0.99048632436674577</v>
      </c>
      <c r="S131" s="799">
        <f t="shared" si="30"/>
        <v>-1</v>
      </c>
      <c r="T131" s="176">
        <f t="shared" si="31"/>
        <v>5</v>
      </c>
      <c r="U131" s="250">
        <f t="shared" si="32"/>
        <v>-9.5136756332541775E-3</v>
      </c>
      <c r="V131" s="382">
        <f t="shared" si="33"/>
        <v>53.888366198438597</v>
      </c>
      <c r="W131" s="400">
        <f t="shared" si="34"/>
        <v>0</v>
      </c>
      <c r="X131" s="157">
        <f t="shared" si="35"/>
        <v>44678</v>
      </c>
      <c r="Y131" s="383">
        <f t="shared" si="36"/>
        <v>40.366096937278208</v>
      </c>
      <c r="Z131" s="383">
        <f t="shared" si="37"/>
        <v>41.307566417105555</v>
      </c>
      <c r="AA131" s="384">
        <f t="shared" si="38"/>
        <v>45.123115832558419</v>
      </c>
      <c r="AB131" s="197">
        <f t="shared" si="39"/>
        <v>44678</v>
      </c>
      <c r="AC131" s="119">
        <f>IF(OR(t&lt;Tnet,NoTnet),'2021'!Resal_s+('2021'!Salim-'2021'!Resal_s)*(1-EXP(('2021'!Tnet_s-t)/'2021'!Tau_j)),Resal_s+(Salim-Resal_s)*(1-EXP((Tnet_s-t)/Tau_j)))*Salcycl</f>
        <v>8.4558642395429831E-2</v>
      </c>
      <c r="AD131" s="230">
        <f>(INDEX(Models!$BJ131:$BT131,,AH131)*(1-AF131)+INDEX(Models!$BJ131:$BT131,,AH131+1)*AF131-ERP_i)*AE131*Ramure*Pc/MaxiM</f>
        <v>1.4744705612103012E-3</v>
      </c>
      <c r="AE131" s="304">
        <f t="shared" si="40"/>
        <v>0.7</v>
      </c>
      <c r="AF131" s="177">
        <f t="shared" si="41"/>
        <v>5.4818546626577973E-2</v>
      </c>
      <c r="AG131" s="799">
        <f t="shared" si="49"/>
        <v>0</v>
      </c>
      <c r="AH131" s="176">
        <f t="shared" si="42"/>
        <v>6</v>
      </c>
      <c r="AI131" s="224">
        <f t="shared" si="43"/>
        <v>5.4818546626577973E-2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44679</v>
      </c>
      <c r="B132" s="1147">
        <v>22.645</v>
      </c>
      <c r="C132" s="388"/>
      <c r="D132" s="391">
        <f t="shared" si="25"/>
        <v>23.173599623184483</v>
      </c>
      <c r="E132" s="383">
        <f t="shared" si="47"/>
        <v>25.319533979910261</v>
      </c>
      <c r="F132" s="383">
        <f t="shared" si="26"/>
        <v>25.325360987982059</v>
      </c>
      <c r="G132" s="110">
        <f t="shared" si="48"/>
        <v>0.41909405324497545</v>
      </c>
      <c r="H132" s="412" t="b">
        <f>Wh_hp&gt;='2021'!Maxi_hp</f>
        <v>0</v>
      </c>
      <c r="I132" s="379">
        <f>IF(H132,Wh_hp,'2021'!Maxi_hp)</f>
        <v>40.022734639116834</v>
      </c>
      <c r="J132" s="85">
        <f>IF(H132,An,'2021'!An_max)</f>
        <v>2018</v>
      </c>
      <c r="K132" s="197">
        <f t="shared" si="27"/>
        <v>44679</v>
      </c>
      <c r="L132" s="147">
        <f>IF(t&lt;Tvie,1-EXP((T0-t)*PertePVj)+'2021'!Pspv,1-EXP((T0-t)*PertePVj)+Pspv)</f>
        <v>2.2810423575957306E-2</v>
      </c>
      <c r="M132" s="832"/>
      <c r="N132" s="832"/>
      <c r="O132" s="48">
        <f>IF(t&lt;Tnet,'2021'!Resal+('2021'!Salim-'2021'!Resal)*(1-EXP(('2021'!Tnet-t)/('2021'!Tau_j))),Resal+(Salim-Resal)*(1-EXP((Tnet-t)/(Tau_j))))*Salcycl</f>
        <v>8.4754101652442293E-2</v>
      </c>
      <c r="P132" s="169">
        <f>(INDEX(Models!$BJ132:$BT132,,T132)*(1-R132)+INDEX(Models!$BJ132:$BT132,,T132+1)*R132-ERP_i)*Q132*Ramure*Pc/MaxiM</f>
        <v>1.3470754078413437E-3</v>
      </c>
      <c r="Q132" s="304">
        <f t="shared" si="28"/>
        <v>0.7</v>
      </c>
      <c r="R132" s="177">
        <f t="shared" si="29"/>
        <v>0.99250858360104766</v>
      </c>
      <c r="S132" s="799">
        <f t="shared" si="30"/>
        <v>-1</v>
      </c>
      <c r="T132" s="176">
        <f t="shared" si="31"/>
        <v>5</v>
      </c>
      <c r="U132" s="250">
        <f t="shared" si="32"/>
        <v>-7.4914163989523302E-3</v>
      </c>
      <c r="V132" s="382">
        <f t="shared" si="33"/>
        <v>53.972848757716896</v>
      </c>
      <c r="W132" s="400">
        <f t="shared" si="34"/>
        <v>0</v>
      </c>
      <c r="X132" s="157">
        <f t="shared" si="35"/>
        <v>44679</v>
      </c>
      <c r="Y132" s="383">
        <f t="shared" si="36"/>
        <v>22.644565013888936</v>
      </c>
      <c r="Z132" s="383">
        <f t="shared" si="37"/>
        <v>23.173154483242797</v>
      </c>
      <c r="AA132" s="384">
        <f t="shared" si="38"/>
        <v>25.319047618876041</v>
      </c>
      <c r="AB132" s="197">
        <f t="shared" si="39"/>
        <v>44679</v>
      </c>
      <c r="AC132" s="119">
        <f>IF(OR(t&lt;Tnet,NoTnet),'2021'!Resal_s+('2021'!Salim-'2021'!Resal_s)*(1-EXP(('2021'!Tnet_s-t)/'2021'!Tau_j)),Resal_s+(Salim-Resal_s)*(1-EXP((Tnet_s-t)/Tau_j)))*Salcycl</f>
        <v>8.4754101652442293E-2</v>
      </c>
      <c r="AD132" s="230">
        <f>(INDEX(Models!$BJ132:$BT132,,AH132)*(1-AF132)+INDEX(Models!$BJ132:$BT132,,AH132+1)*AF132-ERP_i)*AE132*Ramure*Pc/MaxiM</f>
        <v>1.4595113235732274E-3</v>
      </c>
      <c r="AE132" s="304">
        <f t="shared" si="40"/>
        <v>0.7</v>
      </c>
      <c r="AF132" s="177">
        <f t="shared" si="41"/>
        <v>5.684080586087982E-2</v>
      </c>
      <c r="AG132" s="799">
        <f t="shared" si="49"/>
        <v>0</v>
      </c>
      <c r="AH132" s="176">
        <f t="shared" si="42"/>
        <v>6</v>
      </c>
      <c r="AI132" s="224">
        <f t="shared" si="43"/>
        <v>5.684080586087982E-2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44680</v>
      </c>
      <c r="B133" s="1147">
        <v>40.58</v>
      </c>
      <c r="C133" s="388"/>
      <c r="D133" s="391">
        <f t="shared" si="25"/>
        <v>41.528050135214905</v>
      </c>
      <c r="E133" s="383">
        <f t="shared" si="47"/>
        <v>45.383389780777335</v>
      </c>
      <c r="F133" s="383">
        <f t="shared" si="26"/>
        <v>45.422254956421824</v>
      </c>
      <c r="G133" s="110">
        <f t="shared" si="48"/>
        <v>0.75037125502001778</v>
      </c>
      <c r="H133" s="412" t="b">
        <f>Wh_hp&gt;='2021'!Maxi_hp</f>
        <v>0</v>
      </c>
      <c r="I133" s="379">
        <f>IF(H133,Wh_hp,'2021'!Maxi_hp)</f>
        <v>47.336974093030854</v>
      </c>
      <c r="J133" s="85">
        <f>IF(H133,An,'2021'!An_max)</f>
        <v>2018</v>
      </c>
      <c r="K133" s="197">
        <f t="shared" si="27"/>
        <v>44680</v>
      </c>
      <c r="L133" s="147">
        <f>IF(t&lt;Tvie,1-EXP((T0-t)*PertePVj)+'2021'!Pspv,1-EXP((T0-t)*PertePVj)+Pspv)</f>
        <v>2.2829151191256614E-2</v>
      </c>
      <c r="M133" s="832"/>
      <c r="N133" s="832"/>
      <c r="O133" s="48">
        <f>IF(t&lt;Tnet,'2021'!Resal+('2021'!Salim-'2021'!Resal)*(1-EXP(('2021'!Tnet-t)/('2021'!Tau_j))),Resal+(Salim-Resal)*(1-EXP((Tnet-t)/(Tau_j))))*Salcycl</f>
        <v>8.495045575452824E-2</v>
      </c>
      <c r="P133" s="169">
        <f>(INDEX(Models!$BJ133:$BT133,,T133)*(1-R133)+INDEX(Models!$BJ133:$BT133,,T133+1)*R133-ERP_i)*Q133*Ramure*Pc/MaxiM</f>
        <v>1.3288519311360262E-3</v>
      </c>
      <c r="Q133" s="304">
        <f t="shared" si="28"/>
        <v>0.7</v>
      </c>
      <c r="R133" s="177">
        <f t="shared" si="29"/>
        <v>0.99459055940995333</v>
      </c>
      <c r="S133" s="799">
        <f t="shared" si="30"/>
        <v>-1</v>
      </c>
      <c r="T133" s="176">
        <f t="shared" si="31"/>
        <v>5</v>
      </c>
      <c r="U133" s="250">
        <f t="shared" si="32"/>
        <v>-5.4094405900466658E-3</v>
      </c>
      <c r="V133" s="382">
        <f t="shared" si="33"/>
        <v>54.054283679970055</v>
      </c>
      <c r="W133" s="400">
        <f t="shared" si="34"/>
        <v>0</v>
      </c>
      <c r="X133" s="157">
        <f t="shared" si="35"/>
        <v>44680</v>
      </c>
      <c r="Y133" s="383">
        <f t="shared" si="36"/>
        <v>40.577036780349502</v>
      </c>
      <c r="Z133" s="383">
        <f t="shared" si="37"/>
        <v>41.525017687353703</v>
      </c>
      <c r="AA133" s="384">
        <f t="shared" si="38"/>
        <v>45.380075809550014</v>
      </c>
      <c r="AB133" s="197">
        <f t="shared" si="39"/>
        <v>44680</v>
      </c>
      <c r="AC133" s="119">
        <f>IF(OR(t&lt;Tnet,NoTnet),'2021'!Resal_s+('2021'!Salim-'2021'!Resal_s)*(1-EXP(('2021'!Tnet_s-t)/'2021'!Tau_j)),Resal_s+(Salim-Resal_s)*(1-EXP((Tnet_s-t)/Tau_j)))*Salcycl</f>
        <v>8.495045575452824E-2</v>
      </c>
      <c r="AD133" s="230">
        <f>(INDEX(Models!$BJ133:$BT133,,AH133)*(1-AF133)+INDEX(Models!$BJ133:$BT133,,AH133+1)*AF133-ERP_i)*AE133*Ramure*Pc/MaxiM</f>
        <v>1.4421610051880522E-3</v>
      </c>
      <c r="AE133" s="304">
        <f t="shared" si="40"/>
        <v>0.7</v>
      </c>
      <c r="AF133" s="177">
        <f t="shared" si="41"/>
        <v>5.8922781669785484E-2</v>
      </c>
      <c r="AG133" s="799">
        <f t="shared" si="49"/>
        <v>0</v>
      </c>
      <c r="AH133" s="176">
        <f t="shared" si="42"/>
        <v>6</v>
      </c>
      <c r="AI133" s="224">
        <f t="shared" si="43"/>
        <v>5.8922781669785484E-2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44681</v>
      </c>
      <c r="B134" s="1147">
        <v>38.582999999999998</v>
      </c>
      <c r="C134" s="388"/>
      <c r="D134" s="391">
        <f t="shared" si="25"/>
        <v>39.485151952292803</v>
      </c>
      <c r="E134" s="383">
        <f t="shared" si="47"/>
        <v>43.160138520674572</v>
      </c>
      <c r="F134" s="383">
        <f t="shared" si="26"/>
        <v>43.193445665519917</v>
      </c>
      <c r="G134" s="110">
        <f t="shared" si="48"/>
        <v>0.7123634539333692</v>
      </c>
      <c r="H134" s="412" t="b">
        <f>Wh_hp&gt;='2021'!Maxi_hp</f>
        <v>0</v>
      </c>
      <c r="I134" s="379">
        <f>IF(H134,Wh_hp,'2021'!Maxi_hp)</f>
        <v>57.134227383129591</v>
      </c>
      <c r="J134" s="85">
        <f>IF(H134,An,'2021'!An_max)</f>
        <v>2018</v>
      </c>
      <c r="K134" s="197">
        <f t="shared" si="27"/>
        <v>44681</v>
      </c>
      <c r="L134" s="147">
        <f>IF(t&lt;Tvie,1-EXP((T0-t)*PertePVj)+'2021'!Pspv,1-EXP((T0-t)*PertePVj)+Pspv)</f>
        <v>2.2847878447645575E-2</v>
      </c>
      <c r="M134" s="832"/>
      <c r="N134" s="832"/>
      <c r="O134" s="48">
        <f>IF(t&lt;Tnet,'2021'!Resal+('2021'!Salim-'2021'!Resal)*(1-EXP(('2021'!Tnet-t)/('2021'!Tau_j))),Resal+(Salim-Resal)*(1-EXP((Tnet-t)/(Tau_j))))*Salcycl</f>
        <v>8.5147700965356607E-2</v>
      </c>
      <c r="P134" s="169">
        <f>(INDEX(Models!$BJ134:$BT134,,T134)*(1-R134)+INDEX(Models!$BJ134:$BT134,,T134+1)*R134-ERP_i)*Q134*Ramure*Pc/MaxiM</f>
        <v>1.3077792879455409E-3</v>
      </c>
      <c r="Q134" s="304">
        <f t="shared" si="28"/>
        <v>0.7</v>
      </c>
      <c r="R134" s="177">
        <f t="shared" si="29"/>
        <v>0.99673309993577663</v>
      </c>
      <c r="S134" s="799">
        <f t="shared" si="30"/>
        <v>-1</v>
      </c>
      <c r="T134" s="176">
        <f t="shared" si="31"/>
        <v>5</v>
      </c>
      <c r="U134" s="250">
        <f t="shared" si="32"/>
        <v>-3.2669000642233659E-3</v>
      </c>
      <c r="V134" s="382">
        <f t="shared" si="33"/>
        <v>54.132869558963257</v>
      </c>
      <c r="W134" s="400">
        <f t="shared" si="34"/>
        <v>0</v>
      </c>
      <c r="X134" s="157">
        <f t="shared" si="35"/>
        <v>44681</v>
      </c>
      <c r="Y134" s="383">
        <f t="shared" si="36"/>
        <v>38.580389350667993</v>
      </c>
      <c r="Z134" s="383">
        <f t="shared" si="37"/>
        <v>39.482480260470794</v>
      </c>
      <c r="AA134" s="384">
        <f t="shared" si="38"/>
        <v>43.157218167493156</v>
      </c>
      <c r="AB134" s="197">
        <f t="shared" si="39"/>
        <v>44681</v>
      </c>
      <c r="AC134" s="119">
        <f>IF(OR(t&lt;Tnet,NoTnet),'2021'!Resal_s+('2021'!Salim-'2021'!Resal_s)*(1-EXP(('2021'!Tnet_s-t)/'2021'!Tau_j)),Resal_s+(Salim-Resal_s)*(1-EXP((Tnet_s-t)/Tau_j)))*Salcycl</f>
        <v>8.5147700965356607E-2</v>
      </c>
      <c r="AD134" s="230">
        <f>(INDEX(Models!$BJ134:$BT134,,AH134)*(1-AF134)+INDEX(Models!$BJ134:$BT134,,AH134+1)*AF134-ERP_i)*AE134*Ramure*Pc/MaxiM</f>
        <v>1.4224446974810078E-3</v>
      </c>
      <c r="AE134" s="304">
        <f t="shared" si="40"/>
        <v>0.7</v>
      </c>
      <c r="AF134" s="177">
        <f t="shared" si="41"/>
        <v>6.1065322195608784E-2</v>
      </c>
      <c r="AG134" s="799">
        <f t="shared" si="49"/>
        <v>0</v>
      </c>
      <c r="AH134" s="176">
        <f t="shared" si="42"/>
        <v>6</v>
      </c>
      <c r="AI134" s="224">
        <f t="shared" si="43"/>
        <v>6.1065322195608784E-2</v>
      </c>
      <c r="AJ134" s="264" t="b">
        <f t="shared" si="44"/>
        <v>1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44682</v>
      </c>
      <c r="B135" s="1147">
        <v>43.972999999999999</v>
      </c>
      <c r="C135" s="388"/>
      <c r="D135" s="391">
        <f t="shared" si="25"/>
        <v>45.002043979401186</v>
      </c>
      <c r="E135" s="383">
        <f t="shared" si="47"/>
        <v>49.201157666840047</v>
      </c>
      <c r="F135" s="383">
        <f t="shared" si="26"/>
        <v>49.247329766400526</v>
      </c>
      <c r="G135" s="110">
        <f t="shared" si="48"/>
        <v>0.81091058016749185</v>
      </c>
      <c r="H135" s="412" t="b">
        <f>Wh_hp&gt;='2021'!Maxi_hp</f>
        <v>0</v>
      </c>
      <c r="I135" s="379">
        <f>IF(H135,Wh_hp,'2021'!Maxi_hp)</f>
        <v>55.014185059625483</v>
      </c>
      <c r="J135" s="85">
        <f>IF(H135,An,'2021'!An_max)</f>
        <v>2018</v>
      </c>
      <c r="K135" s="197">
        <f t="shared" si="27"/>
        <v>44682</v>
      </c>
      <c r="L135" s="147">
        <f>IF(t&lt;Tvie,1-EXP((T0-t)*PertePVj)+'2021'!Pspv,1-EXP((T0-t)*PertePVj)+Pspv)</f>
        <v>2.2866605345130853E-2</v>
      </c>
      <c r="M135" s="832"/>
      <c r="N135" s="832"/>
      <c r="O135" s="48">
        <f>IF(t&lt;Tnet,'2021'!Resal+('2021'!Salim-'2021'!Resal)*(1-EXP(('2021'!Tnet-t)/('2021'!Tau_j))),Resal+(Salim-Resal)*(1-EXP((Tnet-t)/(Tau_j))))*Salcycl</f>
        <v>8.53458310040726E-2</v>
      </c>
      <c r="P135" s="169">
        <f>(INDEX(Models!$BJ135:$BT135,,T135)*(1-R135)+INDEX(Models!$BJ135:$BT135,,T135+1)*R135-ERP_i)*Q135*Ramure*Pc/MaxiM</f>
        <v>1.2838407064907273E-3</v>
      </c>
      <c r="Q135" s="304">
        <f t="shared" si="28"/>
        <v>0.7</v>
      </c>
      <c r="R135" s="177">
        <f t="shared" si="29"/>
        <v>0.99893699814222459</v>
      </c>
      <c r="S135" s="799">
        <f t="shared" si="30"/>
        <v>-1</v>
      </c>
      <c r="T135" s="176">
        <f t="shared" si="31"/>
        <v>5</v>
      </c>
      <c r="U135" s="250">
        <f t="shared" si="32"/>
        <v>-1.0630018577753725E-3</v>
      </c>
      <c r="V135" s="382">
        <f t="shared" si="33"/>
        <v>54.207898603368236</v>
      </c>
      <c r="W135" s="400">
        <f t="shared" si="34"/>
        <v>0</v>
      </c>
      <c r="X135" s="157">
        <f t="shared" si="35"/>
        <v>44682</v>
      </c>
      <c r="Y135" s="383">
        <f t="shared" si="36"/>
        <v>43.969253116052819</v>
      </c>
      <c r="Z135" s="383">
        <f t="shared" si="37"/>
        <v>44.998209411912576</v>
      </c>
      <c r="AA135" s="384">
        <f t="shared" si="38"/>
        <v>49.196965298162802</v>
      </c>
      <c r="AB135" s="197">
        <f t="shared" si="39"/>
        <v>44682</v>
      </c>
      <c r="AC135" s="119">
        <f>IF(OR(t&lt;Tnet,NoTnet),'2021'!Resal_s+('2021'!Salim-'2021'!Resal_s)*(1-EXP(('2021'!Tnet_s-t)/'2021'!Tau_j)),Resal_s+(Salim-Resal_s)*(1-EXP((Tnet_s-t)/Tau_j)))*Salcycl</f>
        <v>8.53458310040726E-2</v>
      </c>
      <c r="AD135" s="230">
        <f>(INDEX(Models!$BJ135:$BT135,,AH135)*(1-AF135)+INDEX(Models!$BJ135:$BT135,,AH135+1)*AF135-ERP_i)*AE135*Ramure*Pc/MaxiM</f>
        <v>1.4004118309512963E-3</v>
      </c>
      <c r="AE135" s="304">
        <f t="shared" si="40"/>
        <v>0.7</v>
      </c>
      <c r="AF135" s="177">
        <f t="shared" si="41"/>
        <v>6.3269220402056778E-2</v>
      </c>
      <c r="AG135" s="799">
        <f t="shared" si="49"/>
        <v>0</v>
      </c>
      <c r="AH135" s="176">
        <f t="shared" si="42"/>
        <v>6</v>
      </c>
      <c r="AI135" s="224">
        <f t="shared" si="43"/>
        <v>6.3269220402056778E-2</v>
      </c>
      <c r="AJ135" s="264" t="b">
        <f t="shared" si="44"/>
        <v>1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44683</v>
      </c>
      <c r="B136" s="1147">
        <v>27.097000000000001</v>
      </c>
      <c r="C136" s="388"/>
      <c r="D136" s="391">
        <f t="shared" si="25"/>
        <v>27.731647967416812</v>
      </c>
      <c r="E136" s="383">
        <f t="shared" si="47"/>
        <v>27.929523387028659</v>
      </c>
      <c r="F136" s="383">
        <f t="shared" si="26"/>
        <v>27.937536638473677</v>
      </c>
      <c r="G136" s="110">
        <f t="shared" si="48"/>
        <v>0.45932560069588474</v>
      </c>
      <c r="H136" s="412" t="b">
        <f>Wh_hp&gt;='2021'!Maxi_hp</f>
        <v>0</v>
      </c>
      <c r="I136" s="379">
        <f>IF(H136,Wh_hp,'2021'!Maxi_hp)</f>
        <v>52.243655726180137</v>
      </c>
      <c r="J136" s="85">
        <f>IF(H136,An,'2021'!An_max)</f>
        <v>2021</v>
      </c>
      <c r="K136" s="197">
        <f t="shared" si="27"/>
        <v>44683</v>
      </c>
      <c r="L136" s="147">
        <f>IF(t&lt;Tvie,1-EXP((T0-t)*PertePVj)+'2021'!Pspv,1-EXP((T0-t)*PertePVj)+Pspv)</f>
        <v>2.2885331883719551E-2</v>
      </c>
      <c r="M136" s="832"/>
      <c r="N136" s="832"/>
      <c r="O136" s="48">
        <f>IF(t&lt;Tnet,'2021'!Resal+('2021'!Salim-'2021'!Resal)*(1-EXP(('2021'!Tnet-t)/('2021'!Tau_j))),Resal+(Salim-Resal)*(1-EXP((Tnet-t)/(Tau_j))))*Salcycl</f>
        <v>7.0848118984997458E-3</v>
      </c>
      <c r="P136" s="169">
        <f>(INDEX(Models!$BJ136:$BT136,,T136)*(1-R136)+INDEX(Models!$BJ136:$BT136,,T136+1)*R136-ERP_i)*Q136*Ramure*Pc/MaxiM</f>
        <v>1.2566635828564713E-3</v>
      </c>
      <c r="Q136" s="304">
        <f t="shared" si="28"/>
        <v>0.7</v>
      </c>
      <c r="R136" s="177">
        <f t="shared" si="29"/>
        <v>1.2029864905726967E-3</v>
      </c>
      <c r="S136" s="799">
        <f t="shared" si="30"/>
        <v>0</v>
      </c>
      <c r="T136" s="176">
        <f t="shared" si="31"/>
        <v>6</v>
      </c>
      <c r="U136" s="250">
        <f t="shared" si="32"/>
        <v>1.2029864905726967E-3</v>
      </c>
      <c r="V136" s="382">
        <f t="shared" si="33"/>
        <v>58.935780562826906</v>
      </c>
      <c r="W136" s="400">
        <f t="shared" si="34"/>
        <v>0</v>
      </c>
      <c r="X136" s="157">
        <f t="shared" si="35"/>
        <v>44683</v>
      </c>
      <c r="Y136" s="383">
        <f t="shared" si="36"/>
        <v>24.955126803747159</v>
      </c>
      <c r="Z136" s="383">
        <f t="shared" si="37"/>
        <v>25.539609237323823</v>
      </c>
      <c r="AA136" s="384">
        <f t="shared" si="38"/>
        <v>27.928771436184647</v>
      </c>
      <c r="AB136" s="197">
        <f t="shared" si="39"/>
        <v>44683</v>
      </c>
      <c r="AC136" s="119">
        <f>IF(OR(t&lt;Tnet,NoTnet),'2021'!Resal_s+('2021'!Salim-'2021'!Resal_s)*(1-EXP(('2021'!Tnet_s-t)/'2021'!Tau_j)),Resal_s+(Salim-Resal_s)*(1-EXP((Tnet_s-t)/Tau_j)))*Salcycl</f>
        <v>8.5544836954962331E-2</v>
      </c>
      <c r="AD136" s="230">
        <f>(INDEX(Models!$BJ136:$BT136,,AH136)*(1-AF136)+INDEX(Models!$BJ136:$BT136,,AH136+1)*AF136-ERP_i)*AE136*Ramure*Pc/MaxiM</f>
        <v>1.3745869062731615E-3</v>
      </c>
      <c r="AE136" s="304">
        <f t="shared" si="40"/>
        <v>0.7</v>
      </c>
      <c r="AF136" s="177">
        <f t="shared" si="41"/>
        <v>6.5535208750404847E-2</v>
      </c>
      <c r="AG136" s="799">
        <f t="shared" si="49"/>
        <v>0</v>
      </c>
      <c r="AH136" s="176">
        <f t="shared" si="42"/>
        <v>6</v>
      </c>
      <c r="AI136" s="224">
        <f t="shared" si="43"/>
        <v>6.5535208750404847E-2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44684</v>
      </c>
      <c r="B137" s="1147">
        <v>33.302999999999997</v>
      </c>
      <c r="C137" s="388"/>
      <c r="D137" s="391">
        <f t="shared" si="25"/>
        <v>34.083653990000428</v>
      </c>
      <c r="E137" s="383">
        <f t="shared" si="47"/>
        <v>34.32899891295061</v>
      </c>
      <c r="F137" s="383">
        <f t="shared" si="26"/>
        <v>34.344882997067508</v>
      </c>
      <c r="G137" s="110">
        <f t="shared" si="48"/>
        <v>0.5638594960786899</v>
      </c>
      <c r="H137" s="412" t="b">
        <f>Wh_hp&gt;='2021'!Maxi_hp</f>
        <v>0</v>
      </c>
      <c r="I137" s="379">
        <f>IF(H137,Wh_hp,'2021'!Maxi_hp)</f>
        <v>59.318580235290369</v>
      </c>
      <c r="J137" s="85">
        <f>IF(H137,An,'2021'!An_max)</f>
        <v>2021</v>
      </c>
      <c r="K137" s="197">
        <f t="shared" si="27"/>
        <v>44684</v>
      </c>
      <c r="L137" s="147">
        <f>IF(t&lt;Tvie,1-EXP((T0-t)*PertePVj)+'2021'!Pspv,1-EXP((T0-t)*PertePVj)+Pspv)</f>
        <v>2.2904058063418331E-2</v>
      </c>
      <c r="M137" s="832"/>
      <c r="N137" s="832"/>
      <c r="O137" s="48">
        <f>IF(t&lt;Tnet,'2021'!Resal+('2021'!Salim-'2021'!Resal)*(1-EXP(('2021'!Tnet-t)/('2021'!Tau_j))),Resal+(Salim-Resal)*(1-EXP((Tnet-t)/(Tau_j))))*Salcycl</f>
        <v>7.1468708881465316E-3</v>
      </c>
      <c r="P137" s="169">
        <f>(INDEX(Models!$BJ137:$BT137,,T137)*(1-R137)+INDEX(Models!$BJ137:$BT137,,T137+1)*R137-ERP_i)*Q137*Ramure*Pc/MaxiM</f>
        <v>1.2249476777187697E-3</v>
      </c>
      <c r="Q137" s="304">
        <f t="shared" si="28"/>
        <v>0.7</v>
      </c>
      <c r="R137" s="177">
        <f t="shared" si="29"/>
        <v>3.5317315030237162E-3</v>
      </c>
      <c r="S137" s="799">
        <f t="shared" si="30"/>
        <v>0</v>
      </c>
      <c r="T137" s="176">
        <f t="shared" si="31"/>
        <v>6</v>
      </c>
      <c r="U137" s="250">
        <f t="shared" si="32"/>
        <v>3.5317315030237162E-3</v>
      </c>
      <c r="V137" s="382">
        <f t="shared" si="33"/>
        <v>59.01753233917448</v>
      </c>
      <c r="W137" s="400">
        <f t="shared" si="34"/>
        <v>0</v>
      </c>
      <c r="X137" s="157">
        <f t="shared" si="35"/>
        <v>44684</v>
      </c>
      <c r="Y137" s="383">
        <f t="shared" si="36"/>
        <v>30.670849901567017</v>
      </c>
      <c r="Z137" s="383">
        <f t="shared" si="37"/>
        <v>31.389803790176529</v>
      </c>
      <c r="AA137" s="384">
        <f t="shared" si="38"/>
        <v>34.327464910931376</v>
      </c>
      <c r="AB137" s="197">
        <f t="shared" si="39"/>
        <v>44684</v>
      </c>
      <c r="AC137" s="119">
        <f>IF(OR(t&lt;Tnet,NoTnet),'2021'!Resal_s+('2021'!Salim-'2021'!Resal_s)*(1-EXP(('2021'!Tnet_s-t)/'2021'!Tau_j)),Resal_s+(Salim-Resal_s)*(1-EXP((Tnet_s-t)/Tau_j)))*Salcycl</f>
        <v>8.5577572604826013E-2</v>
      </c>
      <c r="AD137" s="230">
        <f>(INDEX(Models!$BJ137:$BT137,,AH137)*(1-AF137)+INDEX(Models!$BJ137:$BT137,,AH137+1)*AF137-ERP_i)*AE137*Ramure*Pc/MaxiM</f>
        <v>1.3432467371575837E-3</v>
      </c>
      <c r="AE137" s="304">
        <f t="shared" si="40"/>
        <v>0.7</v>
      </c>
      <c r="AF137" s="177">
        <f t="shared" si="41"/>
        <v>6.7863953762855866E-2</v>
      </c>
      <c r="AG137" s="799">
        <f t="shared" si="49"/>
        <v>0</v>
      </c>
      <c r="AH137" s="176">
        <f t="shared" si="42"/>
        <v>6</v>
      </c>
      <c r="AI137" s="224">
        <f t="shared" si="43"/>
        <v>6.7863953762855866E-2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44685</v>
      </c>
      <c r="B138" s="1147">
        <v>16.850000000000001</v>
      </c>
      <c r="C138" s="388"/>
      <c r="D138" s="391">
        <f t="shared" si="25"/>
        <v>17.245310526208794</v>
      </c>
      <c r="E138" s="383">
        <f t="shared" si="47"/>
        <v>17.37053527387139</v>
      </c>
      <c r="F138" s="383">
        <f t="shared" si="26"/>
        <v>17.37053527387139</v>
      </c>
      <c r="G138" s="110">
        <f t="shared" si="48"/>
        <v>0.28479393484075</v>
      </c>
      <c r="H138" s="412" t="b">
        <f>Wh_hp&gt;='2021'!Maxi_hp</f>
        <v>0</v>
      </c>
      <c r="I138" s="379">
        <f>IF(H138,Wh_hp,'2021'!Maxi_hp)</f>
        <v>56.957672371792654</v>
      </c>
      <c r="J138" s="85">
        <f>IF(H138,An,'2021'!An_max)</f>
        <v>2020</v>
      </c>
      <c r="K138" s="197">
        <f t="shared" si="27"/>
        <v>44685</v>
      </c>
      <c r="L138" s="147">
        <f>IF(t&lt;Tvie,1-EXP((T0-t)*PertePVj)+'2021'!Pspv,1-EXP((T0-t)*PertePVj)+Pspv)</f>
        <v>2.2922783884234077E-2</v>
      </c>
      <c r="M138" s="832"/>
      <c r="N138" s="832"/>
      <c r="O138" s="48">
        <f>IF(t&lt;Tnet,'2021'!Resal+('2021'!Salim-'2021'!Resal)*(1-EXP(('2021'!Tnet-t)/('2021'!Tau_j))),Resal+(Salim-Resal)*(1-EXP((Tnet-t)/(Tau_j))))*Salcycl</f>
        <v>7.2090321736348294E-3</v>
      </c>
      <c r="P138" s="169">
        <f>(INDEX(Models!$BJ138:$BT138,,T138)*(1-R138)+INDEX(Models!$BJ138:$BT138,,T138+1)*R138-ERP_i)*Q138*Ramure*Pc/MaxiM</f>
        <v>1.1879227568399031E-3</v>
      </c>
      <c r="Q138" s="304">
        <f t="shared" si="28"/>
        <v>0.7</v>
      </c>
      <c r="R138" s="177">
        <f t="shared" si="29"/>
        <v>5.9238282360560418E-3</v>
      </c>
      <c r="S138" s="799">
        <f t="shared" si="30"/>
        <v>0</v>
      </c>
      <c r="T138" s="176">
        <f t="shared" si="31"/>
        <v>6</v>
      </c>
      <c r="U138" s="250">
        <f t="shared" si="32"/>
        <v>5.9238282360560418E-3</v>
      </c>
      <c r="V138" s="382">
        <f t="shared" si="33"/>
        <v>59.095301699308223</v>
      </c>
      <c r="W138" s="400">
        <f t="shared" si="34"/>
        <v>0</v>
      </c>
      <c r="X138" s="157">
        <f t="shared" si="35"/>
        <v>44685</v>
      </c>
      <c r="Y138" s="383">
        <f t="shared" si="36"/>
        <v>15.51932712797686</v>
      </c>
      <c r="Z138" s="383">
        <f t="shared" si="37"/>
        <v>15.88341931630724</v>
      </c>
      <c r="AA138" s="384">
        <f t="shared" si="38"/>
        <v>17.37053527387139</v>
      </c>
      <c r="AB138" s="197">
        <f t="shared" si="39"/>
        <v>44685</v>
      </c>
      <c r="AC138" s="119">
        <f>IF(OR(t&lt;Tnet,NoTnet),'2021'!Resal_s+('2021'!Salim-'2021'!Resal_s)*(1-EXP(('2021'!Tnet_s-t)/'2021'!Tau_j)),Resal_s+(Salim-Resal_s)*(1-EXP((Tnet_s-t)/Tau_j)))*Salcycl</f>
        <v>8.5611406563910419E-2</v>
      </c>
      <c r="AD138" s="230">
        <f>(INDEX(Models!$BJ138:$BT138,,AH138)*(1-AF138)+INDEX(Models!$BJ138:$BT138,,AH138+1)*AF138-ERP_i)*AE138*Ramure*Pc/MaxiM</f>
        <v>1.3063279300138063E-3</v>
      </c>
      <c r="AE138" s="304">
        <f t="shared" si="40"/>
        <v>0.7</v>
      </c>
      <c r="AF138" s="177">
        <f t="shared" si="41"/>
        <v>7.0256050495888192E-2</v>
      </c>
      <c r="AG138" s="799">
        <f t="shared" si="49"/>
        <v>0</v>
      </c>
      <c r="AH138" s="176">
        <f t="shared" si="42"/>
        <v>6</v>
      </c>
      <c r="AI138" s="224">
        <f t="shared" si="43"/>
        <v>7.0256050495888192E-2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44686</v>
      </c>
      <c r="B139" s="1147">
        <v>36.538000000000004</v>
      </c>
      <c r="C139" s="388"/>
      <c r="D139" s="391">
        <f t="shared" si="25"/>
        <v>37.395918821144036</v>
      </c>
      <c r="E139" s="383">
        <f t="shared" si="47"/>
        <v>37.66982728411773</v>
      </c>
      <c r="F139" s="383">
        <f t="shared" si="26"/>
        <v>37.689410784913839</v>
      </c>
      <c r="G139" s="110">
        <f t="shared" si="48"/>
        <v>0.61712941031080815</v>
      </c>
      <c r="H139" s="412" t="b">
        <f>Wh_hp&gt;='2021'!Maxi_hp</f>
        <v>0</v>
      </c>
      <c r="I139" s="379">
        <f>IF(H139,Wh_hp,'2021'!Maxi_hp)</f>
        <v>61.376169686641241</v>
      </c>
      <c r="J139" s="85">
        <f>IF(H139,An,'2021'!An_max)</f>
        <v>2020</v>
      </c>
      <c r="K139" s="197">
        <f t="shared" si="27"/>
        <v>44686</v>
      </c>
      <c r="L139" s="147">
        <f>IF(t&lt;Tvie,1-EXP((T0-t)*PertePVj)+'2021'!Pspv,1-EXP((T0-t)*PertePVj)+Pspv)</f>
        <v>2.2941509346173783E-2</v>
      </c>
      <c r="M139" s="832"/>
      <c r="N139" s="832"/>
      <c r="O139" s="48">
        <f>IF(t&lt;Tnet,'2021'!Resal+('2021'!Salim-'2021'!Resal)*(1-EXP(('2021'!Tnet-t)/('2021'!Tau_j))),Resal+(Salim-Resal)*(1-EXP((Tnet-t)/(Tau_j))))*Salcycl</f>
        <v>7.271295960764361E-3</v>
      </c>
      <c r="P139" s="169">
        <f>(INDEX(Models!$BJ139:$BT139,,T139)*(1-R139)+INDEX(Models!$BJ139:$BT139,,T139+1)*R139-ERP_i)*Q139*Ramure*Pc/MaxiM</f>
        <v>1.1455214721771726E-3</v>
      </c>
      <c r="Q139" s="304">
        <f t="shared" si="28"/>
        <v>0.7</v>
      </c>
      <c r="R139" s="177">
        <f t="shared" si="29"/>
        <v>8.3797946893171549E-3</v>
      </c>
      <c r="S139" s="799">
        <f t="shared" si="30"/>
        <v>0</v>
      </c>
      <c r="T139" s="176">
        <f t="shared" si="31"/>
        <v>6</v>
      </c>
      <c r="U139" s="250">
        <f t="shared" si="32"/>
        <v>8.3797946893171549E-3</v>
      </c>
      <c r="V139" s="382">
        <f t="shared" si="33"/>
        <v>59.169304949963866</v>
      </c>
      <c r="W139" s="400">
        <f t="shared" si="34"/>
        <v>0</v>
      </c>
      <c r="X139" s="157">
        <f t="shared" si="35"/>
        <v>44686</v>
      </c>
      <c r="Y139" s="383">
        <f t="shared" si="36"/>
        <v>33.65155260881798</v>
      </c>
      <c r="Z139" s="383">
        <f t="shared" si="37"/>
        <v>34.441697125316516</v>
      </c>
      <c r="AA139" s="384">
        <f t="shared" si="38"/>
        <v>37.667805884787612</v>
      </c>
      <c r="AB139" s="197">
        <f t="shared" si="39"/>
        <v>44686</v>
      </c>
      <c r="AC139" s="119">
        <f>IF(OR(t&lt;Tnet,NoTnet),'2021'!Resal_s+('2021'!Salim-'2021'!Resal_s)*(1-EXP(('2021'!Tnet_s-t)/'2021'!Tau_j)),Resal_s+(Salim-Resal_s)*(1-EXP((Tnet_s-t)/Tau_j)))*Salcycl</f>
        <v>8.5646314769132287E-2</v>
      </c>
      <c r="AD139" s="230">
        <f>(INDEX(Models!$BJ139:$BT139,,AH139)*(1-AF139)+INDEX(Models!$BJ139:$BT139,,AH139+1)*AF139-ERP_i)*AE139*Ramure*Pc/MaxiM</f>
        <v>1.2637616357004707E-3</v>
      </c>
      <c r="AE139" s="304">
        <f t="shared" si="40"/>
        <v>0.7</v>
      </c>
      <c r="AF139" s="177">
        <f t="shared" si="41"/>
        <v>7.2712016949149305E-2</v>
      </c>
      <c r="AG139" s="799">
        <f t="shared" si="49"/>
        <v>0</v>
      </c>
      <c r="AH139" s="176">
        <f t="shared" si="42"/>
        <v>6</v>
      </c>
      <c r="AI139" s="224">
        <f t="shared" si="43"/>
        <v>7.2712016949149305E-2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44687</v>
      </c>
      <c r="B140" s="1147">
        <v>41.834000000000003</v>
      </c>
      <c r="C140" s="388"/>
      <c r="D140" s="391">
        <f t="shared" si="25"/>
        <v>42.817090434817921</v>
      </c>
      <c r="E140" s="383">
        <f t="shared" si="47"/>
        <v>43.133416337777163</v>
      </c>
      <c r="F140" s="383">
        <f t="shared" si="26"/>
        <v>43.160906964841736</v>
      </c>
      <c r="G140" s="110">
        <f t="shared" si="48"/>
        <v>0.70585556414067707</v>
      </c>
      <c r="H140" s="412" t="b">
        <f>Wh_hp&gt;='2021'!Maxi_hp</f>
        <v>0</v>
      </c>
      <c r="I140" s="379">
        <f>IF(H140,Wh_hp,'2021'!Maxi_hp)</f>
        <v>58.310376218958538</v>
      </c>
      <c r="J140" s="85">
        <f>IF(H140,An,'2021'!An_max)</f>
        <v>2018</v>
      </c>
      <c r="K140" s="197">
        <f t="shared" si="27"/>
        <v>44687</v>
      </c>
      <c r="L140" s="147">
        <f>IF(t&lt;Tvie,1-EXP((T0-t)*PertePVj)+'2021'!Pspv,1-EXP((T0-t)*PertePVj)+Pspv)</f>
        <v>2.2960234449244332E-2</v>
      </c>
      <c r="M140" s="832"/>
      <c r="N140" s="832"/>
      <c r="O140" s="48">
        <f>IF(t&lt;Tnet,'2021'!Resal+('2021'!Salim-'2021'!Resal)*(1-EXP(('2021'!Tnet-t)/('2021'!Tau_j))),Resal+(Salim-Resal)*(1-EXP((Tnet-t)/(Tau_j))))*Salcycl</f>
        <v>7.3336621537718307E-3</v>
      </c>
      <c r="P140" s="169">
        <f>(INDEX(Models!$BJ140:$BT140,,T140)*(1-R140)+INDEX(Models!$BJ140:$BT140,,T140+1)*R140-ERP_i)*Q140*Ramure*Pc/MaxiM</f>
        <v>1.0976714644295911E-3</v>
      </c>
      <c r="Q140" s="304">
        <f t="shared" si="28"/>
        <v>0.7</v>
      </c>
      <c r="R140" s="177">
        <f t="shared" si="29"/>
        <v>1.0900066178390261E-2</v>
      </c>
      <c r="S140" s="799">
        <f t="shared" si="30"/>
        <v>0</v>
      </c>
      <c r="T140" s="176">
        <f t="shared" si="31"/>
        <v>6</v>
      </c>
      <c r="U140" s="250">
        <f t="shared" si="32"/>
        <v>1.0900066178390261E-2</v>
      </c>
      <c r="V140" s="382">
        <f t="shared" si="33"/>
        <v>59.239758567375041</v>
      </c>
      <c r="W140" s="400">
        <f t="shared" si="34"/>
        <v>0</v>
      </c>
      <c r="X140" s="157">
        <f t="shared" si="35"/>
        <v>44687</v>
      </c>
      <c r="Y140" s="383">
        <f t="shared" si="36"/>
        <v>38.529514090198447</v>
      </c>
      <c r="Z140" s="383">
        <f t="shared" si="37"/>
        <v>39.434949782703498</v>
      </c>
      <c r="AA140" s="384">
        <f t="shared" si="38"/>
        <v>43.130466038171214</v>
      </c>
      <c r="AB140" s="197">
        <f t="shared" si="39"/>
        <v>44687</v>
      </c>
      <c r="AC140" s="119">
        <f>IF(OR(t&lt;Tnet,NoTnet),'2021'!Resal_s+('2021'!Salim-'2021'!Resal_s)*(1-EXP(('2021'!Tnet_s-t)/'2021'!Tau_j)),Resal_s+(Salim-Resal_s)*(1-EXP((Tnet_s-t)/Tau_j)))*Salcycl</f>
        <v>8.5682270444217293E-2</v>
      </c>
      <c r="AD140" s="230">
        <f>(INDEX(Models!$BJ140:$BT140,,AH140)*(1-AF140)+INDEX(Models!$BJ140:$BT140,,AH140+1)*AF140-ERP_i)*AE140*Ramure*Pc/MaxiM</f>
        <v>1.2154737859759652E-3</v>
      </c>
      <c r="AE140" s="304">
        <f t="shared" si="40"/>
        <v>0.7</v>
      </c>
      <c r="AF140" s="177">
        <f t="shared" si="41"/>
        <v>7.5232288438222411E-2</v>
      </c>
      <c r="AG140" s="799">
        <f t="shared" si="49"/>
        <v>0</v>
      </c>
      <c r="AH140" s="176">
        <f t="shared" si="42"/>
        <v>6</v>
      </c>
      <c r="AI140" s="224">
        <f t="shared" si="43"/>
        <v>7.5232288438222411E-2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44688</v>
      </c>
      <c r="B141" s="1147">
        <v>46.621000000000002</v>
      </c>
      <c r="C141" s="388"/>
      <c r="D141" s="391">
        <f t="shared" si="25"/>
        <v>47.717498449689039</v>
      </c>
      <c r="E141" s="383">
        <f t="shared" si="47"/>
        <v>48.073053015772601</v>
      </c>
      <c r="F141" s="383">
        <f t="shared" si="26"/>
        <v>48.107940183824098</v>
      </c>
      <c r="G141" s="110">
        <f t="shared" si="48"/>
        <v>0.78584664364227108</v>
      </c>
      <c r="H141" s="412" t="b">
        <f>Wh_hp&gt;='2021'!Maxi_hp</f>
        <v>0</v>
      </c>
      <c r="I141" s="379">
        <f>IF(H141,Wh_hp,'2021'!Maxi_hp)</f>
        <v>58.360511547826988</v>
      </c>
      <c r="J141" s="85">
        <f>IF(H141,An,'2021'!An_max)</f>
        <v>2020</v>
      </c>
      <c r="K141" s="197">
        <f t="shared" si="27"/>
        <v>44688</v>
      </c>
      <c r="L141" s="147">
        <f>IF(t&lt;Tvie,1-EXP((T0-t)*PertePVj)+'2021'!Pspv,1-EXP((T0-t)*PertePVj)+Pspv)</f>
        <v>2.2978959193452497E-2</v>
      </c>
      <c r="M141" s="832"/>
      <c r="N141" s="832"/>
      <c r="O141" s="48">
        <f>IF(t&lt;Tnet,'2021'!Resal+('2021'!Salim-'2021'!Resal)*(1-EXP(('2021'!Tnet-t)/('2021'!Tau_j))),Resal+(Salim-Resal)*(1-EXP((Tnet-t)/(Tau_j))))*Salcycl</f>
        <v>7.3961303428535631E-3</v>
      </c>
      <c r="P141" s="169">
        <f>(INDEX(Models!$BJ141:$BT141,,T141)*(1-R141)+INDEX(Models!$BJ141:$BT141,,T141+1)*R141-ERP_i)*Q141*Ramure*Pc/MaxiM</f>
        <v>1.0442956014443826E-3</v>
      </c>
      <c r="Q141" s="304">
        <f t="shared" si="28"/>
        <v>0.7</v>
      </c>
      <c r="R141" s="177">
        <f t="shared" si="29"/>
        <v>1.3484989702512121E-2</v>
      </c>
      <c r="S141" s="799">
        <f t="shared" si="30"/>
        <v>0</v>
      </c>
      <c r="T141" s="176">
        <f t="shared" si="31"/>
        <v>6</v>
      </c>
      <c r="U141" s="250">
        <f t="shared" si="32"/>
        <v>1.3484989702512121E-2</v>
      </c>
      <c r="V141" s="382">
        <f t="shared" si="33"/>
        <v>59.306879193561606</v>
      </c>
      <c r="W141" s="400">
        <f t="shared" si="34"/>
        <v>0</v>
      </c>
      <c r="X141" s="157">
        <f t="shared" si="35"/>
        <v>44688</v>
      </c>
      <c r="Y141" s="383">
        <f t="shared" si="36"/>
        <v>42.938795721058248</v>
      </c>
      <c r="Z141" s="383">
        <f t="shared" si="37"/>
        <v>43.948690895757515</v>
      </c>
      <c r="AA141" s="384">
        <f t="shared" si="38"/>
        <v>48.06914135549323</v>
      </c>
      <c r="AB141" s="197">
        <f t="shared" si="39"/>
        <v>44688</v>
      </c>
      <c r="AC141" s="119">
        <f>IF(OR(t&lt;Tnet,NoTnet),'2021'!Resal_s+('2021'!Salim-'2021'!Resal_s)*(1-EXP(('2021'!Tnet_s-t)/'2021'!Tau_j)),Resal_s+(Salim-Resal_s)*(1-EXP((Tnet_s-t)/Tau_j)))*Salcycl</f>
        <v>8.5719244062695057E-2</v>
      </c>
      <c r="AD141" s="230">
        <f>(INDEX(Models!$BJ141:$BT141,,AH141)*(1-AF141)+INDEX(Models!$BJ141:$BT141,,AH141+1)*AF141-ERP_i)*AE141*Ramure*Pc/MaxiM</f>
        <v>1.1613853468218803E-3</v>
      </c>
      <c r="AE141" s="304">
        <f t="shared" si="40"/>
        <v>0.7</v>
      </c>
      <c r="AF141" s="177">
        <f t="shared" si="41"/>
        <v>7.7817211962344271E-2</v>
      </c>
      <c r="AG141" s="799">
        <f t="shared" si="49"/>
        <v>0</v>
      </c>
      <c r="AH141" s="176">
        <f t="shared" si="42"/>
        <v>6</v>
      </c>
      <c r="AI141" s="224">
        <f t="shared" si="43"/>
        <v>7.7817211962344271E-2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44689</v>
      </c>
      <c r="B142" s="1147">
        <v>57.858000000000004</v>
      </c>
      <c r="C142" s="388"/>
      <c r="D142" s="391">
        <f t="shared" si="25"/>
        <v>59.219921004830951</v>
      </c>
      <c r="E142" s="383">
        <f t="shared" si="47"/>
        <v>59.66494390957876</v>
      </c>
      <c r="F142" s="383">
        <f t="shared" si="26"/>
        <v>59.721759123807871</v>
      </c>
      <c r="G142" s="110">
        <f t="shared" si="48"/>
        <v>0.97448494195272206</v>
      </c>
      <c r="H142" s="412" t="b">
        <f>Wh_hp&gt;='2021'!Maxi_hp</f>
        <v>0</v>
      </c>
      <c r="I142" s="379">
        <f>IF(H142,Wh_hp,'2021'!Maxi_hp)</f>
        <v>61.177065802959824</v>
      </c>
      <c r="J142" s="85">
        <f>IF(H142,An,'2021'!An_max)</f>
        <v>2021</v>
      </c>
      <c r="K142" s="197">
        <f t="shared" si="27"/>
        <v>44689</v>
      </c>
      <c r="L142" s="147">
        <f>IF(t&lt;Tvie,1-EXP((T0-t)*PertePVj)+'2021'!Pspv,1-EXP((T0-t)*PertePVj)+Pspv)</f>
        <v>2.2997683578805272E-2</v>
      </c>
      <c r="M142" s="832"/>
      <c r="N142" s="832"/>
      <c r="O142" s="48">
        <f>IF(t&lt;Tnet,'2021'!Resal+('2021'!Salim-'2021'!Resal)*(1-EXP(('2021'!Tnet-t)/('2021'!Tau_j))),Resal+(Salim-Resal)*(1-EXP((Tnet-t)/(Tau_j))))*Salcycl</f>
        <v>7.4586997923308026E-3</v>
      </c>
      <c r="P142" s="169">
        <f>(INDEX(Models!$BJ142:$BT142,,T142)*(1-R142)+INDEX(Models!$BJ142:$BT142,,T142+1)*R142-ERP_i)*Q142*Ramure*Pc/MaxiM</f>
        <v>9.8726847186292994E-4</v>
      </c>
      <c r="Q142" s="304">
        <f t="shared" si="28"/>
        <v>0.7</v>
      </c>
      <c r="R142" s="177">
        <f t="shared" si="29"/>
        <v>1.6134818341018486E-2</v>
      </c>
      <c r="S142" s="799">
        <f t="shared" si="30"/>
        <v>0</v>
      </c>
      <c r="T142" s="176">
        <f t="shared" si="31"/>
        <v>6</v>
      </c>
      <c r="U142" s="250">
        <f t="shared" si="32"/>
        <v>1.6134818341018486E-2</v>
      </c>
      <c r="V142" s="382">
        <f t="shared" si="33"/>
        <v>59.370767377525141</v>
      </c>
      <c r="W142" s="400">
        <f t="shared" si="34"/>
        <v>0</v>
      </c>
      <c r="X142" s="157">
        <f t="shared" si="35"/>
        <v>44689</v>
      </c>
      <c r="Y142" s="383">
        <f t="shared" si="36"/>
        <v>53.287800357670427</v>
      </c>
      <c r="Z142" s="383">
        <f t="shared" si="37"/>
        <v>54.54214331125246</v>
      </c>
      <c r="AA142" s="384">
        <f t="shared" si="38"/>
        <v>59.658269673339788</v>
      </c>
      <c r="AB142" s="197">
        <f t="shared" si="39"/>
        <v>44689</v>
      </c>
      <c r="AC142" s="119">
        <f>IF(OR(t&lt;Tnet,NoTnet),'2021'!Resal_s+('2021'!Salim-'2021'!Resal_s)*(1-EXP(('2021'!Tnet_s-t)/'2021'!Tau_j)),Resal_s+(Salim-Resal_s)*(1-EXP((Tnet_s-t)/Tau_j)))*Salcycl</f>
        <v>8.5757203319854869E-2</v>
      </c>
      <c r="AD142" s="230">
        <f>(INDEX(Models!$BJ142:$BT142,,AH142)*(1-AF142)+INDEX(Models!$BJ142:$BT142,,AH142+1)*AF142-ERP_i)*AE142*Ramure*Pc/MaxiM</f>
        <v>1.1032455583159834E-3</v>
      </c>
      <c r="AE142" s="304">
        <f t="shared" si="40"/>
        <v>0.7</v>
      </c>
      <c r="AF142" s="177">
        <f t="shared" si="41"/>
        <v>8.0467040600850637E-2</v>
      </c>
      <c r="AG142" s="799">
        <f t="shared" si="49"/>
        <v>0</v>
      </c>
      <c r="AH142" s="176">
        <f t="shared" si="42"/>
        <v>6</v>
      </c>
      <c r="AI142" s="224">
        <f t="shared" si="43"/>
        <v>8.0467040600850637E-2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44690</v>
      </c>
      <c r="B143" s="1147">
        <v>55.498000000000005</v>
      </c>
      <c r="C143" s="388"/>
      <c r="D143" s="391">
        <f t="shared" ref="D143:D206" si="50">Wh/(1-Ppv)</f>
        <v>56.805457565534454</v>
      </c>
      <c r="E143" s="383">
        <f t="shared" si="47"/>
        <v>57.235950292336469</v>
      </c>
      <c r="F143" s="383">
        <f t="shared" ref="F143:F206" si="51">Wh_sa/(1-Pvg*MEDIAN((-Sdif+Wh/Env_an)/Csdif,0,1))</f>
        <v>57.284230576804276</v>
      </c>
      <c r="G143" s="110">
        <f t="shared" si="48"/>
        <v>0.93373415248443314</v>
      </c>
      <c r="H143" s="412" t="b">
        <f>Wh_hp&gt;='2021'!Maxi_hp</f>
        <v>1</v>
      </c>
      <c r="I143" s="379">
        <f>IF(H143,Wh_hp,'2021'!Maxi_hp)</f>
        <v>57.284230576804276</v>
      </c>
      <c r="J143" s="85">
        <f>IF(H143,An,'2021'!An_max)</f>
        <v>2022</v>
      </c>
      <c r="K143" s="197">
        <f t="shared" ref="K143:K206" si="52">t</f>
        <v>44690</v>
      </c>
      <c r="L143" s="147">
        <f>IF(t&lt;Tvie,1-EXP((T0-t)*PertePVj)+'2021'!Pspv,1-EXP((T0-t)*PertePVj)+Pspv)</f>
        <v>2.301640760530943E-2</v>
      </c>
      <c r="M143" s="832"/>
      <c r="N143" s="832"/>
      <c r="O143" s="48">
        <f>IF(t&lt;Tnet,'2021'!Resal+('2021'!Salim-'2021'!Resal)*(1-EXP(('2021'!Tnet-t)/('2021'!Tau_j))),Resal+(Salim-Resal)*(1-EXP((Tnet-t)/(Tau_j))))*Salcycl</f>
        <v>7.5213694295847584E-3</v>
      </c>
      <c r="P143" s="169">
        <f>(INDEX(Models!$BJ143:$BT143,,T143)*(1-R143)+INDEX(Models!$BJ143:$BT143,,T143+1)*R143-ERP_i)*Q143*Ramure*Pc/MaxiM</f>
        <v>9.3082770341910189E-4</v>
      </c>
      <c r="Q143" s="304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1.8849705714894804E-2</v>
      </c>
      <c r="S143" s="799">
        <f t="shared" ref="S143:S206" si="55">INDEX(Echel_vg,T143)</f>
        <v>0</v>
      </c>
      <c r="T143" s="176">
        <f t="shared" ref="T143:T206" si="56">MIN(MATCH(Hp_vg,Echel_vg),10)</f>
        <v>6</v>
      </c>
      <c r="U143" s="250">
        <f t="shared" ref="U143:U206" si="57">IF(OR(t&lt;Ttai,Notai),Hdd+PousH*Croivg,Hdtf+PousH*(Croivg-Croi_tai))</f>
        <v>1.8849705714894804E-2</v>
      </c>
      <c r="V143" s="382">
        <f t="shared" ref="V143:V206" si="58">MaxiM*(1-Ppv)*(1-Pvg)*(1-Psa)</f>
        <v>59.4313825518595</v>
      </c>
      <c r="W143" s="400">
        <f t="shared" ref="W143:W206" si="59">Wh*(A143&gt;Tmaj)</f>
        <v>0</v>
      </c>
      <c r="X143" s="157">
        <f t="shared" ref="X143:X206" si="60">t</f>
        <v>44690</v>
      </c>
      <c r="Y143" s="383">
        <f t="shared" ref="Y143:Y206" si="61">Wh_pvt_s*(1-Ppv)</f>
        <v>51.115686470143984</v>
      </c>
      <c r="Z143" s="383">
        <f t="shared" ref="Z143:Z206" si="62">Wh_sa_s*(1-Psa_s)</f>
        <v>52.319902676005036</v>
      </c>
      <c r="AA143" s="384">
        <f t="shared" ref="AA143:AA206" si="63">Wh_hp*(1-Pvg_s*MEDIAN((-Sdif+Wh/Env_an)/Csdif,0,1))</f>
        <v>57.23001556496807</v>
      </c>
      <c r="AB143" s="197">
        <f t="shared" ref="AB143:AB206" si="64">t</f>
        <v>44690</v>
      </c>
      <c r="AC143" s="119">
        <f>IF(OR(t&lt;Tnet,NoTnet),'2021'!Resal_s+('2021'!Salim-'2021'!Resal_s)*(1-EXP(('2021'!Tnet_s-t)/'2021'!Tau_j)),Resal_s+(Salim-Resal_s)*(1-EXP((Tnet_s-t)/Tau_j)))*Salcycl</f>
        <v>8.5796113114612563E-2</v>
      </c>
      <c r="AD143" s="230">
        <f>(INDEX(Models!$BJ143:$BT143,,AH143)*(1-AF143)+INDEX(Models!$BJ143:$BT143,,AH143+1)*AF143-ERP_i)*AE143*Ramure*Pc/MaxiM</f>
        <v>1.0452472580599747E-3</v>
      </c>
      <c r="AE143" s="304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8.3181927974726955E-2</v>
      </c>
      <c r="AG143" s="799">
        <f t="shared" si="49"/>
        <v>0</v>
      </c>
      <c r="AH143" s="176">
        <f t="shared" ref="AH143:AH206" si="67">MIN(MATCH(Hp_vg_s,Echel_vg),10)</f>
        <v>6</v>
      </c>
      <c r="AI143" s="224">
        <f t="shared" ref="AI143:AI206" si="68">IF(OR(t&lt;Ttai,Notai),Hdd_s+PousH*Croivg,Hdtai_s+PousH*(Croivg-Croi_tai))</f>
        <v>8.3181927974726955E-2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44691</v>
      </c>
      <c r="B144" s="1147">
        <v>56.682000000000002</v>
      </c>
      <c r="C144" s="388"/>
      <c r="D144" s="391">
        <f t="shared" si="50"/>
        <v>58.018462909373469</v>
      </c>
      <c r="E144" s="383">
        <f t="shared" ref="E144:E169" si="72">Wh_pvt/(1-Psa)</f>
        <v>58.461845604520235</v>
      </c>
      <c r="F144" s="383">
        <f t="shared" si="51"/>
        <v>58.509584701555575</v>
      </c>
      <c r="G144" s="110">
        <f t="shared" ref="G144:G169" si="73">+Wh_hp/MaxiM</f>
        <v>0.95275952600190073</v>
      </c>
      <c r="H144" s="412" t="b">
        <f>Wh_hp&gt;='2021'!Maxi_hp</f>
        <v>1</v>
      </c>
      <c r="I144" s="379">
        <f>IF(H144,Wh_hp,'2021'!Maxi_hp)</f>
        <v>58.509584701555575</v>
      </c>
      <c r="J144" s="85">
        <f>IF(H144,An,'2021'!An_max)</f>
        <v>2022</v>
      </c>
      <c r="K144" s="197">
        <f t="shared" si="52"/>
        <v>44691</v>
      </c>
      <c r="L144" s="147">
        <f>IF(t&lt;Tvie,1-EXP((T0-t)*PertePVj)+'2021'!Pspv,1-EXP((T0-t)*PertePVj)+Pspv)</f>
        <v>2.3035131272971854E-2</v>
      </c>
      <c r="M144" s="832"/>
      <c r="N144" s="832"/>
      <c r="O144" s="48">
        <f>IF(t&lt;Tnet,'2021'!Resal+('2021'!Salim-'2021'!Resal)*(1-EXP(('2021'!Tnet-t)/('2021'!Tau_j))),Resal+(Salim-Resal)*(1-EXP((Tnet-t)/(Tau_j))))*Salcycl</f>
        <v>7.5841378348903933E-3</v>
      </c>
      <c r="P144" s="169">
        <f>(INDEX(Models!$BJ144:$BT144,,T144)*(1-R144)+INDEX(Models!$BJ144:$BT144,,T144+1)*R144-ERP_i)*Q144*Ramure*Pc/MaxiM</f>
        <v>8.74892296961112E-4</v>
      </c>
      <c r="Q144" s="304">
        <f t="shared" si="53"/>
        <v>0.7</v>
      </c>
      <c r="R144" s="177">
        <f t="shared" si="54"/>
        <v>2.1629700552269385E-2</v>
      </c>
      <c r="S144" s="799">
        <f t="shared" si="55"/>
        <v>0</v>
      </c>
      <c r="T144" s="176">
        <f t="shared" si="56"/>
        <v>6</v>
      </c>
      <c r="U144" s="250">
        <f t="shared" si="57"/>
        <v>2.1629700552269385E-2</v>
      </c>
      <c r="V144" s="382">
        <f t="shared" si="58"/>
        <v>59.488940298016836</v>
      </c>
      <c r="W144" s="400">
        <f t="shared" si="59"/>
        <v>0</v>
      </c>
      <c r="X144" s="157">
        <f t="shared" si="60"/>
        <v>44691</v>
      </c>
      <c r="Y144" s="383">
        <f t="shared" si="61"/>
        <v>52.207157061901221</v>
      </c>
      <c r="Z144" s="383">
        <f t="shared" si="62"/>
        <v>53.438110962911523</v>
      </c>
      <c r="AA144" s="384">
        <f t="shared" si="63"/>
        <v>58.455711661130017</v>
      </c>
      <c r="AB144" s="197">
        <f t="shared" si="64"/>
        <v>44691</v>
      </c>
      <c r="AC144" s="119">
        <f>IF(OR(t&lt;Tnet,NoTnet),'2021'!Resal_s+('2021'!Salim-'2021'!Resal_s)*(1-EXP(('2021'!Tnet_s-t)/'2021'!Tau_j)),Resal_s+(Salim-Resal_s)*(1-EXP((Tnet_s-t)/Tau_j)))*Salcycl</f>
        <v>8.5835935542205269E-2</v>
      </c>
      <c r="AD144" s="230">
        <f>(INDEX(Models!$BJ144:$BT144,,AH144)*(1-AF144)+INDEX(Models!$BJ144:$BT144,,AH144+1)*AF144-ERP_i)*AE144*Ramure*Pc/MaxiM</f>
        <v>9.8730623344844251E-4</v>
      </c>
      <c r="AE144" s="304">
        <f t="shared" si="65"/>
        <v>0.7</v>
      </c>
      <c r="AF144" s="177">
        <f t="shared" si="66"/>
        <v>8.5961922812101535E-2</v>
      </c>
      <c r="AG144" s="799">
        <f t="shared" ref="AG144:AG207" si="74">INDEX(Echel_vg,AH144)</f>
        <v>0</v>
      </c>
      <c r="AH144" s="176">
        <f t="shared" si="67"/>
        <v>6</v>
      </c>
      <c r="AI144" s="224">
        <f t="shared" si="68"/>
        <v>8.5961922812101535E-2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44692</v>
      </c>
      <c r="B145" s="1147">
        <v>59.972999999999999</v>
      </c>
      <c r="C145" s="388"/>
      <c r="D145" s="391">
        <f t="shared" si="50"/>
        <v>61.388235453170665</v>
      </c>
      <c r="E145" s="383">
        <f t="shared" si="72"/>
        <v>61.861288929568019</v>
      </c>
      <c r="F145" s="383">
        <f t="shared" si="51"/>
        <v>61.912018368777417</v>
      </c>
      <c r="G145" s="110">
        <f t="shared" si="73"/>
        <v>1.0072105694192106</v>
      </c>
      <c r="H145" s="412" t="b">
        <f>Wh_hp&gt;='2021'!Maxi_hp</f>
        <v>1</v>
      </c>
      <c r="I145" s="379">
        <f>IF(H145,Wh_hp,'2021'!Maxi_hp)</f>
        <v>61.912018368777417</v>
      </c>
      <c r="J145" s="85">
        <f>IF(H145,An,'2021'!An_max)</f>
        <v>2022</v>
      </c>
      <c r="K145" s="197">
        <f t="shared" si="52"/>
        <v>44692</v>
      </c>
      <c r="L145" s="147">
        <f>IF(t&lt;Tvie,1-EXP((T0-t)*PertePVj)+'2021'!Pspv,1-EXP((T0-t)*PertePVj)+Pspv)</f>
        <v>2.3053854581799538E-2</v>
      </c>
      <c r="M145" s="832"/>
      <c r="N145" s="832"/>
      <c r="O145" s="48">
        <f>IF(t&lt;Tnet,'2021'!Resal+('2021'!Salim-'2021'!Resal)*(1-EXP(('2021'!Tnet-t)/('2021'!Tau_j))),Resal+(Salim-Resal)*(1-EXP((Tnet-t)/(Tau_j))))*Salcycl</f>
        <v>7.647003232279021E-3</v>
      </c>
      <c r="P145" s="169">
        <f>(INDEX(Models!$BJ145:$BT145,,T145)*(1-R145)+INDEX(Models!$BJ145:$BT145,,T145+1)*R145-ERP_i)*Q145*Ramure*Pc/MaxiM</f>
        <v>8.1937950895466256E-4</v>
      </c>
      <c r="Q145" s="304">
        <f t="shared" si="53"/>
        <v>0.7</v>
      </c>
      <c r="R145" s="177">
        <f t="shared" si="54"/>
        <v>2.4474741398960789E-2</v>
      </c>
      <c r="S145" s="799">
        <f t="shared" si="55"/>
        <v>0</v>
      </c>
      <c r="T145" s="176">
        <f t="shared" si="56"/>
        <v>6</v>
      </c>
      <c r="U145" s="250">
        <f t="shared" si="57"/>
        <v>2.4474741398960789E-2</v>
      </c>
      <c r="V145" s="382">
        <f t="shared" si="58"/>
        <v>59.543656332540593</v>
      </c>
      <c r="W145" s="400">
        <f t="shared" si="59"/>
        <v>0</v>
      </c>
      <c r="X145" s="157">
        <f t="shared" si="60"/>
        <v>44692</v>
      </c>
      <c r="Y145" s="383">
        <f t="shared" si="61"/>
        <v>55.23910138688673</v>
      </c>
      <c r="Z145" s="383">
        <f t="shared" si="62"/>
        <v>56.542626884760956</v>
      </c>
      <c r="AA145" s="384">
        <f t="shared" si="63"/>
        <v>61.854481281326251</v>
      </c>
      <c r="AB145" s="197">
        <f t="shared" si="64"/>
        <v>44692</v>
      </c>
      <c r="AC145" s="119">
        <f>IF(OR(t&lt;Tnet,NoTnet),'2021'!Resal_s+('2021'!Salim-'2021'!Resal_s)*(1-EXP(('2021'!Tnet_s-t)/'2021'!Tau_j)),Resal_s+(Salim-Resal_s)*(1-EXP((Tnet_s-t)/Tau_j)))*Salcycl</f>
        <v>8.5876629898583121E-2</v>
      </c>
      <c r="AD145" s="230">
        <f>(INDEX(Models!$BJ145:$BT145,,AH145)*(1-AF145)+INDEX(Models!$BJ145:$BT145,,AH145+1)*AF145-ERP_i)*AE145*Ramure*Pc/MaxiM</f>
        <v>9.2933632220559912E-4</v>
      </c>
      <c r="AE145" s="304">
        <f t="shared" si="65"/>
        <v>0.7</v>
      </c>
      <c r="AF145" s="177">
        <f t="shared" si="66"/>
        <v>8.880696365879294E-2</v>
      </c>
      <c r="AG145" s="799">
        <f t="shared" si="74"/>
        <v>0</v>
      </c>
      <c r="AH145" s="176">
        <f t="shared" si="67"/>
        <v>6</v>
      </c>
      <c r="AI145" s="224">
        <f t="shared" si="68"/>
        <v>8.880696365879294E-2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44693</v>
      </c>
      <c r="B146" s="1147">
        <v>45.494</v>
      </c>
      <c r="C146" s="388"/>
      <c r="D146" s="391">
        <f t="shared" si="50"/>
        <v>46.568454271720313</v>
      </c>
      <c r="E146" s="383">
        <f t="shared" si="72"/>
        <v>46.930285055678745</v>
      </c>
      <c r="F146" s="383">
        <f t="shared" si="51"/>
        <v>46.954038073013493</v>
      </c>
      <c r="G146" s="110">
        <f t="shared" si="73"/>
        <v>0.76317932744973693</v>
      </c>
      <c r="H146" s="412" t="b">
        <f>Wh_hp&gt;='2021'!Maxi_hp</f>
        <v>1</v>
      </c>
      <c r="I146" s="379">
        <f>IF(H146,Wh_hp,'2021'!Maxi_hp)</f>
        <v>46.954038073013493</v>
      </c>
      <c r="J146" s="85">
        <f>IF(H146,An,'2021'!An_max)</f>
        <v>2022</v>
      </c>
      <c r="K146" s="197">
        <f t="shared" si="52"/>
        <v>44693</v>
      </c>
      <c r="L146" s="147">
        <f>IF(t&lt;Tvie,1-EXP((T0-t)*PertePVj)+'2021'!Pspv,1-EXP((T0-t)*PertePVj)+Pspv)</f>
        <v>2.3072577531799254E-2</v>
      </c>
      <c r="M146" s="832"/>
      <c r="N146" s="832"/>
      <c r="O146" s="48">
        <f>IF(t&lt;Tnet,'2021'!Resal+('2021'!Salim-'2021'!Resal)*(1-EXP(('2021'!Tnet-t)/('2021'!Tau_j))),Resal+(Salim-Resal)*(1-EXP((Tnet-t)/(Tau_j))))*Salcycl</f>
        <v>7.7099634815587974E-3</v>
      </c>
      <c r="P146" s="169">
        <f>(INDEX(Models!$BJ146:$BT146,,T146)*(1-R146)+INDEX(Models!$BJ146:$BT146,,T146+1)*R146-ERP_i)*Q146*Ramure*Pc/MaxiM</f>
        <v>7.6420478597168703E-4</v>
      </c>
      <c r="Q146" s="304">
        <f t="shared" si="53"/>
        <v>0.7</v>
      </c>
      <c r="R146" s="177">
        <f t="shared" si="54"/>
        <v>2.7384651517223788E-2</v>
      </c>
      <c r="S146" s="799">
        <f t="shared" si="55"/>
        <v>0</v>
      </c>
      <c r="T146" s="176">
        <f t="shared" si="56"/>
        <v>6</v>
      </c>
      <c r="U146" s="250">
        <f t="shared" si="57"/>
        <v>2.7384651517223788E-2</v>
      </c>
      <c r="V146" s="382">
        <f t="shared" si="58"/>
        <v>59.59574650340921</v>
      </c>
      <c r="W146" s="400">
        <f t="shared" si="59"/>
        <v>0</v>
      </c>
      <c r="X146" s="157">
        <f t="shared" si="60"/>
        <v>44693</v>
      </c>
      <c r="Y146" s="383">
        <f t="shared" si="61"/>
        <v>41.905380293742695</v>
      </c>
      <c r="Z146" s="383">
        <f t="shared" si="62"/>
        <v>42.895080361107098</v>
      </c>
      <c r="AA146" s="384">
        <f t="shared" si="63"/>
        <v>46.926957895164016</v>
      </c>
      <c r="AB146" s="197">
        <f t="shared" si="64"/>
        <v>44693</v>
      </c>
      <c r="AC146" s="119">
        <f>IF(OR(t&lt;Tnet,NoTnet),'2021'!Resal_s+('2021'!Salim-'2021'!Resal_s)*(1-EXP(('2021'!Tnet_s-t)/'2021'!Tau_j)),Resal_s+(Salim-Resal_s)*(1-EXP((Tnet_s-t)/Tau_j)))*Salcycl</f>
        <v>8.5918152697309513E-2</v>
      </c>
      <c r="AD146" s="230">
        <f>(INDEX(Models!$BJ146:$BT146,,AH146)*(1-AF146)+INDEX(Models!$BJ146:$BT146,,AH146+1)*AF146-ERP_i)*AE146*Ramure*Pc/MaxiM</f>
        <v>8.712493754323581E-4</v>
      </c>
      <c r="AE146" s="304">
        <f t="shared" si="65"/>
        <v>0.7</v>
      </c>
      <c r="AF146" s="177">
        <f t="shared" si="66"/>
        <v>9.1716873777055938E-2</v>
      </c>
      <c r="AG146" s="799">
        <f t="shared" si="74"/>
        <v>0</v>
      </c>
      <c r="AH146" s="176">
        <f t="shared" si="67"/>
        <v>6</v>
      </c>
      <c r="AI146" s="224">
        <f t="shared" si="68"/>
        <v>9.1716873777055938E-2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44694</v>
      </c>
      <c r="B147" s="1147">
        <v>39.29</v>
      </c>
      <c r="C147" s="388"/>
      <c r="D147" s="391">
        <f t="shared" si="50"/>
        <v>40.218702121238159</v>
      </c>
      <c r="E147" s="383">
        <f t="shared" si="72"/>
        <v>40.533771780733204</v>
      </c>
      <c r="F147" s="383">
        <f t="shared" si="51"/>
        <v>40.548510461766831</v>
      </c>
      <c r="G147" s="110">
        <f t="shared" si="73"/>
        <v>0.65849824079156283</v>
      </c>
      <c r="H147" s="412" t="b">
        <f>Wh_hp&gt;='2021'!Maxi_hp</f>
        <v>0</v>
      </c>
      <c r="I147" s="379">
        <f>IF(H147,Wh_hp,'2021'!Maxi_hp)</f>
        <v>60.109259389460362</v>
      </c>
      <c r="J147" s="85">
        <f>IF(H147,An,'2021'!An_max)</f>
        <v>2018</v>
      </c>
      <c r="K147" s="197">
        <f t="shared" si="52"/>
        <v>44694</v>
      </c>
      <c r="L147" s="147">
        <f>IF(t&lt;Tvie,1-EXP((T0-t)*PertePVj)+'2021'!Pspv,1-EXP((T0-t)*PertePVj)+Pspv)</f>
        <v>2.3091300122977887E-2</v>
      </c>
      <c r="M147" s="832"/>
      <c r="N147" s="832"/>
      <c r="O147" s="48">
        <f>IF(t&lt;Tnet,'2021'!Resal+('2021'!Salim-'2021'!Resal)*(1-EXP(('2021'!Tnet-t)/('2021'!Tau_j))),Resal+(Salim-Resal)*(1-EXP((Tnet-t)/(Tau_j))))*Salcycl</f>
        <v>7.7730160716205704E-3</v>
      </c>
      <c r="P147" s="169">
        <f>(INDEX(Models!$BJ147:$BT147,,T147)*(1-R147)+INDEX(Models!$BJ147:$BT147,,T147+1)*R147-ERP_i)*Q147*Ramure*Pc/MaxiM</f>
        <v>7.0928171880249656E-4</v>
      </c>
      <c r="Q147" s="304">
        <f t="shared" si="53"/>
        <v>0.7</v>
      </c>
      <c r="R147" s="177">
        <f t="shared" si="54"/>
        <v>3.0359134017585471E-2</v>
      </c>
      <c r="S147" s="799">
        <f t="shared" si="55"/>
        <v>0</v>
      </c>
      <c r="T147" s="176">
        <f t="shared" si="56"/>
        <v>6</v>
      </c>
      <c r="U147" s="250">
        <f t="shared" si="57"/>
        <v>3.0359134017585471E-2</v>
      </c>
      <c r="V147" s="382">
        <f t="shared" si="58"/>
        <v>59.645426794318041</v>
      </c>
      <c r="W147" s="400">
        <f t="shared" si="59"/>
        <v>0</v>
      </c>
      <c r="X147" s="157">
        <f t="shared" si="60"/>
        <v>44694</v>
      </c>
      <c r="Y147" s="383">
        <f t="shared" si="61"/>
        <v>36.1920261175216</v>
      </c>
      <c r="Z147" s="383">
        <f t="shared" si="62"/>
        <v>37.047501083855252</v>
      </c>
      <c r="AA147" s="384">
        <f t="shared" si="63"/>
        <v>40.531617473157404</v>
      </c>
      <c r="AB147" s="197">
        <f t="shared" si="64"/>
        <v>44694</v>
      </c>
      <c r="AC147" s="119">
        <f>IF(OR(t&lt;Tnet,NoTnet),'2021'!Resal_s+('2021'!Salim-'2021'!Resal_s)*(1-EXP(('2021'!Tnet_s-t)/'2021'!Tau_j)),Resal_s+(Salim-Resal_s)*(1-EXP((Tnet_s-t)/Tau_j)))*Salcycl</f>
        <v>8.5960457699709378E-2</v>
      </c>
      <c r="AD147" s="230">
        <f>(INDEX(Models!$BJ147:$BT147,,AH147)*(1-AF147)+INDEX(Models!$BJ147:$BT147,,AH147+1)*AF147-ERP_i)*AE147*Ramure*Pc/MaxiM</f>
        <v>8.1295524133192967E-4</v>
      </c>
      <c r="AE147" s="304">
        <f t="shared" si="65"/>
        <v>0.7</v>
      </c>
      <c r="AF147" s="177">
        <f t="shared" si="66"/>
        <v>9.4691356277417621E-2</v>
      </c>
      <c r="AG147" s="799">
        <f t="shared" si="74"/>
        <v>0</v>
      </c>
      <c r="AH147" s="176">
        <f t="shared" si="67"/>
        <v>6</v>
      </c>
      <c r="AI147" s="224">
        <f t="shared" si="68"/>
        <v>9.4691356277417621E-2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44695</v>
      </c>
      <c r="B148" s="1147">
        <v>54.631999999999998</v>
      </c>
      <c r="C148" s="388"/>
      <c r="D148" s="391">
        <f t="shared" si="50"/>
        <v>55.92441446857827</v>
      </c>
      <c r="E148" s="383">
        <f t="shared" si="72"/>
        <v>56.366108204806935</v>
      </c>
      <c r="F148" s="383">
        <f t="shared" si="51"/>
        <v>56.398551343490134</v>
      </c>
      <c r="G148" s="110">
        <f t="shared" si="73"/>
        <v>0.91514492347736209</v>
      </c>
      <c r="H148" s="412" t="b">
        <f>Wh_hp&gt;='2021'!Maxi_hp</f>
        <v>0</v>
      </c>
      <c r="I148" s="379">
        <f>IF(H148,Wh_hp,'2021'!Maxi_hp)</f>
        <v>59.065123459499134</v>
      </c>
      <c r="J148" s="85">
        <f>IF(H148,An,'2021'!An_max)</f>
        <v>2018</v>
      </c>
      <c r="K148" s="197">
        <f t="shared" si="52"/>
        <v>44695</v>
      </c>
      <c r="L148" s="147">
        <f>IF(t&lt;Tvie,1-EXP((T0-t)*PertePVj)+'2021'!Pspv,1-EXP((T0-t)*PertePVj)+Pspv)</f>
        <v>2.3110022355342319E-2</v>
      </c>
      <c r="M148" s="832"/>
      <c r="N148" s="832"/>
      <c r="O148" s="48">
        <f>IF(t&lt;Tnet,'2021'!Resal+('2021'!Salim-'2021'!Resal)*(1-EXP(('2021'!Tnet-t)/('2021'!Tau_j))),Resal+(Salim-Resal)*(1-EXP((Tnet-t)/(Tau_j))))*Salcycl</f>
        <v>7.8361581151526298E-3</v>
      </c>
      <c r="P148" s="169">
        <f>(INDEX(Models!$BJ148:$BT148,,T148)*(1-R148)+INDEX(Models!$BJ148:$BT148,,T148+1)*R148-ERP_i)*Q148*Ramure*Pc/MaxiM</f>
        <v>6.5452201784256883E-4</v>
      </c>
      <c r="Q148" s="304">
        <f t="shared" si="53"/>
        <v>0.7</v>
      </c>
      <c r="R148" s="177">
        <f t="shared" si="54"/>
        <v>3.3397767270067366E-2</v>
      </c>
      <c r="S148" s="799">
        <f t="shared" si="55"/>
        <v>0</v>
      </c>
      <c r="T148" s="176">
        <f t="shared" si="56"/>
        <v>6</v>
      </c>
      <c r="U148" s="250">
        <f t="shared" si="57"/>
        <v>3.3397767270067366E-2</v>
      </c>
      <c r="V148" s="382">
        <f t="shared" si="58"/>
        <v>59.692913322184012</v>
      </c>
      <c r="W148" s="400">
        <f t="shared" si="59"/>
        <v>0</v>
      </c>
      <c r="X148" s="157">
        <f t="shared" si="60"/>
        <v>44695</v>
      </c>
      <c r="Y148" s="383">
        <f t="shared" si="61"/>
        <v>50.323415195238681</v>
      </c>
      <c r="Z148" s="383">
        <f t="shared" si="62"/>
        <v>51.51390263678573</v>
      </c>
      <c r="AA148" s="384">
        <f t="shared" si="63"/>
        <v>56.361159379741636</v>
      </c>
      <c r="AB148" s="197">
        <f t="shared" si="64"/>
        <v>44695</v>
      </c>
      <c r="AC148" s="119">
        <f>IF(OR(t&lt;Tnet,NoTnet),'2021'!Resal_s+('2021'!Salim-'2021'!Resal_s)*(1-EXP(('2021'!Tnet_s-t)/'2021'!Tau_j)),Resal_s+(Salim-Resal_s)*(1-EXP((Tnet_s-t)/Tau_j)))*Salcycl</f>
        <v>8.6003495958924411E-2</v>
      </c>
      <c r="AD148" s="230">
        <f>(INDEX(Models!$BJ148:$BT148,,AH148)*(1-AF148)+INDEX(Models!$BJ148:$BT148,,AH148+1)*AF148-ERP_i)*AE148*Ramure*Pc/MaxiM</f>
        <v>7.5436177130534722E-4</v>
      </c>
      <c r="AE148" s="304">
        <f t="shared" si="65"/>
        <v>0.7</v>
      </c>
      <c r="AF148" s="177">
        <f t="shared" si="66"/>
        <v>9.7729989529899516E-2</v>
      </c>
      <c r="AG148" s="799">
        <f t="shared" si="74"/>
        <v>0</v>
      </c>
      <c r="AH148" s="176">
        <f t="shared" si="67"/>
        <v>6</v>
      </c>
      <c r="AI148" s="224">
        <f t="shared" si="68"/>
        <v>9.7729989529899516E-2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44696</v>
      </c>
      <c r="B149" s="1147">
        <v>56.555</v>
      </c>
      <c r="C149" s="388"/>
      <c r="D149" s="391">
        <f t="shared" si="50"/>
        <v>57.89401588580666</v>
      </c>
      <c r="E149" s="383">
        <f t="shared" si="72"/>
        <v>58.354984453151751</v>
      </c>
      <c r="F149" s="383">
        <f t="shared" si="51"/>
        <v>58.387341752921579</v>
      </c>
      <c r="G149" s="110">
        <f t="shared" si="73"/>
        <v>0.94667573616747769</v>
      </c>
      <c r="H149" s="412" t="b">
        <f>Wh_hp&gt;='2021'!Maxi_hp</f>
        <v>0</v>
      </c>
      <c r="I149" s="379">
        <f>IF(H149,Wh_hp,'2021'!Maxi_hp)</f>
        <v>59.483162733669118</v>
      </c>
      <c r="J149" s="85">
        <f>IF(H149,An,'2021'!An_max)</f>
        <v>2018</v>
      </c>
      <c r="K149" s="197">
        <f t="shared" si="52"/>
        <v>44696</v>
      </c>
      <c r="L149" s="147">
        <f>IF(t&lt;Tvie,1-EXP((T0-t)*PertePVj)+'2021'!Pspv,1-EXP((T0-t)*PertePVj)+Pspv)</f>
        <v>2.3128744228899434E-2</v>
      </c>
      <c r="M149" s="832"/>
      <c r="N149" s="832"/>
      <c r="O149" s="48">
        <f>IF(t&lt;Tnet,'2021'!Resal+('2021'!Salim-'2021'!Resal)*(1-EXP(('2021'!Tnet-t)/('2021'!Tau_j))),Resal+(Salim-Resal)*(1-EXP((Tnet-t)/(Tau_j))))*Salcycl</f>
        <v>7.8993863448831043E-3</v>
      </c>
      <c r="P149" s="169">
        <f>(INDEX(Models!$BJ149:$BT149,,T149)*(1-R149)+INDEX(Models!$BJ149:$BT149,,T149+1)*R149-ERP_i)*Q149*Ramure*Pc/MaxiM</f>
        <v>5.9984079558445251E-4</v>
      </c>
      <c r="Q149" s="304">
        <f t="shared" si="53"/>
        <v>0.7</v>
      </c>
      <c r="R149" s="177">
        <f t="shared" si="54"/>
        <v>3.6500000642099073E-2</v>
      </c>
      <c r="S149" s="799">
        <f t="shared" si="55"/>
        <v>0</v>
      </c>
      <c r="T149" s="176">
        <f t="shared" si="56"/>
        <v>6</v>
      </c>
      <c r="U149" s="250">
        <f t="shared" si="57"/>
        <v>3.6500000642099073E-2</v>
      </c>
      <c r="V149" s="382">
        <f t="shared" si="58"/>
        <v>59.737895731044787</v>
      </c>
      <c r="W149" s="400">
        <f t="shared" si="59"/>
        <v>0</v>
      </c>
      <c r="X149" s="157">
        <f t="shared" si="60"/>
        <v>44696</v>
      </c>
      <c r="Y149" s="383">
        <f t="shared" si="61"/>
        <v>52.095557660070348</v>
      </c>
      <c r="Z149" s="383">
        <f t="shared" si="62"/>
        <v>53.3289902352059</v>
      </c>
      <c r="AA149" s="384">
        <f t="shared" si="63"/>
        <v>58.349830715229722</v>
      </c>
      <c r="AB149" s="197">
        <f t="shared" si="64"/>
        <v>44696</v>
      </c>
      <c r="AC149" s="119">
        <f>IF(OR(t&lt;Tnet,NoTnet),'2021'!Resal_s+('2021'!Salim-'2021'!Resal_s)*(1-EXP(('2021'!Tnet_s-t)/'2021'!Tau_j)),Resal_s+(Salim-Resal_s)*(1-EXP((Tnet_s-t)/Tau_j)))*Salcycl</f>
        <v>8.6047215878440358E-2</v>
      </c>
      <c r="AD149" s="230">
        <f>(INDEX(Models!$BJ149:$BT149,,AH149)*(1-AF149)+INDEX(Models!$BJ149:$BT149,,AH149+1)*AF149-ERP_i)*AE149*Ramure*Pc/MaxiM</f>
        <v>6.9538097592633031E-4</v>
      </c>
      <c r="AE149" s="304">
        <f t="shared" si="65"/>
        <v>0.7</v>
      </c>
      <c r="AF149" s="177">
        <f t="shared" si="66"/>
        <v>0.10083222290193122</v>
      </c>
      <c r="AG149" s="799">
        <f t="shared" si="74"/>
        <v>0</v>
      </c>
      <c r="AH149" s="176">
        <f t="shared" si="67"/>
        <v>6</v>
      </c>
      <c r="AI149" s="224">
        <f t="shared" si="68"/>
        <v>0.10083222290193122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44697</v>
      </c>
      <c r="B150" s="1147">
        <v>52.709000000000003</v>
      </c>
      <c r="C150" s="388"/>
      <c r="D150" s="391">
        <f t="shared" si="50"/>
        <v>53.957990742304005</v>
      </c>
      <c r="E150" s="383">
        <f t="shared" si="72"/>
        <v>54.391090521690352</v>
      </c>
      <c r="F150" s="383">
        <f t="shared" si="51"/>
        <v>54.415842149923833</v>
      </c>
      <c r="G150" s="110">
        <f t="shared" si="73"/>
        <v>0.88163777424319523</v>
      </c>
      <c r="H150" s="412" t="b">
        <f>Wh_hp&gt;='2021'!Maxi_hp</f>
        <v>0</v>
      </c>
      <c r="I150" s="379">
        <f>IF(H150,Wh_hp,'2021'!Maxi_hp)</f>
        <v>55.435904399739371</v>
      </c>
      <c r="J150" s="85">
        <f>IF(H150,An,'2021'!An_max)</f>
        <v>2018</v>
      </c>
      <c r="K150" s="197">
        <f t="shared" si="52"/>
        <v>44697</v>
      </c>
      <c r="L150" s="147">
        <f>IF(t&lt;Tvie,1-EXP((T0-t)*PertePVj)+'2021'!Pspv,1-EXP((T0-t)*PertePVj)+Pspv)</f>
        <v>2.3147465743656226E-2</v>
      </c>
      <c r="M150" s="832"/>
      <c r="N150" s="832"/>
      <c r="O150" s="48">
        <f>IF(t&lt;Tnet,'2021'!Resal+('2021'!Salim-'2021'!Resal)*(1-EXP(('2021'!Tnet-t)/('2021'!Tau_j))),Resal+(Salim-Resal)*(1-EXP((Tnet-t)/(Tau_j))))*Salcycl</f>
        <v>7.9626971114621966E-3</v>
      </c>
      <c r="P150" s="169">
        <f>(INDEX(Models!$BJ150:$BT150,,T150)*(1-R150)+INDEX(Models!$BJ150:$BT150,,T150+1)*R150-ERP_i)*Q150*Ramure*Pc/MaxiM</f>
        <v>5.4734725202395553E-4</v>
      </c>
      <c r="Q150" s="304">
        <f t="shared" si="53"/>
        <v>0.7</v>
      </c>
      <c r="R150" s="177">
        <f t="shared" si="54"/>
        <v>3.9665150610999955E-2</v>
      </c>
      <c r="S150" s="799">
        <f t="shared" si="55"/>
        <v>0</v>
      </c>
      <c r="T150" s="176">
        <f t="shared" si="56"/>
        <v>6</v>
      </c>
      <c r="U150" s="250">
        <f t="shared" si="57"/>
        <v>3.9665150610999955E-2</v>
      </c>
      <c r="V150" s="382">
        <f t="shared" si="58"/>
        <v>59.779792163907594</v>
      </c>
      <c r="W150" s="400">
        <f t="shared" si="59"/>
        <v>0</v>
      </c>
      <c r="X150" s="157">
        <f t="shared" si="60"/>
        <v>44697</v>
      </c>
      <c r="Y150" s="383">
        <f t="shared" si="61"/>
        <v>48.554184332102466</v>
      </c>
      <c r="Z150" s="383">
        <f t="shared" si="62"/>
        <v>49.704722698053594</v>
      </c>
      <c r="AA150" s="384">
        <f t="shared" si="63"/>
        <v>54.38698309509509</v>
      </c>
      <c r="AB150" s="197">
        <f t="shared" si="64"/>
        <v>44697</v>
      </c>
      <c r="AC150" s="119">
        <f>IF(OR(t&lt;Tnet,NoTnet),'2021'!Resal_s+('2021'!Salim-'2021'!Resal_s)*(1-EXP(('2021'!Tnet_s-t)/'2021'!Tau_j)),Resal_s+(Salim-Resal_s)*(1-EXP((Tnet_s-t)/Tau_j)))*Salcycl</f>
        <v>8.6091563285549649E-2</v>
      </c>
      <c r="AD150" s="230">
        <f>(INDEX(Models!$BJ150:$BT150,,AH150)*(1-AF150)+INDEX(Models!$BJ150:$BT150,,AH150+1)*AF150-ERP_i)*AE150*Ramure*Pc/MaxiM</f>
        <v>6.38177182023029E-4</v>
      </c>
      <c r="AE150" s="304">
        <f t="shared" si="65"/>
        <v>0.7</v>
      </c>
      <c r="AF150" s="177">
        <f t="shared" si="66"/>
        <v>0.10399737287083211</v>
      </c>
      <c r="AG150" s="799">
        <f t="shared" si="74"/>
        <v>0</v>
      </c>
      <c r="AH150" s="176">
        <f t="shared" si="67"/>
        <v>6</v>
      </c>
      <c r="AI150" s="224">
        <f t="shared" si="68"/>
        <v>0.10399737287083211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44698</v>
      </c>
      <c r="B151" s="1147">
        <v>57.678000000000004</v>
      </c>
      <c r="C151" s="388"/>
      <c r="D151" s="391">
        <f t="shared" si="50"/>
        <v>59.045867604577836</v>
      </c>
      <c r="E151" s="383">
        <f t="shared" si="72"/>
        <v>59.523609234124102</v>
      </c>
      <c r="F151" s="383">
        <f t="shared" si="51"/>
        <v>59.551773211807408</v>
      </c>
      <c r="G151" s="110">
        <f t="shared" si="73"/>
        <v>0.96419184055651808</v>
      </c>
      <c r="H151" s="412" t="b">
        <f>Wh_hp&gt;='2021'!Maxi_hp</f>
        <v>1</v>
      </c>
      <c r="I151" s="379">
        <f>IF(H151,Wh_hp,'2021'!Maxi_hp)</f>
        <v>59.551773211807408</v>
      </c>
      <c r="J151" s="85">
        <f>IF(H151,An,'2021'!An_max)</f>
        <v>2022</v>
      </c>
      <c r="K151" s="197">
        <f t="shared" si="52"/>
        <v>44698</v>
      </c>
      <c r="L151" s="147">
        <f>IF(t&lt;Tvie,1-EXP((T0-t)*PertePVj)+'2021'!Pspv,1-EXP((T0-t)*PertePVj)+Pspv)</f>
        <v>2.3166186899619357E-2</v>
      </c>
      <c r="M151" s="832"/>
      <c r="N151" s="832"/>
      <c r="O151" s="48">
        <f>IF(t&lt;Tnet,'2021'!Resal+('2021'!Salim-'2021'!Resal)*(1-EXP(('2021'!Tnet-t)/('2021'!Tau_j))),Resal+(Salim-Resal)*(1-EXP((Tnet-t)/(Tau_j))))*Salcycl</f>
        <v>8.0260863830882035E-3</v>
      </c>
      <c r="P151" s="169">
        <f>(INDEX(Models!$BJ151:$BT151,,T151)*(1-R151)+INDEX(Models!$BJ151:$BT151,,T151+1)*R151-ERP_i)*Q151*Ramure*Pc/MaxiM</f>
        <v>4.9841112445621197E-4</v>
      </c>
      <c r="Q151" s="304">
        <f t="shared" si="53"/>
        <v>0.7</v>
      </c>
      <c r="R151" s="177">
        <f t="shared" si="54"/>
        <v>4.2892397298979007E-2</v>
      </c>
      <c r="S151" s="799">
        <f t="shared" si="55"/>
        <v>0</v>
      </c>
      <c r="T151" s="176">
        <f t="shared" si="56"/>
        <v>6</v>
      </c>
      <c r="U151" s="250">
        <f t="shared" si="57"/>
        <v>4.2892397298979007E-2</v>
      </c>
      <c r="V151" s="382">
        <f t="shared" si="58"/>
        <v>59.818520890726191</v>
      </c>
      <c r="W151" s="400">
        <f t="shared" si="59"/>
        <v>0</v>
      </c>
      <c r="X151" s="157">
        <f t="shared" si="60"/>
        <v>44698</v>
      </c>
      <c r="Y151" s="383">
        <f t="shared" si="61"/>
        <v>53.131956398649073</v>
      </c>
      <c r="Z151" s="383">
        <f t="shared" si="62"/>
        <v>54.392011912459431</v>
      </c>
      <c r="AA151" s="384">
        <f t="shared" si="63"/>
        <v>59.518747397788559</v>
      </c>
      <c r="AB151" s="197">
        <f t="shared" si="64"/>
        <v>44698</v>
      </c>
      <c r="AC151" s="119">
        <f>IF(OR(t&lt;Tnet,NoTnet),'2021'!Resal_s+('2021'!Salim-'2021'!Resal_s)*(1-EXP(('2021'!Tnet_s-t)/'2021'!Tau_j)),Resal_s+(Salim-Resal_s)*(1-EXP((Tnet_s-t)/Tau_j)))*Salcycl</f>
        <v>8.6136481520100283E-2</v>
      </c>
      <c r="AD151" s="230">
        <f>(INDEX(Models!$BJ151:$BT151,,AH151)*(1-AF151)+INDEX(Models!$BJ151:$BT151,,AH151+1)*AF151-ERP_i)*AE151*Ramure*Pc/MaxiM</f>
        <v>5.8444987019620428E-4</v>
      </c>
      <c r="AE151" s="304">
        <f t="shared" si="65"/>
        <v>0.7</v>
      </c>
      <c r="AF151" s="177">
        <f t="shared" si="66"/>
        <v>0.10722461955881116</v>
      </c>
      <c r="AG151" s="799">
        <f t="shared" si="74"/>
        <v>0</v>
      </c>
      <c r="AH151" s="176">
        <f t="shared" si="67"/>
        <v>6</v>
      </c>
      <c r="AI151" s="224">
        <f t="shared" si="68"/>
        <v>0.10722461955881116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44699</v>
      </c>
      <c r="B152" s="1147">
        <v>55.283999999999999</v>
      </c>
      <c r="C152" s="388"/>
      <c r="D152" s="391">
        <f t="shared" si="50"/>
        <v>56.59617714305319</v>
      </c>
      <c r="E152" s="383">
        <f t="shared" si="72"/>
        <v>57.057748639119573</v>
      </c>
      <c r="F152" s="383">
        <f t="shared" si="51"/>
        <v>57.080786713570568</v>
      </c>
      <c r="G152" s="110">
        <f t="shared" si="73"/>
        <v>0.9236006034823927</v>
      </c>
      <c r="H152" s="412" t="b">
        <f>Wh_hp&gt;='2021'!Maxi_hp</f>
        <v>0</v>
      </c>
      <c r="I152" s="379">
        <f>IF(H152,Wh_hp,'2021'!Maxi_hp)</f>
        <v>60.850795316552379</v>
      </c>
      <c r="J152" s="85">
        <f>IF(H152,An,'2021'!An_max)</f>
        <v>2020</v>
      </c>
      <c r="K152" s="197">
        <f t="shared" si="52"/>
        <v>44699</v>
      </c>
      <c r="L152" s="147">
        <f>IF(t&lt;Tvie,1-EXP((T0-t)*PertePVj)+'2021'!Pspv,1-EXP((T0-t)*PertePVj)+Pspv)</f>
        <v>2.318490769679582E-2</v>
      </c>
      <c r="M152" s="832"/>
      <c r="N152" s="832"/>
      <c r="O152" s="48">
        <f>IF(t&lt;Tnet,'2021'!Resal+('2021'!Salim-'2021'!Resal)*(1-EXP(('2021'!Tnet-t)/('2021'!Tau_j))),Resal+(Salim-Resal)*(1-EXP((Tnet-t)/(Tau_j))))*Salcycl</f>
        <v>8.0895497469721193E-3</v>
      </c>
      <c r="P152" s="169">
        <f>(INDEX(Models!$BJ152:$BT152,,T152)*(1-R152)+INDEX(Models!$BJ152:$BT152,,T152+1)*R152-ERP_i)*Q152*Ramure*Pc/MaxiM</f>
        <v>4.5301850564844598E-4</v>
      </c>
      <c r="Q152" s="304">
        <f t="shared" si="53"/>
        <v>0.7</v>
      </c>
      <c r="R152" s="177">
        <f t="shared" si="54"/>
        <v>4.6180781478144695E-2</v>
      </c>
      <c r="S152" s="799">
        <f t="shared" si="55"/>
        <v>0</v>
      </c>
      <c r="T152" s="176">
        <f t="shared" si="56"/>
        <v>6</v>
      </c>
      <c r="U152" s="250">
        <f t="shared" si="57"/>
        <v>4.6180781478144695E-2</v>
      </c>
      <c r="V152" s="382">
        <f t="shared" si="58"/>
        <v>59.854082918911971</v>
      </c>
      <c r="W152" s="400">
        <f t="shared" si="59"/>
        <v>0</v>
      </c>
      <c r="X152" s="157">
        <f t="shared" si="60"/>
        <v>44699</v>
      </c>
      <c r="Y152" s="383">
        <f t="shared" si="61"/>
        <v>50.927847931520539</v>
      </c>
      <c r="Z152" s="383">
        <f t="shared" si="62"/>
        <v>52.136630906714629</v>
      </c>
      <c r="AA152" s="384">
        <f t="shared" si="63"/>
        <v>57.053621027032435</v>
      </c>
      <c r="AB152" s="197">
        <f t="shared" si="64"/>
        <v>44699</v>
      </c>
      <c r="AC152" s="119">
        <f>IF(OR(t&lt;Tnet,NoTnet),'2021'!Resal_s+('2021'!Salim-'2021'!Resal_s)*(1-EXP(('2021'!Tnet_s-t)/'2021'!Tau_j)),Resal_s+(Salim-Resal_s)*(1-EXP((Tnet_s-t)/Tau_j)))*Salcycl</f>
        <v>8.6181911538762701E-2</v>
      </c>
      <c r="AD152" s="230">
        <f>(INDEX(Models!$BJ152:$BT152,,AH152)*(1-AF152)+INDEX(Models!$BJ152:$BT152,,AH152+1)*AF152-ERP_i)*AE152*Ramure*Pc/MaxiM</f>
        <v>5.3418347729536548E-4</v>
      </c>
      <c r="AE152" s="304">
        <f t="shared" si="65"/>
        <v>0.7</v>
      </c>
      <c r="AF152" s="177">
        <f t="shared" si="66"/>
        <v>0.11051300373797684</v>
      </c>
      <c r="AG152" s="799">
        <f t="shared" si="74"/>
        <v>0</v>
      </c>
      <c r="AH152" s="176">
        <f t="shared" si="67"/>
        <v>6</v>
      </c>
      <c r="AI152" s="224">
        <f t="shared" si="68"/>
        <v>0.11051300373797684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44700</v>
      </c>
      <c r="B153" s="1147">
        <v>53.642000000000003</v>
      </c>
      <c r="C153" s="388"/>
      <c r="D153" s="391">
        <f t="shared" si="50"/>
        <v>54.916256391894407</v>
      </c>
      <c r="E153" s="383">
        <f t="shared" si="72"/>
        <v>55.367673597737578</v>
      </c>
      <c r="F153" s="383">
        <f t="shared" si="51"/>
        <v>55.387054142272113</v>
      </c>
      <c r="G153" s="110">
        <f t="shared" si="73"/>
        <v>0.89567318305970012</v>
      </c>
      <c r="H153" s="412" t="b">
        <f>Wh_hp&gt;='2021'!Maxi_hp</f>
        <v>0</v>
      </c>
      <c r="I153" s="379">
        <f>IF(H153,Wh_hp,'2021'!Maxi_hp)</f>
        <v>61.039716032201341</v>
      </c>
      <c r="J153" s="85">
        <f>IF(H153,An,'2021'!An_max)</f>
        <v>2020</v>
      </c>
      <c r="K153" s="197">
        <f t="shared" si="52"/>
        <v>44700</v>
      </c>
      <c r="L153" s="147">
        <f>IF(t&lt;Tvie,1-EXP((T0-t)*PertePVj)+'2021'!Pspv,1-EXP((T0-t)*PertePVj)+Pspv)</f>
        <v>2.32036281351925E-2</v>
      </c>
      <c r="M153" s="832"/>
      <c r="N153" s="832"/>
      <c r="O153" s="48">
        <f>IF(t&lt;Tnet,'2021'!Resal+('2021'!Salim-'2021'!Resal)*(1-EXP(('2021'!Tnet-t)/('2021'!Tau_j))),Resal+(Salim-Resal)*(1-EXP((Tnet-t)/(Tau_j))))*Salcycl</f>
        <v>8.1530824127243277E-3</v>
      </c>
      <c r="P153" s="169">
        <f>(INDEX(Models!$BJ153:$BT153,,T153)*(1-R153)+INDEX(Models!$BJ153:$BT153,,T153+1)*R153-ERP_i)*Q153*Ramure*Pc/MaxiM</f>
        <v>4.1115700140797052E-4</v>
      </c>
      <c r="Q153" s="304">
        <f t="shared" si="53"/>
        <v>0.7</v>
      </c>
      <c r="R153" s="177">
        <f t="shared" si="54"/>
        <v>4.9529202091981861E-2</v>
      </c>
      <c r="S153" s="799">
        <f t="shared" si="55"/>
        <v>0</v>
      </c>
      <c r="T153" s="176">
        <f t="shared" si="56"/>
        <v>6</v>
      </c>
      <c r="U153" s="250">
        <f t="shared" si="57"/>
        <v>4.9529202091981861E-2</v>
      </c>
      <c r="V153" s="382">
        <f t="shared" si="58"/>
        <v>59.886479255355084</v>
      </c>
      <c r="W153" s="400">
        <f t="shared" si="59"/>
        <v>0</v>
      </c>
      <c r="X153" s="157">
        <f t="shared" si="60"/>
        <v>44700</v>
      </c>
      <c r="Y153" s="383">
        <f t="shared" si="61"/>
        <v>49.416283721233803</v>
      </c>
      <c r="Z153" s="383">
        <f t="shared" si="62"/>
        <v>50.590158956971649</v>
      </c>
      <c r="AA153" s="384">
        <f t="shared" si="63"/>
        <v>55.364081459243607</v>
      </c>
      <c r="AB153" s="197">
        <f t="shared" si="64"/>
        <v>44700</v>
      </c>
      <c r="AC153" s="119">
        <f>IF(OR(t&lt;Tnet,NoTnet),'2021'!Resal_s+('2021'!Salim-'2021'!Resal_s)*(1-EXP(('2021'!Tnet_s-t)/'2021'!Tau_j)),Resal_s+(Salim-Resal_s)*(1-EXP((Tnet_s-t)/Tau_j)))*Salcycl</f>
        <v>8.6227792034918663E-2</v>
      </c>
      <c r="AD153" s="230">
        <f>(INDEX(Models!$BJ153:$BT153,,AH153)*(1-AF153)+INDEX(Models!$BJ153:$BT153,,AH153+1)*AF153-ERP_i)*AE153*Ramure*Pc/MaxiM</f>
        <v>4.8736398770774338E-4</v>
      </c>
      <c r="AE153" s="304">
        <f t="shared" si="65"/>
        <v>0.7</v>
      </c>
      <c r="AF153" s="177">
        <f t="shared" si="66"/>
        <v>0.11386142435181401</v>
      </c>
      <c r="AG153" s="799">
        <f t="shared" si="74"/>
        <v>0</v>
      </c>
      <c r="AH153" s="176">
        <f t="shared" si="67"/>
        <v>6</v>
      </c>
      <c r="AI153" s="224">
        <f t="shared" si="68"/>
        <v>0.11386142435181401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44701</v>
      </c>
      <c r="B154" s="1147">
        <v>52.014000000000003</v>
      </c>
      <c r="C154" s="388"/>
      <c r="D154" s="391">
        <f t="shared" si="50"/>
        <v>53.250604070371473</v>
      </c>
      <c r="E154" s="383">
        <f t="shared" si="72"/>
        <v>53.691772138666622</v>
      </c>
      <c r="F154" s="383">
        <f t="shared" si="51"/>
        <v>53.70802294913296</v>
      </c>
      <c r="G154" s="110">
        <f t="shared" si="73"/>
        <v>0.86805855609909433</v>
      </c>
      <c r="H154" s="412" t="b">
        <f>Wh_hp&gt;='2021'!Maxi_hp</f>
        <v>0</v>
      </c>
      <c r="I154" s="379">
        <f>IF(H154,Wh_hp,'2021'!Maxi_hp)</f>
        <v>60.491890433923544</v>
      </c>
      <c r="J154" s="85">
        <f>IF(H154,An,'2021'!An_max)</f>
        <v>2020</v>
      </c>
      <c r="K154" s="197">
        <f t="shared" si="52"/>
        <v>44701</v>
      </c>
      <c r="L154" s="147">
        <f>IF(t&lt;Tvie,1-EXP((T0-t)*PertePVj)+'2021'!Pspv,1-EXP((T0-t)*PertePVj)+Pspv)</f>
        <v>2.3222348214816169E-2</v>
      </c>
      <c r="M154" s="832"/>
      <c r="N154" s="832"/>
      <c r="O154" s="48">
        <f>IF(t&lt;Tnet,'2021'!Resal+('2021'!Salim-'2021'!Resal)*(1-EXP(('2021'!Tnet-t)/('2021'!Tau_j))),Resal+(Salim-Resal)*(1-EXP((Tnet-t)/(Tau_j))))*Salcycl</f>
        <v>8.2166792177351036E-3</v>
      </c>
      <c r="P154" s="169">
        <f>(INDEX(Models!$BJ154:$BT154,,T154)*(1-R154)+INDEX(Models!$BJ154:$BT154,,T154+1)*R154-ERP_i)*Q154*Ramure*Pc/MaxiM</f>
        <v>3.7281567578486662E-4</v>
      </c>
      <c r="Q154" s="304">
        <f t="shared" si="53"/>
        <v>0.7</v>
      </c>
      <c r="R154" s="177">
        <f t="shared" si="54"/>
        <v>5.2936414338110416E-2</v>
      </c>
      <c r="S154" s="799">
        <f t="shared" si="55"/>
        <v>0</v>
      </c>
      <c r="T154" s="176">
        <f t="shared" si="56"/>
        <v>6</v>
      </c>
      <c r="U154" s="250">
        <f t="shared" si="57"/>
        <v>5.2936414338110416E-2</v>
      </c>
      <c r="V154" s="382">
        <f t="shared" si="58"/>
        <v>59.915710907273848</v>
      </c>
      <c r="W154" s="400">
        <f t="shared" si="59"/>
        <v>0</v>
      </c>
      <c r="X154" s="157">
        <f t="shared" si="60"/>
        <v>44701</v>
      </c>
      <c r="Y154" s="383">
        <f t="shared" si="61"/>
        <v>47.917518166625108</v>
      </c>
      <c r="Z154" s="383">
        <f t="shared" si="62"/>
        <v>49.056730648013726</v>
      </c>
      <c r="AA154" s="384">
        <f t="shared" si="63"/>
        <v>53.688670177351106</v>
      </c>
      <c r="AB154" s="197">
        <f t="shared" si="64"/>
        <v>44701</v>
      </c>
      <c r="AC154" s="119">
        <f>IF(OR(t&lt;Tnet,NoTnet),'2021'!Resal_s+('2021'!Salim-'2021'!Resal_s)*(1-EXP(('2021'!Tnet_s-t)/'2021'!Tau_j)),Resal_s+(Salim-Resal_s)*(1-EXP((Tnet_s-t)/Tau_j)))*Salcycl</f>
        <v>8.6274059574144468E-2</v>
      </c>
      <c r="AD154" s="230">
        <f>(INDEX(Models!$BJ154:$BT154,,AH154)*(1-AF154)+INDEX(Models!$BJ154:$BT154,,AH154+1)*AF154-ERP_i)*AE154*Ramure*Pc/MaxiM</f>
        <v>4.4397888370587024E-4</v>
      </c>
      <c r="AE154" s="304">
        <f t="shared" si="65"/>
        <v>0.7</v>
      </c>
      <c r="AF154" s="177">
        <f t="shared" si="66"/>
        <v>0.11726863659794257</v>
      </c>
      <c r="AG154" s="799">
        <f t="shared" si="74"/>
        <v>0</v>
      </c>
      <c r="AH154" s="176">
        <f t="shared" si="67"/>
        <v>6</v>
      </c>
      <c r="AI154" s="224">
        <f t="shared" si="68"/>
        <v>0.11726863659794257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44702</v>
      </c>
      <c r="B155" s="1147">
        <v>56.969000000000001</v>
      </c>
      <c r="C155" s="388"/>
      <c r="D155" s="391">
        <f t="shared" si="50"/>
        <v>58.324524229943982</v>
      </c>
      <c r="E155" s="383">
        <f t="shared" si="72"/>
        <v>58.811503156443557</v>
      </c>
      <c r="F155" s="383">
        <f t="shared" si="51"/>
        <v>58.829978065696231</v>
      </c>
      <c r="G155" s="110">
        <f t="shared" si="73"/>
        <v>0.95038279562446504</v>
      </c>
      <c r="H155" s="412" t="b">
        <f>Wh_hp&gt;='2021'!Maxi_hp</f>
        <v>0</v>
      </c>
      <c r="I155" s="379">
        <f>IF(H155,Wh_hp,'2021'!Maxi_hp)</f>
        <v>59.791074222210042</v>
      </c>
      <c r="J155" s="85">
        <f>IF(H155,An,'2021'!An_max)</f>
        <v>2020</v>
      </c>
      <c r="K155" s="197">
        <f t="shared" si="52"/>
        <v>44702</v>
      </c>
      <c r="L155" s="147">
        <f>IF(t&lt;Tvie,1-EXP((T0-t)*PertePVj)+'2021'!Pspv,1-EXP((T0-t)*PertePVj)+Pspv)</f>
        <v>2.324106793567382E-2</v>
      </c>
      <c r="M155" s="832"/>
      <c r="N155" s="832"/>
      <c r="O155" s="48">
        <f>IF(t&lt;Tnet,'2021'!Resal+('2021'!Salim-'2021'!Resal)*(1-EXP(('2021'!Tnet-t)/('2021'!Tau_j))),Resal+(Salim-Resal)*(1-EXP((Tnet-t)/(Tau_j))))*Salcycl</f>
        <v>8.2803346346066384E-3</v>
      </c>
      <c r="P155" s="169">
        <f>(INDEX(Models!$BJ155:$BT155,,T155)*(1-R155)+INDEX(Models!$BJ155:$BT155,,T155+1)*R155-ERP_i)*Q155*Ramure*Pc/MaxiM</f>
        <v>3.3798499613333136E-4</v>
      </c>
      <c r="Q155" s="304">
        <f t="shared" si="53"/>
        <v>0.7</v>
      </c>
      <c r="R155" s="177">
        <f t="shared" si="54"/>
        <v>5.6401028354864699E-2</v>
      </c>
      <c r="S155" s="799">
        <f t="shared" si="55"/>
        <v>0</v>
      </c>
      <c r="T155" s="176">
        <f t="shared" si="56"/>
        <v>6</v>
      </c>
      <c r="U155" s="250">
        <f t="shared" si="57"/>
        <v>5.6401028354864699E-2</v>
      </c>
      <c r="V155" s="382">
        <f t="shared" si="58"/>
        <v>59.941778887411338</v>
      </c>
      <c r="W155" s="400">
        <f t="shared" si="59"/>
        <v>0</v>
      </c>
      <c r="X155" s="157">
        <f t="shared" si="60"/>
        <v>44702</v>
      </c>
      <c r="Y155" s="383">
        <f t="shared" si="61"/>
        <v>52.482779384296826</v>
      </c>
      <c r="Z155" s="383">
        <f t="shared" si="62"/>
        <v>53.731558178206122</v>
      </c>
      <c r="AA155" s="384">
        <f t="shared" si="63"/>
        <v>58.807893715020981</v>
      </c>
      <c r="AB155" s="197">
        <f t="shared" si="64"/>
        <v>44702</v>
      </c>
      <c r="AC155" s="119">
        <f>IF(OR(t&lt;Tnet,NoTnet),'2021'!Resal_s+('2021'!Salim-'2021'!Resal_s)*(1-EXP(('2021'!Tnet_s-t)/'2021'!Tau_j)),Resal_s+(Salim-Resal_s)*(1-EXP((Tnet_s-t)/Tau_j)))*Salcycl</f>
        <v>8.632064874512313E-2</v>
      </c>
      <c r="AD155" s="230">
        <f>(INDEX(Models!$BJ155:$BT155,,AH155)*(1-AF155)+INDEX(Models!$BJ155:$BT155,,AH155+1)*AF155-ERP_i)*AE155*Ramure*Pc/MaxiM</f>
        <v>4.0401709559161519E-4</v>
      </c>
      <c r="AE155" s="304">
        <f t="shared" si="65"/>
        <v>0.7</v>
      </c>
      <c r="AF155" s="177">
        <f t="shared" si="66"/>
        <v>0.12073325061469685</v>
      </c>
      <c r="AG155" s="799">
        <f t="shared" si="74"/>
        <v>0</v>
      </c>
      <c r="AH155" s="176">
        <f t="shared" si="67"/>
        <v>6</v>
      </c>
      <c r="AI155" s="224">
        <f t="shared" si="68"/>
        <v>0.12073325061469685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44703</v>
      </c>
      <c r="B156" s="1147">
        <v>43.34</v>
      </c>
      <c r="C156" s="388"/>
      <c r="D156" s="391">
        <f t="shared" si="50"/>
        <v>44.372085265227824</v>
      </c>
      <c r="E156" s="383">
        <f t="shared" si="72"/>
        <v>44.745443157171756</v>
      </c>
      <c r="F156" s="383">
        <f t="shared" si="51"/>
        <v>44.753761466206001</v>
      </c>
      <c r="G156" s="110">
        <f t="shared" si="73"/>
        <v>0.72267142946793395</v>
      </c>
      <c r="H156" s="412" t="b">
        <f>Wh_hp&gt;='2021'!Maxi_hp</f>
        <v>0</v>
      </c>
      <c r="I156" s="379">
        <f>IF(H156,Wh_hp,'2021'!Maxi_hp)</f>
        <v>60.114527951171105</v>
      </c>
      <c r="J156" s="85">
        <f>IF(H156,An,'2021'!An_max)</f>
        <v>2018</v>
      </c>
      <c r="K156" s="197">
        <f t="shared" si="52"/>
        <v>44703</v>
      </c>
      <c r="L156" s="147">
        <f>IF(t&lt;Tvie,1-EXP((T0-t)*PertePVj)+'2021'!Pspv,1-EXP((T0-t)*PertePVj)+Pspv)</f>
        <v>2.3259787297772339E-2</v>
      </c>
      <c r="M156" s="832"/>
      <c r="N156" s="832"/>
      <c r="O156" s="48">
        <f>IF(t&lt;Tnet,'2021'!Resal+('2021'!Salim-'2021'!Resal)*(1-EXP(('2021'!Tnet-t)/('2021'!Tau_j))),Resal+(Salim-Resal)*(1-EXP((Tnet-t)/(Tau_j))))*Salcycl</f>
        <v>8.3440427806801623E-3</v>
      </c>
      <c r="P156" s="169">
        <f>(INDEX(Models!$BJ156:$BT156,,T156)*(1-R156)+INDEX(Models!$BJ156:$BT156,,T156+1)*R156-ERP_i)*Q156*Ramure*Pc/MaxiM</f>
        <v>3.0775855073792059E-4</v>
      </c>
      <c r="Q156" s="304">
        <f t="shared" si="53"/>
        <v>0.7</v>
      </c>
      <c r="R156" s="177">
        <f t="shared" si="54"/>
        <v>5.9921508551309149E-2</v>
      </c>
      <c r="S156" s="799">
        <f t="shared" si="55"/>
        <v>0</v>
      </c>
      <c r="T156" s="176">
        <f t="shared" si="56"/>
        <v>6</v>
      </c>
      <c r="U156" s="250">
        <f t="shared" si="57"/>
        <v>5.9921508551309149E-2</v>
      </c>
      <c r="V156" s="382">
        <f t="shared" si="58"/>
        <v>59.964618124902557</v>
      </c>
      <c r="W156" s="400">
        <f t="shared" si="59"/>
        <v>0</v>
      </c>
      <c r="X156" s="157">
        <f t="shared" si="60"/>
        <v>44703</v>
      </c>
      <c r="Y156" s="383">
        <f t="shared" si="61"/>
        <v>39.92853904857099</v>
      </c>
      <c r="Z156" s="383">
        <f t="shared" si="62"/>
        <v>40.879384844927785</v>
      </c>
      <c r="AA156" s="384">
        <f t="shared" si="63"/>
        <v>44.74379414211905</v>
      </c>
      <c r="AB156" s="197">
        <f t="shared" si="64"/>
        <v>44703</v>
      </c>
      <c r="AC156" s="119">
        <f>IF(OR(t&lt;Tnet,NoTnet),'2021'!Resal_s+('2021'!Salim-'2021'!Resal_s)*(1-EXP(('2021'!Tnet_s-t)/'2021'!Tau_j)),Resal_s+(Salim-Resal_s)*(1-EXP((Tnet_s-t)/Tau_j)))*Salcycl</f>
        <v>8.6367492325679876E-2</v>
      </c>
      <c r="AD156" s="230">
        <f>(INDEX(Models!$BJ156:$BT156,,AH156)*(1-AF156)+INDEX(Models!$BJ156:$BT156,,AH156+1)*AF156-ERP_i)*AE156*Ramure*Pc/MaxiM</f>
        <v>3.6876836423211415E-4</v>
      </c>
      <c r="AE156" s="304">
        <f t="shared" si="65"/>
        <v>0.7</v>
      </c>
      <c r="AF156" s="177">
        <f t="shared" si="66"/>
        <v>0.1242537308111413</v>
      </c>
      <c r="AG156" s="799">
        <f t="shared" si="74"/>
        <v>0</v>
      </c>
      <c r="AH156" s="176">
        <f t="shared" si="67"/>
        <v>6</v>
      </c>
      <c r="AI156" s="224">
        <f t="shared" si="68"/>
        <v>0.1242537308111413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44704</v>
      </c>
      <c r="B157" s="1147">
        <v>18.029</v>
      </c>
      <c r="C157" s="388"/>
      <c r="D157" s="391">
        <f t="shared" si="50"/>
        <v>18.458690748908872</v>
      </c>
      <c r="E157" s="383">
        <f t="shared" si="72"/>
        <v>18.615203609973886</v>
      </c>
      <c r="F157" s="383">
        <f t="shared" si="51"/>
        <v>18.615207796629207</v>
      </c>
      <c r="G157" s="110">
        <f t="shared" si="73"/>
        <v>0.30047760331059647</v>
      </c>
      <c r="H157" s="412" t="b">
        <f>Wh_hp&gt;='2021'!Maxi_hp</f>
        <v>0</v>
      </c>
      <c r="I157" s="379">
        <f>IF(H157,Wh_hp,'2021'!Maxi_hp)</f>
        <v>59.059449252254765</v>
      </c>
      <c r="J157" s="85">
        <f>IF(H157,An,'2021'!An_max)</f>
        <v>2018</v>
      </c>
      <c r="K157" s="197">
        <f t="shared" si="52"/>
        <v>44704</v>
      </c>
      <c r="L157" s="147">
        <f>IF(t&lt;Tvie,1-EXP((T0-t)*PertePVj)+'2021'!Pspv,1-EXP((T0-t)*PertePVj)+Pspv)</f>
        <v>2.3278506301118496E-2</v>
      </c>
      <c r="M157" s="832"/>
      <c r="N157" s="832"/>
      <c r="O157" s="48">
        <f>IF(t&lt;Tnet,'2021'!Resal+('2021'!Salim-'2021'!Resal)*(1-EXP(('2021'!Tnet-t)/('2021'!Tau_j))),Resal+(Salim-Resal)*(1-EXP((Tnet-t)/(Tau_j))))*Salcycl</f>
        <v>8.4077974296857139E-3</v>
      </c>
      <c r="P157" s="169">
        <f>(INDEX(Models!$BJ157:$BT157,,T157)*(1-R157)+INDEX(Models!$BJ157:$BT157,,T157+1)*R157-ERP_i)*Q157*Ramure*Pc/MaxiM</f>
        <v>2.8024697656564432E-4</v>
      </c>
      <c r="Q157" s="304">
        <f t="shared" si="53"/>
        <v>0.7</v>
      </c>
      <c r="R157" s="177">
        <f t="shared" si="54"/>
        <v>6.3496173616727047E-2</v>
      </c>
      <c r="S157" s="799">
        <f t="shared" si="55"/>
        <v>0</v>
      </c>
      <c r="T157" s="176">
        <f t="shared" si="56"/>
        <v>6</v>
      </c>
      <c r="U157" s="250">
        <f t="shared" si="57"/>
        <v>6.3496173616727047E-2</v>
      </c>
      <c r="V157" s="382">
        <f t="shared" si="58"/>
        <v>59.984342534532693</v>
      </c>
      <c r="W157" s="400">
        <f t="shared" si="59"/>
        <v>0</v>
      </c>
      <c r="X157" s="157">
        <f t="shared" si="60"/>
        <v>44704</v>
      </c>
      <c r="Y157" s="383">
        <f t="shared" si="61"/>
        <v>16.610691175930285</v>
      </c>
      <c r="Z157" s="383">
        <f t="shared" si="62"/>
        <v>17.006578930729745</v>
      </c>
      <c r="AA157" s="384">
        <f t="shared" si="63"/>
        <v>18.615202770049478</v>
      </c>
      <c r="AB157" s="197">
        <f t="shared" si="64"/>
        <v>44704</v>
      </c>
      <c r="AC157" s="119">
        <f>IF(OR(t&lt;Tnet,NoTnet),'2021'!Resal_s+('2021'!Salim-'2021'!Resal_s)*(1-EXP(('2021'!Tnet_s-t)/'2021'!Tau_j)),Resal_s+(Salim-Resal_s)*(1-EXP((Tnet_s-t)/Tau_j)))*Salcycl</f>
        <v>8.6414521463493876E-2</v>
      </c>
      <c r="AD157" s="230">
        <f>(INDEX(Models!$BJ157:$BT157,,AH157)*(1-AF157)+INDEX(Models!$BJ157:$BT157,,AH157+1)*AF157-ERP_i)*AE157*Ramure*Pc/MaxiM</f>
        <v>3.3646996562744426E-4</v>
      </c>
      <c r="AE157" s="304">
        <f t="shared" si="65"/>
        <v>0.7</v>
      </c>
      <c r="AF157" s="177">
        <f t="shared" si="66"/>
        <v>0.1278283958765592</v>
      </c>
      <c r="AG157" s="799">
        <f t="shared" si="74"/>
        <v>0</v>
      </c>
      <c r="AH157" s="176">
        <f t="shared" si="67"/>
        <v>6</v>
      </c>
      <c r="AI157" s="224">
        <f t="shared" si="68"/>
        <v>0.1278283958765592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44705</v>
      </c>
      <c r="B158" s="1147">
        <v>15.669</v>
      </c>
      <c r="C158" s="388"/>
      <c r="D158" s="391">
        <f t="shared" si="50"/>
        <v>16.042751592601125</v>
      </c>
      <c r="E158" s="383">
        <f t="shared" si="72"/>
        <v>16.179820430333173</v>
      </c>
      <c r="F158" s="383">
        <f t="shared" si="51"/>
        <v>16.179820430333173</v>
      </c>
      <c r="G158" s="110">
        <f t="shared" si="73"/>
        <v>0.26107914297154938</v>
      </c>
      <c r="H158" s="412" t="b">
        <f>Wh_hp&gt;='2021'!Maxi_hp</f>
        <v>0</v>
      </c>
      <c r="I158" s="379">
        <f>IF(H158,Wh_hp,'2021'!Maxi_hp)</f>
        <v>26.660992397930677</v>
      </c>
      <c r="J158" s="85">
        <f>IF(H158,An,'2021'!An_max)</f>
        <v>2021</v>
      </c>
      <c r="K158" s="197">
        <f t="shared" si="52"/>
        <v>44705</v>
      </c>
      <c r="L158" s="147">
        <f>IF(t&lt;Tvie,1-EXP((T0-t)*PertePVj)+'2021'!Pspv,1-EXP((T0-t)*PertePVj)+Pspv)</f>
        <v>2.3297224945719286E-2</v>
      </c>
      <c r="M158" s="832"/>
      <c r="N158" s="832"/>
      <c r="O158" s="48">
        <f>IF(t&lt;Tnet,'2021'!Resal+('2021'!Salim-'2021'!Resal)*(1-EXP(('2021'!Tnet-t)/('2021'!Tau_j))),Resal+(Salim-Resal)*(1-EXP((Tnet-t)/(Tau_j))))*Salcycl</f>
        <v>8.4715920255257673E-3</v>
      </c>
      <c r="P158" s="169">
        <f>(INDEX(Models!$BJ158:$BT158,,T158)*(1-R158)+INDEX(Models!$BJ158:$BT158,,T158+1)*R158-ERP_i)*Q158*Ramure*Pc/MaxiM</f>
        <v>2.5549400622398177E-4</v>
      </c>
      <c r="Q158" s="304">
        <f t="shared" si="53"/>
        <v>0.7</v>
      </c>
      <c r="R158" s="177">
        <f t="shared" si="54"/>
        <v>6.7123197241390653E-2</v>
      </c>
      <c r="S158" s="799">
        <f t="shared" si="55"/>
        <v>0</v>
      </c>
      <c r="T158" s="176">
        <f t="shared" si="56"/>
        <v>6</v>
      </c>
      <c r="U158" s="250">
        <f t="shared" si="57"/>
        <v>6.7123197241390653E-2</v>
      </c>
      <c r="V158" s="382">
        <f t="shared" si="58"/>
        <v>60.000950233406961</v>
      </c>
      <c r="W158" s="400">
        <f t="shared" si="59"/>
        <v>0</v>
      </c>
      <c r="X158" s="157">
        <f t="shared" si="60"/>
        <v>44705</v>
      </c>
      <c r="Y158" s="383">
        <f t="shared" si="61"/>
        <v>14.436532571679409</v>
      </c>
      <c r="Z158" s="383">
        <f t="shared" si="62"/>
        <v>14.780886202434607</v>
      </c>
      <c r="AA158" s="384">
        <f t="shared" si="63"/>
        <v>16.179820430333173</v>
      </c>
      <c r="AB158" s="197">
        <f t="shared" si="64"/>
        <v>44705</v>
      </c>
      <c r="AC158" s="119">
        <f>IF(OR(t&lt;Tnet,NoTnet),'2021'!Resal_s+('2021'!Salim-'2021'!Resal_s)*(1-EXP(('2021'!Tnet_s-t)/'2021'!Tau_j)),Resal_s+(Salim-Resal_s)*(1-EXP((Tnet_s-t)/Tau_j)))*Salcycl</f>
        <v>8.6461665870896195E-2</v>
      </c>
      <c r="AD158" s="230">
        <f>(INDEX(Models!$BJ158:$BT158,,AH158)*(1-AF158)+INDEX(Models!$BJ158:$BT158,,AH158+1)*AF158-ERP_i)*AE158*Ramure*Pc/MaxiM</f>
        <v>3.071664549273833E-4</v>
      </c>
      <c r="AE158" s="304">
        <f t="shared" si="65"/>
        <v>0.7</v>
      </c>
      <c r="AF158" s="177">
        <f t="shared" si="66"/>
        <v>0.1314554195012228</v>
      </c>
      <c r="AG158" s="799">
        <f t="shared" si="74"/>
        <v>0</v>
      </c>
      <c r="AH158" s="176">
        <f t="shared" si="67"/>
        <v>6</v>
      </c>
      <c r="AI158" s="224">
        <f t="shared" si="68"/>
        <v>0.1314554195012228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44706</v>
      </c>
      <c r="B159" s="1147">
        <v>43.300000000000004</v>
      </c>
      <c r="C159" s="388"/>
      <c r="D159" s="391">
        <f t="shared" si="50"/>
        <v>44.333681603514556</v>
      </c>
      <c r="E159" s="383">
        <f t="shared" si="72"/>
        <v>44.715345847270569</v>
      </c>
      <c r="F159" s="383">
        <f t="shared" si="51"/>
        <v>44.721634917325446</v>
      </c>
      <c r="G159" s="110">
        <f t="shared" si="73"/>
        <v>0.7214259865900442</v>
      </c>
      <c r="H159" s="412" t="b">
        <f>Wh_hp&gt;='2021'!Maxi_hp</f>
        <v>0</v>
      </c>
      <c r="I159" s="379">
        <f>IF(H159,Wh_hp,'2021'!Maxi_hp)</f>
        <v>56.87087566419774</v>
      </c>
      <c r="J159" s="85">
        <f>IF(H159,An,'2021'!An_max)</f>
        <v>2020</v>
      </c>
      <c r="K159" s="197">
        <f t="shared" si="52"/>
        <v>44706</v>
      </c>
      <c r="L159" s="147">
        <f>IF(t&lt;Tvie,1-EXP((T0-t)*PertePVj)+'2021'!Pspv,1-EXP((T0-t)*PertePVj)+Pspv)</f>
        <v>2.3315943231581482E-2</v>
      </c>
      <c r="M159" s="832"/>
      <c r="N159" s="832"/>
      <c r="O159" s="48">
        <f>IF(t&lt;Tnet,'2021'!Resal+('2021'!Salim-'2021'!Resal)*(1-EXP(('2021'!Tnet-t)/('2021'!Tau_j))),Resal+(Salim-Resal)*(1-EXP((Tnet-t)/(Tau_j))))*Salcycl</f>
        <v>8.5354196981864312E-3</v>
      </c>
      <c r="P159" s="169">
        <f>(INDEX(Models!$BJ159:$BT159,,T159)*(1-R159)+INDEX(Models!$BJ159:$BT159,,T159+1)*R159-ERP_i)*Q159*Ramure*Pc/MaxiM</f>
        <v>2.3354813036807905E-4</v>
      </c>
      <c r="Q159" s="304">
        <f t="shared" si="53"/>
        <v>0.7</v>
      </c>
      <c r="R159" s="177">
        <f t="shared" si="54"/>
        <v>7.0800609575564305E-2</v>
      </c>
      <c r="S159" s="799">
        <f t="shared" si="55"/>
        <v>0</v>
      </c>
      <c r="T159" s="176">
        <f t="shared" si="56"/>
        <v>6</v>
      </c>
      <c r="U159" s="250">
        <f t="shared" si="57"/>
        <v>7.0800609575564305E-2</v>
      </c>
      <c r="V159" s="382">
        <f t="shared" si="58"/>
        <v>60.014439117296774</v>
      </c>
      <c r="W159" s="400">
        <f t="shared" si="59"/>
        <v>0</v>
      </c>
      <c r="X159" s="157">
        <f t="shared" si="60"/>
        <v>44706</v>
      </c>
      <c r="Y159" s="383">
        <f t="shared" si="61"/>
        <v>39.893546670966785</v>
      </c>
      <c r="Z159" s="383">
        <f t="shared" si="62"/>
        <v>40.845907532230704</v>
      </c>
      <c r="AA159" s="384">
        <f t="shared" si="63"/>
        <v>44.714070533210524</v>
      </c>
      <c r="AB159" s="197">
        <f t="shared" si="64"/>
        <v>44706</v>
      </c>
      <c r="AC159" s="119">
        <f>IF(OR(t&lt;Tnet,NoTnet),'2021'!Resal_s+('2021'!Salim-'2021'!Resal_s)*(1-EXP(('2021'!Tnet_s-t)/'2021'!Tau_j)),Resal_s+(Salim-Resal_s)*(1-EXP((Tnet_s-t)/Tau_j)))*Salcycl</f>
        <v>8.650885403302333E-2</v>
      </c>
      <c r="AD159" s="230">
        <f>(INDEX(Models!$BJ159:$BT159,,AH159)*(1-AF159)+INDEX(Models!$BJ159:$BT159,,AH159+1)*AF159-ERP_i)*AE159*Ramure*Pc/MaxiM</f>
        <v>2.8090763054167703E-4</v>
      </c>
      <c r="AE159" s="304">
        <f t="shared" si="65"/>
        <v>0.7</v>
      </c>
      <c r="AF159" s="177">
        <f t="shared" si="66"/>
        <v>0.13513283183539646</v>
      </c>
      <c r="AG159" s="799">
        <f t="shared" si="74"/>
        <v>0</v>
      </c>
      <c r="AH159" s="176">
        <f t="shared" si="67"/>
        <v>6</v>
      </c>
      <c r="AI159" s="224">
        <f t="shared" si="68"/>
        <v>0.13513283183539646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44707</v>
      </c>
      <c r="B160" s="1147">
        <v>31.830000000000002</v>
      </c>
      <c r="C160" s="388"/>
      <c r="D160" s="391">
        <f t="shared" si="50"/>
        <v>32.590487994345118</v>
      </c>
      <c r="E160" s="383">
        <f t="shared" si="72"/>
        <v>32.873173396015886</v>
      </c>
      <c r="F160" s="383">
        <f t="shared" si="51"/>
        <v>32.875492814981982</v>
      </c>
      <c r="G160" s="110">
        <f t="shared" si="73"/>
        <v>0.53020443802412887</v>
      </c>
      <c r="H160" s="412" t="b">
        <f>Wh_hp&gt;='2021'!Maxi_hp</f>
        <v>0</v>
      </c>
      <c r="I160" s="379">
        <f>IF(H160,Wh_hp,'2021'!Maxi_hp)</f>
        <v>60.853144099626277</v>
      </c>
      <c r="J160" s="85">
        <f>IF(H160,An,'2021'!An_max)</f>
        <v>2020</v>
      </c>
      <c r="K160" s="197">
        <f t="shared" si="52"/>
        <v>44707</v>
      </c>
      <c r="L160" s="147">
        <f>IF(t&lt;Tvie,1-EXP((T0-t)*PertePVj)+'2021'!Pspv,1-EXP((T0-t)*PertePVj)+Pspv)</f>
        <v>2.3334661158711967E-2</v>
      </c>
      <c r="M160" s="832"/>
      <c r="N160" s="832"/>
      <c r="O160" s="48">
        <f>IF(t&lt;Tnet,'2021'!Resal+('2021'!Salim-'2021'!Resal)*(1-EXP(('2021'!Tnet-t)/('2021'!Tau_j))),Resal+(Salim-Resal)*(1-EXP((Tnet-t)/(Tau_j))))*Salcycl</f>
        <v>8.5992732817522372E-3</v>
      </c>
      <c r="P160" s="169">
        <f>(INDEX(Models!$BJ160:$BT160,,T160)*(1-R160)+INDEX(Models!$BJ160:$BT160,,T160+1)*R160-ERP_i)*Q160*Ramure*Pc/MaxiM</f>
        <v>2.1446050617714054E-4</v>
      </c>
      <c r="Q160" s="304">
        <f t="shared" si="53"/>
        <v>0.7</v>
      </c>
      <c r="R160" s="177">
        <f t="shared" si="54"/>
        <v>7.4526299448230166E-2</v>
      </c>
      <c r="S160" s="799">
        <f t="shared" si="55"/>
        <v>0</v>
      </c>
      <c r="T160" s="176">
        <f t="shared" si="56"/>
        <v>6</v>
      </c>
      <c r="U160" s="250">
        <f t="shared" si="57"/>
        <v>7.4526299448230166E-2</v>
      </c>
      <c r="V160" s="382">
        <f t="shared" si="58"/>
        <v>60.024806988151418</v>
      </c>
      <c r="W160" s="400">
        <f t="shared" si="59"/>
        <v>0</v>
      </c>
      <c r="X160" s="157">
        <f t="shared" si="60"/>
        <v>44707</v>
      </c>
      <c r="Y160" s="383">
        <f t="shared" si="61"/>
        <v>29.326696319822322</v>
      </c>
      <c r="Z160" s="383">
        <f t="shared" si="62"/>
        <v>30.02737493952166</v>
      </c>
      <c r="AA160" s="384">
        <f t="shared" si="63"/>
        <v>32.87270525719299</v>
      </c>
      <c r="AB160" s="197">
        <f t="shared" si="64"/>
        <v>44707</v>
      </c>
      <c r="AC160" s="119">
        <f>IF(OR(t&lt;Tnet,NoTnet),'2021'!Resal_s+('2021'!Salim-'2021'!Resal_s)*(1-EXP(('2021'!Tnet_s-t)/'2021'!Tau_j)),Resal_s+(Salim-Resal_s)*(1-EXP((Tnet_s-t)/Tau_j)))*Salcycl</f>
        <v>8.6556013428457756E-2</v>
      </c>
      <c r="AD160" s="230">
        <f>(INDEX(Models!$BJ160:$BT160,,AH160)*(1-AF160)+INDEX(Models!$BJ160:$BT160,,AH160+1)*AF160-ERP_i)*AE160*Ramure*Pc/MaxiM</f>
        <v>2.5774604035057509E-4</v>
      </c>
      <c r="AE160" s="304">
        <f t="shared" si="65"/>
        <v>0.7</v>
      </c>
      <c r="AF160" s="177">
        <f t="shared" si="66"/>
        <v>0.13885852170806232</v>
      </c>
      <c r="AG160" s="799">
        <f t="shared" si="74"/>
        <v>0</v>
      </c>
      <c r="AH160" s="176">
        <f t="shared" si="67"/>
        <v>6</v>
      </c>
      <c r="AI160" s="224">
        <f t="shared" si="68"/>
        <v>0.13885852170806232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44708</v>
      </c>
      <c r="B161" s="1147">
        <v>47.417000000000002</v>
      </c>
      <c r="C161" s="388"/>
      <c r="D161" s="391">
        <f t="shared" si="50"/>
        <v>48.550825822957862</v>
      </c>
      <c r="E161" s="383">
        <f t="shared" si="72"/>
        <v>48.975104269011716</v>
      </c>
      <c r="F161" s="383">
        <f t="shared" si="51"/>
        <v>48.98190100543458</v>
      </c>
      <c r="G161" s="110">
        <f t="shared" si="73"/>
        <v>0.78981437235299301</v>
      </c>
      <c r="H161" s="412" t="b">
        <f>Wh_hp&gt;='2021'!Maxi_hp</f>
        <v>0</v>
      </c>
      <c r="I161" s="379">
        <f>IF(H161,Wh_hp,'2021'!Maxi_hp)</f>
        <v>61.029310689463564</v>
      </c>
      <c r="J161" s="85">
        <f>IF(H161,An,'2021'!An_max)</f>
        <v>2021</v>
      </c>
      <c r="K161" s="197">
        <f t="shared" si="52"/>
        <v>44708</v>
      </c>
      <c r="L161" s="147">
        <f>IF(t&lt;Tvie,1-EXP((T0-t)*PertePVj)+'2021'!Pspv,1-EXP((T0-t)*PertePVj)+Pspv)</f>
        <v>2.3353378727117735E-2</v>
      </c>
      <c r="M161" s="832"/>
      <c r="N161" s="832"/>
      <c r="O161" s="48">
        <f>IF(t&lt;Tnet,'2021'!Resal+('2021'!Salim-'2021'!Resal)*(1-EXP(('2021'!Tnet-t)/('2021'!Tau_j))),Resal+(Salim-Resal)*(1-EXP((Tnet-t)/(Tau_j))))*Salcycl</f>
        <v>8.6631453344820312E-3</v>
      </c>
      <c r="P161" s="169">
        <f>(INDEX(Models!$BJ161:$BT161,,T161)*(1-R161)+INDEX(Models!$BJ161:$BT161,,T161+1)*R161-ERP_i)*Q161*Ramure*Pc/MaxiM</f>
        <v>1.9828488831998166E-4</v>
      </c>
      <c r="Q161" s="304">
        <f t="shared" si="53"/>
        <v>0.7</v>
      </c>
      <c r="R161" s="177">
        <f t="shared" si="54"/>
        <v>7.8298017361010858E-2</v>
      </c>
      <c r="S161" s="799">
        <f t="shared" si="55"/>
        <v>0</v>
      </c>
      <c r="T161" s="176">
        <f t="shared" si="56"/>
        <v>6</v>
      </c>
      <c r="U161" s="250">
        <f t="shared" si="57"/>
        <v>7.8298017361010858E-2</v>
      </c>
      <c r="V161" s="382">
        <f t="shared" si="58"/>
        <v>60.03205156042138</v>
      </c>
      <c r="W161" s="400">
        <f t="shared" si="59"/>
        <v>0</v>
      </c>
      <c r="X161" s="157">
        <f t="shared" si="60"/>
        <v>44708</v>
      </c>
      <c r="Y161" s="383">
        <f t="shared" si="61"/>
        <v>43.687820220167779</v>
      </c>
      <c r="Z161" s="383">
        <f t="shared" si="62"/>
        <v>44.732474641880813</v>
      </c>
      <c r="AA161" s="384">
        <f t="shared" si="63"/>
        <v>48.973751947214296</v>
      </c>
      <c r="AB161" s="197">
        <f t="shared" si="64"/>
        <v>44708</v>
      </c>
      <c r="AC161" s="119">
        <f>IF(OR(t&lt;Tnet,NoTnet),'2021'!Resal_s+('2021'!Salim-'2021'!Resal_s)*(1-EXP(('2021'!Tnet_s-t)/'2021'!Tau_j)),Resal_s+(Salim-Resal_s)*(1-EXP((Tnet_s-t)/Tau_j)))*Salcycl</f>
        <v>8.6603070761351708E-2</v>
      </c>
      <c r="AD161" s="230">
        <f>(INDEX(Models!$BJ161:$BT161,,AH161)*(1-AF161)+INDEX(Models!$BJ161:$BT161,,AH161+1)*AF161-ERP_i)*AE161*Ramure*Pc/MaxiM</f>
        <v>2.3773690762596408E-4</v>
      </c>
      <c r="AE161" s="304">
        <f t="shared" si="65"/>
        <v>0.7</v>
      </c>
      <c r="AF161" s="177">
        <f t="shared" si="66"/>
        <v>0.14263023962084301</v>
      </c>
      <c r="AG161" s="799">
        <f t="shared" si="74"/>
        <v>0</v>
      </c>
      <c r="AH161" s="176">
        <f t="shared" si="67"/>
        <v>6</v>
      </c>
      <c r="AI161" s="224">
        <f t="shared" si="68"/>
        <v>0.14263023962084301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44709</v>
      </c>
      <c r="B162" s="1147">
        <v>55.948999999999998</v>
      </c>
      <c r="C162" s="388"/>
      <c r="D162" s="391">
        <f t="shared" si="50"/>
        <v>57.287939211267627</v>
      </c>
      <c r="E162" s="383">
        <f t="shared" si="72"/>
        <v>57.792294190147196</v>
      </c>
      <c r="F162" s="383">
        <f t="shared" si="51"/>
        <v>57.801951615334175</v>
      </c>
      <c r="G162" s="110">
        <f t="shared" si="73"/>
        <v>0.93190475570715459</v>
      </c>
      <c r="H162" s="412" t="b">
        <f>Wh_hp&gt;='2021'!Maxi_hp</f>
        <v>0</v>
      </c>
      <c r="I162" s="379">
        <f>IF(H162,Wh_hp,'2021'!Maxi_hp)</f>
        <v>60.065997038035896</v>
      </c>
      <c r="J162" s="85">
        <f>IF(H162,An,'2021'!An_max)</f>
        <v>2020</v>
      </c>
      <c r="K162" s="197">
        <f t="shared" si="52"/>
        <v>44709</v>
      </c>
      <c r="L162" s="147">
        <f>IF(t&lt;Tvie,1-EXP((T0-t)*PertePVj)+'2021'!Pspv,1-EXP((T0-t)*PertePVj)+Pspv)</f>
        <v>2.3372095936805559E-2</v>
      </c>
      <c r="M162" s="832"/>
      <c r="N162" s="832"/>
      <c r="O162" s="48">
        <f>IF(t&lt;Tnet,'2021'!Resal+('2021'!Salim-'2021'!Resal)*(1-EXP(('2021'!Tnet-t)/('2021'!Tau_j))),Resal+(Salim-Resal)*(1-EXP((Tnet-t)/(Tau_j))))*Salcycl</f>
        <v>8.7270281608850739E-3</v>
      </c>
      <c r="P162" s="169">
        <f>(INDEX(Models!$BJ162:$BT162,,T162)*(1-R162)+INDEX(Models!$BJ162:$BT162,,T162+1)*R162-ERP_i)*Q162*Ramure*Pc/MaxiM</f>
        <v>1.8507754757556537E-4</v>
      </c>
      <c r="Q162" s="304">
        <f t="shared" si="53"/>
        <v>0.7</v>
      </c>
      <c r="R162" s="177">
        <f t="shared" si="54"/>
        <v>8.2113379266244763E-2</v>
      </c>
      <c r="S162" s="799">
        <f t="shared" si="55"/>
        <v>0</v>
      </c>
      <c r="T162" s="176">
        <f t="shared" si="56"/>
        <v>6</v>
      </c>
      <c r="U162" s="250">
        <f t="shared" si="57"/>
        <v>8.2113379266244763E-2</v>
      </c>
      <c r="V162" s="382">
        <f t="shared" si="58"/>
        <v>60.036170459913585</v>
      </c>
      <c r="W162" s="400">
        <f t="shared" si="59"/>
        <v>0</v>
      </c>
      <c r="X162" s="157">
        <f t="shared" si="60"/>
        <v>44709</v>
      </c>
      <c r="Y162" s="383">
        <f t="shared" si="61"/>
        <v>51.54923891988566</v>
      </c>
      <c r="Z162" s="383">
        <f t="shared" si="62"/>
        <v>52.782885585614061</v>
      </c>
      <c r="AA162" s="384">
        <f t="shared" si="63"/>
        <v>57.790422974169203</v>
      </c>
      <c r="AB162" s="197">
        <f t="shared" si="64"/>
        <v>44709</v>
      </c>
      <c r="AC162" s="119">
        <f>IF(OR(t&lt;Tnet,NoTnet),'2021'!Resal_s+('2021'!Salim-'2021'!Resal_s)*(1-EXP(('2021'!Tnet_s-t)/'2021'!Tau_j)),Resal_s+(Salim-Resal_s)*(1-EXP((Tnet_s-t)/Tau_j)))*Salcycl</f>
        <v>8.6649952203903854E-2</v>
      </c>
      <c r="AD162" s="230">
        <f>(INDEX(Models!$BJ162:$BT162,,AH162)*(1-AF162)+INDEX(Models!$BJ162:$BT162,,AH162+1)*AF162-ERP_i)*AE162*Ramure*Pc/MaxiM</f>
        <v>2.2093804429036638E-4</v>
      </c>
      <c r="AE162" s="304">
        <f t="shared" si="65"/>
        <v>0.7</v>
      </c>
      <c r="AF162" s="177">
        <f t="shared" si="66"/>
        <v>0.14644560152607691</v>
      </c>
      <c r="AG162" s="799">
        <f t="shared" si="74"/>
        <v>0</v>
      </c>
      <c r="AH162" s="176">
        <f t="shared" si="67"/>
        <v>6</v>
      </c>
      <c r="AI162" s="224">
        <f t="shared" si="68"/>
        <v>0.14644560152607691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44710</v>
      </c>
      <c r="B163" s="1147">
        <v>61.463999999999999</v>
      </c>
      <c r="C163" s="388"/>
      <c r="D163" s="391">
        <f t="shared" si="50"/>
        <v>62.936127168178935</v>
      </c>
      <c r="E163" s="383">
        <f t="shared" si="72"/>
        <v>63.494300089323382</v>
      </c>
      <c r="F163" s="383">
        <f t="shared" si="51"/>
        <v>63.505407005756894</v>
      </c>
      <c r="G163" s="110">
        <f t="shared" si="73"/>
        <v>1.0237659265557491</v>
      </c>
      <c r="H163" s="412" t="b">
        <f>Wh_hp&gt;='2021'!Maxi_hp</f>
        <v>1</v>
      </c>
      <c r="I163" s="379">
        <f>IF(H163,Wh_hp,'2021'!Maxi_hp)</f>
        <v>63.505407005756894</v>
      </c>
      <c r="J163" s="85">
        <f>IF(H163,An,'2021'!An_max)</f>
        <v>2022</v>
      </c>
      <c r="K163" s="197">
        <f t="shared" si="52"/>
        <v>44710</v>
      </c>
      <c r="L163" s="147">
        <f>IF(t&lt;Tvie,1-EXP((T0-t)*PertePVj)+'2021'!Pspv,1-EXP((T0-t)*PertePVj)+Pspv)</f>
        <v>2.3390812787782322E-2</v>
      </c>
      <c r="M163" s="832"/>
      <c r="N163" s="832"/>
      <c r="O163" s="48">
        <f>IF(t&lt;Tnet,'2021'!Resal+('2021'!Salim-'2021'!Resal)*(1-EXP(('2021'!Tnet-t)/('2021'!Tau_j))),Resal+(Salim-Resal)*(1-EXP((Tnet-t)/(Tau_j))))*Salcycl</f>
        <v>8.7909138357177685E-3</v>
      </c>
      <c r="P163" s="169">
        <f>(INDEX(Models!$BJ163:$BT163,,T163)*(1-R163)+INDEX(Models!$BJ163:$BT163,,T163+1)*R163-ERP_i)*Q163*Ramure*Pc/MaxiM</f>
        <v>1.7489717737736757E-4</v>
      </c>
      <c r="Q163" s="304">
        <f t="shared" si="53"/>
        <v>0.7</v>
      </c>
      <c r="R163" s="177">
        <f t="shared" si="54"/>
        <v>8.5969871131222342E-2</v>
      </c>
      <c r="S163" s="799">
        <f t="shared" si="55"/>
        <v>0</v>
      </c>
      <c r="T163" s="176">
        <f t="shared" si="56"/>
        <v>6</v>
      </c>
      <c r="U163" s="250">
        <f t="shared" si="57"/>
        <v>8.5969871131222342E-2</v>
      </c>
      <c r="V163" s="382">
        <f t="shared" si="58"/>
        <v>60.037161235462335</v>
      </c>
      <c r="W163" s="400">
        <f t="shared" si="59"/>
        <v>0</v>
      </c>
      <c r="X163" s="157">
        <f t="shared" si="60"/>
        <v>44710</v>
      </c>
      <c r="Y163" s="383">
        <f t="shared" si="61"/>
        <v>56.631296609795669</v>
      </c>
      <c r="Z163" s="383">
        <f t="shared" si="62"/>
        <v>57.987675470730196</v>
      </c>
      <c r="AA163" s="384">
        <f t="shared" si="63"/>
        <v>63.492235365050711</v>
      </c>
      <c r="AB163" s="197">
        <f t="shared" si="64"/>
        <v>44710</v>
      </c>
      <c r="AC163" s="119">
        <f>IF(OR(t&lt;Tnet,NoTnet),'2021'!Resal_s+('2021'!Salim-'2021'!Resal_s)*(1-EXP(('2021'!Tnet_s-t)/'2021'!Tau_j)),Resal_s+(Salim-Resal_s)*(1-EXP((Tnet_s-t)/Tau_j)))*Salcycl</f>
        <v>8.669658364793531E-2</v>
      </c>
      <c r="AD163" s="230">
        <f>(INDEX(Models!$BJ163:$BT163,,AH163)*(1-AF163)+INDEX(Models!$BJ163:$BT163,,AH163+1)*AF163-ERP_i)*AE163*Ramure*Pc/MaxiM</f>
        <v>2.0740975181835866E-4</v>
      </c>
      <c r="AE163" s="304">
        <f t="shared" si="65"/>
        <v>0.7</v>
      </c>
      <c r="AF163" s="177">
        <f t="shared" si="66"/>
        <v>0.15030209339105449</v>
      </c>
      <c r="AG163" s="799">
        <f t="shared" si="74"/>
        <v>0</v>
      </c>
      <c r="AH163" s="176">
        <f t="shared" si="67"/>
        <v>6</v>
      </c>
      <c r="AI163" s="224">
        <f t="shared" si="68"/>
        <v>0.15030209339105449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44711</v>
      </c>
      <c r="B164" s="1147">
        <v>47.874000000000002</v>
      </c>
      <c r="C164" s="388"/>
      <c r="D164" s="391">
        <f t="shared" si="50"/>
        <v>49.021571923292633</v>
      </c>
      <c r="E164" s="383">
        <f t="shared" si="72"/>
        <v>49.459525847374756</v>
      </c>
      <c r="F164" s="383">
        <f t="shared" si="51"/>
        <v>49.465430324717083</v>
      </c>
      <c r="G164" s="110">
        <f t="shared" si="73"/>
        <v>0.79739591437844315</v>
      </c>
      <c r="H164" s="412" t="b">
        <f>Wh_hp&gt;='2021'!Maxi_hp</f>
        <v>0</v>
      </c>
      <c r="I164" s="379">
        <f>IF(H164,Wh_hp,'2021'!Maxi_hp)</f>
        <v>61.091879244383499</v>
      </c>
      <c r="J164" s="85">
        <f>IF(H164,An,'2021'!An_max)</f>
        <v>2018</v>
      </c>
      <c r="K164" s="197">
        <f t="shared" si="52"/>
        <v>44711</v>
      </c>
      <c r="L164" s="147">
        <f>IF(t&lt;Tvie,1-EXP((T0-t)*PertePVj)+'2021'!Pspv,1-EXP((T0-t)*PertePVj)+Pspv)</f>
        <v>2.3409529280054797E-2</v>
      </c>
      <c r="M164" s="832"/>
      <c r="N164" s="832"/>
      <c r="O164" s="48">
        <f>IF(t&lt;Tnet,'2021'!Resal+('2021'!Salim-'2021'!Resal)*(1-EXP(('2021'!Tnet-t)/('2021'!Tau_j))),Resal+(Salim-Resal)*(1-EXP((Tnet-t)/(Tau_j))))*Salcycl</f>
        <v>8.8547942298029935E-3</v>
      </c>
      <c r="P164" s="169">
        <f>(INDEX(Models!$BJ164:$BT164,,T164)*(1-R164)+INDEX(Models!$BJ164:$BT164,,T164+1)*R164-ERP_i)*Q164*Ramure*Pc/MaxiM</f>
        <v>1.6797383904514993E-4</v>
      </c>
      <c r="Q164" s="304">
        <f t="shared" si="53"/>
        <v>0.7</v>
      </c>
      <c r="R164" s="177">
        <f t="shared" si="54"/>
        <v>8.9864854283292384E-2</v>
      </c>
      <c r="S164" s="799">
        <f t="shared" si="55"/>
        <v>0</v>
      </c>
      <c r="T164" s="176">
        <f t="shared" si="56"/>
        <v>6</v>
      </c>
      <c r="U164" s="250">
        <f t="shared" si="57"/>
        <v>8.9864854283292384E-2</v>
      </c>
      <c r="V164" s="382">
        <f t="shared" si="58"/>
        <v>60.03501120899913</v>
      </c>
      <c r="W164" s="400">
        <f t="shared" si="59"/>
        <v>0</v>
      </c>
      <c r="X164" s="157">
        <f t="shared" si="60"/>
        <v>44711</v>
      </c>
      <c r="Y164" s="383">
        <f t="shared" si="61"/>
        <v>44.110946114149542</v>
      </c>
      <c r="Z164" s="383">
        <f t="shared" si="62"/>
        <v>45.168315109229795</v>
      </c>
      <c r="AA164" s="384">
        <f t="shared" si="63"/>
        <v>49.4584872784814</v>
      </c>
      <c r="AB164" s="197">
        <f t="shared" si="64"/>
        <v>44711</v>
      </c>
      <c r="AC164" s="119">
        <f>IF(OR(t&lt;Tnet,NoTnet),'2021'!Resal_s+('2021'!Salim-'2021'!Resal_s)*(1-EXP(('2021'!Tnet_s-t)/'2021'!Tau_j)),Resal_s+(Salim-Resal_s)*(1-EXP((Tnet_s-t)/Tau_j)))*Salcycl</f>
        <v>8.6742890964200375E-2</v>
      </c>
      <c r="AD164" s="230">
        <f>(INDEX(Models!$BJ164:$BT164,,AH164)*(1-AF164)+INDEX(Models!$BJ164:$BT164,,AH164+1)*AF164-ERP_i)*AE164*Ramure*Pc/MaxiM</f>
        <v>1.9751962168020355E-4</v>
      </c>
      <c r="AE164" s="304">
        <f t="shared" si="65"/>
        <v>0.7</v>
      </c>
      <c r="AF164" s="177">
        <f t="shared" si="66"/>
        <v>0.15419707654312453</v>
      </c>
      <c r="AG164" s="799">
        <f t="shared" si="74"/>
        <v>0</v>
      </c>
      <c r="AH164" s="176">
        <f t="shared" si="67"/>
        <v>6</v>
      </c>
      <c r="AI164" s="224">
        <f t="shared" si="68"/>
        <v>0.15419707654312453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44712</v>
      </c>
      <c r="B165" s="1147">
        <v>57.689</v>
      </c>
      <c r="C165" s="388"/>
      <c r="D165" s="391">
        <f t="shared" si="50"/>
        <v>59.072976183336742</v>
      </c>
      <c r="E165" s="383">
        <f t="shared" si="72"/>
        <v>59.604569131712047</v>
      </c>
      <c r="F165" s="383">
        <f t="shared" si="51"/>
        <v>59.613692590822119</v>
      </c>
      <c r="G165" s="110">
        <f t="shared" si="73"/>
        <v>0.9609964620011765</v>
      </c>
      <c r="H165" s="412" t="b">
        <f>Wh_hp&gt;='2021'!Maxi_hp</f>
        <v>0</v>
      </c>
      <c r="I165" s="379">
        <f>IF(H165,Wh_hp,'2021'!Maxi_hp)</f>
        <v>61.846036188985813</v>
      </c>
      <c r="J165" s="85">
        <f>IF(H165,An,'2021'!An_max)</f>
        <v>2018</v>
      </c>
      <c r="K165" s="197">
        <f t="shared" si="52"/>
        <v>44712</v>
      </c>
      <c r="L165" s="147">
        <f>IF(t&lt;Tvie,1-EXP((T0-t)*PertePVj)+'2021'!Pspv,1-EXP((T0-t)*PertePVj)+Pspv)</f>
        <v>2.3428245413630089E-2</v>
      </c>
      <c r="M165" s="832"/>
      <c r="N165" s="832"/>
      <c r="O165" s="48">
        <f>IF(t&lt;Tnet,'2021'!Resal+('2021'!Salim-'2021'!Resal)*(1-EXP(('2021'!Tnet-t)/('2021'!Tau_j))),Resal+(Salim-Resal)*(1-EXP((Tnet-t)/(Tau_j))))*Salcycl</f>
        <v>8.9186610375559441E-3</v>
      </c>
      <c r="P165" s="169">
        <f>(INDEX(Models!$BJ165:$BT165,,T165)*(1-R165)+INDEX(Models!$BJ165:$BT165,,T165+1)*R165-ERP_i)*Q165*Ramure*Pc/MaxiM</f>
        <v>1.6207152171457507E-4</v>
      </c>
      <c r="Q165" s="304">
        <f t="shared" si="53"/>
        <v>0.7</v>
      </c>
      <c r="R165" s="177">
        <f t="shared" si="54"/>
        <v>9.3795571522993726E-2</v>
      </c>
      <c r="S165" s="799">
        <f t="shared" si="55"/>
        <v>0</v>
      </c>
      <c r="T165" s="176">
        <f t="shared" si="56"/>
        <v>6</v>
      </c>
      <c r="U165" s="250">
        <f t="shared" si="57"/>
        <v>9.3795571522993726E-2</v>
      </c>
      <c r="V165" s="382">
        <f t="shared" si="58"/>
        <v>60.029855837852928</v>
      </c>
      <c r="W165" s="400">
        <f t="shared" si="59"/>
        <v>0</v>
      </c>
      <c r="X165" s="157">
        <f t="shared" si="60"/>
        <v>44712</v>
      </c>
      <c r="Y165" s="383">
        <f t="shared" si="61"/>
        <v>53.154973554423933</v>
      </c>
      <c r="Z165" s="383">
        <f t="shared" si="62"/>
        <v>54.430177101464388</v>
      </c>
      <c r="AA165" s="384">
        <f t="shared" si="63"/>
        <v>59.603054712246006</v>
      </c>
      <c r="AB165" s="197">
        <f t="shared" si="64"/>
        <v>44712</v>
      </c>
      <c r="AC165" s="119">
        <f>IF(OR(t&lt;Tnet,NoTnet),'2021'!Resal_s+('2021'!Salim-'2021'!Resal_s)*(1-EXP(('2021'!Tnet_s-t)/'2021'!Tau_j)),Resal_s+(Salim-Resal_s)*(1-EXP((Tnet_s-t)/Tau_j)))*Salcycl</f>
        <v>8.6788800267963484E-2</v>
      </c>
      <c r="AD165" s="230">
        <f>(INDEX(Models!$BJ165:$BT165,,AH165)*(1-AF165)+INDEX(Models!$BJ165:$BT165,,AH165+1)*AF165-ERP_i)*AE165*Ramure*Pc/MaxiM</f>
        <v>1.8897406650762437E-4</v>
      </c>
      <c r="AE165" s="304">
        <f t="shared" si="65"/>
        <v>0.7</v>
      </c>
      <c r="AF165" s="177">
        <f t="shared" si="66"/>
        <v>0.15812779378282588</v>
      </c>
      <c r="AG165" s="799">
        <f t="shared" si="74"/>
        <v>0</v>
      </c>
      <c r="AH165" s="176">
        <f t="shared" si="67"/>
        <v>6</v>
      </c>
      <c r="AI165" s="224">
        <f t="shared" si="68"/>
        <v>0.15812779378282588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44713</v>
      </c>
      <c r="B166" s="1147">
        <v>59.828000000000003</v>
      </c>
      <c r="C166" s="388"/>
      <c r="D166" s="391">
        <f t="shared" si="50"/>
        <v>61.264465545889585</v>
      </c>
      <c r="E166" s="383">
        <f t="shared" si="72"/>
        <v>61.819761916232792</v>
      </c>
      <c r="F166" s="383">
        <f t="shared" si="51"/>
        <v>61.829440016910972</v>
      </c>
      <c r="G166" s="110">
        <f t="shared" si="73"/>
        <v>0.99677223549312743</v>
      </c>
      <c r="H166" s="412" t="b">
        <f>Wh_hp&gt;='2021'!Maxi_hp</f>
        <v>0</v>
      </c>
      <c r="I166" s="379">
        <f>IF(H166,Wh_hp,'2021'!Maxi_hp)</f>
        <v>63.6031019014615</v>
      </c>
      <c r="J166" s="85">
        <f>IF(H166,An,'2021'!An_max)</f>
        <v>2018</v>
      </c>
      <c r="K166" s="197">
        <f t="shared" si="52"/>
        <v>44713</v>
      </c>
      <c r="L166" s="147">
        <f>IF(t&lt;Tvie,1-EXP((T0-t)*PertePVj)+'2021'!Pspv,1-EXP((T0-t)*PertePVj)+Pspv)</f>
        <v>2.344696118851497E-2</v>
      </c>
      <c r="M166" s="832"/>
      <c r="N166" s="832"/>
      <c r="O166" s="48">
        <f>IF(t&lt;Tnet,'2021'!Resal+('2021'!Salim-'2021'!Resal)*(1-EXP(('2021'!Tnet-t)/('2021'!Tau_j))),Resal+(Salim-Resal)*(1-EXP((Tnet-t)/(Tau_j))))*Salcycl</f>
        <v>8.9825058060826659E-3</v>
      </c>
      <c r="P166" s="169">
        <f>(INDEX(Models!$BJ166:$BT166,,T166)*(1-R166)+INDEX(Models!$BJ166:$BT166,,T166+1)*R166-ERP_i)*Q166*Ramure*Pc/MaxiM</f>
        <v>1.5725395434987194E-4</v>
      </c>
      <c r="Q166" s="304">
        <f t="shared" si="53"/>
        <v>0.7</v>
      </c>
      <c r="R166" s="177">
        <f t="shared" si="54"/>
        <v>9.7759153984659619E-2</v>
      </c>
      <c r="S166" s="799">
        <f t="shared" si="55"/>
        <v>0</v>
      </c>
      <c r="T166" s="176">
        <f t="shared" si="56"/>
        <v>6</v>
      </c>
      <c r="U166" s="250">
        <f t="shared" si="57"/>
        <v>9.7759153984659619E-2</v>
      </c>
      <c r="V166" s="382">
        <f t="shared" si="58"/>
        <v>60.021692509619335</v>
      </c>
      <c r="W166" s="400">
        <f t="shared" si="59"/>
        <v>0</v>
      </c>
      <c r="X166" s="157">
        <f t="shared" si="60"/>
        <v>44713</v>
      </c>
      <c r="Y166" s="383">
        <f t="shared" si="61"/>
        <v>55.126720103305331</v>
      </c>
      <c r="Z166" s="383">
        <f t="shared" si="62"/>
        <v>56.450308290881331</v>
      </c>
      <c r="AA166" s="384">
        <f t="shared" si="63"/>
        <v>61.818248834632108</v>
      </c>
      <c r="AB166" s="197">
        <f t="shared" si="64"/>
        <v>44713</v>
      </c>
      <c r="AC166" s="119">
        <f>IF(OR(t&lt;Tnet,NoTnet),'2021'!Resal_s+('2021'!Salim-'2021'!Resal_s)*(1-EXP(('2021'!Tnet_s-t)/'2021'!Tau_j)),Resal_s+(Salim-Resal_s)*(1-EXP((Tnet_s-t)/Tau_j)))*Salcycl</f>
        <v>8.6834238189282459E-2</v>
      </c>
      <c r="AD166" s="230">
        <f>(INDEX(Models!$BJ166:$BT166,,AH166)*(1-AF166)+INDEX(Models!$BJ166:$BT166,,AH166+1)*AF166-ERP_i)*AE166*Ramure*Pc/MaxiM</f>
        <v>1.8183915684703733E-4</v>
      </c>
      <c r="AE166" s="304">
        <f t="shared" si="65"/>
        <v>0.7</v>
      </c>
      <c r="AF166" s="177">
        <f t="shared" si="66"/>
        <v>0.16209137624449177</v>
      </c>
      <c r="AG166" s="799">
        <f t="shared" si="74"/>
        <v>0</v>
      </c>
      <c r="AH166" s="176">
        <f t="shared" si="67"/>
        <v>6</v>
      </c>
      <c r="AI166" s="224">
        <f t="shared" si="68"/>
        <v>0.16209137624449177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44714</v>
      </c>
      <c r="B167" s="1147">
        <v>41.484000000000002</v>
      </c>
      <c r="C167" s="388"/>
      <c r="D167" s="391">
        <f t="shared" si="50"/>
        <v>42.480841693065628</v>
      </c>
      <c r="E167" s="383">
        <f t="shared" si="72"/>
        <v>42.868645173803948</v>
      </c>
      <c r="F167" s="383">
        <f t="shared" si="51"/>
        <v>42.872325784180205</v>
      </c>
      <c r="G167" s="110">
        <f t="shared" si="73"/>
        <v>0.69123198406586939</v>
      </c>
      <c r="H167" s="412" t="b">
        <f>Wh_hp&gt;='2021'!Maxi_hp</f>
        <v>0</v>
      </c>
      <c r="I167" s="379">
        <f>IF(H167,Wh_hp,'2021'!Maxi_hp)</f>
        <v>62.818886290602684</v>
      </c>
      <c r="J167" s="85">
        <f>IF(H167,An,'2021'!An_max)</f>
        <v>2018</v>
      </c>
      <c r="K167" s="197">
        <f t="shared" si="52"/>
        <v>44714</v>
      </c>
      <c r="L167" s="147">
        <f>IF(t&lt;Tvie,1-EXP((T0-t)*PertePVj)+'2021'!Pspv,1-EXP((T0-t)*PertePVj)+Pspv)</f>
        <v>2.3465676604716212E-2</v>
      </c>
      <c r="M167" s="832"/>
      <c r="N167" s="832"/>
      <c r="O167" s="48">
        <f>IF(t&lt;Tnet,'2021'!Resal+('2021'!Salim-'2021'!Resal)*(1-EXP(('2021'!Tnet-t)/('2021'!Tau_j))),Resal+(Salim-Resal)*(1-EXP((Tnet-t)/(Tau_j))))*Salcycl</f>
        <v>9.0463199657007387E-3</v>
      </c>
      <c r="P167" s="169">
        <f>(INDEX(Models!$BJ167:$BT167,,T167)*(1-R167)+INDEX(Models!$BJ167:$BT167,,T167+1)*R167-ERP_i)*Q167*Ramure*Pc/MaxiM</f>
        <v>1.53587018480898E-4</v>
      </c>
      <c r="Q167" s="304">
        <f t="shared" si="53"/>
        <v>0.7</v>
      </c>
      <c r="R167" s="177">
        <f t="shared" si="54"/>
        <v>0.10175262871618965</v>
      </c>
      <c r="S167" s="799">
        <f t="shared" si="55"/>
        <v>0</v>
      </c>
      <c r="T167" s="176">
        <f t="shared" si="56"/>
        <v>6</v>
      </c>
      <c r="U167" s="250">
        <f t="shared" si="57"/>
        <v>0.10175262871618965</v>
      </c>
      <c r="V167" s="382">
        <f t="shared" si="58"/>
        <v>60.010518513324975</v>
      </c>
      <c r="W167" s="400">
        <f t="shared" si="59"/>
        <v>0</v>
      </c>
      <c r="X167" s="157">
        <f t="shared" si="60"/>
        <v>44714</v>
      </c>
      <c r="Y167" s="383">
        <f t="shared" si="61"/>
        <v>38.225225214583951</v>
      </c>
      <c r="Z167" s="383">
        <f t="shared" si="62"/>
        <v>39.143760028505476</v>
      </c>
      <c r="AA167" s="384">
        <f t="shared" si="63"/>
        <v>42.868103672316444</v>
      </c>
      <c r="AB167" s="197">
        <f t="shared" si="64"/>
        <v>44714</v>
      </c>
      <c r="AC167" s="119">
        <f>IF(OR(t&lt;Tnet,NoTnet),'2021'!Resal_s+('2021'!Salim-'2021'!Resal_s)*(1-EXP(('2021'!Tnet_s-t)/'2021'!Tau_j)),Resal_s+(Salim-Resal_s)*(1-EXP((Tnet_s-t)/Tau_j)))*Salcycl</f>
        <v>8.6879132146358354E-2</v>
      </c>
      <c r="AD167" s="230">
        <f>(INDEX(Models!$BJ167:$BT167,,AH167)*(1-AF167)+INDEX(Models!$BJ167:$BT167,,AH167+1)*AF167-ERP_i)*AE167*Ramure*Pc/MaxiM</f>
        <v>1.7618316163824094E-4</v>
      </c>
      <c r="AE167" s="304">
        <f t="shared" si="65"/>
        <v>0.7</v>
      </c>
      <c r="AF167" s="177">
        <f t="shared" si="66"/>
        <v>0.1660848509760218</v>
      </c>
      <c r="AG167" s="799">
        <f t="shared" si="74"/>
        <v>0</v>
      </c>
      <c r="AH167" s="176">
        <f t="shared" si="67"/>
        <v>6</v>
      </c>
      <c r="AI167" s="224">
        <f t="shared" si="68"/>
        <v>0.1660848509760218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44715</v>
      </c>
      <c r="B168" s="1147">
        <v>58.32</v>
      </c>
      <c r="C168" s="388"/>
      <c r="D168" s="391">
        <f t="shared" si="50"/>
        <v>59.722547701283808</v>
      </c>
      <c r="E168" s="383">
        <f t="shared" si="72"/>
        <v>60.271627949372622</v>
      </c>
      <c r="F168" s="383">
        <f t="shared" si="51"/>
        <v>60.280374987605988</v>
      </c>
      <c r="G168" s="110">
        <f t="shared" si="73"/>
        <v>0.97205357575176654</v>
      </c>
      <c r="H168" s="412" t="b">
        <f>Wh_hp&gt;='2021'!Maxi_hp</f>
        <v>1</v>
      </c>
      <c r="I168" s="379">
        <f>IF(H168,Wh_hp,'2021'!Maxi_hp)</f>
        <v>60.280374987605988</v>
      </c>
      <c r="J168" s="85">
        <f>IF(H168,An,'2021'!An_max)</f>
        <v>2022</v>
      </c>
      <c r="K168" s="197">
        <f t="shared" si="52"/>
        <v>44715</v>
      </c>
      <c r="L168" s="147">
        <f>IF(t&lt;Tvie,1-EXP((T0-t)*PertePVj)+'2021'!Pspv,1-EXP((T0-t)*PertePVj)+Pspv)</f>
        <v>2.3484391662240811E-2</v>
      </c>
      <c r="M168" s="832"/>
      <c r="N168" s="832"/>
      <c r="O168" s="48">
        <f>IF(t&lt;Tnet,'2021'!Resal+('2021'!Salim-'2021'!Resal)*(1-EXP(('2021'!Tnet-t)/('2021'!Tau_j))),Resal+(Salim-Resal)*(1-EXP((Tnet-t)/(Tau_j))))*Salcycl</f>
        <v>9.1100948617155418E-3</v>
      </c>
      <c r="P168" s="169">
        <f>(INDEX(Models!$BJ168:$BT168,,T168)*(1-R168)+INDEX(Models!$BJ168:$BT168,,T168+1)*R168-ERP_i)*Q168*Ramure*Pc/MaxiM</f>
        <v>1.5113861333734848E-4</v>
      </c>
      <c r="Q168" s="304">
        <f t="shared" si="53"/>
        <v>0.7</v>
      </c>
      <c r="R168" s="177">
        <f t="shared" si="54"/>
        <v>0.10577292694200718</v>
      </c>
      <c r="S168" s="799">
        <f t="shared" si="55"/>
        <v>0</v>
      </c>
      <c r="T168" s="176">
        <f t="shared" si="56"/>
        <v>6</v>
      </c>
      <c r="U168" s="250">
        <f t="shared" si="57"/>
        <v>0.10577292694200718</v>
      </c>
      <c r="V168" s="382">
        <f t="shared" si="58"/>
        <v>59.996331041895736</v>
      </c>
      <c r="W168" s="400">
        <f t="shared" si="59"/>
        <v>0</v>
      </c>
      <c r="X168" s="157">
        <f t="shared" si="60"/>
        <v>44715</v>
      </c>
      <c r="Y168" s="383">
        <f t="shared" si="61"/>
        <v>53.739124613061648</v>
      </c>
      <c r="Z168" s="383">
        <f t="shared" si="62"/>
        <v>55.031506055020735</v>
      </c>
      <c r="AA168" s="384">
        <f t="shared" si="63"/>
        <v>60.270416189734078</v>
      </c>
      <c r="AB168" s="197">
        <f t="shared" si="64"/>
        <v>44715</v>
      </c>
      <c r="AC168" s="119">
        <f>IF(OR(t&lt;Tnet,NoTnet),'2021'!Resal_s+('2021'!Salim-'2021'!Resal_s)*(1-EXP(('2021'!Tnet_s-t)/'2021'!Tau_j)),Resal_s+(Salim-Resal_s)*(1-EXP((Tnet_s-t)/Tau_j)))*Salcycl</f>
        <v>8.6923410620245486E-2</v>
      </c>
      <c r="AD168" s="230">
        <f>(INDEX(Models!$BJ168:$BT168,,AH168)*(1-AF168)+INDEX(Models!$BJ168:$BT168,,AH168+1)*AF168-ERP_i)*AE168*Ramure*Pc/MaxiM</f>
        <v>1.7207640583137619E-4</v>
      </c>
      <c r="AE168" s="304">
        <f t="shared" si="65"/>
        <v>0.7</v>
      </c>
      <c r="AF168" s="177">
        <f t="shared" si="66"/>
        <v>0.17010514920183933</v>
      </c>
      <c r="AG168" s="799">
        <f t="shared" si="74"/>
        <v>0</v>
      </c>
      <c r="AH168" s="176">
        <f t="shared" si="67"/>
        <v>6</v>
      </c>
      <c r="AI168" s="224">
        <f t="shared" si="68"/>
        <v>0.17010514920183933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44716</v>
      </c>
      <c r="B169" s="1147">
        <v>26.442</v>
      </c>
      <c r="C169" s="388"/>
      <c r="D169" s="391">
        <f t="shared" si="50"/>
        <v>27.078427153479403</v>
      </c>
      <c r="E169" s="383">
        <f t="shared" si="72"/>
        <v>27.32913981171145</v>
      </c>
      <c r="F169" s="383">
        <f t="shared" si="51"/>
        <v>27.329964590120682</v>
      </c>
      <c r="G169" s="110">
        <f t="shared" si="73"/>
        <v>0.44080054822090931</v>
      </c>
      <c r="H169" s="412" t="b">
        <f>Wh_hp&gt;='2021'!Maxi_hp</f>
        <v>0</v>
      </c>
      <c r="I169" s="379">
        <f>IF(H169,Wh_hp,'2021'!Maxi_hp)</f>
        <v>60.619800166760626</v>
      </c>
      <c r="J169" s="85">
        <f>IF(H169,An,'2021'!An_max)</f>
        <v>2018</v>
      </c>
      <c r="K169" s="197">
        <f t="shared" si="52"/>
        <v>44716</v>
      </c>
      <c r="L169" s="147">
        <f>IF(t&lt;Tvie,1-EXP((T0-t)*PertePVj)+'2021'!Pspv,1-EXP((T0-t)*PertePVj)+Pspv)</f>
        <v>2.3503106361095538E-2</v>
      </c>
      <c r="M169" s="832"/>
      <c r="N169" s="832"/>
      <c r="O169" s="48">
        <f>IF(t&lt;Tnet,'2021'!Resal+('2021'!Salim-'2021'!Resal)*(1-EXP(('2021'!Tnet-t)/('2021'!Tau_j))),Resal+(Salim-Resal)*(1-EXP((Tnet-t)/(Tau_j))))*Salcycl</f>
        <v>9.1738217872707195E-3</v>
      </c>
      <c r="P169" s="169">
        <f>(INDEX(Models!$BJ169:$BT169,,T169)*(1-R169)+INDEX(Models!$BJ169:$BT169,,T169+1)*R169-ERP_i)*Q169*Ramure*Pc/MaxiM</f>
        <v>1.499785086677983E-4</v>
      </c>
      <c r="Q169" s="304">
        <f t="shared" si="53"/>
        <v>0.7</v>
      </c>
      <c r="R169" s="177">
        <f t="shared" si="54"/>
        <v>0.10981689296573502</v>
      </c>
      <c r="S169" s="799">
        <f t="shared" si="55"/>
        <v>0</v>
      </c>
      <c r="T169" s="176">
        <f t="shared" si="56"/>
        <v>6</v>
      </c>
      <c r="U169" s="250">
        <f t="shared" si="57"/>
        <v>0.10981689296573502</v>
      </c>
      <c r="V169" s="382">
        <f t="shared" si="58"/>
        <v>59.979127204619239</v>
      </c>
      <c r="W169" s="400">
        <f t="shared" si="59"/>
        <v>0</v>
      </c>
      <c r="X169" s="157">
        <f t="shared" si="60"/>
        <v>44716</v>
      </c>
      <c r="Y169" s="383">
        <f t="shared" si="61"/>
        <v>24.365851192597646</v>
      </c>
      <c r="Z169" s="383">
        <f t="shared" si="62"/>
        <v>24.952307940067868</v>
      </c>
      <c r="AA169" s="384">
        <f t="shared" si="63"/>
        <v>27.329031955891612</v>
      </c>
      <c r="AB169" s="197">
        <f t="shared" si="64"/>
        <v>44716</v>
      </c>
      <c r="AC169" s="119">
        <f>IF(OR(t&lt;Tnet,NoTnet),'2021'!Resal_s+('2021'!Salim-'2021'!Resal_s)*(1-EXP(('2021'!Tnet_s-t)/'2021'!Tau_j)),Resal_s+(Salim-Resal_s)*(1-EXP((Tnet_s-t)/Tau_j)))*Salcycl</f>
        <v>8.6967003429163456E-2</v>
      </c>
      <c r="AD169" s="230">
        <f>(INDEX(Models!$BJ169:$BT169,,AH169)*(1-AF169)+INDEX(Models!$BJ169:$BT169,,AH169+1)*AF169-ERP_i)*AE169*Ramure*Pc/MaxiM</f>
        <v>1.6959111592079152E-4</v>
      </c>
      <c r="AE169" s="304">
        <f t="shared" si="65"/>
        <v>0.7</v>
      </c>
      <c r="AF169" s="177">
        <f t="shared" si="66"/>
        <v>0.17414911522556717</v>
      </c>
      <c r="AG169" s="799">
        <f t="shared" si="74"/>
        <v>0</v>
      </c>
      <c r="AH169" s="176">
        <f t="shared" si="67"/>
        <v>6</v>
      </c>
      <c r="AI169" s="224">
        <f t="shared" si="68"/>
        <v>0.17414911522556717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44717</v>
      </c>
      <c r="B170" s="1147">
        <v>30.547000000000001</v>
      </c>
      <c r="C170" s="388"/>
      <c r="D170" s="391">
        <f t="shared" si="50"/>
        <v>31.282829097049824</v>
      </c>
      <c r="E170" s="383">
        <f t="shared" ref="E170:E232" si="75">Wh_pvt/(1-Psa)</f>
        <v>31.574498272787938</v>
      </c>
      <c r="F170" s="383">
        <f t="shared" si="51"/>
        <v>31.575916768052213</v>
      </c>
      <c r="G170" s="110">
        <f t="shared" ref="G170:G232" si="76">+Wh_hp/MaxiM</f>
        <v>0.50941199021200956</v>
      </c>
      <c r="H170" s="412" t="b">
        <f>Wh_hp&gt;='2021'!Maxi_hp</f>
        <v>0</v>
      </c>
      <c r="I170" s="379">
        <f>IF(H170,Wh_hp,'2021'!Maxi_hp)</f>
        <v>39.216543124389602</v>
      </c>
      <c r="J170" s="85">
        <f>IF(H170,An,'2021'!An_max)</f>
        <v>2021</v>
      </c>
      <c r="K170" s="197">
        <f t="shared" si="52"/>
        <v>44717</v>
      </c>
      <c r="L170" s="147">
        <f>IF(t&lt;Tvie,1-EXP((T0-t)*PertePVj)+'2021'!Pspv,1-EXP((T0-t)*PertePVj)+Pspv)</f>
        <v>2.3521820701287388E-2</v>
      </c>
      <c r="M170" s="832"/>
      <c r="N170" s="832"/>
      <c r="O170" s="48">
        <f>IF(t&lt;Tnet,'2021'!Resal+('2021'!Salim-'2021'!Resal)*(1-EXP(('2021'!Tnet-t)/('2021'!Tau_j))),Resal+(Salim-Resal)*(1-EXP((Tnet-t)/(Tau_j))))*Salcycl</f>
        <v>9.2374920170777697E-3</v>
      </c>
      <c r="P170" s="169">
        <f>(INDEX(Models!$BJ170:$BT170,,T170)*(1-R170)+INDEX(Models!$BJ170:$BT170,,T170+1)*R170-ERP_i)*Q170*Ramure*Pc/MaxiM</f>
        <v>1.50126469767704E-4</v>
      </c>
      <c r="Q170" s="304">
        <f t="shared" si="53"/>
        <v>0.7</v>
      </c>
      <c r="R170" s="177">
        <f t="shared" si="54"/>
        <v>0.11388129366195257</v>
      </c>
      <c r="S170" s="799">
        <f t="shared" si="55"/>
        <v>0</v>
      </c>
      <c r="T170" s="176">
        <f t="shared" si="56"/>
        <v>6</v>
      </c>
      <c r="U170" s="250">
        <f t="shared" si="57"/>
        <v>0.11388129366195257</v>
      </c>
      <c r="V170" s="382">
        <f t="shared" si="58"/>
        <v>59.958907136326147</v>
      </c>
      <c r="W170" s="400">
        <f t="shared" si="59"/>
        <v>0</v>
      </c>
      <c r="X170" s="157">
        <f t="shared" si="60"/>
        <v>44717</v>
      </c>
      <c r="Y170" s="383">
        <f t="shared" si="61"/>
        <v>28.148980939210283</v>
      </c>
      <c r="Z170" s="383">
        <f t="shared" si="62"/>
        <v>28.827045535647635</v>
      </c>
      <c r="AA170" s="384">
        <f t="shared" si="63"/>
        <v>31.574322333129722</v>
      </c>
      <c r="AB170" s="197">
        <f t="shared" si="64"/>
        <v>44717</v>
      </c>
      <c r="AC170" s="119">
        <f>IF(OR(t&lt;Tnet,NoTnet),'2021'!Resal_s+('2021'!Salim-'2021'!Resal_s)*(1-EXP(('2021'!Tnet_s-t)/'2021'!Tau_j)),Resal_s+(Salim-Resal_s)*(1-EXP((Tnet_s-t)/Tau_j)))*Salcycl</f>
        <v>8.700984200061436E-2</v>
      </c>
      <c r="AD170" s="230">
        <f>(INDEX(Models!$BJ170:$BT170,,AH170)*(1-AF170)+INDEX(Models!$BJ170:$BT170,,AH170+1)*AF170-ERP_i)*AE170*Ramure*Pc/MaxiM</f>
        <v>1.6874704640635111E-4</v>
      </c>
      <c r="AE170" s="304">
        <f t="shared" si="65"/>
        <v>0.7</v>
      </c>
      <c r="AF170" s="177">
        <f t="shared" si="66"/>
        <v>0.17821351592178472</v>
      </c>
      <c r="AG170" s="799">
        <f t="shared" si="74"/>
        <v>0</v>
      </c>
      <c r="AH170" s="176">
        <f t="shared" si="67"/>
        <v>6</v>
      </c>
      <c r="AI170" s="224">
        <f t="shared" si="68"/>
        <v>0.17821351592178472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44718</v>
      </c>
      <c r="B171" s="1147">
        <v>51.460999999999999</v>
      </c>
      <c r="C171" s="388"/>
      <c r="D171" s="391">
        <f t="shared" si="50"/>
        <v>52.701624417439866</v>
      </c>
      <c r="E171" s="383">
        <f t="shared" si="75"/>
        <v>53.196409372651885</v>
      </c>
      <c r="F171" s="383">
        <f t="shared" si="51"/>
        <v>53.202791654941215</v>
      </c>
      <c r="G171" s="110">
        <f t="shared" si="76"/>
        <v>0.85857671538169578</v>
      </c>
      <c r="H171" s="412" t="b">
        <f>Wh_hp&gt;='2021'!Maxi_hp</f>
        <v>0</v>
      </c>
      <c r="I171" s="379">
        <f>IF(H171,Wh_hp,'2021'!Maxi_hp)</f>
        <v>54.078564517697089</v>
      </c>
      <c r="J171" s="85">
        <f>IF(H171,An,'2021'!An_max)</f>
        <v>2018</v>
      </c>
      <c r="K171" s="197">
        <f t="shared" si="52"/>
        <v>44718</v>
      </c>
      <c r="L171" s="147">
        <f>IF(t&lt;Tvie,1-EXP((T0-t)*PertePVj)+'2021'!Pspv,1-EXP((T0-t)*PertePVj)+Pspv)</f>
        <v>2.3540534682823244E-2</v>
      </c>
      <c r="M171" s="832"/>
      <c r="N171" s="832"/>
      <c r="O171" s="48">
        <f>IF(t&lt;Tnet,'2021'!Resal+('2021'!Salim-'2021'!Resal)*(1-EXP(('2021'!Tnet-t)/('2021'!Tau_j))),Resal+(Salim-Resal)*(1-EXP((Tnet-t)/(Tau_j))))*Salcycl</f>
        <v>9.3010968418178394E-3</v>
      </c>
      <c r="P171" s="169">
        <f>(INDEX(Models!$BJ171:$BT171,,T171)*(1-R171)+INDEX(Models!$BJ171:$BT171,,T171+1)*R171-ERP_i)*Q171*Ramure*Pc/MaxiM</f>
        <v>1.5032683963635068E-4</v>
      </c>
      <c r="Q171" s="304">
        <f t="shared" si="53"/>
        <v>0.7</v>
      </c>
      <c r="R171" s="177">
        <f t="shared" si="54"/>
        <v>0.11796282849966455</v>
      </c>
      <c r="S171" s="799">
        <f t="shared" si="55"/>
        <v>0</v>
      </c>
      <c r="T171" s="176">
        <f t="shared" si="56"/>
        <v>6</v>
      </c>
      <c r="U171" s="250">
        <f t="shared" si="57"/>
        <v>0.11796282849966455</v>
      </c>
      <c r="V171" s="382">
        <f t="shared" si="58"/>
        <v>59.935747447615881</v>
      </c>
      <c r="W171" s="400">
        <f t="shared" si="59"/>
        <v>0</v>
      </c>
      <c r="X171" s="157">
        <f t="shared" si="60"/>
        <v>44718</v>
      </c>
      <c r="Y171" s="383">
        <f t="shared" si="61"/>
        <v>47.421631545945615</v>
      </c>
      <c r="Z171" s="383">
        <f t="shared" si="62"/>
        <v>48.564874662300461</v>
      </c>
      <c r="AA171" s="384">
        <f t="shared" si="63"/>
        <v>53.195655388621269</v>
      </c>
      <c r="AB171" s="197">
        <f t="shared" si="64"/>
        <v>44718</v>
      </c>
      <c r="AC171" s="119">
        <f>IF(OR(t&lt;Tnet,NoTnet),'2021'!Resal_s+('2021'!Salim-'2021'!Resal_s)*(1-EXP(('2021'!Tnet_s-t)/'2021'!Tau_j)),Resal_s+(Salim-Resal_s)*(1-EXP((Tnet_s-t)/Tau_j)))*Salcycl</f>
        <v>8.7051859639487542E-2</v>
      </c>
      <c r="AD171" s="230">
        <f>(INDEX(Models!$BJ171:$BT171,,AH171)*(1-AF171)+INDEX(Models!$BJ171:$BT171,,AH171+1)*AF171-ERP_i)*AE171*Ramure*Pc/MaxiM</f>
        <v>1.6808600968260494E-4</v>
      </c>
      <c r="AE171" s="304">
        <f t="shared" si="65"/>
        <v>0.7</v>
      </c>
      <c r="AF171" s="177">
        <f t="shared" si="66"/>
        <v>0.1822950507594967</v>
      </c>
      <c r="AG171" s="799">
        <f t="shared" si="74"/>
        <v>0</v>
      </c>
      <c r="AH171" s="176">
        <f t="shared" si="67"/>
        <v>6</v>
      </c>
      <c r="AI171" s="224">
        <f t="shared" si="68"/>
        <v>0.1822950507594967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44719</v>
      </c>
      <c r="B172" s="1147">
        <v>28.577000000000002</v>
      </c>
      <c r="C172" s="388"/>
      <c r="D172" s="391">
        <f t="shared" si="50"/>
        <v>29.266496661895832</v>
      </c>
      <c r="E172" s="383">
        <f t="shared" si="75"/>
        <v>29.543157328493958</v>
      </c>
      <c r="F172" s="383">
        <f t="shared" si="51"/>
        <v>29.544282423991355</v>
      </c>
      <c r="G172" s="110">
        <f t="shared" si="76"/>
        <v>0.47694795929532469</v>
      </c>
      <c r="H172" s="412" t="b">
        <f>Wh_hp&gt;='2021'!Maxi_hp</f>
        <v>0</v>
      </c>
      <c r="I172" s="379">
        <f>IF(H172,Wh_hp,'2021'!Maxi_hp)</f>
        <v>56.44411958910743</v>
      </c>
      <c r="J172" s="85">
        <f>IF(H172,An,'2021'!An_max)</f>
        <v>2021</v>
      </c>
      <c r="K172" s="197">
        <f t="shared" si="52"/>
        <v>44719</v>
      </c>
      <c r="L172" s="147">
        <f>IF(t&lt;Tvie,1-EXP((T0-t)*PertePVj)+'2021'!Pspv,1-EXP((T0-t)*PertePVj)+Pspv)</f>
        <v>2.3559248305709768E-2</v>
      </c>
      <c r="M172" s="832"/>
      <c r="N172" s="832"/>
      <c r="O172" s="48">
        <f>IF(t&lt;Tnet,'2021'!Resal+('2021'!Salim-'2021'!Resal)*(1-EXP(('2021'!Tnet-t)/('2021'!Tau_j))),Resal+(Salim-Resal)*(1-EXP((Tnet-t)/(Tau_j))))*Salcycl</f>
        <v>9.364627602997987E-3</v>
      </c>
      <c r="P172" s="169">
        <f>(INDEX(Models!$BJ172:$BT172,,T172)*(1-R172)+INDEX(Models!$BJ172:$BT172,,T172+1)*R172-ERP_i)*Q172*Ramure*Pc/MaxiM</f>
        <v>1.5060406808786625E-4</v>
      </c>
      <c r="Q172" s="304">
        <f t="shared" si="53"/>
        <v>0.7</v>
      </c>
      <c r="R172" s="177">
        <f t="shared" si="54"/>
        <v>0.12205814003392534</v>
      </c>
      <c r="S172" s="799">
        <f t="shared" si="55"/>
        <v>0</v>
      </c>
      <c r="T172" s="176">
        <f t="shared" si="56"/>
        <v>6</v>
      </c>
      <c r="U172" s="250">
        <f t="shared" si="57"/>
        <v>0.12205814003392534</v>
      </c>
      <c r="V172" s="382">
        <f t="shared" si="58"/>
        <v>59.909647935334441</v>
      </c>
      <c r="W172" s="400">
        <f t="shared" si="59"/>
        <v>0</v>
      </c>
      <c r="X172" s="157">
        <f t="shared" si="60"/>
        <v>44719</v>
      </c>
      <c r="Y172" s="383">
        <f t="shared" si="61"/>
        <v>26.334645379897275</v>
      </c>
      <c r="Z172" s="383">
        <f t="shared" si="62"/>
        <v>26.970039230954054</v>
      </c>
      <c r="AA172" s="384">
        <f t="shared" si="63"/>
        <v>29.543030109765208</v>
      </c>
      <c r="AB172" s="197">
        <f t="shared" si="64"/>
        <v>44719</v>
      </c>
      <c r="AC172" s="119">
        <f>IF(OR(t&lt;Tnet,NoTnet),'2021'!Resal_s+('2021'!Salim-'2021'!Resal_s)*(1-EXP(('2021'!Tnet_s-t)/'2021'!Tau_j)),Resal_s+(Salim-Resal_s)*(1-EXP((Tnet_s-t)/Tau_j)))*Salcycl</f>
        <v>8.709299179032666E-2</v>
      </c>
      <c r="AD172" s="230">
        <f>(INDEX(Models!$BJ172:$BT172,,AH172)*(1-AF172)+INDEX(Models!$BJ172:$BT172,,AH172+1)*AF172-ERP_i)*AE172*Ramure*Pc/MaxiM</f>
        <v>1.6763342971201769E-4</v>
      </c>
      <c r="AE172" s="304">
        <f t="shared" si="65"/>
        <v>0.7</v>
      </c>
      <c r="AF172" s="177">
        <f t="shared" si="66"/>
        <v>0.18639036229375749</v>
      </c>
      <c r="AG172" s="799">
        <f t="shared" si="74"/>
        <v>0</v>
      </c>
      <c r="AH172" s="176">
        <f t="shared" si="67"/>
        <v>6</v>
      </c>
      <c r="AI172" s="224">
        <f t="shared" si="68"/>
        <v>0.18639036229375749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44720</v>
      </c>
      <c r="B173" s="1147">
        <v>22.080000000000002</v>
      </c>
      <c r="C173" s="388"/>
      <c r="D173" s="391">
        <f t="shared" si="50"/>
        <v>22.613172512473852</v>
      </c>
      <c r="E173" s="383">
        <f t="shared" si="75"/>
        <v>22.828400400196823</v>
      </c>
      <c r="F173" s="383">
        <f t="shared" si="51"/>
        <v>22.828738840773589</v>
      </c>
      <c r="G173" s="110">
        <f t="shared" si="76"/>
        <v>0.3686835219758644</v>
      </c>
      <c r="H173" s="412" t="b">
        <f>Wh_hp&gt;='2021'!Maxi_hp</f>
        <v>0</v>
      </c>
      <c r="I173" s="379">
        <f>IF(H173,Wh_hp,'2021'!Maxi_hp)</f>
        <v>64.215122991320413</v>
      </c>
      <c r="J173" s="85">
        <f>IF(H173,An,'2021'!An_max)</f>
        <v>2018</v>
      </c>
      <c r="K173" s="197">
        <f t="shared" si="52"/>
        <v>44720</v>
      </c>
      <c r="L173" s="147">
        <f>IF(t&lt;Tvie,1-EXP((T0-t)*PertePVj)+'2021'!Pspv,1-EXP((T0-t)*PertePVj)+Pspv)</f>
        <v>2.3577961569954065E-2</v>
      </c>
      <c r="M173" s="832"/>
      <c r="N173" s="832"/>
      <c r="O173" s="48">
        <f>IF(t&lt;Tnet,'2021'!Resal+('2021'!Salim-'2021'!Resal)*(1-EXP(('2021'!Tnet-t)/('2021'!Tau_j))),Resal+(Salim-Resal)*(1-EXP((Tnet-t)/(Tau_j))))*Salcycl</f>
        <v>9.4280757280355131E-3</v>
      </c>
      <c r="P173" s="169">
        <f>(INDEX(Models!$BJ173:$BT173,,T173)*(1-R173)+INDEX(Models!$BJ173:$BT173,,T173+1)*R173-ERP_i)*Q173*Ramure*Pc/MaxiM</f>
        <v>1.5098320560743487E-4</v>
      </c>
      <c r="Q173" s="304">
        <f t="shared" si="53"/>
        <v>0.7</v>
      </c>
      <c r="R173" s="177">
        <f t="shared" si="54"/>
        <v>0.12616382479653854</v>
      </c>
      <c r="S173" s="799">
        <f t="shared" si="55"/>
        <v>0</v>
      </c>
      <c r="T173" s="176">
        <f t="shared" si="56"/>
        <v>6</v>
      </c>
      <c r="U173" s="250">
        <f t="shared" si="57"/>
        <v>0.12616382479653854</v>
      </c>
      <c r="V173" s="382">
        <f t="shared" si="58"/>
        <v>59.880608355666787</v>
      </c>
      <c r="W173" s="400">
        <f t="shared" si="59"/>
        <v>0</v>
      </c>
      <c r="X173" s="157">
        <f t="shared" si="60"/>
        <v>44720</v>
      </c>
      <c r="Y173" s="383">
        <f t="shared" si="61"/>
        <v>20.347908568250602</v>
      </c>
      <c r="Z173" s="383">
        <f t="shared" si="62"/>
        <v>20.839255739216288</v>
      </c>
      <c r="AA173" s="384">
        <f t="shared" si="63"/>
        <v>22.828363566294875</v>
      </c>
      <c r="AB173" s="197">
        <f t="shared" si="64"/>
        <v>44720</v>
      </c>
      <c r="AC173" s="119">
        <f>IF(OR(t&lt;Tnet,NoTnet),'2021'!Resal_s+('2021'!Salim-'2021'!Resal_s)*(1-EXP(('2021'!Tnet_s-t)/'2021'!Tau_j)),Resal_s+(Salim-Resal_s)*(1-EXP((Tnet_s-t)/Tau_j)))*Salcycl</f>
        <v>8.7133176291945072E-2</v>
      </c>
      <c r="AD173" s="230">
        <f>(INDEX(Models!$BJ173:$BT173,,AH173)*(1-AF173)+INDEX(Models!$BJ173:$BT173,,AH173+1)*AF173-ERP_i)*AE173*Ramure*Pc/MaxiM</f>
        <v>1.6741533867028859E-4</v>
      </c>
      <c r="AE173" s="304">
        <f t="shared" si="65"/>
        <v>0.7</v>
      </c>
      <c r="AF173" s="177">
        <f t="shared" si="66"/>
        <v>0.19049604705637069</v>
      </c>
      <c r="AG173" s="799">
        <f t="shared" si="74"/>
        <v>0</v>
      </c>
      <c r="AH173" s="176">
        <f t="shared" si="67"/>
        <v>6</v>
      </c>
      <c r="AI173" s="224">
        <f t="shared" si="68"/>
        <v>0.19049604705637069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44721</v>
      </c>
      <c r="B174" s="1147">
        <v>52.243000000000002</v>
      </c>
      <c r="C174" s="388"/>
      <c r="D174" s="391">
        <f t="shared" si="50"/>
        <v>53.505553119598098</v>
      </c>
      <c r="E174" s="383">
        <f t="shared" si="75"/>
        <v>54.018263838925499</v>
      </c>
      <c r="F174" s="383">
        <f t="shared" si="51"/>
        <v>54.024962270193015</v>
      </c>
      <c r="G174" s="110">
        <f t="shared" si="76"/>
        <v>0.87289490836430694</v>
      </c>
      <c r="H174" s="412" t="b">
        <f>Wh_hp&gt;='2021'!Maxi_hp</f>
        <v>0</v>
      </c>
      <c r="I174" s="379">
        <f>IF(H174,Wh_hp,'2021'!Maxi_hp)</f>
        <v>59.018802460565581</v>
      </c>
      <c r="J174" s="85">
        <f>IF(H174,An,'2021'!An_max)</f>
        <v>2021</v>
      </c>
      <c r="K174" s="197">
        <f t="shared" si="52"/>
        <v>44721</v>
      </c>
      <c r="L174" s="147">
        <f>IF(t&lt;Tvie,1-EXP((T0-t)*PertePVj)+'2021'!Pspv,1-EXP((T0-t)*PertePVj)+Pspv)</f>
        <v>2.3596674475562907E-2</v>
      </c>
      <c r="M174" s="832"/>
      <c r="N174" s="832"/>
      <c r="O174" s="48">
        <f>IF(t&lt;Tnet,'2021'!Resal+('2021'!Salim-'2021'!Resal)*(1-EXP(('2021'!Tnet-t)/('2021'!Tau_j))),Resal+(Salim-Resal)*(1-EXP((Tnet-t)/(Tau_j))))*Salcycl</f>
        <v>9.4914327653371384E-3</v>
      </c>
      <c r="P174" s="169">
        <f>(INDEX(Models!$BJ174:$BT174,,T174)*(1-R174)+INDEX(Models!$BJ174:$BT174,,T174+1)*R174-ERP_i)*Q174*Ramure*Pc/MaxiM</f>
        <v>1.5148984100824708E-4</v>
      </c>
      <c r="Q174" s="304">
        <f t="shared" si="53"/>
        <v>0.7</v>
      </c>
      <c r="R174" s="177">
        <f t="shared" si="54"/>
        <v>0.13027644451198322</v>
      </c>
      <c r="S174" s="799">
        <f t="shared" si="55"/>
        <v>0</v>
      </c>
      <c r="T174" s="176">
        <f t="shared" si="56"/>
        <v>6</v>
      </c>
      <c r="U174" s="250">
        <f t="shared" si="57"/>
        <v>0.13027644451198322</v>
      </c>
      <c r="V174" s="382">
        <f t="shared" si="58"/>
        <v>59.848628428607199</v>
      </c>
      <c r="W174" s="400">
        <f t="shared" si="59"/>
        <v>0</v>
      </c>
      <c r="X174" s="157">
        <f t="shared" si="60"/>
        <v>44721</v>
      </c>
      <c r="Y174" s="383">
        <f t="shared" si="61"/>
        <v>48.145198296248843</v>
      </c>
      <c r="Z174" s="383">
        <f t="shared" si="62"/>
        <v>49.308720113575525</v>
      </c>
      <c r="AA174" s="384">
        <f t="shared" si="63"/>
        <v>54.017557760503394</v>
      </c>
      <c r="AB174" s="197">
        <f t="shared" si="64"/>
        <v>44721</v>
      </c>
      <c r="AC174" s="119">
        <f>IF(OR(t&lt;Tnet,NoTnet),'2021'!Resal_s+('2021'!Salim-'2021'!Resal_s)*(1-EXP(('2021'!Tnet_s-t)/'2021'!Tau_j)),Resal_s+(Salim-Resal_s)*(1-EXP((Tnet_s-t)/Tau_j)))*Salcycl</f>
        <v>8.7172353622600798E-2</v>
      </c>
      <c r="AD174" s="230">
        <f>(INDEX(Models!$BJ174:$BT174,,AH174)*(1-AF174)+INDEX(Models!$BJ174:$BT174,,AH174+1)*AF174-ERP_i)*AE174*Ramure*Pc/MaxiM</f>
        <v>1.6745831237607056E-4</v>
      </c>
      <c r="AE174" s="304">
        <f t="shared" si="65"/>
        <v>0.7</v>
      </c>
      <c r="AF174" s="177">
        <f t="shared" si="66"/>
        <v>0.19460866677181538</v>
      </c>
      <c r="AG174" s="799">
        <f t="shared" si="74"/>
        <v>0</v>
      </c>
      <c r="AH174" s="176">
        <f t="shared" si="67"/>
        <v>6</v>
      </c>
      <c r="AI174" s="224">
        <f t="shared" si="68"/>
        <v>0.19460866677181538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44722</v>
      </c>
      <c r="B175" s="1147">
        <v>60.081000000000003</v>
      </c>
      <c r="C175" s="388"/>
      <c r="D175" s="391">
        <f t="shared" si="50"/>
        <v>61.53415283428599</v>
      </c>
      <c r="E175" s="383">
        <f t="shared" si="75"/>
        <v>62.127764389460232</v>
      </c>
      <c r="F175" s="383">
        <f t="shared" si="51"/>
        <v>62.137218569492155</v>
      </c>
      <c r="G175" s="110">
        <f t="shared" si="76"/>
        <v>1.0044687442388611</v>
      </c>
      <c r="H175" s="412" t="b">
        <f>Wh_hp&gt;='2021'!Maxi_hp</f>
        <v>1</v>
      </c>
      <c r="I175" s="379">
        <f>IF(H175,Wh_hp,'2021'!Maxi_hp)</f>
        <v>62.137218569492155</v>
      </c>
      <c r="J175" s="85">
        <f>IF(H175,An,'2021'!An_max)</f>
        <v>2022</v>
      </c>
      <c r="K175" s="197">
        <f t="shared" si="52"/>
        <v>44722</v>
      </c>
      <c r="L175" s="147">
        <f>IF(t&lt;Tvie,1-EXP((T0-t)*PertePVj)+'2021'!Pspv,1-EXP((T0-t)*PertePVj)+Pspv)</f>
        <v>2.3615387022543177E-2</v>
      </c>
      <c r="M175" s="832"/>
      <c r="N175" s="832"/>
      <c r="O175" s="48">
        <f>IF(t&lt;Tnet,'2021'!Resal+('2021'!Salim-'2021'!Resal)*(1-EXP(('2021'!Tnet-t)/('2021'!Tau_j))),Resal+(Salim-Resal)*(1-EXP((Tnet-t)/(Tau_j))))*Salcycl</f>
        <v>9.5546904191348026E-3</v>
      </c>
      <c r="P175" s="169">
        <f>(INDEX(Models!$BJ175:$BT175,,T175)*(1-R175)+INDEX(Models!$BJ175:$BT175,,T175+1)*R175-ERP_i)*Q175*Ramure*Pc/MaxiM</f>
        <v>1.5215003583319382E-4</v>
      </c>
      <c r="Q175" s="304">
        <f t="shared" si="53"/>
        <v>0.7</v>
      </c>
      <c r="R175" s="177">
        <f t="shared" si="54"/>
        <v>0.13439253756079245</v>
      </c>
      <c r="S175" s="799">
        <f t="shared" si="55"/>
        <v>0</v>
      </c>
      <c r="T175" s="176">
        <f t="shared" si="56"/>
        <v>6</v>
      </c>
      <c r="U175" s="250">
        <f t="shared" si="57"/>
        <v>0.13439253756079245</v>
      </c>
      <c r="V175" s="382">
        <f t="shared" si="58"/>
        <v>59.813707837695375</v>
      </c>
      <c r="W175" s="400">
        <f t="shared" si="59"/>
        <v>0</v>
      </c>
      <c r="X175" s="157">
        <f t="shared" si="60"/>
        <v>44722</v>
      </c>
      <c r="Y175" s="383">
        <f t="shared" si="61"/>
        <v>55.369488430894393</v>
      </c>
      <c r="Z175" s="383">
        <f t="shared" si="62"/>
        <v>56.708685998283741</v>
      </c>
      <c r="AA175" s="384">
        <f t="shared" si="63"/>
        <v>62.126792602701613</v>
      </c>
      <c r="AB175" s="197">
        <f t="shared" si="64"/>
        <v>44722</v>
      </c>
      <c r="AC175" s="119">
        <f>IF(OR(t&lt;Tnet,NoTnet),'2021'!Resal_s+('2021'!Salim-'2021'!Resal_s)*(1-EXP(('2021'!Tnet_s-t)/'2021'!Tau_j)),Resal_s+(Salim-Resal_s)*(1-EXP((Tnet_s-t)/Tau_j)))*Salcycl</f>
        <v>8.7210467133985961E-2</v>
      </c>
      <c r="AD175" s="230">
        <f>(INDEX(Models!$BJ175:$BT175,,AH175)*(1-AF175)+INDEX(Models!$BJ175:$BT175,,AH175+1)*AF175-ERP_i)*AE175*Ramure*Pc/MaxiM</f>
        <v>1.6778940272132577E-4</v>
      </c>
      <c r="AE175" s="304">
        <f t="shared" si="65"/>
        <v>0.7</v>
      </c>
      <c r="AF175" s="177">
        <f t="shared" si="66"/>
        <v>0.1987247598206246</v>
      </c>
      <c r="AG175" s="799">
        <f t="shared" si="74"/>
        <v>0</v>
      </c>
      <c r="AH175" s="176">
        <f t="shared" si="67"/>
        <v>6</v>
      </c>
      <c r="AI175" s="224">
        <f t="shared" si="68"/>
        <v>0.1987247598206246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44723</v>
      </c>
      <c r="B176" s="1147">
        <v>58.462000000000003</v>
      </c>
      <c r="C176" s="388"/>
      <c r="D176" s="391">
        <f t="shared" si="50"/>
        <v>59.877142322105939</v>
      </c>
      <c r="E176" s="383">
        <f t="shared" si="75"/>
        <v>60.458623727030698</v>
      </c>
      <c r="F176" s="383">
        <f t="shared" si="51"/>
        <v>60.467584204293566</v>
      </c>
      <c r="G176" s="110">
        <f t="shared" si="76"/>
        <v>0.97801575051603851</v>
      </c>
      <c r="H176" s="412" t="b">
        <f>Wh_hp&gt;='2021'!Maxi_hp</f>
        <v>1</v>
      </c>
      <c r="I176" s="379">
        <f>IF(H176,Wh_hp,'2021'!Maxi_hp)</f>
        <v>60.467584204293566</v>
      </c>
      <c r="J176" s="85">
        <f>IF(H176,An,'2021'!An_max)</f>
        <v>2022</v>
      </c>
      <c r="K176" s="197">
        <f t="shared" si="52"/>
        <v>44723</v>
      </c>
      <c r="L176" s="147">
        <f>IF(t&lt;Tvie,1-EXP((T0-t)*PertePVj)+'2021'!Pspv,1-EXP((T0-t)*PertePVj)+Pspv)</f>
        <v>2.363409921090176E-2</v>
      </c>
      <c r="M176" s="832"/>
      <c r="N176" s="832"/>
      <c r="O176" s="48">
        <f>IF(t&lt;Tnet,'2021'!Resal+('2021'!Salim-'2021'!Resal)*(1-EXP(('2021'!Tnet-t)/('2021'!Tau_j))),Resal+(Salim-Resal)*(1-EXP((Tnet-t)/(Tau_j))))*Salcycl</f>
        <v>9.6178405838368963E-3</v>
      </c>
      <c r="P176" s="169">
        <f>(INDEX(Models!$BJ176:$BT176,,T176)*(1-R176)+INDEX(Models!$BJ176:$BT176,,T176+1)*R176-ERP_i)*Q176*Ramure*Pc/MaxiM</f>
        <v>1.5299025606165174E-4</v>
      </c>
      <c r="Q176" s="304">
        <f t="shared" si="53"/>
        <v>0.7</v>
      </c>
      <c r="R176" s="177">
        <f t="shared" si="54"/>
        <v>0.13850863060960167</v>
      </c>
      <c r="S176" s="799">
        <f t="shared" si="55"/>
        <v>0</v>
      </c>
      <c r="T176" s="176">
        <f t="shared" si="56"/>
        <v>6</v>
      </c>
      <c r="U176" s="250">
        <f t="shared" si="57"/>
        <v>0.13850863060960167</v>
      </c>
      <c r="V176" s="382">
        <f t="shared" si="58"/>
        <v>59.775846235625167</v>
      </c>
      <c r="W176" s="400">
        <f t="shared" si="59"/>
        <v>0</v>
      </c>
      <c r="X176" s="157">
        <f t="shared" si="60"/>
        <v>44723</v>
      </c>
      <c r="Y176" s="383">
        <f t="shared" si="61"/>
        <v>53.878737462073609</v>
      </c>
      <c r="Z176" s="383">
        <f t="shared" si="62"/>
        <v>55.182936457048378</v>
      </c>
      <c r="AA176" s="384">
        <f t="shared" si="63"/>
        <v>60.457719082202509</v>
      </c>
      <c r="AB176" s="197">
        <f t="shared" si="64"/>
        <v>44723</v>
      </c>
      <c r="AC176" s="119">
        <f>IF(OR(t&lt;Tnet,NoTnet),'2021'!Resal_s+('2021'!Salim-'2021'!Resal_s)*(1-EXP(('2021'!Tnet_s-t)/'2021'!Tau_j)),Resal_s+(Salim-Resal_s)*(1-EXP((Tnet_s-t)/Tau_j)))*Salcycl</f>
        <v>8.7247463272343603E-2</v>
      </c>
      <c r="AD176" s="230">
        <f>(INDEX(Models!$BJ176:$BT176,,AH176)*(1-AF176)+INDEX(Models!$BJ176:$BT176,,AH176+1)*AF176-ERP_i)*AE176*Ramure*Pc/MaxiM</f>
        <v>1.6843606769081318E-4</v>
      </c>
      <c r="AE176" s="304">
        <f t="shared" si="65"/>
        <v>0.7</v>
      </c>
      <c r="AF176" s="177">
        <f t="shared" si="66"/>
        <v>0.20284085286943382</v>
      </c>
      <c r="AG176" s="799">
        <f t="shared" si="74"/>
        <v>0</v>
      </c>
      <c r="AH176" s="176">
        <f t="shared" si="67"/>
        <v>6</v>
      </c>
      <c r="AI176" s="224">
        <f t="shared" si="68"/>
        <v>0.20284085286943382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44724</v>
      </c>
      <c r="B177" s="1147">
        <v>48.337000000000003</v>
      </c>
      <c r="C177" s="388"/>
      <c r="D177" s="391">
        <f t="shared" si="50"/>
        <v>49.508003450617075</v>
      </c>
      <c r="E177" s="383">
        <f t="shared" si="75"/>
        <v>49.991969477007423</v>
      </c>
      <c r="F177" s="383">
        <f t="shared" si="51"/>
        <v>49.997571651671841</v>
      </c>
      <c r="G177" s="110">
        <f t="shared" si="76"/>
        <v>0.80915602559533173</v>
      </c>
      <c r="H177" s="412" t="b">
        <f>Wh_hp&gt;='2021'!Maxi_hp</f>
        <v>0</v>
      </c>
      <c r="I177" s="379">
        <f>IF(H177,Wh_hp,'2021'!Maxi_hp)</f>
        <v>60.295662422048899</v>
      </c>
      <c r="J177" s="85">
        <f>IF(H177,An,'2021'!An_max)</f>
        <v>2018</v>
      </c>
      <c r="K177" s="197">
        <f t="shared" si="52"/>
        <v>44724</v>
      </c>
      <c r="L177" s="147">
        <f>IF(t&lt;Tvie,1-EXP((T0-t)*PertePVj)+'2021'!Pspv,1-EXP((T0-t)*PertePVj)+Pspv)</f>
        <v>2.3652811040645538E-2</v>
      </c>
      <c r="M177" s="832"/>
      <c r="N177" s="832"/>
      <c r="O177" s="48">
        <f>IF(t&lt;Tnet,'2021'!Resal+('2021'!Salim-'2021'!Resal)*(1-EXP(('2021'!Tnet-t)/('2021'!Tau_j))),Resal+(Salim-Resal)*(1-EXP((Tnet-t)/(Tau_j))))*Salcycl</f>
        <v>9.680875377653159E-3</v>
      </c>
      <c r="P177" s="169">
        <f>(INDEX(Models!$BJ177:$BT177,,T177)*(1-R177)+INDEX(Models!$BJ177:$BT177,,T177+1)*R177-ERP_i)*Q177*Ramure*Pc/MaxiM</f>
        <v>1.5403730178554229E-4</v>
      </c>
      <c r="Q177" s="304">
        <f t="shared" si="53"/>
        <v>0.7</v>
      </c>
      <c r="R177" s="177">
        <f t="shared" si="54"/>
        <v>0.14262125032504638</v>
      </c>
      <c r="S177" s="799">
        <f t="shared" si="55"/>
        <v>0</v>
      </c>
      <c r="T177" s="176">
        <f t="shared" si="56"/>
        <v>6</v>
      </c>
      <c r="U177" s="250">
        <f t="shared" si="57"/>
        <v>0.14262125032504638</v>
      </c>
      <c r="V177" s="382">
        <f t="shared" si="58"/>
        <v>59.735043244992752</v>
      </c>
      <c r="W177" s="400">
        <f t="shared" si="59"/>
        <v>0</v>
      </c>
      <c r="X177" s="157">
        <f t="shared" si="60"/>
        <v>44724</v>
      </c>
      <c r="Y177" s="383">
        <f t="shared" si="61"/>
        <v>44.54876465030484</v>
      </c>
      <c r="Z177" s="383">
        <f t="shared" si="62"/>
        <v>45.627994994062931</v>
      </c>
      <c r="AA177" s="384">
        <f t="shared" si="63"/>
        <v>49.991409802612893</v>
      </c>
      <c r="AB177" s="197">
        <f t="shared" si="64"/>
        <v>44724</v>
      </c>
      <c r="AC177" s="119">
        <f>IF(OR(t&lt;Tnet,NoTnet),'2021'!Resal_s+('2021'!Salim-'2021'!Resal_s)*(1-EXP(('2021'!Tnet_s-t)/'2021'!Tau_j)),Resal_s+(Salim-Resal_s)*(1-EXP((Tnet_s-t)/Tau_j)))*Salcycl</f>
        <v>8.7283291785099831E-2</v>
      </c>
      <c r="AD177" s="230">
        <f>(INDEX(Models!$BJ177:$BT177,,AH177)*(1-AF177)+INDEX(Models!$BJ177:$BT177,,AH177+1)*AF177-ERP_i)*AE177*Ramure*Pc/MaxiM</f>
        <v>1.6942609966761978E-4</v>
      </c>
      <c r="AE177" s="304">
        <f t="shared" si="65"/>
        <v>0.7</v>
      </c>
      <c r="AF177" s="177">
        <f t="shared" si="66"/>
        <v>0.20695347258487853</v>
      </c>
      <c r="AG177" s="799">
        <f t="shared" si="74"/>
        <v>0</v>
      </c>
      <c r="AH177" s="176">
        <f t="shared" si="67"/>
        <v>6</v>
      </c>
      <c r="AI177" s="224">
        <f t="shared" si="68"/>
        <v>0.20695347258487853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44725</v>
      </c>
      <c r="B178" s="1147">
        <v>53.143000000000001</v>
      </c>
      <c r="C178" s="388"/>
      <c r="D178" s="391">
        <f t="shared" si="50"/>
        <v>54.431475907288878</v>
      </c>
      <c r="E178" s="383">
        <f t="shared" si="75"/>
        <v>54.967063273474274</v>
      </c>
      <c r="F178" s="383">
        <f t="shared" si="51"/>
        <v>54.974264873254207</v>
      </c>
      <c r="G178" s="110">
        <f t="shared" si="76"/>
        <v>0.89027561518865617</v>
      </c>
      <c r="H178" s="412" t="b">
        <f>Wh_hp&gt;='2021'!Maxi_hp</f>
        <v>0</v>
      </c>
      <c r="I178" s="379">
        <f>IF(H178,Wh_hp,'2021'!Maxi_hp)</f>
        <v>64.172787836056131</v>
      </c>
      <c r="J178" s="85">
        <f>IF(H178,An,'2021'!An_max)</f>
        <v>2018</v>
      </c>
      <c r="K178" s="197">
        <f t="shared" si="52"/>
        <v>44725</v>
      </c>
      <c r="L178" s="147">
        <f>IF(t&lt;Tvie,1-EXP((T0-t)*PertePVj)+'2021'!Pspv,1-EXP((T0-t)*PertePVj)+Pspv)</f>
        <v>2.3671522511781395E-2</v>
      </c>
      <c r="M178" s="832"/>
      <c r="N178" s="832"/>
      <c r="O178" s="48">
        <f>IF(t&lt;Tnet,'2021'!Resal+('2021'!Salim-'2021'!Resal)*(1-EXP(('2021'!Tnet-t)/('2021'!Tau_j))),Resal+(Salim-Resal)*(1-EXP((Tnet-t)/(Tau_j))))*Salcycl</f>
        <v>9.7437871752528906E-3</v>
      </c>
      <c r="P178" s="169">
        <f>(INDEX(Models!$BJ178:$BT178,,T178)*(1-R178)+INDEX(Models!$BJ178:$BT178,,T178+1)*R178-ERP_i)*Q178*Ramure*Pc/MaxiM</f>
        <v>1.5534482864666549E-4</v>
      </c>
      <c r="Q178" s="304">
        <f t="shared" si="53"/>
        <v>0.7</v>
      </c>
      <c r="R178" s="177">
        <f t="shared" si="54"/>
        <v>0.1467269350876596</v>
      </c>
      <c r="S178" s="799">
        <f t="shared" si="55"/>
        <v>0</v>
      </c>
      <c r="T178" s="176">
        <f t="shared" si="56"/>
        <v>6</v>
      </c>
      <c r="U178" s="250">
        <f t="shared" si="57"/>
        <v>0.1467269350876596</v>
      </c>
      <c r="V178" s="382">
        <f t="shared" si="58"/>
        <v>59.691296873325655</v>
      </c>
      <c r="W178" s="400">
        <f t="shared" si="59"/>
        <v>0</v>
      </c>
      <c r="X178" s="157">
        <f t="shared" si="60"/>
        <v>44725</v>
      </c>
      <c r="Y178" s="383">
        <f t="shared" si="61"/>
        <v>48.979275439033358</v>
      </c>
      <c r="Z178" s="383">
        <f t="shared" si="62"/>
        <v>50.166799973961012</v>
      </c>
      <c r="AA178" s="384">
        <f t="shared" si="63"/>
        <v>54.966346221640549</v>
      </c>
      <c r="AB178" s="197">
        <f t="shared" si="64"/>
        <v>44725</v>
      </c>
      <c r="AC178" s="119">
        <f>IF(OR(t&lt;Tnet,NoTnet),'2021'!Resal_s+('2021'!Salim-'2021'!Resal_s)*(1-EXP(('2021'!Tnet_s-t)/'2021'!Tau_j)),Resal_s+(Salim-Resal_s)*(1-EXP((Tnet_s-t)/Tau_j)))*Salcycl</f>
        <v>8.7317905911488872E-2</v>
      </c>
      <c r="AD178" s="230">
        <f>(INDEX(Models!$BJ178:$BT178,,AH178)*(1-AF178)+INDEX(Models!$BJ178:$BT178,,AH178+1)*AF178-ERP_i)*AE178*Ramure*Pc/MaxiM</f>
        <v>1.7081226611131688E-4</v>
      </c>
      <c r="AE178" s="304">
        <f t="shared" si="65"/>
        <v>0.7</v>
      </c>
      <c r="AF178" s="177">
        <f t="shared" si="66"/>
        <v>0.21105915734749175</v>
      </c>
      <c r="AG178" s="799">
        <f t="shared" si="74"/>
        <v>0</v>
      </c>
      <c r="AH178" s="176">
        <f t="shared" si="67"/>
        <v>6</v>
      </c>
      <c r="AI178" s="224">
        <f t="shared" si="68"/>
        <v>0.21105915734749175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44726</v>
      </c>
      <c r="B179" s="1147">
        <v>52.276000000000003</v>
      </c>
      <c r="C179" s="388"/>
      <c r="D179" s="391">
        <f t="shared" si="50"/>
        <v>53.544481270593174</v>
      </c>
      <c r="E179" s="383">
        <f t="shared" si="75"/>
        <v>54.07476920646635</v>
      </c>
      <c r="F179" s="383">
        <f t="shared" si="51"/>
        <v>54.081745068548642</v>
      </c>
      <c r="G179" s="110">
        <f t="shared" si="76"/>
        <v>0.8764336198721151</v>
      </c>
      <c r="H179" s="412" t="b">
        <f>Wh_hp&gt;='2021'!Maxi_hp</f>
        <v>0</v>
      </c>
      <c r="I179" s="379">
        <f>IF(H179,Wh_hp,'2021'!Maxi_hp)</f>
        <v>57.550987024107755</v>
      </c>
      <c r="J179" s="85">
        <f>IF(H179,An,'2021'!An_max)</f>
        <v>2021</v>
      </c>
      <c r="K179" s="197">
        <f t="shared" si="52"/>
        <v>44726</v>
      </c>
      <c r="L179" s="147">
        <f>IF(t&lt;Tvie,1-EXP((T0-t)*PertePVj)+'2021'!Pspv,1-EXP((T0-t)*PertePVj)+Pspv)</f>
        <v>2.3690233624316104E-2</v>
      </c>
      <c r="M179" s="832"/>
      <c r="N179" s="832"/>
      <c r="O179" s="48">
        <f>IF(t&lt;Tnet,'2021'!Resal+('2021'!Salim-'2021'!Resal)*(1-EXP(('2021'!Tnet-t)/('2021'!Tau_j))),Resal+(Salim-Resal)*(1-EXP((Tnet-t)/(Tau_j))))*Salcycl</f>
        <v>9.806568639219717E-3</v>
      </c>
      <c r="P179" s="169">
        <f>(INDEX(Models!$BJ179:$BT179,,T179)*(1-R179)+INDEX(Models!$BJ179:$BT179,,T179+1)*R179-ERP_i)*Q179*Ramure*Pc/MaxiM</f>
        <v>1.5663098185232153E-4</v>
      </c>
      <c r="Q179" s="304">
        <f t="shared" si="53"/>
        <v>0.7</v>
      </c>
      <c r="R179" s="177">
        <f t="shared" si="54"/>
        <v>0.15082224662192034</v>
      </c>
      <c r="S179" s="799">
        <f t="shared" si="55"/>
        <v>0</v>
      </c>
      <c r="T179" s="176">
        <f t="shared" si="56"/>
        <v>6</v>
      </c>
      <c r="U179" s="250">
        <f t="shared" si="57"/>
        <v>0.15082224662192034</v>
      </c>
      <c r="V179" s="382">
        <f t="shared" si="58"/>
        <v>59.644625138605804</v>
      </c>
      <c r="W179" s="400">
        <f t="shared" si="59"/>
        <v>0</v>
      </c>
      <c r="X179" s="157">
        <f t="shared" si="60"/>
        <v>44726</v>
      </c>
      <c r="Y179" s="383">
        <f t="shared" si="61"/>
        <v>48.181509978127245</v>
      </c>
      <c r="Z179" s="383">
        <f t="shared" si="62"/>
        <v>49.350638124813152</v>
      </c>
      <c r="AA179" s="384">
        <f t="shared" si="63"/>
        <v>54.074077024434558</v>
      </c>
      <c r="AB179" s="197">
        <f t="shared" si="64"/>
        <v>44726</v>
      </c>
      <c r="AC179" s="119">
        <f>IF(OR(t&lt;Tnet,NoTnet),'2021'!Resal_s+('2021'!Salim-'2021'!Resal_s)*(1-EXP(('2021'!Tnet_s-t)/'2021'!Tau_j)),Resal_s+(Salim-Resal_s)*(1-EXP((Tnet_s-t)/Tau_j)))*Salcycl</f>
        <v>8.7351262555753165E-2</v>
      </c>
      <c r="AD179" s="230">
        <f>(INDEX(Models!$BJ179:$BT179,,AH179)*(1-AF179)+INDEX(Models!$BJ179:$BT179,,AH179+1)*AF179-ERP_i)*AE179*Ramure*Pc/MaxiM</f>
        <v>1.7217273855302912E-4</v>
      </c>
      <c r="AE179" s="304">
        <f t="shared" si="65"/>
        <v>0.7</v>
      </c>
      <c r="AF179" s="177">
        <f t="shared" si="66"/>
        <v>0.21515446888175249</v>
      </c>
      <c r="AG179" s="799">
        <f t="shared" si="74"/>
        <v>0</v>
      </c>
      <c r="AH179" s="176">
        <f t="shared" si="67"/>
        <v>6</v>
      </c>
      <c r="AI179" s="224">
        <f t="shared" si="68"/>
        <v>0.21515446888175249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44727</v>
      </c>
      <c r="B180" s="1147">
        <v>55.747</v>
      </c>
      <c r="C180" s="388"/>
      <c r="D180" s="391">
        <f t="shared" si="50"/>
        <v>57.100799683653719</v>
      </c>
      <c r="E180" s="383">
        <f t="shared" si="75"/>
        <v>57.669956756167792</v>
      </c>
      <c r="F180" s="383">
        <f t="shared" si="51"/>
        <v>57.678223739034088</v>
      </c>
      <c r="G180" s="110">
        <f t="shared" si="76"/>
        <v>0.93541673888896071</v>
      </c>
      <c r="H180" s="412" t="b">
        <f>Wh_hp&gt;='2021'!Maxi_hp</f>
        <v>1</v>
      </c>
      <c r="I180" s="379">
        <f>IF(H180,Wh_hp,'2021'!Maxi_hp)</f>
        <v>57.678223739034088</v>
      </c>
      <c r="J180" s="85">
        <f>IF(H180,An,'2021'!An_max)</f>
        <v>2022</v>
      </c>
      <c r="K180" s="197">
        <f t="shared" si="52"/>
        <v>44727</v>
      </c>
      <c r="L180" s="147">
        <f>IF(t&lt;Tvie,1-EXP((T0-t)*PertePVj)+'2021'!Pspv,1-EXP((T0-t)*PertePVj)+Pspv)</f>
        <v>2.3708944378256658E-2</v>
      </c>
      <c r="M180" s="832"/>
      <c r="N180" s="832"/>
      <c r="O180" s="48">
        <f>IF(t&lt;Tnet,'2021'!Resal+('2021'!Salim-'2021'!Resal)*(1-EXP(('2021'!Tnet-t)/('2021'!Tau_j))),Resal+(Salim-Resal)*(1-EXP((Tnet-t)/(Tau_j))))*Salcycl</f>
        <v>9.8692127500720067E-3</v>
      </c>
      <c r="P180" s="169">
        <f>(INDEX(Models!$BJ180:$BT180,,T180)*(1-R180)+INDEX(Models!$BJ180:$BT180,,T180+1)*R180-ERP_i)*Q180*Ramure*Pc/MaxiM</f>
        <v>1.5789385776617511E-4</v>
      </c>
      <c r="Q180" s="304">
        <f t="shared" si="53"/>
        <v>0.7</v>
      </c>
      <c r="R180" s="177">
        <f t="shared" si="54"/>
        <v>0.15490378145963238</v>
      </c>
      <c r="S180" s="799">
        <f t="shared" si="55"/>
        <v>0</v>
      </c>
      <c r="T180" s="176">
        <f t="shared" si="56"/>
        <v>6</v>
      </c>
      <c r="U180" s="250">
        <f t="shared" si="57"/>
        <v>0.15490378145963238</v>
      </c>
      <c r="V180" s="382">
        <f t="shared" si="58"/>
        <v>59.595029294364089</v>
      </c>
      <c r="W180" s="400">
        <f t="shared" si="59"/>
        <v>0</v>
      </c>
      <c r="X180" s="157">
        <f t="shared" si="60"/>
        <v>44727</v>
      </c>
      <c r="Y180" s="383">
        <f t="shared" si="61"/>
        <v>51.382020924230048</v>
      </c>
      <c r="Z180" s="383">
        <f t="shared" si="62"/>
        <v>52.629818360373903</v>
      </c>
      <c r="AA180" s="384">
        <f t="shared" si="63"/>
        <v>57.669139359999363</v>
      </c>
      <c r="AB180" s="197">
        <f t="shared" si="64"/>
        <v>44727</v>
      </c>
      <c r="AC180" s="119">
        <f>IF(OR(t&lt;Tnet,NoTnet),'2021'!Resal_s+('2021'!Salim-'2021'!Resal_s)*(1-EXP(('2021'!Tnet_s-t)/'2021'!Tau_j)),Resal_s+(Salim-Resal_s)*(1-EXP((Tnet_s-t)/Tau_j)))*Salcycl</f>
        <v>8.7383322441618463E-2</v>
      </c>
      <c r="AD180" s="230">
        <f>(INDEX(Models!$BJ180:$BT180,,AH180)*(1-AF180)+INDEX(Models!$BJ180:$BT180,,AH180+1)*AF180-ERP_i)*AE180*Ramure*Pc/MaxiM</f>
        <v>1.7350557929059527E-4</v>
      </c>
      <c r="AE180" s="304">
        <f t="shared" si="65"/>
        <v>0.7</v>
      </c>
      <c r="AF180" s="177">
        <f t="shared" si="66"/>
        <v>0.21923600371946453</v>
      </c>
      <c r="AG180" s="799">
        <f t="shared" si="74"/>
        <v>0</v>
      </c>
      <c r="AH180" s="176">
        <f t="shared" si="67"/>
        <v>6</v>
      </c>
      <c r="AI180" s="224">
        <f t="shared" si="68"/>
        <v>0.21923600371946453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44728</v>
      </c>
      <c r="B181" s="1147">
        <v>53.773000000000003</v>
      </c>
      <c r="C181" s="388"/>
      <c r="D181" s="391">
        <f t="shared" si="50"/>
        <v>55.079917261745699</v>
      </c>
      <c r="E181" s="383">
        <f t="shared" si="75"/>
        <v>55.632442707000422</v>
      </c>
      <c r="F181" s="383">
        <f t="shared" si="51"/>
        <v>55.64007117375656</v>
      </c>
      <c r="G181" s="110">
        <f t="shared" si="76"/>
        <v>0.903082769339702</v>
      </c>
      <c r="H181" s="412" t="b">
        <f>Wh_hp&gt;='2021'!Maxi_hp</f>
        <v>0</v>
      </c>
      <c r="I181" s="379">
        <f>IF(H181,Wh_hp,'2021'!Maxi_hp)</f>
        <v>62.895191551516874</v>
      </c>
      <c r="J181" s="85">
        <f>IF(H181,An,'2021'!An_max)</f>
        <v>2018</v>
      </c>
      <c r="K181" s="197">
        <f t="shared" si="52"/>
        <v>44728</v>
      </c>
      <c r="L181" s="147">
        <f>IF(t&lt;Tvie,1-EXP((T0-t)*PertePVj)+'2021'!Pspv,1-EXP((T0-t)*PertePVj)+Pspv)</f>
        <v>2.372765477360983E-2</v>
      </c>
      <c r="M181" s="832"/>
      <c r="N181" s="832"/>
      <c r="O181" s="48">
        <f>IF(t&lt;Tnet,'2021'!Resal+('2021'!Salim-'2021'!Resal)*(1-EXP(('2021'!Tnet-t)/('2021'!Tau_j))),Resal+(Salim-Resal)*(1-EXP((Tnet-t)/(Tau_j))))*Salcycl</f>
        <v>9.9317128346262089E-3</v>
      </c>
      <c r="P181" s="169">
        <f>(INDEX(Models!$BJ181:$BT181,,T181)*(1-R181)+INDEX(Models!$BJ181:$BT181,,T181+1)*R181-ERP_i)*Q181*Ramure*Pc/MaxiM</f>
        <v>1.5913157942879907E-4</v>
      </c>
      <c r="Q181" s="304">
        <f t="shared" si="53"/>
        <v>0.7</v>
      </c>
      <c r="R181" s="177">
        <f t="shared" si="54"/>
        <v>0.1589681821558499</v>
      </c>
      <c r="S181" s="799">
        <f t="shared" si="55"/>
        <v>0</v>
      </c>
      <c r="T181" s="176">
        <f t="shared" si="56"/>
        <v>6</v>
      </c>
      <c r="U181" s="250">
        <f t="shared" si="57"/>
        <v>0.1589681821558499</v>
      </c>
      <c r="V181" s="382">
        <f t="shared" si="58"/>
        <v>59.542510570348341</v>
      </c>
      <c r="W181" s="400">
        <f t="shared" si="59"/>
        <v>0</v>
      </c>
      <c r="X181" s="157">
        <f t="shared" si="60"/>
        <v>44728</v>
      </c>
      <c r="Y181" s="383">
        <f t="shared" si="61"/>
        <v>49.56407753961313</v>
      </c>
      <c r="Z181" s="383">
        <f t="shared" si="62"/>
        <v>50.7686997198713</v>
      </c>
      <c r="AA181" s="384">
        <f t="shared" si="63"/>
        <v>55.631691166848867</v>
      </c>
      <c r="AB181" s="197">
        <f t="shared" si="64"/>
        <v>44728</v>
      </c>
      <c r="AC181" s="119">
        <f>IF(OR(t&lt;Tnet,NoTnet),'2021'!Resal_s+('2021'!Salim-'2021'!Resal_s)*(1-EXP(('2021'!Tnet_s-t)/'2021'!Tau_j)),Resal_s+(Salim-Resal_s)*(1-EXP((Tnet_s-t)/Tau_j)))*Salcycl</f>
        <v>8.7414050246875194E-2</v>
      </c>
      <c r="AD181" s="230">
        <f>(INDEX(Models!$BJ181:$BT181,,AH181)*(1-AF181)+INDEX(Models!$BJ181:$BT181,,AH181+1)*AF181-ERP_i)*AE181*Ramure*Pc/MaxiM</f>
        <v>1.748088806669015E-4</v>
      </c>
      <c r="AE181" s="304">
        <f t="shared" si="65"/>
        <v>0.7</v>
      </c>
      <c r="AF181" s="177">
        <f t="shared" si="66"/>
        <v>0.22330040441568205</v>
      </c>
      <c r="AG181" s="799">
        <f t="shared" si="74"/>
        <v>0</v>
      </c>
      <c r="AH181" s="176">
        <f t="shared" si="67"/>
        <v>6</v>
      </c>
      <c r="AI181" s="224">
        <f t="shared" si="68"/>
        <v>0.22330040441568205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44729</v>
      </c>
      <c r="B182" s="1147">
        <v>54.804000000000002</v>
      </c>
      <c r="C182" s="388"/>
      <c r="D182" s="391">
        <f t="shared" si="50"/>
        <v>56.137050889808407</v>
      </c>
      <c r="E182" s="383">
        <f t="shared" si="75"/>
        <v>56.703751733865694</v>
      </c>
      <c r="F182" s="383">
        <f t="shared" si="51"/>
        <v>56.71182237693403</v>
      </c>
      <c r="G182" s="110">
        <f t="shared" si="76"/>
        <v>0.9212592156346201</v>
      </c>
      <c r="H182" s="412" t="b">
        <f>Wh_hp&gt;='2021'!Maxi_hp</f>
        <v>0</v>
      </c>
      <c r="I182" s="379">
        <f>IF(H182,Wh_hp,'2021'!Maxi_hp)</f>
        <v>61.943350764633465</v>
      </c>
      <c r="J182" s="85">
        <f>IF(H182,An,'2021'!An_max)</f>
        <v>2018</v>
      </c>
      <c r="K182" s="197">
        <f t="shared" si="52"/>
        <v>44729</v>
      </c>
      <c r="L182" s="147">
        <f>IF(t&lt;Tvie,1-EXP((T0-t)*PertePVj)+'2021'!Pspv,1-EXP((T0-t)*PertePVj)+Pspv)</f>
        <v>2.3746364810382614E-2</v>
      </c>
      <c r="M182" s="832"/>
      <c r="N182" s="832"/>
      <c r="O182" s="48">
        <f>IF(t&lt;Tnet,'2021'!Resal+('2021'!Salim-'2021'!Resal)*(1-EXP(('2021'!Tnet-t)/('2021'!Tau_j))),Resal+(Salim-Resal)*(1-EXP((Tnet-t)/(Tau_j))))*Salcycl</f>
        <v>9.994062592490402E-3</v>
      </c>
      <c r="P182" s="169">
        <f>(INDEX(Models!$BJ182:$BT182,,T182)*(1-R182)+INDEX(Models!$BJ182:$BT182,,T182+1)*R182-ERP_i)*Q182*Ramure*Pc/MaxiM</f>
        <v>1.603423035684558E-4</v>
      </c>
      <c r="Q182" s="304">
        <f t="shared" si="53"/>
        <v>0.7</v>
      </c>
      <c r="R182" s="177">
        <f t="shared" si="54"/>
        <v>0.16301214817957774</v>
      </c>
      <c r="S182" s="799">
        <f t="shared" si="55"/>
        <v>0</v>
      </c>
      <c r="T182" s="176">
        <f t="shared" si="56"/>
        <v>6</v>
      </c>
      <c r="U182" s="250">
        <f t="shared" si="57"/>
        <v>0.16301214817957774</v>
      </c>
      <c r="V182" s="382">
        <f t="shared" si="58"/>
        <v>59.487070165590161</v>
      </c>
      <c r="W182" s="400">
        <f t="shared" si="59"/>
        <v>0</v>
      </c>
      <c r="X182" s="157">
        <f t="shared" si="60"/>
        <v>44729</v>
      </c>
      <c r="Y182" s="383">
        <f t="shared" si="61"/>
        <v>50.515911595086898</v>
      </c>
      <c r="Z182" s="383">
        <f t="shared" si="62"/>
        <v>51.744659148209173</v>
      </c>
      <c r="AA182" s="384">
        <f t="shared" si="63"/>
        <v>56.702959556381337</v>
      </c>
      <c r="AB182" s="197">
        <f t="shared" si="64"/>
        <v>44729</v>
      </c>
      <c r="AC182" s="119">
        <f>IF(OR(t&lt;Tnet,NoTnet),'2021'!Resal_s+('2021'!Salim-'2021'!Resal_s)*(1-EXP(('2021'!Tnet_s-t)/'2021'!Tau_j)),Resal_s+(Salim-Resal_s)*(1-EXP((Tnet_s-t)/Tau_j)))*Salcycl</f>
        <v>8.7443414717039328E-2</v>
      </c>
      <c r="AD182" s="230">
        <f>(INDEX(Models!$BJ182:$BT182,,AH182)*(1-AF182)+INDEX(Models!$BJ182:$BT182,,AH182+1)*AF182-ERP_i)*AE182*Ramure*Pc/MaxiM</f>
        <v>1.7608077218876162E-4</v>
      </c>
      <c r="AE182" s="304">
        <f t="shared" si="65"/>
        <v>0.7</v>
      </c>
      <c r="AF182" s="177">
        <f t="shared" si="66"/>
        <v>0.22734437043940989</v>
      </c>
      <c r="AG182" s="799">
        <f t="shared" si="74"/>
        <v>0</v>
      </c>
      <c r="AH182" s="176">
        <f t="shared" si="67"/>
        <v>6</v>
      </c>
      <c r="AI182" s="224">
        <f t="shared" si="68"/>
        <v>0.22734437043940989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44730</v>
      </c>
      <c r="B183" s="1147">
        <v>57.902999999999999</v>
      </c>
      <c r="C183" s="388"/>
      <c r="D183" s="391">
        <f t="shared" si="50"/>
        <v>59.312567586809571</v>
      </c>
      <c r="E183" s="383">
        <f t="shared" si="75"/>
        <v>59.915089067958803</v>
      </c>
      <c r="F183" s="383">
        <f t="shared" si="51"/>
        <v>59.92441332024179</v>
      </c>
      <c r="G183" s="110">
        <f t="shared" si="76"/>
        <v>0.97432129455973149</v>
      </c>
      <c r="H183" s="412" t="b">
        <f>Wh_hp&gt;='2021'!Maxi_hp</f>
        <v>1</v>
      </c>
      <c r="I183" s="379">
        <f>IF(H183,Wh_hp,'2021'!Maxi_hp)</f>
        <v>59.92441332024179</v>
      </c>
      <c r="J183" s="85">
        <f>IF(H183,An,'2021'!An_max)</f>
        <v>2022</v>
      </c>
      <c r="K183" s="197">
        <f t="shared" si="52"/>
        <v>44730</v>
      </c>
      <c r="L183" s="147">
        <f>IF(t&lt;Tvie,1-EXP((T0-t)*PertePVj)+'2021'!Pspv,1-EXP((T0-t)*PertePVj)+Pspv)</f>
        <v>2.3765074488581783E-2</v>
      </c>
      <c r="M183" s="832"/>
      <c r="N183" s="832"/>
      <c r="O183" s="48">
        <f>IF(t&lt;Tnet,'2021'!Resal+('2021'!Salim-'2021'!Resal)*(1-EXP(('2021'!Tnet-t)/('2021'!Tau_j))),Resal+(Salim-Resal)*(1-EXP((Tnet-t)/(Tau_j))))*Salcycl</f>
        <v>1.005625612048777E-2</v>
      </c>
      <c r="P183" s="169">
        <f>(INDEX(Models!$BJ183:$BT183,,T183)*(1-R183)+INDEX(Models!$BJ183:$BT183,,T183+1)*R183-ERP_i)*Q183*Ramure*Pc/MaxiM</f>
        <v>1.615242273233433E-4</v>
      </c>
      <c r="Q183" s="304">
        <f t="shared" si="53"/>
        <v>0.7</v>
      </c>
      <c r="R183" s="177">
        <f t="shared" si="54"/>
        <v>0.16703244640539527</v>
      </c>
      <c r="S183" s="799">
        <f t="shared" si="55"/>
        <v>0</v>
      </c>
      <c r="T183" s="176">
        <f t="shared" si="56"/>
        <v>6</v>
      </c>
      <c r="U183" s="250">
        <f t="shared" si="57"/>
        <v>0.16703244640539527</v>
      </c>
      <c r="V183" s="382">
        <f t="shared" si="58"/>
        <v>59.428709248688435</v>
      </c>
      <c r="W183" s="400">
        <f t="shared" si="59"/>
        <v>0</v>
      </c>
      <c r="X183" s="157">
        <f t="shared" si="60"/>
        <v>44730</v>
      </c>
      <c r="Y183" s="383">
        <f t="shared" si="61"/>
        <v>53.374083525817973</v>
      </c>
      <c r="Z183" s="383">
        <f t="shared" si="62"/>
        <v>54.673400972472891</v>
      </c>
      <c r="AA183" s="384">
        <f t="shared" si="63"/>
        <v>59.914177264001303</v>
      </c>
      <c r="AB183" s="197">
        <f t="shared" si="64"/>
        <v>44730</v>
      </c>
      <c r="AC183" s="119">
        <f>IF(OR(t&lt;Tnet,NoTnet),'2021'!Resal_s+('2021'!Salim-'2021'!Resal_s)*(1-EXP(('2021'!Tnet_s-t)/'2021'!Tau_j)),Resal_s+(Salim-Resal_s)*(1-EXP((Tnet_s-t)/Tau_j)))*Salcycl</f>
        <v>8.7471388757219368E-2</v>
      </c>
      <c r="AD183" s="230">
        <f>(INDEX(Models!$BJ183:$BT183,,AH183)*(1-AF183)+INDEX(Models!$BJ183:$BT183,,AH183+1)*AF183-ERP_i)*AE183*Ramure*Pc/MaxiM</f>
        <v>1.7731942732814292E-4</v>
      </c>
      <c r="AE183" s="304">
        <f t="shared" si="65"/>
        <v>0.7</v>
      </c>
      <c r="AF183" s="177">
        <f t="shared" si="66"/>
        <v>0.23136466866522742</v>
      </c>
      <c r="AG183" s="799">
        <f t="shared" si="74"/>
        <v>0</v>
      </c>
      <c r="AH183" s="176">
        <f t="shared" si="67"/>
        <v>6</v>
      </c>
      <c r="AI183" s="224">
        <f t="shared" si="68"/>
        <v>0.23136466866522742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44731</v>
      </c>
      <c r="B184" s="1147">
        <v>58.928000000000004</v>
      </c>
      <c r="C184" s="388"/>
      <c r="D184" s="391">
        <f t="shared" si="50"/>
        <v>60.363676634954722</v>
      </c>
      <c r="E184" s="383">
        <f t="shared" si="75"/>
        <v>60.980696884498293</v>
      </c>
      <c r="F184" s="383">
        <f t="shared" si="51"/>
        <v>60.990515225010704</v>
      </c>
      <c r="G184" s="110">
        <f t="shared" si="76"/>
        <v>0.99259646555630399</v>
      </c>
      <c r="H184" s="412" t="b">
        <f>Wh_hp&gt;='2021'!Maxi_hp</f>
        <v>1</v>
      </c>
      <c r="I184" s="379">
        <f>IF(H184,Wh_hp,'2021'!Maxi_hp)</f>
        <v>60.990515225010704</v>
      </c>
      <c r="J184" s="85">
        <f>IF(H184,An,'2021'!An_max)</f>
        <v>2022</v>
      </c>
      <c r="K184" s="197">
        <f t="shared" si="52"/>
        <v>44731</v>
      </c>
      <c r="L184" s="147">
        <f>IF(t&lt;Tvie,1-EXP((T0-t)*PertePVj)+'2021'!Pspv,1-EXP((T0-t)*PertePVj)+Pspv)</f>
        <v>2.3783783808214221E-2</v>
      </c>
      <c r="M184" s="832"/>
      <c r="N184" s="832"/>
      <c r="O184" s="48">
        <f>IF(t&lt;Tnet,'2021'!Resal+('2021'!Salim-'2021'!Resal)*(1-EXP(('2021'!Tnet-t)/('2021'!Tau_j))),Resal+(Salim-Resal)*(1-EXP((Tnet-t)/(Tau_j))))*Salcycl</f>
        <v>1.0118287934823892E-2</v>
      </c>
      <c r="P184" s="169">
        <f>(INDEX(Models!$BJ184:$BT184,,T184)*(1-R184)+INDEX(Models!$BJ184:$BT184,,T184+1)*R184-ERP_i)*Q184*Ramure*Pc/MaxiM</f>
        <v>1.6270184803983658E-4</v>
      </c>
      <c r="Q184" s="304">
        <f t="shared" si="53"/>
        <v>0.7</v>
      </c>
      <c r="R184" s="177">
        <f t="shared" si="54"/>
        <v>0.17102592113692527</v>
      </c>
      <c r="S184" s="799">
        <f t="shared" si="55"/>
        <v>0</v>
      </c>
      <c r="T184" s="176">
        <f t="shared" si="56"/>
        <v>6</v>
      </c>
      <c r="U184" s="250">
        <f t="shared" si="57"/>
        <v>0.17102592113692527</v>
      </c>
      <c r="V184" s="382">
        <f t="shared" si="58"/>
        <v>59.367427396596867</v>
      </c>
      <c r="W184" s="400">
        <f t="shared" si="59"/>
        <v>0</v>
      </c>
      <c r="X184" s="157">
        <f t="shared" si="60"/>
        <v>44731</v>
      </c>
      <c r="Y184" s="383">
        <f t="shared" si="61"/>
        <v>54.320710246042793</v>
      </c>
      <c r="Z184" s="383">
        <f t="shared" si="62"/>
        <v>55.644138404038806</v>
      </c>
      <c r="AA184" s="384">
        <f t="shared" si="63"/>
        <v>60.979740674159643</v>
      </c>
      <c r="AB184" s="197">
        <f t="shared" si="64"/>
        <v>44731</v>
      </c>
      <c r="AC184" s="119">
        <f>IF(OR(t&lt;Tnet,NoTnet),'2021'!Resal_s+('2021'!Salim-'2021'!Resal_s)*(1-EXP(('2021'!Tnet_s-t)/'2021'!Tau_j)),Resal_s+(Salim-Resal_s)*(1-EXP((Tnet_s-t)/Tau_j)))*Salcycl</f>
        <v>8.7497949501477892E-2</v>
      </c>
      <c r="AD184" s="230">
        <f>(INDEX(Models!$BJ184:$BT184,,AH184)*(1-AF184)+INDEX(Models!$BJ184:$BT184,,AH184+1)*AF184-ERP_i)*AE184*Ramure*Pc/MaxiM</f>
        <v>1.7854741675049008E-4</v>
      </c>
      <c r="AE184" s="304">
        <f t="shared" si="65"/>
        <v>0.7</v>
      </c>
      <c r="AF184" s="177">
        <f t="shared" si="66"/>
        <v>0.23535814339675742</v>
      </c>
      <c r="AG184" s="799">
        <f t="shared" si="74"/>
        <v>0</v>
      </c>
      <c r="AH184" s="176">
        <f t="shared" si="67"/>
        <v>6</v>
      </c>
      <c r="AI184" s="224">
        <f t="shared" si="68"/>
        <v>0.23535814339675742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44732</v>
      </c>
      <c r="B185" s="1147">
        <v>30.956</v>
      </c>
      <c r="C185" s="388"/>
      <c r="D185" s="391">
        <f t="shared" si="50"/>
        <v>31.710795992315415</v>
      </c>
      <c r="E185" s="383">
        <f t="shared" si="75"/>
        <v>32.036936911431283</v>
      </c>
      <c r="F185" s="383">
        <f t="shared" si="51"/>
        <v>32.038602531496075</v>
      </c>
      <c r="G185" s="110">
        <f t="shared" si="76"/>
        <v>0.52193680728455927</v>
      </c>
      <c r="H185" s="412" t="b">
        <f>Wh_hp&gt;='2021'!Maxi_hp</f>
        <v>0</v>
      </c>
      <c r="I185" s="379">
        <f>IF(H185,Wh_hp,'2021'!Maxi_hp)</f>
        <v>55.931265464438617</v>
      </c>
      <c r="J185" s="85">
        <f>IF(H185,An,'2021'!An_max)</f>
        <v>2020</v>
      </c>
      <c r="K185" s="197">
        <f t="shared" si="52"/>
        <v>44732</v>
      </c>
      <c r="L185" s="147">
        <f>IF(t&lt;Tvie,1-EXP((T0-t)*PertePVj)+'2021'!Pspv,1-EXP((T0-t)*PertePVj)+Pspv)</f>
        <v>2.3802492769286809E-2</v>
      </c>
      <c r="M185" s="832"/>
      <c r="N185" s="832"/>
      <c r="O185" s="48">
        <f>IF(t&lt;Tnet,'2021'!Resal+('2021'!Salim-'2021'!Resal)*(1-EXP(('2021'!Tnet-t)/('2021'!Tau_j))),Resal+(Salim-Resal)*(1-EXP((Tnet-t)/(Tau_j))))*Salcycl</f>
        <v>1.0180152990827781E-2</v>
      </c>
      <c r="P185" s="169">
        <f>(INDEX(Models!$BJ185:$BT185,,T185)*(1-R185)+INDEX(Models!$BJ185:$BT185,,T185+1)*R185-ERP_i)*Q185*Ramure*Pc/MaxiM</f>
        <v>1.6392936270068648E-4</v>
      </c>
      <c r="Q185" s="304">
        <f t="shared" si="53"/>
        <v>0.7</v>
      </c>
      <c r="R185" s="177">
        <f t="shared" si="54"/>
        <v>0.17498950359859114</v>
      </c>
      <c r="S185" s="799">
        <f t="shared" si="55"/>
        <v>0</v>
      </c>
      <c r="T185" s="176">
        <f t="shared" si="56"/>
        <v>6</v>
      </c>
      <c r="U185" s="250">
        <f t="shared" si="57"/>
        <v>0.17498950359859114</v>
      </c>
      <c r="V185" s="382">
        <f t="shared" si="58"/>
        <v>59.303222398398695</v>
      </c>
      <c r="W185" s="400">
        <f t="shared" si="59"/>
        <v>0</v>
      </c>
      <c r="X185" s="157">
        <f t="shared" si="60"/>
        <v>44732</v>
      </c>
      <c r="Y185" s="383">
        <f t="shared" si="61"/>
        <v>28.537004286339069</v>
      </c>
      <c r="Z185" s="383">
        <f t="shared" si="62"/>
        <v>29.232818230906087</v>
      </c>
      <c r="AA185" s="384">
        <f t="shared" si="63"/>
        <v>32.036775437934779</v>
      </c>
      <c r="AB185" s="197">
        <f t="shared" si="64"/>
        <v>44732</v>
      </c>
      <c r="AC185" s="119">
        <f>IF(OR(t&lt;Tnet,NoTnet),'2021'!Resal_s+('2021'!Salim-'2021'!Resal_s)*(1-EXP(('2021'!Tnet_s-t)/'2021'!Tau_j)),Resal_s+(Salim-Resal_s)*(1-EXP((Tnet_s-t)/Tau_j)))*Salcycl</f>
        <v>8.7523078359144871E-2</v>
      </c>
      <c r="AD185" s="230">
        <f>(INDEX(Models!$BJ185:$BT185,,AH185)*(1-AF185)+INDEX(Models!$BJ185:$BT185,,AH185+1)*AF185-ERP_i)*AE185*Ramure*Pc/MaxiM</f>
        <v>1.7982149076466473E-4</v>
      </c>
      <c r="AE185" s="304">
        <f t="shared" si="65"/>
        <v>0.7</v>
      </c>
      <c r="AF185" s="177">
        <f t="shared" si="66"/>
        <v>0.23932172585842329</v>
      </c>
      <c r="AG185" s="799">
        <f t="shared" si="74"/>
        <v>0</v>
      </c>
      <c r="AH185" s="176">
        <f t="shared" si="67"/>
        <v>6</v>
      </c>
      <c r="AI185" s="224">
        <f t="shared" si="68"/>
        <v>0.23932172585842329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44733</v>
      </c>
      <c r="B186" s="1147">
        <v>20.48</v>
      </c>
      <c r="C186" s="388"/>
      <c r="D186" s="391">
        <f t="shared" si="50"/>
        <v>20.979763163039571</v>
      </c>
      <c r="E186" s="383">
        <f t="shared" si="75"/>
        <v>21.196858134578001</v>
      </c>
      <c r="F186" s="383">
        <f t="shared" si="51"/>
        <v>21.197086933281561</v>
      </c>
      <c r="G186" s="110">
        <f t="shared" si="76"/>
        <v>0.34568175884691082</v>
      </c>
      <c r="H186" s="412" t="b">
        <f>Wh_hp&gt;='2021'!Maxi_hp</f>
        <v>0</v>
      </c>
      <c r="I186" s="379">
        <f>IF(H186,Wh_hp,'2021'!Maxi_hp)</f>
        <v>56.260411269728877</v>
      </c>
      <c r="J186" s="85">
        <f>IF(H186,An,'2021'!An_max)</f>
        <v>2020</v>
      </c>
      <c r="K186" s="197">
        <f t="shared" si="52"/>
        <v>44733</v>
      </c>
      <c r="L186" s="147">
        <f>IF(t&lt;Tvie,1-EXP((T0-t)*PertePVj)+'2021'!Pspv,1-EXP((T0-t)*PertePVj)+Pspv)</f>
        <v>2.3821201371806433E-2</v>
      </c>
      <c r="M186" s="832"/>
      <c r="N186" s="832"/>
      <c r="O186" s="48">
        <f>IF(t&lt;Tnet,'2021'!Resal+('2021'!Salim-'2021'!Resal)*(1-EXP(('2021'!Tnet-t)/('2021'!Tau_j))),Resal+(Salim-Resal)*(1-EXP((Tnet-t)/(Tau_j))))*Salcycl</f>
        <v>1.0241846700114708E-2</v>
      </c>
      <c r="P186" s="169">
        <f>(INDEX(Models!$BJ186:$BT186,,T186)*(1-R186)+INDEX(Models!$BJ186:$BT186,,T186+1)*R186-ERP_i)*Q186*Ramure*Pc/MaxiM</f>
        <v>1.6520582552943211E-4</v>
      </c>
      <c r="Q186" s="304">
        <f t="shared" si="53"/>
        <v>0.7</v>
      </c>
      <c r="R186" s="177">
        <f t="shared" si="54"/>
        <v>0.17892022083829251</v>
      </c>
      <c r="S186" s="799">
        <f t="shared" si="55"/>
        <v>0</v>
      </c>
      <c r="T186" s="176">
        <f t="shared" si="56"/>
        <v>6</v>
      </c>
      <c r="U186" s="250">
        <f t="shared" si="57"/>
        <v>0.17892022083829251</v>
      </c>
      <c r="V186" s="382">
        <f t="shared" si="58"/>
        <v>59.236095295916535</v>
      </c>
      <c r="W186" s="400">
        <f t="shared" si="59"/>
        <v>0</v>
      </c>
      <c r="X186" s="157">
        <f t="shared" si="60"/>
        <v>44733</v>
      </c>
      <c r="Y186" s="383">
        <f t="shared" si="61"/>
        <v>18.88039296871856</v>
      </c>
      <c r="Z186" s="383">
        <f t="shared" si="62"/>
        <v>19.341121724064113</v>
      </c>
      <c r="AA186" s="384">
        <f t="shared" si="63"/>
        <v>21.196836065879303</v>
      </c>
      <c r="AB186" s="197">
        <f t="shared" si="64"/>
        <v>44733</v>
      </c>
      <c r="AC186" s="119">
        <f>IF(OR(t&lt;Tnet,NoTnet),'2021'!Resal_s+('2021'!Salim-'2021'!Resal_s)*(1-EXP(('2021'!Tnet_s-t)/'2021'!Tau_j)),Resal_s+(Salim-Resal_s)*(1-EXP((Tnet_s-t)/Tau_j)))*Salcycl</f>
        <v>8.7546761037716608E-2</v>
      </c>
      <c r="AD186" s="230">
        <f>(INDEX(Models!$BJ186:$BT186,,AH186)*(1-AF186)+INDEX(Models!$BJ186:$BT186,,AH186+1)*AF186-ERP_i)*AE186*Ramure*Pc/MaxiM</f>
        <v>1.8114069548380893E-4</v>
      </c>
      <c r="AE186" s="304">
        <f t="shared" si="65"/>
        <v>0.7</v>
      </c>
      <c r="AF186" s="177">
        <f t="shared" si="66"/>
        <v>0.24325244309812466</v>
      </c>
      <c r="AG186" s="799">
        <f t="shared" si="74"/>
        <v>0</v>
      </c>
      <c r="AH186" s="176">
        <f t="shared" si="67"/>
        <v>6</v>
      </c>
      <c r="AI186" s="224">
        <f t="shared" si="68"/>
        <v>0.24325244309812466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44734</v>
      </c>
      <c r="B187" s="1147">
        <v>43.234000000000002</v>
      </c>
      <c r="C187" s="388"/>
      <c r="D187" s="391">
        <f t="shared" si="50"/>
        <v>44.289866412160883</v>
      </c>
      <c r="E187" s="383">
        <f t="shared" si="75"/>
        <v>44.750951800196113</v>
      </c>
      <c r="F187" s="383">
        <f t="shared" si="51"/>
        <v>44.755537866754239</v>
      </c>
      <c r="G187" s="110">
        <f t="shared" si="76"/>
        <v>0.73067632913910141</v>
      </c>
      <c r="H187" s="412" t="b">
        <f>Wh_hp&gt;='2021'!Maxi_hp</f>
        <v>0</v>
      </c>
      <c r="I187" s="379">
        <f>IF(H187,Wh_hp,'2021'!Maxi_hp)</f>
        <v>60.180759205917369</v>
      </c>
      <c r="J187" s="85">
        <f>IF(H187,An,'2021'!An_max)</f>
        <v>2020</v>
      </c>
      <c r="K187" s="197">
        <f t="shared" si="52"/>
        <v>44734</v>
      </c>
      <c r="L187" s="147">
        <f>IF(t&lt;Tvie,1-EXP((T0-t)*PertePVj)+'2021'!Pspv,1-EXP((T0-t)*PertePVj)+Pspv)</f>
        <v>2.3839909615779975E-2</v>
      </c>
      <c r="M187" s="832"/>
      <c r="N187" s="832"/>
      <c r="O187" s="48">
        <f>IF(t&lt;Tnet,'2021'!Resal+('2021'!Salim-'2021'!Resal)*(1-EXP(('2021'!Tnet-t)/('2021'!Tau_j))),Resal+(Salim-Resal)*(1-EXP((Tnet-t)/(Tau_j))))*Salcycl</f>
        <v>1.0303364945038033E-2</v>
      </c>
      <c r="P187" s="169">
        <f>(INDEX(Models!$BJ187:$BT187,,T187)*(1-R187)+INDEX(Models!$BJ187:$BT187,,T187+1)*R187-ERP_i)*Q187*Ramure*Pc/MaxiM</f>
        <v>1.6653035331647519E-4</v>
      </c>
      <c r="Q187" s="304">
        <f t="shared" si="53"/>
        <v>0.7</v>
      </c>
      <c r="R187" s="177">
        <f t="shared" si="54"/>
        <v>0.18281520399036258</v>
      </c>
      <c r="S187" s="799">
        <f t="shared" si="55"/>
        <v>0</v>
      </c>
      <c r="T187" s="176">
        <f t="shared" si="56"/>
        <v>6</v>
      </c>
      <c r="U187" s="250">
        <f t="shared" si="57"/>
        <v>0.18281520399036258</v>
      </c>
      <c r="V187" s="382">
        <f t="shared" si="58"/>
        <v>59.166047091630297</v>
      </c>
      <c r="W187" s="400">
        <f t="shared" si="59"/>
        <v>0</v>
      </c>
      <c r="X187" s="157">
        <f t="shared" si="60"/>
        <v>44734</v>
      </c>
      <c r="Y187" s="383">
        <f t="shared" si="61"/>
        <v>39.858329534422779</v>
      </c>
      <c r="Z187" s="383">
        <f t="shared" si="62"/>
        <v>40.831754880220927</v>
      </c>
      <c r="AA187" s="384">
        <f t="shared" si="63"/>
        <v>44.750511899229522</v>
      </c>
      <c r="AB187" s="197">
        <f t="shared" si="64"/>
        <v>44734</v>
      </c>
      <c r="AC187" s="119">
        <f>IF(OR(t&lt;Tnet,NoTnet),'2021'!Resal_s+('2021'!Salim-'2021'!Resal_s)*(1-EXP(('2021'!Tnet_s-t)/'2021'!Tau_j)),Resal_s+(Salim-Resal_s)*(1-EXP((Tnet_s-t)/Tau_j)))*Salcycl</f>
        <v>8.7568987542152948E-2</v>
      </c>
      <c r="AD187" s="230">
        <f>(INDEX(Models!$BJ187:$BT187,,AH187)*(1-AF187)+INDEX(Models!$BJ187:$BT187,,AH187+1)*AF187-ERP_i)*AE187*Ramure*Pc/MaxiM</f>
        <v>1.8250414315610408E-4</v>
      </c>
      <c r="AE187" s="304">
        <f t="shared" si="65"/>
        <v>0.7</v>
      </c>
      <c r="AF187" s="177">
        <f t="shared" si="66"/>
        <v>0.24714742625019473</v>
      </c>
      <c r="AG187" s="799">
        <f t="shared" si="74"/>
        <v>0</v>
      </c>
      <c r="AH187" s="176">
        <f t="shared" si="67"/>
        <v>6</v>
      </c>
      <c r="AI187" s="224">
        <f t="shared" si="68"/>
        <v>0.24714742625019473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44735</v>
      </c>
      <c r="B188" s="1147">
        <v>44.975999999999999</v>
      </c>
      <c r="C188" s="388"/>
      <c r="D188" s="391">
        <f t="shared" si="50"/>
        <v>46.075292786858107</v>
      </c>
      <c r="E188" s="383">
        <f t="shared" si="75"/>
        <v>46.55785113697393</v>
      </c>
      <c r="F188" s="383">
        <f t="shared" si="51"/>
        <v>46.563000979141584</v>
      </c>
      <c r="G188" s="110">
        <f t="shared" si="76"/>
        <v>0.76106074376318722</v>
      </c>
      <c r="H188" s="412" t="b">
        <f>Wh_hp&gt;='2021'!Maxi_hp</f>
        <v>0</v>
      </c>
      <c r="I188" s="379">
        <f>IF(H188,Wh_hp,'2021'!Maxi_hp)</f>
        <v>53.862501168142678</v>
      </c>
      <c r="J188" s="85">
        <f>IF(H188,An,'2021'!An_max)</f>
        <v>2018</v>
      </c>
      <c r="K188" s="197">
        <f t="shared" si="52"/>
        <v>44735</v>
      </c>
      <c r="L188" s="147">
        <f>IF(t&lt;Tvie,1-EXP((T0-t)*PertePVj)+'2021'!Pspv,1-EXP((T0-t)*PertePVj)+Pspv)</f>
        <v>2.3858617501214319E-2</v>
      </c>
      <c r="M188" s="832"/>
      <c r="N188" s="832"/>
      <c r="O188" s="48">
        <f>IF(t&lt;Tnet,'2021'!Resal+('2021'!Salim-'2021'!Resal)*(1-EXP(('2021'!Tnet-t)/('2021'!Tau_j))),Resal+(Salim-Resal)*(1-EXP((Tnet-t)/(Tau_j))))*Salcycl</f>
        <v>1.0364704090318283E-2</v>
      </c>
      <c r="P188" s="169">
        <f>(INDEX(Models!$BJ188:$BT188,,T188)*(1-R188)+INDEX(Models!$BJ188:$BT188,,T188+1)*R188-ERP_i)*Q188*Ramure*Pc/MaxiM</f>
        <v>1.6790041397468926E-4</v>
      </c>
      <c r="Q188" s="304">
        <f t="shared" si="53"/>
        <v>0.7</v>
      </c>
      <c r="R188" s="177">
        <f t="shared" si="54"/>
        <v>0.1866716958553401</v>
      </c>
      <c r="S188" s="799">
        <f t="shared" si="55"/>
        <v>0</v>
      </c>
      <c r="T188" s="176">
        <f t="shared" si="56"/>
        <v>6</v>
      </c>
      <c r="U188" s="250">
        <f t="shared" si="57"/>
        <v>0.1866716958553401</v>
      </c>
      <c r="V188" s="382">
        <f t="shared" si="58"/>
        <v>59.093078857640869</v>
      </c>
      <c r="W188" s="400">
        <f t="shared" si="59"/>
        <v>0</v>
      </c>
      <c r="X188" s="157">
        <f t="shared" si="60"/>
        <v>44735</v>
      </c>
      <c r="Y188" s="383">
        <f t="shared" si="61"/>
        <v>41.465912429765126</v>
      </c>
      <c r="Z188" s="383">
        <f t="shared" si="62"/>
        <v>42.479412483894677</v>
      </c>
      <c r="AA188" s="384">
        <f t="shared" si="63"/>
        <v>46.557360117358904</v>
      </c>
      <c r="AB188" s="197">
        <f t="shared" si="64"/>
        <v>44735</v>
      </c>
      <c r="AC188" s="119">
        <f>IF(OR(t&lt;Tnet,NoTnet),'2021'!Resal_s+('2021'!Salim-'2021'!Resal_s)*(1-EXP(('2021'!Tnet_s-t)/'2021'!Tau_j)),Resal_s+(Salim-Resal_s)*(1-EXP((Tnet_s-t)/Tau_j)))*Salcycl</f>
        <v>8.7589752150568537E-2</v>
      </c>
      <c r="AD188" s="230">
        <f>(INDEX(Models!$BJ188:$BT188,,AH188)*(1-AF188)+INDEX(Models!$BJ188:$BT188,,AH188+1)*AF188-ERP_i)*AE188*Ramure*Pc/MaxiM</f>
        <v>1.8390913695098826E-4</v>
      </c>
      <c r="AE188" s="304">
        <f t="shared" si="65"/>
        <v>0.7</v>
      </c>
      <c r="AF188" s="177">
        <f t="shared" si="66"/>
        <v>0.25100391811517225</v>
      </c>
      <c r="AG188" s="799">
        <f t="shared" si="74"/>
        <v>0</v>
      </c>
      <c r="AH188" s="176">
        <f t="shared" si="67"/>
        <v>6</v>
      </c>
      <c r="AI188" s="224">
        <f t="shared" si="68"/>
        <v>0.25100391811517225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44736</v>
      </c>
      <c r="B189" s="1147">
        <v>42.088999999999999</v>
      </c>
      <c r="C189" s="388"/>
      <c r="D189" s="391">
        <f t="shared" si="50"/>
        <v>43.118555770884363</v>
      </c>
      <c r="E189" s="383">
        <f t="shared" si="75"/>
        <v>43.572840145254965</v>
      </c>
      <c r="F189" s="383">
        <f t="shared" si="51"/>
        <v>43.577195024990601</v>
      </c>
      <c r="G189" s="110">
        <f t="shared" si="76"/>
        <v>0.71311559342193731</v>
      </c>
      <c r="H189" s="412" t="b">
        <f>Wh_hp&gt;='2021'!Maxi_hp</f>
        <v>0</v>
      </c>
      <c r="I189" s="379">
        <f>IF(H189,Wh_hp,'2021'!Maxi_hp)</f>
        <v>60.623696514192886</v>
      </c>
      <c r="J189" s="85">
        <f>IF(H189,An,'2021'!An_max)</f>
        <v>2020</v>
      </c>
      <c r="K189" s="197">
        <f t="shared" si="52"/>
        <v>44736</v>
      </c>
      <c r="L189" s="147">
        <f>IF(t&lt;Tvie,1-EXP((T0-t)*PertePVj)+'2021'!Pspv,1-EXP((T0-t)*PertePVj)+Pspv)</f>
        <v>2.3877325028116236E-2</v>
      </c>
      <c r="M189" s="832"/>
      <c r="N189" s="832"/>
      <c r="O189" s="48">
        <f>IF(t&lt;Tnet,'2021'!Resal+('2021'!Salim-'2021'!Resal)*(1-EXP(('2021'!Tnet-t)/('2021'!Tau_j))),Resal+(Salim-Resal)*(1-EXP((Tnet-t)/(Tau_j))))*Salcycl</f>
        <v>1.0425860991759853E-2</v>
      </c>
      <c r="P189" s="169">
        <f>(INDEX(Models!$BJ189:$BT189,,T189)*(1-R189)+INDEX(Models!$BJ189:$BT189,,T189+1)*R189-ERP_i)*Q189*Ramure*Pc/MaxiM</f>
        <v>1.6931339915151646E-4</v>
      </c>
      <c r="Q189" s="304">
        <f t="shared" si="53"/>
        <v>0.7</v>
      </c>
      <c r="R189" s="177">
        <f t="shared" si="54"/>
        <v>0.19048705776057401</v>
      </c>
      <c r="S189" s="799">
        <f t="shared" si="55"/>
        <v>0</v>
      </c>
      <c r="T189" s="176">
        <f t="shared" si="56"/>
        <v>6</v>
      </c>
      <c r="U189" s="250">
        <f t="shared" si="57"/>
        <v>0.19048705776057401</v>
      </c>
      <c r="V189" s="382">
        <f t="shared" si="58"/>
        <v>59.017191633346627</v>
      </c>
      <c r="W189" s="400">
        <f t="shared" si="59"/>
        <v>0</v>
      </c>
      <c r="X189" s="157">
        <f t="shared" si="60"/>
        <v>44736</v>
      </c>
      <c r="Y189" s="383">
        <f t="shared" si="61"/>
        <v>38.805843292884767</v>
      </c>
      <c r="Z189" s="383">
        <f t="shared" si="62"/>
        <v>39.755088461603997</v>
      </c>
      <c r="AA189" s="384">
        <f t="shared" si="63"/>
        <v>43.572427596186095</v>
      </c>
      <c r="AB189" s="197">
        <f t="shared" si="64"/>
        <v>44736</v>
      </c>
      <c r="AC189" s="119">
        <f>IF(OR(t&lt;Tnet,NoTnet),'2021'!Resal_s+('2021'!Salim-'2021'!Resal_s)*(1-EXP(('2021'!Tnet_s-t)/'2021'!Tau_j)),Resal_s+(Salim-Resal_s)*(1-EXP((Tnet_s-t)/Tau_j)))*Salcycl</f>
        <v>8.760905336649713E-2</v>
      </c>
      <c r="AD189" s="230">
        <f>(INDEX(Models!$BJ189:$BT189,,AH189)*(1-AF189)+INDEX(Models!$BJ189:$BT189,,AH189+1)*AF189-ERP_i)*AE189*Ramure*Pc/MaxiM</f>
        <v>1.8535289723356515E-4</v>
      </c>
      <c r="AE189" s="304">
        <f t="shared" si="65"/>
        <v>0.7</v>
      </c>
      <c r="AF189" s="177">
        <f t="shared" si="66"/>
        <v>0.25481928002040616</v>
      </c>
      <c r="AG189" s="799">
        <f t="shared" si="74"/>
        <v>0</v>
      </c>
      <c r="AH189" s="176">
        <f t="shared" si="67"/>
        <v>6</v>
      </c>
      <c r="AI189" s="224">
        <f t="shared" si="68"/>
        <v>0.25481928002040616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44737</v>
      </c>
      <c r="B190" s="1147">
        <v>42.100999999999999</v>
      </c>
      <c r="C190" s="388"/>
      <c r="D190" s="391">
        <f t="shared" si="50"/>
        <v>43.131675916386662</v>
      </c>
      <c r="E190" s="383">
        <f t="shared" si="75"/>
        <v>43.588784217232494</v>
      </c>
      <c r="F190" s="383">
        <f t="shared" si="51"/>
        <v>43.593190439505115</v>
      </c>
      <c r="G190" s="110">
        <f t="shared" si="76"/>
        <v>0.71427244967411407</v>
      </c>
      <c r="H190" s="412" t="b">
        <f>Wh_hp&gt;='2021'!Maxi_hp</f>
        <v>0</v>
      </c>
      <c r="I190" s="379">
        <f>IF(H190,Wh_hp,'2021'!Maxi_hp)</f>
        <v>61.35509471330375</v>
      </c>
      <c r="J190" s="85">
        <f>IF(H190,An,'2021'!An_max)</f>
        <v>2020</v>
      </c>
      <c r="K190" s="197">
        <f t="shared" si="52"/>
        <v>44737</v>
      </c>
      <c r="L190" s="147">
        <f>IF(t&lt;Tvie,1-EXP((T0-t)*PertePVj)+'2021'!Pspv,1-EXP((T0-t)*PertePVj)+Pspv)</f>
        <v>2.3896032196492722E-2</v>
      </c>
      <c r="M190" s="832"/>
      <c r="N190" s="832"/>
      <c r="O190" s="48">
        <f>IF(t&lt;Tnet,'2021'!Resal+('2021'!Salim-'2021'!Resal)*(1-EXP(('2021'!Tnet-t)/('2021'!Tau_j))),Resal+(Salim-Resal)*(1-EXP((Tnet-t)/(Tau_j))))*Salcycl</f>
        <v>1.0486833001988573E-2</v>
      </c>
      <c r="P190" s="169">
        <f>(INDEX(Models!$BJ190:$BT190,,T190)*(1-R190)+INDEX(Models!$BJ190:$BT190,,T190+1)*R190-ERP_i)*Q190*Ramure*Pc/MaxiM</f>
        <v>1.7076841331836932E-4</v>
      </c>
      <c r="Q190" s="304">
        <f t="shared" si="53"/>
        <v>0.7</v>
      </c>
      <c r="R190" s="177">
        <f t="shared" si="54"/>
        <v>0.19425877567335476</v>
      </c>
      <c r="S190" s="799">
        <f t="shared" si="55"/>
        <v>0</v>
      </c>
      <c r="T190" s="176">
        <f t="shared" si="56"/>
        <v>6</v>
      </c>
      <c r="U190" s="250">
        <f t="shared" si="57"/>
        <v>0.19425877567335476</v>
      </c>
      <c r="V190" s="382">
        <f t="shared" si="58"/>
        <v>58.938386324958799</v>
      </c>
      <c r="W190" s="400">
        <f t="shared" si="59"/>
        <v>0</v>
      </c>
      <c r="X190" s="157">
        <f t="shared" si="60"/>
        <v>44737</v>
      </c>
      <c r="Y190" s="383">
        <f t="shared" si="61"/>
        <v>38.818538362925061</v>
      </c>
      <c r="Z190" s="383">
        <f t="shared" si="62"/>
        <v>39.76885623185926</v>
      </c>
      <c r="AA190" s="384">
        <f t="shared" si="63"/>
        <v>43.588369674322465</v>
      </c>
      <c r="AB190" s="197">
        <f t="shared" si="64"/>
        <v>44737</v>
      </c>
      <c r="AC190" s="119">
        <f>IF(OR(t&lt;Tnet,NoTnet),'2021'!Resal_s+('2021'!Salim-'2021'!Resal_s)*(1-EXP(('2021'!Tnet_s-t)/'2021'!Tau_j)),Resal_s+(Salim-Resal_s)*(1-EXP((Tnet_s-t)/Tau_j)))*Salcycl</f>
        <v>8.7626893848091109E-2</v>
      </c>
      <c r="AD190" s="230">
        <f>(INDEX(Models!$BJ190:$BT190,,AH190)*(1-AF190)+INDEX(Models!$BJ190:$BT190,,AH190+1)*AF190-ERP_i)*AE190*Ramure*Pc/MaxiM</f>
        <v>1.8683451952391744E-4</v>
      </c>
      <c r="AE190" s="304">
        <f t="shared" si="65"/>
        <v>0.7</v>
      </c>
      <c r="AF190" s="177">
        <f t="shared" si="66"/>
        <v>0.25859099793318691</v>
      </c>
      <c r="AG190" s="799">
        <f t="shared" si="74"/>
        <v>0</v>
      </c>
      <c r="AH190" s="176">
        <f t="shared" si="67"/>
        <v>6</v>
      </c>
      <c r="AI190" s="224">
        <f t="shared" si="68"/>
        <v>0.25859099793318691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44738</v>
      </c>
      <c r="B191" s="1147">
        <v>11.061999999999999</v>
      </c>
      <c r="C191" s="388"/>
      <c r="D191" s="391">
        <f t="shared" si="50"/>
        <v>11.333026367736506</v>
      </c>
      <c r="E191" s="383">
        <f t="shared" si="75"/>
        <v>11.453837065429564</v>
      </c>
      <c r="F191" s="383">
        <f t="shared" si="51"/>
        <v>11.453837065429564</v>
      </c>
      <c r="G191" s="110">
        <f t="shared" si="76"/>
        <v>0.18791793268915774</v>
      </c>
      <c r="H191" s="412" t="b">
        <f>Wh_hp&gt;='2021'!Maxi_hp</f>
        <v>0</v>
      </c>
      <c r="I191" s="379">
        <f>IF(H191,Wh_hp,'2021'!Maxi_hp)</f>
        <v>61.449694288761741</v>
      </c>
      <c r="J191" s="85">
        <f>IF(H191,An,'2021'!An_max)</f>
        <v>2018</v>
      </c>
      <c r="K191" s="197">
        <f t="shared" si="52"/>
        <v>44738</v>
      </c>
      <c r="L191" s="147">
        <f>IF(t&lt;Tvie,1-EXP((T0-t)*PertePVj)+'2021'!Pspv,1-EXP((T0-t)*PertePVj)+Pspv)</f>
        <v>2.3914739006350549E-2</v>
      </c>
      <c r="M191" s="832"/>
      <c r="N191" s="832"/>
      <c r="O191" s="48">
        <f>IF(t&lt;Tnet,'2021'!Resal+('2021'!Salim-'2021'!Resal)*(1-EXP(('2021'!Tnet-t)/('2021'!Tau_j))),Resal+(Salim-Resal)*(1-EXP((Tnet-t)/(Tau_j))))*Salcycl</f>
        <v>1.0547617973167637E-2</v>
      </c>
      <c r="P191" s="169">
        <f>(INDEX(Models!$BJ191:$BT191,,T191)*(1-R191)+INDEX(Models!$BJ191:$BT191,,T191+1)*R191-ERP_i)*Q191*Ramure*Pc/MaxiM</f>
        <v>1.7226662996561656E-4</v>
      </c>
      <c r="Q191" s="304">
        <f t="shared" si="53"/>
        <v>0.7</v>
      </c>
      <c r="R191" s="177">
        <f t="shared" si="54"/>
        <v>0.19798446554602056</v>
      </c>
      <c r="S191" s="799">
        <f t="shared" si="55"/>
        <v>0</v>
      </c>
      <c r="T191" s="176">
        <f t="shared" si="56"/>
        <v>6</v>
      </c>
      <c r="U191" s="250">
        <f t="shared" si="57"/>
        <v>0.19798446554602056</v>
      </c>
      <c r="V191" s="382">
        <f t="shared" si="58"/>
        <v>58.855981588698327</v>
      </c>
      <c r="W191" s="400">
        <f t="shared" si="59"/>
        <v>0</v>
      </c>
      <c r="X191" s="157">
        <f t="shared" si="60"/>
        <v>44738</v>
      </c>
      <c r="Y191" s="383">
        <f t="shared" si="61"/>
        <v>10.200076543839184</v>
      </c>
      <c r="Z191" s="383">
        <f t="shared" si="62"/>
        <v>10.449985212824096</v>
      </c>
      <c r="AA191" s="384">
        <f t="shared" si="63"/>
        <v>11.453837065429564</v>
      </c>
      <c r="AB191" s="197">
        <f t="shared" si="64"/>
        <v>44738</v>
      </c>
      <c r="AC191" s="119">
        <f>IF(OR(t&lt;Tnet,NoTnet),'2021'!Resal_s+('2021'!Salim-'2021'!Resal_s)*(1-EXP(('2021'!Tnet_s-t)/'2021'!Tau_j)),Resal_s+(Salim-Resal_s)*(1-EXP((Tnet_s-t)/Tau_j)))*Salcycl</f>
        <v>8.7643280314798178E-2</v>
      </c>
      <c r="AD191" s="230">
        <f>(INDEX(Models!$BJ191:$BT191,,AH191)*(1-AF191)+INDEX(Models!$BJ191:$BT191,,AH191+1)*AF191-ERP_i)*AE191*Ramure*Pc/MaxiM</f>
        <v>1.8835535840730966E-4</v>
      </c>
      <c r="AE191" s="304">
        <f t="shared" si="65"/>
        <v>0.7</v>
      </c>
      <c r="AF191" s="177">
        <f t="shared" si="66"/>
        <v>0.26231668780585271</v>
      </c>
      <c r="AG191" s="799">
        <f t="shared" si="74"/>
        <v>0</v>
      </c>
      <c r="AH191" s="176">
        <f t="shared" si="67"/>
        <v>6</v>
      </c>
      <c r="AI191" s="224">
        <f t="shared" si="68"/>
        <v>0.26231668780585271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44739</v>
      </c>
      <c r="B192" s="1147">
        <v>16.527000000000001</v>
      </c>
      <c r="C192" s="388"/>
      <c r="D192" s="391">
        <f t="shared" si="50"/>
        <v>16.932247010297196</v>
      </c>
      <c r="E192" s="383">
        <f t="shared" si="75"/>
        <v>17.113793801690058</v>
      </c>
      <c r="F192" s="383">
        <f t="shared" si="51"/>
        <v>17.113793801690058</v>
      </c>
      <c r="G192" s="110">
        <f t="shared" si="76"/>
        <v>0.28116839060042065</v>
      </c>
      <c r="H192" s="412" t="b">
        <f>Wh_hp&gt;='2021'!Maxi_hp</f>
        <v>0</v>
      </c>
      <c r="I192" s="379">
        <f>IF(H192,Wh_hp,'2021'!Maxi_hp)</f>
        <v>60.093655665818403</v>
      </c>
      <c r="J192" s="85">
        <f>IF(H192,An,'2021'!An_max)</f>
        <v>2018</v>
      </c>
      <c r="K192" s="197">
        <f t="shared" si="52"/>
        <v>44739</v>
      </c>
      <c r="L192" s="147">
        <f>IF(t&lt;Tvie,1-EXP((T0-t)*PertePVj)+'2021'!Pspv,1-EXP((T0-t)*PertePVj)+Pspv)</f>
        <v>2.3933445457696712E-2</v>
      </c>
      <c r="M192" s="832"/>
      <c r="N192" s="832"/>
      <c r="O192" s="48">
        <f>IF(t&lt;Tnet,'2021'!Resal+('2021'!Salim-'2021'!Resal)*(1-EXP(('2021'!Tnet-t)/('2021'!Tau_j))),Resal+(Salim-Resal)*(1-EXP((Tnet-t)/(Tau_j))))*Salcycl</f>
        <v>1.0608214256673592E-2</v>
      </c>
      <c r="P192" s="169">
        <f>(INDEX(Models!$BJ192:$BT192,,T192)*(1-R192)+INDEX(Models!$BJ192:$BT192,,T192+1)*R192-ERP_i)*Q192*Ramure*Pc/MaxiM</f>
        <v>1.7375069955992699E-4</v>
      </c>
      <c r="Q192" s="304">
        <f t="shared" si="53"/>
        <v>0.7</v>
      </c>
      <c r="R192" s="177">
        <f t="shared" si="54"/>
        <v>0.20166187788019424</v>
      </c>
      <c r="S192" s="799">
        <f t="shared" si="55"/>
        <v>0</v>
      </c>
      <c r="T192" s="176">
        <f t="shared" si="56"/>
        <v>6</v>
      </c>
      <c r="U192" s="250">
        <f t="shared" si="57"/>
        <v>0.20166187788019424</v>
      </c>
      <c r="V192" s="382">
        <f t="shared" si="58"/>
        <v>58.769509570054964</v>
      </c>
      <c r="W192" s="400">
        <f t="shared" si="59"/>
        <v>0</v>
      </c>
      <c r="X192" s="157">
        <f t="shared" si="60"/>
        <v>44739</v>
      </c>
      <c r="Y192" s="383">
        <f t="shared" si="61"/>
        <v>15.239941101802478</v>
      </c>
      <c r="Z192" s="383">
        <f t="shared" si="62"/>
        <v>15.61362904084833</v>
      </c>
      <c r="AA192" s="384">
        <f t="shared" si="63"/>
        <v>17.113793801690058</v>
      </c>
      <c r="AB192" s="197">
        <f t="shared" si="64"/>
        <v>44739</v>
      </c>
      <c r="AC192" s="119">
        <f>IF(OR(t&lt;Tnet,NoTnet),'2021'!Resal_s+('2021'!Salim-'2021'!Resal_s)*(1-EXP(('2021'!Tnet_s-t)/'2021'!Tau_j)),Resal_s+(Salim-Resal_s)*(1-EXP((Tnet_s-t)/Tau_j)))*Salcycl</f>
        <v>8.7658223432233978E-2</v>
      </c>
      <c r="AD192" s="230">
        <f>(INDEX(Models!$BJ192:$BT192,,AH192)*(1-AF192)+INDEX(Models!$BJ192:$BT192,,AH192+1)*AF192-ERP_i)*AE192*Ramure*Pc/MaxiM</f>
        <v>1.8985556852549795E-4</v>
      </c>
      <c r="AE192" s="304">
        <f t="shared" si="65"/>
        <v>0.7</v>
      </c>
      <c r="AF192" s="177">
        <f t="shared" si="66"/>
        <v>0.26599410014002639</v>
      </c>
      <c r="AG192" s="799">
        <f t="shared" si="74"/>
        <v>0</v>
      </c>
      <c r="AH192" s="176">
        <f t="shared" si="67"/>
        <v>6</v>
      </c>
      <c r="AI192" s="224">
        <f t="shared" si="68"/>
        <v>0.26599410014002639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44740</v>
      </c>
      <c r="B193" s="1147">
        <v>58.305</v>
      </c>
      <c r="C193" s="388"/>
      <c r="D193" s="391">
        <f t="shared" si="50"/>
        <v>59.735800957527466</v>
      </c>
      <c r="E193" s="383">
        <f t="shared" si="75"/>
        <v>60.379971976404605</v>
      </c>
      <c r="F193" s="383">
        <f t="shared" si="51"/>
        <v>60.390455526303775</v>
      </c>
      <c r="G193" s="110">
        <f t="shared" si="76"/>
        <v>0.99361988176532789</v>
      </c>
      <c r="H193" s="412" t="b">
        <f>Wh_hp&gt;='2021'!Maxi_hp</f>
        <v>1</v>
      </c>
      <c r="I193" s="379">
        <f>IF(H193,Wh_hp,'2021'!Maxi_hp)</f>
        <v>60.390455526303775</v>
      </c>
      <c r="J193" s="85">
        <f>IF(H193,An,'2021'!An_max)</f>
        <v>2022</v>
      </c>
      <c r="K193" s="197">
        <f t="shared" si="52"/>
        <v>44740</v>
      </c>
      <c r="L193" s="147">
        <f>IF(t&lt;Tvie,1-EXP((T0-t)*PertePVj)+'2021'!Pspv,1-EXP((T0-t)*PertePVj)+Pspv)</f>
        <v>2.3952151550537981E-2</v>
      </c>
      <c r="M193" s="832"/>
      <c r="N193" s="832"/>
      <c r="O193" s="48">
        <f>IF(t&lt;Tnet,'2021'!Resal+('2021'!Salim-'2021'!Resal)*(1-EXP(('2021'!Tnet-t)/('2021'!Tau_j))),Resal+(Salim-Resal)*(1-EXP((Tnet-t)/(Tau_j))))*Salcycl</f>
        <v>1.066862069973906E-2</v>
      </c>
      <c r="P193" s="169">
        <f>(INDEX(Models!$BJ193:$BT193,,T193)*(1-R193)+INDEX(Models!$BJ193:$BT193,,T193+1)*R193-ERP_i)*Q193*Ramure*Pc/MaxiM</f>
        <v>1.7519252606293514E-4</v>
      </c>
      <c r="Q193" s="304">
        <f t="shared" si="53"/>
        <v>0.7</v>
      </c>
      <c r="R193" s="177">
        <f t="shared" si="54"/>
        <v>0.20528890150485785</v>
      </c>
      <c r="S193" s="799">
        <f t="shared" si="55"/>
        <v>0</v>
      </c>
      <c r="T193" s="176">
        <f t="shared" si="56"/>
        <v>6</v>
      </c>
      <c r="U193" s="250">
        <f t="shared" si="57"/>
        <v>0.20528890150485785</v>
      </c>
      <c r="V193" s="382">
        <f t="shared" si="58"/>
        <v>58.679287699931315</v>
      </c>
      <c r="W193" s="400">
        <f t="shared" si="59"/>
        <v>0</v>
      </c>
      <c r="X193" s="157">
        <f t="shared" si="60"/>
        <v>44740</v>
      </c>
      <c r="Y193" s="383">
        <f t="shared" si="61"/>
        <v>53.766059410323415</v>
      </c>
      <c r="Z193" s="383">
        <f t="shared" si="62"/>
        <v>55.085475057125052</v>
      </c>
      <c r="AA193" s="384">
        <f t="shared" si="63"/>
        <v>60.379007569942672</v>
      </c>
      <c r="AB193" s="197">
        <f t="shared" si="64"/>
        <v>44740</v>
      </c>
      <c r="AC193" s="119">
        <f>IF(OR(t&lt;Tnet,NoTnet),'2021'!Resal_s+('2021'!Salim-'2021'!Resal_s)*(1-EXP(('2021'!Tnet_s-t)/'2021'!Tau_j)),Resal_s+(Salim-Resal_s)*(1-EXP((Tnet_s-t)/Tau_j)))*Salcycl</f>
        <v>8.767173767613895E-2</v>
      </c>
      <c r="AD193" s="230">
        <f>(INDEX(Models!$BJ193:$BT193,,AH193)*(1-AF193)+INDEX(Models!$BJ193:$BT193,,AH193+1)*AF193-ERP_i)*AE193*Ramure*Pc/MaxiM</f>
        <v>1.9130889941376404E-4</v>
      </c>
      <c r="AE193" s="304">
        <f t="shared" si="65"/>
        <v>0.7</v>
      </c>
      <c r="AF193" s="177">
        <f t="shared" si="66"/>
        <v>0.26962112376469</v>
      </c>
      <c r="AG193" s="799">
        <f t="shared" si="74"/>
        <v>0</v>
      </c>
      <c r="AH193" s="176">
        <f t="shared" si="67"/>
        <v>6</v>
      </c>
      <c r="AI193" s="224">
        <f t="shared" si="68"/>
        <v>0.26962112376469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44741</v>
      </c>
      <c r="B194" s="1147">
        <v>59.404000000000003</v>
      </c>
      <c r="C194" s="388"/>
      <c r="D194" s="391">
        <f t="shared" si="50"/>
        <v>60.862936771283181</v>
      </c>
      <c r="E194" s="383">
        <f t="shared" si="75"/>
        <v>61.523007063614521</v>
      </c>
      <c r="F194" s="383">
        <f t="shared" si="51"/>
        <v>61.533873329482432</v>
      </c>
      <c r="G194" s="110">
        <f t="shared" si="76"/>
        <v>1.013968753642656</v>
      </c>
      <c r="H194" s="412" t="b">
        <f>Wh_hp&gt;='2021'!Maxi_hp</f>
        <v>1</v>
      </c>
      <c r="I194" s="379">
        <f>IF(H194,Wh_hp,'2021'!Maxi_hp)</f>
        <v>61.533873329482432</v>
      </c>
      <c r="J194" s="85">
        <f>IF(H194,An,'2021'!An_max)</f>
        <v>2022</v>
      </c>
      <c r="K194" s="197">
        <f t="shared" si="52"/>
        <v>44741</v>
      </c>
      <c r="L194" s="147">
        <f>IF(t&lt;Tvie,1-EXP((T0-t)*PertePVj)+'2021'!Pspv,1-EXP((T0-t)*PertePVj)+Pspv)</f>
        <v>2.3970857284881242E-2</v>
      </c>
      <c r="M194" s="832"/>
      <c r="N194" s="832"/>
      <c r="O194" s="48">
        <f>IF(t&lt;Tnet,'2021'!Resal+('2021'!Salim-'2021'!Resal)*(1-EXP(('2021'!Tnet-t)/('2021'!Tau_j))),Resal+(Salim-Resal)*(1-EXP((Tnet-t)/(Tau_j))))*Salcycl</f>
        <v>1.0728836639093806E-2</v>
      </c>
      <c r="P194" s="169">
        <f>(INDEX(Models!$BJ194:$BT194,,T194)*(1-R194)+INDEX(Models!$BJ194:$BT194,,T194+1)*R194-ERP_i)*Q194*Ramure*Pc/MaxiM</f>
        <v>1.7658998661978015E-4</v>
      </c>
      <c r="Q194" s="304">
        <f t="shared" si="53"/>
        <v>0.7</v>
      </c>
      <c r="R194" s="177">
        <f t="shared" si="54"/>
        <v>0.20886356657027572</v>
      </c>
      <c r="S194" s="799">
        <f t="shared" si="55"/>
        <v>0</v>
      </c>
      <c r="T194" s="176">
        <f t="shared" si="56"/>
        <v>6</v>
      </c>
      <c r="U194" s="250">
        <f t="shared" si="57"/>
        <v>0.20886356657027572</v>
      </c>
      <c r="V194" s="382">
        <f t="shared" si="58"/>
        <v>58.585631743180151</v>
      </c>
      <c r="W194" s="400">
        <f t="shared" si="59"/>
        <v>0</v>
      </c>
      <c r="X194" s="157">
        <f t="shared" si="60"/>
        <v>44741</v>
      </c>
      <c r="Y194" s="383">
        <f t="shared" si="61"/>
        <v>54.782103384240493</v>
      </c>
      <c r="Z194" s="383">
        <f t="shared" si="62"/>
        <v>56.12752835622058</v>
      </c>
      <c r="AA194" s="384">
        <f t="shared" si="63"/>
        <v>61.522014943371644</v>
      </c>
      <c r="AB194" s="197">
        <f t="shared" si="64"/>
        <v>44741</v>
      </c>
      <c r="AC194" s="119">
        <f>IF(OR(t&lt;Tnet,NoTnet),'2021'!Resal_s+('2021'!Salim-'2021'!Resal_s)*(1-EXP(('2021'!Tnet_s-t)/'2021'!Tau_j)),Resal_s+(Salim-Resal_s)*(1-EXP((Tnet_s-t)/Tau_j)))*Salcycl</f>
        <v>8.7683841176470892E-2</v>
      </c>
      <c r="AD194" s="230">
        <f>(INDEX(Models!$BJ194:$BT194,,AH194)*(1-AF194)+INDEX(Models!$BJ194:$BT194,,AH194+1)*AF194-ERP_i)*AE194*Ramure*Pc/MaxiM</f>
        <v>1.9271314268304665E-4</v>
      </c>
      <c r="AE194" s="304">
        <f t="shared" si="65"/>
        <v>0.7</v>
      </c>
      <c r="AF194" s="177">
        <f t="shared" si="66"/>
        <v>0.27319578883010787</v>
      </c>
      <c r="AG194" s="799">
        <f t="shared" si="74"/>
        <v>0</v>
      </c>
      <c r="AH194" s="176">
        <f t="shared" si="67"/>
        <v>6</v>
      </c>
      <c r="AI194" s="224">
        <f t="shared" si="68"/>
        <v>0.27319578883010787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44742</v>
      </c>
      <c r="B195" s="1147">
        <v>13.107000000000001</v>
      </c>
      <c r="C195" s="388"/>
      <c r="D195" s="391">
        <f t="shared" si="50"/>
        <v>13.429159667320171</v>
      </c>
      <c r="E195" s="383">
        <f t="shared" si="75"/>
        <v>13.575625212834382</v>
      </c>
      <c r="F195" s="383">
        <f t="shared" si="51"/>
        <v>13.575625212834382</v>
      </c>
      <c r="G195" s="110">
        <f t="shared" si="76"/>
        <v>0.22405409042423033</v>
      </c>
      <c r="H195" s="412" t="b">
        <f>Wh_hp&gt;='2021'!Maxi_hp</f>
        <v>0</v>
      </c>
      <c r="I195" s="379">
        <f>IF(H195,Wh_hp,'2021'!Maxi_hp)</f>
        <v>46.176742952915681</v>
      </c>
      <c r="J195" s="85">
        <f>IF(H195,An,'2021'!An_max)</f>
        <v>2018</v>
      </c>
      <c r="K195" s="197">
        <f t="shared" si="52"/>
        <v>44742</v>
      </c>
      <c r="L195" s="147">
        <f>IF(t&lt;Tvie,1-EXP((T0-t)*PertePVj)+'2021'!Pspv,1-EXP((T0-t)*PertePVj)+Pspv)</f>
        <v>2.3989562660733266E-2</v>
      </c>
      <c r="M195" s="832"/>
      <c r="N195" s="832"/>
      <c r="O195" s="48">
        <f>IF(t&lt;Tnet,'2021'!Resal+('2021'!Salim-'2021'!Resal)*(1-EXP(('2021'!Tnet-t)/('2021'!Tau_j))),Resal+(Salim-Resal)*(1-EXP((Tnet-t)/(Tau_j))))*Salcycl</f>
        <v>1.0788861891660322E-2</v>
      </c>
      <c r="P195" s="169">
        <f>(INDEX(Models!$BJ195:$BT195,,T195)*(1-R195)+INDEX(Models!$BJ195:$BT195,,T195+1)*R195-ERP_i)*Q195*Ramure*Pc/MaxiM</f>
        <v>1.7794101363356857E-4</v>
      </c>
      <c r="Q195" s="304">
        <f t="shared" si="53"/>
        <v>0.7</v>
      </c>
      <c r="R195" s="177">
        <f t="shared" si="54"/>
        <v>0.21238404676672024</v>
      </c>
      <c r="S195" s="799">
        <f t="shared" si="55"/>
        <v>0</v>
      </c>
      <c r="T195" s="176">
        <f t="shared" si="56"/>
        <v>6</v>
      </c>
      <c r="U195" s="250">
        <f t="shared" si="57"/>
        <v>0.21238404676672024</v>
      </c>
      <c r="V195" s="382">
        <f t="shared" si="58"/>
        <v>58.488857321558193</v>
      </c>
      <c r="W195" s="400">
        <f t="shared" si="59"/>
        <v>0</v>
      </c>
      <c r="X195" s="157">
        <f t="shared" si="60"/>
        <v>44742</v>
      </c>
      <c r="Y195" s="383">
        <f t="shared" si="61"/>
        <v>12.088003258198667</v>
      </c>
      <c r="Z195" s="383">
        <f t="shared" si="62"/>
        <v>12.385116793578723</v>
      </c>
      <c r="AA195" s="384">
        <f t="shared" si="63"/>
        <v>13.575625212834382</v>
      </c>
      <c r="AB195" s="197">
        <f t="shared" si="64"/>
        <v>44742</v>
      </c>
      <c r="AC195" s="119">
        <f>IF(OR(t&lt;Tnet,NoTnet),'2021'!Resal_s+('2021'!Salim-'2021'!Resal_s)*(1-EXP(('2021'!Tnet_s-t)/'2021'!Tau_j)),Resal_s+(Salim-Resal_s)*(1-EXP((Tnet_s-t)/Tau_j)))*Salcycl</f>
        <v>8.7694555542838226E-2</v>
      </c>
      <c r="AD195" s="230">
        <f>(INDEX(Models!$BJ195:$BT195,,AH195)*(1-AF195)+INDEX(Models!$BJ195:$BT195,,AH195+1)*AF195-ERP_i)*AE195*Ramure*Pc/MaxiM</f>
        <v>1.9406614722631128E-4</v>
      </c>
      <c r="AE195" s="304">
        <f t="shared" si="65"/>
        <v>0.7</v>
      </c>
      <c r="AF195" s="177">
        <f t="shared" si="66"/>
        <v>0.27671626902655239</v>
      </c>
      <c r="AG195" s="799">
        <f t="shared" si="74"/>
        <v>0</v>
      </c>
      <c r="AH195" s="176">
        <f t="shared" si="67"/>
        <v>6</v>
      </c>
      <c r="AI195" s="224">
        <f t="shared" si="68"/>
        <v>0.27671626902655239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44743</v>
      </c>
      <c r="B196" s="1147">
        <v>41.78</v>
      </c>
      <c r="C196" s="388"/>
      <c r="D196" s="391">
        <f t="shared" si="50"/>
        <v>42.807739672758046</v>
      </c>
      <c r="E196" s="383">
        <f t="shared" si="75"/>
        <v>43.277241339901643</v>
      </c>
      <c r="F196" s="383">
        <f t="shared" si="51"/>
        <v>43.281846732291108</v>
      </c>
      <c r="G196" s="110">
        <f t="shared" si="76"/>
        <v>0.71549018118077401</v>
      </c>
      <c r="H196" s="412" t="b">
        <f>Wh_hp&gt;='2021'!Maxi_hp</f>
        <v>0</v>
      </c>
      <c r="I196" s="379">
        <f>IF(H196,Wh_hp,'2021'!Maxi_hp)</f>
        <v>60.353143786946767</v>
      </c>
      <c r="J196" s="85">
        <f>IF(H196,An,'2021'!An_max)</f>
        <v>2020</v>
      </c>
      <c r="K196" s="197">
        <f t="shared" si="52"/>
        <v>44743</v>
      </c>
      <c r="L196" s="147">
        <f>IF(t&lt;Tvie,1-EXP((T0-t)*PertePVj)+'2021'!Pspv,1-EXP((T0-t)*PertePVj)+Pspv)</f>
        <v>2.4008267678101158E-2</v>
      </c>
      <c r="M196" s="832"/>
      <c r="N196" s="832"/>
      <c r="O196" s="48">
        <f>IF(t&lt;Tnet,'2021'!Resal+('2021'!Salim-'2021'!Resal)*(1-EXP(('2021'!Tnet-t)/('2021'!Tau_j))),Resal+(Salim-Resal)*(1-EXP((Tnet-t)/(Tau_j))))*Salcycl</f>
        <v>1.0848696742384886E-2</v>
      </c>
      <c r="P196" s="169">
        <f>(INDEX(Models!$BJ196:$BT196,,T196)*(1-R196)+INDEX(Models!$BJ196:$BT196,,T196+1)*R196-ERP_i)*Q196*Ramure*Pc/MaxiM</f>
        <v>1.7924359700588802E-4</v>
      </c>
      <c r="Q196" s="304">
        <f t="shared" si="53"/>
        <v>0.7</v>
      </c>
      <c r="R196" s="177">
        <f t="shared" si="54"/>
        <v>0.21584866078347448</v>
      </c>
      <c r="S196" s="799">
        <f t="shared" si="55"/>
        <v>0</v>
      </c>
      <c r="T196" s="176">
        <f t="shared" si="56"/>
        <v>6</v>
      </c>
      <c r="U196" s="250">
        <f t="shared" si="57"/>
        <v>0.21584866078347448</v>
      </c>
      <c r="V196" s="382">
        <f t="shared" si="58"/>
        <v>58.389279917927638</v>
      </c>
      <c r="W196" s="400">
        <f t="shared" si="59"/>
        <v>0</v>
      </c>
      <c r="X196" s="157">
        <f t="shared" si="60"/>
        <v>44743</v>
      </c>
      <c r="Y196" s="383">
        <f t="shared" si="61"/>
        <v>38.533403194957103</v>
      </c>
      <c r="Z196" s="383">
        <f t="shared" si="62"/>
        <v>39.481280341674172</v>
      </c>
      <c r="AA196" s="384">
        <f t="shared" si="63"/>
        <v>43.276827103795846</v>
      </c>
      <c r="AB196" s="197">
        <f t="shared" si="64"/>
        <v>44743</v>
      </c>
      <c r="AC196" s="119">
        <f>IF(OR(t&lt;Tnet,NoTnet),'2021'!Resal_s+('2021'!Salim-'2021'!Resal_s)*(1-EXP(('2021'!Tnet_s-t)/'2021'!Tau_j)),Resal_s+(Salim-Resal_s)*(1-EXP((Tnet_s-t)/Tau_j)))*Salcycl</f>
        <v>8.7703905672621818E-2</v>
      </c>
      <c r="AD196" s="230">
        <f>(INDEX(Models!$BJ196:$BT196,,AH196)*(1-AF196)+INDEX(Models!$BJ196:$BT196,,AH196+1)*AF196-ERP_i)*AE196*Ramure*Pc/MaxiM</f>
        <v>1.9536582141911794E-4</v>
      </c>
      <c r="AE196" s="304">
        <f t="shared" si="65"/>
        <v>0.7</v>
      </c>
      <c r="AF196" s="177">
        <f t="shared" si="66"/>
        <v>0.28018088304330663</v>
      </c>
      <c r="AG196" s="799">
        <f t="shared" si="74"/>
        <v>0</v>
      </c>
      <c r="AH196" s="176">
        <f t="shared" si="67"/>
        <v>6</v>
      </c>
      <c r="AI196" s="224">
        <f t="shared" si="68"/>
        <v>0.28018088304330663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44744</v>
      </c>
      <c r="B197" s="1147">
        <v>58.616</v>
      </c>
      <c r="C197" s="388"/>
      <c r="D197" s="391">
        <f t="shared" si="50"/>
        <v>60.059036816168437</v>
      </c>
      <c r="E197" s="383">
        <f t="shared" si="75"/>
        <v>60.721406682691821</v>
      </c>
      <c r="F197" s="383">
        <f t="shared" si="51"/>
        <v>60.73236861929626</v>
      </c>
      <c r="G197" s="110">
        <f t="shared" si="76"/>
        <v>1.0056407759433341</v>
      </c>
      <c r="H197" s="412" t="b">
        <f>Wh_hp&gt;='2021'!Maxi_hp</f>
        <v>1</v>
      </c>
      <c r="I197" s="379">
        <f>IF(H197,Wh_hp,'2021'!Maxi_hp)</f>
        <v>60.73236861929626</v>
      </c>
      <c r="J197" s="85">
        <f>IF(H197,An,'2021'!An_max)</f>
        <v>2022</v>
      </c>
      <c r="K197" s="197">
        <f t="shared" si="52"/>
        <v>44744</v>
      </c>
      <c r="L197" s="147">
        <f>IF(t&lt;Tvie,1-EXP((T0-t)*PertePVj)+'2021'!Pspv,1-EXP((T0-t)*PertePVj)+Pspv)</f>
        <v>2.4026972336991581E-2</v>
      </c>
      <c r="M197" s="832"/>
      <c r="N197" s="832"/>
      <c r="O197" s="48">
        <f>IF(t&lt;Tnet,'2021'!Resal+('2021'!Salim-'2021'!Resal)*(1-EXP(('2021'!Tnet-t)/('2021'!Tau_j))),Resal+(Salim-Resal)*(1-EXP((Tnet-t)/(Tau_j))))*Salcycl</f>
        <v>1.0908341929308219E-2</v>
      </c>
      <c r="P197" s="169">
        <f>(INDEX(Models!$BJ197:$BT197,,T197)*(1-R197)+INDEX(Models!$BJ197:$BT197,,T197+1)*R197-ERP_i)*Q197*Ramure*Pc/MaxiM</f>
        <v>1.8049578591523686E-4</v>
      </c>
      <c r="Q197" s="304">
        <f t="shared" si="53"/>
        <v>0.7</v>
      </c>
      <c r="R197" s="177">
        <f t="shared" si="54"/>
        <v>0.21925587302960303</v>
      </c>
      <c r="S197" s="799">
        <f t="shared" si="55"/>
        <v>0</v>
      </c>
      <c r="T197" s="176">
        <f t="shared" si="56"/>
        <v>6</v>
      </c>
      <c r="U197" s="250">
        <f t="shared" si="57"/>
        <v>0.21925587302960303</v>
      </c>
      <c r="V197" s="382">
        <f t="shared" si="58"/>
        <v>58.287214880498134</v>
      </c>
      <c r="W197" s="400">
        <f t="shared" si="59"/>
        <v>0</v>
      </c>
      <c r="X197" s="157">
        <f t="shared" si="60"/>
        <v>44744</v>
      </c>
      <c r="Y197" s="383">
        <f t="shared" si="61"/>
        <v>54.063560057893838</v>
      </c>
      <c r="Z197" s="383">
        <f t="shared" si="62"/>
        <v>55.394522722979723</v>
      </c>
      <c r="AA197" s="384">
        <f t="shared" si="63"/>
        <v>60.720428020112408</v>
      </c>
      <c r="AB197" s="197">
        <f t="shared" si="64"/>
        <v>44744</v>
      </c>
      <c r="AC197" s="119">
        <f>IF(OR(t&lt;Tnet,NoTnet),'2021'!Resal_s+('2021'!Salim-'2021'!Resal_s)*(1-EXP(('2021'!Tnet_s-t)/'2021'!Tau_j)),Resal_s+(Salim-Resal_s)*(1-EXP((Tnet_s-t)/Tau_j)))*Salcycl</f>
        <v>8.771191954326453E-2</v>
      </c>
      <c r="AD197" s="230">
        <f>(INDEX(Models!$BJ197:$BT197,,AH197)*(1-AF197)+INDEX(Models!$BJ197:$BT197,,AH197+1)*AF197-ERP_i)*AE197*Ramure*Pc/MaxiM</f>
        <v>1.9661013484765946E-4</v>
      </c>
      <c r="AE197" s="304">
        <f t="shared" si="65"/>
        <v>0.7</v>
      </c>
      <c r="AF197" s="177">
        <f t="shared" si="66"/>
        <v>0.28358809528943518</v>
      </c>
      <c r="AG197" s="799">
        <f t="shared" si="74"/>
        <v>0</v>
      </c>
      <c r="AH197" s="176">
        <f t="shared" si="67"/>
        <v>6</v>
      </c>
      <c r="AI197" s="224">
        <f t="shared" si="68"/>
        <v>0.28358809528943518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44745</v>
      </c>
      <c r="B198" s="1147">
        <v>53.241</v>
      </c>
      <c r="C198" s="388"/>
      <c r="D198" s="391">
        <f t="shared" si="50"/>
        <v>54.552757978018406</v>
      </c>
      <c r="E198" s="383">
        <f t="shared" si="75"/>
        <v>55.157716707536807</v>
      </c>
      <c r="F198" s="383">
        <f t="shared" si="51"/>
        <v>55.166547577749505</v>
      </c>
      <c r="G198" s="110">
        <f t="shared" si="76"/>
        <v>0.91504166942921206</v>
      </c>
      <c r="H198" s="412" t="b">
        <f>Wh_hp&gt;='2021'!Maxi_hp</f>
        <v>1</v>
      </c>
      <c r="I198" s="379">
        <f>IF(H198,Wh_hp,'2021'!Maxi_hp)</f>
        <v>55.166547577749505</v>
      </c>
      <c r="J198" s="85">
        <f>IF(H198,An,'2021'!An_max)</f>
        <v>2022</v>
      </c>
      <c r="K198" s="197">
        <f t="shared" si="52"/>
        <v>44745</v>
      </c>
      <c r="L198" s="147">
        <f>IF(t&lt;Tvie,1-EXP((T0-t)*PertePVj)+'2021'!Pspv,1-EXP((T0-t)*PertePVj)+Pspv)</f>
        <v>2.4045676637411528E-2</v>
      </c>
      <c r="M198" s="832"/>
      <c r="N198" s="832"/>
      <c r="O198" s="48">
        <f>IF(t&lt;Tnet,'2021'!Resal+('2021'!Salim-'2021'!Resal)*(1-EXP(('2021'!Tnet-t)/('2021'!Tau_j))),Resal+(Salim-Resal)*(1-EXP((Tnet-t)/(Tau_j))))*Salcycl</f>
        <v>1.0967798626003314E-2</v>
      </c>
      <c r="P198" s="169">
        <f>(INDEX(Models!$BJ198:$BT198,,T198)*(1-R198)+INDEX(Models!$BJ198:$BT198,,T198+1)*R198-ERP_i)*Q198*Ramure*Pc/MaxiM</f>
        <v>1.8218260591362916E-4</v>
      </c>
      <c r="Q198" s="304">
        <f t="shared" si="53"/>
        <v>0.7</v>
      </c>
      <c r="R198" s="177">
        <f t="shared" si="54"/>
        <v>0.2226042936434402</v>
      </c>
      <c r="S198" s="799">
        <f t="shared" si="55"/>
        <v>0</v>
      </c>
      <c r="T198" s="176">
        <f t="shared" si="56"/>
        <v>6</v>
      </c>
      <c r="U198" s="250">
        <f t="shared" si="57"/>
        <v>0.2226042936434402</v>
      </c>
      <c r="V198" s="382">
        <f t="shared" si="58"/>
        <v>58.18294908457024</v>
      </c>
      <c r="W198" s="400">
        <f t="shared" si="59"/>
        <v>0</v>
      </c>
      <c r="X198" s="157">
        <f t="shared" si="60"/>
        <v>44745</v>
      </c>
      <c r="Y198" s="383">
        <f t="shared" si="61"/>
        <v>49.10869322802025</v>
      </c>
      <c r="Z198" s="383">
        <f t="shared" si="62"/>
        <v>50.318638949023125</v>
      </c>
      <c r="AA198" s="384">
        <f t="shared" si="63"/>
        <v>55.15692909324197</v>
      </c>
      <c r="AB198" s="197">
        <f t="shared" si="64"/>
        <v>44745</v>
      </c>
      <c r="AC198" s="119">
        <f>IF(OR(t&lt;Tnet,NoTnet),'2021'!Resal_s+('2021'!Salim-'2021'!Resal_s)*(1-EXP(('2021'!Tnet_s-t)/'2021'!Tau_j)),Resal_s+(Salim-Resal_s)*(1-EXP((Tnet_s-t)/Tau_j)))*Salcycl</f>
        <v>8.7718627990325357E-2</v>
      </c>
      <c r="AD198" s="230">
        <f>(INDEX(Models!$BJ198:$BT198,,AH198)*(1-AF198)+INDEX(Models!$BJ198:$BT198,,AH198+1)*AF198-ERP_i)*AE198*Ramure*Pc/MaxiM</f>
        <v>1.9843124520185746E-4</v>
      </c>
      <c r="AE198" s="304">
        <f t="shared" si="65"/>
        <v>0.7</v>
      </c>
      <c r="AF198" s="177">
        <f t="shared" si="66"/>
        <v>0.28693651590327235</v>
      </c>
      <c r="AG198" s="799">
        <f t="shared" si="74"/>
        <v>0</v>
      </c>
      <c r="AH198" s="176">
        <f t="shared" si="67"/>
        <v>6</v>
      </c>
      <c r="AI198" s="224">
        <f t="shared" si="68"/>
        <v>0.28693651590327235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44746</v>
      </c>
      <c r="B199" s="1147">
        <v>45.003</v>
      </c>
      <c r="C199" s="388"/>
      <c r="D199" s="391">
        <f t="shared" si="50"/>
        <v>46.112672910448943</v>
      </c>
      <c r="E199" s="383">
        <f t="shared" si="75"/>
        <v>46.62683015686774</v>
      </c>
      <c r="F199" s="383">
        <f t="shared" si="51"/>
        <v>46.632660773039085</v>
      </c>
      <c r="G199" s="110">
        <f t="shared" si="76"/>
        <v>0.77484183185556887</v>
      </c>
      <c r="H199" s="412" t="b">
        <f>Wh_hp&gt;='2021'!Maxi_hp</f>
        <v>0</v>
      </c>
      <c r="I199" s="379">
        <f>IF(H199,Wh_hp,'2021'!Maxi_hp)</f>
        <v>58.802223324731905</v>
      </c>
      <c r="J199" s="85">
        <f>IF(H199,An,'2021'!An_max)</f>
        <v>2018</v>
      </c>
      <c r="K199" s="197">
        <f t="shared" si="52"/>
        <v>44746</v>
      </c>
      <c r="L199" s="147">
        <f>IF(t&lt;Tvie,1-EXP((T0-t)*PertePVj)+'2021'!Pspv,1-EXP((T0-t)*PertePVj)+Pspv)</f>
        <v>2.4064380579367772E-2</v>
      </c>
      <c r="M199" s="832"/>
      <c r="N199" s="832"/>
      <c r="O199" s="48">
        <f>IF(t&lt;Tnet,'2021'!Resal+('2021'!Salim-'2021'!Resal)*(1-EXP(('2021'!Tnet-t)/('2021'!Tau_j))),Resal+(Salim-Resal)*(1-EXP((Tnet-t)/(Tau_j))))*Salcycl</f>
        <v>1.102706842152913E-2</v>
      </c>
      <c r="P199" s="169">
        <f>(INDEX(Models!$BJ199:$BT199,,T199)*(1-R199)+INDEX(Models!$BJ199:$BT199,,T199+1)*R199-ERP_i)*Q199*Ramure*Pc/MaxiM</f>
        <v>1.8430253811468444E-4</v>
      </c>
      <c r="Q199" s="304">
        <f t="shared" si="53"/>
        <v>0.7</v>
      </c>
      <c r="R199" s="177">
        <f t="shared" si="54"/>
        <v>0.22589267782260586</v>
      </c>
      <c r="S199" s="799">
        <f t="shared" si="55"/>
        <v>0</v>
      </c>
      <c r="T199" s="176">
        <f t="shared" si="56"/>
        <v>6</v>
      </c>
      <c r="U199" s="250">
        <f t="shared" si="57"/>
        <v>0.22589267782260586</v>
      </c>
      <c r="V199" s="382">
        <f t="shared" si="58"/>
        <v>58.076797746644012</v>
      </c>
      <c r="W199" s="400">
        <f t="shared" si="59"/>
        <v>0</v>
      </c>
      <c r="X199" s="157">
        <f t="shared" si="60"/>
        <v>44746</v>
      </c>
      <c r="Y199" s="383">
        <f t="shared" si="61"/>
        <v>41.512454200892492</v>
      </c>
      <c r="Z199" s="383">
        <f t="shared" si="62"/>
        <v>42.536058091143872</v>
      </c>
      <c r="AA199" s="384">
        <f t="shared" si="63"/>
        <v>46.626307276834766</v>
      </c>
      <c r="AB199" s="197">
        <f t="shared" si="64"/>
        <v>44746</v>
      </c>
      <c r="AC199" s="119">
        <f>IF(OR(t&lt;Tnet,NoTnet),'2021'!Resal_s+('2021'!Salim-'2021'!Resal_s)*(1-EXP(('2021'!Tnet_s-t)/'2021'!Tau_j)),Resal_s+(Salim-Resal_s)*(1-EXP((Tnet_s-t)/Tau_j)))*Salcycl</f>
        <v>8.7724064472998492E-2</v>
      </c>
      <c r="AD199" s="230">
        <f>(INDEX(Models!$BJ199:$BT199,,AH199)*(1-AF199)+INDEX(Models!$BJ199:$BT199,,AH199+1)*AF199-ERP_i)*AE199*Ramure*Pc/MaxiM</f>
        <v>2.008304854834799E-4</v>
      </c>
      <c r="AE199" s="304">
        <f t="shared" si="65"/>
        <v>0.7</v>
      </c>
      <c r="AF199" s="177">
        <f t="shared" si="66"/>
        <v>0.29022490008243801</v>
      </c>
      <c r="AG199" s="799">
        <f t="shared" si="74"/>
        <v>0</v>
      </c>
      <c r="AH199" s="176">
        <f t="shared" si="67"/>
        <v>6</v>
      </c>
      <c r="AI199" s="224">
        <f t="shared" si="68"/>
        <v>0.29022490008243801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44747</v>
      </c>
      <c r="B200" s="1147">
        <v>57.758000000000003</v>
      </c>
      <c r="C200" s="388"/>
      <c r="D200" s="391">
        <f t="shared" si="50"/>
        <v>59.18331679952049</v>
      </c>
      <c r="E200" s="383">
        <f t="shared" si="75"/>
        <v>59.846787459695676</v>
      </c>
      <c r="F200" s="383">
        <f t="shared" si="51"/>
        <v>59.857915461970457</v>
      </c>
      <c r="G200" s="110">
        <f t="shared" si="76"/>
        <v>0.99635787409718846</v>
      </c>
      <c r="H200" s="412" t="b">
        <f>Wh_hp&gt;='2021'!Maxi_hp</f>
        <v>1</v>
      </c>
      <c r="I200" s="379">
        <f>IF(H200,Wh_hp,'2021'!Maxi_hp)</f>
        <v>59.857915461970457</v>
      </c>
      <c r="J200" s="85">
        <f>IF(H200,An,'2021'!An_max)</f>
        <v>2022</v>
      </c>
      <c r="K200" s="197">
        <f t="shared" si="52"/>
        <v>44747</v>
      </c>
      <c r="L200" s="147">
        <f>IF(t&lt;Tvie,1-EXP((T0-t)*PertePVj)+'2021'!Pspv,1-EXP((T0-t)*PertePVj)+Pspv)</f>
        <v>2.4083084162867308E-2</v>
      </c>
      <c r="M200" s="832"/>
      <c r="N200" s="832"/>
      <c r="O200" s="48">
        <f>IF(t&lt;Tnet,'2021'!Resal+('2021'!Salim-'2021'!Resal)*(1-EXP(('2021'!Tnet-t)/('2021'!Tau_j))),Resal+(Salim-Resal)*(1-EXP((Tnet-t)/(Tau_j))))*Salcycl</f>
        <v>1.1086153298069721E-2</v>
      </c>
      <c r="P200" s="169">
        <f>(INDEX(Models!$BJ200:$BT200,,T200)*(1-R200)+INDEX(Models!$BJ200:$BT200,,T200+1)*R200-ERP_i)*Q200*Ramure*Pc/MaxiM</f>
        <v>1.8687902615839038E-4</v>
      </c>
      <c r="Q200" s="304">
        <f t="shared" si="53"/>
        <v>0.7</v>
      </c>
      <c r="R200" s="177">
        <f t="shared" si="54"/>
        <v>0.22911992451058494</v>
      </c>
      <c r="S200" s="799">
        <f t="shared" si="55"/>
        <v>0</v>
      </c>
      <c r="T200" s="176">
        <f t="shared" si="56"/>
        <v>6</v>
      </c>
      <c r="U200" s="250">
        <f t="shared" si="57"/>
        <v>0.22911992451058494</v>
      </c>
      <c r="V200" s="382">
        <f t="shared" si="58"/>
        <v>57.969074512013378</v>
      </c>
      <c r="W200" s="400">
        <f t="shared" si="59"/>
        <v>0</v>
      </c>
      <c r="X200" s="157">
        <f t="shared" si="60"/>
        <v>44747</v>
      </c>
      <c r="Y200" s="383">
        <f t="shared" si="61"/>
        <v>53.280780988929564</v>
      </c>
      <c r="Z200" s="383">
        <f t="shared" si="62"/>
        <v>54.595611700434347</v>
      </c>
      <c r="AA200" s="384">
        <f t="shared" si="63"/>
        <v>59.845777958026808</v>
      </c>
      <c r="AB200" s="197">
        <f t="shared" si="64"/>
        <v>44747</v>
      </c>
      <c r="AC200" s="119">
        <f>IF(OR(t&lt;Tnet,NoTnet),'2021'!Resal_s+('2021'!Salim-'2021'!Resal_s)*(1-EXP(('2021'!Tnet_s-t)/'2021'!Tau_j)),Resal_s+(Salim-Resal_s)*(1-EXP((Tnet_s-t)/Tau_j)))*Salcycl</f>
        <v>8.7728264828885613E-2</v>
      </c>
      <c r="AD200" s="230">
        <f>(INDEX(Models!$BJ200:$BT200,,AH200)*(1-AF200)+INDEX(Models!$BJ200:$BT200,,AH200+1)*AF200-ERP_i)*AE200*Ramure*Pc/MaxiM</f>
        <v>2.038321758904728E-4</v>
      </c>
      <c r="AE200" s="304">
        <f t="shared" si="65"/>
        <v>0.7</v>
      </c>
      <c r="AF200" s="177">
        <f t="shared" si="66"/>
        <v>0.29345214677041709</v>
      </c>
      <c r="AG200" s="799">
        <f t="shared" si="74"/>
        <v>0</v>
      </c>
      <c r="AH200" s="176">
        <f t="shared" si="67"/>
        <v>6</v>
      </c>
      <c r="AI200" s="224">
        <f t="shared" si="68"/>
        <v>0.29345214677041709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44748</v>
      </c>
      <c r="B201" s="1147">
        <v>41.109000000000002</v>
      </c>
      <c r="C201" s="388"/>
      <c r="D201" s="391">
        <f t="shared" si="50"/>
        <v>42.124270204336071</v>
      </c>
      <c r="E201" s="383">
        <f t="shared" si="75"/>
        <v>42.599038861225623</v>
      </c>
      <c r="F201" s="383">
        <f t="shared" si="51"/>
        <v>42.603784087978852</v>
      </c>
      <c r="G201" s="110">
        <f t="shared" si="76"/>
        <v>0.71043388018370357</v>
      </c>
      <c r="H201" s="412" t="b">
        <f>Wh_hp&gt;='2021'!Maxi_hp</f>
        <v>0</v>
      </c>
      <c r="I201" s="379">
        <f>IF(H201,Wh_hp,'2021'!Maxi_hp)</f>
        <v>58.562115804958381</v>
      </c>
      <c r="J201" s="85">
        <f>IF(H201,An,'2021'!An_max)</f>
        <v>2020</v>
      </c>
      <c r="K201" s="197">
        <f t="shared" si="52"/>
        <v>44748</v>
      </c>
      <c r="L201" s="147">
        <f>IF(t&lt;Tvie,1-EXP((T0-t)*PertePVj)+'2021'!Pspv,1-EXP((T0-t)*PertePVj)+Pspv)</f>
        <v>2.4101787387916906E-2</v>
      </c>
      <c r="M201" s="832"/>
      <c r="N201" s="832"/>
      <c r="O201" s="48">
        <f>IF(t&lt;Tnet,'2021'!Resal+('2021'!Salim-'2021'!Resal)*(1-EXP(('2021'!Tnet-t)/('2021'!Tau_j))),Resal+(Salim-Resal)*(1-EXP((Tnet-t)/(Tau_j))))*Salcycl</f>
        <v>1.1145055606446901E-2</v>
      </c>
      <c r="P201" s="169">
        <f>(INDEX(Models!$BJ201:$BT201,,T201)*(1-R201)+INDEX(Models!$BJ201:$BT201,,T201+1)*R201-ERP_i)*Q201*Ramure*Pc/MaxiM</f>
        <v>1.8993481256332593E-4</v>
      </c>
      <c r="Q201" s="304">
        <f t="shared" si="53"/>
        <v>0.7</v>
      </c>
      <c r="R201" s="177">
        <f t="shared" si="54"/>
        <v>0.23228507447948582</v>
      </c>
      <c r="S201" s="799">
        <f t="shared" si="55"/>
        <v>0</v>
      </c>
      <c r="T201" s="176">
        <f t="shared" si="56"/>
        <v>6</v>
      </c>
      <c r="U201" s="250">
        <f t="shared" si="57"/>
        <v>0.23228507447948582</v>
      </c>
      <c r="V201" s="382">
        <f t="shared" si="58"/>
        <v>57.860092956907337</v>
      </c>
      <c r="W201" s="400">
        <f t="shared" si="59"/>
        <v>0</v>
      </c>
      <c r="X201" s="157">
        <f t="shared" si="60"/>
        <v>44748</v>
      </c>
      <c r="Y201" s="383">
        <f t="shared" si="61"/>
        <v>37.924743262323197</v>
      </c>
      <c r="Z201" s="383">
        <f t="shared" si="62"/>
        <v>38.861371782630961</v>
      </c>
      <c r="AA201" s="384">
        <f t="shared" si="63"/>
        <v>42.598601023716014</v>
      </c>
      <c r="AB201" s="197">
        <f t="shared" si="64"/>
        <v>44748</v>
      </c>
      <c r="AC201" s="119">
        <f>IF(OR(t&lt;Tnet,NoTnet),'2021'!Resal_s+('2021'!Salim-'2021'!Resal_s)*(1-EXP(('2021'!Tnet_s-t)/'2021'!Tau_j)),Resal_s+(Salim-Resal_s)*(1-EXP((Tnet_s-t)/Tau_j)))*Salcycl</f>
        <v>8.7731267019882112E-2</v>
      </c>
      <c r="AD201" s="230">
        <f>(INDEX(Models!$BJ201:$BT201,,AH201)*(1-AF201)+INDEX(Models!$BJ201:$BT201,,AH201+1)*AF201-ERP_i)*AE201*Ramure*Pc/MaxiM</f>
        <v>2.0745991508099775E-4</v>
      </c>
      <c r="AE201" s="304">
        <f t="shared" si="65"/>
        <v>0.7</v>
      </c>
      <c r="AF201" s="177">
        <f t="shared" si="66"/>
        <v>0.29661729673931797</v>
      </c>
      <c r="AG201" s="799">
        <f t="shared" si="74"/>
        <v>0</v>
      </c>
      <c r="AH201" s="176">
        <f t="shared" si="67"/>
        <v>6</v>
      </c>
      <c r="AI201" s="224">
        <f t="shared" si="68"/>
        <v>0.29661729673931797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44749</v>
      </c>
      <c r="B202" s="1147">
        <v>57.423999999999999</v>
      </c>
      <c r="C202" s="388"/>
      <c r="D202" s="391">
        <f t="shared" si="50"/>
        <v>58.843329967013048</v>
      </c>
      <c r="E202" s="383">
        <f t="shared" si="75"/>
        <v>59.510067555027824</v>
      </c>
      <c r="F202" s="383">
        <f t="shared" si="51"/>
        <v>59.521491557725845</v>
      </c>
      <c r="G202" s="110">
        <f t="shared" si="76"/>
        <v>0.99435055731229016</v>
      </c>
      <c r="H202" s="412" t="b">
        <f>Wh_hp&gt;='2021'!Maxi_hp</f>
        <v>1</v>
      </c>
      <c r="I202" s="379">
        <f>IF(H202,Wh_hp,'2021'!Maxi_hp)</f>
        <v>59.521491557725845</v>
      </c>
      <c r="J202" s="85">
        <f>IF(H202,An,'2021'!An_max)</f>
        <v>2022</v>
      </c>
      <c r="K202" s="197">
        <f t="shared" si="52"/>
        <v>44749</v>
      </c>
      <c r="L202" s="147">
        <f>IF(t&lt;Tvie,1-EXP((T0-t)*PertePVj)+'2021'!Pspv,1-EXP((T0-t)*PertePVj)+Pspv)</f>
        <v>2.4120490254523452E-2</v>
      </c>
      <c r="M202" s="832"/>
      <c r="N202" s="832"/>
      <c r="O202" s="48">
        <f>IF(t&lt;Tnet,'2021'!Resal+('2021'!Salim-'2021'!Resal)*(1-EXP(('2021'!Tnet-t)/('2021'!Tau_j))),Resal+(Salim-Resal)*(1-EXP((Tnet-t)/(Tau_j))))*Salcycl</f>
        <v>1.1203778039711629E-2</v>
      </c>
      <c r="P202" s="169">
        <f>(INDEX(Models!$BJ202:$BT202,,T202)*(1-R202)+INDEX(Models!$BJ202:$BT202,,T202+1)*R202-ERP_i)*Q202*Ramure*Pc/MaxiM</f>
        <v>1.9349189221703962E-4</v>
      </c>
      <c r="Q202" s="304">
        <f t="shared" si="53"/>
        <v>0.7</v>
      </c>
      <c r="R202" s="177">
        <f t="shared" si="54"/>
        <v>0.23538730785151751</v>
      </c>
      <c r="S202" s="799">
        <f t="shared" si="55"/>
        <v>0</v>
      </c>
      <c r="T202" s="176">
        <f t="shared" si="56"/>
        <v>6</v>
      </c>
      <c r="U202" s="250">
        <f t="shared" si="57"/>
        <v>0.23538730785151751</v>
      </c>
      <c r="V202" s="382">
        <f t="shared" si="58"/>
        <v>57.750166590363911</v>
      </c>
      <c r="W202" s="400">
        <f t="shared" si="59"/>
        <v>0</v>
      </c>
      <c r="X202" s="157">
        <f t="shared" si="60"/>
        <v>44749</v>
      </c>
      <c r="Y202" s="383">
        <f t="shared" si="61"/>
        <v>52.978626377816092</v>
      </c>
      <c r="Z202" s="383">
        <f t="shared" si="62"/>
        <v>54.288081519032694</v>
      </c>
      <c r="AA202" s="384">
        <f t="shared" si="63"/>
        <v>59.508990368893578</v>
      </c>
      <c r="AB202" s="197">
        <f t="shared" si="64"/>
        <v>44749</v>
      </c>
      <c r="AC202" s="119">
        <f>IF(OR(t&lt;Tnet,NoTnet),'2021'!Resal_s+('2021'!Salim-'2021'!Resal_s)*(1-EXP(('2021'!Tnet_s-t)/'2021'!Tau_j)),Resal_s+(Salim-Resal_s)*(1-EXP((Tnet_s-t)/Tau_j)))*Salcycl</f>
        <v>8.7733110871091938E-2</v>
      </c>
      <c r="AD202" s="230">
        <f>(INDEX(Models!$BJ202:$BT202,,AH202)*(1-AF202)+INDEX(Models!$BJ202:$BT202,,AH202+1)*AF202-ERP_i)*AE202*Ramure*Pc/MaxiM</f>
        <v>2.1173652931101914E-4</v>
      </c>
      <c r="AE202" s="304">
        <f t="shared" si="65"/>
        <v>0.7</v>
      </c>
      <c r="AF202" s="177">
        <f t="shared" si="66"/>
        <v>0.29971953011134966</v>
      </c>
      <c r="AG202" s="799">
        <f t="shared" si="74"/>
        <v>0</v>
      </c>
      <c r="AH202" s="176">
        <f t="shared" si="67"/>
        <v>6</v>
      </c>
      <c r="AI202" s="224">
        <f t="shared" si="68"/>
        <v>0.29971953011134966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44750</v>
      </c>
      <c r="B203" s="1147">
        <v>58.637</v>
      </c>
      <c r="C203" s="388"/>
      <c r="D203" s="391">
        <f t="shared" si="50"/>
        <v>60.087462848316719</v>
      </c>
      <c r="E203" s="383">
        <f t="shared" si="75"/>
        <v>60.771895602685539</v>
      </c>
      <c r="F203" s="383">
        <f t="shared" si="51"/>
        <v>60.783904768053475</v>
      </c>
      <c r="G203" s="110">
        <f t="shared" si="76"/>
        <v>1.0173039193298983</v>
      </c>
      <c r="H203" s="412" t="b">
        <f>Wh_hp&gt;='2021'!Maxi_hp</f>
        <v>0</v>
      </c>
      <c r="I203" s="379">
        <f>IF(H203,Wh_hp,'2021'!Maxi_hp)</f>
        <v>61.731530922923696</v>
      </c>
      <c r="J203" s="85">
        <f>IF(H203,An,'2021'!An_max)</f>
        <v>2020</v>
      </c>
      <c r="K203" s="197">
        <f t="shared" si="52"/>
        <v>44750</v>
      </c>
      <c r="L203" s="147">
        <f>IF(t&lt;Tvie,1-EXP((T0-t)*PertePVj)+'2021'!Pspv,1-EXP((T0-t)*PertePVj)+Pspv)</f>
        <v>2.4139192762693829E-2</v>
      </c>
      <c r="M203" s="832"/>
      <c r="N203" s="832"/>
      <c r="O203" s="48">
        <f>IF(t&lt;Tnet,'2021'!Resal+('2021'!Salim-'2021'!Resal)*(1-EXP(('2021'!Tnet-t)/('2021'!Tau_j))),Resal+(Salim-Resal)*(1-EXP((Tnet-t)/(Tau_j))))*Salcycl</f>
        <v>1.1262323605034532E-2</v>
      </c>
      <c r="P203" s="169">
        <f>(INDEX(Models!$BJ203:$BT203,,T203)*(1-R203)+INDEX(Models!$BJ203:$BT203,,T203+1)*R203-ERP_i)*Q203*Ramure*Pc/MaxiM</f>
        <v>1.975714691867135E-4</v>
      </c>
      <c r="Q203" s="304">
        <f t="shared" si="53"/>
        <v>0.7</v>
      </c>
      <c r="R203" s="177">
        <f t="shared" si="54"/>
        <v>0.23842594110399945</v>
      </c>
      <c r="S203" s="799">
        <f t="shared" si="55"/>
        <v>0</v>
      </c>
      <c r="T203" s="176">
        <f t="shared" si="56"/>
        <v>6</v>
      </c>
      <c r="U203" s="250">
        <f t="shared" si="57"/>
        <v>0.23842594110399945</v>
      </c>
      <c r="V203" s="382">
        <f t="shared" si="58"/>
        <v>57.639608858112332</v>
      </c>
      <c r="W203" s="400">
        <f t="shared" si="59"/>
        <v>0</v>
      </c>
      <c r="X203" s="157">
        <f t="shared" si="60"/>
        <v>44750</v>
      </c>
      <c r="Y203" s="383">
        <f t="shared" si="61"/>
        <v>54.100829419474302</v>
      </c>
      <c r="Z203" s="383">
        <f t="shared" si="62"/>
        <v>55.439084158565109</v>
      </c>
      <c r="AA203" s="384">
        <f t="shared" si="63"/>
        <v>60.770733866919478</v>
      </c>
      <c r="AB203" s="197">
        <f t="shared" si="64"/>
        <v>44750</v>
      </c>
      <c r="AC203" s="119">
        <f>IF(OR(t&lt;Tnet,NoTnet),'2021'!Resal_s+('2021'!Salim-'2021'!Resal_s)*(1-EXP(('2021'!Tnet_s-t)/'2021'!Tau_j)),Resal_s+(Salim-Resal_s)*(1-EXP((Tnet_s-t)/Tau_j)))*Salcycl</f>
        <v>8.7733837804724088E-2</v>
      </c>
      <c r="AD203" s="230">
        <f>(INDEX(Models!$BJ203:$BT203,,AH203)*(1-AF203)+INDEX(Models!$BJ203:$BT203,,AH203+1)*AF203-ERP_i)*AE203*Ramure*Pc/MaxiM</f>
        <v>2.166840248953027E-4</v>
      </c>
      <c r="AE203" s="304">
        <f t="shared" si="65"/>
        <v>0.7</v>
      </c>
      <c r="AF203" s="177">
        <f t="shared" si="66"/>
        <v>0.3027581633638316</v>
      </c>
      <c r="AG203" s="799">
        <f t="shared" si="74"/>
        <v>0</v>
      </c>
      <c r="AH203" s="176">
        <f t="shared" si="67"/>
        <v>6</v>
      </c>
      <c r="AI203" s="224">
        <f t="shared" si="68"/>
        <v>0.3027581633638316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44751</v>
      </c>
      <c r="B204" s="1147">
        <v>58.267000000000003</v>
      </c>
      <c r="C204" s="388"/>
      <c r="D204" s="391">
        <f t="shared" si="50"/>
        <v>59.709454732711642</v>
      </c>
      <c r="E204" s="383">
        <f t="shared" si="75"/>
        <v>60.393147167769392</v>
      </c>
      <c r="F204" s="383">
        <f t="shared" si="51"/>
        <v>60.405360764254944</v>
      </c>
      <c r="G204" s="110">
        <f t="shared" si="76"/>
        <v>1.012833010801764</v>
      </c>
      <c r="H204" s="412" t="b">
        <f>Wh_hp&gt;='2021'!Maxi_hp</f>
        <v>1</v>
      </c>
      <c r="I204" s="379">
        <f>IF(H204,Wh_hp,'2021'!Maxi_hp)</f>
        <v>60.405360764254944</v>
      </c>
      <c r="J204" s="85">
        <f>IF(H204,An,'2021'!An_max)</f>
        <v>2022</v>
      </c>
      <c r="K204" s="197">
        <f t="shared" si="52"/>
        <v>44751</v>
      </c>
      <c r="L204" s="147">
        <f>IF(t&lt;Tvie,1-EXP((T0-t)*PertePVj)+'2021'!Pspv,1-EXP((T0-t)*PertePVj)+Pspv)</f>
        <v>2.4157894912434918E-2</v>
      </c>
      <c r="M204" s="832"/>
      <c r="N204" s="832"/>
      <c r="O204" s="48">
        <f>IF(t&lt;Tnet,'2021'!Resal+('2021'!Salim-'2021'!Resal)*(1-EXP(('2021'!Tnet-t)/('2021'!Tau_j))),Resal+(Salim-Resal)*(1-EXP((Tnet-t)/(Tau_j))))*Salcycl</f>
        <v>1.1320695594128922E-2</v>
      </c>
      <c r="P204" s="169">
        <f>(INDEX(Models!$BJ204:$BT204,,T204)*(1-R204)+INDEX(Models!$BJ204:$BT204,,T204+1)*R204-ERP_i)*Q204*Ramure*Pc/MaxiM</f>
        <v>2.0219391674880532E-4</v>
      </c>
      <c r="Q204" s="304">
        <f t="shared" si="53"/>
        <v>0.7</v>
      </c>
      <c r="R204" s="177">
        <f t="shared" si="54"/>
        <v>0.24140042360436109</v>
      </c>
      <c r="S204" s="799">
        <f t="shared" si="55"/>
        <v>0</v>
      </c>
      <c r="T204" s="176">
        <f t="shared" si="56"/>
        <v>6</v>
      </c>
      <c r="U204" s="250">
        <f t="shared" si="57"/>
        <v>0.24140042360436109</v>
      </c>
      <c r="V204" s="382">
        <f t="shared" si="58"/>
        <v>57.528733146123997</v>
      </c>
      <c r="W204" s="400">
        <f t="shared" si="59"/>
        <v>0</v>
      </c>
      <c r="X204" s="157">
        <f t="shared" si="60"/>
        <v>44751</v>
      </c>
      <c r="Y204" s="383">
        <f t="shared" si="61"/>
        <v>53.762592440900939</v>
      </c>
      <c r="Z204" s="383">
        <f t="shared" si="62"/>
        <v>55.093536301220233</v>
      </c>
      <c r="AA204" s="384">
        <f t="shared" si="63"/>
        <v>60.391931230382006</v>
      </c>
      <c r="AB204" s="197">
        <f t="shared" si="64"/>
        <v>44751</v>
      </c>
      <c r="AC204" s="119">
        <f>IF(OR(t&lt;Tnet,NoTnet),'2021'!Resal_s+('2021'!Salim-'2021'!Resal_s)*(1-EXP(('2021'!Tnet_s-t)/'2021'!Tau_j)),Resal_s+(Salim-Resal_s)*(1-EXP((Tnet_s-t)/Tau_j)))*Salcycl</f>
        <v>8.7733490570943318E-2</v>
      </c>
      <c r="AD204" s="230">
        <f>(INDEX(Models!$BJ204:$BT204,,AH204)*(1-AF204)+INDEX(Models!$BJ204:$BT204,,AH204+1)*AF204-ERP_i)*AE204*Ramure*Pc/MaxiM</f>
        <v>2.2232354385474284E-4</v>
      </c>
      <c r="AE204" s="304">
        <f t="shared" si="65"/>
        <v>0.7</v>
      </c>
      <c r="AF204" s="177">
        <f t="shared" si="66"/>
        <v>0.30573264586419324</v>
      </c>
      <c r="AG204" s="799">
        <f t="shared" si="74"/>
        <v>0</v>
      </c>
      <c r="AH204" s="176">
        <f t="shared" si="67"/>
        <v>6</v>
      </c>
      <c r="AI204" s="224">
        <f t="shared" si="68"/>
        <v>0.30573264586419324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44752</v>
      </c>
      <c r="B205" s="1147">
        <v>57.85</v>
      </c>
      <c r="C205" s="388"/>
      <c r="D205" s="391">
        <f t="shared" si="50"/>
        <v>59.283267653335365</v>
      </c>
      <c r="E205" s="383">
        <f t="shared" si="75"/>
        <v>59.965610188338651</v>
      </c>
      <c r="F205" s="383">
        <f t="shared" si="51"/>
        <v>59.978048580009023</v>
      </c>
      <c r="G205" s="110">
        <f t="shared" si="76"/>
        <v>1.0075441398630591</v>
      </c>
      <c r="H205" s="412" t="b">
        <f>Wh_hp&gt;='2021'!Maxi_hp</f>
        <v>1</v>
      </c>
      <c r="I205" s="379">
        <f>IF(H205,Wh_hp,'2021'!Maxi_hp)</f>
        <v>59.978048580009023</v>
      </c>
      <c r="J205" s="85">
        <f>IF(H205,An,'2021'!An_max)</f>
        <v>2022</v>
      </c>
      <c r="K205" s="197">
        <f t="shared" si="52"/>
        <v>44752</v>
      </c>
      <c r="L205" s="147">
        <f>IF(t&lt;Tvie,1-EXP((T0-t)*PertePVj)+'2021'!Pspv,1-EXP((T0-t)*PertePVj)+Pspv)</f>
        <v>2.4176596703753495E-2</v>
      </c>
      <c r="M205" s="832"/>
      <c r="N205" s="832"/>
      <c r="O205" s="48">
        <f>IF(t&lt;Tnet,'2021'!Resal+('2021'!Salim-'2021'!Resal)*(1-EXP(('2021'!Tnet-t)/('2021'!Tau_j))),Resal+(Salim-Resal)*(1-EXP((Tnet-t)/(Tau_j))))*Salcycl</f>
        <v>1.137889755245047E-2</v>
      </c>
      <c r="P205" s="169">
        <f>(INDEX(Models!$BJ205:$BT205,,T205)*(1-R205)+INDEX(Models!$BJ205:$BT205,,T205+1)*R205-ERP_i)*Q205*Ramure*Pc/MaxiM</f>
        <v>2.0738240014231681E-4</v>
      </c>
      <c r="Q205" s="304">
        <f t="shared" si="53"/>
        <v>0.7</v>
      </c>
      <c r="R205" s="177">
        <f t="shared" si="54"/>
        <v>0.24431033372262412</v>
      </c>
      <c r="S205" s="799">
        <f t="shared" si="55"/>
        <v>0</v>
      </c>
      <c r="T205" s="176">
        <f t="shared" si="56"/>
        <v>6</v>
      </c>
      <c r="U205" s="250">
        <f t="shared" si="57"/>
        <v>0.24431033372262412</v>
      </c>
      <c r="V205" s="382">
        <f t="shared" si="58"/>
        <v>57.416839333572739</v>
      </c>
      <c r="W205" s="400">
        <f t="shared" si="59"/>
        <v>0</v>
      </c>
      <c r="X205" s="157">
        <f t="shared" si="60"/>
        <v>44752</v>
      </c>
      <c r="Y205" s="383">
        <f t="shared" si="61"/>
        <v>53.38098990599196</v>
      </c>
      <c r="Z205" s="383">
        <f t="shared" si="62"/>
        <v>54.703535215158425</v>
      </c>
      <c r="AA205" s="384">
        <f t="shared" si="63"/>
        <v>59.964332838363028</v>
      </c>
      <c r="AB205" s="197">
        <f t="shared" si="64"/>
        <v>44752</v>
      </c>
      <c r="AC205" s="119">
        <f>IF(OR(t&lt;Tnet,NoTnet),'2021'!Resal_s+('2021'!Salim-'2021'!Resal_s)*(1-EXP(('2021'!Tnet_s-t)/'2021'!Tau_j)),Resal_s+(Salim-Resal_s)*(1-EXP((Tnet_s-t)/Tau_j)))*Salcycl</f>
        <v>8.7732112977648852E-2</v>
      </c>
      <c r="AD205" s="230">
        <f>(INDEX(Models!$BJ205:$BT205,,AH205)*(1-AF205)+INDEX(Models!$BJ205:$BT205,,AH205+1)*AF205-ERP_i)*AE205*Ramure*Pc/MaxiM</f>
        <v>2.2867935804383579E-4</v>
      </c>
      <c r="AE205" s="304">
        <f t="shared" si="65"/>
        <v>0.7</v>
      </c>
      <c r="AF205" s="177">
        <f t="shared" si="66"/>
        <v>0.30864255598245627</v>
      </c>
      <c r="AG205" s="799">
        <f t="shared" si="74"/>
        <v>0</v>
      </c>
      <c r="AH205" s="176">
        <f t="shared" si="67"/>
        <v>6</v>
      </c>
      <c r="AI205" s="224">
        <f t="shared" si="68"/>
        <v>0.30864255598245627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44753</v>
      </c>
      <c r="B206" s="1147">
        <v>56.95</v>
      </c>
      <c r="C206" s="388"/>
      <c r="D206" s="391">
        <f t="shared" si="50"/>
        <v>58.362088121989366</v>
      </c>
      <c r="E206" s="383">
        <f t="shared" si="75"/>
        <v>59.037293709250754</v>
      </c>
      <c r="F206" s="383">
        <f t="shared" si="51"/>
        <v>59.049880258417886</v>
      </c>
      <c r="G206" s="110">
        <f t="shared" si="76"/>
        <v>0.99383823259384929</v>
      </c>
      <c r="H206" s="412" t="b">
        <f>Wh_hp&gt;='2021'!Maxi_hp</f>
        <v>1</v>
      </c>
      <c r="I206" s="379">
        <f>IF(H206,Wh_hp,'2021'!Maxi_hp)</f>
        <v>59.049880258417886</v>
      </c>
      <c r="J206" s="85">
        <f>IF(H206,An,'2021'!An_max)</f>
        <v>2022</v>
      </c>
      <c r="K206" s="197">
        <f t="shared" si="52"/>
        <v>44753</v>
      </c>
      <c r="L206" s="147">
        <f>IF(t&lt;Tvie,1-EXP((T0-t)*PertePVj)+'2021'!Pspv,1-EXP((T0-t)*PertePVj)+Pspv)</f>
        <v>2.4195298136656662E-2</v>
      </c>
      <c r="M206" s="832"/>
      <c r="N206" s="832"/>
      <c r="O206" s="48">
        <f>IF(t&lt;Tnet,'2021'!Resal+('2021'!Salim-'2021'!Resal)*(1-EXP(('2021'!Tnet-t)/('2021'!Tau_j))),Resal+(Salim-Resal)*(1-EXP((Tnet-t)/(Tau_j))))*Salcycl</f>
        <v>1.1436933247426099E-2</v>
      </c>
      <c r="P206" s="169">
        <f>(INDEX(Models!$BJ206:$BT206,,T206)*(1-R206)+INDEX(Models!$BJ206:$BT206,,T206+1)*R206-ERP_i)*Q206*Ramure*Pc/MaxiM</f>
        <v>2.1504348560087377E-4</v>
      </c>
      <c r="Q206" s="304">
        <f t="shared" si="53"/>
        <v>0.7</v>
      </c>
      <c r="R206" s="177">
        <f t="shared" si="54"/>
        <v>0.24715537456931552</v>
      </c>
      <c r="S206" s="799">
        <f t="shared" si="55"/>
        <v>0</v>
      </c>
      <c r="T206" s="176">
        <f t="shared" si="56"/>
        <v>6</v>
      </c>
      <c r="U206" s="250">
        <f t="shared" si="57"/>
        <v>0.24715537456931552</v>
      </c>
      <c r="V206" s="382">
        <f t="shared" si="58"/>
        <v>57.302979841281022</v>
      </c>
      <c r="W206" s="400">
        <f t="shared" si="59"/>
        <v>0</v>
      </c>
      <c r="X206" s="157">
        <f t="shared" si="60"/>
        <v>44753</v>
      </c>
      <c r="Y206" s="383">
        <f t="shared" si="61"/>
        <v>52.553667227074833</v>
      </c>
      <c r="Z206" s="383">
        <f t="shared" si="62"/>
        <v>53.856747284288772</v>
      </c>
      <c r="AA206" s="384">
        <f t="shared" si="63"/>
        <v>59.035957011557038</v>
      </c>
      <c r="AB206" s="197">
        <f t="shared" si="64"/>
        <v>44753</v>
      </c>
      <c r="AC206" s="119">
        <f>IF(OR(t&lt;Tnet,NoTnet),'2021'!Resal_s+('2021'!Salim-'2021'!Resal_s)*(1-EXP(('2021'!Tnet_s-t)/'2021'!Tau_j)),Resal_s+(Salim-Resal_s)*(1-EXP((Tnet_s-t)/Tau_j)))*Salcycl</f>
        <v>8.7729749621139635E-2</v>
      </c>
      <c r="AD206" s="230">
        <f>(INDEX(Models!$BJ206:$BT206,,AH206)*(1-AF206)+INDEX(Models!$BJ206:$BT206,,AH206+1)*AF206-ERP_i)*AE206*Ramure*Pc/MaxiM</f>
        <v>2.3788120922425227E-4</v>
      </c>
      <c r="AE206" s="304">
        <f t="shared" si="65"/>
        <v>0.7</v>
      </c>
      <c r="AF206" s="177">
        <f t="shared" si="66"/>
        <v>0.31148759682914767</v>
      </c>
      <c r="AG206" s="799">
        <f t="shared" si="74"/>
        <v>0</v>
      </c>
      <c r="AH206" s="176">
        <f t="shared" si="67"/>
        <v>6</v>
      </c>
      <c r="AI206" s="224">
        <f t="shared" si="68"/>
        <v>0.31148759682914767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44754</v>
      </c>
      <c r="B207" s="1147">
        <v>55.734000000000002</v>
      </c>
      <c r="C207" s="388"/>
      <c r="D207" s="391">
        <f t="shared" ref="D207:D270" si="77">Wh/(1-Ppv)</f>
        <v>57.117031762029058</v>
      </c>
      <c r="E207" s="383">
        <f t="shared" si="75"/>
        <v>57.78121566326967</v>
      </c>
      <c r="F207" s="383">
        <f t="shared" ref="F207:F270" si="78">Wh_sa/(1-Pvg*MEDIAN((-Sdif+Wh/Env_an)/Csdif,0,1))</f>
        <v>57.793763813977158</v>
      </c>
      <c r="G207" s="110">
        <f t="shared" si="76"/>
        <v>0.97457983346957711</v>
      </c>
      <c r="H207" s="412" t="b">
        <f>Wh_hp&gt;='2021'!Maxi_hp</f>
        <v>1</v>
      </c>
      <c r="I207" s="379">
        <f>IF(H207,Wh_hp,'2021'!Maxi_hp)</f>
        <v>57.793763813977158</v>
      </c>
      <c r="J207" s="85">
        <f>IF(H207,An,'2021'!An_max)</f>
        <v>2022</v>
      </c>
      <c r="K207" s="197">
        <f t="shared" ref="K207:K270" si="79">t</f>
        <v>44754</v>
      </c>
      <c r="L207" s="147">
        <f>IF(t&lt;Tvie,1-EXP((T0-t)*PertePVj)+'2021'!Pspv,1-EXP((T0-t)*PertePVj)+Pspv)</f>
        <v>2.4213999211150972E-2</v>
      </c>
      <c r="M207" s="832"/>
      <c r="N207" s="832"/>
      <c r="O207" s="48">
        <f>IF(t&lt;Tnet,'2021'!Resal+('2021'!Salim-'2021'!Resal)*(1-EXP(('2021'!Tnet-t)/('2021'!Tau_j))),Resal+(Salim-Resal)*(1-EXP((Tnet-t)/(Tau_j))))*Salcycl</f>
        <v>1.1494806635970771E-2</v>
      </c>
      <c r="P207" s="169">
        <f>(INDEX(Models!$BJ207:$BT207,,T207)*(1-R207)+INDEX(Models!$BJ207:$BT207,,T207+1)*R207-ERP_i)*Q207*Ramure*Pc/MaxiM</f>
        <v>2.2529850013878444E-4</v>
      </c>
      <c r="Q207" s="304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0.24993536940669009</v>
      </c>
      <c r="S207" s="799">
        <f t="shared" ref="S207:S270" si="82">INDEX(Echel_vg,T207)</f>
        <v>0</v>
      </c>
      <c r="T207" s="176">
        <f t="shared" ref="T207:T270" si="83">MIN(MATCH(Hp_vg,Echel_vg),10)</f>
        <v>6</v>
      </c>
      <c r="U207" s="250">
        <f t="shared" ref="U207:U270" si="84">IF(OR(t&lt;Ttai,Notai),Hdd+PousH*Croivg,Hdtf+PousH*(Croivg-Croi_tai))</f>
        <v>0.24993536940669009</v>
      </c>
      <c r="V207" s="382">
        <f t="shared" ref="V207:V270" si="85">MaxiM*(1-Ppv)*(1-Pvg)*(1-Psa)</f>
        <v>57.187253559193373</v>
      </c>
      <c r="W207" s="400">
        <f t="shared" ref="W207:W270" si="86">Wh*(A207&gt;Tmaj)</f>
        <v>0</v>
      </c>
      <c r="X207" s="157">
        <f t="shared" ref="X207:X270" si="87">t</f>
        <v>44754</v>
      </c>
      <c r="Y207" s="383">
        <f t="shared" ref="Y207:Y270" si="88">Wh_pvt_s*(1-Ppv)</f>
        <v>51.434672574337185</v>
      </c>
      <c r="Z207" s="383">
        <f t="shared" ref="Z207:Z270" si="89">Wh_sa_s*(1-Psa_s)</f>
        <v>52.71101710083579</v>
      </c>
      <c r="AA207" s="384">
        <f t="shared" ref="AA207:AA270" si="90">Wh_hp*(1-Pvg_s*MEDIAN((-Sdif+Wh/Env_an)/Csdif,0,1))</f>
        <v>57.779836812912535</v>
      </c>
      <c r="AB207" s="197">
        <f t="shared" ref="AB207:AB270" si="91">t</f>
        <v>44754</v>
      </c>
      <c r="AC207" s="119">
        <f>IF(OR(t&lt;Tnet,NoTnet),'2021'!Resal_s+('2021'!Salim-'2021'!Resal_s)*(1-EXP(('2021'!Tnet_s-t)/'2021'!Tau_j)),Resal_s+(Salim-Resal_s)*(1-EXP((Tnet_s-t)/Tau_j)))*Salcycl</f>
        <v>8.7726445619589921E-2</v>
      </c>
      <c r="AD207" s="230">
        <f>(INDEX(Models!$BJ207:$BT207,,AH207)*(1-AF207)+INDEX(Models!$BJ207:$BT207,,AH207+1)*AF207-ERP_i)*AE207*Ramure*Pc/MaxiM</f>
        <v>2.5005536867028013E-4</v>
      </c>
      <c r="AE207" s="304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0.31426759166652224</v>
      </c>
      <c r="AG207" s="799">
        <f t="shared" si="74"/>
        <v>0</v>
      </c>
      <c r="AH207" s="176">
        <f t="shared" ref="AH207:AH270" si="94">MIN(MATCH(Hp_vg_s,Echel_vg),10)</f>
        <v>6</v>
      </c>
      <c r="AI207" s="224">
        <f t="shared" ref="AI207:AI270" si="95">IF(OR(t&lt;Ttai,Notai),Hdd_s+PousH*Croivg,Hdtai_s+PousH*(Croivg-Croi_tai))</f>
        <v>0.31426759166652224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44755</v>
      </c>
      <c r="B208" s="1147">
        <v>55.797000000000004</v>
      </c>
      <c r="C208" s="388"/>
      <c r="D208" s="391">
        <f t="shared" si="77"/>
        <v>57.182690991837497</v>
      </c>
      <c r="E208" s="383">
        <f t="shared" si="75"/>
        <v>57.851016118524328</v>
      </c>
      <c r="F208" s="383">
        <f t="shared" si="78"/>
        <v>57.86436059666881</v>
      </c>
      <c r="G208" s="110">
        <f t="shared" si="76"/>
        <v>0.97769069822399102</v>
      </c>
      <c r="H208" s="412" t="b">
        <f>Wh_hp&gt;='2021'!Maxi_hp</f>
        <v>1</v>
      </c>
      <c r="I208" s="379">
        <f>IF(H208,Wh_hp,'2021'!Maxi_hp)</f>
        <v>57.86436059666881</v>
      </c>
      <c r="J208" s="85">
        <f>IF(H208,An,'2021'!An_max)</f>
        <v>2022</v>
      </c>
      <c r="K208" s="197">
        <f t="shared" si="79"/>
        <v>44755</v>
      </c>
      <c r="L208" s="147">
        <f>IF(t&lt;Tvie,1-EXP((T0-t)*PertePVj)+'2021'!Pspv,1-EXP((T0-t)*PertePVj)+Pspv)</f>
        <v>2.4232699927243528E-2</v>
      </c>
      <c r="M208" s="832"/>
      <c r="N208" s="832"/>
      <c r="O208" s="48">
        <f>IF(t&lt;Tnet,'2021'!Resal+('2021'!Salim-'2021'!Resal)*(1-EXP(('2021'!Tnet-t)/('2021'!Tau_j))),Resal+(Salim-Resal)*(1-EXP((Tnet-t)/(Tau_j))))*Salcycl</f>
        <v>1.1552521831554023E-2</v>
      </c>
      <c r="P208" s="169">
        <f>(INDEX(Models!$BJ208:$BT208,,T208)*(1-R208)+INDEX(Models!$BJ208:$BT208,,T208+1)*R208-ERP_i)*Q208*Ramure*Pc/MaxiM</f>
        <v>2.3820572521983185E-4</v>
      </c>
      <c r="Q208" s="304">
        <f t="shared" si="80"/>
        <v>0.7</v>
      </c>
      <c r="R208" s="177">
        <f t="shared" si="81"/>
        <v>0.25265025678056646</v>
      </c>
      <c r="S208" s="799">
        <f t="shared" si="82"/>
        <v>0</v>
      </c>
      <c r="T208" s="176">
        <f t="shared" si="83"/>
        <v>6</v>
      </c>
      <c r="U208" s="250">
        <f t="shared" si="84"/>
        <v>0.25265025678056646</v>
      </c>
      <c r="V208" s="382">
        <f t="shared" si="85"/>
        <v>57.069763013438042</v>
      </c>
      <c r="W208" s="400">
        <f t="shared" si="86"/>
        <v>0</v>
      </c>
      <c r="X208" s="157">
        <f t="shared" si="87"/>
        <v>44755</v>
      </c>
      <c r="Y208" s="383">
        <f t="shared" si="88"/>
        <v>51.495936069590442</v>
      </c>
      <c r="Z208" s="383">
        <f t="shared" si="89"/>
        <v>52.774812258773927</v>
      </c>
      <c r="AA208" s="384">
        <f t="shared" si="90"/>
        <v>57.849500382633622</v>
      </c>
      <c r="AB208" s="197">
        <f t="shared" si="91"/>
        <v>44755</v>
      </c>
      <c r="AC208" s="119">
        <f>IF(OR(t&lt;Tnet,NoTnet),'2021'!Resal_s+('2021'!Salim-'2021'!Resal_s)*(1-EXP(('2021'!Tnet_s-t)/'2021'!Tau_j)),Resal_s+(Salim-Resal_s)*(1-EXP((Tnet_s-t)/Tau_j)))*Salcycl</f>
        <v>8.7722246351208025E-2</v>
      </c>
      <c r="AD208" s="230">
        <f>(INDEX(Models!$BJ208:$BT208,,AH208)*(1-AF208)+INDEX(Models!$BJ208:$BT208,,AH208+1)*AF208-ERP_i)*AE208*Ramure*Pc/MaxiM</f>
        <v>2.6526238215146341E-4</v>
      </c>
      <c r="AE208" s="304">
        <f t="shared" si="92"/>
        <v>0.7</v>
      </c>
      <c r="AF208" s="177">
        <f t="shared" si="93"/>
        <v>0.31698247904039861</v>
      </c>
      <c r="AG208" s="799">
        <f t="shared" ref="AG208:AG271" si="99">INDEX(Echel_vg,AH208)</f>
        <v>0</v>
      </c>
      <c r="AH208" s="176">
        <f t="shared" si="94"/>
        <v>6</v>
      </c>
      <c r="AI208" s="224">
        <f t="shared" si="95"/>
        <v>0.31698247904039861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44756</v>
      </c>
      <c r="B209" s="1147">
        <v>55.536000000000001</v>
      </c>
      <c r="C209" s="388"/>
      <c r="D209" s="391">
        <f t="shared" si="77"/>
        <v>56.916299973392533</v>
      </c>
      <c r="E209" s="383">
        <f t="shared" si="75"/>
        <v>57.584865040145516</v>
      </c>
      <c r="F209" s="383">
        <f t="shared" si="78"/>
        <v>57.598966124588138</v>
      </c>
      <c r="G209" s="110">
        <f t="shared" si="76"/>
        <v>0.97515195813461608</v>
      </c>
      <c r="H209" s="412" t="b">
        <f>Wh_hp&gt;='2021'!Maxi_hp</f>
        <v>0</v>
      </c>
      <c r="I209" s="379">
        <f>IF(H209,Wh_hp,'2021'!Maxi_hp)</f>
        <v>58.629820417743659</v>
      </c>
      <c r="J209" s="85">
        <f>IF(H209,An,'2021'!An_max)</f>
        <v>2018</v>
      </c>
      <c r="K209" s="197">
        <f t="shared" si="79"/>
        <v>44756</v>
      </c>
      <c r="L209" s="147">
        <f>IF(t&lt;Tvie,1-EXP((T0-t)*PertePVj)+'2021'!Pspv,1-EXP((T0-t)*PertePVj)+Pspv)</f>
        <v>2.4251400284941216E-2</v>
      </c>
      <c r="M209" s="832"/>
      <c r="N209" s="832"/>
      <c r="O209" s="48">
        <f>IF(t&lt;Tnet,'2021'!Resal+('2021'!Salim-'2021'!Resal)*(1-EXP(('2021'!Tnet-t)/('2021'!Tau_j))),Resal+(Salim-Resal)*(1-EXP((Tnet-t)/(Tau_j))))*Salcycl</f>
        <v>1.1610083071079386E-2</v>
      </c>
      <c r="P209" s="169">
        <f>(INDEX(Models!$BJ209:$BT209,,T209)*(1-R209)+INDEX(Models!$BJ209:$BT209,,T209+1)*R209-ERP_i)*Q209*Ramure*Pc/MaxiM</f>
        <v>2.5382166145542206E-4</v>
      </c>
      <c r="Q209" s="304">
        <f t="shared" si="80"/>
        <v>0.7</v>
      </c>
      <c r="R209" s="177">
        <f t="shared" si="81"/>
        <v>0.25530008541907279</v>
      </c>
      <c r="S209" s="799">
        <f t="shared" si="82"/>
        <v>0</v>
      </c>
      <c r="T209" s="176">
        <f t="shared" si="83"/>
        <v>6</v>
      </c>
      <c r="U209" s="250">
        <f t="shared" si="84"/>
        <v>0.25530008541907279</v>
      </c>
      <c r="V209" s="382">
        <f t="shared" si="85"/>
        <v>56.950610839750091</v>
      </c>
      <c r="W209" s="400">
        <f t="shared" si="86"/>
        <v>0</v>
      </c>
      <c r="X209" s="157">
        <f t="shared" si="87"/>
        <v>44756</v>
      </c>
      <c r="Y209" s="383">
        <f t="shared" si="88"/>
        <v>51.258196028831968</v>
      </c>
      <c r="Z209" s="383">
        <f t="shared" si="89"/>
        <v>52.532174828434854</v>
      </c>
      <c r="AA209" s="384">
        <f t="shared" si="90"/>
        <v>57.58321286681889</v>
      </c>
      <c r="AB209" s="197">
        <f t="shared" si="91"/>
        <v>44756</v>
      </c>
      <c r="AC209" s="119">
        <f>IF(OR(t&lt;Tnet,NoTnet),'2021'!Resal_s+('2021'!Salim-'2021'!Resal_s)*(1-EXP(('2021'!Tnet_s-t)/'2021'!Tau_j)),Resal_s+(Salim-Resal_s)*(1-EXP((Tnet_s-t)/Tau_j)))*Salcycl</f>
        <v>8.7717197198883504E-2</v>
      </c>
      <c r="AD209" s="230">
        <f>(INDEX(Models!$BJ209:$BT209,,AH209)*(1-AF209)+INDEX(Models!$BJ209:$BT209,,AH209+1)*AF209-ERP_i)*AE209*Ramure*Pc/MaxiM</f>
        <v>2.8356103224511098E-4</v>
      </c>
      <c r="AE209" s="304">
        <f t="shared" si="92"/>
        <v>0.7</v>
      </c>
      <c r="AF209" s="177">
        <f t="shared" si="93"/>
        <v>0.31963230767890494</v>
      </c>
      <c r="AG209" s="799">
        <f t="shared" si="99"/>
        <v>0</v>
      </c>
      <c r="AH209" s="176">
        <f t="shared" si="94"/>
        <v>6</v>
      </c>
      <c r="AI209" s="224">
        <f t="shared" si="95"/>
        <v>0.31963230767890494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44757</v>
      </c>
      <c r="B210" s="1147">
        <v>52.908000000000001</v>
      </c>
      <c r="C210" s="388"/>
      <c r="D210" s="391">
        <f t="shared" si="77"/>
        <v>54.224022462992288</v>
      </c>
      <c r="E210" s="383">
        <f t="shared" si="75"/>
        <v>54.864149637106777</v>
      </c>
      <c r="F210" s="383">
        <f t="shared" si="78"/>
        <v>54.877614707811603</v>
      </c>
      <c r="G210" s="110">
        <f t="shared" si="76"/>
        <v>0.9309638066645739</v>
      </c>
      <c r="H210" s="412" t="b">
        <f>Wh_hp&gt;='2021'!Maxi_hp</f>
        <v>0</v>
      </c>
      <c r="I210" s="379">
        <f>IF(H210,Wh_hp,'2021'!Maxi_hp)</f>
        <v>60.732811241786656</v>
      </c>
      <c r="J210" s="85">
        <f>IF(H210,An,'2021'!An_max)</f>
        <v>2018</v>
      </c>
      <c r="K210" s="197">
        <f t="shared" si="79"/>
        <v>44757</v>
      </c>
      <c r="L210" s="147">
        <f>IF(t&lt;Tvie,1-EXP((T0-t)*PertePVj)+'2021'!Pspv,1-EXP((T0-t)*PertePVj)+Pspv)</f>
        <v>2.4270100284250695E-2</v>
      </c>
      <c r="M210" s="832"/>
      <c r="N210" s="832"/>
      <c r="O210" s="48">
        <f>IF(t&lt;Tnet,'2021'!Resal+('2021'!Salim-'2021'!Resal)*(1-EXP(('2021'!Tnet-t)/('2021'!Tau_j))),Resal+(Salim-Resal)*(1-EXP((Tnet-t)/(Tau_j))))*Salcycl</f>
        <v>1.166749468183772E-2</v>
      </c>
      <c r="P210" s="169">
        <f>(INDEX(Models!$BJ210:$BT210,,T210)*(1-R210)+INDEX(Models!$BJ210:$BT210,,T210+1)*R210-ERP_i)*Q210*Ramure*Pc/MaxiM</f>
        <v>2.722010548398556E-4</v>
      </c>
      <c r="Q210" s="304">
        <f t="shared" si="80"/>
        <v>0.7</v>
      </c>
      <c r="R210" s="177">
        <f t="shared" si="81"/>
        <v>0.25788500894319466</v>
      </c>
      <c r="S210" s="799">
        <f t="shared" si="82"/>
        <v>0</v>
      </c>
      <c r="T210" s="176">
        <f t="shared" si="83"/>
        <v>6</v>
      </c>
      <c r="U210" s="250">
        <f t="shared" si="84"/>
        <v>0.25788500894319466</v>
      </c>
      <c r="V210" s="382">
        <f t="shared" si="85"/>
        <v>56.829899782017954</v>
      </c>
      <c r="W210" s="400">
        <f t="shared" si="86"/>
        <v>0</v>
      </c>
      <c r="X210" s="157">
        <f t="shared" si="87"/>
        <v>44757</v>
      </c>
      <c r="Y210" s="383">
        <f t="shared" si="88"/>
        <v>48.835731124124742</v>
      </c>
      <c r="Z210" s="383">
        <f t="shared" si="89"/>
        <v>50.050460827685633</v>
      </c>
      <c r="AA210" s="384">
        <f t="shared" si="90"/>
        <v>54.862526745535661</v>
      </c>
      <c r="AB210" s="197">
        <f t="shared" si="91"/>
        <v>44757</v>
      </c>
      <c r="AC210" s="119">
        <f>IF(OR(t&lt;Tnet,NoTnet),'2021'!Resal_s+('2021'!Salim-'2021'!Resal_s)*(1-EXP(('2021'!Tnet_s-t)/'2021'!Tau_j)),Resal_s+(Salim-Resal_s)*(1-EXP((Tnet_s-t)/Tau_j)))*Salcycl</f>
        <v>8.7711343303042408E-2</v>
      </c>
      <c r="AD210" s="230">
        <f>(INDEX(Models!$BJ210:$BT210,,AH210)*(1-AF210)+INDEX(Models!$BJ210:$BT210,,AH210+1)*AF210-ERP_i)*AE210*Ramure*Pc/MaxiM</f>
        <v>3.0500836846131002E-4</v>
      </c>
      <c r="AE210" s="304">
        <f t="shared" si="92"/>
        <v>0.7</v>
      </c>
      <c r="AF210" s="177">
        <f t="shared" si="93"/>
        <v>0.32221723120302681</v>
      </c>
      <c r="AG210" s="799">
        <f t="shared" si="99"/>
        <v>0</v>
      </c>
      <c r="AH210" s="176">
        <f t="shared" si="94"/>
        <v>6</v>
      </c>
      <c r="AI210" s="224">
        <f t="shared" si="95"/>
        <v>0.32221723120302681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44758</v>
      </c>
      <c r="B211" s="1147">
        <v>54.151000000000003</v>
      </c>
      <c r="C211" s="388"/>
      <c r="D211" s="391">
        <f t="shared" si="77"/>
        <v>55.499004209286014</v>
      </c>
      <c r="E211" s="383">
        <f t="shared" si="75"/>
        <v>56.157436736129775</v>
      </c>
      <c r="F211" s="383">
        <f t="shared" si="78"/>
        <v>56.172856162395995</v>
      </c>
      <c r="G211" s="110">
        <f t="shared" si="76"/>
        <v>0.95489581123804568</v>
      </c>
      <c r="H211" s="412" t="b">
        <f>Wh_hp&gt;='2021'!Maxi_hp</f>
        <v>0</v>
      </c>
      <c r="I211" s="379">
        <f>IF(H211,Wh_hp,'2021'!Maxi_hp)</f>
        <v>60.019024315602991</v>
      </c>
      <c r="J211" s="85">
        <f>IF(H211,An,'2021'!An_max)</f>
        <v>2018</v>
      </c>
      <c r="K211" s="197">
        <f t="shared" si="79"/>
        <v>44758</v>
      </c>
      <c r="L211" s="147">
        <f>IF(t&lt;Tvie,1-EXP((T0-t)*PertePVj)+'2021'!Pspv,1-EXP((T0-t)*PertePVj)+Pspv)</f>
        <v>2.4288799925178961E-2</v>
      </c>
      <c r="M211" s="832"/>
      <c r="N211" s="832"/>
      <c r="O211" s="48">
        <f>IF(t&lt;Tnet,'2021'!Resal+('2021'!Salim-'2021'!Resal)*(1-EXP(('2021'!Tnet-t)/('2021'!Tau_j))),Resal+(Salim-Resal)*(1-EXP((Tnet-t)/(Tau_j))))*Salcycl</f>
        <v>1.1724761048791676E-2</v>
      </c>
      <c r="P211" s="169">
        <f>(INDEX(Models!$BJ211:$BT211,,T211)*(1-R211)+INDEX(Models!$BJ211:$BT211,,T211+1)*R211-ERP_i)*Q211*Ramure*Pc/MaxiM</f>
        <v>2.9339693016964836E-4</v>
      </c>
      <c r="Q211" s="304">
        <f t="shared" si="80"/>
        <v>0.7</v>
      </c>
      <c r="R211" s="177">
        <f t="shared" si="81"/>
        <v>0.26040528043226779</v>
      </c>
      <c r="S211" s="799">
        <f t="shared" si="82"/>
        <v>0</v>
      </c>
      <c r="T211" s="176">
        <f t="shared" si="83"/>
        <v>6</v>
      </c>
      <c r="U211" s="250">
        <f t="shared" si="84"/>
        <v>0.26040528043226779</v>
      </c>
      <c r="V211" s="382">
        <f t="shared" si="85"/>
        <v>56.707732688889827</v>
      </c>
      <c r="W211" s="400">
        <f t="shared" si="86"/>
        <v>0</v>
      </c>
      <c r="X211" s="157">
        <f t="shared" si="87"/>
        <v>44758</v>
      </c>
      <c r="Y211" s="383">
        <f t="shared" si="88"/>
        <v>49.986099757614511</v>
      </c>
      <c r="Z211" s="383">
        <f t="shared" si="89"/>
        <v>51.23042530800241</v>
      </c>
      <c r="AA211" s="384">
        <f t="shared" si="90"/>
        <v>56.155530950039832</v>
      </c>
      <c r="AB211" s="197">
        <f t="shared" si="91"/>
        <v>44758</v>
      </c>
      <c r="AC211" s="119">
        <f>IF(OR(t&lt;Tnet,NoTnet),'2021'!Resal_s+('2021'!Salim-'2021'!Resal_s)*(1-EXP(('2021'!Tnet_s-t)/'2021'!Tau_j)),Resal_s+(Salim-Resal_s)*(1-EXP((Tnet_s-t)/Tau_j)))*Salcycl</f>
        <v>8.7704729324332556E-2</v>
      </c>
      <c r="AD211" s="230">
        <f>(INDEX(Models!$BJ211:$BT211,,AH211)*(1-AF211)+INDEX(Models!$BJ211:$BT211,,AH211+1)*AF211-ERP_i)*AE211*Ramure*Pc/MaxiM</f>
        <v>3.2965974427811288E-4</v>
      </c>
      <c r="AE211" s="304">
        <f t="shared" si="92"/>
        <v>0.7</v>
      </c>
      <c r="AF211" s="177">
        <f t="shared" si="93"/>
        <v>0.32473750269209994</v>
      </c>
      <c r="AG211" s="799">
        <f t="shared" si="99"/>
        <v>0</v>
      </c>
      <c r="AH211" s="176">
        <f t="shared" si="94"/>
        <v>6</v>
      </c>
      <c r="AI211" s="224">
        <f t="shared" si="95"/>
        <v>0.32473750269209994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44759</v>
      </c>
      <c r="B212" s="1147">
        <v>54.750999999999998</v>
      </c>
      <c r="C212" s="388"/>
      <c r="D212" s="391">
        <f t="shared" si="77"/>
        <v>56.115015699661434</v>
      </c>
      <c r="E212" s="383">
        <f t="shared" si="75"/>
        <v>56.784038804549589</v>
      </c>
      <c r="F212" s="383">
        <f t="shared" si="78"/>
        <v>56.801386139663592</v>
      </c>
      <c r="G212" s="110">
        <f t="shared" si="76"/>
        <v>0.96759037941601544</v>
      </c>
      <c r="H212" s="412" t="b">
        <f>Wh_hp&gt;='2021'!Maxi_hp</f>
        <v>0</v>
      </c>
      <c r="I212" s="379">
        <f>IF(H212,Wh_hp,'2021'!Maxi_hp)</f>
        <v>58.588907311846619</v>
      </c>
      <c r="J212" s="85">
        <f>IF(H212,An,'2021'!An_max)</f>
        <v>2021</v>
      </c>
      <c r="K212" s="197">
        <f t="shared" si="79"/>
        <v>44759</v>
      </c>
      <c r="L212" s="147">
        <f>IF(t&lt;Tvie,1-EXP((T0-t)*PertePVj)+'2021'!Pspv,1-EXP((T0-t)*PertePVj)+Pspv)</f>
        <v>2.4307499207732897E-2</v>
      </c>
      <c r="M212" s="832"/>
      <c r="N212" s="832"/>
      <c r="O212" s="48">
        <f>IF(t&lt;Tnet,'2021'!Resal+('2021'!Salim-'2021'!Resal)*(1-EXP(('2021'!Tnet-t)/('2021'!Tau_j))),Resal+(Salim-Resal)*(1-EXP((Tnet-t)/(Tau_j))))*Salcycl</f>
        <v>1.1781886582441361E-2</v>
      </c>
      <c r="P212" s="169">
        <f>(INDEX(Models!$BJ212:$BT212,,T212)*(1-R212)+INDEX(Models!$BJ212:$BT212,,T212+1)*R212-ERP_i)*Q212*Ramure*Pc/MaxiM</f>
        <v>3.2022296435714546E-4</v>
      </c>
      <c r="Q212" s="304">
        <f t="shared" si="80"/>
        <v>0.7</v>
      </c>
      <c r="R212" s="177">
        <f t="shared" si="81"/>
        <v>0.26286124688552887</v>
      </c>
      <c r="S212" s="799">
        <f t="shared" si="82"/>
        <v>0</v>
      </c>
      <c r="T212" s="176">
        <f t="shared" si="83"/>
        <v>6</v>
      </c>
      <c r="U212" s="250">
        <f t="shared" si="84"/>
        <v>0.26286124688552887</v>
      </c>
      <c r="V212" s="382">
        <f t="shared" si="85"/>
        <v>56.584056155984626</v>
      </c>
      <c r="W212" s="400">
        <f t="shared" si="86"/>
        <v>0</v>
      </c>
      <c r="X212" s="157">
        <f t="shared" si="87"/>
        <v>44759</v>
      </c>
      <c r="Y212" s="383">
        <f t="shared" si="88"/>
        <v>50.543057819970244</v>
      </c>
      <c r="Z212" s="383">
        <f t="shared" si="89"/>
        <v>51.802240745859002</v>
      </c>
      <c r="AA212" s="384">
        <f t="shared" si="90"/>
        <v>56.781862401176411</v>
      </c>
      <c r="AB212" s="197">
        <f t="shared" si="91"/>
        <v>44759</v>
      </c>
      <c r="AC212" s="119">
        <f>IF(OR(t&lt;Tnet,NoTnet),'2021'!Resal_s+('2021'!Salim-'2021'!Resal_s)*(1-EXP(('2021'!Tnet_s-t)/'2021'!Tau_j)),Resal_s+(Salim-Resal_s)*(1-EXP((Tnet_s-t)/Tau_j)))*Salcycl</f>
        <v>8.7697399217645994E-2</v>
      </c>
      <c r="AD212" s="230">
        <f>(INDEX(Models!$BJ212:$BT212,,AH212)*(1-AF212)+INDEX(Models!$BJ212:$BT212,,AH212+1)*AF212-ERP_i)*AE212*Ramure*Pc/MaxiM</f>
        <v>3.6039826132436129E-4</v>
      </c>
      <c r="AE212" s="304">
        <f t="shared" si="92"/>
        <v>0.7</v>
      </c>
      <c r="AF212" s="177">
        <f t="shared" si="93"/>
        <v>0.32719346914536102</v>
      </c>
      <c r="AG212" s="799">
        <f t="shared" si="99"/>
        <v>0</v>
      </c>
      <c r="AH212" s="176">
        <f t="shared" si="94"/>
        <v>6</v>
      </c>
      <c r="AI212" s="224">
        <f t="shared" si="95"/>
        <v>0.32719346914536102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44760</v>
      </c>
      <c r="B213" s="1147">
        <v>56.956000000000003</v>
      </c>
      <c r="C213" s="388"/>
      <c r="D213" s="391">
        <f t="shared" si="77"/>
        <v>58.376067791252368</v>
      </c>
      <c r="E213" s="383">
        <f t="shared" si="75"/>
        <v>59.075454756295414</v>
      </c>
      <c r="F213" s="383">
        <f t="shared" si="78"/>
        <v>59.09626552839137</v>
      </c>
      <c r="G213" s="110">
        <f t="shared" si="76"/>
        <v>1.0088027243466917</v>
      </c>
      <c r="H213" s="412" t="b">
        <f>Wh_hp&gt;='2021'!Maxi_hp</f>
        <v>1</v>
      </c>
      <c r="I213" s="379">
        <f>IF(H213,Wh_hp,'2021'!Maxi_hp)</f>
        <v>59.09626552839137</v>
      </c>
      <c r="J213" s="85">
        <f>IF(H213,An,'2021'!An_max)</f>
        <v>2022</v>
      </c>
      <c r="K213" s="197">
        <f t="shared" si="79"/>
        <v>44760</v>
      </c>
      <c r="L213" s="147">
        <f>IF(t&lt;Tvie,1-EXP((T0-t)*PertePVj)+'2021'!Pspv,1-EXP((T0-t)*PertePVj)+Pspv)</f>
        <v>2.4326198131919385E-2</v>
      </c>
      <c r="M213" s="832"/>
      <c r="N213" s="832"/>
      <c r="O213" s="48">
        <f>IF(t&lt;Tnet,'2021'!Resal+('2021'!Salim-'2021'!Resal)*(1-EXP(('2021'!Tnet-t)/('2021'!Tau_j))),Resal+(Salim-Resal)*(1-EXP((Tnet-t)/(Tau_j))))*Salcycl</f>
        <v>1.1838875687512358E-2</v>
      </c>
      <c r="P213" s="169">
        <f>(INDEX(Models!$BJ213:$BT213,,T213)*(1-R213)+INDEX(Models!$BJ213:$BT213,,T213+1)*R213-ERP_i)*Q213*Ramure*Pc/MaxiM</f>
        <v>3.5215037549131737E-4</v>
      </c>
      <c r="Q213" s="304">
        <f t="shared" si="80"/>
        <v>0.7</v>
      </c>
      <c r="R213" s="177">
        <f t="shared" si="81"/>
        <v>0.26525334361856123</v>
      </c>
      <c r="S213" s="799">
        <f t="shared" si="82"/>
        <v>0</v>
      </c>
      <c r="T213" s="176">
        <f t="shared" si="83"/>
        <v>6</v>
      </c>
      <c r="U213" s="250">
        <f t="shared" si="84"/>
        <v>0.26525334361856123</v>
      </c>
      <c r="V213" s="382">
        <f t="shared" si="85"/>
        <v>56.45900692514995</v>
      </c>
      <c r="W213" s="400">
        <f t="shared" si="86"/>
        <v>0</v>
      </c>
      <c r="X213" s="157">
        <f t="shared" si="87"/>
        <v>44760</v>
      </c>
      <c r="Y213" s="383">
        <f t="shared" si="88"/>
        <v>52.581764041067771</v>
      </c>
      <c r="Z213" s="383">
        <f t="shared" si="89"/>
        <v>53.892770247998598</v>
      </c>
      <c r="AA213" s="384">
        <f t="shared" si="90"/>
        <v>59.072831131000058</v>
      </c>
      <c r="AB213" s="197">
        <f t="shared" si="91"/>
        <v>44760</v>
      </c>
      <c r="AC213" s="119">
        <f>IF(OR(t&lt;Tnet,NoTnet),'2021'!Resal_s+('2021'!Salim-'2021'!Resal_s)*(1-EXP(('2021'!Tnet_s-t)/'2021'!Tau_j)),Resal_s+(Salim-Resal_s)*(1-EXP((Tnet_s-t)/Tau_j)))*Salcycl</f>
        <v>8.768939601885932E-2</v>
      </c>
      <c r="AD213" s="230">
        <f>(INDEX(Models!$BJ213:$BT213,,AH213)*(1-AF213)+INDEX(Models!$BJ213:$BT213,,AH213+1)*AF213-ERP_i)*AE213*Ramure*Pc/MaxiM</f>
        <v>3.965461638190137E-4</v>
      </c>
      <c r="AE213" s="304">
        <f t="shared" si="92"/>
        <v>0.7</v>
      </c>
      <c r="AF213" s="177">
        <f t="shared" si="93"/>
        <v>0.32958556587839338</v>
      </c>
      <c r="AG213" s="799">
        <f t="shared" si="99"/>
        <v>0</v>
      </c>
      <c r="AH213" s="176">
        <f t="shared" si="94"/>
        <v>6</v>
      </c>
      <c r="AI213" s="224">
        <f t="shared" si="95"/>
        <v>0.32958556587839338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44761</v>
      </c>
      <c r="B214" s="1147">
        <v>34.340000000000003</v>
      </c>
      <c r="C214" s="388"/>
      <c r="D214" s="391">
        <f t="shared" si="77"/>
        <v>35.196864018617838</v>
      </c>
      <c r="E214" s="383">
        <f t="shared" si="75"/>
        <v>35.620597121757278</v>
      </c>
      <c r="F214" s="383">
        <f t="shared" si="78"/>
        <v>35.626730167988867</v>
      </c>
      <c r="G214" s="110">
        <f t="shared" si="76"/>
        <v>0.60946041854153477</v>
      </c>
      <c r="H214" s="412" t="b">
        <f>Wh_hp&gt;='2021'!Maxi_hp</f>
        <v>0</v>
      </c>
      <c r="I214" s="379">
        <f>IF(H214,Wh_hp,'2021'!Maxi_hp)</f>
        <v>58.821936669758294</v>
      </c>
      <c r="J214" s="85">
        <f>IF(H214,An,'2021'!An_max)</f>
        <v>2020</v>
      </c>
      <c r="K214" s="197">
        <f t="shared" si="79"/>
        <v>44761</v>
      </c>
      <c r="L214" s="147">
        <f>IF(t&lt;Tvie,1-EXP((T0-t)*PertePVj)+'2021'!Pspv,1-EXP((T0-t)*PertePVj)+Pspv)</f>
        <v>2.43448966977452E-2</v>
      </c>
      <c r="M214" s="832"/>
      <c r="N214" s="832"/>
      <c r="O214" s="48">
        <f>IF(t&lt;Tnet,'2021'!Resal+('2021'!Salim-'2021'!Resal)*(1-EXP(('2021'!Tnet-t)/('2021'!Tau_j))),Resal+(Salim-Resal)*(1-EXP((Tnet-t)/(Tau_j))))*Salcycl</f>
        <v>1.1895732732695435E-2</v>
      </c>
      <c r="P214" s="169">
        <f>(INDEX(Models!$BJ214:$BT214,,T214)*(1-R214)+INDEX(Models!$BJ214:$BT214,,T214+1)*R214-ERP_i)*Q214*Ramure*Pc/MaxiM</f>
        <v>3.892310684647808E-4</v>
      </c>
      <c r="Q214" s="304">
        <f t="shared" si="80"/>
        <v>0.7</v>
      </c>
      <c r="R214" s="177">
        <f t="shared" si="81"/>
        <v>0.26758208863101218</v>
      </c>
      <c r="S214" s="799">
        <f t="shared" si="82"/>
        <v>0</v>
      </c>
      <c r="T214" s="176">
        <f t="shared" si="83"/>
        <v>6</v>
      </c>
      <c r="U214" s="250">
        <f t="shared" si="84"/>
        <v>0.26758208863101218</v>
      </c>
      <c r="V214" s="382">
        <f t="shared" si="85"/>
        <v>56.332688745933197</v>
      </c>
      <c r="W214" s="400">
        <f t="shared" si="86"/>
        <v>0</v>
      </c>
      <c r="X214" s="157">
        <f t="shared" si="87"/>
        <v>44761</v>
      </c>
      <c r="Y214" s="383">
        <f t="shared" si="88"/>
        <v>31.705525055968909</v>
      </c>
      <c r="Z214" s="383">
        <f t="shared" si="89"/>
        <v>32.496652709196809</v>
      </c>
      <c r="AA214" s="384">
        <f t="shared" si="90"/>
        <v>35.619826200103468</v>
      </c>
      <c r="AB214" s="197">
        <f t="shared" si="91"/>
        <v>44761</v>
      </c>
      <c r="AC214" s="119">
        <f>IF(OR(t&lt;Tnet,NoTnet),'2021'!Resal_s+('2021'!Salim-'2021'!Resal_s)*(1-EXP(('2021'!Tnet_s-t)/'2021'!Tau_j)),Resal_s+(Salim-Resal_s)*(1-EXP((Tnet_s-t)/Tau_j)))*Salcycl</f>
        <v>8.7680761645535135E-2</v>
      </c>
      <c r="AD214" s="230">
        <f>(INDEX(Models!$BJ214:$BT214,,AH214)*(1-AF214)+INDEX(Models!$BJ214:$BT214,,AH214+1)*AF214-ERP_i)*AE214*Ramure*Pc/MaxiM</f>
        <v>4.3815727049975167E-4</v>
      </c>
      <c r="AE214" s="304">
        <f t="shared" si="92"/>
        <v>0.7</v>
      </c>
      <c r="AF214" s="177">
        <f t="shared" si="93"/>
        <v>0.33191431089084433</v>
      </c>
      <c r="AG214" s="799">
        <f t="shared" si="99"/>
        <v>0</v>
      </c>
      <c r="AH214" s="176">
        <f t="shared" si="94"/>
        <v>6</v>
      </c>
      <c r="AI214" s="224">
        <f t="shared" si="95"/>
        <v>0.33191431089084433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44762</v>
      </c>
      <c r="B215" s="1147">
        <v>41.721000000000004</v>
      </c>
      <c r="C215" s="388"/>
      <c r="D215" s="391">
        <f t="shared" si="77"/>
        <v>42.762856923063289</v>
      </c>
      <c r="E215" s="383">
        <f t="shared" si="75"/>
        <v>43.280161408590502</v>
      </c>
      <c r="F215" s="383">
        <f t="shared" si="78"/>
        <v>43.291965183518776</v>
      </c>
      <c r="G215" s="110">
        <f t="shared" si="76"/>
        <v>0.7421798396221323</v>
      </c>
      <c r="H215" s="412" t="b">
        <f>Wh_hp&gt;='2021'!Maxi_hp</f>
        <v>0</v>
      </c>
      <c r="I215" s="379">
        <f>IF(H215,Wh_hp,'2021'!Maxi_hp)</f>
        <v>57.966887791855576</v>
      </c>
      <c r="J215" s="85">
        <f>IF(H215,An,'2021'!An_max)</f>
        <v>2020</v>
      </c>
      <c r="K215" s="197">
        <f t="shared" si="79"/>
        <v>44762</v>
      </c>
      <c r="L215" s="147">
        <f>IF(t&lt;Tvie,1-EXP((T0-t)*PertePVj)+'2021'!Pspv,1-EXP((T0-t)*PertePVj)+Pspv)</f>
        <v>2.4363594905217334E-2</v>
      </c>
      <c r="M215" s="832"/>
      <c r="N215" s="832"/>
      <c r="O215" s="48">
        <f>IF(t&lt;Tnet,'2021'!Resal+('2021'!Salim-'2021'!Resal)*(1-EXP(('2021'!Tnet-t)/('2021'!Tau_j))),Resal+(Salim-Resal)*(1-EXP((Tnet-t)/(Tau_j))))*Salcycl</f>
        <v>1.19524620216536E-2</v>
      </c>
      <c r="P215" s="169">
        <f>(INDEX(Models!$BJ215:$BT215,,T215)*(1-R215)+INDEX(Models!$BJ215:$BT215,,T215+1)*R215-ERP_i)*Q215*Ramure*Pc/MaxiM</f>
        <v>4.3151598296166426E-4</v>
      </c>
      <c r="Q215" s="304">
        <f t="shared" si="80"/>
        <v>0.7</v>
      </c>
      <c r="R215" s="177">
        <f t="shared" si="81"/>
        <v>0.26984807697936031</v>
      </c>
      <c r="S215" s="799">
        <f t="shared" si="82"/>
        <v>0</v>
      </c>
      <c r="T215" s="176">
        <f t="shared" si="83"/>
        <v>6</v>
      </c>
      <c r="U215" s="250">
        <f t="shared" si="84"/>
        <v>0.26984807697936031</v>
      </c>
      <c r="V215" s="382">
        <f t="shared" si="85"/>
        <v>56.205205437232443</v>
      </c>
      <c r="W215" s="400">
        <f t="shared" si="86"/>
        <v>0</v>
      </c>
      <c r="X215" s="157">
        <f t="shared" si="87"/>
        <v>44762</v>
      </c>
      <c r="Y215" s="383">
        <f t="shared" si="88"/>
        <v>38.52239983050567</v>
      </c>
      <c r="Z215" s="383">
        <f t="shared" si="89"/>
        <v>39.484381301621511</v>
      </c>
      <c r="AA215" s="384">
        <f t="shared" si="90"/>
        <v>43.278690614727196</v>
      </c>
      <c r="AB215" s="197">
        <f t="shared" si="91"/>
        <v>44762</v>
      </c>
      <c r="AC215" s="119">
        <f>IF(OR(t&lt;Tnet,NoTnet),'2021'!Resal_s+('2021'!Salim-'2021'!Resal_s)*(1-EXP(('2021'!Tnet_s-t)/'2021'!Tau_j)),Resal_s+(Salim-Resal_s)*(1-EXP((Tnet_s-t)/Tau_j)))*Salcycl</f>
        <v>8.7671536712677967E-2</v>
      </c>
      <c r="AD215" s="230">
        <f>(INDEX(Models!$BJ215:$BT215,,AH215)*(1-AF215)+INDEX(Models!$BJ215:$BT215,,AH215+1)*AF215-ERP_i)*AE215*Ramure*Pc/MaxiM</f>
        <v>4.8528446495261021E-4</v>
      </c>
      <c r="AE215" s="304">
        <f t="shared" si="92"/>
        <v>0.7</v>
      </c>
      <c r="AF215" s="177">
        <f t="shared" si="93"/>
        <v>0.33418029923919246</v>
      </c>
      <c r="AG215" s="799">
        <f t="shared" si="99"/>
        <v>0</v>
      </c>
      <c r="AH215" s="176">
        <f t="shared" si="94"/>
        <v>6</v>
      </c>
      <c r="AI215" s="224">
        <f t="shared" si="95"/>
        <v>0.33418029923919246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44763</v>
      </c>
      <c r="B216" s="1147">
        <v>54.447000000000003</v>
      </c>
      <c r="C216" s="388"/>
      <c r="D216" s="391">
        <f t="shared" si="77"/>
        <v>55.807720171165791</v>
      </c>
      <c r="E216" s="383">
        <f t="shared" si="75"/>
        <v>56.48606515542351</v>
      </c>
      <c r="F216" s="383">
        <f t="shared" si="78"/>
        <v>56.512013586305258</v>
      </c>
      <c r="G216" s="110">
        <f t="shared" si="76"/>
        <v>0.9709193767671821</v>
      </c>
      <c r="H216" s="412" t="b">
        <f>Wh_hp&gt;='2021'!Maxi_hp</f>
        <v>1</v>
      </c>
      <c r="I216" s="379">
        <f>IF(H216,Wh_hp,'2021'!Maxi_hp)</f>
        <v>56.512013586305258</v>
      </c>
      <c r="J216" s="85">
        <f>IF(H216,An,'2021'!An_max)</f>
        <v>2022</v>
      </c>
      <c r="K216" s="197">
        <f t="shared" si="79"/>
        <v>44763</v>
      </c>
      <c r="L216" s="147">
        <f>IF(t&lt;Tvie,1-EXP((T0-t)*PertePVj)+'2021'!Pspv,1-EXP((T0-t)*PertePVj)+Pspv)</f>
        <v>2.4382292754342449E-2</v>
      </c>
      <c r="M216" s="832"/>
      <c r="N216" s="832"/>
      <c r="O216" s="48">
        <f>IF(t&lt;Tnet,'2021'!Resal+('2021'!Salim-'2021'!Resal)*(1-EXP(('2021'!Tnet-t)/('2021'!Tau_j))),Resal+(Salim-Resal)*(1-EXP((Tnet-t)/(Tau_j))))*Salcycl</f>
        <v>1.2009067765496246E-2</v>
      </c>
      <c r="P216" s="169">
        <f>(INDEX(Models!$BJ216:$BT216,,T216)*(1-R216)+INDEX(Models!$BJ216:$BT216,,T216+1)*R216-ERP_i)*Q216*Ramure*Pc/MaxiM</f>
        <v>4.7905515576361922E-4</v>
      </c>
      <c r="Q216" s="304">
        <f t="shared" si="80"/>
        <v>0.7</v>
      </c>
      <c r="R216" s="177">
        <f t="shared" si="81"/>
        <v>0.27205197518580826</v>
      </c>
      <c r="S216" s="799">
        <f t="shared" si="82"/>
        <v>0</v>
      </c>
      <c r="T216" s="176">
        <f t="shared" si="83"/>
        <v>6</v>
      </c>
      <c r="U216" s="250">
        <f t="shared" si="84"/>
        <v>0.27205197518580826</v>
      </c>
      <c r="V216" s="382">
        <f t="shared" si="85"/>
        <v>56.0766608792215</v>
      </c>
      <c r="W216" s="400">
        <f t="shared" si="86"/>
        <v>0</v>
      </c>
      <c r="X216" s="157">
        <f t="shared" si="87"/>
        <v>44763</v>
      </c>
      <c r="Y216" s="383">
        <f t="shared" si="88"/>
        <v>50.275029575118261</v>
      </c>
      <c r="Z216" s="383">
        <f t="shared" si="89"/>
        <v>51.531485336662882</v>
      </c>
      <c r="AA216" s="384">
        <f t="shared" si="90"/>
        <v>56.482873454092939</v>
      </c>
      <c r="AB216" s="197">
        <f t="shared" si="91"/>
        <v>44763</v>
      </c>
      <c r="AC216" s="119">
        <f>IF(OR(t&lt;Tnet,NoTnet),'2021'!Resal_s+('2021'!Salim-'2021'!Resal_s)*(1-EXP(('2021'!Tnet_s-t)/'2021'!Tau_j)),Resal_s+(Salim-Resal_s)*(1-EXP((Tnet_s-t)/Tau_j)))*Salcycl</f>
        <v>8.7661760364482005E-2</v>
      </c>
      <c r="AD216" s="230">
        <f>(INDEX(Models!$BJ216:$BT216,,AH216)*(1-AF216)+INDEX(Models!$BJ216:$BT216,,AH216+1)*AF216-ERP_i)*AE216*Ramure*Pc/MaxiM</f>
        <v>5.3797975837379395E-4</v>
      </c>
      <c r="AE216" s="304">
        <f t="shared" si="92"/>
        <v>0.7</v>
      </c>
      <c r="AF216" s="177">
        <f t="shared" si="93"/>
        <v>0.33638419744564041</v>
      </c>
      <c r="AG216" s="799">
        <f t="shared" si="99"/>
        <v>0</v>
      </c>
      <c r="AH216" s="176">
        <f t="shared" si="94"/>
        <v>6</v>
      </c>
      <c r="AI216" s="224">
        <f t="shared" si="95"/>
        <v>0.33638419744564041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44764</v>
      </c>
      <c r="B217" s="1147">
        <v>45.741</v>
      </c>
      <c r="C217" s="388"/>
      <c r="D217" s="391">
        <f t="shared" si="77"/>
        <v>46.885041438790331</v>
      </c>
      <c r="E217" s="383">
        <f t="shared" si="75"/>
        <v>47.457644210424441</v>
      </c>
      <c r="F217" s="383">
        <f t="shared" si="78"/>
        <v>47.476315764167232</v>
      </c>
      <c r="G217" s="110">
        <f t="shared" si="76"/>
        <v>0.8174616525239683</v>
      </c>
      <c r="H217" s="412" t="b">
        <f>Wh_hp&gt;='2021'!Maxi_hp</f>
        <v>0</v>
      </c>
      <c r="I217" s="379">
        <f>IF(H217,Wh_hp,'2021'!Maxi_hp)</f>
        <v>54.98806790169472</v>
      </c>
      <c r="J217" s="85">
        <f>IF(H217,An,'2021'!An_max)</f>
        <v>2021</v>
      </c>
      <c r="K217" s="197">
        <f t="shared" si="79"/>
        <v>44764</v>
      </c>
      <c r="L217" s="147">
        <f>IF(t&lt;Tvie,1-EXP((T0-t)*PertePVj)+'2021'!Pspv,1-EXP((T0-t)*PertePVj)+Pspv)</f>
        <v>2.4400990245127652E-2</v>
      </c>
      <c r="M217" s="832"/>
      <c r="N217" s="832"/>
      <c r="O217" s="48">
        <f>IF(t&lt;Tnet,'2021'!Resal+('2021'!Salim-'2021'!Resal)*(1-EXP(('2021'!Tnet-t)/('2021'!Tau_j))),Resal+(Salim-Resal)*(1-EXP((Tnet-t)/(Tau_j))))*Salcycl</f>
        <v>1.2065554056902222E-2</v>
      </c>
      <c r="P217" s="169">
        <f>(INDEX(Models!$BJ217:$BT217,,T217)*(1-R217)+INDEX(Models!$BJ217:$BT217,,T217+1)*R217-ERP_i)*Q217*Ramure*Pc/MaxiM</f>
        <v>5.3189777847384347E-4</v>
      </c>
      <c r="Q217" s="304">
        <f t="shared" si="80"/>
        <v>0.7</v>
      </c>
      <c r="R217" s="177">
        <f t="shared" si="81"/>
        <v>0.27419451571163156</v>
      </c>
      <c r="S217" s="799">
        <f t="shared" si="82"/>
        <v>0</v>
      </c>
      <c r="T217" s="176">
        <f t="shared" si="83"/>
        <v>6</v>
      </c>
      <c r="U217" s="250">
        <f t="shared" si="84"/>
        <v>0.27419451571163156</v>
      </c>
      <c r="V217" s="382">
        <f t="shared" si="85"/>
        <v>55.947159006427995</v>
      </c>
      <c r="W217" s="400">
        <f t="shared" si="86"/>
        <v>0</v>
      </c>
      <c r="X217" s="157">
        <f t="shared" si="87"/>
        <v>44764</v>
      </c>
      <c r="Y217" s="383">
        <f t="shared" si="88"/>
        <v>42.239387911483078</v>
      </c>
      <c r="Z217" s="383">
        <f t="shared" si="89"/>
        <v>43.295849513106916</v>
      </c>
      <c r="AA217" s="384">
        <f t="shared" si="90"/>
        <v>47.455383655779542</v>
      </c>
      <c r="AB217" s="197">
        <f t="shared" si="91"/>
        <v>44764</v>
      </c>
      <c r="AC217" s="119">
        <f>IF(OR(t&lt;Tnet,NoTnet),'2021'!Resal_s+('2021'!Salim-'2021'!Resal_s)*(1-EXP(('2021'!Tnet_s-t)/'2021'!Tau_j)),Resal_s+(Salim-Resal_s)*(1-EXP((Tnet_s-t)/Tau_j)))*Salcycl</f>
        <v>8.7651470122843203E-2</v>
      </c>
      <c r="AD217" s="230">
        <f>(INDEX(Models!$BJ217:$BT217,,AH217)*(1-AF217)+INDEX(Models!$BJ217:$BT217,,AH217+1)*AF217-ERP_i)*AE217*Ramure*Pc/MaxiM</f>
        <v>5.9629434719570874E-4</v>
      </c>
      <c r="AE217" s="304">
        <f t="shared" si="92"/>
        <v>0.7</v>
      </c>
      <c r="AF217" s="177">
        <f t="shared" si="93"/>
        <v>0.33852673797146371</v>
      </c>
      <c r="AG217" s="799">
        <f t="shared" si="99"/>
        <v>0</v>
      </c>
      <c r="AH217" s="176">
        <f t="shared" si="94"/>
        <v>6</v>
      </c>
      <c r="AI217" s="224">
        <f t="shared" si="95"/>
        <v>0.33852673797146371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44765</v>
      </c>
      <c r="B218" s="1147">
        <v>40.344000000000001</v>
      </c>
      <c r="C218" s="388"/>
      <c r="D218" s="391">
        <f t="shared" si="77"/>
        <v>41.353848041021685</v>
      </c>
      <c r="E218" s="383">
        <f t="shared" si="75"/>
        <v>41.86128742109932</v>
      </c>
      <c r="F218" s="383">
        <f t="shared" si="78"/>
        <v>41.876212517490522</v>
      </c>
      <c r="G218" s="110">
        <f t="shared" si="76"/>
        <v>0.72262412412039012</v>
      </c>
      <c r="H218" s="412" t="b">
        <f>Wh_hp&gt;='2021'!Maxi_hp</f>
        <v>0</v>
      </c>
      <c r="I218" s="379">
        <f>IF(H218,Wh_hp,'2021'!Maxi_hp)</f>
        <v>56.499257606465072</v>
      </c>
      <c r="J218" s="85">
        <f>IF(H218,An,'2021'!An_max)</f>
        <v>2018</v>
      </c>
      <c r="K218" s="197">
        <f t="shared" si="79"/>
        <v>44765</v>
      </c>
      <c r="L218" s="147">
        <f>IF(t&lt;Tvie,1-EXP((T0-t)*PertePVj)+'2021'!Pspv,1-EXP((T0-t)*PertePVj)+Pspv)</f>
        <v>2.4419687377579713E-2</v>
      </c>
      <c r="M218" s="832"/>
      <c r="N218" s="832"/>
      <c r="O218" s="48">
        <f>IF(t&lt;Tnet,'2021'!Resal+('2021'!Salim-'2021'!Resal)*(1-EXP(('2021'!Tnet-t)/('2021'!Tau_j))),Resal+(Salim-Resal)*(1-EXP((Tnet-t)/(Tau_j))))*Salcycl</f>
        <v>1.2121924846053973E-2</v>
      </c>
      <c r="P218" s="169">
        <f>(INDEX(Models!$BJ218:$BT218,,T218)*(1-R218)+INDEX(Models!$BJ218:$BT218,,T218+1)*R218-ERP_i)*Q218*Ramure*Pc/MaxiM</f>
        <v>5.9009224951712686E-4</v>
      </c>
      <c r="Q218" s="304">
        <f t="shared" si="80"/>
        <v>0.7</v>
      </c>
      <c r="R218" s="177">
        <f t="shared" si="81"/>
        <v>0.27627649152053724</v>
      </c>
      <c r="S218" s="799">
        <f t="shared" si="82"/>
        <v>0</v>
      </c>
      <c r="T218" s="176">
        <f t="shared" si="83"/>
        <v>6</v>
      </c>
      <c r="U218" s="250">
        <f t="shared" si="84"/>
        <v>0.27627649152053724</v>
      </c>
      <c r="V218" s="382">
        <f t="shared" si="85"/>
        <v>55.816803800673895</v>
      </c>
      <c r="W218" s="400">
        <f t="shared" si="86"/>
        <v>0</v>
      </c>
      <c r="X218" s="157">
        <f t="shared" si="87"/>
        <v>44765</v>
      </c>
      <c r="Y218" s="383">
        <f t="shared" si="88"/>
        <v>37.258304974338365</v>
      </c>
      <c r="Z218" s="383">
        <f t="shared" si="89"/>
        <v>38.190915183790182</v>
      </c>
      <c r="AA218" s="384">
        <f t="shared" si="90"/>
        <v>41.859512208819346</v>
      </c>
      <c r="AB218" s="197">
        <f t="shared" si="91"/>
        <v>44765</v>
      </c>
      <c r="AC218" s="119">
        <f>IF(OR(t&lt;Tnet,NoTnet),'2021'!Resal_s+('2021'!Salim-'2021'!Resal_s)*(1-EXP(('2021'!Tnet_s-t)/'2021'!Tau_j)),Resal_s+(Salim-Resal_s)*(1-EXP((Tnet_s-t)/Tau_j)))*Salcycl</f>
        <v>8.7640701753238098E-2</v>
      </c>
      <c r="AD218" s="230">
        <f>(INDEX(Models!$BJ218:$BT218,,AH218)*(1-AF218)+INDEX(Models!$BJ218:$BT218,,AH218+1)*AF218-ERP_i)*AE218*Ramure*Pc/MaxiM</f>
        <v>6.6027866441224043E-4</v>
      </c>
      <c r="AE218" s="304">
        <f t="shared" si="92"/>
        <v>0.7</v>
      </c>
      <c r="AF218" s="177">
        <f t="shared" si="93"/>
        <v>0.34060871378036939</v>
      </c>
      <c r="AG218" s="799">
        <f t="shared" si="99"/>
        <v>0</v>
      </c>
      <c r="AH218" s="176">
        <f t="shared" si="94"/>
        <v>6</v>
      </c>
      <c r="AI218" s="224">
        <f t="shared" si="95"/>
        <v>0.34060871378036939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44766</v>
      </c>
      <c r="B219" s="1147">
        <v>54.826000000000001</v>
      </c>
      <c r="C219" s="388"/>
      <c r="D219" s="391">
        <f t="shared" si="77"/>
        <v>56.19942309059212</v>
      </c>
      <c r="E219" s="383">
        <f t="shared" si="75"/>
        <v>56.892267588830798</v>
      </c>
      <c r="F219" s="383">
        <f t="shared" si="78"/>
        <v>56.928661050654043</v>
      </c>
      <c r="G219" s="110">
        <f t="shared" si="76"/>
        <v>0.98455602299637279</v>
      </c>
      <c r="H219" s="412" t="b">
        <f>Wh_hp&gt;='2021'!Maxi_hp</f>
        <v>1</v>
      </c>
      <c r="I219" s="379">
        <f>IF(H219,Wh_hp,'2021'!Maxi_hp)</f>
        <v>56.928661050654043</v>
      </c>
      <c r="J219" s="85">
        <f>IF(H219,An,'2021'!An_max)</f>
        <v>2022</v>
      </c>
      <c r="K219" s="197">
        <f t="shared" si="79"/>
        <v>44766</v>
      </c>
      <c r="L219" s="147">
        <f>IF(t&lt;Tvie,1-EXP((T0-t)*PertePVj)+'2021'!Pspv,1-EXP((T0-t)*PertePVj)+Pspv)</f>
        <v>2.4438384151705517E-2</v>
      </c>
      <c r="M219" s="832"/>
      <c r="N219" s="832"/>
      <c r="O219" s="48">
        <f>IF(t&lt;Tnet,'2021'!Resal+('2021'!Salim-'2021'!Resal)*(1-EXP(('2021'!Tnet-t)/('2021'!Tau_j))),Resal+(Salim-Resal)*(1-EXP((Tnet-t)/(Tau_j))))*Salcycl</f>
        <v>1.2178183918524189E-2</v>
      </c>
      <c r="P219" s="169">
        <f>(INDEX(Models!$BJ219:$BT219,,T219)*(1-R219)+INDEX(Models!$BJ219:$BT219,,T219+1)*R219-ERP_i)*Q219*Ramure*Pc/MaxiM</f>
        <v>6.5369089711780253E-4</v>
      </c>
      <c r="Q219" s="304">
        <f t="shared" si="80"/>
        <v>0.7</v>
      </c>
      <c r="R219" s="177">
        <f t="shared" si="81"/>
        <v>0.27829875075483906</v>
      </c>
      <c r="S219" s="799">
        <f t="shared" si="82"/>
        <v>0</v>
      </c>
      <c r="T219" s="176">
        <f t="shared" si="83"/>
        <v>6</v>
      </c>
      <c r="U219" s="250">
        <f t="shared" si="84"/>
        <v>0.27829875075483906</v>
      </c>
      <c r="V219" s="382">
        <f t="shared" si="85"/>
        <v>55.68521061846036</v>
      </c>
      <c r="W219" s="400">
        <f t="shared" si="86"/>
        <v>0</v>
      </c>
      <c r="X219" s="157">
        <f t="shared" si="87"/>
        <v>44766</v>
      </c>
      <c r="Y219" s="383">
        <f t="shared" si="88"/>
        <v>50.634527466125292</v>
      </c>
      <c r="Z219" s="383">
        <f t="shared" si="89"/>
        <v>51.902951739338683</v>
      </c>
      <c r="AA219" s="384">
        <f t="shared" si="90"/>
        <v>56.888019858174509</v>
      </c>
      <c r="AB219" s="197">
        <f t="shared" si="91"/>
        <v>44766</v>
      </c>
      <c r="AC219" s="119">
        <f>IF(OR(t&lt;Tnet,NoTnet),'2021'!Resal_s+('2021'!Salim-'2021'!Resal_s)*(1-EXP(('2021'!Tnet_s-t)/'2021'!Tau_j)),Resal_s+(Salim-Resal_s)*(1-EXP((Tnet_s-t)/Tau_j)))*Salcycl</f>
        <v>8.7629489148399242E-2</v>
      </c>
      <c r="AD219" s="230">
        <f>(INDEX(Models!$BJ219:$BT219,,AH219)*(1-AF219)+INDEX(Models!$BJ219:$BT219,,AH219+1)*AF219-ERP_i)*AE219*Ramure*Pc/MaxiM</f>
        <v>7.2998764725683448E-4</v>
      </c>
      <c r="AE219" s="304">
        <f t="shared" si="92"/>
        <v>0.7</v>
      </c>
      <c r="AF219" s="177">
        <f t="shared" si="93"/>
        <v>0.34263097301467121</v>
      </c>
      <c r="AG219" s="799">
        <f t="shared" si="99"/>
        <v>0</v>
      </c>
      <c r="AH219" s="176">
        <f t="shared" si="94"/>
        <v>6</v>
      </c>
      <c r="AI219" s="224">
        <f t="shared" si="95"/>
        <v>0.34263097301467121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44767</v>
      </c>
      <c r="B220" s="1147">
        <v>29.318999999999999</v>
      </c>
      <c r="C220" s="388"/>
      <c r="D220" s="391">
        <f t="shared" si="77"/>
        <v>30.054033929184808</v>
      </c>
      <c r="E220" s="383">
        <f t="shared" si="75"/>
        <v>30.426279218146977</v>
      </c>
      <c r="F220" s="383">
        <f t="shared" si="78"/>
        <v>30.433453560583033</v>
      </c>
      <c r="G220" s="110">
        <f t="shared" si="76"/>
        <v>0.52751873292144258</v>
      </c>
      <c r="H220" s="412" t="b">
        <f>Wh_hp&gt;='2021'!Maxi_hp</f>
        <v>0</v>
      </c>
      <c r="I220" s="379">
        <f>IF(H220,Wh_hp,'2021'!Maxi_hp)</f>
        <v>57.091704599474085</v>
      </c>
      <c r="J220" s="85">
        <f>IF(H220,An,'2021'!An_max)</f>
        <v>2018</v>
      </c>
      <c r="K220" s="197">
        <f t="shared" si="79"/>
        <v>44767</v>
      </c>
      <c r="L220" s="147">
        <f>IF(t&lt;Tvie,1-EXP((T0-t)*PertePVj)+'2021'!Pspv,1-EXP((T0-t)*PertePVj)+Pspv)</f>
        <v>2.4457080567511835E-2</v>
      </c>
      <c r="M220" s="832"/>
      <c r="N220" s="832"/>
      <c r="O220" s="48">
        <f>IF(t&lt;Tnet,'2021'!Resal+('2021'!Salim-'2021'!Resal)*(1-EXP(('2021'!Tnet-t)/('2021'!Tau_j))),Resal+(Salim-Resal)*(1-EXP((Tnet-t)/(Tau_j))))*Salcycl</f>
        <v>1.2234334875233503E-2</v>
      </c>
      <c r="P220" s="169">
        <f>(INDEX(Models!$BJ220:$BT220,,T220)*(1-R220)+INDEX(Models!$BJ220:$BT220,,T220+1)*R220-ERP_i)*Q220*Ramure*Pc/MaxiM</f>
        <v>7.2446855839545642E-4</v>
      </c>
      <c r="Q220" s="304">
        <f t="shared" si="80"/>
        <v>0.7</v>
      </c>
      <c r="R220" s="177">
        <f t="shared" si="81"/>
        <v>0.28026219154454707</v>
      </c>
      <c r="S220" s="799">
        <f t="shared" si="82"/>
        <v>0</v>
      </c>
      <c r="T220" s="176">
        <f t="shared" si="83"/>
        <v>6</v>
      </c>
      <c r="U220" s="250">
        <f t="shared" si="84"/>
        <v>0.28026219154454707</v>
      </c>
      <c r="V220" s="382">
        <f t="shared" si="85"/>
        <v>55.551899338146413</v>
      </c>
      <c r="W220" s="400">
        <f t="shared" si="86"/>
        <v>0</v>
      </c>
      <c r="X220" s="157">
        <f t="shared" si="87"/>
        <v>44767</v>
      </c>
      <c r="Y220" s="383">
        <f t="shared" si="88"/>
        <v>27.080727516680813</v>
      </c>
      <c r="Z220" s="383">
        <f t="shared" si="89"/>
        <v>27.75964745091353</v>
      </c>
      <c r="AA220" s="384">
        <f t="shared" si="90"/>
        <v>30.425461396706524</v>
      </c>
      <c r="AB220" s="197">
        <f t="shared" si="91"/>
        <v>44767</v>
      </c>
      <c r="AC220" s="119">
        <f>IF(OR(t&lt;Tnet,NoTnet),'2021'!Resal_s+('2021'!Salim-'2021'!Resal_s)*(1-EXP(('2021'!Tnet_s-t)/'2021'!Tau_j)),Resal_s+(Salim-Resal_s)*(1-EXP((Tnet_s-t)/Tau_j)))*Salcycl</f>
        <v>8.7617864230041267E-2</v>
      </c>
      <c r="AD220" s="230">
        <f>(INDEX(Models!$BJ220:$BT220,,AH220)*(1-AF220)+INDEX(Models!$BJ220:$BT220,,AH220+1)*AF220-ERP_i)*AE220*Ramure*Pc/MaxiM</f>
        <v>8.0705256177566922E-4</v>
      </c>
      <c r="AE220" s="304">
        <f t="shared" si="92"/>
        <v>0.7</v>
      </c>
      <c r="AF220" s="177">
        <f t="shared" si="93"/>
        <v>0.34459441380437922</v>
      </c>
      <c r="AG220" s="799">
        <f t="shared" si="99"/>
        <v>0</v>
      </c>
      <c r="AH220" s="176">
        <f t="shared" si="94"/>
        <v>6</v>
      </c>
      <c r="AI220" s="224">
        <f t="shared" si="95"/>
        <v>0.34459441380437922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44768</v>
      </c>
      <c r="B221" s="1147">
        <v>46.182000000000002</v>
      </c>
      <c r="C221" s="388"/>
      <c r="D221" s="391">
        <f t="shared" si="77"/>
        <v>47.340700408469004</v>
      </c>
      <c r="E221" s="383">
        <f t="shared" si="75"/>
        <v>47.929775617544671</v>
      </c>
      <c r="F221" s="383">
        <f t="shared" si="78"/>
        <v>47.959023703367578</v>
      </c>
      <c r="G221" s="110">
        <f t="shared" si="76"/>
        <v>0.83319414402013858</v>
      </c>
      <c r="H221" s="412" t="b">
        <f>Wh_hp&gt;='2021'!Maxi_hp</f>
        <v>0</v>
      </c>
      <c r="I221" s="379">
        <f>IF(H221,Wh_hp,'2021'!Maxi_hp)</f>
        <v>56.969060465949205</v>
      </c>
      <c r="J221" s="85">
        <f>IF(H221,An,'2021'!An_max)</f>
        <v>2020</v>
      </c>
      <c r="K221" s="197">
        <f t="shared" si="79"/>
        <v>44768</v>
      </c>
      <c r="L221" s="147">
        <f>IF(t&lt;Tvie,1-EXP((T0-t)*PertePVj)+'2021'!Pspv,1-EXP((T0-t)*PertePVj)+Pspv)</f>
        <v>2.4475776625005663E-2</v>
      </c>
      <c r="M221" s="832"/>
      <c r="N221" s="832"/>
      <c r="O221" s="48">
        <f>IF(t&lt;Tnet,'2021'!Resal+('2021'!Salim-'2021'!Resal)*(1-EXP(('2021'!Tnet-t)/('2021'!Tau_j))),Resal+(Salim-Resal)*(1-EXP((Tnet-t)/(Tau_j))))*Salcycl</f>
        <v>1.2290381114574637E-2</v>
      </c>
      <c r="P221" s="169">
        <f>(INDEX(Models!$BJ221:$BT221,,T221)*(1-R221)+INDEX(Models!$BJ221:$BT221,,T221+1)*R221-ERP_i)*Q221*Ramure*Pc/MaxiM</f>
        <v>8.0040608695361643E-4</v>
      </c>
      <c r="Q221" s="304">
        <f t="shared" si="80"/>
        <v>0.7</v>
      </c>
      <c r="R221" s="177">
        <f t="shared" si="81"/>
        <v>0.28216775696683422</v>
      </c>
      <c r="S221" s="799">
        <f t="shared" si="82"/>
        <v>0</v>
      </c>
      <c r="T221" s="176">
        <f t="shared" si="83"/>
        <v>6</v>
      </c>
      <c r="U221" s="250">
        <f t="shared" si="84"/>
        <v>0.28216775696683422</v>
      </c>
      <c r="V221" s="382">
        <f t="shared" si="85"/>
        <v>55.417089720559744</v>
      </c>
      <c r="W221" s="400">
        <f t="shared" si="86"/>
        <v>0</v>
      </c>
      <c r="X221" s="157">
        <f t="shared" si="87"/>
        <v>44768</v>
      </c>
      <c r="Y221" s="383">
        <f t="shared" si="88"/>
        <v>42.657611291430932</v>
      </c>
      <c r="Z221" s="383">
        <f t="shared" si="89"/>
        <v>43.727885242920536</v>
      </c>
      <c r="AA221" s="384">
        <f t="shared" si="90"/>
        <v>47.926529967464482</v>
      </c>
      <c r="AB221" s="197">
        <f t="shared" si="91"/>
        <v>44768</v>
      </c>
      <c r="AC221" s="119">
        <f>IF(OR(t&lt;Tnet,NoTnet),'2021'!Resal_s+('2021'!Salim-'2021'!Resal_s)*(1-EXP(('2021'!Tnet_s-t)/'2021'!Tau_j)),Resal_s+(Salim-Resal_s)*(1-EXP((Tnet_s-t)/Tau_j)))*Salcycl</f>
        <v>8.7605856868716483E-2</v>
      </c>
      <c r="AD221" s="230">
        <f>(INDEX(Models!$BJ221:$BT221,,AH221)*(1-AF221)+INDEX(Models!$BJ221:$BT221,,AH221+1)*AF221-ERP_i)*AE221*Ramure*Pc/MaxiM</f>
        <v>8.8922687666394035E-4</v>
      </c>
      <c r="AE221" s="304">
        <f t="shared" si="92"/>
        <v>0.7</v>
      </c>
      <c r="AF221" s="177">
        <f t="shared" si="93"/>
        <v>0.34649997922666637</v>
      </c>
      <c r="AG221" s="799">
        <f t="shared" si="99"/>
        <v>0</v>
      </c>
      <c r="AH221" s="176">
        <f t="shared" si="94"/>
        <v>6</v>
      </c>
      <c r="AI221" s="224">
        <f t="shared" si="95"/>
        <v>0.34649997922666637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44769</v>
      </c>
      <c r="B222" s="1147">
        <v>56.877000000000002</v>
      </c>
      <c r="C222" s="388"/>
      <c r="D222" s="391">
        <f t="shared" si="77"/>
        <v>58.305153980534058</v>
      </c>
      <c r="E222" s="383">
        <f t="shared" si="75"/>
        <v>59.034007066041148</v>
      </c>
      <c r="F222" s="383">
        <f t="shared" si="78"/>
        <v>59.086092502375415</v>
      </c>
      <c r="G222" s="110">
        <f t="shared" si="76"/>
        <v>1.0288727641708302</v>
      </c>
      <c r="H222" s="412" t="b">
        <f>Wh_hp&gt;='2021'!Maxi_hp</f>
        <v>1</v>
      </c>
      <c r="I222" s="379">
        <f>IF(H222,Wh_hp,'2021'!Maxi_hp)</f>
        <v>59.086092502375415</v>
      </c>
      <c r="J222" s="85">
        <f>IF(H222,An,'2021'!An_max)</f>
        <v>2022</v>
      </c>
      <c r="K222" s="197">
        <f t="shared" si="79"/>
        <v>44769</v>
      </c>
      <c r="L222" s="147">
        <f>IF(t&lt;Tvie,1-EXP((T0-t)*PertePVj)+'2021'!Pspv,1-EXP((T0-t)*PertePVj)+Pspv)</f>
        <v>2.4494472324193883E-2</v>
      </c>
      <c r="M222" s="832"/>
      <c r="N222" s="832"/>
      <c r="O222" s="48">
        <f>IF(t&lt;Tnet,'2021'!Resal+('2021'!Salim-'2021'!Resal)*(1-EXP(('2021'!Tnet-t)/('2021'!Tau_j))),Resal+(Salim-Resal)*(1-EXP((Tnet-t)/(Tau_j))))*Salcycl</f>
        <v>1.2346325816774133E-2</v>
      </c>
      <c r="P222" s="169">
        <f>(INDEX(Models!$BJ222:$BT222,,T222)*(1-R222)+INDEX(Models!$BJ222:$BT222,,T222+1)*R222-ERP_i)*Q222*Ramure*Pc/MaxiM</f>
        <v>8.8151769948533463E-4</v>
      </c>
      <c r="Q222" s="304">
        <f t="shared" si="80"/>
        <v>0.7</v>
      </c>
      <c r="R222" s="177">
        <f t="shared" si="81"/>
        <v>0.28401643017080691</v>
      </c>
      <c r="S222" s="799">
        <f t="shared" si="82"/>
        <v>0</v>
      </c>
      <c r="T222" s="176">
        <f t="shared" si="83"/>
        <v>6</v>
      </c>
      <c r="U222" s="250">
        <f t="shared" si="84"/>
        <v>0.28401643017080691</v>
      </c>
      <c r="V222" s="382">
        <f t="shared" si="85"/>
        <v>55.280887958811157</v>
      </c>
      <c r="W222" s="400">
        <f t="shared" si="86"/>
        <v>0</v>
      </c>
      <c r="X222" s="157">
        <f t="shared" si="87"/>
        <v>44769</v>
      </c>
      <c r="Y222" s="383">
        <f t="shared" si="88"/>
        <v>52.538669591738206</v>
      </c>
      <c r="Z222" s="383">
        <f t="shared" si="89"/>
        <v>53.85789019249782</v>
      </c>
      <c r="AA222" s="384">
        <f t="shared" si="90"/>
        <v>59.028393470269478</v>
      </c>
      <c r="AB222" s="197">
        <f t="shared" si="91"/>
        <v>44769</v>
      </c>
      <c r="AC222" s="119">
        <f>IF(OR(t&lt;Tnet,NoTnet),'2021'!Resal_s+('2021'!Salim-'2021'!Resal_s)*(1-EXP(('2021'!Tnet_s-t)/'2021'!Tau_j)),Resal_s+(Salim-Resal_s)*(1-EXP((Tnet_s-t)/Tau_j)))*Salcycl</f>
        <v>8.7593494821705711E-2</v>
      </c>
      <c r="AD222" s="230">
        <f>(INDEX(Models!$BJ222:$BT222,,AH222)*(1-AF222)+INDEX(Models!$BJ222:$BT222,,AH222+1)*AF222-ERP_i)*AE222*Ramure*Pc/MaxiM</f>
        <v>9.7652475671187696E-4</v>
      </c>
      <c r="AE222" s="304">
        <f t="shared" si="92"/>
        <v>0.7</v>
      </c>
      <c r="AF222" s="177">
        <f t="shared" si="93"/>
        <v>0.34834865243063906</v>
      </c>
      <c r="AG222" s="799">
        <f t="shared" si="99"/>
        <v>0</v>
      </c>
      <c r="AH222" s="176">
        <f t="shared" si="94"/>
        <v>6</v>
      </c>
      <c r="AI222" s="224">
        <f t="shared" si="95"/>
        <v>0.34834865243063906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44770</v>
      </c>
      <c r="B223" s="1147">
        <v>45.343000000000004</v>
      </c>
      <c r="C223" s="388"/>
      <c r="D223" s="391">
        <f t="shared" si="77"/>
        <v>46.482431640278925</v>
      </c>
      <c r="E223" s="383">
        <f t="shared" si="75"/>
        <v>47.066154176484893</v>
      </c>
      <c r="F223" s="383">
        <f t="shared" si="78"/>
        <v>47.100164993638501</v>
      </c>
      <c r="G223" s="110">
        <f t="shared" si="76"/>
        <v>0.82207208794772613</v>
      </c>
      <c r="H223" s="412" t="b">
        <f>Wh_hp&gt;='2021'!Maxi_hp</f>
        <v>0</v>
      </c>
      <c r="I223" s="379">
        <f>IF(H223,Wh_hp,'2021'!Maxi_hp)</f>
        <v>55.235892081296527</v>
      </c>
      <c r="J223" s="85">
        <f>IF(H223,An,'2021'!An_max)</f>
        <v>2020</v>
      </c>
      <c r="K223" s="197">
        <f t="shared" si="79"/>
        <v>44770</v>
      </c>
      <c r="L223" s="147">
        <f>IF(t&lt;Tvie,1-EXP((T0-t)*PertePVj)+'2021'!Pspv,1-EXP((T0-t)*PertePVj)+Pspv)</f>
        <v>2.4513167665083158E-2</v>
      </c>
      <c r="M223" s="832"/>
      <c r="N223" s="832"/>
      <c r="O223" s="48">
        <f>IF(t&lt;Tnet,'2021'!Resal+('2021'!Salim-'2021'!Resal)*(1-EXP(('2021'!Tnet-t)/('2021'!Tau_j))),Resal+(Salim-Resal)*(1-EXP((Tnet-t)/(Tau_j))))*Salcycl</f>
        <v>1.2402171930537833E-2</v>
      </c>
      <c r="P223" s="169">
        <f>(INDEX(Models!$BJ223:$BT223,,T223)*(1-R223)+INDEX(Models!$BJ223:$BT223,,T223+1)*R223-ERP_i)*Q223*Ramure*Pc/MaxiM</f>
        <v>9.6781875561941584E-4</v>
      </c>
      <c r="Q223" s="304">
        <f t="shared" si="80"/>
        <v>0.7</v>
      </c>
      <c r="R223" s="177">
        <f t="shared" si="81"/>
        <v>0.28580922968007211</v>
      </c>
      <c r="S223" s="799">
        <f t="shared" si="82"/>
        <v>0</v>
      </c>
      <c r="T223" s="176">
        <f t="shared" si="83"/>
        <v>6</v>
      </c>
      <c r="U223" s="250">
        <f t="shared" si="84"/>
        <v>0.28580922968007211</v>
      </c>
      <c r="V223" s="382">
        <f t="shared" si="85"/>
        <v>55.143400175859078</v>
      </c>
      <c r="W223" s="400">
        <f t="shared" si="86"/>
        <v>0</v>
      </c>
      <c r="X223" s="157">
        <f t="shared" si="87"/>
        <v>44770</v>
      </c>
      <c r="Y223" s="383">
        <f t="shared" si="88"/>
        <v>41.888204020226198</v>
      </c>
      <c r="Z223" s="383">
        <f t="shared" si="89"/>
        <v>42.94081952901707</v>
      </c>
      <c r="AA223" s="384">
        <f t="shared" si="90"/>
        <v>47.062599847324464</v>
      </c>
      <c r="AB223" s="197">
        <f t="shared" si="91"/>
        <v>44770</v>
      </c>
      <c r="AC223" s="119">
        <f>IF(OR(t&lt;Tnet,NoTnet),'2021'!Resal_s+('2021'!Salim-'2021'!Resal_s)*(1-EXP(('2021'!Tnet_s-t)/'2021'!Tau_j)),Resal_s+(Salim-Resal_s)*(1-EXP((Tnet_s-t)/Tau_j)))*Salcycl</f>
        <v>8.7580803688679251E-2</v>
      </c>
      <c r="AD223" s="230">
        <f>(INDEX(Models!$BJ223:$BT223,,AH223)*(1-AF223)+INDEX(Models!$BJ223:$BT223,,AH223+1)*AF223-ERP_i)*AE223*Ramure*Pc/MaxiM</f>
        <v>1.0689614717607073E-3</v>
      </c>
      <c r="AE223" s="304">
        <f t="shared" si="92"/>
        <v>0.7</v>
      </c>
      <c r="AF223" s="177">
        <f t="shared" si="93"/>
        <v>0.35014145193990426</v>
      </c>
      <c r="AG223" s="799">
        <f t="shared" si="99"/>
        <v>0</v>
      </c>
      <c r="AH223" s="176">
        <f t="shared" si="94"/>
        <v>6</v>
      </c>
      <c r="AI223" s="224">
        <f t="shared" si="95"/>
        <v>0.35014145193990426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44771</v>
      </c>
      <c r="B224" s="1147">
        <v>26.712</v>
      </c>
      <c r="C224" s="388"/>
      <c r="D224" s="391">
        <f t="shared" si="77"/>
        <v>27.383775007252918</v>
      </c>
      <c r="E224" s="383">
        <f t="shared" si="75"/>
        <v>27.72922351542077</v>
      </c>
      <c r="F224" s="383">
        <f t="shared" si="78"/>
        <v>27.737015382816715</v>
      </c>
      <c r="G224" s="110">
        <f t="shared" si="76"/>
        <v>0.4852528172505956</v>
      </c>
      <c r="H224" s="412" t="b">
        <f>Wh_hp&gt;='2021'!Maxi_hp</f>
        <v>0</v>
      </c>
      <c r="I224" s="379">
        <f>IF(H224,Wh_hp,'2021'!Maxi_hp)</f>
        <v>58.807397280234632</v>
      </c>
      <c r="J224" s="85">
        <f>IF(H224,An,'2021'!An_max)</f>
        <v>2018</v>
      </c>
      <c r="K224" s="197">
        <f t="shared" si="79"/>
        <v>44771</v>
      </c>
      <c r="L224" s="147">
        <f>IF(t&lt;Tvie,1-EXP((T0-t)*PertePVj)+'2021'!Pspv,1-EXP((T0-t)*PertePVj)+Pspv)</f>
        <v>2.4531862647680591E-2</v>
      </c>
      <c r="M224" s="832"/>
      <c r="N224" s="832"/>
      <c r="O224" s="48">
        <f>IF(t&lt;Tnet,'2021'!Resal+('2021'!Salim-'2021'!Resal)*(1-EXP(('2021'!Tnet-t)/('2021'!Tau_j))),Resal+(Salim-Resal)*(1-EXP((Tnet-t)/(Tau_j))))*Salcycl</f>
        <v>1.2457922162001501E-2</v>
      </c>
      <c r="P224" s="169">
        <f>(INDEX(Models!$BJ224:$BT224,,T224)*(1-R224)+INDEX(Models!$BJ224:$BT224,,T224+1)*R224-ERP_i)*Q224*Ramure*Pc/MaxiM</f>
        <v>1.059325673868972E-3</v>
      </c>
      <c r="Q224" s="304">
        <f t="shared" si="80"/>
        <v>0.7</v>
      </c>
      <c r="R224" s="177">
        <f t="shared" si="81"/>
        <v>0.28754720488329882</v>
      </c>
      <c r="S224" s="799">
        <f t="shared" si="82"/>
        <v>0</v>
      </c>
      <c r="T224" s="176">
        <f t="shared" si="83"/>
        <v>6</v>
      </c>
      <c r="U224" s="250">
        <f t="shared" si="84"/>
        <v>0.28754720488329882</v>
      </c>
      <c r="V224" s="382">
        <f t="shared" si="85"/>
        <v>55.004732423229868</v>
      </c>
      <c r="W224" s="400">
        <f t="shared" si="86"/>
        <v>0</v>
      </c>
      <c r="X224" s="157">
        <f t="shared" si="87"/>
        <v>44771</v>
      </c>
      <c r="Y224" s="383">
        <f t="shared" si="88"/>
        <v>24.679652687531231</v>
      </c>
      <c r="Z224" s="383">
        <f t="shared" si="89"/>
        <v>25.300316578784816</v>
      </c>
      <c r="AA224" s="384">
        <f t="shared" si="90"/>
        <v>27.72843480281248</v>
      </c>
      <c r="AB224" s="197">
        <f t="shared" si="91"/>
        <v>44771</v>
      </c>
      <c r="AC224" s="119">
        <f>IF(OR(t&lt;Tnet,NoTnet),'2021'!Resal_s+('2021'!Salim-'2021'!Resal_s)*(1-EXP(('2021'!Tnet_s-t)/'2021'!Tau_j)),Resal_s+(Salim-Resal_s)*(1-EXP((Tnet_s-t)/Tau_j)))*Salcycl</f>
        <v>8.7567806884699506E-2</v>
      </c>
      <c r="AD224" s="230">
        <f>(INDEX(Models!$BJ224:$BT224,,AH224)*(1-AF224)+INDEX(Models!$BJ224:$BT224,,AH224+1)*AF224-ERP_i)*AE224*Ramure*Pc/MaxiM</f>
        <v>1.1665533091471791E-3</v>
      </c>
      <c r="AE224" s="304">
        <f t="shared" si="92"/>
        <v>0.7</v>
      </c>
      <c r="AF224" s="177">
        <f t="shared" si="93"/>
        <v>0.35187942714313097</v>
      </c>
      <c r="AG224" s="799">
        <f t="shared" si="99"/>
        <v>0</v>
      </c>
      <c r="AH224" s="176">
        <f t="shared" si="94"/>
        <v>6</v>
      </c>
      <c r="AI224" s="224">
        <f t="shared" si="95"/>
        <v>0.35187942714313097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44772</v>
      </c>
      <c r="B225" s="1147">
        <v>44.335999999999999</v>
      </c>
      <c r="C225" s="388"/>
      <c r="D225" s="391">
        <f t="shared" si="77"/>
        <v>45.451868705780356</v>
      </c>
      <c r="E225" s="383">
        <f t="shared" si="75"/>
        <v>46.027841738002614</v>
      </c>
      <c r="F225" s="383">
        <f t="shared" si="78"/>
        <v>46.066497028255291</v>
      </c>
      <c r="G225" s="110">
        <f t="shared" si="76"/>
        <v>0.80783639899332993</v>
      </c>
      <c r="H225" s="412" t="b">
        <f>Wh_hp&gt;='2021'!Maxi_hp</f>
        <v>0</v>
      </c>
      <c r="I225" s="379">
        <f>IF(H225,Wh_hp,'2021'!Maxi_hp)</f>
        <v>48.678240079056877</v>
      </c>
      <c r="J225" s="85">
        <f>IF(H225,An,'2021'!An_max)</f>
        <v>2020</v>
      </c>
      <c r="K225" s="197">
        <f t="shared" si="79"/>
        <v>44772</v>
      </c>
      <c r="L225" s="147">
        <f>IF(t&lt;Tvie,1-EXP((T0-t)*PertePVj)+'2021'!Pspv,1-EXP((T0-t)*PertePVj)+Pspv)</f>
        <v>2.4550557271992846E-2</v>
      </c>
      <c r="M225" s="832"/>
      <c r="N225" s="832"/>
      <c r="O225" s="48">
        <f>IF(t&lt;Tnet,'2021'!Resal+('2021'!Salim-'2021'!Resal)*(1-EXP(('2021'!Tnet-t)/('2021'!Tau_j))),Resal+(Salim-Resal)*(1-EXP((Tnet-t)/(Tau_j))))*Salcycl</f>
        <v>1.25135789659828E-2</v>
      </c>
      <c r="P225" s="169">
        <f>(INDEX(Models!$BJ225:$BT225,,T225)*(1-R225)+INDEX(Models!$BJ225:$BT225,,T225+1)*R225-ERP_i)*Q225*Ramure*Pc/MaxiM</f>
        <v>1.1560558355933612E-3</v>
      </c>
      <c r="Q225" s="304">
        <f t="shared" si="80"/>
        <v>0.7</v>
      </c>
      <c r="R225" s="177">
        <f t="shared" si="81"/>
        <v>0.28923143172080479</v>
      </c>
      <c r="S225" s="799">
        <f t="shared" si="82"/>
        <v>0</v>
      </c>
      <c r="T225" s="176">
        <f t="shared" si="83"/>
        <v>6</v>
      </c>
      <c r="U225" s="250">
        <f t="shared" si="84"/>
        <v>0.28923143172080479</v>
      </c>
      <c r="V225" s="382">
        <f t="shared" si="85"/>
        <v>54.864990683036758</v>
      </c>
      <c r="W225" s="400">
        <f t="shared" si="86"/>
        <v>0</v>
      </c>
      <c r="X225" s="157">
        <f t="shared" si="87"/>
        <v>44772</v>
      </c>
      <c r="Y225" s="383">
        <f t="shared" si="88"/>
        <v>40.96345340518846</v>
      </c>
      <c r="Z225" s="383">
        <f t="shared" si="89"/>
        <v>41.994440317303713</v>
      </c>
      <c r="AA225" s="384">
        <f t="shared" si="90"/>
        <v>46.024054583971527</v>
      </c>
      <c r="AB225" s="197">
        <f t="shared" si="91"/>
        <v>44772</v>
      </c>
      <c r="AC225" s="119">
        <f>IF(OR(t&lt;Tnet,NoTnet),'2021'!Resal_s+('2021'!Salim-'2021'!Resal_s)*(1-EXP(('2021'!Tnet_s-t)/'2021'!Tau_j)),Resal_s+(Salim-Resal_s)*(1-EXP((Tnet_s-t)/Tau_j)))*Salcycl</f>
        <v>8.7554525629977453E-2</v>
      </c>
      <c r="AD225" s="230">
        <f>(INDEX(Models!$BJ225:$BT225,,AH225)*(1-AF225)+INDEX(Models!$BJ225:$BT225,,AH225+1)*AF225-ERP_i)*AE225*Ramure*Pc/MaxiM</f>
        <v>1.269317474279868E-3</v>
      </c>
      <c r="AE225" s="304">
        <f t="shared" si="92"/>
        <v>0.7</v>
      </c>
      <c r="AF225" s="177">
        <f t="shared" si="93"/>
        <v>0.35356365398063694</v>
      </c>
      <c r="AG225" s="799">
        <f t="shared" si="99"/>
        <v>0</v>
      </c>
      <c r="AH225" s="176">
        <f t="shared" si="94"/>
        <v>6</v>
      </c>
      <c r="AI225" s="224">
        <f t="shared" si="95"/>
        <v>0.35356365398063694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44773</v>
      </c>
      <c r="B226" s="1147">
        <v>55.506</v>
      </c>
      <c r="C226" s="388"/>
      <c r="D226" s="391">
        <f t="shared" si="77"/>
        <v>56.904090923440769</v>
      </c>
      <c r="E226" s="383">
        <f t="shared" si="75"/>
        <v>57.628431002293553</v>
      </c>
      <c r="F226" s="383">
        <f t="shared" si="78"/>
        <v>57.70083398193163</v>
      </c>
      <c r="G226" s="110">
        <f t="shared" si="76"/>
        <v>1.0142814071359794</v>
      </c>
      <c r="H226" s="412" t="b">
        <f>Wh_hp&gt;='2021'!Maxi_hp</f>
        <v>1</v>
      </c>
      <c r="I226" s="379">
        <f>IF(H226,Wh_hp,'2021'!Maxi_hp)</f>
        <v>57.70083398193163</v>
      </c>
      <c r="J226" s="85">
        <f>IF(H226,An,'2021'!An_max)</f>
        <v>2022</v>
      </c>
      <c r="K226" s="197">
        <f t="shared" si="79"/>
        <v>44773</v>
      </c>
      <c r="L226" s="147">
        <f>IF(t&lt;Tvie,1-EXP((T0-t)*PertePVj)+'2021'!Pspv,1-EXP((T0-t)*PertePVj)+Pspv)</f>
        <v>2.4569251538026915E-2</v>
      </c>
      <c r="M226" s="832"/>
      <c r="N226" s="832"/>
      <c r="O226" s="48">
        <f>IF(t&lt;Tnet,'2021'!Resal+('2021'!Salim-'2021'!Resal)*(1-EXP(('2021'!Tnet-t)/('2021'!Tau_j))),Resal+(Salim-Resal)*(1-EXP((Tnet-t)/(Tau_j))))*Salcycl</f>
        <v>1.2569144539506036E-2</v>
      </c>
      <c r="P226" s="169">
        <f>(INDEX(Models!$BJ226:$BT226,,T226)*(1-R226)+INDEX(Models!$BJ226:$BT226,,T226+1)*R226-ERP_i)*Q226*Ramure*Pc/MaxiM</f>
        <v>1.2547995347996085E-3</v>
      </c>
      <c r="Q226" s="304">
        <f t="shared" si="80"/>
        <v>0.7</v>
      </c>
      <c r="R226" s="177">
        <f t="shared" si="81"/>
        <v>0.29086300857318326</v>
      </c>
      <c r="S226" s="799">
        <f t="shared" si="82"/>
        <v>0</v>
      </c>
      <c r="T226" s="176">
        <f t="shared" si="83"/>
        <v>6</v>
      </c>
      <c r="U226" s="250">
        <f t="shared" si="84"/>
        <v>0.29086300857318326</v>
      </c>
      <c r="V226" s="382">
        <f t="shared" si="85"/>
        <v>54.724457738737399</v>
      </c>
      <c r="W226" s="400">
        <f t="shared" si="86"/>
        <v>0</v>
      </c>
      <c r="X226" s="157">
        <f t="shared" si="87"/>
        <v>44773</v>
      </c>
      <c r="Y226" s="383">
        <f t="shared" si="88"/>
        <v>51.285538821295646</v>
      </c>
      <c r="Z226" s="383">
        <f t="shared" si="89"/>
        <v>52.57732432790435</v>
      </c>
      <c r="AA226" s="384">
        <f t="shared" si="90"/>
        <v>57.621573260054021</v>
      </c>
      <c r="AB226" s="197">
        <f t="shared" si="91"/>
        <v>44773</v>
      </c>
      <c r="AC226" s="119">
        <f>IF(OR(t&lt;Tnet,NoTnet),'2021'!Resal_s+('2021'!Salim-'2021'!Resal_s)*(1-EXP(('2021'!Tnet_s-t)/'2021'!Tau_j)),Resal_s+(Salim-Resal_s)*(1-EXP((Tnet_s-t)/Tau_j)))*Salcycl</f>
        <v>8.7540978955647206E-2</v>
      </c>
      <c r="AD226" s="230">
        <f>(INDEX(Models!$BJ226:$BT226,,AH226)*(1-AF226)+INDEX(Models!$BJ226:$BT226,,AH226+1)*AF226-ERP_i)*AE226*Ramure*Pc/MaxiM</f>
        <v>1.3736495022312444E-3</v>
      </c>
      <c r="AE226" s="304">
        <f t="shared" si="92"/>
        <v>0.7</v>
      </c>
      <c r="AF226" s="177">
        <f t="shared" si="93"/>
        <v>0.35519523083301541</v>
      </c>
      <c r="AG226" s="799">
        <f t="shared" si="99"/>
        <v>0</v>
      </c>
      <c r="AH226" s="176">
        <f t="shared" si="94"/>
        <v>6</v>
      </c>
      <c r="AI226" s="224">
        <f t="shared" si="95"/>
        <v>0.35519523083301541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44774</v>
      </c>
      <c r="B227" s="1147">
        <v>55.161999999999999</v>
      </c>
      <c r="C227" s="388"/>
      <c r="D227" s="391">
        <f t="shared" si="77"/>
        <v>56.552510031476416</v>
      </c>
      <c r="E227" s="383">
        <f t="shared" si="75"/>
        <v>57.275592671048699</v>
      </c>
      <c r="F227" s="383">
        <f t="shared" si="78"/>
        <v>57.353171023524027</v>
      </c>
      <c r="G227" s="110">
        <f t="shared" si="76"/>
        <v>1.0106003214513373</v>
      </c>
      <c r="H227" s="412" t="b">
        <f>Wh_hp&gt;='2021'!Maxi_hp</f>
        <v>1</v>
      </c>
      <c r="I227" s="379">
        <f>IF(H227,Wh_hp,'2021'!Maxi_hp)</f>
        <v>57.353171023524027</v>
      </c>
      <c r="J227" s="85">
        <f>IF(H227,An,'2021'!An_max)</f>
        <v>2022</v>
      </c>
      <c r="K227" s="197">
        <f t="shared" si="79"/>
        <v>44774</v>
      </c>
      <c r="L227" s="147">
        <f>IF(t&lt;Tvie,1-EXP((T0-t)*PertePVj)+'2021'!Pspv,1-EXP((T0-t)*PertePVj)+Pspv)</f>
        <v>2.4587945445789683E-2</v>
      </c>
      <c r="M227" s="832"/>
      <c r="N227" s="832"/>
      <c r="O227" s="48">
        <f>IF(t&lt;Tnet,'2021'!Resal+('2021'!Salim-'2021'!Resal)*(1-EXP(('2021'!Tnet-t)/('2021'!Tau_j))),Resal+(Salim-Resal)*(1-EXP((Tnet-t)/(Tau_j))))*Salcycl</f>
        <v>1.2624620817547387E-2</v>
      </c>
      <c r="P227" s="169">
        <f>(INDEX(Models!$BJ227:$BT227,,T227)*(1-R227)+INDEX(Models!$BJ227:$BT227,,T227+1)*R227-ERP_i)*Q227*Ramure*Pc/MaxiM</f>
        <v>1.352642776168482E-3</v>
      </c>
      <c r="Q227" s="304">
        <f t="shared" si="80"/>
        <v>0.7</v>
      </c>
      <c r="R227" s="177">
        <f t="shared" si="81"/>
        <v>0.29244305235611862</v>
      </c>
      <c r="S227" s="799">
        <f t="shared" si="82"/>
        <v>0</v>
      </c>
      <c r="T227" s="176">
        <f t="shared" si="83"/>
        <v>6</v>
      </c>
      <c r="U227" s="250">
        <f t="shared" si="84"/>
        <v>0.29244305235611862</v>
      </c>
      <c r="V227" s="382">
        <f t="shared" si="85"/>
        <v>54.583398430727861</v>
      </c>
      <c r="W227" s="400">
        <f t="shared" si="86"/>
        <v>0</v>
      </c>
      <c r="X227" s="157">
        <f t="shared" si="87"/>
        <v>44774</v>
      </c>
      <c r="Y227" s="383">
        <f t="shared" si="88"/>
        <v>50.971070082255672</v>
      </c>
      <c r="Z227" s="383">
        <f t="shared" si="89"/>
        <v>52.255936190527017</v>
      </c>
      <c r="AA227" s="384">
        <f t="shared" si="90"/>
        <v>57.268485437006184</v>
      </c>
      <c r="AB227" s="197">
        <f t="shared" si="91"/>
        <v>44774</v>
      </c>
      <c r="AC227" s="119">
        <f>IF(OR(t&lt;Tnet,NoTnet),'2021'!Resal_s+('2021'!Salim-'2021'!Resal_s)*(1-EXP(('2021'!Tnet_s-t)/'2021'!Tau_j)),Resal_s+(Salim-Resal_s)*(1-EXP((Tnet_s-t)/Tau_j)))*Salcycl</f>
        <v>8.7527183724682933E-2</v>
      </c>
      <c r="AD227" s="230">
        <f>(INDEX(Models!$BJ227:$BT227,,AH227)*(1-AF227)+INDEX(Models!$BJ227:$BT227,,AH227+1)*AF227-ERP_i)*AE227*Ramure*Pc/MaxiM</f>
        <v>1.4765632833642101E-3</v>
      </c>
      <c r="AE227" s="304">
        <f t="shared" si="92"/>
        <v>0.7</v>
      </c>
      <c r="AF227" s="177">
        <f t="shared" si="93"/>
        <v>0.35677527461595077</v>
      </c>
      <c r="AG227" s="799">
        <f t="shared" si="99"/>
        <v>0</v>
      </c>
      <c r="AH227" s="176">
        <f t="shared" si="94"/>
        <v>6</v>
      </c>
      <c r="AI227" s="224">
        <f t="shared" si="95"/>
        <v>0.35677527461595077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44775</v>
      </c>
      <c r="B228" s="1147">
        <v>55.396999999999998</v>
      </c>
      <c r="C228" s="388"/>
      <c r="D228" s="391">
        <f t="shared" si="77"/>
        <v>56.794522307326204</v>
      </c>
      <c r="E228" s="383">
        <f t="shared" si="75"/>
        <v>57.523926236813757</v>
      </c>
      <c r="F228" s="383">
        <f t="shared" si="78"/>
        <v>57.607430014049775</v>
      </c>
      <c r="G228" s="110">
        <f t="shared" si="76"/>
        <v>1.0175430984044598</v>
      </c>
      <c r="H228" s="412" t="b">
        <f>Wh_hp&gt;='2021'!Maxi_hp</f>
        <v>1</v>
      </c>
      <c r="I228" s="379">
        <f>IF(H228,Wh_hp,'2021'!Maxi_hp)</f>
        <v>57.607430014049775</v>
      </c>
      <c r="J228" s="85">
        <f>IF(H228,An,'2021'!An_max)</f>
        <v>2022</v>
      </c>
      <c r="K228" s="197">
        <f t="shared" si="79"/>
        <v>44775</v>
      </c>
      <c r="L228" s="147">
        <f>IF(t&lt;Tvie,1-EXP((T0-t)*PertePVj)+'2021'!Pspv,1-EXP((T0-t)*PertePVj)+Pspv)</f>
        <v>2.4606638995288033E-2</v>
      </c>
      <c r="M228" s="832"/>
      <c r="N228" s="832"/>
      <c r="O228" s="48">
        <f>IF(t&lt;Tnet,'2021'!Resal+('2021'!Salim-'2021'!Resal)*(1-EXP(('2021'!Tnet-t)/('2021'!Tau_j))),Resal+(Salim-Resal)*(1-EXP((Tnet-t)/(Tau_j))))*Salcycl</f>
        <v>1.2680009470924408E-2</v>
      </c>
      <c r="P228" s="169">
        <f>(INDEX(Models!$BJ228:$BT228,,T228)*(1-R228)+INDEX(Models!$BJ228:$BT228,,T228+1)*R228-ERP_i)*Q228*Ramure*Pc/MaxiM</f>
        <v>1.4495313749571411E-3</v>
      </c>
      <c r="Q228" s="304">
        <f t="shared" si="80"/>
        <v>0.7</v>
      </c>
      <c r="R228" s="177">
        <f t="shared" si="81"/>
        <v>0.29397269482382804</v>
      </c>
      <c r="S228" s="799">
        <f t="shared" si="82"/>
        <v>0</v>
      </c>
      <c r="T228" s="176">
        <f t="shared" si="83"/>
        <v>6</v>
      </c>
      <c r="U228" s="250">
        <f t="shared" si="84"/>
        <v>0.29397269482382804</v>
      </c>
      <c r="V228" s="382">
        <f t="shared" si="85"/>
        <v>54.441920039420715</v>
      </c>
      <c r="W228" s="400">
        <f t="shared" si="86"/>
        <v>0</v>
      </c>
      <c r="X228" s="157">
        <f t="shared" si="87"/>
        <v>44775</v>
      </c>
      <c r="Y228" s="383">
        <f t="shared" si="88"/>
        <v>51.191640810808337</v>
      </c>
      <c r="Z228" s="383">
        <f t="shared" si="89"/>
        <v>52.483072837483704</v>
      </c>
      <c r="AA228" s="384">
        <f t="shared" si="90"/>
        <v>57.51652542270692</v>
      </c>
      <c r="AB228" s="197">
        <f t="shared" si="91"/>
        <v>44775</v>
      </c>
      <c r="AC228" s="119">
        <f>IF(OR(t&lt;Tnet,NoTnet),'2021'!Resal_s+('2021'!Salim-'2021'!Resal_s)*(1-EXP(('2021'!Tnet_s-t)/'2021'!Tau_j)),Resal_s+(Salim-Resal_s)*(1-EXP((Tnet_s-t)/Tau_j)))*Salcycl</f>
        <v>8.7513154666955292E-2</v>
      </c>
      <c r="AD228" s="230">
        <f>(INDEX(Models!$BJ228:$BT228,,AH228)*(1-AF228)+INDEX(Models!$BJ228:$BT228,,AH228+1)*AF228-ERP_i)*AE228*Ramure*Pc/MaxiM</f>
        <v>1.5780011592373606E-3</v>
      </c>
      <c r="AE228" s="304">
        <f t="shared" si="92"/>
        <v>0.7</v>
      </c>
      <c r="AF228" s="177">
        <f t="shared" si="93"/>
        <v>0.35830491708366019</v>
      </c>
      <c r="AG228" s="799">
        <f t="shared" si="99"/>
        <v>0</v>
      </c>
      <c r="AH228" s="176">
        <f t="shared" si="94"/>
        <v>6</v>
      </c>
      <c r="AI228" s="224">
        <f t="shared" si="95"/>
        <v>0.35830491708366019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44776</v>
      </c>
      <c r="B229" s="1147">
        <v>55.508000000000003</v>
      </c>
      <c r="C229" s="388"/>
      <c r="D229" s="391">
        <f t="shared" si="77"/>
        <v>56.909413204706311</v>
      </c>
      <c r="E229" s="383">
        <f t="shared" si="75"/>
        <v>57.643521429484366</v>
      </c>
      <c r="F229" s="383">
        <f t="shared" si="78"/>
        <v>57.732742346129783</v>
      </c>
      <c r="G229" s="110">
        <f t="shared" si="76"/>
        <v>1.0222443360490967</v>
      </c>
      <c r="H229" s="412" t="b">
        <f>Wh_hp&gt;='2021'!Maxi_hp</f>
        <v>1</v>
      </c>
      <c r="I229" s="379">
        <f>IF(H229,Wh_hp,'2021'!Maxi_hp)</f>
        <v>57.732742346129783</v>
      </c>
      <c r="J229" s="85">
        <f>IF(H229,An,'2021'!An_max)</f>
        <v>2022</v>
      </c>
      <c r="K229" s="197">
        <f t="shared" si="79"/>
        <v>44776</v>
      </c>
      <c r="L229" s="147">
        <f>IF(t&lt;Tvie,1-EXP((T0-t)*PertePVj)+'2021'!Pspv,1-EXP((T0-t)*PertePVj)+Pspv)</f>
        <v>2.4625332186528626E-2</v>
      </c>
      <c r="M229" s="832"/>
      <c r="N229" s="832"/>
      <c r="O229" s="48">
        <f>IF(t&lt;Tnet,'2021'!Resal+('2021'!Salim-'2021'!Resal)*(1-EXP(('2021'!Tnet-t)/('2021'!Tau_j))),Resal+(Salim-Resal)*(1-EXP((Tnet-t)/(Tau_j))))*Salcycl</f>
        <v>1.273531190623204E-2</v>
      </c>
      <c r="P229" s="169">
        <f>(INDEX(Models!$BJ229:$BT229,,T229)*(1-R229)+INDEX(Models!$BJ229:$BT229,,T229+1)*R229-ERP_i)*Q229*Ramure*Pc/MaxiM</f>
        <v>1.545412759201773E-3</v>
      </c>
      <c r="Q229" s="304">
        <f t="shared" si="80"/>
        <v>0.7</v>
      </c>
      <c r="R229" s="177">
        <f t="shared" si="81"/>
        <v>0.29545307908200641</v>
      </c>
      <c r="S229" s="799">
        <f t="shared" si="82"/>
        <v>0</v>
      </c>
      <c r="T229" s="176">
        <f t="shared" si="83"/>
        <v>6</v>
      </c>
      <c r="U229" s="250">
        <f t="shared" si="84"/>
        <v>0.29545307908200641</v>
      </c>
      <c r="V229" s="382">
        <f t="shared" si="85"/>
        <v>54.300129668152103</v>
      </c>
      <c r="W229" s="400">
        <f t="shared" si="86"/>
        <v>0</v>
      </c>
      <c r="X229" s="157">
        <f t="shared" si="87"/>
        <v>44776</v>
      </c>
      <c r="Y229" s="383">
        <f t="shared" si="88"/>
        <v>51.297681419395268</v>
      </c>
      <c r="Z229" s="383">
        <f t="shared" si="89"/>
        <v>52.59279650392287</v>
      </c>
      <c r="AA229" s="384">
        <f t="shared" si="90"/>
        <v>57.635872174942804</v>
      </c>
      <c r="AB229" s="197">
        <f t="shared" si="91"/>
        <v>44776</v>
      </c>
      <c r="AC229" s="119">
        <f>IF(OR(t&lt;Tnet,NoTnet),'2021'!Resal_s+('2021'!Salim-'2021'!Resal_s)*(1-EXP(('2021'!Tnet_s-t)/'2021'!Tau_j)),Resal_s+(Salim-Resal_s)*(1-EXP((Tnet_s-t)/Tau_j)))*Salcycl</f>
        <v>8.7498904427309232E-2</v>
      </c>
      <c r="AD229" s="230">
        <f>(INDEX(Models!$BJ229:$BT229,,AH229)*(1-AF229)+INDEX(Models!$BJ229:$BT229,,AH229+1)*AF229-ERP_i)*AE229*Ramure*Pc/MaxiM</f>
        <v>1.6779069770530765E-3</v>
      </c>
      <c r="AE229" s="304">
        <f t="shared" si="92"/>
        <v>0.7</v>
      </c>
      <c r="AF229" s="177">
        <f t="shared" si="93"/>
        <v>0.35978530134183856</v>
      </c>
      <c r="AG229" s="799">
        <f t="shared" si="99"/>
        <v>0</v>
      </c>
      <c r="AH229" s="176">
        <f t="shared" si="94"/>
        <v>6</v>
      </c>
      <c r="AI229" s="224">
        <f t="shared" si="95"/>
        <v>0.35978530134183856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44777</v>
      </c>
      <c r="B230" s="1147">
        <v>52.771999999999998</v>
      </c>
      <c r="C230" s="388"/>
      <c r="D230" s="391">
        <f t="shared" si="77"/>
        <v>54.105374195360888</v>
      </c>
      <c r="E230" s="383">
        <f t="shared" si="75"/>
        <v>54.806376761384314</v>
      </c>
      <c r="F230" s="383">
        <f t="shared" si="78"/>
        <v>54.893122368400128</v>
      </c>
      <c r="G230" s="110">
        <f t="shared" si="76"/>
        <v>0.97434726784127534</v>
      </c>
      <c r="H230" s="412" t="b">
        <f>Wh_hp&gt;='2021'!Maxi_hp</f>
        <v>0</v>
      </c>
      <c r="I230" s="379">
        <f>IF(H230,Wh_hp,'2021'!Maxi_hp)</f>
        <v>54.940621976631377</v>
      </c>
      <c r="J230" s="85">
        <f>IF(H230,An,'2021'!An_max)</f>
        <v>2018</v>
      </c>
      <c r="K230" s="197">
        <f t="shared" si="79"/>
        <v>44777</v>
      </c>
      <c r="L230" s="147">
        <f>IF(t&lt;Tvie,1-EXP((T0-t)*PertePVj)+'2021'!Pspv,1-EXP((T0-t)*PertePVj)+Pspv)</f>
        <v>2.4644025019518567E-2</v>
      </c>
      <c r="M230" s="832"/>
      <c r="N230" s="832"/>
      <c r="O230" s="48">
        <f>IF(t&lt;Tnet,'2021'!Resal+('2021'!Salim-'2021'!Resal)*(1-EXP(('2021'!Tnet-t)/('2021'!Tau_j))),Resal+(Salim-Resal)*(1-EXP((Tnet-t)/(Tau_j))))*Salcycl</f>
        <v>1.2790529267706251E-2</v>
      </c>
      <c r="P230" s="169">
        <f>(INDEX(Models!$BJ230:$BT230,,T230)*(1-R230)+INDEX(Models!$BJ230:$BT230,,T230+1)*R230-ERP_i)*Q230*Ramure*Pc/MaxiM</f>
        <v>1.6402358535876304E-3</v>
      </c>
      <c r="Q230" s="304">
        <f t="shared" si="80"/>
        <v>0.7</v>
      </c>
      <c r="R230" s="177">
        <f t="shared" si="81"/>
        <v>0.29688535630974788</v>
      </c>
      <c r="S230" s="799">
        <f t="shared" si="82"/>
        <v>0</v>
      </c>
      <c r="T230" s="176">
        <f t="shared" si="83"/>
        <v>6</v>
      </c>
      <c r="U230" s="250">
        <f t="shared" si="84"/>
        <v>0.29688535630974788</v>
      </c>
      <c r="V230" s="382">
        <f t="shared" si="85"/>
        <v>54.158134250868891</v>
      </c>
      <c r="W230" s="400">
        <f t="shared" si="86"/>
        <v>0</v>
      </c>
      <c r="X230" s="157">
        <f t="shared" si="87"/>
        <v>44777</v>
      </c>
      <c r="Y230" s="383">
        <f t="shared" si="88"/>
        <v>48.772781441118227</v>
      </c>
      <c r="Z230" s="383">
        <f t="shared" si="89"/>
        <v>50.005108588271327</v>
      </c>
      <c r="AA230" s="384">
        <f t="shared" si="90"/>
        <v>54.79918477986579</v>
      </c>
      <c r="AB230" s="197">
        <f t="shared" si="91"/>
        <v>44777</v>
      </c>
      <c r="AC230" s="119">
        <f>IF(OR(t&lt;Tnet,NoTnet),'2021'!Resal_s+('2021'!Salim-'2021'!Resal_s)*(1-EXP(('2021'!Tnet_s-t)/'2021'!Tau_j)),Resal_s+(Salim-Resal_s)*(1-EXP((Tnet_s-t)/Tau_j)))*Salcycl</f>
        <v>8.748444362544408E-2</v>
      </c>
      <c r="AD230" s="230">
        <f>(INDEX(Models!$BJ230:$BT230,,AH230)*(1-AF230)+INDEX(Models!$BJ230:$BT230,,AH230+1)*AF230-ERP_i)*AE230*Ramure*Pc/MaxiM</f>
        <v>1.7762259786306845E-3</v>
      </c>
      <c r="AE230" s="304">
        <f t="shared" si="92"/>
        <v>0.7</v>
      </c>
      <c r="AF230" s="177">
        <f t="shared" si="93"/>
        <v>0.36121757856958003</v>
      </c>
      <c r="AG230" s="799">
        <f t="shared" si="99"/>
        <v>0</v>
      </c>
      <c r="AH230" s="176">
        <f t="shared" si="94"/>
        <v>6</v>
      </c>
      <c r="AI230" s="224">
        <f t="shared" si="95"/>
        <v>0.36121757856958003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44778</v>
      </c>
      <c r="B231" s="1147">
        <v>42.609000000000002</v>
      </c>
      <c r="C231" s="388"/>
      <c r="D231" s="391">
        <f t="shared" si="77"/>
        <v>43.686425982336466</v>
      </c>
      <c r="E231" s="383">
        <f t="shared" si="75"/>
        <v>44.254909612571083</v>
      </c>
      <c r="F231" s="383">
        <f t="shared" si="78"/>
        <v>44.308560446797472</v>
      </c>
      <c r="G231" s="110">
        <f t="shared" si="76"/>
        <v>0.78840810153376861</v>
      </c>
      <c r="H231" s="412" t="b">
        <f>Wh_hp&gt;='2021'!Maxi_hp</f>
        <v>0</v>
      </c>
      <c r="I231" s="379">
        <f>IF(H231,Wh_hp,'2021'!Maxi_hp)</f>
        <v>53.590627988169963</v>
      </c>
      <c r="J231" s="85">
        <f>IF(H231,An,'2021'!An_max)</f>
        <v>2018</v>
      </c>
      <c r="K231" s="197">
        <f t="shared" si="79"/>
        <v>44778</v>
      </c>
      <c r="L231" s="147">
        <f>IF(t&lt;Tvie,1-EXP((T0-t)*PertePVj)+'2021'!Pspv,1-EXP((T0-t)*PertePVj)+Pspv)</f>
        <v>2.466271749426463E-2</v>
      </c>
      <c r="M231" s="832"/>
      <c r="N231" s="832"/>
      <c r="O231" s="48">
        <f>IF(t&lt;Tnet,'2021'!Resal+('2021'!Salim-'2021'!Resal)*(1-EXP(('2021'!Tnet-t)/('2021'!Tau_j))),Resal+(Salim-Resal)*(1-EXP((Tnet-t)/(Tau_j))))*Salcycl</f>
        <v>1.2845662440877197E-2</v>
      </c>
      <c r="P231" s="169">
        <f>(INDEX(Models!$BJ231:$BT231,,T231)*(1-R231)+INDEX(Models!$BJ231:$BT231,,T231+1)*R231-ERP_i)*Q231*Ramure*Pc/MaxiM</f>
        <v>1.7339509665061387E-3</v>
      </c>
      <c r="Q231" s="304">
        <f t="shared" si="80"/>
        <v>0.7</v>
      </c>
      <c r="R231" s="177">
        <f t="shared" si="81"/>
        <v>0.29827068268866175</v>
      </c>
      <c r="S231" s="799">
        <f t="shared" si="82"/>
        <v>0</v>
      </c>
      <c r="T231" s="176">
        <f t="shared" si="83"/>
        <v>6</v>
      </c>
      <c r="U231" s="250">
        <f t="shared" si="84"/>
        <v>0.29827068268866175</v>
      </c>
      <c r="V231" s="382">
        <f t="shared" si="85"/>
        <v>54.016040560434405</v>
      </c>
      <c r="W231" s="400">
        <f t="shared" si="86"/>
        <v>0</v>
      </c>
      <c r="X231" s="157">
        <f t="shared" si="87"/>
        <v>44778</v>
      </c>
      <c r="Y231" s="383">
        <f t="shared" si="88"/>
        <v>39.384138011878825</v>
      </c>
      <c r="Z231" s="383">
        <f t="shared" si="89"/>
        <v>40.380019013214778</v>
      </c>
      <c r="AA231" s="384">
        <f t="shared" si="90"/>
        <v>44.250610192617742</v>
      </c>
      <c r="AB231" s="197">
        <f t="shared" si="91"/>
        <v>44778</v>
      </c>
      <c r="AC231" s="119">
        <f>IF(OR(t&lt;Tnet,NoTnet),'2021'!Resal_s+('2021'!Salim-'2021'!Resal_s)*(1-EXP(('2021'!Tnet_s-t)/'2021'!Tau_j)),Resal_s+(Salim-Resal_s)*(1-EXP((Tnet_s-t)/Tau_j)))*Salcycl</f>
        <v>8.7469780926290708E-2</v>
      </c>
      <c r="AD231" s="230">
        <f>(INDEX(Models!$BJ231:$BT231,,AH231)*(1-AF231)+INDEX(Models!$BJ231:$BT231,,AH231+1)*AF231-ERP_i)*AE231*Ramure*Pc/MaxiM</f>
        <v>1.8729046937129028E-3</v>
      </c>
      <c r="AE231" s="304">
        <f t="shared" si="92"/>
        <v>0.7</v>
      </c>
      <c r="AF231" s="177">
        <f t="shared" si="93"/>
        <v>0.3626029049484939</v>
      </c>
      <c r="AG231" s="799">
        <f t="shared" si="99"/>
        <v>0</v>
      </c>
      <c r="AH231" s="176">
        <f t="shared" si="94"/>
        <v>6</v>
      </c>
      <c r="AI231" s="224">
        <f t="shared" si="95"/>
        <v>0.3626029049484939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44779</v>
      </c>
      <c r="B232" s="1147">
        <v>50.548999999999999</v>
      </c>
      <c r="C232" s="388"/>
      <c r="D232" s="391">
        <f t="shared" si="77"/>
        <v>51.828192857297125</v>
      </c>
      <c r="E232" s="383">
        <f t="shared" si="75"/>
        <v>52.50555186332474</v>
      </c>
      <c r="F232" s="383">
        <f t="shared" si="78"/>
        <v>52.593144206687228</v>
      </c>
      <c r="G232" s="110">
        <f t="shared" si="76"/>
        <v>0.93813134492350403</v>
      </c>
      <c r="H232" s="412" t="b">
        <f>Wh_hp&gt;='2021'!Maxi_hp</f>
        <v>0</v>
      </c>
      <c r="I232" s="379">
        <f>IF(H232,Wh_hp,'2021'!Maxi_hp)</f>
        <v>56.645072121276598</v>
      </c>
      <c r="J232" s="85">
        <f>IF(H232,An,'2021'!An_max)</f>
        <v>2020</v>
      </c>
      <c r="K232" s="197">
        <f t="shared" si="79"/>
        <v>44779</v>
      </c>
      <c r="L232" s="147">
        <f>IF(t&lt;Tvie,1-EXP((T0-t)*PertePVj)+'2021'!Pspv,1-EXP((T0-t)*PertePVj)+Pspv)</f>
        <v>2.4681409610773697E-2</v>
      </c>
      <c r="M232" s="832"/>
      <c r="N232" s="832"/>
      <c r="O232" s="48">
        <f>IF(t&lt;Tnet,'2021'!Resal+('2021'!Salim-'2021'!Resal)*(1-EXP(('2021'!Tnet-t)/('2021'!Tau_j))),Resal+(Salim-Resal)*(1-EXP((Tnet-t)/(Tau_j))))*Salcycl</f>
        <v>1.290071205785673E-2</v>
      </c>
      <c r="P232" s="169">
        <f>(INDEX(Models!$BJ232:$BT232,,T232)*(1-R232)+INDEX(Models!$BJ232:$BT232,,T232+1)*R232-ERP_i)*Q232*Ramure*Pc/MaxiM</f>
        <v>1.8265096811889312E-3</v>
      </c>
      <c r="Q232" s="304">
        <f t="shared" si="80"/>
        <v>0.7</v>
      </c>
      <c r="R232" s="177">
        <f t="shared" si="81"/>
        <v>0.29961021653628694</v>
      </c>
      <c r="S232" s="799">
        <f t="shared" si="82"/>
        <v>0</v>
      </c>
      <c r="T232" s="176">
        <f t="shared" si="83"/>
        <v>6</v>
      </c>
      <c r="U232" s="250">
        <f t="shared" si="84"/>
        <v>0.29961021653628694</v>
      </c>
      <c r="V232" s="382">
        <f t="shared" si="85"/>
        <v>53.873955215811662</v>
      </c>
      <c r="W232" s="400">
        <f t="shared" si="86"/>
        <v>0</v>
      </c>
      <c r="X232" s="157">
        <f t="shared" si="87"/>
        <v>44779</v>
      </c>
      <c r="Y232" s="383">
        <f t="shared" si="88"/>
        <v>46.725071195290568</v>
      </c>
      <c r="Z232" s="383">
        <f t="shared" si="89"/>
        <v>47.907495720597012</v>
      </c>
      <c r="AA232" s="384">
        <f t="shared" si="90"/>
        <v>52.498771769573814</v>
      </c>
      <c r="AB232" s="197">
        <f t="shared" si="91"/>
        <v>44779</v>
      </c>
      <c r="AC232" s="119">
        <f>IF(OR(t&lt;Tnet,NoTnet),'2021'!Resal_s+('2021'!Salim-'2021'!Resal_s)*(1-EXP(('2021'!Tnet_s-t)/'2021'!Tau_j)),Resal_s+(Salim-Resal_s)*(1-EXP((Tnet_s-t)/Tau_j)))*Salcycl</f>
        <v>8.7454923119510405E-2</v>
      </c>
      <c r="AD232" s="230">
        <f>(INDEX(Models!$BJ232:$BT232,,AH232)*(1-AF232)+INDEX(Models!$BJ232:$BT232,,AH232+1)*AF232-ERP_i)*AE232*Ramure*Pc/MaxiM</f>
        <v>1.967890838491494E-3</v>
      </c>
      <c r="AE232" s="304">
        <f t="shared" si="92"/>
        <v>0.7</v>
      </c>
      <c r="AF232" s="177">
        <f t="shared" si="93"/>
        <v>0.36394243879611909</v>
      </c>
      <c r="AG232" s="799">
        <f t="shared" si="99"/>
        <v>0</v>
      </c>
      <c r="AH232" s="176">
        <f t="shared" si="94"/>
        <v>6</v>
      </c>
      <c r="AI232" s="224">
        <f t="shared" si="95"/>
        <v>0.36394243879611909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44780</v>
      </c>
      <c r="B233" s="1147">
        <v>53.506</v>
      </c>
      <c r="C233" s="388"/>
      <c r="D233" s="391">
        <f t="shared" si="77"/>
        <v>54.861074091269458</v>
      </c>
      <c r="E233" s="383">
        <f t="shared" ref="E233:E296" si="100">Wh_pvt/(1-Psa)</f>
        <v>55.581165806338873</v>
      </c>
      <c r="F233" s="383">
        <f t="shared" si="78"/>
        <v>55.687322865809392</v>
      </c>
      <c r="G233" s="110">
        <f t="shared" ref="G233:G296" si="101">+Wh_hp/MaxiM</f>
        <v>0.99577495138774963</v>
      </c>
      <c r="H233" s="412" t="b">
        <f>Wh_hp&gt;='2021'!Maxi_hp</f>
        <v>1</v>
      </c>
      <c r="I233" s="379">
        <f>IF(H233,Wh_hp,'2021'!Maxi_hp)</f>
        <v>55.687322865809392</v>
      </c>
      <c r="J233" s="85">
        <f>IF(H233,An,'2021'!An_max)</f>
        <v>2022</v>
      </c>
      <c r="K233" s="197">
        <f t="shared" si="79"/>
        <v>44780</v>
      </c>
      <c r="L233" s="147">
        <f>IF(t&lt;Tvie,1-EXP((T0-t)*PertePVj)+'2021'!Pspv,1-EXP((T0-t)*PertePVj)+Pspv)</f>
        <v>2.4700101369052541E-2</v>
      </c>
      <c r="M233" s="832"/>
      <c r="N233" s="832"/>
      <c r="O233" s="48">
        <f>IF(t&lt;Tnet,'2021'!Resal+('2021'!Salim-'2021'!Resal)*(1-EXP(('2021'!Tnet-t)/('2021'!Tau_j))),Resal+(Salim-Resal)*(1-EXP((Tnet-t)/(Tau_j))))*Salcycl</f>
        <v>1.2955678504089419E-2</v>
      </c>
      <c r="P233" s="169">
        <f>(INDEX(Models!$BJ233:$BT233,,T233)*(1-R233)+INDEX(Models!$BJ233:$BT233,,T233+1)*R233-ERP_i)*Q233*Ramure*Pc/MaxiM</f>
        <v>1.9178498440401387E-3</v>
      </c>
      <c r="Q233" s="304">
        <f t="shared" si="80"/>
        <v>0.7</v>
      </c>
      <c r="R233" s="177">
        <f t="shared" si="81"/>
        <v>0.30090511563993783</v>
      </c>
      <c r="S233" s="799">
        <f t="shared" si="82"/>
        <v>0</v>
      </c>
      <c r="T233" s="176">
        <f t="shared" si="83"/>
        <v>6</v>
      </c>
      <c r="U233" s="250">
        <f t="shared" si="84"/>
        <v>0.30090511563993783</v>
      </c>
      <c r="V233" s="382">
        <f t="shared" si="85"/>
        <v>53.732403153197282</v>
      </c>
      <c r="W233" s="400">
        <f t="shared" si="86"/>
        <v>0</v>
      </c>
      <c r="X233" s="157">
        <f t="shared" si="87"/>
        <v>44780</v>
      </c>
      <c r="Y233" s="383">
        <f t="shared" si="88"/>
        <v>49.461279926980509</v>
      </c>
      <c r="Z233" s="383">
        <f t="shared" si="89"/>
        <v>50.713918863736716</v>
      </c>
      <c r="AA233" s="384">
        <f t="shared" si="90"/>
        <v>55.573235654168961</v>
      </c>
      <c r="AB233" s="197">
        <f t="shared" si="91"/>
        <v>44780</v>
      </c>
      <c r="AC233" s="119">
        <f>IF(OR(t&lt;Tnet,NoTnet),'2021'!Resal_s+('2021'!Salim-'2021'!Resal_s)*(1-EXP(('2021'!Tnet_s-t)/'2021'!Tau_j)),Resal_s+(Salim-Resal_s)*(1-EXP((Tnet_s-t)/Tau_j)))*Salcycl</f>
        <v>8.7439875206685322E-2</v>
      </c>
      <c r="AD233" s="230">
        <f>(INDEX(Models!$BJ233:$BT233,,AH233)*(1-AF233)+INDEX(Models!$BJ233:$BT233,,AH233+1)*AF233-ERP_i)*AE233*Ramure*Pc/MaxiM</f>
        <v>2.0611171988268893E-3</v>
      </c>
      <c r="AE233" s="304">
        <f t="shared" si="92"/>
        <v>0.7</v>
      </c>
      <c r="AF233" s="177">
        <f t="shared" si="93"/>
        <v>0.36523733789976998</v>
      </c>
      <c r="AG233" s="799">
        <f t="shared" si="99"/>
        <v>0</v>
      </c>
      <c r="AH233" s="176">
        <f t="shared" si="94"/>
        <v>6</v>
      </c>
      <c r="AI233" s="224">
        <f t="shared" si="95"/>
        <v>0.36523733789976998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44781</v>
      </c>
      <c r="B234" s="1147">
        <v>54.484000000000002</v>
      </c>
      <c r="C234" s="388"/>
      <c r="D234" s="391">
        <f t="shared" si="77"/>
        <v>55.864913212770695</v>
      </c>
      <c r="E234" s="383">
        <f t="shared" si="100"/>
        <v>56.601328299729886</v>
      </c>
      <c r="F234" s="383">
        <f t="shared" si="78"/>
        <v>56.714919727372141</v>
      </c>
      <c r="G234" s="110">
        <f t="shared" si="101"/>
        <v>1.0166461290976145</v>
      </c>
      <c r="H234" s="412" t="b">
        <f>Wh_hp&gt;='2021'!Maxi_hp</f>
        <v>1</v>
      </c>
      <c r="I234" s="379">
        <f>IF(H234,Wh_hp,'2021'!Maxi_hp)</f>
        <v>56.714919727372141</v>
      </c>
      <c r="J234" s="85">
        <f>IF(H234,An,'2021'!An_max)</f>
        <v>2022</v>
      </c>
      <c r="K234" s="197">
        <f t="shared" si="79"/>
        <v>44781</v>
      </c>
      <c r="L234" s="147">
        <f>IF(t&lt;Tvie,1-EXP((T0-t)*PertePVj)+'2021'!Pspv,1-EXP((T0-t)*PertePVj)+Pspv)</f>
        <v>2.4718792769108155E-2</v>
      </c>
      <c r="M234" s="832"/>
      <c r="N234" s="832"/>
      <c r="O234" s="48">
        <f>IF(t&lt;Tnet,'2021'!Resal+('2021'!Salim-'2021'!Resal)*(1-EXP(('2021'!Tnet-t)/('2021'!Tau_j))),Resal+(Salim-Resal)*(1-EXP((Tnet-t)/(Tau_j))))*Salcycl</f>
        <v>1.3010561926383406E-2</v>
      </c>
      <c r="P234" s="169">
        <f>(INDEX(Models!$BJ234:$BT234,,T234)*(1-R234)+INDEX(Models!$BJ234:$BT234,,T234+1)*R234-ERP_i)*Q234*Ramure*Pc/MaxiM</f>
        <v>2.002849130145843E-3</v>
      </c>
      <c r="Q234" s="304">
        <f t="shared" si="80"/>
        <v>0.7</v>
      </c>
      <c r="R234" s="177">
        <f t="shared" si="81"/>
        <v>0.30215653478627502</v>
      </c>
      <c r="S234" s="799">
        <f t="shared" si="82"/>
        <v>0</v>
      </c>
      <c r="T234" s="176">
        <f t="shared" si="83"/>
        <v>6</v>
      </c>
      <c r="U234" s="250">
        <f t="shared" si="84"/>
        <v>0.30215653478627502</v>
      </c>
      <c r="V234" s="382">
        <f t="shared" si="85"/>
        <v>53.591902276124877</v>
      </c>
      <c r="W234" s="400">
        <f t="shared" si="86"/>
        <v>0</v>
      </c>
      <c r="X234" s="157">
        <f t="shared" si="87"/>
        <v>44781</v>
      </c>
      <c r="Y234" s="383">
        <f t="shared" si="88"/>
        <v>50.368876270439067</v>
      </c>
      <c r="Z234" s="383">
        <f t="shared" si="89"/>
        <v>51.645490446238597</v>
      </c>
      <c r="AA234" s="384">
        <f t="shared" si="90"/>
        <v>56.593123963194827</v>
      </c>
      <c r="AB234" s="197">
        <f t="shared" si="91"/>
        <v>44781</v>
      </c>
      <c r="AC234" s="119">
        <f>IF(OR(t&lt;Tnet,NoTnet),'2021'!Resal_s+('2021'!Salim-'2021'!Resal_s)*(1-EXP(('2021'!Tnet_s-t)/'2021'!Tau_j)),Resal_s+(Salim-Resal_s)*(1-EXP((Tnet_s-t)/Tau_j)))*Salcycl</f>
        <v>8.7424640494734127E-2</v>
      </c>
      <c r="AD234" s="230">
        <f>(INDEX(Models!$BJ234:$BT234,,AH234)*(1-AF234)+INDEX(Models!$BJ234:$BT234,,AH234+1)*AF234-ERP_i)*AE234*Ramure*Pc/MaxiM</f>
        <v>2.147508358696129E-3</v>
      </c>
      <c r="AE234" s="304">
        <f t="shared" si="92"/>
        <v>0.7</v>
      </c>
      <c r="AF234" s="177">
        <f t="shared" si="93"/>
        <v>0.36648875704610717</v>
      </c>
      <c r="AG234" s="799">
        <f t="shared" si="99"/>
        <v>0</v>
      </c>
      <c r="AH234" s="176">
        <f t="shared" si="94"/>
        <v>6</v>
      </c>
      <c r="AI234" s="224">
        <f t="shared" si="95"/>
        <v>0.36648875704610717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44782</v>
      </c>
      <c r="B235" s="1147">
        <v>52.707999999999998</v>
      </c>
      <c r="C235" s="388"/>
      <c r="D235" s="391">
        <f t="shared" si="77"/>
        <v>54.044935722499005</v>
      </c>
      <c r="E235" s="383">
        <f t="shared" si="100"/>
        <v>54.760400187466594</v>
      </c>
      <c r="F235" s="383">
        <f t="shared" si="78"/>
        <v>54.872249146230203</v>
      </c>
      <c r="G235" s="110">
        <f t="shared" si="101"/>
        <v>0.98603581017666986</v>
      </c>
      <c r="H235" s="412" t="b">
        <f>Wh_hp&gt;='2021'!Maxi_hp</f>
        <v>0</v>
      </c>
      <c r="I235" s="379">
        <f>IF(H235,Wh_hp,'2021'!Maxi_hp)</f>
        <v>54.928479355291955</v>
      </c>
      <c r="J235" s="85">
        <f>IF(H235,An,'2021'!An_max)</f>
        <v>2018</v>
      </c>
      <c r="K235" s="197">
        <f t="shared" si="79"/>
        <v>44782</v>
      </c>
      <c r="L235" s="147">
        <f>IF(t&lt;Tvie,1-EXP((T0-t)*PertePVj)+'2021'!Pspv,1-EXP((T0-t)*PertePVj)+Pspv)</f>
        <v>2.4737483810947314E-2</v>
      </c>
      <c r="M235" s="832"/>
      <c r="N235" s="832"/>
      <c r="O235" s="48">
        <f>IF(t&lt;Tnet,'2021'!Resal+('2021'!Salim-'2021'!Resal)*(1-EXP(('2021'!Tnet-t)/('2021'!Tau_j))),Resal+(Salim-Resal)*(1-EXP((Tnet-t)/(Tau_j))))*Salcycl</f>
        <v>1.3065362242026439E-2</v>
      </c>
      <c r="P235" s="169">
        <f>(INDEX(Models!$BJ235:$BT235,,T235)*(1-R235)+INDEX(Models!$BJ235:$BT235,,T235+1)*R235-ERP_i)*Q235*Ramure*Pc/MaxiM</f>
        <v>2.0797185398732389E-3</v>
      </c>
      <c r="Q235" s="304">
        <f t="shared" si="80"/>
        <v>0.7</v>
      </c>
      <c r="R235" s="177">
        <f t="shared" si="81"/>
        <v>0.30336562348117768</v>
      </c>
      <c r="S235" s="799">
        <f t="shared" si="82"/>
        <v>0</v>
      </c>
      <c r="T235" s="176">
        <f t="shared" si="83"/>
        <v>6</v>
      </c>
      <c r="U235" s="250">
        <f t="shared" si="84"/>
        <v>0.30336562348117768</v>
      </c>
      <c r="V235" s="382">
        <f t="shared" si="85"/>
        <v>53.452232317559002</v>
      </c>
      <c r="W235" s="400">
        <f t="shared" si="86"/>
        <v>0</v>
      </c>
      <c r="X235" s="157">
        <f t="shared" si="87"/>
        <v>44782</v>
      </c>
      <c r="Y235" s="383">
        <f t="shared" si="88"/>
        <v>48.730635012830234</v>
      </c>
      <c r="Z235" s="383">
        <f t="shared" si="89"/>
        <v>49.966685075984095</v>
      </c>
      <c r="AA235" s="384">
        <f t="shared" si="90"/>
        <v>54.752564028738007</v>
      </c>
      <c r="AB235" s="197">
        <f t="shared" si="91"/>
        <v>44782</v>
      </c>
      <c r="AC235" s="119">
        <f>IF(OR(t&lt;Tnet,NoTnet),'2021'!Resal_s+('2021'!Salim-'2021'!Resal_s)*(1-EXP(('2021'!Tnet_s-t)/'2021'!Tau_j)),Resal_s+(Salim-Resal_s)*(1-EXP((Tnet_s-t)/Tau_j)))*Salcycl</f>
        <v>8.7409220694065592E-2</v>
      </c>
      <c r="AD235" s="230">
        <f>(INDEX(Models!$BJ235:$BT235,,AH235)*(1-AF235)+INDEX(Models!$BJ235:$BT235,,AH235+1)*AF235-ERP_i)*AE235*Ramure*Pc/MaxiM</f>
        <v>2.2254240052560241E-3</v>
      </c>
      <c r="AE235" s="304">
        <f t="shared" si="92"/>
        <v>0.7</v>
      </c>
      <c r="AF235" s="177">
        <f t="shared" si="93"/>
        <v>0.36769784574100983</v>
      </c>
      <c r="AG235" s="799">
        <f t="shared" si="99"/>
        <v>0</v>
      </c>
      <c r="AH235" s="176">
        <f t="shared" si="94"/>
        <v>6</v>
      </c>
      <c r="AI235" s="224">
        <f t="shared" si="95"/>
        <v>0.36769784574100983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44783</v>
      </c>
      <c r="B236" s="1147">
        <v>51.256999999999998</v>
      </c>
      <c r="C236" s="388"/>
      <c r="D236" s="391">
        <f t="shared" si="77"/>
        <v>52.558138446491476</v>
      </c>
      <c r="E236" s="383">
        <f t="shared" si="100"/>
        <v>53.256872833280866</v>
      </c>
      <c r="F236" s="383">
        <f t="shared" si="78"/>
        <v>53.365205787332016</v>
      </c>
      <c r="G236" s="110">
        <f t="shared" si="101"/>
        <v>0.96131982176099773</v>
      </c>
      <c r="H236" s="412" t="b">
        <f>Wh_hp&gt;='2021'!Maxi_hp</f>
        <v>1</v>
      </c>
      <c r="I236" s="379">
        <f>IF(H236,Wh_hp,'2021'!Maxi_hp)</f>
        <v>53.365205787332016</v>
      </c>
      <c r="J236" s="85">
        <f>IF(H236,An,'2021'!An_max)</f>
        <v>2022</v>
      </c>
      <c r="K236" s="197">
        <f t="shared" si="79"/>
        <v>44783</v>
      </c>
      <c r="L236" s="147">
        <f>IF(t&lt;Tvie,1-EXP((T0-t)*PertePVj)+'2021'!Pspv,1-EXP((T0-t)*PertePVj)+Pspv)</f>
        <v>2.475617449457701E-2</v>
      </c>
      <c r="M236" s="832"/>
      <c r="N236" s="832"/>
      <c r="O236" s="48">
        <f>IF(t&lt;Tnet,'2021'!Resal+('2021'!Salim-'2021'!Resal)*(1-EXP(('2021'!Tnet-t)/('2021'!Tau_j))),Resal+(Salim-Resal)*(1-EXP((Tnet-t)/(Tau_j))))*Salcycl</f>
        <v>1.3120079148784453E-2</v>
      </c>
      <c r="P236" s="169">
        <f>(INDEX(Models!$BJ236:$BT236,,T236)*(1-R236)+INDEX(Models!$BJ236:$BT236,,T236+1)*R236-ERP_i)*Q236*Ramure*Pc/MaxiM</f>
        <v>2.1483944330375803E-3</v>
      </c>
      <c r="Q236" s="304">
        <f t="shared" si="80"/>
        <v>0.7</v>
      </c>
      <c r="R236" s="177">
        <f t="shared" si="81"/>
        <v>0.30453352385389543</v>
      </c>
      <c r="S236" s="799">
        <f t="shared" si="82"/>
        <v>0</v>
      </c>
      <c r="T236" s="176">
        <f t="shared" si="83"/>
        <v>6</v>
      </c>
      <c r="U236" s="250">
        <f t="shared" si="84"/>
        <v>0.30453352385389543</v>
      </c>
      <c r="V236" s="382">
        <f t="shared" si="85"/>
        <v>53.313080078816427</v>
      </c>
      <c r="W236" s="400">
        <f t="shared" si="86"/>
        <v>0</v>
      </c>
      <c r="X236" s="157">
        <f t="shared" si="87"/>
        <v>44783</v>
      </c>
      <c r="Y236" s="383">
        <f t="shared" si="88"/>
        <v>47.392778140265222</v>
      </c>
      <c r="Z236" s="383">
        <f t="shared" si="89"/>
        <v>48.595824860212545</v>
      </c>
      <c r="AA236" s="384">
        <f t="shared" si="90"/>
        <v>53.249490375334169</v>
      </c>
      <c r="AB236" s="197">
        <f t="shared" si="91"/>
        <v>44783</v>
      </c>
      <c r="AC236" s="119">
        <f>IF(OR(t&lt;Tnet,NoTnet),'2021'!Resal_s+('2021'!Salim-'2021'!Resal_s)*(1-EXP(('2021'!Tnet_s-t)/'2021'!Tau_j)),Resal_s+(Salim-Resal_s)*(1-EXP((Tnet_s-t)/Tau_j)))*Salcycl</f>
        <v>8.7393616019980927E-2</v>
      </c>
      <c r="AD236" s="230">
        <f>(INDEX(Models!$BJ236:$BT236,,AH236)*(1-AF236)+INDEX(Models!$BJ236:$BT236,,AH236+1)*AF236-ERP_i)*AE236*Ramure*Pc/MaxiM</f>
        <v>2.2947989291923136E-3</v>
      </c>
      <c r="AE236" s="304">
        <f t="shared" si="92"/>
        <v>0.7</v>
      </c>
      <c r="AF236" s="177">
        <f t="shared" si="93"/>
        <v>0.36886574611372758</v>
      </c>
      <c r="AG236" s="799">
        <f t="shared" si="99"/>
        <v>0</v>
      </c>
      <c r="AH236" s="176">
        <f t="shared" si="94"/>
        <v>6</v>
      </c>
      <c r="AI236" s="224">
        <f t="shared" si="95"/>
        <v>0.36886574611372758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44784</v>
      </c>
      <c r="B237" s="1147">
        <v>49.054000000000002</v>
      </c>
      <c r="C237" s="388"/>
      <c r="D237" s="391">
        <f t="shared" si="77"/>
        <v>50.300180163984564</v>
      </c>
      <c r="E237" s="383">
        <f t="shared" si="100"/>
        <v>50.971717874030617</v>
      </c>
      <c r="F237" s="383">
        <f t="shared" si="78"/>
        <v>51.072039663378177</v>
      </c>
      <c r="G237" s="110">
        <f t="shared" si="101"/>
        <v>0.92229023134305765</v>
      </c>
      <c r="H237" s="412" t="b">
        <f>Wh_hp&gt;='2021'!Maxi_hp</f>
        <v>0</v>
      </c>
      <c r="I237" s="379">
        <f>IF(H237,Wh_hp,'2021'!Maxi_hp)</f>
        <v>51.137114320029383</v>
      </c>
      <c r="J237" s="85">
        <f>IF(H237,An,'2021'!An_max)</f>
        <v>2021</v>
      </c>
      <c r="K237" s="197">
        <f t="shared" si="79"/>
        <v>44784</v>
      </c>
      <c r="L237" s="147">
        <f>IF(t&lt;Tvie,1-EXP((T0-t)*PertePVj)+'2021'!Pspv,1-EXP((T0-t)*PertePVj)+Pspv)</f>
        <v>2.4774864820003906E-2</v>
      </c>
      <c r="M237" s="832"/>
      <c r="N237" s="832"/>
      <c r="O237" s="48">
        <f>IF(t&lt;Tnet,'2021'!Resal+('2021'!Salim-'2021'!Resal)*(1-EXP(('2021'!Tnet-t)/('2021'!Tau_j))),Resal+(Salim-Resal)*(1-EXP((Tnet-t)/(Tau_j))))*Salcycl</f>
        <v>1.3174712135574166E-2</v>
      </c>
      <c r="P237" s="169">
        <f>(INDEX(Models!$BJ237:$BT237,,T237)*(1-R237)+INDEX(Models!$BJ237:$BT237,,T237+1)*R237-ERP_i)*Q237*Ramure*Pc/MaxiM</f>
        <v>2.2088154453495669E-3</v>
      </c>
      <c r="Q237" s="304">
        <f t="shared" si="80"/>
        <v>0.7</v>
      </c>
      <c r="R237" s="177">
        <f t="shared" si="81"/>
        <v>0.30566136873896943</v>
      </c>
      <c r="S237" s="799">
        <f t="shared" si="82"/>
        <v>0</v>
      </c>
      <c r="T237" s="176">
        <f t="shared" si="83"/>
        <v>6</v>
      </c>
      <c r="U237" s="250">
        <f t="shared" si="84"/>
        <v>0.30566136873896943</v>
      </c>
      <c r="V237" s="382">
        <f t="shared" si="85"/>
        <v>53.174132404615079</v>
      </c>
      <c r="W237" s="400">
        <f t="shared" si="86"/>
        <v>0</v>
      </c>
      <c r="X237" s="157">
        <f t="shared" si="87"/>
        <v>44784</v>
      </c>
      <c r="Y237" s="383">
        <f t="shared" si="88"/>
        <v>45.359512523643808</v>
      </c>
      <c r="Z237" s="383">
        <f t="shared" si="89"/>
        <v>46.511836997794212</v>
      </c>
      <c r="AA237" s="384">
        <f t="shared" si="90"/>
        <v>50.965052446673447</v>
      </c>
      <c r="AB237" s="197">
        <f t="shared" si="91"/>
        <v>44784</v>
      </c>
      <c r="AC237" s="119">
        <f>IF(OR(t&lt;Tnet,NoTnet),'2021'!Resal_s+('2021'!Salim-'2021'!Resal_s)*(1-EXP(('2021'!Tnet_s-t)/'2021'!Tau_j)),Resal_s+(Salim-Resal_s)*(1-EXP((Tnet_s-t)/Tau_j)))*Salcycl</f>
        <v>8.7377825295849365E-2</v>
      </c>
      <c r="AD237" s="230">
        <f>(INDEX(Models!$BJ237:$BT237,,AH237)*(1-AF237)+INDEX(Models!$BJ237:$BT237,,AH237+1)*AF237-ERP_i)*AE237*Ramure*Pc/MaxiM</f>
        <v>2.3555701931678467E-3</v>
      </c>
      <c r="AE237" s="304">
        <f t="shared" si="92"/>
        <v>0.7</v>
      </c>
      <c r="AF237" s="177">
        <f t="shared" si="93"/>
        <v>0.36999359099880158</v>
      </c>
      <c r="AG237" s="799">
        <f t="shared" si="99"/>
        <v>0</v>
      </c>
      <c r="AH237" s="176">
        <f t="shared" si="94"/>
        <v>6</v>
      </c>
      <c r="AI237" s="224">
        <f t="shared" si="95"/>
        <v>0.36999359099880158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44785</v>
      </c>
      <c r="B238" s="1147">
        <v>49.492000000000004</v>
      </c>
      <c r="C238" s="388"/>
      <c r="D238" s="391">
        <f t="shared" si="77"/>
        <v>50.750279843774123</v>
      </c>
      <c r="E238" s="383">
        <f t="shared" si="100"/>
        <v>51.430669568860758</v>
      </c>
      <c r="F238" s="383">
        <f t="shared" si="78"/>
        <v>51.536068308654343</v>
      </c>
      <c r="G238" s="110">
        <f t="shared" si="101"/>
        <v>0.93299194509164673</v>
      </c>
      <c r="H238" s="412" t="b">
        <f>Wh_hp&gt;='2021'!Maxi_hp</f>
        <v>1</v>
      </c>
      <c r="I238" s="379">
        <f>IF(H238,Wh_hp,'2021'!Maxi_hp)</f>
        <v>51.536068308654343</v>
      </c>
      <c r="J238" s="85">
        <f>IF(H238,An,'2021'!An_max)</f>
        <v>2022</v>
      </c>
      <c r="K238" s="197">
        <f t="shared" si="79"/>
        <v>44785</v>
      </c>
      <c r="L238" s="147">
        <f>IF(t&lt;Tvie,1-EXP((T0-t)*PertePVj)+'2021'!Pspv,1-EXP((T0-t)*PertePVj)+Pspv)</f>
        <v>2.4793554787234995E-2</v>
      </c>
      <c r="M238" s="832"/>
      <c r="N238" s="832"/>
      <c r="O238" s="48">
        <f>IF(t&lt;Tnet,'2021'!Resal+('2021'!Salim-'2021'!Resal)*(1-EXP(('2021'!Tnet-t)/('2021'!Tau_j))),Resal+(Salim-Resal)*(1-EXP((Tnet-t)/(Tau_j))))*Salcycl</f>
        <v>1.3229260493598344E-2</v>
      </c>
      <c r="P238" s="169">
        <f>(INDEX(Models!$BJ238:$BT238,,T238)*(1-R238)+INDEX(Models!$BJ238:$BT238,,T238+1)*R238-ERP_i)*Q238*Ramure*Pc/MaxiM</f>
        <v>2.2609219839171061E-3</v>
      </c>
      <c r="Q238" s="304">
        <f t="shared" si="80"/>
        <v>0.7</v>
      </c>
      <c r="R238" s="177">
        <f t="shared" si="81"/>
        <v>0.30675027992902226</v>
      </c>
      <c r="S238" s="799">
        <f t="shared" si="82"/>
        <v>0</v>
      </c>
      <c r="T238" s="176">
        <f t="shared" si="83"/>
        <v>6</v>
      </c>
      <c r="U238" s="250">
        <f t="shared" si="84"/>
        <v>0.30675027992902226</v>
      </c>
      <c r="V238" s="382">
        <f t="shared" si="85"/>
        <v>53.035076184288826</v>
      </c>
      <c r="W238" s="400">
        <f t="shared" si="86"/>
        <v>0</v>
      </c>
      <c r="X238" s="157">
        <f t="shared" si="87"/>
        <v>44785</v>
      </c>
      <c r="Y238" s="383">
        <f t="shared" si="88"/>
        <v>45.767752717461242</v>
      </c>
      <c r="Z238" s="383">
        <f t="shared" si="89"/>
        <v>46.931347656829622</v>
      </c>
      <c r="AA238" s="384">
        <f t="shared" si="90"/>
        <v>51.423828221563618</v>
      </c>
      <c r="AB238" s="197">
        <f t="shared" si="91"/>
        <v>44785</v>
      </c>
      <c r="AC238" s="119">
        <f>IF(OR(t&lt;Tnet,NoTnet),'2021'!Resal_s+('2021'!Salim-'2021'!Resal_s)*(1-EXP(('2021'!Tnet_s-t)/'2021'!Tau_j)),Resal_s+(Salim-Resal_s)*(1-EXP((Tnet_s-t)/Tau_j)))*Salcycl</f>
        <v>8.7361846056613859E-2</v>
      </c>
      <c r="AD238" s="230">
        <f>(INDEX(Models!$BJ238:$BT238,,AH238)*(1-AF238)+INDEX(Models!$BJ238:$BT238,,AH238+1)*AF238-ERP_i)*AE238*Ramure*Pc/MaxiM</f>
        <v>2.4076766086308151E-3</v>
      </c>
      <c r="AE238" s="304">
        <f t="shared" si="92"/>
        <v>0.7</v>
      </c>
      <c r="AF238" s="177">
        <f t="shared" si="93"/>
        <v>0.37108250218885441</v>
      </c>
      <c r="AG238" s="799">
        <f t="shared" si="99"/>
        <v>0</v>
      </c>
      <c r="AH238" s="176">
        <f t="shared" si="94"/>
        <v>6</v>
      </c>
      <c r="AI238" s="224">
        <f t="shared" si="95"/>
        <v>0.37108250218885441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44786</v>
      </c>
      <c r="B239" s="1147">
        <v>37.195999999999998</v>
      </c>
      <c r="C239" s="388"/>
      <c r="D239" s="391">
        <f t="shared" si="77"/>
        <v>38.142398513784208</v>
      </c>
      <c r="E239" s="383">
        <f t="shared" si="100"/>
        <v>38.655892697362475</v>
      </c>
      <c r="F239" s="383">
        <f t="shared" si="78"/>
        <v>38.707275451828949</v>
      </c>
      <c r="G239" s="110">
        <f t="shared" si="101"/>
        <v>0.70250844023247072</v>
      </c>
      <c r="H239" s="412" t="b">
        <f>Wh_hp&gt;='2021'!Maxi_hp</f>
        <v>0</v>
      </c>
      <c r="I239" s="379">
        <f>IF(H239,Wh_hp,'2021'!Maxi_hp)</f>
        <v>44.585045141201746</v>
      </c>
      <c r="J239" s="85">
        <f>IF(H239,An,'2021'!An_max)</f>
        <v>2018</v>
      </c>
      <c r="K239" s="197">
        <f t="shared" si="79"/>
        <v>44786</v>
      </c>
      <c r="L239" s="147">
        <f>IF(t&lt;Tvie,1-EXP((T0-t)*PertePVj)+'2021'!Pspv,1-EXP((T0-t)*PertePVj)+Pspv)</f>
        <v>2.4812244396277161E-2</v>
      </c>
      <c r="M239" s="832"/>
      <c r="N239" s="832"/>
      <c r="O239" s="48">
        <f>IF(t&lt;Tnet,'2021'!Resal+('2021'!Salim-'2021'!Resal)*(1-EXP(('2021'!Tnet-t)/('2021'!Tau_j))),Resal+(Salim-Resal)*(1-EXP((Tnet-t)/(Tau_j))))*Salcycl</f>
        <v>1.3283723327732155E-2</v>
      </c>
      <c r="P239" s="169">
        <f>(INDEX(Models!$BJ239:$BT239,,T239)*(1-R239)+INDEX(Models!$BJ239:$BT239,,T239+1)*R239-ERP_i)*Q239*Ramure*Pc/MaxiM</f>
        <v>2.3046557193535733E-3</v>
      </c>
      <c r="Q239" s="304">
        <f t="shared" si="80"/>
        <v>0.7</v>
      </c>
      <c r="R239" s="177">
        <f t="shared" si="81"/>
        <v>0.30780136659121715</v>
      </c>
      <c r="S239" s="799">
        <f t="shared" si="82"/>
        <v>0</v>
      </c>
      <c r="T239" s="176">
        <f t="shared" si="83"/>
        <v>6</v>
      </c>
      <c r="U239" s="250">
        <f t="shared" si="84"/>
        <v>0.30780136659121715</v>
      </c>
      <c r="V239" s="382">
        <f t="shared" si="85"/>
        <v>52.895598351385964</v>
      </c>
      <c r="W239" s="400">
        <f t="shared" si="86"/>
        <v>0</v>
      </c>
      <c r="X239" s="157">
        <f t="shared" si="87"/>
        <v>44786</v>
      </c>
      <c r="Y239" s="383">
        <f t="shared" si="88"/>
        <v>34.401199841565557</v>
      </c>
      <c r="Z239" s="383">
        <f t="shared" si="89"/>
        <v>35.276488700648557</v>
      </c>
      <c r="AA239" s="384">
        <f t="shared" si="90"/>
        <v>38.652628624937179</v>
      </c>
      <c r="AB239" s="197">
        <f t="shared" si="91"/>
        <v>44786</v>
      </c>
      <c r="AC239" s="119">
        <f>IF(OR(t&lt;Tnet,NoTnet),'2021'!Resal_s+('2021'!Salim-'2021'!Resal_s)*(1-EXP(('2021'!Tnet_s-t)/'2021'!Tau_j)),Resal_s+(Salim-Resal_s)*(1-EXP((Tnet_s-t)/Tau_j)))*Salcycl</f>
        <v>8.7345674651230998E-2</v>
      </c>
      <c r="AD239" s="230">
        <f>(INDEX(Models!$BJ239:$BT239,,AH239)*(1-AF239)+INDEX(Models!$BJ239:$BT239,,AH239+1)*AF239-ERP_i)*AE239*Ramure*Pc/MaxiM</f>
        <v>2.4510582090887284E-3</v>
      </c>
      <c r="AE239" s="304">
        <f t="shared" si="92"/>
        <v>0.7</v>
      </c>
      <c r="AF239" s="177">
        <f t="shared" si="93"/>
        <v>0.3721335888510493</v>
      </c>
      <c r="AG239" s="799">
        <f t="shared" si="99"/>
        <v>0</v>
      </c>
      <c r="AH239" s="176">
        <f t="shared" si="94"/>
        <v>6</v>
      </c>
      <c r="AI239" s="224">
        <f t="shared" si="95"/>
        <v>0.3721335888510493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44787</v>
      </c>
      <c r="B240" s="1147">
        <v>37.064</v>
      </c>
      <c r="C240" s="388"/>
      <c r="D240" s="391">
        <f t="shared" si="77"/>
        <v>38.007768374585083</v>
      </c>
      <c r="E240" s="383">
        <f t="shared" si="100"/>
        <v>38.521572950107725</v>
      </c>
      <c r="F240" s="383">
        <f t="shared" si="78"/>
        <v>38.573568169434537</v>
      </c>
      <c r="G240" s="110">
        <f t="shared" si="101"/>
        <v>0.70186544756561686</v>
      </c>
      <c r="H240" s="412" t="b">
        <f>Wh_hp&gt;='2021'!Maxi_hp</f>
        <v>0</v>
      </c>
      <c r="I240" s="379">
        <f>IF(H240,Wh_hp,'2021'!Maxi_hp)</f>
        <v>56.167943192678834</v>
      </c>
      <c r="J240" s="85">
        <f>IF(H240,An,'2021'!An_max)</f>
        <v>2018</v>
      </c>
      <c r="K240" s="197">
        <f t="shared" si="79"/>
        <v>44787</v>
      </c>
      <c r="L240" s="147">
        <f>IF(t&lt;Tvie,1-EXP((T0-t)*PertePVj)+'2021'!Pspv,1-EXP((T0-t)*PertePVj)+Pspv)</f>
        <v>2.4830933647137288E-2</v>
      </c>
      <c r="M240" s="832"/>
      <c r="N240" s="832"/>
      <c r="O240" s="48">
        <f>IF(t&lt;Tnet,'2021'!Resal+('2021'!Salim-'2021'!Resal)*(1-EXP(('2021'!Tnet-t)/('2021'!Tau_j))),Resal+(Salim-Resal)*(1-EXP((Tnet-t)/(Tau_j))))*Salcycl</f>
        <v>1.3338099567951399E-2</v>
      </c>
      <c r="P240" s="169">
        <f>(INDEX(Models!$BJ240:$BT240,,T240)*(1-R240)+INDEX(Models!$BJ240:$BT240,,T240+1)*R240-ERP_i)*Q240*Ramure*Pc/MaxiM</f>
        <v>2.3438749891743185E-3</v>
      </c>
      <c r="Q240" s="304">
        <f t="shared" si="80"/>
        <v>0.7</v>
      </c>
      <c r="R240" s="177">
        <f t="shared" si="81"/>
        <v>0.3088157238399763</v>
      </c>
      <c r="S240" s="799">
        <f t="shared" si="82"/>
        <v>0</v>
      </c>
      <c r="T240" s="176">
        <f t="shared" si="83"/>
        <v>6</v>
      </c>
      <c r="U240" s="250">
        <f t="shared" si="84"/>
        <v>0.3088157238399763</v>
      </c>
      <c r="V240" s="382">
        <f t="shared" si="85"/>
        <v>52.755178816110337</v>
      </c>
      <c r="W240" s="400">
        <f t="shared" si="86"/>
        <v>0</v>
      </c>
      <c r="X240" s="157">
        <f t="shared" si="87"/>
        <v>44787</v>
      </c>
      <c r="Y240" s="383">
        <f t="shared" si="88"/>
        <v>34.281630950165685</v>
      </c>
      <c r="Z240" s="383">
        <f t="shared" si="89"/>
        <v>35.154551280404291</v>
      </c>
      <c r="AA240" s="384">
        <f t="shared" si="90"/>
        <v>38.51833035147839</v>
      </c>
      <c r="AB240" s="197">
        <f t="shared" si="91"/>
        <v>44787</v>
      </c>
      <c r="AC240" s="119">
        <f>IF(OR(t&lt;Tnet,NoTnet),'2021'!Resal_s+('2021'!Salim-'2021'!Resal_s)*(1-EXP(('2021'!Tnet_s-t)/'2021'!Tau_j)),Resal_s+(Salim-Resal_s)*(1-EXP((Tnet_s-t)/Tau_j)))*Salcycl</f>
        <v>8.7329306342713589E-2</v>
      </c>
      <c r="AD240" s="230">
        <f>(INDEX(Models!$BJ240:$BT240,,AH240)*(1-AF240)+INDEX(Models!$BJ240:$BT240,,AH240+1)*AF240-ERP_i)*AE240*Ramure*Pc/MaxiM</f>
        <v>2.4900470012484423E-3</v>
      </c>
      <c r="AE240" s="304">
        <f t="shared" si="92"/>
        <v>0.7</v>
      </c>
      <c r="AF240" s="177">
        <f t="shared" si="93"/>
        <v>0.37314794609980845</v>
      </c>
      <c r="AG240" s="799">
        <f t="shared" si="99"/>
        <v>0</v>
      </c>
      <c r="AH240" s="176">
        <f t="shared" si="94"/>
        <v>6</v>
      </c>
      <c r="AI240" s="224">
        <f t="shared" si="95"/>
        <v>0.37314794609980845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44788</v>
      </c>
      <c r="B241" s="1147">
        <v>34.616999999999997</v>
      </c>
      <c r="C241" s="388"/>
      <c r="D241" s="391">
        <f t="shared" si="77"/>
        <v>35.499140235336313</v>
      </c>
      <c r="E241" s="383">
        <f t="shared" si="100"/>
        <v>35.981011906725726</v>
      </c>
      <c r="F241" s="383">
        <f t="shared" si="78"/>
        <v>36.024892886253966</v>
      </c>
      <c r="G241" s="110">
        <f t="shared" si="101"/>
        <v>0.65718448024449794</v>
      </c>
      <c r="H241" s="412" t="b">
        <f>Wh_hp&gt;='2021'!Maxi_hp</f>
        <v>0</v>
      </c>
      <c r="I241" s="379">
        <f>IF(H241,Wh_hp,'2021'!Maxi_hp)</f>
        <v>48.01365532613444</v>
      </c>
      <c r="J241" s="85">
        <f>IF(H241,An,'2021'!An_max)</f>
        <v>2020</v>
      </c>
      <c r="K241" s="197">
        <f t="shared" si="79"/>
        <v>44788</v>
      </c>
      <c r="L241" s="147">
        <f>IF(t&lt;Tvie,1-EXP((T0-t)*PertePVj)+'2021'!Pspv,1-EXP((T0-t)*PertePVj)+Pspv)</f>
        <v>2.4849622539822036E-2</v>
      </c>
      <c r="M241" s="832"/>
      <c r="N241" s="832"/>
      <c r="O241" s="48">
        <f>IF(t&lt;Tnet,'2021'!Resal+('2021'!Salim-'2021'!Resal)*(1-EXP(('2021'!Tnet-t)/('2021'!Tau_j))),Resal+(Salim-Resal)*(1-EXP((Tnet-t)/(Tau_j))))*Salcycl</f>
        <v>1.3392387980598709E-2</v>
      </c>
      <c r="P241" s="169">
        <f>(INDEX(Models!$BJ241:$BT241,,T241)*(1-R241)+INDEX(Models!$BJ241:$BT241,,T241+1)*R241-ERP_i)*Q241*Ramure*Pc/MaxiM</f>
        <v>2.3820330391920177E-3</v>
      </c>
      <c r="Q241" s="304">
        <f t="shared" si="80"/>
        <v>0.7</v>
      </c>
      <c r="R241" s="177">
        <f t="shared" si="81"/>
        <v>0.30979443145840846</v>
      </c>
      <c r="S241" s="799">
        <f t="shared" si="82"/>
        <v>0</v>
      </c>
      <c r="T241" s="176">
        <f t="shared" si="83"/>
        <v>6</v>
      </c>
      <c r="U241" s="250">
        <f t="shared" si="84"/>
        <v>0.30979443145840846</v>
      </c>
      <c r="V241" s="382">
        <f t="shared" si="85"/>
        <v>52.613321105855064</v>
      </c>
      <c r="W241" s="400">
        <f t="shared" si="86"/>
        <v>0</v>
      </c>
      <c r="X241" s="157">
        <f t="shared" si="87"/>
        <v>44788</v>
      </c>
      <c r="Y241" s="383">
        <f t="shared" si="88"/>
        <v>32.020962872350793</v>
      </c>
      <c r="Z241" s="383">
        <f t="shared" si="89"/>
        <v>32.836948651705185</v>
      </c>
      <c r="AA241" s="384">
        <f t="shared" si="90"/>
        <v>35.978313629980633</v>
      </c>
      <c r="AB241" s="197">
        <f t="shared" si="91"/>
        <v>44788</v>
      </c>
      <c r="AC241" s="119">
        <f>IF(OR(t&lt;Tnet,NoTnet),'2021'!Resal_s+('2021'!Salim-'2021'!Resal_s)*(1-EXP(('2021'!Tnet_s-t)/'2021'!Tau_j)),Resal_s+(Salim-Resal_s)*(1-EXP((Tnet_s-t)/Tau_j)))*Salcycl</f>
        <v>8.7312735404523098E-2</v>
      </c>
      <c r="AD241" s="230">
        <f>(INDEX(Models!$BJ241:$BT241,,AH241)*(1-AF241)+INDEX(Models!$BJ241:$BT241,,AH241+1)*AF241-ERP_i)*AE241*Ramure*Pc/MaxiM</f>
        <v>2.5285061677500303E-3</v>
      </c>
      <c r="AE241" s="304">
        <f t="shared" si="92"/>
        <v>0.7</v>
      </c>
      <c r="AF241" s="177">
        <f t="shared" si="93"/>
        <v>0.37412665371824061</v>
      </c>
      <c r="AG241" s="799">
        <f t="shared" si="99"/>
        <v>0</v>
      </c>
      <c r="AH241" s="176">
        <f t="shared" si="94"/>
        <v>6</v>
      </c>
      <c r="AI241" s="224">
        <f t="shared" si="95"/>
        <v>0.37412665371824061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44789</v>
      </c>
      <c r="B242" s="1147">
        <v>39.801000000000002</v>
      </c>
      <c r="C242" s="388"/>
      <c r="D242" s="391">
        <f t="shared" si="77"/>
        <v>40.816025621985716</v>
      </c>
      <c r="E242" s="383">
        <f t="shared" si="100"/>
        <v>41.3723424312997</v>
      </c>
      <c r="F242" s="383">
        <f t="shared" si="78"/>
        <v>41.438010595858934</v>
      </c>
      <c r="G242" s="110">
        <f t="shared" si="101"/>
        <v>0.75791796044082116</v>
      </c>
      <c r="H242" s="412" t="b">
        <f>Wh_hp&gt;='2021'!Maxi_hp</f>
        <v>0</v>
      </c>
      <c r="I242" s="379">
        <f>IF(H242,Wh_hp,'2021'!Maxi_hp)</f>
        <v>56.53449474291795</v>
      </c>
      <c r="J242" s="85">
        <f>IF(H242,An,'2021'!An_max)</f>
        <v>2018</v>
      </c>
      <c r="K242" s="197">
        <f t="shared" si="79"/>
        <v>44789</v>
      </c>
      <c r="L242" s="147">
        <f>IF(t&lt;Tvie,1-EXP((T0-t)*PertePVj)+'2021'!Pspv,1-EXP((T0-t)*PertePVj)+Pspv)</f>
        <v>2.4868311074338512E-2</v>
      </c>
      <c r="M242" s="832"/>
      <c r="N242" s="832"/>
      <c r="O242" s="48">
        <f>IF(t&lt;Tnet,'2021'!Resal+('2021'!Salim-'2021'!Resal)*(1-EXP(('2021'!Tnet-t)/('2021'!Tau_j))),Resal+(Salim-Resal)*(1-EXP((Tnet-t)/(Tau_j))))*Salcycl</f>
        <v>1.3446587179291761E-2</v>
      </c>
      <c r="P242" s="169">
        <f>(INDEX(Models!$BJ242:$BT242,,T242)*(1-R242)+INDEX(Models!$BJ242:$BT242,,T242+1)*R242-ERP_i)*Q242*Ramure*Pc/MaxiM</f>
        <v>2.41916504862103E-3</v>
      </c>
      <c r="Q242" s="304">
        <f t="shared" si="80"/>
        <v>0.7</v>
      </c>
      <c r="R242" s="177">
        <f t="shared" si="81"/>
        <v>0.31073855276082346</v>
      </c>
      <c r="S242" s="799">
        <f t="shared" si="82"/>
        <v>0</v>
      </c>
      <c r="T242" s="176">
        <f t="shared" si="83"/>
        <v>6</v>
      </c>
      <c r="U242" s="250">
        <f t="shared" si="84"/>
        <v>0.31073855276082346</v>
      </c>
      <c r="V242" s="382">
        <f t="shared" si="85"/>
        <v>52.4697105935522</v>
      </c>
      <c r="W242" s="400">
        <f t="shared" si="86"/>
        <v>0</v>
      </c>
      <c r="X242" s="157">
        <f t="shared" si="87"/>
        <v>44789</v>
      </c>
      <c r="Y242" s="383">
        <f t="shared" si="88"/>
        <v>36.818100435105137</v>
      </c>
      <c r="Z242" s="383">
        <f t="shared" si="89"/>
        <v>37.757054614509549</v>
      </c>
      <c r="AA242" s="384">
        <f t="shared" si="90"/>
        <v>41.368343692709253</v>
      </c>
      <c r="AB242" s="197">
        <f t="shared" si="91"/>
        <v>44789</v>
      </c>
      <c r="AC242" s="119">
        <f>IF(OR(t&lt;Tnet,NoTnet),'2021'!Resal_s+('2021'!Salim-'2021'!Resal_s)*(1-EXP(('2021'!Tnet_s-t)/'2021'!Tau_j)),Resal_s+(Salim-Resal_s)*(1-EXP((Tnet_s-t)/Tau_j)))*Salcycl</f>
        <v>8.7295955212153012E-2</v>
      </c>
      <c r="AD242" s="230">
        <f>(INDEX(Models!$BJ242:$BT242,,AH242)*(1-AF242)+INDEX(Models!$BJ242:$BT242,,AH242+1)*AF242-ERP_i)*AE242*Ramure*Pc/MaxiM</f>
        <v>2.5664755254938324E-3</v>
      </c>
      <c r="AE242" s="304">
        <f t="shared" si="92"/>
        <v>0.7</v>
      </c>
      <c r="AF242" s="177">
        <f t="shared" si="93"/>
        <v>0.37507077502065561</v>
      </c>
      <c r="AG242" s="799">
        <f t="shared" si="99"/>
        <v>0</v>
      </c>
      <c r="AH242" s="176">
        <f t="shared" si="94"/>
        <v>6</v>
      </c>
      <c r="AI242" s="224">
        <f t="shared" si="95"/>
        <v>0.37507077502065561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44790</v>
      </c>
      <c r="B243" s="1147">
        <v>24.864000000000001</v>
      </c>
      <c r="C243" s="388"/>
      <c r="D243" s="391">
        <f t="shared" si="77"/>
        <v>25.498583221527912</v>
      </c>
      <c r="E243" s="383">
        <f t="shared" si="100"/>
        <v>25.847543032935576</v>
      </c>
      <c r="F243" s="383">
        <f t="shared" si="78"/>
        <v>25.863436175195627</v>
      </c>
      <c r="G243" s="110">
        <f t="shared" si="101"/>
        <v>0.47431745564537037</v>
      </c>
      <c r="H243" s="412" t="b">
        <f>Wh_hp&gt;='2021'!Maxi_hp</f>
        <v>0</v>
      </c>
      <c r="I243" s="379">
        <f>IF(H243,Wh_hp,'2021'!Maxi_hp)</f>
        <v>53.858600637454124</v>
      </c>
      <c r="J243" s="85">
        <f>IF(H243,An,'2021'!An_max)</f>
        <v>2018</v>
      </c>
      <c r="K243" s="197">
        <f t="shared" si="79"/>
        <v>44790</v>
      </c>
      <c r="L243" s="147">
        <f>IF(t&lt;Tvie,1-EXP((T0-t)*PertePVj)+'2021'!Pspv,1-EXP((T0-t)*PertePVj)+Pspv)</f>
        <v>2.4886999250693487E-2</v>
      </c>
      <c r="M243" s="832"/>
      <c r="N243" s="832"/>
      <c r="O243" s="48">
        <f>IF(t&lt;Tnet,'2021'!Resal+('2021'!Salim-'2021'!Resal)*(1-EXP(('2021'!Tnet-t)/('2021'!Tau_j))),Resal+(Salim-Resal)*(1-EXP((Tnet-t)/(Tau_j))))*Salcycl</f>
        <v>1.3500695635287616E-2</v>
      </c>
      <c r="P243" s="169">
        <f>(INDEX(Models!$BJ243:$BT243,,T243)*(1-R243)+INDEX(Models!$BJ243:$BT243,,T243+1)*R243-ERP_i)*Q243*Ramure*Pc/MaxiM</f>
        <v>2.4553053338549407E-3</v>
      </c>
      <c r="Q243" s="304">
        <f t="shared" si="80"/>
        <v>0.7</v>
      </c>
      <c r="R243" s="177">
        <f t="shared" si="81"/>
        <v>0.31164913358870561</v>
      </c>
      <c r="S243" s="799">
        <f t="shared" si="82"/>
        <v>0</v>
      </c>
      <c r="T243" s="176">
        <f t="shared" si="83"/>
        <v>6</v>
      </c>
      <c r="U243" s="250">
        <f t="shared" si="84"/>
        <v>0.31164913358870561</v>
      </c>
      <c r="V243" s="382">
        <f t="shared" si="85"/>
        <v>52.324032852420792</v>
      </c>
      <c r="W243" s="400">
        <f t="shared" si="86"/>
        <v>0</v>
      </c>
      <c r="X243" s="157">
        <f t="shared" si="87"/>
        <v>44790</v>
      </c>
      <c r="Y243" s="383">
        <f t="shared" si="88"/>
        <v>23.003615764392791</v>
      </c>
      <c r="Z243" s="383">
        <f t="shared" si="89"/>
        <v>23.590717944193251</v>
      </c>
      <c r="AA243" s="384">
        <f t="shared" si="90"/>
        <v>25.846580572964239</v>
      </c>
      <c r="AB243" s="197">
        <f t="shared" si="91"/>
        <v>44790</v>
      </c>
      <c r="AC243" s="119">
        <f>IF(OR(t&lt;Tnet,NoTnet),'2021'!Resal_s+('2021'!Salim-'2021'!Resal_s)*(1-EXP(('2021'!Tnet_s-t)/'2021'!Tau_j)),Resal_s+(Salim-Resal_s)*(1-EXP((Tnet_s-t)/Tau_j)))*Salcycl</f>
        <v>8.7278958328849077E-2</v>
      </c>
      <c r="AD243" s="230">
        <f>(INDEX(Models!$BJ243:$BT243,,AH243)*(1-AF243)+INDEX(Models!$BJ243:$BT243,,AH243+1)*AF243-ERP_i)*AE243*Ramure*Pc/MaxiM</f>
        <v>2.6039941873601878E-3</v>
      </c>
      <c r="AE243" s="304">
        <f t="shared" si="92"/>
        <v>0.7</v>
      </c>
      <c r="AF243" s="177">
        <f t="shared" si="93"/>
        <v>0.37598135584853776</v>
      </c>
      <c r="AG243" s="799">
        <f t="shared" si="99"/>
        <v>0</v>
      </c>
      <c r="AH243" s="176">
        <f t="shared" si="94"/>
        <v>6</v>
      </c>
      <c r="AI243" s="224">
        <f t="shared" si="95"/>
        <v>0.37598135584853776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44791</v>
      </c>
      <c r="B244" s="1147">
        <v>33.323999999999998</v>
      </c>
      <c r="C244" s="388"/>
      <c r="D244" s="391">
        <f t="shared" si="77"/>
        <v>34.175155734247888</v>
      </c>
      <c r="E244" s="383">
        <f t="shared" si="100"/>
        <v>34.644755405237042</v>
      </c>
      <c r="F244" s="383">
        <f t="shared" si="78"/>
        <v>34.686552213085292</v>
      </c>
      <c r="G244" s="110">
        <f t="shared" si="101"/>
        <v>0.63786275445629825</v>
      </c>
      <c r="H244" s="412" t="b">
        <f>Wh_hp&gt;='2021'!Maxi_hp</f>
        <v>0</v>
      </c>
      <c r="I244" s="379">
        <f>IF(H244,Wh_hp,'2021'!Maxi_hp)</f>
        <v>45.332057361760235</v>
      </c>
      <c r="J244" s="85">
        <f>IF(H244,An,'2021'!An_max)</f>
        <v>2021</v>
      </c>
      <c r="K244" s="197">
        <f t="shared" si="79"/>
        <v>44791</v>
      </c>
      <c r="L244" s="147">
        <f>IF(t&lt;Tvie,1-EXP((T0-t)*PertePVj)+'2021'!Pspv,1-EXP((T0-t)*PertePVj)+Pspv)</f>
        <v>2.4905687068893845E-2</v>
      </c>
      <c r="M244" s="832"/>
      <c r="N244" s="832"/>
      <c r="O244" s="48">
        <f>IF(t&lt;Tnet,'2021'!Resal+('2021'!Salim-'2021'!Resal)*(1-EXP(('2021'!Tnet-t)/('2021'!Tau_j))),Resal+(Salim-Resal)*(1-EXP((Tnet-t)/(Tau_j))))*Salcycl</f>
        <v>1.3554711687130839E-2</v>
      </c>
      <c r="P244" s="169">
        <f>(INDEX(Models!$BJ244:$BT244,,T244)*(1-R244)+INDEX(Models!$BJ244:$BT244,,T244+1)*R244-ERP_i)*Q244*Ramure*Pc/MaxiM</f>
        <v>2.4904873862821295E-3</v>
      </c>
      <c r="Q244" s="304">
        <f t="shared" si="80"/>
        <v>0.7</v>
      </c>
      <c r="R244" s="177">
        <f t="shared" si="81"/>
        <v>0.31252720143255647</v>
      </c>
      <c r="S244" s="799">
        <f t="shared" si="82"/>
        <v>0</v>
      </c>
      <c r="T244" s="176">
        <f t="shared" si="83"/>
        <v>6</v>
      </c>
      <c r="U244" s="250">
        <f t="shared" si="84"/>
        <v>0.31252720143255647</v>
      </c>
      <c r="V244" s="382">
        <f t="shared" si="85"/>
        <v>52.17597364932849</v>
      </c>
      <c r="W244" s="400">
        <f t="shared" si="86"/>
        <v>0</v>
      </c>
      <c r="X244" s="157">
        <f t="shared" si="87"/>
        <v>44791</v>
      </c>
      <c r="Y244" s="383">
        <f t="shared" si="88"/>
        <v>30.831786713814889</v>
      </c>
      <c r="Z244" s="383">
        <f t="shared" si="89"/>
        <v>31.61928677558933</v>
      </c>
      <c r="AA244" s="384">
        <f t="shared" si="90"/>
        <v>34.642227726128098</v>
      </c>
      <c r="AB244" s="197">
        <f t="shared" si="91"/>
        <v>44791</v>
      </c>
      <c r="AC244" s="119">
        <f>IF(OR(t&lt;Tnet,NoTnet),'2021'!Resal_s+('2021'!Salim-'2021'!Resal_s)*(1-EXP(('2021'!Tnet_s-t)/'2021'!Tau_j)),Resal_s+(Salim-Resal_s)*(1-EXP((Tnet_s-t)/Tau_j)))*Salcycl</f>
        <v>8.7261736584532221E-2</v>
      </c>
      <c r="AD244" s="230">
        <f>(INDEX(Models!$BJ244:$BT244,,AH244)*(1-AF244)+INDEX(Models!$BJ244:$BT244,,AH244+1)*AF244-ERP_i)*AE244*Ramure*Pc/MaxiM</f>
        <v>2.6411006331174985E-3</v>
      </c>
      <c r="AE244" s="304">
        <f t="shared" si="92"/>
        <v>0.7</v>
      </c>
      <c r="AF244" s="177">
        <f t="shared" si="93"/>
        <v>0.37685942369238862</v>
      </c>
      <c r="AG244" s="799">
        <f t="shared" si="99"/>
        <v>0</v>
      </c>
      <c r="AH244" s="176">
        <f t="shared" si="94"/>
        <v>6</v>
      </c>
      <c r="AI244" s="224">
        <f t="shared" si="95"/>
        <v>0.37685942369238862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44792</v>
      </c>
      <c r="B245" s="1147">
        <v>34.804000000000002</v>
      </c>
      <c r="C245" s="388"/>
      <c r="D245" s="391">
        <f t="shared" si="77"/>
        <v>35.693641693880295</v>
      </c>
      <c r="E245" s="383">
        <f t="shared" si="100"/>
        <v>36.186084862360651</v>
      </c>
      <c r="F245" s="383">
        <f t="shared" si="78"/>
        <v>36.234306938371944</v>
      </c>
      <c r="G245" s="110">
        <f t="shared" si="101"/>
        <v>0.66818348319581156</v>
      </c>
      <c r="H245" s="412" t="b">
        <f>Wh_hp&gt;='2021'!Maxi_hp</f>
        <v>0</v>
      </c>
      <c r="I245" s="379">
        <f>IF(H245,Wh_hp,'2021'!Maxi_hp)</f>
        <v>41.817185675969036</v>
      </c>
      <c r="J245" s="85">
        <f>IF(H245,An,'2021'!An_max)</f>
        <v>2021</v>
      </c>
      <c r="K245" s="197">
        <f t="shared" si="79"/>
        <v>44792</v>
      </c>
      <c r="L245" s="147">
        <f>IF(t&lt;Tvie,1-EXP((T0-t)*PertePVj)+'2021'!Pspv,1-EXP((T0-t)*PertePVj)+Pspv)</f>
        <v>2.4924374528946469E-2</v>
      </c>
      <c r="M245" s="832"/>
      <c r="N245" s="832"/>
      <c r="O245" s="48">
        <f>IF(t&lt;Tnet,'2021'!Resal+('2021'!Salim-'2021'!Resal)*(1-EXP(('2021'!Tnet-t)/('2021'!Tau_j))),Resal+(Salim-Resal)*(1-EXP((Tnet-t)/(Tau_j))))*Salcycl</f>
        <v>1.3608633549427596E-2</v>
      </c>
      <c r="P245" s="169">
        <f>(INDEX(Models!$BJ245:$BT245,,T245)*(1-R245)+INDEX(Models!$BJ245:$BT245,,T245+1)*R245-ERP_i)*Q245*Ramure*Pc/MaxiM</f>
        <v>2.524743912304994E-3</v>
      </c>
      <c r="Q245" s="304">
        <f t="shared" si="80"/>
        <v>0.7</v>
      </c>
      <c r="R245" s="177">
        <f t="shared" si="81"/>
        <v>0.31337376467210792</v>
      </c>
      <c r="S245" s="799">
        <f t="shared" si="82"/>
        <v>0</v>
      </c>
      <c r="T245" s="176">
        <f t="shared" si="83"/>
        <v>6</v>
      </c>
      <c r="U245" s="250">
        <f t="shared" si="84"/>
        <v>0.31337376467210792</v>
      </c>
      <c r="V245" s="382">
        <f t="shared" si="85"/>
        <v>52.025218939728205</v>
      </c>
      <c r="W245" s="400">
        <f t="shared" si="86"/>
        <v>0</v>
      </c>
      <c r="X245" s="157">
        <f t="shared" si="87"/>
        <v>44792</v>
      </c>
      <c r="Y245" s="383">
        <f t="shared" si="88"/>
        <v>32.203224995313356</v>
      </c>
      <c r="Z245" s="383">
        <f t="shared" si="89"/>
        <v>33.026387035114489</v>
      </c>
      <c r="AA245" s="384">
        <f t="shared" si="90"/>
        <v>36.183160897223182</v>
      </c>
      <c r="AB245" s="197">
        <f t="shared" si="91"/>
        <v>44792</v>
      </c>
      <c r="AC245" s="119">
        <f>IF(OR(t&lt;Tnet,NoTnet),'2021'!Resal_s+('2021'!Salim-'2021'!Resal_s)*(1-EXP(('2021'!Tnet_s-t)/'2021'!Tau_j)),Resal_s+(Salim-Resal_s)*(1-EXP((Tnet_s-t)/Tau_j)))*Salcycl</f>
        <v>8.7244281147116562E-2</v>
      </c>
      <c r="AD245" s="230">
        <f>(INDEX(Models!$BJ245:$BT245,,AH245)*(1-AF245)+INDEX(Models!$BJ245:$BT245,,AH245+1)*AF245-ERP_i)*AE245*Ramure*Pc/MaxiM</f>
        <v>2.6778327834453171E-3</v>
      </c>
      <c r="AE245" s="304">
        <f t="shared" si="92"/>
        <v>0.7</v>
      </c>
      <c r="AF245" s="177">
        <f t="shared" si="93"/>
        <v>0.37770598693194007</v>
      </c>
      <c r="AG245" s="799">
        <f t="shared" si="99"/>
        <v>0</v>
      </c>
      <c r="AH245" s="176">
        <f t="shared" si="94"/>
        <v>6</v>
      </c>
      <c r="AI245" s="224">
        <f t="shared" si="95"/>
        <v>0.37770598693194007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44793</v>
      </c>
      <c r="B246" s="1147">
        <v>50.809000000000005</v>
      </c>
      <c r="C246" s="388"/>
      <c r="D246" s="391">
        <f t="shared" si="77"/>
        <v>52.108751807850304</v>
      </c>
      <c r="E246" s="383">
        <f t="shared" si="100"/>
        <v>52.830547007221831</v>
      </c>
      <c r="F246" s="383">
        <f t="shared" si="78"/>
        <v>52.962065320582475</v>
      </c>
      <c r="G246" s="110">
        <f t="shared" si="101"/>
        <v>0.97944404146279074</v>
      </c>
      <c r="H246" s="412" t="b">
        <f>Wh_hp&gt;='2021'!Maxi_hp</f>
        <v>1</v>
      </c>
      <c r="I246" s="379">
        <f>IF(H246,Wh_hp,'2021'!Maxi_hp)</f>
        <v>52.962065320582475</v>
      </c>
      <c r="J246" s="85">
        <f>IF(H246,An,'2021'!An_max)</f>
        <v>2022</v>
      </c>
      <c r="K246" s="197">
        <f t="shared" si="79"/>
        <v>44793</v>
      </c>
      <c r="L246" s="147">
        <f>IF(t&lt;Tvie,1-EXP((T0-t)*PertePVj)+'2021'!Pspv,1-EXP((T0-t)*PertePVj)+Pspv)</f>
        <v>2.4943061630858132E-2</v>
      </c>
      <c r="M246" s="832"/>
      <c r="N246" s="832"/>
      <c r="O246" s="48">
        <f>IF(t&lt;Tnet,'2021'!Resal+('2021'!Salim-'2021'!Resal)*(1-EXP(('2021'!Tnet-t)/('2021'!Tau_j))),Resal+(Salim-Resal)*(1-EXP((Tnet-t)/(Tau_j))))*Salcycl</f>
        <v>1.3662459320605953E-2</v>
      </c>
      <c r="P246" s="169">
        <f>(INDEX(Models!$BJ246:$BT246,,T246)*(1-R246)+INDEX(Models!$BJ246:$BT246,,T246+1)*R246-ERP_i)*Q246*Ramure*Pc/MaxiM</f>
        <v>2.5581068753345506E-3</v>
      </c>
      <c r="Q246" s="304">
        <f t="shared" si="80"/>
        <v>0.7</v>
      </c>
      <c r="R246" s="177">
        <f t="shared" si="81"/>
        <v>0.31418981192753614</v>
      </c>
      <c r="S246" s="799">
        <f t="shared" si="82"/>
        <v>0</v>
      </c>
      <c r="T246" s="176">
        <f t="shared" si="83"/>
        <v>6</v>
      </c>
      <c r="U246" s="250">
        <f t="shared" si="84"/>
        <v>0.31418981192753614</v>
      </c>
      <c r="V246" s="382">
        <f t="shared" si="85"/>
        <v>51.871454858552951</v>
      </c>
      <c r="W246" s="400">
        <f t="shared" si="86"/>
        <v>0</v>
      </c>
      <c r="X246" s="157">
        <f t="shared" si="87"/>
        <v>44793</v>
      </c>
      <c r="Y246" s="383">
        <f t="shared" si="88"/>
        <v>47.012362975887903</v>
      </c>
      <c r="Z246" s="383">
        <f t="shared" si="89"/>
        <v>48.214992505483544</v>
      </c>
      <c r="AA246" s="384">
        <f t="shared" si="90"/>
        <v>52.822520447691183</v>
      </c>
      <c r="AB246" s="197">
        <f t="shared" si="91"/>
        <v>44793</v>
      </c>
      <c r="AC246" s="119">
        <f>IF(OR(t&lt;Tnet,NoTnet),'2021'!Resal_s+('2021'!Salim-'2021'!Resal_s)*(1-EXP(('2021'!Tnet_s-t)/'2021'!Tau_j)),Resal_s+(Salim-Resal_s)*(1-EXP((Tnet_s-t)/Tau_j)))*Salcycl</f>
        <v>8.722658258555388E-2</v>
      </c>
      <c r="AD246" s="230">
        <f>(INDEX(Models!$BJ246:$BT246,,AH246)*(1-AF246)+INDEX(Models!$BJ246:$BT246,,AH246+1)*AF246-ERP_i)*AE246*Ramure*Pc/MaxiM</f>
        <v>2.7142280769829608E-3</v>
      </c>
      <c r="AE246" s="304">
        <f t="shared" si="92"/>
        <v>0.7</v>
      </c>
      <c r="AF246" s="177">
        <f t="shared" si="93"/>
        <v>0.37852203418736829</v>
      </c>
      <c r="AG246" s="799">
        <f t="shared" si="99"/>
        <v>0</v>
      </c>
      <c r="AH246" s="176">
        <f t="shared" si="94"/>
        <v>6</v>
      </c>
      <c r="AI246" s="224">
        <f t="shared" si="95"/>
        <v>0.37852203418736829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44794</v>
      </c>
      <c r="B247" s="1147">
        <v>40.247999999999998</v>
      </c>
      <c r="C247" s="388"/>
      <c r="D247" s="391">
        <f t="shared" si="77"/>
        <v>41.278380548565757</v>
      </c>
      <c r="E247" s="383">
        <f t="shared" si="100"/>
        <v>41.852436392087526</v>
      </c>
      <c r="F247" s="383">
        <f t="shared" si="78"/>
        <v>41.926642406906531</v>
      </c>
      <c r="G247" s="110">
        <f t="shared" si="101"/>
        <v>0.77761319797674155</v>
      </c>
      <c r="H247" s="412" t="b">
        <f>Wh_hp&gt;='2021'!Maxi_hp</f>
        <v>0</v>
      </c>
      <c r="I247" s="379">
        <f>IF(H247,Wh_hp,'2021'!Maxi_hp)</f>
        <v>53.982802943625828</v>
      </c>
      <c r="J247" s="85">
        <f>IF(H247,An,'2021'!An_max)</f>
        <v>2020</v>
      </c>
      <c r="K247" s="197">
        <f t="shared" si="79"/>
        <v>44794</v>
      </c>
      <c r="L247" s="147">
        <f>IF(t&lt;Tvie,1-EXP((T0-t)*PertePVj)+'2021'!Pspv,1-EXP((T0-t)*PertePVj)+Pspv)</f>
        <v>2.4961748374635717E-2</v>
      </c>
      <c r="M247" s="832"/>
      <c r="N247" s="832"/>
      <c r="O247" s="48">
        <f>IF(t&lt;Tnet,'2021'!Resal+('2021'!Salim-'2021'!Resal)*(1-EXP(('2021'!Tnet-t)/('2021'!Tau_j))),Resal+(Salim-Resal)*(1-EXP((Tnet-t)/(Tau_j))))*Salcycl</f>
        <v>1.3716186989541525E-2</v>
      </c>
      <c r="P247" s="169">
        <f>(INDEX(Models!$BJ247:$BT247,,T247)*(1-R247)+INDEX(Models!$BJ247:$BT247,,T247+1)*R247-ERP_i)*Q247*Ramure*Pc/MaxiM</f>
        <v>2.5905344371390995E-3</v>
      </c>
      <c r="Q247" s="304">
        <f t="shared" si="80"/>
        <v>0.7</v>
      </c>
      <c r="R247" s="177">
        <f t="shared" si="81"/>
        <v>0.31497631151446753</v>
      </c>
      <c r="S247" s="799">
        <f t="shared" si="82"/>
        <v>0</v>
      </c>
      <c r="T247" s="176">
        <f t="shared" si="83"/>
        <v>6</v>
      </c>
      <c r="U247" s="250">
        <f t="shared" si="84"/>
        <v>0.31497631151446753</v>
      </c>
      <c r="V247" s="382">
        <f t="shared" si="85"/>
        <v>51.71583082279178</v>
      </c>
      <c r="W247" s="400">
        <f t="shared" si="86"/>
        <v>0</v>
      </c>
      <c r="X247" s="157">
        <f t="shared" si="87"/>
        <v>44794</v>
      </c>
      <c r="Y247" s="383">
        <f t="shared" si="88"/>
        <v>37.244868723652907</v>
      </c>
      <c r="Z247" s="383">
        <f t="shared" si="89"/>
        <v>38.198366742603838</v>
      </c>
      <c r="AA247" s="384">
        <f t="shared" si="90"/>
        <v>41.847861446449237</v>
      </c>
      <c r="AB247" s="197">
        <f t="shared" si="91"/>
        <v>44794</v>
      </c>
      <c r="AC247" s="119">
        <f>IF(OR(t&lt;Tnet,NoTnet),'2021'!Resal_s+('2021'!Salim-'2021'!Resal_s)*(1-EXP(('2021'!Tnet_s-t)/'2021'!Tau_j)),Resal_s+(Salim-Resal_s)*(1-EXP((Tnet_s-t)/Tau_j)))*Salcycl</f>
        <v>8.7208630924079433E-2</v>
      </c>
      <c r="AD247" s="230">
        <f>(INDEX(Models!$BJ247:$BT247,,AH247)*(1-AF247)+INDEX(Models!$BJ247:$BT247,,AH247+1)*AF247-ERP_i)*AE247*Ramure*Pc/MaxiM</f>
        <v>2.7502459410237473E-3</v>
      </c>
      <c r="AE247" s="304">
        <f t="shared" si="92"/>
        <v>0.7</v>
      </c>
      <c r="AF247" s="177">
        <f t="shared" si="93"/>
        <v>0.37930853377429968</v>
      </c>
      <c r="AG247" s="799">
        <f t="shared" si="99"/>
        <v>0</v>
      </c>
      <c r="AH247" s="176">
        <f t="shared" si="94"/>
        <v>6</v>
      </c>
      <c r="AI247" s="224">
        <f t="shared" si="95"/>
        <v>0.37930853377429968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44795</v>
      </c>
      <c r="B248" s="1147">
        <v>28.266999999999999</v>
      </c>
      <c r="C248" s="388"/>
      <c r="D248" s="391">
        <f t="shared" si="77"/>
        <v>28.991213107657387</v>
      </c>
      <c r="E248" s="383">
        <f t="shared" si="100"/>
        <v>29.395990441342587</v>
      </c>
      <c r="F248" s="383">
        <f t="shared" si="78"/>
        <v>29.423395244241409</v>
      </c>
      <c r="G248" s="110">
        <f t="shared" si="101"/>
        <v>0.54731271417006444</v>
      </c>
      <c r="H248" s="412" t="b">
        <f>Wh_hp&gt;='2021'!Maxi_hp</f>
        <v>0</v>
      </c>
      <c r="I248" s="379">
        <f>IF(H248,Wh_hp,'2021'!Maxi_hp)</f>
        <v>55.500972969341134</v>
      </c>
      <c r="J248" s="85">
        <f>IF(H248,An,'2021'!An_max)</f>
        <v>2018</v>
      </c>
      <c r="K248" s="197">
        <f t="shared" si="79"/>
        <v>44795</v>
      </c>
      <c r="L248" s="147">
        <f>IF(t&lt;Tvie,1-EXP((T0-t)*PertePVj)+'2021'!Pspv,1-EXP((T0-t)*PertePVj)+Pspv)</f>
        <v>2.4980434760286108E-2</v>
      </c>
      <c r="M248" s="832"/>
      <c r="N248" s="832"/>
      <c r="O248" s="48">
        <f>IF(t&lt;Tnet,'2021'!Resal+('2021'!Salim-'2021'!Resal)*(1-EXP(('2021'!Tnet-t)/('2021'!Tau_j))),Resal+(Salim-Resal)*(1-EXP((Tnet-t)/(Tau_j))))*Salcycl</f>
        <v>1.376981444094902E-2</v>
      </c>
      <c r="P248" s="169">
        <f>(INDEX(Models!$BJ248:$BT248,,T248)*(1-R248)+INDEX(Models!$BJ248:$BT248,,T248+1)*R248-ERP_i)*Q248*Ramure*Pc/MaxiM</f>
        <v>2.6263657908844554E-3</v>
      </c>
      <c r="Q248" s="304">
        <f t="shared" si="80"/>
        <v>0.7</v>
      </c>
      <c r="R248" s="177">
        <f t="shared" si="81"/>
        <v>0.31573421099576227</v>
      </c>
      <c r="S248" s="799">
        <f t="shared" si="82"/>
        <v>0</v>
      </c>
      <c r="T248" s="176">
        <f t="shared" si="83"/>
        <v>6</v>
      </c>
      <c r="U248" s="250">
        <f t="shared" si="84"/>
        <v>0.31573421099576227</v>
      </c>
      <c r="V248" s="382">
        <f t="shared" si="85"/>
        <v>51.559269250279264</v>
      </c>
      <c r="W248" s="400">
        <f t="shared" si="86"/>
        <v>0</v>
      </c>
      <c r="X248" s="157">
        <f t="shared" si="87"/>
        <v>44795</v>
      </c>
      <c r="Y248" s="383">
        <f t="shared" si="88"/>
        <v>26.161122346265994</v>
      </c>
      <c r="Z248" s="383">
        <f t="shared" si="89"/>
        <v>26.831381932150396</v>
      </c>
      <c r="AA248" s="384">
        <f t="shared" si="90"/>
        <v>29.394281560214601</v>
      </c>
      <c r="AB248" s="197">
        <f t="shared" si="91"/>
        <v>44795</v>
      </c>
      <c r="AC248" s="119">
        <f>IF(OR(t&lt;Tnet,NoTnet),'2021'!Resal_s+('2021'!Salim-'2021'!Resal_s)*(1-EXP(('2021'!Tnet_s-t)/'2021'!Tau_j)),Resal_s+(Salim-Resal_s)*(1-EXP((Tnet_s-t)/Tau_j)))*Salcycl</f>
        <v>8.7190415687284861E-2</v>
      </c>
      <c r="AD248" s="230">
        <f>(INDEX(Models!$BJ248:$BT248,,AH248)*(1-AF248)+INDEX(Models!$BJ248:$BT248,,AH248+1)*AF248-ERP_i)*AE248*Ramure*Pc/MaxiM</f>
        <v>2.7901380665616426E-3</v>
      </c>
      <c r="AE248" s="304">
        <f t="shared" si="92"/>
        <v>0.7</v>
      </c>
      <c r="AF248" s="177">
        <f t="shared" si="93"/>
        <v>0.38006643325559442</v>
      </c>
      <c r="AG248" s="799">
        <f t="shared" si="99"/>
        <v>0</v>
      </c>
      <c r="AH248" s="176">
        <f t="shared" si="94"/>
        <v>6</v>
      </c>
      <c r="AI248" s="224">
        <f t="shared" si="95"/>
        <v>0.38006643325559442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44796</v>
      </c>
      <c r="B249" s="1147">
        <v>43.984999999999999</v>
      </c>
      <c r="C249" s="388"/>
      <c r="D249" s="391">
        <f t="shared" si="77"/>
        <v>45.112779832096741</v>
      </c>
      <c r="E249" s="383">
        <f t="shared" si="100"/>
        <v>45.745130296806849</v>
      </c>
      <c r="F249" s="383">
        <f t="shared" si="78"/>
        <v>45.842333989442132</v>
      </c>
      <c r="G249" s="110">
        <f t="shared" si="101"/>
        <v>0.85524746782535088</v>
      </c>
      <c r="H249" s="412" t="b">
        <f>Wh_hp&gt;='2021'!Maxi_hp</f>
        <v>0</v>
      </c>
      <c r="I249" s="379">
        <f>IF(H249,Wh_hp,'2021'!Maxi_hp)</f>
        <v>53.062243382697936</v>
      </c>
      <c r="J249" s="85">
        <f>IF(H249,An,'2021'!An_max)</f>
        <v>2018</v>
      </c>
      <c r="K249" s="197">
        <f t="shared" si="79"/>
        <v>44796</v>
      </c>
      <c r="L249" s="147">
        <f>IF(t&lt;Tvie,1-EXP((T0-t)*PertePVj)+'2021'!Pspv,1-EXP((T0-t)*PertePVj)+Pspv)</f>
        <v>2.4999120787816187E-2</v>
      </c>
      <c r="M249" s="832"/>
      <c r="N249" s="832"/>
      <c r="O249" s="48">
        <f>IF(t&lt;Tnet,'2021'!Resal+('2021'!Salim-'2021'!Resal)*(1-EXP(('2021'!Tnet-t)/('2021'!Tau_j))),Resal+(Salim-Resal)*(1-EXP((Tnet-t)/(Tau_j))))*Salcycl</f>
        <v>1.3823339459462599E-2</v>
      </c>
      <c r="P249" s="169">
        <f>(INDEX(Models!$BJ249:$BT249,,T249)*(1-R249)+INDEX(Models!$BJ249:$BT249,,T249+1)*R249-ERP_i)*Q249*Ramure*Pc/MaxiM</f>
        <v>2.6709047729821466E-3</v>
      </c>
      <c r="Q249" s="304">
        <f t="shared" si="80"/>
        <v>0.7</v>
      </c>
      <c r="R249" s="177">
        <f t="shared" si="81"/>
        <v>0.3164644368232713</v>
      </c>
      <c r="S249" s="799">
        <f t="shared" si="82"/>
        <v>0</v>
      </c>
      <c r="T249" s="176">
        <f t="shared" si="83"/>
        <v>6</v>
      </c>
      <c r="U249" s="250">
        <f t="shared" si="84"/>
        <v>0.3164644368232713</v>
      </c>
      <c r="V249" s="382">
        <f t="shared" si="85"/>
        <v>51.401186056621015</v>
      </c>
      <c r="W249" s="400">
        <f t="shared" si="86"/>
        <v>0</v>
      </c>
      <c r="X249" s="157">
        <f t="shared" si="87"/>
        <v>44796</v>
      </c>
      <c r="Y249" s="383">
        <f t="shared" si="88"/>
        <v>40.708090046255393</v>
      </c>
      <c r="Z249" s="383">
        <f t="shared" si="89"/>
        <v>41.751849576944153</v>
      </c>
      <c r="AA249" s="384">
        <f t="shared" si="90"/>
        <v>45.739006898694072</v>
      </c>
      <c r="AB249" s="197">
        <f t="shared" si="91"/>
        <v>44796</v>
      </c>
      <c r="AC249" s="119">
        <f>IF(OR(t&lt;Tnet,NoTnet),'2021'!Resal_s+('2021'!Salim-'2021'!Resal_s)*(1-EXP(('2021'!Tnet_s-t)/'2021'!Tau_j)),Resal_s+(Salim-Resal_s)*(1-EXP((Tnet_s-t)/Tau_j)))*Salcycl</f>
        <v>8.7171925935798186E-2</v>
      </c>
      <c r="AD249" s="230">
        <f>(INDEX(Models!$BJ249:$BT249,,AH249)*(1-AF249)+INDEX(Models!$BJ249:$BT249,,AH249+1)*AF249-ERP_i)*AE249*Ramure*Pc/MaxiM</f>
        <v>2.839159834110878E-3</v>
      </c>
      <c r="AE249" s="304">
        <f t="shared" si="92"/>
        <v>0.7</v>
      </c>
      <c r="AF249" s="177">
        <f t="shared" si="93"/>
        <v>0.38079665908310345</v>
      </c>
      <c r="AG249" s="799">
        <f t="shared" si="99"/>
        <v>0</v>
      </c>
      <c r="AH249" s="176">
        <f t="shared" si="94"/>
        <v>6</v>
      </c>
      <c r="AI249" s="224">
        <f t="shared" si="95"/>
        <v>0.38079665908310345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44797</v>
      </c>
      <c r="B250" s="1147">
        <v>51.444000000000003</v>
      </c>
      <c r="C250" s="388"/>
      <c r="D250" s="391">
        <f t="shared" si="77"/>
        <v>52.764040554493917</v>
      </c>
      <c r="E250" s="383">
        <f t="shared" si="100"/>
        <v>53.506537925394596</v>
      </c>
      <c r="F250" s="383">
        <f t="shared" si="78"/>
        <v>53.652701401553543</v>
      </c>
      <c r="G250" s="110">
        <f t="shared" si="101"/>
        <v>1.003956420084732</v>
      </c>
      <c r="H250" s="412" t="b">
        <f>Wh_hp&gt;='2021'!Maxi_hp</f>
        <v>1</v>
      </c>
      <c r="I250" s="379">
        <f>IF(H250,Wh_hp,'2021'!Maxi_hp)</f>
        <v>53.652701401553543</v>
      </c>
      <c r="J250" s="85">
        <f>IF(H250,An,'2021'!An_max)</f>
        <v>2022</v>
      </c>
      <c r="K250" s="197">
        <f t="shared" si="79"/>
        <v>44797</v>
      </c>
      <c r="L250" s="147">
        <f>IF(t&lt;Tvie,1-EXP((T0-t)*PertePVj)+'2021'!Pspv,1-EXP((T0-t)*PertePVj)+Pspv)</f>
        <v>2.5017806457232838E-2</v>
      </c>
      <c r="M250" s="832"/>
      <c r="N250" s="832"/>
      <c r="O250" s="48">
        <f>IF(t&lt;Tnet,'2021'!Resal+('2021'!Salim-'2021'!Resal)*(1-EXP(('2021'!Tnet-t)/('2021'!Tau_j))),Resal+(Salim-Resal)*(1-EXP((Tnet-t)/(Tau_j))))*Salcycl</f>
        <v>1.3876759732352072E-2</v>
      </c>
      <c r="P250" s="169">
        <f>(INDEX(Models!$BJ250:$BT250,,T250)*(1-R250)+INDEX(Models!$BJ250:$BT250,,T250+1)*R250-ERP_i)*Q250*Ramure*Pc/MaxiM</f>
        <v>2.7242519452098223E-3</v>
      </c>
      <c r="Q250" s="304">
        <f t="shared" si="80"/>
        <v>0.7</v>
      </c>
      <c r="R250" s="177">
        <f t="shared" si="81"/>
        <v>0.31716789406300266</v>
      </c>
      <c r="S250" s="799">
        <f t="shared" si="82"/>
        <v>0</v>
      </c>
      <c r="T250" s="176">
        <f t="shared" si="83"/>
        <v>6</v>
      </c>
      <c r="U250" s="250">
        <f t="shared" si="84"/>
        <v>0.31716789406300266</v>
      </c>
      <c r="V250" s="382">
        <f t="shared" si="85"/>
        <v>51.24126801804627</v>
      </c>
      <c r="W250" s="400">
        <f t="shared" si="86"/>
        <v>0</v>
      </c>
      <c r="X250" s="157">
        <f t="shared" si="87"/>
        <v>44797</v>
      </c>
      <c r="Y250" s="383">
        <f t="shared" si="88"/>
        <v>47.613054141685652</v>
      </c>
      <c r="Z250" s="383">
        <f t="shared" si="89"/>
        <v>48.834793555229297</v>
      </c>
      <c r="AA250" s="384">
        <f t="shared" si="90"/>
        <v>53.497247178842308</v>
      </c>
      <c r="AB250" s="197">
        <f t="shared" si="91"/>
        <v>44797</v>
      </c>
      <c r="AC250" s="119">
        <f>IF(OR(t&lt;Tnet,NoTnet),'2021'!Resal_s+('2021'!Salim-'2021'!Resal_s)*(1-EXP(('2021'!Tnet_s-t)/'2021'!Tau_j)),Resal_s+(Salim-Resal_s)*(1-EXP((Tnet_s-t)/Tau_j)))*Salcycl</f>
        <v>8.7153150292506448E-2</v>
      </c>
      <c r="AD250" s="230">
        <f>(INDEX(Models!$BJ250:$BT250,,AH250)*(1-AF250)+INDEX(Models!$BJ250:$BT250,,AH250+1)*AF250-ERP_i)*AE250*Ramure*Pc/MaxiM</f>
        <v>2.8974165074703512E-3</v>
      </c>
      <c r="AE250" s="304">
        <f t="shared" si="92"/>
        <v>0.7</v>
      </c>
      <c r="AF250" s="177">
        <f t="shared" si="93"/>
        <v>0.38150011632283481</v>
      </c>
      <c r="AG250" s="799">
        <f t="shared" si="99"/>
        <v>0</v>
      </c>
      <c r="AH250" s="176">
        <f t="shared" si="94"/>
        <v>6</v>
      </c>
      <c r="AI250" s="224">
        <f t="shared" si="95"/>
        <v>0.38150011632283481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44798</v>
      </c>
      <c r="B251" s="1147">
        <v>28.969000000000001</v>
      </c>
      <c r="C251" s="388"/>
      <c r="D251" s="391">
        <f t="shared" si="77"/>
        <v>29.712906950280175</v>
      </c>
      <c r="E251" s="383">
        <f t="shared" si="100"/>
        <v>30.132657058291752</v>
      </c>
      <c r="F251" s="383">
        <f t="shared" si="78"/>
        <v>30.164734470956461</v>
      </c>
      <c r="G251" s="110">
        <f t="shared" si="101"/>
        <v>0.56616057274662135</v>
      </c>
      <c r="H251" s="412" t="b">
        <f>Wh_hp&gt;='2021'!Maxi_hp</f>
        <v>0</v>
      </c>
      <c r="I251" s="379">
        <f>IF(H251,Wh_hp,'2021'!Maxi_hp)</f>
        <v>51.419146627981888</v>
      </c>
      <c r="J251" s="85">
        <f>IF(H251,An,'2021'!An_max)</f>
        <v>2021</v>
      </c>
      <c r="K251" s="197">
        <f t="shared" si="79"/>
        <v>44798</v>
      </c>
      <c r="L251" s="147">
        <f>IF(t&lt;Tvie,1-EXP((T0-t)*PertePVj)+'2021'!Pspv,1-EXP((T0-t)*PertePVj)+Pspv)</f>
        <v>2.5036491768542946E-2</v>
      </c>
      <c r="M251" s="832"/>
      <c r="N251" s="832"/>
      <c r="O251" s="48">
        <f>IF(t&lt;Tnet,'2021'!Resal+('2021'!Salim-'2021'!Resal)*(1-EXP(('2021'!Tnet-t)/('2021'!Tau_j))),Resal+(Salim-Resal)*(1-EXP((Tnet-t)/(Tau_j))))*Salcycl</f>
        <v>1.3930072850846518E-2</v>
      </c>
      <c r="P251" s="169">
        <f>(INDEX(Models!$BJ251:$BT251,,T251)*(1-R251)+INDEX(Models!$BJ251:$BT251,,T251+1)*R251-ERP_i)*Q251*Ramure*Pc/MaxiM</f>
        <v>2.7865113037708056E-3</v>
      </c>
      <c r="Q251" s="304">
        <f t="shared" si="80"/>
        <v>0.7</v>
      </c>
      <c r="R251" s="177">
        <f t="shared" si="81"/>
        <v>0.31784546619737436</v>
      </c>
      <c r="S251" s="799">
        <f t="shared" si="82"/>
        <v>0</v>
      </c>
      <c r="T251" s="176">
        <f t="shared" si="83"/>
        <v>6</v>
      </c>
      <c r="U251" s="250">
        <f t="shared" si="84"/>
        <v>0.31784546619737436</v>
      </c>
      <c r="V251" s="382">
        <f t="shared" si="85"/>
        <v>51.079202027269723</v>
      </c>
      <c r="W251" s="400">
        <f t="shared" si="86"/>
        <v>0</v>
      </c>
      <c r="X251" s="157">
        <f t="shared" si="87"/>
        <v>44798</v>
      </c>
      <c r="Y251" s="383">
        <f t="shared" si="88"/>
        <v>26.816566238604285</v>
      </c>
      <c r="Z251" s="383">
        <f t="shared" si="89"/>
        <v>27.505199950763707</v>
      </c>
      <c r="AA251" s="384">
        <f t="shared" si="90"/>
        <v>30.130602158035465</v>
      </c>
      <c r="AB251" s="197">
        <f t="shared" si="91"/>
        <v>44798</v>
      </c>
      <c r="AC251" s="119">
        <f>IF(OR(t&lt;Tnet,NoTnet),'2021'!Resal_s+('2021'!Salim-'2021'!Resal_s)*(1-EXP(('2021'!Tnet_s-t)/'2021'!Tau_j)),Resal_s+(Salim-Resal_s)*(1-EXP((Tnet_s-t)/Tau_j)))*Salcycl</f>
        <v>8.7134076959414344E-2</v>
      </c>
      <c r="AD251" s="230">
        <f>(INDEX(Models!$BJ251:$BT251,,AH251)*(1-AF251)+INDEX(Models!$BJ251:$BT251,,AH251+1)*AF251-ERP_i)*AE251*Ramure*Pc/MaxiM</f>
        <v>2.9650170595847216E-3</v>
      </c>
      <c r="AE251" s="304">
        <f t="shared" si="92"/>
        <v>0.7</v>
      </c>
      <c r="AF251" s="177">
        <f t="shared" si="93"/>
        <v>0.38217768845720651</v>
      </c>
      <c r="AG251" s="799">
        <f t="shared" si="99"/>
        <v>0</v>
      </c>
      <c r="AH251" s="176">
        <f t="shared" si="94"/>
        <v>6</v>
      </c>
      <c r="AI251" s="224">
        <f t="shared" si="95"/>
        <v>0.38217768845720651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44799</v>
      </c>
      <c r="B252" s="1147">
        <v>37.024000000000001</v>
      </c>
      <c r="C252" s="388"/>
      <c r="D252" s="391">
        <f t="shared" si="77"/>
        <v>37.975482423207296</v>
      </c>
      <c r="E252" s="383">
        <f t="shared" si="100"/>
        <v>38.514034813824374</v>
      </c>
      <c r="F252" s="383">
        <f t="shared" si="78"/>
        <v>38.581319670796695</v>
      </c>
      <c r="G252" s="110">
        <f t="shared" si="101"/>
        <v>0.72636602254329663</v>
      </c>
      <c r="H252" s="412" t="b">
        <f>Wh_hp&gt;='2021'!Maxi_hp</f>
        <v>0</v>
      </c>
      <c r="I252" s="379">
        <f>IF(H252,Wh_hp,'2021'!Maxi_hp)</f>
        <v>52.553587232779272</v>
      </c>
      <c r="J252" s="85">
        <f>IF(H252,An,'2021'!An_max)</f>
        <v>2020</v>
      </c>
      <c r="K252" s="197">
        <f t="shared" si="79"/>
        <v>44799</v>
      </c>
      <c r="L252" s="147">
        <f>IF(t&lt;Tvie,1-EXP((T0-t)*PertePVj)+'2021'!Pspv,1-EXP((T0-t)*PertePVj)+Pspv)</f>
        <v>2.5055176721753281E-2</v>
      </c>
      <c r="M252" s="832"/>
      <c r="N252" s="832"/>
      <c r="O252" s="48">
        <f>IF(t&lt;Tnet,'2021'!Resal+('2021'!Salim-'2021'!Resal)*(1-EXP(('2021'!Tnet-t)/('2021'!Tau_j))),Resal+(Salim-Resal)*(1-EXP((Tnet-t)/(Tau_j))))*Salcycl</f>
        <v>1.3983276310062531E-2</v>
      </c>
      <c r="P252" s="169">
        <f>(INDEX(Models!$BJ252:$BT252,,T252)*(1-R252)+INDEX(Models!$BJ252:$BT252,,T252+1)*R252-ERP_i)*Q252*Ramure*Pc/MaxiM</f>
        <v>2.8577882742470803E-3</v>
      </c>
      <c r="Q252" s="304">
        <f t="shared" si="80"/>
        <v>0.7</v>
      </c>
      <c r="R252" s="177">
        <f t="shared" si="81"/>
        <v>0.31849801499849728</v>
      </c>
      <c r="S252" s="799">
        <f t="shared" si="82"/>
        <v>0</v>
      </c>
      <c r="T252" s="176">
        <f t="shared" si="83"/>
        <v>6</v>
      </c>
      <c r="U252" s="250">
        <f t="shared" si="84"/>
        <v>0.31849801499849728</v>
      </c>
      <c r="V252" s="382">
        <f t="shared" si="85"/>
        <v>50.914675227330974</v>
      </c>
      <c r="W252" s="400">
        <f t="shared" si="86"/>
        <v>0</v>
      </c>
      <c r="X252" s="157">
        <f t="shared" si="87"/>
        <v>44799</v>
      </c>
      <c r="Y252" s="383">
        <f t="shared" si="88"/>
        <v>34.274122473195121</v>
      </c>
      <c r="Z252" s="383">
        <f t="shared" si="89"/>
        <v>35.15493559722546</v>
      </c>
      <c r="AA252" s="384">
        <f t="shared" si="90"/>
        <v>38.509695966833917</v>
      </c>
      <c r="AB252" s="197">
        <f t="shared" si="91"/>
        <v>44799</v>
      </c>
      <c r="AC252" s="119">
        <f>IF(OR(t&lt;Tnet,NoTnet),'2021'!Resal_s+('2021'!Salim-'2021'!Resal_s)*(1-EXP(('2021'!Tnet_s-t)/'2021'!Tau_j)),Resal_s+(Salim-Resal_s)*(1-EXP((Tnet_s-t)/Tau_j)))*Salcycl</f>
        <v>8.7114693725385592E-2</v>
      </c>
      <c r="AD252" s="230">
        <f>(INDEX(Models!$BJ252:$BT252,,AH252)*(1-AF252)+INDEX(Models!$BJ252:$BT252,,AH252+1)*AF252-ERP_i)*AE252*Ramure*Pc/MaxiM</f>
        <v>3.0420720285868831E-3</v>
      </c>
      <c r="AE252" s="304">
        <f t="shared" si="92"/>
        <v>0.7</v>
      </c>
      <c r="AF252" s="177">
        <f t="shared" si="93"/>
        <v>0.38283023725832943</v>
      </c>
      <c r="AG252" s="799">
        <f t="shared" si="99"/>
        <v>0</v>
      </c>
      <c r="AH252" s="176">
        <f t="shared" si="94"/>
        <v>6</v>
      </c>
      <c r="AI252" s="224">
        <f t="shared" si="95"/>
        <v>0.38283023725832943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44800</v>
      </c>
      <c r="B253" s="1147">
        <v>46.861000000000004</v>
      </c>
      <c r="C253" s="388"/>
      <c r="D253" s="391">
        <f t="shared" si="77"/>
        <v>48.066205367410689</v>
      </c>
      <c r="E253" s="383">
        <f t="shared" si="100"/>
        <v>48.750485092338579</v>
      </c>
      <c r="F253" s="383">
        <f t="shared" si="78"/>
        <v>48.878387229783151</v>
      </c>
      <c r="G253" s="110">
        <f t="shared" si="101"/>
        <v>0.92311961134439868</v>
      </c>
      <c r="H253" s="412" t="b">
        <f>Wh_hp&gt;='2021'!Maxi_hp</f>
        <v>1</v>
      </c>
      <c r="I253" s="379">
        <f>IF(H253,Wh_hp,'2021'!Maxi_hp)</f>
        <v>48.878387229783151</v>
      </c>
      <c r="J253" s="85">
        <f>IF(H253,An,'2021'!An_max)</f>
        <v>2022</v>
      </c>
      <c r="K253" s="197">
        <f t="shared" si="79"/>
        <v>44800</v>
      </c>
      <c r="L253" s="147">
        <f>IF(t&lt;Tvie,1-EXP((T0-t)*PertePVj)+'2021'!Pspv,1-EXP((T0-t)*PertePVj)+Pspv)</f>
        <v>2.5073861316870727E-2</v>
      </c>
      <c r="M253" s="832"/>
      <c r="N253" s="832"/>
      <c r="O253" s="48">
        <f>IF(t&lt;Tnet,'2021'!Resal+('2021'!Salim-'2021'!Resal)*(1-EXP(('2021'!Tnet-t)/('2021'!Tau_j))),Resal+(Salim-Resal)*(1-EXP((Tnet-t)/(Tau_j))))*Salcycl</f>
        <v>1.4036367507560009E-2</v>
      </c>
      <c r="P253" s="169">
        <f>(INDEX(Models!$BJ253:$BT253,,T253)*(1-R253)+INDEX(Models!$BJ253:$BT253,,T253+1)*R253-ERP_i)*Q253*Ramure*Pc/MaxiM</f>
        <v>2.9381920460834704E-3</v>
      </c>
      <c r="Q253" s="304">
        <f t="shared" si="80"/>
        <v>0.7</v>
      </c>
      <c r="R253" s="177">
        <f t="shared" si="81"/>
        <v>0.31912638046669506</v>
      </c>
      <c r="S253" s="799">
        <f t="shared" si="82"/>
        <v>0</v>
      </c>
      <c r="T253" s="176">
        <f t="shared" si="83"/>
        <v>6</v>
      </c>
      <c r="U253" s="250">
        <f t="shared" si="84"/>
        <v>0.31912638046669506</v>
      </c>
      <c r="V253" s="382">
        <f t="shared" si="85"/>
        <v>50.747374924559331</v>
      </c>
      <c r="W253" s="400">
        <f t="shared" si="86"/>
        <v>0</v>
      </c>
      <c r="X253" s="157">
        <f t="shared" si="87"/>
        <v>44800</v>
      </c>
      <c r="Y253" s="383">
        <f t="shared" si="88"/>
        <v>43.381280237040357</v>
      </c>
      <c r="Z253" s="383">
        <f t="shared" si="89"/>
        <v>44.49699163429667</v>
      </c>
      <c r="AA253" s="384">
        <f t="shared" si="90"/>
        <v>48.742192284731175</v>
      </c>
      <c r="AB253" s="197">
        <f t="shared" si="91"/>
        <v>44800</v>
      </c>
      <c r="AC253" s="119">
        <f>IF(OR(t&lt;Tnet,NoTnet),'2021'!Resal_s+('2021'!Salim-'2021'!Resal_s)*(1-EXP(('2021'!Tnet_s-t)/'2021'!Tau_j)),Resal_s+(Salim-Resal_s)*(1-EXP((Tnet_s-t)/Tau_j)))*Salcycl</f>
        <v>8.7094987965166848E-2</v>
      </c>
      <c r="AD253" s="230">
        <f>(INDEX(Models!$BJ253:$BT253,,AH253)*(1-AF253)+INDEX(Models!$BJ253:$BT253,,AH253+1)*AF253-ERP_i)*AE253*Ramure*Pc/MaxiM</f>
        <v>3.128695987914262E-3</v>
      </c>
      <c r="AE253" s="304">
        <f t="shared" si="92"/>
        <v>0.7</v>
      </c>
      <c r="AF253" s="177">
        <f t="shared" si="93"/>
        <v>0.38345860272652721</v>
      </c>
      <c r="AG253" s="799">
        <f t="shared" si="99"/>
        <v>0</v>
      </c>
      <c r="AH253" s="176">
        <f t="shared" si="94"/>
        <v>6</v>
      </c>
      <c r="AI253" s="224">
        <f t="shared" si="95"/>
        <v>0.38345860272652721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44801</v>
      </c>
      <c r="B254" s="1147">
        <v>50.105000000000004</v>
      </c>
      <c r="C254" s="388"/>
      <c r="D254" s="391">
        <f t="shared" si="77"/>
        <v>51.394621891026162</v>
      </c>
      <c r="E254" s="383">
        <f t="shared" si="100"/>
        <v>52.129086509744084</v>
      </c>
      <c r="F254" s="383">
        <f t="shared" si="78"/>
        <v>52.285186031280467</v>
      </c>
      <c r="G254" s="110">
        <f t="shared" si="101"/>
        <v>0.9906258914664392</v>
      </c>
      <c r="H254" s="412" t="b">
        <f>Wh_hp&gt;='2021'!Maxi_hp</f>
        <v>0</v>
      </c>
      <c r="I254" s="379">
        <f>IF(H254,Wh_hp,'2021'!Maxi_hp)</f>
        <v>53.319342181775433</v>
      </c>
      <c r="J254" s="85">
        <f>IF(H254,An,'2021'!An_max)</f>
        <v>2021</v>
      </c>
      <c r="K254" s="197">
        <f t="shared" si="79"/>
        <v>44801</v>
      </c>
      <c r="L254" s="147">
        <f>IF(t&lt;Tvie,1-EXP((T0-t)*PertePVj)+'2021'!Pspv,1-EXP((T0-t)*PertePVj)+Pspv)</f>
        <v>2.5092545553902279E-2</v>
      </c>
      <c r="M254" s="832"/>
      <c r="N254" s="832"/>
      <c r="O254" s="48">
        <f>IF(t&lt;Tnet,'2021'!Resal+('2021'!Salim-'2021'!Resal)*(1-EXP(('2021'!Tnet-t)/('2021'!Tau_j))),Resal+(Salim-Resal)*(1-EXP((Tnet-t)/(Tau_j))))*Salcycl</f>
        <v>1.4089343740574307E-2</v>
      </c>
      <c r="P254" s="169">
        <f>(INDEX(Models!$BJ254:$BT254,,T254)*(1-R254)+INDEX(Models!$BJ254:$BT254,,T254+1)*R254-ERP_i)*Q254*Ramure*Pc/MaxiM</f>
        <v>3.0258882719391999E-3</v>
      </c>
      <c r="Q254" s="304">
        <f t="shared" si="80"/>
        <v>0.7</v>
      </c>
      <c r="R254" s="177">
        <f t="shared" si="81"/>
        <v>0.31973138082874292</v>
      </c>
      <c r="S254" s="799">
        <f t="shared" si="82"/>
        <v>0</v>
      </c>
      <c r="T254" s="176">
        <f t="shared" si="83"/>
        <v>6</v>
      </c>
      <c r="U254" s="250">
        <f t="shared" si="84"/>
        <v>0.31973138082874292</v>
      </c>
      <c r="V254" s="382">
        <f t="shared" si="85"/>
        <v>50.577087409684438</v>
      </c>
      <c r="W254" s="400">
        <f t="shared" si="86"/>
        <v>0</v>
      </c>
      <c r="X254" s="157">
        <f t="shared" si="87"/>
        <v>44801</v>
      </c>
      <c r="Y254" s="383">
        <f t="shared" si="88"/>
        <v>46.386753644076741</v>
      </c>
      <c r="Z254" s="383">
        <f t="shared" si="89"/>
        <v>47.580673870661684</v>
      </c>
      <c r="AA254" s="384">
        <f t="shared" si="90"/>
        <v>52.118926624954995</v>
      </c>
      <c r="AB254" s="197">
        <f t="shared" si="91"/>
        <v>44801</v>
      </c>
      <c r="AC254" s="119">
        <f>IF(OR(t&lt;Tnet,NoTnet),'2021'!Resal_s+('2021'!Salim-'2021'!Resal_s)*(1-EXP(('2021'!Tnet_s-t)/'2021'!Tau_j)),Resal_s+(Salim-Resal_s)*(1-EXP((Tnet_s-t)/Tau_j)))*Salcycl</f>
        <v>8.7074946630239236E-2</v>
      </c>
      <c r="AD254" s="230">
        <f>(INDEX(Models!$BJ254:$BT254,,AH254)*(1-AF254)+INDEX(Models!$BJ254:$BT254,,AH254+1)*AF254-ERP_i)*AE254*Ramure*Pc/MaxiM</f>
        <v>3.2228310679514546E-3</v>
      </c>
      <c r="AE254" s="304">
        <f t="shared" si="92"/>
        <v>0.7</v>
      </c>
      <c r="AF254" s="177">
        <f t="shared" si="93"/>
        <v>0.38406360308857507</v>
      </c>
      <c r="AG254" s="799">
        <f t="shared" si="99"/>
        <v>0</v>
      </c>
      <c r="AH254" s="176">
        <f t="shared" si="94"/>
        <v>6</v>
      </c>
      <c r="AI254" s="224">
        <f t="shared" si="95"/>
        <v>0.38406360308857507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44802</v>
      </c>
      <c r="B255" s="1147">
        <v>33.619</v>
      </c>
      <c r="C255" s="388"/>
      <c r="D255" s="391">
        <f t="shared" si="77"/>
        <v>34.484959735911218</v>
      </c>
      <c r="E255" s="383">
        <f t="shared" si="100"/>
        <v>34.979649005096249</v>
      </c>
      <c r="F255" s="383">
        <f t="shared" si="78"/>
        <v>35.036901863154313</v>
      </c>
      <c r="G255" s="110">
        <f t="shared" si="101"/>
        <v>0.66600394377836825</v>
      </c>
      <c r="H255" s="412" t="b">
        <f>Wh_hp&gt;='2021'!Maxi_hp</f>
        <v>0</v>
      </c>
      <c r="I255" s="379">
        <f>IF(H255,Wh_hp,'2021'!Maxi_hp)</f>
        <v>52.692719517671406</v>
      </c>
      <c r="J255" s="85">
        <f>IF(H255,An,'2021'!An_max)</f>
        <v>2021</v>
      </c>
      <c r="K255" s="197">
        <f t="shared" si="79"/>
        <v>44802</v>
      </c>
      <c r="L255" s="147">
        <f>IF(t&lt;Tvie,1-EXP((T0-t)*PertePVj)+'2021'!Pspv,1-EXP((T0-t)*PertePVj)+Pspv)</f>
        <v>2.5111229432854598E-2</v>
      </c>
      <c r="M255" s="832"/>
      <c r="N255" s="832"/>
      <c r="O255" s="48">
        <f>IF(t&lt;Tnet,'2021'!Resal+('2021'!Salim-'2021'!Resal)*(1-EXP(('2021'!Tnet-t)/('2021'!Tau_j))),Resal+(Salim-Resal)*(1-EXP((Tnet-t)/(Tau_j))))*Salcycl</f>
        <v>1.4142202201999281E-2</v>
      </c>
      <c r="P255" s="169">
        <f>(INDEX(Models!$BJ255:$BT255,,T255)*(1-R255)+INDEX(Models!$BJ255:$BT255,,T255+1)*R255-ERP_i)*Q255*Ramure*Pc/MaxiM</f>
        <v>3.1168070260726506E-3</v>
      </c>
      <c r="Q255" s="304">
        <f t="shared" si="80"/>
        <v>0.7</v>
      </c>
      <c r="R255" s="177">
        <f t="shared" si="81"/>
        <v>0.32031381259057862</v>
      </c>
      <c r="S255" s="799">
        <f t="shared" si="82"/>
        <v>0</v>
      </c>
      <c r="T255" s="176">
        <f t="shared" si="83"/>
        <v>6</v>
      </c>
      <c r="U255" s="250">
        <f t="shared" si="84"/>
        <v>0.32031381259057862</v>
      </c>
      <c r="V255" s="382">
        <f t="shared" si="85"/>
        <v>50.403711107615315</v>
      </c>
      <c r="W255" s="400">
        <f t="shared" si="86"/>
        <v>0</v>
      </c>
      <c r="X255" s="157">
        <f t="shared" si="87"/>
        <v>44802</v>
      </c>
      <c r="Y255" s="383">
        <f t="shared" si="88"/>
        <v>31.129275741596079</v>
      </c>
      <c r="Z255" s="383">
        <f t="shared" si="89"/>
        <v>31.931105046462378</v>
      </c>
      <c r="AA255" s="384">
        <f t="shared" si="90"/>
        <v>34.975918073132085</v>
      </c>
      <c r="AB255" s="197">
        <f t="shared" si="91"/>
        <v>44802</v>
      </c>
      <c r="AC255" s="119">
        <f>IF(OR(t&lt;Tnet,NoTnet),'2021'!Resal_s+('2021'!Salim-'2021'!Resal_s)*(1-EXP(('2021'!Tnet_s-t)/'2021'!Tau_j)),Resal_s+(Salim-Resal_s)*(1-EXP((Tnet_s-t)/Tau_j)))*Salcycl</f>
        <v>8.7054556232183125E-2</v>
      </c>
      <c r="AD255" s="230">
        <f>(INDEX(Models!$BJ255:$BT255,,AH255)*(1-AF255)+INDEX(Models!$BJ255:$BT255,,AH255+1)*AF255-ERP_i)*AE255*Ramure*Pc/MaxiM</f>
        <v>3.3199164489756535E-3</v>
      </c>
      <c r="AE255" s="304">
        <f t="shared" si="92"/>
        <v>0.7</v>
      </c>
      <c r="AF255" s="177">
        <f t="shared" si="93"/>
        <v>0.38464603485041077</v>
      </c>
      <c r="AG255" s="799">
        <f t="shared" si="99"/>
        <v>0</v>
      </c>
      <c r="AH255" s="176">
        <f t="shared" si="94"/>
        <v>6</v>
      </c>
      <c r="AI255" s="224">
        <f t="shared" si="95"/>
        <v>0.38464603485041077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44803</v>
      </c>
      <c r="B256" s="1147">
        <v>49.451999999999998</v>
      </c>
      <c r="C256" s="388"/>
      <c r="D256" s="391">
        <f t="shared" si="77"/>
        <v>50.726759039077074</v>
      </c>
      <c r="E256" s="383">
        <f t="shared" si="100"/>
        <v>51.457190773398935</v>
      </c>
      <c r="F256" s="383">
        <f t="shared" si="78"/>
        <v>51.619286910358419</v>
      </c>
      <c r="G256" s="110">
        <f t="shared" si="101"/>
        <v>0.98450143677916213</v>
      </c>
      <c r="H256" s="412" t="b">
        <f>Wh_hp&gt;='2021'!Maxi_hp</f>
        <v>1</v>
      </c>
      <c r="I256" s="379">
        <f>IF(H256,Wh_hp,'2021'!Maxi_hp)</f>
        <v>51.619286910358419</v>
      </c>
      <c r="J256" s="85">
        <f>IF(H256,An,'2021'!An_max)</f>
        <v>2022</v>
      </c>
      <c r="K256" s="197">
        <f t="shared" si="79"/>
        <v>44803</v>
      </c>
      <c r="L256" s="147">
        <f>IF(t&lt;Tvie,1-EXP((T0-t)*PertePVj)+'2021'!Pspv,1-EXP((T0-t)*PertePVj)+Pspv)</f>
        <v>2.5129912953734568E-2</v>
      </c>
      <c r="M256" s="832"/>
      <c r="N256" s="832"/>
      <c r="O256" s="48">
        <f>IF(t&lt;Tnet,'2021'!Resal+('2021'!Salim-'2021'!Resal)*(1-EXP(('2021'!Tnet-t)/('2021'!Tau_j))),Resal+(Salim-Resal)*(1-EXP((Tnet-t)/(Tau_j))))*Salcycl</f>
        <v>1.4194939975220354E-2</v>
      </c>
      <c r="P256" s="169">
        <f>(INDEX(Models!$BJ256:$BT256,,T256)*(1-R256)+INDEX(Models!$BJ256:$BT256,,T256+1)*R256-ERP_i)*Q256*Ramure*Pc/MaxiM</f>
        <v>3.2109976851600044E-3</v>
      </c>
      <c r="Q256" s="304">
        <f t="shared" si="80"/>
        <v>0.7</v>
      </c>
      <c r="R256" s="177">
        <f t="shared" si="81"/>
        <v>0.32087445063951836</v>
      </c>
      <c r="S256" s="799">
        <f t="shared" si="82"/>
        <v>0</v>
      </c>
      <c r="T256" s="176">
        <f t="shared" si="83"/>
        <v>6</v>
      </c>
      <c r="U256" s="250">
        <f t="shared" si="84"/>
        <v>0.32087445063951836</v>
      </c>
      <c r="V256" s="382">
        <f t="shared" si="85"/>
        <v>50.226934405725288</v>
      </c>
      <c r="W256" s="400">
        <f t="shared" si="86"/>
        <v>0</v>
      </c>
      <c r="X256" s="157">
        <f t="shared" si="87"/>
        <v>44803</v>
      </c>
      <c r="Y256" s="383">
        <f t="shared" si="88"/>
        <v>45.78871526579605</v>
      </c>
      <c r="Z256" s="383">
        <f t="shared" si="89"/>
        <v>46.969043233781164</v>
      </c>
      <c r="AA256" s="384">
        <f t="shared" si="90"/>
        <v>51.446639950995291</v>
      </c>
      <c r="AB256" s="197">
        <f t="shared" si="91"/>
        <v>44803</v>
      </c>
      <c r="AC256" s="119">
        <f>IF(OR(t&lt;Tnet,NoTnet),'2021'!Resal_s+('2021'!Salim-'2021'!Resal_s)*(1-EXP(('2021'!Tnet_s-t)/'2021'!Tau_j)),Resal_s+(Salim-Resal_s)*(1-EXP((Tnet_s-t)/Tau_j)))*Salcycl</f>
        <v>8.703380281937162E-2</v>
      </c>
      <c r="AD256" s="230">
        <f>(INDEX(Models!$BJ256:$BT256,,AH256)*(1-AF256)+INDEX(Models!$BJ256:$BT256,,AH256+1)*AF256-ERP_i)*AE256*Ramure*Pc/MaxiM</f>
        <v>3.4200012243565674E-3</v>
      </c>
      <c r="AE256" s="304">
        <f t="shared" si="92"/>
        <v>0.7</v>
      </c>
      <c r="AF256" s="177">
        <f t="shared" si="93"/>
        <v>0.38520667289935051</v>
      </c>
      <c r="AG256" s="799">
        <f t="shared" si="99"/>
        <v>0</v>
      </c>
      <c r="AH256" s="176">
        <f t="shared" si="94"/>
        <v>6</v>
      </c>
      <c r="AI256" s="224">
        <f t="shared" si="95"/>
        <v>0.38520667289935051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44804</v>
      </c>
      <c r="B257" s="1147">
        <v>20.834</v>
      </c>
      <c r="C257" s="388"/>
      <c r="D257" s="391">
        <f t="shared" si="77"/>
        <v>21.371462273126937</v>
      </c>
      <c r="E257" s="383">
        <f t="shared" si="100"/>
        <v>21.68035429225025</v>
      </c>
      <c r="F257" s="383">
        <f t="shared" si="78"/>
        <v>21.692277546958707</v>
      </c>
      <c r="G257" s="110">
        <f t="shared" si="101"/>
        <v>0.41514417227578543</v>
      </c>
      <c r="H257" s="412" t="b">
        <f>Wh_hp&gt;='2021'!Maxi_hp</f>
        <v>0</v>
      </c>
      <c r="I257" s="379">
        <f>IF(H257,Wh_hp,'2021'!Maxi_hp)</f>
        <v>51.112198719060622</v>
      </c>
      <c r="J257" s="85">
        <f>IF(H257,An,'2021'!An_max)</f>
        <v>2021</v>
      </c>
      <c r="K257" s="197">
        <f t="shared" si="79"/>
        <v>44804</v>
      </c>
      <c r="L257" s="147">
        <f>IF(t&lt;Tvie,1-EXP((T0-t)*PertePVj)+'2021'!Pspv,1-EXP((T0-t)*PertePVj)+Pspv)</f>
        <v>2.5148596116549182E-2</v>
      </c>
      <c r="M257" s="832"/>
      <c r="N257" s="832"/>
      <c r="O257" s="48">
        <f>IF(t&lt;Tnet,'2021'!Resal+('2021'!Salim-'2021'!Resal)*(1-EXP(('2021'!Tnet-t)/('2021'!Tau_j))),Resal+(Salim-Resal)*(1-EXP((Tnet-t)/(Tau_j))))*Salcycl</f>
        <v>1.4247554027921359E-2</v>
      </c>
      <c r="P257" s="169">
        <f>(INDEX(Models!$BJ257:$BT257,,T257)*(1-R257)+INDEX(Models!$BJ257:$BT257,,T257+1)*R257-ERP_i)*Q257*Ramure*Pc/MaxiM</f>
        <v>3.308514322825236E-3</v>
      </c>
      <c r="Q257" s="304">
        <f t="shared" si="80"/>
        <v>0.7</v>
      </c>
      <c r="R257" s="177">
        <f t="shared" si="81"/>
        <v>0.32141404839127852</v>
      </c>
      <c r="S257" s="799">
        <f t="shared" si="82"/>
        <v>0</v>
      </c>
      <c r="T257" s="176">
        <f t="shared" si="83"/>
        <v>6</v>
      </c>
      <c r="U257" s="250">
        <f t="shared" si="84"/>
        <v>0.32141404839127852</v>
      </c>
      <c r="V257" s="382">
        <f t="shared" si="85"/>
        <v>50.046445761164215</v>
      </c>
      <c r="W257" s="400">
        <f t="shared" si="86"/>
        <v>0</v>
      </c>
      <c r="X257" s="157">
        <f t="shared" si="87"/>
        <v>44804</v>
      </c>
      <c r="Y257" s="383">
        <f t="shared" si="88"/>
        <v>19.295411816392669</v>
      </c>
      <c r="Z257" s="383">
        <f t="shared" si="89"/>
        <v>19.793182570724952</v>
      </c>
      <c r="AA257" s="384">
        <f t="shared" si="90"/>
        <v>21.679580825021155</v>
      </c>
      <c r="AB257" s="197">
        <f t="shared" si="91"/>
        <v>44804</v>
      </c>
      <c r="AC257" s="119">
        <f>IF(OR(t&lt;Tnet,NoTnet),'2021'!Resal_s+('2021'!Salim-'2021'!Resal_s)*(1-EXP(('2021'!Tnet_s-t)/'2021'!Tau_j)),Resal_s+(Salim-Resal_s)*(1-EXP((Tnet_s-t)/Tau_j)))*Salcycl</f>
        <v>8.7012671947930179E-2</v>
      </c>
      <c r="AD257" s="230">
        <f>(INDEX(Models!$BJ257:$BT257,,AH257)*(1-AF257)+INDEX(Models!$BJ257:$BT257,,AH257+1)*AF257-ERP_i)*AE257*Ramure*Pc/MaxiM</f>
        <v>3.5231392275396852E-3</v>
      </c>
      <c r="AE257" s="304">
        <f t="shared" si="92"/>
        <v>0.7</v>
      </c>
      <c r="AF257" s="177">
        <f t="shared" si="93"/>
        <v>0.38574627065111067</v>
      </c>
      <c r="AG257" s="799">
        <f t="shared" si="99"/>
        <v>0</v>
      </c>
      <c r="AH257" s="176">
        <f t="shared" si="94"/>
        <v>6</v>
      </c>
      <c r="AI257" s="224">
        <f t="shared" si="95"/>
        <v>0.38574627065111067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44805</v>
      </c>
      <c r="B258" s="1147">
        <v>44.22</v>
      </c>
      <c r="C258" s="388"/>
      <c r="D258" s="391">
        <f t="shared" si="77"/>
        <v>45.361628763413535</v>
      </c>
      <c r="E258" s="383">
        <f t="shared" si="100"/>
        <v>46.019712549108561</v>
      </c>
      <c r="F258" s="383">
        <f t="shared" si="78"/>
        <v>46.151627874383863</v>
      </c>
      <c r="G258" s="110">
        <f t="shared" si="101"/>
        <v>0.88635872365176083</v>
      </c>
      <c r="H258" s="412" t="b">
        <f>Wh_hp&gt;='2021'!Maxi_hp</f>
        <v>1</v>
      </c>
      <c r="I258" s="379">
        <f>IF(H258,Wh_hp,'2021'!Maxi_hp)</f>
        <v>46.151627874383863</v>
      </c>
      <c r="J258" s="85">
        <f>IF(H258,An,'2021'!An_max)</f>
        <v>2022</v>
      </c>
      <c r="K258" s="197">
        <f t="shared" si="79"/>
        <v>44805</v>
      </c>
      <c r="L258" s="147">
        <f>IF(t&lt;Tvie,1-EXP((T0-t)*PertePVj)+'2021'!Pspv,1-EXP((T0-t)*PertePVj)+Pspv)</f>
        <v>2.5167278921305325E-2</v>
      </c>
      <c r="M258" s="832"/>
      <c r="N258" s="832"/>
      <c r="O258" s="48">
        <f>IF(t&lt;Tnet,'2021'!Resal+('2021'!Salim-'2021'!Resal)*(1-EXP(('2021'!Tnet-t)/('2021'!Tau_j))),Resal+(Salim-Resal)*(1-EXP((Tnet-t)/(Tau_j))))*Salcycl</f>
        <v>1.4300041205011297E-2</v>
      </c>
      <c r="P258" s="169">
        <f>(INDEX(Models!$BJ258:$BT258,,T258)*(1-R258)+INDEX(Models!$BJ258:$BT258,,T258+1)*R258-ERP_i)*Q258*Ramure*Pc/MaxiM</f>
        <v>3.4094159560907711E-3</v>
      </c>
      <c r="Q258" s="304">
        <f t="shared" si="80"/>
        <v>0.7</v>
      </c>
      <c r="R258" s="177">
        <f t="shared" si="81"/>
        <v>0.32193333797737572</v>
      </c>
      <c r="S258" s="799">
        <f t="shared" si="82"/>
        <v>0</v>
      </c>
      <c r="T258" s="176">
        <f t="shared" si="83"/>
        <v>6</v>
      </c>
      <c r="U258" s="250">
        <f t="shared" si="84"/>
        <v>0.32193333797737572</v>
      </c>
      <c r="V258" s="382">
        <f t="shared" si="85"/>
        <v>49.86193370464602</v>
      </c>
      <c r="W258" s="400">
        <f t="shared" si="86"/>
        <v>0</v>
      </c>
      <c r="X258" s="157">
        <f t="shared" si="87"/>
        <v>44805</v>
      </c>
      <c r="Y258" s="383">
        <f t="shared" si="88"/>
        <v>40.95139117854729</v>
      </c>
      <c r="Z258" s="383">
        <f t="shared" si="89"/>
        <v>42.00863419236974</v>
      </c>
      <c r="AA258" s="384">
        <f t="shared" si="90"/>
        <v>46.011201457864281</v>
      </c>
      <c r="AB258" s="197">
        <f t="shared" si="91"/>
        <v>44805</v>
      </c>
      <c r="AC258" s="119">
        <f>IF(OR(t&lt;Tnet,NoTnet),'2021'!Resal_s+('2021'!Salim-'2021'!Resal_s)*(1-EXP(('2021'!Tnet_s-t)/'2021'!Tau_j)),Resal_s+(Salim-Resal_s)*(1-EXP((Tnet_s-t)/Tau_j)))*Salcycl</f>
        <v>8.6991148648008595E-2</v>
      </c>
      <c r="AD258" s="230">
        <f>(INDEX(Models!$BJ258:$BT258,,AH258)*(1-AF258)+INDEX(Models!$BJ258:$BT258,,AH258+1)*AF258-ERP_i)*AE258*Ramure*Pc/MaxiM</f>
        <v>3.6293892626905011E-3</v>
      </c>
      <c r="AE258" s="304">
        <f t="shared" si="92"/>
        <v>0.7</v>
      </c>
      <c r="AF258" s="177">
        <f t="shared" si="93"/>
        <v>0.38626556023720787</v>
      </c>
      <c r="AG258" s="799">
        <f t="shared" si="99"/>
        <v>0</v>
      </c>
      <c r="AH258" s="176">
        <f t="shared" si="94"/>
        <v>6</v>
      </c>
      <c r="AI258" s="224">
        <f t="shared" si="95"/>
        <v>0.38626556023720787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44806</v>
      </c>
      <c r="B259" s="1147">
        <v>39.131999999999998</v>
      </c>
      <c r="C259" s="388"/>
      <c r="D259" s="391">
        <f t="shared" si="77"/>
        <v>40.143041081882721</v>
      </c>
      <c r="E259" s="383">
        <f t="shared" si="100"/>
        <v>40.727579521749753</v>
      </c>
      <c r="F259" s="383">
        <f t="shared" si="78"/>
        <v>40.827547700778155</v>
      </c>
      <c r="G259" s="110">
        <f t="shared" si="101"/>
        <v>0.78694955347262285</v>
      </c>
      <c r="H259" s="412" t="b">
        <f>Wh_hp&gt;='2021'!Maxi_hp</f>
        <v>0</v>
      </c>
      <c r="I259" s="379">
        <f>IF(H259,Wh_hp,'2021'!Maxi_hp)</f>
        <v>43.932172595785929</v>
      </c>
      <c r="J259" s="85">
        <f>IF(H259,An,'2021'!An_max)</f>
        <v>2018</v>
      </c>
      <c r="K259" s="197">
        <f t="shared" si="79"/>
        <v>44806</v>
      </c>
      <c r="L259" s="147">
        <f>IF(t&lt;Tvie,1-EXP((T0-t)*PertePVj)+'2021'!Pspv,1-EXP((T0-t)*PertePVj)+Pspv)</f>
        <v>2.5185961368009657E-2</v>
      </c>
      <c r="M259" s="832"/>
      <c r="N259" s="832"/>
      <c r="O259" s="48">
        <f>IF(t&lt;Tnet,'2021'!Resal+('2021'!Salim-'2021'!Resal)*(1-EXP(('2021'!Tnet-t)/('2021'!Tau_j))),Resal+(Salim-Resal)*(1-EXP((Tnet-t)/(Tau_j))))*Salcycl</f>
        <v>1.4352398220838787E-2</v>
      </c>
      <c r="P259" s="169">
        <f>(INDEX(Models!$BJ259:$BT259,,T259)*(1-R259)+INDEX(Models!$BJ259:$BT259,,T259+1)*R259-ERP_i)*Q259*Ramure*Pc/MaxiM</f>
        <v>3.5137668087008426E-3</v>
      </c>
      <c r="Q259" s="304">
        <f t="shared" si="80"/>
        <v>0.7</v>
      </c>
      <c r="R259" s="177">
        <f t="shared" si="81"/>
        <v>0.322433030468741</v>
      </c>
      <c r="S259" s="799">
        <f t="shared" si="82"/>
        <v>0</v>
      </c>
      <c r="T259" s="176">
        <f t="shared" si="83"/>
        <v>6</v>
      </c>
      <c r="U259" s="250">
        <f t="shared" si="84"/>
        <v>0.322433030468741</v>
      </c>
      <c r="V259" s="382">
        <f t="shared" si="85"/>
        <v>49.673086843939515</v>
      </c>
      <c r="W259" s="400">
        <f t="shared" si="86"/>
        <v>0</v>
      </c>
      <c r="X259" s="157">
        <f t="shared" si="87"/>
        <v>44806</v>
      </c>
      <c r="Y259" s="383">
        <f t="shared" si="88"/>
        <v>36.243281733407358</v>
      </c>
      <c r="Z259" s="383">
        <f t="shared" si="89"/>
        <v>37.179687916958528</v>
      </c>
      <c r="AA259" s="384">
        <f t="shared" si="90"/>
        <v>40.72117679377034</v>
      </c>
      <c r="AB259" s="197">
        <f t="shared" si="91"/>
        <v>44806</v>
      </c>
      <c r="AC259" s="119">
        <f>IF(OR(t&lt;Tnet,NoTnet),'2021'!Resal_s+('2021'!Salim-'2021'!Resal_s)*(1-EXP(('2021'!Tnet_s-t)/'2021'!Tau_j)),Resal_s+(Salim-Resal_s)*(1-EXP((Tnet_s-t)/Tau_j)))*Salcycl</f>
        <v>8.6969217386507439E-2</v>
      </c>
      <c r="AD259" s="230">
        <f>(INDEX(Models!$BJ259:$BT259,,AH259)*(1-AF259)+INDEX(Models!$BJ259:$BT259,,AH259+1)*AF259-ERP_i)*AE259*Ramure*Pc/MaxiM</f>
        <v>3.7388153519259137E-3</v>
      </c>
      <c r="AE259" s="304">
        <f t="shared" si="92"/>
        <v>0.7</v>
      </c>
      <c r="AF259" s="177">
        <f t="shared" si="93"/>
        <v>0.38676525272857315</v>
      </c>
      <c r="AG259" s="799">
        <f t="shared" si="99"/>
        <v>0</v>
      </c>
      <c r="AH259" s="176">
        <f t="shared" si="94"/>
        <v>6</v>
      </c>
      <c r="AI259" s="224">
        <f t="shared" si="95"/>
        <v>0.38676525272857315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44807</v>
      </c>
      <c r="B260" s="1147">
        <v>32.872999999999998</v>
      </c>
      <c r="C260" s="388"/>
      <c r="D260" s="391">
        <f t="shared" si="77"/>
        <v>33.722975575683058</v>
      </c>
      <c r="E260" s="383">
        <f t="shared" si="100"/>
        <v>34.215841831735609</v>
      </c>
      <c r="F260" s="383">
        <f t="shared" si="78"/>
        <v>34.280467047672843</v>
      </c>
      <c r="G260" s="110">
        <f t="shared" si="101"/>
        <v>0.66321906530997565</v>
      </c>
      <c r="H260" s="412" t="b">
        <f>Wh_hp&gt;='2021'!Maxi_hp</f>
        <v>0</v>
      </c>
      <c r="I260" s="379">
        <f>IF(H260,Wh_hp,'2021'!Maxi_hp)</f>
        <v>53.184089947763461</v>
      </c>
      <c r="J260" s="85">
        <f>IF(H260,An,'2021'!An_max)</f>
        <v>2018</v>
      </c>
      <c r="K260" s="197">
        <f t="shared" si="79"/>
        <v>44807</v>
      </c>
      <c r="L260" s="147">
        <f>IF(t&lt;Tvie,1-EXP((T0-t)*PertePVj)+'2021'!Pspv,1-EXP((T0-t)*PertePVj)+Pspv)</f>
        <v>2.5204643456669285E-2</v>
      </c>
      <c r="M260" s="832"/>
      <c r="N260" s="832"/>
      <c r="O260" s="48">
        <f>IF(t&lt;Tnet,'2021'!Resal+('2021'!Salim-'2021'!Resal)*(1-EXP(('2021'!Tnet-t)/('2021'!Tau_j))),Resal+(Salim-Resal)*(1-EXP((Tnet-t)/(Tau_j))))*Salcycl</f>
        <v>1.4404621650881412E-2</v>
      </c>
      <c r="P260" s="169">
        <f>(INDEX(Models!$BJ260:$BT260,,T260)*(1-R260)+INDEX(Models!$BJ260:$BT260,,T260+1)*R260-ERP_i)*Q260*Ramure*Pc/MaxiM</f>
        <v>3.6216365930137055E-3</v>
      </c>
      <c r="Q260" s="304">
        <f t="shared" si="80"/>
        <v>0.7</v>
      </c>
      <c r="R260" s="177">
        <f t="shared" si="81"/>
        <v>0.32291381613164138</v>
      </c>
      <c r="S260" s="799">
        <f t="shared" si="82"/>
        <v>0</v>
      </c>
      <c r="T260" s="176">
        <f t="shared" si="83"/>
        <v>6</v>
      </c>
      <c r="U260" s="250">
        <f t="shared" si="84"/>
        <v>0.32291381613164138</v>
      </c>
      <c r="V260" s="382">
        <f t="shared" si="85"/>
        <v>49.479593870094419</v>
      </c>
      <c r="W260" s="400">
        <f t="shared" si="86"/>
        <v>0</v>
      </c>
      <c r="X260" s="157">
        <f t="shared" si="87"/>
        <v>44807</v>
      </c>
      <c r="Y260" s="383">
        <f t="shared" si="88"/>
        <v>30.449815970611546</v>
      </c>
      <c r="Z260" s="383">
        <f t="shared" si="89"/>
        <v>31.237136867976062</v>
      </c>
      <c r="AA260" s="384">
        <f t="shared" si="90"/>
        <v>34.211740334565661</v>
      </c>
      <c r="AB260" s="197">
        <f t="shared" si="91"/>
        <v>44807</v>
      </c>
      <c r="AC260" s="119">
        <f>IF(OR(t&lt;Tnet,NoTnet),'2021'!Resal_s+('2021'!Salim-'2021'!Resal_s)*(1-EXP(('2021'!Tnet_s-t)/'2021'!Tau_j)),Resal_s+(Salim-Resal_s)*(1-EXP((Tnet_s-t)/Tau_j)))*Salcycl</f>
        <v>8.6946862027484237E-2</v>
      </c>
      <c r="AD260" s="230">
        <f>(INDEX(Models!$BJ260:$BT260,,AH260)*(1-AF260)+INDEX(Models!$BJ260:$BT260,,AH260+1)*AF260-ERP_i)*AE260*Ramure*Pc/MaxiM</f>
        <v>3.8514870008057745E-3</v>
      </c>
      <c r="AE260" s="304">
        <f t="shared" si="92"/>
        <v>0.7</v>
      </c>
      <c r="AF260" s="177">
        <f t="shared" si="93"/>
        <v>0.38724603839147353</v>
      </c>
      <c r="AG260" s="799">
        <f t="shared" si="99"/>
        <v>0</v>
      </c>
      <c r="AH260" s="176">
        <f t="shared" si="94"/>
        <v>6</v>
      </c>
      <c r="AI260" s="224">
        <f t="shared" si="95"/>
        <v>0.38724603839147353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44808</v>
      </c>
      <c r="B261" s="1147">
        <v>49.928000000000004</v>
      </c>
      <c r="C261" s="388"/>
      <c r="D261" s="391">
        <f t="shared" si="77"/>
        <v>51.21993713031042</v>
      </c>
      <c r="E261" s="383">
        <f t="shared" si="100"/>
        <v>51.971270609911052</v>
      </c>
      <c r="F261" s="383">
        <f t="shared" si="78"/>
        <v>52.166009389945366</v>
      </c>
      <c r="G261" s="110">
        <f t="shared" si="101"/>
        <v>1.0131143940679883</v>
      </c>
      <c r="H261" s="412" t="b">
        <f>Wh_hp&gt;='2021'!Maxi_hp</f>
        <v>0</v>
      </c>
      <c r="I261" s="379">
        <f>IF(H261,Wh_hp,'2021'!Maxi_hp)</f>
        <v>52.707977140675048</v>
      </c>
      <c r="J261" s="85">
        <f>IF(H261,An,'2021'!An_max)</f>
        <v>2018</v>
      </c>
      <c r="K261" s="197">
        <f t="shared" si="79"/>
        <v>44808</v>
      </c>
      <c r="L261" s="147">
        <f>IF(t&lt;Tvie,1-EXP((T0-t)*PertePVj)+'2021'!Pspv,1-EXP((T0-t)*PertePVj)+Pspv)</f>
        <v>2.5223325187290868E-2</v>
      </c>
      <c r="M261" s="832"/>
      <c r="N261" s="832"/>
      <c r="O261" s="48">
        <f>IF(t&lt;Tnet,'2021'!Resal+('2021'!Salim-'2021'!Resal)*(1-EXP(('2021'!Tnet-t)/('2021'!Tau_j))),Resal+(Salim-Resal)*(1-EXP((Tnet-t)/(Tau_j))))*Salcycl</f>
        <v>1.4456707923114626E-2</v>
      </c>
      <c r="P261" s="169">
        <f>(INDEX(Models!$BJ261:$BT261,,T261)*(1-R261)+INDEX(Models!$BJ261:$BT261,,T261+1)*R261-ERP_i)*Q261*Ramure*Pc/MaxiM</f>
        <v>3.7330587927211943E-3</v>
      </c>
      <c r="Q261" s="304">
        <f t="shared" si="80"/>
        <v>0.7</v>
      </c>
      <c r="R261" s="177">
        <f t="shared" si="81"/>
        <v>0.32337636471225278</v>
      </c>
      <c r="S261" s="799">
        <f t="shared" si="82"/>
        <v>0</v>
      </c>
      <c r="T261" s="176">
        <f t="shared" si="83"/>
        <v>6</v>
      </c>
      <c r="U261" s="250">
        <f t="shared" si="84"/>
        <v>0.32337636471225278</v>
      </c>
      <c r="V261" s="382">
        <f t="shared" si="85"/>
        <v>49.281700361123704</v>
      </c>
      <c r="W261" s="400">
        <f t="shared" si="86"/>
        <v>0</v>
      </c>
      <c r="X261" s="157">
        <f t="shared" si="87"/>
        <v>44808</v>
      </c>
      <c r="Y261" s="383">
        <f t="shared" si="88"/>
        <v>46.245893839229005</v>
      </c>
      <c r="Z261" s="383">
        <f t="shared" si="89"/>
        <v>47.442552775603254</v>
      </c>
      <c r="AA261" s="384">
        <f t="shared" si="90"/>
        <v>51.959044147549932</v>
      </c>
      <c r="AB261" s="197">
        <f t="shared" si="91"/>
        <v>44808</v>
      </c>
      <c r="AC261" s="119">
        <f>IF(OR(t&lt;Tnet,NoTnet),'2021'!Resal_s+('2021'!Salim-'2021'!Resal_s)*(1-EXP(('2021'!Tnet_s-t)/'2021'!Tau_j)),Resal_s+(Salim-Resal_s)*(1-EXP((Tnet_s-t)/Tau_j)))*Salcycl</f>
        <v>8.6924065791530669E-2</v>
      </c>
      <c r="AD261" s="230">
        <f>(INDEX(Models!$BJ261:$BT261,,AH261)*(1-AF261)+INDEX(Models!$BJ261:$BT261,,AH261+1)*AF261-ERP_i)*AE261*Ramure*Pc/MaxiM</f>
        <v>3.9674348261594756E-3</v>
      </c>
      <c r="AE261" s="304">
        <f t="shared" si="92"/>
        <v>0.7</v>
      </c>
      <c r="AF261" s="177">
        <f t="shared" si="93"/>
        <v>0.38770858697208493</v>
      </c>
      <c r="AG261" s="799">
        <f t="shared" si="99"/>
        <v>0</v>
      </c>
      <c r="AH261" s="176">
        <f t="shared" si="94"/>
        <v>6</v>
      </c>
      <c r="AI261" s="224">
        <f t="shared" si="95"/>
        <v>0.38770858697208493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44809</v>
      </c>
      <c r="B262" s="1147">
        <v>42.768999999999998</v>
      </c>
      <c r="C262" s="388"/>
      <c r="D262" s="391">
        <f t="shared" si="77"/>
        <v>43.876531701022039</v>
      </c>
      <c r="E262" s="383">
        <f t="shared" si="100"/>
        <v>44.522493118137916</v>
      </c>
      <c r="F262" s="383">
        <f t="shared" si="78"/>
        <v>44.662659862896966</v>
      </c>
      <c r="G262" s="110">
        <f t="shared" si="101"/>
        <v>0.87079486456180233</v>
      </c>
      <c r="H262" s="412" t="b">
        <f>Wh_hp&gt;='2021'!Maxi_hp</f>
        <v>0</v>
      </c>
      <c r="I262" s="379">
        <f>IF(H262,Wh_hp,'2021'!Maxi_hp)</f>
        <v>52.360214050968047</v>
      </c>
      <c r="J262" s="85">
        <f>IF(H262,An,'2021'!An_max)</f>
        <v>2020</v>
      </c>
      <c r="K262" s="197">
        <f t="shared" si="79"/>
        <v>44809</v>
      </c>
      <c r="L262" s="147">
        <f>IF(t&lt;Tvie,1-EXP((T0-t)*PertePVj)+'2021'!Pspv,1-EXP((T0-t)*PertePVj)+Pspv)</f>
        <v>2.5242006559881403E-2</v>
      </c>
      <c r="M262" s="832"/>
      <c r="N262" s="832"/>
      <c r="O262" s="48">
        <f>IF(t&lt;Tnet,'2021'!Resal+('2021'!Salim-'2021'!Resal)*(1-EXP(('2021'!Tnet-t)/('2021'!Tau_j))),Resal+(Salim-Resal)*(1-EXP((Tnet-t)/(Tau_j))))*Salcycl</f>
        <v>1.450865330928016E-2</v>
      </c>
      <c r="P262" s="169">
        <f>(INDEX(Models!$BJ262:$BT262,,T262)*(1-R262)+INDEX(Models!$BJ262:$BT262,,T262+1)*R262-ERP_i)*Q262*Ramure*Pc/MaxiM</f>
        <v>3.8445801166351783E-3</v>
      </c>
      <c r="Q262" s="304">
        <f t="shared" si="80"/>
        <v>0.7</v>
      </c>
      <c r="R262" s="177">
        <f t="shared" si="81"/>
        <v>0.32382132574647027</v>
      </c>
      <c r="S262" s="799">
        <f t="shared" si="82"/>
        <v>0</v>
      </c>
      <c r="T262" s="176">
        <f t="shared" si="83"/>
        <v>6</v>
      </c>
      <c r="U262" s="250">
        <f t="shared" si="84"/>
        <v>0.32382132574647027</v>
      </c>
      <c r="V262" s="382">
        <f t="shared" si="85"/>
        <v>49.080100940735299</v>
      </c>
      <c r="W262" s="400">
        <f t="shared" si="86"/>
        <v>0</v>
      </c>
      <c r="X262" s="157">
        <f t="shared" si="87"/>
        <v>44809</v>
      </c>
      <c r="Y262" s="383">
        <f t="shared" si="88"/>
        <v>39.619541480486824</v>
      </c>
      <c r="Z262" s="383">
        <f t="shared" si="89"/>
        <v>40.64551585841469</v>
      </c>
      <c r="AA262" s="384">
        <f t="shared" si="90"/>
        <v>44.513801301827463</v>
      </c>
      <c r="AB262" s="197">
        <f t="shared" si="91"/>
        <v>44809</v>
      </c>
      <c r="AC262" s="119">
        <f>IF(OR(t&lt;Tnet,NoTnet),'2021'!Resal_s+('2021'!Salim-'2021'!Resal_s)*(1-EXP(('2021'!Tnet_s-t)/'2021'!Tau_j)),Resal_s+(Salim-Resal_s)*(1-EXP((Tnet_s-t)/Tau_j)))*Salcycl</f>
        <v>8.6900811215463766E-2</v>
      </c>
      <c r="AD262" s="230">
        <f>(INDEX(Models!$BJ262:$BT262,,AH262)*(1-AF262)+INDEX(Models!$BJ262:$BT262,,AH262+1)*AF262-ERP_i)*AE262*Ramure*Pc/MaxiM</f>
        <v>4.0829846270775683E-3</v>
      </c>
      <c r="AE262" s="304">
        <f t="shared" si="92"/>
        <v>0.7</v>
      </c>
      <c r="AF262" s="177">
        <f t="shared" si="93"/>
        <v>0.38815354800630242</v>
      </c>
      <c r="AG262" s="799">
        <f t="shared" si="99"/>
        <v>0</v>
      </c>
      <c r="AH262" s="176">
        <f t="shared" si="94"/>
        <v>6</v>
      </c>
      <c r="AI262" s="224">
        <f t="shared" si="95"/>
        <v>0.38815354800630242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44810</v>
      </c>
      <c r="B263" s="1147">
        <v>46.496000000000002</v>
      </c>
      <c r="C263" s="388"/>
      <c r="D263" s="391">
        <f t="shared" si="77"/>
        <v>47.700959022878457</v>
      </c>
      <c r="E263" s="383">
        <f t="shared" si="100"/>
        <v>48.405768991562503</v>
      </c>
      <c r="F263" s="383">
        <f t="shared" si="78"/>
        <v>48.584405377269825</v>
      </c>
      <c r="G263" s="110">
        <f t="shared" si="101"/>
        <v>0.95105996149707261</v>
      </c>
      <c r="H263" s="412" t="b">
        <f>Wh_hp&gt;='2021'!Maxi_hp</f>
        <v>0</v>
      </c>
      <c r="I263" s="379">
        <f>IF(H263,Wh_hp,'2021'!Maxi_hp)</f>
        <v>51.253626858987126</v>
      </c>
      <c r="J263" s="85">
        <f>IF(H263,An,'2021'!An_max)</f>
        <v>2018</v>
      </c>
      <c r="K263" s="197">
        <f t="shared" si="79"/>
        <v>44810</v>
      </c>
      <c r="L263" s="147">
        <f>IF(t&lt;Tvie,1-EXP((T0-t)*PertePVj)+'2021'!Pspv,1-EXP((T0-t)*PertePVj)+Pspv)</f>
        <v>2.5260687574447549E-2</v>
      </c>
      <c r="M263" s="832"/>
      <c r="N263" s="832"/>
      <c r="O263" s="48">
        <f>IF(t&lt;Tnet,'2021'!Resal+('2021'!Salim-'2021'!Resal)*(1-EXP(('2021'!Tnet-t)/('2021'!Tau_j))),Resal+(Salim-Resal)*(1-EXP((Tnet-t)/(Tau_j))))*Salcycl</f>
        <v>1.4560453916286398E-2</v>
      </c>
      <c r="P263" s="169">
        <f>(INDEX(Models!$BJ263:$BT263,,T263)*(1-R263)+INDEX(Models!$BJ263:$BT263,,T263+1)*R263-ERP_i)*Q263*Ramure*Pc/MaxiM</f>
        <v>3.9516192696857008E-3</v>
      </c>
      <c r="Q263" s="304">
        <f t="shared" si="80"/>
        <v>0.7</v>
      </c>
      <c r="R263" s="177">
        <f t="shared" si="81"/>
        <v>0.3242493288917756</v>
      </c>
      <c r="S263" s="799">
        <f t="shared" si="82"/>
        <v>0</v>
      </c>
      <c r="T263" s="176">
        <f t="shared" si="83"/>
        <v>6</v>
      </c>
      <c r="U263" s="250">
        <f t="shared" si="84"/>
        <v>0.3242493288917756</v>
      </c>
      <c r="V263" s="382">
        <f t="shared" si="85"/>
        <v>48.875126620989441</v>
      </c>
      <c r="W263" s="400">
        <f t="shared" si="86"/>
        <v>0</v>
      </c>
      <c r="X263" s="157">
        <f t="shared" si="87"/>
        <v>44810</v>
      </c>
      <c r="Y263" s="383">
        <f t="shared" si="88"/>
        <v>43.074146187107885</v>
      </c>
      <c r="Z263" s="383">
        <f t="shared" si="89"/>
        <v>44.19042675104761</v>
      </c>
      <c r="AA263" s="384">
        <f t="shared" si="90"/>
        <v>48.394828109834833</v>
      </c>
      <c r="AB263" s="197">
        <f t="shared" si="91"/>
        <v>44810</v>
      </c>
      <c r="AC263" s="119">
        <f>IF(OR(t&lt;Tnet,NoTnet),'2021'!Resal_s+('2021'!Salim-'2021'!Resal_s)*(1-EXP(('2021'!Tnet_s-t)/'2021'!Tau_j)),Resal_s+(Salim-Resal_s)*(1-EXP((Tnet_s-t)/Tau_j)))*Salcycl</f>
        <v>8.6877080113707428E-2</v>
      </c>
      <c r="AD263" s="230">
        <f>(INDEX(Models!$BJ263:$BT263,,AH263)*(1-AF263)+INDEX(Models!$BJ263:$BT263,,AH263+1)*AF263-ERP_i)*AE263*Ramure*Pc/MaxiM</f>
        <v>4.1936427459848989E-3</v>
      </c>
      <c r="AE263" s="304">
        <f t="shared" si="92"/>
        <v>0.7</v>
      </c>
      <c r="AF263" s="177">
        <f t="shared" si="93"/>
        <v>0.38858155115160775</v>
      </c>
      <c r="AG263" s="799">
        <f t="shared" si="99"/>
        <v>0</v>
      </c>
      <c r="AH263" s="176">
        <f t="shared" si="94"/>
        <v>6</v>
      </c>
      <c r="AI263" s="224">
        <f t="shared" si="95"/>
        <v>0.38858155115160775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44811</v>
      </c>
      <c r="B264" s="1147">
        <v>36.225999999999999</v>
      </c>
      <c r="C264" s="388"/>
      <c r="D264" s="391">
        <f t="shared" si="77"/>
        <v>37.165520888025178</v>
      </c>
      <c r="E264" s="383">
        <f t="shared" si="100"/>
        <v>37.716640423714985</v>
      </c>
      <c r="F264" s="383">
        <f t="shared" si="78"/>
        <v>37.813958363008865</v>
      </c>
      <c r="G264" s="110">
        <f t="shared" si="101"/>
        <v>0.74326165234868924</v>
      </c>
      <c r="H264" s="412" t="b">
        <f>Wh_hp&gt;='2021'!Maxi_hp</f>
        <v>0</v>
      </c>
      <c r="I264" s="379">
        <f>IF(H264,Wh_hp,'2021'!Maxi_hp)</f>
        <v>52.759985924745806</v>
      </c>
      <c r="J264" s="85">
        <f>IF(H264,An,'2021'!An_max)</f>
        <v>2018</v>
      </c>
      <c r="K264" s="197">
        <f t="shared" si="79"/>
        <v>44811</v>
      </c>
      <c r="L264" s="147">
        <f>IF(t&lt;Tvie,1-EXP((T0-t)*PertePVj)+'2021'!Pspv,1-EXP((T0-t)*PertePVj)+Pspv)</f>
        <v>2.5279368230996413E-2</v>
      </c>
      <c r="M264" s="832"/>
      <c r="N264" s="832"/>
      <c r="O264" s="48">
        <f>IF(t&lt;Tnet,'2021'!Resal+('2021'!Salim-'2021'!Resal)*(1-EXP(('2021'!Tnet-t)/('2021'!Tau_j))),Resal+(Salim-Resal)*(1-EXP((Tnet-t)/(Tau_j))))*Salcycl</f>
        <v>1.4612105677982956E-2</v>
      </c>
      <c r="P264" s="169">
        <f>(INDEX(Models!$BJ264:$BT264,,T264)*(1-R264)+INDEX(Models!$BJ264:$BT264,,T264+1)*R264-ERP_i)*Q264*Ramure*Pc/MaxiM</f>
        <v>4.0541278494085663E-3</v>
      </c>
      <c r="Q264" s="304">
        <f t="shared" si="80"/>
        <v>0.7</v>
      </c>
      <c r="R264" s="177">
        <f t="shared" si="81"/>
        <v>0.32466098427820567</v>
      </c>
      <c r="S264" s="799">
        <f t="shared" si="82"/>
        <v>0</v>
      </c>
      <c r="T264" s="176">
        <f t="shared" si="83"/>
        <v>6</v>
      </c>
      <c r="U264" s="250">
        <f t="shared" si="84"/>
        <v>0.32466098427820567</v>
      </c>
      <c r="V264" s="382">
        <f t="shared" si="85"/>
        <v>48.666883102204004</v>
      </c>
      <c r="W264" s="400">
        <f t="shared" si="86"/>
        <v>0</v>
      </c>
      <c r="X264" s="157">
        <f t="shared" si="87"/>
        <v>44811</v>
      </c>
      <c r="Y264" s="383">
        <f t="shared" si="88"/>
        <v>33.564960365505236</v>
      </c>
      <c r="Z264" s="383">
        <f t="shared" si="89"/>
        <v>34.435467221606636</v>
      </c>
      <c r="AA264" s="384">
        <f t="shared" si="90"/>
        <v>37.710753798231437</v>
      </c>
      <c r="AB264" s="197">
        <f t="shared" si="91"/>
        <v>44811</v>
      </c>
      <c r="AC264" s="119">
        <f>IF(OR(t&lt;Tnet,NoTnet),'2021'!Resal_s+('2021'!Salim-'2021'!Resal_s)*(1-EXP(('2021'!Tnet_s-t)/'2021'!Tau_j)),Resal_s+(Salim-Resal_s)*(1-EXP((Tnet_s-t)/Tau_j)))*Salcycl</f>
        <v>8.6852853542757957E-2</v>
      </c>
      <c r="AD264" s="230">
        <f>(INDEX(Models!$BJ264:$BT264,,AH264)*(1-AF264)+INDEX(Models!$BJ264:$BT264,,AH264+1)*AF264-ERP_i)*AE264*Ramure*Pc/MaxiM</f>
        <v>4.2993563497758002E-3</v>
      </c>
      <c r="AE264" s="304">
        <f t="shared" si="92"/>
        <v>0.7</v>
      </c>
      <c r="AF264" s="177">
        <f t="shared" si="93"/>
        <v>0.38899320653803782</v>
      </c>
      <c r="AG264" s="799">
        <f t="shared" si="99"/>
        <v>0</v>
      </c>
      <c r="AH264" s="176">
        <f t="shared" si="94"/>
        <v>6</v>
      </c>
      <c r="AI264" s="224">
        <f t="shared" si="95"/>
        <v>0.38899320653803782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44812</v>
      </c>
      <c r="B265" s="1147">
        <v>41.292999999999999</v>
      </c>
      <c r="C265" s="388"/>
      <c r="D265" s="391">
        <f t="shared" si="77"/>
        <v>42.364745384683097</v>
      </c>
      <c r="E265" s="383">
        <f t="shared" si="100"/>
        <v>42.995210134942042</v>
      </c>
      <c r="F265" s="383">
        <f t="shared" si="78"/>
        <v>43.136494460590981</v>
      </c>
      <c r="G265" s="110">
        <f t="shared" si="101"/>
        <v>0.85143476003652152</v>
      </c>
      <c r="H265" s="412" t="b">
        <f>Wh_hp&gt;='2021'!Maxi_hp</f>
        <v>0</v>
      </c>
      <c r="I265" s="379">
        <f>IF(H265,Wh_hp,'2021'!Maxi_hp)</f>
        <v>48.227232610216525</v>
      </c>
      <c r="J265" s="85">
        <f>IF(H265,An,'2021'!An_max)</f>
        <v>2020</v>
      </c>
      <c r="K265" s="197">
        <f t="shared" si="79"/>
        <v>44812</v>
      </c>
      <c r="L265" s="147">
        <f>IF(t&lt;Tvie,1-EXP((T0-t)*PertePVj)+'2021'!Pspv,1-EXP((T0-t)*PertePVj)+Pspv)</f>
        <v>2.5298048529534767E-2</v>
      </c>
      <c r="M265" s="832"/>
      <c r="N265" s="832"/>
      <c r="O265" s="48">
        <f>IF(t&lt;Tnet,'2021'!Resal+('2021'!Salim-'2021'!Resal)*(1-EXP(('2021'!Tnet-t)/('2021'!Tau_j))),Resal+(Salim-Resal)*(1-EXP((Tnet-t)/(Tau_j))))*Salcycl</f>
        <v>1.466360434755898E-2</v>
      </c>
      <c r="P265" s="169">
        <f>(INDEX(Models!$BJ265:$BT265,,T265)*(1-R265)+INDEX(Models!$BJ265:$BT265,,T265+1)*R265-ERP_i)*Q265*Ramure*Pc/MaxiM</f>
        <v>4.1520545780646288E-3</v>
      </c>
      <c r="Q265" s="304">
        <f t="shared" si="80"/>
        <v>0.7</v>
      </c>
      <c r="R265" s="177">
        <f t="shared" si="81"/>
        <v>0.32505688287568235</v>
      </c>
      <c r="S265" s="799">
        <f t="shared" si="82"/>
        <v>0</v>
      </c>
      <c r="T265" s="176">
        <f t="shared" si="83"/>
        <v>6</v>
      </c>
      <c r="U265" s="250">
        <f t="shared" si="84"/>
        <v>0.32505688287568235</v>
      </c>
      <c r="V265" s="382">
        <f t="shared" si="85"/>
        <v>48.455476018377766</v>
      </c>
      <c r="W265" s="400">
        <f t="shared" si="86"/>
        <v>0</v>
      </c>
      <c r="X265" s="157">
        <f t="shared" si="87"/>
        <v>44812</v>
      </c>
      <c r="Y265" s="383">
        <f t="shared" si="88"/>
        <v>38.261253196183965</v>
      </c>
      <c r="Z265" s="383">
        <f t="shared" si="89"/>
        <v>39.254310652053036</v>
      </c>
      <c r="AA265" s="384">
        <f t="shared" si="90"/>
        <v>42.986770790924183</v>
      </c>
      <c r="AB265" s="197">
        <f t="shared" si="91"/>
        <v>44812</v>
      </c>
      <c r="AC265" s="119">
        <f>IF(OR(t&lt;Tnet,NoTnet),'2021'!Resal_s+('2021'!Salim-'2021'!Resal_s)*(1-EXP(('2021'!Tnet_s-t)/'2021'!Tau_j)),Resal_s+(Salim-Resal_s)*(1-EXP((Tnet_s-t)/Tau_j)))*Salcycl</f>
        <v>8.6828111770125796E-2</v>
      </c>
      <c r="AD265" s="230">
        <f>(INDEX(Models!$BJ265:$BT265,,AH265)*(1-AF265)+INDEX(Models!$BJ265:$BT265,,AH265+1)*AF265-ERP_i)*AE265*Ramure*Pc/MaxiM</f>
        <v>4.4000694714667211E-3</v>
      </c>
      <c r="AE265" s="304">
        <f t="shared" si="92"/>
        <v>0.7</v>
      </c>
      <c r="AF265" s="177">
        <f t="shared" si="93"/>
        <v>0.3893891051355145</v>
      </c>
      <c r="AG265" s="799">
        <f t="shared" si="99"/>
        <v>0</v>
      </c>
      <c r="AH265" s="176">
        <f t="shared" si="94"/>
        <v>6</v>
      </c>
      <c r="AI265" s="224">
        <f t="shared" si="95"/>
        <v>0.3893891051355145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44813</v>
      </c>
      <c r="B266" s="1147">
        <v>17.426000000000002</v>
      </c>
      <c r="C266" s="388"/>
      <c r="D266" s="391">
        <f t="shared" si="77"/>
        <v>17.878628380116695</v>
      </c>
      <c r="E266" s="383">
        <f t="shared" si="100"/>
        <v>18.145640490835319</v>
      </c>
      <c r="F266" s="383">
        <f t="shared" si="78"/>
        <v>18.152381083425087</v>
      </c>
      <c r="G266" s="110">
        <f t="shared" si="101"/>
        <v>0.35982799823500966</v>
      </c>
      <c r="H266" s="412" t="b">
        <f>Wh_hp&gt;='2021'!Maxi_hp</f>
        <v>0</v>
      </c>
      <c r="I266" s="379">
        <f>IF(H266,Wh_hp,'2021'!Maxi_hp)</f>
        <v>49.53769434119436</v>
      </c>
      <c r="J266" s="85">
        <f>IF(H266,An,'2021'!An_max)</f>
        <v>2020</v>
      </c>
      <c r="K266" s="197">
        <f t="shared" si="79"/>
        <v>44813</v>
      </c>
      <c r="L266" s="147">
        <f>IF(t&lt;Tvie,1-EXP((T0-t)*PertePVj)+'2021'!Pspv,1-EXP((T0-t)*PertePVj)+Pspv)</f>
        <v>2.5316728470069494E-2</v>
      </c>
      <c r="M266" s="832"/>
      <c r="N266" s="832"/>
      <c r="O266" s="48">
        <f>IF(t&lt;Tnet,'2021'!Resal+('2021'!Salim-'2021'!Resal)*(1-EXP(('2021'!Tnet-t)/('2021'!Tau_j))),Resal+(Salim-Resal)*(1-EXP((Tnet-t)/(Tau_j))))*Salcycl</f>
        <v>1.4714945490818228E-2</v>
      </c>
      <c r="P266" s="169">
        <f>(INDEX(Models!$BJ266:$BT266,,T266)*(1-R266)+INDEX(Models!$BJ266:$BT266,,T266+1)*R266-ERP_i)*Q266*Ramure*Pc/MaxiM</f>
        <v>4.2453452817157187E-3</v>
      </c>
      <c r="Q266" s="304">
        <f t="shared" si="80"/>
        <v>0.7</v>
      </c>
      <c r="R266" s="177">
        <f t="shared" si="81"/>
        <v>0.32543759687516649</v>
      </c>
      <c r="S266" s="799">
        <f t="shared" si="82"/>
        <v>0</v>
      </c>
      <c r="T266" s="176">
        <f t="shared" si="83"/>
        <v>6</v>
      </c>
      <c r="U266" s="250">
        <f t="shared" si="84"/>
        <v>0.32543759687516649</v>
      </c>
      <c r="V266" s="382">
        <f t="shared" si="85"/>
        <v>48.241010937173094</v>
      </c>
      <c r="W266" s="400">
        <f t="shared" si="86"/>
        <v>0</v>
      </c>
      <c r="X266" s="157">
        <f t="shared" si="87"/>
        <v>44813</v>
      </c>
      <c r="Y266" s="383">
        <f t="shared" si="88"/>
        <v>16.150681574623437</v>
      </c>
      <c r="Z266" s="383">
        <f t="shared" si="89"/>
        <v>16.570184434654557</v>
      </c>
      <c r="AA266" s="384">
        <f t="shared" si="90"/>
        <v>18.145242950934684</v>
      </c>
      <c r="AB266" s="197">
        <f t="shared" si="91"/>
        <v>44813</v>
      </c>
      <c r="AC266" s="119">
        <f>IF(OR(t&lt;Tnet,NoTnet),'2021'!Resal_s+('2021'!Salim-'2021'!Resal_s)*(1-EXP(('2021'!Tnet_s-t)/'2021'!Tau_j)),Resal_s+(Salim-Resal_s)*(1-EXP((Tnet_s-t)/Tau_j)))*Salcycl</f>
        <v>8.6802834249127186E-2</v>
      </c>
      <c r="AD266" s="230">
        <f>(INDEX(Models!$BJ266:$BT266,,AH266)*(1-AF266)+INDEX(Models!$BJ266:$BT266,,AH266+1)*AF266-ERP_i)*AE266*Ramure*Pc/MaxiM</f>
        <v>4.495722992426991E-3</v>
      </c>
      <c r="AE266" s="304">
        <f t="shared" si="92"/>
        <v>0.7</v>
      </c>
      <c r="AF266" s="177">
        <f t="shared" si="93"/>
        <v>0.38976981913499864</v>
      </c>
      <c r="AG266" s="799">
        <f t="shared" si="99"/>
        <v>0</v>
      </c>
      <c r="AH266" s="176">
        <f t="shared" si="94"/>
        <v>6</v>
      </c>
      <c r="AI266" s="224">
        <f t="shared" si="95"/>
        <v>0.38976981913499864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44814</v>
      </c>
      <c r="B267" s="1147">
        <v>45.737000000000002</v>
      </c>
      <c r="C267" s="388"/>
      <c r="D267" s="391">
        <f t="shared" si="77"/>
        <v>46.925886482258349</v>
      </c>
      <c r="E267" s="383">
        <f t="shared" si="100"/>
        <v>47.629184956230858</v>
      </c>
      <c r="F267" s="383">
        <f t="shared" si="78"/>
        <v>47.822346507728497</v>
      </c>
      <c r="G267" s="110">
        <f t="shared" si="101"/>
        <v>0.95210414512503028</v>
      </c>
      <c r="H267" s="412" t="b">
        <f>Wh_hp&gt;='2021'!Maxi_hp</f>
        <v>1</v>
      </c>
      <c r="I267" s="379">
        <f>IF(H267,Wh_hp,'2021'!Maxi_hp)</f>
        <v>47.822346507728497</v>
      </c>
      <c r="J267" s="85">
        <f>IF(H267,An,'2021'!An_max)</f>
        <v>2022</v>
      </c>
      <c r="K267" s="197">
        <f t="shared" si="79"/>
        <v>44814</v>
      </c>
      <c r="L267" s="147">
        <f>IF(t&lt;Tvie,1-EXP((T0-t)*PertePVj)+'2021'!Pspv,1-EXP((T0-t)*PertePVj)+Pspv)</f>
        <v>2.5335408052607367E-2</v>
      </c>
      <c r="M267" s="832"/>
      <c r="N267" s="832"/>
      <c r="O267" s="48">
        <f>IF(t&lt;Tnet,'2021'!Resal+('2021'!Salim-'2021'!Resal)*(1-EXP(('2021'!Tnet-t)/('2021'!Tau_j))),Resal+(Salim-Resal)*(1-EXP((Tnet-t)/(Tau_j))))*Salcycl</f>
        <v>1.4766124480584919E-2</v>
      </c>
      <c r="P267" s="169">
        <f>(INDEX(Models!$BJ267:$BT267,,T267)*(1-R267)+INDEX(Models!$BJ267:$BT267,,T267+1)*R267-ERP_i)*Q267*Ramure*Pc/MaxiM</f>
        <v>4.3339428743029299E-3</v>
      </c>
      <c r="Q267" s="304">
        <f t="shared" si="80"/>
        <v>0.7</v>
      </c>
      <c r="R267" s="177">
        <f t="shared" si="81"/>
        <v>0.3258036800812984</v>
      </c>
      <c r="S267" s="799">
        <f t="shared" si="82"/>
        <v>0</v>
      </c>
      <c r="T267" s="176">
        <f t="shared" si="83"/>
        <v>6</v>
      </c>
      <c r="U267" s="250">
        <f t="shared" si="84"/>
        <v>0.3258036800812984</v>
      </c>
      <c r="V267" s="382">
        <f t="shared" si="85"/>
        <v>48.023593359731485</v>
      </c>
      <c r="W267" s="400">
        <f t="shared" si="86"/>
        <v>0</v>
      </c>
      <c r="X267" s="157">
        <f t="shared" si="87"/>
        <v>44814</v>
      </c>
      <c r="Y267" s="383">
        <f t="shared" si="88"/>
        <v>42.384067204960218</v>
      </c>
      <c r="Z267" s="383">
        <f t="shared" si="89"/>
        <v>43.485797632472</v>
      </c>
      <c r="AA267" s="384">
        <f t="shared" si="90"/>
        <v>47.617939554156976</v>
      </c>
      <c r="AB267" s="197">
        <f t="shared" si="91"/>
        <v>44814</v>
      </c>
      <c r="AC267" s="119">
        <f>IF(OR(t&lt;Tnet,NoTnet),'2021'!Resal_s+('2021'!Salim-'2021'!Resal_s)*(1-EXP(('2021'!Tnet_s-t)/'2021'!Tau_j)),Resal_s+(Salim-Resal_s)*(1-EXP((Tnet_s-t)/Tau_j)))*Salcycl</f>
        <v>8.6776999600862478E-2</v>
      </c>
      <c r="AD267" s="230">
        <f>(INDEX(Models!$BJ267:$BT267,,AH267)*(1-AF267)+INDEX(Models!$BJ267:$BT267,,AH267+1)*AF267-ERP_i)*AE267*Ramure*Pc/MaxiM</f>
        <v>4.5862546299752479E-3</v>
      </c>
      <c r="AE267" s="304">
        <f t="shared" si="92"/>
        <v>0.7</v>
      </c>
      <c r="AF267" s="177">
        <f t="shared" si="93"/>
        <v>0.39013590234113055</v>
      </c>
      <c r="AG267" s="799">
        <f t="shared" si="99"/>
        <v>0</v>
      </c>
      <c r="AH267" s="176">
        <f t="shared" si="94"/>
        <v>6</v>
      </c>
      <c r="AI267" s="224">
        <f t="shared" si="95"/>
        <v>0.39013590234113055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44815</v>
      </c>
      <c r="B268" s="1147">
        <v>48.045999999999999</v>
      </c>
      <c r="C268" s="388"/>
      <c r="D268" s="391">
        <f t="shared" si="77"/>
        <v>49.295851316684896</v>
      </c>
      <c r="E268" s="383">
        <f t="shared" si="100"/>
        <v>50.037260231241532</v>
      </c>
      <c r="F268" s="383">
        <f t="shared" si="78"/>
        <v>50.258801282332186</v>
      </c>
      <c r="G268" s="110">
        <f t="shared" si="101"/>
        <v>1.0050665759483834</v>
      </c>
      <c r="H268" s="412" t="b">
        <f>Wh_hp&gt;='2021'!Maxi_hp</f>
        <v>1</v>
      </c>
      <c r="I268" s="379">
        <f>IF(H268,Wh_hp,'2021'!Maxi_hp)</f>
        <v>50.258801282332186</v>
      </c>
      <c r="J268" s="85">
        <f>IF(H268,An,'2021'!An_max)</f>
        <v>2022</v>
      </c>
      <c r="K268" s="197">
        <f t="shared" si="79"/>
        <v>44815</v>
      </c>
      <c r="L268" s="147">
        <f>IF(t&lt;Tvie,1-EXP((T0-t)*PertePVj)+'2021'!Pspv,1-EXP((T0-t)*PertePVj)+Pspv)</f>
        <v>2.5354087277155268E-2</v>
      </c>
      <c r="M268" s="832"/>
      <c r="N268" s="832"/>
      <c r="O268" s="48">
        <f>IF(t&lt;Tnet,'2021'!Resal+('2021'!Salim-'2021'!Resal)*(1-EXP(('2021'!Tnet-t)/('2021'!Tau_j))),Resal+(Salim-Resal)*(1-EXP((Tnet-t)/(Tau_j))))*Salcycl</f>
        <v>1.481713649249187E-2</v>
      </c>
      <c r="P268" s="169">
        <f>(INDEX(Models!$BJ268:$BT268,,T268)*(1-R268)+INDEX(Models!$BJ268:$BT268,,T268+1)*R268-ERP_i)*Q268*Ramure*Pc/MaxiM</f>
        <v>4.4080050744970583E-3</v>
      </c>
      <c r="Q268" s="304">
        <f t="shared" si="80"/>
        <v>0.7</v>
      </c>
      <c r="R268" s="177">
        <f t="shared" si="81"/>
        <v>0.32615566831436776</v>
      </c>
      <c r="S268" s="799">
        <f t="shared" si="82"/>
        <v>0</v>
      </c>
      <c r="T268" s="176">
        <f t="shared" si="83"/>
        <v>6</v>
      </c>
      <c r="U268" s="250">
        <f t="shared" si="84"/>
        <v>0.32615566831436776</v>
      </c>
      <c r="V268" s="382">
        <f t="shared" si="85"/>
        <v>47.803798424660236</v>
      </c>
      <c r="W268" s="400">
        <f t="shared" si="86"/>
        <v>0</v>
      </c>
      <c r="X268" s="157">
        <f t="shared" si="87"/>
        <v>44815</v>
      </c>
      <c r="Y268" s="383">
        <f t="shared" si="88"/>
        <v>44.526573462541776</v>
      </c>
      <c r="Z268" s="383">
        <f t="shared" si="89"/>
        <v>45.684871686527636</v>
      </c>
      <c r="AA268" s="384">
        <f t="shared" si="90"/>
        <v>50.024528859704397</v>
      </c>
      <c r="AB268" s="197">
        <f t="shared" si="91"/>
        <v>44815</v>
      </c>
      <c r="AC268" s="119">
        <f>IF(OR(t&lt;Tnet,NoTnet),'2021'!Resal_s+('2021'!Salim-'2021'!Resal_s)*(1-EXP(('2021'!Tnet_s-t)/'2021'!Tau_j)),Resal_s+(Salim-Resal_s)*(1-EXP((Tnet_s-t)/Tau_j)))*Salcycl</f>
        <v>8.6750585604663796E-2</v>
      </c>
      <c r="AD268" s="230">
        <f>(INDEX(Models!$BJ268:$BT268,,AH268)*(1-AF268)+INDEX(Models!$BJ268:$BT268,,AH268+1)*AF268-ERP_i)*AE268*Ramure*Pc/MaxiM</f>
        <v>4.6613213337849645E-3</v>
      </c>
      <c r="AE268" s="304">
        <f t="shared" si="92"/>
        <v>0.7</v>
      </c>
      <c r="AF268" s="177">
        <f t="shared" si="93"/>
        <v>0.39048789057419991</v>
      </c>
      <c r="AG268" s="799">
        <f t="shared" si="99"/>
        <v>0</v>
      </c>
      <c r="AH268" s="176">
        <f t="shared" si="94"/>
        <v>6</v>
      </c>
      <c r="AI268" s="224">
        <f t="shared" si="95"/>
        <v>0.39048789057419991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44816</v>
      </c>
      <c r="B269" s="1147">
        <v>37.015000000000001</v>
      </c>
      <c r="C269" s="388"/>
      <c r="D269" s="391">
        <f t="shared" si="77"/>
        <v>37.978622712546013</v>
      </c>
      <c r="E269" s="383">
        <f t="shared" si="100"/>
        <v>38.551810119528007</v>
      </c>
      <c r="F269" s="383">
        <f t="shared" si="78"/>
        <v>38.669811265825977</v>
      </c>
      <c r="G269" s="110">
        <f t="shared" si="101"/>
        <v>0.77681983282302758</v>
      </c>
      <c r="H269" s="412" t="b">
        <f>Wh_hp&gt;='2021'!Maxi_hp</f>
        <v>0</v>
      </c>
      <c r="I269" s="379">
        <f>IF(H269,Wh_hp,'2021'!Maxi_hp)</f>
        <v>50.45491962020855</v>
      </c>
      <c r="J269" s="85">
        <f>IF(H269,An,'2021'!An_max)</f>
        <v>2018</v>
      </c>
      <c r="K269" s="197">
        <f t="shared" si="79"/>
        <v>44816</v>
      </c>
      <c r="L269" s="147">
        <f>IF(t&lt;Tvie,1-EXP((T0-t)*PertePVj)+'2021'!Pspv,1-EXP((T0-t)*PertePVj)+Pspv)</f>
        <v>2.5372766143720193E-2</v>
      </c>
      <c r="M269" s="832"/>
      <c r="N269" s="832"/>
      <c r="O269" s="48">
        <f>IF(t&lt;Tnet,'2021'!Resal+('2021'!Salim-'2021'!Resal)*(1-EXP(('2021'!Tnet-t)/('2021'!Tau_j))),Resal+(Salim-Resal)*(1-EXP((Tnet-t)/(Tau_j))))*Salcycl</f>
        <v>1.4867976502396602E-2</v>
      </c>
      <c r="P269" s="169">
        <f>(INDEX(Models!$BJ269:$BT269,,T269)*(1-R269)+INDEX(Models!$BJ269:$BT269,,T269+1)*R269-ERP_i)*Q269*Ramure*Pc/MaxiM</f>
        <v>4.469421720533804E-3</v>
      </c>
      <c r="Q269" s="304">
        <f t="shared" si="80"/>
        <v>0.7</v>
      </c>
      <c r="R269" s="177">
        <f t="shared" si="81"/>
        <v>0.32649407981963735</v>
      </c>
      <c r="S269" s="799">
        <f t="shared" si="82"/>
        <v>0</v>
      </c>
      <c r="T269" s="176">
        <f t="shared" si="83"/>
        <v>6</v>
      </c>
      <c r="U269" s="250">
        <f t="shared" si="84"/>
        <v>0.32649407981963735</v>
      </c>
      <c r="V269" s="382">
        <f t="shared" si="85"/>
        <v>47.581631708835175</v>
      </c>
      <c r="W269" s="400">
        <f t="shared" si="86"/>
        <v>0</v>
      </c>
      <c r="X269" s="157">
        <f t="shared" si="87"/>
        <v>44816</v>
      </c>
      <c r="Y269" s="383">
        <f t="shared" si="88"/>
        <v>34.309163331971675</v>
      </c>
      <c r="Z269" s="383">
        <f t="shared" si="89"/>
        <v>35.202344178524115</v>
      </c>
      <c r="AA269" s="384">
        <f t="shared" si="90"/>
        <v>38.54511404353174</v>
      </c>
      <c r="AB269" s="197">
        <f t="shared" si="91"/>
        <v>44816</v>
      </c>
      <c r="AC269" s="119">
        <f>IF(OR(t&lt;Tnet,NoTnet),'2021'!Resal_s+('2021'!Salim-'2021'!Resal_s)*(1-EXP(('2021'!Tnet_s-t)/'2021'!Tau_j)),Resal_s+(Salim-Resal_s)*(1-EXP((Tnet_s-t)/Tau_j)))*Salcycl</f>
        <v>8.6723569198223147E-2</v>
      </c>
      <c r="AD269" s="230">
        <f>(INDEX(Models!$BJ269:$BT269,,AH269)*(1-AF269)+INDEX(Models!$BJ269:$BT269,,AH269+1)*AF269-ERP_i)*AE269*Ramure*Pc/MaxiM</f>
        <v>4.7230428796409159E-3</v>
      </c>
      <c r="AE269" s="304">
        <f t="shared" si="92"/>
        <v>0.7</v>
      </c>
      <c r="AF269" s="177">
        <f t="shared" si="93"/>
        <v>0.3908263020794695</v>
      </c>
      <c r="AG269" s="799">
        <f t="shared" si="99"/>
        <v>0</v>
      </c>
      <c r="AH269" s="176">
        <f t="shared" si="94"/>
        <v>6</v>
      </c>
      <c r="AI269" s="224">
        <f t="shared" si="95"/>
        <v>0.3908263020794695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44817</v>
      </c>
      <c r="B270" s="1147">
        <v>11.683</v>
      </c>
      <c r="C270" s="388"/>
      <c r="D270" s="391">
        <f t="shared" si="77"/>
        <v>11.987376814922474</v>
      </c>
      <c r="E270" s="383">
        <f t="shared" si="100"/>
        <v>12.16892055112052</v>
      </c>
      <c r="F270" s="383">
        <f t="shared" si="78"/>
        <v>12.16892055112052</v>
      </c>
      <c r="G270" s="110">
        <f t="shared" si="101"/>
        <v>0.24558496689002965</v>
      </c>
      <c r="H270" s="412" t="b">
        <f>Wh_hp&gt;='2021'!Maxi_hp</f>
        <v>0</v>
      </c>
      <c r="I270" s="379">
        <f>IF(H270,Wh_hp,'2021'!Maxi_hp)</f>
        <v>48.157798418886934</v>
      </c>
      <c r="J270" s="85">
        <f>IF(H270,An,'2021'!An_max)</f>
        <v>2020</v>
      </c>
      <c r="K270" s="197">
        <f t="shared" si="79"/>
        <v>44817</v>
      </c>
      <c r="L270" s="147">
        <f>IF(t&lt;Tvie,1-EXP((T0-t)*PertePVj)+'2021'!Pspv,1-EXP((T0-t)*PertePVj)+Pspv)</f>
        <v>2.5391444652308803E-2</v>
      </c>
      <c r="M270" s="832"/>
      <c r="N270" s="832"/>
      <c r="O270" s="48">
        <f>IF(t&lt;Tnet,'2021'!Resal+('2021'!Salim-'2021'!Resal)*(1-EXP(('2021'!Tnet-t)/('2021'!Tau_j))),Resal+(Salim-Resal)*(1-EXP((Tnet-t)/(Tau_j))))*Salcycl</f>
        <v>1.4918639285661985E-2</v>
      </c>
      <c r="P270" s="169">
        <f>(INDEX(Models!$BJ270:$BT270,,T270)*(1-R270)+INDEX(Models!$BJ270:$BT270,,T270+1)*R270-ERP_i)*Q270*Ramure*Pc/MaxiM</f>
        <v>4.5180261109924753E-3</v>
      </c>
      <c r="Q270" s="304">
        <f t="shared" si="80"/>
        <v>0.7</v>
      </c>
      <c r="R270" s="177">
        <f t="shared" si="81"/>
        <v>0.32681941568220541</v>
      </c>
      <c r="S270" s="799">
        <f t="shared" si="82"/>
        <v>0</v>
      </c>
      <c r="T270" s="176">
        <f t="shared" si="83"/>
        <v>6</v>
      </c>
      <c r="U270" s="250">
        <f t="shared" si="84"/>
        <v>0.32681941568220541</v>
      </c>
      <c r="V270" s="382">
        <f t="shared" si="85"/>
        <v>47.357197992306922</v>
      </c>
      <c r="W270" s="400">
        <f t="shared" si="86"/>
        <v>0</v>
      </c>
      <c r="X270" s="157">
        <f t="shared" si="87"/>
        <v>44817</v>
      </c>
      <c r="Y270" s="383">
        <f t="shared" si="88"/>
        <v>10.831726105442764</v>
      </c>
      <c r="Z270" s="383">
        <f t="shared" si="89"/>
        <v>11.113924709575887</v>
      </c>
      <c r="AA270" s="384">
        <f t="shared" si="90"/>
        <v>12.16892055112052</v>
      </c>
      <c r="AB270" s="197">
        <f t="shared" si="91"/>
        <v>44817</v>
      </c>
      <c r="AC270" s="119">
        <f>IF(OR(t&lt;Tnet,NoTnet),'2021'!Resal_s+('2021'!Salim-'2021'!Resal_s)*(1-EXP(('2021'!Tnet_s-t)/'2021'!Tau_j)),Resal_s+(Salim-Resal_s)*(1-EXP((Tnet_s-t)/Tau_j)))*Salcycl</f>
        <v>8.669592648852395E-2</v>
      </c>
      <c r="AD270" s="230">
        <f>(INDEX(Models!$BJ270:$BT270,,AH270)*(1-AF270)+INDEX(Models!$BJ270:$BT270,,AH270+1)*AF270-ERP_i)*AE270*Ramure*Pc/MaxiM</f>
        <v>4.7712433907586586E-3</v>
      </c>
      <c r="AE270" s="304">
        <f t="shared" si="92"/>
        <v>0.7</v>
      </c>
      <c r="AF270" s="177">
        <f t="shared" si="93"/>
        <v>0.39115163794203756</v>
      </c>
      <c r="AG270" s="799">
        <f t="shared" si="99"/>
        <v>0</v>
      </c>
      <c r="AH270" s="176">
        <f t="shared" si="94"/>
        <v>6</v>
      </c>
      <c r="AI270" s="224">
        <f t="shared" si="95"/>
        <v>0.39115163794203756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44818</v>
      </c>
      <c r="B271" s="1147">
        <v>39.189</v>
      </c>
      <c r="C271" s="388"/>
      <c r="D271" s="391">
        <f t="shared" ref="D271:D334" si="102">Wh/(1-Ppv)</f>
        <v>40.210760358714033</v>
      </c>
      <c r="E271" s="383">
        <f t="shared" si="100"/>
        <v>40.821827164420675</v>
      </c>
      <c r="F271" s="383">
        <f t="shared" ref="F271:F334" si="103">Wh_sa/(1-Pvg*MEDIAN((-Sdif+Wh/Env_an)/Csdif,0,1))</f>
        <v>40.963458515871125</v>
      </c>
      <c r="G271" s="110">
        <f t="shared" si="101"/>
        <v>0.83058337278899219</v>
      </c>
      <c r="H271" s="412" t="b">
        <f>Wh_hp&gt;='2021'!Maxi_hp</f>
        <v>0</v>
      </c>
      <c r="I271" s="379">
        <f>IF(H271,Wh_hp,'2021'!Maxi_hp)</f>
        <v>47.866073313841895</v>
      </c>
      <c r="J271" s="85">
        <f>IF(H271,An,'2021'!An_max)</f>
        <v>2020</v>
      </c>
      <c r="K271" s="197">
        <f t="shared" ref="K271:K334" si="104">t</f>
        <v>44818</v>
      </c>
      <c r="L271" s="147">
        <f>IF(t&lt;Tvie,1-EXP((T0-t)*PertePVj)+'2021'!Pspv,1-EXP((T0-t)*PertePVj)+Pspv)</f>
        <v>2.5410122802928092E-2</v>
      </c>
      <c r="M271" s="832"/>
      <c r="N271" s="832"/>
      <c r="O271" s="48">
        <f>IF(t&lt;Tnet,'2021'!Resal+('2021'!Salim-'2021'!Resal)*(1-EXP(('2021'!Tnet-t)/('2021'!Tau_j))),Resal+(Salim-Resal)*(1-EXP((Tnet-t)/(Tau_j))))*Salcycl</f>
        <v>1.4969119418525963E-2</v>
      </c>
      <c r="P271" s="169">
        <f>(INDEX(Models!$BJ271:$BT271,,T271)*(1-R271)+INDEX(Models!$BJ271:$BT271,,T271+1)*R271-ERP_i)*Q271*Ramure*Pc/MaxiM</f>
        <v>4.5536454102168633E-3</v>
      </c>
      <c r="Q271" s="304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0.32713216024575387</v>
      </c>
      <c r="S271" s="799">
        <f t="shared" ref="S271:S334" si="107">INDEX(Echel_vg,T271)</f>
        <v>0</v>
      </c>
      <c r="T271" s="176">
        <f t="shared" ref="T271:T334" si="108">MIN(MATCH(Hp_vg,Echel_vg),10)</f>
        <v>6</v>
      </c>
      <c r="U271" s="250">
        <f t="shared" ref="U271:U334" si="109">IF(OR(t&lt;Ttai,Notai),Hdd+PousH*Croivg,Hdtf+PousH*(Croivg-Croi_tai))</f>
        <v>0.32713216024575387</v>
      </c>
      <c r="V271" s="382">
        <f t="shared" ref="V271:V334" si="110">MaxiM*(1-Ppv)*(1-Pvg)*(1-Psa)</f>
        <v>47.130601920395605</v>
      </c>
      <c r="W271" s="400">
        <f t="shared" ref="W271:W334" si="111">Wh*(A271&gt;Tmaj)</f>
        <v>0</v>
      </c>
      <c r="X271" s="157">
        <f t="shared" ref="X271:X334" si="112">t</f>
        <v>44818</v>
      </c>
      <c r="Y271" s="383">
        <f t="shared" ref="Y271:Y334" si="113">Wh_pvt_s*(1-Ppv)</f>
        <v>36.329528305827836</v>
      </c>
      <c r="Z271" s="383">
        <f t="shared" ref="Z271:Z334" si="114">Wh_sa_s*(1-Psa_s)</f>
        <v>37.276734712566316</v>
      </c>
      <c r="AA271" s="384">
        <f t="shared" ref="AA271:AA334" si="115">Wh_hp*(1-Pvg_s*MEDIAN((-Sdif+Wh/Env_an)/Csdif,0,1))</f>
        <v>40.813986288265063</v>
      </c>
      <c r="AB271" s="197">
        <f t="shared" ref="AB271:AB334" si="116">t</f>
        <v>44818</v>
      </c>
      <c r="AC271" s="119">
        <f>IF(OR(t&lt;Tnet,NoTnet),'2021'!Resal_s+('2021'!Salim-'2021'!Resal_s)*(1-EXP(('2021'!Tnet_s-t)/'2021'!Tau_j)),Resal_s+(Salim-Resal_s)*(1-EXP((Tnet_s-t)/Tau_j)))*Salcycl</f>
        <v>8.6667632774595937E-2</v>
      </c>
      <c r="AD271" s="230">
        <f>(INDEX(Models!$BJ271:$BT271,,AH271)*(1-AF271)+INDEX(Models!$BJ271:$BT271,,AH271+1)*AF271-ERP_i)*AE271*Ramure*Pc/MaxiM</f>
        <v>4.8057405102949436E-3</v>
      </c>
      <c r="AE271" s="304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0.39146438250558602</v>
      </c>
      <c r="AG271" s="799">
        <f t="shared" si="99"/>
        <v>0</v>
      </c>
      <c r="AH271" s="176">
        <f t="shared" ref="AH271:AH334" si="119">MIN(MATCH(Hp_vg_s,Echel_vg),10)</f>
        <v>6</v>
      </c>
      <c r="AI271" s="224">
        <f t="shared" ref="AI271:AI334" si="120">IF(OR(t&lt;Ttai,Notai),Hdd_s+PousH*Croivg,Hdtai_s+PousH*(Croivg-Croi_tai))</f>
        <v>0.39146438250558602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44819</v>
      </c>
      <c r="B272" s="1147">
        <v>43.798999999999999</v>
      </c>
      <c r="C272" s="388"/>
      <c r="D272" s="391">
        <f t="shared" si="102"/>
        <v>44.941816489925692</v>
      </c>
      <c r="E272" s="383">
        <f t="shared" si="100"/>
        <v>45.627108802630424</v>
      </c>
      <c r="F272" s="383">
        <f t="shared" si="103"/>
        <v>45.816956204191527</v>
      </c>
      <c r="G272" s="110">
        <f t="shared" si="101"/>
        <v>0.93343624719011242</v>
      </c>
      <c r="H272" s="412" t="b">
        <f>Wh_hp&gt;='2021'!Maxi_hp</f>
        <v>0</v>
      </c>
      <c r="I272" s="379">
        <f>IF(H272,Wh_hp,'2021'!Maxi_hp)</f>
        <v>49.308768016515323</v>
      </c>
      <c r="J272" s="85">
        <f>IF(H272,An,'2021'!An_max)</f>
        <v>2020</v>
      </c>
      <c r="K272" s="197">
        <f t="shared" si="104"/>
        <v>44819</v>
      </c>
      <c r="L272" s="147">
        <f>IF(t&lt;Tvie,1-EXP((T0-t)*PertePVj)+'2021'!Pspv,1-EXP((T0-t)*PertePVj)+Pspv)</f>
        <v>2.5428800595584944E-2</v>
      </c>
      <c r="M272" s="832"/>
      <c r="N272" s="832"/>
      <c r="O272" s="48">
        <f>IF(t&lt;Tnet,'2021'!Resal+('2021'!Salim-'2021'!Resal)*(1-EXP(('2021'!Tnet-t)/('2021'!Tau_j))),Resal+(Salim-Resal)*(1-EXP((Tnet-t)/(Tau_j))))*Salcycl</f>
        <v>1.5019411281769042E-2</v>
      </c>
      <c r="P272" s="169">
        <f>(INDEX(Models!$BJ272:$BT272,,T272)*(1-R272)+INDEX(Models!$BJ272:$BT272,,T272+1)*R272-ERP_i)*Q272*Ramure*Pc/MaxiM</f>
        <v>4.5761007812206364E-3</v>
      </c>
      <c r="Q272" s="304">
        <f t="shared" si="105"/>
        <v>0.7</v>
      </c>
      <c r="R272" s="177">
        <f t="shared" si="106"/>
        <v>0.32743278153367233</v>
      </c>
      <c r="S272" s="799">
        <f t="shared" si="107"/>
        <v>0</v>
      </c>
      <c r="T272" s="176">
        <f t="shared" si="108"/>
        <v>6</v>
      </c>
      <c r="U272" s="250">
        <f t="shared" si="109"/>
        <v>0.32743278153367233</v>
      </c>
      <c r="V272" s="382">
        <f t="shared" si="110"/>
        <v>46.901948003491867</v>
      </c>
      <c r="W272" s="400">
        <f t="shared" si="111"/>
        <v>0</v>
      </c>
      <c r="X272" s="157">
        <f t="shared" si="112"/>
        <v>44819</v>
      </c>
      <c r="Y272" s="383">
        <f t="shared" si="113"/>
        <v>40.605075098056439</v>
      </c>
      <c r="Z272" s="383">
        <f t="shared" si="114"/>
        <v>41.664554752768417</v>
      </c>
      <c r="AA272" s="384">
        <f t="shared" si="115"/>
        <v>45.616726968754911</v>
      </c>
      <c r="AB272" s="197">
        <f t="shared" si="116"/>
        <v>44819</v>
      </c>
      <c r="AC272" s="119">
        <f>IF(OR(t&lt;Tnet,NoTnet),'2021'!Resal_s+('2021'!Salim-'2021'!Resal_s)*(1-EXP(('2021'!Tnet_s-t)/'2021'!Tau_j)),Resal_s+(Salim-Resal_s)*(1-EXP((Tnet_s-t)/Tau_j)))*Salcycl</f>
        <v>8.6638662582993506E-2</v>
      </c>
      <c r="AD272" s="230">
        <f>(INDEX(Models!$BJ272:$BT272,,AH272)*(1-AF272)+INDEX(Models!$BJ272:$BT272,,AH272+1)*AF272-ERP_i)*AE272*Ramure*Pc/MaxiM</f>
        <v>4.8263455447387716E-3</v>
      </c>
      <c r="AE272" s="304">
        <f t="shared" si="117"/>
        <v>0.7</v>
      </c>
      <c r="AF272" s="177">
        <f t="shared" si="118"/>
        <v>0.39176500379350448</v>
      </c>
      <c r="AG272" s="799">
        <f t="shared" ref="AG272:AG335" si="124">INDEX(Echel_vg,AH272)</f>
        <v>0</v>
      </c>
      <c r="AH272" s="176">
        <f t="shared" si="119"/>
        <v>6</v>
      </c>
      <c r="AI272" s="224">
        <f t="shared" si="120"/>
        <v>0.39176500379350448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44820</v>
      </c>
      <c r="B273" s="1147">
        <v>26.060000000000002</v>
      </c>
      <c r="C273" s="388"/>
      <c r="D273" s="391">
        <f t="shared" si="102"/>
        <v>26.740477719280754</v>
      </c>
      <c r="E273" s="383">
        <f t="shared" si="100"/>
        <v>27.149608998241735</v>
      </c>
      <c r="F273" s="383">
        <f t="shared" si="103"/>
        <v>27.19563536589575</v>
      </c>
      <c r="G273" s="110">
        <f t="shared" si="101"/>
        <v>0.55675465393799684</v>
      </c>
      <c r="H273" s="412" t="b">
        <f>Wh_hp&gt;='2021'!Maxi_hp</f>
        <v>0</v>
      </c>
      <c r="I273" s="379">
        <f>IF(H273,Wh_hp,'2021'!Maxi_hp)</f>
        <v>44.025352482191991</v>
      </c>
      <c r="J273" s="85">
        <f>IF(H273,An,'2021'!An_max)</f>
        <v>2018</v>
      </c>
      <c r="K273" s="197">
        <f t="shared" si="104"/>
        <v>44820</v>
      </c>
      <c r="L273" s="147">
        <f>IF(t&lt;Tvie,1-EXP((T0-t)*PertePVj)+'2021'!Pspv,1-EXP((T0-t)*PertePVj)+Pspv)</f>
        <v>2.544747803028613E-2</v>
      </c>
      <c r="M273" s="832"/>
      <c r="N273" s="832"/>
      <c r="O273" s="48">
        <f>IF(t&lt;Tnet,'2021'!Resal+('2021'!Salim-'2021'!Resal)*(1-EXP(('2021'!Tnet-t)/('2021'!Tau_j))),Resal+(Salim-Resal)*(1-EXP((Tnet-t)/(Tau_j))))*Salcycl</f>
        <v>1.5069509066870093E-2</v>
      </c>
      <c r="P273" s="169">
        <f>(INDEX(Models!$BJ273:$BT273,,T273)*(1-R273)+INDEX(Models!$BJ273:$BT273,,T273+1)*R273-ERP_i)*Q273*Ramure*Pc/MaxiM</f>
        <v>4.585207540225786E-3</v>
      </c>
      <c r="Q273" s="304">
        <f t="shared" si="105"/>
        <v>0.7</v>
      </c>
      <c r="R273" s="177">
        <f t="shared" si="106"/>
        <v>0.32772173167118884</v>
      </c>
      <c r="S273" s="799">
        <f t="shared" si="107"/>
        <v>0</v>
      </c>
      <c r="T273" s="176">
        <f t="shared" si="108"/>
        <v>6</v>
      </c>
      <c r="U273" s="250">
        <f t="shared" si="109"/>
        <v>0.32772173167118884</v>
      </c>
      <c r="V273" s="382">
        <f t="shared" si="110"/>
        <v>46.671340607936365</v>
      </c>
      <c r="W273" s="400">
        <f t="shared" si="111"/>
        <v>0</v>
      </c>
      <c r="X273" s="157">
        <f t="shared" si="112"/>
        <v>44820</v>
      </c>
      <c r="Y273" s="383">
        <f t="shared" si="113"/>
        <v>24.164944034027474</v>
      </c>
      <c r="Z273" s="383">
        <f t="shared" si="114"/>
        <v>24.795938124696011</v>
      </c>
      <c r="AA273" s="384">
        <f t="shared" si="115"/>
        <v>27.14712302347607</v>
      </c>
      <c r="AB273" s="197">
        <f t="shared" si="116"/>
        <v>44820</v>
      </c>
      <c r="AC273" s="119">
        <f>IF(OR(t&lt;Tnet,NoTnet),'2021'!Resal_s+('2021'!Salim-'2021'!Resal_s)*(1-EXP(('2021'!Tnet_s-t)/'2021'!Tau_j)),Resal_s+(Salim-Resal_s)*(1-EXP((Tnet_s-t)/Tau_j)))*Salcycl</f>
        <v>8.6608989716767351E-2</v>
      </c>
      <c r="AD273" s="230">
        <f>(INDEX(Models!$BJ273:$BT273,,AH273)*(1-AF273)+INDEX(Models!$BJ273:$BT273,,AH273+1)*AF273-ERP_i)*AE273*Ramure*Pc/MaxiM</f>
        <v>4.8328636300134188E-3</v>
      </c>
      <c r="AE273" s="304">
        <f t="shared" si="117"/>
        <v>0.7</v>
      </c>
      <c r="AF273" s="177">
        <f t="shared" si="118"/>
        <v>0.39205395393102099</v>
      </c>
      <c r="AG273" s="799">
        <f t="shared" si="124"/>
        <v>0</v>
      </c>
      <c r="AH273" s="176">
        <f t="shared" si="119"/>
        <v>6</v>
      </c>
      <c r="AI273" s="224">
        <f t="shared" si="120"/>
        <v>0.39205395393102099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44821</v>
      </c>
      <c r="B274" s="1147">
        <v>47.971000000000004</v>
      </c>
      <c r="C274" s="388"/>
      <c r="D274" s="391">
        <f t="shared" si="102"/>
        <v>49.224560287353519</v>
      </c>
      <c r="E274" s="383">
        <f t="shared" si="100"/>
        <v>49.980231742264358</v>
      </c>
      <c r="F274" s="383">
        <f t="shared" si="103"/>
        <v>50.210233541506341</v>
      </c>
      <c r="G274" s="110">
        <f t="shared" si="101"/>
        <v>1.0329920945130591</v>
      </c>
      <c r="H274" s="412" t="b">
        <f>Wh_hp&gt;='2021'!Maxi_hp</f>
        <v>1</v>
      </c>
      <c r="I274" s="379">
        <f>IF(H274,Wh_hp,'2021'!Maxi_hp)</f>
        <v>50.210233541506341</v>
      </c>
      <c r="J274" s="85">
        <f>IF(H274,An,'2021'!An_max)</f>
        <v>2022</v>
      </c>
      <c r="K274" s="197">
        <f t="shared" si="104"/>
        <v>44821</v>
      </c>
      <c r="L274" s="147">
        <f>IF(t&lt;Tvie,1-EXP((T0-t)*PertePVj)+'2021'!Pspv,1-EXP((T0-t)*PertePVj)+Pspv)</f>
        <v>2.5466155107038535E-2</v>
      </c>
      <c r="M274" s="832"/>
      <c r="N274" s="832"/>
      <c r="O274" s="48">
        <f>IF(t&lt;Tnet,'2021'!Resal+('2021'!Salim-'2021'!Resal)*(1-EXP(('2021'!Tnet-t)/('2021'!Tau_j))),Resal+(Salim-Resal)*(1-EXP((Tnet-t)/(Tau_j))))*Salcycl</f>
        <v>1.5119406784819446E-2</v>
      </c>
      <c r="P274" s="169">
        <f>(INDEX(Models!$BJ274:$BT274,,T274)*(1-R274)+INDEX(Models!$BJ274:$BT274,,T274+1)*R274-ERP_i)*Q274*Ramure*Pc/MaxiM</f>
        <v>4.580775332420098E-3</v>
      </c>
      <c r="Q274" s="304">
        <f t="shared" si="105"/>
        <v>0.7</v>
      </c>
      <c r="R274" s="177">
        <f t="shared" si="106"/>
        <v>0.32799944730726749</v>
      </c>
      <c r="S274" s="799">
        <f t="shared" si="107"/>
        <v>0</v>
      </c>
      <c r="T274" s="176">
        <f t="shared" si="108"/>
        <v>6</v>
      </c>
      <c r="U274" s="250">
        <f t="shared" si="109"/>
        <v>0.32799944730726749</v>
      </c>
      <c r="V274" s="382">
        <f t="shared" si="110"/>
        <v>46.438883951588217</v>
      </c>
      <c r="W274" s="400">
        <f t="shared" si="111"/>
        <v>0</v>
      </c>
      <c r="X274" s="157">
        <f t="shared" si="112"/>
        <v>44821</v>
      </c>
      <c r="Y274" s="383">
        <f t="shared" si="113"/>
        <v>44.479487296656487</v>
      </c>
      <c r="Z274" s="383">
        <f t="shared" si="114"/>
        <v>45.641808675759144</v>
      </c>
      <c r="AA274" s="384">
        <f t="shared" si="115"/>
        <v>49.967964448931291</v>
      </c>
      <c r="AB274" s="197">
        <f t="shared" si="116"/>
        <v>44821</v>
      </c>
      <c r="AC274" s="119">
        <f>IF(OR(t&lt;Tnet,NoTnet),'2021'!Resal_s+('2021'!Salim-'2021'!Resal_s)*(1-EXP(('2021'!Tnet_s-t)/'2021'!Tau_j)),Resal_s+(Salim-Resal_s)*(1-EXP((Tnet_s-t)/Tau_j)))*Salcycl</f>
        <v>8.6578587318552933E-2</v>
      </c>
      <c r="AD274" s="230">
        <f>(INDEX(Models!$BJ274:$BT274,,AH274)*(1-AF274)+INDEX(Models!$BJ274:$BT274,,AH274+1)*AF274-ERP_i)*AE274*Ramure*Pc/MaxiM</f>
        <v>4.8250939198436187E-3</v>
      </c>
      <c r="AE274" s="304">
        <f t="shared" si="117"/>
        <v>0.7</v>
      </c>
      <c r="AF274" s="177">
        <f t="shared" si="118"/>
        <v>0.39233166956709964</v>
      </c>
      <c r="AG274" s="799">
        <f t="shared" si="124"/>
        <v>0</v>
      </c>
      <c r="AH274" s="176">
        <f t="shared" si="119"/>
        <v>6</v>
      </c>
      <c r="AI274" s="224">
        <f t="shared" si="120"/>
        <v>0.39233166956709964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44822</v>
      </c>
      <c r="B275" s="1147">
        <v>47.213999999999999</v>
      </c>
      <c r="C275" s="388"/>
      <c r="D275" s="391">
        <f t="shared" si="102"/>
        <v>48.448707153999479</v>
      </c>
      <c r="E275" s="383">
        <f t="shared" si="100"/>
        <v>49.194950188172079</v>
      </c>
      <c r="F275" s="383">
        <f t="shared" si="103"/>
        <v>49.42043976058256</v>
      </c>
      <c r="G275" s="110">
        <f t="shared" si="101"/>
        <v>1.0218602561464745</v>
      </c>
      <c r="H275" s="412" t="b">
        <f>Wh_hp&gt;='2021'!Maxi_hp</f>
        <v>1</v>
      </c>
      <c r="I275" s="379">
        <f>IF(H275,Wh_hp,'2021'!Maxi_hp)</f>
        <v>49.42043976058256</v>
      </c>
      <c r="J275" s="85">
        <f>IF(H275,An,'2021'!An_max)</f>
        <v>2022</v>
      </c>
      <c r="K275" s="197">
        <f t="shared" si="104"/>
        <v>44822</v>
      </c>
      <c r="L275" s="147">
        <f>IF(t&lt;Tvie,1-EXP((T0-t)*PertePVj)+'2021'!Pspv,1-EXP((T0-t)*PertePVj)+Pspv)</f>
        <v>2.548483182584893E-2</v>
      </c>
      <c r="M275" s="832"/>
      <c r="N275" s="832"/>
      <c r="O275" s="48">
        <f>IF(t&lt;Tnet,'2021'!Resal+('2021'!Salim-'2021'!Resal)*(1-EXP(('2021'!Tnet-t)/('2021'!Tau_j))),Resal+(Salim-Resal)*(1-EXP((Tnet-t)/(Tau_j))))*Salcycl</f>
        <v>1.5169098277733823E-2</v>
      </c>
      <c r="P275" s="169">
        <f>(INDEX(Models!$BJ275:$BT275,,T275)*(1-R275)+INDEX(Models!$BJ275:$BT275,,T275+1)*R275-ERP_i)*Q275*Ramure*Pc/MaxiM</f>
        <v>4.5626783877857425E-3</v>
      </c>
      <c r="Q275" s="304">
        <f t="shared" si="105"/>
        <v>0.7</v>
      </c>
      <c r="R275" s="177">
        <f t="shared" si="106"/>
        <v>0.32826635003515381</v>
      </c>
      <c r="S275" s="799">
        <f t="shared" si="107"/>
        <v>0</v>
      </c>
      <c r="T275" s="176">
        <f t="shared" si="108"/>
        <v>6</v>
      </c>
      <c r="U275" s="250">
        <f t="shared" si="109"/>
        <v>0.32826635003515381</v>
      </c>
      <c r="V275" s="382">
        <f t="shared" si="110"/>
        <v>46.203969394061943</v>
      </c>
      <c r="W275" s="400">
        <f t="shared" si="111"/>
        <v>0</v>
      </c>
      <c r="X275" s="157">
        <f t="shared" si="112"/>
        <v>44822</v>
      </c>
      <c r="Y275" s="383">
        <f t="shared" si="113"/>
        <v>43.781467258316383</v>
      </c>
      <c r="Z275" s="383">
        <f t="shared" si="114"/>
        <v>44.926409242398165</v>
      </c>
      <c r="AA275" s="384">
        <f t="shared" si="115"/>
        <v>49.183078155318533</v>
      </c>
      <c r="AB275" s="197">
        <f t="shared" si="116"/>
        <v>44822</v>
      </c>
      <c r="AC275" s="119">
        <f>IF(OR(t&lt;Tnet,NoTnet),'2021'!Resal_s+('2021'!Salim-'2021'!Resal_s)*(1-EXP(('2021'!Tnet_s-t)/'2021'!Tau_j)),Resal_s+(Salim-Resal_s)*(1-EXP((Tnet_s-t)/Tau_j)))*Salcycl</f>
        <v>8.6547427948245645E-2</v>
      </c>
      <c r="AD275" s="230">
        <f>(INDEX(Models!$BJ275:$BT275,,AH275)*(1-AF275)+INDEX(Models!$BJ275:$BT275,,AH275+1)*AF275-ERP_i)*AE275*Ramure*Pc/MaxiM</f>
        <v>4.8029035438358521E-3</v>
      </c>
      <c r="AE275" s="304">
        <f t="shared" si="117"/>
        <v>0.7</v>
      </c>
      <c r="AF275" s="177">
        <f t="shared" si="118"/>
        <v>0.39259857229498596</v>
      </c>
      <c r="AG275" s="799">
        <f t="shared" si="124"/>
        <v>0</v>
      </c>
      <c r="AH275" s="176">
        <f t="shared" si="119"/>
        <v>6</v>
      </c>
      <c r="AI275" s="224">
        <f t="shared" si="120"/>
        <v>0.39259857229498596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44823</v>
      </c>
      <c r="B276" s="1193">
        <f>47.92*0.95</f>
        <v>45.524000000000001</v>
      </c>
      <c r="C276" s="388"/>
      <c r="D276" s="391">
        <f t="shared" si="102"/>
        <v>46.715406758717101</v>
      </c>
      <c r="E276" s="383">
        <f t="shared" si="100"/>
        <v>47.437335512967501</v>
      </c>
      <c r="F276" s="383">
        <f t="shared" si="103"/>
        <v>47.650088972377581</v>
      </c>
      <c r="G276" s="110">
        <f t="shared" si="101"/>
        <v>0.99031742507644449</v>
      </c>
      <c r="H276" s="412" t="b">
        <f>Wh_hp&gt;='2021'!Maxi_hp</f>
        <v>1</v>
      </c>
      <c r="I276" s="379">
        <f>IF(H276,Wh_hp,'2021'!Maxi_hp)</f>
        <v>47.650088972377581</v>
      </c>
      <c r="J276" s="85">
        <f>IF(H276,An,'2021'!An_max)</f>
        <v>2022</v>
      </c>
      <c r="K276" s="197">
        <f t="shared" si="104"/>
        <v>44823</v>
      </c>
      <c r="L276" s="147">
        <f>IF(t&lt;Tvie,1-EXP((T0-t)*PertePVj)+'2021'!Pspv,1-EXP((T0-t)*PertePVj)+Pspv)</f>
        <v>2.5503508186724422E-2</v>
      </c>
      <c r="M276" s="832"/>
      <c r="N276" s="832"/>
      <c r="O276" s="48">
        <f>IF(t&lt;Tnet,'2021'!Resal+('2021'!Salim-'2021'!Resal)*(1-EXP(('2021'!Tnet-t)/('2021'!Tau_j))),Resal+(Salim-Resal)*(1-EXP((Tnet-t)/(Tau_j))))*Salcycl</f>
        <v>1.5218577233391484E-2</v>
      </c>
      <c r="P276" s="169">
        <f>(INDEX(Models!$BJ276:$BT276,,T276)*(1-R276)+INDEX(Models!$BJ276:$BT276,,T276+1)*R276-ERP_i)*Q276*Ramure*Pc/MaxiM</f>
        <v>4.5271322224794547E-3</v>
      </c>
      <c r="Q276" s="304">
        <f t="shared" si="105"/>
        <v>0.7</v>
      </c>
      <c r="R276" s="177">
        <f t="shared" si="106"/>
        <v>0.3285228468105631</v>
      </c>
      <c r="S276" s="799">
        <f t="shared" si="107"/>
        <v>0</v>
      </c>
      <c r="T276" s="176">
        <f t="shared" si="108"/>
        <v>6</v>
      </c>
      <c r="U276" s="250">
        <f t="shared" si="109"/>
        <v>0.3285228468105631</v>
      </c>
      <c r="V276" s="382">
        <f t="shared" si="110"/>
        <v>45.966226217390961</v>
      </c>
      <c r="W276" s="400">
        <f t="shared" si="111"/>
        <v>0</v>
      </c>
      <c r="X276" s="157">
        <f t="shared" si="112"/>
        <v>44823</v>
      </c>
      <c r="Y276" s="383">
        <f t="shared" si="113"/>
        <v>42.21826095376818</v>
      </c>
      <c r="Z276" s="383">
        <f t="shared" si="114"/>
        <v>43.323153349902128</v>
      </c>
      <c r="AA276" s="384">
        <f t="shared" si="115"/>
        <v>47.426259094374714</v>
      </c>
      <c r="AB276" s="197">
        <f t="shared" si="116"/>
        <v>44823</v>
      </c>
      <c r="AC276" s="119">
        <f>IF(OR(t&lt;Tnet,NoTnet),'2021'!Resal_s+('2021'!Salim-'2021'!Resal_s)*(1-EXP(('2021'!Tnet_s-t)/'2021'!Tau_j)),Resal_s+(Salim-Resal_s)*(1-EXP((Tnet_s-t)/Tau_j)))*Salcycl</f>
        <v>8.6515483675567106E-2</v>
      </c>
      <c r="AD276" s="230">
        <f>(INDEX(Models!$BJ276:$BT276,,AH276)*(1-AF276)+INDEX(Models!$BJ276:$BT276,,AH276+1)*AF276-ERP_i)*AE276*Ramure*Pc/MaxiM</f>
        <v>4.7628248013926932E-3</v>
      </c>
      <c r="AE276" s="304">
        <f t="shared" si="117"/>
        <v>0.7</v>
      </c>
      <c r="AF276" s="177">
        <f t="shared" si="118"/>
        <v>0.39285506907039525</v>
      </c>
      <c r="AG276" s="799">
        <f t="shared" si="124"/>
        <v>0</v>
      </c>
      <c r="AH276" s="176">
        <f t="shared" si="119"/>
        <v>6</v>
      </c>
      <c r="AI276" s="224">
        <f t="shared" si="120"/>
        <v>0.39285506907039525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44824</v>
      </c>
      <c r="B277" s="1193">
        <f>47.92*0.95</f>
        <v>45.524000000000001</v>
      </c>
      <c r="C277" s="388"/>
      <c r="D277" s="391">
        <f t="shared" si="102"/>
        <v>46.716302065988494</v>
      </c>
      <c r="E277" s="383">
        <f t="shared" si="100"/>
        <v>47.440617693735604</v>
      </c>
      <c r="F277" s="383">
        <f t="shared" si="103"/>
        <v>47.652641378749614</v>
      </c>
      <c r="G277" s="110">
        <f t="shared" si="101"/>
        <v>0.99556086905513497</v>
      </c>
      <c r="H277" s="412" t="b">
        <f>Wh_hp&gt;='2021'!Maxi_hp</f>
        <v>0</v>
      </c>
      <c r="I277" s="379">
        <f>IF(H277,Wh_hp,'2021'!Maxi_hp)</f>
        <v>48.889969383535792</v>
      </c>
      <c r="J277" s="85">
        <f>IF(H277,An,'2021'!An_max)</f>
        <v>2018</v>
      </c>
      <c r="K277" s="197">
        <f t="shared" si="104"/>
        <v>44824</v>
      </c>
      <c r="L277" s="147">
        <f>IF(t&lt;Tvie,1-EXP((T0-t)*PertePVj)+'2021'!Pspv,1-EXP((T0-t)*PertePVj)+Pspv)</f>
        <v>2.552218418967156E-2</v>
      </c>
      <c r="M277" s="832"/>
      <c r="N277" s="832"/>
      <c r="O277" s="48">
        <f>IF(t&lt;Tnet,'2021'!Resal+('2021'!Salim-'2021'!Resal)*(1-EXP(('2021'!Tnet-t)/('2021'!Tau_j))),Resal+(Salim-Resal)*(1-EXP((Tnet-t)/(Tau_j))))*Salcycl</f>
        <v>1.526783720277651E-2</v>
      </c>
      <c r="P277" s="169">
        <f>(INDEX(Models!$BJ277:$BT277,,T277)*(1-R277)+INDEX(Models!$BJ277:$BT277,,T277+1)*R277-ERP_i)*Q277*Ramure*Pc/MaxiM</f>
        <v>4.4775730660085236E-3</v>
      </c>
      <c r="Q277" s="304">
        <f t="shared" si="105"/>
        <v>0.7</v>
      </c>
      <c r="R277" s="177">
        <f t="shared" si="106"/>
        <v>0.32876933036661005</v>
      </c>
      <c r="S277" s="799">
        <f t="shared" si="107"/>
        <v>0</v>
      </c>
      <c r="T277" s="176">
        <f t="shared" si="108"/>
        <v>6</v>
      </c>
      <c r="U277" s="250">
        <f t="shared" si="109"/>
        <v>0.32876933036661005</v>
      </c>
      <c r="V277" s="382">
        <f t="shared" si="110"/>
        <v>45.725692154687323</v>
      </c>
      <c r="W277" s="400">
        <f t="shared" si="111"/>
        <v>0</v>
      </c>
      <c r="X277" s="157">
        <f t="shared" si="112"/>
        <v>44824</v>
      </c>
      <c r="Y277" s="383">
        <f t="shared" si="113"/>
        <v>42.222012840292805</v>
      </c>
      <c r="Z277" s="383">
        <f t="shared" si="114"/>
        <v>43.327833794946919</v>
      </c>
      <c r="AA277" s="384">
        <f t="shared" si="115"/>
        <v>47.429681996191093</v>
      </c>
      <c r="AB277" s="197">
        <f t="shared" si="116"/>
        <v>44824</v>
      </c>
      <c r="AC277" s="119">
        <f>IF(OR(t&lt;Tnet,NoTnet),'2021'!Resal_s+('2021'!Salim-'2021'!Resal_s)*(1-EXP(('2021'!Tnet_s-t)/'2021'!Tau_j)),Resal_s+(Salim-Resal_s)*(1-EXP((Tnet_s-t)/Tau_j)))*Salcycl</f>
        <v>8.6482726187655581E-2</v>
      </c>
      <c r="AD277" s="230">
        <f>(INDEX(Models!$BJ277:$BT277,,AH277)*(1-AF277)+INDEX(Models!$BJ277:$BT277,,AH277+1)*AF277-ERP_i)*AE277*Ramure*Pc/MaxiM</f>
        <v>4.7085160607974021E-3</v>
      </c>
      <c r="AE277" s="304">
        <f t="shared" si="117"/>
        <v>0.7</v>
      </c>
      <c r="AF277" s="177">
        <f t="shared" si="118"/>
        <v>0.3931015526264422</v>
      </c>
      <c r="AG277" s="799">
        <f t="shared" si="124"/>
        <v>0</v>
      </c>
      <c r="AH277" s="176">
        <f t="shared" si="119"/>
        <v>6</v>
      </c>
      <c r="AI277" s="224">
        <f t="shared" si="120"/>
        <v>0.3931015526264422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44825</v>
      </c>
      <c r="B278" s="1147">
        <v>47.045000000000002</v>
      </c>
      <c r="C278" s="388"/>
      <c r="D278" s="391">
        <f t="shared" si="102"/>
        <v>48.278063246468719</v>
      </c>
      <c r="E278" s="383">
        <f t="shared" si="100"/>
        <v>49.02903467629185</v>
      </c>
      <c r="F278" s="383">
        <f t="shared" si="103"/>
        <v>49.24639747322302</v>
      </c>
      <c r="G278" s="110">
        <f t="shared" si="101"/>
        <v>1.0343521668497802</v>
      </c>
      <c r="H278" s="412" t="b">
        <f>Wh_hp&gt;='2021'!Maxi_hp</f>
        <v>1</v>
      </c>
      <c r="I278" s="379">
        <f>IF(H278,Wh_hp,'2021'!Maxi_hp)</f>
        <v>49.24639747322302</v>
      </c>
      <c r="J278" s="85">
        <f>IF(H278,An,'2021'!An_max)</f>
        <v>2022</v>
      </c>
      <c r="K278" s="197">
        <f t="shared" si="104"/>
        <v>44825</v>
      </c>
      <c r="L278" s="147">
        <f>IF(t&lt;Tvie,1-EXP((T0-t)*PertePVj)+'2021'!Pspv,1-EXP((T0-t)*PertePVj)+Pspv)</f>
        <v>2.5540859834697449E-2</v>
      </c>
      <c r="M278" s="832"/>
      <c r="N278" s="832"/>
      <c r="O278" s="48">
        <f>IF(t&lt;Tnet,'2021'!Resal+('2021'!Salim-'2021'!Resal)*(1-EXP(('2021'!Tnet-t)/('2021'!Tau_j))),Resal+(Salim-Resal)*(1-EXP((Tnet-t)/(Tau_j))))*Salcycl</f>
        <v>1.5316871620690276E-2</v>
      </c>
      <c r="P278" s="169">
        <f>(INDEX(Models!$BJ278:$BT278,,T278)*(1-R278)+INDEX(Models!$BJ278:$BT278,,T278+1)*R278-ERP_i)*Q278*Ramure*Pc/MaxiM</f>
        <v>4.4137806638416223E-3</v>
      </c>
      <c r="Q278" s="304">
        <f t="shared" si="105"/>
        <v>0.7</v>
      </c>
      <c r="R278" s="177">
        <f t="shared" si="106"/>
        <v>0.32900617962468021</v>
      </c>
      <c r="S278" s="799">
        <f t="shared" si="107"/>
        <v>0</v>
      </c>
      <c r="T278" s="176">
        <f t="shared" si="108"/>
        <v>6</v>
      </c>
      <c r="U278" s="250">
        <f t="shared" si="109"/>
        <v>0.32900617962468021</v>
      </c>
      <c r="V278" s="382">
        <f t="shared" si="110"/>
        <v>45.482574995013664</v>
      </c>
      <c r="W278" s="400">
        <f t="shared" si="111"/>
        <v>0</v>
      </c>
      <c r="X278" s="157">
        <f t="shared" si="112"/>
        <v>44825</v>
      </c>
      <c r="Y278" s="383">
        <f t="shared" si="113"/>
        <v>43.636622510261951</v>
      </c>
      <c r="Z278" s="383">
        <f t="shared" si="114"/>
        <v>44.78035118318008</v>
      </c>
      <c r="AA278" s="384">
        <f t="shared" si="115"/>
        <v>49.017906393975522</v>
      </c>
      <c r="AB278" s="197">
        <f t="shared" si="116"/>
        <v>44825</v>
      </c>
      <c r="AC278" s="119">
        <f>IF(OR(t&lt;Tnet,NoTnet),'2021'!Resal_s+('2021'!Salim-'2021'!Resal_s)*(1-EXP(('2021'!Tnet_s-t)/'2021'!Tau_j)),Resal_s+(Salim-Resal_s)*(1-EXP((Tnet_s-t)/Tau_j)))*Salcycl</f>
        <v>8.6449126911635046E-2</v>
      </c>
      <c r="AD278" s="230">
        <f>(INDEX(Models!$BJ278:$BT278,,AH278)*(1-AF278)+INDEX(Models!$BJ278:$BT278,,AH278+1)*AF278-ERP_i)*AE278*Ramure*Pc/MaxiM</f>
        <v>4.6397521640386867E-3</v>
      </c>
      <c r="AE278" s="304">
        <f t="shared" si="117"/>
        <v>0.7</v>
      </c>
      <c r="AF278" s="177">
        <f t="shared" si="118"/>
        <v>0.39333840188451236</v>
      </c>
      <c r="AG278" s="799">
        <f t="shared" si="124"/>
        <v>0</v>
      </c>
      <c r="AH278" s="176">
        <f t="shared" si="119"/>
        <v>6</v>
      </c>
      <c r="AI278" s="224">
        <f t="shared" si="120"/>
        <v>0.39333840188451236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44826</v>
      </c>
      <c r="B279" s="1147">
        <v>45.814999999999998</v>
      </c>
      <c r="C279" s="388"/>
      <c r="D279" s="391">
        <f t="shared" si="102"/>
        <v>47.016725650578408</v>
      </c>
      <c r="E279" s="383">
        <f t="shared" si="100"/>
        <v>47.750443388904195</v>
      </c>
      <c r="F279" s="383">
        <f t="shared" si="103"/>
        <v>47.958368246020818</v>
      </c>
      <c r="G279" s="110">
        <f t="shared" si="101"/>
        <v>1.0127753085273887</v>
      </c>
      <c r="H279" s="412" t="b">
        <f>Wh_hp&gt;='2021'!Maxi_hp</f>
        <v>1</v>
      </c>
      <c r="I279" s="379">
        <f>IF(H279,Wh_hp,'2021'!Maxi_hp)</f>
        <v>47.958368246020818</v>
      </c>
      <c r="J279" s="85">
        <f>IF(H279,An,'2021'!An_max)</f>
        <v>2022</v>
      </c>
      <c r="K279" s="197">
        <f t="shared" si="104"/>
        <v>44826</v>
      </c>
      <c r="L279" s="147">
        <f>IF(t&lt;Tvie,1-EXP((T0-t)*PertePVj)+'2021'!Pspv,1-EXP((T0-t)*PertePVj)+Pspv)</f>
        <v>2.5559535121808863E-2</v>
      </c>
      <c r="M279" s="832"/>
      <c r="N279" s="832"/>
      <c r="O279" s="48">
        <f>IF(t&lt;Tnet,'2021'!Resal+('2021'!Salim-'2021'!Resal)*(1-EXP(('2021'!Tnet-t)/('2021'!Tau_j))),Resal+(Salim-Resal)*(1-EXP((Tnet-t)/(Tau_j))))*Salcycl</f>
        <v>1.5365673829455693E-2</v>
      </c>
      <c r="P279" s="169">
        <f>(INDEX(Models!$BJ279:$BT279,,T279)*(1-R279)+INDEX(Models!$BJ279:$BT279,,T279+1)*R279-ERP_i)*Q279*Ramure*Pc/MaxiM</f>
        <v>4.3355281824850904E-3</v>
      </c>
      <c r="Q279" s="304">
        <f t="shared" si="105"/>
        <v>0.7</v>
      </c>
      <c r="R279" s="177">
        <f t="shared" si="106"/>
        <v>0.32923376010052829</v>
      </c>
      <c r="S279" s="799">
        <f t="shared" si="107"/>
        <v>0</v>
      </c>
      <c r="T279" s="176">
        <f t="shared" si="108"/>
        <v>6</v>
      </c>
      <c r="U279" s="250">
        <f t="shared" si="109"/>
        <v>0.32923376010052829</v>
      </c>
      <c r="V279" s="382">
        <f t="shared" si="110"/>
        <v>45.237082316527484</v>
      </c>
      <c r="W279" s="400">
        <f t="shared" si="111"/>
        <v>0</v>
      </c>
      <c r="X279" s="157">
        <f t="shared" si="112"/>
        <v>44826</v>
      </c>
      <c r="Y279" s="383">
        <f t="shared" si="113"/>
        <v>42.499667613485698</v>
      </c>
      <c r="Z279" s="383">
        <f t="shared" si="114"/>
        <v>43.614432225778231</v>
      </c>
      <c r="AA279" s="384">
        <f t="shared" si="115"/>
        <v>47.739855468578448</v>
      </c>
      <c r="AB279" s="197">
        <f t="shared" si="116"/>
        <v>44826</v>
      </c>
      <c r="AC279" s="119">
        <f>IF(OR(t&lt;Tnet,NoTnet),'2021'!Resal_s+('2021'!Salim-'2021'!Resal_s)*(1-EXP(('2021'!Tnet_s-t)/'2021'!Tau_j)),Resal_s+(Salim-Resal_s)*(1-EXP((Tnet_s-t)/Tau_j)))*Salcycl</f>
        <v>8.6414657151936705E-2</v>
      </c>
      <c r="AD279" s="230">
        <f>(INDEX(Models!$BJ279:$BT279,,AH279)*(1-AF279)+INDEX(Models!$BJ279:$BT279,,AH279+1)*AF279-ERP_i)*AE279*Ramure*Pc/MaxiM</f>
        <v>4.5563013387240519E-3</v>
      </c>
      <c r="AE279" s="304">
        <f t="shared" si="117"/>
        <v>0.7</v>
      </c>
      <c r="AF279" s="177">
        <f t="shared" si="118"/>
        <v>0.39356598236036044</v>
      </c>
      <c r="AG279" s="799">
        <f t="shared" si="124"/>
        <v>0</v>
      </c>
      <c r="AH279" s="176">
        <f t="shared" si="119"/>
        <v>6</v>
      </c>
      <c r="AI279" s="224">
        <f t="shared" si="120"/>
        <v>0.39356598236036044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44827</v>
      </c>
      <c r="B280" s="1147">
        <v>34.472999999999999</v>
      </c>
      <c r="C280" s="388"/>
      <c r="D280" s="391">
        <f t="shared" si="102"/>
        <v>35.377903445493274</v>
      </c>
      <c r="E280" s="383">
        <f t="shared" si="100"/>
        <v>35.93176417816175</v>
      </c>
      <c r="F280" s="383">
        <f t="shared" si="103"/>
        <v>36.033590016421712</v>
      </c>
      <c r="G280" s="110">
        <f t="shared" si="101"/>
        <v>0.76515815809955812</v>
      </c>
      <c r="H280" s="412" t="b">
        <f>Wh_hp&gt;='2021'!Maxi_hp</f>
        <v>0</v>
      </c>
      <c r="I280" s="379">
        <f>IF(H280,Wh_hp,'2021'!Maxi_hp)</f>
        <v>41.960409852229127</v>
      </c>
      <c r="J280" s="85">
        <f>IF(H280,An,'2021'!An_max)</f>
        <v>2021</v>
      </c>
      <c r="K280" s="197">
        <f t="shared" si="104"/>
        <v>44827</v>
      </c>
      <c r="L280" s="147">
        <f>IF(t&lt;Tvie,1-EXP((T0-t)*PertePVj)+'2021'!Pspv,1-EXP((T0-t)*PertePVj)+Pspv)</f>
        <v>2.5578210051012684E-2</v>
      </c>
      <c r="M280" s="832"/>
      <c r="N280" s="832"/>
      <c r="O280" s="48">
        <f>IF(t&lt;Tnet,'2021'!Resal+('2021'!Salim-'2021'!Resal)*(1-EXP(('2021'!Tnet-t)/('2021'!Tau_j))),Resal+(Salim-Resal)*(1-EXP((Tnet-t)/(Tau_j))))*Salcycl</f>
        <v>1.5414237105705376E-2</v>
      </c>
      <c r="P280" s="169">
        <f>(INDEX(Models!$BJ280:$BT280,,T280)*(1-R280)+INDEX(Models!$BJ280:$BT280,,T280+1)*R280-ERP_i)*Q280*Ramure*Pc/MaxiM</f>
        <v>4.2426052581692117E-3</v>
      </c>
      <c r="Q280" s="304">
        <f t="shared" si="105"/>
        <v>0.7</v>
      </c>
      <c r="R280" s="177">
        <f t="shared" si="106"/>
        <v>0.32945242430498051</v>
      </c>
      <c r="S280" s="799">
        <f t="shared" si="107"/>
        <v>0</v>
      </c>
      <c r="T280" s="176">
        <f t="shared" si="108"/>
        <v>6</v>
      </c>
      <c r="U280" s="250">
        <f t="shared" si="109"/>
        <v>0.32945242430498051</v>
      </c>
      <c r="V280" s="382">
        <f t="shared" si="110"/>
        <v>44.989420463064562</v>
      </c>
      <c r="W280" s="400">
        <f t="shared" si="111"/>
        <v>0</v>
      </c>
      <c r="X280" s="157">
        <f t="shared" si="112"/>
        <v>44827</v>
      </c>
      <c r="Y280" s="383">
        <f t="shared" si="113"/>
        <v>31.9837211796989</v>
      </c>
      <c r="Z280" s="383">
        <f t="shared" si="114"/>
        <v>32.823281980766566</v>
      </c>
      <c r="AA280" s="384">
        <f t="shared" si="115"/>
        <v>35.926595750665776</v>
      </c>
      <c r="AB280" s="197">
        <f t="shared" si="116"/>
        <v>44827</v>
      </c>
      <c r="AC280" s="119">
        <f>IF(OR(t&lt;Tnet,NoTnet),'2021'!Resal_s+('2021'!Salim-'2021'!Resal_s)*(1-EXP(('2021'!Tnet_s-t)/'2021'!Tau_j)),Resal_s+(Salim-Resal_s)*(1-EXP((Tnet_s-t)/Tau_j)))*Salcycl</f>
        <v>8.6379288241962199E-2</v>
      </c>
      <c r="AD280" s="230">
        <f>(INDEX(Models!$BJ280:$BT280,,AH280)*(1-AF280)+INDEX(Models!$BJ280:$BT280,,AH280+1)*AF280-ERP_i)*AE280*Ramure*Pc/MaxiM</f>
        <v>4.4579493991611409E-3</v>
      </c>
      <c r="AE280" s="304">
        <f t="shared" si="117"/>
        <v>0.7</v>
      </c>
      <c r="AF280" s="177">
        <f t="shared" si="118"/>
        <v>0.39378464656481266</v>
      </c>
      <c r="AG280" s="799">
        <f t="shared" si="124"/>
        <v>0</v>
      </c>
      <c r="AH280" s="176">
        <f t="shared" si="119"/>
        <v>6</v>
      </c>
      <c r="AI280" s="224">
        <f t="shared" si="120"/>
        <v>0.39378464656481266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44828</v>
      </c>
      <c r="B281" s="1147">
        <v>23.13</v>
      </c>
      <c r="C281" s="388"/>
      <c r="D281" s="391">
        <f t="shared" si="102"/>
        <v>23.737608834547576</v>
      </c>
      <c r="E281" s="383">
        <f t="shared" si="100"/>
        <v>24.110417483489833</v>
      </c>
      <c r="F281" s="383">
        <f t="shared" si="103"/>
        <v>24.14135994631458</v>
      </c>
      <c r="G281" s="110">
        <f t="shared" si="101"/>
        <v>0.51551249543339095</v>
      </c>
      <c r="H281" s="412" t="b">
        <f>Wh_hp&gt;='2021'!Maxi_hp</f>
        <v>0</v>
      </c>
      <c r="I281" s="379">
        <f>IF(H281,Wh_hp,'2021'!Maxi_hp)</f>
        <v>41.038887067631343</v>
      </c>
      <c r="J281" s="85">
        <f>IF(H281,An,'2021'!An_max)</f>
        <v>2021</v>
      </c>
      <c r="K281" s="197">
        <f t="shared" si="104"/>
        <v>44828</v>
      </c>
      <c r="L281" s="147">
        <f>IF(t&lt;Tvie,1-EXP((T0-t)*PertePVj)+'2021'!Pspv,1-EXP((T0-t)*PertePVj)+Pspv)</f>
        <v>2.5596884622315685E-2</v>
      </c>
      <c r="M281" s="832"/>
      <c r="N281" s="832"/>
      <c r="O281" s="48">
        <f>IF(t&lt;Tnet,'2021'!Resal+('2021'!Salim-'2021'!Resal)*(1-EXP(('2021'!Tnet-t)/('2021'!Tau_j))),Resal+(Salim-Resal)*(1-EXP((Tnet-t)/(Tau_j))))*Salcycl</f>
        <v>1.5462554690210023E-2</v>
      </c>
      <c r="P281" s="169">
        <f>(INDEX(Models!$BJ281:$BT281,,T281)*(1-R281)+INDEX(Models!$BJ281:$BT281,,T281+1)*R281-ERP_i)*Q281*Ramure*Pc/MaxiM</f>
        <v>4.1347826421516843E-3</v>
      </c>
      <c r="Q281" s="304">
        <f t="shared" si="105"/>
        <v>0.7</v>
      </c>
      <c r="R281" s="177">
        <f t="shared" si="106"/>
        <v>0.32966251213868936</v>
      </c>
      <c r="S281" s="799">
        <f t="shared" si="107"/>
        <v>0</v>
      </c>
      <c r="T281" s="176">
        <f t="shared" si="108"/>
        <v>6</v>
      </c>
      <c r="U281" s="250">
        <f t="shared" si="109"/>
        <v>0.32966251213868936</v>
      </c>
      <c r="V281" s="382">
        <f t="shared" si="110"/>
        <v>44.739796170659119</v>
      </c>
      <c r="W281" s="400">
        <f t="shared" si="111"/>
        <v>0</v>
      </c>
      <c r="X281" s="157">
        <f t="shared" si="112"/>
        <v>44828</v>
      </c>
      <c r="Y281" s="383">
        <f t="shared" si="113"/>
        <v>21.463390095185556</v>
      </c>
      <c r="Z281" s="383">
        <f t="shared" si="114"/>
        <v>22.027218259525188</v>
      </c>
      <c r="AA281" s="384">
        <f t="shared" si="115"/>
        <v>24.108848352993146</v>
      </c>
      <c r="AB281" s="197">
        <f t="shared" si="116"/>
        <v>44828</v>
      </c>
      <c r="AC281" s="119">
        <f>IF(OR(t&lt;Tnet,NoTnet),'2021'!Resal_s+('2021'!Salim-'2021'!Resal_s)*(1-EXP(('2021'!Tnet_s-t)/'2021'!Tau_j)),Resal_s+(Salim-Resal_s)*(1-EXP((Tnet_s-t)/Tau_j)))*Salcycl</f>
        <v>8.6342991709494832E-2</v>
      </c>
      <c r="AD281" s="230">
        <f>(INDEX(Models!$BJ281:$BT281,,AH281)*(1-AF281)+INDEX(Models!$BJ281:$BT281,,AH281+1)*AF281-ERP_i)*AE281*Ramure*Pc/MaxiM</f>
        <v>4.3444625754436549E-3</v>
      </c>
      <c r="AE281" s="304">
        <f t="shared" si="117"/>
        <v>0.7</v>
      </c>
      <c r="AF281" s="177">
        <f t="shared" si="118"/>
        <v>0.39399473439852151</v>
      </c>
      <c r="AG281" s="799">
        <f t="shared" si="124"/>
        <v>0</v>
      </c>
      <c r="AH281" s="176">
        <f t="shared" si="119"/>
        <v>6</v>
      </c>
      <c r="AI281" s="224">
        <f t="shared" si="120"/>
        <v>0.39399473439852151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44829</v>
      </c>
      <c r="B282" s="1147">
        <v>35.01</v>
      </c>
      <c r="C282" s="388"/>
      <c r="D282" s="391">
        <f t="shared" si="102"/>
        <v>35.930376677779414</v>
      </c>
      <c r="E282" s="383">
        <f t="shared" si="100"/>
        <v>36.4964593840864</v>
      </c>
      <c r="F282" s="383">
        <f t="shared" si="103"/>
        <v>36.599123491462763</v>
      </c>
      <c r="G282" s="110">
        <f t="shared" si="101"/>
        <v>0.78599412540852742</v>
      </c>
      <c r="H282" s="412" t="b">
        <f>Wh_hp&gt;='2021'!Maxi_hp</f>
        <v>1</v>
      </c>
      <c r="I282" s="379">
        <f>IF(H282,Wh_hp,'2021'!Maxi_hp)</f>
        <v>36.599123491462763</v>
      </c>
      <c r="J282" s="85">
        <f>IF(H282,An,'2021'!An_max)</f>
        <v>2022</v>
      </c>
      <c r="K282" s="197">
        <f t="shared" si="104"/>
        <v>44829</v>
      </c>
      <c r="L282" s="147">
        <f>IF(t&lt;Tvie,1-EXP((T0-t)*PertePVj)+'2021'!Pspv,1-EXP((T0-t)*PertePVj)+Pspv)</f>
        <v>2.5615558835724861E-2</v>
      </c>
      <c r="M282" s="832"/>
      <c r="N282" s="832"/>
      <c r="O282" s="48">
        <f>IF(t&lt;Tnet,'2021'!Resal+('2021'!Salim-'2021'!Resal)*(1-EXP(('2021'!Tnet-t)/('2021'!Tau_j))),Resal+(Salim-Resal)*(1-EXP((Tnet-t)/(Tau_j))))*Salcycl</f>
        <v>1.5510619820667312E-2</v>
      </c>
      <c r="P282" s="169">
        <f>(INDEX(Models!$BJ282:$BT282,,T282)*(1-R282)+INDEX(Models!$BJ282:$BT282,,T282+1)*R282-ERP_i)*Q282*Ramure*Pc/MaxiM</f>
        <v>4.0322773393273326E-3</v>
      </c>
      <c r="Q282" s="304">
        <f t="shared" si="105"/>
        <v>0.7</v>
      </c>
      <c r="R282" s="177">
        <f t="shared" si="106"/>
        <v>0.32986435128046399</v>
      </c>
      <c r="S282" s="799">
        <f t="shared" si="107"/>
        <v>0</v>
      </c>
      <c r="T282" s="176">
        <f t="shared" si="108"/>
        <v>6</v>
      </c>
      <c r="U282" s="250">
        <f t="shared" si="109"/>
        <v>0.32986435128046399</v>
      </c>
      <c r="V282" s="382">
        <f t="shared" si="110"/>
        <v>44.487502444520203</v>
      </c>
      <c r="W282" s="400">
        <f t="shared" si="111"/>
        <v>0</v>
      </c>
      <c r="X282" s="157">
        <f t="shared" si="112"/>
        <v>44829</v>
      </c>
      <c r="Y282" s="383">
        <f t="shared" si="113"/>
        <v>32.487752651175406</v>
      </c>
      <c r="Z282" s="383">
        <f t="shared" si="114"/>
        <v>33.34182205573434</v>
      </c>
      <c r="AA282" s="384">
        <f t="shared" si="115"/>
        <v>36.491224138640916</v>
      </c>
      <c r="AB282" s="197">
        <f t="shared" si="116"/>
        <v>44829</v>
      </c>
      <c r="AC282" s="119">
        <f>IF(OR(t&lt;Tnet,NoTnet),'2021'!Resal_s+('2021'!Salim-'2021'!Resal_s)*(1-EXP(('2021'!Tnet_s-t)/'2021'!Tau_j)),Resal_s+(Salim-Resal_s)*(1-EXP((Tnet_s-t)/Tau_j)))*Salcycl</f>
        <v>8.6305739455083061E-2</v>
      </c>
      <c r="AD282" s="230">
        <f>(INDEX(Models!$BJ282:$BT282,,AH282)*(1-AF282)+INDEX(Models!$BJ282:$BT282,,AH282+1)*AF282-ERP_i)*AE282*Ramure*Pc/MaxiM</f>
        <v>4.2378989739486001E-3</v>
      </c>
      <c r="AE282" s="304">
        <f t="shared" si="117"/>
        <v>0.7</v>
      </c>
      <c r="AF282" s="177">
        <f t="shared" si="118"/>
        <v>0.39419657354029614</v>
      </c>
      <c r="AG282" s="799">
        <f t="shared" si="124"/>
        <v>0</v>
      </c>
      <c r="AH282" s="176">
        <f t="shared" si="119"/>
        <v>6</v>
      </c>
      <c r="AI282" s="224">
        <f t="shared" si="120"/>
        <v>0.39419657354029614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44830</v>
      </c>
      <c r="B283" s="1147">
        <v>36.441000000000003</v>
      </c>
      <c r="C283" s="388"/>
      <c r="D283" s="391">
        <f t="shared" si="102"/>
        <v>37.399712944197404</v>
      </c>
      <c r="E283" s="383">
        <f t="shared" si="100"/>
        <v>37.990789827572129</v>
      </c>
      <c r="F283" s="383">
        <f t="shared" si="103"/>
        <v>38.103300313128585</v>
      </c>
      <c r="G283" s="110">
        <f t="shared" si="101"/>
        <v>0.82303489434743726</v>
      </c>
      <c r="H283" s="412" t="b">
        <f>Wh_hp&gt;='2021'!Maxi_hp</f>
        <v>0</v>
      </c>
      <c r="I283" s="379">
        <f>IF(H283,Wh_hp,'2021'!Maxi_hp)</f>
        <v>39.791402666859739</v>
      </c>
      <c r="J283" s="85">
        <f>IF(H283,An,'2021'!An_max)</f>
        <v>2018</v>
      </c>
      <c r="K283" s="197">
        <f t="shared" si="104"/>
        <v>44830</v>
      </c>
      <c r="L283" s="147">
        <f>IF(t&lt;Tvie,1-EXP((T0-t)*PertePVj)+'2021'!Pspv,1-EXP((T0-t)*PertePVj)+Pspv)</f>
        <v>2.5634232691246983E-2</v>
      </c>
      <c r="M283" s="832"/>
      <c r="N283" s="832"/>
      <c r="O283" s="48">
        <f>IF(t&lt;Tnet,'2021'!Resal+('2021'!Salim-'2021'!Resal)*(1-EXP(('2021'!Tnet-t)/('2021'!Tau_j))),Resal+(Salim-Resal)*(1-EXP((Tnet-t)/(Tau_j))))*Salcycl</f>
        <v>1.5558425767335626E-2</v>
      </c>
      <c r="P283" s="169">
        <f>(INDEX(Models!$BJ283:$BT283,,T283)*(1-R283)+INDEX(Models!$BJ283:$BT283,,T283+1)*R283-ERP_i)*Q283*Ramure*Pc/MaxiM</f>
        <v>3.9456368464094674E-3</v>
      </c>
      <c r="Q283" s="304">
        <f t="shared" si="105"/>
        <v>0.7</v>
      </c>
      <c r="R283" s="177">
        <f t="shared" si="106"/>
        <v>0.33005825756876633</v>
      </c>
      <c r="S283" s="799">
        <f t="shared" si="107"/>
        <v>0</v>
      </c>
      <c r="T283" s="176">
        <f t="shared" si="108"/>
        <v>6</v>
      </c>
      <c r="U283" s="250">
        <f t="shared" si="109"/>
        <v>0.33005825756876633</v>
      </c>
      <c r="V283" s="382">
        <f t="shared" si="110"/>
        <v>44.232282535684469</v>
      </c>
      <c r="W283" s="400">
        <f t="shared" si="111"/>
        <v>0</v>
      </c>
      <c r="X283" s="157">
        <f t="shared" si="112"/>
        <v>44830</v>
      </c>
      <c r="Y283" s="383">
        <f t="shared" si="113"/>
        <v>33.818395437197644</v>
      </c>
      <c r="Z283" s="383">
        <f t="shared" si="114"/>
        <v>34.708111236918498</v>
      </c>
      <c r="AA283" s="384">
        <f t="shared" si="115"/>
        <v>37.984980710078858</v>
      </c>
      <c r="AB283" s="197">
        <f t="shared" si="116"/>
        <v>44830</v>
      </c>
      <c r="AC283" s="119">
        <f>IF(OR(t&lt;Tnet,NoTnet),'2021'!Resal_s+('2021'!Salim-'2021'!Resal_s)*(1-EXP(('2021'!Tnet_s-t)/'2021'!Tau_j)),Resal_s+(Salim-Resal_s)*(1-EXP((Tnet_s-t)/Tau_j)))*Salcycl</f>
        <v>8.6267503942443327E-2</v>
      </c>
      <c r="AD283" s="230">
        <f>(INDEX(Models!$BJ283:$BT283,,AH283)*(1-AF283)+INDEX(Models!$BJ283:$BT283,,AH283+1)*AF283-ERP_i)*AE283*Ramure*Pc/MaxiM</f>
        <v>4.1493571300184754E-3</v>
      </c>
      <c r="AE283" s="304">
        <f t="shared" si="117"/>
        <v>0.7</v>
      </c>
      <c r="AF283" s="177">
        <f t="shared" si="118"/>
        <v>0.39439047982859848</v>
      </c>
      <c r="AG283" s="799">
        <f t="shared" si="124"/>
        <v>0</v>
      </c>
      <c r="AH283" s="176">
        <f t="shared" si="119"/>
        <v>6</v>
      </c>
      <c r="AI283" s="224">
        <f t="shared" si="120"/>
        <v>0.39439047982859848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44831</v>
      </c>
      <c r="B284" s="1147">
        <v>15.608000000000001</v>
      </c>
      <c r="C284" s="388"/>
      <c r="D284" s="391">
        <f t="shared" si="102"/>
        <v>16.018932164050565</v>
      </c>
      <c r="E284" s="383">
        <f t="shared" si="100"/>
        <v>16.272886271837397</v>
      </c>
      <c r="F284" s="383">
        <f t="shared" si="103"/>
        <v>16.277836470053273</v>
      </c>
      <c r="G284" s="110">
        <f t="shared" si="101"/>
        <v>0.35366636288895248</v>
      </c>
      <c r="H284" s="412" t="b">
        <f>Wh_hp&gt;='2021'!Maxi_hp</f>
        <v>0</v>
      </c>
      <c r="I284" s="379">
        <f>IF(H284,Wh_hp,'2021'!Maxi_hp)</f>
        <v>40.257199501289676</v>
      </c>
      <c r="J284" s="85">
        <f>IF(H284,An,'2021'!An_max)</f>
        <v>2018</v>
      </c>
      <c r="K284" s="197">
        <f t="shared" si="104"/>
        <v>44831</v>
      </c>
      <c r="L284" s="147">
        <f>IF(t&lt;Tvie,1-EXP((T0-t)*PertePVj)+'2021'!Pspv,1-EXP((T0-t)*PertePVj)+Pspv)</f>
        <v>2.5652906188888935E-2</v>
      </c>
      <c r="M284" s="832"/>
      <c r="N284" s="832"/>
      <c r="O284" s="48">
        <f>IF(t&lt;Tnet,'2021'!Resal+('2021'!Salim-'2021'!Resal)*(1-EXP(('2021'!Tnet-t)/('2021'!Tau_j))),Resal+(Salim-Resal)*(1-EXP((Tnet-t)/(Tau_j))))*Salcycl</f>
        <v>1.560596587136087E-2</v>
      </c>
      <c r="P284" s="169">
        <f>(INDEX(Models!$BJ284:$BT284,,T284)*(1-R284)+INDEX(Models!$BJ284:$BT284,,T284+1)*R284-ERP_i)*Q284*Ramure*Pc/MaxiM</f>
        <v>3.8750834765893935E-3</v>
      </c>
      <c r="Q284" s="304">
        <f t="shared" si="105"/>
        <v>0.7</v>
      </c>
      <c r="R284" s="177">
        <f t="shared" si="106"/>
        <v>0.33024453537602172</v>
      </c>
      <c r="S284" s="799">
        <f t="shared" si="107"/>
        <v>0</v>
      </c>
      <c r="T284" s="176">
        <f t="shared" si="108"/>
        <v>6</v>
      </c>
      <c r="U284" s="250">
        <f t="shared" si="109"/>
        <v>0.33024453537602172</v>
      </c>
      <c r="V284" s="382">
        <f t="shared" si="110"/>
        <v>43.974346646278832</v>
      </c>
      <c r="W284" s="400">
        <f t="shared" si="111"/>
        <v>0</v>
      </c>
      <c r="X284" s="157">
        <f t="shared" si="112"/>
        <v>44831</v>
      </c>
      <c r="Y284" s="383">
        <f t="shared" si="113"/>
        <v>14.488020491551516</v>
      </c>
      <c r="Z284" s="383">
        <f t="shared" si="114"/>
        <v>14.86946549497298</v>
      </c>
      <c r="AA284" s="384">
        <f t="shared" si="115"/>
        <v>16.272625665719136</v>
      </c>
      <c r="AB284" s="197">
        <f t="shared" si="116"/>
        <v>44831</v>
      </c>
      <c r="AC284" s="119">
        <f>IF(OR(t&lt;Tnet,NoTnet),'2021'!Resal_s+('2021'!Salim-'2021'!Resal_s)*(1-EXP(('2021'!Tnet_s-t)/'2021'!Tau_j)),Resal_s+(Salim-Resal_s)*(1-EXP((Tnet_s-t)/Tau_j)))*Salcycl</f>
        <v>8.6228258399757507E-2</v>
      </c>
      <c r="AD284" s="230">
        <f>(INDEX(Models!$BJ284:$BT284,,AH284)*(1-AF284)+INDEX(Models!$BJ284:$BT284,,AH284+1)*AF284-ERP_i)*AE284*Ramure*Pc/MaxiM</f>
        <v>4.079089542351963E-3</v>
      </c>
      <c r="AE284" s="304">
        <f t="shared" si="117"/>
        <v>0.7</v>
      </c>
      <c r="AF284" s="177">
        <f t="shared" si="118"/>
        <v>0.39457675763585387</v>
      </c>
      <c r="AG284" s="799">
        <f t="shared" si="124"/>
        <v>0</v>
      </c>
      <c r="AH284" s="176">
        <f t="shared" si="119"/>
        <v>6</v>
      </c>
      <c r="AI284" s="224">
        <f t="shared" si="120"/>
        <v>0.39457675763585387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44832</v>
      </c>
      <c r="B285" s="1147">
        <v>15.681000000000001</v>
      </c>
      <c r="C285" s="388"/>
      <c r="D285" s="391">
        <f t="shared" si="102"/>
        <v>16.094162571174209</v>
      </c>
      <c r="E285" s="383">
        <f t="shared" si="100"/>
        <v>16.350094418249835</v>
      </c>
      <c r="F285" s="383">
        <f t="shared" si="103"/>
        <v>16.355336433533669</v>
      </c>
      <c r="G285" s="110">
        <f t="shared" si="101"/>
        <v>0.35746276983460001</v>
      </c>
      <c r="H285" s="412" t="b">
        <f>Wh_hp&gt;='2021'!Maxi_hp</f>
        <v>0</v>
      </c>
      <c r="I285" s="379">
        <f>IF(H285,Wh_hp,'2021'!Maxi_hp)</f>
        <v>31.058972746779887</v>
      </c>
      <c r="J285" s="85">
        <f>IF(H285,An,'2021'!An_max)</f>
        <v>2021</v>
      </c>
      <c r="K285" s="197">
        <f t="shared" si="104"/>
        <v>44832</v>
      </c>
      <c r="L285" s="147">
        <f>IF(t&lt;Tvie,1-EXP((T0-t)*PertePVj)+'2021'!Pspv,1-EXP((T0-t)*PertePVj)+Pspv)</f>
        <v>2.567157932865749E-2</v>
      </c>
      <c r="M285" s="832"/>
      <c r="N285" s="832"/>
      <c r="O285" s="48">
        <f>IF(t&lt;Tnet,'2021'!Resal+('2021'!Salim-'2021'!Resal)*(1-EXP(('2021'!Tnet-t)/('2021'!Tau_j))),Resal+(Salim-Resal)*(1-EXP((Tnet-t)/(Tau_j))))*Salcycl</f>
        <v>1.5653233585608963E-2</v>
      </c>
      <c r="P285" s="169">
        <f>(INDEX(Models!$BJ285:$BT285,,T285)*(1-R285)+INDEX(Models!$BJ285:$BT285,,T285+1)*R285-ERP_i)*Q285*Ramure*Pc/MaxiM</f>
        <v>3.8208465602198711E-3</v>
      </c>
      <c r="Q285" s="304">
        <f t="shared" si="105"/>
        <v>0.7</v>
      </c>
      <c r="R285" s="177">
        <f t="shared" si="106"/>
        <v>0.33042347797545102</v>
      </c>
      <c r="S285" s="799">
        <f t="shared" si="107"/>
        <v>0</v>
      </c>
      <c r="T285" s="176">
        <f t="shared" si="108"/>
        <v>6</v>
      </c>
      <c r="U285" s="250">
        <f t="shared" si="109"/>
        <v>0.33042347797545102</v>
      </c>
      <c r="V285" s="382">
        <f t="shared" si="110"/>
        <v>43.713905085775025</v>
      </c>
      <c r="W285" s="400">
        <f t="shared" si="111"/>
        <v>0</v>
      </c>
      <c r="X285" s="157">
        <f t="shared" si="112"/>
        <v>44832</v>
      </c>
      <c r="Y285" s="383">
        <f t="shared" si="113"/>
        <v>14.55710377009777</v>
      </c>
      <c r="Z285" s="383">
        <f t="shared" si="114"/>
        <v>14.940653953281455</v>
      </c>
      <c r="AA285" s="384">
        <f t="shared" si="115"/>
        <v>16.349811096522824</v>
      </c>
      <c r="AB285" s="197">
        <f t="shared" si="116"/>
        <v>44832</v>
      </c>
      <c r="AC285" s="119">
        <f>IF(OR(t&lt;Tnet,NoTnet),'2021'!Resal_s+('2021'!Salim-'2021'!Resal_s)*(1-EXP(('2021'!Tnet_s-t)/'2021'!Tau_j)),Resal_s+(Salim-Resal_s)*(1-EXP((Tnet_s-t)/Tau_j)))*Salcycl</f>
        <v>8.618797703057629E-2</v>
      </c>
      <c r="AD285" s="230">
        <f>(INDEX(Models!$BJ285:$BT285,,AH285)*(1-AF285)+INDEX(Models!$BJ285:$BT285,,AH285+1)*AF285-ERP_i)*AE285*Ramure*Pc/MaxiM</f>
        <v>4.02735661169359E-3</v>
      </c>
      <c r="AE285" s="304">
        <f t="shared" si="117"/>
        <v>0.7</v>
      </c>
      <c r="AF285" s="177">
        <f t="shared" si="118"/>
        <v>0.39475570023528317</v>
      </c>
      <c r="AG285" s="799">
        <f t="shared" si="124"/>
        <v>0</v>
      </c>
      <c r="AH285" s="176">
        <f t="shared" si="119"/>
        <v>6</v>
      </c>
      <c r="AI285" s="224">
        <f t="shared" si="120"/>
        <v>0.39475570023528317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44833</v>
      </c>
      <c r="B286" s="1147">
        <v>22.231999999999999</v>
      </c>
      <c r="C286" s="388"/>
      <c r="D286" s="391">
        <f t="shared" si="102"/>
        <v>22.818205450740059</v>
      </c>
      <c r="E286" s="383">
        <f t="shared" si="100"/>
        <v>23.182170689002604</v>
      </c>
      <c r="F286" s="383">
        <f t="shared" si="103"/>
        <v>23.208718957938114</v>
      </c>
      <c r="G286" s="110">
        <f t="shared" si="101"/>
        <v>0.51030288566954152</v>
      </c>
      <c r="H286" s="412" t="b">
        <f>Wh_hp&gt;='2021'!Maxi_hp</f>
        <v>0</v>
      </c>
      <c r="I286" s="379">
        <f>IF(H286,Wh_hp,'2021'!Maxi_hp)</f>
        <v>45.479306908151436</v>
      </c>
      <c r="J286" s="85">
        <f>IF(H286,An,'2021'!An_max)</f>
        <v>2018</v>
      </c>
      <c r="K286" s="197">
        <f t="shared" si="104"/>
        <v>44833</v>
      </c>
      <c r="L286" s="147">
        <f>IF(t&lt;Tvie,1-EXP((T0-t)*PertePVj)+'2021'!Pspv,1-EXP((T0-t)*PertePVj)+Pspv)</f>
        <v>2.5690252110559642E-2</v>
      </c>
      <c r="M286" s="832"/>
      <c r="N286" s="832"/>
      <c r="O286" s="48">
        <f>IF(t&lt;Tnet,'2021'!Resal+('2021'!Salim-'2021'!Resal)*(1-EXP(('2021'!Tnet-t)/('2021'!Tau_j))),Resal+(Salim-Resal)*(1-EXP((Tnet-t)/(Tau_j))))*Salcycl</f>
        <v>1.5700222517782046E-2</v>
      </c>
      <c r="P286" s="169">
        <f>(INDEX(Models!$BJ286:$BT286,,T286)*(1-R286)+INDEX(Models!$BJ286:$BT286,,T286+1)*R286-ERP_i)*Q286*Ramure*Pc/MaxiM</f>
        <v>3.7831616716045373E-3</v>
      </c>
      <c r="Q286" s="304">
        <f t="shared" si="105"/>
        <v>0.7</v>
      </c>
      <c r="R286" s="177">
        <f t="shared" si="106"/>
        <v>0.33059536790017924</v>
      </c>
      <c r="S286" s="799">
        <f t="shared" si="107"/>
        <v>0</v>
      </c>
      <c r="T286" s="176">
        <f t="shared" si="108"/>
        <v>6</v>
      </c>
      <c r="U286" s="250">
        <f t="shared" si="109"/>
        <v>0.33059536790017924</v>
      </c>
      <c r="V286" s="382">
        <f t="shared" si="110"/>
        <v>43.451168284820227</v>
      </c>
      <c r="W286" s="400">
        <f t="shared" si="111"/>
        <v>0</v>
      </c>
      <c r="X286" s="157">
        <f t="shared" si="112"/>
        <v>44833</v>
      </c>
      <c r="Y286" s="383">
        <f t="shared" si="113"/>
        <v>20.639533986316376</v>
      </c>
      <c r="Z286" s="383">
        <f t="shared" si="114"/>
        <v>21.183749860889666</v>
      </c>
      <c r="AA286" s="384">
        <f t="shared" si="115"/>
        <v>23.180688147149446</v>
      </c>
      <c r="AB286" s="197">
        <f t="shared" si="116"/>
        <v>44833</v>
      </c>
      <c r="AC286" s="119">
        <f>IF(OR(t&lt;Tnet,NoTnet),'2021'!Resal_s+('2021'!Salim-'2021'!Resal_s)*(1-EXP(('2021'!Tnet_s-t)/'2021'!Tau_j)),Resal_s+(Salim-Resal_s)*(1-EXP((Tnet_s-t)/Tau_j)))*Salcycl</f>
        <v>8.6146635232886515E-2</v>
      </c>
      <c r="AD286" s="230">
        <f>(INDEX(Models!$BJ286:$BT286,,AH286)*(1-AF286)+INDEX(Models!$BJ286:$BT286,,AH286+1)*AF286-ERP_i)*AE286*Ramure*Pc/MaxiM</f>
        <v>3.9944257479570941E-3</v>
      </c>
      <c r="AE286" s="304">
        <f t="shared" si="117"/>
        <v>0.7</v>
      </c>
      <c r="AF286" s="177">
        <f t="shared" si="118"/>
        <v>0.39492759016001139</v>
      </c>
      <c r="AG286" s="799">
        <f t="shared" si="124"/>
        <v>0</v>
      </c>
      <c r="AH286" s="176">
        <f t="shared" si="119"/>
        <v>6</v>
      </c>
      <c r="AI286" s="224">
        <f t="shared" si="120"/>
        <v>0.39492759016001139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44834</v>
      </c>
      <c r="B287" s="1147">
        <v>30.715</v>
      </c>
      <c r="C287" s="388"/>
      <c r="D287" s="391">
        <f t="shared" si="102"/>
        <v>31.52548634947529</v>
      </c>
      <c r="E287" s="383">
        <f t="shared" si="100"/>
        <v>32.029858171118605</v>
      </c>
      <c r="F287" s="383">
        <f t="shared" si="103"/>
        <v>32.100806509358087</v>
      </c>
      <c r="G287" s="110">
        <f t="shared" si="101"/>
        <v>0.7101138210974548</v>
      </c>
      <c r="H287" s="412" t="b">
        <f>Wh_hp&gt;='2021'!Maxi_hp</f>
        <v>0</v>
      </c>
      <c r="I287" s="379">
        <f>IF(H287,Wh_hp,'2021'!Maxi_hp)</f>
        <v>37.731180167005817</v>
      </c>
      <c r="J287" s="85">
        <f>IF(H287,An,'2021'!An_max)</f>
        <v>2020</v>
      </c>
      <c r="K287" s="197">
        <f t="shared" si="104"/>
        <v>44834</v>
      </c>
      <c r="L287" s="147">
        <f>IF(t&lt;Tvie,1-EXP((T0-t)*PertePVj)+'2021'!Pspv,1-EXP((T0-t)*PertePVj)+Pspv)</f>
        <v>2.5708924534602162E-2</v>
      </c>
      <c r="M287" s="832"/>
      <c r="N287" s="832"/>
      <c r="O287" s="48">
        <f>IF(t&lt;Tnet,'2021'!Resal+('2021'!Salim-'2021'!Resal)*(1-EXP(('2021'!Tnet-t)/('2021'!Tau_j))),Resal+(Salim-Resal)*(1-EXP((Tnet-t)/(Tau_j))))*Salcycl</f>
        <v>1.574692647556292E-2</v>
      </c>
      <c r="P287" s="169">
        <f>(INDEX(Models!$BJ287:$BT287,,T287)*(1-R287)+INDEX(Models!$BJ287:$BT287,,T287+1)*R287-ERP_i)*Q287*Ramure*Pc/MaxiM</f>
        <v>3.7622698142631742E-3</v>
      </c>
      <c r="Q287" s="304">
        <f t="shared" si="105"/>
        <v>0.7</v>
      </c>
      <c r="R287" s="177">
        <f t="shared" si="106"/>
        <v>0.33076047729442642</v>
      </c>
      <c r="S287" s="799">
        <f t="shared" si="107"/>
        <v>0</v>
      </c>
      <c r="T287" s="176">
        <f t="shared" si="108"/>
        <v>6</v>
      </c>
      <c r="U287" s="250">
        <f t="shared" si="109"/>
        <v>0.33076047729442642</v>
      </c>
      <c r="V287" s="382">
        <f t="shared" si="110"/>
        <v>43.186346807141668</v>
      </c>
      <c r="W287" s="400">
        <f t="shared" si="111"/>
        <v>0</v>
      </c>
      <c r="X287" s="157">
        <f t="shared" si="112"/>
        <v>44834</v>
      </c>
      <c r="Y287" s="383">
        <f t="shared" si="113"/>
        <v>28.515736628412348</v>
      </c>
      <c r="Z287" s="383">
        <f t="shared" si="114"/>
        <v>29.268190324735343</v>
      </c>
      <c r="AA287" s="384">
        <f t="shared" si="115"/>
        <v>32.025741489763355</v>
      </c>
      <c r="AB287" s="197">
        <f t="shared" si="116"/>
        <v>44834</v>
      </c>
      <c r="AC287" s="119">
        <f>IF(OR(t&lt;Tnet,NoTnet),'2021'!Resal_s+('2021'!Salim-'2021'!Resal_s)*(1-EXP(('2021'!Tnet_s-t)/'2021'!Tau_j)),Resal_s+(Salim-Resal_s)*(1-EXP((Tnet_s-t)/Tau_j)))*Salcycl</f>
        <v>8.6104209824757139E-2</v>
      </c>
      <c r="AD287" s="230">
        <f>(INDEX(Models!$BJ287:$BT287,,AH287)*(1-AF287)+INDEX(Models!$BJ287:$BT287,,AH287+1)*AF287-ERP_i)*AE287*Ramure*Pc/MaxiM</f>
        <v>3.9805704310518376E-3</v>
      </c>
      <c r="AE287" s="304">
        <f t="shared" si="117"/>
        <v>0.7</v>
      </c>
      <c r="AF287" s="177">
        <f t="shared" si="118"/>
        <v>0.39509269955425858</v>
      </c>
      <c r="AG287" s="799">
        <f t="shared" si="124"/>
        <v>0</v>
      </c>
      <c r="AH287" s="176">
        <f t="shared" si="119"/>
        <v>6</v>
      </c>
      <c r="AI287" s="224">
        <f t="shared" si="120"/>
        <v>0.39509269955425858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44835</v>
      </c>
      <c r="B288" s="1147">
        <v>35.987000000000002</v>
      </c>
      <c r="C288" s="388"/>
      <c r="D288" s="391">
        <f t="shared" si="102"/>
        <v>36.937308163961546</v>
      </c>
      <c r="E288" s="383">
        <f t="shared" si="100"/>
        <v>37.530032712543523</v>
      </c>
      <c r="F288" s="383">
        <f t="shared" si="103"/>
        <v>37.63885247295098</v>
      </c>
      <c r="G288" s="110">
        <f t="shared" si="101"/>
        <v>0.837744441717859</v>
      </c>
      <c r="H288" s="412" t="b">
        <f>Wh_hp&gt;='2021'!Maxi_hp</f>
        <v>0</v>
      </c>
      <c r="I288" s="379">
        <f>IF(H288,Wh_hp,'2021'!Maxi_hp)</f>
        <v>44.215885035477228</v>
      </c>
      <c r="J288" s="85">
        <f>IF(H288,An,'2021'!An_max)</f>
        <v>2020</v>
      </c>
      <c r="K288" s="197">
        <f t="shared" si="104"/>
        <v>44835</v>
      </c>
      <c r="L288" s="147">
        <f>IF(t&lt;Tvie,1-EXP((T0-t)*PertePVj)+'2021'!Pspv,1-EXP((T0-t)*PertePVj)+Pspv)</f>
        <v>2.5727596600791935E-2</v>
      </c>
      <c r="M288" s="832"/>
      <c r="N288" s="832"/>
      <c r="O288" s="48">
        <f>IF(t&lt;Tnet,'2021'!Resal+('2021'!Salim-'2021'!Resal)*(1-EXP(('2021'!Tnet-t)/('2021'!Tau_j))),Resal+(Salim-Resal)*(1-EXP((Tnet-t)/(Tau_j))))*Salcycl</f>
        <v>1.579333951350035E-2</v>
      </c>
      <c r="P288" s="169">
        <f>(INDEX(Models!$BJ288:$BT288,,T288)*(1-R288)+INDEX(Models!$BJ288:$BT288,,T288+1)*R288-ERP_i)*Q288*Ramure*Pc/MaxiM</f>
        <v>3.7584165652279982E-3</v>
      </c>
      <c r="Q288" s="304">
        <f t="shared" si="105"/>
        <v>0.7</v>
      </c>
      <c r="R288" s="177">
        <f t="shared" si="106"/>
        <v>0.33091906825662504</v>
      </c>
      <c r="S288" s="799">
        <f t="shared" si="107"/>
        <v>0</v>
      </c>
      <c r="T288" s="176">
        <f t="shared" si="108"/>
        <v>6</v>
      </c>
      <c r="U288" s="250">
        <f t="shared" si="109"/>
        <v>0.33091906825662504</v>
      </c>
      <c r="V288" s="382">
        <f t="shared" si="110"/>
        <v>42.919651359371898</v>
      </c>
      <c r="W288" s="400">
        <f t="shared" si="111"/>
        <v>0</v>
      </c>
      <c r="X288" s="157">
        <f t="shared" si="112"/>
        <v>44835</v>
      </c>
      <c r="Y288" s="383">
        <f t="shared" si="113"/>
        <v>33.41184247517306</v>
      </c>
      <c r="Z288" s="383">
        <f t="shared" si="114"/>
        <v>34.294148493378358</v>
      </c>
      <c r="AA288" s="384">
        <f t="shared" si="115"/>
        <v>37.523441344189287</v>
      </c>
      <c r="AB288" s="197">
        <f t="shared" si="116"/>
        <v>44835</v>
      </c>
      <c r="AC288" s="119">
        <f>IF(OR(t&lt;Tnet,NoTnet),'2021'!Resal_s+('2021'!Salim-'2021'!Resal_s)*(1-EXP(('2021'!Tnet_s-t)/'2021'!Tau_j)),Resal_s+(Salim-Resal_s)*(1-EXP((Tnet_s-t)/Tau_j)))*Salcycl</f>
        <v>8.6060679274850171E-2</v>
      </c>
      <c r="AD288" s="230">
        <f>(INDEX(Models!$BJ288:$BT288,,AH288)*(1-AF288)+INDEX(Models!$BJ288:$BT288,,AH288+1)*AF288-ERP_i)*AE288*Ramure*Pc/MaxiM</f>
        <v>3.9860692260804357E-3</v>
      </c>
      <c r="AE288" s="304">
        <f t="shared" si="117"/>
        <v>0.7</v>
      </c>
      <c r="AF288" s="177">
        <f t="shared" si="118"/>
        <v>0.39525129051645719</v>
      </c>
      <c r="AG288" s="799">
        <f t="shared" si="124"/>
        <v>0</v>
      </c>
      <c r="AH288" s="176">
        <f t="shared" si="119"/>
        <v>6</v>
      </c>
      <c r="AI288" s="224">
        <f t="shared" si="120"/>
        <v>0.39525129051645719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44836</v>
      </c>
      <c r="B289" s="1147">
        <v>40.731000000000002</v>
      </c>
      <c r="C289" s="388"/>
      <c r="D289" s="391">
        <f t="shared" si="102"/>
        <v>41.807384129090678</v>
      </c>
      <c r="E289" s="383">
        <f t="shared" si="100"/>
        <v>42.48024814973386</v>
      </c>
      <c r="F289" s="383">
        <f t="shared" si="103"/>
        <v>42.630714957104409</v>
      </c>
      <c r="G289" s="110">
        <f t="shared" si="101"/>
        <v>0.95477645109870179</v>
      </c>
      <c r="H289" s="412" t="b">
        <f>Wh_hp&gt;='2021'!Maxi_hp</f>
        <v>1</v>
      </c>
      <c r="I289" s="379">
        <f>IF(H289,Wh_hp,'2021'!Maxi_hp)</f>
        <v>42.630714957104409</v>
      </c>
      <c r="J289" s="85">
        <f>IF(H289,An,'2021'!An_max)</f>
        <v>2022</v>
      </c>
      <c r="K289" s="197">
        <f t="shared" si="104"/>
        <v>44836</v>
      </c>
      <c r="L289" s="147">
        <f>IF(t&lt;Tvie,1-EXP((T0-t)*PertePVj)+'2021'!Pspv,1-EXP((T0-t)*PertePVj)+Pspv)</f>
        <v>2.5746268309135845E-2</v>
      </c>
      <c r="M289" s="832"/>
      <c r="N289" s="832"/>
      <c r="O289" s="48">
        <f>IF(t&lt;Tnet,'2021'!Resal+('2021'!Salim-'2021'!Resal)*(1-EXP(('2021'!Tnet-t)/('2021'!Tau_j))),Resal+(Salim-Resal)*(1-EXP((Tnet-t)/(Tau_j))))*Salcycl</f>
        <v>1.5839455981318189E-2</v>
      </c>
      <c r="P289" s="169">
        <f>(INDEX(Models!$BJ289:$BT289,,T289)*(1-R289)+INDEX(Models!$BJ289:$BT289,,T289+1)*R289-ERP_i)*Q289*Ramure*Pc/MaxiM</f>
        <v>3.7719766434502391E-3</v>
      </c>
      <c r="Q289" s="304">
        <f t="shared" si="105"/>
        <v>0.7</v>
      </c>
      <c r="R289" s="177">
        <f t="shared" si="106"/>
        <v>0.33107139317435014</v>
      </c>
      <c r="S289" s="799">
        <f t="shared" si="107"/>
        <v>0</v>
      </c>
      <c r="T289" s="176">
        <f t="shared" si="108"/>
        <v>6</v>
      </c>
      <c r="U289" s="250">
        <f t="shared" si="109"/>
        <v>0.33107139317435014</v>
      </c>
      <c r="V289" s="382">
        <f t="shared" si="110"/>
        <v>42.649868755795367</v>
      </c>
      <c r="W289" s="400">
        <f t="shared" si="111"/>
        <v>0</v>
      </c>
      <c r="X289" s="157">
        <f t="shared" si="112"/>
        <v>44836</v>
      </c>
      <c r="Y289" s="383">
        <f t="shared" si="113"/>
        <v>37.818132337351379</v>
      </c>
      <c r="Z289" s="383">
        <f t="shared" si="114"/>
        <v>38.817539114493506</v>
      </c>
      <c r="AA289" s="384">
        <f t="shared" si="115"/>
        <v>42.470699849308964</v>
      </c>
      <c r="AB289" s="197">
        <f t="shared" si="116"/>
        <v>44836</v>
      </c>
      <c r="AC289" s="119">
        <f>IF(OR(t&lt;Tnet,NoTnet),'2021'!Resal_s+('2021'!Salim-'2021'!Resal_s)*(1-EXP(('2021'!Tnet_s-t)/'2021'!Tau_j)),Resal_s+(Salim-Resal_s)*(1-EXP((Tnet_s-t)/Tau_j)))*Salcycl</f>
        <v>8.6016023935967675E-2</v>
      </c>
      <c r="AD289" s="230">
        <f>(INDEX(Models!$BJ289:$BT289,,AH289)*(1-AF289)+INDEX(Models!$BJ289:$BT289,,AH289+1)*AF289-ERP_i)*AE289*Ramure*Pc/MaxiM</f>
        <v>4.011338179836327E-3</v>
      </c>
      <c r="AE289" s="304">
        <f t="shared" si="117"/>
        <v>0.7</v>
      </c>
      <c r="AF289" s="177">
        <f t="shared" si="118"/>
        <v>0.39540361543418229</v>
      </c>
      <c r="AG289" s="799">
        <f t="shared" si="124"/>
        <v>0</v>
      </c>
      <c r="AH289" s="176">
        <f t="shared" si="119"/>
        <v>6</v>
      </c>
      <c r="AI289" s="224">
        <f t="shared" si="120"/>
        <v>0.39540361543418229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44837</v>
      </c>
      <c r="B290" s="1147">
        <v>36.236000000000004</v>
      </c>
      <c r="C290" s="388"/>
      <c r="D290" s="391">
        <f t="shared" si="102"/>
        <v>37.194309130427492</v>
      </c>
      <c r="E290" s="383">
        <f t="shared" si="100"/>
        <v>37.794687975146282</v>
      </c>
      <c r="F290" s="383">
        <f t="shared" si="103"/>
        <v>37.910091301325672</v>
      </c>
      <c r="G290" s="110">
        <f t="shared" si="101"/>
        <v>0.85445699996104196</v>
      </c>
      <c r="H290" s="412" t="b">
        <f>Wh_hp&gt;='2021'!Maxi_hp</f>
        <v>1</v>
      </c>
      <c r="I290" s="379">
        <f>IF(H290,Wh_hp,'2021'!Maxi_hp)</f>
        <v>37.910091301325672</v>
      </c>
      <c r="J290" s="85">
        <f>IF(H290,An,'2021'!An_max)</f>
        <v>2022</v>
      </c>
      <c r="K290" s="197">
        <f t="shared" si="104"/>
        <v>44837</v>
      </c>
      <c r="L290" s="147">
        <f>IF(t&lt;Tvie,1-EXP((T0-t)*PertePVj)+'2021'!Pspv,1-EXP((T0-t)*PertePVj)+Pspv)</f>
        <v>2.5764939659640662E-2</v>
      </c>
      <c r="M290" s="832"/>
      <c r="N290" s="832"/>
      <c r="O290" s="48">
        <f>IF(t&lt;Tnet,'2021'!Resal+('2021'!Salim-'2021'!Resal)*(1-EXP(('2021'!Tnet-t)/('2021'!Tau_j))),Resal+(Salim-Resal)*(1-EXP((Tnet-t)/(Tau_j))))*Salcycl</f>
        <v>1.5885270573303776E-2</v>
      </c>
      <c r="P290" s="169">
        <f>(INDEX(Models!$BJ290:$BT290,,T290)*(1-R290)+INDEX(Models!$BJ290:$BT290,,T290+1)*R290-ERP_i)*Q290*Ramure*Pc/MaxiM</f>
        <v>3.8384889840364666E-3</v>
      </c>
      <c r="Q290" s="304">
        <f t="shared" si="105"/>
        <v>0.7</v>
      </c>
      <c r="R290" s="177">
        <f t="shared" si="106"/>
        <v>0.33121769505098059</v>
      </c>
      <c r="S290" s="799">
        <f t="shared" si="107"/>
        <v>0</v>
      </c>
      <c r="T290" s="176">
        <f t="shared" si="108"/>
        <v>6</v>
      </c>
      <c r="U290" s="250">
        <f t="shared" si="109"/>
        <v>0.33121769505098059</v>
      </c>
      <c r="V290" s="382">
        <f t="shared" si="110"/>
        <v>42.374429368722119</v>
      </c>
      <c r="W290" s="400">
        <f t="shared" si="111"/>
        <v>0</v>
      </c>
      <c r="X290" s="157">
        <f t="shared" si="112"/>
        <v>44837</v>
      </c>
      <c r="Y290" s="383">
        <f t="shared" si="113"/>
        <v>33.6485720651417</v>
      </c>
      <c r="Z290" s="383">
        <f t="shared" si="114"/>
        <v>34.538453228511621</v>
      </c>
      <c r="AA290" s="384">
        <f t="shared" si="115"/>
        <v>37.78701112539575</v>
      </c>
      <c r="AB290" s="197">
        <f t="shared" si="116"/>
        <v>44837</v>
      </c>
      <c r="AC290" s="119">
        <f>IF(OR(t&lt;Tnet,NoTnet),'2021'!Resal_s+('2021'!Salim-'2021'!Resal_s)*(1-EXP(('2021'!Tnet_s-t)/'2021'!Tau_j)),Resal_s+(Salim-Resal_s)*(1-EXP((Tnet_s-t)/Tau_j)))*Salcycl</f>
        <v>8.5970226279708253E-2</v>
      </c>
      <c r="AD290" s="230">
        <f>(INDEX(Models!$BJ290:$BT290,,AH290)*(1-AF290)+INDEX(Models!$BJ290:$BT290,,AH290+1)*AF290-ERP_i)*AE290*Ramure*Pc/MaxiM</f>
        <v>4.0938326051876278E-3</v>
      </c>
      <c r="AE290" s="304">
        <f t="shared" si="117"/>
        <v>0.7</v>
      </c>
      <c r="AF290" s="177">
        <f t="shared" si="118"/>
        <v>0.39554991731081274</v>
      </c>
      <c r="AG290" s="799">
        <f t="shared" si="124"/>
        <v>0</v>
      </c>
      <c r="AH290" s="176">
        <f t="shared" si="119"/>
        <v>6</v>
      </c>
      <c r="AI290" s="224">
        <f t="shared" si="120"/>
        <v>0.39554991731081274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44838</v>
      </c>
      <c r="B291" s="1147">
        <v>43.225999999999999</v>
      </c>
      <c r="C291" s="388"/>
      <c r="D291" s="391">
        <f t="shared" si="102"/>
        <v>44.370019302326824</v>
      </c>
      <c r="E291" s="383">
        <f t="shared" si="100"/>
        <v>45.088311195437953</v>
      </c>
      <c r="F291" s="383">
        <f t="shared" si="103"/>
        <v>45.267692249825423</v>
      </c>
      <c r="G291" s="110">
        <f t="shared" si="101"/>
        <v>1.0269021069326252</v>
      </c>
      <c r="H291" s="412" t="b">
        <f>Wh_hp&gt;='2021'!Maxi_hp</f>
        <v>1</v>
      </c>
      <c r="I291" s="379">
        <f>IF(H291,Wh_hp,'2021'!Maxi_hp)</f>
        <v>45.267692249825423</v>
      </c>
      <c r="J291" s="85">
        <f>IF(H291,An,'2021'!An_max)</f>
        <v>2022</v>
      </c>
      <c r="K291" s="197">
        <f t="shared" si="104"/>
        <v>44838</v>
      </c>
      <c r="L291" s="147">
        <f>IF(t&lt;Tvie,1-EXP((T0-t)*PertePVj)+'2021'!Pspv,1-EXP((T0-t)*PertePVj)+Pspv)</f>
        <v>2.5783610652313382E-2</v>
      </c>
      <c r="M291" s="832"/>
      <c r="N291" s="832"/>
      <c r="O291" s="48">
        <f>IF(t&lt;Tnet,'2021'!Resal+('2021'!Salim-'2021'!Resal)*(1-EXP(('2021'!Tnet-t)/('2021'!Tau_j))),Resal+(Salim-Resal)*(1-EXP((Tnet-t)/(Tau_j))))*Salcycl</f>
        <v>1.5930778378406129E-2</v>
      </c>
      <c r="P291" s="169">
        <f>(INDEX(Models!$BJ291:$BT291,,T291)*(1-R291)+INDEX(Models!$BJ291:$BT291,,T291+1)*R291-ERP_i)*Q291*Ramure*Pc/MaxiM</f>
        <v>3.9626728351313161E-3</v>
      </c>
      <c r="Q291" s="304">
        <f t="shared" si="105"/>
        <v>0.7</v>
      </c>
      <c r="R291" s="177">
        <f t="shared" si="106"/>
        <v>0.33135820782404496</v>
      </c>
      <c r="S291" s="799">
        <f t="shared" si="107"/>
        <v>0</v>
      </c>
      <c r="T291" s="176">
        <f t="shared" si="108"/>
        <v>6</v>
      </c>
      <c r="U291" s="250">
        <f t="shared" si="109"/>
        <v>0.33135820782404496</v>
      </c>
      <c r="V291" s="382">
        <f t="shared" si="110"/>
        <v>42.093593642647036</v>
      </c>
      <c r="W291" s="400">
        <f t="shared" si="111"/>
        <v>0</v>
      </c>
      <c r="X291" s="157">
        <f t="shared" si="112"/>
        <v>44838</v>
      </c>
      <c r="Y291" s="383">
        <f t="shared" si="113"/>
        <v>40.140427447102766</v>
      </c>
      <c r="Z291" s="383">
        <f t="shared" si="114"/>
        <v>41.202783987220634</v>
      </c>
      <c r="AA291" s="384">
        <f t="shared" si="115"/>
        <v>45.075848324206298</v>
      </c>
      <c r="AB291" s="197">
        <f t="shared" si="116"/>
        <v>44838</v>
      </c>
      <c r="AC291" s="119">
        <f>IF(OR(t&lt;Tnet,NoTnet),'2021'!Resal_s+('2021'!Salim-'2021'!Resal_s)*(1-EXP(('2021'!Tnet_s-t)/'2021'!Tau_j)),Resal_s+(Salim-Resal_s)*(1-EXP((Tnet_s-t)/Tau_j)))*Salcycl</f>
        <v>8.5923271130224785E-2</v>
      </c>
      <c r="AD291" s="230">
        <f>(INDEX(Models!$BJ291:$BT291,,AH291)*(1-AF291)+INDEX(Models!$BJ291:$BT291,,AH291+1)*AF291-ERP_i)*AE291*Ramure*Pc/MaxiM</f>
        <v>4.2379877586949145E-3</v>
      </c>
      <c r="AE291" s="304">
        <f t="shared" si="117"/>
        <v>0.7</v>
      </c>
      <c r="AF291" s="177">
        <f t="shared" si="118"/>
        <v>0.39569043008387711</v>
      </c>
      <c r="AG291" s="799">
        <f t="shared" si="124"/>
        <v>0</v>
      </c>
      <c r="AH291" s="176">
        <f t="shared" si="119"/>
        <v>6</v>
      </c>
      <c r="AI291" s="224">
        <f t="shared" si="120"/>
        <v>0.39569043008387711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44839</v>
      </c>
      <c r="B292" s="1147">
        <v>42.884</v>
      </c>
      <c r="C292" s="388"/>
      <c r="D292" s="391">
        <f t="shared" si="102"/>
        <v>44.019811560081024</v>
      </c>
      <c r="E292" s="383">
        <f t="shared" si="100"/>
        <v>44.734488628952761</v>
      </c>
      <c r="F292" s="383">
        <f t="shared" si="103"/>
        <v>44.920703887087058</v>
      </c>
      <c r="G292" s="110">
        <f t="shared" si="101"/>
        <v>1.0257418885232878</v>
      </c>
      <c r="H292" s="412" t="b">
        <f>Wh_hp&gt;='2021'!Maxi_hp</f>
        <v>1</v>
      </c>
      <c r="I292" s="379">
        <f>IF(H292,Wh_hp,'2021'!Maxi_hp)</f>
        <v>44.920703887087058</v>
      </c>
      <c r="J292" s="85">
        <f>IF(H292,An,'2021'!An_max)</f>
        <v>2022</v>
      </c>
      <c r="K292" s="197">
        <f t="shared" si="104"/>
        <v>44839</v>
      </c>
      <c r="L292" s="147">
        <f>IF(t&lt;Tvie,1-EXP((T0-t)*PertePVj)+'2021'!Pspv,1-EXP((T0-t)*PertePVj)+Pspv)</f>
        <v>2.5802281287160778E-2</v>
      </c>
      <c r="M292" s="832"/>
      <c r="N292" s="832"/>
      <c r="O292" s="48">
        <f>IF(t&lt;Tnet,'2021'!Resal+('2021'!Salim-'2021'!Resal)*(1-EXP(('2021'!Tnet-t)/('2021'!Tau_j))),Resal+(Salim-Resal)*(1-EXP((Tnet-t)/(Tau_j))))*Salcycl</f>
        <v>1.5975974930653152E-2</v>
      </c>
      <c r="P292" s="169">
        <f>(INDEX(Models!$BJ292:$BT292,,T292)*(1-R292)+INDEX(Models!$BJ292:$BT292,,T292+1)*R292-ERP_i)*Q292*Ramure*Pc/MaxiM</f>
        <v>4.1454216434890665E-3</v>
      </c>
      <c r="Q292" s="304">
        <f t="shared" si="105"/>
        <v>0.7</v>
      </c>
      <c r="R292" s="177">
        <f t="shared" si="106"/>
        <v>0.33149315667523027</v>
      </c>
      <c r="S292" s="799">
        <f t="shared" si="107"/>
        <v>0</v>
      </c>
      <c r="T292" s="176">
        <f t="shared" si="108"/>
        <v>6</v>
      </c>
      <c r="U292" s="250">
        <f t="shared" si="109"/>
        <v>0.33149315667523027</v>
      </c>
      <c r="V292" s="382">
        <f t="shared" si="110"/>
        <v>41.807788567295482</v>
      </c>
      <c r="W292" s="400">
        <f t="shared" si="111"/>
        <v>0</v>
      </c>
      <c r="X292" s="157">
        <f t="shared" si="112"/>
        <v>44839</v>
      </c>
      <c r="Y292" s="383">
        <f t="shared" si="113"/>
        <v>39.825803027832471</v>
      </c>
      <c r="Z292" s="383">
        <f t="shared" si="114"/>
        <v>40.88061618585229</v>
      </c>
      <c r="AA292" s="384">
        <f t="shared" si="115"/>
        <v>44.721042210233136</v>
      </c>
      <c r="AB292" s="197">
        <f t="shared" si="116"/>
        <v>44839</v>
      </c>
      <c r="AC292" s="119">
        <f>IF(OR(t&lt;Tnet,NoTnet),'2021'!Resal_s+('2021'!Salim-'2021'!Resal_s)*(1-EXP(('2021'!Tnet_s-t)/'2021'!Tau_j)),Resal_s+(Salim-Resal_s)*(1-EXP((Tnet_s-t)/Tau_j)))*Salcycl</f>
        <v>8.587514589501391E-2</v>
      </c>
      <c r="AD292" s="230">
        <f>(INDEX(Models!$BJ292:$BT292,,AH292)*(1-AF292)+INDEX(Models!$BJ292:$BT292,,AH292+1)*AF292-ERP_i)*AE292*Ramure*Pc/MaxiM</f>
        <v>4.4447584204332811E-3</v>
      </c>
      <c r="AE292" s="304">
        <f t="shared" si="117"/>
        <v>0.7</v>
      </c>
      <c r="AF292" s="177">
        <f t="shared" si="118"/>
        <v>0.39582537893506242</v>
      </c>
      <c r="AG292" s="799">
        <f t="shared" si="124"/>
        <v>0</v>
      </c>
      <c r="AH292" s="176">
        <f t="shared" si="119"/>
        <v>6</v>
      </c>
      <c r="AI292" s="224">
        <f t="shared" si="120"/>
        <v>0.39582537893506242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44840</v>
      </c>
      <c r="B293" s="1147">
        <v>15.250999999999999</v>
      </c>
      <c r="C293" s="388"/>
      <c r="D293" s="391">
        <f t="shared" si="102"/>
        <v>15.655233013364178</v>
      </c>
      <c r="E293" s="383">
        <f t="shared" si="100"/>
        <v>15.910126869002527</v>
      </c>
      <c r="F293" s="383">
        <f t="shared" si="103"/>
        <v>15.916845196242539</v>
      </c>
      <c r="G293" s="110">
        <f t="shared" si="101"/>
        <v>0.36588226655433109</v>
      </c>
      <c r="H293" s="412" t="b">
        <f>Wh_hp&gt;='2021'!Maxi_hp</f>
        <v>0</v>
      </c>
      <c r="I293" s="379">
        <f>IF(H293,Wh_hp,'2021'!Maxi_hp)</f>
        <v>37.456299477721394</v>
      </c>
      <c r="J293" s="85">
        <f>IF(H293,An,'2021'!An_max)</f>
        <v>2021</v>
      </c>
      <c r="K293" s="197">
        <f t="shared" si="104"/>
        <v>44840</v>
      </c>
      <c r="L293" s="147">
        <f>IF(t&lt;Tvie,1-EXP((T0-t)*PertePVj)+'2021'!Pspv,1-EXP((T0-t)*PertePVj)+Pspv)</f>
        <v>2.582095156418962E-2</v>
      </c>
      <c r="M293" s="832"/>
      <c r="N293" s="832"/>
      <c r="O293" s="48">
        <f>IF(t&lt;Tnet,'2021'!Resal+('2021'!Salim-'2021'!Resal)*(1-EXP(('2021'!Tnet-t)/('2021'!Tau_j))),Resal+(Salim-Resal)*(1-EXP((Tnet-t)/(Tau_j))))*Salcycl</f>
        <v>1.6020856259478043E-2</v>
      </c>
      <c r="P293" s="169">
        <f>(INDEX(Models!$BJ293:$BT293,,T293)*(1-R293)+INDEX(Models!$BJ293:$BT293,,T293+1)*R293-ERP_i)*Q293*Ramure*Pc/MaxiM</f>
        <v>4.3876476521209316E-3</v>
      </c>
      <c r="Q293" s="304">
        <f t="shared" si="105"/>
        <v>0.7</v>
      </c>
      <c r="R293" s="177">
        <f t="shared" si="106"/>
        <v>0.33162275833206162</v>
      </c>
      <c r="S293" s="799">
        <f t="shared" si="107"/>
        <v>0</v>
      </c>
      <c r="T293" s="176">
        <f t="shared" si="108"/>
        <v>6</v>
      </c>
      <c r="U293" s="250">
        <f t="shared" si="109"/>
        <v>0.33162275833206162</v>
      </c>
      <c r="V293" s="382">
        <f t="shared" si="110"/>
        <v>41.517441858395202</v>
      </c>
      <c r="W293" s="400">
        <f t="shared" si="111"/>
        <v>0</v>
      </c>
      <c r="X293" s="157">
        <f t="shared" si="112"/>
        <v>44840</v>
      </c>
      <c r="Y293" s="383">
        <f t="shared" si="113"/>
        <v>14.168624197411237</v>
      </c>
      <c r="Z293" s="383">
        <f t="shared" si="114"/>
        <v>14.544168466937442</v>
      </c>
      <c r="AA293" s="384">
        <f t="shared" si="115"/>
        <v>15.909625447645515</v>
      </c>
      <c r="AB293" s="197">
        <f t="shared" si="116"/>
        <v>44840</v>
      </c>
      <c r="AC293" s="119">
        <f>IF(OR(t&lt;Tnet,NoTnet),'2021'!Resal_s+('2021'!Salim-'2021'!Resal_s)*(1-EXP(('2021'!Tnet_s-t)/'2021'!Tau_j)),Resal_s+(Salim-Resal_s)*(1-EXP((Tnet_s-t)/Tau_j)))*Salcycl</f>
        <v>8.5825840790623317E-2</v>
      </c>
      <c r="AD293" s="230">
        <f>(INDEX(Models!$BJ293:$BT293,,AH293)*(1-AF293)+INDEX(Models!$BJ293:$BT293,,AH293+1)*AF293-ERP_i)*AE293*Ramure*Pc/MaxiM</f>
        <v>4.7151190838047221E-3</v>
      </c>
      <c r="AE293" s="304">
        <f t="shared" si="117"/>
        <v>0.7</v>
      </c>
      <c r="AF293" s="177">
        <f t="shared" si="118"/>
        <v>0.39595498059189377</v>
      </c>
      <c r="AG293" s="799">
        <f t="shared" si="124"/>
        <v>0</v>
      </c>
      <c r="AH293" s="176">
        <f t="shared" si="119"/>
        <v>6</v>
      </c>
      <c r="AI293" s="224">
        <f t="shared" si="120"/>
        <v>0.39595498059189377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44841</v>
      </c>
      <c r="B294" s="1147">
        <v>32.297000000000004</v>
      </c>
      <c r="C294" s="388"/>
      <c r="D294" s="391">
        <f t="shared" si="102"/>
        <v>33.153678503308051</v>
      </c>
      <c r="E294" s="383">
        <f t="shared" si="100"/>
        <v>33.695002840102987</v>
      </c>
      <c r="F294" s="383">
        <f t="shared" si="103"/>
        <v>33.804510687561994</v>
      </c>
      <c r="G294" s="110">
        <f t="shared" si="101"/>
        <v>0.78233035689963659</v>
      </c>
      <c r="H294" s="412" t="b">
        <f>Wh_hp&gt;='2021'!Maxi_hp</f>
        <v>0</v>
      </c>
      <c r="I294" s="379">
        <f>IF(H294,Wh_hp,'2021'!Maxi_hp)</f>
        <v>42.329866448649689</v>
      </c>
      <c r="J294" s="85">
        <f>IF(H294,An,'2021'!An_max)</f>
        <v>2021</v>
      </c>
      <c r="K294" s="197">
        <f t="shared" si="104"/>
        <v>44841</v>
      </c>
      <c r="L294" s="147">
        <f>IF(t&lt;Tvie,1-EXP((T0-t)*PertePVj)+'2021'!Pspv,1-EXP((T0-t)*PertePVj)+Pspv)</f>
        <v>2.5839621483407016E-2</v>
      </c>
      <c r="M294" s="832"/>
      <c r="N294" s="832"/>
      <c r="O294" s="48">
        <f>IF(t&lt;Tnet,'2021'!Resal+('2021'!Salim-'2021'!Resal)*(1-EXP(('2021'!Tnet-t)/('2021'!Tau_j))),Resal+(Salim-Resal)*(1-EXP((Tnet-t)/(Tau_j))))*Salcycl</f>
        <v>1.6065418939530913E-2</v>
      </c>
      <c r="P294" s="169">
        <f>(INDEX(Models!$BJ294:$BT294,,T294)*(1-R294)+INDEX(Models!$BJ294:$BT294,,T294+1)*R294-ERP_i)*Q294*Ramure*Pc/MaxiM</f>
        <v>4.6902764070681424E-3</v>
      </c>
      <c r="Q294" s="304">
        <f t="shared" si="105"/>
        <v>0.7</v>
      </c>
      <c r="R294" s="177">
        <f t="shared" si="106"/>
        <v>0.33174722136127988</v>
      </c>
      <c r="S294" s="799">
        <f t="shared" si="107"/>
        <v>0</v>
      </c>
      <c r="T294" s="176">
        <f t="shared" si="108"/>
        <v>6</v>
      </c>
      <c r="U294" s="250">
        <f t="shared" si="109"/>
        <v>0.33174722136127988</v>
      </c>
      <c r="V294" s="382">
        <f t="shared" si="110"/>
        <v>41.222981982711914</v>
      </c>
      <c r="W294" s="400">
        <f t="shared" si="111"/>
        <v>0</v>
      </c>
      <c r="X294" s="157">
        <f t="shared" si="112"/>
        <v>44841</v>
      </c>
      <c r="Y294" s="383">
        <f t="shared" si="113"/>
        <v>30.001336616111104</v>
      </c>
      <c r="Z294" s="383">
        <f t="shared" si="114"/>
        <v>30.797122607055496</v>
      </c>
      <c r="AA294" s="384">
        <f t="shared" si="115"/>
        <v>33.68660271348903</v>
      </c>
      <c r="AB294" s="197">
        <f t="shared" si="116"/>
        <v>44841</v>
      </c>
      <c r="AC294" s="119">
        <f>IF(OR(t&lt;Tnet,NoTnet),'2021'!Resal_s+('2021'!Salim-'2021'!Resal_s)*(1-EXP(('2021'!Tnet_s-t)/'2021'!Tau_j)),Resal_s+(Salim-Resal_s)*(1-EXP((Tnet_s-t)/Tau_j)))*Salcycl</f>
        <v>8.5775349061142009E-2</v>
      </c>
      <c r="AD294" s="230">
        <f>(INDEX(Models!$BJ294:$BT294,,AH294)*(1-AF294)+INDEX(Models!$BJ294:$BT294,,AH294+1)*AF294-ERP_i)*AE294*Ramure*Pc/MaxiM</f>
        <v>5.0500580719262155E-3</v>
      </c>
      <c r="AE294" s="304">
        <f t="shared" si="117"/>
        <v>0.7</v>
      </c>
      <c r="AF294" s="177">
        <f t="shared" si="118"/>
        <v>0.39607944362111203</v>
      </c>
      <c r="AG294" s="799">
        <f t="shared" si="124"/>
        <v>0</v>
      </c>
      <c r="AH294" s="176">
        <f t="shared" si="119"/>
        <v>6</v>
      </c>
      <c r="AI294" s="224">
        <f t="shared" si="120"/>
        <v>0.39607944362111203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44842</v>
      </c>
      <c r="B295" s="1147">
        <v>15.563000000000001</v>
      </c>
      <c r="C295" s="388"/>
      <c r="D295" s="391">
        <f t="shared" si="102"/>
        <v>15.976115032269954</v>
      </c>
      <c r="E295" s="383">
        <f t="shared" si="100"/>
        <v>16.2376988420638</v>
      </c>
      <c r="F295" s="383">
        <f t="shared" si="103"/>
        <v>16.2471167648693</v>
      </c>
      <c r="G295" s="110">
        <f t="shared" si="101"/>
        <v>0.37857991643835964</v>
      </c>
      <c r="H295" s="412" t="b">
        <f>Wh_hp&gt;='2021'!Maxi_hp</f>
        <v>0</v>
      </c>
      <c r="I295" s="379">
        <f>IF(H295,Wh_hp,'2021'!Maxi_hp)</f>
        <v>42.692090541725008</v>
      </c>
      <c r="J295" s="85">
        <f>IF(H295,An,'2021'!An_max)</f>
        <v>2021</v>
      </c>
      <c r="K295" s="197">
        <f t="shared" si="104"/>
        <v>44842</v>
      </c>
      <c r="L295" s="147">
        <f>IF(t&lt;Tvie,1-EXP((T0-t)*PertePVj)+'2021'!Pspv,1-EXP((T0-t)*PertePVj)+Pspv)</f>
        <v>2.5858291044819515E-2</v>
      </c>
      <c r="M295" s="832"/>
      <c r="N295" s="832"/>
      <c r="O295" s="48">
        <f>IF(t&lt;Tnet,'2021'!Resal+('2021'!Salim-'2021'!Resal)*(1-EXP(('2021'!Tnet-t)/('2021'!Tau_j))),Resal+(Salim-Resal)*(1-EXP((Tnet-t)/(Tau_j))))*Salcycl</f>
        <v>1.610966013953977E-2</v>
      </c>
      <c r="P295" s="169">
        <f>(INDEX(Models!$BJ295:$BT295,,T295)*(1-R295)+INDEX(Models!$BJ295:$BT295,,T295+1)*R295-ERP_i)*Q295*Ramure*Pc/MaxiM</f>
        <v>5.0542410092946554E-3</v>
      </c>
      <c r="Q295" s="304">
        <f t="shared" si="105"/>
        <v>0.7</v>
      </c>
      <c r="R295" s="177">
        <f t="shared" si="106"/>
        <v>0.33186674645396885</v>
      </c>
      <c r="S295" s="799">
        <f t="shared" si="107"/>
        <v>0</v>
      </c>
      <c r="T295" s="176">
        <f t="shared" si="108"/>
        <v>6</v>
      </c>
      <c r="U295" s="250">
        <f t="shared" si="109"/>
        <v>0.33186674645396885</v>
      </c>
      <c r="V295" s="382">
        <f t="shared" si="110"/>
        <v>40.92483818326572</v>
      </c>
      <c r="W295" s="400">
        <f t="shared" si="111"/>
        <v>0</v>
      </c>
      <c r="X295" s="157">
        <f t="shared" si="112"/>
        <v>44842</v>
      </c>
      <c r="Y295" s="383">
        <f t="shared" si="113"/>
        <v>14.461200445084591</v>
      </c>
      <c r="Z295" s="383">
        <f t="shared" si="114"/>
        <v>14.845068548183825</v>
      </c>
      <c r="AA295" s="384">
        <f t="shared" si="115"/>
        <v>16.236960331801093</v>
      </c>
      <c r="AB295" s="197">
        <f t="shared" si="116"/>
        <v>44842</v>
      </c>
      <c r="AC295" s="119">
        <f>IF(OR(t&lt;Tnet,NoTnet),'2021'!Resal_s+('2021'!Salim-'2021'!Resal_s)*(1-EXP(('2021'!Tnet_s-t)/'2021'!Tau_j)),Resal_s+(Salim-Resal_s)*(1-EXP((Tnet_s-t)/Tau_j)))*Salcycl</f>
        <v>8.5723667187334457E-2</v>
      </c>
      <c r="AD295" s="230">
        <f>(INDEX(Models!$BJ295:$BT295,,AH295)*(1-AF295)+INDEX(Models!$BJ295:$BT295,,AH295+1)*AF295-ERP_i)*AE295*Ramure*Pc/MaxiM</f>
        <v>5.4505713819927928E-3</v>
      </c>
      <c r="AE295" s="304">
        <f t="shared" si="117"/>
        <v>0.7</v>
      </c>
      <c r="AF295" s="177">
        <f t="shared" si="118"/>
        <v>0.396198968713801</v>
      </c>
      <c r="AG295" s="799">
        <f t="shared" si="124"/>
        <v>0</v>
      </c>
      <c r="AH295" s="176">
        <f t="shared" si="119"/>
        <v>6</v>
      </c>
      <c r="AI295" s="224">
        <f t="shared" si="120"/>
        <v>0.396198968713801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44843</v>
      </c>
      <c r="B296" s="1147">
        <v>40.724000000000004</v>
      </c>
      <c r="C296" s="388"/>
      <c r="D296" s="391">
        <f t="shared" si="102"/>
        <v>41.805807211362129</v>
      </c>
      <c r="E296" s="383">
        <f t="shared" si="100"/>
        <v>42.492208400113796</v>
      </c>
      <c r="F296" s="383">
        <f t="shared" si="103"/>
        <v>42.727093613485302</v>
      </c>
      <c r="G296" s="110">
        <f t="shared" si="101"/>
        <v>1.0024924014672847</v>
      </c>
      <c r="H296" s="412" t="b">
        <f>Wh_hp&gt;='2021'!Maxi_hp</f>
        <v>1</v>
      </c>
      <c r="I296" s="379">
        <f>IF(H296,Wh_hp,'2021'!Maxi_hp)</f>
        <v>42.727093613485302</v>
      </c>
      <c r="J296" s="85">
        <f>IF(H296,An,'2021'!An_max)</f>
        <v>2022</v>
      </c>
      <c r="K296" s="197">
        <f t="shared" si="104"/>
        <v>44843</v>
      </c>
      <c r="L296" s="147">
        <f>IF(t&lt;Tvie,1-EXP((T0-t)*PertePVj)+'2021'!Pspv,1-EXP((T0-t)*PertePVj)+Pspv)</f>
        <v>2.5876960248434222E-2</v>
      </c>
      <c r="M296" s="832"/>
      <c r="N296" s="832"/>
      <c r="O296" s="48">
        <f>IF(t&lt;Tnet,'2021'!Resal+('2021'!Salim-'2021'!Resal)*(1-EXP(('2021'!Tnet-t)/('2021'!Tau_j))),Resal+(Salim-Resal)*(1-EXP((Tnet-t)/(Tau_j))))*Salcycl</f>
        <v>1.6153577669778776E-2</v>
      </c>
      <c r="P296" s="169">
        <f>(INDEX(Models!$BJ296:$BT296,,T296)*(1-R296)+INDEX(Models!$BJ296:$BT296,,T296+1)*R296-ERP_i)*Q296*Ramure*Pc/MaxiM</f>
        <v>5.4973365494107446E-3</v>
      </c>
      <c r="Q296" s="304">
        <f t="shared" si="105"/>
        <v>0.7</v>
      </c>
      <c r="R296" s="177">
        <f t="shared" si="106"/>
        <v>0.33198152670249892</v>
      </c>
      <c r="S296" s="799">
        <f t="shared" si="107"/>
        <v>0</v>
      </c>
      <c r="T296" s="176">
        <f t="shared" si="108"/>
        <v>6</v>
      </c>
      <c r="U296" s="250">
        <f t="shared" si="109"/>
        <v>0.33198152670249892</v>
      </c>
      <c r="V296" s="382">
        <f t="shared" si="110"/>
        <v>40.622751793823937</v>
      </c>
      <c r="W296" s="400">
        <f t="shared" si="111"/>
        <v>0</v>
      </c>
      <c r="X296" s="157">
        <f t="shared" si="112"/>
        <v>44843</v>
      </c>
      <c r="Y296" s="383">
        <f t="shared" si="113"/>
        <v>37.829871051406585</v>
      </c>
      <c r="Z296" s="383">
        <f t="shared" si="114"/>
        <v>38.834797564232211</v>
      </c>
      <c r="AA296" s="384">
        <f t="shared" si="115"/>
        <v>42.473539459797486</v>
      </c>
      <c r="AB296" s="197">
        <f t="shared" si="116"/>
        <v>44843</v>
      </c>
      <c r="AC296" s="119">
        <f>IF(OR(t&lt;Tnet,NoTnet),'2021'!Resal_s+('2021'!Salim-'2021'!Resal_s)*(1-EXP(('2021'!Tnet_s-t)/'2021'!Tau_j)),Resal_s+(Salim-Resal_s)*(1-EXP((Tnet_s-t)/Tau_j)))*Salcycl</f>
        <v>8.5670795084300741E-2</v>
      </c>
      <c r="AD296" s="230">
        <f>(INDEX(Models!$BJ296:$BT296,,AH296)*(1-AF296)+INDEX(Models!$BJ296:$BT296,,AH296+1)*AF296-ERP_i)*AE296*Ramure*Pc/MaxiM</f>
        <v>5.9342710267517151E-3</v>
      </c>
      <c r="AE296" s="304">
        <f t="shared" si="117"/>
        <v>0.7</v>
      </c>
      <c r="AF296" s="177">
        <f t="shared" si="118"/>
        <v>0.39631374896233107</v>
      </c>
      <c r="AG296" s="799">
        <f t="shared" si="124"/>
        <v>0</v>
      </c>
      <c r="AH296" s="176">
        <f t="shared" si="119"/>
        <v>6</v>
      </c>
      <c r="AI296" s="224">
        <f t="shared" si="120"/>
        <v>0.39631374896233107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44844</v>
      </c>
      <c r="B297" s="1147">
        <v>35.529000000000003</v>
      </c>
      <c r="C297" s="388"/>
      <c r="D297" s="391">
        <f t="shared" si="102"/>
        <v>36.473504340160609</v>
      </c>
      <c r="E297" s="383">
        <f t="shared" ref="E297:E360" si="125">Wh_pvt/(1-Psa)</f>
        <v>37.073998192490947</v>
      </c>
      <c r="F297" s="383">
        <f t="shared" si="103"/>
        <v>37.259576820741849</v>
      </c>
      <c r="G297" s="110">
        <f t="shared" ref="G297:G360" si="126">+Wh_hp/MaxiM</f>
        <v>0.88031659443097532</v>
      </c>
      <c r="H297" s="412" t="b">
        <f>Wh_hp&gt;='2021'!Maxi_hp</f>
        <v>1</v>
      </c>
      <c r="I297" s="379">
        <f>IF(H297,Wh_hp,'2021'!Maxi_hp)</f>
        <v>37.259576820741849</v>
      </c>
      <c r="J297" s="85">
        <f>IF(H297,An,'2021'!An_max)</f>
        <v>2022</v>
      </c>
      <c r="K297" s="197">
        <f t="shared" si="104"/>
        <v>44844</v>
      </c>
      <c r="L297" s="147">
        <f>IF(t&lt;Tvie,1-EXP((T0-t)*PertePVj)+'2021'!Pspv,1-EXP((T0-t)*PertePVj)+Pspv)</f>
        <v>2.589562909425791E-2</v>
      </c>
      <c r="M297" s="832"/>
      <c r="N297" s="832"/>
      <c r="O297" s="48">
        <f>IF(t&lt;Tnet,'2021'!Resal+('2021'!Salim-'2021'!Resal)*(1-EXP(('2021'!Tnet-t)/('2021'!Tau_j))),Resal+(Salim-Resal)*(1-EXP((Tnet-t)/(Tau_j))))*Salcycl</f>
        <v>1.619717002769781E-2</v>
      </c>
      <c r="P297" s="169">
        <f>(INDEX(Models!$BJ297:$BT297,,T297)*(1-R297)+INDEX(Models!$BJ297:$BT297,,T297+1)*R297-ERP_i)*Q297*Ramure*Pc/MaxiM</f>
        <v>5.9985871845196336E-3</v>
      </c>
      <c r="Q297" s="304">
        <f t="shared" si="105"/>
        <v>0.7</v>
      </c>
      <c r="R297" s="177">
        <f t="shared" si="106"/>
        <v>0.33209174786937179</v>
      </c>
      <c r="S297" s="799">
        <f t="shared" si="107"/>
        <v>0</v>
      </c>
      <c r="T297" s="176">
        <f t="shared" si="108"/>
        <v>6</v>
      </c>
      <c r="U297" s="250">
        <f t="shared" si="109"/>
        <v>0.33209174786937179</v>
      </c>
      <c r="V297" s="382">
        <f t="shared" si="110"/>
        <v>40.318056645450589</v>
      </c>
      <c r="W297" s="400">
        <f t="shared" si="111"/>
        <v>0</v>
      </c>
      <c r="X297" s="157">
        <f t="shared" si="112"/>
        <v>44844</v>
      </c>
      <c r="Y297" s="383">
        <f t="shared" si="113"/>
        <v>33.008768349603379</v>
      </c>
      <c r="Z297" s="383">
        <f t="shared" si="114"/>
        <v>33.886274751966418</v>
      </c>
      <c r="AA297" s="384">
        <f t="shared" si="115"/>
        <v>37.059158994570005</v>
      </c>
      <c r="AB297" s="197">
        <f t="shared" si="116"/>
        <v>44844</v>
      </c>
      <c r="AC297" s="119">
        <f>IF(OR(t&lt;Tnet,NoTnet),'2021'!Resal_s+('2021'!Salim-'2021'!Resal_s)*(1-EXP(('2021'!Tnet_s-t)/'2021'!Tau_j)),Resal_s+(Salim-Resal_s)*(1-EXP((Tnet_s-t)/Tau_j)))*Salcycl</f>
        <v>8.561673628558282E-2</v>
      </c>
      <c r="AD297" s="230">
        <f>(INDEX(Models!$BJ297:$BT297,,AH297)*(1-AF297)+INDEX(Models!$BJ297:$BT297,,AH297+1)*AF297-ERP_i)*AE297*Ramure*Pc/MaxiM</f>
        <v>6.4782449086665502E-3</v>
      </c>
      <c r="AE297" s="304">
        <f t="shared" si="117"/>
        <v>0.7</v>
      </c>
      <c r="AF297" s="177">
        <f t="shared" si="118"/>
        <v>0.39642397012920394</v>
      </c>
      <c r="AG297" s="799">
        <f t="shared" si="124"/>
        <v>0</v>
      </c>
      <c r="AH297" s="176">
        <f t="shared" si="119"/>
        <v>6</v>
      </c>
      <c r="AI297" s="224">
        <f t="shared" si="120"/>
        <v>0.39642397012920394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44845</v>
      </c>
      <c r="B298" s="1147">
        <v>25.559000000000001</v>
      </c>
      <c r="C298" s="388"/>
      <c r="D298" s="391">
        <f t="shared" si="102"/>
        <v>26.238964329896216</v>
      </c>
      <c r="E298" s="383">
        <f t="shared" si="125"/>
        <v>26.672131384397716</v>
      </c>
      <c r="F298" s="383">
        <f t="shared" si="103"/>
        <v>26.757069935910121</v>
      </c>
      <c r="G298" s="110">
        <f t="shared" si="126"/>
        <v>0.63662757814530813</v>
      </c>
      <c r="H298" s="412" t="b">
        <f>Wh_hp&gt;='2021'!Maxi_hp</f>
        <v>0</v>
      </c>
      <c r="I298" s="379">
        <f>IF(H298,Wh_hp,'2021'!Maxi_hp)</f>
        <v>42.840909894173365</v>
      </c>
      <c r="J298" s="85">
        <f>IF(H298,An,'2021'!An_max)</f>
        <v>2018</v>
      </c>
      <c r="K298" s="197">
        <f t="shared" si="104"/>
        <v>44845</v>
      </c>
      <c r="L298" s="147">
        <f>IF(t&lt;Tvie,1-EXP((T0-t)*PertePVj)+'2021'!Pspv,1-EXP((T0-t)*PertePVj)+Pspv)</f>
        <v>2.5914297582297352E-2</v>
      </c>
      <c r="M298" s="832"/>
      <c r="N298" s="832"/>
      <c r="O298" s="48">
        <f>IF(t&lt;Tnet,'2021'!Resal+('2021'!Salim-'2021'!Resal)*(1-EXP(('2021'!Tnet-t)/('2021'!Tau_j))),Resal+(Salim-Resal)*(1-EXP((Tnet-t)/(Tau_j))))*Salcycl</f>
        <v>1.6240436441269521E-2</v>
      </c>
      <c r="P298" s="169">
        <f>(INDEX(Models!$BJ298:$BT298,,T298)*(1-R298)+INDEX(Models!$BJ298:$BT298,,T298+1)*R298-ERP_i)*Q298*Ramure*Pc/MaxiM</f>
        <v>6.5588176431033846E-3</v>
      </c>
      <c r="Q298" s="304">
        <f t="shared" si="105"/>
        <v>0.7</v>
      </c>
      <c r="R298" s="177">
        <f t="shared" si="106"/>
        <v>0.33219758864806481</v>
      </c>
      <c r="S298" s="799">
        <f t="shared" si="107"/>
        <v>0</v>
      </c>
      <c r="T298" s="176">
        <f t="shared" si="108"/>
        <v>6</v>
      </c>
      <c r="U298" s="250">
        <f t="shared" si="109"/>
        <v>0.33219758864806481</v>
      </c>
      <c r="V298" s="382">
        <f t="shared" si="110"/>
        <v>40.011183844805927</v>
      </c>
      <c r="W298" s="400">
        <f t="shared" si="111"/>
        <v>0</v>
      </c>
      <c r="X298" s="157">
        <f t="shared" si="112"/>
        <v>44845</v>
      </c>
      <c r="Y298" s="383">
        <f t="shared" si="113"/>
        <v>23.751922948193069</v>
      </c>
      <c r="Z298" s="383">
        <f t="shared" si="114"/>
        <v>24.383812316760487</v>
      </c>
      <c r="AA298" s="384">
        <f t="shared" si="115"/>
        <v>26.665338638310086</v>
      </c>
      <c r="AB298" s="197">
        <f t="shared" si="116"/>
        <v>44845</v>
      </c>
      <c r="AC298" s="119">
        <f>IF(OR(t&lt;Tnet,NoTnet),'2021'!Resal_s+('2021'!Salim-'2021'!Resal_s)*(1-EXP(('2021'!Tnet_s-t)/'2021'!Tau_j)),Resal_s+(Salim-Resal_s)*(1-EXP((Tnet_s-t)/Tau_j)))*Salcycl</f>
        <v>8.556149811169951E-2</v>
      </c>
      <c r="AD298" s="230">
        <f>(INDEX(Models!$BJ298:$BT298,,AH298)*(1-AF298)+INDEX(Models!$BJ298:$BT298,,AH298+1)*AF298-ERP_i)*AE298*Ramure*Pc/MaxiM</f>
        <v>7.0833425153949388E-3</v>
      </c>
      <c r="AE298" s="304">
        <f t="shared" si="117"/>
        <v>0.7</v>
      </c>
      <c r="AF298" s="177">
        <f t="shared" si="118"/>
        <v>0.39652981090789696</v>
      </c>
      <c r="AG298" s="799">
        <f t="shared" si="124"/>
        <v>0</v>
      </c>
      <c r="AH298" s="176">
        <f t="shared" si="119"/>
        <v>6</v>
      </c>
      <c r="AI298" s="224">
        <f t="shared" si="120"/>
        <v>0.39652981090789696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44846</v>
      </c>
      <c r="B299" s="1147">
        <v>24.318999999999999</v>
      </c>
      <c r="C299" s="388"/>
      <c r="D299" s="391">
        <f t="shared" si="102"/>
        <v>24.966454200752295</v>
      </c>
      <c r="E299" s="383">
        <f t="shared" si="125"/>
        <v>25.379721776296901</v>
      </c>
      <c r="F299" s="383">
        <f t="shared" si="103"/>
        <v>25.461328931739171</v>
      </c>
      <c r="G299" s="110">
        <f t="shared" si="126"/>
        <v>0.61008785999665538</v>
      </c>
      <c r="H299" s="412" t="b">
        <f>Wh_hp&gt;='2021'!Maxi_hp</f>
        <v>0</v>
      </c>
      <c r="I299" s="379">
        <f>IF(H299,Wh_hp,'2021'!Maxi_hp)</f>
        <v>40.800834584500151</v>
      </c>
      <c r="J299" s="85">
        <f>IF(H299,An,'2021'!An_max)</f>
        <v>2021</v>
      </c>
      <c r="K299" s="197">
        <f t="shared" si="104"/>
        <v>44846</v>
      </c>
      <c r="L299" s="147">
        <f>IF(t&lt;Tvie,1-EXP((T0-t)*PertePVj)+'2021'!Pspv,1-EXP((T0-t)*PertePVj)+Pspv)</f>
        <v>2.5932965712559541E-2</v>
      </c>
      <c r="M299" s="832"/>
      <c r="N299" s="832"/>
      <c r="O299" s="48">
        <f>IF(t&lt;Tnet,'2021'!Resal+('2021'!Salim-'2021'!Resal)*(1-EXP(('2021'!Tnet-t)/('2021'!Tau_j))),Resal+(Salim-Resal)*(1-EXP((Tnet-t)/(Tau_j))))*Salcycl</f>
        <v>1.628337690961501E-2</v>
      </c>
      <c r="P299" s="169">
        <f>(INDEX(Models!$BJ299:$BT299,,T299)*(1-R299)+INDEX(Models!$BJ299:$BT299,,T299+1)*R299-ERP_i)*Q299*Ramure*Pc/MaxiM</f>
        <v>7.1788343039405475E-3</v>
      </c>
      <c r="Q299" s="304">
        <f t="shared" si="105"/>
        <v>0.7</v>
      </c>
      <c r="R299" s="177">
        <f t="shared" si="106"/>
        <v>0.33229922091598596</v>
      </c>
      <c r="S299" s="799">
        <f t="shared" si="107"/>
        <v>0</v>
      </c>
      <c r="T299" s="176">
        <f t="shared" si="108"/>
        <v>6</v>
      </c>
      <c r="U299" s="250">
        <f t="shared" si="109"/>
        <v>0.33229922091598596</v>
      </c>
      <c r="V299" s="382">
        <f t="shared" si="110"/>
        <v>39.702565184354505</v>
      </c>
      <c r="W299" s="400">
        <f t="shared" si="111"/>
        <v>0</v>
      </c>
      <c r="X299" s="157">
        <f t="shared" si="112"/>
        <v>44846</v>
      </c>
      <c r="Y299" s="383">
        <f t="shared" si="113"/>
        <v>22.601944198709504</v>
      </c>
      <c r="Z299" s="383">
        <f t="shared" si="114"/>
        <v>23.203684554670829</v>
      </c>
      <c r="AA299" s="384">
        <f t="shared" si="115"/>
        <v>25.373224440232136</v>
      </c>
      <c r="AB299" s="197">
        <f t="shared" si="116"/>
        <v>44846</v>
      </c>
      <c r="AC299" s="119">
        <f>IF(OR(t&lt;Tnet,NoTnet),'2021'!Resal_s+('2021'!Salim-'2021'!Resal_s)*(1-EXP(('2021'!Tnet_s-t)/'2021'!Tau_j)),Resal_s+(Salim-Resal_s)*(1-EXP((Tnet_s-t)/Tau_j)))*Salcycl</f>
        <v>8.5505091821174092E-2</v>
      </c>
      <c r="AD299" s="230">
        <f>(INDEX(Models!$BJ299:$BT299,,AH299)*(1-AF299)+INDEX(Models!$BJ299:$BT299,,AH299+1)*AF299-ERP_i)*AE299*Ramure*Pc/MaxiM</f>
        <v>7.7503932410605122E-3</v>
      </c>
      <c r="AE299" s="304">
        <f t="shared" si="117"/>
        <v>0.7</v>
      </c>
      <c r="AF299" s="177">
        <f t="shared" si="118"/>
        <v>0.39663144317581811</v>
      </c>
      <c r="AG299" s="799">
        <f t="shared" si="124"/>
        <v>0</v>
      </c>
      <c r="AH299" s="176">
        <f t="shared" si="119"/>
        <v>6</v>
      </c>
      <c r="AI299" s="224">
        <f t="shared" si="120"/>
        <v>0.39663144317581811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44847</v>
      </c>
      <c r="B300" s="1147">
        <v>25.003</v>
      </c>
      <c r="C300" s="388"/>
      <c r="D300" s="391">
        <f t="shared" si="102"/>
        <v>25.669156542460335</v>
      </c>
      <c r="E300" s="383">
        <f t="shared" si="125"/>
        <v>26.095186352362877</v>
      </c>
      <c r="F300" s="383">
        <f t="shared" si="103"/>
        <v>26.193623723461844</v>
      </c>
      <c r="G300" s="110">
        <f t="shared" si="126"/>
        <v>0.63209958501631414</v>
      </c>
      <c r="H300" s="412" t="b">
        <f>Wh_hp&gt;='2021'!Maxi_hp</f>
        <v>0</v>
      </c>
      <c r="I300" s="379">
        <f>IF(H300,Wh_hp,'2021'!Maxi_hp)</f>
        <v>40.05086474432693</v>
      </c>
      <c r="J300" s="85">
        <f>IF(H300,An,'2021'!An_max)</f>
        <v>2021</v>
      </c>
      <c r="K300" s="197">
        <f t="shared" si="104"/>
        <v>44847</v>
      </c>
      <c r="L300" s="147">
        <f>IF(t&lt;Tvie,1-EXP((T0-t)*PertePVj)+'2021'!Pspv,1-EXP((T0-t)*PertePVj)+Pspv)</f>
        <v>2.5951633485051251E-2</v>
      </c>
      <c r="M300" s="832"/>
      <c r="N300" s="832"/>
      <c r="O300" s="48">
        <f>IF(t&lt;Tnet,'2021'!Resal+('2021'!Salim-'2021'!Resal)*(1-EXP(('2021'!Tnet-t)/('2021'!Tau_j))),Resal+(Salim-Resal)*(1-EXP((Tnet-t)/(Tau_j))))*Salcycl</f>
        <v>1.6325992240479439E-2</v>
      </c>
      <c r="P300" s="169">
        <f>(INDEX(Models!$BJ300:$BT300,,T300)*(1-R300)+INDEX(Models!$BJ300:$BT300,,T300+1)*R300-ERP_i)*Q300*Ramure*Pc/MaxiM</f>
        <v>7.8594186050193558E-3</v>
      </c>
      <c r="Q300" s="304">
        <f t="shared" si="105"/>
        <v>0.7</v>
      </c>
      <c r="R300" s="177">
        <f t="shared" si="106"/>
        <v>0.33239680997966131</v>
      </c>
      <c r="S300" s="799">
        <f t="shared" si="107"/>
        <v>0</v>
      </c>
      <c r="T300" s="176">
        <f t="shared" si="108"/>
        <v>6</v>
      </c>
      <c r="U300" s="250">
        <f t="shared" si="109"/>
        <v>0.33239680997966131</v>
      </c>
      <c r="V300" s="382">
        <f t="shared" si="110"/>
        <v>39.392633133161965</v>
      </c>
      <c r="W300" s="400">
        <f t="shared" si="111"/>
        <v>0</v>
      </c>
      <c r="X300" s="157">
        <f t="shared" si="112"/>
        <v>44847</v>
      </c>
      <c r="Y300" s="383">
        <f t="shared" si="113"/>
        <v>23.239144272353567</v>
      </c>
      <c r="Z300" s="383">
        <f t="shared" si="114"/>
        <v>23.858306292839426</v>
      </c>
      <c r="AA300" s="384">
        <f t="shared" si="115"/>
        <v>26.087411216960408</v>
      </c>
      <c r="AB300" s="197">
        <f t="shared" si="116"/>
        <v>44847</v>
      </c>
      <c r="AC300" s="119">
        <f>IF(OR(t&lt;Tnet,NoTnet),'2021'!Resal_s+('2021'!Salim-'2021'!Resal_s)*(1-EXP(('2021'!Tnet_s-t)/'2021'!Tau_j)),Resal_s+(Salim-Resal_s)*(1-EXP((Tnet_s-t)/Tau_j)))*Salcycl</f>
        <v>8.5447532742219931E-2</v>
      </c>
      <c r="AD300" s="230">
        <f>(INDEX(Models!$BJ300:$BT300,,AH300)*(1-AF300)+INDEX(Models!$BJ300:$BT300,,AH300+1)*AF300-ERP_i)*AE300*Ramure*Pc/MaxiM</f>
        <v>8.4801995457993076E-3</v>
      </c>
      <c r="AE300" s="304">
        <f t="shared" si="117"/>
        <v>0.7</v>
      </c>
      <c r="AF300" s="177">
        <f t="shared" si="118"/>
        <v>0.39672903223949346</v>
      </c>
      <c r="AG300" s="799">
        <f t="shared" si="124"/>
        <v>0</v>
      </c>
      <c r="AH300" s="176">
        <f t="shared" si="119"/>
        <v>6</v>
      </c>
      <c r="AI300" s="224">
        <f t="shared" si="120"/>
        <v>0.39672903223949346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44848</v>
      </c>
      <c r="B301" s="1147">
        <v>15.564</v>
      </c>
      <c r="C301" s="388"/>
      <c r="D301" s="391">
        <f t="shared" si="102"/>
        <v>15.978978889840377</v>
      </c>
      <c r="E301" s="383">
        <f t="shared" si="125"/>
        <v>16.244879695610869</v>
      </c>
      <c r="F301" s="383">
        <f t="shared" si="103"/>
        <v>16.264513425077194</v>
      </c>
      <c r="G301" s="110">
        <f t="shared" si="126"/>
        <v>0.39529320136156515</v>
      </c>
      <c r="H301" s="412" t="b">
        <f>Wh_hp&gt;='2021'!Maxi_hp</f>
        <v>0</v>
      </c>
      <c r="I301" s="379">
        <f>IF(H301,Wh_hp,'2021'!Maxi_hp)</f>
        <v>42.197658918664054</v>
      </c>
      <c r="J301" s="85">
        <f>IF(H301,An,'2021'!An_max)</f>
        <v>2021</v>
      </c>
      <c r="K301" s="197">
        <f t="shared" si="104"/>
        <v>44848</v>
      </c>
      <c r="L301" s="147">
        <f>IF(t&lt;Tvie,1-EXP((T0-t)*PertePVj)+'2021'!Pspv,1-EXP((T0-t)*PertePVj)+Pspv)</f>
        <v>2.5970300899779364E-2</v>
      </c>
      <c r="M301" s="832"/>
      <c r="N301" s="832"/>
      <c r="O301" s="48">
        <f>IF(t&lt;Tnet,'2021'!Resal+('2021'!Salim-'2021'!Resal)*(1-EXP(('2021'!Tnet-t)/('2021'!Tau_j))),Resal+(Salim-Resal)*(1-EXP((Tnet-t)/(Tau_j))))*Salcycl</f>
        <v>1.6368284084143373E-2</v>
      </c>
      <c r="P301" s="169">
        <f>(INDEX(Models!$BJ301:$BT301,,T301)*(1-R301)+INDEX(Models!$BJ301:$BT301,,T301+1)*R301-ERP_i)*Q301*Ramure*Pc/MaxiM</f>
        <v>8.6013202021801884E-3</v>
      </c>
      <c r="Q301" s="304">
        <f t="shared" si="105"/>
        <v>0.7</v>
      </c>
      <c r="R301" s="177">
        <f t="shared" si="106"/>
        <v>0.33249051481228598</v>
      </c>
      <c r="S301" s="799">
        <f t="shared" si="107"/>
        <v>0</v>
      </c>
      <c r="T301" s="176">
        <f t="shared" si="108"/>
        <v>6</v>
      </c>
      <c r="U301" s="250">
        <f t="shared" si="109"/>
        <v>0.33249051481228598</v>
      </c>
      <c r="V301" s="382">
        <f t="shared" si="110"/>
        <v>39.081820817004996</v>
      </c>
      <c r="W301" s="400">
        <f t="shared" si="111"/>
        <v>0</v>
      </c>
      <c r="X301" s="157">
        <f t="shared" si="112"/>
        <v>44848</v>
      </c>
      <c r="Y301" s="383">
        <f t="shared" si="113"/>
        <v>14.470521118052433</v>
      </c>
      <c r="Z301" s="383">
        <f t="shared" si="114"/>
        <v>14.856344864453174</v>
      </c>
      <c r="AA301" s="384">
        <f t="shared" si="115"/>
        <v>16.243345282032656</v>
      </c>
      <c r="AB301" s="197">
        <f t="shared" si="116"/>
        <v>44848</v>
      </c>
      <c r="AC301" s="119">
        <f>IF(OR(t&lt;Tnet,NoTnet),'2021'!Resal_s+('2021'!Salim-'2021'!Resal_s)*(1-EXP(('2021'!Tnet_s-t)/'2021'!Tau_j)),Resal_s+(Salim-Resal_s)*(1-EXP((Tnet_s-t)/Tau_j)))*Salcycl</f>
        <v>8.5388840383371842E-2</v>
      </c>
      <c r="AD301" s="230">
        <f>(INDEX(Models!$BJ301:$BT301,,AH301)*(1-AF301)+INDEX(Models!$BJ301:$BT301,,AH301+1)*AF301-ERP_i)*AE301*Ramure*Pc/MaxiM</f>
        <v>9.2735298570708925E-3</v>
      </c>
      <c r="AE301" s="304">
        <f t="shared" si="117"/>
        <v>0.7</v>
      </c>
      <c r="AF301" s="177">
        <f t="shared" si="118"/>
        <v>0.39682273707211813</v>
      </c>
      <c r="AG301" s="799">
        <f t="shared" si="124"/>
        <v>0</v>
      </c>
      <c r="AH301" s="176">
        <f t="shared" si="119"/>
        <v>6</v>
      </c>
      <c r="AI301" s="224">
        <f t="shared" si="120"/>
        <v>0.39682273707211813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44849</v>
      </c>
      <c r="B302" s="1147">
        <v>39.67</v>
      </c>
      <c r="C302" s="388"/>
      <c r="D302" s="391">
        <f t="shared" si="102"/>
        <v>40.728491459466881</v>
      </c>
      <c r="E302" s="383">
        <f t="shared" si="125"/>
        <v>41.408007418733568</v>
      </c>
      <c r="F302" s="383">
        <f t="shared" si="103"/>
        <v>41.80115775263846</v>
      </c>
      <c r="G302" s="110">
        <f t="shared" si="126"/>
        <v>1.0231989932940342</v>
      </c>
      <c r="H302" s="412" t="b">
        <f>Wh_hp&gt;='2021'!Maxi_hp</f>
        <v>1</v>
      </c>
      <c r="I302" s="379">
        <f>IF(H302,Wh_hp,'2021'!Maxi_hp)</f>
        <v>41.80115775263846</v>
      </c>
      <c r="J302" s="85">
        <f>IF(H302,An,'2021'!An_max)</f>
        <v>2022</v>
      </c>
      <c r="K302" s="197">
        <f t="shared" si="104"/>
        <v>44849</v>
      </c>
      <c r="L302" s="147">
        <f>IF(t&lt;Tvie,1-EXP((T0-t)*PertePVj)+'2021'!Pspv,1-EXP((T0-t)*PertePVj)+Pspv)</f>
        <v>2.5988967956750764E-2</v>
      </c>
      <c r="M302" s="832"/>
      <c r="N302" s="832"/>
      <c r="O302" s="48">
        <f>IF(t&lt;Tnet,'2021'!Resal+('2021'!Salim-'2021'!Resal)*(1-EXP(('2021'!Tnet-t)/('2021'!Tau_j))),Resal+(Salim-Resal)*(1-EXP((Tnet-t)/(Tau_j))))*Salcycl</f>
        <v>1.641025496337371E-2</v>
      </c>
      <c r="P302" s="169">
        <f>(INDEX(Models!$BJ302:$BT302,,T302)*(1-R302)+INDEX(Models!$BJ302:$BT302,,T302+1)*R302-ERP_i)*Q302*Ramure*Pc/MaxiM</f>
        <v>9.405249879235229E-3</v>
      </c>
      <c r="Q302" s="304">
        <f t="shared" si="105"/>
        <v>0.7</v>
      </c>
      <c r="R302" s="177">
        <f t="shared" si="106"/>
        <v>0.33258048828377873</v>
      </c>
      <c r="S302" s="799">
        <f t="shared" si="107"/>
        <v>0</v>
      </c>
      <c r="T302" s="176">
        <f t="shared" si="108"/>
        <v>6</v>
      </c>
      <c r="U302" s="250">
        <f t="shared" si="109"/>
        <v>0.33258048828377873</v>
      </c>
      <c r="V302" s="382">
        <f t="shared" si="110"/>
        <v>38.77056199233391</v>
      </c>
      <c r="W302" s="400">
        <f t="shared" si="111"/>
        <v>0</v>
      </c>
      <c r="X302" s="157">
        <f t="shared" si="112"/>
        <v>44849</v>
      </c>
      <c r="Y302" s="383">
        <f t="shared" si="113"/>
        <v>36.863346005958014</v>
      </c>
      <c r="Z302" s="383">
        <f t="shared" si="114"/>
        <v>37.846949154802964</v>
      </c>
      <c r="AA302" s="384">
        <f t="shared" si="115"/>
        <v>41.377665574542426</v>
      </c>
      <c r="AB302" s="197">
        <f t="shared" si="116"/>
        <v>44849</v>
      </c>
      <c r="AC302" s="119">
        <f>IF(OR(t&lt;Tnet,NoTnet),'2021'!Resal_s+('2021'!Salim-'2021'!Resal_s)*(1-EXP(('2021'!Tnet_s-t)/'2021'!Tau_j)),Resal_s+(Salim-Resal_s)*(1-EXP((Tnet_s-t)/Tau_j)))*Salcycl</f>
        <v>8.532903852149E-2</v>
      </c>
      <c r="AD302" s="230">
        <f>(INDEX(Models!$BJ302:$BT302,,AH302)*(1-AF302)+INDEX(Models!$BJ302:$BT302,,AH302+1)*AF302-ERP_i)*AE302*Ramure*Pc/MaxiM</f>
        <v>1.0131111214719851E-2</v>
      </c>
      <c r="AE302" s="304">
        <f t="shared" si="117"/>
        <v>0.7</v>
      </c>
      <c r="AF302" s="177">
        <f t="shared" si="118"/>
        <v>0.39691271054361088</v>
      </c>
      <c r="AG302" s="799">
        <f t="shared" si="124"/>
        <v>0</v>
      </c>
      <c r="AH302" s="176">
        <f t="shared" si="119"/>
        <v>6</v>
      </c>
      <c r="AI302" s="224">
        <f t="shared" si="120"/>
        <v>0.39691271054361088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44850</v>
      </c>
      <c r="B303" s="1147">
        <v>35.419000000000004</v>
      </c>
      <c r="C303" s="388"/>
      <c r="D303" s="391">
        <f t="shared" si="102"/>
        <v>36.364761429612969</v>
      </c>
      <c r="E303" s="383">
        <f t="shared" si="125"/>
        <v>36.973038468025855</v>
      </c>
      <c r="F303" s="383">
        <f t="shared" si="103"/>
        <v>37.313067178494279</v>
      </c>
      <c r="G303" s="110">
        <f t="shared" si="126"/>
        <v>0.91991127187467869</v>
      </c>
      <c r="H303" s="412" t="b">
        <f>Wh_hp&gt;='2021'!Maxi_hp</f>
        <v>0</v>
      </c>
      <c r="I303" s="379">
        <f>IF(H303,Wh_hp,'2021'!Maxi_hp)</f>
        <v>39.40385171327874</v>
      </c>
      <c r="J303" s="85">
        <f>IF(H303,An,'2021'!An_max)</f>
        <v>2018</v>
      </c>
      <c r="K303" s="197">
        <f t="shared" si="104"/>
        <v>44850</v>
      </c>
      <c r="L303" s="147">
        <f>IF(t&lt;Tvie,1-EXP((T0-t)*PertePVj)+'2021'!Pspv,1-EXP((T0-t)*PertePVj)+Pspv)</f>
        <v>2.6007634655972223E-2</v>
      </c>
      <c r="M303" s="832"/>
      <c r="N303" s="832"/>
      <c r="O303" s="48">
        <f>IF(t&lt;Tnet,'2021'!Resal+('2021'!Salim-'2021'!Resal)*(1-EXP(('2021'!Tnet-t)/('2021'!Tau_j))),Resal+(Salim-Resal)*(1-EXP((Tnet-t)/(Tau_j))))*Salcycl</f>
        <v>1.6451908299041224E-2</v>
      </c>
      <c r="P303" s="169">
        <f>(INDEX(Models!$BJ303:$BT303,,T303)*(1-R303)+INDEX(Models!$BJ303:$BT303,,T303+1)*R303-ERP_i)*Q303*Ramure*Pc/MaxiM</f>
        <v>1.0272326305027243E-2</v>
      </c>
      <c r="Q303" s="304">
        <f t="shared" si="105"/>
        <v>0.7</v>
      </c>
      <c r="R303" s="177">
        <f t="shared" si="106"/>
        <v>0.33266687738348516</v>
      </c>
      <c r="S303" s="799">
        <f t="shared" si="107"/>
        <v>0</v>
      </c>
      <c r="T303" s="176">
        <f t="shared" si="108"/>
        <v>6</v>
      </c>
      <c r="U303" s="250">
        <f t="shared" si="109"/>
        <v>0.33266687738348516</v>
      </c>
      <c r="V303" s="382">
        <f t="shared" si="110"/>
        <v>38.457573266982195</v>
      </c>
      <c r="W303" s="400">
        <f t="shared" si="111"/>
        <v>0</v>
      </c>
      <c r="X303" s="157">
        <f t="shared" si="112"/>
        <v>44850</v>
      </c>
      <c r="Y303" s="383">
        <f t="shared" si="113"/>
        <v>32.917770723874689</v>
      </c>
      <c r="Z303" s="383">
        <f t="shared" si="114"/>
        <v>33.796744096908469</v>
      </c>
      <c r="AA303" s="384">
        <f t="shared" si="115"/>
        <v>36.947160297809575</v>
      </c>
      <c r="AB303" s="197">
        <f t="shared" si="116"/>
        <v>44850</v>
      </c>
      <c r="AC303" s="119">
        <f>IF(OR(t&lt;Tnet,NoTnet),'2021'!Resal_s+('2021'!Salim-'2021'!Resal_s)*(1-EXP(('2021'!Tnet_s-t)/'2021'!Tau_j)),Resal_s+(Salim-Resal_s)*(1-EXP((Tnet_s-t)/Tau_j)))*Salcycl</f>
        <v>8.5268155265720985E-2</v>
      </c>
      <c r="AD303" s="230">
        <f>(INDEX(Models!$BJ303:$BT303,,AH303)*(1-AF303)+INDEX(Models!$BJ303:$BT303,,AH303+1)*AF303-ERP_i)*AE303*Ramure*Pc/MaxiM</f>
        <v>1.1054110314596599E-2</v>
      </c>
      <c r="AE303" s="304">
        <f t="shared" si="117"/>
        <v>0.7</v>
      </c>
      <c r="AF303" s="177">
        <f t="shared" si="118"/>
        <v>0.39699909964331731</v>
      </c>
      <c r="AG303" s="799">
        <f t="shared" si="124"/>
        <v>0</v>
      </c>
      <c r="AH303" s="176">
        <f t="shared" si="119"/>
        <v>6</v>
      </c>
      <c r="AI303" s="224">
        <f t="shared" si="120"/>
        <v>0.39699909964331731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44851</v>
      </c>
      <c r="B304" s="1147">
        <v>19.431000000000001</v>
      </c>
      <c r="C304" s="388"/>
      <c r="D304" s="391">
        <f t="shared" si="102"/>
        <v>19.950230709411734</v>
      </c>
      <c r="E304" s="383">
        <f t="shared" si="125"/>
        <v>20.284792837045678</v>
      </c>
      <c r="F304" s="383">
        <f t="shared" si="103"/>
        <v>20.35290469821059</v>
      </c>
      <c r="G304" s="110">
        <f t="shared" si="126"/>
        <v>0.50542876643769408</v>
      </c>
      <c r="H304" s="412" t="b">
        <f>Wh_hp&gt;='2021'!Maxi_hp</f>
        <v>0</v>
      </c>
      <c r="I304" s="379">
        <f>IF(H304,Wh_hp,'2021'!Maxi_hp)</f>
        <v>38.717430776256577</v>
      </c>
      <c r="J304" s="85">
        <f>IF(H304,An,'2021'!An_max)</f>
        <v>2021</v>
      </c>
      <c r="K304" s="197">
        <f t="shared" si="104"/>
        <v>44851</v>
      </c>
      <c r="L304" s="147">
        <f>IF(t&lt;Tvie,1-EXP((T0-t)*PertePVj)+'2021'!Pspv,1-EXP((T0-t)*PertePVj)+Pspv)</f>
        <v>2.6026300997450735E-2</v>
      </c>
      <c r="M304" s="832"/>
      <c r="N304" s="832"/>
      <c r="O304" s="48">
        <f>IF(t&lt;Tnet,'2021'!Resal+('2021'!Salim-'2021'!Resal)*(1-EXP(('2021'!Tnet-t)/('2021'!Tau_j))),Resal+(Salim-Resal)*(1-EXP((Tnet-t)/(Tau_j))))*Salcycl</f>
        <v>1.6493248431058264E-2</v>
      </c>
      <c r="P304" s="169">
        <f>(INDEX(Models!$BJ304:$BT304,,T304)*(1-R304)+INDEX(Models!$BJ304:$BT304,,T304+1)*R304-ERP_i)*Q304*Ramure*Pc/MaxiM</f>
        <v>1.1185210249822221E-2</v>
      </c>
      <c r="Q304" s="304">
        <f t="shared" si="105"/>
        <v>0.7</v>
      </c>
      <c r="R304" s="177">
        <f t="shared" si="106"/>
        <v>0.33274982343568105</v>
      </c>
      <c r="S304" s="799">
        <f t="shared" si="107"/>
        <v>0</v>
      </c>
      <c r="T304" s="176">
        <f t="shared" si="108"/>
        <v>6</v>
      </c>
      <c r="U304" s="250">
        <f t="shared" si="109"/>
        <v>0.33274982343568105</v>
      </c>
      <c r="V304" s="382">
        <f t="shared" si="110"/>
        <v>38.142220414988188</v>
      </c>
      <c r="W304" s="400">
        <f t="shared" si="111"/>
        <v>0</v>
      </c>
      <c r="X304" s="157">
        <f t="shared" si="112"/>
        <v>44851</v>
      </c>
      <c r="Y304" s="383">
        <f t="shared" si="113"/>
        <v>18.068904226916995</v>
      </c>
      <c r="Z304" s="383">
        <f t="shared" si="114"/>
        <v>18.551737326604854</v>
      </c>
      <c r="AA304" s="384">
        <f t="shared" si="115"/>
        <v>20.279693407397573</v>
      </c>
      <c r="AB304" s="197">
        <f t="shared" si="116"/>
        <v>44851</v>
      </c>
      <c r="AC304" s="119">
        <f>IF(OR(t&lt;Tnet,NoTnet),'2021'!Resal_s+('2021'!Salim-'2021'!Resal_s)*(1-EXP(('2021'!Tnet_s-t)/'2021'!Tau_j)),Resal_s+(Salim-Resal_s)*(1-EXP((Tnet_s-t)/Tau_j)))*Salcycl</f>
        <v>8.5206223096173705E-2</v>
      </c>
      <c r="AD304" s="230">
        <f>(INDEX(Models!$BJ304:$BT304,,AH304)*(1-AF304)+INDEX(Models!$BJ304:$BT304,,AH304+1)*AF304-ERP_i)*AE304*Ramure*Pc/MaxiM</f>
        <v>1.2022629633064694E-2</v>
      </c>
      <c r="AE304" s="304">
        <f t="shared" si="117"/>
        <v>0.7</v>
      </c>
      <c r="AF304" s="177">
        <f t="shared" si="118"/>
        <v>0.3970820456955132</v>
      </c>
      <c r="AG304" s="799">
        <f t="shared" si="124"/>
        <v>0</v>
      </c>
      <c r="AH304" s="176">
        <f t="shared" si="119"/>
        <v>6</v>
      </c>
      <c r="AI304" s="224">
        <f t="shared" si="120"/>
        <v>0.3970820456955132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44852</v>
      </c>
      <c r="B305" s="1147">
        <v>36.925000000000004</v>
      </c>
      <c r="C305" s="388"/>
      <c r="D305" s="391">
        <f t="shared" si="102"/>
        <v>37.912427933710347</v>
      </c>
      <c r="E305" s="383">
        <f t="shared" si="125"/>
        <v>38.549821500807674</v>
      </c>
      <c r="F305" s="383">
        <f t="shared" si="103"/>
        <v>39.005969343907886</v>
      </c>
      <c r="G305" s="110">
        <f t="shared" si="126"/>
        <v>0.97576590146726816</v>
      </c>
      <c r="H305" s="412" t="b">
        <f>Wh_hp&gt;='2021'!Maxi_hp</f>
        <v>1</v>
      </c>
      <c r="I305" s="379">
        <f>IF(H305,Wh_hp,'2021'!Maxi_hp)</f>
        <v>39.005969343907886</v>
      </c>
      <c r="J305" s="85">
        <f>IF(H305,An,'2021'!An_max)</f>
        <v>2022</v>
      </c>
      <c r="K305" s="197">
        <f t="shared" si="104"/>
        <v>44852</v>
      </c>
      <c r="L305" s="147">
        <f>IF(t&lt;Tvie,1-EXP((T0-t)*PertePVj)+'2021'!Pspv,1-EXP((T0-t)*PertePVj)+Pspv)</f>
        <v>2.6044966981192963E-2</v>
      </c>
      <c r="M305" s="832"/>
      <c r="N305" s="832"/>
      <c r="O305" s="48">
        <f>IF(t&lt;Tnet,'2021'!Resal+('2021'!Salim-'2021'!Resal)*(1-EXP(('2021'!Tnet-t)/('2021'!Tau_j))),Resal+(Salim-Resal)*(1-EXP((Tnet-t)/(Tau_j))))*Salcycl</f>
        <v>1.6534280634320699E-2</v>
      </c>
      <c r="P305" s="169">
        <f>(INDEX(Models!$BJ305:$BT305,,T305)*(1-R305)+INDEX(Models!$BJ305:$BT305,,T305+1)*R305-ERP_i)*Q305*Ramure*Pc/MaxiM</f>
        <v>1.2106394215407199E-2</v>
      </c>
      <c r="Q305" s="304">
        <f t="shared" si="105"/>
        <v>0.7</v>
      </c>
      <c r="R305" s="177">
        <f t="shared" si="106"/>
        <v>0.3328294623080334</v>
      </c>
      <c r="S305" s="799">
        <f t="shared" si="107"/>
        <v>0</v>
      </c>
      <c r="T305" s="176">
        <f t="shared" si="108"/>
        <v>6</v>
      </c>
      <c r="U305" s="250">
        <f t="shared" si="109"/>
        <v>0.3328294623080334</v>
      </c>
      <c r="V305" s="382">
        <f t="shared" si="110"/>
        <v>37.826289722031021</v>
      </c>
      <c r="W305" s="400">
        <f t="shared" si="111"/>
        <v>0</v>
      </c>
      <c r="X305" s="157">
        <f t="shared" si="112"/>
        <v>44852</v>
      </c>
      <c r="Y305" s="383">
        <f t="shared" si="113"/>
        <v>34.319116869152985</v>
      </c>
      <c r="Z305" s="383">
        <f t="shared" si="114"/>
        <v>35.236859717003263</v>
      </c>
      <c r="AA305" s="384">
        <f t="shared" si="115"/>
        <v>38.51626041914065</v>
      </c>
      <c r="AB305" s="197">
        <f t="shared" si="116"/>
        <v>44852</v>
      </c>
      <c r="AC305" s="119">
        <f>IF(OR(t&lt;Tnet,NoTnet),'2021'!Resal_s+('2021'!Salim-'2021'!Resal_s)*(1-EXP(('2021'!Tnet_s-t)/'2021'!Tau_j)),Resal_s+(Salim-Resal_s)*(1-EXP((Tnet_s-t)/Tau_j)))*Salcycl</f>
        <v>8.5143278876255876E-2</v>
      </c>
      <c r="AD305" s="230">
        <f>(INDEX(Models!$BJ305:$BT305,,AH305)*(1-AF305)+INDEX(Models!$BJ305:$BT305,,AH305+1)*AF305-ERP_i)*AE305*Ramure*Pc/MaxiM</f>
        <v>1.2997122278911939E-2</v>
      </c>
      <c r="AE305" s="304">
        <f t="shared" si="117"/>
        <v>0.7</v>
      </c>
      <c r="AF305" s="177">
        <f t="shared" si="118"/>
        <v>0.39716168456786555</v>
      </c>
      <c r="AG305" s="799">
        <f t="shared" si="124"/>
        <v>0</v>
      </c>
      <c r="AH305" s="176">
        <f t="shared" si="119"/>
        <v>6</v>
      </c>
      <c r="AI305" s="224">
        <f t="shared" si="120"/>
        <v>0.39716168456786555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44853</v>
      </c>
      <c r="B306" s="1147">
        <v>16.503</v>
      </c>
      <c r="C306" s="388"/>
      <c r="D306" s="391">
        <f t="shared" si="102"/>
        <v>16.944638841424684</v>
      </c>
      <c r="E306" s="383">
        <f t="shared" si="125"/>
        <v>17.230230097044849</v>
      </c>
      <c r="F306" s="383">
        <f t="shared" si="103"/>
        <v>17.275257264418787</v>
      </c>
      <c r="G306" s="110">
        <f t="shared" si="126"/>
        <v>0.43536098766793924</v>
      </c>
      <c r="H306" s="412" t="b">
        <f>Wh_hp&gt;='2021'!Maxi_hp</f>
        <v>0</v>
      </c>
      <c r="I306" s="379">
        <f>IF(H306,Wh_hp,'2021'!Maxi_hp)</f>
        <v>39.339930108632885</v>
      </c>
      <c r="J306" s="85">
        <f>IF(H306,An,'2021'!An_max)</f>
        <v>2020</v>
      </c>
      <c r="K306" s="197">
        <f t="shared" si="104"/>
        <v>44853</v>
      </c>
      <c r="L306" s="147">
        <f>IF(t&lt;Tvie,1-EXP((T0-t)*PertePVj)+'2021'!Pspv,1-EXP((T0-t)*PertePVj)+Pspv)</f>
        <v>2.60636326072059E-2</v>
      </c>
      <c r="M306" s="832"/>
      <c r="N306" s="832"/>
      <c r="O306" s="48">
        <f>IF(t&lt;Tnet,'2021'!Resal+('2021'!Salim-'2021'!Resal)*(1-EXP(('2021'!Tnet-t)/('2021'!Tau_j))),Resal+(Salim-Resal)*(1-EXP((Tnet-t)/(Tau_j))))*Salcycl</f>
        <v>1.6575011129372444E-2</v>
      </c>
      <c r="P306" s="169">
        <f>(INDEX(Models!$BJ306:$BT306,,T306)*(1-R306)+INDEX(Models!$BJ306:$BT306,,T306+1)*R306-ERP_i)*Q306*Ramure*Pc/MaxiM</f>
        <v>1.3035854747732853E-2</v>
      </c>
      <c r="Q306" s="304">
        <f t="shared" si="105"/>
        <v>0.7</v>
      </c>
      <c r="R306" s="177">
        <f t="shared" si="106"/>
        <v>0.33290592461317747</v>
      </c>
      <c r="S306" s="799">
        <f t="shared" si="107"/>
        <v>0</v>
      </c>
      <c r="T306" s="176">
        <f t="shared" si="108"/>
        <v>6</v>
      </c>
      <c r="U306" s="250">
        <f t="shared" si="109"/>
        <v>0.33290592461317747</v>
      </c>
      <c r="V306" s="382">
        <f t="shared" si="110"/>
        <v>37.510099159039726</v>
      </c>
      <c r="W306" s="400">
        <f t="shared" si="111"/>
        <v>0</v>
      </c>
      <c r="X306" s="157">
        <f t="shared" si="112"/>
        <v>44853</v>
      </c>
      <c r="Y306" s="383">
        <f t="shared" si="113"/>
        <v>15.350520024669656</v>
      </c>
      <c r="Z306" s="383">
        <f t="shared" si="114"/>
        <v>15.761317205725314</v>
      </c>
      <c r="AA306" s="384">
        <f t="shared" si="115"/>
        <v>17.22697749155525</v>
      </c>
      <c r="AB306" s="197">
        <f t="shared" si="116"/>
        <v>44853</v>
      </c>
      <c r="AC306" s="119">
        <f>IF(OR(t&lt;Tnet,NoTnet),'2021'!Resal_s+('2021'!Salim-'2021'!Resal_s)*(1-EXP(('2021'!Tnet_s-t)/'2021'!Tau_j)),Resal_s+(Salim-Resal_s)*(1-EXP((Tnet_s-t)/Tau_j)))*Salcycl</f>
        <v>8.5079363837818334E-2</v>
      </c>
      <c r="AD306" s="230">
        <f>(INDEX(Models!$BJ306:$BT306,,AH306)*(1-AF306)+INDEX(Models!$BJ306:$BT306,,AH306+1)*AF306-ERP_i)*AE306*Ramure*Pc/MaxiM</f>
        <v>1.3977519417908405E-2</v>
      </c>
      <c r="AE306" s="304">
        <f t="shared" si="117"/>
        <v>0.7</v>
      </c>
      <c r="AF306" s="177">
        <f t="shared" si="118"/>
        <v>0.39723814687300962</v>
      </c>
      <c r="AG306" s="799">
        <f t="shared" si="124"/>
        <v>0</v>
      </c>
      <c r="AH306" s="176">
        <f t="shared" si="119"/>
        <v>6</v>
      </c>
      <c r="AI306" s="224">
        <f t="shared" si="120"/>
        <v>0.39723814687300962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44854</v>
      </c>
      <c r="B307" s="1147">
        <v>12.82</v>
      </c>
      <c r="C307" s="388"/>
      <c r="D307" s="391">
        <f t="shared" si="102"/>
        <v>13.163329891257197</v>
      </c>
      <c r="E307" s="383">
        <f t="shared" si="125"/>
        <v>13.38573994504172</v>
      </c>
      <c r="F307" s="383">
        <f t="shared" si="103"/>
        <v>13.39768938119615</v>
      </c>
      <c r="G307" s="110">
        <f t="shared" si="126"/>
        <v>0.34016656161241882</v>
      </c>
      <c r="H307" s="412" t="b">
        <f>Wh_hp&gt;='2021'!Maxi_hp</f>
        <v>0</v>
      </c>
      <c r="I307" s="379">
        <f>IF(H307,Wh_hp,'2021'!Maxi_hp)</f>
        <v>36.661931071686425</v>
      </c>
      <c r="J307" s="85">
        <f>IF(H307,An,'2021'!An_max)</f>
        <v>2020</v>
      </c>
      <c r="K307" s="197">
        <f t="shared" si="104"/>
        <v>44854</v>
      </c>
      <c r="L307" s="147">
        <f>IF(t&lt;Tvie,1-EXP((T0-t)*PertePVj)+'2021'!Pspv,1-EXP((T0-t)*PertePVj)+Pspv)</f>
        <v>2.608229787549643E-2</v>
      </c>
      <c r="M307" s="832"/>
      <c r="N307" s="832"/>
      <c r="O307" s="48">
        <f>IF(t&lt;Tnet,'2021'!Resal+('2021'!Salim-'2021'!Resal)*(1-EXP(('2021'!Tnet-t)/('2021'!Tau_j))),Resal+(Salim-Resal)*(1-EXP((Tnet-t)/(Tau_j))))*Salcycl</f>
        <v>1.6615447087548342E-2</v>
      </c>
      <c r="P307" s="169">
        <f>(INDEX(Models!$BJ307:$BT307,,T307)*(1-R307)+INDEX(Models!$BJ307:$BT307,,T307+1)*R307-ERP_i)*Q307*Ramure*Pc/MaxiM</f>
        <v>1.3973546412481365E-2</v>
      </c>
      <c r="Q307" s="304">
        <f t="shared" si="105"/>
        <v>0.7</v>
      </c>
      <c r="R307" s="177">
        <f t="shared" si="106"/>
        <v>0.3329793359035722</v>
      </c>
      <c r="S307" s="799">
        <f t="shared" si="107"/>
        <v>0</v>
      </c>
      <c r="T307" s="176">
        <f t="shared" si="108"/>
        <v>6</v>
      </c>
      <c r="U307" s="250">
        <f t="shared" si="109"/>
        <v>0.3329793359035722</v>
      </c>
      <c r="V307" s="382">
        <f t="shared" si="110"/>
        <v>37.19396626419784</v>
      </c>
      <c r="W307" s="400">
        <f t="shared" si="111"/>
        <v>0</v>
      </c>
      <c r="X307" s="157">
        <f t="shared" si="112"/>
        <v>44854</v>
      </c>
      <c r="Y307" s="383">
        <f t="shared" si="113"/>
        <v>11.927553420878633</v>
      </c>
      <c r="Z307" s="383">
        <f t="shared" si="114"/>
        <v>12.246982876335315</v>
      </c>
      <c r="AA307" s="384">
        <f t="shared" si="115"/>
        <v>13.384893193821274</v>
      </c>
      <c r="AB307" s="197">
        <f t="shared" si="116"/>
        <v>44854</v>
      </c>
      <c r="AC307" s="119">
        <f>IF(OR(t&lt;Tnet,NoTnet),'2021'!Resal_s+('2021'!Salim-'2021'!Resal_s)*(1-EXP(('2021'!Tnet_s-t)/'2021'!Tau_j)),Resal_s+(Salim-Resal_s)*(1-EXP((Tnet_s-t)/Tau_j)))*Salcycl</f>
        <v>8.5014523538465059E-2</v>
      </c>
      <c r="AD307" s="230">
        <f>(INDEX(Models!$BJ307:$BT307,,AH307)*(1-AF307)+INDEX(Models!$BJ307:$BT307,,AH307+1)*AF307-ERP_i)*AE307*Ramure*Pc/MaxiM</f>
        <v>1.4963728486835142E-2</v>
      </c>
      <c r="AE307" s="304">
        <f t="shared" si="117"/>
        <v>0.7</v>
      </c>
      <c r="AF307" s="177">
        <f t="shared" si="118"/>
        <v>0.39731155816340435</v>
      </c>
      <c r="AG307" s="799">
        <f t="shared" si="124"/>
        <v>0</v>
      </c>
      <c r="AH307" s="176">
        <f t="shared" si="119"/>
        <v>6</v>
      </c>
      <c r="AI307" s="224">
        <f t="shared" si="120"/>
        <v>0.39731155816340435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44855</v>
      </c>
      <c r="B308" s="1147">
        <v>17.416</v>
      </c>
      <c r="C308" s="388"/>
      <c r="D308" s="391">
        <f t="shared" si="102"/>
        <v>17.882757179658618</v>
      </c>
      <c r="E308" s="383">
        <f t="shared" si="125"/>
        <v>18.185650031037042</v>
      </c>
      <c r="F308" s="383">
        <f t="shared" si="103"/>
        <v>18.252662715169095</v>
      </c>
      <c r="G308" s="110">
        <f t="shared" si="126"/>
        <v>0.46692569133325762</v>
      </c>
      <c r="H308" s="412" t="b">
        <f>Wh_hp&gt;='2021'!Maxi_hp</f>
        <v>0</v>
      </c>
      <c r="I308" s="379">
        <f>IF(H308,Wh_hp,'2021'!Maxi_hp)</f>
        <v>22.202361362008595</v>
      </c>
      <c r="J308" s="85">
        <f>IF(H308,An,'2021'!An_max)</f>
        <v>2018</v>
      </c>
      <c r="K308" s="197">
        <f t="shared" si="104"/>
        <v>44855</v>
      </c>
      <c r="L308" s="147">
        <f>IF(t&lt;Tvie,1-EXP((T0-t)*PertePVj)+'2021'!Pspv,1-EXP((T0-t)*PertePVj)+Pspv)</f>
        <v>2.6100962786071324E-2</v>
      </c>
      <c r="M308" s="832"/>
      <c r="N308" s="832"/>
      <c r="O308" s="48">
        <f>IF(t&lt;Tnet,'2021'!Resal+('2021'!Salim-'2021'!Resal)*(1-EXP(('2021'!Tnet-t)/('2021'!Tau_j))),Resal+(Salim-Resal)*(1-EXP((Tnet-t)/(Tau_j))))*Salcycl</f>
        <v>1.6655596630391747E-2</v>
      </c>
      <c r="P308" s="169">
        <f>(INDEX(Models!$BJ308:$BT308,,T308)*(1-R308)+INDEX(Models!$BJ308:$BT308,,T308+1)*R308-ERP_i)*Q308*Ramure*Pc/MaxiM</f>
        <v>1.4919401228536111E-2</v>
      </c>
      <c r="Q308" s="304">
        <f t="shared" si="105"/>
        <v>0.7</v>
      </c>
      <c r="R308" s="177">
        <f t="shared" si="106"/>
        <v>0.33304981685980045</v>
      </c>
      <c r="S308" s="799">
        <f t="shared" si="107"/>
        <v>0</v>
      </c>
      <c r="T308" s="176">
        <f t="shared" si="108"/>
        <v>6</v>
      </c>
      <c r="U308" s="250">
        <f t="shared" si="109"/>
        <v>0.33304981685980045</v>
      </c>
      <c r="V308" s="382">
        <f t="shared" si="110"/>
        <v>36.878208109245229</v>
      </c>
      <c r="W308" s="400">
        <f t="shared" si="111"/>
        <v>0</v>
      </c>
      <c r="X308" s="157">
        <f t="shared" si="112"/>
        <v>44855</v>
      </c>
      <c r="Y308" s="383">
        <f t="shared" si="113"/>
        <v>16.202311983383815</v>
      </c>
      <c r="Z308" s="383">
        <f t="shared" si="114"/>
        <v>16.636541740234602</v>
      </c>
      <c r="AA308" s="384">
        <f t="shared" si="115"/>
        <v>18.180995644697976</v>
      </c>
      <c r="AB308" s="197">
        <f t="shared" si="116"/>
        <v>44855</v>
      </c>
      <c r="AC308" s="119">
        <f>IF(OR(t&lt;Tnet,NoTnet),'2021'!Resal_s+('2021'!Salim-'2021'!Resal_s)*(1-EXP(('2021'!Tnet_s-t)/'2021'!Tau_j)),Resal_s+(Salim-Resal_s)*(1-EXP((Tnet_s-t)/Tau_j)))*Salcycl</f>
        <v>8.4948807790610426E-2</v>
      </c>
      <c r="AD308" s="230">
        <f>(INDEX(Models!$BJ308:$BT308,,AH308)*(1-AF308)+INDEX(Models!$BJ308:$BT308,,AH308+1)*AF308-ERP_i)*AE308*Ramure*Pc/MaxiM</f>
        <v>1.5955632774317999E-2</v>
      </c>
      <c r="AE308" s="304">
        <f t="shared" si="117"/>
        <v>0.7</v>
      </c>
      <c r="AF308" s="177">
        <f t="shared" si="118"/>
        <v>0.3973820391196326</v>
      </c>
      <c r="AG308" s="799">
        <f t="shared" si="124"/>
        <v>0</v>
      </c>
      <c r="AH308" s="176">
        <f t="shared" si="119"/>
        <v>6</v>
      </c>
      <c r="AI308" s="224">
        <f t="shared" si="120"/>
        <v>0.3973820391196326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44856</v>
      </c>
      <c r="B309" s="1147">
        <v>36.268000000000001</v>
      </c>
      <c r="C309" s="388"/>
      <c r="D309" s="391">
        <f t="shared" si="102"/>
        <v>37.240713560023941</v>
      </c>
      <c r="E309" s="383">
        <f t="shared" si="125"/>
        <v>37.873021408184144</v>
      </c>
      <c r="F309" s="383">
        <f t="shared" si="103"/>
        <v>38.476732251780895</v>
      </c>
      <c r="G309" s="110">
        <f t="shared" si="126"/>
        <v>0.99174344067063902</v>
      </c>
      <c r="H309" s="412" t="b">
        <f>Wh_hp&gt;='2021'!Maxi_hp</f>
        <v>1</v>
      </c>
      <c r="I309" s="379">
        <f>IF(H309,Wh_hp,'2021'!Maxi_hp)</f>
        <v>38.476732251780895</v>
      </c>
      <c r="J309" s="85">
        <f>IF(H309,An,'2021'!An_max)</f>
        <v>2022</v>
      </c>
      <c r="K309" s="197">
        <f t="shared" si="104"/>
        <v>44856</v>
      </c>
      <c r="L309" s="147">
        <f>IF(t&lt;Tvie,1-EXP((T0-t)*PertePVj)+'2021'!Pspv,1-EXP((T0-t)*PertePVj)+Pspv)</f>
        <v>2.6119627338937468E-2</v>
      </c>
      <c r="M309" s="832"/>
      <c r="N309" s="832"/>
      <c r="O309" s="48">
        <f>IF(t&lt;Tnet,'2021'!Resal+('2021'!Salim-'2021'!Resal)*(1-EXP(('2021'!Tnet-t)/('2021'!Tau_j))),Resal+(Salim-Resal)*(1-EXP((Tnet-t)/(Tau_j))))*Salcycl</f>
        <v>1.6695468823186298E-2</v>
      </c>
      <c r="P309" s="169">
        <f>(INDEX(Models!$BJ309:$BT309,,T309)*(1-R309)+INDEX(Models!$BJ309:$BT309,,T309+1)*R309-ERP_i)*Q309*Ramure*Pc/MaxiM</f>
        <v>1.587332804331194E-2</v>
      </c>
      <c r="Q309" s="304">
        <f t="shared" si="105"/>
        <v>0.7</v>
      </c>
      <c r="R309" s="177">
        <f t="shared" si="106"/>
        <v>0.33311748347247716</v>
      </c>
      <c r="S309" s="799">
        <f t="shared" si="107"/>
        <v>0</v>
      </c>
      <c r="T309" s="176">
        <f t="shared" si="108"/>
        <v>6</v>
      </c>
      <c r="U309" s="250">
        <f t="shared" si="109"/>
        <v>0.33311748347247716</v>
      </c>
      <c r="V309" s="382">
        <f t="shared" si="110"/>
        <v>36.563141268958006</v>
      </c>
      <c r="W309" s="400">
        <f t="shared" si="111"/>
        <v>0</v>
      </c>
      <c r="X309" s="157">
        <f t="shared" si="112"/>
        <v>44856</v>
      </c>
      <c r="Y309" s="383">
        <f t="shared" si="113"/>
        <v>33.716412941917504</v>
      </c>
      <c r="Z309" s="383">
        <f t="shared" si="114"/>
        <v>34.620692528990674</v>
      </c>
      <c r="AA309" s="384">
        <f t="shared" si="115"/>
        <v>37.83195474778497</v>
      </c>
      <c r="AB309" s="197">
        <f t="shared" si="116"/>
        <v>44856</v>
      </c>
      <c r="AC309" s="119">
        <f>IF(OR(t&lt;Tnet,NoTnet),'2021'!Resal_s+('2021'!Salim-'2021'!Resal_s)*(1-EXP(('2021'!Tnet_s-t)/'2021'!Tau_j)),Resal_s+(Salim-Resal_s)*(1-EXP((Tnet_s-t)/Tau_j)))*Salcycl</f>
        <v>8.4882270562091799E-2</v>
      </c>
      <c r="AD309" s="230">
        <f>(INDEX(Models!$BJ309:$BT309,,AH309)*(1-AF309)+INDEX(Models!$BJ309:$BT309,,AH309+1)*AF309-ERP_i)*AE309*Ramure*Pc/MaxiM</f>
        <v>1.6953090944829188E-2</v>
      </c>
      <c r="AE309" s="304">
        <f t="shared" si="117"/>
        <v>0.7</v>
      </c>
      <c r="AF309" s="177">
        <f t="shared" si="118"/>
        <v>0.39744970573230931</v>
      </c>
      <c r="AG309" s="799">
        <f t="shared" si="124"/>
        <v>0</v>
      </c>
      <c r="AH309" s="176">
        <f t="shared" si="119"/>
        <v>6</v>
      </c>
      <c r="AI309" s="224">
        <f t="shared" si="120"/>
        <v>0.39744970573230931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44857</v>
      </c>
      <c r="B310" s="1147">
        <v>21.297000000000001</v>
      </c>
      <c r="C310" s="388"/>
      <c r="D310" s="391">
        <f t="shared" si="102"/>
        <v>21.868608052727186</v>
      </c>
      <c r="E310" s="383">
        <f t="shared" si="125"/>
        <v>22.240809640372163</v>
      </c>
      <c r="F310" s="383">
        <f t="shared" si="103"/>
        <v>22.395281308264863</v>
      </c>
      <c r="G310" s="110">
        <f t="shared" si="126"/>
        <v>0.58163919646642548</v>
      </c>
      <c r="H310" s="412" t="b">
        <f>Wh_hp&gt;='2021'!Maxi_hp</f>
        <v>0</v>
      </c>
      <c r="I310" s="379">
        <f>IF(H310,Wh_hp,'2021'!Maxi_hp)</f>
        <v>34.945512770955865</v>
      </c>
      <c r="J310" s="85">
        <f>IF(H310,An,'2021'!An_max)</f>
        <v>2021</v>
      </c>
      <c r="K310" s="197">
        <f t="shared" si="104"/>
        <v>44857</v>
      </c>
      <c r="L310" s="147">
        <f>IF(t&lt;Tvie,1-EXP((T0-t)*PertePVj)+'2021'!Pspv,1-EXP((T0-t)*PertePVj)+Pspv)</f>
        <v>2.6138291534101632E-2</v>
      </c>
      <c r="M310" s="832"/>
      <c r="N310" s="832"/>
      <c r="O310" s="48">
        <f>IF(t&lt;Tnet,'2021'!Resal+('2021'!Salim-'2021'!Resal)*(1-EXP(('2021'!Tnet-t)/('2021'!Tau_j))),Resal+(Salim-Resal)*(1-EXP((Tnet-t)/(Tau_j))))*Salcycl</f>
        <v>1.6735073662486943E-2</v>
      </c>
      <c r="P310" s="169">
        <f>(INDEX(Models!$BJ310:$BT310,,T310)*(1-R310)+INDEX(Models!$BJ310:$BT310,,T310+1)*R310-ERP_i)*Q310*Ramure*Pc/MaxiM</f>
        <v>1.6794293957997735E-2</v>
      </c>
      <c r="Q310" s="304">
        <f t="shared" si="105"/>
        <v>0.7</v>
      </c>
      <c r="R310" s="177">
        <f t="shared" si="106"/>
        <v>0.33318244721793461</v>
      </c>
      <c r="S310" s="799">
        <f t="shared" si="107"/>
        <v>0</v>
      </c>
      <c r="T310" s="176">
        <f t="shared" si="108"/>
        <v>6</v>
      </c>
      <c r="U310" s="250">
        <f t="shared" si="109"/>
        <v>0.33318244721793461</v>
      </c>
      <c r="V310" s="382">
        <f t="shared" si="110"/>
        <v>36.250590424123885</v>
      </c>
      <c r="W310" s="400">
        <f t="shared" si="111"/>
        <v>0</v>
      </c>
      <c r="X310" s="157">
        <f t="shared" si="112"/>
        <v>44857</v>
      </c>
      <c r="Y310" s="383">
        <f t="shared" si="113"/>
        <v>19.813257558546688</v>
      </c>
      <c r="Z310" s="383">
        <f t="shared" si="114"/>
        <v>20.345042202920219</v>
      </c>
      <c r="AA310" s="384">
        <f t="shared" si="115"/>
        <v>22.230523372469985</v>
      </c>
      <c r="AB310" s="197">
        <f t="shared" si="116"/>
        <v>44857</v>
      </c>
      <c r="AC310" s="119">
        <f>IF(OR(t&lt;Tnet,NoTnet),'2021'!Resal_s+('2021'!Salim-'2021'!Resal_s)*(1-EXP(('2021'!Tnet_s-t)/'2021'!Tau_j)),Resal_s+(Salim-Resal_s)*(1-EXP((Tnet_s-t)/Tau_j)))*Salcycl</f>
        <v>8.4814969848380772E-2</v>
      </c>
      <c r="AD310" s="230">
        <f>(INDEX(Models!$BJ310:$BT310,,AH310)*(1-AF310)+INDEX(Models!$BJ310:$BT310,,AH310+1)*AF310-ERP_i)*AE310*Ramure*Pc/MaxiM</f>
        <v>1.7912625942345217E-2</v>
      </c>
      <c r="AE310" s="304">
        <f t="shared" si="117"/>
        <v>0.7</v>
      </c>
      <c r="AF310" s="177">
        <f t="shared" si="118"/>
        <v>0.39751466947776676</v>
      </c>
      <c r="AG310" s="799">
        <f t="shared" si="124"/>
        <v>0</v>
      </c>
      <c r="AH310" s="176">
        <f t="shared" si="119"/>
        <v>6</v>
      </c>
      <c r="AI310" s="224">
        <f t="shared" si="120"/>
        <v>0.39751466947776676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44858</v>
      </c>
      <c r="B311" s="1147">
        <v>30.515000000000001</v>
      </c>
      <c r="C311" s="388"/>
      <c r="D311" s="391">
        <f t="shared" si="102"/>
        <v>31.334618210106978</v>
      </c>
      <c r="E311" s="383">
        <f t="shared" si="125"/>
        <v>31.869205717451432</v>
      </c>
      <c r="F311" s="383">
        <f t="shared" si="103"/>
        <v>32.316914752027543</v>
      </c>
      <c r="G311" s="110">
        <f t="shared" si="126"/>
        <v>0.84573806696842813</v>
      </c>
      <c r="H311" s="412" t="b">
        <f>Wh_hp&gt;='2021'!Maxi_hp</f>
        <v>0</v>
      </c>
      <c r="I311" s="379">
        <f>IF(H311,Wh_hp,'2021'!Maxi_hp)</f>
        <v>39.130239680184168</v>
      </c>
      <c r="J311" s="85">
        <f>IF(H311,An,'2021'!An_max)</f>
        <v>2021</v>
      </c>
      <c r="K311" s="197">
        <f t="shared" si="104"/>
        <v>44858</v>
      </c>
      <c r="L311" s="147">
        <f>IF(t&lt;Tvie,1-EXP((T0-t)*PertePVj)+'2021'!Pspv,1-EXP((T0-t)*PertePVj)+Pspv)</f>
        <v>2.6156955371570811E-2</v>
      </c>
      <c r="M311" s="832"/>
      <c r="N311" s="832"/>
      <c r="O311" s="48">
        <f>IF(t&lt;Tnet,'2021'!Resal+('2021'!Salim-'2021'!Resal)*(1-EXP(('2021'!Tnet-t)/('2021'!Tau_j))),Resal+(Salim-Resal)*(1-EXP((Tnet-t)/(Tau_j))))*Salcycl</f>
        <v>1.6774422057582613E-2</v>
      </c>
      <c r="P311" s="169">
        <f>(INDEX(Models!$BJ311:$BT311,,T311)*(1-R311)+INDEX(Models!$BJ311:$BT311,,T311+1)*R311-ERP_i)*Q311*Ramure*Pc/MaxiM</f>
        <v>1.7663523239628665E-2</v>
      </c>
      <c r="Q311" s="304">
        <f t="shared" si="105"/>
        <v>0.7</v>
      </c>
      <c r="R311" s="177">
        <f t="shared" si="106"/>
        <v>0.33324481522784877</v>
      </c>
      <c r="S311" s="799">
        <f t="shared" si="107"/>
        <v>0</v>
      </c>
      <c r="T311" s="176">
        <f t="shared" si="108"/>
        <v>6</v>
      </c>
      <c r="U311" s="250">
        <f t="shared" si="109"/>
        <v>0.33324481522784877</v>
      </c>
      <c r="V311" s="382">
        <f t="shared" si="110"/>
        <v>35.941518305215382</v>
      </c>
      <c r="W311" s="400">
        <f t="shared" si="111"/>
        <v>0</v>
      </c>
      <c r="X311" s="157">
        <f t="shared" si="112"/>
        <v>44858</v>
      </c>
      <c r="Y311" s="383">
        <f t="shared" si="113"/>
        <v>28.379402432140388</v>
      </c>
      <c r="Z311" s="383">
        <f t="shared" si="114"/>
        <v>29.14165951964937</v>
      </c>
      <c r="AA311" s="384">
        <f t="shared" si="115"/>
        <v>31.840003239956747</v>
      </c>
      <c r="AB311" s="197">
        <f t="shared" si="116"/>
        <v>44858</v>
      </c>
      <c r="AC311" s="119">
        <f>IF(OR(t&lt;Tnet,NoTnet),'2021'!Resal_s+('2021'!Salim-'2021'!Resal_s)*(1-EXP(('2021'!Tnet_s-t)/'2021'!Tau_j)),Resal_s+(Salim-Resal_s)*(1-EXP((Tnet_s-t)/Tau_j)))*Salcycl</f>
        <v>8.4746967516673044E-2</v>
      </c>
      <c r="AD311" s="230">
        <f>(INDEX(Models!$BJ311:$BT311,,AH311)*(1-AF311)+INDEX(Models!$BJ311:$BT311,,AH311+1)*AF311-ERP_i)*AE311*Ramure*Pc/MaxiM</f>
        <v>1.881565241292182E-2</v>
      </c>
      <c r="AE311" s="304">
        <f t="shared" si="117"/>
        <v>0.7</v>
      </c>
      <c r="AF311" s="177">
        <f t="shared" si="118"/>
        <v>0.39757703748768092</v>
      </c>
      <c r="AG311" s="799">
        <f t="shared" si="124"/>
        <v>0</v>
      </c>
      <c r="AH311" s="176">
        <f t="shared" si="119"/>
        <v>6</v>
      </c>
      <c r="AI311" s="224">
        <f t="shared" si="120"/>
        <v>0.39757703748768092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44859</v>
      </c>
      <c r="B312" s="1147">
        <v>23.733000000000001</v>
      </c>
      <c r="C312" s="388"/>
      <c r="D312" s="391">
        <f t="shared" si="102"/>
        <v>24.370924018154469</v>
      </c>
      <c r="E312" s="383">
        <f t="shared" si="125"/>
        <v>24.787692526110245</v>
      </c>
      <c r="F312" s="383">
        <f t="shared" si="103"/>
        <v>25.029526217718796</v>
      </c>
      <c r="G312" s="110">
        <f t="shared" si="126"/>
        <v>0.66004976483510736</v>
      </c>
      <c r="H312" s="412" t="b">
        <f>Wh_hp&gt;='2021'!Maxi_hp</f>
        <v>0</v>
      </c>
      <c r="I312" s="379">
        <f>IF(H312,Wh_hp,'2021'!Maxi_hp)</f>
        <v>36.653360755544639</v>
      </c>
      <c r="J312" s="85">
        <f>IF(H312,An,'2021'!An_max)</f>
        <v>2021</v>
      </c>
      <c r="K312" s="197">
        <f t="shared" si="104"/>
        <v>44859</v>
      </c>
      <c r="L312" s="147">
        <f>IF(t&lt;Tvie,1-EXP((T0-t)*PertePVj)+'2021'!Pspv,1-EXP((T0-t)*PertePVj)+Pspv)</f>
        <v>2.6175618851351889E-2</v>
      </c>
      <c r="M312" s="832"/>
      <c r="N312" s="832"/>
      <c r="O312" s="48">
        <f>IF(t&lt;Tnet,'2021'!Resal+('2021'!Salim-'2021'!Resal)*(1-EXP(('2021'!Tnet-t)/('2021'!Tau_j))),Resal+(Salim-Resal)*(1-EXP((Tnet-t)/(Tau_j))))*Salcycl</f>
        <v>1.6813525805872059E-2</v>
      </c>
      <c r="P312" s="169">
        <f>(INDEX(Models!$BJ312:$BT312,,T312)*(1-R312)+INDEX(Models!$BJ312:$BT312,,T312+1)*R312-ERP_i)*Q312*Ramure*Pc/MaxiM</f>
        <v>1.8480133291083497E-2</v>
      </c>
      <c r="Q312" s="304">
        <f t="shared" si="105"/>
        <v>0.7</v>
      </c>
      <c r="R312" s="177">
        <f t="shared" si="106"/>
        <v>0.33330469045297534</v>
      </c>
      <c r="S312" s="799">
        <f t="shared" si="107"/>
        <v>0</v>
      </c>
      <c r="T312" s="176">
        <f t="shared" si="108"/>
        <v>6</v>
      </c>
      <c r="U312" s="250">
        <f t="shared" si="109"/>
        <v>0.33330469045297534</v>
      </c>
      <c r="V312" s="382">
        <f t="shared" si="110"/>
        <v>35.636215915448005</v>
      </c>
      <c r="W312" s="400">
        <f t="shared" si="111"/>
        <v>0</v>
      </c>
      <c r="X312" s="157">
        <f t="shared" si="112"/>
        <v>44859</v>
      </c>
      <c r="Y312" s="383">
        <f t="shared" si="113"/>
        <v>22.081044357913598</v>
      </c>
      <c r="Z312" s="383">
        <f t="shared" si="114"/>
        <v>22.674565132440513</v>
      </c>
      <c r="AA312" s="384">
        <f t="shared" si="115"/>
        <v>24.772236748966915</v>
      </c>
      <c r="AB312" s="197">
        <f t="shared" si="116"/>
        <v>44859</v>
      </c>
      <c r="AC312" s="119">
        <f>IF(OR(t&lt;Tnet,NoTnet),'2021'!Resal_s+('2021'!Salim-'2021'!Resal_s)*(1-EXP(('2021'!Tnet_s-t)/'2021'!Tau_j)),Resal_s+(Salim-Resal_s)*(1-EXP((Tnet_s-t)/Tau_j)))*Salcycl</f>
        <v>8.467832912237451E-2</v>
      </c>
      <c r="AD312" s="230">
        <f>(INDEX(Models!$BJ312:$BT312,,AH312)*(1-AF312)+INDEX(Models!$BJ312:$BT312,,AH312+1)*AF312-ERP_i)*AE312*Ramure*Pc/MaxiM</f>
        <v>1.966121281654654E-2</v>
      </c>
      <c r="AE312" s="304">
        <f t="shared" si="117"/>
        <v>0.7</v>
      </c>
      <c r="AF312" s="177">
        <f t="shared" si="118"/>
        <v>0.39763691271280749</v>
      </c>
      <c r="AG312" s="799">
        <f t="shared" si="124"/>
        <v>0</v>
      </c>
      <c r="AH312" s="176">
        <f t="shared" si="119"/>
        <v>6</v>
      </c>
      <c r="AI312" s="224">
        <f t="shared" si="120"/>
        <v>0.39763691271280749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44860</v>
      </c>
      <c r="B313" s="1147">
        <v>16.331</v>
      </c>
      <c r="C313" s="388"/>
      <c r="D313" s="391">
        <f t="shared" si="102"/>
        <v>16.770285589506852</v>
      </c>
      <c r="E313" s="383">
        <f t="shared" si="125"/>
        <v>17.057749566721416</v>
      </c>
      <c r="F313" s="383">
        <f t="shared" si="103"/>
        <v>17.134137914469644</v>
      </c>
      <c r="G313" s="110">
        <f t="shared" si="126"/>
        <v>0.45531279427133747</v>
      </c>
      <c r="H313" s="412" t="b">
        <f>Wh_hp&gt;='2021'!Maxi_hp</f>
        <v>0</v>
      </c>
      <c r="I313" s="379">
        <f>IF(H313,Wh_hp,'2021'!Maxi_hp)</f>
        <v>37.378397618671073</v>
      </c>
      <c r="J313" s="85">
        <f>IF(H313,An,'2021'!An_max)</f>
        <v>2018</v>
      </c>
      <c r="K313" s="197">
        <f t="shared" si="104"/>
        <v>44860</v>
      </c>
      <c r="L313" s="147">
        <f>IF(t&lt;Tvie,1-EXP((T0-t)*PertePVj)+'2021'!Pspv,1-EXP((T0-t)*PertePVj)+Pspv)</f>
        <v>2.6194281973451528E-2</v>
      </c>
      <c r="M313" s="832"/>
      <c r="N313" s="832"/>
      <c r="O313" s="48">
        <f>IF(t&lt;Tnet,'2021'!Resal+('2021'!Salim-'2021'!Resal)*(1-EXP(('2021'!Tnet-t)/('2021'!Tau_j))),Resal+(Salim-Resal)*(1-EXP((Tnet-t)/(Tau_j))))*Salcycl</f>
        <v>1.6852397562184103E-2</v>
      </c>
      <c r="P313" s="169">
        <f>(INDEX(Models!$BJ313:$BT313,,T313)*(1-R313)+INDEX(Models!$BJ313:$BT313,,T313+1)*R313-ERP_i)*Q313*Ramure*Pc/MaxiM</f>
        <v>1.9243085648373192E-2</v>
      </c>
      <c r="Q313" s="304">
        <f t="shared" si="105"/>
        <v>0.7</v>
      </c>
      <c r="R313" s="177">
        <f t="shared" si="106"/>
        <v>0.3333621718211589</v>
      </c>
      <c r="S313" s="799">
        <f t="shared" si="107"/>
        <v>0</v>
      </c>
      <c r="T313" s="176">
        <f t="shared" si="108"/>
        <v>6</v>
      </c>
      <c r="U313" s="250">
        <f t="shared" si="109"/>
        <v>0.3333621718211589</v>
      </c>
      <c r="V313" s="382">
        <f t="shared" si="110"/>
        <v>35.33497818263718</v>
      </c>
      <c r="W313" s="400">
        <f t="shared" si="111"/>
        <v>0</v>
      </c>
      <c r="X313" s="157">
        <f t="shared" si="112"/>
        <v>44860</v>
      </c>
      <c r="Y313" s="383">
        <f t="shared" si="113"/>
        <v>15.201233131459839</v>
      </c>
      <c r="Z313" s="383">
        <f t="shared" si="114"/>
        <v>15.610129258909746</v>
      </c>
      <c r="AA313" s="384">
        <f t="shared" si="115"/>
        <v>17.052965747249075</v>
      </c>
      <c r="AB313" s="197">
        <f t="shared" si="116"/>
        <v>44860</v>
      </c>
      <c r="AC313" s="119">
        <f>IF(OR(t&lt;Tnet,NoTnet),'2021'!Resal_s+('2021'!Salim-'2021'!Resal_s)*(1-EXP(('2021'!Tnet_s-t)/'2021'!Tau_j)),Resal_s+(Salim-Resal_s)*(1-EXP((Tnet_s-t)/Tau_j)))*Salcycl</f>
        <v>8.460912369873741E-2</v>
      </c>
      <c r="AD313" s="230">
        <f>(INDEX(Models!$BJ313:$BT313,,AH313)*(1-AF313)+INDEX(Models!$BJ313:$BT313,,AH313+1)*AF313-ERP_i)*AE313*Ramure*Pc/MaxiM</f>
        <v>2.0448183684215322E-2</v>
      </c>
      <c r="AE313" s="304">
        <f t="shared" si="117"/>
        <v>0.7</v>
      </c>
      <c r="AF313" s="177">
        <f t="shared" si="118"/>
        <v>0.39769439408099105</v>
      </c>
      <c r="AG313" s="799">
        <f t="shared" si="124"/>
        <v>0</v>
      </c>
      <c r="AH313" s="176">
        <f t="shared" si="119"/>
        <v>6</v>
      </c>
      <c r="AI313" s="224">
        <f t="shared" si="120"/>
        <v>0.39769439408099105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44861</v>
      </c>
      <c r="B314" s="1147">
        <v>16.522000000000002</v>
      </c>
      <c r="C314" s="388"/>
      <c r="D314" s="391">
        <f t="shared" si="102"/>
        <v>16.966748439218698</v>
      </c>
      <c r="E314" s="383">
        <f t="shared" si="125"/>
        <v>17.25825856133439</v>
      </c>
      <c r="F314" s="383">
        <f t="shared" si="103"/>
        <v>17.343054358347938</v>
      </c>
      <c r="G314" s="110">
        <f t="shared" si="126"/>
        <v>0.46440655689889471</v>
      </c>
      <c r="H314" s="412" t="b">
        <f>Wh_hp&gt;='2021'!Maxi_hp</f>
        <v>0</v>
      </c>
      <c r="I314" s="379">
        <f>IF(H314,Wh_hp,'2021'!Maxi_hp)</f>
        <v>34.064654173647206</v>
      </c>
      <c r="J314" s="85">
        <f>IF(H314,An,'2021'!An_max)</f>
        <v>2021</v>
      </c>
      <c r="K314" s="197">
        <f t="shared" si="104"/>
        <v>44861</v>
      </c>
      <c r="L314" s="147">
        <f>IF(t&lt;Tvie,1-EXP((T0-t)*PertePVj)+'2021'!Pspv,1-EXP((T0-t)*PertePVj)+Pspv)</f>
        <v>2.621294473787672E-2</v>
      </c>
      <c r="M314" s="832"/>
      <c r="N314" s="832"/>
      <c r="O314" s="48">
        <f>IF(t&lt;Tnet,'2021'!Resal+('2021'!Salim-'2021'!Resal)*(1-EXP(('2021'!Tnet-t)/('2021'!Tau_j))),Resal+(Salim-Resal)*(1-EXP((Tnet-t)/(Tau_j))))*Salcycl</f>
        <v>1.6891050802124195E-2</v>
      </c>
      <c r="P314" s="169">
        <f>(INDEX(Models!$BJ314:$BT314,,T314)*(1-R314)+INDEX(Models!$BJ314:$BT314,,T314+1)*R314-ERP_i)*Q314*Ramure*Pc/MaxiM</f>
        <v>1.9951320257968804E-2</v>
      </c>
      <c r="Q314" s="304">
        <f t="shared" si="105"/>
        <v>0.7</v>
      </c>
      <c r="R314" s="177">
        <f t="shared" si="106"/>
        <v>0.33341735438978076</v>
      </c>
      <c r="S314" s="799">
        <f t="shared" si="107"/>
        <v>0</v>
      </c>
      <c r="T314" s="176">
        <f t="shared" si="108"/>
        <v>6</v>
      </c>
      <c r="U314" s="250">
        <f t="shared" si="109"/>
        <v>0.33341735438978076</v>
      </c>
      <c r="V314" s="382">
        <f t="shared" si="110"/>
        <v>35.038099127872982</v>
      </c>
      <c r="W314" s="400">
        <f t="shared" si="111"/>
        <v>0</v>
      </c>
      <c r="X314" s="157">
        <f t="shared" si="112"/>
        <v>44861</v>
      </c>
      <c r="Y314" s="383">
        <f t="shared" si="113"/>
        <v>15.380472409255491</v>
      </c>
      <c r="Z314" s="383">
        <f t="shared" si="114"/>
        <v>15.794492570159896</v>
      </c>
      <c r="AA314" s="384">
        <f t="shared" si="115"/>
        <v>17.253055976371577</v>
      </c>
      <c r="AB314" s="197">
        <f t="shared" si="116"/>
        <v>44861</v>
      </c>
      <c r="AC314" s="119">
        <f>IF(OR(t&lt;Tnet,NoTnet),'2021'!Resal_s+('2021'!Salim-'2021'!Resal_s)*(1-EXP(('2021'!Tnet_s-t)/'2021'!Tau_j)),Resal_s+(Salim-Resal_s)*(1-EXP((Tnet_s-t)/Tau_j)))*Salcycl</f>
        <v>8.4539423520633955E-2</v>
      </c>
      <c r="AD314" s="230">
        <f>(INDEX(Models!$BJ314:$BT314,,AH314)*(1-AF314)+INDEX(Models!$BJ314:$BT314,,AH314+1)*AF314-ERP_i)*AE314*Ramure*Pc/MaxiM</f>
        <v>2.1175419121568794E-2</v>
      </c>
      <c r="AE314" s="304">
        <f t="shared" si="117"/>
        <v>0.7</v>
      </c>
      <c r="AF314" s="177">
        <f t="shared" si="118"/>
        <v>0.39774957664961291</v>
      </c>
      <c r="AG314" s="799">
        <f t="shared" si="124"/>
        <v>0</v>
      </c>
      <c r="AH314" s="176">
        <f t="shared" si="119"/>
        <v>6</v>
      </c>
      <c r="AI314" s="224">
        <f t="shared" si="120"/>
        <v>0.39774957664961291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44862</v>
      </c>
      <c r="B315" s="1147">
        <v>18.061</v>
      </c>
      <c r="C315" s="388"/>
      <c r="D315" s="391">
        <f t="shared" si="102"/>
        <v>18.547531561421927</v>
      </c>
      <c r="E315" s="383">
        <f t="shared" si="125"/>
        <v>18.866939407970516</v>
      </c>
      <c r="F315" s="383">
        <f t="shared" si="103"/>
        <v>18.989796962458446</v>
      </c>
      <c r="G315" s="110">
        <f t="shared" si="126"/>
        <v>0.51240797208127409</v>
      </c>
      <c r="H315" s="412" t="b">
        <f>Wh_hp&gt;='2021'!Maxi_hp</f>
        <v>0</v>
      </c>
      <c r="I315" s="379">
        <f>IF(H315,Wh_hp,'2021'!Maxi_hp)</f>
        <v>36.268866308329294</v>
      </c>
      <c r="J315" s="85">
        <f>IF(H315,An,'2021'!An_max)</f>
        <v>2021</v>
      </c>
      <c r="K315" s="197">
        <f t="shared" si="104"/>
        <v>44862</v>
      </c>
      <c r="L315" s="147">
        <f>IF(t&lt;Tvie,1-EXP((T0-t)*PertePVj)+'2021'!Pspv,1-EXP((T0-t)*PertePVj)+Pspv)</f>
        <v>2.623160714463435E-2</v>
      </c>
      <c r="M315" s="832"/>
      <c r="N315" s="832"/>
      <c r="O315" s="48">
        <f>IF(t&lt;Tnet,'2021'!Resal+('2021'!Salim-'2021'!Resal)*(1-EXP(('2021'!Tnet-t)/('2021'!Tau_j))),Resal+(Salim-Resal)*(1-EXP((Tnet-t)/(Tau_j))))*Salcycl</f>
        <v>1.6929499779580116E-2</v>
      </c>
      <c r="P315" s="169">
        <f>(INDEX(Models!$BJ315:$BT315,,T315)*(1-R315)+INDEX(Models!$BJ315:$BT315,,T315+1)*R315-ERP_i)*Q315*Ramure*Pc/MaxiM</f>
        <v>2.0603758484924892E-2</v>
      </c>
      <c r="Q315" s="304">
        <f t="shared" si="105"/>
        <v>0.7</v>
      </c>
      <c r="R315" s="177">
        <f t="shared" si="106"/>
        <v>0.33347032949280642</v>
      </c>
      <c r="S315" s="799">
        <f t="shared" si="107"/>
        <v>0</v>
      </c>
      <c r="T315" s="176">
        <f t="shared" si="108"/>
        <v>6</v>
      </c>
      <c r="U315" s="250">
        <f t="shared" si="109"/>
        <v>0.33347032949280642</v>
      </c>
      <c r="V315" s="382">
        <f t="shared" si="110"/>
        <v>34.745871917396919</v>
      </c>
      <c r="W315" s="400">
        <f t="shared" si="111"/>
        <v>0</v>
      </c>
      <c r="X315" s="157">
        <f t="shared" si="112"/>
        <v>44862</v>
      </c>
      <c r="Y315" s="383">
        <f t="shared" si="113"/>
        <v>16.813575573101765</v>
      </c>
      <c r="Z315" s="383">
        <f t="shared" si="114"/>
        <v>17.266503715323502</v>
      </c>
      <c r="AA315" s="384">
        <f t="shared" si="115"/>
        <v>18.859557399673896</v>
      </c>
      <c r="AB315" s="197">
        <f t="shared" si="116"/>
        <v>44862</v>
      </c>
      <c r="AC315" s="119">
        <f>IF(OR(t&lt;Tnet,NoTnet),'2021'!Resal_s+('2021'!Salim-'2021'!Resal_s)*(1-EXP(('2021'!Tnet_s-t)/'2021'!Tau_j)),Resal_s+(Salim-Resal_s)*(1-EXP((Tnet_s-t)/Tau_j)))*Salcycl</f>
        <v>8.4469303843680732E-2</v>
      </c>
      <c r="AD315" s="230">
        <f>(INDEX(Models!$BJ315:$BT315,,AH315)*(1-AF315)+INDEX(Models!$BJ315:$BT315,,AH315+1)*AF315-ERP_i)*AE315*Ramure*Pc/MaxiM</f>
        <v>2.1841754119065422E-2</v>
      </c>
      <c r="AE315" s="304">
        <f t="shared" si="117"/>
        <v>0.7</v>
      </c>
      <c r="AF315" s="177">
        <f t="shared" si="118"/>
        <v>0.39780255175263857</v>
      </c>
      <c r="AG315" s="799">
        <f t="shared" si="124"/>
        <v>0</v>
      </c>
      <c r="AH315" s="176">
        <f t="shared" si="119"/>
        <v>6</v>
      </c>
      <c r="AI315" s="224">
        <f t="shared" si="120"/>
        <v>0.39780255175263857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44863</v>
      </c>
      <c r="B316" s="1147">
        <v>29.023</v>
      </c>
      <c r="C316" s="388"/>
      <c r="D316" s="391">
        <f t="shared" si="102"/>
        <v>29.805399767318889</v>
      </c>
      <c r="E316" s="383">
        <f t="shared" si="125"/>
        <v>30.319859856792885</v>
      </c>
      <c r="F316" s="383">
        <f t="shared" si="103"/>
        <v>30.826089408528631</v>
      </c>
      <c r="G316" s="110">
        <f t="shared" si="126"/>
        <v>0.83816655088446124</v>
      </c>
      <c r="H316" s="412" t="b">
        <f>Wh_hp&gt;='2021'!Maxi_hp</f>
        <v>1</v>
      </c>
      <c r="I316" s="379">
        <f>IF(H316,Wh_hp,'2021'!Maxi_hp)</f>
        <v>30.826089408528631</v>
      </c>
      <c r="J316" s="85">
        <f>IF(H316,An,'2021'!An_max)</f>
        <v>2022</v>
      </c>
      <c r="K316" s="197">
        <f t="shared" si="104"/>
        <v>44863</v>
      </c>
      <c r="L316" s="147">
        <f>IF(t&lt;Tvie,1-EXP((T0-t)*PertePVj)+'2021'!Pspv,1-EXP((T0-t)*PertePVj)+Pspv)</f>
        <v>2.6250269193731079E-2</v>
      </c>
      <c r="M316" s="832"/>
      <c r="N316" s="832"/>
      <c r="O316" s="48">
        <f>IF(t&lt;Tnet,'2021'!Resal+('2021'!Salim-'2021'!Resal)*(1-EXP(('2021'!Tnet-t)/('2021'!Tau_j))),Resal+(Salim-Resal)*(1-EXP((Tnet-t)/(Tau_j))))*Salcycl</f>
        <v>1.6967759478569398E-2</v>
      </c>
      <c r="P316" s="169">
        <f>(INDEX(Models!$BJ316:$BT316,,T316)*(1-R316)+INDEX(Models!$BJ316:$BT316,,T316+1)*R316-ERP_i)*Q316*Ramure*Pc/MaxiM</f>
        <v>2.1199306220949943E-2</v>
      </c>
      <c r="Q316" s="304">
        <f t="shared" si="105"/>
        <v>0.7</v>
      </c>
      <c r="R316" s="177">
        <f t="shared" si="106"/>
        <v>0.33352118488259536</v>
      </c>
      <c r="S316" s="799">
        <f t="shared" si="107"/>
        <v>0</v>
      </c>
      <c r="T316" s="176">
        <f t="shared" si="108"/>
        <v>6</v>
      </c>
      <c r="U316" s="250">
        <f t="shared" si="109"/>
        <v>0.33352118488259536</v>
      </c>
      <c r="V316" s="382">
        <f t="shared" si="110"/>
        <v>34.458588929188203</v>
      </c>
      <c r="W316" s="400">
        <f t="shared" si="111"/>
        <v>0</v>
      </c>
      <c r="X316" s="157">
        <f t="shared" si="112"/>
        <v>44863</v>
      </c>
      <c r="Y316" s="383">
        <f t="shared" si="113"/>
        <v>27.005625193802675</v>
      </c>
      <c r="Z316" s="383">
        <f t="shared" si="114"/>
        <v>27.733640728652016</v>
      </c>
      <c r="AA316" s="384">
        <f t="shared" si="115"/>
        <v>30.290089199992376</v>
      </c>
      <c r="AB316" s="197">
        <f t="shared" si="116"/>
        <v>44863</v>
      </c>
      <c r="AC316" s="119">
        <f>IF(OR(t&lt;Tnet,NoTnet),'2021'!Resal_s+('2021'!Salim-'2021'!Resal_s)*(1-EXP(('2021'!Tnet_s-t)/'2021'!Tau_j)),Resal_s+(Salim-Resal_s)*(1-EXP((Tnet_s-t)/Tau_j)))*Salcycl</f>
        <v>8.4398842620146644E-2</v>
      </c>
      <c r="AD316" s="230">
        <f>(INDEX(Models!$BJ316:$BT316,,AH316)*(1-AF316)+INDEX(Models!$BJ316:$BT316,,AH316+1)*AF316-ERP_i)*AE316*Ramure*Pc/MaxiM</f>
        <v>2.2446007974628368E-2</v>
      </c>
      <c r="AE316" s="304">
        <f t="shared" si="117"/>
        <v>0.7</v>
      </c>
      <c r="AF316" s="177">
        <f t="shared" si="118"/>
        <v>0.39785340714242751</v>
      </c>
      <c r="AG316" s="799">
        <f t="shared" si="124"/>
        <v>0</v>
      </c>
      <c r="AH316" s="176">
        <f t="shared" si="119"/>
        <v>6</v>
      </c>
      <c r="AI316" s="224">
        <f t="shared" si="120"/>
        <v>0.39785340714242751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44864</v>
      </c>
      <c r="B317" s="1147">
        <v>25.885000000000002</v>
      </c>
      <c r="C317" s="388"/>
      <c r="D317" s="391">
        <f t="shared" si="102"/>
        <v>26.583315271567603</v>
      </c>
      <c r="E317" s="383">
        <f t="shared" si="125"/>
        <v>27.043207888354779</v>
      </c>
      <c r="F317" s="383">
        <f t="shared" si="103"/>
        <v>27.432858911848296</v>
      </c>
      <c r="G317" s="110">
        <f t="shared" si="126"/>
        <v>0.75161511314753604</v>
      </c>
      <c r="H317" s="412" t="b">
        <f>Wh_hp&gt;='2021'!Maxi_hp</f>
        <v>0</v>
      </c>
      <c r="I317" s="379">
        <f>IF(H317,Wh_hp,'2021'!Maxi_hp)</f>
        <v>31.493556755699309</v>
      </c>
      <c r="J317" s="85">
        <f>IF(H317,An,'2021'!An_max)</f>
        <v>2020</v>
      </c>
      <c r="K317" s="197">
        <f t="shared" si="104"/>
        <v>44864</v>
      </c>
      <c r="L317" s="147">
        <f>IF(t&lt;Tvie,1-EXP((T0-t)*PertePVj)+'2021'!Pspv,1-EXP((T0-t)*PertePVj)+Pspv)</f>
        <v>2.6268930885174013E-2</v>
      </c>
      <c r="M317" s="832"/>
      <c r="N317" s="832"/>
      <c r="O317" s="48">
        <f>IF(t&lt;Tnet,'2021'!Resal+('2021'!Salim-'2021'!Resal)*(1-EXP(('2021'!Tnet-t)/('2021'!Tau_j))),Resal+(Salim-Resal)*(1-EXP((Tnet-t)/(Tau_j))))*Salcycl</f>
        <v>1.7005845559661326E-2</v>
      </c>
      <c r="P317" s="169">
        <f>(INDEX(Models!$BJ317:$BT317,,T317)*(1-R317)+INDEX(Models!$BJ317:$BT317,,T317+1)*R317-ERP_i)*Q317*Ramure*Pc/MaxiM</f>
        <v>2.173720229894922E-2</v>
      </c>
      <c r="Q317" s="304">
        <f t="shared" si="105"/>
        <v>0.7</v>
      </c>
      <c r="R317" s="177">
        <f t="shared" si="106"/>
        <v>0.33357000486662952</v>
      </c>
      <c r="S317" s="799">
        <f t="shared" si="107"/>
        <v>0</v>
      </c>
      <c r="T317" s="176">
        <f t="shared" si="108"/>
        <v>6</v>
      </c>
      <c r="U317" s="250">
        <f t="shared" si="109"/>
        <v>0.33357000486662952</v>
      </c>
      <c r="V317" s="382">
        <f t="shared" si="110"/>
        <v>34.175987052283226</v>
      </c>
      <c r="W317" s="400">
        <f t="shared" si="111"/>
        <v>0</v>
      </c>
      <c r="X317" s="157">
        <f t="shared" si="112"/>
        <v>44864</v>
      </c>
      <c r="Y317" s="383">
        <f t="shared" si="113"/>
        <v>24.092234392194101</v>
      </c>
      <c r="Z317" s="383">
        <f t="shared" si="114"/>
        <v>24.742185143681652</v>
      </c>
      <c r="AA317" s="384">
        <f t="shared" si="115"/>
        <v>27.020798267720533</v>
      </c>
      <c r="AB317" s="197">
        <f t="shared" si="116"/>
        <v>44864</v>
      </c>
      <c r="AC317" s="119">
        <f>IF(OR(t&lt;Tnet,NoTnet),'2021'!Resal_s+('2021'!Salim-'2021'!Resal_s)*(1-EXP(('2021'!Tnet_s-t)/'2021'!Tau_j)),Resal_s+(Salim-Resal_s)*(1-EXP((Tnet_s-t)/Tau_j)))*Salcycl</f>
        <v>8.4328120193286449E-2</v>
      </c>
      <c r="AD317" s="230">
        <f>(INDEX(Models!$BJ317:$BT317,,AH317)*(1-AF317)+INDEX(Models!$BJ317:$BT317,,AH317+1)*AF317-ERP_i)*AE317*Ramure*Pc/MaxiM</f>
        <v>2.2987352889603144E-2</v>
      </c>
      <c r="AE317" s="304">
        <f t="shared" si="117"/>
        <v>0.7</v>
      </c>
      <c r="AF317" s="177">
        <f t="shared" si="118"/>
        <v>0.39790222712646167</v>
      </c>
      <c r="AG317" s="799">
        <f t="shared" si="124"/>
        <v>0</v>
      </c>
      <c r="AH317" s="176">
        <f t="shared" si="119"/>
        <v>6</v>
      </c>
      <c r="AI317" s="224">
        <f t="shared" si="120"/>
        <v>0.39790222712646167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44865</v>
      </c>
      <c r="B318" s="1147">
        <v>25.182000000000002</v>
      </c>
      <c r="C318" s="388"/>
      <c r="D318" s="391">
        <f t="shared" si="102"/>
        <v>25.861845652544016</v>
      </c>
      <c r="E318" s="383">
        <f t="shared" si="125"/>
        <v>26.310271990148706</v>
      </c>
      <c r="F318" s="383">
        <f t="shared" si="103"/>
        <v>26.684848698871605</v>
      </c>
      <c r="G318" s="110">
        <f t="shared" si="126"/>
        <v>0.73672288666753916</v>
      </c>
      <c r="H318" s="412" t="b">
        <f>Wh_hp&gt;='2021'!Maxi_hp</f>
        <v>0</v>
      </c>
      <c r="I318" s="379">
        <f>IF(H318,Wh_hp,'2021'!Maxi_hp)</f>
        <v>35.545081569193108</v>
      </c>
      <c r="J318" s="85">
        <f>IF(H318,An,'2021'!An_max)</f>
        <v>2020</v>
      </c>
      <c r="K318" s="197">
        <f t="shared" si="104"/>
        <v>44865</v>
      </c>
      <c r="L318" s="147">
        <f>IF(t&lt;Tvie,1-EXP((T0-t)*PertePVj)+'2021'!Pspv,1-EXP((T0-t)*PertePVj)+Pspv)</f>
        <v>2.6287592218969813E-2</v>
      </c>
      <c r="M318" s="832"/>
      <c r="N318" s="832"/>
      <c r="O318" s="48">
        <f>IF(t&lt;Tnet,'2021'!Resal+('2021'!Salim-'2021'!Resal)*(1-EXP(('2021'!Tnet-t)/('2021'!Tau_j))),Resal+(Salim-Resal)*(1-EXP((Tnet-t)/(Tau_j))))*Salcycl</f>
        <v>1.7043774301253731E-2</v>
      </c>
      <c r="P318" s="169">
        <f>(INDEX(Models!$BJ318:$BT318,,T318)*(1-R318)+INDEX(Models!$BJ318:$BT318,,T318+1)*R318-ERP_i)*Q318*Ramure*Pc/MaxiM</f>
        <v>2.2187281245942891E-2</v>
      </c>
      <c r="Q318" s="304">
        <f t="shared" si="105"/>
        <v>0.7</v>
      </c>
      <c r="R318" s="177">
        <f t="shared" si="106"/>
        <v>0.3336168704393182</v>
      </c>
      <c r="S318" s="799">
        <f t="shared" si="107"/>
        <v>0</v>
      </c>
      <c r="T318" s="176">
        <f t="shared" si="108"/>
        <v>6</v>
      </c>
      <c r="U318" s="250">
        <f t="shared" si="109"/>
        <v>0.3336168704393182</v>
      </c>
      <c r="V318" s="382">
        <f t="shared" si="110"/>
        <v>33.898551961100836</v>
      </c>
      <c r="W318" s="400">
        <f t="shared" si="111"/>
        <v>0</v>
      </c>
      <c r="X318" s="157">
        <f t="shared" si="112"/>
        <v>44865</v>
      </c>
      <c r="Y318" s="383">
        <f t="shared" si="113"/>
        <v>23.441291434740766</v>
      </c>
      <c r="Z318" s="383">
        <f t="shared" si="114"/>
        <v>24.074142680548317</v>
      </c>
      <c r="AA318" s="384">
        <f t="shared" si="115"/>
        <v>26.2891973371839</v>
      </c>
      <c r="AB318" s="197">
        <f t="shared" si="116"/>
        <v>44865</v>
      </c>
      <c r="AC318" s="119">
        <f>IF(OR(t&lt;Tnet,NoTnet),'2021'!Resal_s+('2021'!Salim-'2021'!Resal_s)*(1-EXP(('2021'!Tnet_s-t)/'2021'!Tau_j)),Resal_s+(Salim-Resal_s)*(1-EXP((Tnet_s-t)/Tau_j)))*Salcycl</f>
        <v>8.4257218971937622E-2</v>
      </c>
      <c r="AD318" s="230">
        <f>(INDEX(Models!$BJ318:$BT318,,AH318)*(1-AF318)+INDEX(Models!$BJ318:$BT318,,AH318+1)*AF318-ERP_i)*AE318*Ramure*Pc/MaxiM</f>
        <v>2.3435594986765156E-2</v>
      </c>
      <c r="AE318" s="304">
        <f t="shared" si="117"/>
        <v>0.7</v>
      </c>
      <c r="AF318" s="177">
        <f t="shared" si="118"/>
        <v>0.39794909269915035</v>
      </c>
      <c r="AG318" s="799">
        <f t="shared" si="124"/>
        <v>0</v>
      </c>
      <c r="AH318" s="176">
        <f t="shared" si="119"/>
        <v>6</v>
      </c>
      <c r="AI318" s="224">
        <f t="shared" si="120"/>
        <v>0.39794909269915035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44866</v>
      </c>
      <c r="B319" s="1147">
        <v>27.061</v>
      </c>
      <c r="C319" s="388"/>
      <c r="D319" s="391">
        <f t="shared" si="102"/>
        <v>27.792106182050841</v>
      </c>
      <c r="E319" s="383">
        <f t="shared" si="125"/>
        <v>28.275088880983219</v>
      </c>
      <c r="F319" s="383">
        <f t="shared" si="103"/>
        <v>28.742859629710004</v>
      </c>
      <c r="G319" s="110">
        <f t="shared" si="126"/>
        <v>0.79962799011633667</v>
      </c>
      <c r="H319" s="412" t="b">
        <f>Wh_hp&gt;='2021'!Maxi_hp</f>
        <v>0</v>
      </c>
      <c r="I319" s="379">
        <f>IF(H319,Wh_hp,'2021'!Maxi_hp)</f>
        <v>28.832623963315033</v>
      </c>
      <c r="J319" s="85">
        <f>IF(H319,An,'2021'!An_max)</f>
        <v>2020</v>
      </c>
      <c r="K319" s="197">
        <f t="shared" si="104"/>
        <v>44866</v>
      </c>
      <c r="L319" s="147">
        <f>IF(t&lt;Tvie,1-EXP((T0-t)*PertePVj)+'2021'!Pspv,1-EXP((T0-t)*PertePVj)+Pspv)</f>
        <v>2.6306253195125473E-2</v>
      </c>
      <c r="M319" s="832"/>
      <c r="N319" s="832"/>
      <c r="O319" s="48">
        <f>IF(t&lt;Tnet,'2021'!Resal+('2021'!Salim-'2021'!Resal)*(1-EXP(('2021'!Tnet-t)/('2021'!Tau_j))),Resal+(Salim-Resal)*(1-EXP((Tnet-t)/(Tau_j))))*Salcycl</f>
        <v>1.7081562536031977E-2</v>
      </c>
      <c r="P319" s="169">
        <f>(INDEX(Models!$BJ319:$BT319,,T319)*(1-R319)+INDEX(Models!$BJ319:$BT319,,T319+1)*R319-ERP_i)*Q319*Ramure*Pc/MaxiM</f>
        <v>2.2568435105027165E-2</v>
      </c>
      <c r="Q319" s="304">
        <f t="shared" si="105"/>
        <v>0.7</v>
      </c>
      <c r="R319" s="177">
        <f t="shared" si="106"/>
        <v>0.33366185940903159</v>
      </c>
      <c r="S319" s="799">
        <f t="shared" si="107"/>
        <v>0</v>
      </c>
      <c r="T319" s="176">
        <f t="shared" si="108"/>
        <v>6</v>
      </c>
      <c r="U319" s="250">
        <f t="shared" si="109"/>
        <v>0.33366185940903159</v>
      </c>
      <c r="V319" s="382">
        <f t="shared" si="110"/>
        <v>33.625458016251088</v>
      </c>
      <c r="W319" s="400">
        <f t="shared" si="111"/>
        <v>0</v>
      </c>
      <c r="X319" s="157">
        <f t="shared" si="112"/>
        <v>44866</v>
      </c>
      <c r="Y319" s="383">
        <f t="shared" si="113"/>
        <v>25.190531784226184</v>
      </c>
      <c r="Z319" s="383">
        <f t="shared" si="114"/>
        <v>25.871103585585928</v>
      </c>
      <c r="AA319" s="384">
        <f t="shared" si="115"/>
        <v>28.249305959125117</v>
      </c>
      <c r="AB319" s="197">
        <f t="shared" si="116"/>
        <v>44866</v>
      </c>
      <c r="AC319" s="119">
        <f>IF(OR(t&lt;Tnet,NoTnet),'2021'!Resal_s+('2021'!Salim-'2021'!Resal_s)*(1-EXP(('2021'!Tnet_s-t)/'2021'!Tau_j)),Resal_s+(Salim-Resal_s)*(1-EXP((Tnet_s-t)/Tau_j)))*Salcycl</f>
        <v>8.4186223087402243E-2</v>
      </c>
      <c r="AD319" s="230">
        <f>(INDEX(Models!$BJ319:$BT319,,AH319)*(1-AF319)+INDEX(Models!$BJ319:$BT319,,AH319+1)*AF319-ERP_i)*AE319*Ramure*Pc/MaxiM</f>
        <v>2.3812378212535363E-2</v>
      </c>
      <c r="AE319" s="304">
        <f t="shared" si="117"/>
        <v>0.7</v>
      </c>
      <c r="AF319" s="177">
        <f t="shared" si="118"/>
        <v>0.39799408166886374</v>
      </c>
      <c r="AG319" s="799">
        <f t="shared" si="124"/>
        <v>0</v>
      </c>
      <c r="AH319" s="176">
        <f t="shared" si="119"/>
        <v>6</v>
      </c>
      <c r="AI319" s="224">
        <f t="shared" si="120"/>
        <v>0.39799408166886374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44867</v>
      </c>
      <c r="B320" s="1147">
        <v>30.048999999999999</v>
      </c>
      <c r="C320" s="388"/>
      <c r="D320" s="391">
        <f t="shared" si="102"/>
        <v>30.861424335806518</v>
      </c>
      <c r="E320" s="383">
        <f t="shared" si="125"/>
        <v>31.398950108582007</v>
      </c>
      <c r="F320" s="383">
        <f t="shared" si="103"/>
        <v>32.027938399327901</v>
      </c>
      <c r="G320" s="110">
        <f t="shared" si="126"/>
        <v>0.89786371354569405</v>
      </c>
      <c r="H320" s="412" t="b">
        <f>Wh_hp&gt;='2021'!Maxi_hp</f>
        <v>0</v>
      </c>
      <c r="I320" s="379">
        <f>IF(H320,Wh_hp,'2021'!Maxi_hp)</f>
        <v>32.061506207065662</v>
      </c>
      <c r="J320" s="85">
        <f>IF(H320,An,'2021'!An_max)</f>
        <v>2020</v>
      </c>
      <c r="K320" s="197">
        <f t="shared" si="104"/>
        <v>44867</v>
      </c>
      <c r="L320" s="147">
        <f>IF(t&lt;Tvie,1-EXP((T0-t)*PertePVj)+'2021'!Pspv,1-EXP((T0-t)*PertePVj)+Pspv)</f>
        <v>2.6324913813647766E-2</v>
      </c>
      <c r="M320" s="832"/>
      <c r="N320" s="832"/>
      <c r="O320" s="48">
        <f>IF(t&lt;Tnet,'2021'!Resal+('2021'!Salim-'2021'!Resal)*(1-EXP(('2021'!Tnet-t)/('2021'!Tau_j))),Resal+(Salim-Resal)*(1-EXP((Tnet-t)/(Tau_j))))*Salcycl</f>
        <v>1.7119227582981275E-2</v>
      </c>
      <c r="P320" s="169">
        <f>(INDEX(Models!$BJ320:$BT320,,T320)*(1-R320)+INDEX(Models!$BJ320:$BT320,,T320+1)*R320-ERP_i)*Q320*Ramure*Pc/MaxiM</f>
        <v>2.2879758878146857E-2</v>
      </c>
      <c r="Q320" s="304">
        <f t="shared" si="105"/>
        <v>0.7</v>
      </c>
      <c r="R320" s="177">
        <f t="shared" si="106"/>
        <v>0.33370504652051486</v>
      </c>
      <c r="S320" s="799">
        <f t="shared" si="107"/>
        <v>0</v>
      </c>
      <c r="T320" s="176">
        <f t="shared" si="108"/>
        <v>6</v>
      </c>
      <c r="U320" s="250">
        <f t="shared" si="109"/>
        <v>0.33370504652051486</v>
      </c>
      <c r="V320" s="382">
        <f t="shared" si="110"/>
        <v>33.356576496440525</v>
      </c>
      <c r="W320" s="400">
        <f t="shared" si="111"/>
        <v>0</v>
      </c>
      <c r="X320" s="157">
        <f t="shared" si="112"/>
        <v>44867</v>
      </c>
      <c r="Y320" s="383">
        <f t="shared" si="113"/>
        <v>27.970447140639049</v>
      </c>
      <c r="Z320" s="383">
        <f t="shared" si="114"/>
        <v>28.726674367516647</v>
      </c>
      <c r="AA320" s="384">
        <f t="shared" si="115"/>
        <v>31.364943422117253</v>
      </c>
      <c r="AB320" s="197">
        <f t="shared" si="116"/>
        <v>44867</v>
      </c>
      <c r="AC320" s="119">
        <f>IF(OR(t&lt;Tnet,NoTnet),'2021'!Resal_s+('2021'!Salim-'2021'!Resal_s)*(1-EXP(('2021'!Tnet_s-t)/'2021'!Tau_j)),Resal_s+(Salim-Resal_s)*(1-EXP((Tnet_s-t)/Tau_j)))*Salcycl</f>
        <v>8.4115218034801445E-2</v>
      </c>
      <c r="AD320" s="230">
        <f>(INDEX(Models!$BJ320:$BT320,,AH320)*(1-AF320)+INDEX(Models!$BJ320:$BT320,,AH320+1)*AF320-ERP_i)*AE320*Ramure*Pc/MaxiM</f>
        <v>2.4116768847975721E-2</v>
      </c>
      <c r="AE320" s="304">
        <f t="shared" si="117"/>
        <v>0.7</v>
      </c>
      <c r="AF320" s="177">
        <f t="shared" si="118"/>
        <v>0.39803726878034701</v>
      </c>
      <c r="AG320" s="799">
        <f t="shared" si="124"/>
        <v>0</v>
      </c>
      <c r="AH320" s="176">
        <f t="shared" si="119"/>
        <v>6</v>
      </c>
      <c r="AI320" s="224">
        <f t="shared" si="120"/>
        <v>0.39803726878034701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44868</v>
      </c>
      <c r="B321" s="1147">
        <v>9.423</v>
      </c>
      <c r="C321" s="388"/>
      <c r="D321" s="391">
        <f t="shared" si="102"/>
        <v>9.6779518412190182</v>
      </c>
      <c r="E321" s="383">
        <f t="shared" si="125"/>
        <v>9.8468928868167485</v>
      </c>
      <c r="F321" s="383">
        <f t="shared" si="103"/>
        <v>9.8468928868167485</v>
      </c>
      <c r="G321" s="110">
        <f t="shared" si="126"/>
        <v>0.27816990672846292</v>
      </c>
      <c r="H321" s="412" t="b">
        <f>Wh_hp&gt;='2021'!Maxi_hp</f>
        <v>0</v>
      </c>
      <c r="I321" s="379">
        <f>IF(H321,Wh_hp,'2021'!Maxi_hp)</f>
        <v>28.049300463393088</v>
      </c>
      <c r="J321" s="85">
        <f>IF(H321,An,'2021'!An_max)</f>
        <v>2020</v>
      </c>
      <c r="K321" s="197">
        <f t="shared" si="104"/>
        <v>44868</v>
      </c>
      <c r="L321" s="147">
        <f>IF(t&lt;Tvie,1-EXP((T0-t)*PertePVj)+'2021'!Pspv,1-EXP((T0-t)*PertePVj)+Pspv)</f>
        <v>2.6343574074543463E-2</v>
      </c>
      <c r="M321" s="832"/>
      <c r="N321" s="832"/>
      <c r="O321" s="48">
        <f>IF(t&lt;Tnet,'2021'!Resal+('2021'!Salim-'2021'!Resal)*(1-EXP(('2021'!Tnet-t)/('2021'!Tau_j))),Resal+(Salim-Resal)*(1-EXP((Tnet-t)/(Tau_j))))*Salcycl</f>
        <v>1.7156787175365E-2</v>
      </c>
      <c r="P321" s="169">
        <f>(INDEX(Models!$BJ321:$BT321,,T321)*(1-R321)+INDEX(Models!$BJ321:$BT321,,T321+1)*R321-ERP_i)*Q321*Ramure*Pc/MaxiM</f>
        <v>2.3120352080723515E-2</v>
      </c>
      <c r="Q321" s="304">
        <f t="shared" si="105"/>
        <v>0.7</v>
      </c>
      <c r="R321" s="177">
        <f t="shared" si="106"/>
        <v>0.33374650357282942</v>
      </c>
      <c r="S321" s="799">
        <f t="shared" si="107"/>
        <v>0</v>
      </c>
      <c r="T321" s="176">
        <f t="shared" si="108"/>
        <v>6</v>
      </c>
      <c r="U321" s="250">
        <f t="shared" si="109"/>
        <v>0.33374650357282942</v>
      </c>
      <c r="V321" s="382">
        <f t="shared" si="110"/>
        <v>33.091778440753437</v>
      </c>
      <c r="W321" s="400">
        <f t="shared" si="111"/>
        <v>0</v>
      </c>
      <c r="X321" s="157">
        <f t="shared" si="112"/>
        <v>44868</v>
      </c>
      <c r="Y321" s="383">
        <f t="shared" si="113"/>
        <v>8.7817166968943816</v>
      </c>
      <c r="Z321" s="383">
        <f t="shared" si="114"/>
        <v>9.0193177624719052</v>
      </c>
      <c r="AA321" s="384">
        <f t="shared" si="115"/>
        <v>9.8468928868167485</v>
      </c>
      <c r="AB321" s="197">
        <f t="shared" si="116"/>
        <v>44868</v>
      </c>
      <c r="AC321" s="119">
        <f>IF(OR(t&lt;Tnet,NoTnet),'2021'!Resal_s+('2021'!Salim-'2021'!Resal_s)*(1-EXP(('2021'!Tnet_s-t)/'2021'!Tau_j)),Resal_s+(Salim-Resal_s)*(1-EXP((Tnet_s-t)/Tau_j)))*Salcycl</f>
        <v>8.4044290301240027E-2</v>
      </c>
      <c r="AD321" s="230">
        <f>(INDEX(Models!$BJ321:$BT321,,AH321)*(1-AF321)+INDEX(Models!$BJ321:$BT321,,AH321+1)*AF321-ERP_i)*AE321*Ramure*Pc/MaxiM</f>
        <v>2.4347837468898879E-2</v>
      </c>
      <c r="AE321" s="304">
        <f t="shared" si="117"/>
        <v>0.7</v>
      </c>
      <c r="AF321" s="177">
        <f t="shared" si="118"/>
        <v>0.39807872583266157</v>
      </c>
      <c r="AG321" s="799">
        <f t="shared" si="124"/>
        <v>0</v>
      </c>
      <c r="AH321" s="176">
        <f t="shared" si="119"/>
        <v>6</v>
      </c>
      <c r="AI321" s="224">
        <f t="shared" si="120"/>
        <v>0.39807872583266157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44869</v>
      </c>
      <c r="B322" s="1147">
        <v>13.15</v>
      </c>
      <c r="C322" s="388"/>
      <c r="D322" s="391">
        <f t="shared" si="102"/>
        <v>13.506049640745378</v>
      </c>
      <c r="E322" s="383">
        <f t="shared" si="125"/>
        <v>13.742338981755942</v>
      </c>
      <c r="F322" s="383">
        <f t="shared" si="103"/>
        <v>13.788460097124771</v>
      </c>
      <c r="G322" s="110">
        <f t="shared" si="126"/>
        <v>0.39252159383483032</v>
      </c>
      <c r="H322" s="412" t="b">
        <f>Wh_hp&gt;='2021'!Maxi_hp</f>
        <v>0</v>
      </c>
      <c r="I322" s="379">
        <f>IF(H322,Wh_hp,'2021'!Maxi_hp)</f>
        <v>18.973893501694523</v>
      </c>
      <c r="J322" s="85">
        <f>IF(H322,An,'2021'!An_max)</f>
        <v>2018</v>
      </c>
      <c r="K322" s="197">
        <f t="shared" si="104"/>
        <v>44869</v>
      </c>
      <c r="L322" s="147">
        <f>IF(t&lt;Tvie,1-EXP((T0-t)*PertePVj)+'2021'!Pspv,1-EXP((T0-t)*PertePVj)+Pspv)</f>
        <v>2.6362233977819671E-2</v>
      </c>
      <c r="M322" s="832"/>
      <c r="N322" s="832"/>
      <c r="O322" s="48">
        <f>IF(t&lt;Tnet,'2021'!Resal+('2021'!Salim-'2021'!Resal)*(1-EXP(('2021'!Tnet-t)/('2021'!Tau_j))),Resal+(Salim-Resal)*(1-EXP((Tnet-t)/(Tau_j))))*Salcycl</f>
        <v>1.7194259385120515E-2</v>
      </c>
      <c r="P322" s="169">
        <f>(INDEX(Models!$BJ322:$BT322,,T322)*(1-R322)+INDEX(Models!$BJ322:$BT322,,T322+1)*R322-ERP_i)*Q322*Ramure*Pc/MaxiM</f>
        <v>2.3289313902859685E-2</v>
      </c>
      <c r="Q322" s="304">
        <f t="shared" si="105"/>
        <v>0.7</v>
      </c>
      <c r="R322" s="177">
        <f t="shared" si="106"/>
        <v>0.33378629953296735</v>
      </c>
      <c r="S322" s="799">
        <f t="shared" si="107"/>
        <v>0</v>
      </c>
      <c r="T322" s="176">
        <f t="shared" si="108"/>
        <v>6</v>
      </c>
      <c r="U322" s="250">
        <f t="shared" si="109"/>
        <v>0.33378629953296735</v>
      </c>
      <c r="V322" s="382">
        <f t="shared" si="110"/>
        <v>32.830934758548395</v>
      </c>
      <c r="W322" s="400">
        <f t="shared" si="111"/>
        <v>0</v>
      </c>
      <c r="X322" s="157">
        <f t="shared" si="112"/>
        <v>44869</v>
      </c>
      <c r="Y322" s="383">
        <f t="shared" si="113"/>
        <v>12.254342801352223</v>
      </c>
      <c r="Z322" s="383">
        <f t="shared" si="114"/>
        <v>12.58614161138965</v>
      </c>
      <c r="AA322" s="384">
        <f t="shared" si="115"/>
        <v>13.739932176784917</v>
      </c>
      <c r="AB322" s="197">
        <f t="shared" si="116"/>
        <v>44869</v>
      </c>
      <c r="AC322" s="119">
        <f>IF(OR(t&lt;Tnet,NoTnet),'2021'!Resal_s+('2021'!Salim-'2021'!Resal_s)*(1-EXP(('2021'!Tnet_s-t)/'2021'!Tau_j)),Resal_s+(Salim-Resal_s)*(1-EXP((Tnet_s-t)/Tau_j)))*Salcycl</f>
        <v>8.3973526983249516E-2</v>
      </c>
      <c r="AD322" s="230">
        <f>(INDEX(Models!$BJ322:$BT322,,AH322)*(1-AF322)+INDEX(Models!$BJ322:$BT322,,AH322+1)*AF322-ERP_i)*AE322*Ramure*Pc/MaxiM</f>
        <v>2.4504653905479463E-2</v>
      </c>
      <c r="AE322" s="304">
        <f t="shared" si="117"/>
        <v>0.7</v>
      </c>
      <c r="AF322" s="177">
        <f t="shared" si="118"/>
        <v>0.3981185217927995</v>
      </c>
      <c r="AG322" s="799">
        <f t="shared" si="124"/>
        <v>0</v>
      </c>
      <c r="AH322" s="176">
        <f t="shared" si="119"/>
        <v>6</v>
      </c>
      <c r="AI322" s="224">
        <f t="shared" si="120"/>
        <v>0.3981185217927995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44870</v>
      </c>
      <c r="B323" s="1147">
        <v>31.873000000000001</v>
      </c>
      <c r="C323" s="388"/>
      <c r="D323" s="391">
        <f t="shared" si="102"/>
        <v>32.736621321398395</v>
      </c>
      <c r="E323" s="383">
        <f t="shared" si="125"/>
        <v>33.310618661307188</v>
      </c>
      <c r="F323" s="383">
        <f t="shared" si="103"/>
        <v>34.083177611383562</v>
      </c>
      <c r="G323" s="110">
        <f t="shared" si="126"/>
        <v>0.97776256860367738</v>
      </c>
      <c r="H323" s="412" t="b">
        <f>Wh_hp&gt;='2021'!Maxi_hp</f>
        <v>1</v>
      </c>
      <c r="I323" s="379">
        <f>IF(H323,Wh_hp,'2021'!Maxi_hp)</f>
        <v>34.083177611383562</v>
      </c>
      <c r="J323" s="85">
        <f>IF(H323,An,'2021'!An_max)</f>
        <v>2022</v>
      </c>
      <c r="K323" s="197">
        <f t="shared" si="104"/>
        <v>44870</v>
      </c>
      <c r="L323" s="147">
        <f>IF(t&lt;Tvie,1-EXP((T0-t)*PertePVj)+'2021'!Pspv,1-EXP((T0-t)*PertePVj)+Pspv)</f>
        <v>2.638089352348294E-2</v>
      </c>
      <c r="M323" s="832"/>
      <c r="N323" s="832"/>
      <c r="O323" s="48">
        <f>IF(t&lt;Tnet,'2021'!Resal+('2021'!Salim-'2021'!Resal)*(1-EXP(('2021'!Tnet-t)/('2021'!Tau_j))),Resal+(Salim-Resal)*(1-EXP((Tnet-t)/(Tau_j))))*Salcycl</f>
        <v>1.7231662544158508E-2</v>
      </c>
      <c r="P323" s="169">
        <f>(INDEX(Models!$BJ323:$BT323,,T323)*(1-R323)+INDEX(Models!$BJ323:$BT323,,T323+1)*R323-ERP_i)*Q323*Ramure*Pc/MaxiM</f>
        <v>2.3385737987241539E-2</v>
      </c>
      <c r="Q323" s="304">
        <f t="shared" si="105"/>
        <v>0.7</v>
      </c>
      <c r="R323" s="177">
        <f t="shared" si="106"/>
        <v>0.33382450064527885</v>
      </c>
      <c r="S323" s="799">
        <f t="shared" si="107"/>
        <v>0</v>
      </c>
      <c r="T323" s="176">
        <f t="shared" si="108"/>
        <v>6</v>
      </c>
      <c r="U323" s="250">
        <f t="shared" si="109"/>
        <v>0.33382450064527885</v>
      </c>
      <c r="V323" s="382">
        <f t="shared" si="110"/>
        <v>32.573916345572513</v>
      </c>
      <c r="W323" s="400">
        <f t="shared" si="111"/>
        <v>0</v>
      </c>
      <c r="X323" s="157">
        <f t="shared" si="112"/>
        <v>44870</v>
      </c>
      <c r="Y323" s="383">
        <f t="shared" si="113"/>
        <v>29.675349964547472</v>
      </c>
      <c r="Z323" s="383">
        <f t="shared" si="114"/>
        <v>30.479424414688413</v>
      </c>
      <c r="AA323" s="384">
        <f t="shared" si="115"/>
        <v>33.270958126629594</v>
      </c>
      <c r="AB323" s="197">
        <f t="shared" si="116"/>
        <v>44870</v>
      </c>
      <c r="AC323" s="119">
        <f>IF(OR(t&lt;Tnet,NoTnet),'2021'!Resal_s+('2021'!Salim-'2021'!Resal_s)*(1-EXP(('2021'!Tnet_s-t)/'2021'!Tau_j)),Resal_s+(Salim-Resal_s)*(1-EXP((Tnet_s-t)/Tau_j)))*Salcycl</f>
        <v>8.3903015396087341E-2</v>
      </c>
      <c r="AD323" s="230">
        <f>(INDEX(Models!$BJ323:$BT323,,AH323)*(1-AF323)+INDEX(Models!$BJ323:$BT323,,AH323+1)*AF323-ERP_i)*AE323*Ramure*Pc/MaxiM</f>
        <v>2.4586281806340989E-2</v>
      </c>
      <c r="AE323" s="304">
        <f t="shared" si="117"/>
        <v>0.7</v>
      </c>
      <c r="AF323" s="177">
        <f t="shared" si="118"/>
        <v>0.398156722905111</v>
      </c>
      <c r="AG323" s="799">
        <f t="shared" si="124"/>
        <v>0</v>
      </c>
      <c r="AH323" s="176">
        <f t="shared" si="119"/>
        <v>6</v>
      </c>
      <c r="AI323" s="224">
        <f t="shared" si="120"/>
        <v>0.398156722905111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44871</v>
      </c>
      <c r="B324" s="1147">
        <v>32.977000000000004</v>
      </c>
      <c r="C324" s="388"/>
      <c r="D324" s="391">
        <f t="shared" si="102"/>
        <v>33.871184110322758</v>
      </c>
      <c r="E324" s="383">
        <f t="shared" si="125"/>
        <v>34.466384629099338</v>
      </c>
      <c r="F324" s="383">
        <f t="shared" si="103"/>
        <v>35.292571273233243</v>
      </c>
      <c r="G324" s="110">
        <f t="shared" si="126"/>
        <v>1.0203101945035624</v>
      </c>
      <c r="H324" s="412" t="b">
        <f>Wh_hp&gt;='2021'!Maxi_hp</f>
        <v>1</v>
      </c>
      <c r="I324" s="379">
        <f>IF(H324,Wh_hp,'2021'!Maxi_hp)</f>
        <v>35.292571273233243</v>
      </c>
      <c r="J324" s="85">
        <f>IF(H324,An,'2021'!An_max)</f>
        <v>2022</v>
      </c>
      <c r="K324" s="197">
        <f t="shared" si="104"/>
        <v>44871</v>
      </c>
      <c r="L324" s="147">
        <f>IF(t&lt;Tvie,1-EXP((T0-t)*PertePVj)+'2021'!Pspv,1-EXP((T0-t)*PertePVj)+Pspv)</f>
        <v>2.6399552711540375E-2</v>
      </c>
      <c r="M324" s="832"/>
      <c r="N324" s="832"/>
      <c r="O324" s="48">
        <f>IF(t&lt;Tnet,'2021'!Resal+('2021'!Salim-'2021'!Resal)*(1-EXP(('2021'!Tnet-t)/('2021'!Tau_j))),Resal+(Salim-Resal)*(1-EXP((Tnet-t)/(Tau_j))))*Salcycl</f>
        <v>1.7269015163083355E-2</v>
      </c>
      <c r="P324" s="169">
        <f>(INDEX(Models!$BJ324:$BT324,,T324)*(1-R324)+INDEX(Models!$BJ324:$BT324,,T324+1)*R324-ERP_i)*Q324*Ramure*Pc/MaxiM</f>
        <v>2.3409647252324264E-2</v>
      </c>
      <c r="Q324" s="304">
        <f t="shared" si="105"/>
        <v>0.7</v>
      </c>
      <c r="R324" s="177">
        <f t="shared" si="106"/>
        <v>0.33386117053685421</v>
      </c>
      <c r="S324" s="799">
        <f t="shared" si="107"/>
        <v>0</v>
      </c>
      <c r="T324" s="176">
        <f t="shared" si="108"/>
        <v>6</v>
      </c>
      <c r="U324" s="250">
        <f t="shared" si="109"/>
        <v>0.33386117053685421</v>
      </c>
      <c r="V324" s="382">
        <f t="shared" si="110"/>
        <v>32.320563077432688</v>
      </c>
      <c r="W324" s="400">
        <f t="shared" si="111"/>
        <v>0</v>
      </c>
      <c r="X324" s="157">
        <f t="shared" si="112"/>
        <v>44871</v>
      </c>
      <c r="Y324" s="383">
        <f t="shared" si="113"/>
        <v>30.706079967520147</v>
      </c>
      <c r="Z324" s="383">
        <f t="shared" si="114"/>
        <v>31.538687202782796</v>
      </c>
      <c r="AA324" s="384">
        <f t="shared" si="115"/>
        <v>34.424599212830032</v>
      </c>
      <c r="AB324" s="197">
        <f t="shared" si="116"/>
        <v>44871</v>
      </c>
      <c r="AC324" s="119">
        <f>IF(OR(t&lt;Tnet,NoTnet),'2021'!Resal_s+('2021'!Salim-'2021'!Resal_s)*(1-EXP(('2021'!Tnet_s-t)/'2021'!Tau_j)),Resal_s+(Salim-Resal_s)*(1-EXP((Tnet_s-t)/Tau_j)))*Salcycl</f>
        <v>8.3832842677560013E-2</v>
      </c>
      <c r="AD324" s="230">
        <f>(INDEX(Models!$BJ324:$BT324,,AH324)*(1-AF324)+INDEX(Models!$BJ324:$BT324,,AH324+1)*AF324-ERP_i)*AE324*Ramure*Pc/MaxiM</f>
        <v>2.4593619254415305E-2</v>
      </c>
      <c r="AE324" s="304">
        <f t="shared" si="117"/>
        <v>0.7</v>
      </c>
      <c r="AF324" s="177">
        <f t="shared" si="118"/>
        <v>0.39819339279668636</v>
      </c>
      <c r="AG324" s="799">
        <f t="shared" si="124"/>
        <v>0</v>
      </c>
      <c r="AH324" s="176">
        <f t="shared" si="119"/>
        <v>6</v>
      </c>
      <c r="AI324" s="224">
        <f t="shared" si="120"/>
        <v>0.39819339279668636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44872</v>
      </c>
      <c r="B325" s="1147">
        <v>33.085000000000001</v>
      </c>
      <c r="C325" s="388"/>
      <c r="D325" s="391">
        <f t="shared" si="102"/>
        <v>33.982763844012922</v>
      </c>
      <c r="E325" s="383">
        <f t="shared" si="125"/>
        <v>34.58123836926702</v>
      </c>
      <c r="F325" s="383">
        <f t="shared" si="103"/>
        <v>35.409981593380152</v>
      </c>
      <c r="G325" s="110">
        <f t="shared" si="126"/>
        <v>1.0316720956581413</v>
      </c>
      <c r="H325" s="412" t="b">
        <f>Wh_hp&gt;='2021'!Maxi_hp</f>
        <v>1</v>
      </c>
      <c r="I325" s="379">
        <f>IF(H325,Wh_hp,'2021'!Maxi_hp)</f>
        <v>35.409981593380152</v>
      </c>
      <c r="J325" s="85">
        <f>IF(H325,An,'2021'!An_max)</f>
        <v>2022</v>
      </c>
      <c r="K325" s="197">
        <f t="shared" si="104"/>
        <v>44872</v>
      </c>
      <c r="L325" s="147">
        <f>IF(t&lt;Tvie,1-EXP((T0-t)*PertePVj)+'2021'!Pspv,1-EXP((T0-t)*PertePVj)+Pspv)</f>
        <v>2.6418211541998748E-2</v>
      </c>
      <c r="M325" s="832"/>
      <c r="N325" s="832"/>
      <c r="O325" s="48">
        <f>IF(t&lt;Tnet,'2021'!Resal+('2021'!Salim-'2021'!Resal)*(1-EXP(('2021'!Tnet-t)/('2021'!Tau_j))),Resal+(Salim-Resal)*(1-EXP((Tnet-t)/(Tau_j))))*Salcycl</f>
        <v>1.730633584787895E-2</v>
      </c>
      <c r="P325" s="169">
        <f>(INDEX(Models!$BJ325:$BT325,,T325)*(1-R325)+INDEX(Models!$BJ325:$BT325,,T325+1)*R325-ERP_i)*Q325*Ramure*Pc/MaxiM</f>
        <v>2.3404226345829636E-2</v>
      </c>
      <c r="Q325" s="304">
        <f t="shared" si="105"/>
        <v>0.7</v>
      </c>
      <c r="R325" s="177">
        <f t="shared" si="106"/>
        <v>0.33389637031899111</v>
      </c>
      <c r="S325" s="799">
        <f t="shared" si="107"/>
        <v>0</v>
      </c>
      <c r="T325" s="176">
        <f t="shared" si="108"/>
        <v>6</v>
      </c>
      <c r="U325" s="250">
        <f t="shared" si="109"/>
        <v>0.33389637031899111</v>
      </c>
      <c r="V325" s="382">
        <f t="shared" si="110"/>
        <v>32.069298122184719</v>
      </c>
      <c r="W325" s="400">
        <f t="shared" si="111"/>
        <v>0</v>
      </c>
      <c r="X325" s="157">
        <f t="shared" si="112"/>
        <v>44872</v>
      </c>
      <c r="Y325" s="383">
        <f t="shared" si="113"/>
        <v>30.81065695411607</v>
      </c>
      <c r="Z325" s="383">
        <f t="shared" si="114"/>
        <v>31.646706336727242</v>
      </c>
      <c r="AA325" s="384">
        <f t="shared" si="115"/>
        <v>34.539873014792846</v>
      </c>
      <c r="AB325" s="197">
        <f t="shared" si="116"/>
        <v>44872</v>
      </c>
      <c r="AC325" s="119">
        <f>IF(OR(t&lt;Tnet,NoTnet),'2021'!Resal_s+('2021'!Salim-'2021'!Resal_s)*(1-EXP(('2021'!Tnet_s-t)/'2021'!Tau_j)),Resal_s+(Salim-Resal_s)*(1-EXP((Tnet_s-t)/Tau_j)))*Salcycl</f>
        <v>8.3763095389103162E-2</v>
      </c>
      <c r="AD325" s="230">
        <f>(INDEX(Models!$BJ325:$BT325,,AH325)*(1-AF325)+INDEX(Models!$BJ325:$BT325,,AH325+1)*AF325-ERP_i)*AE325*Ramure*Pc/MaxiM</f>
        <v>2.4572409796168006E-2</v>
      </c>
      <c r="AE325" s="304">
        <f t="shared" si="117"/>
        <v>0.7</v>
      </c>
      <c r="AF325" s="177">
        <f t="shared" si="118"/>
        <v>0.39822859257882326</v>
      </c>
      <c r="AG325" s="799">
        <f t="shared" si="124"/>
        <v>0</v>
      </c>
      <c r="AH325" s="176">
        <f t="shared" si="119"/>
        <v>6</v>
      </c>
      <c r="AI325" s="224">
        <f t="shared" si="120"/>
        <v>0.39822859257882326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44873</v>
      </c>
      <c r="B326" s="1147">
        <v>21.420999999999999</v>
      </c>
      <c r="C326" s="388"/>
      <c r="D326" s="391">
        <f t="shared" si="102"/>
        <v>22.002682045207553</v>
      </c>
      <c r="E326" s="383">
        <f t="shared" si="125"/>
        <v>22.391023976273388</v>
      </c>
      <c r="F326" s="383">
        <f t="shared" si="103"/>
        <v>22.673510622307727</v>
      </c>
      <c r="G326" s="110">
        <f t="shared" si="126"/>
        <v>0.66575543658965608</v>
      </c>
      <c r="H326" s="412" t="b">
        <f>Wh_hp&gt;='2021'!Maxi_hp</f>
        <v>0</v>
      </c>
      <c r="I326" s="379">
        <f>IF(H326,Wh_hp,'2021'!Maxi_hp)</f>
        <v>29.721733914268235</v>
      </c>
      <c r="J326" s="85">
        <f>IF(H326,An,'2021'!An_max)</f>
        <v>2021</v>
      </c>
      <c r="K326" s="197">
        <f t="shared" si="104"/>
        <v>44873</v>
      </c>
      <c r="L326" s="147">
        <f>IF(t&lt;Tvie,1-EXP((T0-t)*PertePVj)+'2021'!Pspv,1-EXP((T0-t)*PertePVj)+Pspv)</f>
        <v>2.6436870014864833E-2</v>
      </c>
      <c r="M326" s="832"/>
      <c r="N326" s="832"/>
      <c r="O326" s="48">
        <f>IF(t&lt;Tnet,'2021'!Resal+('2021'!Salim-'2021'!Resal)*(1-EXP(('2021'!Tnet-t)/('2021'!Tau_j))),Resal+(Salim-Resal)*(1-EXP((Tnet-t)/(Tau_j))))*Salcycl</f>
        <v>1.7343643215126867E-2</v>
      </c>
      <c r="P326" s="169">
        <f>(INDEX(Models!$BJ326:$BT326,,T326)*(1-R326)+INDEX(Models!$BJ326:$BT326,,T326+1)*R326-ERP_i)*Q326*Ramure*Pc/MaxiM</f>
        <v>2.3369202044997959E-2</v>
      </c>
      <c r="Q326" s="304">
        <f t="shared" si="105"/>
        <v>0.7</v>
      </c>
      <c r="R326" s="177">
        <f t="shared" si="106"/>
        <v>0.3339301586848839</v>
      </c>
      <c r="S326" s="799">
        <f t="shared" si="107"/>
        <v>0</v>
      </c>
      <c r="T326" s="176">
        <f t="shared" si="108"/>
        <v>6</v>
      </c>
      <c r="U326" s="250">
        <f t="shared" si="109"/>
        <v>0.3339301586848839</v>
      </c>
      <c r="V326" s="382">
        <f t="shared" si="110"/>
        <v>31.820005395319566</v>
      </c>
      <c r="W326" s="400">
        <f t="shared" si="111"/>
        <v>0</v>
      </c>
      <c r="X326" s="157">
        <f t="shared" si="112"/>
        <v>44873</v>
      </c>
      <c r="Y326" s="383">
        <f t="shared" si="113"/>
        <v>19.962191163457675</v>
      </c>
      <c r="Z326" s="383">
        <f t="shared" si="114"/>
        <v>20.504259609505208</v>
      </c>
      <c r="AA326" s="384">
        <f t="shared" si="115"/>
        <v>22.377084136688126</v>
      </c>
      <c r="AB326" s="197">
        <f t="shared" si="116"/>
        <v>44873</v>
      </c>
      <c r="AC326" s="119">
        <f>IF(OR(t&lt;Tnet,NoTnet),'2021'!Resal_s+('2021'!Salim-'2021'!Resal_s)*(1-EXP(('2021'!Tnet_s-t)/'2021'!Tau_j)),Resal_s+(Salim-Resal_s)*(1-EXP((Tnet_s-t)/Tau_j)))*Salcycl</f>
        <v>8.3693859116896474E-2</v>
      </c>
      <c r="AD326" s="230">
        <f>(INDEX(Models!$BJ326:$BT326,,AH326)*(1-AF326)+INDEX(Models!$BJ326:$BT326,,AH326+1)*AF326-ERP_i)*AE326*Ramure*Pc/MaxiM</f>
        <v>2.4522399664482081E-2</v>
      </c>
      <c r="AE326" s="304">
        <f t="shared" si="117"/>
        <v>0.7</v>
      </c>
      <c r="AF326" s="177">
        <f t="shared" si="118"/>
        <v>0.39826238094471605</v>
      </c>
      <c r="AG326" s="799">
        <f t="shared" si="124"/>
        <v>0</v>
      </c>
      <c r="AH326" s="176">
        <f t="shared" si="119"/>
        <v>6</v>
      </c>
      <c r="AI326" s="224">
        <f t="shared" si="120"/>
        <v>0.39826238094471605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44874</v>
      </c>
      <c r="B327" s="1147">
        <v>12.698</v>
      </c>
      <c r="C327" s="388"/>
      <c r="D327" s="391">
        <f t="shared" si="102"/>
        <v>13.04306106901452</v>
      </c>
      <c r="E327" s="383">
        <f t="shared" si="125"/>
        <v>13.273771912000461</v>
      </c>
      <c r="F327" s="383">
        <f t="shared" si="103"/>
        <v>13.319082266191231</v>
      </c>
      <c r="G327" s="110">
        <f t="shared" si="126"/>
        <v>0.39415281350917558</v>
      </c>
      <c r="H327" s="412" t="b">
        <f>Wh_hp&gt;='2021'!Maxi_hp</f>
        <v>0</v>
      </c>
      <c r="I327" s="379">
        <f>IF(H327,Wh_hp,'2021'!Maxi_hp)</f>
        <v>28.934926580180637</v>
      </c>
      <c r="J327" s="85">
        <f>IF(H327,An,'2021'!An_max)</f>
        <v>2020</v>
      </c>
      <c r="K327" s="197">
        <f t="shared" si="104"/>
        <v>44874</v>
      </c>
      <c r="L327" s="147">
        <f>IF(t&lt;Tvie,1-EXP((T0-t)*PertePVj)+'2021'!Pspv,1-EXP((T0-t)*PertePVj)+Pspv)</f>
        <v>2.6455528130145511E-2</v>
      </c>
      <c r="M327" s="832"/>
      <c r="N327" s="832"/>
      <c r="O327" s="48">
        <f>IF(t&lt;Tnet,'2021'!Resal+('2021'!Salim-'2021'!Resal)*(1-EXP(('2021'!Tnet-t)/('2021'!Tau_j))),Resal+(Salim-Resal)*(1-EXP((Tnet-t)/(Tau_j))))*Salcycl</f>
        <v>1.7380955806341823E-2</v>
      </c>
      <c r="P327" s="169">
        <f>(INDEX(Models!$BJ327:$BT327,,T327)*(1-R327)+INDEX(Models!$BJ327:$BT327,,T327+1)*R327-ERP_i)*Q327*Ramure*Pc/MaxiM</f>
        <v>2.330429076816028E-2</v>
      </c>
      <c r="Q327" s="304">
        <f t="shared" si="105"/>
        <v>0.7</v>
      </c>
      <c r="R327" s="177">
        <f t="shared" si="106"/>
        <v>0.33396259200365952</v>
      </c>
      <c r="S327" s="799">
        <f t="shared" si="107"/>
        <v>0</v>
      </c>
      <c r="T327" s="176">
        <f t="shared" si="108"/>
        <v>6</v>
      </c>
      <c r="U327" s="250">
        <f t="shared" si="109"/>
        <v>0.33396259200365952</v>
      </c>
      <c r="V327" s="382">
        <f t="shared" si="110"/>
        <v>31.572569086048354</v>
      </c>
      <c r="W327" s="400">
        <f t="shared" si="111"/>
        <v>0</v>
      </c>
      <c r="X327" s="157">
        <f t="shared" si="112"/>
        <v>44874</v>
      </c>
      <c r="Y327" s="383">
        <f t="shared" si="113"/>
        <v>11.839975687087286</v>
      </c>
      <c r="Z327" s="383">
        <f t="shared" si="114"/>
        <v>12.161720423871996</v>
      </c>
      <c r="AA327" s="384">
        <f t="shared" si="115"/>
        <v>13.271557297042811</v>
      </c>
      <c r="AB327" s="197">
        <f t="shared" si="116"/>
        <v>44874</v>
      </c>
      <c r="AC327" s="119">
        <f>IF(OR(t&lt;Tnet,NoTnet),'2021'!Resal_s+('2021'!Salim-'2021'!Resal_s)*(1-EXP(('2021'!Tnet_s-t)/'2021'!Tau_j)),Resal_s+(Salim-Resal_s)*(1-EXP((Tnet_s-t)/Tau_j)))*Salcycl</f>
        <v>8.3625218075810206E-2</v>
      </c>
      <c r="AD327" s="230">
        <f>(INDEX(Models!$BJ327:$BT327,,AH327)*(1-AF327)+INDEX(Models!$BJ327:$BT327,,AH327+1)*AF327-ERP_i)*AE327*Ramure*Pc/MaxiM</f>
        <v>2.4443324700564508E-2</v>
      </c>
      <c r="AE327" s="304">
        <f t="shared" si="117"/>
        <v>0.7</v>
      </c>
      <c r="AF327" s="177">
        <f t="shared" si="118"/>
        <v>0.39829481426349167</v>
      </c>
      <c r="AG327" s="799">
        <f t="shared" si="124"/>
        <v>0</v>
      </c>
      <c r="AH327" s="176">
        <f t="shared" si="119"/>
        <v>6</v>
      </c>
      <c r="AI327" s="224">
        <f t="shared" si="120"/>
        <v>0.39829481426349167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44875</v>
      </c>
      <c r="B328" s="1147">
        <v>22.167999999999999</v>
      </c>
      <c r="C328" s="388"/>
      <c r="D328" s="391">
        <f t="shared" si="102"/>
        <v>22.770839436052384</v>
      </c>
      <c r="E328" s="383">
        <f t="shared" si="125"/>
        <v>23.174499637743352</v>
      </c>
      <c r="F328" s="383">
        <f t="shared" si="103"/>
        <v>23.492007073605752</v>
      </c>
      <c r="G328" s="110">
        <f t="shared" si="126"/>
        <v>0.70068170132363805</v>
      </c>
      <c r="H328" s="412" t="b">
        <f>Wh_hp&gt;='2021'!Maxi_hp</f>
        <v>1</v>
      </c>
      <c r="I328" s="379">
        <f>IF(H328,Wh_hp,'2021'!Maxi_hp)</f>
        <v>23.492007073605752</v>
      </c>
      <c r="J328" s="85">
        <f>IF(H328,An,'2021'!An_max)</f>
        <v>2022</v>
      </c>
      <c r="K328" s="197">
        <f t="shared" si="104"/>
        <v>44875</v>
      </c>
      <c r="L328" s="147">
        <f>IF(t&lt;Tvie,1-EXP((T0-t)*PertePVj)+'2021'!Pspv,1-EXP((T0-t)*PertePVj)+Pspv)</f>
        <v>2.6474185887847779E-2</v>
      </c>
      <c r="M328" s="832"/>
      <c r="N328" s="832"/>
      <c r="O328" s="48">
        <f>IF(t&lt;Tnet,'2021'!Resal+('2021'!Salim-'2021'!Resal)*(1-EXP(('2021'!Tnet-t)/('2021'!Tau_j))),Resal+(Salim-Resal)*(1-EXP((Tnet-t)/(Tau_j))))*Salcycl</f>
        <v>1.7418292002022103E-2</v>
      </c>
      <c r="P328" s="169">
        <f>(INDEX(Models!$BJ328:$BT328,,T328)*(1-R328)+INDEX(Models!$BJ328:$BT328,,T328+1)*R328-ERP_i)*Q328*Ramure*Pc/MaxiM</f>
        <v>2.3209195633239567E-2</v>
      </c>
      <c r="Q328" s="304">
        <f t="shared" si="105"/>
        <v>0.7</v>
      </c>
      <c r="R328" s="177">
        <f t="shared" si="106"/>
        <v>0.33399372441088765</v>
      </c>
      <c r="S328" s="799">
        <f t="shared" si="107"/>
        <v>0</v>
      </c>
      <c r="T328" s="176">
        <f t="shared" si="108"/>
        <v>6</v>
      </c>
      <c r="U328" s="250">
        <f t="shared" si="109"/>
        <v>0.33399372441088765</v>
      </c>
      <c r="V328" s="382">
        <f t="shared" si="110"/>
        <v>31.326873712684822</v>
      </c>
      <c r="W328" s="400">
        <f t="shared" si="111"/>
        <v>0</v>
      </c>
      <c r="X328" s="157">
        <f t="shared" si="112"/>
        <v>44875</v>
      </c>
      <c r="Y328" s="383">
        <f t="shared" si="113"/>
        <v>20.662101014173484</v>
      </c>
      <c r="Z328" s="383">
        <f t="shared" si="114"/>
        <v>21.223988840005394</v>
      </c>
      <c r="AA328" s="384">
        <f t="shared" si="115"/>
        <v>23.159099626564398</v>
      </c>
      <c r="AB328" s="197">
        <f t="shared" si="116"/>
        <v>44875</v>
      </c>
      <c r="AC328" s="119">
        <f>IF(OR(t&lt;Tnet,NoTnet),'2021'!Resal_s+('2021'!Salim-'2021'!Resal_s)*(1-EXP(('2021'!Tnet_s-t)/'2021'!Tau_j)),Resal_s+(Salim-Resal_s)*(1-EXP((Tnet_s-t)/Tau_j)))*Salcycl</f>
        <v>8.3557254718976876E-2</v>
      </c>
      <c r="AD328" s="230">
        <f>(INDEX(Models!$BJ328:$BT328,,AH328)*(1-AF328)+INDEX(Models!$BJ328:$BT328,,AH328+1)*AF328-ERP_i)*AE328*Ramure*Pc/MaxiM</f>
        <v>2.4334907449202445E-2</v>
      </c>
      <c r="AE328" s="304">
        <f t="shared" si="117"/>
        <v>0.7</v>
      </c>
      <c r="AF328" s="177">
        <f t="shared" si="118"/>
        <v>0.3983259466707198</v>
      </c>
      <c r="AG328" s="799">
        <f t="shared" si="124"/>
        <v>0</v>
      </c>
      <c r="AH328" s="176">
        <f t="shared" si="119"/>
        <v>6</v>
      </c>
      <c r="AI328" s="224">
        <f t="shared" si="120"/>
        <v>0.3983259466707198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44876</v>
      </c>
      <c r="B329" s="1147">
        <v>30.086000000000002</v>
      </c>
      <c r="C329" s="388"/>
      <c r="D329" s="391">
        <f t="shared" si="102"/>
        <v>30.904754826471091</v>
      </c>
      <c r="E329" s="383">
        <f t="shared" si="125"/>
        <v>31.453802012636629</v>
      </c>
      <c r="F329" s="383">
        <f t="shared" si="103"/>
        <v>32.162208991726168</v>
      </c>
      <c r="G329" s="110">
        <f t="shared" si="126"/>
        <v>0.96688401115495481</v>
      </c>
      <c r="H329" s="412" t="b">
        <f>Wh_hp&gt;='2021'!Maxi_hp</f>
        <v>1</v>
      </c>
      <c r="I329" s="379">
        <f>IF(H329,Wh_hp,'2021'!Maxi_hp)</f>
        <v>32.162208991726168</v>
      </c>
      <c r="J329" s="85">
        <f>IF(H329,An,'2021'!An_max)</f>
        <v>2022</v>
      </c>
      <c r="K329" s="197">
        <f t="shared" si="104"/>
        <v>44876</v>
      </c>
      <c r="L329" s="147">
        <f>IF(t&lt;Tvie,1-EXP((T0-t)*PertePVj)+'2021'!Pspv,1-EXP((T0-t)*PertePVj)+Pspv)</f>
        <v>2.6492843287978296E-2</v>
      </c>
      <c r="M329" s="832"/>
      <c r="N329" s="832"/>
      <c r="O329" s="48">
        <f>IF(t&lt;Tnet,'2021'!Resal+('2021'!Salim-'2021'!Resal)*(1-EXP(('2021'!Tnet-t)/('2021'!Tau_j))),Resal+(Salim-Resal)*(1-EXP((Tnet-t)/(Tau_j))))*Salcycl</f>
        <v>1.7455669936020976E-2</v>
      </c>
      <c r="P329" s="169">
        <f>(INDEX(Models!$BJ329:$BT329,,T329)*(1-R329)+INDEX(Models!$BJ329:$BT329,,T329+1)*R329-ERP_i)*Q329*Ramure*Pc/MaxiM</f>
        <v>2.3083603426771473E-2</v>
      </c>
      <c r="Q329" s="304">
        <f t="shared" si="105"/>
        <v>0.7</v>
      </c>
      <c r="R329" s="177">
        <f t="shared" si="106"/>
        <v>0.33402360789568536</v>
      </c>
      <c r="S329" s="799">
        <f t="shared" si="107"/>
        <v>0</v>
      </c>
      <c r="T329" s="176">
        <f t="shared" si="108"/>
        <v>6</v>
      </c>
      <c r="U329" s="250">
        <f t="shared" si="109"/>
        <v>0.33402360789568536</v>
      </c>
      <c r="V329" s="382">
        <f t="shared" si="110"/>
        <v>31.082804176115321</v>
      </c>
      <c r="W329" s="400">
        <f t="shared" si="111"/>
        <v>0</v>
      </c>
      <c r="X329" s="157">
        <f t="shared" si="112"/>
        <v>44876</v>
      </c>
      <c r="Y329" s="383">
        <f t="shared" si="113"/>
        <v>28.0335118372642</v>
      </c>
      <c r="Z329" s="383">
        <f t="shared" si="114"/>
        <v>28.796410631377558</v>
      </c>
      <c r="AA329" s="384">
        <f t="shared" si="115"/>
        <v>31.419637736759508</v>
      </c>
      <c r="AB329" s="197">
        <f t="shared" si="116"/>
        <v>44876</v>
      </c>
      <c r="AC329" s="119">
        <f>IF(OR(t&lt;Tnet,NoTnet),'2021'!Resal_s+('2021'!Salim-'2021'!Resal_s)*(1-EXP(('2021'!Tnet_s-t)/'2021'!Tau_j)),Resal_s+(Salim-Resal_s)*(1-EXP((Tnet_s-t)/Tau_j)))*Salcycl</f>
        <v>8.3490049355753687E-2</v>
      </c>
      <c r="AD329" s="230">
        <f>(INDEX(Models!$BJ329:$BT329,,AH329)*(1-AF329)+INDEX(Models!$BJ329:$BT329,,AH329+1)*AF329-ERP_i)*AE329*Ramure*Pc/MaxiM</f>
        <v>2.4196854169619739E-2</v>
      </c>
      <c r="AE329" s="304">
        <f t="shared" si="117"/>
        <v>0.7</v>
      </c>
      <c r="AF329" s="177">
        <f t="shared" si="118"/>
        <v>0.39835583015551751</v>
      </c>
      <c r="AG329" s="799">
        <f t="shared" si="124"/>
        <v>0</v>
      </c>
      <c r="AH329" s="176">
        <f t="shared" si="119"/>
        <v>6</v>
      </c>
      <c r="AI329" s="224">
        <f t="shared" si="120"/>
        <v>0.39835583015551751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44877</v>
      </c>
      <c r="B330" s="1147">
        <v>29.842000000000002</v>
      </c>
      <c r="C330" s="388"/>
      <c r="D330" s="391">
        <f t="shared" si="102"/>
        <v>30.654702146078488</v>
      </c>
      <c r="E330" s="383">
        <f t="shared" si="125"/>
        <v>31.200495769852196</v>
      </c>
      <c r="F330" s="383">
        <f t="shared" si="103"/>
        <v>31.898010175653884</v>
      </c>
      <c r="G330" s="110">
        <f t="shared" si="126"/>
        <v>0.96658293664175221</v>
      </c>
      <c r="H330" s="412" t="b">
        <f>Wh_hp&gt;='2021'!Maxi_hp</f>
        <v>0</v>
      </c>
      <c r="I330" s="379">
        <f>IF(H330,Wh_hp,'2021'!Maxi_hp)</f>
        <v>33.228636444643307</v>
      </c>
      <c r="J330" s="85">
        <f>IF(H330,An,'2021'!An_max)</f>
        <v>2020</v>
      </c>
      <c r="K330" s="197">
        <f t="shared" si="104"/>
        <v>44877</v>
      </c>
      <c r="L330" s="147">
        <f>IF(t&lt;Tvie,1-EXP((T0-t)*PertePVj)+'2021'!Pspv,1-EXP((T0-t)*PertePVj)+Pspv)</f>
        <v>2.6511500330543947E-2</v>
      </c>
      <c r="M330" s="832"/>
      <c r="N330" s="832"/>
      <c r="O330" s="48">
        <f>IF(t&lt;Tnet,'2021'!Resal+('2021'!Salim-'2021'!Resal)*(1-EXP(('2021'!Tnet-t)/('2021'!Tau_j))),Resal+(Salim-Resal)*(1-EXP((Tnet-t)/(Tau_j))))*Salcycl</f>
        <v>1.7493107410847242E-2</v>
      </c>
      <c r="P330" s="169">
        <f>(INDEX(Models!$BJ330:$BT330,,T330)*(1-R330)+INDEX(Models!$BJ330:$BT330,,T330+1)*R330-ERP_i)*Q330*Ramure*Pc/MaxiM</f>
        <v>2.2927181498316414E-2</v>
      </c>
      <c r="Q330" s="304">
        <f t="shared" si="105"/>
        <v>0.7</v>
      </c>
      <c r="R330" s="177">
        <f t="shared" si="106"/>
        <v>0.33405229238453593</v>
      </c>
      <c r="S330" s="799">
        <f t="shared" si="107"/>
        <v>0</v>
      </c>
      <c r="T330" s="176">
        <f t="shared" si="108"/>
        <v>6</v>
      </c>
      <c r="U330" s="250">
        <f t="shared" si="109"/>
        <v>0.33405229238453593</v>
      </c>
      <c r="V330" s="382">
        <f t="shared" si="110"/>
        <v>30.840245808537055</v>
      </c>
      <c r="W330" s="400">
        <f t="shared" si="111"/>
        <v>0</v>
      </c>
      <c r="X330" s="157">
        <f t="shared" si="112"/>
        <v>44877</v>
      </c>
      <c r="Y330" s="383">
        <f t="shared" si="113"/>
        <v>27.809563701410774</v>
      </c>
      <c r="Z330" s="383">
        <f t="shared" si="114"/>
        <v>28.566915490890128</v>
      </c>
      <c r="AA330" s="384">
        <f t="shared" si="115"/>
        <v>31.166979618301742</v>
      </c>
      <c r="AB330" s="197">
        <f t="shared" si="116"/>
        <v>44877</v>
      </c>
      <c r="AC330" s="119">
        <f>IF(OR(t&lt;Tnet,NoTnet),'2021'!Resal_s+('2021'!Salim-'2021'!Resal_s)*(1-EXP(('2021'!Tnet_s-t)/'2021'!Tau_j)),Resal_s+(Salim-Resal_s)*(1-EXP((Tnet_s-t)/Tau_j)))*Salcycl</f>
        <v>8.3423679780789989E-2</v>
      </c>
      <c r="AD330" s="230">
        <f>(INDEX(Models!$BJ330:$BT330,,AH330)*(1-AF330)+INDEX(Models!$BJ330:$BT330,,AH330+1)*AF330-ERP_i)*AE330*Ramure*Pc/MaxiM</f>
        <v>2.4028851776852416E-2</v>
      </c>
      <c r="AE330" s="304">
        <f t="shared" si="117"/>
        <v>0.7</v>
      </c>
      <c r="AF330" s="177">
        <f t="shared" si="118"/>
        <v>0.39838451464436808</v>
      </c>
      <c r="AG330" s="799">
        <f t="shared" si="124"/>
        <v>0</v>
      </c>
      <c r="AH330" s="176">
        <f t="shared" si="119"/>
        <v>6</v>
      </c>
      <c r="AI330" s="224">
        <f t="shared" si="120"/>
        <v>0.39838451464436808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44878</v>
      </c>
      <c r="B331" s="1147">
        <v>29.998000000000001</v>
      </c>
      <c r="C331" s="388"/>
      <c r="D331" s="391">
        <f t="shared" si="102"/>
        <v>30.815541145098663</v>
      </c>
      <c r="E331" s="383">
        <f t="shared" si="125"/>
        <v>31.36539604115826</v>
      </c>
      <c r="F331" s="383">
        <f t="shared" si="103"/>
        <v>32.07432066777686</v>
      </c>
      <c r="G331" s="110">
        <f t="shared" si="126"/>
        <v>0.97973757040447906</v>
      </c>
      <c r="H331" s="412" t="b">
        <f>Wh_hp&gt;='2021'!Maxi_hp</f>
        <v>1</v>
      </c>
      <c r="I331" s="379">
        <f>IF(H331,Wh_hp,'2021'!Maxi_hp)</f>
        <v>32.07432066777686</v>
      </c>
      <c r="J331" s="85">
        <f>IF(H331,An,'2021'!An_max)</f>
        <v>2022</v>
      </c>
      <c r="K331" s="197">
        <f t="shared" si="104"/>
        <v>44878</v>
      </c>
      <c r="L331" s="147">
        <f>IF(t&lt;Tvie,1-EXP((T0-t)*PertePVj)+'2021'!Pspv,1-EXP((T0-t)*PertePVj)+Pspv)</f>
        <v>2.6530157015551725E-2</v>
      </c>
      <c r="M331" s="832"/>
      <c r="N331" s="832"/>
      <c r="O331" s="48">
        <f>IF(t&lt;Tnet,'2021'!Resal+('2021'!Salim-'2021'!Resal)*(1-EXP(('2021'!Tnet-t)/('2021'!Tau_j))),Resal+(Salim-Resal)*(1-EXP((Tnet-t)/(Tau_j))))*Salcycl</f>
        <v>1.7530621814501206E-2</v>
      </c>
      <c r="P331" s="169">
        <f>(INDEX(Models!$BJ331:$BT331,,T331)*(1-R331)+INDEX(Models!$BJ331:$BT331,,T331+1)*R331-ERP_i)*Q331*Ramure*Pc/MaxiM</f>
        <v>2.2740040076591504E-2</v>
      </c>
      <c r="Q331" s="304">
        <f t="shared" si="105"/>
        <v>0.7</v>
      </c>
      <c r="R331" s="177">
        <f t="shared" si="106"/>
        <v>0.33407982582193652</v>
      </c>
      <c r="S331" s="799">
        <f t="shared" si="107"/>
        <v>0</v>
      </c>
      <c r="T331" s="176">
        <f t="shared" si="108"/>
        <v>6</v>
      </c>
      <c r="U331" s="250">
        <f t="shared" si="109"/>
        <v>0.33407982582193652</v>
      </c>
      <c r="V331" s="382">
        <f t="shared" si="110"/>
        <v>30.598443484479105</v>
      </c>
      <c r="W331" s="400">
        <f t="shared" si="111"/>
        <v>0</v>
      </c>
      <c r="X331" s="157">
        <f t="shared" si="112"/>
        <v>44878</v>
      </c>
      <c r="Y331" s="383">
        <f t="shared" si="113"/>
        <v>27.95771819004533</v>
      </c>
      <c r="Z331" s="383">
        <f t="shared" si="114"/>
        <v>28.719655150623883</v>
      </c>
      <c r="AA331" s="384">
        <f t="shared" si="115"/>
        <v>31.331383541507034</v>
      </c>
      <c r="AB331" s="197">
        <f t="shared" si="116"/>
        <v>44878</v>
      </c>
      <c r="AC331" s="119">
        <f>IF(OR(t&lt;Tnet,NoTnet),'2021'!Resal_s+('2021'!Salim-'2021'!Resal_s)*(1-EXP(('2021'!Tnet_s-t)/'2021'!Tau_j)),Resal_s+(Salim-Resal_s)*(1-EXP((Tnet_s-t)/Tau_j)))*Salcycl</f>
        <v>8.3358220916838921E-2</v>
      </c>
      <c r="AD331" s="230">
        <f>(INDEX(Models!$BJ331:$BT331,,AH331)*(1-AF331)+INDEX(Models!$BJ331:$BT331,,AH331+1)*AF331-ERP_i)*AE331*Ramure*Pc/MaxiM</f>
        <v>2.3831052542702444E-2</v>
      </c>
      <c r="AE331" s="304">
        <f t="shared" si="117"/>
        <v>0.7</v>
      </c>
      <c r="AF331" s="177">
        <f t="shared" si="118"/>
        <v>0.39841204808176867</v>
      </c>
      <c r="AG331" s="799">
        <f t="shared" si="124"/>
        <v>0</v>
      </c>
      <c r="AH331" s="176">
        <f t="shared" si="119"/>
        <v>6</v>
      </c>
      <c r="AI331" s="224">
        <f t="shared" si="120"/>
        <v>0.39841204808176867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44879</v>
      </c>
      <c r="B332" s="1147">
        <v>12.742000000000001</v>
      </c>
      <c r="C332" s="388"/>
      <c r="D332" s="391">
        <f t="shared" si="102"/>
        <v>13.089510983861807</v>
      </c>
      <c r="E332" s="383">
        <f t="shared" si="125"/>
        <v>13.323582750573454</v>
      </c>
      <c r="F332" s="383">
        <f t="shared" si="103"/>
        <v>13.37514395194826</v>
      </c>
      <c r="G332" s="110">
        <f t="shared" si="126"/>
        <v>0.41187300995691606</v>
      </c>
      <c r="H332" s="412" t="b">
        <f>Wh_hp&gt;='2021'!Maxi_hp</f>
        <v>0</v>
      </c>
      <c r="I332" s="379">
        <f>IF(H332,Wh_hp,'2021'!Maxi_hp)</f>
        <v>18.993319038472997</v>
      </c>
      <c r="J332" s="85">
        <f>IF(H332,An,'2021'!An_max)</f>
        <v>2020</v>
      </c>
      <c r="K332" s="197">
        <f t="shared" si="104"/>
        <v>44879</v>
      </c>
      <c r="L332" s="147">
        <f>IF(t&lt;Tvie,1-EXP((T0-t)*PertePVj)+'2021'!Pspv,1-EXP((T0-t)*PertePVj)+Pspv)</f>
        <v>2.6548813343008404E-2</v>
      </c>
      <c r="M332" s="832"/>
      <c r="N332" s="832"/>
      <c r="O332" s="48">
        <f>IF(t&lt;Tnet,'2021'!Resal+('2021'!Salim-'2021'!Resal)*(1-EXP(('2021'!Tnet-t)/('2021'!Tau_j))),Resal+(Salim-Resal)*(1-EXP((Tnet-t)/(Tau_j))))*Salcycl</f>
        <v>1.7568230039444289E-2</v>
      </c>
      <c r="P332" s="169">
        <f>(INDEX(Models!$BJ332:$BT332,,T332)*(1-R332)+INDEX(Models!$BJ332:$BT332,,T332+1)*R332-ERP_i)*Q332*Ramure*Pc/MaxiM</f>
        <v>2.2535511240806071E-2</v>
      </c>
      <c r="Q332" s="304">
        <f t="shared" si="105"/>
        <v>0.7</v>
      </c>
      <c r="R332" s="177">
        <f t="shared" si="106"/>
        <v>0.33410625424798585</v>
      </c>
      <c r="S332" s="799">
        <f t="shared" si="107"/>
        <v>0</v>
      </c>
      <c r="T332" s="176">
        <f t="shared" si="108"/>
        <v>6</v>
      </c>
      <c r="U332" s="250">
        <f t="shared" si="109"/>
        <v>0.33410625424798585</v>
      </c>
      <c r="V332" s="382">
        <f t="shared" si="110"/>
        <v>30.356569860721319</v>
      </c>
      <c r="W332" s="400">
        <f t="shared" si="111"/>
        <v>0</v>
      </c>
      <c r="X332" s="157">
        <f t="shared" si="112"/>
        <v>44879</v>
      </c>
      <c r="Y332" s="383">
        <f t="shared" si="113"/>
        <v>11.88733881817117</v>
      </c>
      <c r="Z332" s="383">
        <f t="shared" si="114"/>
        <v>12.211540733741826</v>
      </c>
      <c r="AA332" s="384">
        <f t="shared" si="115"/>
        <v>13.321105490583783</v>
      </c>
      <c r="AB332" s="197">
        <f t="shared" si="116"/>
        <v>44879</v>
      </c>
      <c r="AC332" s="119">
        <f>IF(OR(t&lt;Tnet,NoTnet),'2021'!Resal_s+('2021'!Salim-'2021'!Resal_s)*(1-EXP(('2021'!Tnet_s-t)/'2021'!Tau_j)),Resal_s+(Salim-Resal_s)*(1-EXP((Tnet_s-t)/Tau_j)))*Salcycl</f>
        <v>8.3293744473855291E-2</v>
      </c>
      <c r="AD332" s="230">
        <f>(INDEX(Models!$BJ332:$BT332,,AH332)*(1-AF332)+INDEX(Models!$BJ332:$BT332,,AH332+1)*AF332-ERP_i)*AE332*Ramure*Pc/MaxiM</f>
        <v>2.3618230782924861E-2</v>
      </c>
      <c r="AE332" s="304">
        <f t="shared" si="117"/>
        <v>0.7</v>
      </c>
      <c r="AF332" s="177">
        <f t="shared" si="118"/>
        <v>0.398438476507818</v>
      </c>
      <c r="AG332" s="799">
        <f t="shared" si="124"/>
        <v>0</v>
      </c>
      <c r="AH332" s="176">
        <f t="shared" si="119"/>
        <v>6</v>
      </c>
      <c r="AI332" s="224">
        <f t="shared" si="120"/>
        <v>0.398438476507818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44880</v>
      </c>
      <c r="B333" s="1147">
        <v>13.946</v>
      </c>
      <c r="C333" s="388"/>
      <c r="D333" s="391">
        <f t="shared" si="102"/>
        <v>14.326622092808503</v>
      </c>
      <c r="E333" s="383">
        <f t="shared" si="125"/>
        <v>14.583376262852598</v>
      </c>
      <c r="F333" s="383">
        <f t="shared" si="103"/>
        <v>14.659703142658312</v>
      </c>
      <c r="G333" s="110">
        <f t="shared" si="126"/>
        <v>0.45512764188975824</v>
      </c>
      <c r="H333" s="412" t="b">
        <f>Wh_hp&gt;='2021'!Maxi_hp</f>
        <v>0</v>
      </c>
      <c r="I333" s="379">
        <f>IF(H333,Wh_hp,'2021'!Maxi_hp)</f>
        <v>31.702886154707713</v>
      </c>
      <c r="J333" s="85">
        <f>IF(H333,An,'2021'!An_max)</f>
        <v>2020</v>
      </c>
      <c r="K333" s="197">
        <f t="shared" si="104"/>
        <v>44880</v>
      </c>
      <c r="L333" s="147">
        <f>IF(t&lt;Tvie,1-EXP((T0-t)*PertePVj)+'2021'!Pspv,1-EXP((T0-t)*PertePVj)+Pspv)</f>
        <v>2.6567469312920755E-2</v>
      </c>
      <c r="M333" s="832"/>
      <c r="N333" s="832"/>
      <c r="O333" s="48">
        <f>IF(t&lt;Tnet,'2021'!Resal+('2021'!Salim-'2021'!Resal)*(1-EXP(('2021'!Tnet-t)/('2021'!Tau_j))),Resal+(Salim-Resal)*(1-EXP((Tnet-t)/(Tau_j))))*Salcycl</f>
        <v>1.7605948404287516E-2</v>
      </c>
      <c r="P333" s="169">
        <f>(INDEX(Models!$BJ333:$BT333,,T333)*(1-R333)+INDEX(Models!$BJ333:$BT333,,T333+1)*R333-ERP_i)*Q333*Ramure*Pc/MaxiM</f>
        <v>2.2344992114784436E-2</v>
      </c>
      <c r="Q333" s="304">
        <f t="shared" si="105"/>
        <v>0.7</v>
      </c>
      <c r="R333" s="177">
        <f t="shared" si="106"/>
        <v>0.33413162187302192</v>
      </c>
      <c r="S333" s="799">
        <f t="shared" si="107"/>
        <v>0</v>
      </c>
      <c r="T333" s="176">
        <f t="shared" si="108"/>
        <v>6</v>
      </c>
      <c r="U333" s="250">
        <f t="shared" si="109"/>
        <v>0.33413162187302192</v>
      </c>
      <c r="V333" s="382">
        <f t="shared" si="110"/>
        <v>30.11405034156769</v>
      </c>
      <c r="W333" s="400">
        <f t="shared" si="111"/>
        <v>0</v>
      </c>
      <c r="X333" s="157">
        <f t="shared" si="112"/>
        <v>44880</v>
      </c>
      <c r="Y333" s="383">
        <f t="shared" si="113"/>
        <v>13.011118430859437</v>
      </c>
      <c r="Z333" s="383">
        <f t="shared" si="114"/>
        <v>13.366225208927197</v>
      </c>
      <c r="AA333" s="384">
        <f t="shared" si="115"/>
        <v>14.579698129748774</v>
      </c>
      <c r="AB333" s="197">
        <f t="shared" si="116"/>
        <v>44880</v>
      </c>
      <c r="AC333" s="119">
        <f>IF(OR(t&lt;Tnet,NoTnet),'2021'!Resal_s+('2021'!Salim-'2021'!Resal_s)*(1-EXP(('2021'!Tnet_s-t)/'2021'!Tau_j)),Resal_s+(Salim-Resal_s)*(1-EXP((Tnet_s-t)/Tau_j)))*Salcycl</f>
        <v>8.3230318626801789E-2</v>
      </c>
      <c r="AD333" s="230">
        <f>(INDEX(Models!$BJ333:$BT333,,AH333)*(1-AF333)+INDEX(Models!$BJ333:$BT333,,AH333+1)*AF333-ERP_i)*AE333*Ramure*Pc/MaxiM</f>
        <v>2.3421779943806724E-2</v>
      </c>
      <c r="AE333" s="304">
        <f t="shared" si="117"/>
        <v>0.7</v>
      </c>
      <c r="AF333" s="177">
        <f t="shared" si="118"/>
        <v>0.39846384413285407</v>
      </c>
      <c r="AG333" s="799">
        <f t="shared" si="124"/>
        <v>0</v>
      </c>
      <c r="AH333" s="176">
        <f t="shared" si="119"/>
        <v>6</v>
      </c>
      <c r="AI333" s="224">
        <f t="shared" si="120"/>
        <v>0.39846384413285407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44881</v>
      </c>
      <c r="B334" s="1147">
        <v>29.373000000000001</v>
      </c>
      <c r="C334" s="388"/>
      <c r="D334" s="391">
        <f t="shared" si="102"/>
        <v>30.175242774041802</v>
      </c>
      <c r="E334" s="383">
        <f t="shared" si="125"/>
        <v>30.717210871252405</v>
      </c>
      <c r="F334" s="383">
        <f t="shared" si="103"/>
        <v>31.396638682128184</v>
      </c>
      <c r="G334" s="110">
        <f t="shared" si="126"/>
        <v>0.98278736698523528</v>
      </c>
      <c r="H334" s="412" t="b">
        <f>Wh_hp&gt;='2021'!Maxi_hp</f>
        <v>1</v>
      </c>
      <c r="I334" s="379">
        <f>IF(H334,Wh_hp,'2021'!Maxi_hp)</f>
        <v>31.396638682128184</v>
      </c>
      <c r="J334" s="85">
        <f>IF(H334,An,'2021'!An_max)</f>
        <v>2022</v>
      </c>
      <c r="K334" s="197">
        <f t="shared" si="104"/>
        <v>44881</v>
      </c>
      <c r="L334" s="147">
        <f>IF(t&lt;Tvie,1-EXP((T0-t)*PertePVj)+'2021'!Pspv,1-EXP((T0-t)*PertePVj)+Pspv)</f>
        <v>2.6586124925295662E-2</v>
      </c>
      <c r="M334" s="832"/>
      <c r="N334" s="832"/>
      <c r="O334" s="48">
        <f>IF(t&lt;Tnet,'2021'!Resal+('2021'!Salim-'2021'!Resal)*(1-EXP(('2021'!Tnet-t)/('2021'!Tau_j))),Resal+(Salim-Resal)*(1-EXP((Tnet-t)/(Tau_j))))*Salcycl</f>
        <v>1.7643792578766363E-2</v>
      </c>
      <c r="P334" s="169">
        <f>(INDEX(Models!$BJ334:$BT334,,T334)*(1-R334)+INDEX(Models!$BJ334:$BT334,,T334+1)*R334-ERP_i)*Q334*Ramure*Pc/MaxiM</f>
        <v>2.2168439756316119E-2</v>
      </c>
      <c r="Q334" s="304">
        <f t="shared" si="105"/>
        <v>0.7</v>
      </c>
      <c r="R334" s="177">
        <f t="shared" si="106"/>
        <v>0.33415597114941359</v>
      </c>
      <c r="S334" s="799">
        <f t="shared" si="107"/>
        <v>0</v>
      </c>
      <c r="T334" s="176">
        <f t="shared" si="108"/>
        <v>6</v>
      </c>
      <c r="U334" s="250">
        <f t="shared" si="109"/>
        <v>0.33415597114941359</v>
      </c>
      <c r="V334" s="382">
        <f t="shared" si="110"/>
        <v>29.871302939986684</v>
      </c>
      <c r="W334" s="400">
        <f t="shared" si="111"/>
        <v>0</v>
      </c>
      <c r="X334" s="157">
        <f t="shared" si="112"/>
        <v>44881</v>
      </c>
      <c r="Y334" s="383">
        <f t="shared" si="113"/>
        <v>27.3844335154139</v>
      </c>
      <c r="Z334" s="383">
        <f t="shared" si="114"/>
        <v>28.132364060777633</v>
      </c>
      <c r="AA334" s="384">
        <f t="shared" si="115"/>
        <v>30.684317625792005</v>
      </c>
      <c r="AB334" s="197">
        <f t="shared" si="116"/>
        <v>44881</v>
      </c>
      <c r="AC334" s="119">
        <f>IF(OR(t&lt;Tnet,NoTnet),'2021'!Resal_s+('2021'!Salim-'2021'!Resal_s)*(1-EXP(('2021'!Tnet_s-t)/'2021'!Tau_j)),Resal_s+(Salim-Resal_s)*(1-EXP((Tnet_s-t)/Tau_j)))*Salcycl</f>
        <v>8.3168007714445782E-2</v>
      </c>
      <c r="AD334" s="230">
        <f>(INDEX(Models!$BJ334:$BT334,,AH334)*(1-AF334)+INDEX(Models!$BJ334:$BT334,,AH334+1)*AF334-ERP_i)*AE334*Ramure*Pc/MaxiM</f>
        <v>2.3241683916631929E-2</v>
      </c>
      <c r="AE334" s="304">
        <f t="shared" si="117"/>
        <v>0.7</v>
      </c>
      <c r="AF334" s="177">
        <f t="shared" si="118"/>
        <v>0.39848819340924574</v>
      </c>
      <c r="AG334" s="799">
        <f t="shared" si="124"/>
        <v>0</v>
      </c>
      <c r="AH334" s="176">
        <f t="shared" si="119"/>
        <v>6</v>
      </c>
      <c r="AI334" s="224">
        <f t="shared" si="120"/>
        <v>0.39848819340924574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44882</v>
      </c>
      <c r="B335" s="1147">
        <v>12.907999999999999</v>
      </c>
      <c r="C335" s="388"/>
      <c r="D335" s="391">
        <f t="shared" ref="D335:D379" si="127">Wh/(1-Ppv)</f>
        <v>13.26080068729822</v>
      </c>
      <c r="E335" s="383">
        <f t="shared" si="125"/>
        <v>13.499495767999543</v>
      </c>
      <c r="F335" s="383">
        <f t="shared" ref="F335:F379" si="128">Wh_sa/(1-Pvg*MEDIAN((-Sdif+Wh/Env_an)/Csdif,0,1))</f>
        <v>13.557313150721729</v>
      </c>
      <c r="G335" s="110">
        <f t="shared" si="126"/>
        <v>0.42789581887089279</v>
      </c>
      <c r="H335" s="412" t="b">
        <f>Wh_hp&gt;='2021'!Maxi_hp</f>
        <v>0</v>
      </c>
      <c r="I335" s="379">
        <f>IF(H335,Wh_hp,'2021'!Maxi_hp)</f>
        <v>19.304439918384041</v>
      </c>
      <c r="J335" s="85">
        <f>IF(H335,An,'2021'!An_max)</f>
        <v>2020</v>
      </c>
      <c r="K335" s="197">
        <f t="shared" ref="K335:K379" si="129">t</f>
        <v>44882</v>
      </c>
      <c r="L335" s="147">
        <f>IF(t&lt;Tvie,1-EXP((T0-t)*PertePVj)+'2021'!Pspv,1-EXP((T0-t)*PertePVj)+Pspv)</f>
        <v>2.660478018014012E-2</v>
      </c>
      <c r="M335" s="832"/>
      <c r="N335" s="832"/>
      <c r="O335" s="48">
        <f>IF(t&lt;Tnet,'2021'!Resal+('2021'!Salim-'2021'!Resal)*(1-EXP(('2021'!Tnet-t)/('2021'!Tau_j))),Resal+(Salim-Resal)*(1-EXP((Tnet-t)/(Tau_j))))*Salcycl</f>
        <v>1.7681777512545925E-2</v>
      </c>
      <c r="P335" s="169">
        <f>(INDEX(Models!$BJ335:$BT335,,T335)*(1-R335)+INDEX(Models!$BJ335:$BT335,,T335+1)*R335-ERP_i)*Q335*Ramure*Pc/MaxiM</f>
        <v>2.2005814276977592E-2</v>
      </c>
      <c r="Q335" s="304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0.33417934284060896</v>
      </c>
      <c r="S335" s="799">
        <f t="shared" ref="S335:S379" si="132">INDEX(Echel_vg,T335)</f>
        <v>0</v>
      </c>
      <c r="T335" s="176">
        <f t="shared" ref="T335:T379" si="133">MIN(MATCH(Hp_vg,Echel_vg),10)</f>
        <v>6</v>
      </c>
      <c r="U335" s="250">
        <f t="shared" ref="U335:U379" si="134">IF(OR(t&lt;Ttai,Notai),Hdd+PousH*Croivg,Hdtf+PousH*(Croivg-Croi_tai))</f>
        <v>0.33417934284060896</v>
      </c>
      <c r="V335" s="382">
        <f t="shared" ref="V335:V379" si="135">MaxiM*(1-Ppv)*(1-Pvg)*(1-Psa)</f>
        <v>29.628745755393709</v>
      </c>
      <c r="W335" s="400">
        <f t="shared" ref="W335:W379" si="136">Wh*(A335&gt;Tmaj)</f>
        <v>0</v>
      </c>
      <c r="X335" s="157">
        <f t="shared" ref="X335:X379" si="137">t</f>
        <v>44882</v>
      </c>
      <c r="Y335" s="383">
        <f t="shared" ref="Y335:Y379" si="138">Wh_pvt_s*(1-Ppv)</f>
        <v>12.045777677167264</v>
      </c>
      <c r="Z335" s="383">
        <f t="shared" ref="Z335:Z379" si="139">Wh_sa_s*(1-Psa_s)</f>
        <v>12.375012155285189</v>
      </c>
      <c r="AA335" s="384">
        <f t="shared" ref="AA335:AA379" si="140">Wh_hp*(1-Pvg_s*MEDIAN((-Sdif+Wh/Env_an)/Csdif,0,1))</f>
        <v>13.496678922390657</v>
      </c>
      <c r="AB335" s="197">
        <f t="shared" ref="AB335:AB379" si="141">t</f>
        <v>44882</v>
      </c>
      <c r="AC335" s="119">
        <f>IF(OR(t&lt;Tnet,NoTnet),'2021'!Resal_s+('2021'!Salim-'2021'!Resal_s)*(1-EXP(('2021'!Tnet_s-t)/'2021'!Tau_j)),Resal_s+(Salim-Resal_s)*(1-EXP((Tnet_s-t)/Tau_j)))*Salcycl</f>
        <v>8.3106871961268314E-2</v>
      </c>
      <c r="AD335" s="230">
        <f>(INDEX(Models!$BJ335:$BT335,,AH335)*(1-AF335)+INDEX(Models!$BJ335:$BT335,,AH335+1)*AF335-ERP_i)*AE335*Ramure*Pc/MaxiM</f>
        <v>2.3077930972641526E-2</v>
      </c>
      <c r="AE335" s="304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0.39851156510044111</v>
      </c>
      <c r="AG335" s="799">
        <f t="shared" si="124"/>
        <v>0</v>
      </c>
      <c r="AH335" s="176">
        <f t="shared" ref="AH335:AH379" si="144">MIN(MATCH(Hp_vg_s,Echel_vg),10)</f>
        <v>6</v>
      </c>
      <c r="AI335" s="224">
        <f t="shared" ref="AI335:AI379" si="145">IF(OR(t&lt;Ttai,Notai),Hdd_s+PousH*Croivg,Hdtai_s+PousH*(Croivg-Croi_tai))</f>
        <v>0.39851156510044111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44883</v>
      </c>
      <c r="B336" s="1147">
        <v>14.841000000000001</v>
      </c>
      <c r="C336" s="388"/>
      <c r="D336" s="391">
        <f t="shared" si="127"/>
        <v>15.246925532032959</v>
      </c>
      <c r="E336" s="383">
        <f t="shared" si="125"/>
        <v>15.521973622009025</v>
      </c>
      <c r="F336" s="383">
        <f t="shared" si="128"/>
        <v>15.621981022489312</v>
      </c>
      <c r="G336" s="110">
        <f t="shared" si="126"/>
        <v>0.49716711479084807</v>
      </c>
      <c r="H336" s="412" t="b">
        <f>Wh_hp&gt;='2021'!Maxi_hp</f>
        <v>0</v>
      </c>
      <c r="I336" s="379">
        <f>IF(H336,Wh_hp,'2021'!Maxi_hp)</f>
        <v>28.981060402104621</v>
      </c>
      <c r="J336" s="85">
        <f>IF(H336,An,'2021'!An_max)</f>
        <v>2020</v>
      </c>
      <c r="K336" s="197">
        <f t="shared" si="129"/>
        <v>44883</v>
      </c>
      <c r="L336" s="147">
        <f>IF(t&lt;Tvie,1-EXP((T0-t)*PertePVj)+'2021'!Pspv,1-EXP((T0-t)*PertePVj)+Pspv)</f>
        <v>2.6623435077460789E-2</v>
      </c>
      <c r="M336" s="832"/>
      <c r="N336" s="832"/>
      <c r="O336" s="48">
        <f>IF(t&lt;Tnet,'2021'!Resal+('2021'!Salim-'2021'!Resal)*(1-EXP(('2021'!Tnet-t)/('2021'!Tau_j))),Resal+(Salim-Resal)*(1-EXP((Tnet-t)/(Tau_j))))*Salcycl</f>
        <v>1.7719917368372955E-2</v>
      </c>
      <c r="P336" s="169">
        <f>(INDEX(Models!$BJ336:$BT336,,T336)*(1-R336)+INDEX(Models!$BJ336:$BT336,,T336+1)*R336-ERP_i)*Q336*Ramure*Pc/MaxiM</f>
        <v>2.1857077467175173E-2</v>
      </c>
      <c r="Q336" s="304">
        <f t="shared" si="130"/>
        <v>0.7</v>
      </c>
      <c r="R336" s="177">
        <f t="shared" si="131"/>
        <v>0.33420177608753965</v>
      </c>
      <c r="S336" s="799">
        <f t="shared" si="132"/>
        <v>0</v>
      </c>
      <c r="T336" s="176">
        <f t="shared" si="133"/>
        <v>6</v>
      </c>
      <c r="U336" s="250">
        <f t="shared" si="134"/>
        <v>0.33420177608753965</v>
      </c>
      <c r="V336" s="382">
        <f t="shared" si="135"/>
        <v>29.386796961808233</v>
      </c>
      <c r="W336" s="400">
        <f t="shared" si="136"/>
        <v>0</v>
      </c>
      <c r="X336" s="157">
        <f t="shared" si="137"/>
        <v>44883</v>
      </c>
      <c r="Y336" s="383">
        <f t="shared" si="138"/>
        <v>13.849607816262342</v>
      </c>
      <c r="Z336" s="383">
        <f t="shared" si="139"/>
        <v>14.228417156688467</v>
      </c>
      <c r="AA336" s="384">
        <f t="shared" si="140"/>
        <v>15.517062104718455</v>
      </c>
      <c r="AB336" s="197">
        <f t="shared" si="141"/>
        <v>44883</v>
      </c>
      <c r="AC336" s="119">
        <f>IF(OR(t&lt;Tnet,NoTnet),'2021'!Resal_s+('2021'!Salim-'2021'!Resal_s)*(1-EXP(('2021'!Tnet_s-t)/'2021'!Tau_j)),Resal_s+(Salim-Resal_s)*(1-EXP((Tnet_s-t)/Tau_j)))*Salcycl</f>
        <v>8.3046967224429349E-2</v>
      </c>
      <c r="AD336" s="230">
        <f>(INDEX(Models!$BJ336:$BT336,,AH336)*(1-AF336)+INDEX(Models!$BJ336:$BT336,,AH336+1)*AF336-ERP_i)*AE336*Ramure*Pc/MaxiM</f>
        <v>2.2930512166865338E-2</v>
      </c>
      <c r="AE336" s="304">
        <f t="shared" si="142"/>
        <v>0.7</v>
      </c>
      <c r="AF336" s="177">
        <f t="shared" si="143"/>
        <v>0.3985339983473718</v>
      </c>
      <c r="AG336" s="799">
        <f t="shared" ref="AG336:AG379" si="149">INDEX(Echel_vg,AH336)</f>
        <v>0</v>
      </c>
      <c r="AH336" s="176">
        <f t="shared" si="144"/>
        <v>6</v>
      </c>
      <c r="AI336" s="224">
        <f t="shared" si="145"/>
        <v>0.3985339983473718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44884</v>
      </c>
      <c r="B337" s="1147">
        <v>6.2130000000000001</v>
      </c>
      <c r="C337" s="388"/>
      <c r="D337" s="391">
        <f t="shared" si="127"/>
        <v>6.3830580033576529</v>
      </c>
      <c r="E337" s="383">
        <f t="shared" si="125"/>
        <v>6.4984591052924063</v>
      </c>
      <c r="F337" s="383">
        <f t="shared" si="128"/>
        <v>6.4984591052924063</v>
      </c>
      <c r="G337" s="110">
        <f t="shared" si="126"/>
        <v>0.20853860339822761</v>
      </c>
      <c r="H337" s="412" t="b">
        <f>Wh_hp&gt;='2021'!Maxi_hp</f>
        <v>0</v>
      </c>
      <c r="I337" s="379">
        <f>IF(H337,Wh_hp,'2021'!Maxi_hp)</f>
        <v>31.083466174894443</v>
      </c>
      <c r="J337" s="85">
        <f>IF(H337,An,'2021'!An_max)</f>
        <v>2020</v>
      </c>
      <c r="K337" s="197">
        <f t="shared" si="129"/>
        <v>44884</v>
      </c>
      <c r="L337" s="147">
        <f>IF(t&lt;Tvie,1-EXP((T0-t)*PertePVj)+'2021'!Pspv,1-EXP((T0-t)*PertePVj)+Pspv)</f>
        <v>2.6642089617264664E-2</v>
      </c>
      <c r="M337" s="832"/>
      <c r="N337" s="832"/>
      <c r="O337" s="48">
        <f>IF(t&lt;Tnet,'2021'!Resal+('2021'!Salim-'2021'!Resal)*(1-EXP(('2021'!Tnet-t)/('2021'!Tau_j))),Resal+(Salim-Resal)*(1-EXP((Tnet-t)/(Tau_j))))*Salcycl</f>
        <v>1.7758225460058563E-2</v>
      </c>
      <c r="P337" s="169">
        <f>(INDEX(Models!$BJ337:$BT337,,T337)*(1-R337)+INDEX(Models!$BJ337:$BT337,,T337+1)*R337-ERP_i)*Q337*Ramure*Pc/MaxiM</f>
        <v>2.1722191367776776E-2</v>
      </c>
      <c r="Q337" s="304">
        <f t="shared" si="130"/>
        <v>0.7</v>
      </c>
      <c r="R337" s="177">
        <f t="shared" si="131"/>
        <v>0.33422330847247606</v>
      </c>
      <c r="S337" s="799">
        <f t="shared" si="132"/>
        <v>0</v>
      </c>
      <c r="T337" s="176">
        <f t="shared" si="133"/>
        <v>6</v>
      </c>
      <c r="U337" s="250">
        <f t="shared" si="134"/>
        <v>0.33422330847247606</v>
      </c>
      <c r="V337" s="382">
        <f t="shared" si="135"/>
        <v>29.145874797220689</v>
      </c>
      <c r="W337" s="400">
        <f t="shared" si="136"/>
        <v>0</v>
      </c>
      <c r="X337" s="157">
        <f t="shared" si="137"/>
        <v>44884</v>
      </c>
      <c r="Y337" s="383">
        <f t="shared" si="138"/>
        <v>5.800398192825603</v>
      </c>
      <c r="Z337" s="383">
        <f t="shared" si="139"/>
        <v>5.9591627406046568</v>
      </c>
      <c r="AA337" s="384">
        <f t="shared" si="140"/>
        <v>6.4984591052924063</v>
      </c>
      <c r="AB337" s="197">
        <f t="shared" si="141"/>
        <v>44884</v>
      </c>
      <c r="AC337" s="119">
        <f>IF(OR(t&lt;Tnet,NoTnet),'2021'!Resal_s+('2021'!Salim-'2021'!Resal_s)*(1-EXP(('2021'!Tnet_s-t)/'2021'!Tau_j)),Resal_s+(Salim-Resal_s)*(1-EXP((Tnet_s-t)/Tau_j)))*Salcycl</f>
        <v>8.2988344767537511E-2</v>
      </c>
      <c r="AD337" s="230">
        <f>(INDEX(Models!$BJ337:$BT337,,AH337)*(1-AF337)+INDEX(Models!$BJ337:$BT337,,AH337+1)*AF337-ERP_i)*AE337*Ramure*Pc/MaxiM</f>
        <v>2.2799419662616709E-2</v>
      </c>
      <c r="AE337" s="304">
        <f t="shared" si="142"/>
        <v>0.7</v>
      </c>
      <c r="AF337" s="177">
        <f t="shared" si="143"/>
        <v>0.39855553073230821</v>
      </c>
      <c r="AG337" s="799">
        <f t="shared" si="149"/>
        <v>0</v>
      </c>
      <c r="AH337" s="176">
        <f t="shared" si="144"/>
        <v>6</v>
      </c>
      <c r="AI337" s="224">
        <f t="shared" si="145"/>
        <v>0.39855553073230821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44885</v>
      </c>
      <c r="B338" s="1147">
        <v>20.611000000000001</v>
      </c>
      <c r="C338" s="388"/>
      <c r="D338" s="391">
        <f t="shared" si="127"/>
        <v>21.175556075337767</v>
      </c>
      <c r="E338" s="383">
        <f t="shared" si="125"/>
        <v>21.559239702602401</v>
      </c>
      <c r="F338" s="383">
        <f t="shared" si="128"/>
        <v>21.837738548441134</v>
      </c>
      <c r="G338" s="110">
        <f t="shared" si="126"/>
        <v>0.70663519017674969</v>
      </c>
      <c r="H338" s="412" t="b">
        <f>Wh_hp&gt;='2021'!Maxi_hp</f>
        <v>0</v>
      </c>
      <c r="I338" s="379">
        <f>IF(H338,Wh_hp,'2021'!Maxi_hp)</f>
        <v>30.262737933685557</v>
      </c>
      <c r="J338" s="85">
        <f>IF(H338,An,'2021'!An_max)</f>
        <v>2018</v>
      </c>
      <c r="K338" s="197">
        <f t="shared" si="129"/>
        <v>44885</v>
      </c>
      <c r="L338" s="147">
        <f>IF(t&lt;Tvie,1-EXP((T0-t)*PertePVj)+'2021'!Pspv,1-EXP((T0-t)*PertePVj)+Pspv)</f>
        <v>2.6660743799558517E-2</v>
      </c>
      <c r="M338" s="832"/>
      <c r="N338" s="832"/>
      <c r="O338" s="48">
        <f>IF(t&lt;Tnet,'2021'!Resal+('2021'!Salim-'2021'!Resal)*(1-EXP(('2021'!Tnet-t)/('2021'!Tau_j))),Resal+(Salim-Resal)*(1-EXP((Tnet-t)/(Tau_j))))*Salcycl</f>
        <v>1.7796714195738614E-2</v>
      </c>
      <c r="P338" s="169">
        <f>(INDEX(Models!$BJ338:$BT338,,T338)*(1-R338)+INDEX(Models!$BJ338:$BT338,,T338+1)*R338-ERP_i)*Q338*Ramure*Pc/MaxiM</f>
        <v>2.161360882661132E-2</v>
      </c>
      <c r="Q338" s="304">
        <f t="shared" si="130"/>
        <v>0.7</v>
      </c>
      <c r="R338" s="177">
        <f t="shared" si="131"/>
        <v>0.33424397608042733</v>
      </c>
      <c r="S338" s="799">
        <f t="shared" si="132"/>
        <v>0</v>
      </c>
      <c r="T338" s="176">
        <f t="shared" si="133"/>
        <v>6</v>
      </c>
      <c r="U338" s="250">
        <f t="shared" si="134"/>
        <v>0.33424397608042733</v>
      </c>
      <c r="V338" s="382">
        <f t="shared" si="135"/>
        <v>28.906028474683151</v>
      </c>
      <c r="W338" s="400">
        <f t="shared" si="136"/>
        <v>0</v>
      </c>
      <c r="X338" s="157">
        <f t="shared" si="137"/>
        <v>44885</v>
      </c>
      <c r="Y338" s="383">
        <f t="shared" si="138"/>
        <v>19.23171189950861</v>
      </c>
      <c r="Z338" s="383">
        <f t="shared" si="139"/>
        <v>19.758487882819132</v>
      </c>
      <c r="AA338" s="384">
        <f t="shared" si="140"/>
        <v>21.545258844186851</v>
      </c>
      <c r="AB338" s="197">
        <f t="shared" si="141"/>
        <v>44885</v>
      </c>
      <c r="AC338" s="119">
        <f>IF(OR(t&lt;Tnet,NoTnet),'2021'!Resal_s+('2021'!Salim-'2021'!Resal_s)*(1-EXP(('2021'!Tnet_s-t)/'2021'!Tau_j)),Resal_s+(Salim-Resal_s)*(1-EXP((Tnet_s-t)/Tau_j)))*Salcycl</f>
        <v>8.2931051062763522E-2</v>
      </c>
      <c r="AD338" s="230">
        <f>(INDEX(Models!$BJ338:$BT338,,AH338)*(1-AF338)+INDEX(Models!$BJ338:$BT338,,AH338+1)*AF338-ERP_i)*AE338*Ramure*Pc/MaxiM</f>
        <v>2.2698628780442154E-2</v>
      </c>
      <c r="AE338" s="304">
        <f t="shared" si="142"/>
        <v>0.7</v>
      </c>
      <c r="AF338" s="177">
        <f t="shared" si="143"/>
        <v>0.39857619834025948</v>
      </c>
      <c r="AG338" s="799">
        <f t="shared" si="149"/>
        <v>0</v>
      </c>
      <c r="AH338" s="176">
        <f t="shared" si="144"/>
        <v>6</v>
      </c>
      <c r="AI338" s="224">
        <f t="shared" si="145"/>
        <v>0.39857619834025948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44886</v>
      </c>
      <c r="B339" s="1147">
        <v>3.3210000000000002</v>
      </c>
      <c r="C339" s="388"/>
      <c r="D339" s="391">
        <f t="shared" si="127"/>
        <v>3.4120309298849798</v>
      </c>
      <c r="E339" s="383">
        <f t="shared" si="125"/>
        <v>3.4739909304491241</v>
      </c>
      <c r="F339" s="383">
        <f t="shared" si="128"/>
        <v>3.4739909304491241</v>
      </c>
      <c r="G339" s="110">
        <f t="shared" si="126"/>
        <v>0.11335043384303982</v>
      </c>
      <c r="H339" s="412" t="b">
        <f>Wh_hp&gt;='2021'!Maxi_hp</f>
        <v>0</v>
      </c>
      <c r="I339" s="379">
        <f>IF(H339,Wh_hp,'2021'!Maxi_hp)</f>
        <v>27.490335001003508</v>
      </c>
      <c r="J339" s="85">
        <f>IF(H339,An,'2021'!An_max)</f>
        <v>2018</v>
      </c>
      <c r="K339" s="197">
        <f t="shared" si="129"/>
        <v>44886</v>
      </c>
      <c r="L339" s="147">
        <f>IF(t&lt;Tvie,1-EXP((T0-t)*PertePVj)+'2021'!Pspv,1-EXP((T0-t)*PertePVj)+Pspv)</f>
        <v>2.6679397624349233E-2</v>
      </c>
      <c r="M339" s="832"/>
      <c r="N339" s="832"/>
      <c r="O339" s="48">
        <f>IF(t&lt;Tnet,'2021'!Resal+('2021'!Salim-'2021'!Resal)*(1-EXP(('2021'!Tnet-t)/('2021'!Tau_j))),Resal+(Salim-Resal)*(1-EXP((Tnet-t)/(Tau_j))))*Salcycl</f>
        <v>1.7835395026818333E-2</v>
      </c>
      <c r="P339" s="169">
        <f>(INDEX(Models!$BJ339:$BT339,,T339)*(1-R339)+INDEX(Models!$BJ339:$BT339,,T339+1)*R339-ERP_i)*Q339*Ramure*Pc/MaxiM</f>
        <v>2.1530487634724135E-2</v>
      </c>
      <c r="Q339" s="304">
        <f t="shared" si="130"/>
        <v>0.7</v>
      </c>
      <c r="R339" s="177">
        <f t="shared" si="131"/>
        <v>0.33426381355817536</v>
      </c>
      <c r="S339" s="799">
        <f t="shared" si="132"/>
        <v>0</v>
      </c>
      <c r="T339" s="176">
        <f t="shared" si="133"/>
        <v>6</v>
      </c>
      <c r="U339" s="250">
        <f t="shared" si="134"/>
        <v>0.33426381355817536</v>
      </c>
      <c r="V339" s="382">
        <f t="shared" si="135"/>
        <v>28.667708983494236</v>
      </c>
      <c r="W339" s="400">
        <f t="shared" si="136"/>
        <v>0</v>
      </c>
      <c r="X339" s="157">
        <f t="shared" si="137"/>
        <v>44886</v>
      </c>
      <c r="Y339" s="383">
        <f t="shared" si="138"/>
        <v>3.1010807004681964</v>
      </c>
      <c r="Z339" s="383">
        <f t="shared" si="139"/>
        <v>3.1860834887283538</v>
      </c>
      <c r="AA339" s="384">
        <f t="shared" si="140"/>
        <v>3.4739909304491241</v>
      </c>
      <c r="AB339" s="197">
        <f t="shared" si="141"/>
        <v>44886</v>
      </c>
      <c r="AC339" s="119">
        <f>IF(OR(t&lt;Tnet,NoTnet),'2021'!Resal_s+('2021'!Salim-'2021'!Resal_s)*(1-EXP(('2021'!Tnet_s-t)/'2021'!Tau_j)),Resal_s+(Salim-Resal_s)*(1-EXP((Tnet_s-t)/Tau_j)))*Salcycl</f>
        <v>8.2875127622612774E-2</v>
      </c>
      <c r="AD339" s="230">
        <f>(INDEX(Models!$BJ339:$BT339,,AH339)*(1-AF339)+INDEX(Models!$BJ339:$BT339,,AH339+1)*AF339-ERP_i)*AE339*Ramure*Pc/MaxiM</f>
        <v>2.2626371720163439E-2</v>
      </c>
      <c r="AE339" s="304">
        <f t="shared" si="142"/>
        <v>0.7</v>
      </c>
      <c r="AF339" s="177">
        <f t="shared" si="143"/>
        <v>0.39859603581800751</v>
      </c>
      <c r="AG339" s="799">
        <f t="shared" si="149"/>
        <v>0</v>
      </c>
      <c r="AH339" s="176">
        <f t="shared" si="144"/>
        <v>6</v>
      </c>
      <c r="AI339" s="224">
        <f t="shared" si="145"/>
        <v>0.39859603581800751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44887</v>
      </c>
      <c r="B340" s="1147">
        <v>10.157999999999999</v>
      </c>
      <c r="C340" s="388"/>
      <c r="D340" s="391">
        <f t="shared" si="127"/>
        <v>10.436637891656428</v>
      </c>
      <c r="E340" s="383">
        <f t="shared" si="125"/>
        <v>10.626580347254713</v>
      </c>
      <c r="F340" s="383">
        <f t="shared" si="128"/>
        <v>10.64528582092457</v>
      </c>
      <c r="G340" s="110">
        <f t="shared" si="126"/>
        <v>0.35022531855440803</v>
      </c>
      <c r="H340" s="412" t="b">
        <f>Wh_hp&gt;='2021'!Maxi_hp</f>
        <v>0</v>
      </c>
      <c r="I340" s="379">
        <f>IF(H340,Wh_hp,'2021'!Maxi_hp)</f>
        <v>31.520653340989391</v>
      </c>
      <c r="J340" s="85">
        <f>IF(H340,An,'2021'!An_max)</f>
        <v>2020</v>
      </c>
      <c r="K340" s="197">
        <f t="shared" si="129"/>
        <v>44887</v>
      </c>
      <c r="L340" s="147">
        <f>IF(t&lt;Tvie,1-EXP((T0-t)*PertePVj)+'2021'!Pspv,1-EXP((T0-t)*PertePVj)+Pspv)</f>
        <v>2.6698051091643693E-2</v>
      </c>
      <c r="M340" s="832"/>
      <c r="N340" s="832"/>
      <c r="O340" s="48">
        <f>IF(t&lt;Tnet,'2021'!Resal+('2021'!Salim-'2021'!Resal)*(1-EXP(('2021'!Tnet-t)/('2021'!Tau_j))),Resal+(Salim-Resal)*(1-EXP((Tnet-t)/(Tau_j))))*Salcycl</f>
        <v>1.7874278402962997E-2</v>
      </c>
      <c r="P340" s="169">
        <f>(INDEX(Models!$BJ340:$BT340,,T340)*(1-R340)+INDEX(Models!$BJ340:$BT340,,T340+1)*R340-ERP_i)*Q340*Ramure*Pc/MaxiM</f>
        <v>2.1472992221184196E-2</v>
      </c>
      <c r="Q340" s="304">
        <f t="shared" si="130"/>
        <v>0.7</v>
      </c>
      <c r="R340" s="177">
        <f t="shared" si="131"/>
        <v>0.33428285417103026</v>
      </c>
      <c r="S340" s="799">
        <f t="shared" si="132"/>
        <v>0</v>
      </c>
      <c r="T340" s="176">
        <f t="shared" si="133"/>
        <v>6</v>
      </c>
      <c r="U340" s="250">
        <f t="shared" si="134"/>
        <v>0.33428285417103026</v>
      </c>
      <c r="V340" s="382">
        <f t="shared" si="135"/>
        <v>28.431336970513996</v>
      </c>
      <c r="W340" s="400">
        <f t="shared" si="136"/>
        <v>0</v>
      </c>
      <c r="X340" s="157">
        <f t="shared" si="137"/>
        <v>44887</v>
      </c>
      <c r="Y340" s="383">
        <f t="shared" si="138"/>
        <v>9.4854053665807481</v>
      </c>
      <c r="Z340" s="383">
        <f t="shared" si="139"/>
        <v>9.7455937257903003</v>
      </c>
      <c r="AA340" s="384">
        <f t="shared" si="140"/>
        <v>10.625613529054817</v>
      </c>
      <c r="AB340" s="197">
        <f t="shared" si="141"/>
        <v>44887</v>
      </c>
      <c r="AC340" s="119">
        <f>IF(OR(t&lt;Tnet,NoTnet),'2021'!Resal_s+('2021'!Salim-'2021'!Resal_s)*(1-EXP(('2021'!Tnet_s-t)/'2021'!Tau_j)),Resal_s+(Salim-Resal_s)*(1-EXP((Tnet_s-t)/Tau_j)))*Salcycl</f>
        <v>8.2820610862439109E-2</v>
      </c>
      <c r="AD340" s="230">
        <f>(INDEX(Models!$BJ340:$BT340,,AH340)*(1-AF340)+INDEX(Models!$BJ340:$BT340,,AH340+1)*AF340-ERP_i)*AE340*Ramure*Pc/MaxiM</f>
        <v>2.2582853433581324E-2</v>
      </c>
      <c r="AE340" s="304">
        <f t="shared" si="142"/>
        <v>0.7</v>
      </c>
      <c r="AF340" s="177">
        <f t="shared" si="143"/>
        <v>0.39861507643086241</v>
      </c>
      <c r="AG340" s="799">
        <f t="shared" si="149"/>
        <v>0</v>
      </c>
      <c r="AH340" s="176">
        <f t="shared" si="144"/>
        <v>6</v>
      </c>
      <c r="AI340" s="224">
        <f t="shared" si="145"/>
        <v>0.39861507643086241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44888</v>
      </c>
      <c r="B341" s="1147">
        <v>13.883000000000001</v>
      </c>
      <c r="C341" s="388"/>
      <c r="D341" s="391">
        <f t="shared" si="127"/>
        <v>14.264089458773043</v>
      </c>
      <c r="E341" s="383">
        <f t="shared" si="125"/>
        <v>14.52426810147966</v>
      </c>
      <c r="F341" s="383">
        <f t="shared" si="128"/>
        <v>14.610348867101946</v>
      </c>
      <c r="G341" s="110">
        <f t="shared" si="126"/>
        <v>0.48465032677585634</v>
      </c>
      <c r="H341" s="412" t="b">
        <f>Wh_hp&gt;='2021'!Maxi_hp</f>
        <v>0</v>
      </c>
      <c r="I341" s="379">
        <f>IF(H341,Wh_hp,'2021'!Maxi_hp)</f>
        <v>31.418721073336016</v>
      </c>
      <c r="J341" s="85">
        <f>IF(H341,An,'2021'!An_max)</f>
        <v>2020</v>
      </c>
      <c r="K341" s="197">
        <f t="shared" si="129"/>
        <v>44888</v>
      </c>
      <c r="L341" s="147">
        <f>IF(t&lt;Tvie,1-EXP((T0-t)*PertePVj)+'2021'!Pspv,1-EXP((T0-t)*PertePVj)+Pspv)</f>
        <v>2.6716704201448671E-2</v>
      </c>
      <c r="M341" s="832"/>
      <c r="N341" s="832"/>
      <c r="O341" s="48">
        <f>IF(t&lt;Tnet,'2021'!Resal+('2021'!Salim-'2021'!Resal)*(1-EXP(('2021'!Tnet-t)/('2021'!Tau_j))),Resal+(Salim-Resal)*(1-EXP((Tnet-t)/(Tau_j))))*Salcycl</f>
        <v>1.7913373733449013E-2</v>
      </c>
      <c r="P341" s="169">
        <f>(INDEX(Models!$BJ341:$BT341,,T341)*(1-R341)+INDEX(Models!$BJ341:$BT341,,T341+1)*R341-ERP_i)*Q341*Ramure*Pc/MaxiM</f>
        <v>2.1441150414303615E-2</v>
      </c>
      <c r="Q341" s="304">
        <f t="shared" si="130"/>
        <v>0.7</v>
      </c>
      <c r="R341" s="177">
        <f t="shared" si="131"/>
        <v>0.33430112985739002</v>
      </c>
      <c r="S341" s="799">
        <f t="shared" si="132"/>
        <v>0</v>
      </c>
      <c r="T341" s="176">
        <f t="shared" si="133"/>
        <v>6</v>
      </c>
      <c r="U341" s="250">
        <f t="shared" si="134"/>
        <v>0.33430112985739002</v>
      </c>
      <c r="V341" s="382">
        <f t="shared" si="135"/>
        <v>28.197336808990887</v>
      </c>
      <c r="W341" s="400">
        <f t="shared" si="136"/>
        <v>0</v>
      </c>
      <c r="X341" s="157">
        <f t="shared" si="137"/>
        <v>44888</v>
      </c>
      <c r="Y341" s="383">
        <f t="shared" si="138"/>
        <v>12.962167669209354</v>
      </c>
      <c r="Z341" s="383">
        <f t="shared" si="139"/>
        <v>13.317980206959437</v>
      </c>
      <c r="AA341" s="384">
        <f t="shared" si="140"/>
        <v>14.519743545406346</v>
      </c>
      <c r="AB341" s="197">
        <f t="shared" si="141"/>
        <v>44888</v>
      </c>
      <c r="AC341" s="119">
        <f>IF(OR(t&lt;Tnet,NoTnet),'2021'!Resal_s+('2021'!Salim-'2021'!Resal_s)*(1-EXP(('2021'!Tnet_s-t)/'2021'!Tau_j)),Resal_s+(Salim-Resal_s)*(1-EXP((Tnet_s-t)/Tau_j)))*Salcycl</f>
        <v>8.2767531994538207E-2</v>
      </c>
      <c r="AD341" s="230">
        <f>(INDEX(Models!$BJ341:$BT341,,AH341)*(1-AF341)+INDEX(Models!$BJ341:$BT341,,AH341+1)*AF341-ERP_i)*AE341*Ramure*Pc/MaxiM</f>
        <v>2.2568134899450448E-2</v>
      </c>
      <c r="AE341" s="304">
        <f t="shared" si="142"/>
        <v>0.7</v>
      </c>
      <c r="AF341" s="177">
        <f t="shared" si="143"/>
        <v>0.39863335211722217</v>
      </c>
      <c r="AG341" s="799">
        <f t="shared" si="149"/>
        <v>0</v>
      </c>
      <c r="AH341" s="176">
        <f t="shared" si="144"/>
        <v>6</v>
      </c>
      <c r="AI341" s="224">
        <f t="shared" si="145"/>
        <v>0.39863335211722217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44889</v>
      </c>
      <c r="B342" s="1147">
        <v>14.535</v>
      </c>
      <c r="C342" s="388"/>
      <c r="D342" s="391">
        <f t="shared" si="127"/>
        <v>14.934273122782704</v>
      </c>
      <c r="E342" s="383">
        <f t="shared" si="125"/>
        <v>15.207284782416567</v>
      </c>
      <c r="F342" s="383">
        <f t="shared" si="128"/>
        <v>15.310302416836208</v>
      </c>
      <c r="G342" s="110">
        <f t="shared" si="126"/>
        <v>0.51204060207158431</v>
      </c>
      <c r="H342" s="412" t="b">
        <f>Wh_hp&gt;='2021'!Maxi_hp</f>
        <v>0</v>
      </c>
      <c r="I342" s="379">
        <f>IF(H342,Wh_hp,'2021'!Maxi_hp)</f>
        <v>29.328916242000091</v>
      </c>
      <c r="J342" s="85">
        <f>IF(H342,An,'2021'!An_max)</f>
        <v>2020</v>
      </c>
      <c r="K342" s="197">
        <f t="shared" si="129"/>
        <v>44889</v>
      </c>
      <c r="L342" s="147">
        <f>IF(t&lt;Tvie,1-EXP((T0-t)*PertePVj)+'2021'!Pspv,1-EXP((T0-t)*PertePVj)+Pspv)</f>
        <v>2.673535695377105E-2</v>
      </c>
      <c r="M342" s="832"/>
      <c r="N342" s="832"/>
      <c r="O342" s="48">
        <f>IF(t&lt;Tnet,'2021'!Resal+('2021'!Salim-'2021'!Resal)*(1-EXP(('2021'!Tnet-t)/('2021'!Tau_j))),Resal+(Salim-Resal)*(1-EXP((Tnet-t)/(Tau_j))))*Salcycl</f>
        <v>1.7952689355139346E-2</v>
      </c>
      <c r="P342" s="169">
        <f>(INDEX(Models!$BJ342:$BT342,,T342)*(1-R342)+INDEX(Models!$BJ342:$BT342,,T342+1)*R342-ERP_i)*Q342*Ramure*Pc/MaxiM</f>
        <v>2.1435072301114782E-2</v>
      </c>
      <c r="Q342" s="304">
        <f t="shared" si="130"/>
        <v>0.7</v>
      </c>
      <c r="R342" s="177">
        <f t="shared" si="131"/>
        <v>0.33431867128118842</v>
      </c>
      <c r="S342" s="799">
        <f t="shared" si="132"/>
        <v>0</v>
      </c>
      <c r="T342" s="176">
        <f t="shared" si="133"/>
        <v>6</v>
      </c>
      <c r="U342" s="250">
        <f t="shared" si="134"/>
        <v>0.33431867128118842</v>
      </c>
      <c r="V342" s="382">
        <f t="shared" si="135"/>
        <v>27.966130066076261</v>
      </c>
      <c r="W342" s="400">
        <f t="shared" si="136"/>
        <v>0</v>
      </c>
      <c r="X342" s="157">
        <f t="shared" si="137"/>
        <v>44889</v>
      </c>
      <c r="Y342" s="383">
        <f t="shared" si="138"/>
        <v>13.57153547866065</v>
      </c>
      <c r="Z342" s="383">
        <f t="shared" si="139"/>
        <v>13.944342451589518</v>
      </c>
      <c r="AA342" s="384">
        <f t="shared" si="140"/>
        <v>15.201770868291051</v>
      </c>
      <c r="AB342" s="197">
        <f t="shared" si="141"/>
        <v>44889</v>
      </c>
      <c r="AC342" s="119">
        <f>IF(OR(t&lt;Tnet,NoTnet),'2021'!Resal_s+('2021'!Salim-'2021'!Resal_s)*(1-EXP(('2021'!Tnet_s-t)/'2021'!Tau_j)),Resal_s+(Salim-Resal_s)*(1-EXP((Tnet_s-t)/Tau_j)))*Salcycl</f>
        <v>8.2715916954410038E-2</v>
      </c>
      <c r="AD342" s="230">
        <f>(INDEX(Models!$BJ342:$BT342,,AH342)*(1-AF342)+INDEX(Models!$BJ342:$BT342,,AH342+1)*AF342-ERP_i)*AE342*Ramure*Pc/MaxiM</f>
        <v>2.2582362749089299E-2</v>
      </c>
      <c r="AE342" s="304">
        <f t="shared" si="142"/>
        <v>0.7</v>
      </c>
      <c r="AF342" s="177">
        <f t="shared" si="143"/>
        <v>0.39865089354102057</v>
      </c>
      <c r="AG342" s="799">
        <f t="shared" si="149"/>
        <v>0</v>
      </c>
      <c r="AH342" s="176">
        <f t="shared" si="144"/>
        <v>6</v>
      </c>
      <c r="AI342" s="224">
        <f t="shared" si="145"/>
        <v>0.39865089354102057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44890</v>
      </c>
      <c r="B343" s="1147">
        <v>4.2640000000000002</v>
      </c>
      <c r="C343" s="388"/>
      <c r="D343" s="391">
        <f t="shared" si="127"/>
        <v>4.3812150689119758</v>
      </c>
      <c r="E343" s="383">
        <f t="shared" si="125"/>
        <v>4.4614871836484928</v>
      </c>
      <c r="F343" s="383">
        <f t="shared" si="128"/>
        <v>4.4614871836484928</v>
      </c>
      <c r="G343" s="110">
        <f t="shared" si="126"/>
        <v>0.15042525453945646</v>
      </c>
      <c r="H343" s="412" t="b">
        <f>Wh_hp&gt;='2021'!Maxi_hp</f>
        <v>0</v>
      </c>
      <c r="I343" s="379">
        <f>IF(H343,Wh_hp,'2021'!Maxi_hp)</f>
        <v>27.79857439619018</v>
      </c>
      <c r="J343" s="85">
        <f>IF(H343,An,'2021'!An_max)</f>
        <v>2020</v>
      </c>
      <c r="K343" s="197">
        <f t="shared" si="129"/>
        <v>44890</v>
      </c>
      <c r="L343" s="147">
        <f>IF(t&lt;Tvie,1-EXP((T0-t)*PertePVj)+'2021'!Pspv,1-EXP((T0-t)*PertePVj)+Pspv)</f>
        <v>2.6754009348617713E-2</v>
      </c>
      <c r="M343" s="832"/>
      <c r="N343" s="832"/>
      <c r="O343" s="48">
        <f>IF(t&lt;Tnet,'2021'!Resal+('2021'!Salim-'2021'!Resal)*(1-EXP(('2021'!Tnet-t)/('2021'!Tau_j))),Resal+(Salim-Resal)*(1-EXP((Tnet-t)/(Tau_j))))*Salcycl</f>
        <v>1.7992232507294273E-2</v>
      </c>
      <c r="P343" s="169">
        <f>(INDEX(Models!$BJ343:$BT343,,T343)*(1-R343)+INDEX(Models!$BJ343:$BT343,,T343+1)*R343-ERP_i)*Q343*Ramure*Pc/MaxiM</f>
        <v>2.1454966145199643E-2</v>
      </c>
      <c r="Q343" s="304">
        <f t="shared" si="130"/>
        <v>0.7</v>
      </c>
      <c r="R343" s="177">
        <f t="shared" si="131"/>
        <v>0.33433550788230632</v>
      </c>
      <c r="S343" s="799">
        <f t="shared" si="132"/>
        <v>0</v>
      </c>
      <c r="T343" s="176">
        <f t="shared" si="133"/>
        <v>6</v>
      </c>
      <c r="U343" s="250">
        <f t="shared" si="134"/>
        <v>0.33433550788230632</v>
      </c>
      <c r="V343" s="382">
        <f t="shared" si="135"/>
        <v>27.738135043423974</v>
      </c>
      <c r="W343" s="400">
        <f t="shared" si="136"/>
        <v>0</v>
      </c>
      <c r="X343" s="157">
        <f t="shared" si="137"/>
        <v>44890</v>
      </c>
      <c r="Y343" s="383">
        <f t="shared" si="138"/>
        <v>3.9831793764218286</v>
      </c>
      <c r="Z343" s="383">
        <f t="shared" si="139"/>
        <v>4.0926748372792501</v>
      </c>
      <c r="AA343" s="384">
        <f t="shared" si="140"/>
        <v>4.4614871836484928</v>
      </c>
      <c r="AB343" s="197">
        <f t="shared" si="141"/>
        <v>44890</v>
      </c>
      <c r="AC343" s="119">
        <f>IF(OR(t&lt;Tnet,NoTnet),'2021'!Resal_s+('2021'!Salim-'2021'!Resal_s)*(1-EXP(('2021'!Tnet_s-t)/'2021'!Tau_j)),Resal_s+(Salim-Resal_s)*(1-EXP((Tnet_s-t)/Tau_j)))*Salcycl</f>
        <v>8.2665786359524457E-2</v>
      </c>
      <c r="AD343" s="230">
        <f>(INDEX(Models!$BJ343:$BT343,,AH343)*(1-AF343)+INDEX(Models!$BJ343:$BT343,,AH343+1)*AF343-ERP_i)*AE343*Ramure*Pc/MaxiM</f>
        <v>2.2625786071885961E-2</v>
      </c>
      <c r="AE343" s="304">
        <f t="shared" si="142"/>
        <v>0.7</v>
      </c>
      <c r="AF343" s="177">
        <f t="shared" si="143"/>
        <v>0.39866773014213847</v>
      </c>
      <c r="AG343" s="799">
        <f t="shared" si="149"/>
        <v>0</v>
      </c>
      <c r="AH343" s="176">
        <f t="shared" si="144"/>
        <v>6</v>
      </c>
      <c r="AI343" s="224">
        <f t="shared" si="145"/>
        <v>0.39866773014213847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44891</v>
      </c>
      <c r="B344" s="1147">
        <v>15.076000000000001</v>
      </c>
      <c r="C344" s="388"/>
      <c r="D344" s="391">
        <f t="shared" si="127"/>
        <v>15.49072801578928</v>
      </c>
      <c r="E344" s="383">
        <f t="shared" si="125"/>
        <v>15.775186322476381</v>
      </c>
      <c r="F344" s="383">
        <f t="shared" si="128"/>
        <v>15.896248654814467</v>
      </c>
      <c r="G344" s="110">
        <f t="shared" si="126"/>
        <v>0.54027709005522706</v>
      </c>
      <c r="H344" s="412" t="b">
        <f>Wh_hp&gt;='2021'!Maxi_hp</f>
        <v>0</v>
      </c>
      <c r="I344" s="379">
        <f>IF(H344,Wh_hp,'2021'!Maxi_hp)</f>
        <v>28.034337428546774</v>
      </c>
      <c r="J344" s="85">
        <f>IF(H344,An,'2021'!An_max)</f>
        <v>2020</v>
      </c>
      <c r="K344" s="197">
        <f t="shared" si="129"/>
        <v>44891</v>
      </c>
      <c r="L344" s="147">
        <f>IF(t&lt;Tvie,1-EXP((T0-t)*PertePVj)+'2021'!Pspv,1-EXP((T0-t)*PertePVj)+Pspv)</f>
        <v>2.6772661385995433E-2</v>
      </c>
      <c r="M344" s="832"/>
      <c r="N344" s="832"/>
      <c r="O344" s="48">
        <f>IF(t&lt;Tnet,'2021'!Resal+('2021'!Salim-'2021'!Resal)*(1-EXP(('2021'!Tnet-t)/('2021'!Tau_j))),Resal+(Salim-Resal)*(1-EXP((Tnet-t)/(Tau_j))))*Salcycl</f>
        <v>1.803200931337379E-2</v>
      </c>
      <c r="P344" s="169">
        <f>(INDEX(Models!$BJ344:$BT344,,T344)*(1-R344)+INDEX(Models!$BJ344:$BT344,,T344+1)*R344-ERP_i)*Q344*Ramure*Pc/MaxiM</f>
        <v>2.1501024555265397E-2</v>
      </c>
      <c r="Q344" s="304">
        <f t="shared" si="130"/>
        <v>0.7</v>
      </c>
      <c r="R344" s="177">
        <f t="shared" si="131"/>
        <v>0.33435166792502502</v>
      </c>
      <c r="S344" s="799">
        <f t="shared" si="132"/>
        <v>0</v>
      </c>
      <c r="T344" s="176">
        <f t="shared" si="133"/>
        <v>6</v>
      </c>
      <c r="U344" s="250">
        <f t="shared" si="134"/>
        <v>0.33435166792502502</v>
      </c>
      <c r="V344" s="382">
        <f t="shared" si="135"/>
        <v>27.513769972152822</v>
      </c>
      <c r="W344" s="400">
        <f t="shared" si="136"/>
        <v>0</v>
      </c>
      <c r="X344" s="157">
        <f t="shared" si="137"/>
        <v>44891</v>
      </c>
      <c r="Y344" s="383">
        <f t="shared" si="138"/>
        <v>14.07841393923843</v>
      </c>
      <c r="Z344" s="383">
        <f t="shared" si="139"/>
        <v>14.465699205786619</v>
      </c>
      <c r="AA344" s="384">
        <f t="shared" si="140"/>
        <v>15.76844312330844</v>
      </c>
      <c r="AB344" s="197">
        <f t="shared" si="141"/>
        <v>44891</v>
      </c>
      <c r="AC344" s="119">
        <f>IF(OR(t&lt;Tnet,NoTnet),'2021'!Resal_s+('2021'!Salim-'2021'!Resal_s)*(1-EXP(('2021'!Tnet_s-t)/'2021'!Tau_j)),Resal_s+(Salim-Resal_s)*(1-EXP((Tnet_s-t)/Tau_j)))*Salcycl</f>
        <v>8.2617155500668588E-2</v>
      </c>
      <c r="AD344" s="230">
        <f>(INDEX(Models!$BJ344:$BT344,,AH344)*(1-AF344)+INDEX(Models!$BJ344:$BT344,,AH344+1)*AF344-ERP_i)*AE344*Ramure*Pc/MaxiM</f>
        <v>2.2698636463864941E-2</v>
      </c>
      <c r="AE344" s="304">
        <f t="shared" si="142"/>
        <v>0.7</v>
      </c>
      <c r="AF344" s="177">
        <f t="shared" si="143"/>
        <v>0.39868389018485717</v>
      </c>
      <c r="AG344" s="799">
        <f t="shared" si="149"/>
        <v>0</v>
      </c>
      <c r="AH344" s="176">
        <f t="shared" si="144"/>
        <v>6</v>
      </c>
      <c r="AI344" s="224">
        <f t="shared" si="145"/>
        <v>0.39868389018485717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44892</v>
      </c>
      <c r="B345" s="1147">
        <v>17.030999999999999</v>
      </c>
      <c r="C345" s="388"/>
      <c r="D345" s="391">
        <f t="shared" si="127"/>
        <v>17.499843793681048</v>
      </c>
      <c r="E345" s="383">
        <f t="shared" si="125"/>
        <v>17.821922009687924</v>
      </c>
      <c r="F345" s="383">
        <f t="shared" si="128"/>
        <v>18.001759105463904</v>
      </c>
      <c r="G345" s="110">
        <f t="shared" si="126"/>
        <v>0.61679243051391686</v>
      </c>
      <c r="H345" s="412" t="b">
        <f>Wh_hp&gt;='2021'!Maxi_hp</f>
        <v>0</v>
      </c>
      <c r="I345" s="379">
        <f>IF(H345,Wh_hp,'2021'!Maxi_hp)</f>
        <v>23.110543581605093</v>
      </c>
      <c r="J345" s="85">
        <f>IF(H345,An,'2021'!An_max)</f>
        <v>2020</v>
      </c>
      <c r="K345" s="197">
        <f t="shared" si="129"/>
        <v>44892</v>
      </c>
      <c r="L345" s="147">
        <f>IF(t&lt;Tvie,1-EXP((T0-t)*PertePVj)+'2021'!Pspv,1-EXP((T0-t)*PertePVj)+Pspv)</f>
        <v>2.6791313065911093E-2</v>
      </c>
      <c r="M345" s="832"/>
      <c r="N345" s="832"/>
      <c r="O345" s="48">
        <f>IF(t&lt;Tnet,'2021'!Resal+('2021'!Salim-'2021'!Resal)*(1-EXP(('2021'!Tnet-t)/('2021'!Tau_j))),Resal+(Salim-Resal)*(1-EXP((Tnet-t)/(Tau_j))))*Salcycl</f>
        <v>1.8072024769931961E-2</v>
      </c>
      <c r="P345" s="169">
        <f>(INDEX(Models!$BJ345:$BT345,,T345)*(1-R345)+INDEX(Models!$BJ345:$BT345,,T345+1)*R345-ERP_i)*Q345*Ramure*Pc/MaxiM</f>
        <v>2.1576834761827868E-2</v>
      </c>
      <c r="Q345" s="304">
        <f t="shared" si="130"/>
        <v>0.7</v>
      </c>
      <c r="R345" s="177">
        <f t="shared" si="131"/>
        <v>0.33436717854459347</v>
      </c>
      <c r="S345" s="799">
        <f t="shared" si="132"/>
        <v>0</v>
      </c>
      <c r="T345" s="176">
        <f t="shared" si="133"/>
        <v>6</v>
      </c>
      <c r="U345" s="250">
        <f t="shared" si="134"/>
        <v>0.33436717854459347</v>
      </c>
      <c r="V345" s="382">
        <f t="shared" si="135"/>
        <v>27.289039326741957</v>
      </c>
      <c r="W345" s="400">
        <f t="shared" si="136"/>
        <v>0</v>
      </c>
      <c r="X345" s="157">
        <f t="shared" si="137"/>
        <v>44892</v>
      </c>
      <c r="Y345" s="383">
        <f t="shared" si="138"/>
        <v>15.903179934380015</v>
      </c>
      <c r="Z345" s="383">
        <f t="shared" si="139"/>
        <v>16.340976142003001</v>
      </c>
      <c r="AA345" s="384">
        <f t="shared" si="140"/>
        <v>17.811687817178502</v>
      </c>
      <c r="AB345" s="197">
        <f t="shared" si="141"/>
        <v>44892</v>
      </c>
      <c r="AC345" s="119">
        <f>IF(OR(t&lt;Tnet,NoTnet),'2021'!Resal_s+('2021'!Salim-'2021'!Resal_s)*(1-EXP(('2021'!Tnet_s-t)/'2021'!Tau_j)),Resal_s+(Salim-Resal_s)*(1-EXP((Tnet_s-t)/Tau_j)))*Salcycl</f>
        <v>8.2570034365697154E-2</v>
      </c>
      <c r="AD345" s="230">
        <f>(INDEX(Models!$BJ345:$BT345,,AH345)*(1-AF345)+INDEX(Models!$BJ345:$BT345,,AH345+1)*AF345-ERP_i)*AE345*Ramure*Pc/MaxiM</f>
        <v>2.2804732041550611E-2</v>
      </c>
      <c r="AE345" s="304">
        <f t="shared" si="142"/>
        <v>0.7</v>
      </c>
      <c r="AF345" s="177">
        <f t="shared" si="143"/>
        <v>0.39869940080442562</v>
      </c>
      <c r="AG345" s="799">
        <f t="shared" si="149"/>
        <v>0</v>
      </c>
      <c r="AH345" s="176">
        <f t="shared" si="144"/>
        <v>6</v>
      </c>
      <c r="AI345" s="224">
        <f t="shared" si="145"/>
        <v>0.39869940080442562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44893</v>
      </c>
      <c r="B346" s="1147">
        <v>9.6080000000000005</v>
      </c>
      <c r="C346" s="388"/>
      <c r="D346" s="391">
        <f t="shared" si="127"/>
        <v>9.8726863699971865</v>
      </c>
      <c r="E346" s="383">
        <f t="shared" si="125"/>
        <v>10.054801782808681</v>
      </c>
      <c r="F346" s="383">
        <f t="shared" si="128"/>
        <v>10.071980807022868</v>
      </c>
      <c r="G346" s="110">
        <f t="shared" si="126"/>
        <v>0.34794744788801935</v>
      </c>
      <c r="H346" s="412" t="b">
        <f>Wh_hp&gt;='2021'!Maxi_hp</f>
        <v>0</v>
      </c>
      <c r="I346" s="379">
        <f>IF(H346,Wh_hp,'2021'!Maxi_hp)</f>
        <v>17.324015395081876</v>
      </c>
      <c r="J346" s="85">
        <f>IF(H346,An,'2021'!An_max)</f>
        <v>2020</v>
      </c>
      <c r="K346" s="197">
        <f t="shared" si="129"/>
        <v>44893</v>
      </c>
      <c r="L346" s="147">
        <f>IF(t&lt;Tvie,1-EXP((T0-t)*PertePVj)+'2021'!Pspv,1-EXP((T0-t)*PertePVj)+Pspv)</f>
        <v>2.6809964388371577E-2</v>
      </c>
      <c r="M346" s="832"/>
      <c r="N346" s="832"/>
      <c r="O346" s="48">
        <f>IF(t&lt;Tnet,'2021'!Resal+('2021'!Salim-'2021'!Resal)*(1-EXP(('2021'!Tnet-t)/('2021'!Tau_j))),Resal+(Salim-Resal)*(1-EXP((Tnet-t)/(Tau_j))))*Salcycl</f>
        <v>1.811228274264623E-2</v>
      </c>
      <c r="P346" s="169">
        <f>(INDEX(Models!$BJ346:$BT346,,T346)*(1-R346)+INDEX(Models!$BJ346:$BT346,,T346+1)*R346-ERP_i)*Q346*Ramure*Pc/MaxiM</f>
        <v>2.1686693893181508E-2</v>
      </c>
      <c r="Q346" s="304">
        <f t="shared" si="130"/>
        <v>0.7</v>
      </c>
      <c r="R346" s="177">
        <f t="shared" si="131"/>
        <v>0.33438206579198126</v>
      </c>
      <c r="S346" s="799">
        <f t="shared" si="132"/>
        <v>0</v>
      </c>
      <c r="T346" s="176">
        <f t="shared" si="133"/>
        <v>6</v>
      </c>
      <c r="U346" s="250">
        <f t="shared" si="134"/>
        <v>0.33438206579198126</v>
      </c>
      <c r="V346" s="382">
        <f t="shared" si="135"/>
        <v>27.060678119468459</v>
      </c>
      <c r="W346" s="400">
        <f t="shared" si="136"/>
        <v>0</v>
      </c>
      <c r="X346" s="157">
        <f t="shared" si="137"/>
        <v>44893</v>
      </c>
      <c r="Y346" s="383">
        <f t="shared" si="138"/>
        <v>8.9768201735163231</v>
      </c>
      <c r="Z346" s="383">
        <f t="shared" si="139"/>
        <v>9.2241184609690237</v>
      </c>
      <c r="AA346" s="384">
        <f t="shared" si="140"/>
        <v>10.053802781688841</v>
      </c>
      <c r="AB346" s="197">
        <f t="shared" si="141"/>
        <v>44893</v>
      </c>
      <c r="AC346" s="119">
        <f>IF(OR(t&lt;Tnet,NoTnet),'2021'!Resal_s+('2021'!Salim-'2021'!Resal_s)*(1-EXP(('2021'!Tnet_s-t)/'2021'!Tau_j)),Resal_s+(Salim-Resal_s)*(1-EXP((Tnet_s-t)/Tau_j)))*Salcycl</f>
        <v>8.2524427695253408E-2</v>
      </c>
      <c r="AD346" s="230">
        <f>(INDEX(Models!$BJ346:$BT346,,AH346)*(1-AF346)+INDEX(Models!$BJ346:$BT346,,AH346+1)*AF346-ERP_i)*AE346*Ramure*Pc/MaxiM</f>
        <v>2.2947826726735138E-2</v>
      </c>
      <c r="AE346" s="304">
        <f t="shared" si="142"/>
        <v>0.7</v>
      </c>
      <c r="AF346" s="177">
        <f t="shared" si="143"/>
        <v>0.39871428805181341</v>
      </c>
      <c r="AG346" s="799">
        <f t="shared" si="149"/>
        <v>0</v>
      </c>
      <c r="AH346" s="176">
        <f t="shared" si="144"/>
        <v>6</v>
      </c>
      <c r="AI346" s="224">
        <f t="shared" si="145"/>
        <v>0.39871428805181341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44894</v>
      </c>
      <c r="B347" s="1147">
        <v>10.686999999999999</v>
      </c>
      <c r="C347" s="388"/>
      <c r="D347" s="391">
        <f t="shared" si="127"/>
        <v>10.981621704670989</v>
      </c>
      <c r="E347" s="383">
        <f t="shared" si="125"/>
        <v>11.184654341066853</v>
      </c>
      <c r="F347" s="383">
        <f t="shared" si="128"/>
        <v>11.21902838752905</v>
      </c>
      <c r="G347" s="110">
        <f t="shared" si="126"/>
        <v>0.39082117454192572</v>
      </c>
      <c r="H347" s="412" t="b">
        <f>Wh_hp&gt;='2021'!Maxi_hp</f>
        <v>0</v>
      </c>
      <c r="I347" s="379">
        <f>IF(H347,Wh_hp,'2021'!Maxi_hp)</f>
        <v>14.807733331286865</v>
      </c>
      <c r="J347" s="85">
        <f>IF(H347,An,'2021'!An_max)</f>
        <v>2018</v>
      </c>
      <c r="K347" s="197">
        <f t="shared" si="129"/>
        <v>44894</v>
      </c>
      <c r="L347" s="147">
        <f>IF(t&lt;Tvie,1-EXP((T0-t)*PertePVj)+'2021'!Pspv,1-EXP((T0-t)*PertePVj)+Pspv)</f>
        <v>2.6828615353383767E-2</v>
      </c>
      <c r="M347" s="832"/>
      <c r="N347" s="832"/>
      <c r="O347" s="48">
        <f>IF(t&lt;Tnet,'2021'!Resal+('2021'!Salim-'2021'!Resal)*(1-EXP(('2021'!Tnet-t)/('2021'!Tau_j))),Resal+(Salim-Resal)*(1-EXP((Tnet-t)/(Tau_j))))*Salcycl</f>
        <v>1.8152785969467674E-2</v>
      </c>
      <c r="P347" s="169">
        <f>(INDEX(Models!$BJ347:$BT347,,T347)*(1-R347)+INDEX(Models!$BJ347:$BT347,,T347+1)*R347-ERP_i)*Q347*Ramure*Pc/MaxiM</f>
        <v>2.181534955379676E-2</v>
      </c>
      <c r="Q347" s="304">
        <f t="shared" si="130"/>
        <v>0.7</v>
      </c>
      <c r="R347" s="177">
        <f t="shared" si="131"/>
        <v>0.33439635467688456</v>
      </c>
      <c r="S347" s="799">
        <f t="shared" si="132"/>
        <v>0</v>
      </c>
      <c r="T347" s="176">
        <f t="shared" si="133"/>
        <v>6</v>
      </c>
      <c r="U347" s="250">
        <f t="shared" si="134"/>
        <v>0.33439635467688456</v>
      </c>
      <c r="V347" s="382">
        <f t="shared" si="135"/>
        <v>26.830653302323466</v>
      </c>
      <c r="W347" s="400">
        <f t="shared" si="136"/>
        <v>0</v>
      </c>
      <c r="X347" s="157">
        <f t="shared" si="137"/>
        <v>44894</v>
      </c>
      <c r="Y347" s="383">
        <f t="shared" si="138"/>
        <v>9.9849982153976615</v>
      </c>
      <c r="Z347" s="383">
        <f t="shared" si="139"/>
        <v>10.26026697139628</v>
      </c>
      <c r="AA347" s="384">
        <f t="shared" si="140"/>
        <v>11.1826126061032</v>
      </c>
      <c r="AB347" s="197">
        <f t="shared" si="141"/>
        <v>44894</v>
      </c>
      <c r="AC347" s="119">
        <f>IF(OR(t&lt;Tnet,NoTnet),'2021'!Resal_s+('2021'!Salim-'2021'!Resal_s)*(1-EXP(('2021'!Tnet_s-t)/'2021'!Tau_j)),Resal_s+(Salim-Resal_s)*(1-EXP((Tnet_s-t)/Tau_j)))*Salcycl</f>
        <v>8.2480335069778463E-2</v>
      </c>
      <c r="AD347" s="230">
        <f>(INDEX(Models!$BJ347:$BT347,,AH347)*(1-AF347)+INDEX(Models!$BJ347:$BT347,,AH347+1)*AF347-ERP_i)*AE347*Ramure*Pc/MaxiM</f>
        <v>2.3111128390230783E-2</v>
      </c>
      <c r="AE347" s="304">
        <f t="shared" si="142"/>
        <v>0.7</v>
      </c>
      <c r="AF347" s="177">
        <f t="shared" si="143"/>
        <v>0.39872857693671671</v>
      </c>
      <c r="AG347" s="799">
        <f t="shared" si="149"/>
        <v>0</v>
      </c>
      <c r="AH347" s="176">
        <f t="shared" si="144"/>
        <v>6</v>
      </c>
      <c r="AI347" s="224">
        <f t="shared" si="145"/>
        <v>0.39872857693671671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44895</v>
      </c>
      <c r="B348" s="1147">
        <v>4.7649999999999997</v>
      </c>
      <c r="C348" s="388"/>
      <c r="D348" s="391">
        <f t="shared" si="127"/>
        <v>4.8964564690919472</v>
      </c>
      <c r="E348" s="383">
        <f t="shared" si="125"/>
        <v>4.9871911104520326</v>
      </c>
      <c r="F348" s="383">
        <f t="shared" si="128"/>
        <v>4.9871911104520326</v>
      </c>
      <c r="G348" s="110">
        <f t="shared" si="126"/>
        <v>0.17519771792968583</v>
      </c>
      <c r="H348" s="412" t="b">
        <f>Wh_hp&gt;='2021'!Maxi_hp</f>
        <v>0</v>
      </c>
      <c r="I348" s="379">
        <f>IF(H348,Wh_hp,'2021'!Maxi_hp)</f>
        <v>27.039927040267969</v>
      </c>
      <c r="J348" s="85">
        <f>IF(H348,An,'2021'!An_max)</f>
        <v>2020</v>
      </c>
      <c r="K348" s="197">
        <f t="shared" si="129"/>
        <v>44895</v>
      </c>
      <c r="L348" s="147">
        <f>IF(t&lt;Tvie,1-EXP((T0-t)*PertePVj)+'2021'!Pspv,1-EXP((T0-t)*PertePVj)+Pspv)</f>
        <v>2.6847265960954436E-2</v>
      </c>
      <c r="M348" s="832"/>
      <c r="N348" s="832"/>
      <c r="O348" s="48">
        <f>IF(t&lt;Tnet,'2021'!Resal+('2021'!Salim-'2021'!Resal)*(1-EXP(('2021'!Tnet-t)/('2021'!Tau_j))),Resal+(Salim-Resal)*(1-EXP((Tnet-t)/(Tau_j))))*Salcycl</f>
        <v>1.8193536070820724E-2</v>
      </c>
      <c r="P348" s="169">
        <f>(INDEX(Models!$BJ348:$BT348,,T348)*(1-R348)+INDEX(Models!$BJ348:$BT348,,T348+1)*R348-ERP_i)*Q348*Ramure*Pc/MaxiM</f>
        <v>2.1961997494764282E-2</v>
      </c>
      <c r="Q348" s="304">
        <f t="shared" si="130"/>
        <v>0.7</v>
      </c>
      <c r="R348" s="177">
        <f t="shared" si="131"/>
        <v>0.33441006920905181</v>
      </c>
      <c r="S348" s="799">
        <f t="shared" si="132"/>
        <v>0</v>
      </c>
      <c r="T348" s="176">
        <f t="shared" si="133"/>
        <v>6</v>
      </c>
      <c r="U348" s="250">
        <f t="shared" si="134"/>
        <v>0.33441006920905181</v>
      </c>
      <c r="V348" s="382">
        <f t="shared" si="135"/>
        <v>26.600523893854838</v>
      </c>
      <c r="W348" s="400">
        <f t="shared" si="136"/>
        <v>0</v>
      </c>
      <c r="X348" s="157">
        <f t="shared" si="137"/>
        <v>44895</v>
      </c>
      <c r="Y348" s="383">
        <f t="shared" si="138"/>
        <v>4.4532036373639885</v>
      </c>
      <c r="Z348" s="383">
        <f t="shared" si="139"/>
        <v>4.576058291365098</v>
      </c>
      <c r="AA348" s="384">
        <f t="shared" si="140"/>
        <v>4.9871911104520326</v>
      </c>
      <c r="AB348" s="197">
        <f t="shared" si="141"/>
        <v>44895</v>
      </c>
      <c r="AC348" s="119">
        <f>IF(OR(t&lt;Tnet,NoTnet),'2021'!Resal_s+('2021'!Salim-'2021'!Resal_s)*(1-EXP(('2021'!Tnet_s-t)/'2021'!Tau_j)),Resal_s+(Salim-Resal_s)*(1-EXP((Tnet_s-t)/Tau_j)))*Salcycl</f>
        <v>8.2437751026884151E-2</v>
      </c>
      <c r="AD348" s="230">
        <f>(INDEX(Models!$BJ348:$BT348,,AH348)*(1-AF348)+INDEX(Models!$BJ348:$BT348,,AH348+1)*AF348-ERP_i)*AE348*Ramure*Pc/MaxiM</f>
        <v>2.3293800602207142E-2</v>
      </c>
      <c r="AE348" s="304">
        <f t="shared" si="142"/>
        <v>0.7</v>
      </c>
      <c r="AF348" s="177">
        <f t="shared" si="143"/>
        <v>0.39874229146888396</v>
      </c>
      <c r="AG348" s="799">
        <f t="shared" si="149"/>
        <v>0</v>
      </c>
      <c r="AH348" s="176">
        <f t="shared" si="144"/>
        <v>6</v>
      </c>
      <c r="AI348" s="224">
        <f t="shared" si="145"/>
        <v>0.39874229146888396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44896</v>
      </c>
      <c r="B349" s="1147">
        <v>3.536</v>
      </c>
      <c r="C349" s="388"/>
      <c r="D349" s="391">
        <f t="shared" si="127"/>
        <v>3.6336205451077621</v>
      </c>
      <c r="E349" s="383">
        <f t="shared" si="125"/>
        <v>3.7011085328847382</v>
      </c>
      <c r="F349" s="383">
        <f t="shared" si="128"/>
        <v>3.7011085328847382</v>
      </c>
      <c r="G349" s="110">
        <f t="shared" si="126"/>
        <v>0.13111569550822702</v>
      </c>
      <c r="H349" s="412" t="b">
        <f>Wh_hp&gt;='2021'!Maxi_hp</f>
        <v>0</v>
      </c>
      <c r="I349" s="379">
        <f>IF(H349,Wh_hp,'2021'!Maxi_hp)</f>
        <v>27.868335200452961</v>
      </c>
      <c r="J349" s="85">
        <f>IF(H349,An,'2021'!An_max)</f>
        <v>2020</v>
      </c>
      <c r="K349" s="197">
        <f t="shared" si="129"/>
        <v>44896</v>
      </c>
      <c r="L349" s="147">
        <f>IF(t&lt;Tvie,1-EXP((T0-t)*PertePVj)+'2021'!Pspv,1-EXP((T0-t)*PertePVj)+Pspv)</f>
        <v>2.6865916211090468E-2</v>
      </c>
      <c r="M349" s="832"/>
      <c r="N349" s="832"/>
      <c r="O349" s="48">
        <f>IF(t&lt;Tnet,'2021'!Resal+('2021'!Salim-'2021'!Resal)*(1-EXP(('2021'!Tnet-t)/('2021'!Tau_j))),Resal+(Salim-Resal)*(1-EXP((Tnet-t)/(Tau_j))))*Salcycl</f>
        <v>1.8234533566724269E-2</v>
      </c>
      <c r="P349" s="169">
        <f>(INDEX(Models!$BJ349:$BT349,,T349)*(1-R349)+INDEX(Models!$BJ349:$BT349,,T349+1)*R349-ERP_i)*Q349*Ramure*Pc/MaxiM</f>
        <v>2.212577230093454E-2</v>
      </c>
      <c r="Q349" s="304">
        <f t="shared" si="130"/>
        <v>0.7</v>
      </c>
      <c r="R349" s="177">
        <f t="shared" si="131"/>
        <v>0.33442323243799221</v>
      </c>
      <c r="S349" s="799">
        <f t="shared" si="132"/>
        <v>0</v>
      </c>
      <c r="T349" s="176">
        <f t="shared" si="133"/>
        <v>6</v>
      </c>
      <c r="U349" s="250">
        <f t="shared" si="134"/>
        <v>0.33442323243799221</v>
      </c>
      <c r="V349" s="382">
        <f t="shared" si="135"/>
        <v>26.371848585640407</v>
      </c>
      <c r="W349" s="400">
        <f t="shared" si="136"/>
        <v>0</v>
      </c>
      <c r="X349" s="157">
        <f t="shared" si="137"/>
        <v>44896</v>
      </c>
      <c r="Y349" s="383">
        <f t="shared" si="138"/>
        <v>3.304908863429934</v>
      </c>
      <c r="Z349" s="383">
        <f t="shared" si="139"/>
        <v>3.396149532202418</v>
      </c>
      <c r="AA349" s="384">
        <f t="shared" si="140"/>
        <v>3.7011085328847382</v>
      </c>
      <c r="AB349" s="197">
        <f t="shared" si="141"/>
        <v>44896</v>
      </c>
      <c r="AC349" s="119">
        <f>IF(OR(t&lt;Tnet,NoTnet),'2021'!Resal_s+('2021'!Salim-'2021'!Resal_s)*(1-EXP(('2021'!Tnet_s-t)/'2021'!Tau_j)),Resal_s+(Salim-Resal_s)*(1-EXP((Tnet_s-t)/Tau_j)))*Salcycl</f>
        <v>8.2396665207930986E-2</v>
      </c>
      <c r="AD349" s="230">
        <f>(INDEX(Models!$BJ349:$BT349,,AH349)*(1-AF349)+INDEX(Models!$BJ349:$BT349,,AH349+1)*AF349-ERP_i)*AE349*Ramure*Pc/MaxiM</f>
        <v>2.3494936544523757E-2</v>
      </c>
      <c r="AE349" s="304">
        <f t="shared" si="142"/>
        <v>0.7</v>
      </c>
      <c r="AF349" s="177">
        <f t="shared" si="143"/>
        <v>0.39875545469782436</v>
      </c>
      <c r="AG349" s="799">
        <f t="shared" si="149"/>
        <v>0</v>
      </c>
      <c r="AH349" s="176">
        <f t="shared" si="144"/>
        <v>6</v>
      </c>
      <c r="AI349" s="224">
        <f t="shared" si="145"/>
        <v>0.39875545469782436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44897</v>
      </c>
      <c r="B350" s="1147">
        <v>6.1690000000000005</v>
      </c>
      <c r="C350" s="388"/>
      <c r="D350" s="391">
        <f t="shared" si="127"/>
        <v>6.339432902939679</v>
      </c>
      <c r="E350" s="383">
        <f t="shared" si="125"/>
        <v>6.4574477844534002</v>
      </c>
      <c r="F350" s="383">
        <f t="shared" si="128"/>
        <v>6.4574477844534002</v>
      </c>
      <c r="G350" s="110">
        <f t="shared" si="126"/>
        <v>0.23067976265778731</v>
      </c>
      <c r="H350" s="412" t="b">
        <f>Wh_hp&gt;='2021'!Maxi_hp</f>
        <v>0</v>
      </c>
      <c r="I350" s="379">
        <f>IF(H350,Wh_hp,'2021'!Maxi_hp)</f>
        <v>10.826785026069079</v>
      </c>
      <c r="J350" s="85">
        <f>IF(H350,An,'2021'!An_max)</f>
        <v>2021</v>
      </c>
      <c r="K350" s="197">
        <f t="shared" si="129"/>
        <v>44897</v>
      </c>
      <c r="L350" s="147">
        <f>IF(t&lt;Tvie,1-EXP((T0-t)*PertePVj)+'2021'!Pspv,1-EXP((T0-t)*PertePVj)+Pspv)</f>
        <v>2.6884566103798746E-2</v>
      </c>
      <c r="M350" s="832"/>
      <c r="N350" s="832"/>
      <c r="O350" s="48">
        <f>IF(t&lt;Tnet,'2021'!Resal+('2021'!Salim-'2021'!Resal)*(1-EXP(('2021'!Tnet-t)/('2021'!Tau_j))),Resal+(Salim-Resal)*(1-EXP((Tnet-t)/(Tau_j))))*Salcycl</f>
        <v>1.8275777900650929E-2</v>
      </c>
      <c r="P350" s="169">
        <f>(INDEX(Models!$BJ350:$BT350,,T350)*(1-R350)+INDEX(Models!$BJ350:$BT350,,T350+1)*R350-ERP_i)*Q350*Ramure*Pc/MaxiM</f>
        <v>2.2305735411166282E-2</v>
      </c>
      <c r="Q350" s="304">
        <f t="shared" si="130"/>
        <v>0.7</v>
      </c>
      <c r="R350" s="177">
        <f t="shared" si="131"/>
        <v>0.33443586649112977</v>
      </c>
      <c r="S350" s="799">
        <f t="shared" si="132"/>
        <v>0</v>
      </c>
      <c r="T350" s="176">
        <f t="shared" si="133"/>
        <v>6</v>
      </c>
      <c r="U350" s="250">
        <f t="shared" si="134"/>
        <v>0.33443586649112977</v>
      </c>
      <c r="V350" s="382">
        <f t="shared" si="135"/>
        <v>26.146185728464062</v>
      </c>
      <c r="W350" s="400">
        <f t="shared" si="136"/>
        <v>0</v>
      </c>
      <c r="X350" s="157">
        <f t="shared" si="137"/>
        <v>44897</v>
      </c>
      <c r="Y350" s="383">
        <f t="shared" si="138"/>
        <v>5.766323325640184</v>
      </c>
      <c r="Z350" s="383">
        <f t="shared" si="139"/>
        <v>5.9256313534692708</v>
      </c>
      <c r="AA350" s="384">
        <f t="shared" si="140"/>
        <v>6.4574477844534002</v>
      </c>
      <c r="AB350" s="197">
        <f t="shared" si="141"/>
        <v>44897</v>
      </c>
      <c r="AC350" s="119">
        <f>IF(OR(t&lt;Tnet,NoTnet),'2021'!Resal_s+('2021'!Salim-'2021'!Resal_s)*(1-EXP(('2021'!Tnet_s-t)/'2021'!Tau_j)),Resal_s+(Salim-Resal_s)*(1-EXP((Tnet_s-t)/Tau_j)))*Salcycl</f>
        <v>8.2357062532429817E-2</v>
      </c>
      <c r="AD350" s="230">
        <f>(INDEX(Models!$BJ350:$BT350,,AH350)*(1-AF350)+INDEX(Models!$BJ350:$BT350,,AH350+1)*AF350-ERP_i)*AE350*Ramure*Pc/MaxiM</f>
        <v>2.3713545850265701E-2</v>
      </c>
      <c r="AE350" s="304">
        <f t="shared" si="142"/>
        <v>0.7</v>
      </c>
      <c r="AF350" s="177">
        <f t="shared" si="143"/>
        <v>0.39876808875096192</v>
      </c>
      <c r="AG350" s="799">
        <f t="shared" si="149"/>
        <v>0</v>
      </c>
      <c r="AH350" s="176">
        <f t="shared" si="144"/>
        <v>6</v>
      </c>
      <c r="AI350" s="224">
        <f t="shared" si="145"/>
        <v>0.39876808875096192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44898</v>
      </c>
      <c r="B351" s="1147">
        <v>11.401</v>
      </c>
      <c r="C351" s="388"/>
      <c r="D351" s="391">
        <f t="shared" si="127"/>
        <v>11.716203550593029</v>
      </c>
      <c r="E351" s="383">
        <f t="shared" si="125"/>
        <v>11.934816781789161</v>
      </c>
      <c r="F351" s="383">
        <f t="shared" si="128"/>
        <v>11.988678106388891</v>
      </c>
      <c r="G351" s="110">
        <f t="shared" si="126"/>
        <v>0.431811836984132</v>
      </c>
      <c r="H351" s="412" t="b">
        <f>Wh_hp&gt;='2021'!Maxi_hp</f>
        <v>0</v>
      </c>
      <c r="I351" s="379">
        <f>IF(H351,Wh_hp,'2021'!Maxi_hp)</f>
        <v>17.956998625515752</v>
      </c>
      <c r="J351" s="85">
        <f>IF(H351,An,'2021'!An_max)</f>
        <v>2021</v>
      </c>
      <c r="K351" s="197">
        <f t="shared" si="129"/>
        <v>44898</v>
      </c>
      <c r="L351" s="147">
        <f>IF(t&lt;Tvie,1-EXP((T0-t)*PertePVj)+'2021'!Pspv,1-EXP((T0-t)*PertePVj)+Pspv)</f>
        <v>2.6903215639086042E-2</v>
      </c>
      <c r="M351" s="832"/>
      <c r="N351" s="832"/>
      <c r="O351" s="48">
        <f>IF(t&lt;Tnet,'2021'!Resal+('2021'!Salim-'2021'!Resal)*(1-EXP(('2021'!Tnet-t)/('2021'!Tau_j))),Resal+(Salim-Resal)*(1-EXP((Tnet-t)/(Tau_j))))*Salcycl</f>
        <v>1.8317267469887415E-2</v>
      </c>
      <c r="P351" s="169">
        <f>(INDEX(Models!$BJ351:$BT351,,T351)*(1-R351)+INDEX(Models!$BJ351:$BT351,,T351+1)*R351-ERP_i)*Q351*Ramure*Pc/MaxiM</f>
        <v>2.2500863638195714E-2</v>
      </c>
      <c r="Q351" s="304">
        <f t="shared" si="130"/>
        <v>0.7</v>
      </c>
      <c r="R351" s="177">
        <f t="shared" si="131"/>
        <v>0.33444799261045988</v>
      </c>
      <c r="S351" s="799">
        <f t="shared" si="132"/>
        <v>0</v>
      </c>
      <c r="T351" s="176">
        <f t="shared" si="133"/>
        <v>6</v>
      </c>
      <c r="U351" s="250">
        <f t="shared" si="134"/>
        <v>0.33444799261045988</v>
      </c>
      <c r="V351" s="382">
        <f t="shared" si="135"/>
        <v>25.925093309570524</v>
      </c>
      <c r="W351" s="400">
        <f t="shared" si="136"/>
        <v>0</v>
      </c>
      <c r="X351" s="157">
        <f t="shared" si="137"/>
        <v>44898</v>
      </c>
      <c r="Y351" s="383">
        <f t="shared" si="138"/>
        <v>10.654607379657003</v>
      </c>
      <c r="Z351" s="383">
        <f t="shared" si="139"/>
        <v>10.949175406693454</v>
      </c>
      <c r="AA351" s="384">
        <f t="shared" si="140"/>
        <v>11.931351409407133</v>
      </c>
      <c r="AB351" s="197">
        <f t="shared" si="141"/>
        <v>44898</v>
      </c>
      <c r="AC351" s="119">
        <f>IF(OR(t&lt;Tnet,NoTnet),'2021'!Resal_s+('2021'!Salim-'2021'!Resal_s)*(1-EXP(('2021'!Tnet_s-t)/'2021'!Tau_j)),Resal_s+(Salim-Resal_s)*(1-EXP((Tnet_s-t)/Tau_j)))*Salcycl</f>
        <v>8.2318923398676747E-2</v>
      </c>
      <c r="AD351" s="230">
        <f>(INDEX(Models!$BJ351:$BT351,,AH351)*(1-AF351)+INDEX(Models!$BJ351:$BT351,,AH351+1)*AF351-ERP_i)*AE351*Ramure*Pc/MaxiM</f>
        <v>2.3948541949173459E-2</v>
      </c>
      <c r="AE351" s="304">
        <f t="shared" si="142"/>
        <v>0.7</v>
      </c>
      <c r="AF351" s="177">
        <f t="shared" si="143"/>
        <v>0.39878021487029203</v>
      </c>
      <c r="AG351" s="799">
        <f t="shared" si="149"/>
        <v>0</v>
      </c>
      <c r="AH351" s="176">
        <f t="shared" si="144"/>
        <v>6</v>
      </c>
      <c r="AI351" s="224">
        <f t="shared" si="145"/>
        <v>0.39878021487029203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44899</v>
      </c>
      <c r="B352" s="1147">
        <v>22.312999999999999</v>
      </c>
      <c r="C352" s="388"/>
      <c r="D352" s="391">
        <f t="shared" si="127"/>
        <v>22.930327168231784</v>
      </c>
      <c r="E352" s="383">
        <f t="shared" si="125"/>
        <v>23.359178315024426</v>
      </c>
      <c r="F352" s="383">
        <f t="shared" si="128"/>
        <v>23.797511851297955</v>
      </c>
      <c r="G352" s="110">
        <f t="shared" si="126"/>
        <v>0.86407440015597659</v>
      </c>
      <c r="H352" s="412" t="b">
        <f>Wh_hp&gt;='2021'!Maxi_hp</f>
        <v>1</v>
      </c>
      <c r="I352" s="379">
        <f>IF(H352,Wh_hp,'2021'!Maxi_hp)</f>
        <v>23.797511851297955</v>
      </c>
      <c r="J352" s="85">
        <f>IF(H352,An,'2021'!An_max)</f>
        <v>2022</v>
      </c>
      <c r="K352" s="197">
        <f t="shared" si="129"/>
        <v>44899</v>
      </c>
      <c r="L352" s="147">
        <f>IF(t&lt;Tvie,1-EXP((T0-t)*PertePVj)+'2021'!Pspv,1-EXP((T0-t)*PertePVj)+Pspv)</f>
        <v>2.6921864816959351E-2</v>
      </c>
      <c r="M352" s="832"/>
      <c r="N352" s="832"/>
      <c r="O352" s="48">
        <f>IF(t&lt;Tnet,'2021'!Resal+('2021'!Salim-'2021'!Resal)*(1-EXP(('2021'!Tnet-t)/('2021'!Tau_j))),Resal+(Salim-Resal)*(1-EXP((Tnet-t)/(Tau_j))))*Salcycl</f>
        <v>1.8358999662107453E-2</v>
      </c>
      <c r="P352" s="169">
        <f>(INDEX(Models!$BJ352:$BT352,,T352)*(1-R352)+INDEX(Models!$BJ352:$BT352,,T352+1)*R352-ERP_i)*Q352*Ramure*Pc/MaxiM</f>
        <v>2.2705285380978359E-2</v>
      </c>
      <c r="Q352" s="304">
        <f t="shared" si="130"/>
        <v>0.7</v>
      </c>
      <c r="R352" s="177">
        <f t="shared" si="131"/>
        <v>0.33445963118776784</v>
      </c>
      <c r="S352" s="799">
        <f t="shared" si="132"/>
        <v>0</v>
      </c>
      <c r="T352" s="176">
        <f t="shared" si="133"/>
        <v>6</v>
      </c>
      <c r="U352" s="250">
        <f t="shared" si="134"/>
        <v>0.33445963118776784</v>
      </c>
      <c r="V352" s="382">
        <f t="shared" si="135"/>
        <v>25.710253976174972</v>
      </c>
      <c r="W352" s="400">
        <f t="shared" si="136"/>
        <v>0</v>
      </c>
      <c r="X352" s="157">
        <f t="shared" si="137"/>
        <v>44899</v>
      </c>
      <c r="Y352" s="383">
        <f t="shared" si="138"/>
        <v>20.83436271947555</v>
      </c>
      <c r="Z352" s="383">
        <f t="shared" si="139"/>
        <v>21.410780867619131</v>
      </c>
      <c r="AA352" s="384">
        <f t="shared" si="140"/>
        <v>23.330463270324856</v>
      </c>
      <c r="AB352" s="197">
        <f t="shared" si="141"/>
        <v>44899</v>
      </c>
      <c r="AC352" s="119">
        <f>IF(OR(t&lt;Tnet,NoTnet),'2021'!Resal_s+('2021'!Salim-'2021'!Resal_s)*(1-EXP(('2021'!Tnet_s-t)/'2021'!Tau_j)),Resal_s+(Salim-Resal_s)*(1-EXP((Tnet_s-t)/Tau_j)))*Salcycl</f>
        <v>8.2282223908835217E-2</v>
      </c>
      <c r="AD352" s="230">
        <f>(INDEX(Models!$BJ352:$BT352,,AH352)*(1-AF352)+INDEX(Models!$BJ352:$BT352,,AH352+1)*AF352-ERP_i)*AE352*Ramure*Pc/MaxiM</f>
        <v>2.4192699029895237E-2</v>
      </c>
      <c r="AE352" s="304">
        <f t="shared" si="142"/>
        <v>0.7</v>
      </c>
      <c r="AF352" s="177">
        <f t="shared" si="143"/>
        <v>0.39879185344759999</v>
      </c>
      <c r="AG352" s="799">
        <f t="shared" si="149"/>
        <v>0</v>
      </c>
      <c r="AH352" s="176">
        <f t="shared" si="144"/>
        <v>6</v>
      </c>
      <c r="AI352" s="224">
        <f t="shared" si="145"/>
        <v>0.39879185344759999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44900</v>
      </c>
      <c r="B353" s="1147">
        <v>26.442</v>
      </c>
      <c r="C353" s="388"/>
      <c r="D353" s="391">
        <f t="shared" si="127"/>
        <v>27.174083774511772</v>
      </c>
      <c r="E353" s="383">
        <f t="shared" si="125"/>
        <v>27.683486809646254</v>
      </c>
      <c r="F353" s="383">
        <f t="shared" si="128"/>
        <v>28.332410903227842</v>
      </c>
      <c r="G353" s="110">
        <f t="shared" si="126"/>
        <v>1.0367954994143609</v>
      </c>
      <c r="H353" s="412" t="b">
        <f>Wh_hp&gt;='2021'!Maxi_hp</f>
        <v>1</v>
      </c>
      <c r="I353" s="379">
        <f>IF(H353,Wh_hp,'2021'!Maxi_hp)</f>
        <v>28.332410903227842</v>
      </c>
      <c r="J353" s="85">
        <f>IF(H353,An,'2021'!An_max)</f>
        <v>2022</v>
      </c>
      <c r="K353" s="197">
        <f t="shared" si="129"/>
        <v>44900</v>
      </c>
      <c r="L353" s="147">
        <f>IF(t&lt;Tvie,1-EXP((T0-t)*PertePVj)+'2021'!Pspv,1-EXP((T0-t)*PertePVj)+Pspv)</f>
        <v>2.6940513637425334E-2</v>
      </c>
      <c r="M353" s="832"/>
      <c r="N353" s="832"/>
      <c r="O353" s="48">
        <f>IF(t&lt;Tnet,'2021'!Resal+('2021'!Salim-'2021'!Resal)*(1-EXP(('2021'!Tnet-t)/('2021'!Tau_j))),Resal+(Salim-Resal)*(1-EXP((Tnet-t)/(Tau_j))))*Salcycl</f>
        <v>1.8400970897819915E-2</v>
      </c>
      <c r="P353" s="169">
        <f>(INDEX(Models!$BJ353:$BT353,,T353)*(1-R353)+INDEX(Models!$BJ353:$BT353,,T353+1)*R353-ERP_i)*Q353*Ramure*Pc/MaxiM</f>
        <v>2.2903948972011298E-2</v>
      </c>
      <c r="Q353" s="304">
        <f t="shared" si="130"/>
        <v>0.7</v>
      </c>
      <c r="R353" s="177">
        <f t="shared" si="131"/>
        <v>0.334470801798463</v>
      </c>
      <c r="S353" s="799">
        <f t="shared" si="132"/>
        <v>0</v>
      </c>
      <c r="T353" s="176">
        <f t="shared" si="133"/>
        <v>6</v>
      </c>
      <c r="U353" s="250">
        <f t="shared" si="134"/>
        <v>0.334470801798463</v>
      </c>
      <c r="V353" s="382">
        <f t="shared" si="135"/>
        <v>25.503582929262226</v>
      </c>
      <c r="W353" s="400">
        <f t="shared" si="136"/>
        <v>0</v>
      </c>
      <c r="X353" s="157">
        <f t="shared" si="137"/>
        <v>44900</v>
      </c>
      <c r="Y353" s="383">
        <f t="shared" si="138"/>
        <v>24.683546206213705</v>
      </c>
      <c r="Z353" s="383">
        <f t="shared" si="139"/>
        <v>25.366944726559392</v>
      </c>
      <c r="AA353" s="384">
        <f t="shared" si="140"/>
        <v>27.640272448907378</v>
      </c>
      <c r="AB353" s="197">
        <f t="shared" si="141"/>
        <v>44900</v>
      </c>
      <c r="AC353" s="119">
        <f>IF(OR(t&lt;Tnet,NoTnet),'2021'!Resal_s+('2021'!Salim-'2021'!Resal_s)*(1-EXP(('2021'!Tnet_s-t)/'2021'!Tau_j)),Resal_s+(Salim-Resal_s)*(1-EXP((Tnet_s-t)/Tau_j)))*Salcycl</f>
        <v>8.2246936116501745E-2</v>
      </c>
      <c r="AD353" s="230">
        <f>(INDEX(Models!$BJ353:$BT353,,AH353)*(1-AF353)+INDEX(Models!$BJ353:$BT353,,AH353+1)*AF353-ERP_i)*AE353*Ramure*Pc/MaxiM</f>
        <v>2.4429211360958027E-2</v>
      </c>
      <c r="AE353" s="304">
        <f t="shared" si="142"/>
        <v>0.7</v>
      </c>
      <c r="AF353" s="177">
        <f t="shared" si="143"/>
        <v>0.39880302405829515</v>
      </c>
      <c r="AG353" s="799">
        <f t="shared" si="149"/>
        <v>0</v>
      </c>
      <c r="AH353" s="176">
        <f t="shared" si="144"/>
        <v>6</v>
      </c>
      <c r="AI353" s="224">
        <f t="shared" si="145"/>
        <v>0.39880302405829515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44901</v>
      </c>
      <c r="B354" s="1147">
        <v>16.757999999999999</v>
      </c>
      <c r="C354" s="388"/>
      <c r="D354" s="391">
        <f t="shared" si="127"/>
        <v>17.22229874357101</v>
      </c>
      <c r="E354" s="383">
        <f t="shared" si="125"/>
        <v>17.545900893734252</v>
      </c>
      <c r="F354" s="383">
        <f t="shared" si="128"/>
        <v>17.758110921463388</v>
      </c>
      <c r="G354" s="110">
        <f t="shared" si="126"/>
        <v>0.65472832782421397</v>
      </c>
      <c r="H354" s="412" t="b">
        <f>Wh_hp&gt;='2021'!Maxi_hp</f>
        <v>0</v>
      </c>
      <c r="I354" s="379">
        <f>IF(H354,Wh_hp,'2021'!Maxi_hp)</f>
        <v>24.344380996305986</v>
      </c>
      <c r="J354" s="85">
        <f>IF(H354,An,'2021'!An_max)</f>
        <v>2020</v>
      </c>
      <c r="K354" s="197">
        <f t="shared" si="129"/>
        <v>44901</v>
      </c>
      <c r="L354" s="147">
        <f>IF(t&lt;Tvie,1-EXP((T0-t)*PertePVj)+'2021'!Pspv,1-EXP((T0-t)*PertePVj)+Pspv)</f>
        <v>2.6959162100490874E-2</v>
      </c>
      <c r="M354" s="832"/>
      <c r="N354" s="832"/>
      <c r="O354" s="48">
        <f>IF(t&lt;Tnet,'2021'!Resal+('2021'!Salim-'2021'!Resal)*(1-EXP(('2021'!Tnet-t)/('2021'!Tau_j))),Resal+(Salim-Resal)*(1-EXP((Tnet-t)/(Tau_j))))*Salcycl</f>
        <v>1.8443176678309196E-2</v>
      </c>
      <c r="P354" s="169">
        <f>(INDEX(Models!$BJ354:$BT354,,T354)*(1-R354)+INDEX(Models!$BJ354:$BT354,,T354+1)*R354-ERP_i)*Q354*Ramure*Pc/MaxiM</f>
        <v>2.3095175958057022E-2</v>
      </c>
      <c r="Q354" s="304">
        <f t="shared" si="130"/>
        <v>0.7</v>
      </c>
      <c r="R354" s="177">
        <f t="shared" si="131"/>
        <v>0.33448152323408137</v>
      </c>
      <c r="S354" s="799">
        <f t="shared" si="132"/>
        <v>0</v>
      </c>
      <c r="T354" s="176">
        <f t="shared" si="133"/>
        <v>6</v>
      </c>
      <c r="U354" s="250">
        <f t="shared" si="134"/>
        <v>0.33448152323408137</v>
      </c>
      <c r="V354" s="382">
        <f t="shared" si="135"/>
        <v>25.306634981503361</v>
      </c>
      <c r="W354" s="400">
        <f t="shared" si="136"/>
        <v>0</v>
      </c>
      <c r="X354" s="157">
        <f t="shared" si="137"/>
        <v>44901</v>
      </c>
      <c r="Y354" s="383">
        <f t="shared" si="138"/>
        <v>15.656455395438545</v>
      </c>
      <c r="Z354" s="383">
        <f t="shared" si="139"/>
        <v>16.090234639314765</v>
      </c>
      <c r="AA354" s="384">
        <f t="shared" si="140"/>
        <v>17.531557033782029</v>
      </c>
      <c r="AB354" s="197">
        <f t="shared" si="141"/>
        <v>44901</v>
      </c>
      <c r="AC354" s="119">
        <f>IF(OR(t&lt;Tnet,NoTnet),'2021'!Resal_s+('2021'!Salim-'2021'!Resal_s)*(1-EXP(('2021'!Tnet_s-t)/'2021'!Tau_j)),Resal_s+(Salim-Resal_s)*(1-EXP((Tnet_s-t)/Tau_j)))*Salcycl</f>
        <v>8.2213028294631132E-2</v>
      </c>
      <c r="AD354" s="230">
        <f>(INDEX(Models!$BJ354:$BT354,,AH354)*(1-AF354)+INDEX(Models!$BJ354:$BT354,,AH354+1)*AF354-ERP_i)*AE354*Ramure*Pc/MaxiM</f>
        <v>2.4656242478142281E-2</v>
      </c>
      <c r="AE354" s="304">
        <f t="shared" si="142"/>
        <v>0.7</v>
      </c>
      <c r="AF354" s="177">
        <f t="shared" si="143"/>
        <v>0.39881374549391352</v>
      </c>
      <c r="AG354" s="799">
        <f t="shared" si="149"/>
        <v>0</v>
      </c>
      <c r="AH354" s="176">
        <f t="shared" si="144"/>
        <v>6</v>
      </c>
      <c r="AI354" s="224">
        <f t="shared" si="145"/>
        <v>0.39881374549391352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44902</v>
      </c>
      <c r="B355" s="1147">
        <v>19.609000000000002</v>
      </c>
      <c r="C355" s="388"/>
      <c r="D355" s="391">
        <f t="shared" si="127"/>
        <v>20.152675042441466</v>
      </c>
      <c r="E355" s="383">
        <f t="shared" si="125"/>
        <v>20.532225794556553</v>
      </c>
      <c r="F355" s="383">
        <f t="shared" si="128"/>
        <v>20.865678044403491</v>
      </c>
      <c r="G355" s="110">
        <f t="shared" si="126"/>
        <v>0.77479521371650673</v>
      </c>
      <c r="H355" s="412" t="b">
        <f>Wh_hp&gt;='2021'!Maxi_hp</f>
        <v>1</v>
      </c>
      <c r="I355" s="379">
        <f>IF(H355,Wh_hp,'2021'!Maxi_hp)</f>
        <v>20.865678044403491</v>
      </c>
      <c r="J355" s="85">
        <f>IF(H355,An,'2021'!An_max)</f>
        <v>2022</v>
      </c>
      <c r="K355" s="197">
        <f t="shared" si="129"/>
        <v>44902</v>
      </c>
      <c r="L355" s="147">
        <f>IF(t&lt;Tvie,1-EXP((T0-t)*PertePVj)+'2021'!Pspv,1-EXP((T0-t)*PertePVj)+Pspv)</f>
        <v>2.6977810206162967E-2</v>
      </c>
      <c r="M355" s="832"/>
      <c r="N355" s="832"/>
      <c r="O355" s="48">
        <f>IF(t&lt;Tnet,'2021'!Resal+('2021'!Salim-'2021'!Resal)*(1-EXP(('2021'!Tnet-t)/('2021'!Tau_j))),Resal+(Salim-Resal)*(1-EXP((Tnet-t)/(Tau_j))))*Salcycl</f>
        <v>1.8485611638642319E-2</v>
      </c>
      <c r="P355" s="169">
        <f>(INDEX(Models!$BJ355:$BT355,,T355)*(1-R355)+INDEX(Models!$BJ355:$BT355,,T355+1)*R355-ERP_i)*Q355*Ramure*Pc/MaxiM</f>
        <v>2.3277198748624391E-2</v>
      </c>
      <c r="Q355" s="304">
        <f t="shared" si="130"/>
        <v>0.7</v>
      </c>
      <c r="R355" s="177">
        <f t="shared" si="131"/>
        <v>0.33449181353350943</v>
      </c>
      <c r="S355" s="799">
        <f t="shared" si="132"/>
        <v>0</v>
      </c>
      <c r="T355" s="176">
        <f t="shared" si="133"/>
        <v>6</v>
      </c>
      <c r="U355" s="250">
        <f t="shared" si="134"/>
        <v>0.33449181353350943</v>
      </c>
      <c r="V355" s="382">
        <f t="shared" si="135"/>
        <v>25.120964742951664</v>
      </c>
      <c r="W355" s="400">
        <f t="shared" si="136"/>
        <v>0</v>
      </c>
      <c r="X355" s="157">
        <f t="shared" si="137"/>
        <v>44902</v>
      </c>
      <c r="Y355" s="383">
        <f t="shared" si="138"/>
        <v>18.316083436110848</v>
      </c>
      <c r="Z355" s="383">
        <f t="shared" si="139"/>
        <v>18.823911343678237</v>
      </c>
      <c r="AA355" s="384">
        <f t="shared" si="140"/>
        <v>20.509381888697988</v>
      </c>
      <c r="AB355" s="197">
        <f t="shared" si="141"/>
        <v>44902</v>
      </c>
      <c r="AC355" s="119">
        <f>IF(OR(t&lt;Tnet,NoTnet),'2021'!Resal_s+('2021'!Salim-'2021'!Resal_s)*(1-EXP(('2021'!Tnet_s-t)/'2021'!Tau_j)),Resal_s+(Salim-Resal_s)*(1-EXP((Tnet_s-t)/Tau_j)))*Salcycl</f>
        <v>8.2180465221555726E-2</v>
      </c>
      <c r="AD355" s="230">
        <f>(INDEX(Models!$BJ355:$BT355,,AH355)*(1-AF355)+INDEX(Models!$BJ355:$BT355,,AH355+1)*AF355-ERP_i)*AE355*Ramure*Pc/MaxiM</f>
        <v>2.4871856265881325E-2</v>
      </c>
      <c r="AE355" s="304">
        <f t="shared" si="142"/>
        <v>0.7</v>
      </c>
      <c r="AF355" s="177">
        <f t="shared" si="143"/>
        <v>0.39882403579334158</v>
      </c>
      <c r="AG355" s="799">
        <f t="shared" si="149"/>
        <v>0</v>
      </c>
      <c r="AH355" s="176">
        <f t="shared" si="144"/>
        <v>6</v>
      </c>
      <c r="AI355" s="224">
        <f t="shared" si="145"/>
        <v>0.39882403579334158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44903</v>
      </c>
      <c r="B356" s="1147">
        <v>4.7780000000000005</v>
      </c>
      <c r="C356" s="388"/>
      <c r="D356" s="391">
        <f t="shared" si="127"/>
        <v>4.9105679409503278</v>
      </c>
      <c r="E356" s="383">
        <f t="shared" si="125"/>
        <v>5.0032698740853538</v>
      </c>
      <c r="F356" s="383">
        <f t="shared" si="128"/>
        <v>5.0032698740853538</v>
      </c>
      <c r="G356" s="110">
        <f t="shared" si="126"/>
        <v>0.18702665410559738</v>
      </c>
      <c r="H356" s="412" t="b">
        <f>Wh_hp&gt;='2021'!Maxi_hp</f>
        <v>0</v>
      </c>
      <c r="I356" s="379">
        <f>IF(H356,Wh_hp,'2021'!Maxi_hp)</f>
        <v>18.164839905008368</v>
      </c>
      <c r="J356" s="85">
        <f>IF(H356,An,'2021'!An_max)</f>
        <v>2018</v>
      </c>
      <c r="K356" s="197">
        <f t="shared" si="129"/>
        <v>44903</v>
      </c>
      <c r="L356" s="147">
        <f>IF(t&lt;Tvie,1-EXP((T0-t)*PertePVj)+'2021'!Pspv,1-EXP((T0-t)*PertePVj)+Pspv)</f>
        <v>2.6996457954448272E-2</v>
      </c>
      <c r="M356" s="832"/>
      <c r="N356" s="832"/>
      <c r="O356" s="48">
        <f>IF(t&lt;Tnet,'2021'!Resal+('2021'!Salim-'2021'!Resal)*(1-EXP(('2021'!Tnet-t)/('2021'!Tau_j))),Resal+(Salim-Resal)*(1-EXP((Tnet-t)/(Tau_j))))*Salcycl</f>
        <v>1.8528269605279455E-2</v>
      </c>
      <c r="P356" s="169">
        <f>(INDEX(Models!$BJ356:$BT356,,T356)*(1-R356)+INDEX(Models!$BJ356:$BT356,,T356+1)*R356-ERP_i)*Q356*Ramure*Pc/MaxiM</f>
        <v>2.3448169931732328E-2</v>
      </c>
      <c r="Q356" s="304">
        <f t="shared" si="130"/>
        <v>0.7</v>
      </c>
      <c r="R356" s="177">
        <f t="shared" si="131"/>
        <v>0.33450169001297664</v>
      </c>
      <c r="S356" s="799">
        <f t="shared" si="132"/>
        <v>0</v>
      </c>
      <c r="T356" s="176">
        <f t="shared" si="133"/>
        <v>6</v>
      </c>
      <c r="U356" s="250">
        <f t="shared" si="134"/>
        <v>0.33450169001297664</v>
      </c>
      <c r="V356" s="382">
        <f t="shared" si="135"/>
        <v>24.948126599279945</v>
      </c>
      <c r="W356" s="400">
        <f t="shared" si="136"/>
        <v>0</v>
      </c>
      <c r="X356" s="157">
        <f t="shared" si="137"/>
        <v>44903</v>
      </c>
      <c r="Y356" s="383">
        <f t="shared" si="138"/>
        <v>4.4682805893001829</v>
      </c>
      <c r="Z356" s="383">
        <f t="shared" si="139"/>
        <v>4.5922552141038331</v>
      </c>
      <c r="AA356" s="384">
        <f t="shared" si="140"/>
        <v>5.0032698740853538</v>
      </c>
      <c r="AB356" s="197">
        <f t="shared" si="141"/>
        <v>44903</v>
      </c>
      <c r="AC356" s="119">
        <f>IF(OR(t&lt;Tnet,NoTnet),'2021'!Resal_s+('2021'!Salim-'2021'!Resal_s)*(1-EXP(('2021'!Tnet_s-t)/'2021'!Tau_j)),Resal_s+(Salim-Resal_s)*(1-EXP((Tnet_s-t)/Tau_j)))*Salcycl</f>
        <v>8.2149208482714148E-2</v>
      </c>
      <c r="AD356" s="230">
        <f>(INDEX(Models!$BJ356:$BT356,,AH356)*(1-AF356)+INDEX(Models!$BJ356:$BT356,,AH356+1)*AF356-ERP_i)*AE356*Ramure*Pc/MaxiM</f>
        <v>2.5074027862381668E-2</v>
      </c>
      <c r="AE356" s="304">
        <f t="shared" si="142"/>
        <v>0.7</v>
      </c>
      <c r="AF356" s="177">
        <f t="shared" si="143"/>
        <v>0.39883391227280879</v>
      </c>
      <c r="AG356" s="799">
        <f t="shared" si="149"/>
        <v>0</v>
      </c>
      <c r="AH356" s="176">
        <f t="shared" si="144"/>
        <v>6</v>
      </c>
      <c r="AI356" s="224">
        <f t="shared" si="145"/>
        <v>0.39883391227280879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44904</v>
      </c>
      <c r="B357" s="1147">
        <v>9.657</v>
      </c>
      <c r="C357" s="388"/>
      <c r="D357" s="391">
        <f t="shared" si="127"/>
        <v>9.9251283889948567</v>
      </c>
      <c r="E357" s="383">
        <f t="shared" si="125"/>
        <v>10.112937198510604</v>
      </c>
      <c r="F357" s="383">
        <f t="shared" si="128"/>
        <v>10.143572329853523</v>
      </c>
      <c r="G357" s="110">
        <f t="shared" si="126"/>
        <v>0.38151362102316233</v>
      </c>
      <c r="H357" s="412" t="b">
        <f>Wh_hp&gt;='2021'!Maxi_hp</f>
        <v>1</v>
      </c>
      <c r="I357" s="379">
        <f>IF(H357,Wh_hp,'2021'!Maxi_hp)</f>
        <v>10.143572329853523</v>
      </c>
      <c r="J357" s="85">
        <f>IF(H357,An,'2021'!An_max)</f>
        <v>2022</v>
      </c>
      <c r="K357" s="197">
        <f t="shared" si="129"/>
        <v>44904</v>
      </c>
      <c r="L357" s="147">
        <f>IF(t&lt;Tvie,1-EXP((T0-t)*PertePVj)+'2021'!Pspv,1-EXP((T0-t)*PertePVj)+Pspv)</f>
        <v>2.7015105345353785E-2</v>
      </c>
      <c r="M357" s="832"/>
      <c r="N357" s="832"/>
      <c r="O357" s="48">
        <f>IF(t&lt;Tnet,'2021'!Resal+('2021'!Salim-'2021'!Resal)*(1-EXP(('2021'!Tnet-t)/('2021'!Tau_j))),Resal+(Salim-Resal)*(1-EXP((Tnet-t)/(Tau_j))))*Salcycl</f>
        <v>1.8571143657789935E-2</v>
      </c>
      <c r="P357" s="169">
        <f>(INDEX(Models!$BJ357:$BT357,,T357)*(1-R357)+INDEX(Models!$BJ357:$BT357,,T357+1)*R357-ERP_i)*Q357*Ramure*Pc/MaxiM</f>
        <v>2.3606174777751995E-2</v>
      </c>
      <c r="Q357" s="304">
        <f t="shared" si="130"/>
        <v>0.7</v>
      </c>
      <c r="R357" s="177">
        <f t="shared" si="131"/>
        <v>0.33451116929486469</v>
      </c>
      <c r="S357" s="799">
        <f t="shared" si="132"/>
        <v>0</v>
      </c>
      <c r="T357" s="176">
        <f t="shared" si="133"/>
        <v>6</v>
      </c>
      <c r="U357" s="250">
        <f t="shared" si="134"/>
        <v>0.33451116929486469</v>
      </c>
      <c r="V357" s="382">
        <f t="shared" si="135"/>
        <v>24.789674693692724</v>
      </c>
      <c r="W357" s="400">
        <f t="shared" si="136"/>
        <v>0</v>
      </c>
      <c r="X357" s="157">
        <f t="shared" si="137"/>
        <v>44904</v>
      </c>
      <c r="Y357" s="383">
        <f t="shared" si="138"/>
        <v>9.029786232376857</v>
      </c>
      <c r="Z357" s="383">
        <f t="shared" si="139"/>
        <v>9.2804999152447412</v>
      </c>
      <c r="AA357" s="384">
        <f t="shared" si="140"/>
        <v>10.110790077492048</v>
      </c>
      <c r="AB357" s="197">
        <f t="shared" si="141"/>
        <v>44904</v>
      </c>
      <c r="AC357" s="119">
        <f>IF(OR(t&lt;Tnet,NoTnet),'2021'!Resal_s+('2021'!Salim-'2021'!Resal_s)*(1-EXP(('2021'!Tnet_s-t)/'2021'!Tau_j)),Resal_s+(Salim-Resal_s)*(1-EXP((Tnet_s-t)/Tau_j)))*Salcycl</f>
        <v>8.2119216785604437E-2</v>
      </c>
      <c r="AD357" s="230">
        <f>(INDEX(Models!$BJ357:$BT357,,AH357)*(1-AF357)+INDEX(Models!$BJ357:$BT357,,AH357+1)*AF357-ERP_i)*AE357*Ramure*Pc/MaxiM</f>
        <v>2.5260658104937626E-2</v>
      </c>
      <c r="AE357" s="304">
        <f t="shared" si="142"/>
        <v>0.7</v>
      </c>
      <c r="AF357" s="177">
        <f t="shared" si="143"/>
        <v>0.39884339155469684</v>
      </c>
      <c r="AG357" s="799">
        <f t="shared" si="149"/>
        <v>0</v>
      </c>
      <c r="AH357" s="176">
        <f t="shared" si="144"/>
        <v>6</v>
      </c>
      <c r="AI357" s="224">
        <f t="shared" si="145"/>
        <v>0.39884339155469684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44905</v>
      </c>
      <c r="B358" s="1147">
        <v>16.152999999999999</v>
      </c>
      <c r="C358" s="388"/>
      <c r="D358" s="391">
        <f t="shared" si="127"/>
        <v>16.601809198925263</v>
      </c>
      <c r="E358" s="383">
        <f t="shared" si="125"/>
        <v>16.9167004882726</v>
      </c>
      <c r="F358" s="383">
        <f t="shared" si="128"/>
        <v>17.123150873930253</v>
      </c>
      <c r="G358" s="110">
        <f t="shared" si="126"/>
        <v>0.64761315532496699</v>
      </c>
      <c r="H358" s="412" t="b">
        <f>Wh_hp&gt;='2021'!Maxi_hp</f>
        <v>0</v>
      </c>
      <c r="I358" s="379">
        <f>IF(H358,Wh_hp,'2021'!Maxi_hp)</f>
        <v>19.483808473016875</v>
      </c>
      <c r="J358" s="85">
        <f>IF(H358,An,'2021'!An_max)</f>
        <v>2018</v>
      </c>
      <c r="K358" s="197">
        <f t="shared" si="129"/>
        <v>44905</v>
      </c>
      <c r="L358" s="147">
        <f>IF(t&lt;Tvie,1-EXP((T0-t)*PertePVj)+'2021'!Pspv,1-EXP((T0-t)*PertePVj)+Pspv)</f>
        <v>2.7033752378886389E-2</v>
      </c>
      <c r="M358" s="832"/>
      <c r="N358" s="832"/>
      <c r="O358" s="48">
        <f>IF(t&lt;Tnet,'2021'!Resal+('2021'!Salim-'2021'!Resal)*(1-EXP(('2021'!Tnet-t)/('2021'!Tau_j))),Resal+(Salim-Resal)*(1-EXP((Tnet-t)/(Tau_j))))*Salcycl</f>
        <v>1.8614226194146554E-2</v>
      </c>
      <c r="P358" s="169">
        <f>(INDEX(Models!$BJ358:$BT358,,T358)*(1-R358)+INDEX(Models!$BJ358:$BT358,,T358+1)*R358-ERP_i)*Q358*Ramure*Pc/MaxiM</f>
        <v>2.3749247112782632E-2</v>
      </c>
      <c r="Q358" s="304">
        <f t="shared" si="130"/>
        <v>0.7</v>
      </c>
      <c r="R358" s="177">
        <f t="shared" si="131"/>
        <v>0.33452026733538032</v>
      </c>
      <c r="S358" s="799">
        <f t="shared" si="132"/>
        <v>0</v>
      </c>
      <c r="T358" s="176">
        <f t="shared" si="133"/>
        <v>6</v>
      </c>
      <c r="U358" s="250">
        <f t="shared" si="134"/>
        <v>0.33452026733538032</v>
      </c>
      <c r="V358" s="382">
        <f t="shared" si="135"/>
        <v>24.647162919457635</v>
      </c>
      <c r="W358" s="400">
        <f t="shared" si="136"/>
        <v>0</v>
      </c>
      <c r="X358" s="157">
        <f t="shared" si="137"/>
        <v>44905</v>
      </c>
      <c r="Y358" s="383">
        <f t="shared" si="138"/>
        <v>15.095175327359525</v>
      </c>
      <c r="Z358" s="383">
        <f t="shared" si="139"/>
        <v>15.514592992580143</v>
      </c>
      <c r="AA358" s="384">
        <f t="shared" si="140"/>
        <v>16.902093381418307</v>
      </c>
      <c r="AB358" s="197">
        <f t="shared" si="141"/>
        <v>44905</v>
      </c>
      <c r="AC358" s="119">
        <f>IF(OR(t&lt;Tnet,NoTnet),'2021'!Resal_s+('2021'!Salim-'2021'!Resal_s)*(1-EXP(('2021'!Tnet_s-t)/'2021'!Tau_j)),Resal_s+(Salim-Resal_s)*(1-EXP((Tnet_s-t)/Tau_j)))*Salcycl</f>
        <v>8.2090446285401755E-2</v>
      </c>
      <c r="AD358" s="230">
        <f>(INDEX(Models!$BJ358:$BT358,,AH358)*(1-AF358)+INDEX(Models!$BJ358:$BT358,,AH358+1)*AF358-ERP_i)*AE358*Ramure*Pc/MaxiM</f>
        <v>2.5429591710737012E-2</v>
      </c>
      <c r="AE358" s="304">
        <f t="shared" si="142"/>
        <v>0.7</v>
      </c>
      <c r="AF358" s="177">
        <f t="shared" si="143"/>
        <v>0.39885248959521247</v>
      </c>
      <c r="AG358" s="799">
        <f t="shared" si="149"/>
        <v>0</v>
      </c>
      <c r="AH358" s="176">
        <f t="shared" si="144"/>
        <v>6</v>
      </c>
      <c r="AI358" s="224">
        <f t="shared" si="145"/>
        <v>0.39885248959521247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44906</v>
      </c>
      <c r="B359" s="1147">
        <v>15.398</v>
      </c>
      <c r="C359" s="388"/>
      <c r="D359" s="391">
        <f t="shared" si="127"/>
        <v>15.826134917281401</v>
      </c>
      <c r="E359" s="383">
        <f t="shared" si="125"/>
        <v>16.127025031942718</v>
      </c>
      <c r="F359" s="383">
        <f t="shared" si="128"/>
        <v>16.309575430740647</v>
      </c>
      <c r="G359" s="110">
        <f t="shared" si="126"/>
        <v>0.62002116177622379</v>
      </c>
      <c r="H359" s="412" t="b">
        <f>Wh_hp&gt;='2021'!Maxi_hp</f>
        <v>0</v>
      </c>
      <c r="I359" s="379">
        <f>IF(H359,Wh_hp,'2021'!Maxi_hp)</f>
        <v>16.447360617108369</v>
      </c>
      <c r="J359" s="85">
        <f>IF(H359,An,'2021'!An_max)</f>
        <v>2021</v>
      </c>
      <c r="K359" s="197">
        <f t="shared" si="129"/>
        <v>44906</v>
      </c>
      <c r="L359" s="147">
        <f>IF(t&lt;Tvie,1-EXP((T0-t)*PertePVj)+'2021'!Pspv,1-EXP((T0-t)*PertePVj)+Pspv)</f>
        <v>2.7052399055052745E-2</v>
      </c>
      <c r="M359" s="832"/>
      <c r="N359" s="832"/>
      <c r="O359" s="48">
        <f>IF(t&lt;Tnet,'2021'!Resal+('2021'!Salim-'2021'!Resal)*(1-EXP(('2021'!Tnet-t)/('2021'!Tau_j))),Resal+(Salim-Resal)*(1-EXP((Tnet-t)/(Tau_j))))*Salcycl</f>
        <v>1.8657508999046352E-2</v>
      </c>
      <c r="P359" s="169">
        <f>(INDEX(Models!$BJ359:$BT359,,T359)*(1-R359)+INDEX(Models!$BJ359:$BT359,,T359+1)*R359-ERP_i)*Q359*Ramure*Pc/MaxiM</f>
        <v>2.3881271364179169E-2</v>
      </c>
      <c r="Q359" s="304">
        <f t="shared" si="130"/>
        <v>0.7</v>
      </c>
      <c r="R359" s="177">
        <f t="shared" si="131"/>
        <v>0.3345289994511334</v>
      </c>
      <c r="S359" s="799">
        <f t="shared" si="132"/>
        <v>0</v>
      </c>
      <c r="T359" s="176">
        <f t="shared" si="133"/>
        <v>6</v>
      </c>
      <c r="U359" s="250">
        <f t="shared" si="134"/>
        <v>0.3345289994511334</v>
      </c>
      <c r="V359" s="382">
        <f t="shared" si="135"/>
        <v>24.515956606294981</v>
      </c>
      <c r="W359" s="400">
        <f t="shared" si="136"/>
        <v>0</v>
      </c>
      <c r="X359" s="157">
        <f t="shared" si="137"/>
        <v>44906</v>
      </c>
      <c r="Y359" s="383">
        <f t="shared" si="138"/>
        <v>14.391491712061624</v>
      </c>
      <c r="Z359" s="383">
        <f t="shared" si="139"/>
        <v>14.791641089493723</v>
      </c>
      <c r="AA359" s="384">
        <f t="shared" si="140"/>
        <v>16.114002036301127</v>
      </c>
      <c r="AB359" s="197">
        <f t="shared" si="141"/>
        <v>44906</v>
      </c>
      <c r="AC359" s="119">
        <f>IF(OR(t&lt;Tnet,NoTnet),'2021'!Resal_s+('2021'!Salim-'2021'!Resal_s)*(1-EXP(('2021'!Tnet_s-t)/'2021'!Tau_j)),Resal_s+(Salim-Resal_s)*(1-EXP((Tnet_s-t)/Tau_j)))*Salcycl</f>
        <v>8.2062850918625266E-2</v>
      </c>
      <c r="AD359" s="230">
        <f>(INDEX(Models!$BJ359:$BT359,,AH359)*(1-AF359)+INDEX(Models!$BJ359:$BT359,,AH359+1)*AF359-ERP_i)*AE359*Ramure*Pc/MaxiM</f>
        <v>2.5584941665308732E-2</v>
      </c>
      <c r="AE359" s="304">
        <f t="shared" si="142"/>
        <v>0.7</v>
      </c>
      <c r="AF359" s="177">
        <f t="shared" si="143"/>
        <v>0.39886122171096555</v>
      </c>
      <c r="AG359" s="799">
        <f t="shared" si="149"/>
        <v>0</v>
      </c>
      <c r="AH359" s="176">
        <f t="shared" si="144"/>
        <v>6</v>
      </c>
      <c r="AI359" s="224">
        <f t="shared" si="145"/>
        <v>0.39886122171096555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44907</v>
      </c>
      <c r="B360" s="1147">
        <v>7.1029999999999998</v>
      </c>
      <c r="C360" s="388"/>
      <c r="D360" s="391">
        <f t="shared" si="127"/>
        <v>7.3006358441962647</v>
      </c>
      <c r="E360" s="383">
        <f t="shared" si="125"/>
        <v>7.4397667989689369</v>
      </c>
      <c r="F360" s="383">
        <f t="shared" si="128"/>
        <v>7.4397667989689369</v>
      </c>
      <c r="G360" s="110">
        <f t="shared" si="126"/>
        <v>0.28422182917234418</v>
      </c>
      <c r="H360" s="412" t="b">
        <f>Wh_hp&gt;='2021'!Maxi_hp</f>
        <v>0</v>
      </c>
      <c r="I360" s="379">
        <f>IF(H360,Wh_hp,'2021'!Maxi_hp)</f>
        <v>25.134038937177625</v>
      </c>
      <c r="J360" s="85">
        <f>IF(H360,An,'2021'!An_max)</f>
        <v>2021</v>
      </c>
      <c r="K360" s="197">
        <f t="shared" si="129"/>
        <v>44907</v>
      </c>
      <c r="L360" s="147">
        <f>IF(t&lt;Tvie,1-EXP((T0-t)*PertePVj)+'2021'!Pspv,1-EXP((T0-t)*PertePVj)+Pspv)</f>
        <v>2.7071045373859848E-2</v>
      </c>
      <c r="M360" s="832"/>
      <c r="N360" s="832"/>
      <c r="O360" s="48">
        <f>IF(t&lt;Tnet,'2021'!Resal+('2021'!Salim-'2021'!Resal)*(1-EXP(('2021'!Tnet-t)/('2021'!Tau_j))),Resal+(Salim-Resal)*(1-EXP((Tnet-t)/(Tau_j))))*Salcycl</f>
        <v>1.8700983314685931E-2</v>
      </c>
      <c r="P360" s="169">
        <f>(INDEX(Models!$BJ360:$BT360,,T360)*(1-R360)+INDEX(Models!$BJ360:$BT360,,T360+1)*R360-ERP_i)*Q360*Ramure*Pc/MaxiM</f>
        <v>2.40066622060091E-2</v>
      </c>
      <c r="Q360" s="304">
        <f t="shared" si="130"/>
        <v>0.7</v>
      </c>
      <c r="R360" s="177">
        <f t="shared" si="131"/>
        <v>0.33453738034466518</v>
      </c>
      <c r="S360" s="799">
        <f t="shared" si="132"/>
        <v>0</v>
      </c>
      <c r="T360" s="176">
        <f t="shared" si="133"/>
        <v>6</v>
      </c>
      <c r="U360" s="250">
        <f t="shared" si="134"/>
        <v>0.33453738034466518</v>
      </c>
      <c r="V360" s="382">
        <f t="shared" si="135"/>
        <v>24.391091629162144</v>
      </c>
      <c r="W360" s="400">
        <f t="shared" si="136"/>
        <v>0</v>
      </c>
      <c r="X360" s="157">
        <f t="shared" si="137"/>
        <v>44907</v>
      </c>
      <c r="Y360" s="383">
        <f t="shared" si="138"/>
        <v>6.6445552910128232</v>
      </c>
      <c r="Z360" s="383">
        <f t="shared" si="139"/>
        <v>6.8294352423359372</v>
      </c>
      <c r="AA360" s="384">
        <f t="shared" si="140"/>
        <v>7.4397667989689369</v>
      </c>
      <c r="AB360" s="197">
        <f t="shared" si="141"/>
        <v>44907</v>
      </c>
      <c r="AC360" s="119">
        <f>IF(OR(t&lt;Tnet,NoTnet),'2021'!Resal_s+('2021'!Salim-'2021'!Resal_s)*(1-EXP(('2021'!Tnet_s-t)/'2021'!Tau_j)),Resal_s+(Salim-Resal_s)*(1-EXP((Tnet_s-t)/Tau_j)))*Salcycl</f>
        <v>8.2036382742209729E-2</v>
      </c>
      <c r="AD360" s="230">
        <f>(INDEX(Models!$BJ360:$BT360,,AH360)*(1-AF360)+INDEX(Models!$BJ360:$BT360,,AH360+1)*AF360-ERP_i)*AE360*Ramure*Pc/MaxiM</f>
        <v>2.573140288086254E-2</v>
      </c>
      <c r="AE360" s="304">
        <f t="shared" si="142"/>
        <v>0.7</v>
      </c>
      <c r="AF360" s="177">
        <f t="shared" si="143"/>
        <v>0.39886960260449733</v>
      </c>
      <c r="AG360" s="799">
        <f t="shared" si="149"/>
        <v>0</v>
      </c>
      <c r="AH360" s="176">
        <f t="shared" si="144"/>
        <v>6</v>
      </c>
      <c r="AI360" s="224">
        <f t="shared" si="145"/>
        <v>0.39886960260449733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44908</v>
      </c>
      <c r="B361" s="1147">
        <v>6.6530000000000005</v>
      </c>
      <c r="C361" s="388"/>
      <c r="D361" s="391">
        <f t="shared" si="127"/>
        <v>6.8382459726747156</v>
      </c>
      <c r="E361" s="383">
        <f t="shared" ref="E361:E379" si="150">Wh_pvt/(1-Psa)</f>
        <v>6.9688750256317045</v>
      </c>
      <c r="F361" s="383">
        <f t="shared" si="128"/>
        <v>6.9688750256317045</v>
      </c>
      <c r="G361" s="110">
        <f t="shared" ref="G361:G379" si="151">+Wh_hp/MaxiM</f>
        <v>0.26747142700278426</v>
      </c>
      <c r="H361" s="412" t="b">
        <f>Wh_hp&gt;='2021'!Maxi_hp</f>
        <v>0</v>
      </c>
      <c r="I361" s="379">
        <f>IF(H361,Wh_hp,'2021'!Maxi_hp)</f>
        <v>25.832835378767957</v>
      </c>
      <c r="J361" s="85">
        <f>IF(H361,An,'2021'!An_max)</f>
        <v>2021</v>
      </c>
      <c r="K361" s="197">
        <f t="shared" si="129"/>
        <v>44908</v>
      </c>
      <c r="L361" s="147">
        <f>IF(t&lt;Tvie,1-EXP((T0-t)*PertePVj)+'2021'!Pspv,1-EXP((T0-t)*PertePVj)+Pspv)</f>
        <v>2.708969133531447E-2</v>
      </c>
      <c r="M361" s="832"/>
      <c r="N361" s="832"/>
      <c r="O361" s="48">
        <f>IF(t&lt;Tnet,'2021'!Resal+('2021'!Salim-'2021'!Resal)*(1-EXP(('2021'!Tnet-t)/('2021'!Tau_j))),Resal+(Salim-Resal)*(1-EXP((Tnet-t)/(Tau_j))))*Salcycl</f>
        <v>1.8744639913405269E-2</v>
      </c>
      <c r="P361" s="169">
        <f>(INDEX(Models!$BJ361:$BT361,,T361)*(1-R361)+INDEX(Models!$BJ361:$BT361,,T361+1)*R361-ERP_i)*Q361*Ramure*Pc/MaxiM</f>
        <v>2.4122981530673417E-2</v>
      </c>
      <c r="Q361" s="304">
        <f t="shared" si="130"/>
        <v>0.7</v>
      </c>
      <c r="R361" s="177">
        <f t="shared" si="131"/>
        <v>0.33454542412896593</v>
      </c>
      <c r="S361" s="799">
        <f t="shared" si="132"/>
        <v>0</v>
      </c>
      <c r="T361" s="176">
        <f t="shared" si="133"/>
        <v>6</v>
      </c>
      <c r="U361" s="250">
        <f t="shared" si="134"/>
        <v>0.33454542412896593</v>
      </c>
      <c r="V361" s="382">
        <f t="shared" si="135"/>
        <v>24.273657476724964</v>
      </c>
      <c r="W361" s="400">
        <f t="shared" si="136"/>
        <v>0</v>
      </c>
      <c r="X361" s="157">
        <f t="shared" si="137"/>
        <v>44908</v>
      </c>
      <c r="Y361" s="383">
        <f t="shared" si="138"/>
        <v>6.2240484147299533</v>
      </c>
      <c r="Z361" s="383">
        <f t="shared" si="139"/>
        <v>6.3973506697368929</v>
      </c>
      <c r="AA361" s="384">
        <f t="shared" si="140"/>
        <v>6.9688750256317045</v>
      </c>
      <c r="AB361" s="197">
        <f t="shared" si="141"/>
        <v>44908</v>
      </c>
      <c r="AC361" s="119">
        <f>IF(OR(t&lt;Tnet,NoTnet),'2021'!Resal_s+('2021'!Salim-'2021'!Resal_s)*(1-EXP(('2021'!Tnet_s-t)/'2021'!Tau_j)),Resal_s+(Salim-Resal_s)*(1-EXP((Tnet_s-t)/Tau_j)))*Salcycl</f>
        <v>8.2010992275328501E-2</v>
      </c>
      <c r="AD361" s="230">
        <f>(INDEX(Models!$BJ361:$BT361,,AH361)*(1-AF361)+INDEX(Models!$BJ361:$BT361,,AH361+1)*AF361-ERP_i)*AE361*Ramure*Pc/MaxiM</f>
        <v>2.5866836604698625E-2</v>
      </c>
      <c r="AE361" s="304">
        <f t="shared" si="142"/>
        <v>0.7</v>
      </c>
      <c r="AF361" s="177">
        <f t="shared" si="143"/>
        <v>0.39887764638879808</v>
      </c>
      <c r="AG361" s="799">
        <f t="shared" si="149"/>
        <v>0</v>
      </c>
      <c r="AH361" s="176">
        <f t="shared" si="144"/>
        <v>6</v>
      </c>
      <c r="AI361" s="224">
        <f t="shared" si="145"/>
        <v>0.39887764638879808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44909</v>
      </c>
      <c r="B362" s="1147">
        <v>15.614000000000001</v>
      </c>
      <c r="C362" s="388"/>
      <c r="D362" s="391">
        <f t="shared" si="127"/>
        <v>16.049063418716749</v>
      </c>
      <c r="E362" s="383">
        <f t="shared" si="150"/>
        <v>16.356374659771067</v>
      </c>
      <c r="F362" s="383">
        <f t="shared" si="128"/>
        <v>16.55471967168377</v>
      </c>
      <c r="G362" s="110">
        <f t="shared" si="151"/>
        <v>0.63813892555621166</v>
      </c>
      <c r="H362" s="412" t="b">
        <f>Wh_hp&gt;='2021'!Maxi_hp</f>
        <v>0</v>
      </c>
      <c r="I362" s="379">
        <f>IF(H362,Wh_hp,'2021'!Maxi_hp)</f>
        <v>25.956270173874294</v>
      </c>
      <c r="J362" s="85">
        <f>IF(H362,An,'2021'!An_max)</f>
        <v>2021</v>
      </c>
      <c r="K362" s="197">
        <f t="shared" si="129"/>
        <v>44909</v>
      </c>
      <c r="L362" s="147">
        <f>IF(t&lt;Tvie,1-EXP((T0-t)*PertePVj)+'2021'!Pspv,1-EXP((T0-t)*PertePVj)+Pspv)</f>
        <v>2.7108336939423494E-2</v>
      </c>
      <c r="M362" s="832"/>
      <c r="N362" s="832"/>
      <c r="O362" s="48">
        <f>IF(t&lt;Tnet,'2021'!Resal+('2021'!Salim-'2021'!Resal)*(1-EXP(('2021'!Tnet-t)/('2021'!Tau_j))),Resal+(Salim-Resal)*(1-EXP((Tnet-t)/(Tau_j))))*Salcycl</f>
        <v>1.8788469171604403E-2</v>
      </c>
      <c r="P362" s="169">
        <f>(INDEX(Models!$BJ362:$BT362,,T362)*(1-R362)+INDEX(Models!$BJ362:$BT362,,T362+1)*R362-ERP_i)*Q362*Ramure*Pc/MaxiM</f>
        <v>2.4228955154230312E-2</v>
      </c>
      <c r="Q362" s="304">
        <f t="shared" si="130"/>
        <v>0.7</v>
      </c>
      <c r="R362" s="177">
        <f t="shared" si="131"/>
        <v>0.33455314435102135</v>
      </c>
      <c r="S362" s="799">
        <f t="shared" si="132"/>
        <v>0</v>
      </c>
      <c r="T362" s="176">
        <f t="shared" si="133"/>
        <v>6</v>
      </c>
      <c r="U362" s="250">
        <f t="shared" si="134"/>
        <v>0.33455314435102135</v>
      </c>
      <c r="V362" s="382">
        <f t="shared" si="135"/>
        <v>24.164713252560986</v>
      </c>
      <c r="W362" s="400">
        <f t="shared" si="136"/>
        <v>0</v>
      </c>
      <c r="X362" s="157">
        <f t="shared" si="137"/>
        <v>44909</v>
      </c>
      <c r="Y362" s="383">
        <f t="shared" si="138"/>
        <v>14.595454290295304</v>
      </c>
      <c r="Z362" s="383">
        <f t="shared" si="139"/>
        <v>15.002137282562495</v>
      </c>
      <c r="AA362" s="384">
        <f t="shared" si="140"/>
        <v>16.341959446219807</v>
      </c>
      <c r="AB362" s="197">
        <f t="shared" si="141"/>
        <v>44909</v>
      </c>
      <c r="AC362" s="119">
        <f>IF(OR(t&lt;Tnet,NoTnet),'2021'!Resal_s+('2021'!Salim-'2021'!Resal_s)*(1-EXP(('2021'!Tnet_s-t)/'2021'!Tau_j)),Resal_s+(Salim-Resal_s)*(1-EXP((Tnet_s-t)/Tau_j)))*Salcycl</f>
        <v>8.1986628841331372E-2</v>
      </c>
      <c r="AD362" s="230">
        <f>(INDEX(Models!$BJ362:$BT362,,AH362)*(1-AF362)+INDEX(Models!$BJ362:$BT362,,AH362+1)*AF362-ERP_i)*AE362*Ramure*Pc/MaxiM</f>
        <v>2.5989854303163144E-2</v>
      </c>
      <c r="AE362" s="304">
        <f t="shared" si="142"/>
        <v>0.7</v>
      </c>
      <c r="AF362" s="177">
        <f t="shared" si="143"/>
        <v>0.3988853666108535</v>
      </c>
      <c r="AG362" s="799">
        <f t="shared" si="149"/>
        <v>0</v>
      </c>
      <c r="AH362" s="176">
        <f t="shared" si="144"/>
        <v>6</v>
      </c>
      <c r="AI362" s="224">
        <f t="shared" si="145"/>
        <v>0.3988853666108535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44910</v>
      </c>
      <c r="B363" s="1147">
        <v>7.43</v>
      </c>
      <c r="C363" s="388"/>
      <c r="D363" s="391">
        <f t="shared" si="127"/>
        <v>7.6371734686365764</v>
      </c>
      <c r="E363" s="383">
        <f t="shared" si="150"/>
        <v>7.7837608422551323</v>
      </c>
      <c r="F363" s="383">
        <f t="shared" si="128"/>
        <v>7.7861262679995642</v>
      </c>
      <c r="G363" s="110">
        <f t="shared" si="151"/>
        <v>0.3013249620361414</v>
      </c>
      <c r="H363" s="412" t="b">
        <f>Wh_hp&gt;='2021'!Maxi_hp</f>
        <v>0</v>
      </c>
      <c r="I363" s="379">
        <f>IF(H363,Wh_hp,'2021'!Maxi_hp)</f>
        <v>25.992364486751338</v>
      </c>
      <c r="J363" s="85">
        <f>IF(H363,An,'2021'!An_max)</f>
        <v>2018</v>
      </c>
      <c r="K363" s="197">
        <f t="shared" si="129"/>
        <v>44910</v>
      </c>
      <c r="L363" s="147">
        <f>IF(t&lt;Tvie,1-EXP((T0-t)*PertePVj)+'2021'!Pspv,1-EXP((T0-t)*PertePVj)+Pspv)</f>
        <v>2.7126982186193804E-2</v>
      </c>
      <c r="M363" s="832"/>
      <c r="N363" s="832"/>
      <c r="O363" s="48">
        <f>IF(t&lt;Tnet,'2021'!Resal+('2021'!Salim-'2021'!Resal)*(1-EXP(('2021'!Tnet-t)/('2021'!Tau_j))),Resal+(Salim-Resal)*(1-EXP((Tnet-t)/(Tau_j))))*Salcycl</f>
        <v>1.8832461144333668E-2</v>
      </c>
      <c r="P363" s="169">
        <f>(INDEX(Models!$BJ363:$BT363,,T363)*(1-R363)+INDEX(Models!$BJ363:$BT363,,T363+1)*R363-ERP_i)*Q363*Ramure*Pc/MaxiM</f>
        <v>2.4323284359004948E-2</v>
      </c>
      <c r="Q363" s="304">
        <f t="shared" si="130"/>
        <v>0.7</v>
      </c>
      <c r="R363" s="177">
        <f t="shared" si="131"/>
        <v>0.33456055401442658</v>
      </c>
      <c r="S363" s="799">
        <f t="shared" si="132"/>
        <v>0</v>
      </c>
      <c r="T363" s="176">
        <f t="shared" si="133"/>
        <v>6</v>
      </c>
      <c r="U363" s="250">
        <f t="shared" si="134"/>
        <v>0.33456055401442658</v>
      </c>
      <c r="V363" s="382">
        <f t="shared" si="135"/>
        <v>24.065317883667515</v>
      </c>
      <c r="W363" s="400">
        <f t="shared" si="136"/>
        <v>0</v>
      </c>
      <c r="X363" s="157">
        <f t="shared" si="137"/>
        <v>44910</v>
      </c>
      <c r="Y363" s="383">
        <f t="shared" si="138"/>
        <v>6.9517809326396414</v>
      </c>
      <c r="Z363" s="383">
        <f t="shared" si="139"/>
        <v>7.1456200401788834</v>
      </c>
      <c r="AA363" s="384">
        <f t="shared" si="140"/>
        <v>7.7835881509147224</v>
      </c>
      <c r="AB363" s="197">
        <f t="shared" si="141"/>
        <v>44910</v>
      </c>
      <c r="AC363" s="119">
        <f>IF(OR(t&lt;Tnet,NoTnet),'2021'!Resal_s+('2021'!Salim-'2021'!Resal_s)*(1-EXP(('2021'!Tnet_s-t)/'2021'!Tau_j)),Resal_s+(Salim-Resal_s)*(1-EXP((Tnet_s-t)/Tau_j)))*Salcycl</f>
        <v>8.1963240907198573E-2</v>
      </c>
      <c r="AD363" s="230">
        <f>(INDEX(Models!$BJ363:$BT363,,AH363)*(1-AF363)+INDEX(Models!$BJ363:$BT363,,AH363+1)*AF363-ERP_i)*AE363*Ramure*Pc/MaxiM</f>
        <v>2.6099041044249847E-2</v>
      </c>
      <c r="AE363" s="304">
        <f t="shared" si="142"/>
        <v>0.7</v>
      </c>
      <c r="AF363" s="177">
        <f t="shared" si="143"/>
        <v>0.39889277627425873</v>
      </c>
      <c r="AG363" s="799">
        <f t="shared" si="149"/>
        <v>0</v>
      </c>
      <c r="AH363" s="176">
        <f t="shared" si="144"/>
        <v>6</v>
      </c>
      <c r="AI363" s="224">
        <f t="shared" si="145"/>
        <v>0.39889277627425873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44911</v>
      </c>
      <c r="B364" s="1147">
        <v>5.3280000000000003</v>
      </c>
      <c r="C364" s="388"/>
      <c r="D364" s="391">
        <f t="shared" si="127"/>
        <v>5.4766675756251271</v>
      </c>
      <c r="E364" s="383">
        <f t="shared" si="150"/>
        <v>5.5820374961065982</v>
      </c>
      <c r="F364" s="383">
        <f t="shared" si="128"/>
        <v>5.5820374961065982</v>
      </c>
      <c r="G364" s="110">
        <f t="shared" si="151"/>
        <v>0.21679417239696963</v>
      </c>
      <c r="H364" s="412" t="b">
        <f>Wh_hp&gt;='2021'!Maxi_hp</f>
        <v>0</v>
      </c>
      <c r="I364" s="379">
        <f>IF(H364,Wh_hp,'2021'!Maxi_hp)</f>
        <v>25.444176400080966</v>
      </c>
      <c r="J364" s="85">
        <f>IF(H364,An,'2021'!An_max)</f>
        <v>2021</v>
      </c>
      <c r="K364" s="197">
        <f t="shared" si="129"/>
        <v>44911</v>
      </c>
      <c r="L364" s="147">
        <f>IF(t&lt;Tvie,1-EXP((T0-t)*PertePVj)+'2021'!Pspv,1-EXP((T0-t)*PertePVj)+Pspv)</f>
        <v>2.7145627075632284E-2</v>
      </c>
      <c r="M364" s="832"/>
      <c r="N364" s="832"/>
      <c r="O364" s="48">
        <f>IF(t&lt;Tnet,'2021'!Resal+('2021'!Salim-'2021'!Resal)*(1-EXP(('2021'!Tnet-t)/('2021'!Tau_j))),Resal+(Salim-Resal)*(1-EXP((Tnet-t)/(Tau_j))))*Salcycl</f>
        <v>1.8876605639959444E-2</v>
      </c>
      <c r="P364" s="169">
        <f>(INDEX(Models!$BJ364:$BT364,,T364)*(1-R364)+INDEX(Models!$BJ364:$BT364,,T364+1)*R364-ERP_i)*Q364*Ramure*Pc/MaxiM</f>
        <v>2.4404655400364517E-2</v>
      </c>
      <c r="Q364" s="304">
        <f t="shared" si="130"/>
        <v>0.7</v>
      </c>
      <c r="R364" s="177">
        <f t="shared" si="131"/>
        <v>0.33456766560110274</v>
      </c>
      <c r="S364" s="799">
        <f t="shared" si="132"/>
        <v>0</v>
      </c>
      <c r="T364" s="176">
        <f t="shared" si="133"/>
        <v>6</v>
      </c>
      <c r="U364" s="250">
        <f t="shared" si="134"/>
        <v>0.33456766560110274</v>
      </c>
      <c r="V364" s="382">
        <f t="shared" si="135"/>
        <v>23.976530081763009</v>
      </c>
      <c r="W364" s="400">
        <f t="shared" si="136"/>
        <v>0</v>
      </c>
      <c r="X364" s="157">
        <f t="shared" si="137"/>
        <v>44911</v>
      </c>
      <c r="Y364" s="383">
        <f t="shared" si="138"/>
        <v>4.9855294159360843</v>
      </c>
      <c r="Z364" s="383">
        <f t="shared" si="139"/>
        <v>5.1246410096813868</v>
      </c>
      <c r="AA364" s="384">
        <f t="shared" si="140"/>
        <v>5.5820374961065982</v>
      </c>
      <c r="AB364" s="197">
        <f t="shared" si="141"/>
        <v>44911</v>
      </c>
      <c r="AC364" s="119">
        <f>IF(OR(t&lt;Tnet,NoTnet),'2021'!Resal_s+('2021'!Salim-'2021'!Resal_s)*(1-EXP(('2021'!Tnet_s-t)/'2021'!Tau_j)),Resal_s+(Salim-Resal_s)*(1-EXP((Tnet_s-t)/Tau_j)))*Salcycl</f>
        <v>8.1940776417972788E-2</v>
      </c>
      <c r="AD364" s="230">
        <f>(INDEX(Models!$BJ364:$BT364,,AH364)*(1-AF364)+INDEX(Models!$BJ364:$BT364,,AH364+1)*AF364-ERP_i)*AE364*Ramure*Pc/MaxiM</f>
        <v>2.6192966358646458E-2</v>
      </c>
      <c r="AE364" s="304">
        <f t="shared" si="142"/>
        <v>0.7</v>
      </c>
      <c r="AF364" s="177">
        <f t="shared" si="143"/>
        <v>0.39889988786093489</v>
      </c>
      <c r="AG364" s="799">
        <f t="shared" si="149"/>
        <v>0</v>
      </c>
      <c r="AH364" s="176">
        <f t="shared" si="144"/>
        <v>6</v>
      </c>
      <c r="AI364" s="224">
        <f t="shared" si="145"/>
        <v>0.39889988786093489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44912</v>
      </c>
      <c r="B365" s="1147">
        <v>2.97</v>
      </c>
      <c r="C365" s="388"/>
      <c r="D365" s="391">
        <f t="shared" si="127"/>
        <v>3.0529306370237204</v>
      </c>
      <c r="E365" s="383">
        <f t="shared" si="150"/>
        <v>3.1118088368665684</v>
      </c>
      <c r="F365" s="383">
        <f t="shared" si="128"/>
        <v>3.1118088368665684</v>
      </c>
      <c r="G365" s="110">
        <f t="shared" si="151"/>
        <v>0.12122973331951244</v>
      </c>
      <c r="H365" s="412" t="b">
        <f>Wh_hp&gt;='2021'!Maxi_hp</f>
        <v>0</v>
      </c>
      <c r="I365" s="379">
        <f>IF(H365,Wh_hp,'2021'!Maxi_hp)</f>
        <v>25.822433356414916</v>
      </c>
      <c r="J365" s="85">
        <f>IF(H365,An,'2021'!An_max)</f>
        <v>2021</v>
      </c>
      <c r="K365" s="197">
        <f t="shared" si="129"/>
        <v>44912</v>
      </c>
      <c r="L365" s="147">
        <f>IF(t&lt;Tvie,1-EXP((T0-t)*PertePVj)+'2021'!Pspv,1-EXP((T0-t)*PertePVj)+Pspv)</f>
        <v>2.7164271607745594E-2</v>
      </c>
      <c r="M365" s="832"/>
      <c r="N365" s="832"/>
      <c r="O365" s="48">
        <f>IF(t&lt;Tnet,'2021'!Resal+('2021'!Salim-'2021'!Resal)*(1-EXP(('2021'!Tnet-t)/('2021'!Tau_j))),Resal+(Salim-Resal)*(1-EXP((Tnet-t)/(Tau_j))))*Salcycl</f>
        <v>1.8920892294314422E-2</v>
      </c>
      <c r="P365" s="169">
        <f>(INDEX(Models!$BJ365:$BT365,,T365)*(1-R365)+INDEX(Models!$BJ365:$BT365,,T365+1)*R365-ERP_i)*Q365*Ramure*Pc/MaxiM</f>
        <v>2.4471750409556913E-2</v>
      </c>
      <c r="Q365" s="304">
        <f t="shared" si="130"/>
        <v>0.7</v>
      </c>
      <c r="R365" s="177">
        <f t="shared" si="131"/>
        <v>0.3345744910921527</v>
      </c>
      <c r="S365" s="799">
        <f t="shared" si="132"/>
        <v>0</v>
      </c>
      <c r="T365" s="176">
        <f t="shared" si="133"/>
        <v>6</v>
      </c>
      <c r="U365" s="250">
        <f t="shared" si="134"/>
        <v>0.3345744910921527</v>
      </c>
      <c r="V365" s="382">
        <f t="shared" si="135"/>
        <v>23.899408354281025</v>
      </c>
      <c r="W365" s="400">
        <f t="shared" si="136"/>
        <v>0</v>
      </c>
      <c r="X365" s="157">
        <f t="shared" si="137"/>
        <v>44912</v>
      </c>
      <c r="Y365" s="383">
        <f t="shared" si="138"/>
        <v>2.7792866087008288</v>
      </c>
      <c r="Z365" s="383">
        <f t="shared" si="139"/>
        <v>2.856891998913305</v>
      </c>
      <c r="AA365" s="384">
        <f t="shared" si="140"/>
        <v>3.1118088368665684</v>
      </c>
      <c r="AB365" s="197">
        <f t="shared" si="141"/>
        <v>44912</v>
      </c>
      <c r="AC365" s="119">
        <f>IF(OR(t&lt;Tnet,NoTnet),'2021'!Resal_s+('2021'!Salim-'2021'!Resal_s)*(1-EXP(('2021'!Tnet_s-t)/'2021'!Tau_j)),Resal_s+(Salim-Resal_s)*(1-EXP((Tnet_s-t)/Tau_j)))*Salcycl</f>
        <v>8.1919183123713823E-2</v>
      </c>
      <c r="AD365" s="230">
        <f>(INDEX(Models!$BJ365:$BT365,,AH365)*(1-AF365)+INDEX(Models!$BJ365:$BT365,,AH365+1)*AF365-ERP_i)*AE365*Ramure*Pc/MaxiM</f>
        <v>2.627019663183942E-2</v>
      </c>
      <c r="AE365" s="304">
        <f t="shared" si="142"/>
        <v>0.7</v>
      </c>
      <c r="AF365" s="177">
        <f t="shared" si="143"/>
        <v>0.39890671335198485</v>
      </c>
      <c r="AG365" s="799">
        <f t="shared" si="149"/>
        <v>0</v>
      </c>
      <c r="AH365" s="176">
        <f t="shared" si="144"/>
        <v>6</v>
      </c>
      <c r="AI365" s="224">
        <f t="shared" si="145"/>
        <v>0.39890671335198485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44913</v>
      </c>
      <c r="B366" s="1147">
        <v>20.081</v>
      </c>
      <c r="C366" s="388"/>
      <c r="D366" s="391">
        <f t="shared" si="127"/>
        <v>20.642112814202161</v>
      </c>
      <c r="E366" s="383">
        <f t="shared" si="150"/>
        <v>21.041165045598415</v>
      </c>
      <c r="F366" s="383">
        <f t="shared" si="128"/>
        <v>21.448811863153342</v>
      </c>
      <c r="G366" s="110">
        <f t="shared" si="151"/>
        <v>0.83776141741080434</v>
      </c>
      <c r="H366" s="412" t="b">
        <f>Wh_hp&gt;='2021'!Maxi_hp</f>
        <v>0</v>
      </c>
      <c r="I366" s="379">
        <f>IF(H366,Wh_hp,'2021'!Maxi_hp)</f>
        <v>24.301759677464336</v>
      </c>
      <c r="J366" s="85">
        <f>IF(H366,An,'2021'!An_max)</f>
        <v>2021</v>
      </c>
      <c r="K366" s="197">
        <f t="shared" si="129"/>
        <v>44913</v>
      </c>
      <c r="L366" s="147">
        <f>IF(t&lt;Tvie,1-EXP((T0-t)*PertePVj)+'2021'!Pspv,1-EXP((T0-t)*PertePVj)+Pspv)</f>
        <v>2.7182915782540729E-2</v>
      </c>
      <c r="M366" s="832"/>
      <c r="N366" s="832"/>
      <c r="O366" s="48">
        <f>IF(t&lt;Tnet,'2021'!Resal+('2021'!Salim-'2021'!Resal)*(1-EXP(('2021'!Tnet-t)/('2021'!Tau_j))),Resal+(Salim-Resal)*(1-EXP((Tnet-t)/(Tau_j))))*Salcycl</f>
        <v>1.8965310643753182E-2</v>
      </c>
      <c r="P366" s="169">
        <f>(INDEX(Models!$BJ366:$BT366,,T366)*(1-R366)+INDEX(Models!$BJ366:$BT366,,T366+1)*R366-ERP_i)*Q366*Ramure*Pc/MaxiM</f>
        <v>2.4523303555262808E-2</v>
      </c>
      <c r="Q366" s="304">
        <f t="shared" si="130"/>
        <v>0.7</v>
      </c>
      <c r="R366" s="177">
        <f t="shared" si="131"/>
        <v>0.33458104198788813</v>
      </c>
      <c r="S366" s="799">
        <f t="shared" si="132"/>
        <v>0</v>
      </c>
      <c r="T366" s="176">
        <f t="shared" si="133"/>
        <v>6</v>
      </c>
      <c r="U366" s="250">
        <f t="shared" si="134"/>
        <v>0.33458104198788813</v>
      </c>
      <c r="V366" s="382">
        <f t="shared" si="135"/>
        <v>23.835009893974121</v>
      </c>
      <c r="W366" s="400">
        <f t="shared" si="136"/>
        <v>0</v>
      </c>
      <c r="X366" s="157">
        <f t="shared" si="137"/>
        <v>44913</v>
      </c>
      <c r="Y366" s="383">
        <f t="shared" si="138"/>
        <v>18.766002101311617</v>
      </c>
      <c r="Z366" s="383">
        <f t="shared" si="139"/>
        <v>19.290370621325096</v>
      </c>
      <c r="AA366" s="384">
        <f t="shared" si="140"/>
        <v>21.011150408901777</v>
      </c>
      <c r="AB366" s="197">
        <f t="shared" si="141"/>
        <v>44913</v>
      </c>
      <c r="AC366" s="119">
        <f>IF(OR(t&lt;Tnet,NoTnet),'2021'!Resal_s+('2021'!Salim-'2021'!Resal_s)*(1-EXP(('2021'!Tnet_s-t)/'2021'!Tau_j)),Resal_s+(Salim-Resal_s)*(1-EXP((Tnet_s-t)/Tau_j)))*Salcycl</f>
        <v>8.1898408896622768E-2</v>
      </c>
      <c r="AD366" s="230">
        <f>(INDEX(Models!$BJ366:$BT366,,AH366)*(1-AF366)+INDEX(Models!$BJ366:$BT366,,AH366+1)*AF366-ERP_i)*AE366*Ramure*Pc/MaxiM</f>
        <v>2.6328930424196935E-2</v>
      </c>
      <c r="AE366" s="304">
        <f t="shared" si="142"/>
        <v>0.7</v>
      </c>
      <c r="AF366" s="177">
        <f t="shared" si="143"/>
        <v>0.39891326424772028</v>
      </c>
      <c r="AG366" s="799">
        <f t="shared" si="149"/>
        <v>0</v>
      </c>
      <c r="AH366" s="176">
        <f t="shared" si="144"/>
        <v>6</v>
      </c>
      <c r="AI366" s="224">
        <f t="shared" si="145"/>
        <v>0.39891326424772028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44914</v>
      </c>
      <c r="B367" s="1147">
        <v>17.955000000000002</v>
      </c>
      <c r="C367" s="388"/>
      <c r="D367" s="391">
        <f t="shared" si="127"/>
        <v>18.457060840493977</v>
      </c>
      <c r="E367" s="383">
        <f t="shared" si="150"/>
        <v>18.814725962530851</v>
      </c>
      <c r="F367" s="383">
        <f t="shared" si="128"/>
        <v>19.119935035018688</v>
      </c>
      <c r="G367" s="110">
        <f t="shared" si="151"/>
        <v>0.74831301132654393</v>
      </c>
      <c r="H367" s="412" t="b">
        <f>Wh_hp&gt;='2021'!Maxi_hp</f>
        <v>0</v>
      </c>
      <c r="I367" s="379">
        <f>IF(H367,Wh_hp,'2021'!Maxi_hp)</f>
        <v>25.50206749437104</v>
      </c>
      <c r="J367" s="85">
        <f>IF(H367,An,'2021'!An_max)</f>
        <v>2021</v>
      </c>
      <c r="K367" s="197">
        <f t="shared" si="129"/>
        <v>44914</v>
      </c>
      <c r="L367" s="147">
        <f>IF(t&lt;Tvie,1-EXP((T0-t)*PertePVj)+'2021'!Pspv,1-EXP((T0-t)*PertePVj)+Pspv)</f>
        <v>2.7201559600024461E-2</v>
      </c>
      <c r="M367" s="832"/>
      <c r="N367" s="832"/>
      <c r="O367" s="48">
        <f>IF(t&lt;Tnet,'2021'!Resal+('2021'!Salim-'2021'!Resal)*(1-EXP(('2021'!Tnet-t)/('2021'!Tau_j))),Resal+(Salim-Resal)*(1-EXP((Tnet-t)/(Tau_j))))*Salcycl</f>
        <v>1.9009850196551235E-2</v>
      </c>
      <c r="P367" s="169">
        <f>(INDEX(Models!$BJ367:$BT367,,T367)*(1-R367)+INDEX(Models!$BJ367:$BT367,,T367+1)*R367-ERP_i)*Q367*Ramure*Pc/MaxiM</f>
        <v>2.4563084012346071E-2</v>
      </c>
      <c r="Q367" s="304">
        <f t="shared" si="130"/>
        <v>0.7</v>
      </c>
      <c r="R367" s="177">
        <f t="shared" si="131"/>
        <v>0.33458732932706109</v>
      </c>
      <c r="S367" s="799">
        <f t="shared" si="132"/>
        <v>0</v>
      </c>
      <c r="T367" s="176">
        <f t="shared" si="133"/>
        <v>6</v>
      </c>
      <c r="U367" s="250">
        <f t="shared" si="134"/>
        <v>0.33458732932706109</v>
      </c>
      <c r="V367" s="382">
        <f t="shared" si="135"/>
        <v>23.784269416018102</v>
      </c>
      <c r="W367" s="400">
        <f t="shared" si="136"/>
        <v>0</v>
      </c>
      <c r="X367" s="157">
        <f t="shared" si="137"/>
        <v>44914</v>
      </c>
      <c r="Y367" s="383">
        <f t="shared" si="138"/>
        <v>16.784221643372327</v>
      </c>
      <c r="Z367" s="383">
        <f t="shared" si="139"/>
        <v>17.253544975330481</v>
      </c>
      <c r="AA367" s="384">
        <f t="shared" si="140"/>
        <v>18.792222090835693</v>
      </c>
      <c r="AB367" s="197">
        <f t="shared" si="141"/>
        <v>44914</v>
      </c>
      <c r="AC367" s="119">
        <f>IF(OR(t&lt;Tnet,NoTnet),'2021'!Resal_s+('2021'!Salim-'2021'!Resal_s)*(1-EXP(('2021'!Tnet_s-t)/'2021'!Tau_j)),Resal_s+(Salim-Resal_s)*(1-EXP((Tnet_s-t)/Tau_j)))*Salcycl</f>
        <v>8.1878402036104692E-2</v>
      </c>
      <c r="AD367" s="230">
        <f>(INDEX(Models!$BJ367:$BT367,,AH367)*(1-AF367)+INDEX(Models!$BJ367:$BT367,,AH367+1)*AF367-ERP_i)*AE367*Ramure*Pc/MaxiM</f>
        <v>2.6374185125905725E-2</v>
      </c>
      <c r="AE367" s="304">
        <f t="shared" si="142"/>
        <v>0.7</v>
      </c>
      <c r="AF367" s="177">
        <f t="shared" si="143"/>
        <v>0.39891955158689324</v>
      </c>
      <c r="AG367" s="799">
        <f t="shared" si="149"/>
        <v>0</v>
      </c>
      <c r="AH367" s="176">
        <f t="shared" si="144"/>
        <v>6</v>
      </c>
      <c r="AI367" s="224">
        <f t="shared" si="145"/>
        <v>0.39891955158689324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44915</v>
      </c>
      <c r="B368" s="1147">
        <v>4.0209999999999999</v>
      </c>
      <c r="C368" s="388"/>
      <c r="D368" s="391">
        <f t="shared" si="127"/>
        <v>4.1335151209445327</v>
      </c>
      <c r="E368" s="383">
        <f t="shared" si="150"/>
        <v>4.2138071106502011</v>
      </c>
      <c r="F368" s="383">
        <f t="shared" si="128"/>
        <v>4.2138071106502011</v>
      </c>
      <c r="G368" s="110">
        <f t="shared" si="151"/>
        <v>0.16515427616228859</v>
      </c>
      <c r="H368" s="412" t="b">
        <f>Wh_hp&gt;='2021'!Maxi_hp</f>
        <v>0</v>
      </c>
      <c r="I368" s="379">
        <f>IF(H368,Wh_hp,'2021'!Maxi_hp)</f>
        <v>25.974540677970943</v>
      </c>
      <c r="J368" s="85">
        <f>IF(H368,An,'2021'!An_max)</f>
        <v>2021</v>
      </c>
      <c r="K368" s="197">
        <f t="shared" si="129"/>
        <v>44915</v>
      </c>
      <c r="L368" s="147">
        <f>IF(t&lt;Tvie,1-EXP((T0-t)*PertePVj)+'2021'!Pspv,1-EXP((T0-t)*PertePVj)+Pspv)</f>
        <v>2.7220203060203785E-2</v>
      </c>
      <c r="M368" s="832"/>
      <c r="N368" s="832"/>
      <c r="O368" s="48">
        <f>IF(t&lt;Tnet,'2021'!Resal+('2021'!Salim-'2021'!Resal)*(1-EXP(('2021'!Tnet-t)/('2021'!Tau_j))),Resal+(Salim-Resal)*(1-EXP((Tnet-t)/(Tau_j))))*Salcycl</f>
        <v>1.9054500502107479E-2</v>
      </c>
      <c r="P368" s="169">
        <f>(INDEX(Models!$BJ368:$BT368,,T368)*(1-R368)+INDEX(Models!$BJ368:$BT368,,T368+1)*R368-ERP_i)*Q368*Ramure*Pc/MaxiM</f>
        <v>2.4589857519183328E-2</v>
      </c>
      <c r="Q368" s="304">
        <f t="shared" si="130"/>
        <v>0.7</v>
      </c>
      <c r="R368" s="177">
        <f t="shared" si="131"/>
        <v>0.33459336370533177</v>
      </c>
      <c r="S368" s="799">
        <f t="shared" si="132"/>
        <v>0</v>
      </c>
      <c r="T368" s="176">
        <f t="shared" si="133"/>
        <v>6</v>
      </c>
      <c r="U368" s="250">
        <f t="shared" si="134"/>
        <v>0.33459336370533177</v>
      </c>
      <c r="V368" s="382">
        <f t="shared" si="135"/>
        <v>23.74824481723558</v>
      </c>
      <c r="W368" s="400">
        <f t="shared" si="136"/>
        <v>0</v>
      </c>
      <c r="X368" s="157">
        <f t="shared" si="137"/>
        <v>44915</v>
      </c>
      <c r="Y368" s="383">
        <f t="shared" si="138"/>
        <v>3.7635572152665353</v>
      </c>
      <c r="Z368" s="383">
        <f t="shared" si="139"/>
        <v>3.8688686042885161</v>
      </c>
      <c r="AA368" s="384">
        <f t="shared" si="140"/>
        <v>4.2138071106502011</v>
      </c>
      <c r="AB368" s="197">
        <f t="shared" si="141"/>
        <v>44915</v>
      </c>
      <c r="AC368" s="119">
        <f>IF(OR(t&lt;Tnet,NoTnet),'2021'!Resal_s+('2021'!Salim-'2021'!Resal_s)*(1-EXP(('2021'!Tnet_s-t)/'2021'!Tau_j)),Resal_s+(Salim-Resal_s)*(1-EXP((Tnet_s-t)/Tau_j)))*Salcycl</f>
        <v>8.185911155967944E-2</v>
      </c>
      <c r="AD368" s="230">
        <f>(INDEX(Models!$BJ368:$BT368,,AH368)*(1-AF368)+INDEX(Models!$BJ368:$BT368,,AH368+1)*AF368-ERP_i)*AE368*Ramure*Pc/MaxiM</f>
        <v>2.6404627549022341E-2</v>
      </c>
      <c r="AE368" s="304">
        <f t="shared" si="142"/>
        <v>0.7</v>
      </c>
      <c r="AF368" s="177">
        <f t="shared" si="143"/>
        <v>0.39892558596516392</v>
      </c>
      <c r="AG368" s="799">
        <f t="shared" si="149"/>
        <v>0</v>
      </c>
      <c r="AH368" s="176">
        <f t="shared" si="144"/>
        <v>6</v>
      </c>
      <c r="AI368" s="224">
        <f t="shared" si="145"/>
        <v>0.39892558596516392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44916</v>
      </c>
      <c r="B369" s="1147">
        <v>20.495000000000001</v>
      </c>
      <c r="C369" s="388"/>
      <c r="D369" s="391">
        <f t="shared" si="127"/>
        <v>21.068892316639555</v>
      </c>
      <c r="E369" s="383">
        <f t="shared" si="150"/>
        <v>21.479127570030954</v>
      </c>
      <c r="F369" s="383">
        <f t="shared" si="128"/>
        <v>21.913310395678707</v>
      </c>
      <c r="G369" s="110">
        <f t="shared" si="151"/>
        <v>0.85952780363311709</v>
      </c>
      <c r="H369" s="412" t="b">
        <f>Wh_hp&gt;='2021'!Maxi_hp</f>
        <v>0</v>
      </c>
      <c r="I369" s="379">
        <f>IF(H369,Wh_hp,'2021'!Maxi_hp)</f>
        <v>22.295003218801163</v>
      </c>
      <c r="J369" s="85">
        <f>IF(H369,An,'2021'!An_max)</f>
        <v>2018</v>
      </c>
      <c r="K369" s="197">
        <f t="shared" si="129"/>
        <v>44916</v>
      </c>
      <c r="L369" s="147">
        <f>IF(t&lt;Tvie,1-EXP((T0-t)*PertePVj)+'2021'!Pspv,1-EXP((T0-t)*PertePVj)+Pspv)</f>
        <v>2.7238846163085362E-2</v>
      </c>
      <c r="M369" s="832"/>
      <c r="N369" s="832"/>
      <c r="O369" s="48">
        <f>IF(t&lt;Tnet,'2021'!Resal+('2021'!Salim-'2021'!Resal)*(1-EXP(('2021'!Tnet-t)/('2021'!Tau_j))),Resal+(Salim-Resal)*(1-EXP((Tnet-t)/(Tau_j))))*Salcycl</f>
        <v>1.9099251217437066E-2</v>
      </c>
      <c r="P369" s="169">
        <f>(INDEX(Models!$BJ369:$BT369,,T369)*(1-R369)+INDEX(Models!$BJ369:$BT369,,T369+1)*R369-ERP_i)*Q369*Ramure*Pc/MaxiM</f>
        <v>2.4602424398587081E-2</v>
      </c>
      <c r="Q369" s="304">
        <f t="shared" si="130"/>
        <v>0.7</v>
      </c>
      <c r="R369" s="177">
        <f t="shared" si="131"/>
        <v>0.33459915529300133</v>
      </c>
      <c r="S369" s="799">
        <f t="shared" si="132"/>
        <v>0</v>
      </c>
      <c r="T369" s="176">
        <f t="shared" si="133"/>
        <v>6</v>
      </c>
      <c r="U369" s="250">
        <f t="shared" si="134"/>
        <v>0.33459915529300133</v>
      </c>
      <c r="V369" s="382">
        <f t="shared" si="135"/>
        <v>23.727993671871538</v>
      </c>
      <c r="W369" s="400">
        <f t="shared" si="136"/>
        <v>0</v>
      </c>
      <c r="X369" s="157">
        <f t="shared" si="137"/>
        <v>44916</v>
      </c>
      <c r="Y369" s="383">
        <f t="shared" si="138"/>
        <v>19.155447979012092</v>
      </c>
      <c r="Z369" s="383">
        <f t="shared" si="139"/>
        <v>19.691830726850284</v>
      </c>
      <c r="AA369" s="384">
        <f t="shared" si="140"/>
        <v>21.447069336303706</v>
      </c>
      <c r="AB369" s="197">
        <f t="shared" si="141"/>
        <v>44916</v>
      </c>
      <c r="AC369" s="119">
        <f>IF(OR(t&lt;Tnet,NoTnet),'2021'!Resal_s+('2021'!Salim-'2021'!Resal_s)*(1-EXP(('2021'!Tnet_s-t)/'2021'!Tau_j)),Resal_s+(Salim-Resal_s)*(1-EXP((Tnet_s-t)/Tau_j)))*Salcycl</f>
        <v>8.1840487477806881E-2</v>
      </c>
      <c r="AD369" s="230">
        <f>(INDEX(Models!$BJ369:$BT369,,AH369)*(1-AF369)+INDEX(Models!$BJ369:$BT369,,AH369+1)*AF369-ERP_i)*AE369*Ramure*Pc/MaxiM</f>
        <v>2.6418963941463307E-2</v>
      </c>
      <c r="AE369" s="304">
        <f t="shared" si="142"/>
        <v>0.7</v>
      </c>
      <c r="AF369" s="177">
        <f t="shared" si="143"/>
        <v>0.39893137755283348</v>
      </c>
      <c r="AG369" s="799">
        <f t="shared" si="149"/>
        <v>0</v>
      </c>
      <c r="AH369" s="176">
        <f t="shared" si="144"/>
        <v>6</v>
      </c>
      <c r="AI369" s="224">
        <f t="shared" si="145"/>
        <v>0.39893137755283348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44917</v>
      </c>
      <c r="B370" s="1147">
        <v>20.041</v>
      </c>
      <c r="C370" s="388"/>
      <c r="D370" s="391">
        <f t="shared" si="127"/>
        <v>20.602574444408646</v>
      </c>
      <c r="E370" s="383">
        <f t="shared" si="150"/>
        <v>21.004690169016513</v>
      </c>
      <c r="F370" s="383">
        <f t="shared" si="128"/>
        <v>21.414636830825607</v>
      </c>
      <c r="G370" s="110">
        <f t="shared" si="151"/>
        <v>0.84003683045607658</v>
      </c>
      <c r="H370" s="412" t="b">
        <f>Wh_hp&gt;='2021'!Maxi_hp</f>
        <v>0</v>
      </c>
      <c r="I370" s="379">
        <f>IF(H370,Wh_hp,'2021'!Maxi_hp)</f>
        <v>25.041210642089073</v>
      </c>
      <c r="J370" s="85">
        <f>IF(H370,An,'2021'!An_max)</f>
        <v>2021</v>
      </c>
      <c r="K370" s="197">
        <f t="shared" si="129"/>
        <v>44917</v>
      </c>
      <c r="L370" s="147">
        <f>IF(t&lt;Tvie,1-EXP((T0-t)*PertePVj)+'2021'!Pspv,1-EXP((T0-t)*PertePVj)+Pspv)</f>
        <v>2.7257488908676186E-2</v>
      </c>
      <c r="M370" s="832"/>
      <c r="N370" s="832"/>
      <c r="O370" s="48">
        <f>IF(t&lt;Tnet,'2021'!Resal+('2021'!Salim-'2021'!Resal)*(1-EXP(('2021'!Tnet-t)/('2021'!Tau_j))),Resal+(Salim-Resal)*(1-EXP((Tnet-t)/(Tau_j))))*Salcycl</f>
        <v>1.9144092170472467E-2</v>
      </c>
      <c r="P370" s="169">
        <f>(INDEX(Models!$BJ370:$BT370,,T370)*(1-R370)+INDEX(Models!$BJ370:$BT370,,T370+1)*R370-ERP_i)*Q370*Ramure*Pc/MaxiM</f>
        <v>2.4599633654013797E-2</v>
      </c>
      <c r="Q370" s="304">
        <f t="shared" si="130"/>
        <v>0.7</v>
      </c>
      <c r="R370" s="177">
        <f t="shared" si="131"/>
        <v>0.3346047138520391</v>
      </c>
      <c r="S370" s="799">
        <f t="shared" si="132"/>
        <v>0</v>
      </c>
      <c r="T370" s="176">
        <f t="shared" si="133"/>
        <v>6</v>
      </c>
      <c r="U370" s="250">
        <f t="shared" si="134"/>
        <v>0.3346047138520391</v>
      </c>
      <c r="V370" s="382">
        <f t="shared" si="135"/>
        <v>23.724573214800358</v>
      </c>
      <c r="W370" s="400">
        <f t="shared" si="136"/>
        <v>0</v>
      </c>
      <c r="X370" s="157">
        <f t="shared" si="137"/>
        <v>44917</v>
      </c>
      <c r="Y370" s="383">
        <f t="shared" si="138"/>
        <v>18.733311079989605</v>
      </c>
      <c r="Z370" s="383">
        <f t="shared" si="139"/>
        <v>19.258242408849416</v>
      </c>
      <c r="AA370" s="384">
        <f t="shared" si="140"/>
        <v>20.974421624797234</v>
      </c>
      <c r="AB370" s="197">
        <f t="shared" si="141"/>
        <v>44917</v>
      </c>
      <c r="AC370" s="119">
        <f>IF(OR(t&lt;Tnet,NoTnet),'2021'!Resal_s+('2021'!Salim-'2021'!Resal_s)*(1-EXP(('2021'!Tnet_s-t)/'2021'!Tau_j)),Resal_s+(Salim-Resal_s)*(1-EXP((Tnet_s-t)/Tau_j)))*Salcycl</f>
        <v>8.1822481050864704E-2</v>
      </c>
      <c r="AD370" s="230">
        <f>(INDEX(Models!$BJ370:$BT370,,AH370)*(1-AF370)+INDEX(Models!$BJ370:$BT370,,AH370+1)*AF370-ERP_i)*AE370*Ramure*Pc/MaxiM</f>
        <v>2.6415955552449771E-2</v>
      </c>
      <c r="AE370" s="304">
        <f t="shared" si="142"/>
        <v>0.7</v>
      </c>
      <c r="AF370" s="177">
        <f t="shared" si="143"/>
        <v>0.39893693611187125</v>
      </c>
      <c r="AG370" s="799">
        <f t="shared" si="149"/>
        <v>0</v>
      </c>
      <c r="AH370" s="176">
        <f t="shared" si="144"/>
        <v>6</v>
      </c>
      <c r="AI370" s="224">
        <f t="shared" si="145"/>
        <v>0.39893693611187125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44918</v>
      </c>
      <c r="B371" s="1147">
        <v>20.179000000000002</v>
      </c>
      <c r="C371" s="388"/>
      <c r="D371" s="391">
        <f t="shared" si="127"/>
        <v>20.744838950961189</v>
      </c>
      <c r="E371" s="383">
        <f t="shared" si="150"/>
        <v>21.150700017432293</v>
      </c>
      <c r="F371" s="383">
        <f t="shared" si="128"/>
        <v>21.567255759115159</v>
      </c>
      <c r="G371" s="110">
        <f t="shared" si="151"/>
        <v>0.84546980887350343</v>
      </c>
      <c r="H371" s="412" t="b">
        <f>Wh_hp&gt;='2021'!Maxi_hp</f>
        <v>0</v>
      </c>
      <c r="I371" s="379">
        <f>IF(H371,Wh_hp,'2021'!Maxi_hp)</f>
        <v>22.181600514114333</v>
      </c>
      <c r="J371" s="85">
        <f>IF(H371,An,'2021'!An_max)</f>
        <v>2020</v>
      </c>
      <c r="K371" s="197">
        <f t="shared" si="129"/>
        <v>44918</v>
      </c>
      <c r="L371" s="147">
        <f>IF(t&lt;Tvie,1-EXP((T0-t)*PertePVj)+'2021'!Pspv,1-EXP((T0-t)*PertePVj)+Pspv)</f>
        <v>2.7276131296983031E-2</v>
      </c>
      <c r="M371" s="832"/>
      <c r="N371" s="832"/>
      <c r="O371" s="48">
        <f>IF(t&lt;Tnet,'2021'!Resal+('2021'!Salim-'2021'!Resal)*(1-EXP(('2021'!Tnet-t)/('2021'!Tau_j))),Resal+(Salim-Resal)*(1-EXP((Tnet-t)/(Tau_j))))*Salcycl</f>
        <v>1.9189013419725943E-2</v>
      </c>
      <c r="P371" s="169">
        <f>(INDEX(Models!$BJ371:$BT371,,T371)*(1-R371)+INDEX(Models!$BJ371:$BT371,,T371+1)*R371-ERP_i)*Q371*Ramure*Pc/MaxiM</f>
        <v>2.4580264214600852E-2</v>
      </c>
      <c r="Q371" s="304">
        <f t="shared" si="130"/>
        <v>0.7</v>
      </c>
      <c r="R371" s="177">
        <f t="shared" si="131"/>
        <v>0.3346047138520391</v>
      </c>
      <c r="S371" s="799">
        <f t="shared" si="132"/>
        <v>0</v>
      </c>
      <c r="T371" s="176">
        <f t="shared" si="133"/>
        <v>6</v>
      </c>
      <c r="U371" s="250">
        <f t="shared" si="134"/>
        <v>0.3346047138520391</v>
      </c>
      <c r="V371" s="382">
        <f t="shared" si="135"/>
        <v>23.739043585442499</v>
      </c>
      <c r="W371" s="400">
        <f t="shared" si="136"/>
        <v>0</v>
      </c>
      <c r="X371" s="157">
        <f t="shared" si="137"/>
        <v>44918</v>
      </c>
      <c r="Y371" s="383">
        <f t="shared" si="138"/>
        <v>18.863293587141762</v>
      </c>
      <c r="Z371" s="383">
        <f t="shared" si="139"/>
        <v>19.392238839880804</v>
      </c>
      <c r="AA371" s="384">
        <f t="shared" si="140"/>
        <v>21.119957951026596</v>
      </c>
      <c r="AB371" s="197">
        <f t="shared" si="141"/>
        <v>44918</v>
      </c>
      <c r="AC371" s="119">
        <f>IF(OR(t&lt;Tnet,NoTnet),'2021'!Resal_s+('2021'!Salim-'2021'!Resal_s)*(1-EXP(('2021'!Tnet_s-t)/'2021'!Tau_j)),Resal_s+(Salim-Resal_s)*(1-EXP((Tnet_s-t)/Tau_j)))*Salcycl</f>
        <v>8.1805045026702342E-2</v>
      </c>
      <c r="AD371" s="230">
        <f>(INDEX(Models!$BJ371:$BT371,,AH371)*(1-AF371)+INDEX(Models!$BJ371:$BT371,,AH371+1)*AF371-ERP_i)*AE371*Ramure*Pc/MaxiM</f>
        <v>2.6394302623247077E-2</v>
      </c>
      <c r="AE371" s="304">
        <f t="shared" si="142"/>
        <v>0.7</v>
      </c>
      <c r="AF371" s="177">
        <f t="shared" si="143"/>
        <v>0.39893693611187125</v>
      </c>
      <c r="AG371" s="799">
        <f t="shared" si="149"/>
        <v>0</v>
      </c>
      <c r="AH371" s="176">
        <f t="shared" si="144"/>
        <v>6</v>
      </c>
      <c r="AI371" s="224">
        <f t="shared" si="145"/>
        <v>0.39893693611187125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44919</v>
      </c>
      <c r="B372" s="1147">
        <v>21.427</v>
      </c>
      <c r="C372" s="388"/>
      <c r="D372" s="391">
        <f t="shared" si="127"/>
        <v>22.028256261468151</v>
      </c>
      <c r="E372" s="383">
        <f t="shared" si="150"/>
        <v>22.460256963159399</v>
      </c>
      <c r="F372" s="383">
        <f t="shared" si="128"/>
        <v>22.944010562809719</v>
      </c>
      <c r="G372" s="110">
        <f t="shared" si="151"/>
        <v>0.89815196892552507</v>
      </c>
      <c r="H372" s="412" t="b">
        <f>Wh_hp&gt;='2021'!Maxi_hp</f>
        <v>1</v>
      </c>
      <c r="I372" s="379">
        <f>IF(H372,Wh_hp,'2021'!Maxi_hp)</f>
        <v>22.944010562809719</v>
      </c>
      <c r="J372" s="85">
        <f>IF(H372,An,'2021'!An_max)</f>
        <v>2022</v>
      </c>
      <c r="K372" s="197">
        <f t="shared" si="129"/>
        <v>44919</v>
      </c>
      <c r="L372" s="147">
        <f>IF(t&lt;Tvie,1-EXP((T0-t)*PertePVj)+'2021'!Pspv,1-EXP((T0-t)*PertePVj)+Pspv)</f>
        <v>2.7294773328012778E-2</v>
      </c>
      <c r="M372" s="832"/>
      <c r="N372" s="832"/>
      <c r="O372" s="48">
        <f>IF(t&lt;Tnet,'2021'!Resal+('2021'!Salim-'2021'!Resal)*(1-EXP(('2021'!Tnet-t)/('2021'!Tau_j))),Resal+(Salim-Resal)*(1-EXP((Tnet-t)/(Tau_j))))*Salcycl</f>
        <v>1.9234005309905385E-2</v>
      </c>
      <c r="P372" s="169">
        <f>(INDEX(Models!$BJ372:$BT372,,T372)*(1-R372)+INDEX(Models!$BJ372:$BT372,,T372+1)*R372-ERP_i)*Q372*Ramure*Pc/MaxiM</f>
        <v>2.4543409285972023E-2</v>
      </c>
      <c r="Q372" s="304">
        <f t="shared" si="130"/>
        <v>0.7</v>
      </c>
      <c r="R372" s="177">
        <f t="shared" si="131"/>
        <v>0.3346047138520391</v>
      </c>
      <c r="S372" s="799">
        <f t="shared" si="132"/>
        <v>0</v>
      </c>
      <c r="T372" s="176">
        <f t="shared" si="133"/>
        <v>6</v>
      </c>
      <c r="U372" s="250">
        <f t="shared" si="134"/>
        <v>0.3346047138520391</v>
      </c>
      <c r="V372" s="382">
        <f t="shared" si="135"/>
        <v>23.772458834235223</v>
      </c>
      <c r="W372" s="400">
        <f t="shared" si="136"/>
        <v>0</v>
      </c>
      <c r="X372" s="157">
        <f t="shared" si="137"/>
        <v>44919</v>
      </c>
      <c r="Y372" s="383">
        <f t="shared" si="138"/>
        <v>20.028510252026468</v>
      </c>
      <c r="Z372" s="383">
        <f t="shared" si="139"/>
        <v>20.59052393555239</v>
      </c>
      <c r="AA372" s="384">
        <f t="shared" si="140"/>
        <v>22.424589242189615</v>
      </c>
      <c r="AB372" s="197">
        <f t="shared" si="141"/>
        <v>44919</v>
      </c>
      <c r="AC372" s="119">
        <f>IF(OR(t&lt;Tnet,NoTnet),'2021'!Resal_s+('2021'!Salim-'2021'!Resal_s)*(1-EXP(('2021'!Tnet_s-t)/'2021'!Tau_j)),Resal_s+(Salim-Resal_s)*(1-EXP((Tnet_s-t)/Tau_j)))*Salcycl</f>
        <v>8.1788133857391435E-2</v>
      </c>
      <c r="AD372" s="230">
        <f>(INDEX(Models!$BJ372:$BT372,,AH372)*(1-AF372)+INDEX(Models!$BJ372:$BT372,,AH372+1)*AF372-ERP_i)*AE372*Ramure*Pc/MaxiM</f>
        <v>2.6353023673734832E-2</v>
      </c>
      <c r="AE372" s="304">
        <f t="shared" si="142"/>
        <v>0.7</v>
      </c>
      <c r="AF372" s="177">
        <f t="shared" si="143"/>
        <v>0.39893693611187125</v>
      </c>
      <c r="AG372" s="799">
        <f t="shared" si="149"/>
        <v>0</v>
      </c>
      <c r="AH372" s="176">
        <f t="shared" si="144"/>
        <v>6</v>
      </c>
      <c r="AI372" s="224">
        <f t="shared" si="145"/>
        <v>0.39893693611187125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44920</v>
      </c>
      <c r="B373" s="1147">
        <v>12.025</v>
      </c>
      <c r="C373" s="388"/>
      <c r="D373" s="391">
        <f t="shared" si="127"/>
        <v>12.362666644592316</v>
      </c>
      <c r="E373" s="383">
        <f t="shared" si="150"/>
        <v>12.605692528575146</v>
      </c>
      <c r="F373" s="383">
        <f t="shared" si="128"/>
        <v>12.696613005970089</v>
      </c>
      <c r="G373" s="110">
        <f t="shared" si="151"/>
        <v>0.49589295455420823</v>
      </c>
      <c r="H373" s="412" t="b">
        <f>Wh_hp&gt;='2021'!Maxi_hp</f>
        <v>0</v>
      </c>
      <c r="I373" s="379">
        <f>IF(H373,Wh_hp,'2021'!Maxi_hp)</f>
        <v>15.402591944038759</v>
      </c>
      <c r="J373" s="85">
        <f>IF(H373,An,'2021'!An_max)</f>
        <v>2018</v>
      </c>
      <c r="K373" s="197">
        <f t="shared" si="129"/>
        <v>44920</v>
      </c>
      <c r="L373" s="147">
        <f>IF(t&lt;Tvie,1-EXP((T0-t)*PertePVj)+'2021'!Pspv,1-EXP((T0-t)*PertePVj)+Pspv)</f>
        <v>2.7313415001772201E-2</v>
      </c>
      <c r="M373" s="832"/>
      <c r="N373" s="832"/>
      <c r="O373" s="48">
        <f>IF(t&lt;Tnet,'2021'!Resal+('2021'!Salim-'2021'!Resal)*(1-EXP(('2021'!Tnet-t)/('2021'!Tau_j))),Resal+(Salim-Resal)*(1-EXP((Tnet-t)/(Tau_j))))*Salcycl</f>
        <v>1.9279058523117888E-2</v>
      </c>
      <c r="P373" s="169">
        <f>(INDEX(Models!$BJ373:$BT373,,T373)*(1-R373)+INDEX(Models!$BJ373:$BT373,,T373+1)*R373-ERP_i)*Q373*Ramure*Pc/MaxiM</f>
        <v>2.4487926900597246E-2</v>
      </c>
      <c r="Q373" s="304">
        <f t="shared" si="130"/>
        <v>0.7</v>
      </c>
      <c r="R373" s="177">
        <f t="shared" si="131"/>
        <v>0.3346047138520391</v>
      </c>
      <c r="S373" s="799">
        <f t="shared" si="132"/>
        <v>0</v>
      </c>
      <c r="T373" s="176">
        <f t="shared" si="133"/>
        <v>6</v>
      </c>
      <c r="U373" s="250">
        <f t="shared" si="134"/>
        <v>0.3346047138520391</v>
      </c>
      <c r="V373" s="382">
        <f t="shared" si="135"/>
        <v>23.825990718747047</v>
      </c>
      <c r="W373" s="400">
        <f t="shared" si="136"/>
        <v>0</v>
      </c>
      <c r="X373" s="157">
        <f t="shared" si="137"/>
        <v>44920</v>
      </c>
      <c r="Y373" s="383">
        <f t="shared" si="138"/>
        <v>11.252774509205583</v>
      </c>
      <c r="Z373" s="383">
        <f t="shared" si="139"/>
        <v>11.568756763748402</v>
      </c>
      <c r="AA373" s="384">
        <f t="shared" si="140"/>
        <v>12.598998324064819</v>
      </c>
      <c r="AB373" s="197">
        <f t="shared" si="141"/>
        <v>44920</v>
      </c>
      <c r="AC373" s="119">
        <f>IF(OR(t&lt;Tnet,NoTnet),'2021'!Resal_s+('2021'!Salim-'2021'!Resal_s)*(1-EXP(('2021'!Tnet_s-t)/'2021'!Tau_j)),Resal_s+(Salim-Resal_s)*(1-EXP((Tnet_s-t)/Tau_j)))*Salcycl</f>
        <v>8.1771703893999015E-2</v>
      </c>
      <c r="AD373" s="230">
        <f>(INDEX(Models!$BJ373:$BT373,,AH373)*(1-AF373)+INDEX(Models!$BJ373:$BT373,,AH373+1)*AF373-ERP_i)*AE373*Ramure*Pc/MaxiM</f>
        <v>2.6290900173542082E-2</v>
      </c>
      <c r="AE373" s="304">
        <f t="shared" si="142"/>
        <v>0.7</v>
      </c>
      <c r="AF373" s="177">
        <f t="shared" si="143"/>
        <v>0.39893693611187125</v>
      </c>
      <c r="AG373" s="799">
        <f t="shared" si="149"/>
        <v>0</v>
      </c>
      <c r="AH373" s="176">
        <f t="shared" si="144"/>
        <v>6</v>
      </c>
      <c r="AI373" s="224">
        <f t="shared" si="145"/>
        <v>0.39893693611187125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44921</v>
      </c>
      <c r="B374" s="1147">
        <v>20.53</v>
      </c>
      <c r="C374" s="388"/>
      <c r="D374" s="391">
        <f t="shared" si="127"/>
        <v>21.106894838427671</v>
      </c>
      <c r="E374" s="383">
        <f t="shared" si="150"/>
        <v>21.522805055762937</v>
      </c>
      <c r="F374" s="383">
        <f t="shared" si="128"/>
        <v>21.950785142907936</v>
      </c>
      <c r="G374" s="110">
        <f t="shared" si="151"/>
        <v>0.85471260342259381</v>
      </c>
      <c r="H374" s="412" t="b">
        <f>Wh_hp&gt;='2021'!Maxi_hp</f>
        <v>1</v>
      </c>
      <c r="I374" s="379">
        <f>IF(H374,Wh_hp,'2021'!Maxi_hp)</f>
        <v>21.950785142907936</v>
      </c>
      <c r="J374" s="85">
        <f>IF(H374,An,'2021'!An_max)</f>
        <v>2022</v>
      </c>
      <c r="K374" s="197">
        <f t="shared" si="129"/>
        <v>44921</v>
      </c>
      <c r="L374" s="147">
        <f>IF(t&lt;Tvie,1-EXP((T0-t)*PertePVj)+'2021'!Pspv,1-EXP((T0-t)*PertePVj)+Pspv)</f>
        <v>2.7332056318268183E-2</v>
      </c>
      <c r="M374" s="832"/>
      <c r="N374" s="832"/>
      <c r="O374" s="48">
        <f>IF(t&lt;Tnet,'2021'!Resal+('2021'!Salim-'2021'!Resal)*(1-EXP(('2021'!Tnet-t)/('2021'!Tau_j))),Resal+(Salim-Resal)*(1-EXP((Tnet-t)/(Tau_j))))*Salcycl</f>
        <v>1.932416412534025E-2</v>
      </c>
      <c r="P374" s="169">
        <f>(INDEX(Models!$BJ374:$BT374,,T374)*(1-R374)+INDEX(Models!$BJ374:$BT374,,T374+1)*R374-ERP_i)*Q374*Ramure*Pc/MaxiM</f>
        <v>2.4414277436366767E-2</v>
      </c>
      <c r="Q374" s="304">
        <f t="shared" si="130"/>
        <v>0.7</v>
      </c>
      <c r="R374" s="177">
        <f t="shared" si="131"/>
        <v>0.3346047138520391</v>
      </c>
      <c r="S374" s="799">
        <f t="shared" si="132"/>
        <v>0</v>
      </c>
      <c r="T374" s="176">
        <f t="shared" si="133"/>
        <v>6</v>
      </c>
      <c r="U374" s="250">
        <f t="shared" si="134"/>
        <v>0.3346047138520391</v>
      </c>
      <c r="V374" s="382">
        <f t="shared" si="135"/>
        <v>23.899315584553939</v>
      </c>
      <c r="W374" s="400">
        <f t="shared" si="136"/>
        <v>0</v>
      </c>
      <c r="X374" s="157">
        <f t="shared" si="137"/>
        <v>44921</v>
      </c>
      <c r="Y374" s="383">
        <f t="shared" si="138"/>
        <v>19.194933290901552</v>
      </c>
      <c r="Z374" s="383">
        <f t="shared" si="139"/>
        <v>19.734312635250532</v>
      </c>
      <c r="AA374" s="384">
        <f t="shared" si="140"/>
        <v>21.491353582744161</v>
      </c>
      <c r="AB374" s="197">
        <f t="shared" si="141"/>
        <v>44921</v>
      </c>
      <c r="AC374" s="119">
        <f>IF(OR(t&lt;Tnet,NoTnet),'2021'!Resal_s+('2021'!Salim-'2021'!Resal_s)*(1-EXP(('2021'!Tnet_s-t)/'2021'!Tau_j)),Resal_s+(Salim-Resal_s)*(1-EXP((Tnet_s-t)/Tau_j)))*Salcycl</f>
        <v>8.1755713558423537E-2</v>
      </c>
      <c r="AD374" s="230">
        <f>(INDEX(Models!$BJ374:$BT374,,AH374)*(1-AF374)+INDEX(Models!$BJ374:$BT374,,AH374+1)*AF374-ERP_i)*AE374*Ramure*Pc/MaxiM</f>
        <v>2.6208437985249255E-2</v>
      </c>
      <c r="AE374" s="304">
        <f t="shared" si="142"/>
        <v>0.7</v>
      </c>
      <c r="AF374" s="177">
        <f t="shared" si="143"/>
        <v>0.39893693611187125</v>
      </c>
      <c r="AG374" s="799">
        <f t="shared" si="149"/>
        <v>0</v>
      </c>
      <c r="AH374" s="176">
        <f t="shared" si="144"/>
        <v>6</v>
      </c>
      <c r="AI374" s="224">
        <f t="shared" si="145"/>
        <v>0.39893693611187125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44922</v>
      </c>
      <c r="B375" s="1147">
        <v>6.952</v>
      </c>
      <c r="C375" s="388"/>
      <c r="D375" s="391">
        <f t="shared" si="127"/>
        <v>7.1474888025324397</v>
      </c>
      <c r="E375" s="383">
        <f t="shared" si="150"/>
        <v>7.2886652454545304</v>
      </c>
      <c r="F375" s="383">
        <f t="shared" si="128"/>
        <v>7.2886652454545304</v>
      </c>
      <c r="G375" s="110">
        <f t="shared" si="151"/>
        <v>0.28272393832905768</v>
      </c>
      <c r="H375" s="412" t="b">
        <f>Wh_hp&gt;='2021'!Maxi_hp</f>
        <v>0</v>
      </c>
      <c r="I375" s="379">
        <f>IF(H375,Wh_hp,'2021'!Maxi_hp)</f>
        <v>24.49923801757005</v>
      </c>
      <c r="J375" s="85">
        <f>IF(H375,An,'2021'!An_max)</f>
        <v>2018</v>
      </c>
      <c r="K375" s="197">
        <f t="shared" si="129"/>
        <v>44922</v>
      </c>
      <c r="L375" s="147">
        <f>IF(t&lt;Tvie,1-EXP((T0-t)*PertePVj)+'2021'!Pspv,1-EXP((T0-t)*PertePVj)+Pspv)</f>
        <v>2.7350697277507607E-2</v>
      </c>
      <c r="M375" s="832"/>
      <c r="N375" s="832"/>
      <c r="O375" s="48">
        <f>IF(t&lt;Tnet,'2021'!Resal+('2021'!Salim-'2021'!Resal)*(1-EXP(('2021'!Tnet-t)/('2021'!Tau_j))),Resal+(Salim-Resal)*(1-EXP((Tnet-t)/(Tau_j))))*Salcycl</f>
        <v>1.9369313607883586E-2</v>
      </c>
      <c r="P375" s="169">
        <f>(INDEX(Models!$BJ375:$BT375,,T375)*(1-R375)+INDEX(Models!$BJ375:$BT375,,T375+1)*R375-ERP_i)*Q375*Ramure*Pc/MaxiM</f>
        <v>2.4318847542882861E-2</v>
      </c>
      <c r="Q375" s="304">
        <f t="shared" si="130"/>
        <v>0.7</v>
      </c>
      <c r="R375" s="177">
        <f t="shared" si="131"/>
        <v>0.3346047138520391</v>
      </c>
      <c r="S375" s="799">
        <f t="shared" si="132"/>
        <v>0</v>
      </c>
      <c r="T375" s="176">
        <f t="shared" si="133"/>
        <v>6</v>
      </c>
      <c r="U375" s="250">
        <f t="shared" si="134"/>
        <v>0.3346047138520391</v>
      </c>
      <c r="V375" s="382">
        <f t="shared" si="135"/>
        <v>23.991372686621723</v>
      </c>
      <c r="W375" s="400">
        <f t="shared" si="136"/>
        <v>0</v>
      </c>
      <c r="X375" s="157">
        <f t="shared" si="137"/>
        <v>44922</v>
      </c>
      <c r="Y375" s="383">
        <f t="shared" si="138"/>
        <v>6.5098336714032925</v>
      </c>
      <c r="Z375" s="383">
        <f t="shared" si="139"/>
        <v>6.6928888482024851</v>
      </c>
      <c r="AA375" s="384">
        <f t="shared" si="140"/>
        <v>7.2886652454545304</v>
      </c>
      <c r="AB375" s="197">
        <f t="shared" si="141"/>
        <v>44922</v>
      </c>
      <c r="AC375" s="119">
        <f>IF(OR(t&lt;Tnet,NoTnet),'2021'!Resal_s+('2021'!Salim-'2021'!Resal_s)*(1-EXP(('2021'!Tnet_s-t)/'2021'!Tau_j)),Resal_s+(Salim-Resal_s)*(1-EXP((Tnet_s-t)/Tau_j)))*Salcycl</f>
        <v>8.174012349155324E-2</v>
      </c>
      <c r="AD375" s="230">
        <f>(INDEX(Models!$BJ375:$BT375,,AH375)*(1-AF375)+INDEX(Models!$BJ375:$BT375,,AH375+1)*AF375-ERP_i)*AE375*Ramure*Pc/MaxiM</f>
        <v>2.6100795522333266E-2</v>
      </c>
      <c r="AE375" s="304">
        <f t="shared" si="142"/>
        <v>0.7</v>
      </c>
      <c r="AF375" s="177">
        <f t="shared" si="143"/>
        <v>0.39893693611187125</v>
      </c>
      <c r="AG375" s="799">
        <f t="shared" si="149"/>
        <v>0</v>
      </c>
      <c r="AH375" s="176">
        <f t="shared" si="144"/>
        <v>6</v>
      </c>
      <c r="AI375" s="224">
        <f t="shared" si="145"/>
        <v>0.39893693611187125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44923</v>
      </c>
      <c r="B376" s="1147">
        <v>22.353000000000002</v>
      </c>
      <c r="C376" s="388"/>
      <c r="D376" s="391">
        <f t="shared" si="127"/>
        <v>22.982002182890888</v>
      </c>
      <c r="E376" s="383">
        <f t="shared" si="150"/>
        <v>23.437020186066327</v>
      </c>
      <c r="F376" s="383">
        <f t="shared" si="128"/>
        <v>23.956772054277653</v>
      </c>
      <c r="G376" s="110">
        <f t="shared" si="151"/>
        <v>0.92509528386220818</v>
      </c>
      <c r="H376" s="412" t="b">
        <f>Wh_hp&gt;='2021'!Maxi_hp</f>
        <v>1</v>
      </c>
      <c r="I376" s="379">
        <f>IF(H376,Wh_hp,'2021'!Maxi_hp)</f>
        <v>23.956772054277653</v>
      </c>
      <c r="J376" s="85">
        <f>IF(H376,An,'2021'!An_max)</f>
        <v>2022</v>
      </c>
      <c r="K376" s="197">
        <f t="shared" si="129"/>
        <v>44923</v>
      </c>
      <c r="L376" s="147">
        <f>IF(t&lt;Tvie,1-EXP((T0-t)*PertePVj)+'2021'!Pspv,1-EXP((T0-t)*PertePVj)+Pspv)</f>
        <v>2.7369337879497357E-2</v>
      </c>
      <c r="M376" s="832"/>
      <c r="N376" s="832"/>
      <c r="O376" s="48">
        <f>IF(t&lt;Tnet,'2021'!Resal+('2021'!Salim-'2021'!Resal)*(1-EXP(('2021'!Tnet-t)/('2021'!Tau_j))),Resal+(Salim-Resal)*(1-EXP((Tnet-t)/(Tau_j))))*Salcycl</f>
        <v>1.9414498923628343E-2</v>
      </c>
      <c r="P376" s="169">
        <f>(INDEX(Models!$BJ376:$BT376,,T376)*(1-R376)+INDEX(Models!$BJ376:$BT376,,T376+1)*R376-ERP_i)*Q376*Ramure*Pc/MaxiM</f>
        <v>2.4203098973533586E-2</v>
      </c>
      <c r="Q376" s="304">
        <f t="shared" si="130"/>
        <v>0.7</v>
      </c>
      <c r="R376" s="177">
        <f t="shared" si="131"/>
        <v>0.3346047138520391</v>
      </c>
      <c r="S376" s="799">
        <f t="shared" si="132"/>
        <v>0</v>
      </c>
      <c r="T376" s="176">
        <f t="shared" si="133"/>
        <v>6</v>
      </c>
      <c r="U376" s="250">
        <f t="shared" si="134"/>
        <v>0.3346047138520391</v>
      </c>
      <c r="V376" s="382">
        <f t="shared" si="135"/>
        <v>24.100979442433395</v>
      </c>
      <c r="W376" s="400">
        <f t="shared" si="136"/>
        <v>0</v>
      </c>
      <c r="X376" s="157">
        <f t="shared" si="137"/>
        <v>44923</v>
      </c>
      <c r="Y376" s="383">
        <f t="shared" si="138"/>
        <v>20.898710502630951</v>
      </c>
      <c r="Z376" s="383">
        <f t="shared" si="139"/>
        <v>21.486789710153861</v>
      </c>
      <c r="AA376" s="384">
        <f t="shared" si="140"/>
        <v>23.39907684789021</v>
      </c>
      <c r="AB376" s="197">
        <f t="shared" si="141"/>
        <v>44923</v>
      </c>
      <c r="AC376" s="119">
        <f>IF(OR(t&lt;Tnet,NoTnet),'2021'!Resal_s+('2021'!Salim-'2021'!Resal_s)*(1-EXP(('2021'!Tnet_s-t)/'2021'!Tau_j)),Resal_s+(Salim-Resal_s)*(1-EXP((Tnet_s-t)/Tau_j)))*Salcycl</f>
        <v>8.172489667722814E-2</v>
      </c>
      <c r="AD376" s="230">
        <f>(INDEX(Models!$BJ376:$BT376,,AH376)*(1-AF376)+INDEX(Models!$BJ376:$BT376,,AH376+1)*AF376-ERP_i)*AE376*Ramure*Pc/MaxiM</f>
        <v>2.5969992803897567E-2</v>
      </c>
      <c r="AE376" s="304">
        <f t="shared" si="142"/>
        <v>0.7</v>
      </c>
      <c r="AF376" s="177">
        <f t="shared" si="143"/>
        <v>0.39893693611187125</v>
      </c>
      <c r="AG376" s="799">
        <f t="shared" si="149"/>
        <v>0</v>
      </c>
      <c r="AH376" s="176">
        <f t="shared" si="144"/>
        <v>6</v>
      </c>
      <c r="AI376" s="224">
        <f t="shared" si="145"/>
        <v>0.39893693611187125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44924</v>
      </c>
      <c r="B377" s="1147">
        <v>11.375</v>
      </c>
      <c r="C377" s="388"/>
      <c r="D377" s="391">
        <f t="shared" si="127"/>
        <v>11.695310919622866</v>
      </c>
      <c r="E377" s="383">
        <f t="shared" si="150"/>
        <v>11.92741498633819</v>
      </c>
      <c r="F377" s="383">
        <f t="shared" si="128"/>
        <v>11.997343513776034</v>
      </c>
      <c r="G377" s="110">
        <f t="shared" si="151"/>
        <v>0.46090421834961931</v>
      </c>
      <c r="H377" s="412" t="b">
        <f>Wh_hp&gt;='2021'!Maxi_hp</f>
        <v>0</v>
      </c>
      <c r="I377" s="379">
        <f>IF(H377,Wh_hp,'2021'!Maxi_hp)</f>
        <v>25.350843824112598</v>
      </c>
      <c r="J377" s="85">
        <f>IF(H377,An,'2021'!An_max)</f>
        <v>2018</v>
      </c>
      <c r="K377" s="197">
        <f t="shared" si="129"/>
        <v>44924</v>
      </c>
      <c r="L377" s="147">
        <f>IF(t&lt;Tvie,1-EXP((T0-t)*PertePVj)+'2021'!Pspv,1-EXP((T0-t)*PertePVj)+Pspv)</f>
        <v>2.7387978124244206E-2</v>
      </c>
      <c r="M377" s="832"/>
      <c r="N377" s="832"/>
      <c r="O377" s="48">
        <f>IF(t&lt;Tnet,'2021'!Resal+('2021'!Salim-'2021'!Resal)*(1-EXP(('2021'!Tnet-t)/('2021'!Tau_j))),Resal+(Salim-Resal)*(1-EXP((Tnet-t)/(Tau_j))))*Salcycl</f>
        <v>1.9459712517857389E-2</v>
      </c>
      <c r="P377" s="169">
        <f>(INDEX(Models!$BJ377:$BT377,,T377)*(1-R377)+INDEX(Models!$BJ377:$BT377,,T377+1)*R377-ERP_i)*Q377*Ramure*Pc/MaxiM</f>
        <v>2.4068580544768521E-2</v>
      </c>
      <c r="Q377" s="304">
        <f t="shared" si="130"/>
        <v>0.7</v>
      </c>
      <c r="R377" s="177">
        <f t="shared" si="131"/>
        <v>0.3346047138520391</v>
      </c>
      <c r="S377" s="799">
        <f t="shared" si="132"/>
        <v>0</v>
      </c>
      <c r="T377" s="176">
        <f t="shared" si="133"/>
        <v>6</v>
      </c>
      <c r="U377" s="250">
        <f t="shared" si="134"/>
        <v>0.3346047138520391</v>
      </c>
      <c r="V377" s="382">
        <f t="shared" si="135"/>
        <v>24.226952432722936</v>
      </c>
      <c r="W377" s="400">
        <f t="shared" si="136"/>
        <v>0</v>
      </c>
      <c r="X377" s="157">
        <f t="shared" si="137"/>
        <v>44924</v>
      </c>
      <c r="Y377" s="383">
        <f t="shared" si="138"/>
        <v>10.648311291834652</v>
      </c>
      <c r="Z377" s="383">
        <f t="shared" si="139"/>
        <v>10.948159237532947</v>
      </c>
      <c r="AA377" s="384">
        <f t="shared" si="140"/>
        <v>11.922333053988106</v>
      </c>
      <c r="AB377" s="197">
        <f t="shared" si="141"/>
        <v>44924</v>
      </c>
      <c r="AC377" s="119">
        <f>IF(OR(t&lt;Tnet,NoTnet),'2021'!Resal_s+('2021'!Salim-'2021'!Resal_s)*(1-EXP(('2021'!Tnet_s-t)/'2021'!Tau_j)),Resal_s+(Salim-Resal_s)*(1-EXP((Tnet_s-t)/Tau_j)))*Salcycl</f>
        <v>8.1709998541710946E-2</v>
      </c>
      <c r="AD377" s="230">
        <f>(INDEX(Models!$BJ377:$BT377,,AH377)*(1-AF377)+INDEX(Models!$BJ377:$BT377,,AH377+1)*AF377-ERP_i)*AE377*Ramure*Pc/MaxiM</f>
        <v>2.5817722169404568E-2</v>
      </c>
      <c r="AE377" s="304">
        <f t="shared" si="142"/>
        <v>0.7</v>
      </c>
      <c r="AF377" s="177">
        <f t="shared" si="143"/>
        <v>0.39893693611187125</v>
      </c>
      <c r="AG377" s="799">
        <f t="shared" si="149"/>
        <v>0</v>
      </c>
      <c r="AH377" s="176">
        <f t="shared" si="144"/>
        <v>6</v>
      </c>
      <c r="AI377" s="224">
        <f t="shared" si="145"/>
        <v>0.39893693611187125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44925</v>
      </c>
      <c r="B378" s="1147">
        <v>15.527000000000001</v>
      </c>
      <c r="C378" s="388"/>
      <c r="D378" s="391">
        <f t="shared" si="127"/>
        <v>15.964533881835179</v>
      </c>
      <c r="E378" s="383">
        <f t="shared" si="150"/>
        <v>16.282115691196651</v>
      </c>
      <c r="F378" s="383">
        <f t="shared" si="128"/>
        <v>16.471881520601041</v>
      </c>
      <c r="G378" s="110">
        <f t="shared" si="151"/>
        <v>0.62919449874635547</v>
      </c>
      <c r="H378" s="412" t="b">
        <f>Wh_hp&gt;='2021'!Maxi_hp</f>
        <v>0</v>
      </c>
      <c r="I378" s="379">
        <f>IF(H378,Wh_hp,'2021'!Maxi_hp)</f>
        <v>26.258304943114872</v>
      </c>
      <c r="J378" s="85">
        <f>IF(H378,An,'2021'!An_max)</f>
        <v>2018</v>
      </c>
      <c r="K378" s="197">
        <f t="shared" si="129"/>
        <v>44925</v>
      </c>
      <c r="L378" s="147">
        <f>IF(t&lt;Tvie,1-EXP((T0-t)*PertePVj)+'2021'!Pspv,1-EXP((T0-t)*PertePVj)+Pspv)</f>
        <v>2.7406618011755035E-2</v>
      </c>
      <c r="M378" s="832"/>
      <c r="N378" s="832"/>
      <c r="O378" s="48">
        <f>IF(t&lt;Tnet,'2021'!Resal+('2021'!Salim-'2021'!Resal)*(1-EXP(('2021'!Tnet-t)/('2021'!Tau_j))),Resal+(Salim-Resal)*(1-EXP((Tnet-t)/(Tau_j))))*Salcycl</f>
        <v>1.9504947353566761E-2</v>
      </c>
      <c r="P378" s="169">
        <f>(INDEX(Models!$BJ378:$BT378,,T378)*(1-R378)+INDEX(Models!$BJ378:$BT378,,T378+1)*R378-ERP_i)*Q378*Ramure*Pc/MaxiM</f>
        <v>2.3916864168489003E-2</v>
      </c>
      <c r="Q378" s="304">
        <f t="shared" si="130"/>
        <v>0.7</v>
      </c>
      <c r="R378" s="177">
        <f t="shared" si="131"/>
        <v>0.3346047138520391</v>
      </c>
      <c r="S378" s="799">
        <f t="shared" si="132"/>
        <v>0</v>
      </c>
      <c r="T378" s="176">
        <f t="shared" si="133"/>
        <v>6</v>
      </c>
      <c r="U378" s="250">
        <f t="shared" si="134"/>
        <v>0.3346047138520391</v>
      </c>
      <c r="V378" s="382">
        <f t="shared" si="135"/>
        <v>24.368108467662573</v>
      </c>
      <c r="W378" s="400">
        <f t="shared" si="136"/>
        <v>0</v>
      </c>
      <c r="X378" s="157">
        <f t="shared" si="137"/>
        <v>44925</v>
      </c>
      <c r="Y378" s="383">
        <f t="shared" si="138"/>
        <v>14.52990820470235</v>
      </c>
      <c r="Z378" s="383">
        <f t="shared" si="139"/>
        <v>14.939345130026766</v>
      </c>
      <c r="AA378" s="384">
        <f t="shared" si="140"/>
        <v>16.268398396008003</v>
      </c>
      <c r="AB378" s="197">
        <f t="shared" si="141"/>
        <v>44925</v>
      </c>
      <c r="AC378" s="119">
        <f>IF(OR(t&lt;Tnet,NoTnet),'2021'!Resal_s+('2021'!Salim-'2021'!Resal_s)*(1-EXP(('2021'!Tnet_s-t)/'2021'!Tau_j)),Resal_s+(Salim-Resal_s)*(1-EXP((Tnet_s-t)/Tau_j)))*Salcycl</f>
        <v>8.169539702859531E-2</v>
      </c>
      <c r="AD378" s="230">
        <f>(INDEX(Models!$BJ378:$BT378,,AH378)*(1-AF378)+INDEX(Models!$BJ378:$BT378,,AH378+1)*AF378-ERP_i)*AE378*Ramure*Pc/MaxiM</f>
        <v>2.5645703795811124E-2</v>
      </c>
      <c r="AE378" s="304">
        <f t="shared" si="142"/>
        <v>0.7</v>
      </c>
      <c r="AF378" s="177">
        <f t="shared" si="143"/>
        <v>0.39893693611187125</v>
      </c>
      <c r="AG378" s="799">
        <f t="shared" si="149"/>
        <v>0</v>
      </c>
      <c r="AH378" s="176">
        <f t="shared" si="144"/>
        <v>6</v>
      </c>
      <c r="AI378" s="224">
        <f t="shared" si="145"/>
        <v>0.39893693611187125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44926</v>
      </c>
      <c r="B379" s="1147">
        <v>13.369</v>
      </c>
      <c r="C379" s="388"/>
      <c r="D379" s="391">
        <f t="shared" si="127"/>
        <v>13.745987240232937</v>
      </c>
      <c r="E379" s="383">
        <f t="shared" si="150"/>
        <v>14.020082616374557</v>
      </c>
      <c r="F379" s="383">
        <f t="shared" si="128"/>
        <v>14.137674423729012</v>
      </c>
      <c r="G379" s="110">
        <f t="shared" si="151"/>
        <v>0.53667244887222709</v>
      </c>
      <c r="H379" s="412" t="b">
        <f>Wh_hp&gt;='2021'!Maxi_hp</f>
        <v>0</v>
      </c>
      <c r="I379" s="379">
        <f>IF(H379,Wh_hp,'2021'!Maxi_hp)</f>
        <v>25.860373589041732</v>
      </c>
      <c r="J379" s="85">
        <f>IF(H379,An,'2021'!An_max)</f>
        <v>2021</v>
      </c>
      <c r="K379" s="197">
        <f t="shared" si="129"/>
        <v>44926</v>
      </c>
      <c r="L379" s="147">
        <f>IF(t&lt;Tvie,1-EXP((T0-t)*PertePVj)+'2021'!Pspv,1-EXP((T0-t)*PertePVj)+Pspv)</f>
        <v>2.7425257542036618E-2</v>
      </c>
      <c r="M379" s="832"/>
      <c r="N379" s="832"/>
      <c r="O379" s="48">
        <f>IF(t&lt;Tnet,'2021'!Resal+('2021'!Salim-'2021'!Resal)*(1-EXP(('2021'!Tnet-t)/('2021'!Tau_j))),Resal+(Salim-Resal)*(1-EXP((Tnet-t)/(Tau_j))))*Salcycl</f>
        <v>1.9550196931185999E-2</v>
      </c>
      <c r="P379" s="169">
        <f>(INDEX(Models!$BJ379:$BT379,,T379)*(1-R379)+INDEX(Models!$BJ379:$BT379,,T379+1)*R379-ERP_i)*Q379*Ramure*Pc/MaxiM</f>
        <v>2.3749526262313116E-2</v>
      </c>
      <c r="Q379" s="305">
        <f t="shared" si="130"/>
        <v>0.7</v>
      </c>
      <c r="R379" s="177">
        <f t="shared" si="131"/>
        <v>0.3346047138520391</v>
      </c>
      <c r="S379" s="799">
        <f t="shared" si="132"/>
        <v>0</v>
      </c>
      <c r="T379" s="176">
        <f t="shared" si="133"/>
        <v>6</v>
      </c>
      <c r="U379" s="306">
        <f t="shared" si="134"/>
        <v>0.3346047138520391</v>
      </c>
      <c r="V379" s="382">
        <f t="shared" si="135"/>
        <v>24.523264576940583</v>
      </c>
      <c r="W379" s="400">
        <f t="shared" si="136"/>
        <v>0</v>
      </c>
      <c r="X379" s="157">
        <f t="shared" si="137"/>
        <v>44926</v>
      </c>
      <c r="Y379" s="383">
        <f t="shared" si="138"/>
        <v>12.514264828554643</v>
      </c>
      <c r="Z379" s="383">
        <f t="shared" si="139"/>
        <v>12.867149723555086</v>
      </c>
      <c r="AA379" s="384">
        <f t="shared" si="140"/>
        <v>14.011634956234364</v>
      </c>
      <c r="AB379" s="197">
        <f t="shared" si="141"/>
        <v>44926</v>
      </c>
      <c r="AC379" s="119">
        <f>IF(OR(t&lt;Tnet,NoTnet),'2021'!Resal_s+('2021'!Salim-'2021'!Resal_s)*(1-EXP(('2021'!Tnet_s-t)/'2021'!Tau_j)),Resal_s+(Salim-Resal_s)*(1-EXP((Tnet_s-t)/Tau_j)))*Salcycl</f>
        <v>8.1681062649298364E-2</v>
      </c>
      <c r="AD379" s="230">
        <f>(INDEX(Models!$BJ379:$BT379,,AH379)*(1-AF379)+INDEX(Models!$BJ379:$BT379,,AH379+1)*AF379-ERP_i)*AE379*Ramure*Pc/MaxiM</f>
        <v>2.5455664902991306E-2</v>
      </c>
      <c r="AE379" s="305">
        <f t="shared" si="142"/>
        <v>0.7</v>
      </c>
      <c r="AF379" s="177">
        <f t="shared" si="143"/>
        <v>0.39893693611187125</v>
      </c>
      <c r="AG379" s="799">
        <f t="shared" si="149"/>
        <v>0</v>
      </c>
      <c r="AH379" s="176">
        <f t="shared" si="144"/>
        <v>6</v>
      </c>
      <c r="AI379" s="221">
        <f t="shared" si="145"/>
        <v>0.39893693611187125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1194">
        <f>(42.54+47.92*2)*0.05</f>
        <v>6.9190000000000005</v>
      </c>
      <c r="C380" s="392"/>
      <c r="D380" s="399"/>
      <c r="E380" s="385"/>
      <c r="F380" s="385"/>
      <c r="G380" s="122"/>
      <c r="H380" s="412" t="b">
        <f>Wh_hp&gt;='2021'!Maxi_hp</f>
        <v>0</v>
      </c>
      <c r="I380" s="379">
        <f>IF(H380,Wh_hp,'2021'!Maxi_hp)</f>
        <v>16.851465220813907</v>
      </c>
      <c r="J380" s="85">
        <f>IF(H380,An,'2021'!An_max)</f>
        <v>2020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1.3780000000000001</v>
      </c>
      <c r="C381" s="374"/>
      <c r="D381" s="372">
        <f>MIN(D15:D380)</f>
        <v>1.4072507296147683</v>
      </c>
      <c r="E381" s="372">
        <f>MIN(E15:E380)</f>
        <v>1.5044600674583619</v>
      </c>
      <c r="F381" s="373">
        <f>MIN(F15:F380)</f>
        <v>1.5044600674583619</v>
      </c>
      <c r="G381" s="125">
        <f>+MIN(G15:G380)</f>
        <v>5.2720989170978227E-2</v>
      </c>
      <c r="H381" s="94"/>
      <c r="I381" s="373">
        <f>MIN(I15:I380)</f>
        <v>10.143572329853523</v>
      </c>
      <c r="J381" s="57">
        <f>MIN(J15:J380)</f>
        <v>2018</v>
      </c>
      <c r="K381" s="200" t="s">
        <v>7</v>
      </c>
      <c r="L381" s="146">
        <f t="shared" ref="L381:T381" si="152">MIN(L15:L380)</f>
        <v>2.0616813142390167E-2</v>
      </c>
      <c r="M381" s="833"/>
      <c r="N381" s="833"/>
      <c r="O381" s="47">
        <f t="shared" si="152"/>
        <v>7.0848118984997458E-3</v>
      </c>
      <c r="P381" s="168">
        <f t="shared" si="152"/>
        <v>1.499785086677983E-4</v>
      </c>
      <c r="Q381" s="309">
        <f t="shared" si="152"/>
        <v>0.7</v>
      </c>
      <c r="R381" s="310">
        <f t="shared" si="152"/>
        <v>1.2029864905726967E-3</v>
      </c>
      <c r="S381" s="799">
        <f t="shared" si="152"/>
        <v>-1</v>
      </c>
      <c r="T381" s="176">
        <f t="shared" si="152"/>
        <v>5</v>
      </c>
      <c r="U381" s="251">
        <f>+MIN(U15:U380)</f>
        <v>-6.5394267719024055E-2</v>
      </c>
      <c r="V381" s="57">
        <f>MIN(V15:V380)</f>
        <v>23.724573214800358</v>
      </c>
      <c r="W381" s="58"/>
      <c r="X381" s="112" t="s">
        <v>7</v>
      </c>
      <c r="Y381" s="372">
        <f>MIN(Y15:Y380)</f>
        <v>1.3780000000000001</v>
      </c>
      <c r="Z381" s="372">
        <f>MIN(Z15:Z380)</f>
        <v>1.4072507296147683</v>
      </c>
      <c r="AA381" s="372">
        <f>MIN(AA15:AA380)</f>
        <v>1.5044600674583619</v>
      </c>
      <c r="AB381" s="200" t="s">
        <v>7</v>
      </c>
      <c r="AC381" s="47">
        <f t="shared" ref="AC381:AH381" si="153">MIN(AC15:AC380)</f>
        <v>6.2749698626583417E-2</v>
      </c>
      <c r="AD381" s="168">
        <f t="shared" si="153"/>
        <v>1.6741533867028859E-4</v>
      </c>
      <c r="AE381" s="309">
        <f t="shared" si="153"/>
        <v>0.7</v>
      </c>
      <c r="AF381" s="310">
        <f t="shared" si="153"/>
        <v>6.748052161660383E-5</v>
      </c>
      <c r="AG381" s="799">
        <f t="shared" si="153"/>
        <v>-1</v>
      </c>
      <c r="AH381" s="176">
        <f t="shared" si="153"/>
        <v>5</v>
      </c>
      <c r="AI381" s="225">
        <f>MIN(AI15:AI380)</f>
        <v>-1.0620454591919091E-3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31.363773224043708</v>
      </c>
      <c r="C382" s="374"/>
      <c r="D382" s="374">
        <f>AVERAGE(D15:D380)</f>
        <v>32.20287619135361</v>
      </c>
      <c r="E382" s="374">
        <f>AVERAGE(E15:E380)</f>
        <v>33.197257910195965</v>
      </c>
      <c r="F382" s="375">
        <f>AVERAGE(F15:F380)</f>
        <v>33.307991741994599</v>
      </c>
      <c r="G382" s="126">
        <f>AVERAGE(G15:G380)</f>
        <v>0.68758392401465107</v>
      </c>
      <c r="H382" s="94"/>
      <c r="I382" s="375">
        <f>AVERAGE(I15:I380)</f>
        <v>43.495146913859266</v>
      </c>
      <c r="J382" s="59">
        <f>AVERAGE(J15:J380)</f>
        <v>2020.3907103825136</v>
      </c>
      <c r="K382" s="200" t="s">
        <v>8</v>
      </c>
      <c r="L382" s="147">
        <f t="shared" ref="L382:V382" si="154">AVERAGE(L15:L380)</f>
        <v>2.4024982465915699E-2</v>
      </c>
      <c r="M382" s="832"/>
      <c r="N382" s="832"/>
      <c r="O382" s="48">
        <f t="shared" si="154"/>
        <v>3.3914569484416582E-2</v>
      </c>
      <c r="P382" s="169">
        <f t="shared" si="154"/>
        <v>7.7811152093521258E-3</v>
      </c>
      <c r="Q382" s="311">
        <f t="shared" si="154"/>
        <v>0.69999999999999529</v>
      </c>
      <c r="R382" s="177">
        <f t="shared" si="154"/>
        <v>0.49001945919535922</v>
      </c>
      <c r="S382" s="799">
        <f t="shared" si="154"/>
        <v>-0.33150684931506852</v>
      </c>
      <c r="T382" s="176">
        <f t="shared" si="154"/>
        <v>5.6684931506849319</v>
      </c>
      <c r="U382" s="250">
        <f t="shared" si="154"/>
        <v>0.15851260988029092</v>
      </c>
      <c r="V382" s="59">
        <f t="shared" si="154"/>
        <v>44.194804514494841</v>
      </c>
      <c r="X382" s="112" t="s">
        <v>8</v>
      </c>
      <c r="Y382" s="374">
        <f>AVERAGE(Y15:Y380)</f>
        <v>29.689675760150838</v>
      </c>
      <c r="Z382" s="374">
        <f>AVERAGE(Z15:Z380)</f>
        <v>30.417821015767181</v>
      </c>
      <c r="AA382" s="374">
        <f>AVERAGE(AA15:AA380)</f>
        <v>33.190171541642592</v>
      </c>
      <c r="AB382" s="200" t="s">
        <v>8</v>
      </c>
      <c r="AC382" s="48">
        <f t="shared" ref="AC382:AH382" si="155">AVERAGE(AC15:AC380)</f>
        <v>8.1900878559309914E-2</v>
      </c>
      <c r="AD382" s="169">
        <f t="shared" si="155"/>
        <v>8.2716346817459218E-3</v>
      </c>
      <c r="AE382" s="311">
        <f t="shared" si="155"/>
        <v>0.69999999999999529</v>
      </c>
      <c r="AF382" s="177">
        <f t="shared" si="155"/>
        <v>0.29681743487984896</v>
      </c>
      <c r="AG382" s="799">
        <f t="shared" si="155"/>
        <v>-7.3972602739726029E-2</v>
      </c>
      <c r="AH382" s="176">
        <f t="shared" si="155"/>
        <v>5.9260273972602739</v>
      </c>
      <c r="AI382" s="224">
        <f>AVERAGE(AI15:AI380)</f>
        <v>0.22284483214012285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61.463999999999999</v>
      </c>
      <c r="C383" s="376"/>
      <c r="D383" s="376">
        <f>MAX(D15:D380)</f>
        <v>62.936127168178935</v>
      </c>
      <c r="E383" s="376">
        <f>MAX(E15:E380)</f>
        <v>63.494300089323382</v>
      </c>
      <c r="F383" s="377">
        <f>MAX(F15:F380)</f>
        <v>63.505407005756894</v>
      </c>
      <c r="G383" s="127">
        <f>+MAX(G15:G380)</f>
        <v>1.0482441826576601</v>
      </c>
      <c r="H383" s="94"/>
      <c r="I383" s="377">
        <f>MAX(I15:I380)</f>
        <v>64.215122991320413</v>
      </c>
      <c r="J383" s="60">
        <f>MAX(J15:J380)</f>
        <v>2022</v>
      </c>
      <c r="K383" s="200" t="s">
        <v>9</v>
      </c>
      <c r="L383" s="148">
        <f t="shared" ref="L383:T383" si="156">MAX(L15:L380)</f>
        <v>2.7425257542036618E-2</v>
      </c>
      <c r="M383" s="834"/>
      <c r="N383" s="834"/>
      <c r="O383" s="49">
        <f t="shared" si="156"/>
        <v>8.53458310040726E-2</v>
      </c>
      <c r="P383" s="170">
        <f t="shared" si="156"/>
        <v>2.4602424398587081E-2</v>
      </c>
      <c r="Q383" s="312">
        <f t="shared" si="156"/>
        <v>0.7</v>
      </c>
      <c r="R383" s="313">
        <f t="shared" si="156"/>
        <v>0.99893699814222459</v>
      </c>
      <c r="S383" s="800">
        <f t="shared" si="156"/>
        <v>0</v>
      </c>
      <c r="T383" s="232">
        <f t="shared" si="156"/>
        <v>6</v>
      </c>
      <c r="U383" s="252">
        <f>+MAX(U15:U380)</f>
        <v>0.3346047138520391</v>
      </c>
      <c r="V383" s="60">
        <f>MAX(V15:V380)</f>
        <v>60.037161235462335</v>
      </c>
      <c r="X383" s="112" t="s">
        <v>9</v>
      </c>
      <c r="Y383" s="376">
        <f>MAX(Y15:Y380)</f>
        <v>56.631296609795669</v>
      </c>
      <c r="Z383" s="376">
        <f>MAX(Z15:Z380)</f>
        <v>57.987675470730196</v>
      </c>
      <c r="AA383" s="376">
        <f>MAX(AA15:AA380)</f>
        <v>63.492235365050711</v>
      </c>
      <c r="AB383" s="200" t="s">
        <v>9</v>
      </c>
      <c r="AC383" s="49">
        <f t="shared" ref="AC383:AH383" si="157">MAX(AC15:AC380)</f>
        <v>8.7733837804724088E-2</v>
      </c>
      <c r="AD383" s="170">
        <f t="shared" si="157"/>
        <v>2.6418963941463307E-2</v>
      </c>
      <c r="AE383" s="312">
        <f t="shared" si="157"/>
        <v>0.7</v>
      </c>
      <c r="AF383" s="313">
        <f t="shared" si="157"/>
        <v>0.99999981390893988</v>
      </c>
      <c r="AG383" s="800">
        <f t="shared" si="157"/>
        <v>0</v>
      </c>
      <c r="AH383" s="232">
        <f t="shared" si="157"/>
        <v>6</v>
      </c>
      <c r="AI383" s="226">
        <f>MAX(AI15:AI380)</f>
        <v>0.39893693611187125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3" priority="7" stopIfTrue="1" operator="lessThan">
      <formula>0.01</formula>
    </cfRule>
    <cfRule type="cellIs" dxfId="12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V380" sqref="V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3">
        <f>'2022'!An+1</f>
        <v>2023</v>
      </c>
      <c r="K1" s="1274"/>
      <c r="L1" s="113" t="str">
        <f>"Calcul pertes et enveloppes en "&amp;TEXT(An,0)</f>
        <v>Calcul pertes et enveloppes en 2023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2023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3">
        <f>Tmaj</f>
        <v>44926</v>
      </c>
      <c r="F3" s="1283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165</v>
      </c>
      <c r="V3" s="622">
        <f>Salim_i</f>
        <v>0.08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181.7781752645561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4" t="str">
        <f>Station</f>
        <v>Noueilles salle des fêtes</v>
      </c>
      <c r="F4" s="1215"/>
      <c r="G4" s="1215"/>
      <c r="H4" s="1215"/>
      <c r="I4" s="1216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0.8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141.661262473514</v>
      </c>
      <c r="AK4" s="822">
        <f>AM12-AK12</f>
        <v>1.1547476358521536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4">
        <f>T0</f>
        <v>43475</v>
      </c>
      <c r="F5" s="1284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323.1504031080409</v>
      </c>
      <c r="AA5" s="236">
        <f>Wh_Pvg_s-Wh_Pvg</f>
        <v>1.1547476358521536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3040.0364619886636</v>
      </c>
      <c r="AK5" s="514">
        <f>SUMIF(AK15:AK380,"VRAI",Wh)</f>
        <v>0</v>
      </c>
      <c r="AL5" s="514">
        <f>SUMIF(AJ15:AJ380,"VRAI",Wh_s)</f>
        <v>2857.16130958348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5">
        <f>Tservice</f>
        <v>43522</v>
      </c>
      <c r="F6" s="1285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8459.8804425040107</v>
      </c>
      <c r="AK6" s="514">
        <f>SUMIF(AK15:AK380,"FAUX",Wh)</f>
        <v>11499.916904492684</v>
      </c>
      <c r="AL6" s="514">
        <f>SUMIF(AJ15:AJ380,"FAUX",Wh_s)</f>
        <v>8316.4557898016083</v>
      </c>
      <c r="AM6" s="514">
        <f>SUMIF(AK15:AK380,"FAUX",Wh_s)</f>
        <v>11173.617099385094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AND(YEAR(Tnet)=An,Resal_2023="I")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3129.8621539989967</v>
      </c>
      <c r="AK7" s="514">
        <f>SUMIF(AK15:AK380,"VRAI",Wh_sa)</f>
        <v>0</v>
      </c>
      <c r="AL7" s="514">
        <f>SUMIF(AJ15:AJ380,"VRAI",Wh_pvt_s)</f>
        <v>2941.5872152011361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AND(YEAR(Tnet)=An,Resal_2023&lt;&gt;"I")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1" t="s">
        <v>102</v>
      </c>
      <c r="Y8" s="1272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8734.8397749908163</v>
      </c>
      <c r="AK8" s="514">
        <f>SUMIF(AK15:AK380,"FAUX",Wh_sa)</f>
        <v>12089.652737535616</v>
      </c>
      <c r="AL8" s="514">
        <f>SUMIF(AJ15:AJ380,"FAUX",Wh_pvt_s)</f>
        <v>8586.7630960320694</v>
      </c>
      <c r="AM8" s="514">
        <f>SUMIF(AK15:AK380,"FAUX",Wh_sa_s)</f>
        <v>12086.716533048459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11864.701928989811</v>
      </c>
      <c r="E9" s="184">
        <f>SUM(E$15:E$380)</f>
        <v>12089.652737535616</v>
      </c>
      <c r="F9" s="184">
        <f>SUM(F$15:F$380)</f>
        <v>12147.923276565743</v>
      </c>
      <c r="H9" s="1275">
        <f>+SUM(Wh)</f>
        <v>11499.916904492684</v>
      </c>
      <c r="I9" s="1276"/>
      <c r="J9" s="1277"/>
      <c r="K9" s="191"/>
      <c r="L9" s="231"/>
      <c r="M9" s="231"/>
      <c r="N9" s="231"/>
      <c r="O9" s="222">
        <f>Tnet_2023</f>
        <v>45046</v>
      </c>
      <c r="P9" s="243" t="s">
        <v>91</v>
      </c>
      <c r="Q9" s="244"/>
      <c r="R9" s="244"/>
      <c r="S9" s="244"/>
      <c r="T9" s="244"/>
      <c r="U9" s="245"/>
      <c r="V9" s="460"/>
      <c r="W9" s="519"/>
      <c r="X9" s="1269">
        <f>+SUM(Wh_s)</f>
        <v>11173.617099385094</v>
      </c>
      <c r="Y9" s="1270"/>
      <c r="Z9" s="514">
        <f>SUM(Z$15:Z$380)</f>
        <v>11528.3503112332</v>
      </c>
      <c r="AA9" s="514">
        <f>SUM(AA$15:AA$380)</f>
        <v>12086.716533048459</v>
      </c>
      <c r="AB9" s="514">
        <f>F9</f>
        <v>12147.923276565743</v>
      </c>
      <c r="AC9" s="324">
        <f>IF(An_Tnet,Tnet,'2022'!Tnet_s)</f>
        <v>45046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3202.3121298798915</v>
      </c>
      <c r="AK9" s="514">
        <f>SUMIF(AK15:AK380,"VRAI",Wh_hp)</f>
        <v>0</v>
      </c>
      <c r="AL9" s="514">
        <f>SUMIF(AJ15:AJ380,"VRAI",Wh_sa_s)</f>
        <v>3201.1867990008973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IF(Inflex,'2022'!Resal+('2022'!Salim-'2022'!Resal)*(1-EXP(-(Tnet-'2022'!Tnet)/('2022'!Tau_j))),IF(An_Tnet,Resal_2023,'2022'!Resal))</f>
        <v>7.0000000000000001E-3</v>
      </c>
      <c r="P10" s="419" t="b">
        <f>NOT(Acti_tai)</f>
        <v>1</v>
      </c>
      <c r="Q10" s="256">
        <f>IF(Acti_tai,'2022'!PousD,Dens-Dd)</f>
        <v>0</v>
      </c>
      <c r="R10" s="273"/>
      <c r="S10" s="274"/>
      <c r="T10" s="275"/>
      <c r="U10" s="265">
        <f>IF(Acti_tai,'2022'!PousH,Hdtf-Hdd)</f>
        <v>0.39999999999999997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IF(OR(Inflex,GainD),'2022'!Resal_s+('2022'!Salim-'2022'!Resal_s)*(1-EXP(('2022'!Tnet_s-Tnet)/('2022'!Tau_j))),IF(Acti_net,'2022'!Resal+('2022'!Salim-'2022'!Resal)*(1-EXP(('2022'!Tnet-Tnet)/'2022'!Tau_j)),'2022'!Resal_s))</f>
        <v>2.4776001912818032E-2</v>
      </c>
      <c r="AD10" s="426"/>
      <c r="AE10" s="426"/>
      <c r="AF10" s="259"/>
      <c r="AG10" s="260"/>
      <c r="AH10" s="261"/>
      <c r="AI10" s="471"/>
      <c r="AJ10" s="514">
        <f>SUMIF(AJ15:AJ380,"FAUX",Wh_sa)</f>
        <v>8887.3406076557276</v>
      </c>
      <c r="AK10" s="514">
        <f>SUMIF(AK15:AK380,"FAUX",Wh_hp)</f>
        <v>12147.923276565743</v>
      </c>
      <c r="AL10" s="514">
        <f>SUMIF(AJ15:AJ380,"FAUX",Wh_sa_s)</f>
        <v>8885.5297340475536</v>
      </c>
      <c r="AM10" s="514">
        <f>SUMIF(AK15:AK380,"FAUX",Wh_hp)</f>
        <v>12147.923276565743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364.78502449712687</v>
      </c>
      <c r="E11" s="51">
        <f>(E$9-D$9)*Prod_an/D$9</f>
        <v>218.03460561907795</v>
      </c>
      <c r="F11" s="186">
        <f>(F$9-E$9)*Prod_an/E$9</f>
        <v>55.428089737096585</v>
      </c>
      <c r="G11" s="185" t="s">
        <v>6</v>
      </c>
      <c r="K11" s="194"/>
      <c r="L11" s="211">
        <f>Tvie_2023</f>
        <v>43475</v>
      </c>
      <c r="M11" s="831"/>
      <c r="N11" s="831"/>
      <c r="O11" s="202">
        <f>IF(An_Tnet,Salim_2023,'2022'!Salim)</f>
        <v>9.6666666666666679E-2</v>
      </c>
      <c r="P11" s="255">
        <f>Ttai_2023</f>
        <v>43586</v>
      </c>
      <c r="Q11" s="271">
        <f>Dens_2023</f>
        <v>0.7</v>
      </c>
      <c r="R11" s="276"/>
      <c r="S11" s="229"/>
      <c r="T11" s="229"/>
      <c r="U11" s="265">
        <f>Htf_2023</f>
        <v>0.73460471385203907</v>
      </c>
      <c r="V11" s="19"/>
      <c r="W11" s="824"/>
      <c r="X11" s="234" t="s">
        <v>43</v>
      </c>
      <c r="Y11" s="50">
        <f>Z$9-Prod_an_s</f>
        <v>354.73321184810629</v>
      </c>
      <c r="Z11" s="51">
        <f>(AA$9-Z$9)*Prod_an_s/Z$9</f>
        <v>541.18500872711888</v>
      </c>
      <c r="AA11" s="186">
        <f>(AB$9-AA$9)*Prod_an_s/AA$9</f>
        <v>56.582837372948738</v>
      </c>
      <c r="AB11" s="185" t="s">
        <v>6</v>
      </c>
      <c r="AC11" s="324"/>
      <c r="AD11" s="19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70.370692864766283</v>
      </c>
      <c r="AK11" s="822">
        <f>IF($AK7=0,0,($AK9-$AK7)*$AK5/$AK7)</f>
        <v>0</v>
      </c>
      <c r="AL11" s="821">
        <f>IF($AL7=0,0,($AL9-$AL7)*$AL5/$AL7)</f>
        <v>252.14886812932238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4.824418265765984E-2</v>
      </c>
      <c r="K12" s="191"/>
      <c r="L12" s="212">
        <f>Pspv_2023</f>
        <v>0</v>
      </c>
      <c r="M12" s="212"/>
      <c r="N12" s="212"/>
      <c r="O12" s="205">
        <f>IF(An_Tnet,Tau_2023*365,'2022'!Tau_j)</f>
        <v>851.66666666666674</v>
      </c>
      <c r="P12" s="280">
        <f>INDEX(Croivg,MIN(MAX(Ttai-$A$15,0)+1,366))</f>
        <v>2.3909964587625958E-6</v>
      </c>
      <c r="Q12" s="279">
        <f>'2022'!Df</f>
        <v>0.7</v>
      </c>
      <c r="R12" s="277"/>
      <c r="S12" s="278"/>
      <c r="T12" s="278"/>
      <c r="U12" s="266">
        <f>'2022'!Hdf</f>
        <v>0.3346047138520391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'2022'!Df_s</f>
        <v>0.7</v>
      </c>
      <c r="AF12" s="203"/>
      <c r="AG12" s="203"/>
      <c r="AH12" s="203"/>
      <c r="AI12" s="296">
        <f>'2022'!Hdf_s</f>
        <v>0.39893693611187125</v>
      </c>
      <c r="AJ12" s="821">
        <f>IF($AJ8=0,0,($AJ10-$AJ8)*$AJ6/$AJ8)</f>
        <v>147.7003408146449</v>
      </c>
      <c r="AK12" s="822">
        <f>IF($AK8=0,0,($AK10-$AK8)*$AK6/$AK8)</f>
        <v>55.428089737096585</v>
      </c>
      <c r="AL12" s="821">
        <f>IF($AL8=0,0,($AL10-$AL8)*$AL6/$AL8)</f>
        <v>289.3616032881589</v>
      </c>
      <c r="AM12" s="822">
        <f>IF($AM8=0,0,($AM10-$AM8)*$AM6/$AM8)</f>
        <v>56.582837372948738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202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206</v>
      </c>
      <c r="AJ13" s="73">
        <f>+AJ11+AJ12</f>
        <v>218.07103367941119</v>
      </c>
      <c r="AK13" s="73">
        <f>+AK11+AK12</f>
        <v>55.428089737096585</v>
      </c>
      <c r="AL13" s="73">
        <f>+AL11+AL12</f>
        <v>541.51047141748131</v>
      </c>
      <c r="AM13" s="73">
        <f>+AM11+AM12</f>
        <v>56.582837372948738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188</v>
      </c>
      <c r="C14" s="414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2023</v>
      </c>
      <c r="W14" s="826" t="s">
        <v>116</v>
      </c>
      <c r="X14" s="257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56">
        <f>DATE(An,1,1)</f>
        <v>44927</v>
      </c>
      <c r="B15" s="408">
        <f>'2022'!Wh/'2022'!Env_an*'2023'!Env_an</f>
        <v>24.420353268352475</v>
      </c>
      <c r="C15" s="829"/>
      <c r="D15" s="391">
        <f t="shared" ref="D15:D78" si="0">Wh/(1-Ppv)</f>
        <v>25.109454545470768</v>
      </c>
      <c r="E15" s="398">
        <f t="shared" ref="E15:E79" si="1">Wh_pvt/(1-Psa)</f>
        <v>25.611320022208929</v>
      </c>
      <c r="F15" s="398">
        <f t="shared" ref="F15:F78" si="2">Wh_sa/(1-Pvg*MEDIAN((-Sdif+Wh/Env_an)/Csdif,0,1))</f>
        <v>26.219582357793282</v>
      </c>
      <c r="G15" s="123">
        <f>+Wh_hp/MaxiM</f>
        <v>0.98865514031461765</v>
      </c>
      <c r="H15" s="412" t="b">
        <f>Wh_hp&gt;='2022'!Maxi_hp</f>
        <v>0</v>
      </c>
      <c r="I15" s="378">
        <f>IF(H15,Wh_hp,'2022'!Maxi_hp)</f>
        <v>26.223670689072435</v>
      </c>
      <c r="J15" s="84">
        <f>IF(H15,An,'2022'!An_max)</f>
        <v>2022</v>
      </c>
      <c r="K15" s="197">
        <f t="shared" ref="K15:K78" si="3">t</f>
        <v>44927</v>
      </c>
      <c r="L15" s="146">
        <f>IF(t&lt;Tvie,1-EXP((T0-t)*PertePVj)+'2022'!Pspv,1-EXP((T0-t)*PertePVj)+Pspv)</f>
        <v>2.7443896715095839E-2</v>
      </c>
      <c r="M15" s="832"/>
      <c r="N15" s="832"/>
      <c r="O15" s="48">
        <f>IF(t&lt;Tnet,'2022'!Resal+('2022'!Salim-'2022'!Resal)*(1-EXP(('2022'!Tnet-t)/('2022'!Tau_j))),Resal+(Salim-Resal)*(1-EXP((Tnet-t)/(Tau_j))))*Salcycl</f>
        <v>1.9595455302692973E-2</v>
      </c>
      <c r="P15" s="337">
        <f>(INDEX(Models!$BJ15:$BT15,,T15)*(1-R15)+INDEX(Models!$BJ15:$BT15,,T15+1)*R15-ERP_i)*Q15*Ramure*Pc/MaxiM</f>
        <v>2.3568156120451648E-2</v>
      </c>
      <c r="Q15" s="302">
        <f t="shared" ref="Q15:Q78" si="4">IF(OR(t&lt;Ttai,Notai),Dd+PousD*Croivg,Dens+PousD*(Croivg-Croi_tai))</f>
        <v>0.7</v>
      </c>
      <c r="R15" s="303">
        <f t="shared" ref="R15:R78" si="5">(Hp_vg-S15)/(INDEX(Echel_vg,T15+1)-S15)</f>
        <v>0.3346056702506226</v>
      </c>
      <c r="S15" s="798">
        <f t="shared" ref="S15:S78" si="6">INDEX(Echel_vg,T15)</f>
        <v>0</v>
      </c>
      <c r="T15" s="248">
        <f t="shared" ref="T15:T78" si="7">MIN(MATCH(Hp_vg,Echel_vg),10)</f>
        <v>6</v>
      </c>
      <c r="U15" s="249">
        <f>IF(OR(t&lt;Ttai,Notai),Hdd+PousH*Croivg,Hdtf+PousH*(Croivg-Croi_tai))</f>
        <v>0.3346056702506226</v>
      </c>
      <c r="V15" s="381">
        <f t="shared" ref="V15:V78" si="8">MaxiM*(1-Ppv)*(1-Pvg)*(1-Psa)</f>
        <v>24.691237378985214</v>
      </c>
      <c r="W15" s="400">
        <f t="shared" ref="W15:W78" si="9">Wh*(A15&gt;Tmaj)</f>
        <v>24.420353268352475</v>
      </c>
      <c r="X15" s="156">
        <f t="shared" ref="X15:X78" si="10">t</f>
        <v>44927</v>
      </c>
      <c r="Y15" s="383">
        <f t="shared" ref="Y15:Y78" si="11">Wh_pvt_s*(1-Ppv)</f>
        <v>22.835496103139612</v>
      </c>
      <c r="Z15" s="383">
        <f>Wh_sa_s*(1-Psa_s)</f>
        <v>23.479875377893851</v>
      </c>
      <c r="AA15" s="384">
        <f t="shared" ref="AA15:AA78" si="12">Wh_hp*(1-Pvg_s*MEDIAN((-Sdif+Wh/Env_an)/Csdif,0,1))</f>
        <v>25.567930775379899</v>
      </c>
      <c r="AB15" s="197">
        <f t="shared" ref="AB15:AB78" si="13">t</f>
        <v>44927</v>
      </c>
      <c r="AC15" s="119">
        <f>IF(OR(t&lt;Tnet,NoTnet),'2022'!Resal_s+('2022'!Salim-'2022'!Resal_s)*(1-EXP(('2022'!Tnet_s-t)/'2022'!Tau_j)),Resal_s+(Salim-Resal_s)*(1-EXP((Tnet_s-t)/Tau_j)))*Salcycl</f>
        <v>8.1666968509500892E-2</v>
      </c>
      <c r="AD15" s="230">
        <f>(INDEX(Models!$BJ15:$BT15,,AH15)*(1-AF15)+INDEX(Models!$BJ15:$BT15,,AH15+1)*AF15-ERP_i)*AE15*Ramure*Pc/MaxiM</f>
        <v>2.5249346099497385E-2</v>
      </c>
      <c r="AE15" s="302">
        <f t="shared" ref="AE15:AE78" si="14">IF(OR(t&lt;Ttai,Notai),Dd_s+PousD*Croivg,Dens_s+PousD*(Croivg-Croi_tai))</f>
        <v>0.7</v>
      </c>
      <c r="AF15" s="303">
        <f>(Hp_vg_s-AG15)/(INDEX(Echel_vg,AH15+1)-AG15)</f>
        <v>0.39893789251045475</v>
      </c>
      <c r="AG15" s="798">
        <f>INDEX(Echel_vg,AH15)</f>
        <v>0</v>
      </c>
      <c r="AH15" s="248">
        <f t="shared" ref="AH15:AH78" si="15">MIN(MATCH(Hp_vg_s,Echel_vg),10)</f>
        <v>6</v>
      </c>
      <c r="AI15" s="223">
        <f>IF(OR(t&lt;Ttai,Notai),Hdd_s+PousH*Croivg,Hdtai_s+PousH*(Croivg-Croi_tai))</f>
        <v>0.39893789251045475</v>
      </c>
      <c r="AJ15" s="264" t="b">
        <f t="shared" ref="AJ15:AJ78" si="16">t&lt;Tnet</f>
        <v>1</v>
      </c>
      <c r="AK15" s="264" t="b">
        <f t="shared" ref="AK15:AK78" si="17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18">A15+1</f>
        <v>44928</v>
      </c>
      <c r="B16" s="409">
        <f>'2022'!Wh/'2022'!Env_an*'2023'!Env_an</f>
        <v>16.532858710457308</v>
      </c>
      <c r="C16" s="829"/>
      <c r="D16" s="391">
        <f t="shared" si="0"/>
        <v>16.999713959074192</v>
      </c>
      <c r="E16" s="383">
        <f t="shared" si="1"/>
        <v>17.340289682822519</v>
      </c>
      <c r="F16" s="383">
        <f t="shared" si="2"/>
        <v>17.554108692649983</v>
      </c>
      <c r="G16" s="110">
        <f t="shared" ref="G16:G79" si="19">+Wh_hp/MaxiM</f>
        <v>0.65721582541723367</v>
      </c>
      <c r="H16" s="412" t="b">
        <f>Wh_hp&gt;='2022'!Maxi_hp</f>
        <v>0</v>
      </c>
      <c r="I16" s="379">
        <f>IF(H16,Wh_hp,'2022'!Maxi_hp)</f>
        <v>26.138638462365517</v>
      </c>
      <c r="J16" s="85">
        <f>IF(H16,An,'2022'!An_max)</f>
        <v>2020</v>
      </c>
      <c r="K16" s="197">
        <f t="shared" si="3"/>
        <v>44928</v>
      </c>
      <c r="L16" s="147">
        <f>IF(t&lt;Tvie,1-EXP((T0-t)*PertePVj)+'2022'!Pspv,1-EXP((T0-t)*PertePVj)+Pspv)</f>
        <v>2.746253553093958E-2</v>
      </c>
      <c r="M16" s="832"/>
      <c r="N16" s="832"/>
      <c r="O16" s="48">
        <f>IF(t&lt;Tnet,'2022'!Resal+('2022'!Salim-'2022'!Resal)*(1-EXP(('2022'!Tnet-t)/('2022'!Tau_j))),Resal+(Salim-Resal)*(1-EXP((Tnet-t)/(Tau_j))))*Salcycl</f>
        <v>1.9640717080159444E-2</v>
      </c>
      <c r="P16" s="338">
        <f>(INDEX(Models!$BJ16:$BT16,,T16)*(1-R16)+INDEX(Models!$BJ16:$BT16,,T16+1)*R16-ERP_i)*Q16*Ramure*Pc/MaxiM</f>
        <v>2.3376018821779261E-2</v>
      </c>
      <c r="Q16" s="304">
        <f t="shared" si="4"/>
        <v>0.7</v>
      </c>
      <c r="R16" s="177">
        <f t="shared" si="5"/>
        <v>0.33462904194181797</v>
      </c>
      <c r="S16" s="799">
        <f t="shared" si="6"/>
        <v>0</v>
      </c>
      <c r="T16" s="176">
        <f t="shared" si="7"/>
        <v>6</v>
      </c>
      <c r="U16" s="250">
        <f t="shared" ref="U16:U78" si="20">IF(OR(t&lt;Ttai,Notai),Hdd+PousH*Croivg,Hdtf+PousH*(Croivg-Croi_tai))</f>
        <v>0.33462904194181797</v>
      </c>
      <c r="V16" s="382">
        <f t="shared" si="8"/>
        <v>24.870800323886574</v>
      </c>
      <c r="W16" s="400">
        <f t="shared" si="9"/>
        <v>16.532858710457308</v>
      </c>
      <c r="X16" s="157">
        <f t="shared" si="10"/>
        <v>44928</v>
      </c>
      <c r="Y16" s="383">
        <f t="shared" si="11"/>
        <v>15.473566983280675</v>
      </c>
      <c r="Z16" s="383">
        <f t="shared" ref="Z16:Z78" si="21">Wh_sa_s*(1-Psa_s)</f>
        <v>15.910509927479445</v>
      </c>
      <c r="AA16" s="384">
        <f t="shared" si="12"/>
        <v>17.325163028954613</v>
      </c>
      <c r="AB16" s="197">
        <f t="shared" si="13"/>
        <v>44928</v>
      </c>
      <c r="AC16" s="119">
        <f>IF(OR(t&lt;Tnet,NoTnet),'2022'!Resal_s+('2022'!Salim-'2022'!Resal_s)*(1-EXP(('2022'!Tnet_s-t)/'2022'!Tau_j)),Resal_s+(Salim-Resal_s)*(1-EXP((Tnet_s-t)/Tau_j)))*Salcycl</f>
        <v>8.1653090312104618E-2</v>
      </c>
      <c r="AD16" s="230">
        <f>(INDEX(Models!$BJ16:$BT16,,AH16)*(1-AF16)+INDEX(Models!$BJ16:$BT16,,AH16+1)*AF16-ERP_i)*AE16*Ramure*Pc/MaxiM</f>
        <v>2.5029758336390266E-2</v>
      </c>
      <c r="AE16" s="304">
        <f>IF(OR(t&lt;Ttai,Notai),Dd_s+PousD*Croivg,Dens_s+PousD*(Croivg-Croi_tai))</f>
        <v>0.7</v>
      </c>
      <c r="AF16" s="177">
        <f t="shared" ref="AF16:AF78" si="22">(Hp_vg_s-AG16)/(INDEX(Echel_vg,AH16+1)-AG16)</f>
        <v>0.39896126420165012</v>
      </c>
      <c r="AG16" s="799">
        <f t="shared" ref="AG16:AG79" si="23">INDEX(Echel_vg,AH16)</f>
        <v>0</v>
      </c>
      <c r="AH16" s="176">
        <f t="shared" si="15"/>
        <v>6</v>
      </c>
      <c r="AI16" s="224">
        <f t="shared" ref="AI16:AI78" si="24">IF(OR(t&lt;Ttai,Notai),Hdd_s+PousH*Croivg,Hdtai_s+PousH*(Croivg-Croi_tai))</f>
        <v>0.39896126420165012</v>
      </c>
      <c r="AJ16" s="264" t="b">
        <f t="shared" si="16"/>
        <v>1</v>
      </c>
      <c r="AK16" s="264" t="b">
        <f t="shared" si="17"/>
        <v>0</v>
      </c>
      <c r="AL16" s="264"/>
      <c r="AM16" s="264"/>
      <c r="AN16" s="75"/>
    </row>
    <row r="17" spans="1:40" s="6" customFormat="1" ht="11.25" x14ac:dyDescent="0.2">
      <c r="A17" s="56">
        <f t="shared" si="18"/>
        <v>44929</v>
      </c>
      <c r="B17" s="409">
        <f>'2022'!Wh/'2022'!Env_an*'2023'!Env_an</f>
        <v>18.746401829640732</v>
      </c>
      <c r="C17" s="829"/>
      <c r="D17" s="391">
        <f t="shared" si="0"/>
        <v>19.276132583000273</v>
      </c>
      <c r="E17" s="383">
        <f t="shared" si="1"/>
        <v>19.663222334246658</v>
      </c>
      <c r="F17" s="383">
        <f t="shared" si="2"/>
        <v>19.959270288782129</v>
      </c>
      <c r="G17" s="110">
        <f t="shared" si="19"/>
        <v>0.74170365223620682</v>
      </c>
      <c r="H17" s="412" t="b">
        <f>Wh_hp&gt;='2022'!Maxi_hp</f>
        <v>0</v>
      </c>
      <c r="I17" s="379">
        <f>IF(H17,Wh_hp,'2022'!Maxi_hp)</f>
        <v>25.752586103343905</v>
      </c>
      <c r="J17" s="85">
        <f>IF(H17,An,'2022'!An_max)</f>
        <v>2021</v>
      </c>
      <c r="K17" s="197">
        <f t="shared" si="3"/>
        <v>44929</v>
      </c>
      <c r="L17" s="147">
        <f>IF(t&lt;Tvie,1-EXP((T0-t)*PertePVj)+'2022'!Pspv,1-EXP((T0-t)*PertePVj)+Pspv)</f>
        <v>2.7481173989574725E-2</v>
      </c>
      <c r="M17" s="832"/>
      <c r="N17" s="832"/>
      <c r="O17" s="48">
        <f>IF(t&lt;Tnet,'2022'!Resal+('2022'!Salim-'2022'!Resal)*(1-EXP(('2022'!Tnet-t)/('2022'!Tau_j))),Resal+(Salim-Resal)*(1-EXP((Tnet-t)/(Tau_j))))*Salcycl</f>
        <v>1.9685977438815179E-2</v>
      </c>
      <c r="P17" s="338">
        <f>(INDEX(Models!$BJ17:$BT17,,T17)*(1-R17)+INDEX(Models!$BJ17:$BT17,,T17+1)*R17-ERP_i)*Q17*Ramure*Pc/MaxiM</f>
        <v>2.3174015354835643E-2</v>
      </c>
      <c r="Q17" s="304">
        <f t="shared" si="4"/>
        <v>0.7</v>
      </c>
      <c r="R17" s="177">
        <f t="shared" si="5"/>
        <v>0.33465339121820964</v>
      </c>
      <c r="S17" s="799">
        <f t="shared" si="6"/>
        <v>0</v>
      </c>
      <c r="T17" s="176">
        <f t="shared" si="7"/>
        <v>6</v>
      </c>
      <c r="U17" s="250">
        <f t="shared" si="20"/>
        <v>0.33465339121820964</v>
      </c>
      <c r="V17" s="382">
        <f t="shared" si="8"/>
        <v>25.060785409621648</v>
      </c>
      <c r="W17" s="400">
        <f t="shared" si="9"/>
        <v>18.746401829640732</v>
      </c>
      <c r="X17" s="157">
        <f t="shared" si="10"/>
        <v>44929</v>
      </c>
      <c r="Y17" s="383">
        <f t="shared" si="11"/>
        <v>17.543146851375806</v>
      </c>
      <c r="Z17" s="383">
        <f t="shared" si="21"/>
        <v>18.038876350952762</v>
      </c>
      <c r="AA17" s="384">
        <f t="shared" si="12"/>
        <v>19.642476468869084</v>
      </c>
      <c r="AB17" s="197">
        <f t="shared" si="13"/>
        <v>44929</v>
      </c>
      <c r="AC17" s="119">
        <f>IF(OR(t&lt;Tnet,NoTnet),'2022'!Resal_s+('2022'!Salim-'2022'!Resal_s)*(1-EXP(('2022'!Tnet_s-t)/'2022'!Tau_j)),Resal_s+(Salim-Resal_s)*(1-EXP((Tnet_s-t)/Tau_j)))*Salcycl</f>
        <v>8.163940633747642E-2</v>
      </c>
      <c r="AD17" s="230">
        <f>(INDEX(Models!$BJ17:$BT17,,AH17)*(1-AF17)+INDEX(Models!$BJ17:$BT17,,AH17+1)*AF17-ERP_i)*AE17*Ramure*Pc/MaxiM</f>
        <v>2.4797958352731662E-2</v>
      </c>
      <c r="AE17" s="304">
        <f t="shared" si="14"/>
        <v>0.7</v>
      </c>
      <c r="AF17" s="177">
        <f>(Hp_vg_s-AG17)/(INDEX(Echel_vg,AH17+1)-AG17)</f>
        <v>0.39898561347804179</v>
      </c>
      <c r="AG17" s="799">
        <f>INDEX(Echel_vg,AH17)</f>
        <v>0</v>
      </c>
      <c r="AH17" s="176">
        <f t="shared" si="15"/>
        <v>6</v>
      </c>
      <c r="AI17" s="224">
        <f t="shared" si="24"/>
        <v>0.39898561347804179</v>
      </c>
      <c r="AJ17" s="264" t="b">
        <f t="shared" si="16"/>
        <v>1</v>
      </c>
      <c r="AK17" s="264" t="b">
        <f t="shared" si="17"/>
        <v>0</v>
      </c>
      <c r="AL17" s="264"/>
      <c r="AM17" s="264"/>
      <c r="AN17" s="75"/>
    </row>
    <row r="18" spans="1:40" s="6" customFormat="1" ht="11.25" x14ac:dyDescent="0.2">
      <c r="A18" s="56">
        <f t="shared" si="18"/>
        <v>44930</v>
      </c>
      <c r="B18" s="409">
        <f>'2022'!Wh/'2022'!Env_an*'2023'!Env_an</f>
        <v>19.053634526339813</v>
      </c>
      <c r="C18" s="829"/>
      <c r="D18" s="391">
        <f t="shared" si="0"/>
        <v>19.592422462465251</v>
      </c>
      <c r="E18" s="383">
        <f t="shared" si="1"/>
        <v>19.986786383832928</v>
      </c>
      <c r="F18" s="383">
        <f t="shared" si="2"/>
        <v>20.289163189146734</v>
      </c>
      <c r="G18" s="110">
        <f t="shared" si="19"/>
        <v>0.74812854719797039</v>
      </c>
      <c r="H18" s="412" t="b">
        <f>Wh_hp&gt;='2022'!Maxi_hp</f>
        <v>0</v>
      </c>
      <c r="I18" s="379">
        <f>IF(H18,Wh_hp,'2022'!Maxi_hp)</f>
        <v>23.895973120339946</v>
      </c>
      <c r="J18" s="85">
        <f>IF(H18,An,'2022'!An_max)</f>
        <v>2021</v>
      </c>
      <c r="K18" s="197">
        <f t="shared" si="3"/>
        <v>44930</v>
      </c>
      <c r="L18" s="147">
        <f>IF(t&lt;Tvie,1-EXP((T0-t)*PertePVj)+'2022'!Pspv,1-EXP((T0-t)*PertePVj)+Pspv)</f>
        <v>2.7499812091007936E-2</v>
      </c>
      <c r="M18" s="832"/>
      <c r="N18" s="832"/>
      <c r="O18" s="48">
        <f>IF(t&lt;Tnet,'2022'!Resal+('2022'!Salim-'2022'!Resal)*(1-EXP(('2022'!Tnet-t)/('2022'!Tau_j))),Resal+(Salim-Resal)*(1-EXP((Tnet-t)/(Tau_j))))*Salcycl</f>
        <v>1.9731232114767395E-2</v>
      </c>
      <c r="P18" s="338">
        <f>(INDEX(Models!$BJ18:$BT18,,T18)*(1-R18)+INDEX(Models!$BJ18:$BT18,,T18+1)*R18-ERP_i)*Q18*Ramure*Pc/MaxiM</f>
        <v>2.2963565332090034E-2</v>
      </c>
      <c r="Q18" s="304">
        <f t="shared" si="4"/>
        <v>0.7</v>
      </c>
      <c r="R18" s="177">
        <f t="shared" si="5"/>
        <v>0.33467875884324577</v>
      </c>
      <c r="S18" s="799">
        <f t="shared" si="6"/>
        <v>0</v>
      </c>
      <c r="T18" s="176">
        <f t="shared" si="7"/>
        <v>6</v>
      </c>
      <c r="U18" s="250">
        <f t="shared" si="20"/>
        <v>0.33467875884324577</v>
      </c>
      <c r="V18" s="382">
        <f t="shared" si="8"/>
        <v>25.26001054065933</v>
      </c>
      <c r="W18" s="400">
        <f t="shared" si="9"/>
        <v>19.053634526339813</v>
      </c>
      <c r="X18" s="157">
        <f t="shared" si="10"/>
        <v>44930</v>
      </c>
      <c r="Y18" s="383">
        <f t="shared" si="11"/>
        <v>17.831856574077499</v>
      </c>
      <c r="Z18" s="383">
        <f>Wh_sa_s*(1-Psa_s)</f>
        <v>18.336095762015656</v>
      </c>
      <c r="AA18" s="384">
        <f t="shared" si="12"/>
        <v>19.965824069018488</v>
      </c>
      <c r="AB18" s="197">
        <f>t</f>
        <v>44930</v>
      </c>
      <c r="AC18" s="119">
        <f>IF(OR(t&lt;Tnet,NoTnet),'2022'!Resal_s+('2022'!Salim-'2022'!Resal_s)*(1-EXP(('2022'!Tnet_s-t)/'2022'!Tau_j)),Resal_s+(Salim-Resal_s)*(1-EXP((Tnet_s-t)/Tau_j)))*Salcycl</f>
        <v>8.1625897401937139E-2</v>
      </c>
      <c r="AD18" s="230">
        <f>(INDEX(Models!$BJ18:$BT18,,AH18)*(1-AF18)+INDEX(Models!$BJ18:$BT18,,AH18+1)*AF18-ERP_i)*AE18*Ramure*Pc/MaxiM</f>
        <v>2.4555517748062028E-2</v>
      </c>
      <c r="AE18" s="304">
        <f t="shared" si="14"/>
        <v>0.7</v>
      </c>
      <c r="AF18" s="177">
        <f t="shared" si="22"/>
        <v>0.39901098110307792</v>
      </c>
      <c r="AG18" s="799">
        <f t="shared" si="23"/>
        <v>0</v>
      </c>
      <c r="AH18" s="176">
        <f t="shared" si="15"/>
        <v>6</v>
      </c>
      <c r="AI18" s="224">
        <f t="shared" si="24"/>
        <v>0.39901098110307792</v>
      </c>
      <c r="AJ18" s="264" t="b">
        <f t="shared" si="16"/>
        <v>1</v>
      </c>
      <c r="AK18" s="264" t="b">
        <f t="shared" si="17"/>
        <v>0</v>
      </c>
      <c r="AL18" s="264"/>
      <c r="AM18" s="264"/>
      <c r="AN18" s="75"/>
    </row>
    <row r="19" spans="1:40" s="6" customFormat="1" ht="11.25" x14ac:dyDescent="0.2">
      <c r="A19" s="56">
        <f t="shared" si="18"/>
        <v>44931</v>
      </c>
      <c r="B19" s="409">
        <f>'2022'!Wh/'2022'!Env_an*'2023'!Env_an</f>
        <v>13.776214916233222</v>
      </c>
      <c r="C19" s="829"/>
      <c r="D19" s="391">
        <f t="shared" si="0"/>
        <v>14.16604244460917</v>
      </c>
      <c r="E19" s="383">
        <f t="shared" si="1"/>
        <v>14.451849111924087</v>
      </c>
      <c r="F19" s="383">
        <f t="shared" si="2"/>
        <v>14.565886942080128</v>
      </c>
      <c r="G19" s="110">
        <f t="shared" si="19"/>
        <v>0.53280472809285873</v>
      </c>
      <c r="H19" s="412" t="b">
        <f>Wh_hp&gt;='2022'!Maxi_hp</f>
        <v>0</v>
      </c>
      <c r="I19" s="379">
        <f>IF(H19,Wh_hp,'2022'!Maxi_hp)</f>
        <v>14.653566209757251</v>
      </c>
      <c r="J19" s="85">
        <f>IF(H19,An,'2022'!An_max)</f>
        <v>2022</v>
      </c>
      <c r="K19" s="197">
        <f t="shared" si="3"/>
        <v>44931</v>
      </c>
      <c r="L19" s="147">
        <f>IF(t&lt;Tvie,1-EXP((T0-t)*PertePVj)+'2022'!Pspv,1-EXP((T0-t)*PertePVj)+Pspv)</f>
        <v>2.7518449835246317E-2</v>
      </c>
      <c r="M19" s="832"/>
      <c r="N19" s="832"/>
      <c r="O19" s="48">
        <f>IF(t&lt;Tnet,'2022'!Resal+('2022'!Salim-'2022'!Resal)*(1-EXP(('2022'!Tnet-t)/('2022'!Tau_j))),Resal+(Salim-Resal)*(1-EXP((Tnet-t)/(Tau_j))))*Salcycl</f>
        <v>1.977647739756018E-2</v>
      </c>
      <c r="P19" s="338">
        <f>(INDEX(Models!$BJ19:$BT19,,T19)*(1-R19)+INDEX(Models!$BJ19:$BT19,,T19+1)*R19-ERP_i)*Q19*Ramure*Pc/MaxiM</f>
        <v>2.2746029802464474E-2</v>
      </c>
      <c r="Q19" s="304">
        <f t="shared" si="4"/>
        <v>0.7</v>
      </c>
      <c r="R19" s="177">
        <f t="shared" si="5"/>
        <v>0.3347051872692951</v>
      </c>
      <c r="S19" s="799">
        <f t="shared" si="6"/>
        <v>0</v>
      </c>
      <c r="T19" s="176">
        <f t="shared" si="7"/>
        <v>6</v>
      </c>
      <c r="U19" s="250">
        <f t="shared" si="20"/>
        <v>0.3347051872692951</v>
      </c>
      <c r="V19" s="382">
        <f t="shared" si="8"/>
        <v>25.467293823799299</v>
      </c>
      <c r="W19" s="400">
        <f t="shared" si="9"/>
        <v>13.776214916233222</v>
      </c>
      <c r="X19" s="157">
        <f t="shared" si="10"/>
        <v>44931</v>
      </c>
      <c r="Y19" s="383">
        <f t="shared" si="11"/>
        <v>12.900185307257239</v>
      </c>
      <c r="Z19" s="383">
        <f t="shared" si="21"/>
        <v>13.265223700204642</v>
      </c>
      <c r="AA19" s="384">
        <f t="shared" si="12"/>
        <v>14.444038465378172</v>
      </c>
      <c r="AB19" s="197">
        <f t="shared" si="13"/>
        <v>44931</v>
      </c>
      <c r="AC19" s="119">
        <f>IF(OR(t&lt;Tnet,NoTnet),'2022'!Resal_s+('2022'!Salim-'2022'!Resal_s)*(1-EXP(('2022'!Tnet_s-t)/'2022'!Tau_j)),Resal_s+(Salim-Resal_s)*(1-EXP((Tnet_s-t)/Tau_j)))*Salcycl</f>
        <v>8.161254679562828E-2</v>
      </c>
      <c r="AD19" s="230">
        <f>(INDEX(Models!$BJ19:$BT19,,AH19)*(1-AF19)+INDEX(Models!$BJ19:$BT19,,AH19+1)*AF19-ERP_i)*AE19*Ramure*Pc/MaxiM</f>
        <v>2.4303944389814879E-2</v>
      </c>
      <c r="AE19" s="304">
        <f t="shared" si="14"/>
        <v>0.7</v>
      </c>
      <c r="AF19" s="177">
        <f t="shared" si="22"/>
        <v>0.39903740952912725</v>
      </c>
      <c r="AG19" s="799">
        <f t="shared" si="23"/>
        <v>0</v>
      </c>
      <c r="AH19" s="176">
        <f t="shared" si="15"/>
        <v>6</v>
      </c>
      <c r="AI19" s="224">
        <f t="shared" si="24"/>
        <v>0.39903740952912725</v>
      </c>
      <c r="AJ19" s="264" t="b">
        <f t="shared" si="16"/>
        <v>1</v>
      </c>
      <c r="AK19" s="264" t="b">
        <f t="shared" si="17"/>
        <v>0</v>
      </c>
      <c r="AL19" s="264"/>
      <c r="AM19" s="264"/>
      <c r="AN19" s="75"/>
    </row>
    <row r="20" spans="1:40" s="6" customFormat="1" ht="11.25" x14ac:dyDescent="0.2">
      <c r="A20" s="56">
        <f t="shared" si="18"/>
        <v>44932</v>
      </c>
      <c r="B20" s="409">
        <f>'2022'!Wh/'2022'!Env_an*'2023'!Env_an</f>
        <v>25.909763094812277</v>
      </c>
      <c r="C20" s="829"/>
      <c r="D20" s="391">
        <f t="shared" si="0"/>
        <v>26.643445990968115</v>
      </c>
      <c r="E20" s="383">
        <f t="shared" si="1"/>
        <v>27.182244563048091</v>
      </c>
      <c r="F20" s="383">
        <f t="shared" si="2"/>
        <v>27.808568767464177</v>
      </c>
      <c r="G20" s="110">
        <f t="shared" si="19"/>
        <v>1.0088900542938468</v>
      </c>
      <c r="H20" s="412" t="b">
        <f>Wh_hp&gt;='2022'!Maxi_hp</f>
        <v>1</v>
      </c>
      <c r="I20" s="379">
        <f>IF(H20,Wh_hp,'2022'!Maxi_hp)</f>
        <v>27.808568767464177</v>
      </c>
      <c r="J20" s="85">
        <f>IF(H20,An,'2022'!An_max)</f>
        <v>2023</v>
      </c>
      <c r="K20" s="197">
        <f t="shared" si="3"/>
        <v>44932</v>
      </c>
      <c r="L20" s="147">
        <f>IF(t&lt;Tvie,1-EXP((T0-t)*PertePVj)+'2022'!Pspv,1-EXP((T0-t)*PertePVj)+Pspv)</f>
        <v>2.753708722229653E-2</v>
      </c>
      <c r="M20" s="832"/>
      <c r="N20" s="832"/>
      <c r="O20" s="48">
        <f>IF(t&lt;Tnet,'2022'!Resal+('2022'!Salim-'2022'!Resal)*(1-EXP(('2022'!Tnet-t)/('2022'!Tau_j))),Resal+(Salim-Resal)*(1-EXP((Tnet-t)/(Tau_j))))*Salcycl</f>
        <v>1.9821710117803357E-2</v>
      </c>
      <c r="P20" s="338">
        <f>(INDEX(Models!$BJ20:$BT20,,T20)*(1-R20)+INDEX(Models!$BJ20:$BT20,,T20+1)*R20-ERP_i)*Q20*Ramure*Pc/MaxiM</f>
        <v>2.2522705488852081E-2</v>
      </c>
      <c r="Q20" s="304">
        <f t="shared" si="4"/>
        <v>0.7</v>
      </c>
      <c r="R20" s="177">
        <f t="shared" si="5"/>
        <v>0.33473272070669569</v>
      </c>
      <c r="S20" s="799">
        <f t="shared" si="6"/>
        <v>0</v>
      </c>
      <c r="T20" s="176">
        <f t="shared" si="7"/>
        <v>6</v>
      </c>
      <c r="U20" s="250">
        <f t="shared" si="20"/>
        <v>0.33473272070669569</v>
      </c>
      <c r="V20" s="382">
        <f t="shared" si="8"/>
        <v>25.681453578157555</v>
      </c>
      <c r="W20" s="400">
        <f t="shared" si="9"/>
        <v>25.909763094812277</v>
      </c>
      <c r="X20" s="157">
        <f t="shared" si="10"/>
        <v>44932</v>
      </c>
      <c r="Y20" s="383">
        <f t="shared" si="11"/>
        <v>24.238950387563236</v>
      </c>
      <c r="Z20" s="383">
        <f t="shared" si="21"/>
        <v>24.925321129551445</v>
      </c>
      <c r="AA20" s="384">
        <f t="shared" si="12"/>
        <v>27.139920756381024</v>
      </c>
      <c r="AB20" s="197">
        <f t="shared" si="13"/>
        <v>44932</v>
      </c>
      <c r="AC20" s="119">
        <f>IF(OR(t&lt;Tnet,NoTnet),'2022'!Resal_s+('2022'!Salim-'2022'!Resal_s)*(1-EXP(('2022'!Tnet_s-t)/'2022'!Tau_j)),Resal_s+(Salim-Resal_s)*(1-EXP((Tnet_s-t)/Tau_j)))*Salcycl</f>
        <v>8.1599340201053902E-2</v>
      </c>
      <c r="AD20" s="230">
        <f>(INDEX(Models!$BJ20:$BT20,,AH20)*(1-AF20)+INDEX(Models!$BJ20:$BT20,,AH20+1)*AF20-ERP_i)*AE20*Ramure*Pc/MaxiM</f>
        <v>2.4044675462243429E-2</v>
      </c>
      <c r="AE20" s="304">
        <f t="shared" si="14"/>
        <v>0.7</v>
      </c>
      <c r="AF20" s="177">
        <f t="shared" si="22"/>
        <v>0.39906494296652784</v>
      </c>
      <c r="AG20" s="799">
        <f t="shared" si="23"/>
        <v>0</v>
      </c>
      <c r="AH20" s="176">
        <f t="shared" si="15"/>
        <v>6</v>
      </c>
      <c r="AI20" s="224">
        <f t="shared" si="24"/>
        <v>0.39906494296652784</v>
      </c>
      <c r="AJ20" s="264" t="b">
        <f t="shared" si="16"/>
        <v>1</v>
      </c>
      <c r="AK20" s="264" t="b">
        <f t="shared" si="17"/>
        <v>0</v>
      </c>
      <c r="AL20" s="264"/>
      <c r="AM20" s="264"/>
      <c r="AN20" s="75"/>
    </row>
    <row r="21" spans="1:40" s="6" customFormat="1" ht="11.25" x14ac:dyDescent="0.2">
      <c r="A21" s="56">
        <f t="shared" si="18"/>
        <v>44933</v>
      </c>
      <c r="B21" s="409">
        <f>'2022'!Wh/'2022'!Env_an*'2023'!Env_an</f>
        <v>8.9023767297619489</v>
      </c>
      <c r="C21" s="829"/>
      <c r="D21" s="391">
        <f t="shared" si="0"/>
        <v>9.154639450076246</v>
      </c>
      <c r="E21" s="383">
        <f t="shared" si="1"/>
        <v>9.3402005382200848</v>
      </c>
      <c r="F21" s="383">
        <f t="shared" si="2"/>
        <v>9.3532197820412737</v>
      </c>
      <c r="G21" s="110">
        <f t="shared" si="19"/>
        <v>0.33650933904730423</v>
      </c>
      <c r="H21" s="412" t="b">
        <f>Wh_hp&gt;='2022'!Maxi_hp</f>
        <v>0</v>
      </c>
      <c r="I21" s="379">
        <f>IF(H21,Wh_hp,'2022'!Maxi_hp)</f>
        <v>14.667527811072381</v>
      </c>
      <c r="J21" s="85">
        <f>IF(H21,An,'2022'!An_max)</f>
        <v>2021</v>
      </c>
      <c r="K21" s="197">
        <f t="shared" si="3"/>
        <v>44933</v>
      </c>
      <c r="L21" s="147">
        <f>IF(t&lt;Tvie,1-EXP((T0-t)*PertePVj)+'2022'!Pspv,1-EXP((T0-t)*PertePVj)+Pspv)</f>
        <v>2.7555724252165459E-2</v>
      </c>
      <c r="M21" s="832"/>
      <c r="N21" s="832"/>
      <c r="O21" s="48">
        <f>IF(t&lt;Tnet,'2022'!Resal+('2022'!Salim-'2022'!Resal)*(1-EXP(('2022'!Tnet-t)/('2022'!Tau_j))),Resal+(Salim-Resal)*(1-EXP((Tnet-t)/(Tau_j))))*Salcycl</f>
        <v>1.986692763014275E-2</v>
      </c>
      <c r="P21" s="338">
        <f>(INDEX(Models!$BJ21:$BT21,,T21)*(1-R21)+INDEX(Models!$BJ21:$BT21,,T21+1)*R21-ERP_i)*Q21*Ramure*Pc/MaxiM</f>
        <v>2.2294820755024272E-2</v>
      </c>
      <c r="Q21" s="304">
        <f t="shared" si="4"/>
        <v>0.7</v>
      </c>
      <c r="R21" s="177">
        <f t="shared" si="5"/>
        <v>0.3347614051955462</v>
      </c>
      <c r="S21" s="799">
        <f t="shared" si="6"/>
        <v>0</v>
      </c>
      <c r="T21" s="176">
        <f t="shared" si="7"/>
        <v>6</v>
      </c>
      <c r="U21" s="250">
        <f t="shared" si="20"/>
        <v>0.3347614051955462</v>
      </c>
      <c r="V21" s="382">
        <f t="shared" si="8"/>
        <v>25.901308324550367</v>
      </c>
      <c r="W21" s="400">
        <f t="shared" si="9"/>
        <v>8.9023767297619489</v>
      </c>
      <c r="X21" s="157">
        <f t="shared" si="10"/>
        <v>44933</v>
      </c>
      <c r="Y21" s="383">
        <f t="shared" si="11"/>
        <v>8.3410167201141139</v>
      </c>
      <c r="Z21" s="383">
        <f t="shared" si="21"/>
        <v>8.5773724295920797</v>
      </c>
      <c r="AA21" s="384">
        <f t="shared" si="12"/>
        <v>9.3393337972425048</v>
      </c>
      <c r="AB21" s="197">
        <f t="shared" si="13"/>
        <v>44933</v>
      </c>
      <c r="AC21" s="119">
        <f>IF(OR(t&lt;Tnet,NoTnet),'2022'!Resal_s+('2022'!Salim-'2022'!Resal_s)*(1-EXP(('2022'!Tnet_s-t)/'2022'!Tau_j)),Resal_s+(Salim-Resal_s)*(1-EXP((Tnet_s-t)/Tau_j)))*Salcycl</f>
        <v>8.1586265593740714E-2</v>
      </c>
      <c r="AD21" s="230">
        <f>(INDEX(Models!$BJ21:$BT21,,AH21)*(1-AF21)+INDEX(Models!$BJ21:$BT21,,AH21+1)*AF21-ERP_i)*AE21*Ramure*Pc/MaxiM</f>
        <v>2.3779072452092539E-2</v>
      </c>
      <c r="AE21" s="304">
        <f t="shared" si="14"/>
        <v>0.7</v>
      </c>
      <c r="AF21" s="177">
        <f t="shared" si="22"/>
        <v>0.39909362745537835</v>
      </c>
      <c r="AG21" s="799">
        <f t="shared" si="23"/>
        <v>0</v>
      </c>
      <c r="AH21" s="176">
        <f t="shared" si="15"/>
        <v>6</v>
      </c>
      <c r="AI21" s="224">
        <f t="shared" si="24"/>
        <v>0.39909362745537835</v>
      </c>
      <c r="AJ21" s="264" t="b">
        <f t="shared" si="16"/>
        <v>1</v>
      </c>
      <c r="AK21" s="264" t="b">
        <f t="shared" si="17"/>
        <v>0</v>
      </c>
      <c r="AL21" s="264"/>
      <c r="AM21" s="264"/>
      <c r="AN21" s="75"/>
    </row>
    <row r="22" spans="1:40" s="6" customFormat="1" ht="11.25" x14ac:dyDescent="0.2">
      <c r="A22" s="56">
        <f t="shared" si="18"/>
        <v>44934</v>
      </c>
      <c r="B22" s="409">
        <f>'2022'!Wh/'2022'!Env_an*'2023'!Env_an</f>
        <v>6.1967399645597974</v>
      </c>
      <c r="C22" s="829"/>
      <c r="D22" s="391">
        <f t="shared" si="0"/>
        <v>6.3724563766679649</v>
      </c>
      <c r="E22" s="383">
        <f t="shared" si="1"/>
        <v>6.5019235084614966</v>
      </c>
      <c r="F22" s="383">
        <f t="shared" si="2"/>
        <v>6.5019235084614966</v>
      </c>
      <c r="G22" s="110">
        <f t="shared" si="19"/>
        <v>0.23195640183299115</v>
      </c>
      <c r="H22" s="412" t="b">
        <f>Wh_hp&gt;='2022'!Maxi_hp</f>
        <v>0</v>
      </c>
      <c r="I22" s="379">
        <f>IF(H22,Wh_hp,'2022'!Maxi_hp)</f>
        <v>22.512666153472253</v>
      </c>
      <c r="J22" s="85">
        <f>IF(H22,An,'2022'!An_max)</f>
        <v>2021</v>
      </c>
      <c r="K22" s="197">
        <f t="shared" si="3"/>
        <v>44934</v>
      </c>
      <c r="L22" s="147">
        <f>IF(t&lt;Tvie,1-EXP((T0-t)*PertePVj)+'2022'!Pspv,1-EXP((T0-t)*PertePVj)+Pspv)</f>
        <v>2.7574360924859986E-2</v>
      </c>
      <c r="M22" s="832"/>
      <c r="N22" s="832"/>
      <c r="O22" s="48">
        <f>IF(t&lt;Tnet,'2022'!Resal+('2022'!Salim-'2022'!Resal)*(1-EXP(('2022'!Tnet-t)/('2022'!Tau_j))),Resal+(Salim-Resal)*(1-EXP((Tnet-t)/(Tau_j))))*Salcycl</f>
        <v>1.9912127791882721E-2</v>
      </c>
      <c r="P22" s="338">
        <f>(INDEX(Models!$BJ22:$BT22,,T22)*(1-R22)+INDEX(Models!$BJ22:$BT22,,T22+1)*R22-ERP_i)*Q22*Ramure*Pc/MaxiM</f>
        <v>2.2063533087306221E-2</v>
      </c>
      <c r="Q22" s="304">
        <f t="shared" si="4"/>
        <v>0.7</v>
      </c>
      <c r="R22" s="177">
        <f t="shared" si="5"/>
        <v>0.33479128868034391</v>
      </c>
      <c r="S22" s="799">
        <f t="shared" si="6"/>
        <v>0</v>
      </c>
      <c r="T22" s="176">
        <f t="shared" si="7"/>
        <v>6</v>
      </c>
      <c r="U22" s="250">
        <f t="shared" si="20"/>
        <v>0.33479128868034391</v>
      </c>
      <c r="V22" s="382">
        <f t="shared" si="8"/>
        <v>26.125676805771104</v>
      </c>
      <c r="W22" s="400">
        <f t="shared" si="9"/>
        <v>6.1967399645597974</v>
      </c>
      <c r="X22" s="157">
        <f t="shared" si="10"/>
        <v>44934</v>
      </c>
      <c r="Y22" s="383">
        <f t="shared" si="11"/>
        <v>5.806878665118492</v>
      </c>
      <c r="Z22" s="383">
        <f t="shared" si="21"/>
        <v>5.9715400661806184</v>
      </c>
      <c r="AA22" s="384">
        <f t="shared" si="12"/>
        <v>6.5019235084614966</v>
      </c>
      <c r="AB22" s="197">
        <f t="shared" si="13"/>
        <v>44934</v>
      </c>
      <c r="AC22" s="119">
        <f>IF(OR(t&lt;Tnet,NoTnet),'2022'!Resal_s+('2022'!Salim-'2022'!Resal_s)*(1-EXP(('2022'!Tnet_s-t)/'2022'!Tau_j)),Resal_s+(Salim-Resal_s)*(1-EXP((Tnet_s-t)/Tau_j)))*Salcycl</f>
        <v>8.1573313126591843E-2</v>
      </c>
      <c r="AD22" s="230">
        <f>(INDEX(Models!$BJ22:$BT22,,AH22)*(1-AF22)+INDEX(Models!$BJ22:$BT22,,AH22+1)*AF22-ERP_i)*AE22*Ramure*Pc/MaxiM</f>
        <v>2.3508417837800659E-2</v>
      </c>
      <c r="AE22" s="304">
        <f t="shared" si="14"/>
        <v>0.7</v>
      </c>
      <c r="AF22" s="177">
        <f t="shared" si="22"/>
        <v>0.39912351094017606</v>
      </c>
      <c r="AG22" s="799">
        <f t="shared" si="23"/>
        <v>0</v>
      </c>
      <c r="AH22" s="176">
        <f t="shared" si="15"/>
        <v>6</v>
      </c>
      <c r="AI22" s="224">
        <f t="shared" si="24"/>
        <v>0.39912351094017606</v>
      </c>
      <c r="AJ22" s="264" t="b">
        <f t="shared" si="16"/>
        <v>1</v>
      </c>
      <c r="AK22" s="264" t="b">
        <f t="shared" si="17"/>
        <v>0</v>
      </c>
      <c r="AL22" s="264"/>
      <c r="AM22" s="264"/>
      <c r="AN22" s="75"/>
    </row>
    <row r="23" spans="1:40" s="6" customFormat="1" ht="11.25" x14ac:dyDescent="0.2">
      <c r="A23" s="56">
        <f t="shared" si="18"/>
        <v>44935</v>
      </c>
      <c r="B23" s="409">
        <f>'2022'!Wh/'2022'!Env_an*'2023'!Env_an</f>
        <v>1.7672180744673924</v>
      </c>
      <c r="C23" s="829"/>
      <c r="D23" s="391">
        <f t="shared" si="0"/>
        <v>1.8173646111681314</v>
      </c>
      <c r="E23" s="383">
        <f t="shared" si="1"/>
        <v>1.8543729041007992</v>
      </c>
      <c r="F23" s="383">
        <f t="shared" si="2"/>
        <v>1.8543729041007992</v>
      </c>
      <c r="G23" s="110">
        <f t="shared" si="19"/>
        <v>6.5580398836508236E-2</v>
      </c>
      <c r="H23" s="412" t="b">
        <f>Wh_hp&gt;='2022'!Maxi_hp</f>
        <v>0</v>
      </c>
      <c r="I23" s="379">
        <f>IF(H23,Wh_hp,'2022'!Maxi_hp)</f>
        <v>26.668518012021664</v>
      </c>
      <c r="J23" s="85">
        <f>IF(H23,An,'2022'!An_max)</f>
        <v>2020</v>
      </c>
      <c r="K23" s="197">
        <f t="shared" si="3"/>
        <v>44935</v>
      </c>
      <c r="L23" s="147">
        <f>IF(t&lt;Tvie,1-EXP((T0-t)*PertePVj)+'2022'!Pspv,1-EXP((T0-t)*PertePVj)+Pspv)</f>
        <v>2.7592997240386885E-2</v>
      </c>
      <c r="M23" s="832"/>
      <c r="N23" s="832"/>
      <c r="O23" s="48">
        <f>IF(t&lt;Tnet,'2022'!Resal+('2022'!Salim-'2022'!Resal)*(1-EXP(('2022'!Tnet-t)/('2022'!Tau_j))),Resal+(Salim-Resal)*(1-EXP((Tnet-t)/(Tau_j))))*Salcycl</f>
        <v>1.995730893760744E-2</v>
      </c>
      <c r="P23" s="338">
        <f>(INDEX(Models!$BJ23:$BT23,,T23)*(1-R23)+INDEX(Models!$BJ23:$BT23,,T23+1)*R23-ERP_i)*Q23*Ramure*Pc/MaxiM</f>
        <v>2.1825194939918809E-2</v>
      </c>
      <c r="Q23" s="304">
        <f t="shared" si="4"/>
        <v>0.7</v>
      </c>
      <c r="R23" s="177">
        <f t="shared" si="5"/>
        <v>0.33482242108757204</v>
      </c>
      <c r="S23" s="799">
        <f t="shared" si="6"/>
        <v>0</v>
      </c>
      <c r="T23" s="176">
        <f t="shared" si="7"/>
        <v>6</v>
      </c>
      <c r="U23" s="250">
        <f t="shared" si="20"/>
        <v>0.33482242108757204</v>
      </c>
      <c r="V23" s="382">
        <f t="shared" si="8"/>
        <v>26.359220531737066</v>
      </c>
      <c r="W23" s="400">
        <f t="shared" si="9"/>
        <v>1.7672180744673924</v>
      </c>
      <c r="X23" s="157">
        <f t="shared" si="10"/>
        <v>44935</v>
      </c>
      <c r="Y23" s="383">
        <f t="shared" si="11"/>
        <v>1.6561349252311111</v>
      </c>
      <c r="Z23" s="383">
        <f t="shared" si="21"/>
        <v>1.7031293692159075</v>
      </c>
      <c r="AA23" s="384">
        <f t="shared" si="12"/>
        <v>1.8543729041007992</v>
      </c>
      <c r="AB23" s="197">
        <f t="shared" si="13"/>
        <v>44935</v>
      </c>
      <c r="AC23" s="119">
        <f>IF(OR(t&lt;Tnet,NoTnet),'2022'!Resal_s+('2022'!Salim-'2022'!Resal_s)*(1-EXP(('2022'!Tnet_s-t)/'2022'!Tau_j)),Resal_s+(Salim-Resal_s)*(1-EXP((Tnet_s-t)/Tau_j)))*Salcycl</f>
        <v>8.1560474999623114E-2</v>
      </c>
      <c r="AD23" s="230">
        <f>(INDEX(Models!$BJ23:$BT23,,AH23)*(1-AF23)+INDEX(Models!$BJ23:$BT23,,AH23+1)*AF23-ERP_i)*AE23*Ramure*Pc/MaxiM</f>
        <v>2.3228875913517761E-2</v>
      </c>
      <c r="AE23" s="304">
        <f t="shared" si="14"/>
        <v>0.7</v>
      </c>
      <c r="AF23" s="177">
        <f t="shared" si="22"/>
        <v>0.39915464334740419</v>
      </c>
      <c r="AG23" s="799">
        <f t="shared" si="23"/>
        <v>0</v>
      </c>
      <c r="AH23" s="176">
        <f t="shared" si="15"/>
        <v>6</v>
      </c>
      <c r="AI23" s="224">
        <f t="shared" si="24"/>
        <v>0.39915464334740419</v>
      </c>
      <c r="AJ23" s="264" t="b">
        <f t="shared" si="16"/>
        <v>1</v>
      </c>
      <c r="AK23" s="264" t="b">
        <f t="shared" si="17"/>
        <v>0</v>
      </c>
      <c r="AL23" s="264"/>
      <c r="AM23" s="264"/>
      <c r="AN23" s="75"/>
    </row>
    <row r="24" spans="1:40" s="6" customFormat="1" ht="11.25" x14ac:dyDescent="0.2">
      <c r="A24" s="56">
        <f t="shared" si="18"/>
        <v>44936</v>
      </c>
      <c r="B24" s="409">
        <f>'2022'!Wh/'2022'!Env_an*'2023'!Env_an</f>
        <v>1.4221792712581702</v>
      </c>
      <c r="C24" s="829"/>
      <c r="D24" s="391">
        <f t="shared" si="0"/>
        <v>1.4625630250355095</v>
      </c>
      <c r="E24" s="383">
        <f t="shared" si="1"/>
        <v>1.4924150113030537</v>
      </c>
      <c r="F24" s="383">
        <f t="shared" si="2"/>
        <v>1.4924150113030537</v>
      </c>
      <c r="G24" s="110">
        <f t="shared" si="19"/>
        <v>5.2298892706696097E-2</v>
      </c>
      <c r="H24" s="412" t="b">
        <f>Wh_hp&gt;='2022'!Maxi_hp</f>
        <v>0</v>
      </c>
      <c r="I24" s="379">
        <f>IF(H24,Wh_hp,'2022'!Maxi_hp)</f>
        <v>10.460260744050126</v>
      </c>
      <c r="J24" s="85">
        <f>IF(H24,An,'2022'!An_max)</f>
        <v>2020</v>
      </c>
      <c r="K24" s="197">
        <f t="shared" si="3"/>
        <v>44936</v>
      </c>
      <c r="L24" s="147">
        <f>IF(t&lt;Tvie,1-EXP((T0-t)*PertePVj)+'2022'!Pspv,1-EXP((T0-t)*PertePVj)+Pspv)</f>
        <v>2.7611633198753149E-2</v>
      </c>
      <c r="M24" s="832"/>
      <c r="N24" s="832"/>
      <c r="O24" s="48">
        <f>IF(t&lt;Tnet,'2022'!Resal+('2022'!Salim-'2022'!Resal)*(1-EXP(('2022'!Tnet-t)/('2022'!Tau_j))),Resal+(Salim-Resal)*(1-EXP((Tnet-t)/(Tau_j))))*Salcycl</f>
        <v>2.0002469850179134E-2</v>
      </c>
      <c r="P24" s="338">
        <f>(INDEX(Models!$BJ24:$BT24,,T24)*(1-R24)+INDEX(Models!$BJ24:$BT24,,T24+1)*R24-ERP_i)*Q24*Ramure*Pc/MaxiM</f>
        <v>2.1589533628673538E-2</v>
      </c>
      <c r="Q24" s="304">
        <f t="shared" si="4"/>
        <v>0.7</v>
      </c>
      <c r="R24" s="177">
        <f t="shared" si="5"/>
        <v>0.33485485440634766</v>
      </c>
      <c r="S24" s="799">
        <f t="shared" si="6"/>
        <v>0</v>
      </c>
      <c r="T24" s="176">
        <f t="shared" si="7"/>
        <v>6</v>
      </c>
      <c r="U24" s="250">
        <f t="shared" si="20"/>
        <v>0.33485485440634766</v>
      </c>
      <c r="V24" s="382">
        <f t="shared" si="8"/>
        <v>26.60620544796318</v>
      </c>
      <c r="W24" s="400">
        <f t="shared" si="9"/>
        <v>1.4221792712581702</v>
      </c>
      <c r="X24" s="157">
        <f t="shared" si="10"/>
        <v>44936</v>
      </c>
      <c r="Y24" s="383">
        <f t="shared" si="11"/>
        <v>1.3328643369652082</v>
      </c>
      <c r="Z24" s="383">
        <f t="shared" si="21"/>
        <v>1.3707119320542442</v>
      </c>
      <c r="AA24" s="384">
        <f t="shared" si="12"/>
        <v>1.4924150113030537</v>
      </c>
      <c r="AB24" s="197">
        <f t="shared" si="13"/>
        <v>44936</v>
      </c>
      <c r="AC24" s="119">
        <f>IF(OR(t&lt;Tnet,NoTnet),'2022'!Resal_s+('2022'!Salim-'2022'!Resal_s)*(1-EXP(('2022'!Tnet_s-t)/'2022'!Tau_j)),Resal_s+(Salim-Resal_s)*(1-EXP((Tnet_s-t)/Tau_j)))*Salcycl</f>
        <v>8.1547745316866274E-2</v>
      </c>
      <c r="AD24" s="230">
        <f>(INDEX(Models!$BJ24:$BT24,,AH24)*(1-AF24)+INDEX(Models!$BJ24:$BT24,,AH24+1)*AF24-ERP_i)*AE24*Ramure*Pc/MaxiM</f>
        <v>2.2951581630185212E-2</v>
      </c>
      <c r="AE24" s="304">
        <f t="shared" si="14"/>
        <v>0.7</v>
      </c>
      <c r="AF24" s="177">
        <f t="shared" si="22"/>
        <v>0.39918707666617981</v>
      </c>
      <c r="AG24" s="799">
        <f t="shared" si="23"/>
        <v>0</v>
      </c>
      <c r="AH24" s="176">
        <f t="shared" si="15"/>
        <v>6</v>
      </c>
      <c r="AI24" s="224">
        <f t="shared" si="24"/>
        <v>0.39918707666617981</v>
      </c>
      <c r="AJ24" s="264" t="b">
        <f t="shared" si="16"/>
        <v>1</v>
      </c>
      <c r="AK24" s="264" t="b">
        <f t="shared" si="17"/>
        <v>0</v>
      </c>
      <c r="AL24" s="264"/>
      <c r="AM24" s="264"/>
      <c r="AN24" s="75"/>
    </row>
    <row r="25" spans="1:40" s="6" customFormat="1" ht="11.25" x14ac:dyDescent="0.2">
      <c r="A25" s="56">
        <f t="shared" si="18"/>
        <v>44937</v>
      </c>
      <c r="B25" s="409">
        <f>'2022'!Wh/'2022'!Env_an*'2023'!Env_an</f>
        <v>24.725454226754476</v>
      </c>
      <c r="C25" s="829"/>
      <c r="D25" s="391">
        <f t="shared" si="0"/>
        <v>25.428037744696095</v>
      </c>
      <c r="E25" s="383">
        <f t="shared" si="1"/>
        <v>25.948237891079216</v>
      </c>
      <c r="F25" s="383">
        <f t="shared" si="2"/>
        <v>26.448957364345514</v>
      </c>
      <c r="G25" s="110">
        <f t="shared" si="19"/>
        <v>0.9180699992670871</v>
      </c>
      <c r="H25" s="412" t="b">
        <f>Wh_hp&gt;='2022'!Maxi_hp</f>
        <v>0</v>
      </c>
      <c r="I25" s="379">
        <f>IF(H25,Wh_hp,'2022'!Maxi_hp)</f>
        <v>28.239972558041078</v>
      </c>
      <c r="J25" s="85">
        <f>IF(H25,An,'2022'!An_max)</f>
        <v>2020</v>
      </c>
      <c r="K25" s="197">
        <f t="shared" si="3"/>
        <v>44937</v>
      </c>
      <c r="L25" s="147">
        <f>IF(t&lt;Tvie,1-EXP((T0-t)*PertePVj)+'2022'!Pspv,1-EXP((T0-t)*PertePVj)+Pspv)</f>
        <v>2.7630268799965441E-2</v>
      </c>
      <c r="M25" s="832"/>
      <c r="N25" s="832"/>
      <c r="O25" s="48">
        <f>IF(t&lt;Tnet,'2022'!Resal+('2022'!Salim-'2022'!Resal)*(1-EXP(('2022'!Tnet-t)/('2022'!Tau_j))),Resal+(Salim-Resal)*(1-EXP((Tnet-t)/(Tau_j))))*Salcycl</f>
        <v>2.0047609728518937E-2</v>
      </c>
      <c r="P25" s="338">
        <f>(INDEX(Models!$BJ25:$BT25,,T25)*(1-R25)+INDEX(Models!$BJ25:$BT25,,T25+1)*R25-ERP_i)*Q25*Ramure*Pc/MaxiM</f>
        <v>2.1362249701065091E-2</v>
      </c>
      <c r="Q25" s="304">
        <f t="shared" si="4"/>
        <v>0.7</v>
      </c>
      <c r="R25" s="177">
        <f t="shared" si="5"/>
        <v>0.33488864277224051</v>
      </c>
      <c r="S25" s="799">
        <f t="shared" si="6"/>
        <v>0</v>
      </c>
      <c r="T25" s="176">
        <f t="shared" si="7"/>
        <v>6</v>
      </c>
      <c r="U25" s="250">
        <f t="shared" si="20"/>
        <v>0.33488864277224051</v>
      </c>
      <c r="V25" s="382">
        <f t="shared" si="8"/>
        <v>26.865265258650759</v>
      </c>
      <c r="W25" s="400">
        <f t="shared" si="9"/>
        <v>24.725454226754476</v>
      </c>
      <c r="X25" s="157">
        <f t="shared" si="10"/>
        <v>44937</v>
      </c>
      <c r="Y25" s="383">
        <f t="shared" si="11"/>
        <v>23.146385634764616</v>
      </c>
      <c r="Z25" s="383">
        <f t="shared" si="21"/>
        <v>23.804099296878437</v>
      </c>
      <c r="AA25" s="384">
        <f t="shared" si="12"/>
        <v>25.917266749626709</v>
      </c>
      <c r="AB25" s="197">
        <f t="shared" si="13"/>
        <v>44937</v>
      </c>
      <c r="AC25" s="119">
        <f>IF(OR(t&lt;Tnet,NoTnet),'2022'!Resal_s+('2022'!Salim-'2022'!Resal_s)*(1-EXP(('2022'!Tnet_s-t)/'2022'!Tau_j)),Resal_s+(Salim-Resal_s)*(1-EXP((Tnet_s-t)/Tau_j)))*Salcycl</f>
        <v>8.1535119932301767E-2</v>
      </c>
      <c r="AD25" s="230">
        <f>(INDEX(Models!$BJ25:$BT25,,AH25)*(1-AF25)+INDEX(Models!$BJ25:$BT25,,AH25+1)*AF25-ERP_i)*AE25*Ramure*Pc/MaxiM</f>
        <v>2.2683574899223784E-2</v>
      </c>
      <c r="AE25" s="304">
        <f t="shared" si="14"/>
        <v>0.7</v>
      </c>
      <c r="AF25" s="177">
        <f t="shared" si="22"/>
        <v>0.39922086503207266</v>
      </c>
      <c r="AG25" s="799">
        <f t="shared" si="23"/>
        <v>0</v>
      </c>
      <c r="AH25" s="176">
        <f t="shared" si="15"/>
        <v>6</v>
      </c>
      <c r="AI25" s="224">
        <f t="shared" si="24"/>
        <v>0.39922086503207266</v>
      </c>
      <c r="AJ25" s="264" t="b">
        <f t="shared" si="16"/>
        <v>1</v>
      </c>
      <c r="AK25" s="264" t="b">
        <f t="shared" si="17"/>
        <v>0</v>
      </c>
      <c r="AL25" s="264"/>
      <c r="AM25" s="264"/>
      <c r="AN25" s="75"/>
    </row>
    <row r="26" spans="1:40" s="6" customFormat="1" ht="11.25" x14ac:dyDescent="0.2">
      <c r="A26" s="56">
        <f t="shared" si="18"/>
        <v>44938</v>
      </c>
      <c r="B26" s="409">
        <f>'2022'!Wh/'2022'!Env_an*'2023'!Env_an</f>
        <v>21.132355635852253</v>
      </c>
      <c r="C26" s="829"/>
      <c r="D26" s="391">
        <f t="shared" si="0"/>
        <v>21.733256355386658</v>
      </c>
      <c r="E26" s="383">
        <f t="shared" si="1"/>
        <v>22.178890778525766</v>
      </c>
      <c r="F26" s="383">
        <f t="shared" si="2"/>
        <v>22.504352133281103</v>
      </c>
      <c r="G26" s="110">
        <f t="shared" si="19"/>
        <v>0.77350107796021006</v>
      </c>
      <c r="H26" s="412" t="b">
        <f>Wh_hp&gt;='2022'!Maxi_hp</f>
        <v>0</v>
      </c>
      <c r="I26" s="379">
        <f>IF(H26,Wh_hp,'2022'!Maxi_hp)</f>
        <v>29.063431932857039</v>
      </c>
      <c r="J26" s="85">
        <f>IF(H26,An,'2022'!An_max)</f>
        <v>2020</v>
      </c>
      <c r="K26" s="197">
        <f t="shared" si="3"/>
        <v>44938</v>
      </c>
      <c r="L26" s="147">
        <f>IF(t&lt;Tvie,1-EXP((T0-t)*PertePVj)+'2022'!Pspv,1-EXP((T0-t)*PertePVj)+Pspv)</f>
        <v>2.7648904044030642E-2</v>
      </c>
      <c r="M26" s="832"/>
      <c r="N26" s="832"/>
      <c r="O26" s="48">
        <f>IF(t&lt;Tnet,'2022'!Resal+('2022'!Salim-'2022'!Resal)*(1-EXP(('2022'!Tnet-t)/('2022'!Tau_j))),Resal+(Salim-Resal)*(1-EXP((Tnet-t)/(Tau_j))))*Salcycl</f>
        <v>2.0092728152599257E-2</v>
      </c>
      <c r="P26" s="338">
        <f>(INDEX(Models!$BJ26:$BT26,,T26)*(1-R26)+INDEX(Models!$BJ26:$BT26,,T26+1)*R26-ERP_i)*Q26*Ramure*Pc/MaxiM</f>
        <v>2.1144318504060778E-2</v>
      </c>
      <c r="Q26" s="304">
        <f t="shared" si="4"/>
        <v>0.7</v>
      </c>
      <c r="R26" s="177">
        <f t="shared" si="5"/>
        <v>0.33492384255437735</v>
      </c>
      <c r="S26" s="799">
        <f t="shared" si="6"/>
        <v>0</v>
      </c>
      <c r="T26" s="176">
        <f t="shared" si="7"/>
        <v>6</v>
      </c>
      <c r="U26" s="250">
        <f t="shared" si="20"/>
        <v>0.33492384255437735</v>
      </c>
      <c r="V26" s="382">
        <f t="shared" si="8"/>
        <v>27.135157456791628</v>
      </c>
      <c r="W26" s="400">
        <f t="shared" si="9"/>
        <v>21.132355635852253</v>
      </c>
      <c r="X26" s="157">
        <f t="shared" si="10"/>
        <v>44938</v>
      </c>
      <c r="Y26" s="383">
        <f t="shared" si="11"/>
        <v>19.789961759666518</v>
      </c>
      <c r="Z26" s="383">
        <f t="shared" si="21"/>
        <v>20.352691370404607</v>
      </c>
      <c r="AA26" s="384">
        <f t="shared" si="12"/>
        <v>22.159163946899362</v>
      </c>
      <c r="AB26" s="197">
        <f t="shared" si="13"/>
        <v>44938</v>
      </c>
      <c r="AC26" s="119">
        <f>IF(OR(t&lt;Tnet,NoTnet),'2022'!Resal_s+('2022'!Salim-'2022'!Resal_s)*(1-EXP(('2022'!Tnet_s-t)/'2022'!Tau_j)),Resal_s+(Salim-Resal_s)*(1-EXP((Tnet_s-t)/Tau_j)))*Salcycl</f>
        <v>8.1522596286739787E-2</v>
      </c>
      <c r="AD26" s="230">
        <f>(INDEX(Models!$BJ26:$BT26,,AH26)*(1-AF26)+INDEX(Models!$BJ26:$BT26,,AH26+1)*AF26-ERP_i)*AE26*Ramure*Pc/MaxiM</f>
        <v>2.2425915857756426E-2</v>
      </c>
      <c r="AE26" s="304">
        <f t="shared" si="14"/>
        <v>0.7</v>
      </c>
      <c r="AF26" s="177">
        <f t="shared" si="22"/>
        <v>0.3992560648142095</v>
      </c>
      <c r="AG26" s="799">
        <f t="shared" si="23"/>
        <v>0</v>
      </c>
      <c r="AH26" s="176">
        <f t="shared" si="15"/>
        <v>6</v>
      </c>
      <c r="AI26" s="224">
        <f t="shared" si="24"/>
        <v>0.3992560648142095</v>
      </c>
      <c r="AJ26" s="264" t="b">
        <f t="shared" si="16"/>
        <v>1</v>
      </c>
      <c r="AK26" s="264" t="b">
        <f t="shared" si="17"/>
        <v>0</v>
      </c>
      <c r="AL26" s="264"/>
      <c r="AM26" s="264"/>
      <c r="AN26" s="75"/>
    </row>
    <row r="27" spans="1:40" s="6" customFormat="1" ht="11.25" x14ac:dyDescent="0.2">
      <c r="A27" s="56">
        <f t="shared" si="18"/>
        <v>44939</v>
      </c>
      <c r="B27" s="409">
        <f>'2022'!Wh/'2022'!Env_an*'2023'!Env_an</f>
        <v>6.4134018324579394</v>
      </c>
      <c r="C27" s="829"/>
      <c r="D27" s="391">
        <f t="shared" si="0"/>
        <v>6.5958939861028982</v>
      </c>
      <c r="E27" s="383">
        <f t="shared" si="1"/>
        <v>6.731450763892572</v>
      </c>
      <c r="F27" s="383">
        <f t="shared" si="2"/>
        <v>6.731450763892572</v>
      </c>
      <c r="G27" s="110">
        <f t="shared" si="19"/>
        <v>0.22904283751260113</v>
      </c>
      <c r="H27" s="412" t="b">
        <f>Wh_hp&gt;='2022'!Maxi_hp</f>
        <v>0</v>
      </c>
      <c r="I27" s="379">
        <f>IF(H27,Wh_hp,'2022'!Maxi_hp)</f>
        <v>18.417034678656321</v>
      </c>
      <c r="J27" s="85">
        <f>IF(H27,An,'2022'!An_max)</f>
        <v>2020</v>
      </c>
      <c r="K27" s="197">
        <f t="shared" si="3"/>
        <v>44939</v>
      </c>
      <c r="L27" s="147">
        <f>IF(t&lt;Tvie,1-EXP((T0-t)*PertePVj)+'2022'!Pspv,1-EXP((T0-t)*PertePVj)+Pspv)</f>
        <v>2.7667538930955748E-2</v>
      </c>
      <c r="M27" s="832"/>
      <c r="N27" s="832"/>
      <c r="O27" s="48">
        <f>IF(t&lt;Tnet,'2022'!Resal+('2022'!Salim-'2022'!Resal)*(1-EXP(('2022'!Tnet-t)/('2022'!Tau_j))),Resal+(Salim-Resal)*(1-EXP((Tnet-t)/(Tau_j))))*Salcycl</f>
        <v>2.0137825046095386E-2</v>
      </c>
      <c r="P27" s="338">
        <f>(INDEX(Models!$BJ27:$BT27,,T27)*(1-R27)+INDEX(Models!$BJ27:$BT27,,T27+1)*R27-ERP_i)*Q27*Ramure*Pc/MaxiM</f>
        <v>2.0936617614528703E-2</v>
      </c>
      <c r="Q27" s="304">
        <f t="shared" si="4"/>
        <v>0.7</v>
      </c>
      <c r="R27" s="177">
        <f t="shared" si="5"/>
        <v>0.33496051244595265</v>
      </c>
      <c r="S27" s="799">
        <f t="shared" si="6"/>
        <v>0</v>
      </c>
      <c r="T27" s="176">
        <f t="shared" si="7"/>
        <v>6</v>
      </c>
      <c r="U27" s="250">
        <f t="shared" si="20"/>
        <v>0.33496051244595265</v>
      </c>
      <c r="V27" s="382">
        <f t="shared" si="8"/>
        <v>27.414639806573277</v>
      </c>
      <c r="W27" s="400">
        <f t="shared" si="9"/>
        <v>6.4134018324579394</v>
      </c>
      <c r="X27" s="157">
        <f t="shared" si="10"/>
        <v>44939</v>
      </c>
      <c r="Y27" s="383">
        <f t="shared" si="11"/>
        <v>6.0117070427062949</v>
      </c>
      <c r="Z27" s="383">
        <f t="shared" si="21"/>
        <v>6.1827690459872553</v>
      </c>
      <c r="AA27" s="384">
        <f t="shared" si="12"/>
        <v>6.731450763892572</v>
      </c>
      <c r="AB27" s="197">
        <f t="shared" si="13"/>
        <v>44939</v>
      </c>
      <c r="AC27" s="119">
        <f>IF(OR(t&lt;Tnet,NoTnet),'2022'!Resal_s+('2022'!Salim-'2022'!Resal_s)*(1-EXP(('2022'!Tnet_s-t)/'2022'!Tau_j)),Resal_s+(Salim-Resal_s)*(1-EXP((Tnet_s-t)/Tau_j)))*Salcycl</f>
        <v>8.1510173237608674E-2</v>
      </c>
      <c r="AD27" s="230">
        <f>(INDEX(Models!$BJ27:$BT27,,AH27)*(1-AF27)+INDEX(Models!$BJ27:$BT27,,AH27+1)*AF27-ERP_i)*AE27*Ramure*Pc/MaxiM</f>
        <v>2.2179554480204079E-2</v>
      </c>
      <c r="AE27" s="304">
        <f t="shared" si="14"/>
        <v>0.7</v>
      </c>
      <c r="AF27" s="177">
        <f t="shared" si="22"/>
        <v>0.3992927347057848</v>
      </c>
      <c r="AG27" s="799">
        <f t="shared" si="23"/>
        <v>0</v>
      </c>
      <c r="AH27" s="176">
        <f t="shared" si="15"/>
        <v>6</v>
      </c>
      <c r="AI27" s="224">
        <f t="shared" si="24"/>
        <v>0.3992927347057848</v>
      </c>
      <c r="AJ27" s="264" t="b">
        <f t="shared" si="16"/>
        <v>1</v>
      </c>
      <c r="AK27" s="264" t="b">
        <f t="shared" si="17"/>
        <v>0</v>
      </c>
      <c r="AL27" s="264"/>
      <c r="AM27" s="264"/>
      <c r="AN27" s="75"/>
    </row>
    <row r="28" spans="1:40" s="6" customFormat="1" ht="11.25" x14ac:dyDescent="0.2">
      <c r="A28" s="56">
        <f t="shared" si="18"/>
        <v>44940</v>
      </c>
      <c r="B28" s="409">
        <f>'2022'!Wh/'2022'!Env_an*'2023'!Env_an</f>
        <v>27.523692857523141</v>
      </c>
      <c r="C28" s="829"/>
      <c r="D28" s="391">
        <f t="shared" si="0"/>
        <v>28.307416912385129</v>
      </c>
      <c r="E28" s="383">
        <f t="shared" si="1"/>
        <v>28.890511229894791</v>
      </c>
      <c r="F28" s="383">
        <f t="shared" si="2"/>
        <v>29.496629353393768</v>
      </c>
      <c r="G28" s="110">
        <f t="shared" si="19"/>
        <v>0.99335255464533001</v>
      </c>
      <c r="H28" s="412" t="b">
        <f>Wh_hp&gt;='2022'!Maxi_hp</f>
        <v>0</v>
      </c>
      <c r="I28" s="379">
        <f>IF(H28,Wh_hp,'2022'!Maxi_hp)</f>
        <v>29.498621369457005</v>
      </c>
      <c r="J28" s="85">
        <f>IF(H28,An,'2022'!An_max)</f>
        <v>2022</v>
      </c>
      <c r="K28" s="197">
        <f t="shared" si="3"/>
        <v>44940</v>
      </c>
      <c r="L28" s="147">
        <f>IF(t&lt;Tvie,1-EXP((T0-t)*PertePVj)+'2022'!Pspv,1-EXP((T0-t)*PertePVj)+Pspv)</f>
        <v>2.7686173460747421E-2</v>
      </c>
      <c r="M28" s="832"/>
      <c r="N28" s="832"/>
      <c r="O28" s="48">
        <f>IF(t&lt;Tnet,'2022'!Resal+('2022'!Salim-'2022'!Resal)*(1-EXP(('2022'!Tnet-t)/('2022'!Tau_j))),Resal+(Salim-Resal)*(1-EXP((Tnet-t)/(Tau_j))))*Salcycl</f>
        <v>2.0182900637157903E-2</v>
      </c>
      <c r="P28" s="338">
        <f>(INDEX(Models!$BJ28:$BT28,,T28)*(1-R28)+INDEX(Models!$BJ28:$BT28,,T28+1)*R28-ERP_i)*Q28*Ramure*Pc/MaxiM</f>
        <v>2.0739931913882976E-2</v>
      </c>
      <c r="Q28" s="304">
        <f t="shared" si="4"/>
        <v>0.7</v>
      </c>
      <c r="R28" s="177">
        <f t="shared" si="5"/>
        <v>0.33499871355826427</v>
      </c>
      <c r="S28" s="799">
        <f t="shared" si="6"/>
        <v>0</v>
      </c>
      <c r="T28" s="176">
        <f t="shared" si="7"/>
        <v>6</v>
      </c>
      <c r="U28" s="250">
        <f t="shared" si="20"/>
        <v>0.33499871355826427</v>
      </c>
      <c r="V28" s="382">
        <f t="shared" si="8"/>
        <v>27.702470382774077</v>
      </c>
      <c r="W28" s="400">
        <f t="shared" si="9"/>
        <v>27.523692857523141</v>
      </c>
      <c r="X28" s="157">
        <f t="shared" si="10"/>
        <v>44940</v>
      </c>
      <c r="Y28" s="383">
        <f t="shared" si="11"/>
        <v>25.769855675212</v>
      </c>
      <c r="Z28" s="383">
        <f t="shared" si="21"/>
        <v>26.503640051005345</v>
      </c>
      <c r="AA28" s="384">
        <f t="shared" si="12"/>
        <v>28.855283655571913</v>
      </c>
      <c r="AB28" s="197">
        <f t="shared" si="13"/>
        <v>44940</v>
      </c>
      <c r="AC28" s="119">
        <f>IF(OR(t&lt;Tnet,NoTnet),'2022'!Resal_s+('2022'!Salim-'2022'!Resal_s)*(1-EXP(('2022'!Tnet_s-t)/'2022'!Tau_j)),Resal_s+(Salim-Resal_s)*(1-EXP((Tnet_s-t)/Tau_j)))*Salcycl</f>
        <v>8.149785088362739E-2</v>
      </c>
      <c r="AD28" s="230">
        <f>(INDEX(Models!$BJ28:$BT28,,AH28)*(1-AF28)+INDEX(Models!$BJ28:$BT28,,AH28+1)*AF28-ERP_i)*AE28*Ramure*Pc/MaxiM</f>
        <v>2.1945336379814672E-2</v>
      </c>
      <c r="AE28" s="304">
        <f t="shared" si="14"/>
        <v>0.7</v>
      </c>
      <c r="AF28" s="177">
        <f t="shared" si="22"/>
        <v>0.39933093581809642</v>
      </c>
      <c r="AG28" s="799">
        <f t="shared" si="23"/>
        <v>0</v>
      </c>
      <c r="AH28" s="176">
        <f t="shared" si="15"/>
        <v>6</v>
      </c>
      <c r="AI28" s="224">
        <f t="shared" si="24"/>
        <v>0.39933093581809642</v>
      </c>
      <c r="AJ28" s="264" t="b">
        <f t="shared" si="16"/>
        <v>1</v>
      </c>
      <c r="AK28" s="264" t="b">
        <f t="shared" si="17"/>
        <v>0</v>
      </c>
      <c r="AL28" s="264"/>
      <c r="AM28" s="264"/>
      <c r="AN28" s="75"/>
    </row>
    <row r="29" spans="1:40" s="6" customFormat="1" ht="11.25" x14ac:dyDescent="0.2">
      <c r="A29" s="56">
        <f t="shared" si="18"/>
        <v>44941</v>
      </c>
      <c r="B29" s="409">
        <f>'2022'!Wh/'2022'!Env_an*'2023'!Env_an</f>
        <v>28.343363315750842</v>
      </c>
      <c r="C29" s="829"/>
      <c r="D29" s="391">
        <f t="shared" si="0"/>
        <v>29.150985768799792</v>
      </c>
      <c r="E29" s="383">
        <f t="shared" si="1"/>
        <v>29.752824577914787</v>
      </c>
      <c r="F29" s="383">
        <f t="shared" si="2"/>
        <v>30.3772272575339</v>
      </c>
      <c r="G29" s="110">
        <f t="shared" si="19"/>
        <v>1.0123567064288315</v>
      </c>
      <c r="H29" s="412" t="b">
        <f>Wh_hp&gt;='2022'!Maxi_hp</f>
        <v>1</v>
      </c>
      <c r="I29" s="379">
        <f>IF(H29,Wh_hp,'2022'!Maxi_hp)</f>
        <v>30.3772272575339</v>
      </c>
      <c r="J29" s="85">
        <f>IF(H29,An,'2022'!An_max)</f>
        <v>2023</v>
      </c>
      <c r="K29" s="197">
        <f t="shared" si="3"/>
        <v>44941</v>
      </c>
      <c r="L29" s="147">
        <f>IF(t&lt;Tvie,1-EXP((T0-t)*PertePVj)+'2022'!Pspv,1-EXP((T0-t)*PertePVj)+Pspv)</f>
        <v>2.7704807633412654E-2</v>
      </c>
      <c r="M29" s="832"/>
      <c r="N29" s="832"/>
      <c r="O29" s="48">
        <f>IF(t&lt;Tnet,'2022'!Resal+('2022'!Salim-'2022'!Resal)*(1-EXP(('2022'!Tnet-t)/('2022'!Tau_j))),Resal+(Salim-Resal)*(1-EXP((Tnet-t)/(Tau_j))))*Salcycl</f>
        <v>2.0227955417776763E-2</v>
      </c>
      <c r="P29" s="338">
        <f>(INDEX(Models!$BJ29:$BT29,,T29)*(1-R29)+INDEX(Models!$BJ29:$BT29,,T29+1)*R29-ERP_i)*Q29*Ramure*Pc/MaxiM</f>
        <v>2.0554959619109303E-2</v>
      </c>
      <c r="Q29" s="304">
        <f t="shared" si="4"/>
        <v>0.7</v>
      </c>
      <c r="R29" s="177">
        <f t="shared" si="5"/>
        <v>0.33503850951840208</v>
      </c>
      <c r="S29" s="799">
        <f t="shared" si="6"/>
        <v>0</v>
      </c>
      <c r="T29" s="176">
        <f t="shared" si="7"/>
        <v>6</v>
      </c>
      <c r="U29" s="250">
        <f t="shared" si="20"/>
        <v>0.33503850951840208</v>
      </c>
      <c r="V29" s="382">
        <f t="shared" si="8"/>
        <v>27.997407569644402</v>
      </c>
      <c r="W29" s="400">
        <f t="shared" si="9"/>
        <v>28.343363315750842</v>
      </c>
      <c r="X29" s="157">
        <f t="shared" si="10"/>
        <v>44941</v>
      </c>
      <c r="Y29" s="383">
        <f t="shared" si="11"/>
        <v>26.539553887891511</v>
      </c>
      <c r="Z29" s="383">
        <f t="shared" si="21"/>
        <v>27.295778171332586</v>
      </c>
      <c r="AA29" s="384">
        <f t="shared" si="12"/>
        <v>29.717312079519814</v>
      </c>
      <c r="AB29" s="197">
        <f t="shared" si="13"/>
        <v>44941</v>
      </c>
      <c r="AC29" s="119">
        <f>IF(OR(t&lt;Tnet,NoTnet),'2022'!Resal_s+('2022'!Salim-'2022'!Resal_s)*(1-EXP(('2022'!Tnet_s-t)/'2022'!Tau_j)),Resal_s+(Salim-Resal_s)*(1-EXP((Tnet_s-t)/Tau_j)))*Salcycl</f>
        <v>8.1485630386338589E-2</v>
      </c>
      <c r="AD29" s="230">
        <f>(INDEX(Models!$BJ29:$BT29,,AH29)*(1-AF29)+INDEX(Models!$BJ29:$BT29,,AH29+1)*AF29-ERP_i)*AE29*Ramure*Pc/MaxiM</f>
        <v>2.1724009647734313E-2</v>
      </c>
      <c r="AE29" s="304">
        <f t="shared" si="14"/>
        <v>0.7</v>
      </c>
      <c r="AF29" s="177">
        <f t="shared" si="22"/>
        <v>0.39937073177823423</v>
      </c>
      <c r="AG29" s="799">
        <f t="shared" si="23"/>
        <v>0</v>
      </c>
      <c r="AH29" s="176">
        <f t="shared" si="15"/>
        <v>6</v>
      </c>
      <c r="AI29" s="224">
        <f t="shared" si="24"/>
        <v>0.39937073177823423</v>
      </c>
      <c r="AJ29" s="264" t="b">
        <f t="shared" si="16"/>
        <v>1</v>
      </c>
      <c r="AK29" s="264" t="b">
        <f t="shared" si="17"/>
        <v>0</v>
      </c>
      <c r="AL29" s="264"/>
      <c r="AM29" s="264"/>
      <c r="AN29" s="75"/>
    </row>
    <row r="30" spans="1:40" s="6" customFormat="1" ht="11.25" x14ac:dyDescent="0.2">
      <c r="A30" s="56">
        <f t="shared" si="18"/>
        <v>44942</v>
      </c>
      <c r="B30" s="409">
        <f>'2022'!Wh/'2022'!Env_an*'2023'!Env_an</f>
        <v>28.04501475103276</v>
      </c>
      <c r="C30" s="829"/>
      <c r="D30" s="391">
        <f t="shared" si="0"/>
        <v>28.844688791867519</v>
      </c>
      <c r="E30" s="383">
        <f t="shared" si="1"/>
        <v>29.441557189361166</v>
      </c>
      <c r="F30" s="383">
        <f t="shared" si="2"/>
        <v>30.046568326567513</v>
      </c>
      <c r="G30" s="110">
        <f t="shared" si="19"/>
        <v>0.99080324993891966</v>
      </c>
      <c r="H30" s="412" t="b">
        <f>Wh_hp&gt;='2022'!Maxi_hp</f>
        <v>0</v>
      </c>
      <c r="I30" s="379">
        <f>IF(H30,Wh_hp,'2022'!Maxi_hp)</f>
        <v>30.049231450929494</v>
      </c>
      <c r="J30" s="85">
        <f>IF(H30,An,'2022'!An_max)</f>
        <v>2022</v>
      </c>
      <c r="K30" s="197">
        <f t="shared" si="3"/>
        <v>44942</v>
      </c>
      <c r="L30" s="147">
        <f>IF(t&lt;Tvie,1-EXP((T0-t)*PertePVj)+'2022'!Pspv,1-EXP((T0-t)*PertePVj)+Pspv)</f>
        <v>2.7723441448958219E-2</v>
      </c>
      <c r="M30" s="832"/>
      <c r="N30" s="832"/>
      <c r="O30" s="48">
        <f>IF(t&lt;Tnet,'2022'!Resal+('2022'!Salim-'2022'!Resal)*(1-EXP(('2022'!Tnet-t)/('2022'!Tau_j))),Resal+(Salim-Resal)*(1-EXP((Tnet-t)/(Tau_j))))*Salcycl</f>
        <v>2.0272990102212764E-2</v>
      </c>
      <c r="P30" s="338">
        <f>(INDEX(Models!$BJ30:$BT30,,T30)*(1-R30)+INDEX(Models!$BJ30:$BT30,,T30+1)*R30-ERP_i)*Q30*Ramure*Pc/MaxiM</f>
        <v>2.0396078589752332E-2</v>
      </c>
      <c r="Q30" s="304">
        <f t="shared" si="4"/>
        <v>0.7</v>
      </c>
      <c r="R30" s="177">
        <f t="shared" si="5"/>
        <v>0.3350799665707167</v>
      </c>
      <c r="S30" s="799">
        <f t="shared" si="6"/>
        <v>0</v>
      </c>
      <c r="T30" s="176">
        <f t="shared" si="7"/>
        <v>6</v>
      </c>
      <c r="U30" s="250">
        <f t="shared" si="20"/>
        <v>0.3350799665707167</v>
      </c>
      <c r="V30" s="382">
        <f t="shared" si="8"/>
        <v>28.297812615099101</v>
      </c>
      <c r="W30" s="400">
        <f t="shared" si="9"/>
        <v>28.04501475103276</v>
      </c>
      <c r="X30" s="157">
        <f t="shared" si="10"/>
        <v>44942</v>
      </c>
      <c r="Y30" s="383">
        <f t="shared" si="11"/>
        <v>26.263052650880997</v>
      </c>
      <c r="Z30" s="383">
        <f t="shared" si="21"/>
        <v>27.011915920322235</v>
      </c>
      <c r="AA30" s="384">
        <f t="shared" si="12"/>
        <v>29.40787916937661</v>
      </c>
      <c r="AB30" s="197">
        <f t="shared" si="13"/>
        <v>44942</v>
      </c>
      <c r="AC30" s="119">
        <f>IF(OR(t&lt;Tnet,NoTnet),'2022'!Resal_s+('2022'!Salim-'2022'!Resal_s)*(1-EXP(('2022'!Tnet_s-t)/'2022'!Tau_j)),Resal_s+(Salim-Resal_s)*(1-EXP((Tnet_s-t)/Tau_j)))*Salcycl</f>
        <v>8.1473513790459667E-2</v>
      </c>
      <c r="AD30" s="230">
        <f>(INDEX(Models!$BJ30:$BT30,,AH30)*(1-AF30)+INDEX(Models!$BJ30:$BT30,,AH30+1)*AF30-ERP_i)*AE30*Ramure*Pc/MaxiM</f>
        <v>2.1531428833921378E-2</v>
      </c>
      <c r="AE30" s="304">
        <f t="shared" si="14"/>
        <v>0.7</v>
      </c>
      <c r="AF30" s="177">
        <f t="shared" si="22"/>
        <v>0.39941218883054885</v>
      </c>
      <c r="AG30" s="799">
        <f t="shared" si="23"/>
        <v>0</v>
      </c>
      <c r="AH30" s="176">
        <f t="shared" si="15"/>
        <v>6</v>
      </c>
      <c r="AI30" s="224">
        <f t="shared" si="24"/>
        <v>0.39941218883054885</v>
      </c>
      <c r="AJ30" s="264" t="b">
        <f t="shared" si="16"/>
        <v>1</v>
      </c>
      <c r="AK30" s="264" t="b">
        <f t="shared" si="17"/>
        <v>0</v>
      </c>
      <c r="AL30" s="264"/>
      <c r="AM30" s="264"/>
      <c r="AN30" s="75"/>
    </row>
    <row r="31" spans="1:40" s="6" customFormat="1" ht="11.25" x14ac:dyDescent="0.2">
      <c r="A31" s="56">
        <f t="shared" si="18"/>
        <v>44943</v>
      </c>
      <c r="B31" s="409">
        <f>'2022'!Wh/'2022'!Env_an*'2023'!Env_an</f>
        <v>18.16859044840027</v>
      </c>
      <c r="C31" s="829"/>
      <c r="D31" s="391">
        <f t="shared" si="0"/>
        <v>18.687006790579446</v>
      </c>
      <c r="E31" s="383">
        <f t="shared" si="1"/>
        <v>19.074563886149114</v>
      </c>
      <c r="F31" s="383">
        <f t="shared" si="2"/>
        <v>19.261459201944774</v>
      </c>
      <c r="G31" s="110">
        <f t="shared" si="19"/>
        <v>0.62843734123058637</v>
      </c>
      <c r="H31" s="412" t="b">
        <f>Wh_hp&gt;='2022'!Maxi_hp</f>
        <v>0</v>
      </c>
      <c r="I31" s="379">
        <f>IF(H31,Wh_hp,'2022'!Maxi_hp)</f>
        <v>19.329055345753776</v>
      </c>
      <c r="J31" s="85">
        <f>IF(H31,An,'2022'!An_max)</f>
        <v>2022</v>
      </c>
      <c r="K31" s="197">
        <f t="shared" si="3"/>
        <v>44943</v>
      </c>
      <c r="L31" s="147">
        <f>IF(t&lt;Tvie,1-EXP((T0-t)*PertePVj)+'2022'!Pspv,1-EXP((T0-t)*PertePVj)+Pspv)</f>
        <v>2.774207490739089E-2</v>
      </c>
      <c r="M31" s="832"/>
      <c r="N31" s="832"/>
      <c r="O31" s="48">
        <f>IF(t&lt;Tnet,'2022'!Resal+('2022'!Salim-'2022'!Resal)*(1-EXP(('2022'!Tnet-t)/('2022'!Tau_j))),Resal+(Salim-Resal)*(1-EXP((Tnet-t)/(Tau_j))))*Salcycl</f>
        <v>2.0318005584971346E-2</v>
      </c>
      <c r="P31" s="338">
        <f>(INDEX(Models!$BJ31:$BT31,,T31)*(1-R31)+INDEX(Models!$BJ31:$BT31,,T31+1)*R31-ERP_i)*Q31*Ramure*Pc/MaxiM</f>
        <v>2.0262347414297284E-2</v>
      </c>
      <c r="Q31" s="304">
        <f t="shared" si="4"/>
        <v>0.7</v>
      </c>
      <c r="R31" s="177">
        <f t="shared" si="5"/>
        <v>0.33512315368220003</v>
      </c>
      <c r="S31" s="799">
        <f t="shared" si="6"/>
        <v>0</v>
      </c>
      <c r="T31" s="176">
        <f t="shared" si="7"/>
        <v>6</v>
      </c>
      <c r="U31" s="250">
        <f t="shared" si="20"/>
        <v>0.33512315368220003</v>
      </c>
      <c r="V31" s="382">
        <f t="shared" si="8"/>
        <v>28.602475320188542</v>
      </c>
      <c r="W31" s="400">
        <f t="shared" si="9"/>
        <v>18.16859044840027</v>
      </c>
      <c r="X31" s="157">
        <f t="shared" si="10"/>
        <v>44943</v>
      </c>
      <c r="Y31" s="383">
        <f t="shared" si="11"/>
        <v>17.025557801161472</v>
      </c>
      <c r="Z31" s="383">
        <f t="shared" si="21"/>
        <v>17.511359240954256</v>
      </c>
      <c r="AA31" s="384">
        <f t="shared" si="12"/>
        <v>19.064371623243019</v>
      </c>
      <c r="AB31" s="197">
        <f t="shared" si="13"/>
        <v>44943</v>
      </c>
      <c r="AC31" s="119">
        <f>IF(OR(t&lt;Tnet,NoTnet),'2022'!Resal_s+('2022'!Salim-'2022'!Resal_s)*(1-EXP(('2022'!Tnet_s-t)/'2022'!Tau_j)),Resal_s+(Salim-Resal_s)*(1-EXP((Tnet_s-t)/Tau_j)))*Salcycl</f>
        <v>8.1461503844970806E-2</v>
      </c>
      <c r="AD31" s="230">
        <f>(INDEX(Models!$BJ31:$BT31,,AH31)*(1-AF31)+INDEX(Models!$BJ31:$BT31,,AH31+1)*AF31-ERP_i)*AE31*Ramure*Pc/MaxiM</f>
        <v>2.1367346600937788E-2</v>
      </c>
      <c r="AE31" s="304">
        <f t="shared" si="14"/>
        <v>0.7</v>
      </c>
      <c r="AF31" s="177">
        <f t="shared" si="22"/>
        <v>0.39945537594203218</v>
      </c>
      <c r="AG31" s="799">
        <f t="shared" si="23"/>
        <v>0</v>
      </c>
      <c r="AH31" s="176">
        <f t="shared" si="15"/>
        <v>6</v>
      </c>
      <c r="AI31" s="224">
        <f t="shared" si="24"/>
        <v>0.39945537594203218</v>
      </c>
      <c r="AJ31" s="264" t="b">
        <f t="shared" si="16"/>
        <v>1</v>
      </c>
      <c r="AK31" s="264" t="b">
        <f t="shared" si="17"/>
        <v>0</v>
      </c>
      <c r="AL31" s="264"/>
      <c r="AM31" s="264"/>
      <c r="AN31" s="75"/>
    </row>
    <row r="32" spans="1:40" s="6" customFormat="1" ht="11.25" x14ac:dyDescent="0.2">
      <c r="A32" s="56">
        <f t="shared" si="18"/>
        <v>44944</v>
      </c>
      <c r="B32" s="409">
        <f>'2022'!Wh/'2022'!Env_an*'2023'!Env_an</f>
        <v>4.7808447420891333</v>
      </c>
      <c r="C32" s="829"/>
      <c r="D32" s="391">
        <f t="shared" si="0"/>
        <v>4.9173539698208373</v>
      </c>
      <c r="E32" s="383">
        <f t="shared" si="1"/>
        <v>5.0195674360722435</v>
      </c>
      <c r="F32" s="383">
        <f t="shared" si="2"/>
        <v>5.0195674360722435</v>
      </c>
      <c r="G32" s="110">
        <f t="shared" si="19"/>
        <v>0.16203622152499159</v>
      </c>
      <c r="H32" s="412" t="b">
        <f>Wh_hp&gt;='2022'!Maxi_hp</f>
        <v>0</v>
      </c>
      <c r="I32" s="379">
        <f>IF(H32,Wh_hp,'2022'!Maxi_hp)</f>
        <v>30.433829557852597</v>
      </c>
      <c r="J32" s="85">
        <f>IF(H32,An,'2022'!An_max)</f>
        <v>2021</v>
      </c>
      <c r="K32" s="197">
        <f t="shared" si="3"/>
        <v>44944</v>
      </c>
      <c r="L32" s="147">
        <f>IF(t&lt;Tvie,1-EXP((T0-t)*PertePVj)+'2022'!Pspv,1-EXP((T0-t)*PertePVj)+Pspv)</f>
        <v>2.776070800871755E-2</v>
      </c>
      <c r="M32" s="832"/>
      <c r="N32" s="832"/>
      <c r="O32" s="48">
        <f>IF(t&lt;Tnet,'2022'!Resal+('2022'!Salim-'2022'!Resal)*(1-EXP(('2022'!Tnet-t)/('2022'!Tau_j))),Resal+(Salim-Resal)*(1-EXP((Tnet-t)/(Tau_j))))*Salcycl</f>
        <v>2.0363002898789097E-2</v>
      </c>
      <c r="P32" s="338">
        <f>(INDEX(Models!$BJ32:$BT32,,T32)*(1-R32)+INDEX(Models!$BJ32:$BT32,,T32+1)*R32-ERP_i)*Q32*Ramure*Pc/MaxiM</f>
        <v>2.0153860629252226E-2</v>
      </c>
      <c r="Q32" s="304">
        <f t="shared" si="4"/>
        <v>0.7</v>
      </c>
      <c r="R32" s="177">
        <f t="shared" si="5"/>
        <v>0.33516814265191336</v>
      </c>
      <c r="S32" s="799">
        <f t="shared" si="6"/>
        <v>0</v>
      </c>
      <c r="T32" s="176">
        <f t="shared" si="7"/>
        <v>6</v>
      </c>
      <c r="U32" s="250">
        <f t="shared" si="20"/>
        <v>0.33516814265191336</v>
      </c>
      <c r="V32" s="382">
        <f t="shared" si="8"/>
        <v>28.910154898572877</v>
      </c>
      <c r="W32" s="400">
        <f t="shared" si="9"/>
        <v>4.7808447420891333</v>
      </c>
      <c r="X32" s="157">
        <f t="shared" si="10"/>
        <v>44944</v>
      </c>
      <c r="Y32" s="383">
        <f t="shared" si="11"/>
        <v>4.4827286483493429</v>
      </c>
      <c r="Z32" s="383">
        <f t="shared" si="21"/>
        <v>4.6107256570222397</v>
      </c>
      <c r="AA32" s="384">
        <f t="shared" si="12"/>
        <v>5.0195674360722435</v>
      </c>
      <c r="AB32" s="197">
        <f t="shared" si="13"/>
        <v>44944</v>
      </c>
      <c r="AC32" s="119">
        <f>IF(OR(t&lt;Tnet,NoTnet),'2022'!Resal_s+('2022'!Salim-'2022'!Resal_s)*(1-EXP(('2022'!Tnet_s-t)/'2022'!Tau_j)),Resal_s+(Salim-Resal_s)*(1-EXP((Tnet_s-t)/Tau_j)))*Salcycl</f>
        <v>8.1449603826802622E-2</v>
      </c>
      <c r="AD32" s="230">
        <f>(INDEX(Models!$BJ32:$BT32,,AH32)*(1-AF32)+INDEX(Models!$BJ32:$BT32,,AH32+1)*AF32-ERP_i)*AE32*Ramure*Pc/MaxiM</f>
        <v>2.1231813677101762E-2</v>
      </c>
      <c r="AE32" s="304">
        <f t="shared" si="14"/>
        <v>0.7</v>
      </c>
      <c r="AF32" s="177">
        <f t="shared" si="22"/>
        <v>0.39950036491174551</v>
      </c>
      <c r="AG32" s="799">
        <f t="shared" si="23"/>
        <v>0</v>
      </c>
      <c r="AH32" s="176">
        <f t="shared" si="15"/>
        <v>6</v>
      </c>
      <c r="AI32" s="224">
        <f t="shared" si="24"/>
        <v>0.39950036491174551</v>
      </c>
      <c r="AJ32" s="264" t="b">
        <f t="shared" si="16"/>
        <v>1</v>
      </c>
      <c r="AK32" s="264" t="b">
        <f t="shared" si="17"/>
        <v>0</v>
      </c>
      <c r="AL32" s="264"/>
      <c r="AM32" s="264"/>
      <c r="AN32" s="75"/>
    </row>
    <row r="33" spans="1:40" s="6" customFormat="1" ht="11.25" x14ac:dyDescent="0.2">
      <c r="A33" s="56">
        <f t="shared" si="18"/>
        <v>44945</v>
      </c>
      <c r="B33" s="409">
        <f>'2022'!Wh/'2022'!Env_an*'2023'!Env_an</f>
        <v>12.079336360136066</v>
      </c>
      <c r="C33" s="829"/>
      <c r="D33" s="391">
        <f t="shared" si="0"/>
        <v>12.424480230126996</v>
      </c>
      <c r="E33" s="383">
        <f t="shared" si="1"/>
        <v>12.68332123650044</v>
      </c>
      <c r="F33" s="383">
        <f t="shared" si="2"/>
        <v>12.724694281305387</v>
      </c>
      <c r="G33" s="110">
        <f t="shared" si="19"/>
        <v>0.40642252370279852</v>
      </c>
      <c r="H33" s="412" t="b">
        <f>Wh_hp&gt;='2022'!Maxi_hp</f>
        <v>0</v>
      </c>
      <c r="I33" s="379">
        <f>IF(H33,Wh_hp,'2022'!Maxi_hp)</f>
        <v>32.683118262088648</v>
      </c>
      <c r="J33" s="85">
        <f>IF(H33,An,'2022'!An_max)</f>
        <v>2021</v>
      </c>
      <c r="K33" s="197">
        <f t="shared" si="3"/>
        <v>44945</v>
      </c>
      <c r="L33" s="147">
        <f>IF(t&lt;Tvie,1-EXP((T0-t)*PertePVj)+'2022'!Pspv,1-EXP((T0-t)*PertePVj)+Pspv)</f>
        <v>2.7779340752945192E-2</v>
      </c>
      <c r="M33" s="832"/>
      <c r="N33" s="832"/>
      <c r="O33" s="48">
        <f>IF(t&lt;Tnet,'2022'!Resal+('2022'!Salim-'2022'!Resal)*(1-EXP(('2022'!Tnet-t)/('2022'!Tau_j))),Resal+(Salim-Resal)*(1-EXP((Tnet-t)/(Tau_j))))*Salcycl</f>
        <v>2.0407983173093804E-2</v>
      </c>
      <c r="P33" s="338">
        <f>(INDEX(Models!$BJ33:$BT33,,T33)*(1-R33)+INDEX(Models!$BJ33:$BT33,,T33+1)*R33-ERP_i)*Q33*Ramure*Pc/MaxiM</f>
        <v>2.0070665532258305E-2</v>
      </c>
      <c r="Q33" s="304">
        <f t="shared" si="4"/>
        <v>0.7</v>
      </c>
      <c r="R33" s="177">
        <f t="shared" si="5"/>
        <v>0.3352150082246021</v>
      </c>
      <c r="S33" s="799">
        <f t="shared" si="6"/>
        <v>0</v>
      </c>
      <c r="T33" s="176">
        <f t="shared" si="7"/>
        <v>6</v>
      </c>
      <c r="U33" s="250">
        <f t="shared" si="20"/>
        <v>0.3352150082246021</v>
      </c>
      <c r="V33" s="382">
        <f t="shared" si="8"/>
        <v>29.219610996018346</v>
      </c>
      <c r="W33" s="400">
        <f t="shared" si="9"/>
        <v>12.079336360136066</v>
      </c>
      <c r="X33" s="157">
        <f t="shared" si="10"/>
        <v>44945</v>
      </c>
      <c r="Y33" s="383">
        <f t="shared" si="11"/>
        <v>11.324837669569231</v>
      </c>
      <c r="Z33" s="383">
        <f t="shared" si="21"/>
        <v>11.648423186501565</v>
      </c>
      <c r="AA33" s="384">
        <f t="shared" si="12"/>
        <v>12.68114821920534</v>
      </c>
      <c r="AB33" s="197">
        <f t="shared" si="13"/>
        <v>44945</v>
      </c>
      <c r="AC33" s="119">
        <f>IF(OR(t&lt;Tnet,NoTnet),'2022'!Resal_s+('2022'!Salim-'2022'!Resal_s)*(1-EXP(('2022'!Tnet_s-t)/'2022'!Tau_j)),Resal_s+(Salim-Resal_s)*(1-EXP((Tnet_s-t)/Tau_j)))*Salcycl</f>
        <v>8.1437817368914089E-2</v>
      </c>
      <c r="AD33" s="230">
        <f>(INDEX(Models!$BJ33:$BT33,,AH33)*(1-AF33)+INDEX(Models!$BJ33:$BT33,,AH33+1)*AF33-ERP_i)*AE33*Ramure*Pc/MaxiM</f>
        <v>2.1124827814279365E-2</v>
      </c>
      <c r="AE33" s="304">
        <f t="shared" si="14"/>
        <v>0.7</v>
      </c>
      <c r="AF33" s="177">
        <f t="shared" si="22"/>
        <v>0.39954723048443425</v>
      </c>
      <c r="AG33" s="799">
        <f t="shared" si="23"/>
        <v>0</v>
      </c>
      <c r="AH33" s="176">
        <f t="shared" si="15"/>
        <v>6</v>
      </c>
      <c r="AI33" s="224">
        <f t="shared" si="24"/>
        <v>0.39954723048443425</v>
      </c>
      <c r="AJ33" s="264" t="b">
        <f t="shared" si="16"/>
        <v>1</v>
      </c>
      <c r="AK33" s="264" t="b">
        <f t="shared" si="17"/>
        <v>0</v>
      </c>
      <c r="AL33" s="264"/>
      <c r="AM33" s="264"/>
      <c r="AN33" s="75"/>
    </row>
    <row r="34" spans="1:40" s="6" customFormat="1" ht="11.25" x14ac:dyDescent="0.2">
      <c r="A34" s="56">
        <f t="shared" si="18"/>
        <v>44946</v>
      </c>
      <c r="B34" s="409">
        <f>'2022'!Wh/'2022'!Env_an*'2023'!Env_an</f>
        <v>5.0093254448492024</v>
      </c>
      <c r="C34" s="829"/>
      <c r="D34" s="391">
        <f t="shared" si="0"/>
        <v>5.1525560598023468</v>
      </c>
      <c r="E34" s="383">
        <f t="shared" si="1"/>
        <v>5.2601414573635941</v>
      </c>
      <c r="F34" s="383">
        <f t="shared" si="2"/>
        <v>5.2601414573635941</v>
      </c>
      <c r="G34" s="110">
        <f t="shared" si="19"/>
        <v>0.16624249320676962</v>
      </c>
      <c r="H34" s="412" t="b">
        <f>Wh_hp&gt;='2022'!Maxi_hp</f>
        <v>0</v>
      </c>
      <c r="I34" s="379">
        <f>IF(H34,Wh_hp,'2022'!Maxi_hp)</f>
        <v>11.30286271509741</v>
      </c>
      <c r="J34" s="85">
        <f>IF(H34,An,'2022'!An_max)</f>
        <v>2020</v>
      </c>
      <c r="K34" s="197">
        <f t="shared" si="3"/>
        <v>44946</v>
      </c>
      <c r="L34" s="147">
        <f>IF(t&lt;Tvie,1-EXP((T0-t)*PertePVj)+'2022'!Pspv,1-EXP((T0-t)*PertePVj)+Pspv)</f>
        <v>2.7797973140080479E-2</v>
      </c>
      <c r="M34" s="832"/>
      <c r="N34" s="832"/>
      <c r="O34" s="48">
        <f>IF(t&lt;Tnet,'2022'!Resal+('2022'!Salim-'2022'!Resal)*(1-EXP(('2022'!Tnet-t)/('2022'!Tau_j))),Resal+(Salim-Resal)*(1-EXP((Tnet-t)/(Tau_j))))*Salcycl</f>
        <v>2.0452947593384611E-2</v>
      </c>
      <c r="P34" s="338">
        <f>(INDEX(Models!$BJ34:$BT34,,T34)*(1-R34)+INDEX(Models!$BJ34:$BT34,,T34+1)*R34-ERP_i)*Q34*Ramure*Pc/MaxiM</f>
        <v>2.0012885862136419E-2</v>
      </c>
      <c r="Q34" s="304">
        <f t="shared" si="4"/>
        <v>0.7</v>
      </c>
      <c r="R34" s="177">
        <f t="shared" si="5"/>
        <v>0.33526382820863621</v>
      </c>
      <c r="S34" s="799">
        <f t="shared" si="6"/>
        <v>0</v>
      </c>
      <c r="T34" s="176">
        <f t="shared" si="7"/>
        <v>6</v>
      </c>
      <c r="U34" s="250">
        <f t="shared" si="20"/>
        <v>0.33526382820863621</v>
      </c>
      <c r="V34" s="382">
        <f t="shared" si="8"/>
        <v>29.529600355363506</v>
      </c>
      <c r="W34" s="400">
        <f t="shared" si="9"/>
        <v>5.0093254448492024</v>
      </c>
      <c r="X34" s="157">
        <f t="shared" si="10"/>
        <v>44946</v>
      </c>
      <c r="Y34" s="383">
        <f t="shared" si="11"/>
        <v>4.6975133629534023</v>
      </c>
      <c r="Z34" s="383">
        <f t="shared" si="21"/>
        <v>4.8318283990064623</v>
      </c>
      <c r="AA34" s="384">
        <f t="shared" si="12"/>
        <v>5.2601414573635941</v>
      </c>
      <c r="AB34" s="197">
        <f t="shared" si="13"/>
        <v>44946</v>
      </c>
      <c r="AC34" s="119">
        <f>IF(OR(t&lt;Tnet,NoTnet),'2022'!Resal_s+('2022'!Salim-'2022'!Resal_s)*(1-EXP(('2022'!Tnet_s-t)/'2022'!Tau_j)),Resal_s+(Salim-Resal_s)*(1-EXP((Tnet_s-t)/Tau_j)))*Salcycl</f>
        <v>8.1426148294461265E-2</v>
      </c>
      <c r="AD34" s="230">
        <f>(INDEX(Models!$BJ34:$BT34,,AH34)*(1-AF34)+INDEX(Models!$BJ34:$BT34,,AH34+1)*AF34-ERP_i)*AE34*Ramure*Pc/MaxiM</f>
        <v>2.1046464855870774E-2</v>
      </c>
      <c r="AE34" s="304">
        <f t="shared" si="14"/>
        <v>0.7</v>
      </c>
      <c r="AF34" s="177">
        <f t="shared" si="22"/>
        <v>0.39959605046846836</v>
      </c>
      <c r="AG34" s="799">
        <f t="shared" si="23"/>
        <v>0</v>
      </c>
      <c r="AH34" s="176">
        <f t="shared" si="15"/>
        <v>6</v>
      </c>
      <c r="AI34" s="224">
        <f t="shared" si="24"/>
        <v>0.39959605046846836</v>
      </c>
      <c r="AJ34" s="264" t="b">
        <f t="shared" si="16"/>
        <v>1</v>
      </c>
      <c r="AK34" s="264" t="b">
        <f t="shared" si="17"/>
        <v>0</v>
      </c>
      <c r="AL34" s="264"/>
      <c r="AM34" s="264"/>
      <c r="AN34" s="75"/>
    </row>
    <row r="35" spans="1:40" s="6" customFormat="1" ht="11.25" x14ac:dyDescent="0.2">
      <c r="A35" s="56">
        <f t="shared" si="18"/>
        <v>44947</v>
      </c>
      <c r="B35" s="409">
        <f>'2022'!Wh/'2022'!Env_an*'2023'!Env_an</f>
        <v>19.124644967420096</v>
      </c>
      <c r="C35" s="829"/>
      <c r="D35" s="391">
        <f t="shared" si="0"/>
        <v>19.671849024706777</v>
      </c>
      <c r="E35" s="383">
        <f t="shared" si="1"/>
        <v>20.083518934493018</v>
      </c>
      <c r="F35" s="383">
        <f t="shared" si="2"/>
        <v>20.280881423014108</v>
      </c>
      <c r="G35" s="110">
        <f t="shared" si="19"/>
        <v>0.63429683147143745</v>
      </c>
      <c r="H35" s="412" t="b">
        <f>Wh_hp&gt;='2022'!Maxi_hp</f>
        <v>0</v>
      </c>
      <c r="I35" s="379">
        <f>IF(H35,Wh_hp,'2022'!Maxi_hp)</f>
        <v>20.346103196063709</v>
      </c>
      <c r="J35" s="85">
        <f>IF(H35,An,'2022'!An_max)</f>
        <v>2022</v>
      </c>
      <c r="K35" s="197">
        <f t="shared" si="3"/>
        <v>44947</v>
      </c>
      <c r="L35" s="147">
        <f>IF(t&lt;Tvie,1-EXP((T0-t)*PertePVj)+'2022'!Pspv,1-EXP((T0-t)*PertePVj)+Pspv)</f>
        <v>2.7816605170130293E-2</v>
      </c>
      <c r="M35" s="832"/>
      <c r="N35" s="832"/>
      <c r="O35" s="48">
        <f>IF(t&lt;Tnet,'2022'!Resal+('2022'!Salim-'2022'!Resal)*(1-EXP(('2022'!Tnet-t)/('2022'!Tau_j))),Resal+(Salim-Resal)*(1-EXP((Tnet-t)/(Tau_j))))*Salcycl</f>
        <v>2.0497897361961046E-2</v>
      </c>
      <c r="P35" s="338">
        <f>(INDEX(Models!$BJ35:$BT35,,T35)*(1-R35)+INDEX(Models!$BJ35:$BT35,,T35+1)*R35-ERP_i)*Q35*Ramure*Pc/MaxiM</f>
        <v>1.9980671184119361E-2</v>
      </c>
      <c r="Q35" s="304">
        <f t="shared" si="4"/>
        <v>0.7</v>
      </c>
      <c r="R35" s="177">
        <f t="shared" si="5"/>
        <v>0.33531468359842515</v>
      </c>
      <c r="S35" s="799">
        <f t="shared" si="6"/>
        <v>0</v>
      </c>
      <c r="T35" s="176">
        <f t="shared" si="7"/>
        <v>6</v>
      </c>
      <c r="U35" s="250">
        <f t="shared" si="20"/>
        <v>0.33531468359842515</v>
      </c>
      <c r="V35" s="382">
        <f t="shared" si="8"/>
        <v>29.838878547029839</v>
      </c>
      <c r="W35" s="400">
        <f t="shared" si="9"/>
        <v>19.124644967420096</v>
      </c>
      <c r="X35" s="157">
        <f t="shared" si="10"/>
        <v>44947</v>
      </c>
      <c r="Y35" s="383">
        <f t="shared" si="11"/>
        <v>17.926291053687432</v>
      </c>
      <c r="Z35" s="383">
        <f t="shared" si="21"/>
        <v>18.439207200020629</v>
      </c>
      <c r="AA35" s="384">
        <f t="shared" si="12"/>
        <v>20.073481691770205</v>
      </c>
      <c r="AB35" s="197">
        <f t="shared" si="13"/>
        <v>44947</v>
      </c>
      <c r="AC35" s="119">
        <f>IF(OR(t&lt;Tnet,NoTnet),'2022'!Resal_s+('2022'!Salim-'2022'!Resal_s)*(1-EXP(('2022'!Tnet_s-t)/'2022'!Tau_j)),Resal_s+(Salim-Resal_s)*(1-EXP((Tnet_s-t)/Tau_j)))*Salcycl</f>
        <v>8.1414600458653869E-2</v>
      </c>
      <c r="AD35" s="230">
        <f>(INDEX(Models!$BJ35:$BT35,,AH35)*(1-AF35)+INDEX(Models!$BJ35:$BT35,,AH35+1)*AF35-ERP_i)*AE35*Ramure*Pc/MaxiM</f>
        <v>2.0996826016491974E-2</v>
      </c>
      <c r="AE35" s="304">
        <f t="shared" si="14"/>
        <v>0.7</v>
      </c>
      <c r="AF35" s="177">
        <f t="shared" si="22"/>
        <v>0.3996469058582573</v>
      </c>
      <c r="AG35" s="799">
        <f t="shared" si="23"/>
        <v>0</v>
      </c>
      <c r="AH35" s="176">
        <f t="shared" si="15"/>
        <v>6</v>
      </c>
      <c r="AI35" s="224">
        <f t="shared" si="24"/>
        <v>0.3996469058582573</v>
      </c>
      <c r="AJ35" s="264" t="b">
        <f t="shared" si="16"/>
        <v>1</v>
      </c>
      <c r="AK35" s="264" t="b">
        <f t="shared" si="17"/>
        <v>0</v>
      </c>
      <c r="AL35" s="264"/>
      <c r="AM35" s="264"/>
      <c r="AN35" s="75"/>
    </row>
    <row r="36" spans="1:40" s="6" customFormat="1" ht="11.25" x14ac:dyDescent="0.2">
      <c r="A36" s="56">
        <f t="shared" si="18"/>
        <v>44948</v>
      </c>
      <c r="B36" s="409">
        <f>'2022'!Wh/'2022'!Env_an*'2023'!Env_an</f>
        <v>29.568325951947969</v>
      </c>
      <c r="C36" s="829"/>
      <c r="D36" s="391">
        <f t="shared" si="0"/>
        <v>30.414932810289393</v>
      </c>
      <c r="E36" s="383">
        <f t="shared" si="1"/>
        <v>31.052846265810125</v>
      </c>
      <c r="F36" s="383">
        <f t="shared" si="2"/>
        <v>31.668064652792001</v>
      </c>
      <c r="G36" s="110">
        <f t="shared" si="19"/>
        <v>0.98028369147451322</v>
      </c>
      <c r="H36" s="412" t="b">
        <f>Wh_hp&gt;='2022'!Maxi_hp</f>
        <v>0</v>
      </c>
      <c r="I36" s="379">
        <f>IF(H36,Wh_hp,'2022'!Maxi_hp)</f>
        <v>31.673476071580343</v>
      </c>
      <c r="J36" s="85">
        <f>IF(H36,An,'2022'!An_max)</f>
        <v>2022</v>
      </c>
      <c r="K36" s="197">
        <f t="shared" si="3"/>
        <v>44948</v>
      </c>
      <c r="L36" s="147">
        <f>IF(t&lt;Tvie,1-EXP((T0-t)*PertePVj)+'2022'!Pspv,1-EXP((T0-t)*PertePVj)+Pspv)</f>
        <v>2.7835236843101518E-2</v>
      </c>
      <c r="M36" s="832"/>
      <c r="N36" s="832"/>
      <c r="O36" s="48">
        <f>IF(t&lt;Tnet,'2022'!Resal+('2022'!Salim-'2022'!Resal)*(1-EXP(('2022'!Tnet-t)/('2022'!Tau_j))),Resal+(Salim-Resal)*(1-EXP((Tnet-t)/(Tau_j))))*Salcycl</f>
        <v>2.0542833660407125E-2</v>
      </c>
      <c r="P36" s="338">
        <f>(INDEX(Models!$BJ36:$BT36,,T36)*(1-R36)+INDEX(Models!$BJ36:$BT36,,T36+1)*R36-ERP_i)*Q36*Ramure*Pc/MaxiM</f>
        <v>1.9974072362744007E-2</v>
      </c>
      <c r="Q36" s="304">
        <f t="shared" si="4"/>
        <v>0.7</v>
      </c>
      <c r="R36" s="177">
        <f t="shared" si="5"/>
        <v>0.33536765870145085</v>
      </c>
      <c r="S36" s="799">
        <f t="shared" si="6"/>
        <v>0</v>
      </c>
      <c r="T36" s="176">
        <f t="shared" si="7"/>
        <v>6</v>
      </c>
      <c r="U36" s="250">
        <f t="shared" si="20"/>
        <v>0.33536765870145085</v>
      </c>
      <c r="V36" s="382">
        <f t="shared" si="8"/>
        <v>30.146204076144965</v>
      </c>
      <c r="W36" s="400">
        <f t="shared" si="9"/>
        <v>29.568325951947969</v>
      </c>
      <c r="X36" s="157">
        <f t="shared" si="10"/>
        <v>44948</v>
      </c>
      <c r="Y36" s="383">
        <f t="shared" si="11"/>
        <v>27.703488006478587</v>
      </c>
      <c r="Z36" s="383">
        <f t="shared" si="21"/>
        <v>28.496700411684738</v>
      </c>
      <c r="AA36" s="384">
        <f t="shared" si="12"/>
        <v>31.021988882157387</v>
      </c>
      <c r="AB36" s="197">
        <f t="shared" si="13"/>
        <v>44948</v>
      </c>
      <c r="AC36" s="119">
        <f>IF(OR(t&lt;Tnet,NoTnet),'2022'!Resal_s+('2022'!Salim-'2022'!Resal_s)*(1-EXP(('2022'!Tnet_s-t)/'2022'!Tau_j)),Resal_s+(Salim-Resal_s)*(1-EXP((Tnet_s-t)/Tau_j)))*Salcycl</f>
        <v>8.1403177599779664E-2</v>
      </c>
      <c r="AD36" s="230">
        <f>(INDEX(Models!$BJ36:$BT36,,AH36)*(1-AF36)+INDEX(Models!$BJ36:$BT36,,AH36+1)*AF36-ERP_i)*AE36*Ramure*Pc/MaxiM</f>
        <v>2.0975907852460781E-2</v>
      </c>
      <c r="AE36" s="304">
        <f t="shared" si="14"/>
        <v>0.7</v>
      </c>
      <c r="AF36" s="177">
        <f t="shared" si="22"/>
        <v>0.39969988096128301</v>
      </c>
      <c r="AG36" s="799">
        <f t="shared" si="23"/>
        <v>0</v>
      </c>
      <c r="AH36" s="176">
        <f t="shared" si="15"/>
        <v>6</v>
      </c>
      <c r="AI36" s="224">
        <f t="shared" si="24"/>
        <v>0.39969988096128301</v>
      </c>
      <c r="AJ36" s="264" t="b">
        <f t="shared" si="16"/>
        <v>1</v>
      </c>
      <c r="AK36" s="264" t="b">
        <f t="shared" si="17"/>
        <v>0</v>
      </c>
      <c r="AL36" s="264"/>
      <c r="AM36" s="264"/>
      <c r="AN36" s="75"/>
    </row>
    <row r="37" spans="1:40" s="6" customFormat="1" ht="11.25" x14ac:dyDescent="0.2">
      <c r="A37" s="56">
        <f t="shared" si="18"/>
        <v>44949</v>
      </c>
      <c r="B37" s="409">
        <f>'2022'!Wh/'2022'!Env_an*'2023'!Env_an</f>
        <v>29.928307475793691</v>
      </c>
      <c r="C37" s="829"/>
      <c r="D37" s="391">
        <f t="shared" si="0"/>
        <v>30.785811407917702</v>
      </c>
      <c r="E37" s="383">
        <f t="shared" si="1"/>
        <v>31.432945266158125</v>
      </c>
      <c r="F37" s="383">
        <f t="shared" si="2"/>
        <v>32.057955336222172</v>
      </c>
      <c r="G37" s="110">
        <f t="shared" si="19"/>
        <v>0.9822106844601225</v>
      </c>
      <c r="H37" s="412" t="b">
        <f>Wh_hp&gt;='2022'!Maxi_hp</f>
        <v>0</v>
      </c>
      <c r="I37" s="379">
        <f>IF(H37,Wh_hp,'2022'!Maxi_hp)</f>
        <v>32.062853586562348</v>
      </c>
      <c r="J37" s="85">
        <f>IF(H37,An,'2022'!An_max)</f>
        <v>2022</v>
      </c>
      <c r="K37" s="197">
        <f t="shared" si="3"/>
        <v>44949</v>
      </c>
      <c r="L37" s="147">
        <f>IF(t&lt;Tvie,1-EXP((T0-t)*PertePVj)+'2022'!Pspv,1-EXP((T0-t)*PertePVj)+Pspv)</f>
        <v>2.7853868159001038E-2</v>
      </c>
      <c r="M37" s="832"/>
      <c r="N37" s="832"/>
      <c r="O37" s="48">
        <f>IF(t&lt;Tnet,'2022'!Resal+('2022'!Salim-'2022'!Resal)*(1-EXP(('2022'!Tnet-t)/('2022'!Tau_j))),Resal+(Salim-Resal)*(1-EXP((Tnet-t)/(Tau_j))))*Salcycl</f>
        <v>2.0587757614210909E-2</v>
      </c>
      <c r="P37" s="338">
        <f>(INDEX(Models!$BJ37:$BT37,,T37)*(1-R37)+INDEX(Models!$BJ37:$BT37,,T37+1)*R37-ERP_i)*Q37*Ramure*Pc/MaxiM</f>
        <v>1.9990134823891146E-2</v>
      </c>
      <c r="Q37" s="304">
        <f t="shared" si="4"/>
        <v>0.7</v>
      </c>
      <c r="R37" s="177">
        <f t="shared" si="5"/>
        <v>0.33542284127007266</v>
      </c>
      <c r="S37" s="799">
        <f t="shared" si="6"/>
        <v>0</v>
      </c>
      <c r="T37" s="176">
        <f t="shared" si="7"/>
        <v>6</v>
      </c>
      <c r="U37" s="250">
        <f t="shared" si="20"/>
        <v>0.33542284127007266</v>
      </c>
      <c r="V37" s="382">
        <f t="shared" si="8"/>
        <v>30.455006299623953</v>
      </c>
      <c r="W37" s="400">
        <f t="shared" si="9"/>
        <v>29.928307475793691</v>
      </c>
      <c r="X37" s="157">
        <f t="shared" si="10"/>
        <v>44949</v>
      </c>
      <c r="Y37" s="383">
        <f t="shared" si="11"/>
        <v>28.042636913347064</v>
      </c>
      <c r="Z37" s="383">
        <f t="shared" si="21"/>
        <v>28.846112734349312</v>
      </c>
      <c r="AA37" s="384">
        <f t="shared" si="12"/>
        <v>31.401978936196503</v>
      </c>
      <c r="AB37" s="197">
        <f t="shared" si="13"/>
        <v>44949</v>
      </c>
      <c r="AC37" s="119">
        <f>IF(OR(t&lt;Tnet,NoTnet),'2022'!Resal_s+('2022'!Salim-'2022'!Resal_s)*(1-EXP(('2022'!Tnet_s-t)/'2022'!Tau_j)),Resal_s+(Salim-Resal_s)*(1-EXP((Tnet_s-t)/Tau_j)))*Salcycl</f>
        <v>8.1391883200745974E-2</v>
      </c>
      <c r="AD37" s="230">
        <f>(INDEX(Models!$BJ37:$BT37,,AH37)*(1-AF37)+INDEX(Models!$BJ37:$BT37,,AH37+1)*AF37-ERP_i)*AE37*Ramure*Pc/MaxiM</f>
        <v>2.0980552643671897E-2</v>
      </c>
      <c r="AE37" s="304">
        <f t="shared" si="14"/>
        <v>0.7</v>
      </c>
      <c r="AF37" s="177">
        <f t="shared" si="22"/>
        <v>0.39975506352990481</v>
      </c>
      <c r="AG37" s="799">
        <f t="shared" si="23"/>
        <v>0</v>
      </c>
      <c r="AH37" s="176">
        <f t="shared" si="15"/>
        <v>6</v>
      </c>
      <c r="AI37" s="224">
        <f t="shared" si="24"/>
        <v>0.39975506352990481</v>
      </c>
      <c r="AJ37" s="264" t="b">
        <f t="shared" si="16"/>
        <v>1</v>
      </c>
      <c r="AK37" s="264" t="b">
        <f t="shared" si="17"/>
        <v>0</v>
      </c>
      <c r="AL37" s="264"/>
      <c r="AM37" s="264"/>
      <c r="AN37" s="75"/>
    </row>
    <row r="38" spans="1:40" s="6" customFormat="1" ht="11.25" x14ac:dyDescent="0.2">
      <c r="A38" s="56">
        <f t="shared" si="18"/>
        <v>44950</v>
      </c>
      <c r="B38" s="409">
        <f>'2022'!Wh/'2022'!Env_an*'2023'!Env_an</f>
        <v>30.448516511243191</v>
      </c>
      <c r="C38" s="829"/>
      <c r="D38" s="391">
        <f t="shared" si="0"/>
        <v>31.32152570893474</v>
      </c>
      <c r="E38" s="383">
        <f t="shared" si="1"/>
        <v>31.98138712391577</v>
      </c>
      <c r="F38" s="383">
        <f t="shared" si="2"/>
        <v>32.625037141756209</v>
      </c>
      <c r="G38" s="110">
        <f t="shared" si="19"/>
        <v>0.98928244992113346</v>
      </c>
      <c r="H38" s="412" t="b">
        <f>Wh_hp&gt;='2022'!Maxi_hp</f>
        <v>0</v>
      </c>
      <c r="I38" s="379">
        <f>IF(H38,Wh_hp,'2022'!Maxi_hp)</f>
        <v>32.62802258873004</v>
      </c>
      <c r="J38" s="85">
        <f>IF(H38,An,'2022'!An_max)</f>
        <v>2022</v>
      </c>
      <c r="K38" s="197">
        <f t="shared" si="3"/>
        <v>44950</v>
      </c>
      <c r="L38" s="147">
        <f>IF(t&lt;Tvie,1-EXP((T0-t)*PertePVj)+'2022'!Pspv,1-EXP((T0-t)*PertePVj)+Pspv)</f>
        <v>2.7872499117835625E-2</v>
      </c>
      <c r="M38" s="832"/>
      <c r="N38" s="832"/>
      <c r="O38" s="48">
        <f>IF(t&lt;Tnet,'2022'!Resal+('2022'!Salim-'2022'!Resal)*(1-EXP(('2022'!Tnet-t)/('2022'!Tau_j))),Resal+(Salim-Resal)*(1-EXP((Tnet-t)/(Tau_j))))*Salcycl</f>
        <v>2.0632670259870714E-2</v>
      </c>
      <c r="P38" s="338">
        <f>(INDEX(Models!$BJ38:$BT38,,T38)*(1-R38)+INDEX(Models!$BJ38:$BT38,,T38+1)*R38-ERP_i)*Q38*Ramure*Pc/MaxiM</f>
        <v>2.0026731546972893E-2</v>
      </c>
      <c r="Q38" s="304">
        <f t="shared" si="4"/>
        <v>0.7</v>
      </c>
      <c r="R38" s="177">
        <f t="shared" si="5"/>
        <v>0.33548032263825622</v>
      </c>
      <c r="S38" s="799">
        <f t="shared" si="6"/>
        <v>0</v>
      </c>
      <c r="T38" s="176">
        <f t="shared" si="7"/>
        <v>6</v>
      </c>
      <c r="U38" s="250">
        <f t="shared" si="20"/>
        <v>0.33548032263825622</v>
      </c>
      <c r="V38" s="382">
        <f t="shared" si="8"/>
        <v>30.769028286757319</v>
      </c>
      <c r="W38" s="400">
        <f t="shared" si="9"/>
        <v>30.448516511243191</v>
      </c>
      <c r="X38" s="157">
        <f t="shared" si="10"/>
        <v>44950</v>
      </c>
      <c r="Y38" s="383">
        <f t="shared" si="11"/>
        <v>28.531659233481534</v>
      </c>
      <c r="Z38" s="383">
        <f t="shared" si="21"/>
        <v>29.349708970881149</v>
      </c>
      <c r="AA38" s="384">
        <f t="shared" si="12"/>
        <v>31.949807304782578</v>
      </c>
      <c r="AB38" s="197">
        <f t="shared" si="13"/>
        <v>44950</v>
      </c>
      <c r="AC38" s="119">
        <f>IF(OR(t&lt;Tnet,NoTnet),'2022'!Resal_s+('2022'!Salim-'2022'!Resal_s)*(1-EXP(('2022'!Tnet_s-t)/'2022'!Tau_j)),Resal_s+(Salim-Resal_s)*(1-EXP((Tnet_s-t)/Tau_j)))*Salcycl</f>
        <v>8.1380720362348474E-2</v>
      </c>
      <c r="AD38" s="230">
        <f>(INDEX(Models!$BJ38:$BT38,,AH38)*(1-AF38)+INDEX(Models!$BJ38:$BT38,,AH38+1)*AF38-ERP_i)*AE38*Ramure*Pc/MaxiM</f>
        <v>2.1009316092226758E-2</v>
      </c>
      <c r="AE38" s="304">
        <f t="shared" si="14"/>
        <v>0.7</v>
      </c>
      <c r="AF38" s="177">
        <f t="shared" si="22"/>
        <v>0.39981254489808837</v>
      </c>
      <c r="AG38" s="799">
        <f t="shared" si="23"/>
        <v>0</v>
      </c>
      <c r="AH38" s="176">
        <f t="shared" si="15"/>
        <v>6</v>
      </c>
      <c r="AI38" s="224">
        <f t="shared" si="24"/>
        <v>0.39981254489808837</v>
      </c>
      <c r="AJ38" s="264" t="b">
        <f t="shared" si="16"/>
        <v>1</v>
      </c>
      <c r="AK38" s="264" t="b">
        <f t="shared" si="17"/>
        <v>0</v>
      </c>
      <c r="AL38" s="264"/>
      <c r="AM38" s="264"/>
      <c r="AN38" s="75"/>
    </row>
    <row r="39" spans="1:40" s="6" customFormat="1" ht="11.25" x14ac:dyDescent="0.2">
      <c r="A39" s="56">
        <f t="shared" si="18"/>
        <v>44951</v>
      </c>
      <c r="B39" s="409">
        <f>'2022'!Wh/'2022'!Env_an*'2023'!Env_an</f>
        <v>28.438824666596751</v>
      </c>
      <c r="C39" s="829"/>
      <c r="D39" s="391">
        <f t="shared" si="0"/>
        <v>29.254773344876551</v>
      </c>
      <c r="E39" s="383">
        <f t="shared" si="1"/>
        <v>29.872463372456416</v>
      </c>
      <c r="F39" s="383">
        <f t="shared" si="2"/>
        <v>30.408536348314065</v>
      </c>
      <c r="G39" s="110">
        <f t="shared" si="19"/>
        <v>0.91251222938803966</v>
      </c>
      <c r="H39" s="412" t="b">
        <f>Wh_hp&gt;='2022'!Maxi_hp</f>
        <v>0</v>
      </c>
      <c r="I39" s="379">
        <f>IF(H39,Wh_hp,'2022'!Maxi_hp)</f>
        <v>30.431174944513202</v>
      </c>
      <c r="J39" s="85">
        <f>IF(H39,An,'2022'!An_max)</f>
        <v>2022</v>
      </c>
      <c r="K39" s="197">
        <f t="shared" si="3"/>
        <v>44951</v>
      </c>
      <c r="L39" s="147">
        <f>IF(t&lt;Tvie,1-EXP((T0-t)*PertePVj)+'2022'!Pspv,1-EXP((T0-t)*PertePVj)+Pspv)</f>
        <v>2.7891129719612051E-2</v>
      </c>
      <c r="M39" s="832"/>
      <c r="N39" s="832"/>
      <c r="O39" s="48">
        <f>IF(t&lt;Tnet,'2022'!Resal+('2022'!Salim-'2022'!Resal)*(1-EXP(('2022'!Tnet-t)/('2022'!Tau_j))),Resal+(Salim-Resal)*(1-EXP((Tnet-t)/(Tau_j))))*Salcycl</f>
        <v>2.0677572514806383E-2</v>
      </c>
      <c r="P39" s="338">
        <f>(INDEX(Models!$BJ39:$BT39,,T39)*(1-R39)+INDEX(Models!$BJ39:$BT39,,T39+1)*R39-ERP_i)*Q39*Ramure*Pc/MaxiM</f>
        <v>2.0072494285611215E-2</v>
      </c>
      <c r="Q39" s="304">
        <f t="shared" si="4"/>
        <v>0.7</v>
      </c>
      <c r="R39" s="177">
        <f t="shared" si="5"/>
        <v>0.33554019786338285</v>
      </c>
      <c r="S39" s="799">
        <f t="shared" si="6"/>
        <v>0</v>
      </c>
      <c r="T39" s="176">
        <f t="shared" si="7"/>
        <v>6</v>
      </c>
      <c r="U39" s="250">
        <f t="shared" si="20"/>
        <v>0.33554019786338285</v>
      </c>
      <c r="V39" s="382">
        <f t="shared" si="8"/>
        <v>31.087899390686815</v>
      </c>
      <c r="W39" s="400">
        <f t="shared" si="9"/>
        <v>28.438824666596751</v>
      </c>
      <c r="X39" s="157">
        <f t="shared" si="10"/>
        <v>44951</v>
      </c>
      <c r="Y39" s="383">
        <f t="shared" si="11"/>
        <v>26.653069845090844</v>
      </c>
      <c r="Z39" s="383">
        <f t="shared" si="21"/>
        <v>27.417782781267316</v>
      </c>
      <c r="AA39" s="384">
        <f t="shared" si="12"/>
        <v>29.846372945921622</v>
      </c>
      <c r="AB39" s="197">
        <f t="shared" si="13"/>
        <v>44951</v>
      </c>
      <c r="AC39" s="119">
        <f>IF(OR(t&lt;Tnet,NoTnet),'2022'!Resal_s+('2022'!Salim-'2022'!Resal_s)*(1-EXP(('2022'!Tnet_s-t)/'2022'!Tau_j)),Resal_s+(Salim-Resal_s)*(1-EXP((Tnet_s-t)/Tau_j)))*Salcycl</f>
        <v>8.1369691689326687E-2</v>
      </c>
      <c r="AD39" s="230">
        <f>(INDEX(Models!$BJ39:$BT39,,AH39)*(1-AF39)+INDEX(Models!$BJ39:$BT39,,AH39+1)*AF39-ERP_i)*AE39*Ramure*Pc/MaxiM</f>
        <v>2.1049413401317409E-2</v>
      </c>
      <c r="AE39" s="304">
        <f t="shared" si="14"/>
        <v>0.7</v>
      </c>
      <c r="AF39" s="177">
        <f t="shared" si="22"/>
        <v>0.399872420123215</v>
      </c>
      <c r="AG39" s="799">
        <f t="shared" si="23"/>
        <v>0</v>
      </c>
      <c r="AH39" s="176">
        <f t="shared" si="15"/>
        <v>6</v>
      </c>
      <c r="AI39" s="224">
        <f t="shared" si="24"/>
        <v>0.399872420123215</v>
      </c>
      <c r="AJ39" s="264" t="b">
        <f t="shared" si="16"/>
        <v>1</v>
      </c>
      <c r="AK39" s="264" t="b">
        <f t="shared" si="17"/>
        <v>0</v>
      </c>
      <c r="AL39" s="264"/>
      <c r="AM39" s="264"/>
      <c r="AN39" s="75"/>
    </row>
    <row r="40" spans="1:40" s="6" customFormat="1" ht="11.25" x14ac:dyDescent="0.2">
      <c r="A40" s="56">
        <f t="shared" si="18"/>
        <v>44952</v>
      </c>
      <c r="B40" s="409">
        <f>'2022'!Wh/'2022'!Env_an*'2023'!Env_an</f>
        <v>30.632940546753716</v>
      </c>
      <c r="C40" s="829"/>
      <c r="D40" s="391">
        <f t="shared" si="0"/>
        <v>31.512445331855094</v>
      </c>
      <c r="E40" s="383">
        <f t="shared" si="1"/>
        <v>32.179279326257138</v>
      </c>
      <c r="F40" s="383">
        <f t="shared" si="2"/>
        <v>32.816425232851017</v>
      </c>
      <c r="G40" s="110">
        <f t="shared" si="19"/>
        <v>0.97452476086970963</v>
      </c>
      <c r="H40" s="412" t="b">
        <f>Wh_hp&gt;='2022'!Maxi_hp</f>
        <v>0</v>
      </c>
      <c r="I40" s="379">
        <f>IF(H40,Wh_hp,'2022'!Maxi_hp)</f>
        <v>32.823520357866578</v>
      </c>
      <c r="J40" s="85">
        <f>IF(H40,An,'2022'!An_max)</f>
        <v>2022</v>
      </c>
      <c r="K40" s="197">
        <f t="shared" si="3"/>
        <v>44952</v>
      </c>
      <c r="L40" s="147">
        <f>IF(t&lt;Tvie,1-EXP((T0-t)*PertePVj)+'2022'!Pspv,1-EXP((T0-t)*PertePVj)+Pspv)</f>
        <v>2.7909759964337311E-2</v>
      </c>
      <c r="M40" s="832"/>
      <c r="N40" s="832"/>
      <c r="O40" s="48">
        <f>IF(t&lt;Tnet,'2022'!Resal+('2022'!Salim-'2022'!Resal)*(1-EXP(('2022'!Tnet-t)/('2022'!Tau_j))),Resal+(Salim-Resal)*(1-EXP((Tnet-t)/(Tau_j))))*Salcycl</f>
        <v>2.0722465150359425E-2</v>
      </c>
      <c r="P40" s="338">
        <f>(INDEX(Models!$BJ40:$BT40,,T40)*(1-R40)+INDEX(Models!$BJ40:$BT40,,T40+1)*R40-ERP_i)*Q40*Ramure*Pc/MaxiM</f>
        <v>2.0127600169722246E-2</v>
      </c>
      <c r="Q40" s="304">
        <f t="shared" si="4"/>
        <v>0.7</v>
      </c>
      <c r="R40" s="177">
        <f t="shared" si="5"/>
        <v>0.33560256587329695</v>
      </c>
      <c r="S40" s="799">
        <f t="shared" si="6"/>
        <v>0</v>
      </c>
      <c r="T40" s="176">
        <f t="shared" si="7"/>
        <v>6</v>
      </c>
      <c r="U40" s="250">
        <f t="shared" si="20"/>
        <v>0.33560256587329695</v>
      </c>
      <c r="V40" s="382">
        <f t="shared" si="8"/>
        <v>31.410893611166745</v>
      </c>
      <c r="W40" s="400">
        <f t="shared" si="9"/>
        <v>30.632940546753716</v>
      </c>
      <c r="X40" s="157">
        <f t="shared" si="10"/>
        <v>44952</v>
      </c>
      <c r="Y40" s="383">
        <f t="shared" si="11"/>
        <v>28.708649667525201</v>
      </c>
      <c r="Z40" s="383">
        <f t="shared" si="21"/>
        <v>29.532905984604863</v>
      </c>
      <c r="AA40" s="384">
        <f t="shared" si="12"/>
        <v>32.148466625019807</v>
      </c>
      <c r="AB40" s="197">
        <f t="shared" si="13"/>
        <v>44952</v>
      </c>
      <c r="AC40" s="119">
        <f>IF(OR(t&lt;Tnet,NoTnet),'2022'!Resal_s+('2022'!Salim-'2022'!Resal_s)*(1-EXP(('2022'!Tnet_s-t)/'2022'!Tau_j)),Resal_s+(Salim-Resal_s)*(1-EXP((Tnet_s-t)/Tau_j)))*Salcycl</f>
        <v>8.1358799190110173E-2</v>
      </c>
      <c r="AD40" s="230">
        <f>(INDEX(Models!$BJ40:$BT40,,AH40)*(1-AF40)+INDEX(Models!$BJ40:$BT40,,AH40+1)*AF40-ERP_i)*AE40*Ramure*Pc/MaxiM</f>
        <v>2.1100981186904743E-2</v>
      </c>
      <c r="AE40" s="304">
        <f t="shared" si="14"/>
        <v>0.7</v>
      </c>
      <c r="AF40" s="177">
        <f t="shared" si="22"/>
        <v>0.3999347881331291</v>
      </c>
      <c r="AG40" s="799">
        <f t="shared" si="23"/>
        <v>0</v>
      </c>
      <c r="AH40" s="176">
        <f t="shared" si="15"/>
        <v>6</v>
      </c>
      <c r="AI40" s="224">
        <f t="shared" si="24"/>
        <v>0.3999347881331291</v>
      </c>
      <c r="AJ40" s="264" t="b">
        <f t="shared" si="16"/>
        <v>1</v>
      </c>
      <c r="AK40" s="264" t="b">
        <f t="shared" si="17"/>
        <v>0</v>
      </c>
      <c r="AL40" s="264"/>
      <c r="AM40" s="264"/>
      <c r="AN40" s="75"/>
    </row>
    <row r="41" spans="1:40" s="6" customFormat="1" ht="11.25" x14ac:dyDescent="0.2">
      <c r="A41" s="56">
        <f t="shared" si="18"/>
        <v>44953</v>
      </c>
      <c r="B41" s="409">
        <f>'2022'!Wh/'2022'!Env_an*'2023'!Env_an</f>
        <v>30.420264207165317</v>
      </c>
      <c r="C41" s="829"/>
      <c r="D41" s="391">
        <f t="shared" si="0"/>
        <v>31.294262572419264</v>
      </c>
      <c r="E41" s="383">
        <f t="shared" si="1"/>
        <v>31.957944348619463</v>
      </c>
      <c r="F41" s="383">
        <f t="shared" si="2"/>
        <v>32.57674533878675</v>
      </c>
      <c r="G41" s="110">
        <f t="shared" si="19"/>
        <v>0.95733282482748749</v>
      </c>
      <c r="H41" s="412" t="b">
        <f>Wh_hp&gt;='2022'!Maxi_hp</f>
        <v>0</v>
      </c>
      <c r="I41" s="379">
        <f>IF(H41,Wh_hp,'2022'!Maxi_hp)</f>
        <v>32.588540192320359</v>
      </c>
      <c r="J41" s="85">
        <f>IF(H41,An,'2022'!An_max)</f>
        <v>2022</v>
      </c>
      <c r="K41" s="197">
        <f t="shared" si="3"/>
        <v>44953</v>
      </c>
      <c r="L41" s="147">
        <f>IF(t&lt;Tvie,1-EXP((T0-t)*PertePVj)+'2022'!Pspv,1-EXP((T0-t)*PertePVj)+Pspv)</f>
        <v>2.7928389852018176E-2</v>
      </c>
      <c r="M41" s="832"/>
      <c r="N41" s="832"/>
      <c r="O41" s="48">
        <f>IF(t&lt;Tnet,'2022'!Resal+('2022'!Salim-'2022'!Resal)*(1-EXP(('2022'!Tnet-t)/('2022'!Tau_j))),Resal+(Salim-Resal)*(1-EXP((Tnet-t)/(Tau_j))))*Salcycl</f>
        <v>2.0767348768127778E-2</v>
      </c>
      <c r="P41" s="338">
        <f>(INDEX(Models!$BJ41:$BT41,,T41)*(1-R41)+INDEX(Models!$BJ41:$BT41,,T41+1)*R41-ERP_i)*Q41*Ramure*Pc/MaxiM</f>
        <v>2.0192215848033861E-2</v>
      </c>
      <c r="Q41" s="304">
        <f t="shared" si="4"/>
        <v>0.7</v>
      </c>
      <c r="R41" s="177">
        <f t="shared" si="5"/>
        <v>0.33566752961875435</v>
      </c>
      <c r="S41" s="799">
        <f t="shared" si="6"/>
        <v>0</v>
      </c>
      <c r="T41" s="176">
        <f t="shared" si="7"/>
        <v>6</v>
      </c>
      <c r="U41" s="250">
        <f t="shared" si="20"/>
        <v>0.33566752961875435</v>
      </c>
      <c r="V41" s="382">
        <f t="shared" si="8"/>
        <v>31.737285134312064</v>
      </c>
      <c r="W41" s="400">
        <f t="shared" si="9"/>
        <v>30.420264207165317</v>
      </c>
      <c r="X41" s="157">
        <f t="shared" si="10"/>
        <v>44953</v>
      </c>
      <c r="Y41" s="383">
        <f t="shared" si="11"/>
        <v>28.511701927291231</v>
      </c>
      <c r="Z41" s="383">
        <f t="shared" si="21"/>
        <v>29.330865781535163</v>
      </c>
      <c r="AA41" s="384">
        <f t="shared" si="12"/>
        <v>31.928159077074117</v>
      </c>
      <c r="AB41" s="197">
        <f t="shared" si="13"/>
        <v>44953</v>
      </c>
      <c r="AC41" s="119">
        <f>IF(OR(t&lt;Tnet,NoTnet),'2022'!Resal_s+('2022'!Salim-'2022'!Resal_s)*(1-EXP(('2022'!Tnet_s-t)/'2022'!Tau_j)),Resal_s+(Salim-Resal_s)*(1-EXP((Tnet_s-t)/Tau_j)))*Salcycl</f>
        <v>8.1348044190995256E-2</v>
      </c>
      <c r="AD41" s="230">
        <f>(INDEX(Models!$BJ41:$BT41,,AH41)*(1-AF41)+INDEX(Models!$BJ41:$BT41,,AH41+1)*AF41-ERP_i)*AE41*Ramure*Pc/MaxiM</f>
        <v>2.1164144855408708E-2</v>
      </c>
      <c r="AE41" s="304">
        <f t="shared" si="14"/>
        <v>0.7</v>
      </c>
      <c r="AF41" s="177">
        <f t="shared" si="22"/>
        <v>0.3999997518785865</v>
      </c>
      <c r="AG41" s="799">
        <f t="shared" si="23"/>
        <v>0</v>
      </c>
      <c r="AH41" s="176">
        <f t="shared" si="15"/>
        <v>6</v>
      </c>
      <c r="AI41" s="224">
        <f t="shared" si="24"/>
        <v>0.3999997518785865</v>
      </c>
      <c r="AJ41" s="264" t="b">
        <f t="shared" si="16"/>
        <v>1</v>
      </c>
      <c r="AK41" s="264" t="b">
        <f t="shared" si="17"/>
        <v>0</v>
      </c>
      <c r="AL41" s="264"/>
      <c r="AM41" s="264"/>
      <c r="AN41" s="75"/>
    </row>
    <row r="42" spans="1:40" s="6" customFormat="1" ht="11.25" x14ac:dyDescent="0.2">
      <c r="A42" s="56">
        <f t="shared" si="18"/>
        <v>44954</v>
      </c>
      <c r="B42" s="409">
        <f>'2022'!Wh/'2022'!Env_an*'2023'!Env_an</f>
        <v>4.1491942078358717</v>
      </c>
      <c r="C42" s="829"/>
      <c r="D42" s="391">
        <f t="shared" si="0"/>
        <v>4.2684856592906808</v>
      </c>
      <c r="E42" s="383">
        <f t="shared" si="1"/>
        <v>4.3592105242242809</v>
      </c>
      <c r="F42" s="383">
        <f t="shared" si="2"/>
        <v>4.3592105242242809</v>
      </c>
      <c r="G42" s="110">
        <f t="shared" si="19"/>
        <v>0.12677167107917217</v>
      </c>
      <c r="H42" s="412" t="b">
        <f>Wh_hp&gt;='2022'!Maxi_hp</f>
        <v>0</v>
      </c>
      <c r="I42" s="379">
        <f>IF(H42,Wh_hp,'2022'!Maxi_hp)</f>
        <v>18.718380052919283</v>
      </c>
      <c r="J42" s="85">
        <f>IF(H42,An,'2022'!An_max)</f>
        <v>2021</v>
      </c>
      <c r="K42" s="197">
        <f t="shared" si="3"/>
        <v>44954</v>
      </c>
      <c r="L42" s="147">
        <f>IF(t&lt;Tvie,1-EXP((T0-t)*PertePVj)+'2022'!Pspv,1-EXP((T0-t)*PertePVj)+Pspv)</f>
        <v>2.7947019382661531E-2</v>
      </c>
      <c r="M42" s="832"/>
      <c r="N42" s="832"/>
      <c r="O42" s="48">
        <f>IF(t&lt;Tnet,'2022'!Resal+('2022'!Salim-'2022'!Resal)*(1-EXP(('2022'!Tnet-t)/('2022'!Tau_j))),Resal+(Salim-Resal)*(1-EXP((Tnet-t)/(Tau_j))))*Salcycl</f>
        <v>2.0812223779842324E-2</v>
      </c>
      <c r="P42" s="338">
        <f>(INDEX(Models!$BJ42:$BT42,,T42)*(1-R42)+INDEX(Models!$BJ42:$BT42,,T42+1)*R42-ERP_i)*Q42*Ramure*Pc/MaxiM</f>
        <v>2.0266499959875676E-2</v>
      </c>
      <c r="Q42" s="304">
        <f t="shared" si="4"/>
        <v>0.7</v>
      </c>
      <c r="R42" s="177">
        <f t="shared" si="5"/>
        <v>0.33573519623143111</v>
      </c>
      <c r="S42" s="799">
        <f t="shared" si="6"/>
        <v>0</v>
      </c>
      <c r="T42" s="176">
        <f t="shared" si="7"/>
        <v>6</v>
      </c>
      <c r="U42" s="250">
        <f t="shared" si="20"/>
        <v>0.33573519623143111</v>
      </c>
      <c r="V42" s="382">
        <f t="shared" si="8"/>
        <v>32.066348333063203</v>
      </c>
      <c r="W42" s="400">
        <f t="shared" si="9"/>
        <v>4.1491942078358717</v>
      </c>
      <c r="X42" s="157">
        <f t="shared" si="10"/>
        <v>44954</v>
      </c>
      <c r="Y42" s="383">
        <f t="shared" si="11"/>
        <v>3.8927257042159931</v>
      </c>
      <c r="Z42" s="383">
        <f t="shared" si="21"/>
        <v>4.0046435552759405</v>
      </c>
      <c r="AA42" s="384">
        <f t="shared" si="12"/>
        <v>4.3592105242242809</v>
      </c>
      <c r="AB42" s="197">
        <f t="shared" si="13"/>
        <v>44954</v>
      </c>
      <c r="AC42" s="119">
        <f>IF(OR(t&lt;Tnet,NoTnet),'2022'!Resal_s+('2022'!Salim-'2022'!Resal_s)*(1-EXP(('2022'!Tnet_s-t)/'2022'!Tau_j)),Resal_s+(Salim-Resal_s)*(1-EXP((Tnet_s-t)/Tau_j)))*Salcycl</f>
        <v>8.1337427265327042E-2</v>
      </c>
      <c r="AD42" s="230">
        <f>(INDEX(Models!$BJ42:$BT42,,AH42)*(1-AF42)+INDEX(Models!$BJ42:$BT42,,AH42+1)*AF42-ERP_i)*AE42*Ramure*Pc/MaxiM</f>
        <v>2.1239021654480422E-2</v>
      </c>
      <c r="AE42" s="304">
        <f t="shared" si="14"/>
        <v>0.7</v>
      </c>
      <c r="AF42" s="177">
        <f t="shared" si="22"/>
        <v>0.40006741849126326</v>
      </c>
      <c r="AG42" s="799">
        <f t="shared" si="23"/>
        <v>0</v>
      </c>
      <c r="AH42" s="176">
        <f t="shared" si="15"/>
        <v>6</v>
      </c>
      <c r="AI42" s="224">
        <f t="shared" si="24"/>
        <v>0.40006741849126326</v>
      </c>
      <c r="AJ42" s="264" t="b">
        <f t="shared" si="16"/>
        <v>1</v>
      </c>
      <c r="AK42" s="264" t="b">
        <f t="shared" si="17"/>
        <v>0</v>
      </c>
      <c r="AL42" s="264"/>
      <c r="AM42" s="264"/>
      <c r="AN42" s="75"/>
    </row>
    <row r="43" spans="1:40" s="6" customFormat="1" ht="11.25" x14ac:dyDescent="0.2">
      <c r="A43" s="56">
        <f t="shared" si="18"/>
        <v>44955</v>
      </c>
      <c r="B43" s="409">
        <f>'2022'!Wh/'2022'!Env_an*'2023'!Env_an</f>
        <v>6.386533156872094</v>
      </c>
      <c r="C43" s="829"/>
      <c r="D43" s="391">
        <f t="shared" si="0"/>
        <v>6.5702751629985281</v>
      </c>
      <c r="E43" s="383">
        <f t="shared" si="1"/>
        <v>6.7102310587347249</v>
      </c>
      <c r="F43" s="383">
        <f t="shared" si="2"/>
        <v>6.7102310587347249</v>
      </c>
      <c r="G43" s="110">
        <f t="shared" si="19"/>
        <v>0.19311955577672207</v>
      </c>
      <c r="H43" s="412" t="b">
        <f>Wh_hp&gt;='2022'!Maxi_hp</f>
        <v>0</v>
      </c>
      <c r="I43" s="379">
        <f>IF(H43,Wh_hp,'2022'!Maxi_hp)</f>
        <v>27.689355662253256</v>
      </c>
      <c r="J43" s="85">
        <f>IF(H43,An,'2022'!An_max)</f>
        <v>2020</v>
      </c>
      <c r="K43" s="197">
        <f t="shared" si="3"/>
        <v>44955</v>
      </c>
      <c r="L43" s="147">
        <f>IF(t&lt;Tvie,1-EXP((T0-t)*PertePVj)+'2022'!Pspv,1-EXP((T0-t)*PertePVj)+Pspv)</f>
        <v>2.7965648556274147E-2</v>
      </c>
      <c r="M43" s="832"/>
      <c r="N43" s="832"/>
      <c r="O43" s="48">
        <f>IF(t&lt;Tnet,'2022'!Resal+('2022'!Salim-'2022'!Resal)*(1-EXP(('2022'!Tnet-t)/('2022'!Tau_j))),Resal+(Salim-Resal)*(1-EXP((Tnet-t)/(Tau_j))))*Salcycl</f>
        <v>2.0857090390950996E-2</v>
      </c>
      <c r="P43" s="338">
        <f>(INDEX(Models!$BJ43:$BT43,,T43)*(1-R43)+INDEX(Models!$BJ43:$BT43,,T43+1)*R43-ERP_i)*Q43*Ramure*Pc/MaxiM</f>
        <v>2.0350605550499046E-2</v>
      </c>
      <c r="Q43" s="304">
        <f t="shared" si="4"/>
        <v>0.7</v>
      </c>
      <c r="R43" s="177">
        <f t="shared" si="5"/>
        <v>0.33580567718765936</v>
      </c>
      <c r="S43" s="799">
        <f t="shared" si="6"/>
        <v>0</v>
      </c>
      <c r="T43" s="176">
        <f t="shared" si="7"/>
        <v>6</v>
      </c>
      <c r="U43" s="250">
        <f t="shared" si="20"/>
        <v>0.33580567718765936</v>
      </c>
      <c r="V43" s="382">
        <f t="shared" si="8"/>
        <v>32.39735776419775</v>
      </c>
      <c r="W43" s="400">
        <f t="shared" si="9"/>
        <v>6.386533156872094</v>
      </c>
      <c r="X43" s="157">
        <f t="shared" si="10"/>
        <v>44955</v>
      </c>
      <c r="Y43" s="383">
        <f t="shared" si="11"/>
        <v>5.9921139684585114</v>
      </c>
      <c r="Z43" s="383">
        <f t="shared" si="21"/>
        <v>6.1645084451579839</v>
      </c>
      <c r="AA43" s="384">
        <f t="shared" si="12"/>
        <v>6.7102310587347249</v>
      </c>
      <c r="AB43" s="197">
        <f t="shared" si="13"/>
        <v>44955</v>
      </c>
      <c r="AC43" s="119">
        <f>IF(OR(t&lt;Tnet,NoTnet),'2022'!Resal_s+('2022'!Salim-'2022'!Resal_s)*(1-EXP(('2022'!Tnet_s-t)/'2022'!Tau_j)),Resal_s+(Salim-Resal_s)*(1-EXP((Tnet_s-t)/Tau_j)))*Salcycl</f>
        <v>8.1326948178091774E-2</v>
      </c>
      <c r="AD43" s="230">
        <f>(INDEX(Models!$BJ43:$BT43,,AH43)*(1-AF43)+INDEX(Models!$BJ43:$BT43,,AH43+1)*AF43-ERP_i)*AE43*Ramure*Pc/MaxiM</f>
        <v>2.13257236137206E-2</v>
      </c>
      <c r="AE43" s="304">
        <f t="shared" si="14"/>
        <v>0.7</v>
      </c>
      <c r="AF43" s="177">
        <f t="shared" si="22"/>
        <v>0.40013789944749151</v>
      </c>
      <c r="AG43" s="799">
        <f t="shared" si="23"/>
        <v>0</v>
      </c>
      <c r="AH43" s="176">
        <f t="shared" si="15"/>
        <v>6</v>
      </c>
      <c r="AI43" s="224">
        <f t="shared" si="24"/>
        <v>0.40013789944749151</v>
      </c>
      <c r="AJ43" s="264" t="b">
        <f t="shared" si="16"/>
        <v>1</v>
      </c>
      <c r="AK43" s="264" t="b">
        <f t="shared" si="17"/>
        <v>0</v>
      </c>
      <c r="AL43" s="264"/>
      <c r="AM43" s="264"/>
      <c r="AN43" s="75"/>
    </row>
    <row r="44" spans="1:40" s="6" customFormat="1" ht="11.25" x14ac:dyDescent="0.2">
      <c r="A44" s="56">
        <f t="shared" si="18"/>
        <v>44956</v>
      </c>
      <c r="B44" s="409">
        <f>'2022'!Wh/'2022'!Env_an*'2023'!Env_an</f>
        <v>5.7586176428577742</v>
      </c>
      <c r="C44" s="829"/>
      <c r="D44" s="391">
        <f t="shared" si="0"/>
        <v>5.9244079172850643</v>
      </c>
      <c r="E44" s="383">
        <f t="shared" si="1"/>
        <v>6.0508831661358409</v>
      </c>
      <c r="F44" s="383">
        <f t="shared" si="2"/>
        <v>6.0508831661358409</v>
      </c>
      <c r="G44" s="110">
        <f t="shared" si="19"/>
        <v>0.17234816720449031</v>
      </c>
      <c r="H44" s="412" t="b">
        <f>Wh_hp&gt;='2022'!Maxi_hp</f>
        <v>0</v>
      </c>
      <c r="I44" s="379">
        <f>IF(H44,Wh_hp,'2022'!Maxi_hp)</f>
        <v>10.667841852164717</v>
      </c>
      <c r="J44" s="85">
        <f>IF(H44,An,'2022'!An_max)</f>
        <v>2020</v>
      </c>
      <c r="K44" s="197">
        <f t="shared" si="3"/>
        <v>44956</v>
      </c>
      <c r="L44" s="147">
        <f>IF(t&lt;Tvie,1-EXP((T0-t)*PertePVj)+'2022'!Pspv,1-EXP((T0-t)*PertePVj)+Pspv)</f>
        <v>2.7984277372862909E-2</v>
      </c>
      <c r="M44" s="832"/>
      <c r="N44" s="832"/>
      <c r="O44" s="48">
        <f>IF(t&lt;Tnet,'2022'!Resal+('2022'!Salim-'2022'!Resal)*(1-EXP(('2022'!Tnet-t)/('2022'!Tau_j))),Resal+(Salim-Resal)*(1-EXP((Tnet-t)/(Tau_j))))*Salcycl</f>
        <v>2.0901948588034857E-2</v>
      </c>
      <c r="P44" s="338">
        <f>(INDEX(Models!$BJ44:$BT44,,T44)*(1-R44)+INDEX(Models!$BJ44:$BT44,,T44+1)*R44-ERP_i)*Q44*Ramure*Pc/MaxiM</f>
        <v>2.0416719935316904E-2</v>
      </c>
      <c r="Q44" s="304">
        <f t="shared" si="4"/>
        <v>0.7</v>
      </c>
      <c r="R44" s="177">
        <f t="shared" si="5"/>
        <v>0.33587908847805414</v>
      </c>
      <c r="S44" s="799">
        <f t="shared" si="6"/>
        <v>0</v>
      </c>
      <c r="T44" s="176">
        <f t="shared" si="7"/>
        <v>6</v>
      </c>
      <c r="U44" s="250">
        <f t="shared" si="20"/>
        <v>0.33587908847805414</v>
      </c>
      <c r="V44" s="382">
        <f t="shared" si="8"/>
        <v>32.730522469298421</v>
      </c>
      <c r="W44" s="400">
        <f t="shared" si="9"/>
        <v>5.7586176428577742</v>
      </c>
      <c r="X44" s="157">
        <f t="shared" si="10"/>
        <v>44956</v>
      </c>
      <c r="Y44" s="383">
        <f t="shared" si="11"/>
        <v>5.4032855995837599</v>
      </c>
      <c r="Z44" s="383">
        <f t="shared" si="21"/>
        <v>5.5588458846940352</v>
      </c>
      <c r="AA44" s="384">
        <f t="shared" si="12"/>
        <v>6.0508831661358409</v>
      </c>
      <c r="AB44" s="197">
        <f t="shared" si="13"/>
        <v>44956</v>
      </c>
      <c r="AC44" s="119">
        <f>IF(OR(t&lt;Tnet,NoTnet),'2022'!Resal_s+('2022'!Salim-'2022'!Resal_s)*(1-EXP(('2022'!Tnet_s-t)/'2022'!Tau_j)),Resal_s+(Salim-Resal_s)*(1-EXP((Tnet_s-t)/Tau_j)))*Salcycl</f>
        <v>8.1316605846155493E-2</v>
      </c>
      <c r="AD44" s="230">
        <f>(INDEX(Models!$BJ44:$BT44,,AH44)*(1-AF44)+INDEX(Models!$BJ44:$BT44,,AH44+1)*AF44-ERP_i)*AE44*Ramure*Pc/MaxiM</f>
        <v>2.1396423660875401E-2</v>
      </c>
      <c r="AE44" s="304">
        <f t="shared" si="14"/>
        <v>0.7</v>
      </c>
      <c r="AF44" s="177">
        <f t="shared" si="22"/>
        <v>0.40021131073788629</v>
      </c>
      <c r="AG44" s="799">
        <f t="shared" si="23"/>
        <v>0</v>
      </c>
      <c r="AH44" s="176">
        <f t="shared" si="15"/>
        <v>6</v>
      </c>
      <c r="AI44" s="224">
        <f t="shared" si="24"/>
        <v>0.40021131073788629</v>
      </c>
      <c r="AJ44" s="264" t="b">
        <f t="shared" si="16"/>
        <v>1</v>
      </c>
      <c r="AK44" s="264" t="b">
        <f t="shared" si="17"/>
        <v>0</v>
      </c>
      <c r="AL44" s="264"/>
      <c r="AM44" s="264"/>
      <c r="AN44" s="75"/>
    </row>
    <row r="45" spans="1:40" s="6" customFormat="1" ht="11.25" x14ac:dyDescent="0.2">
      <c r="A45" s="56">
        <f t="shared" si="18"/>
        <v>44957</v>
      </c>
      <c r="B45" s="409">
        <f>'2022'!Wh/'2022'!Env_an*'2023'!Env_an</f>
        <v>7.2038985313040786</v>
      </c>
      <c r="C45" s="829"/>
      <c r="D45" s="391">
        <f t="shared" si="0"/>
        <v>7.4114403988765192</v>
      </c>
      <c r="E45" s="383">
        <f t="shared" si="1"/>
        <v>7.5700078246224516</v>
      </c>
      <c r="F45" s="383">
        <f t="shared" si="2"/>
        <v>7.5700078246224516</v>
      </c>
      <c r="G45" s="110">
        <f t="shared" si="19"/>
        <v>0.21341114813321274</v>
      </c>
      <c r="H45" s="412" t="b">
        <f>Wh_hp&gt;='2022'!Maxi_hp</f>
        <v>0</v>
      </c>
      <c r="I45" s="379">
        <f>IF(H45,Wh_hp,'2022'!Maxi_hp)</f>
        <v>21.848733659114771</v>
      </c>
      <c r="J45" s="85">
        <f>IF(H45,An,'2022'!An_max)</f>
        <v>2020</v>
      </c>
      <c r="K45" s="197">
        <f t="shared" si="3"/>
        <v>44957</v>
      </c>
      <c r="L45" s="147">
        <f>IF(t&lt;Tvie,1-EXP((T0-t)*PertePVj)+'2022'!Pspv,1-EXP((T0-t)*PertePVj)+Pspv)</f>
        <v>2.8002905832434588E-2</v>
      </c>
      <c r="M45" s="832"/>
      <c r="N45" s="832"/>
      <c r="O45" s="48">
        <f>IF(t&lt;Tnet,'2022'!Resal+('2022'!Salim-'2022'!Resal)*(1-EXP(('2022'!Tnet-t)/('2022'!Tau_j))),Resal+(Salim-Resal)*(1-EXP((Tnet-t)/(Tau_j))))*Salcycl</f>
        <v>2.094679813013807E-2</v>
      </c>
      <c r="P45" s="338">
        <f>(INDEX(Models!$BJ45:$BT45,,T45)*(1-R45)+INDEX(Models!$BJ45:$BT45,,T45+1)*R45-ERP_i)*Q45*Ramure*Pc/MaxiM</f>
        <v>2.0454060145309406E-2</v>
      </c>
      <c r="Q45" s="304">
        <f t="shared" si="4"/>
        <v>0.7</v>
      </c>
      <c r="R45" s="177">
        <f t="shared" si="5"/>
        <v>0.33595555078319816</v>
      </c>
      <c r="S45" s="799">
        <f t="shared" si="6"/>
        <v>0</v>
      </c>
      <c r="T45" s="176">
        <f t="shared" si="7"/>
        <v>6</v>
      </c>
      <c r="U45" s="250">
        <f t="shared" si="20"/>
        <v>0.33595555078319816</v>
      </c>
      <c r="V45" s="382">
        <f t="shared" si="8"/>
        <v>33.065515176645469</v>
      </c>
      <c r="W45" s="400">
        <f t="shared" si="9"/>
        <v>7.2038985313040786</v>
      </c>
      <c r="X45" s="157">
        <f t="shared" si="10"/>
        <v>44957</v>
      </c>
      <c r="Y45" s="383">
        <f t="shared" si="11"/>
        <v>6.759771047439326</v>
      </c>
      <c r="Z45" s="383">
        <f t="shared" si="21"/>
        <v>6.9545177531919551</v>
      </c>
      <c r="AA45" s="384">
        <f t="shared" si="12"/>
        <v>7.5700078246224516</v>
      </c>
      <c r="AB45" s="197">
        <f t="shared" si="13"/>
        <v>44957</v>
      </c>
      <c r="AC45" s="119">
        <f>IF(OR(t&lt;Tnet,NoTnet),'2022'!Resal_s+('2022'!Salim-'2022'!Resal_s)*(1-EXP(('2022'!Tnet_s-t)/'2022'!Tau_j)),Resal_s+(Salim-Resal_s)*(1-EXP((Tnet_s-t)/Tau_j)))*Salcycl</f>
        <v>8.1306398314217612E-2</v>
      </c>
      <c r="AD45" s="230">
        <f>(INDEX(Models!$BJ45:$BT45,,AH45)*(1-AF45)+INDEX(Models!$BJ45:$BT45,,AH45+1)*AF45-ERP_i)*AE45*Ramure*Pc/MaxiM</f>
        <v>2.1439069576936649E-2</v>
      </c>
      <c r="AE45" s="304">
        <f t="shared" si="14"/>
        <v>0.7</v>
      </c>
      <c r="AF45" s="177">
        <f t="shared" si="22"/>
        <v>0.40028777304303031</v>
      </c>
      <c r="AG45" s="799">
        <f t="shared" si="23"/>
        <v>0</v>
      </c>
      <c r="AH45" s="176">
        <f t="shared" si="15"/>
        <v>6</v>
      </c>
      <c r="AI45" s="224">
        <f t="shared" si="24"/>
        <v>0.40028777304303031</v>
      </c>
      <c r="AJ45" s="264" t="b">
        <f t="shared" si="16"/>
        <v>1</v>
      </c>
      <c r="AK45" s="264" t="b">
        <f t="shared" si="17"/>
        <v>0</v>
      </c>
      <c r="AL45" s="264"/>
      <c r="AM45" s="264"/>
      <c r="AN45" s="75"/>
    </row>
    <row r="46" spans="1:40" s="6" customFormat="1" ht="11.25" x14ac:dyDescent="0.2">
      <c r="A46" s="56">
        <f t="shared" si="18"/>
        <v>44958</v>
      </c>
      <c r="B46" s="409">
        <f>'2022'!Wh/'2022'!Env_an*'2023'!Env_an</f>
        <v>18.072293665058432</v>
      </c>
      <c r="C46" s="829"/>
      <c r="D46" s="391">
        <f t="shared" si="0"/>
        <v>18.59330663797833</v>
      </c>
      <c r="E46" s="383">
        <f t="shared" si="1"/>
        <v>18.991979404881668</v>
      </c>
      <c r="F46" s="383">
        <f t="shared" si="2"/>
        <v>19.126769928447189</v>
      </c>
      <c r="G46" s="110">
        <f t="shared" si="19"/>
        <v>0.53374975382824807</v>
      </c>
      <c r="H46" s="412" t="b">
        <f>Wh_hp&gt;='2022'!Maxi_hp</f>
        <v>0</v>
      </c>
      <c r="I46" s="379">
        <f>IF(H46,Wh_hp,'2022'!Maxi_hp)</f>
        <v>19.204267390617314</v>
      </c>
      <c r="J46" s="85">
        <f>IF(H46,An,'2022'!An_max)</f>
        <v>2022</v>
      </c>
      <c r="K46" s="197">
        <f t="shared" si="3"/>
        <v>44958</v>
      </c>
      <c r="L46" s="147">
        <f>IF(t&lt;Tvie,1-EXP((T0-t)*PertePVj)+'2022'!Pspv,1-EXP((T0-t)*PertePVj)+Pspv)</f>
        <v>2.8021533934996179E-2</v>
      </c>
      <c r="M46" s="832"/>
      <c r="N46" s="832"/>
      <c r="O46" s="48">
        <f>IF(t&lt;Tnet,'2022'!Resal+('2022'!Salim-'2022'!Resal)*(1-EXP(('2022'!Tnet-t)/('2022'!Tau_j))),Resal+(Salim-Resal)*(1-EXP((Tnet-t)/(Tau_j))))*Salcycl</f>
        <v>2.0991638544051228E-2</v>
      </c>
      <c r="P46" s="338">
        <f>(INDEX(Models!$BJ46:$BT46,,T46)*(1-R46)+INDEX(Models!$BJ46:$BT46,,T46+1)*R46-ERP_i)*Q46*Ramure*Pc/MaxiM</f>
        <v>2.0463958003654425E-2</v>
      </c>
      <c r="Q46" s="304">
        <f t="shared" si="4"/>
        <v>0.7</v>
      </c>
      <c r="R46" s="177">
        <f t="shared" si="5"/>
        <v>0.33603518965555057</v>
      </c>
      <c r="S46" s="799">
        <f t="shared" si="6"/>
        <v>0</v>
      </c>
      <c r="T46" s="176">
        <f t="shared" si="7"/>
        <v>6</v>
      </c>
      <c r="U46" s="250">
        <f t="shared" si="20"/>
        <v>0.33603518965555057</v>
      </c>
      <c r="V46" s="382">
        <f t="shared" si="8"/>
        <v>33.401610778136025</v>
      </c>
      <c r="W46" s="400">
        <f t="shared" si="9"/>
        <v>18.072293665058432</v>
      </c>
      <c r="X46" s="157">
        <f t="shared" si="10"/>
        <v>44958</v>
      </c>
      <c r="Y46" s="383">
        <f t="shared" si="11"/>
        <v>16.953252602091009</v>
      </c>
      <c r="Z46" s="383">
        <f t="shared" si="21"/>
        <v>17.442004317981681</v>
      </c>
      <c r="AA46" s="384">
        <f t="shared" si="12"/>
        <v>18.985451729248521</v>
      </c>
      <c r="AB46" s="197">
        <f t="shared" si="13"/>
        <v>44958</v>
      </c>
      <c r="AC46" s="119">
        <f>IF(OR(t&lt;Tnet,NoTnet),'2022'!Resal_s+('2022'!Salim-'2022'!Resal_s)*(1-EXP(('2022'!Tnet_s-t)/'2022'!Tau_j)),Resal_s+(Salim-Resal_s)*(1-EXP((Tnet_s-t)/Tau_j)))*Salcycl</f>
        <v>8.1296322746381766E-2</v>
      </c>
      <c r="AD46" s="230">
        <f>(INDEX(Models!$BJ46:$BT46,,AH46)*(1-AF46)+INDEX(Models!$BJ46:$BT46,,AH46+1)*AF46-ERP_i)*AE46*Ramure*Pc/MaxiM</f>
        <v>2.1454992658648739E-2</v>
      </c>
      <c r="AE46" s="304">
        <f t="shared" si="14"/>
        <v>0.7</v>
      </c>
      <c r="AF46" s="177">
        <f t="shared" si="22"/>
        <v>0.40036741191538272</v>
      </c>
      <c r="AG46" s="799">
        <f t="shared" si="23"/>
        <v>0</v>
      </c>
      <c r="AH46" s="176">
        <f t="shared" si="15"/>
        <v>6</v>
      </c>
      <c r="AI46" s="224">
        <f t="shared" si="24"/>
        <v>0.40036741191538272</v>
      </c>
      <c r="AJ46" s="264" t="b">
        <f t="shared" si="16"/>
        <v>1</v>
      </c>
      <c r="AK46" s="264" t="b">
        <f t="shared" si="17"/>
        <v>0</v>
      </c>
      <c r="AL46" s="264"/>
      <c r="AM46" s="264"/>
      <c r="AN46" s="75"/>
    </row>
    <row r="47" spans="1:40" s="6" customFormat="1" ht="11.25" x14ac:dyDescent="0.2">
      <c r="A47" s="56">
        <f t="shared" si="18"/>
        <v>44959</v>
      </c>
      <c r="B47" s="409">
        <f>'2022'!Wh/'2022'!Env_an*'2023'!Env_an</f>
        <v>6.6338268607158106</v>
      </c>
      <c r="C47" s="829"/>
      <c r="D47" s="391">
        <f t="shared" si="0"/>
        <v>6.8252067618204695</v>
      </c>
      <c r="E47" s="383">
        <f t="shared" si="1"/>
        <v>6.9718702960364025</v>
      </c>
      <c r="F47" s="383">
        <f t="shared" si="2"/>
        <v>6.9718702960364025</v>
      </c>
      <c r="G47" s="110">
        <f t="shared" si="19"/>
        <v>0.19260667919966742</v>
      </c>
      <c r="H47" s="412" t="b">
        <f>Wh_hp&gt;='2022'!Maxi_hp</f>
        <v>0</v>
      </c>
      <c r="I47" s="379">
        <f>IF(H47,Wh_hp,'2022'!Maxi_hp)</f>
        <v>33.054204591173026</v>
      </c>
      <c r="J47" s="85">
        <f>IF(H47,An,'2022'!An_max)</f>
        <v>2021</v>
      </c>
      <c r="K47" s="197">
        <f t="shared" si="3"/>
        <v>44959</v>
      </c>
      <c r="L47" s="147">
        <f>IF(t&lt;Tvie,1-EXP((T0-t)*PertePVj)+'2022'!Pspv,1-EXP((T0-t)*PertePVj)+Pspv)</f>
        <v>2.8040161680554343E-2</v>
      </c>
      <c r="M47" s="832"/>
      <c r="N47" s="832"/>
      <c r="O47" s="48">
        <f>IF(t&lt;Tnet,'2022'!Resal+('2022'!Salim-'2022'!Resal)*(1-EXP(('2022'!Tnet-t)/('2022'!Tau_j))),Resal+(Salim-Resal)*(1-EXP((Tnet-t)/(Tau_j))))*Salcycl</f>
        <v>2.1036469123545395E-2</v>
      </c>
      <c r="P47" s="338">
        <f>(INDEX(Models!$BJ47:$BT47,,T47)*(1-R47)+INDEX(Models!$BJ47:$BT47,,T47+1)*R47-ERP_i)*Q47*Ramure*Pc/MaxiM</f>
        <v>2.0447696140795894E-2</v>
      </c>
      <c r="Q47" s="304">
        <f t="shared" si="4"/>
        <v>0.7</v>
      </c>
      <c r="R47" s="177">
        <f t="shared" si="5"/>
        <v>0.33611813570774646</v>
      </c>
      <c r="S47" s="799">
        <f t="shared" si="6"/>
        <v>0</v>
      </c>
      <c r="T47" s="176">
        <f t="shared" si="7"/>
        <v>6</v>
      </c>
      <c r="U47" s="250">
        <f t="shared" si="20"/>
        <v>0.33611813570774646</v>
      </c>
      <c r="V47" s="382">
        <f t="shared" si="8"/>
        <v>33.738084327183941</v>
      </c>
      <c r="W47" s="400">
        <f t="shared" si="9"/>
        <v>6.6338268607158106</v>
      </c>
      <c r="X47" s="157">
        <f t="shared" si="10"/>
        <v>44959</v>
      </c>
      <c r="Y47" s="383">
        <f t="shared" si="11"/>
        <v>6.2255507255731519</v>
      </c>
      <c r="Z47" s="383">
        <f t="shared" si="21"/>
        <v>6.405152229681998</v>
      </c>
      <c r="AA47" s="384">
        <f t="shared" si="12"/>
        <v>6.9718702960364025</v>
      </c>
      <c r="AB47" s="197">
        <f t="shared" si="13"/>
        <v>44959</v>
      </c>
      <c r="AC47" s="119">
        <f>IF(OR(t&lt;Tnet,NoTnet),'2022'!Resal_s+('2022'!Salim-'2022'!Resal_s)*(1-EXP(('2022'!Tnet_s-t)/'2022'!Tau_j)),Resal_s+(Salim-Resal_s)*(1-EXP((Tnet_s-t)/Tau_j)))*Salcycl</f>
        <v>8.1286375433087268E-2</v>
      </c>
      <c r="AD47" s="230">
        <f>(INDEX(Models!$BJ47:$BT47,,AH47)*(1-AF47)+INDEX(Models!$BJ47:$BT47,,AH47+1)*AF47-ERP_i)*AE47*Ramure*Pc/MaxiM</f>
        <v>2.144547546631901E-2</v>
      </c>
      <c r="AE47" s="304">
        <f t="shared" si="14"/>
        <v>0.7</v>
      </c>
      <c r="AF47" s="177">
        <f t="shared" si="22"/>
        <v>0.40045035796757861</v>
      </c>
      <c r="AG47" s="799">
        <f t="shared" si="23"/>
        <v>0</v>
      </c>
      <c r="AH47" s="176">
        <f t="shared" si="15"/>
        <v>6</v>
      </c>
      <c r="AI47" s="224">
        <f t="shared" si="24"/>
        <v>0.40045035796757861</v>
      </c>
      <c r="AJ47" s="264" t="b">
        <f t="shared" si="16"/>
        <v>1</v>
      </c>
      <c r="AK47" s="264" t="b">
        <f t="shared" si="17"/>
        <v>0</v>
      </c>
      <c r="AL47" s="264"/>
      <c r="AM47" s="264"/>
      <c r="AN47" s="75"/>
    </row>
    <row r="48" spans="1:40" s="6" customFormat="1" ht="11.25" x14ac:dyDescent="0.2">
      <c r="A48" s="56">
        <f t="shared" si="18"/>
        <v>44960</v>
      </c>
      <c r="B48" s="409">
        <f>'2022'!Wh/'2022'!Env_an*'2023'!Env_an</f>
        <v>15.671542581122491</v>
      </c>
      <c r="C48" s="829"/>
      <c r="D48" s="391">
        <f t="shared" si="0"/>
        <v>16.12396141337906</v>
      </c>
      <c r="E48" s="383">
        <f t="shared" si="1"/>
        <v>16.471195443589256</v>
      </c>
      <c r="F48" s="383">
        <f t="shared" si="2"/>
        <v>16.548345887326729</v>
      </c>
      <c r="G48" s="110">
        <f t="shared" si="19"/>
        <v>0.45264872359308234</v>
      </c>
      <c r="H48" s="412" t="b">
        <f>Wh_hp&gt;='2022'!Maxi_hp</f>
        <v>0</v>
      </c>
      <c r="I48" s="379">
        <f>IF(H48,Wh_hp,'2022'!Maxi_hp)</f>
        <v>27.412753039742405</v>
      </c>
      <c r="J48" s="85">
        <f>IF(H48,An,'2022'!An_max)</f>
        <v>2020</v>
      </c>
      <c r="K48" s="197">
        <f t="shared" si="3"/>
        <v>44960</v>
      </c>
      <c r="L48" s="147">
        <f>IF(t&lt;Tvie,1-EXP((T0-t)*PertePVj)+'2022'!Pspv,1-EXP((T0-t)*PertePVj)+Pspv)</f>
        <v>2.8058789069116075E-2</v>
      </c>
      <c r="M48" s="832"/>
      <c r="N48" s="832"/>
      <c r="O48" s="48">
        <f>IF(t&lt;Tnet,'2022'!Resal+('2022'!Salim-'2022'!Resal)*(1-EXP(('2022'!Tnet-t)/('2022'!Tau_j))),Resal+(Salim-Resal)*(1-EXP((Tnet-t)/(Tau_j))))*Salcycl</f>
        <v>2.10812889325128E-2</v>
      </c>
      <c r="P48" s="338">
        <f>(INDEX(Models!$BJ48:$BT48,,T48)*(1-R48)+INDEX(Models!$BJ48:$BT48,,T48+1)*R48-ERP_i)*Q48*Ramure*Pc/MaxiM</f>
        <v>2.0406504633158896E-2</v>
      </c>
      <c r="Q48" s="304">
        <f t="shared" si="4"/>
        <v>0.7</v>
      </c>
      <c r="R48" s="177">
        <f t="shared" si="5"/>
        <v>0.33620452480745283</v>
      </c>
      <c r="S48" s="799">
        <f t="shared" si="6"/>
        <v>0</v>
      </c>
      <c r="T48" s="176">
        <f t="shared" si="7"/>
        <v>6</v>
      </c>
      <c r="U48" s="250">
        <f t="shared" si="20"/>
        <v>0.33620452480745283</v>
      </c>
      <c r="V48" s="382">
        <f t="shared" si="8"/>
        <v>34.074211047254394</v>
      </c>
      <c r="W48" s="400">
        <f t="shared" si="9"/>
        <v>15.671542581122491</v>
      </c>
      <c r="X48" s="157">
        <f t="shared" si="10"/>
        <v>44960</v>
      </c>
      <c r="Y48" s="383">
        <f t="shared" si="11"/>
        <v>14.704480950005323</v>
      </c>
      <c r="Z48" s="383">
        <f t="shared" si="21"/>
        <v>15.128981860869956</v>
      </c>
      <c r="AA48" s="384">
        <f t="shared" si="12"/>
        <v>16.467394938841679</v>
      </c>
      <c r="AB48" s="197">
        <f t="shared" si="13"/>
        <v>44960</v>
      </c>
      <c r="AC48" s="119">
        <f>IF(OR(t&lt;Tnet,NoTnet),'2022'!Resal_s+('2022'!Salim-'2022'!Resal_s)*(1-EXP(('2022'!Tnet_s-t)/'2022'!Tau_j)),Resal_s+(Salim-Resal_s)*(1-EXP((Tnet_s-t)/Tau_j)))*Salcycl</f>
        <v>8.1276551812989165E-2</v>
      </c>
      <c r="AD48" s="230">
        <f>(INDEX(Models!$BJ48:$BT48,,AH48)*(1-AF48)+INDEX(Models!$BJ48:$BT48,,AH48+1)*AF48-ERP_i)*AE48*Ramure*Pc/MaxiM</f>
        <v>2.1411748595250295E-2</v>
      </c>
      <c r="AE48" s="304">
        <f t="shared" si="14"/>
        <v>0.7</v>
      </c>
      <c r="AF48" s="177">
        <f t="shared" si="22"/>
        <v>0.40053674706728498</v>
      </c>
      <c r="AG48" s="799">
        <f t="shared" si="23"/>
        <v>0</v>
      </c>
      <c r="AH48" s="176">
        <f t="shared" si="15"/>
        <v>6</v>
      </c>
      <c r="AI48" s="224">
        <f t="shared" si="24"/>
        <v>0.40053674706728498</v>
      </c>
      <c r="AJ48" s="264" t="b">
        <f t="shared" si="16"/>
        <v>1</v>
      </c>
      <c r="AK48" s="264" t="b">
        <f t="shared" si="17"/>
        <v>0</v>
      </c>
      <c r="AL48" s="264"/>
      <c r="AM48" s="264"/>
      <c r="AN48" s="75"/>
    </row>
    <row r="49" spans="1:40" s="6" customFormat="1" ht="11.25" x14ac:dyDescent="0.2">
      <c r="A49" s="56">
        <f t="shared" si="18"/>
        <v>44961</v>
      </c>
      <c r="B49" s="409">
        <f>'2022'!Wh/'2022'!Env_an*'2023'!Env_an</f>
        <v>14.154505659951324</v>
      </c>
      <c r="C49" s="829"/>
      <c r="D49" s="391">
        <f t="shared" si="0"/>
        <v>14.56340854141289</v>
      </c>
      <c r="E49" s="383">
        <f t="shared" si="1"/>
        <v>14.877716623133669</v>
      </c>
      <c r="F49" s="383">
        <f t="shared" si="2"/>
        <v>14.926016843759038</v>
      </c>
      <c r="G49" s="110">
        <f t="shared" si="19"/>
        <v>0.40429802853638985</v>
      </c>
      <c r="H49" s="412" t="b">
        <f>Wh_hp&gt;='2022'!Maxi_hp</f>
        <v>0</v>
      </c>
      <c r="I49" s="379">
        <f>IF(H49,Wh_hp,'2022'!Maxi_hp)</f>
        <v>16.754733277342279</v>
      </c>
      <c r="J49" s="85">
        <f>IF(H49,An,'2022'!An_max)</f>
        <v>2020</v>
      </c>
      <c r="K49" s="197">
        <f t="shared" si="3"/>
        <v>44961</v>
      </c>
      <c r="L49" s="147">
        <f>IF(t&lt;Tvie,1-EXP((T0-t)*PertePVj)+'2022'!Pspv,1-EXP((T0-t)*PertePVj)+Pspv)</f>
        <v>2.8077416100688146E-2</v>
      </c>
      <c r="M49" s="832"/>
      <c r="N49" s="832"/>
      <c r="O49" s="48">
        <f>IF(t&lt;Tnet,'2022'!Resal+('2022'!Salim-'2022'!Resal)*(1-EXP(('2022'!Tnet-t)/('2022'!Tau_j))),Resal+(Salim-Resal)*(1-EXP((Tnet-t)/(Tau_j))))*Salcycl</f>
        <v>2.1126096811929829E-2</v>
      </c>
      <c r="P49" s="338">
        <f>(INDEX(Models!$BJ49:$BT49,,T49)*(1-R49)+INDEX(Models!$BJ49:$BT49,,T49+1)*R49-ERP_i)*Q49*Ramure*Pc/MaxiM</f>
        <v>2.0341558387366392E-2</v>
      </c>
      <c r="Q49" s="304">
        <f t="shared" si="4"/>
        <v>0.7</v>
      </c>
      <c r="R49" s="177">
        <f t="shared" si="5"/>
        <v>0.33629449827894559</v>
      </c>
      <c r="S49" s="799">
        <f t="shared" si="6"/>
        <v>0</v>
      </c>
      <c r="T49" s="176">
        <f t="shared" si="7"/>
        <v>6</v>
      </c>
      <c r="U49" s="250">
        <f t="shared" si="20"/>
        <v>0.33629449827894559</v>
      </c>
      <c r="V49" s="382">
        <f t="shared" si="8"/>
        <v>34.409266340315774</v>
      </c>
      <c r="W49" s="400">
        <f t="shared" si="9"/>
        <v>14.154505659951324</v>
      </c>
      <c r="X49" s="157">
        <f t="shared" si="10"/>
        <v>44961</v>
      </c>
      <c r="Y49" s="383">
        <f t="shared" si="11"/>
        <v>13.282722374929993</v>
      </c>
      <c r="Z49" s="383">
        <f t="shared" si="21"/>
        <v>13.666440717572668</v>
      </c>
      <c r="AA49" s="384">
        <f t="shared" si="12"/>
        <v>14.875310274421199</v>
      </c>
      <c r="AB49" s="197">
        <f t="shared" si="13"/>
        <v>44961</v>
      </c>
      <c r="AC49" s="119">
        <f>IF(OR(t&lt;Tnet,NoTnet),'2022'!Resal_s+('2022'!Salim-'2022'!Resal_s)*(1-EXP(('2022'!Tnet_s-t)/'2022'!Tau_j)),Resal_s+(Salim-Resal_s)*(1-EXP((Tnet_s-t)/Tau_j)))*Salcycl</f>
        <v>8.1266846509228163E-2</v>
      </c>
      <c r="AD49" s="230">
        <f>(INDEX(Models!$BJ49:$BT49,,AH49)*(1-AF49)+INDEX(Models!$BJ49:$BT49,,AH49+1)*AF49-ERP_i)*AE49*Ramure*Pc/MaxiM</f>
        <v>2.1354988185434819E-2</v>
      </c>
      <c r="AE49" s="304">
        <f t="shared" si="14"/>
        <v>0.7</v>
      </c>
      <c r="AF49" s="177">
        <f t="shared" si="22"/>
        <v>0.40062672053877774</v>
      </c>
      <c r="AG49" s="799">
        <f t="shared" si="23"/>
        <v>0</v>
      </c>
      <c r="AH49" s="176">
        <f t="shared" si="15"/>
        <v>6</v>
      </c>
      <c r="AI49" s="224">
        <f t="shared" si="24"/>
        <v>0.40062672053877774</v>
      </c>
      <c r="AJ49" s="264" t="b">
        <f t="shared" si="16"/>
        <v>1</v>
      </c>
      <c r="AK49" s="264" t="b">
        <f t="shared" si="17"/>
        <v>0</v>
      </c>
      <c r="AL49" s="264"/>
      <c r="AM49" s="264"/>
      <c r="AN49" s="75"/>
    </row>
    <row r="50" spans="1:40" s="6" customFormat="1" ht="11.25" x14ac:dyDescent="0.2">
      <c r="A50" s="56">
        <f t="shared" si="18"/>
        <v>44962</v>
      </c>
      <c r="B50" s="409">
        <f>'2022'!Wh/'2022'!Env_an*'2023'!Env_an</f>
        <v>10.397279710889945</v>
      </c>
      <c r="C50" s="829"/>
      <c r="D50" s="391">
        <f t="shared" si="0"/>
        <v>10.697846874272884</v>
      </c>
      <c r="E50" s="383">
        <f t="shared" si="1"/>
        <v>10.929228381315905</v>
      </c>
      <c r="F50" s="383">
        <f t="shared" si="2"/>
        <v>10.929228381315905</v>
      </c>
      <c r="G50" s="110">
        <f t="shared" si="19"/>
        <v>0.29320532210103034</v>
      </c>
      <c r="H50" s="412" t="b">
        <f>Wh_hp&gt;='2022'!Maxi_hp</f>
        <v>0</v>
      </c>
      <c r="I50" s="379">
        <f>IF(H50,Wh_hp,'2022'!Maxi_hp)</f>
        <v>35.887391837973411</v>
      </c>
      <c r="J50" s="85">
        <f>IF(H50,An,'2022'!An_max)</f>
        <v>2020</v>
      </c>
      <c r="K50" s="197">
        <f t="shared" si="3"/>
        <v>44962</v>
      </c>
      <c r="L50" s="147">
        <f>IF(t&lt;Tvie,1-EXP((T0-t)*PertePVj)+'2022'!Pspv,1-EXP((T0-t)*PertePVj)+Pspv)</f>
        <v>2.8096042775277441E-2</v>
      </c>
      <c r="M50" s="832"/>
      <c r="N50" s="832"/>
      <c r="O50" s="48">
        <f>IF(t&lt;Tnet,'2022'!Resal+('2022'!Salim-'2022'!Resal)*(1-EXP(('2022'!Tnet-t)/('2022'!Tau_j))),Resal+(Salim-Resal)*(1-EXP((Tnet-t)/(Tau_j))))*Salcycl</f>
        <v>2.1170891390519444E-2</v>
      </c>
      <c r="P50" s="338">
        <f>(INDEX(Models!$BJ50:$BT50,,T50)*(1-R50)+INDEX(Models!$BJ50:$BT50,,T50+1)*R50-ERP_i)*Q50*Ramure*Pc/MaxiM</f>
        <v>2.0253975179951748E-2</v>
      </c>
      <c r="Q50" s="304">
        <f t="shared" si="4"/>
        <v>0.7</v>
      </c>
      <c r="R50" s="177">
        <f t="shared" si="5"/>
        <v>0.33638820311157031</v>
      </c>
      <c r="S50" s="799">
        <f t="shared" si="6"/>
        <v>0</v>
      </c>
      <c r="T50" s="176">
        <f t="shared" si="7"/>
        <v>6</v>
      </c>
      <c r="U50" s="250">
        <f t="shared" si="20"/>
        <v>0.33638820311157031</v>
      </c>
      <c r="V50" s="382">
        <f t="shared" si="8"/>
        <v>34.742525792818022</v>
      </c>
      <c r="W50" s="400">
        <f t="shared" si="9"/>
        <v>10.397279710889945</v>
      </c>
      <c r="X50" s="157">
        <f t="shared" si="10"/>
        <v>44962</v>
      </c>
      <c r="Y50" s="383">
        <f t="shared" si="11"/>
        <v>9.7590327412063207</v>
      </c>
      <c r="Z50" s="383">
        <f t="shared" si="21"/>
        <v>10.041149301494045</v>
      </c>
      <c r="AA50" s="384">
        <f t="shared" si="12"/>
        <v>10.929228381315905</v>
      </c>
      <c r="AB50" s="197">
        <f t="shared" si="13"/>
        <v>44962</v>
      </c>
      <c r="AC50" s="119">
        <f>IF(OR(t&lt;Tnet,NoTnet),'2022'!Resal_s+('2022'!Salim-'2022'!Resal_s)*(1-EXP(('2022'!Tnet_s-t)/'2022'!Tau_j)),Resal_s+(Salim-Resal_s)*(1-EXP((Tnet_s-t)/Tau_j)))*Salcycl</f>
        <v>8.1257253379394878E-2</v>
      </c>
      <c r="AD50" s="230">
        <f>(INDEX(Models!$BJ50:$BT50,,AH50)*(1-AF50)+INDEX(Models!$BJ50:$BT50,,AH50+1)*AF50-ERP_i)*AE50*Ramure*Pc/MaxiM</f>
        <v>2.1276314080680276E-2</v>
      </c>
      <c r="AE50" s="304">
        <f t="shared" si="14"/>
        <v>0.7</v>
      </c>
      <c r="AF50" s="177">
        <f t="shared" si="22"/>
        <v>0.40072042537140246</v>
      </c>
      <c r="AG50" s="799">
        <f t="shared" si="23"/>
        <v>0</v>
      </c>
      <c r="AH50" s="176">
        <f t="shared" si="15"/>
        <v>6</v>
      </c>
      <c r="AI50" s="224">
        <f t="shared" si="24"/>
        <v>0.40072042537140246</v>
      </c>
      <c r="AJ50" s="264" t="b">
        <f t="shared" si="16"/>
        <v>1</v>
      </c>
      <c r="AK50" s="264" t="b">
        <f t="shared" si="17"/>
        <v>0</v>
      </c>
      <c r="AL50" s="264"/>
      <c r="AM50" s="264"/>
      <c r="AN50" s="75"/>
    </row>
    <row r="51" spans="1:40" s="6" customFormat="1" ht="11.25" x14ac:dyDescent="0.2">
      <c r="A51" s="56">
        <f t="shared" si="18"/>
        <v>44963</v>
      </c>
      <c r="B51" s="409">
        <f>'2022'!Wh/'2022'!Env_an*'2023'!Env_an</f>
        <v>27.367602932621089</v>
      </c>
      <c r="C51" s="829"/>
      <c r="D51" s="391">
        <f t="shared" si="0"/>
        <v>28.159292112246963</v>
      </c>
      <c r="E51" s="383">
        <f t="shared" si="1"/>
        <v>28.76965975115629</v>
      </c>
      <c r="F51" s="383">
        <f t="shared" si="2"/>
        <v>29.172830597273133</v>
      </c>
      <c r="G51" s="110">
        <f t="shared" si="19"/>
        <v>0.77524974907244437</v>
      </c>
      <c r="H51" s="412" t="b">
        <f>Wh_hp&gt;='2022'!Maxi_hp</f>
        <v>0</v>
      </c>
      <c r="I51" s="379">
        <f>IF(H51,Wh_hp,'2022'!Maxi_hp)</f>
        <v>39.205696557026307</v>
      </c>
      <c r="J51" s="85">
        <f>IF(H51,An,'2022'!An_max)</f>
        <v>2020</v>
      </c>
      <c r="K51" s="197">
        <f t="shared" si="3"/>
        <v>44963</v>
      </c>
      <c r="L51" s="147">
        <f>IF(t&lt;Tvie,1-EXP((T0-t)*PertePVj)+'2022'!Pspv,1-EXP((T0-t)*PertePVj)+Pspv)</f>
        <v>2.8114669092890732E-2</v>
      </c>
      <c r="M51" s="832"/>
      <c r="N51" s="832"/>
      <c r="O51" s="48">
        <f>IF(t&lt;Tnet,'2022'!Resal+('2022'!Salim-'2022'!Resal)*(1-EXP(('2022'!Tnet-t)/('2022'!Tau_j))),Resal+(Salim-Resal)*(1-EXP((Tnet-t)/(Tau_j))))*Salcycl</f>
        <v>2.1215671098953292E-2</v>
      </c>
      <c r="P51" s="338">
        <f>(INDEX(Models!$BJ51:$BT51,,T51)*(1-R51)+INDEX(Models!$BJ51:$BT51,,T51+1)*R51-ERP_i)*Q51*Ramure*Pc/MaxiM</f>
        <v>2.0143670120675757E-2</v>
      </c>
      <c r="Q51" s="304">
        <f t="shared" si="4"/>
        <v>0.7</v>
      </c>
      <c r="R51" s="177">
        <f t="shared" si="5"/>
        <v>0.3364857921752456</v>
      </c>
      <c r="S51" s="799">
        <f t="shared" si="6"/>
        <v>0</v>
      </c>
      <c r="T51" s="176">
        <f t="shared" si="7"/>
        <v>6</v>
      </c>
      <c r="U51" s="250">
        <f t="shared" si="20"/>
        <v>0.3364857921752456</v>
      </c>
      <c r="V51" s="382">
        <f t="shared" si="8"/>
        <v>35.075298269459424</v>
      </c>
      <c r="W51" s="400">
        <f t="shared" si="9"/>
        <v>27.367602932621089</v>
      </c>
      <c r="X51" s="157">
        <f t="shared" si="10"/>
        <v>44963</v>
      </c>
      <c r="Y51" s="383">
        <f t="shared" si="11"/>
        <v>25.670614921521825</v>
      </c>
      <c r="Z51" s="383">
        <f t="shared" si="21"/>
        <v>26.413213683925196</v>
      </c>
      <c r="AA51" s="384">
        <f t="shared" si="12"/>
        <v>28.749006200297934</v>
      </c>
      <c r="AB51" s="197">
        <f t="shared" si="13"/>
        <v>44963</v>
      </c>
      <c r="AC51" s="119">
        <f>IF(OR(t&lt;Tnet,NoTnet),'2022'!Resal_s+('2022'!Salim-'2022'!Resal_s)*(1-EXP(('2022'!Tnet_s-t)/'2022'!Tau_j)),Resal_s+(Salim-Resal_s)*(1-EXP((Tnet_s-t)/Tau_j)))*Salcycl</f>
        <v>8.124776557836387E-2</v>
      </c>
      <c r="AD51" s="230">
        <f>(INDEX(Models!$BJ51:$BT51,,AH51)*(1-AF51)+INDEX(Models!$BJ51:$BT51,,AH51+1)*AF51-ERP_i)*AE51*Ramure*Pc/MaxiM</f>
        <v>2.1175585794436475E-2</v>
      </c>
      <c r="AE51" s="304">
        <f t="shared" si="14"/>
        <v>0.7</v>
      </c>
      <c r="AF51" s="177">
        <f t="shared" si="22"/>
        <v>0.40081801443507775</v>
      </c>
      <c r="AG51" s="799">
        <f t="shared" si="23"/>
        <v>0</v>
      </c>
      <c r="AH51" s="176">
        <f t="shared" si="15"/>
        <v>6</v>
      </c>
      <c r="AI51" s="224">
        <f t="shared" si="24"/>
        <v>0.40081801443507775</v>
      </c>
      <c r="AJ51" s="264" t="b">
        <f t="shared" si="16"/>
        <v>1</v>
      </c>
      <c r="AK51" s="264" t="b">
        <f t="shared" si="17"/>
        <v>0</v>
      </c>
      <c r="AL51" s="264"/>
      <c r="AM51" s="264"/>
      <c r="AN51" s="75"/>
    </row>
    <row r="52" spans="1:40" s="6" customFormat="1" ht="11.25" x14ac:dyDescent="0.2">
      <c r="A52" s="56">
        <f t="shared" si="18"/>
        <v>44964</v>
      </c>
      <c r="B52" s="409">
        <f>'2022'!Wh/'2022'!Env_an*'2023'!Env_an</f>
        <v>12.358711806912842</v>
      </c>
      <c r="C52" s="829"/>
      <c r="D52" s="391">
        <f t="shared" si="0"/>
        <v>12.716467951840798</v>
      </c>
      <c r="E52" s="383">
        <f t="shared" si="1"/>
        <v>12.992698360245532</v>
      </c>
      <c r="F52" s="383">
        <f t="shared" si="2"/>
        <v>13.010893213799326</v>
      </c>
      <c r="G52" s="110">
        <f t="shared" si="19"/>
        <v>0.34251929529322817</v>
      </c>
      <c r="H52" s="412" t="b">
        <f>Wh_hp&gt;='2022'!Maxi_hp</f>
        <v>0</v>
      </c>
      <c r="I52" s="379">
        <f>IF(H52,Wh_hp,'2022'!Maxi_hp)</f>
        <v>26.902092201697947</v>
      </c>
      <c r="J52" s="85">
        <f>IF(H52,An,'2022'!An_max)</f>
        <v>2020</v>
      </c>
      <c r="K52" s="197">
        <f t="shared" si="3"/>
        <v>44964</v>
      </c>
      <c r="L52" s="147">
        <f>IF(t&lt;Tvie,1-EXP((T0-t)*PertePVj)+'2022'!Pspv,1-EXP((T0-t)*PertePVj)+Pspv)</f>
        <v>2.813329505353479E-2</v>
      </c>
      <c r="M52" s="832"/>
      <c r="N52" s="832"/>
      <c r="O52" s="48">
        <f>IF(t&lt;Tnet,'2022'!Resal+('2022'!Salim-'2022'!Resal)*(1-EXP(('2022'!Tnet-t)/('2022'!Tau_j))),Resal+(Salim-Resal)*(1-EXP((Tnet-t)/(Tau_j))))*Salcycl</f>
        <v>2.1260434187399504E-2</v>
      </c>
      <c r="P52" s="338">
        <f>(INDEX(Models!$BJ52:$BT52,,T52)*(1-R52)+INDEX(Models!$BJ52:$BT52,,T52+1)*R52-ERP_i)*Q52*Ramure*Pc/MaxiM</f>
        <v>1.9973068452737532E-2</v>
      </c>
      <c r="Q52" s="304">
        <f t="shared" si="4"/>
        <v>0.7</v>
      </c>
      <c r="R52" s="177">
        <f t="shared" si="5"/>
        <v>0.3365874244431668</v>
      </c>
      <c r="S52" s="799">
        <f t="shared" si="6"/>
        <v>0</v>
      </c>
      <c r="T52" s="176">
        <f t="shared" si="7"/>
        <v>6</v>
      </c>
      <c r="U52" s="250">
        <f t="shared" si="20"/>
        <v>0.3365874244431668</v>
      </c>
      <c r="V52" s="382">
        <f t="shared" si="8"/>
        <v>35.410652558809161</v>
      </c>
      <c r="W52" s="400">
        <f t="shared" si="9"/>
        <v>12.358711806912842</v>
      </c>
      <c r="X52" s="157">
        <f t="shared" si="10"/>
        <v>44964</v>
      </c>
      <c r="Y52" s="383">
        <f t="shared" si="11"/>
        <v>11.600514198123001</v>
      </c>
      <c r="Z52" s="383">
        <f t="shared" si="21"/>
        <v>11.936322274526329</v>
      </c>
      <c r="AA52" s="384">
        <f t="shared" si="12"/>
        <v>12.991751024375731</v>
      </c>
      <c r="AB52" s="197">
        <f t="shared" si="13"/>
        <v>44964</v>
      </c>
      <c r="AC52" s="119">
        <f>IF(OR(t&lt;Tnet,NoTnet),'2022'!Resal_s+('2022'!Salim-'2022'!Resal_s)*(1-EXP(('2022'!Tnet_s-t)/'2022'!Tau_j)),Resal_s+(Salim-Resal_s)*(1-EXP((Tnet_s-t)/Tau_j)))*Salcycl</f>
        <v>8.1238375633058066E-2</v>
      </c>
      <c r="AD52" s="230">
        <f>(INDEX(Models!$BJ52:$BT52,,AH52)*(1-AF52)+INDEX(Models!$BJ52:$BT52,,AH52+1)*AF52-ERP_i)*AE52*Ramure*Pc/MaxiM</f>
        <v>2.1012989115980391E-2</v>
      </c>
      <c r="AE52" s="304">
        <f t="shared" si="14"/>
        <v>0.7</v>
      </c>
      <c r="AF52" s="177">
        <f t="shared" si="22"/>
        <v>0.40091964670299896</v>
      </c>
      <c r="AG52" s="799">
        <f t="shared" si="23"/>
        <v>0</v>
      </c>
      <c r="AH52" s="176">
        <f t="shared" si="15"/>
        <v>6</v>
      </c>
      <c r="AI52" s="224">
        <f t="shared" si="24"/>
        <v>0.40091964670299896</v>
      </c>
      <c r="AJ52" s="264" t="b">
        <f t="shared" si="16"/>
        <v>1</v>
      </c>
      <c r="AK52" s="264" t="b">
        <f t="shared" si="17"/>
        <v>0</v>
      </c>
      <c r="AL52" s="264"/>
      <c r="AM52" s="264"/>
      <c r="AN52" s="75"/>
    </row>
    <row r="53" spans="1:40" s="6" customFormat="1" ht="11.25" x14ac:dyDescent="0.2">
      <c r="A53" s="56">
        <f t="shared" si="18"/>
        <v>44965</v>
      </c>
      <c r="B53" s="409">
        <f>'2022'!Wh/'2022'!Env_an*'2023'!Env_an</f>
        <v>35.575230554971228</v>
      </c>
      <c r="C53" s="829"/>
      <c r="D53" s="391">
        <f t="shared" si="0"/>
        <v>36.605752803492848</v>
      </c>
      <c r="E53" s="383">
        <f t="shared" si="1"/>
        <v>37.402622358415137</v>
      </c>
      <c r="F53" s="383">
        <f t="shared" si="2"/>
        <v>38.150618298255011</v>
      </c>
      <c r="G53" s="110">
        <f t="shared" si="19"/>
        <v>0.99501393131401894</v>
      </c>
      <c r="H53" s="412" t="b">
        <f>Wh_hp&gt;='2022'!Maxi_hp</f>
        <v>0</v>
      </c>
      <c r="I53" s="379">
        <f>IF(H53,Wh_hp,'2022'!Maxi_hp)</f>
        <v>38.152331128620446</v>
      </c>
      <c r="J53" s="85">
        <f>IF(H53,An,'2022'!An_max)</f>
        <v>2022</v>
      </c>
      <c r="K53" s="197">
        <f t="shared" si="3"/>
        <v>44965</v>
      </c>
      <c r="L53" s="147">
        <f>IF(t&lt;Tvie,1-EXP((T0-t)*PertePVj)+'2022'!Pspv,1-EXP((T0-t)*PertePVj)+Pspv)</f>
        <v>2.8151920657216722E-2</v>
      </c>
      <c r="M53" s="832"/>
      <c r="N53" s="832"/>
      <c r="O53" s="48">
        <f>IF(t&lt;Tnet,'2022'!Resal+('2022'!Salim-'2022'!Resal)*(1-EXP(('2022'!Tnet-t)/('2022'!Tau_j))),Resal+(Salim-Resal)*(1-EXP((Tnet-t)/(Tau_j))))*Salcycl</f>
        <v>2.1305178746190319E-2</v>
      </c>
      <c r="P53" s="338">
        <f>(INDEX(Models!$BJ53:$BT53,,T53)*(1-R53)+INDEX(Models!$BJ53:$BT53,,T53+1)*R53-ERP_i)*Q53*Ramure*Pc/MaxiM</f>
        <v>1.974310625295431E-2</v>
      </c>
      <c r="Q53" s="304">
        <f t="shared" si="4"/>
        <v>0.7</v>
      </c>
      <c r="R53" s="177">
        <f t="shared" si="5"/>
        <v>0.33669326522185977</v>
      </c>
      <c r="S53" s="799">
        <f t="shared" si="6"/>
        <v>0</v>
      </c>
      <c r="T53" s="176">
        <f t="shared" si="7"/>
        <v>6</v>
      </c>
      <c r="U53" s="250">
        <f t="shared" si="20"/>
        <v>0.33669326522185977</v>
      </c>
      <c r="V53" s="382">
        <f t="shared" si="8"/>
        <v>35.74851415972784</v>
      </c>
      <c r="W53" s="400">
        <f t="shared" si="9"/>
        <v>35.575230554971228</v>
      </c>
      <c r="X53" s="157">
        <f t="shared" si="10"/>
        <v>44965</v>
      </c>
      <c r="Y53" s="383">
        <f t="shared" si="11"/>
        <v>33.361643879731496</v>
      </c>
      <c r="Z53" s="383">
        <f t="shared" si="21"/>
        <v>34.328044258000141</v>
      </c>
      <c r="AA53" s="384">
        <f t="shared" si="12"/>
        <v>37.363006755717166</v>
      </c>
      <c r="AB53" s="197">
        <f t="shared" si="13"/>
        <v>44965</v>
      </c>
      <c r="AC53" s="119">
        <f>IF(OR(t&lt;Tnet,NoTnet),'2022'!Resal_s+('2022'!Salim-'2022'!Resal_s)*(1-EXP(('2022'!Tnet_s-t)/'2022'!Tau_j)),Resal_s+(Salim-Resal_s)*(1-EXP((Tnet_s-t)/Tau_j)))*Salcycl</f>
        <v>8.1229075528099007E-2</v>
      </c>
      <c r="AD53" s="230">
        <f>(INDEX(Models!$BJ53:$BT53,,AH53)*(1-AF53)+INDEX(Models!$BJ53:$BT53,,AH53+1)*AF53-ERP_i)*AE53*Ramure*Pc/MaxiM</f>
        <v>2.0788747026764202E-2</v>
      </c>
      <c r="AE53" s="304">
        <f t="shared" si="14"/>
        <v>0.7</v>
      </c>
      <c r="AF53" s="177">
        <f t="shared" si="22"/>
        <v>0.40102548748169192</v>
      </c>
      <c r="AG53" s="799">
        <f t="shared" si="23"/>
        <v>0</v>
      </c>
      <c r="AH53" s="176">
        <f t="shared" si="15"/>
        <v>6</v>
      </c>
      <c r="AI53" s="224">
        <f t="shared" si="24"/>
        <v>0.40102548748169192</v>
      </c>
      <c r="AJ53" s="264" t="b">
        <f t="shared" si="16"/>
        <v>1</v>
      </c>
      <c r="AK53" s="264" t="b">
        <f t="shared" si="17"/>
        <v>0</v>
      </c>
      <c r="AL53" s="264"/>
      <c r="AM53" s="264"/>
      <c r="AN53" s="75"/>
    </row>
    <row r="54" spans="1:40" s="6" customFormat="1" ht="11.25" x14ac:dyDescent="0.2">
      <c r="A54" s="56">
        <f t="shared" si="18"/>
        <v>44966</v>
      </c>
      <c r="B54" s="409">
        <f>'2022'!Wh/'2022'!Env_an*'2023'!Env_an</f>
        <v>36.228119494719557</v>
      </c>
      <c r="C54" s="829"/>
      <c r="D54" s="391">
        <f t="shared" si="0"/>
        <v>37.278268673608984</v>
      </c>
      <c r="E54" s="383">
        <f t="shared" si="1"/>
        <v>38.091518896870546</v>
      </c>
      <c r="F54" s="383">
        <f t="shared" si="2"/>
        <v>38.847312619802175</v>
      </c>
      <c r="G54" s="110">
        <f t="shared" si="19"/>
        <v>1.0038610536611314</v>
      </c>
      <c r="H54" s="412" t="b">
        <f>Wh_hp&gt;='2022'!Maxi_hp</f>
        <v>1</v>
      </c>
      <c r="I54" s="379">
        <f>IF(H54,Wh_hp,'2022'!Maxi_hp)</f>
        <v>38.847312619802175</v>
      </c>
      <c r="J54" s="85">
        <f>IF(H54,An,'2022'!An_max)</f>
        <v>2023</v>
      </c>
      <c r="K54" s="197">
        <f t="shared" si="3"/>
        <v>44966</v>
      </c>
      <c r="L54" s="147">
        <f>IF(t&lt;Tvie,1-EXP((T0-t)*PertePVj)+'2022'!Pspv,1-EXP((T0-t)*PertePVj)+Pspv)</f>
        <v>2.8170545903943189E-2</v>
      </c>
      <c r="M54" s="832"/>
      <c r="N54" s="832"/>
      <c r="O54" s="48">
        <f>IF(t&lt;Tnet,'2022'!Resal+('2022'!Salim-'2022'!Resal)*(1-EXP(('2022'!Tnet-t)/('2022'!Tau_j))),Resal+(Salim-Resal)*(1-EXP((Tnet-t)/(Tau_j))))*Salcycl</f>
        <v>2.1349902729354747E-2</v>
      </c>
      <c r="P54" s="338">
        <f>(INDEX(Models!$BJ54:$BT54,,T54)*(1-R54)+INDEX(Models!$BJ54:$BT54,,T54+1)*R54-ERP_i)*Q54*Ramure*Pc/MaxiM</f>
        <v>1.9455495681993843E-2</v>
      </c>
      <c r="Q54" s="304">
        <f t="shared" si="4"/>
        <v>0.7</v>
      </c>
      <c r="R54" s="177">
        <f t="shared" si="5"/>
        <v>0.3368034863887327</v>
      </c>
      <c r="S54" s="799">
        <f t="shared" si="6"/>
        <v>0</v>
      </c>
      <c r="T54" s="176">
        <f t="shared" si="7"/>
        <v>6</v>
      </c>
      <c r="U54" s="250">
        <f t="shared" si="20"/>
        <v>0.3368034863887327</v>
      </c>
      <c r="V54" s="382">
        <f t="shared" si="8"/>
        <v>36.088778783272637</v>
      </c>
      <c r="W54" s="400">
        <f t="shared" si="9"/>
        <v>36.228119494719557</v>
      </c>
      <c r="X54" s="157">
        <f t="shared" si="10"/>
        <v>44966</v>
      </c>
      <c r="Y54" s="383">
        <f t="shared" si="11"/>
        <v>33.975434718554368</v>
      </c>
      <c r="Z54" s="383">
        <f t="shared" si="21"/>
        <v>34.960285032888287</v>
      </c>
      <c r="AA54" s="384">
        <f t="shared" si="12"/>
        <v>38.050762515580516</v>
      </c>
      <c r="AB54" s="197">
        <f t="shared" si="13"/>
        <v>44966</v>
      </c>
      <c r="AC54" s="119">
        <f>IF(OR(t&lt;Tnet,NoTnet),'2022'!Resal_s+('2022'!Salim-'2022'!Resal_s)*(1-EXP(('2022'!Tnet_s-t)/'2022'!Tau_j)),Resal_s+(Salim-Resal_s)*(1-EXP((Tnet_s-t)/Tau_j)))*Salcycl</f>
        <v>8.1219856801208259E-2</v>
      </c>
      <c r="AD54" s="230">
        <f>(INDEX(Models!$BJ54:$BT54,,AH54)*(1-AF54)+INDEX(Models!$BJ54:$BT54,,AH54+1)*AF54-ERP_i)*AE54*Ramure*Pc/MaxiM</f>
        <v>2.0504638558076847E-2</v>
      </c>
      <c r="AE54" s="304">
        <f t="shared" si="14"/>
        <v>0.7</v>
      </c>
      <c r="AF54" s="177">
        <f t="shared" si="22"/>
        <v>0.40113570864856485</v>
      </c>
      <c r="AG54" s="799">
        <f t="shared" si="23"/>
        <v>0</v>
      </c>
      <c r="AH54" s="176">
        <f t="shared" si="15"/>
        <v>6</v>
      </c>
      <c r="AI54" s="224">
        <f t="shared" si="24"/>
        <v>0.40113570864856485</v>
      </c>
      <c r="AJ54" s="264" t="b">
        <f t="shared" si="16"/>
        <v>1</v>
      </c>
      <c r="AK54" s="264" t="b">
        <f t="shared" si="17"/>
        <v>0</v>
      </c>
      <c r="AL54" s="264"/>
      <c r="AM54" s="264"/>
      <c r="AN54" s="75"/>
    </row>
    <row r="55" spans="1:40" s="6" customFormat="1" ht="11.25" x14ac:dyDescent="0.2">
      <c r="A55" s="56">
        <f t="shared" si="18"/>
        <v>44967</v>
      </c>
      <c r="B55" s="409">
        <f>'2022'!Wh/'2022'!Env_an*'2023'!Env_an</f>
        <v>34.177916604270848</v>
      </c>
      <c r="C55" s="829"/>
      <c r="D55" s="391">
        <f t="shared" si="0"/>
        <v>35.169310298986346</v>
      </c>
      <c r="E55" s="383">
        <f t="shared" si="1"/>
        <v>35.938193721439525</v>
      </c>
      <c r="F55" s="383">
        <f t="shared" si="2"/>
        <v>36.575451526559476</v>
      </c>
      <c r="G55" s="110">
        <f t="shared" si="19"/>
        <v>0.93653354451918269</v>
      </c>
      <c r="H55" s="412" t="b">
        <f>Wh_hp&gt;='2022'!Maxi_hp</f>
        <v>0</v>
      </c>
      <c r="I55" s="379">
        <f>IF(H55,Wh_hp,'2022'!Maxi_hp)</f>
        <v>36.596337758972943</v>
      </c>
      <c r="J55" s="85">
        <f>IF(H55,An,'2022'!An_max)</f>
        <v>2022</v>
      </c>
      <c r="K55" s="197">
        <f t="shared" si="3"/>
        <v>44967</v>
      </c>
      <c r="L55" s="147">
        <f>IF(t&lt;Tvie,1-EXP((T0-t)*PertePVj)+'2022'!Pspv,1-EXP((T0-t)*PertePVj)+Pspv)</f>
        <v>2.8189170793720963E-2</v>
      </c>
      <c r="M55" s="832"/>
      <c r="N55" s="832"/>
      <c r="O55" s="48">
        <f>IF(t&lt;Tnet,'2022'!Resal+('2022'!Salim-'2022'!Resal)*(1-EXP(('2022'!Tnet-t)/('2022'!Tau_j))),Resal+(Salim-Resal)*(1-EXP((Tnet-t)/(Tau_j))))*Salcycl</f>
        <v>2.1394603980736178E-2</v>
      </c>
      <c r="P55" s="338">
        <f>(INDEX(Models!$BJ55:$BT55,,T55)*(1-R55)+INDEX(Models!$BJ55:$BT55,,T55+1)*R55-ERP_i)*Q55*Ramure*Pc/MaxiM</f>
        <v>1.9111883174387213E-2</v>
      </c>
      <c r="Q55" s="304">
        <f t="shared" si="4"/>
        <v>0.7</v>
      </c>
      <c r="R55" s="177">
        <f t="shared" si="5"/>
        <v>0.33691826663726271</v>
      </c>
      <c r="S55" s="799">
        <f t="shared" si="6"/>
        <v>0</v>
      </c>
      <c r="T55" s="176">
        <f t="shared" si="7"/>
        <v>6</v>
      </c>
      <c r="U55" s="250">
        <f t="shared" si="20"/>
        <v>0.33691826663726271</v>
      </c>
      <c r="V55" s="382">
        <f t="shared" si="8"/>
        <v>36.431342249960551</v>
      </c>
      <c r="W55" s="400">
        <f t="shared" si="9"/>
        <v>34.177916604270848</v>
      </c>
      <c r="X55" s="157">
        <f t="shared" si="10"/>
        <v>44967</v>
      </c>
      <c r="Y55" s="383">
        <f t="shared" si="11"/>
        <v>32.057556222791845</v>
      </c>
      <c r="Z55" s="383">
        <f t="shared" si="21"/>
        <v>32.98744494231935</v>
      </c>
      <c r="AA55" s="384">
        <f t="shared" si="12"/>
        <v>35.90316661783686</v>
      </c>
      <c r="AB55" s="197">
        <f t="shared" si="13"/>
        <v>44967</v>
      </c>
      <c r="AC55" s="119">
        <f>IF(OR(t&lt;Tnet,NoTnet),'2022'!Resal_s+('2022'!Salim-'2022'!Resal_s)*(1-EXP(('2022'!Tnet_s-t)/'2022'!Tau_j)),Resal_s+(Salim-Resal_s)*(1-EXP((Tnet_s-t)/Tau_j)))*Salcycl</f>
        <v>8.1210710647148507E-2</v>
      </c>
      <c r="AD55" s="230">
        <f>(INDEX(Models!$BJ55:$BT55,,AH55)*(1-AF55)+INDEX(Models!$BJ55:$BT55,,AH55+1)*AF55-ERP_i)*AE55*Ramure*Pc/MaxiM</f>
        <v>2.0162374681298428E-2</v>
      </c>
      <c r="AE55" s="304">
        <f t="shared" si="14"/>
        <v>0.7</v>
      </c>
      <c r="AF55" s="177">
        <f t="shared" si="22"/>
        <v>0.40125048889709486</v>
      </c>
      <c r="AG55" s="799">
        <f t="shared" si="23"/>
        <v>0</v>
      </c>
      <c r="AH55" s="176">
        <f t="shared" si="15"/>
        <v>6</v>
      </c>
      <c r="AI55" s="224">
        <f t="shared" si="24"/>
        <v>0.40125048889709486</v>
      </c>
      <c r="AJ55" s="264" t="b">
        <f t="shared" si="16"/>
        <v>1</v>
      </c>
      <c r="AK55" s="264" t="b">
        <f t="shared" si="17"/>
        <v>0</v>
      </c>
      <c r="AL55" s="264"/>
      <c r="AM55" s="264"/>
      <c r="AN55" s="75"/>
    </row>
    <row r="56" spans="1:40" s="6" customFormat="1" ht="11.25" x14ac:dyDescent="0.2">
      <c r="A56" s="56">
        <f t="shared" si="18"/>
        <v>44968</v>
      </c>
      <c r="B56" s="409">
        <f>'2022'!Wh/'2022'!Env_an*'2023'!Env_an</f>
        <v>14.338448980074816</v>
      </c>
      <c r="C56" s="829"/>
      <c r="D56" s="391">
        <f t="shared" si="0"/>
        <v>14.754644985954634</v>
      </c>
      <c r="E56" s="383">
        <f t="shared" si="1"/>
        <v>15.077904404246835</v>
      </c>
      <c r="F56" s="383">
        <f t="shared" si="2"/>
        <v>15.114223753449249</v>
      </c>
      <c r="G56" s="110">
        <f t="shared" si="19"/>
        <v>0.3835102966252803</v>
      </c>
      <c r="H56" s="412" t="b">
        <f>Wh_hp&gt;='2022'!Maxi_hp</f>
        <v>0</v>
      </c>
      <c r="I56" s="379">
        <f>IF(H56,Wh_hp,'2022'!Maxi_hp)</f>
        <v>36.404215155133031</v>
      </c>
      <c r="J56" s="85">
        <f>IF(H56,An,'2022'!An_max)</f>
        <v>2021</v>
      </c>
      <c r="K56" s="197">
        <f t="shared" si="3"/>
        <v>44968</v>
      </c>
      <c r="L56" s="147">
        <f>IF(t&lt;Tvie,1-EXP((T0-t)*PertePVj)+'2022'!Pspv,1-EXP((T0-t)*PertePVj)+Pspv)</f>
        <v>2.8207795326557039E-2</v>
      </c>
      <c r="M56" s="832"/>
      <c r="N56" s="832"/>
      <c r="O56" s="48">
        <f>IF(t&lt;Tnet,'2022'!Resal+('2022'!Salim-'2022'!Resal)*(1-EXP(('2022'!Tnet-t)/('2022'!Tau_j))),Resal+(Salim-Resal)*(1-EXP((Tnet-t)/(Tau_j))))*Salcycl</f>
        <v>2.143928026239196E-2</v>
      </c>
      <c r="P56" s="338">
        <f>(INDEX(Models!$BJ56:$BT56,,T56)*(1-R56)+INDEX(Models!$BJ56:$BT56,,T56+1)*R56-ERP_i)*Q56*Ramure*Pc/MaxiM</f>
        <v>1.8713850449614572E-2</v>
      </c>
      <c r="Q56" s="304">
        <f t="shared" si="4"/>
        <v>0.7</v>
      </c>
      <c r="R56" s="177">
        <f t="shared" si="5"/>
        <v>0.33703779172995169</v>
      </c>
      <c r="S56" s="799">
        <f t="shared" si="6"/>
        <v>0</v>
      </c>
      <c r="T56" s="176">
        <f t="shared" si="7"/>
        <v>6</v>
      </c>
      <c r="U56" s="250">
        <f t="shared" si="20"/>
        <v>0.33703779172995169</v>
      </c>
      <c r="V56" s="382">
        <f t="shared" si="8"/>
        <v>36.776100501822015</v>
      </c>
      <c r="W56" s="400">
        <f t="shared" si="9"/>
        <v>14.338448980074816</v>
      </c>
      <c r="X56" s="157">
        <f t="shared" si="10"/>
        <v>44968</v>
      </c>
      <c r="Y56" s="383">
        <f t="shared" si="11"/>
        <v>13.460956713977845</v>
      </c>
      <c r="Z56" s="383">
        <f t="shared" si="21"/>
        <v>13.851682128383825</v>
      </c>
      <c r="AA56" s="384">
        <f t="shared" si="12"/>
        <v>15.075867079159297</v>
      </c>
      <c r="AB56" s="197">
        <f t="shared" si="13"/>
        <v>44968</v>
      </c>
      <c r="AC56" s="119">
        <f>IF(OR(t&lt;Tnet,NoTnet),'2022'!Resal_s+('2022'!Salim-'2022'!Resal_s)*(1-EXP(('2022'!Tnet_s-t)/'2022'!Tau_j)),Resal_s+(Salim-Resal_s)*(1-EXP((Tnet_s-t)/Tau_j)))*Salcycl</f>
        <v>8.1201628028929149E-2</v>
      </c>
      <c r="AD56" s="230">
        <f>(INDEX(Models!$BJ56:$BT56,,AH56)*(1-AF56)+INDEX(Models!$BJ56:$BT56,,AH56+1)*AF56-ERP_i)*AE56*Ramure*Pc/MaxiM</f>
        <v>1.9763599353235944E-2</v>
      </c>
      <c r="AE56" s="304">
        <f t="shared" si="14"/>
        <v>0.7</v>
      </c>
      <c r="AF56" s="177">
        <f t="shared" si="22"/>
        <v>0.40137001398978384</v>
      </c>
      <c r="AG56" s="799">
        <f t="shared" si="23"/>
        <v>0</v>
      </c>
      <c r="AH56" s="176">
        <f t="shared" si="15"/>
        <v>6</v>
      </c>
      <c r="AI56" s="224">
        <f t="shared" si="24"/>
        <v>0.40137001398978384</v>
      </c>
      <c r="AJ56" s="264" t="b">
        <f t="shared" si="16"/>
        <v>1</v>
      </c>
      <c r="AK56" s="264" t="b">
        <f t="shared" si="17"/>
        <v>0</v>
      </c>
      <c r="AL56" s="264"/>
      <c r="AM56" s="264"/>
      <c r="AN56" s="75"/>
    </row>
    <row r="57" spans="1:40" s="6" customFormat="1" ht="11.25" x14ac:dyDescent="0.2">
      <c r="A57" s="56">
        <f t="shared" si="18"/>
        <v>44969</v>
      </c>
      <c r="B57" s="409">
        <f>'2022'!Wh/'2022'!Env_an*'2023'!Env_an</f>
        <v>27.197102863109386</v>
      </c>
      <c r="C57" s="829"/>
      <c r="D57" s="391">
        <f t="shared" si="0"/>
        <v>27.987077863533443</v>
      </c>
      <c r="E57" s="383">
        <f t="shared" si="1"/>
        <v>28.601551575010941</v>
      </c>
      <c r="F57" s="383">
        <f t="shared" si="2"/>
        <v>28.928064523270155</v>
      </c>
      <c r="G57" s="110">
        <f t="shared" si="19"/>
        <v>0.7274533505867834</v>
      </c>
      <c r="H57" s="412" t="b">
        <f>Wh_hp&gt;='2022'!Maxi_hp</f>
        <v>0</v>
      </c>
      <c r="I57" s="379">
        <f>IF(H57,Wh_hp,'2022'!Maxi_hp)</f>
        <v>28.998434960170048</v>
      </c>
      <c r="J57" s="85">
        <f>IF(H57,An,'2022'!An_max)</f>
        <v>2022</v>
      </c>
      <c r="K57" s="197">
        <f t="shared" si="3"/>
        <v>44969</v>
      </c>
      <c r="L57" s="147">
        <f>IF(t&lt;Tvie,1-EXP((T0-t)*PertePVj)+'2022'!Pspv,1-EXP((T0-t)*PertePVj)+Pspv)</f>
        <v>2.8226419502458189E-2</v>
      </c>
      <c r="M57" s="832"/>
      <c r="N57" s="832"/>
      <c r="O57" s="48">
        <f>IF(t&lt;Tnet,'2022'!Resal+('2022'!Salim-'2022'!Resal)*(1-EXP(('2022'!Tnet-t)/('2022'!Tau_j))),Resal+(Salim-Resal)*(1-EXP((Tnet-t)/(Tau_j))))*Salcycl</f>
        <v>2.1483929284953903E-2</v>
      </c>
      <c r="P57" s="338">
        <f>(INDEX(Models!$BJ57:$BT57,,T57)*(1-R57)+INDEX(Models!$BJ57:$BT57,,T57+1)*R57-ERP_i)*Q57*Ramure*Pc/MaxiM</f>
        <v>1.8262915569626507E-2</v>
      </c>
      <c r="Q57" s="304">
        <f t="shared" si="4"/>
        <v>0.7</v>
      </c>
      <c r="R57" s="177">
        <f t="shared" si="5"/>
        <v>0.33716225475916994</v>
      </c>
      <c r="S57" s="799">
        <f t="shared" si="6"/>
        <v>0</v>
      </c>
      <c r="T57" s="176">
        <f t="shared" si="7"/>
        <v>6</v>
      </c>
      <c r="U57" s="250">
        <f t="shared" si="20"/>
        <v>0.33716225475916994</v>
      </c>
      <c r="V57" s="382">
        <f t="shared" si="8"/>
        <v>37.122949613297742</v>
      </c>
      <c r="W57" s="400">
        <f t="shared" si="9"/>
        <v>27.197102863109386</v>
      </c>
      <c r="X57" s="157">
        <f t="shared" si="10"/>
        <v>44969</v>
      </c>
      <c r="Y57" s="383">
        <f t="shared" si="11"/>
        <v>25.520833143002754</v>
      </c>
      <c r="Z57" s="383">
        <f t="shared" si="21"/>
        <v>26.262118723104461</v>
      </c>
      <c r="AA57" s="384">
        <f t="shared" si="12"/>
        <v>28.582833265430459</v>
      </c>
      <c r="AB57" s="197">
        <f t="shared" si="13"/>
        <v>44969</v>
      </c>
      <c r="AC57" s="119">
        <f>IF(OR(t&lt;Tnet,NoTnet),'2022'!Resal_s+('2022'!Salim-'2022'!Resal_s)*(1-EXP(('2022'!Tnet_s-t)/'2022'!Tau_j)),Resal_s+(Salim-Resal_s)*(1-EXP((Tnet_s-t)/Tau_j)))*Salcycl</f>
        <v>8.1192599794954162E-2</v>
      </c>
      <c r="AD57" s="230">
        <f>(INDEX(Models!$BJ57:$BT57,,AH57)*(1-AF57)+INDEX(Models!$BJ57:$BT57,,AH57+1)*AF57-ERP_i)*AE57*Ramure*Pc/MaxiM</f>
        <v>1.9309890610883056E-2</v>
      </c>
      <c r="AE57" s="304">
        <f t="shared" si="14"/>
        <v>0.7</v>
      </c>
      <c r="AF57" s="177">
        <f t="shared" si="22"/>
        <v>0.40149447701900209</v>
      </c>
      <c r="AG57" s="799">
        <f t="shared" si="23"/>
        <v>0</v>
      </c>
      <c r="AH57" s="176">
        <f t="shared" si="15"/>
        <v>6</v>
      </c>
      <c r="AI57" s="224">
        <f t="shared" si="24"/>
        <v>0.40149447701900209</v>
      </c>
      <c r="AJ57" s="264" t="b">
        <f t="shared" si="16"/>
        <v>1</v>
      </c>
      <c r="AK57" s="264" t="b">
        <f t="shared" si="17"/>
        <v>0</v>
      </c>
      <c r="AL57" s="264"/>
      <c r="AM57" s="264"/>
      <c r="AN57" s="75"/>
    </row>
    <row r="58" spans="1:40" s="6" customFormat="1" ht="11.25" x14ac:dyDescent="0.2">
      <c r="A58" s="56">
        <f t="shared" si="18"/>
        <v>44970</v>
      </c>
      <c r="B58" s="409">
        <f>'2022'!Wh/'2022'!Env_an*'2023'!Env_an</f>
        <v>34.426385720626151</v>
      </c>
      <c r="C58" s="829"/>
      <c r="D58" s="391">
        <f t="shared" si="0"/>
        <v>35.427023535125123</v>
      </c>
      <c r="E58" s="383">
        <f t="shared" si="1"/>
        <v>36.206496867630563</v>
      </c>
      <c r="F58" s="383">
        <f t="shared" si="2"/>
        <v>36.783384377177043</v>
      </c>
      <c r="G58" s="110">
        <f t="shared" si="19"/>
        <v>0.91678943071477892</v>
      </c>
      <c r="H58" s="412" t="b">
        <f>Wh_hp&gt;='2022'!Maxi_hp</f>
        <v>0</v>
      </c>
      <c r="I58" s="379">
        <f>IF(H58,Wh_hp,'2022'!Maxi_hp)</f>
        <v>36.810381507352595</v>
      </c>
      <c r="J58" s="85">
        <f>IF(H58,An,'2022'!An_max)</f>
        <v>2022</v>
      </c>
      <c r="K58" s="197">
        <f t="shared" si="3"/>
        <v>44970</v>
      </c>
      <c r="L58" s="147">
        <f>IF(t&lt;Tvie,1-EXP((T0-t)*PertePVj)+'2022'!Pspv,1-EXP((T0-t)*PertePVj)+Pspv)</f>
        <v>2.8245043321431185E-2</v>
      </c>
      <c r="M58" s="832"/>
      <c r="N58" s="832"/>
      <c r="O58" s="48">
        <f>IF(t&lt;Tnet,'2022'!Resal+('2022'!Salim-'2022'!Resal)*(1-EXP(('2022'!Tnet-t)/('2022'!Tau_j))),Resal+(Salim-Resal)*(1-EXP((Tnet-t)/(Tau_j))))*Salcycl</f>
        <v>2.1528548739613289E-2</v>
      </c>
      <c r="P58" s="338">
        <f>(INDEX(Models!$BJ58:$BT58,,T58)*(1-R58)+INDEX(Models!$BJ58:$BT58,,T58+1)*R58-ERP_i)*Q58*Ramure*Pc/MaxiM</f>
        <v>1.7743877349322909E-2</v>
      </c>
      <c r="Q58" s="304">
        <f t="shared" si="4"/>
        <v>0.7</v>
      </c>
      <c r="R58" s="177">
        <f t="shared" si="5"/>
        <v>0.33729185641600129</v>
      </c>
      <c r="S58" s="799">
        <f t="shared" si="6"/>
        <v>0</v>
      </c>
      <c r="T58" s="176">
        <f t="shared" si="7"/>
        <v>6</v>
      </c>
      <c r="U58" s="250">
        <f t="shared" si="20"/>
        <v>0.33729185641600129</v>
      </c>
      <c r="V58" s="382">
        <f t="shared" si="8"/>
        <v>37.472421243627288</v>
      </c>
      <c r="W58" s="400">
        <f t="shared" si="9"/>
        <v>34.426385720626151</v>
      </c>
      <c r="X58" s="157">
        <f t="shared" si="10"/>
        <v>44970</v>
      </c>
      <c r="Y58" s="383">
        <f t="shared" si="11"/>
        <v>32.29730396198957</v>
      </c>
      <c r="Z58" s="383">
        <f t="shared" si="21"/>
        <v>33.236057855964894</v>
      </c>
      <c r="AA58" s="384">
        <f t="shared" si="12"/>
        <v>36.172687452785375</v>
      </c>
      <c r="AB58" s="197">
        <f t="shared" si="13"/>
        <v>44970</v>
      </c>
      <c r="AC58" s="119">
        <f>IF(OR(t&lt;Tnet,NoTnet),'2022'!Resal_s+('2022'!Salim-'2022'!Resal_s)*(1-EXP(('2022'!Tnet_s-t)/'2022'!Tau_j)),Resal_s+(Salim-Resal_s)*(1-EXP((Tnet_s-t)/Tau_j)))*Salcycl</f>
        <v>8.1183616800757072E-2</v>
      </c>
      <c r="AD58" s="230">
        <f>(INDEX(Models!$BJ58:$BT58,,AH58)*(1-AF58)+INDEX(Models!$BJ58:$BT58,,AH58+1)*AF58-ERP_i)*AE58*Ramure*Pc/MaxiM</f>
        <v>1.8783785650920495E-2</v>
      </c>
      <c r="AE58" s="304">
        <f t="shared" si="14"/>
        <v>0.7</v>
      </c>
      <c r="AF58" s="177">
        <f t="shared" si="22"/>
        <v>0.40162407867583344</v>
      </c>
      <c r="AG58" s="799">
        <f t="shared" si="23"/>
        <v>0</v>
      </c>
      <c r="AH58" s="176">
        <f t="shared" si="15"/>
        <v>6</v>
      </c>
      <c r="AI58" s="224">
        <f t="shared" si="24"/>
        <v>0.40162407867583344</v>
      </c>
      <c r="AJ58" s="264" t="b">
        <f t="shared" si="16"/>
        <v>1</v>
      </c>
      <c r="AK58" s="264" t="b">
        <f t="shared" si="17"/>
        <v>0</v>
      </c>
      <c r="AL58" s="264"/>
      <c r="AM58" s="264"/>
      <c r="AN58" s="75"/>
    </row>
    <row r="59" spans="1:40" s="6" customFormat="1" ht="11.25" x14ac:dyDescent="0.2">
      <c r="A59" s="56">
        <f t="shared" si="18"/>
        <v>44971</v>
      </c>
      <c r="B59" s="409">
        <f>'2022'!Wh/'2022'!Env_an*'2023'!Env_an</f>
        <v>16.394792972580863</v>
      </c>
      <c r="C59" s="829"/>
      <c r="D59" s="391">
        <f t="shared" si="0"/>
        <v>16.871647598390112</v>
      </c>
      <c r="E59" s="383">
        <f t="shared" si="1"/>
        <v>17.243647149189847</v>
      </c>
      <c r="F59" s="383">
        <f t="shared" si="2"/>
        <v>17.300321473594632</v>
      </c>
      <c r="G59" s="110">
        <f t="shared" si="19"/>
        <v>0.42740761656673137</v>
      </c>
      <c r="H59" s="412" t="b">
        <f>Wh_hp&gt;='2022'!Maxi_hp</f>
        <v>0</v>
      </c>
      <c r="I59" s="379">
        <f>IF(H59,Wh_hp,'2022'!Maxi_hp)</f>
        <v>33.094825571206165</v>
      </c>
      <c r="J59" s="85">
        <f>IF(H59,An,'2022'!An_max)</f>
        <v>2021</v>
      </c>
      <c r="K59" s="197">
        <f t="shared" si="3"/>
        <v>44971</v>
      </c>
      <c r="L59" s="147">
        <f>IF(t&lt;Tvie,1-EXP((T0-t)*PertePVj)+'2022'!Pspv,1-EXP((T0-t)*PertePVj)+Pspv)</f>
        <v>2.8263666783483021E-2</v>
      </c>
      <c r="M59" s="832"/>
      <c r="N59" s="832"/>
      <c r="O59" s="48">
        <f>IF(t&lt;Tnet,'2022'!Resal+('2022'!Salim-'2022'!Resal)*(1-EXP(('2022'!Tnet-t)/('2022'!Tau_j))),Resal+(Salim-Resal)*(1-EXP((Tnet-t)/(Tau_j))))*Salcycl</f>
        <v>2.1573136331382914E-2</v>
      </c>
      <c r="P59" s="338">
        <f>(INDEX(Models!$BJ59:$BT59,,T59)*(1-R59)+INDEX(Models!$BJ59:$BT59,,T59+1)*R59-ERP_i)*Q59*Ramure*Pc/MaxiM</f>
        <v>1.7182799437095424E-2</v>
      </c>
      <c r="Q59" s="304">
        <f t="shared" si="4"/>
        <v>0.7</v>
      </c>
      <c r="R59" s="177">
        <f t="shared" si="5"/>
        <v>0.33742680526718666</v>
      </c>
      <c r="S59" s="799">
        <f t="shared" si="6"/>
        <v>0</v>
      </c>
      <c r="T59" s="176">
        <f t="shared" si="7"/>
        <v>6</v>
      </c>
      <c r="U59" s="250">
        <f t="shared" si="20"/>
        <v>0.33742680526718666</v>
      </c>
      <c r="V59" s="382">
        <f t="shared" si="8"/>
        <v>37.823479121725327</v>
      </c>
      <c r="W59" s="400">
        <f t="shared" si="9"/>
        <v>16.394792972580863</v>
      </c>
      <c r="X59" s="157">
        <f t="shared" si="10"/>
        <v>44971</v>
      </c>
      <c r="Y59" s="383">
        <f t="shared" si="11"/>
        <v>15.393063803997043</v>
      </c>
      <c r="Z59" s="383">
        <f t="shared" si="21"/>
        <v>15.840782399321117</v>
      </c>
      <c r="AA59" s="384">
        <f t="shared" si="12"/>
        <v>17.24025435814487</v>
      </c>
      <c r="AB59" s="197">
        <f t="shared" si="13"/>
        <v>44971</v>
      </c>
      <c r="AC59" s="119">
        <f>IF(OR(t&lt;Tnet,NoTnet),'2022'!Resal_s+('2022'!Salim-'2022'!Resal_s)*(1-EXP(('2022'!Tnet_s-t)/'2022'!Tau_j)),Resal_s+(Salim-Resal_s)*(1-EXP((Tnet_s-t)/Tau_j)))*Salcycl</f>
        <v>8.1174670033948487E-2</v>
      </c>
      <c r="AD59" s="230">
        <f>(INDEX(Models!$BJ59:$BT59,,AH59)*(1-AF59)+INDEX(Models!$BJ59:$BT59,,AH59+1)*AF59-ERP_i)*AE59*Ramure*Pc/MaxiM</f>
        <v>1.8211442454371243E-2</v>
      </c>
      <c r="AE59" s="304">
        <f t="shared" si="14"/>
        <v>0.7</v>
      </c>
      <c r="AF59" s="177">
        <f t="shared" si="22"/>
        <v>0.40175902752701881</v>
      </c>
      <c r="AG59" s="799">
        <f t="shared" si="23"/>
        <v>0</v>
      </c>
      <c r="AH59" s="176">
        <f t="shared" si="15"/>
        <v>6</v>
      </c>
      <c r="AI59" s="224">
        <f t="shared" si="24"/>
        <v>0.40175902752701881</v>
      </c>
      <c r="AJ59" s="264" t="b">
        <f t="shared" si="16"/>
        <v>1</v>
      </c>
      <c r="AK59" s="264" t="b">
        <f t="shared" si="17"/>
        <v>0</v>
      </c>
      <c r="AL59" s="264"/>
      <c r="AM59" s="264"/>
      <c r="AN59" s="75"/>
    </row>
    <row r="60" spans="1:40" s="6" customFormat="1" ht="11.25" x14ac:dyDescent="0.2">
      <c r="A60" s="56">
        <f t="shared" si="18"/>
        <v>44972</v>
      </c>
      <c r="B60" s="409">
        <f>'2022'!Wh/'2022'!Env_an*'2023'!Env_an</f>
        <v>21.670389125524487</v>
      </c>
      <c r="C60" s="829"/>
      <c r="D60" s="391">
        <f t="shared" si="0"/>
        <v>22.301115745889408</v>
      </c>
      <c r="E60" s="383">
        <f t="shared" si="1"/>
        <v>22.793866481123693</v>
      </c>
      <c r="F60" s="383">
        <f t="shared" si="2"/>
        <v>22.939293376746114</v>
      </c>
      <c r="G60" s="110">
        <f t="shared" si="19"/>
        <v>0.56179358823020975</v>
      </c>
      <c r="H60" s="412" t="b">
        <f>Wh_hp&gt;='2022'!Maxi_hp</f>
        <v>0</v>
      </c>
      <c r="I60" s="379">
        <f>IF(H60,Wh_hp,'2022'!Maxi_hp)</f>
        <v>40.783875694870723</v>
      </c>
      <c r="J60" s="85">
        <f>IF(H60,An,'2022'!An_max)</f>
        <v>2020</v>
      </c>
      <c r="K60" s="197">
        <f t="shared" si="3"/>
        <v>44972</v>
      </c>
      <c r="L60" s="147">
        <f>IF(t&lt;Tvie,1-EXP((T0-t)*PertePVj)+'2022'!Pspv,1-EXP((T0-t)*PertePVj)+Pspv)</f>
        <v>2.8282289888620471E-2</v>
      </c>
      <c r="M60" s="832"/>
      <c r="N60" s="832"/>
      <c r="O60" s="48">
        <f>IF(t&lt;Tnet,'2022'!Resal+('2022'!Salim-'2022'!Resal)*(1-EXP(('2022'!Tnet-t)/('2022'!Tau_j))),Resal+(Salim-Resal)*(1-EXP((Tnet-t)/(Tau_j))))*Salcycl</f>
        <v>2.1617689813281531E-2</v>
      </c>
      <c r="P60" s="338">
        <f>(INDEX(Models!$BJ60:$BT60,,T60)*(1-R60)+INDEX(Models!$BJ60:$BT60,,T60+1)*R60-ERP_i)*Q60*Ramure*Pc/MaxiM</f>
        <v>1.6580789998634191E-2</v>
      </c>
      <c r="Q60" s="304">
        <f t="shared" si="4"/>
        <v>0.7</v>
      </c>
      <c r="R60" s="177">
        <f t="shared" si="5"/>
        <v>0.33756731804025103</v>
      </c>
      <c r="S60" s="799">
        <f t="shared" si="6"/>
        <v>0</v>
      </c>
      <c r="T60" s="176">
        <f t="shared" si="7"/>
        <v>6</v>
      </c>
      <c r="U60" s="250">
        <f t="shared" si="20"/>
        <v>0.33756731804025103</v>
      </c>
      <c r="V60" s="382">
        <f t="shared" si="8"/>
        <v>38.176020463954636</v>
      </c>
      <c r="W60" s="400">
        <f t="shared" si="9"/>
        <v>21.670389125524487</v>
      </c>
      <c r="X60" s="157">
        <f t="shared" si="10"/>
        <v>44972</v>
      </c>
      <c r="Y60" s="383">
        <f t="shared" si="11"/>
        <v>20.343511910029267</v>
      </c>
      <c r="Z60" s="383">
        <f t="shared" si="21"/>
        <v>20.935619160113351</v>
      </c>
      <c r="AA60" s="384">
        <f t="shared" si="12"/>
        <v>22.784979093886644</v>
      </c>
      <c r="AB60" s="197">
        <f t="shared" si="13"/>
        <v>44972</v>
      </c>
      <c r="AC60" s="119">
        <f>IF(OR(t&lt;Tnet,NoTnet),'2022'!Resal_s+('2022'!Salim-'2022'!Resal_s)*(1-EXP(('2022'!Tnet_s-t)/'2022'!Tau_j)),Resal_s+(Salim-Resal_s)*(1-EXP((Tnet_s-t)/Tau_j)))*Salcycl</f>
        <v>8.1165750740999743E-2</v>
      </c>
      <c r="AD60" s="230">
        <f>(INDEX(Models!$BJ60:$BT60,,AH60)*(1-AF60)+INDEX(Models!$BJ60:$BT60,,AH60+1)*AF60-ERP_i)*AE60*Ramure*Pc/MaxiM</f>
        <v>1.7594081940151076E-2</v>
      </c>
      <c r="AE60" s="304">
        <f t="shared" si="14"/>
        <v>0.7</v>
      </c>
      <c r="AF60" s="177">
        <f t="shared" si="22"/>
        <v>0.40189954030008318</v>
      </c>
      <c r="AG60" s="799">
        <f t="shared" si="23"/>
        <v>0</v>
      </c>
      <c r="AH60" s="176">
        <f t="shared" si="15"/>
        <v>6</v>
      </c>
      <c r="AI60" s="224">
        <f t="shared" si="24"/>
        <v>0.40189954030008318</v>
      </c>
      <c r="AJ60" s="264" t="b">
        <f t="shared" si="16"/>
        <v>1</v>
      </c>
      <c r="AK60" s="264" t="b">
        <f t="shared" si="17"/>
        <v>0</v>
      </c>
      <c r="AL60" s="264"/>
      <c r="AM60" s="264"/>
      <c r="AN60" s="75"/>
    </row>
    <row r="61" spans="1:40" s="6" customFormat="1" ht="11.25" x14ac:dyDescent="0.2">
      <c r="A61" s="56">
        <f t="shared" si="18"/>
        <v>44973</v>
      </c>
      <c r="B61" s="409">
        <f>'2022'!Wh/'2022'!Env_an*'2023'!Env_an</f>
        <v>9.2540426734239514</v>
      </c>
      <c r="C61" s="829"/>
      <c r="D61" s="391">
        <f t="shared" si="0"/>
        <v>9.5235683492676486</v>
      </c>
      <c r="E61" s="383">
        <f t="shared" si="1"/>
        <v>9.7344377551536265</v>
      </c>
      <c r="F61" s="383">
        <f t="shared" si="2"/>
        <v>9.7344377551536265</v>
      </c>
      <c r="G61" s="110">
        <f t="shared" si="19"/>
        <v>0.23634977697014753</v>
      </c>
      <c r="H61" s="412" t="b">
        <f>Wh_hp&gt;='2022'!Maxi_hp</f>
        <v>0</v>
      </c>
      <c r="I61" s="379">
        <f>IF(H61,Wh_hp,'2022'!Maxi_hp)</f>
        <v>34.426764095706375</v>
      </c>
      <c r="J61" s="85">
        <f>IF(H61,An,'2022'!An_max)</f>
        <v>2021</v>
      </c>
      <c r="K61" s="197">
        <f t="shared" si="3"/>
        <v>44973</v>
      </c>
      <c r="L61" s="147">
        <f>IF(t&lt;Tvie,1-EXP((T0-t)*PertePVj)+'2022'!Pspv,1-EXP((T0-t)*PertePVj)+Pspv)</f>
        <v>2.8300912636850306E-2</v>
      </c>
      <c r="M61" s="832"/>
      <c r="N61" s="832"/>
      <c r="O61" s="48">
        <f>IF(t&lt;Tnet,'2022'!Resal+('2022'!Salim-'2022'!Resal)*(1-EXP(('2022'!Tnet-t)/('2022'!Tau_j))),Resal+(Salim-Resal)*(1-EXP((Tnet-t)/(Tau_j))))*Salcycl</f>
        <v>2.1662207021082347E-2</v>
      </c>
      <c r="P61" s="338">
        <f>(INDEX(Models!$BJ61:$BT61,,T61)*(1-R61)+INDEX(Models!$BJ61:$BT61,,T61+1)*R61-ERP_i)*Q61*Ramure*Pc/MaxiM</f>
        <v>1.5938905123163052E-2</v>
      </c>
      <c r="Q61" s="304">
        <f t="shared" si="4"/>
        <v>0.7</v>
      </c>
      <c r="R61" s="177">
        <f t="shared" si="5"/>
        <v>0.33771361991688148</v>
      </c>
      <c r="S61" s="799">
        <f t="shared" si="6"/>
        <v>0</v>
      </c>
      <c r="T61" s="176">
        <f t="shared" si="7"/>
        <v>6</v>
      </c>
      <c r="U61" s="250">
        <f t="shared" si="20"/>
        <v>0.33771361991688148</v>
      </c>
      <c r="V61" s="382">
        <f t="shared" si="8"/>
        <v>38.529942706046043</v>
      </c>
      <c r="W61" s="400">
        <f t="shared" si="9"/>
        <v>9.2540426734239514</v>
      </c>
      <c r="X61" s="157">
        <f t="shared" si="10"/>
        <v>44973</v>
      </c>
      <c r="Y61" s="383">
        <f t="shared" si="11"/>
        <v>8.6912861551237057</v>
      </c>
      <c r="Z61" s="383">
        <f t="shared" si="21"/>
        <v>8.944421445026574</v>
      </c>
      <c r="AA61" s="384">
        <f t="shared" si="12"/>
        <v>9.7344377551536265</v>
      </c>
      <c r="AB61" s="197">
        <f t="shared" si="13"/>
        <v>44973</v>
      </c>
      <c r="AC61" s="119">
        <f>IF(OR(t&lt;Tnet,NoTnet),'2022'!Resal_s+('2022'!Salim-'2022'!Resal_s)*(1-EXP(('2022'!Tnet_s-t)/'2022'!Tau_j)),Resal_s+(Salim-Resal_s)*(1-EXP((Tnet_s-t)/Tau_j)))*Salcycl</f>
        <v>8.1156850554496673E-2</v>
      </c>
      <c r="AD61" s="230">
        <f>(INDEX(Models!$BJ61:$BT61,,AH61)*(1-AF61)+INDEX(Models!$BJ61:$BT61,,AH61+1)*AF61-ERP_i)*AE61*Ramure*Pc/MaxiM</f>
        <v>1.6932868489025973E-2</v>
      </c>
      <c r="AE61" s="304">
        <f t="shared" si="14"/>
        <v>0.7</v>
      </c>
      <c r="AF61" s="177">
        <f t="shared" si="22"/>
        <v>0.40204584217671363</v>
      </c>
      <c r="AG61" s="799">
        <f t="shared" si="23"/>
        <v>0</v>
      </c>
      <c r="AH61" s="176">
        <f t="shared" si="15"/>
        <v>6</v>
      </c>
      <c r="AI61" s="224">
        <f t="shared" si="24"/>
        <v>0.40204584217671363</v>
      </c>
      <c r="AJ61" s="264" t="b">
        <f t="shared" si="16"/>
        <v>1</v>
      </c>
      <c r="AK61" s="264" t="b">
        <f t="shared" si="17"/>
        <v>0</v>
      </c>
      <c r="AL61" s="264"/>
      <c r="AM61" s="264"/>
      <c r="AN61" s="75"/>
    </row>
    <row r="62" spans="1:40" s="6" customFormat="1" ht="11.25" x14ac:dyDescent="0.2">
      <c r="A62" s="56">
        <f t="shared" si="18"/>
        <v>44974</v>
      </c>
      <c r="B62" s="409">
        <f>'2022'!Wh/'2022'!Env_an*'2023'!Env_an</f>
        <v>10.213547664305413</v>
      </c>
      <c r="C62" s="829"/>
      <c r="D62" s="391">
        <f t="shared" si="0"/>
        <v>10.511220542651964</v>
      </c>
      <c r="E62" s="383">
        <f t="shared" si="1"/>
        <v>10.744446876252855</v>
      </c>
      <c r="F62" s="383">
        <f t="shared" si="2"/>
        <v>10.744446876252855</v>
      </c>
      <c r="G62" s="110">
        <f t="shared" si="19"/>
        <v>0.2586516832703798</v>
      </c>
      <c r="H62" s="412" t="b">
        <f>Wh_hp&gt;='2022'!Maxi_hp</f>
        <v>0</v>
      </c>
      <c r="I62" s="379">
        <f>IF(H62,Wh_hp,'2022'!Maxi_hp)</f>
        <v>38.684101035723138</v>
      </c>
      <c r="J62" s="85">
        <f>IF(H62,An,'2022'!An_max)</f>
        <v>2021</v>
      </c>
      <c r="K62" s="197">
        <f t="shared" si="3"/>
        <v>44974</v>
      </c>
      <c r="L62" s="147">
        <f>IF(t&lt;Tvie,1-EXP((T0-t)*PertePVj)+'2022'!Pspv,1-EXP((T0-t)*PertePVj)+Pspv)</f>
        <v>2.831953502817941E-2</v>
      </c>
      <c r="M62" s="832"/>
      <c r="N62" s="832"/>
      <c r="O62" s="48">
        <f>IF(t&lt;Tnet,'2022'!Resal+('2022'!Salim-'2022'!Resal)*(1-EXP(('2022'!Tnet-t)/('2022'!Tau_j))),Resal+(Salim-Resal)*(1-EXP((Tnet-t)/(Tau_j))))*Salcycl</f>
        <v>2.1706685908268006E-2</v>
      </c>
      <c r="P62" s="338">
        <f>(INDEX(Models!$BJ62:$BT62,,T62)*(1-R62)+INDEX(Models!$BJ62:$BT62,,T62+1)*R62-ERP_i)*Q62*Ramure*Pc/MaxiM</f>
        <v>1.5258149669570091E-2</v>
      </c>
      <c r="Q62" s="304">
        <f t="shared" si="4"/>
        <v>0.7</v>
      </c>
      <c r="R62" s="177">
        <f t="shared" si="5"/>
        <v>0.33786594483460652</v>
      </c>
      <c r="S62" s="799">
        <f t="shared" si="6"/>
        <v>0</v>
      </c>
      <c r="T62" s="176">
        <f t="shared" si="7"/>
        <v>6</v>
      </c>
      <c r="U62" s="250">
        <f t="shared" si="20"/>
        <v>0.33786594483460652</v>
      </c>
      <c r="V62" s="382">
        <f t="shared" si="8"/>
        <v>38.885143518947821</v>
      </c>
      <c r="W62" s="400">
        <f t="shared" si="9"/>
        <v>10.213547664305413</v>
      </c>
      <c r="X62" s="157">
        <f t="shared" si="10"/>
        <v>44974</v>
      </c>
      <c r="Y62" s="383">
        <f t="shared" si="11"/>
        <v>9.5929706921856894</v>
      </c>
      <c r="Z62" s="383">
        <f t="shared" si="21"/>
        <v>9.8725569135156928</v>
      </c>
      <c r="AA62" s="384">
        <f t="shared" si="12"/>
        <v>10.744446876252855</v>
      </c>
      <c r="AB62" s="197">
        <f t="shared" si="13"/>
        <v>44974</v>
      </c>
      <c r="AC62" s="119">
        <f>IF(OR(t&lt;Tnet,NoTnet),'2022'!Resal_s+('2022'!Salim-'2022'!Resal_s)*(1-EXP(('2022'!Tnet_s-t)/'2022'!Tau_j)),Resal_s+(Salim-Resal_s)*(1-EXP((Tnet_s-t)/Tau_j)))*Salcycl</f>
        <v>8.1147961619522285E-2</v>
      </c>
      <c r="AD62" s="230">
        <f>(INDEX(Models!$BJ62:$BT62,,AH62)*(1-AF62)+INDEX(Models!$BJ62:$BT62,,AH62+1)*AF62-ERP_i)*AE62*Ramure*Pc/MaxiM</f>
        <v>1.6228910864092137E-2</v>
      </c>
      <c r="AE62" s="304">
        <f t="shared" si="14"/>
        <v>0.7</v>
      </c>
      <c r="AF62" s="177">
        <f t="shared" si="22"/>
        <v>0.40219816709443867</v>
      </c>
      <c r="AG62" s="799">
        <f t="shared" si="23"/>
        <v>0</v>
      </c>
      <c r="AH62" s="176">
        <f t="shared" si="15"/>
        <v>6</v>
      </c>
      <c r="AI62" s="224">
        <f t="shared" si="24"/>
        <v>0.40219816709443867</v>
      </c>
      <c r="AJ62" s="264" t="b">
        <f t="shared" si="16"/>
        <v>1</v>
      </c>
      <c r="AK62" s="264" t="b">
        <f t="shared" si="17"/>
        <v>0</v>
      </c>
      <c r="AL62" s="264"/>
      <c r="AM62" s="264"/>
      <c r="AN62" s="75"/>
    </row>
    <row r="63" spans="1:40" s="6" customFormat="1" ht="11.25" x14ac:dyDescent="0.2">
      <c r="A63" s="56">
        <f t="shared" si="18"/>
        <v>44975</v>
      </c>
      <c r="B63" s="409">
        <f>'2022'!Wh/'2022'!Env_an*'2023'!Env_an</f>
        <v>34.037080459942722</v>
      </c>
      <c r="C63" s="829"/>
      <c r="D63" s="391">
        <f t="shared" si="0"/>
        <v>35.029759280293256</v>
      </c>
      <c r="E63" s="383">
        <f t="shared" si="1"/>
        <v>35.8086374137498</v>
      </c>
      <c r="F63" s="383">
        <f t="shared" si="2"/>
        <v>36.235665616484816</v>
      </c>
      <c r="G63" s="110">
        <f t="shared" si="19"/>
        <v>0.86495626669600856</v>
      </c>
      <c r="H63" s="412" t="b">
        <f>Wh_hp&gt;='2022'!Maxi_hp</f>
        <v>0</v>
      </c>
      <c r="I63" s="379">
        <f>IF(H63,Wh_hp,'2022'!Maxi_hp)</f>
        <v>38.693234723420318</v>
      </c>
      <c r="J63" s="85">
        <f>IF(H63,An,'2022'!An_max)</f>
        <v>2020</v>
      </c>
      <c r="K63" s="197">
        <f t="shared" si="3"/>
        <v>44975</v>
      </c>
      <c r="L63" s="147">
        <f>IF(t&lt;Tvie,1-EXP((T0-t)*PertePVj)+'2022'!Pspv,1-EXP((T0-t)*PertePVj)+Pspv)</f>
        <v>2.8338157062614666E-2</v>
      </c>
      <c r="M63" s="832"/>
      <c r="N63" s="832"/>
      <c r="O63" s="48">
        <f>IF(t&lt;Tnet,'2022'!Resal+('2022'!Salim-'2022'!Resal)*(1-EXP(('2022'!Tnet-t)/('2022'!Tau_j))),Resal+(Salim-Resal)*(1-EXP((Tnet-t)/(Tau_j))))*Salcycl</f>
        <v>2.1751124580838433E-2</v>
      </c>
      <c r="P63" s="338">
        <f>(INDEX(Models!$BJ63:$BT63,,T63)*(1-R63)+INDEX(Models!$BJ63:$BT63,,T63+1)*R63-ERP_i)*Q63*Ramure*Pc/MaxiM</f>
        <v>1.4539478054634184E-2</v>
      </c>
      <c r="Q63" s="304">
        <f t="shared" si="4"/>
        <v>0.7</v>
      </c>
      <c r="R63" s="177">
        <f t="shared" si="5"/>
        <v>0.33802453579680514</v>
      </c>
      <c r="S63" s="799">
        <f t="shared" si="6"/>
        <v>0</v>
      </c>
      <c r="T63" s="176">
        <f t="shared" si="7"/>
        <v>6</v>
      </c>
      <c r="U63" s="250">
        <f t="shared" si="20"/>
        <v>0.33802453579680514</v>
      </c>
      <c r="V63" s="382">
        <f t="shared" si="8"/>
        <v>39.241520828640539</v>
      </c>
      <c r="W63" s="400">
        <f t="shared" si="9"/>
        <v>34.037080459942722</v>
      </c>
      <c r="X63" s="157">
        <f t="shared" si="10"/>
        <v>44975</v>
      </c>
      <c r="Y63" s="383">
        <f t="shared" si="11"/>
        <v>31.945994464904988</v>
      </c>
      <c r="Z63" s="383">
        <f t="shared" si="21"/>
        <v>32.877687538218595</v>
      </c>
      <c r="AA63" s="384">
        <f t="shared" si="12"/>
        <v>35.780918205533084</v>
      </c>
      <c r="AB63" s="197">
        <f t="shared" si="13"/>
        <v>44975</v>
      </c>
      <c r="AC63" s="119">
        <f>IF(OR(t&lt;Tnet,NoTnet),'2022'!Resal_s+('2022'!Salim-'2022'!Resal_s)*(1-EXP(('2022'!Tnet_s-t)/'2022'!Tau_j)),Resal_s+(Salim-Resal_s)*(1-EXP((Tnet_s-t)/Tau_j)))*Salcycl</f>
        <v>8.1139076717867409E-2</v>
      </c>
      <c r="AD63" s="230">
        <f>(INDEX(Models!$BJ63:$BT63,,AH63)*(1-AF63)+INDEX(Models!$BJ63:$BT63,,AH63+1)*AF63-ERP_i)*AE63*Ramure*Pc/MaxiM</f>
        <v>1.548326307158983E-2</v>
      </c>
      <c r="AE63" s="304">
        <f t="shared" si="14"/>
        <v>0.7</v>
      </c>
      <c r="AF63" s="177">
        <f t="shared" si="22"/>
        <v>0.40235675805663729</v>
      </c>
      <c r="AG63" s="799">
        <f t="shared" si="23"/>
        <v>0</v>
      </c>
      <c r="AH63" s="176">
        <f t="shared" si="15"/>
        <v>6</v>
      </c>
      <c r="AI63" s="224">
        <f t="shared" si="24"/>
        <v>0.40235675805663729</v>
      </c>
      <c r="AJ63" s="264" t="b">
        <f t="shared" si="16"/>
        <v>1</v>
      </c>
      <c r="AK63" s="264" t="b">
        <f t="shared" si="17"/>
        <v>0</v>
      </c>
      <c r="AL63" s="264"/>
      <c r="AM63" s="264"/>
      <c r="AN63" s="75"/>
    </row>
    <row r="64" spans="1:40" s="6" customFormat="1" ht="11.25" x14ac:dyDescent="0.2">
      <c r="A64" s="56">
        <f t="shared" si="18"/>
        <v>44976</v>
      </c>
      <c r="B64" s="409">
        <f>'2022'!Wh/'2022'!Env_an*'2023'!Env_an</f>
        <v>15.607930811808316</v>
      </c>
      <c r="C64" s="829"/>
      <c r="D64" s="391">
        <f t="shared" si="0"/>
        <v>16.063438173912232</v>
      </c>
      <c r="E64" s="383">
        <f t="shared" si="1"/>
        <v>16.421350059426558</v>
      </c>
      <c r="F64" s="383">
        <f t="shared" si="2"/>
        <v>16.451850445548853</v>
      </c>
      <c r="G64" s="110">
        <f t="shared" si="19"/>
        <v>0.38943899740896198</v>
      </c>
      <c r="H64" s="412" t="b">
        <f>Wh_hp&gt;='2022'!Maxi_hp</f>
        <v>0</v>
      </c>
      <c r="I64" s="379">
        <f>IF(H64,Wh_hp,'2022'!Maxi_hp)</f>
        <v>39.852198656392886</v>
      </c>
      <c r="J64" s="85">
        <f>IF(H64,An,'2022'!An_max)</f>
        <v>2021</v>
      </c>
      <c r="K64" s="197">
        <f t="shared" si="3"/>
        <v>44976</v>
      </c>
      <c r="L64" s="147">
        <f>IF(t&lt;Tvie,1-EXP((T0-t)*PertePVj)+'2022'!Pspv,1-EXP((T0-t)*PertePVj)+Pspv)</f>
        <v>2.8356778740162847E-2</v>
      </c>
      <c r="M64" s="832"/>
      <c r="N64" s="832"/>
      <c r="O64" s="48">
        <f>IF(t&lt;Tnet,'2022'!Resal+('2022'!Salim-'2022'!Resal)*(1-EXP(('2022'!Tnet-t)/('2022'!Tau_j))),Resal+(Salim-Resal)*(1-EXP((Tnet-t)/(Tau_j))))*Salcycl</f>
        <v>2.1795521331625881E-2</v>
      </c>
      <c r="P64" s="338">
        <f>(INDEX(Models!$BJ64:$BT64,,T64)*(1-R64)+INDEX(Models!$BJ64:$BT64,,T64+1)*R64-ERP_i)*Q64*Ramure*Pc/MaxiM</f>
        <v>1.3783794975552724E-2</v>
      </c>
      <c r="Q64" s="304">
        <f t="shared" si="4"/>
        <v>0.7</v>
      </c>
      <c r="R64" s="177">
        <f t="shared" si="5"/>
        <v>0.33818964519105232</v>
      </c>
      <c r="S64" s="799">
        <f t="shared" si="6"/>
        <v>0</v>
      </c>
      <c r="T64" s="176">
        <f t="shared" si="7"/>
        <v>6</v>
      </c>
      <c r="U64" s="250">
        <f t="shared" si="20"/>
        <v>0.33818964519105232</v>
      </c>
      <c r="V64" s="382">
        <f t="shared" si="8"/>
        <v>39.598972835741641</v>
      </c>
      <c r="W64" s="400">
        <f t="shared" si="9"/>
        <v>15.607930811808316</v>
      </c>
      <c r="X64" s="157">
        <f t="shared" si="10"/>
        <v>44976</v>
      </c>
      <c r="Y64" s="383">
        <f t="shared" si="11"/>
        <v>14.659401063177306</v>
      </c>
      <c r="Z64" s="383">
        <f t="shared" si="21"/>
        <v>15.087226198284858</v>
      </c>
      <c r="AA64" s="384">
        <f t="shared" si="12"/>
        <v>16.419329511162914</v>
      </c>
      <c r="AB64" s="197">
        <f t="shared" si="13"/>
        <v>44976</v>
      </c>
      <c r="AC64" s="119">
        <f>IF(OR(t&lt;Tnet,NoTnet),'2022'!Resal_s+('2022'!Salim-'2022'!Resal_s)*(1-EXP(('2022'!Tnet_s-t)/'2022'!Tau_j)),Resal_s+(Salim-Resal_s)*(1-EXP((Tnet_s-t)/Tau_j)))*Salcycl</f>
        <v>8.1130189388818039E-2</v>
      </c>
      <c r="AD64" s="230">
        <f>(INDEX(Models!$BJ64:$BT64,,AH64)*(1-AF64)+INDEX(Models!$BJ64:$BT64,,AH64+1)*AF64-ERP_i)*AE64*Ramure*Pc/MaxiM</f>
        <v>1.4696925153400292E-2</v>
      </c>
      <c r="AE64" s="304">
        <f t="shared" si="14"/>
        <v>0.7</v>
      </c>
      <c r="AF64" s="177">
        <f t="shared" si="22"/>
        <v>0.40252186745088447</v>
      </c>
      <c r="AG64" s="799">
        <f t="shared" si="23"/>
        <v>0</v>
      </c>
      <c r="AH64" s="176">
        <f t="shared" si="15"/>
        <v>6</v>
      </c>
      <c r="AI64" s="224">
        <f t="shared" si="24"/>
        <v>0.40252186745088447</v>
      </c>
      <c r="AJ64" s="264" t="b">
        <f t="shared" si="16"/>
        <v>1</v>
      </c>
      <c r="AK64" s="264" t="b">
        <f t="shared" si="17"/>
        <v>0</v>
      </c>
      <c r="AL64" s="264"/>
      <c r="AM64" s="264"/>
      <c r="AN64" s="75"/>
    </row>
    <row r="65" spans="1:40" s="6" customFormat="1" ht="11.25" x14ac:dyDescent="0.2">
      <c r="A65" s="56">
        <f t="shared" si="18"/>
        <v>44977</v>
      </c>
      <c r="B65" s="409">
        <f>'2022'!Wh/'2022'!Env_an*'2023'!Env_an</f>
        <v>27.092747192319152</v>
      </c>
      <c r="C65" s="829"/>
      <c r="D65" s="391">
        <f t="shared" si="0"/>
        <v>27.883965879430551</v>
      </c>
      <c r="E65" s="383">
        <f t="shared" si="1"/>
        <v>28.506545255186339</v>
      </c>
      <c r="F65" s="383">
        <f t="shared" si="2"/>
        <v>28.707968629128075</v>
      </c>
      <c r="G65" s="110">
        <f t="shared" si="19"/>
        <v>0.67395615186586111</v>
      </c>
      <c r="H65" s="412" t="b">
        <f>Wh_hp&gt;='2022'!Maxi_hp</f>
        <v>0</v>
      </c>
      <c r="I65" s="379">
        <f>IF(H65,Wh_hp,'2022'!Maxi_hp)</f>
        <v>42.526823693851945</v>
      </c>
      <c r="J65" s="85">
        <f>IF(H65,An,'2022'!An_max)</f>
        <v>2020</v>
      </c>
      <c r="K65" s="197">
        <f t="shared" si="3"/>
        <v>44977</v>
      </c>
      <c r="L65" s="147">
        <f>IF(t&lt;Tvie,1-EXP((T0-t)*PertePVj)+'2022'!Pspv,1-EXP((T0-t)*PertePVj)+Pspv)</f>
        <v>2.8375400060830835E-2</v>
      </c>
      <c r="M65" s="832"/>
      <c r="N65" s="832"/>
      <c r="O65" s="48">
        <f>IF(t&lt;Tnet,'2022'!Resal+('2022'!Salim-'2022'!Resal)*(1-EXP(('2022'!Tnet-t)/('2022'!Tau_j))),Resal+(Salim-Resal)*(1-EXP((Tnet-t)/(Tau_j))))*Salcycl</f>
        <v>2.1839874673782809E-2</v>
      </c>
      <c r="P65" s="338">
        <f>(INDEX(Models!$BJ65:$BT65,,T65)*(1-R65)+INDEX(Models!$BJ65:$BT65,,T65+1)*R65-ERP_i)*Q65*Ramure*Pc/MaxiM</f>
        <v>1.2991873191678794E-2</v>
      </c>
      <c r="Q65" s="304">
        <f t="shared" si="4"/>
        <v>0.7</v>
      </c>
      <c r="R65" s="177">
        <f t="shared" si="5"/>
        <v>0.33836153511578054</v>
      </c>
      <c r="S65" s="799">
        <f t="shared" si="6"/>
        <v>0</v>
      </c>
      <c r="T65" s="176">
        <f t="shared" si="7"/>
        <v>6</v>
      </c>
      <c r="U65" s="250">
        <f t="shared" si="20"/>
        <v>0.33836153511578054</v>
      </c>
      <c r="V65" s="382">
        <f t="shared" si="8"/>
        <v>39.957656249414043</v>
      </c>
      <c r="W65" s="400">
        <f t="shared" si="9"/>
        <v>27.092747192319152</v>
      </c>
      <c r="X65" s="157">
        <f t="shared" si="10"/>
        <v>44977</v>
      </c>
      <c r="Y65" s="383">
        <f t="shared" si="11"/>
        <v>25.438625182804813</v>
      </c>
      <c r="Z65" s="383">
        <f t="shared" si="21"/>
        <v>26.181536762652424</v>
      </c>
      <c r="AA65" s="384">
        <f t="shared" si="12"/>
        <v>28.492919242753782</v>
      </c>
      <c r="AB65" s="197">
        <f t="shared" si="13"/>
        <v>44977</v>
      </c>
      <c r="AC65" s="119">
        <f>IF(OR(t&lt;Tnet,NoTnet),'2022'!Resal_s+('2022'!Salim-'2022'!Resal_s)*(1-EXP(('2022'!Tnet_s-t)/'2022'!Tau_j)),Resal_s+(Salim-Resal_s)*(1-EXP((Tnet_s-t)/Tau_j)))*Salcycl</f>
        <v>8.1121294045333081E-2</v>
      </c>
      <c r="AD65" s="230">
        <f>(INDEX(Models!$BJ65:$BT65,,AH65)*(1-AF65)+INDEX(Models!$BJ65:$BT65,,AH65+1)*AF65-ERP_i)*AE65*Ramure*Pc/MaxiM</f>
        <v>1.3870755429463377E-2</v>
      </c>
      <c r="AE65" s="304">
        <f t="shared" si="14"/>
        <v>0.7</v>
      </c>
      <c r="AF65" s="177">
        <f t="shared" si="22"/>
        <v>0.40269375737561269</v>
      </c>
      <c r="AG65" s="799">
        <f t="shared" si="23"/>
        <v>0</v>
      </c>
      <c r="AH65" s="176">
        <f t="shared" si="15"/>
        <v>6</v>
      </c>
      <c r="AI65" s="224">
        <f t="shared" si="24"/>
        <v>0.40269375737561269</v>
      </c>
      <c r="AJ65" s="264" t="b">
        <f t="shared" si="16"/>
        <v>1</v>
      </c>
      <c r="AK65" s="264" t="b">
        <f t="shared" si="17"/>
        <v>0</v>
      </c>
      <c r="AL65" s="264"/>
      <c r="AM65" s="264"/>
      <c r="AN65" s="75"/>
    </row>
    <row r="66" spans="1:40" s="6" customFormat="1" ht="11.25" x14ac:dyDescent="0.2">
      <c r="A66" s="56">
        <f t="shared" si="18"/>
        <v>44978</v>
      </c>
      <c r="B66" s="409">
        <f>'2022'!Wh/'2022'!Env_an*'2023'!Env_an</f>
        <v>20.312947829504612</v>
      </c>
      <c r="C66" s="829"/>
      <c r="D66" s="391">
        <f t="shared" si="0"/>
        <v>20.906569400618569</v>
      </c>
      <c r="E66" s="383">
        <f t="shared" si="1"/>
        <v>21.374329138973344</v>
      </c>
      <c r="F66" s="383">
        <f t="shared" si="2"/>
        <v>21.450399038076547</v>
      </c>
      <c r="G66" s="110">
        <f t="shared" si="19"/>
        <v>0.49946343445675728</v>
      </c>
      <c r="H66" s="412" t="b">
        <f>Wh_hp&gt;='2022'!Maxi_hp</f>
        <v>0</v>
      </c>
      <c r="I66" s="379">
        <f>IF(H66,Wh_hp,'2022'!Maxi_hp)</f>
        <v>21.52544485018046</v>
      </c>
      <c r="J66" s="85">
        <f>IF(H66,An,'2022'!An_max)</f>
        <v>2022</v>
      </c>
      <c r="K66" s="197">
        <f t="shared" si="3"/>
        <v>44978</v>
      </c>
      <c r="L66" s="147">
        <f>IF(t&lt;Tvie,1-EXP((T0-t)*PertePVj)+'2022'!Pspv,1-EXP((T0-t)*PertePVj)+Pspv)</f>
        <v>2.8394021024625515E-2</v>
      </c>
      <c r="M66" s="832"/>
      <c r="N66" s="832"/>
      <c r="O66" s="48">
        <f>IF(t&lt;Tnet,'2022'!Resal+('2022'!Salim-'2022'!Resal)*(1-EXP(('2022'!Tnet-t)/('2022'!Tau_j))),Resal+(Salim-Resal)*(1-EXP((Tnet-t)/(Tau_j))))*Salcycl</f>
        <v>2.1884183373122899E-2</v>
      </c>
      <c r="P66" s="338">
        <f>(INDEX(Models!$BJ66:$BT66,,T66)*(1-R66)+INDEX(Models!$BJ66:$BT66,,T66+1)*R66-ERP_i)*Q66*Ramure*Pc/MaxiM</f>
        <v>1.2178983211006035E-2</v>
      </c>
      <c r="Q66" s="304">
        <f t="shared" si="4"/>
        <v>0.7</v>
      </c>
      <c r="R66" s="177">
        <f t="shared" si="5"/>
        <v>0.33854047771520984</v>
      </c>
      <c r="S66" s="799">
        <f t="shared" si="6"/>
        <v>0</v>
      </c>
      <c r="T66" s="176">
        <f t="shared" si="7"/>
        <v>6</v>
      </c>
      <c r="U66" s="250">
        <f t="shared" si="20"/>
        <v>0.33854047771520984</v>
      </c>
      <c r="V66" s="382">
        <f t="shared" si="8"/>
        <v>40.317203322490442</v>
      </c>
      <c r="W66" s="400">
        <f t="shared" si="9"/>
        <v>20.312947829504612</v>
      </c>
      <c r="X66" s="157">
        <f t="shared" si="10"/>
        <v>44978</v>
      </c>
      <c r="Y66" s="383">
        <f t="shared" si="11"/>
        <v>19.078241256947905</v>
      </c>
      <c r="Z66" s="383">
        <f t="shared" si="21"/>
        <v>19.635780007310398</v>
      </c>
      <c r="AA66" s="384">
        <f t="shared" si="12"/>
        <v>21.369076816303764</v>
      </c>
      <c r="AB66" s="197">
        <f t="shared" si="13"/>
        <v>44978</v>
      </c>
      <c r="AC66" s="119">
        <f>IF(OR(t&lt;Tnet,NoTnet),'2022'!Resal_s+('2022'!Salim-'2022'!Resal_s)*(1-EXP(('2022'!Tnet_s-t)/'2022'!Tau_j)),Resal_s+(Salim-Resal_s)*(1-EXP((Tnet_s-t)/Tau_j)))*Salcycl</f>
        <v>8.1112386084499721E-2</v>
      </c>
      <c r="AD66" s="230">
        <f>(INDEX(Models!$BJ66:$BT66,,AH66)*(1-AF66)+INDEX(Models!$BJ66:$BT66,,AH66+1)*AF66-ERP_i)*AE66*Ramure*Pc/MaxiM</f>
        <v>1.3019893352411901E-2</v>
      </c>
      <c r="AE66" s="304">
        <f t="shared" si="14"/>
        <v>0.7</v>
      </c>
      <c r="AF66" s="177">
        <f t="shared" si="22"/>
        <v>0.40287269997504199</v>
      </c>
      <c r="AG66" s="799">
        <f t="shared" si="23"/>
        <v>0</v>
      </c>
      <c r="AH66" s="176">
        <f t="shared" si="15"/>
        <v>6</v>
      </c>
      <c r="AI66" s="224">
        <f t="shared" si="24"/>
        <v>0.40287269997504199</v>
      </c>
      <c r="AJ66" s="264" t="b">
        <f t="shared" si="16"/>
        <v>1</v>
      </c>
      <c r="AK66" s="264" t="b">
        <f t="shared" si="17"/>
        <v>0</v>
      </c>
      <c r="AL66" s="264"/>
      <c r="AM66" s="264"/>
      <c r="AN66" s="75"/>
    </row>
    <row r="67" spans="1:40" s="6" customFormat="1" ht="11.25" x14ac:dyDescent="0.2">
      <c r="A67" s="56">
        <f t="shared" si="18"/>
        <v>44979</v>
      </c>
      <c r="B67" s="409">
        <f>'2022'!Wh/'2022'!Env_an*'2023'!Env_an</f>
        <v>33.644596127120487</v>
      </c>
      <c r="C67" s="829"/>
      <c r="D67" s="391">
        <f t="shared" si="0"/>
        <v>34.628482799136783</v>
      </c>
      <c r="E67" s="383">
        <f t="shared" si="1"/>
        <v>35.404856295510037</v>
      </c>
      <c r="F67" s="383">
        <f t="shared" si="2"/>
        <v>35.710838351747107</v>
      </c>
      <c r="G67" s="110">
        <f t="shared" si="19"/>
        <v>0.8247865298761391</v>
      </c>
      <c r="H67" s="412" t="b">
        <f>Wh_hp&gt;='2022'!Maxi_hp</f>
        <v>0</v>
      </c>
      <c r="I67" s="379">
        <f>IF(H67,Wh_hp,'2022'!Maxi_hp)</f>
        <v>41.235374874521426</v>
      </c>
      <c r="J67" s="85">
        <f>IF(H67,An,'2022'!An_max)</f>
        <v>2020</v>
      </c>
      <c r="K67" s="197">
        <f t="shared" si="3"/>
        <v>44979</v>
      </c>
      <c r="L67" s="147">
        <f>IF(t&lt;Tvie,1-EXP((T0-t)*PertePVj)+'2022'!Pspv,1-EXP((T0-t)*PertePVj)+Pspv)</f>
        <v>2.8412641631553659E-2</v>
      </c>
      <c r="M67" s="832"/>
      <c r="N67" s="832"/>
      <c r="O67" s="48">
        <f>IF(t&lt;Tnet,'2022'!Resal+('2022'!Salim-'2022'!Resal)*(1-EXP(('2022'!Tnet-t)/('2022'!Tau_j))),Resal+(Salim-Resal)*(1-EXP((Tnet-t)/(Tau_j))))*Salcycl</f>
        <v>2.192844647901343E-2</v>
      </c>
      <c r="P67" s="338">
        <f>(INDEX(Models!$BJ67:$BT67,,T67)*(1-R67)+INDEX(Models!$BJ67:$BT67,,T67+1)*R67-ERP_i)*Q67*Ramure*Pc/MaxiM</f>
        <v>1.1378252449713673E-2</v>
      </c>
      <c r="Q67" s="304">
        <f t="shared" si="4"/>
        <v>0.7</v>
      </c>
      <c r="R67" s="177">
        <f t="shared" si="5"/>
        <v>0.33872675552246528</v>
      </c>
      <c r="S67" s="799">
        <f t="shared" si="6"/>
        <v>0</v>
      </c>
      <c r="T67" s="176">
        <f t="shared" si="7"/>
        <v>6</v>
      </c>
      <c r="U67" s="250">
        <f t="shared" si="20"/>
        <v>0.33872675552246528</v>
      </c>
      <c r="V67" s="382">
        <f t="shared" si="8"/>
        <v>40.676270750185395</v>
      </c>
      <c r="W67" s="400">
        <f t="shared" si="9"/>
        <v>33.644596127120487</v>
      </c>
      <c r="X67" s="157">
        <f t="shared" si="10"/>
        <v>44979</v>
      </c>
      <c r="Y67" s="383">
        <f t="shared" si="11"/>
        <v>31.589804164170143</v>
      </c>
      <c r="Z67" s="383">
        <f t="shared" si="21"/>
        <v>32.513601470914388</v>
      </c>
      <c r="AA67" s="384">
        <f t="shared" si="12"/>
        <v>35.383310444689457</v>
      </c>
      <c r="AB67" s="197">
        <f t="shared" si="13"/>
        <v>44979</v>
      </c>
      <c r="AC67" s="119">
        <f>IF(OR(t&lt;Tnet,NoTnet),'2022'!Resal_s+('2022'!Salim-'2022'!Resal_s)*(1-EXP(('2022'!Tnet_s-t)/'2022'!Tau_j)),Resal_s+(Salim-Resal_s)*(1-EXP((Tnet_s-t)/Tau_j)))*Salcycl</f>
        <v>8.1103461991238746E-2</v>
      </c>
      <c r="AD67" s="230">
        <f>(INDEX(Models!$BJ67:$BT67,,AH67)*(1-AF67)+INDEX(Models!$BJ67:$BT67,,AH67+1)*AF67-ERP_i)*AE67*Ramure*Pc/MaxiM</f>
        <v>1.2179456719321352E-2</v>
      </c>
      <c r="AE67" s="304">
        <f t="shared" si="14"/>
        <v>0.7</v>
      </c>
      <c r="AF67" s="177">
        <f t="shared" si="22"/>
        <v>0.40305897778229743</v>
      </c>
      <c r="AG67" s="799">
        <f t="shared" si="23"/>
        <v>0</v>
      </c>
      <c r="AH67" s="176">
        <f t="shared" si="15"/>
        <v>6</v>
      </c>
      <c r="AI67" s="224">
        <f t="shared" si="24"/>
        <v>0.40305897778229743</v>
      </c>
      <c r="AJ67" s="264" t="b">
        <f t="shared" si="16"/>
        <v>1</v>
      </c>
      <c r="AK67" s="264" t="b">
        <f t="shared" si="17"/>
        <v>0</v>
      </c>
      <c r="AL67" s="264"/>
      <c r="AM67" s="264"/>
      <c r="AN67" s="75"/>
    </row>
    <row r="68" spans="1:40" s="6" customFormat="1" ht="11.25" x14ac:dyDescent="0.2">
      <c r="A68" s="56">
        <f t="shared" si="18"/>
        <v>44980</v>
      </c>
      <c r="B68" s="409">
        <f>'2022'!Wh/'2022'!Env_an*'2023'!Env_an</f>
        <v>38.971732166135673</v>
      </c>
      <c r="C68" s="829"/>
      <c r="D68" s="391">
        <f t="shared" si="0"/>
        <v>40.112171828018695</v>
      </c>
      <c r="E68" s="383">
        <f t="shared" si="1"/>
        <v>41.01334423387231</v>
      </c>
      <c r="F68" s="383">
        <f t="shared" si="2"/>
        <v>41.420452848435914</v>
      </c>
      <c r="G68" s="110">
        <f t="shared" si="19"/>
        <v>0.94899298634854501</v>
      </c>
      <c r="H68" s="412" t="b">
        <f>Wh_hp&gt;='2022'!Maxi_hp</f>
        <v>0</v>
      </c>
      <c r="I68" s="379">
        <f>IF(H68,Wh_hp,'2022'!Maxi_hp)</f>
        <v>41.868249695321026</v>
      </c>
      <c r="J68" s="85">
        <f>IF(H68,An,'2022'!An_max)</f>
        <v>2020</v>
      </c>
      <c r="K68" s="197">
        <f t="shared" si="3"/>
        <v>44980</v>
      </c>
      <c r="L68" s="147">
        <f>IF(t&lt;Tvie,1-EXP((T0-t)*PertePVj)+'2022'!Pspv,1-EXP((T0-t)*PertePVj)+Pspv)</f>
        <v>2.8431261881622039E-2</v>
      </c>
      <c r="M68" s="832"/>
      <c r="N68" s="832"/>
      <c r="O68" s="48">
        <f>IF(t&lt;Tnet,'2022'!Resal+('2022'!Salim-'2022'!Resal)*(1-EXP(('2022'!Tnet-t)/('2022'!Tau_j))),Resal+(Salim-Resal)*(1-EXP((Tnet-t)/(Tau_j))))*Salcycl</f>
        <v>2.1972663353537369E-2</v>
      </c>
      <c r="P68" s="338">
        <f>(INDEX(Models!$BJ68:$BT68,,T68)*(1-R68)+INDEX(Models!$BJ68:$BT68,,T68+1)*R68-ERP_i)*Q68*Ramure*Pc/MaxiM</f>
        <v>1.0589259453372373E-2</v>
      </c>
      <c r="Q68" s="304">
        <f t="shared" si="4"/>
        <v>0.7</v>
      </c>
      <c r="R68" s="177">
        <f t="shared" si="5"/>
        <v>0.33892066181076758</v>
      </c>
      <c r="S68" s="799">
        <f t="shared" si="6"/>
        <v>0</v>
      </c>
      <c r="T68" s="176">
        <f t="shared" si="7"/>
        <v>6</v>
      </c>
      <c r="U68" s="250">
        <f t="shared" si="20"/>
        <v>0.33892066181076758</v>
      </c>
      <c r="V68" s="382">
        <f t="shared" si="8"/>
        <v>41.034862879805573</v>
      </c>
      <c r="W68" s="400">
        <f t="shared" si="9"/>
        <v>38.971732166135673</v>
      </c>
      <c r="X68" s="157">
        <f t="shared" si="10"/>
        <v>44980</v>
      </c>
      <c r="Y68" s="383">
        <f t="shared" si="11"/>
        <v>36.58980799498439</v>
      </c>
      <c r="Z68" s="383">
        <f t="shared" si="21"/>
        <v>37.660544806996676</v>
      </c>
      <c r="AA68" s="384">
        <f t="shared" si="12"/>
        <v>40.984133410340483</v>
      </c>
      <c r="AB68" s="197">
        <f t="shared" si="13"/>
        <v>44980</v>
      </c>
      <c r="AC68" s="119">
        <f>IF(OR(t&lt;Tnet,NoTnet),'2022'!Resal_s+('2022'!Salim-'2022'!Resal_s)*(1-EXP(('2022'!Tnet_s-t)/'2022'!Tau_j)),Resal_s+(Salim-Resal_s)*(1-EXP((Tnet_s-t)/Tau_j)))*Salcycl</f>
        <v>8.1094519434324622E-2</v>
      </c>
      <c r="AD68" s="230">
        <f>(INDEX(Models!$BJ68:$BT68,,AH68)*(1-AF68)+INDEX(Models!$BJ68:$BT68,,AH68+1)*AF68-ERP_i)*AE68*Ramure*Pc/MaxiM</f>
        <v>1.1349059119013729E-2</v>
      </c>
      <c r="AE68" s="304">
        <f t="shared" si="14"/>
        <v>0.7</v>
      </c>
      <c r="AF68" s="177">
        <f t="shared" si="22"/>
        <v>0.40325288407059973</v>
      </c>
      <c r="AG68" s="799">
        <f t="shared" si="23"/>
        <v>0</v>
      </c>
      <c r="AH68" s="176">
        <f t="shared" si="15"/>
        <v>6</v>
      </c>
      <c r="AI68" s="224">
        <f t="shared" si="24"/>
        <v>0.40325288407059973</v>
      </c>
      <c r="AJ68" s="264" t="b">
        <f t="shared" si="16"/>
        <v>1</v>
      </c>
      <c r="AK68" s="264" t="b">
        <f t="shared" si="17"/>
        <v>0</v>
      </c>
      <c r="AL68" s="264"/>
      <c r="AM68" s="264"/>
      <c r="AN68" s="75"/>
    </row>
    <row r="69" spans="1:40" s="6" customFormat="1" ht="11.25" x14ac:dyDescent="0.2">
      <c r="A69" s="56">
        <f t="shared" si="18"/>
        <v>44981</v>
      </c>
      <c r="B69" s="409">
        <f>'2022'!Wh/'2022'!Env_an*'2023'!Env_an</f>
        <v>25.051193742194826</v>
      </c>
      <c r="C69" s="829"/>
      <c r="D69" s="391">
        <f t="shared" si="0"/>
        <v>25.784767324158842</v>
      </c>
      <c r="E69" s="383">
        <f t="shared" si="1"/>
        <v>26.365246573389516</v>
      </c>
      <c r="F69" s="383">
        <f t="shared" si="2"/>
        <v>26.478520043804433</v>
      </c>
      <c r="G69" s="110">
        <f t="shared" si="19"/>
        <v>0.60184048048705829</v>
      </c>
      <c r="H69" s="412" t="b">
        <f>Wh_hp&gt;='2022'!Maxi_hp</f>
        <v>0</v>
      </c>
      <c r="I69" s="379">
        <f>IF(H69,Wh_hp,'2022'!Maxi_hp)</f>
        <v>42.008924715628446</v>
      </c>
      <c r="J69" s="85">
        <f>IF(H69,An,'2022'!An_max)</f>
        <v>2020</v>
      </c>
      <c r="K69" s="197">
        <f t="shared" si="3"/>
        <v>44981</v>
      </c>
      <c r="L69" s="147">
        <f>IF(t&lt;Tvie,1-EXP((T0-t)*PertePVj)+'2022'!Pspv,1-EXP((T0-t)*PertePVj)+Pspv)</f>
        <v>2.8449881774837649E-2</v>
      </c>
      <c r="M69" s="832"/>
      <c r="N69" s="832"/>
      <c r="O69" s="48">
        <f>IF(t&lt;Tnet,'2022'!Resal+('2022'!Salim-'2022'!Resal)*(1-EXP(('2022'!Tnet-t)/('2022'!Tau_j))),Resal+(Salim-Resal)*(1-EXP((Tnet-t)/(Tau_j))))*Salcycl</f>
        <v>2.2016833698667235E-2</v>
      </c>
      <c r="P69" s="338">
        <f>(INDEX(Models!$BJ69:$BT69,,T69)*(1-R69)+INDEX(Models!$BJ69:$BT69,,T69+1)*R69-ERP_i)*Q69*Ramure*Pc/MaxiM</f>
        <v>9.8116593578171304E-3</v>
      </c>
      <c r="Q69" s="304">
        <f t="shared" si="4"/>
        <v>0.7</v>
      </c>
      <c r="R69" s="177">
        <f t="shared" si="5"/>
        <v>0.33912250095254221</v>
      </c>
      <c r="S69" s="799">
        <f t="shared" si="6"/>
        <v>0</v>
      </c>
      <c r="T69" s="176">
        <f t="shared" si="7"/>
        <v>6</v>
      </c>
      <c r="U69" s="250">
        <f t="shared" si="20"/>
        <v>0.33912250095254221</v>
      </c>
      <c r="V69" s="382">
        <f t="shared" si="8"/>
        <v>41.392981436946449</v>
      </c>
      <c r="W69" s="400">
        <f t="shared" si="9"/>
        <v>25.051193742194826</v>
      </c>
      <c r="X69" s="157">
        <f t="shared" si="10"/>
        <v>44981</v>
      </c>
      <c r="Y69" s="383">
        <f t="shared" si="11"/>
        <v>23.530751751919453</v>
      </c>
      <c r="Z69" s="383">
        <f t="shared" si="21"/>
        <v>24.219802262909166</v>
      </c>
      <c r="AA69" s="384">
        <f t="shared" si="12"/>
        <v>26.356972030133313</v>
      </c>
      <c r="AB69" s="197">
        <f t="shared" si="13"/>
        <v>44981</v>
      </c>
      <c r="AC69" s="119">
        <f>IF(OR(t&lt;Tnet,NoTnet),'2022'!Resal_s+('2022'!Salim-'2022'!Resal_s)*(1-EXP(('2022'!Tnet_s-t)/'2022'!Tau_j)),Resal_s+(Salim-Resal_s)*(1-EXP((Tnet_s-t)/Tau_j)))*Salcycl</f>
        <v>8.1085557353886131E-2</v>
      </c>
      <c r="AD69" s="230">
        <f>(INDEX(Models!$BJ69:$BT69,,AH69)*(1-AF69)+INDEX(Models!$BJ69:$BT69,,AH69+1)*AF69-ERP_i)*AE69*Ramure*Pc/MaxiM</f>
        <v>1.0528393818887411E-2</v>
      </c>
      <c r="AE69" s="304">
        <f t="shared" si="14"/>
        <v>0.7</v>
      </c>
      <c r="AF69" s="177">
        <f t="shared" si="22"/>
        <v>0.40345472321237436</v>
      </c>
      <c r="AG69" s="799">
        <f t="shared" si="23"/>
        <v>0</v>
      </c>
      <c r="AH69" s="176">
        <f t="shared" si="15"/>
        <v>6</v>
      </c>
      <c r="AI69" s="224">
        <f t="shared" si="24"/>
        <v>0.40345472321237436</v>
      </c>
      <c r="AJ69" s="264" t="b">
        <f t="shared" si="16"/>
        <v>1</v>
      </c>
      <c r="AK69" s="264" t="b">
        <f t="shared" si="17"/>
        <v>0</v>
      </c>
      <c r="AL69" s="264"/>
      <c r="AM69" s="264"/>
      <c r="AN69" s="75"/>
    </row>
    <row r="70" spans="1:40" s="6" customFormat="1" ht="11.25" x14ac:dyDescent="0.2">
      <c r="A70" s="56">
        <f t="shared" si="18"/>
        <v>44982</v>
      </c>
      <c r="B70" s="409">
        <f>'2022'!Wh/'2022'!Env_an*'2023'!Env_an</f>
        <v>27.255519785419306</v>
      </c>
      <c r="C70" s="829"/>
      <c r="D70" s="391">
        <f t="shared" si="0"/>
        <v>28.054180252728965</v>
      </c>
      <c r="E70" s="383">
        <f t="shared" si="1"/>
        <v>28.68704391159315</v>
      </c>
      <c r="F70" s="383">
        <f t="shared" si="2"/>
        <v>28.818425946708498</v>
      </c>
      <c r="G70" s="110">
        <f t="shared" si="19"/>
        <v>0.64987494564325077</v>
      </c>
      <c r="H70" s="412" t="b">
        <f>Wh_hp&gt;='2022'!Maxi_hp</f>
        <v>0</v>
      </c>
      <c r="I70" s="379">
        <f>IF(H70,Wh_hp,'2022'!Maxi_hp)</f>
        <v>38.500224990742687</v>
      </c>
      <c r="J70" s="85">
        <f>IF(H70,An,'2022'!An_max)</f>
        <v>2021</v>
      </c>
      <c r="K70" s="197">
        <f t="shared" si="3"/>
        <v>44982</v>
      </c>
      <c r="L70" s="147">
        <f>IF(t&lt;Tvie,1-EXP((T0-t)*PertePVj)+'2022'!Pspv,1-EXP((T0-t)*PertePVj)+Pspv)</f>
        <v>2.8468501311207262E-2</v>
      </c>
      <c r="M70" s="832"/>
      <c r="N70" s="832"/>
      <c r="O70" s="48">
        <f>IF(t&lt;Tnet,'2022'!Resal+('2022'!Salim-'2022'!Resal)*(1-EXP(('2022'!Tnet-t)/('2022'!Tau_j))),Resal+(Salim-Resal)*(1-EXP((Tnet-t)/(Tau_j))))*Salcycl</f>
        <v>2.2060957581217573E-2</v>
      </c>
      <c r="P70" s="338">
        <f>(INDEX(Models!$BJ70:$BT70,,T70)*(1-R70)+INDEX(Models!$BJ70:$BT70,,T70+1)*R70-ERP_i)*Q70*Ramure*Pc/MaxiM</f>
        <v>9.0451186211993849E-3</v>
      </c>
      <c r="Q70" s="304">
        <f t="shared" si="4"/>
        <v>0.7</v>
      </c>
      <c r="R70" s="177">
        <f t="shared" si="5"/>
        <v>0.33933258878625105</v>
      </c>
      <c r="S70" s="799">
        <f t="shared" si="6"/>
        <v>0</v>
      </c>
      <c r="T70" s="176">
        <f t="shared" si="7"/>
        <v>6</v>
      </c>
      <c r="U70" s="250">
        <f t="shared" si="20"/>
        <v>0.33933258878625105</v>
      </c>
      <c r="V70" s="382">
        <f t="shared" si="8"/>
        <v>41.750628145145733</v>
      </c>
      <c r="W70" s="400">
        <f t="shared" si="9"/>
        <v>27.255519785419306</v>
      </c>
      <c r="X70" s="157">
        <f t="shared" si="10"/>
        <v>44982</v>
      </c>
      <c r="Y70" s="383">
        <f t="shared" si="11"/>
        <v>25.602018069679765</v>
      </c>
      <c r="Z70" s="383">
        <f t="shared" si="21"/>
        <v>26.352226463303552</v>
      </c>
      <c r="AA70" s="384">
        <f t="shared" si="12"/>
        <v>28.677282324278753</v>
      </c>
      <c r="AB70" s="197">
        <f t="shared" si="13"/>
        <v>44982</v>
      </c>
      <c r="AC70" s="119">
        <f>IF(OR(t&lt;Tnet,NoTnet),'2022'!Resal_s+('2022'!Salim-'2022'!Resal_s)*(1-EXP(('2022'!Tnet_s-t)/'2022'!Tau_j)),Resal_s+(Salim-Resal_s)*(1-EXP((Tnet_s-t)/Tau_j)))*Salcycl</f>
        <v>8.1076576039660592E-2</v>
      </c>
      <c r="AD70" s="230">
        <f>(INDEX(Models!$BJ70:$BT70,,AH70)*(1-AF70)+INDEX(Models!$BJ70:$BT70,,AH70+1)*AF70-ERP_i)*AE70*Ramure*Pc/MaxiM</f>
        <v>9.7171641951046151E-3</v>
      </c>
      <c r="AE70" s="304">
        <f t="shared" si="14"/>
        <v>0.7</v>
      </c>
      <c r="AF70" s="177">
        <f t="shared" si="22"/>
        <v>0.40366481104608321</v>
      </c>
      <c r="AG70" s="799">
        <f t="shared" si="23"/>
        <v>0</v>
      </c>
      <c r="AH70" s="176">
        <f t="shared" si="15"/>
        <v>6</v>
      </c>
      <c r="AI70" s="224">
        <f t="shared" si="24"/>
        <v>0.40366481104608321</v>
      </c>
      <c r="AJ70" s="264" t="b">
        <f t="shared" si="16"/>
        <v>1</v>
      </c>
      <c r="AK70" s="264" t="b">
        <f t="shared" si="17"/>
        <v>0</v>
      </c>
      <c r="AL70" s="264"/>
      <c r="AM70" s="264"/>
      <c r="AN70" s="75"/>
    </row>
    <row r="71" spans="1:40" s="6" customFormat="1" ht="11.25" x14ac:dyDescent="0.2">
      <c r="A71" s="56">
        <f t="shared" si="18"/>
        <v>44983</v>
      </c>
      <c r="B71" s="409">
        <f>'2022'!Wh/'2022'!Env_an*'2023'!Env_an</f>
        <v>42.215423601557411</v>
      </c>
      <c r="C71" s="829"/>
      <c r="D71" s="391">
        <f t="shared" si="0"/>
        <v>43.453282495731372</v>
      </c>
      <c r="E71" s="383">
        <f t="shared" si="1"/>
        <v>44.435531494904467</v>
      </c>
      <c r="F71" s="383">
        <f t="shared" si="2"/>
        <v>44.80695038306736</v>
      </c>
      <c r="G71" s="110">
        <f t="shared" si="19"/>
        <v>1.0025557936565528</v>
      </c>
      <c r="H71" s="412" t="b">
        <f>Wh_hp&gt;='2022'!Maxi_hp</f>
        <v>1</v>
      </c>
      <c r="I71" s="379">
        <f>IF(H71,Wh_hp,'2022'!Maxi_hp)</f>
        <v>44.80695038306736</v>
      </c>
      <c r="J71" s="85">
        <f>IF(H71,An,'2022'!An_max)</f>
        <v>2023</v>
      </c>
      <c r="K71" s="197">
        <f t="shared" si="3"/>
        <v>44983</v>
      </c>
      <c r="L71" s="147">
        <f>IF(t&lt;Tvie,1-EXP((T0-t)*PertePVj)+'2022'!Pspv,1-EXP((T0-t)*PertePVj)+Pspv)</f>
        <v>2.848712049073765E-2</v>
      </c>
      <c r="M71" s="832"/>
      <c r="N71" s="832"/>
      <c r="O71" s="48">
        <f>IF(t&lt;Tnet,'2022'!Resal+('2022'!Salim-'2022'!Resal)*(1-EXP(('2022'!Tnet-t)/('2022'!Tau_j))),Resal+(Salim-Resal)*(1-EXP((Tnet-t)/(Tau_j))))*Salcycl</f>
        <v>2.2105035455370479E-2</v>
      </c>
      <c r="P71" s="338">
        <f>(INDEX(Models!$BJ71:$BT71,,T71)*(1-R71)+INDEX(Models!$BJ71:$BT71,,T71+1)*R71-ERP_i)*Q71*Ramure*Pc/MaxiM</f>
        <v>8.2893141574582486E-3</v>
      </c>
      <c r="Q71" s="304">
        <f t="shared" si="4"/>
        <v>0.7</v>
      </c>
      <c r="R71" s="177">
        <f t="shared" si="5"/>
        <v>0.33955125299070327</v>
      </c>
      <c r="S71" s="799">
        <f t="shared" si="6"/>
        <v>0</v>
      </c>
      <c r="T71" s="176">
        <f t="shared" si="7"/>
        <v>6</v>
      </c>
      <c r="U71" s="250">
        <f t="shared" si="20"/>
        <v>0.33955125299070327</v>
      </c>
      <c r="V71" s="382">
        <f t="shared" si="8"/>
        <v>42.107804741308222</v>
      </c>
      <c r="W71" s="400">
        <f t="shared" si="9"/>
        <v>42.215423601557411</v>
      </c>
      <c r="X71" s="157">
        <f t="shared" si="10"/>
        <v>44983</v>
      </c>
      <c r="Y71" s="383">
        <f t="shared" si="11"/>
        <v>39.644997124001463</v>
      </c>
      <c r="Z71" s="383">
        <f t="shared" si="21"/>
        <v>40.807484862194755</v>
      </c>
      <c r="AA71" s="384">
        <f t="shared" si="12"/>
        <v>44.407492705313949</v>
      </c>
      <c r="AB71" s="197">
        <f t="shared" si="13"/>
        <v>44983</v>
      </c>
      <c r="AC71" s="119">
        <f>IF(OR(t&lt;Tnet,NoTnet),'2022'!Resal_s+('2022'!Salim-'2022'!Resal_s)*(1-EXP(('2022'!Tnet_s-t)/'2022'!Tau_j)),Resal_s+(Salim-Resal_s)*(1-EXP((Tnet_s-t)/Tau_j)))*Salcycl</f>
        <v>8.1067577199385663E-2</v>
      </c>
      <c r="AD71" s="230">
        <f>(INDEX(Models!$BJ71:$BT71,,AH71)*(1-AF71)+INDEX(Models!$BJ71:$BT71,,AH71+1)*AF71-ERP_i)*AE71*Ramure*Pc/MaxiM</f>
        <v>8.9150829132161411E-3</v>
      </c>
      <c r="AE71" s="304">
        <f t="shared" si="14"/>
        <v>0.7</v>
      </c>
      <c r="AF71" s="177">
        <f t="shared" si="22"/>
        <v>0.40388347525053542</v>
      </c>
      <c r="AG71" s="799">
        <f t="shared" si="23"/>
        <v>0</v>
      </c>
      <c r="AH71" s="176">
        <f t="shared" si="15"/>
        <v>6</v>
      </c>
      <c r="AI71" s="224">
        <f t="shared" si="24"/>
        <v>0.40388347525053542</v>
      </c>
      <c r="AJ71" s="264" t="b">
        <f t="shared" si="16"/>
        <v>1</v>
      </c>
      <c r="AK71" s="264" t="b">
        <f t="shared" si="17"/>
        <v>0</v>
      </c>
      <c r="AL71" s="264"/>
      <c r="AM71" s="264"/>
      <c r="AN71" s="75"/>
    </row>
    <row r="72" spans="1:40" s="6" customFormat="1" ht="11.25" x14ac:dyDescent="0.2">
      <c r="A72" s="56">
        <f t="shared" si="18"/>
        <v>44984</v>
      </c>
      <c r="B72" s="409">
        <f>'2022'!Wh/'2022'!Env_an*'2023'!Env_an</f>
        <v>22.364994558970618</v>
      </c>
      <c r="C72" s="829"/>
      <c r="D72" s="391">
        <f t="shared" si="0"/>
        <v>23.021231791081366</v>
      </c>
      <c r="E72" s="383">
        <f t="shared" si="1"/>
        <v>23.542680220485995</v>
      </c>
      <c r="F72" s="383">
        <f t="shared" si="2"/>
        <v>23.600568016985026</v>
      </c>
      <c r="G72" s="110">
        <f t="shared" si="19"/>
        <v>0.52398697587265275</v>
      </c>
      <c r="H72" s="412" t="b">
        <f>Wh_hp&gt;='2022'!Maxi_hp</f>
        <v>0</v>
      </c>
      <c r="I72" s="379">
        <f>IF(H72,Wh_hp,'2022'!Maxi_hp)</f>
        <v>43.222165638946798</v>
      </c>
      <c r="J72" s="85">
        <f>IF(H72,An,'2022'!An_max)</f>
        <v>2021</v>
      </c>
      <c r="K72" s="197">
        <f t="shared" si="3"/>
        <v>44984</v>
      </c>
      <c r="L72" s="147">
        <f>IF(t&lt;Tvie,1-EXP((T0-t)*PertePVj)+'2022'!Pspv,1-EXP((T0-t)*PertePVj)+Pspv)</f>
        <v>2.8505739313435807E-2</v>
      </c>
      <c r="M72" s="832"/>
      <c r="N72" s="832"/>
      <c r="O72" s="48">
        <f>IF(t&lt;Tnet,'2022'!Resal+('2022'!Salim-'2022'!Resal)*(1-EXP(('2022'!Tnet-t)/('2022'!Tau_j))),Resal+(Salim-Resal)*(1-EXP((Tnet-t)/(Tau_j))))*Salcycl</f>
        <v>2.2149068182597341E-2</v>
      </c>
      <c r="P72" s="338">
        <f>(INDEX(Models!$BJ72:$BT72,,T72)*(1-R72)+INDEX(Models!$BJ72:$BT72,,T72+1)*R72-ERP_i)*Q72*Ramure*Pc/MaxiM</f>
        <v>7.5740554178918623E-3</v>
      </c>
      <c r="Q72" s="304">
        <f t="shared" si="4"/>
        <v>0.7</v>
      </c>
      <c r="R72" s="177">
        <f t="shared" si="5"/>
        <v>0.33977883346655141</v>
      </c>
      <c r="S72" s="799">
        <f t="shared" si="6"/>
        <v>0</v>
      </c>
      <c r="T72" s="176">
        <f t="shared" si="7"/>
        <v>6</v>
      </c>
      <c r="U72" s="250">
        <f t="shared" si="20"/>
        <v>0.33977883346655141</v>
      </c>
      <c r="V72" s="382">
        <f t="shared" si="8"/>
        <v>42.46322411185789</v>
      </c>
      <c r="W72" s="400">
        <f t="shared" si="9"/>
        <v>22.364994558970618</v>
      </c>
      <c r="X72" s="157">
        <f t="shared" si="10"/>
        <v>44984</v>
      </c>
      <c r="Y72" s="383">
        <f t="shared" si="11"/>
        <v>21.013687137504572</v>
      </c>
      <c r="Z72" s="383">
        <f t="shared" si="21"/>
        <v>21.630274092050733</v>
      </c>
      <c r="AA72" s="384">
        <f t="shared" si="12"/>
        <v>23.538250910308129</v>
      </c>
      <c r="AB72" s="197">
        <f t="shared" si="13"/>
        <v>44984</v>
      </c>
      <c r="AC72" s="119">
        <f>IF(OR(t&lt;Tnet,NoTnet),'2022'!Resal_s+('2022'!Salim-'2022'!Resal_s)*(1-EXP(('2022'!Tnet_s-t)/'2022'!Tau_j)),Resal_s+(Salim-Resal_s)*(1-EXP((Tnet_s-t)/Tau_j)))*Salcycl</f>
        <v>8.1058564016828968E-2</v>
      </c>
      <c r="AD72" s="230">
        <f>(INDEX(Models!$BJ72:$BT72,,AH72)*(1-AF72)+INDEX(Models!$BJ72:$BT72,,AH72+1)*AF72-ERP_i)*AE72*Ramure*Pc/MaxiM</f>
        <v>8.1535875952960194E-3</v>
      </c>
      <c r="AE72" s="304">
        <f t="shared" si="14"/>
        <v>0.7</v>
      </c>
      <c r="AF72" s="177">
        <f t="shared" si="22"/>
        <v>0.40411105572638356</v>
      </c>
      <c r="AG72" s="799">
        <f t="shared" si="23"/>
        <v>0</v>
      </c>
      <c r="AH72" s="176">
        <f t="shared" si="15"/>
        <v>6</v>
      </c>
      <c r="AI72" s="224">
        <f t="shared" si="24"/>
        <v>0.40411105572638356</v>
      </c>
      <c r="AJ72" s="264" t="b">
        <f t="shared" si="16"/>
        <v>1</v>
      </c>
      <c r="AK72" s="264" t="b">
        <f t="shared" si="17"/>
        <v>0</v>
      </c>
      <c r="AL72" s="264"/>
      <c r="AM72" s="264"/>
      <c r="AN72" s="75"/>
    </row>
    <row r="73" spans="1:40" s="6" customFormat="1" ht="11.25" x14ac:dyDescent="0.2">
      <c r="A73" s="56">
        <f t="shared" si="18"/>
        <v>44985</v>
      </c>
      <c r="B73" s="409">
        <f>'2022'!Wh/'2022'!Env_an*'2023'!Env_an</f>
        <v>38.720171763558568</v>
      </c>
      <c r="C73" s="829"/>
      <c r="D73" s="391">
        <f t="shared" si="0"/>
        <v>39.857069061503495</v>
      </c>
      <c r="E73" s="383">
        <f t="shared" si="1"/>
        <v>40.761695699571113</v>
      </c>
      <c r="F73" s="383">
        <f t="shared" si="2"/>
        <v>41.006438160644315</v>
      </c>
      <c r="G73" s="110">
        <f t="shared" si="19"/>
        <v>0.90347405079931176</v>
      </c>
      <c r="H73" s="412" t="b">
        <f>Wh_hp&gt;='2022'!Maxi_hp</f>
        <v>0</v>
      </c>
      <c r="I73" s="379">
        <f>IF(H73,Wh_hp,'2022'!Maxi_hp)</f>
        <v>41.02375672593805</v>
      </c>
      <c r="J73" s="85">
        <f>IF(H73,An,'2022'!An_max)</f>
        <v>2022</v>
      </c>
      <c r="K73" s="197">
        <f t="shared" si="3"/>
        <v>44985</v>
      </c>
      <c r="L73" s="147">
        <f>IF(t&lt;Tvie,1-EXP((T0-t)*PertePVj)+'2022'!Pspv,1-EXP((T0-t)*PertePVj)+Pspv)</f>
        <v>2.8524357779308396E-2</v>
      </c>
      <c r="M73" s="832"/>
      <c r="N73" s="832"/>
      <c r="O73" s="48">
        <f>IF(t&lt;Tnet,'2022'!Resal+('2022'!Salim-'2022'!Resal)*(1-EXP(('2022'!Tnet-t)/('2022'!Tau_j))),Resal+(Salim-Resal)*(1-EXP((Tnet-t)/(Tau_j))))*Salcycl</f>
        <v>2.2193057048829824E-2</v>
      </c>
      <c r="P73" s="338">
        <f>(INDEX(Models!$BJ73:$BT73,,T73)*(1-R73)+INDEX(Models!$BJ73:$BT73,,T73+1)*R73-ERP_i)*Q73*Ramure*Pc/MaxiM</f>
        <v>6.9131913399529954E-3</v>
      </c>
      <c r="Q73" s="304">
        <f t="shared" si="4"/>
        <v>0.7</v>
      </c>
      <c r="R73" s="177">
        <f t="shared" si="5"/>
        <v>0.34001568272462152</v>
      </c>
      <c r="S73" s="799">
        <f t="shared" si="6"/>
        <v>0</v>
      </c>
      <c r="T73" s="176">
        <f t="shared" si="7"/>
        <v>6</v>
      </c>
      <c r="U73" s="250">
        <f t="shared" si="20"/>
        <v>0.34001568272462152</v>
      </c>
      <c r="V73" s="382">
        <f t="shared" si="8"/>
        <v>42.81624829253159</v>
      </c>
      <c r="W73" s="400">
        <f t="shared" si="9"/>
        <v>38.720171763558568</v>
      </c>
      <c r="X73" s="157">
        <f t="shared" si="10"/>
        <v>44985</v>
      </c>
      <c r="Y73" s="383">
        <f t="shared" si="11"/>
        <v>36.372593374038409</v>
      </c>
      <c r="Z73" s="383">
        <f t="shared" si="21"/>
        <v>37.440561341192733</v>
      </c>
      <c r="AA73" s="384">
        <f t="shared" si="12"/>
        <v>40.742741877561343</v>
      </c>
      <c r="AB73" s="197">
        <f t="shared" si="13"/>
        <v>44985</v>
      </c>
      <c r="AC73" s="119">
        <f>IF(OR(t&lt;Tnet,NoTnet),'2022'!Resal_s+('2022'!Salim-'2022'!Resal_s)*(1-EXP(('2022'!Tnet_s-t)/'2022'!Tau_j)),Resal_s+(Salim-Resal_s)*(1-EXP((Tnet_s-t)/Tau_j)))*Salcycl</f>
        <v>8.1049541199073052E-2</v>
      </c>
      <c r="AD73" s="230">
        <f>(INDEX(Models!$BJ73:$BT73,,AH73)*(1-AF73)+INDEX(Models!$BJ73:$BT73,,AH73+1)*AF73-ERP_i)*AE73*Ramure*Pc/MaxiM</f>
        <v>7.448576158763852E-3</v>
      </c>
      <c r="AE73" s="304">
        <f t="shared" si="14"/>
        <v>0.7</v>
      </c>
      <c r="AF73" s="177">
        <f t="shared" si="22"/>
        <v>0.40434790498445367</v>
      </c>
      <c r="AG73" s="799">
        <f t="shared" si="23"/>
        <v>0</v>
      </c>
      <c r="AH73" s="176">
        <f t="shared" si="15"/>
        <v>6</v>
      </c>
      <c r="AI73" s="224">
        <f t="shared" si="24"/>
        <v>0.40434790498445367</v>
      </c>
      <c r="AJ73" s="264" t="b">
        <f t="shared" si="16"/>
        <v>1</v>
      </c>
      <c r="AK73" s="264" t="b">
        <f t="shared" si="17"/>
        <v>0</v>
      </c>
      <c r="AL73" s="264"/>
      <c r="AM73" s="264"/>
      <c r="AN73" s="75"/>
    </row>
    <row r="74" spans="1:40" s="6" customFormat="1" ht="11.25" x14ac:dyDescent="0.2">
      <c r="A74" s="56">
        <f t="shared" si="18"/>
        <v>44986</v>
      </c>
      <c r="B74" s="409">
        <f>'2022'!Wh/'2022'!Env_an*'2023'!Env_an</f>
        <v>42.879361650252108</v>
      </c>
      <c r="C74" s="829"/>
      <c r="D74" s="391">
        <f t="shared" si="0"/>
        <v>44.139226528794453</v>
      </c>
      <c r="E74" s="383">
        <f t="shared" si="1"/>
        <v>45.143073218540152</v>
      </c>
      <c r="F74" s="383">
        <f t="shared" si="2"/>
        <v>45.426785013770171</v>
      </c>
      <c r="G74" s="110">
        <f t="shared" si="19"/>
        <v>0.99327946640897247</v>
      </c>
      <c r="H74" s="412" t="b">
        <f>Wh_hp&gt;='2022'!Maxi_hp</f>
        <v>0</v>
      </c>
      <c r="I74" s="379">
        <f>IF(H74,Wh_hp,'2022'!Maxi_hp)</f>
        <v>45.428013886424807</v>
      </c>
      <c r="J74" s="85">
        <f>IF(H74,An,'2022'!An_max)</f>
        <v>2022</v>
      </c>
      <c r="K74" s="197">
        <f t="shared" si="3"/>
        <v>44986</v>
      </c>
      <c r="L74" s="147">
        <f>IF(t&lt;Tvie,1-EXP((T0-t)*PertePVj)+'2022'!Pspv,1-EXP((T0-t)*PertePVj)+Pspv)</f>
        <v>2.8542975888362299E-2</v>
      </c>
      <c r="M74" s="832"/>
      <c r="N74" s="832"/>
      <c r="O74" s="48">
        <f>IF(t&lt;Tnet,'2022'!Resal+('2022'!Salim-'2022'!Resal)*(1-EXP(('2022'!Tnet-t)/('2022'!Tau_j))),Resal+(Salim-Resal)*(1-EXP((Tnet-t)/(Tau_j))))*Salcycl</f>
        <v>2.2237003778764079E-2</v>
      </c>
      <c r="P74" s="338">
        <f>(INDEX(Models!$BJ74:$BT74,,T74)*(1-R74)+INDEX(Models!$BJ74:$BT74,,T74+1)*R74-ERP_i)*Q74*Ramure*Pc/MaxiM</f>
        <v>6.305470901359053E-3</v>
      </c>
      <c r="Q74" s="304">
        <f t="shared" si="4"/>
        <v>0.7</v>
      </c>
      <c r="R74" s="177">
        <f t="shared" si="5"/>
        <v>0.34026216628066852</v>
      </c>
      <c r="S74" s="799">
        <f t="shared" si="6"/>
        <v>0</v>
      </c>
      <c r="T74" s="176">
        <f t="shared" si="7"/>
        <v>6</v>
      </c>
      <c r="U74" s="250">
        <f t="shared" si="20"/>
        <v>0.34026216628066852</v>
      </c>
      <c r="V74" s="382">
        <f t="shared" si="8"/>
        <v>43.166877293022104</v>
      </c>
      <c r="W74" s="400">
        <f t="shared" si="9"/>
        <v>42.879361650252108</v>
      </c>
      <c r="X74" s="157">
        <f t="shared" si="10"/>
        <v>44986</v>
      </c>
      <c r="Y74" s="383">
        <f t="shared" si="11"/>
        <v>40.280745829963656</v>
      </c>
      <c r="Z74" s="383">
        <f t="shared" si="21"/>
        <v>41.464259179966241</v>
      </c>
      <c r="AA74" s="384">
        <f t="shared" si="12"/>
        <v>45.120878403625568</v>
      </c>
      <c r="AB74" s="197">
        <f t="shared" si="13"/>
        <v>44986</v>
      </c>
      <c r="AC74" s="119">
        <f>IF(OR(t&lt;Tnet,NoTnet),'2022'!Resal_s+('2022'!Salim-'2022'!Resal_s)*(1-EXP(('2022'!Tnet_s-t)/'2022'!Tau_j)),Resal_s+(Salim-Resal_s)*(1-EXP((Tnet_s-t)/Tau_j)))*Salcycl</f>
        <v>8.1040515012790762E-2</v>
      </c>
      <c r="AD74" s="230">
        <f>(INDEX(Models!$BJ74:$BT74,,AH74)*(1-AF74)+INDEX(Models!$BJ74:$BT74,,AH74+1)*AF74-ERP_i)*AE74*Ramure*Pc/MaxiM</f>
        <v>6.7987488050553933E-3</v>
      </c>
      <c r="AE74" s="304">
        <f t="shared" si="14"/>
        <v>0.7</v>
      </c>
      <c r="AF74" s="177">
        <f t="shared" si="22"/>
        <v>0.40459438854050067</v>
      </c>
      <c r="AG74" s="799">
        <f t="shared" si="23"/>
        <v>0</v>
      </c>
      <c r="AH74" s="176">
        <f t="shared" si="15"/>
        <v>6</v>
      </c>
      <c r="AI74" s="224">
        <f t="shared" si="24"/>
        <v>0.40459438854050067</v>
      </c>
      <c r="AJ74" s="264" t="b">
        <f t="shared" si="16"/>
        <v>1</v>
      </c>
      <c r="AK74" s="264" t="b">
        <f t="shared" si="17"/>
        <v>0</v>
      </c>
      <c r="AL74" s="264"/>
      <c r="AM74" s="264"/>
      <c r="AN74" s="75"/>
    </row>
    <row r="75" spans="1:40" s="6" customFormat="1" ht="11.25" x14ac:dyDescent="0.2">
      <c r="A75" s="56">
        <f t="shared" si="18"/>
        <v>44987</v>
      </c>
      <c r="B75" s="409">
        <f>'2022'!Wh/'2022'!Env_an*'2023'!Env_an</f>
        <v>14.864646833187557</v>
      </c>
      <c r="C75" s="829"/>
      <c r="D75" s="391">
        <f t="shared" si="0"/>
        <v>15.301687411037152</v>
      </c>
      <c r="E75" s="383">
        <f t="shared" si="1"/>
        <v>15.650392404224467</v>
      </c>
      <c r="F75" s="383">
        <f t="shared" si="2"/>
        <v>15.655741561820474</v>
      </c>
      <c r="G75" s="110">
        <f t="shared" si="19"/>
        <v>0.33974936105755871</v>
      </c>
      <c r="H75" s="412" t="b">
        <f>Wh_hp&gt;='2022'!Maxi_hp</f>
        <v>0</v>
      </c>
      <c r="I75" s="379">
        <f>IF(H75,Wh_hp,'2022'!Maxi_hp)</f>
        <v>33.203726330911472</v>
      </c>
      <c r="J75" s="85">
        <f>IF(H75,An,'2022'!An_max)</f>
        <v>2020</v>
      </c>
      <c r="K75" s="197">
        <f t="shared" si="3"/>
        <v>44987</v>
      </c>
      <c r="L75" s="147">
        <f>IF(t&lt;Tvie,1-EXP((T0-t)*PertePVj)+'2022'!Pspv,1-EXP((T0-t)*PertePVj)+Pspv)</f>
        <v>2.8561593640604399E-2</v>
      </c>
      <c r="M75" s="832"/>
      <c r="N75" s="832"/>
      <c r="O75" s="48">
        <f>IF(t&lt;Tnet,'2022'!Resal+('2022'!Salim-'2022'!Resal)*(1-EXP(('2022'!Tnet-t)/('2022'!Tau_j))),Resal+(Salim-Resal)*(1-EXP((Tnet-t)/(Tau_j))))*Salcycl</f>
        <v>2.2280910547213446E-2</v>
      </c>
      <c r="P75" s="338">
        <f>(INDEX(Models!$BJ75:$BT75,,T75)*(1-R75)+INDEX(Models!$BJ75:$BT75,,T75+1)*R75-ERP_i)*Q75*Ramure*Pc/MaxiM</f>
        <v>5.7496852937481586E-3</v>
      </c>
      <c r="Q75" s="304">
        <f t="shared" si="4"/>
        <v>0.7</v>
      </c>
      <c r="R75" s="177">
        <f t="shared" si="5"/>
        <v>0.34051866305607781</v>
      </c>
      <c r="S75" s="799">
        <f t="shared" si="6"/>
        <v>0</v>
      </c>
      <c r="T75" s="176">
        <f t="shared" si="7"/>
        <v>6</v>
      </c>
      <c r="U75" s="250">
        <f t="shared" si="20"/>
        <v>0.34051866305607781</v>
      </c>
      <c r="V75" s="382">
        <f t="shared" si="8"/>
        <v>43.515111054679032</v>
      </c>
      <c r="W75" s="400">
        <f t="shared" si="9"/>
        <v>14.864646833187557</v>
      </c>
      <c r="X75" s="157">
        <f t="shared" si="10"/>
        <v>44987</v>
      </c>
      <c r="Y75" s="383">
        <f t="shared" si="11"/>
        <v>13.971062309994059</v>
      </c>
      <c r="Z75" s="383">
        <f t="shared" si="21"/>
        <v>14.38183030291402</v>
      </c>
      <c r="AA75" s="384">
        <f t="shared" si="12"/>
        <v>15.649970807710801</v>
      </c>
      <c r="AB75" s="197">
        <f t="shared" si="13"/>
        <v>44987</v>
      </c>
      <c r="AC75" s="119">
        <f>IF(OR(t&lt;Tnet,NoTnet),'2022'!Resal_s+('2022'!Salim-'2022'!Resal_s)*(1-EXP(('2022'!Tnet_s-t)/'2022'!Tau_j)),Resal_s+(Salim-Resal_s)*(1-EXP((Tnet_s-t)/Tau_j)))*Salcycl</f>
        <v>8.1031493309365321E-2</v>
      </c>
      <c r="AD75" s="230">
        <f>(INDEX(Models!$BJ75:$BT75,,AH75)*(1-AF75)+INDEX(Models!$BJ75:$BT75,,AH75+1)*AF75-ERP_i)*AE75*Ramure*Pc/MaxiM</f>
        <v>6.2028495969159957E-3</v>
      </c>
      <c r="AE75" s="304">
        <f t="shared" si="14"/>
        <v>0.7</v>
      </c>
      <c r="AF75" s="177">
        <f t="shared" si="22"/>
        <v>0.40485088531590996</v>
      </c>
      <c r="AG75" s="799">
        <f t="shared" si="23"/>
        <v>0</v>
      </c>
      <c r="AH75" s="176">
        <f t="shared" si="15"/>
        <v>6</v>
      </c>
      <c r="AI75" s="224">
        <f t="shared" si="24"/>
        <v>0.40485088531590996</v>
      </c>
      <c r="AJ75" s="264" t="b">
        <f t="shared" si="16"/>
        <v>1</v>
      </c>
      <c r="AK75" s="264" t="b">
        <f t="shared" si="17"/>
        <v>0</v>
      </c>
      <c r="AL75" s="264"/>
      <c r="AM75" s="264"/>
      <c r="AN75" s="75"/>
    </row>
    <row r="76" spans="1:40" s="6" customFormat="1" ht="11.25" x14ac:dyDescent="0.2">
      <c r="A76" s="56">
        <f t="shared" si="18"/>
        <v>44988</v>
      </c>
      <c r="B76" s="409">
        <f>'2022'!Wh/'2022'!Env_an*'2023'!Env_an</f>
        <v>38.75743836511856</v>
      </c>
      <c r="C76" s="829"/>
      <c r="D76" s="391">
        <f t="shared" si="0"/>
        <v>39.897723729155508</v>
      </c>
      <c r="E76" s="383">
        <f t="shared" si="1"/>
        <v>40.808770553316883</v>
      </c>
      <c r="F76" s="383">
        <f t="shared" si="2"/>
        <v>40.988006109635258</v>
      </c>
      <c r="G76" s="110">
        <f t="shared" si="19"/>
        <v>0.8828696637442639</v>
      </c>
      <c r="H76" s="412" t="b">
        <f>Wh_hp&gt;='2022'!Maxi_hp</f>
        <v>0</v>
      </c>
      <c r="I76" s="379">
        <f>IF(H76,Wh_hp,'2022'!Maxi_hp)</f>
        <v>41.004251522825243</v>
      </c>
      <c r="J76" s="85">
        <f>IF(H76,An,'2022'!An_max)</f>
        <v>2022</v>
      </c>
      <c r="K76" s="197">
        <f t="shared" si="3"/>
        <v>44988</v>
      </c>
      <c r="L76" s="147">
        <f>IF(t&lt;Tvie,1-EXP((T0-t)*PertePVj)+'2022'!Pspv,1-EXP((T0-t)*PertePVj)+Pspv)</f>
        <v>2.8580211036041581E-2</v>
      </c>
      <c r="M76" s="832"/>
      <c r="N76" s="832"/>
      <c r="O76" s="48">
        <f>IF(t&lt;Tnet,'2022'!Resal+('2022'!Salim-'2022'!Resal)*(1-EXP(('2022'!Tnet-t)/('2022'!Tau_j))),Resal+(Salim-Resal)*(1-EXP((Tnet-t)/(Tau_j))))*Salcycl</f>
        <v>2.2324779987456068E-2</v>
      </c>
      <c r="P76" s="338">
        <f>(INDEX(Models!$BJ76:$BT76,,T76)*(1-R76)+INDEX(Models!$BJ76:$BT76,,T76+1)*R76-ERP_i)*Q76*Ramure*Pc/MaxiM</f>
        <v>5.2446660436844018E-3</v>
      </c>
      <c r="Q76" s="304">
        <f t="shared" si="4"/>
        <v>0.7</v>
      </c>
      <c r="R76" s="177">
        <f t="shared" si="5"/>
        <v>0.34078556578396407</v>
      </c>
      <c r="S76" s="799">
        <f t="shared" si="6"/>
        <v>0</v>
      </c>
      <c r="T76" s="176">
        <f t="shared" si="7"/>
        <v>6</v>
      </c>
      <c r="U76" s="250">
        <f t="shared" si="20"/>
        <v>0.34078556578396407</v>
      </c>
      <c r="V76" s="382">
        <f t="shared" si="8"/>
        <v>43.860949457043766</v>
      </c>
      <c r="W76" s="400">
        <f t="shared" si="9"/>
        <v>38.75743836511856</v>
      </c>
      <c r="X76" s="157">
        <f t="shared" si="10"/>
        <v>44988</v>
      </c>
      <c r="Y76" s="383">
        <f t="shared" si="11"/>
        <v>36.417856765693301</v>
      </c>
      <c r="Z76" s="383">
        <f t="shared" si="21"/>
        <v>37.489309132289534</v>
      </c>
      <c r="AA76" s="384">
        <f t="shared" si="12"/>
        <v>40.794588052865059</v>
      </c>
      <c r="AB76" s="197">
        <f t="shared" si="13"/>
        <v>44988</v>
      </c>
      <c r="AC76" s="119">
        <f>IF(OR(t&lt;Tnet,NoTnet),'2022'!Resal_s+('2022'!Salim-'2022'!Resal_s)*(1-EXP(('2022'!Tnet_s-t)/'2022'!Tau_j)),Resal_s+(Salim-Resal_s)*(1-EXP((Tnet_s-t)/Tau_j)))*Salcycl</f>
        <v>8.1022485538823477E-2</v>
      </c>
      <c r="AD76" s="230">
        <f>(INDEX(Models!$BJ76:$BT76,,AH76)*(1-AF76)+INDEX(Models!$BJ76:$BT76,,AH76+1)*AF76-ERP_i)*AE76*Ramure*Pc/MaxiM</f>
        <v>5.6596644963468412E-3</v>
      </c>
      <c r="AE76" s="304">
        <f t="shared" si="14"/>
        <v>0.7</v>
      </c>
      <c r="AF76" s="177">
        <f t="shared" si="22"/>
        <v>0.40511778804379622</v>
      </c>
      <c r="AG76" s="799">
        <f t="shared" si="23"/>
        <v>0</v>
      </c>
      <c r="AH76" s="176">
        <f t="shared" si="15"/>
        <v>6</v>
      </c>
      <c r="AI76" s="224">
        <f t="shared" si="24"/>
        <v>0.40511778804379622</v>
      </c>
      <c r="AJ76" s="264" t="b">
        <f t="shared" si="16"/>
        <v>1</v>
      </c>
      <c r="AK76" s="264" t="b">
        <f t="shared" si="17"/>
        <v>0</v>
      </c>
      <c r="AL76" s="264"/>
      <c r="AM76" s="264"/>
      <c r="AN76" s="75"/>
    </row>
    <row r="77" spans="1:40" s="6" customFormat="1" ht="11.25" x14ac:dyDescent="0.2">
      <c r="A77" s="56">
        <f t="shared" si="18"/>
        <v>44989</v>
      </c>
      <c r="B77" s="409">
        <f>'2022'!Wh/'2022'!Env_an*'2023'!Env_an</f>
        <v>5.1630150906362218</v>
      </c>
      <c r="C77" s="829"/>
      <c r="D77" s="391">
        <f t="shared" si="0"/>
        <v>5.3150183877204036</v>
      </c>
      <c r="E77" s="383">
        <f t="shared" si="1"/>
        <v>5.4366282326226676</v>
      </c>
      <c r="F77" s="383">
        <f t="shared" si="2"/>
        <v>5.4366282326226676</v>
      </c>
      <c r="G77" s="110">
        <f t="shared" si="19"/>
        <v>0.11623930742905488</v>
      </c>
      <c r="H77" s="412" t="b">
        <f>Wh_hp&gt;='2022'!Maxi_hp</f>
        <v>0</v>
      </c>
      <c r="I77" s="379">
        <f>IF(H77,Wh_hp,'2022'!Maxi_hp)</f>
        <v>31.937048727030085</v>
      </c>
      <c r="J77" s="85">
        <f>IF(H77,An,'2022'!An_max)</f>
        <v>2021</v>
      </c>
      <c r="K77" s="197">
        <f t="shared" si="3"/>
        <v>44989</v>
      </c>
      <c r="L77" s="147">
        <f>IF(t&lt;Tvie,1-EXP((T0-t)*PertePVj)+'2022'!Pspv,1-EXP((T0-t)*PertePVj)+Pspv)</f>
        <v>2.8598828074680616E-2</v>
      </c>
      <c r="M77" s="832"/>
      <c r="N77" s="832"/>
      <c r="O77" s="48">
        <f>IF(t&lt;Tnet,'2022'!Resal+('2022'!Salim-'2022'!Resal)*(1-EXP(('2022'!Tnet-t)/('2022'!Tau_j))),Resal+(Salim-Resal)*(1-EXP((Tnet-t)/(Tau_j))))*Salcycl</f>
        <v>2.2368615196555235E-2</v>
      </c>
      <c r="P77" s="338">
        <f>(INDEX(Models!$BJ77:$BT77,,T77)*(1-R77)+INDEX(Models!$BJ77:$BT77,,T77+1)*R77-ERP_i)*Q77*Ramure*Pc/MaxiM</f>
        <v>4.7892832829592629E-3</v>
      </c>
      <c r="Q77" s="304">
        <f t="shared" si="4"/>
        <v>0.7</v>
      </c>
      <c r="R77" s="177">
        <f t="shared" si="5"/>
        <v>0.34106328142004272</v>
      </c>
      <c r="S77" s="799">
        <f t="shared" si="6"/>
        <v>0</v>
      </c>
      <c r="T77" s="176">
        <f t="shared" si="7"/>
        <v>6</v>
      </c>
      <c r="U77" s="250">
        <f t="shared" si="20"/>
        <v>0.34106328142004272</v>
      </c>
      <c r="V77" s="382">
        <f t="shared" si="8"/>
        <v>44.204392321496385</v>
      </c>
      <c r="W77" s="400">
        <f t="shared" si="9"/>
        <v>5.1630150906362218</v>
      </c>
      <c r="X77" s="157">
        <f t="shared" si="10"/>
        <v>44989</v>
      </c>
      <c r="Y77" s="383">
        <f t="shared" si="11"/>
        <v>4.8533028165138736</v>
      </c>
      <c r="Z77" s="383">
        <f t="shared" si="21"/>
        <v>4.9961879363338797</v>
      </c>
      <c r="AA77" s="384">
        <f t="shared" si="12"/>
        <v>5.4366282326226676</v>
      </c>
      <c r="AB77" s="197">
        <f t="shared" si="13"/>
        <v>44989</v>
      </c>
      <c r="AC77" s="119">
        <f>IF(OR(t&lt;Tnet,NoTnet),'2022'!Resal_s+('2022'!Salim-'2022'!Resal_s)*(1-EXP(('2022'!Tnet_s-t)/'2022'!Tau_j)),Resal_s+(Salim-Resal_s)*(1-EXP((Tnet_s-t)/Tau_j)))*Salcycl</f>
        <v>8.1013502752664154E-2</v>
      </c>
      <c r="AD77" s="230">
        <f>(INDEX(Models!$BJ77:$BT77,,AH77)*(1-AF77)+INDEX(Models!$BJ77:$BT77,,AH77+1)*AF77-ERP_i)*AE77*Ramure*Pc/MaxiM</f>
        <v>5.1680195573151613E-3</v>
      </c>
      <c r="AE77" s="304">
        <f t="shared" si="14"/>
        <v>0.7</v>
      </c>
      <c r="AF77" s="177">
        <f t="shared" si="22"/>
        <v>0.40539550367987487</v>
      </c>
      <c r="AG77" s="799">
        <f t="shared" si="23"/>
        <v>0</v>
      </c>
      <c r="AH77" s="176">
        <f t="shared" si="15"/>
        <v>6</v>
      </c>
      <c r="AI77" s="224">
        <f t="shared" si="24"/>
        <v>0.40539550367987487</v>
      </c>
      <c r="AJ77" s="264" t="b">
        <f t="shared" si="16"/>
        <v>1</v>
      </c>
      <c r="AK77" s="264" t="b">
        <f t="shared" si="17"/>
        <v>0</v>
      </c>
      <c r="AL77" s="264"/>
      <c r="AM77" s="264"/>
      <c r="AN77" s="75"/>
    </row>
    <row r="78" spans="1:40" s="6" customFormat="1" ht="11.25" x14ac:dyDescent="0.2">
      <c r="A78" s="56">
        <f t="shared" si="18"/>
        <v>44990</v>
      </c>
      <c r="B78" s="409">
        <f>'2022'!Wh/'2022'!Env_an*'2023'!Env_an</f>
        <v>15.897646730119018</v>
      </c>
      <c r="C78" s="829"/>
      <c r="D78" s="391">
        <f t="shared" si="0"/>
        <v>16.365999826025661</v>
      </c>
      <c r="E78" s="383">
        <f t="shared" si="1"/>
        <v>16.741210870982808</v>
      </c>
      <c r="F78" s="383">
        <f t="shared" si="2"/>
        <v>16.747175258252028</v>
      </c>
      <c r="G78" s="110">
        <f t="shared" si="19"/>
        <v>0.35544862547230943</v>
      </c>
      <c r="H78" s="412" t="b">
        <f>Wh_hp&gt;='2022'!Maxi_hp</f>
        <v>0</v>
      </c>
      <c r="I78" s="379">
        <f>IF(H78,Wh_hp,'2022'!Maxi_hp)</f>
        <v>34.948583246258117</v>
      </c>
      <c r="J78" s="85">
        <f>IF(H78,An,'2022'!An_max)</f>
        <v>2021</v>
      </c>
      <c r="K78" s="197">
        <f t="shared" si="3"/>
        <v>44990</v>
      </c>
      <c r="L78" s="147">
        <f>IF(t&lt;Tvie,1-EXP((T0-t)*PertePVj)+'2022'!Pspv,1-EXP((T0-t)*PertePVj)+Pspv)</f>
        <v>2.8617444756528387E-2</v>
      </c>
      <c r="M78" s="832"/>
      <c r="N78" s="832"/>
      <c r="O78" s="48">
        <f>IF(t&lt;Tnet,'2022'!Resal+('2022'!Salim-'2022'!Resal)*(1-EXP(('2022'!Tnet-t)/('2022'!Tau_j))),Resal+(Salim-Resal)*(1-EXP((Tnet-t)/(Tau_j))))*Salcycl</f>
        <v>2.2412419737660335E-2</v>
      </c>
      <c r="P78" s="338">
        <f>(INDEX(Models!$BJ78:$BT78,,T78)*(1-R78)+INDEX(Models!$BJ78:$BT78,,T78+1)*R78-ERP_i)*Q78*Ramure*Pc/MaxiM</f>
        <v>4.382444162837144E-3</v>
      </c>
      <c r="Q78" s="304">
        <f t="shared" si="4"/>
        <v>0.7</v>
      </c>
      <c r="R78" s="177">
        <f t="shared" si="5"/>
        <v>0.34135223155755923</v>
      </c>
      <c r="S78" s="799">
        <f t="shared" si="6"/>
        <v>0</v>
      </c>
      <c r="T78" s="176">
        <f t="shared" si="7"/>
        <v>6</v>
      </c>
      <c r="U78" s="250">
        <f t="shared" si="20"/>
        <v>0.34135223155755923</v>
      </c>
      <c r="V78" s="382">
        <f t="shared" si="8"/>
        <v>44.545439412868767</v>
      </c>
      <c r="W78" s="400">
        <f t="shared" si="9"/>
        <v>15.897646730119018</v>
      </c>
      <c r="X78" s="157">
        <f t="shared" si="10"/>
        <v>44990</v>
      </c>
      <c r="Y78" s="383">
        <f t="shared" si="11"/>
        <v>14.944395997037379</v>
      </c>
      <c r="Z78" s="383">
        <f t="shared" si="21"/>
        <v>15.384665821275378</v>
      </c>
      <c r="AA78" s="384">
        <f t="shared" si="12"/>
        <v>16.740742240273597</v>
      </c>
      <c r="AB78" s="197">
        <f t="shared" si="13"/>
        <v>44990</v>
      </c>
      <c r="AC78" s="119">
        <f>IF(OR(t&lt;Tnet,NoTnet),'2022'!Resal_s+('2022'!Salim-'2022'!Resal_s)*(1-EXP(('2022'!Tnet_s-t)/'2022'!Tau_j)),Resal_s+(Salim-Resal_s)*(1-EXP((Tnet_s-t)/Tau_j)))*Salcycl</f>
        <v>8.10045575957722E-2</v>
      </c>
      <c r="AD78" s="230">
        <f>(INDEX(Models!$BJ78:$BT78,,AH78)*(1-AF78)+INDEX(Models!$BJ78:$BT78,,AH78+1)*AF78-ERP_i)*AE78*Ramure*Pc/MaxiM</f>
        <v>4.7267792677512738E-3</v>
      </c>
      <c r="AE78" s="304">
        <f t="shared" si="14"/>
        <v>0.7</v>
      </c>
      <c r="AF78" s="177">
        <f t="shared" si="22"/>
        <v>0.40568445381739138</v>
      </c>
      <c r="AG78" s="799">
        <f t="shared" si="23"/>
        <v>0</v>
      </c>
      <c r="AH78" s="176">
        <f t="shared" si="15"/>
        <v>6</v>
      </c>
      <c r="AI78" s="224">
        <f t="shared" si="24"/>
        <v>0.40568445381739138</v>
      </c>
      <c r="AJ78" s="264" t="b">
        <f t="shared" si="16"/>
        <v>1</v>
      </c>
      <c r="AK78" s="264" t="b">
        <f t="shared" si="17"/>
        <v>0</v>
      </c>
      <c r="AL78" s="264"/>
      <c r="AM78" s="264"/>
      <c r="AN78" s="75"/>
    </row>
    <row r="79" spans="1:40" s="6" customFormat="1" ht="11.25" x14ac:dyDescent="0.2">
      <c r="A79" s="56">
        <f t="shared" si="18"/>
        <v>44991</v>
      </c>
      <c r="B79" s="409">
        <f>'2022'!Wh/'2022'!Env_an*'2023'!Env_an</f>
        <v>22.930287449733601</v>
      </c>
      <c r="C79" s="829"/>
      <c r="D79" s="391">
        <f t="shared" ref="D79:D142" si="25">Wh/(1-Ppv)</f>
        <v>23.60627827636463</v>
      </c>
      <c r="E79" s="383">
        <f t="shared" si="1"/>
        <v>24.148563183928687</v>
      </c>
      <c r="F79" s="383">
        <f t="shared" ref="F79:F142" si="26">Wh_sa/(1-Pvg*MEDIAN((-Sdif+Wh/Env_an)/Csdif,0,1))</f>
        <v>24.177863598302839</v>
      </c>
      <c r="G79" s="110">
        <f t="shared" si="19"/>
        <v>0.50942727558452516</v>
      </c>
      <c r="H79" s="412" t="b">
        <f>Wh_hp&gt;='2022'!Maxi_hp</f>
        <v>0</v>
      </c>
      <c r="I79" s="379">
        <f>IF(H79,Wh_hp,'2022'!Maxi_hp)</f>
        <v>24.208113232054881</v>
      </c>
      <c r="J79" s="85">
        <f>IF(H79,An,'2022'!An_max)</f>
        <v>2022</v>
      </c>
      <c r="K79" s="197">
        <f t="shared" ref="K79:K142" si="27">t</f>
        <v>44991</v>
      </c>
      <c r="L79" s="147">
        <f>IF(t&lt;Tvie,1-EXP((T0-t)*PertePVj)+'2022'!Pspv,1-EXP((T0-t)*PertePVj)+Pspv)</f>
        <v>2.8636061081591668E-2</v>
      </c>
      <c r="M79" s="832"/>
      <c r="N79" s="832"/>
      <c r="O79" s="48">
        <f>IF(t&lt;Tnet,'2022'!Resal+('2022'!Salim-'2022'!Resal)*(1-EXP(('2022'!Tnet-t)/('2022'!Tau_j))),Resal+(Salim-Resal)*(1-EXP((Tnet-t)/(Tau_j))))*Salcycl</f>
        <v>2.2456197639326072E-2</v>
      </c>
      <c r="P79" s="338">
        <f>(INDEX(Models!$BJ79:$BT79,,T79)*(1-R79)+INDEX(Models!$BJ79:$BT79,,T79+1)*R79-ERP_i)*Q79*Ramure*Pc/MaxiM</f>
        <v>4.0229916113896438E-3</v>
      </c>
      <c r="Q79" s="304">
        <f t="shared" ref="Q79:Q142" si="28">IF(OR(t&lt;Ttai,Notai),Dd+PousD*Croivg,Dens+PousD*(Croivg-Croi_tai))</f>
        <v>0.7</v>
      </c>
      <c r="R79" s="177">
        <f t="shared" ref="R79:R142" si="29">(Hp_vg-S79)/(INDEX(Echel_vg,T79+1)-S79)</f>
        <v>0.34165285284547775</v>
      </c>
      <c r="S79" s="799">
        <f t="shared" ref="S79:S142" si="30">INDEX(Echel_vg,T79)</f>
        <v>0</v>
      </c>
      <c r="T79" s="176">
        <f t="shared" ref="T79:T142" si="31">MIN(MATCH(Hp_vg,Echel_vg),10)</f>
        <v>6</v>
      </c>
      <c r="U79" s="250">
        <f t="shared" ref="U79:U142" si="32">IF(OR(t&lt;Ttai,Notai),Hdd+PousH*Croivg,Hdtf+PousH*(Croivg-Croi_tai))</f>
        <v>0.34165285284547775</v>
      </c>
      <c r="V79" s="382">
        <f t="shared" ref="V79:V142" si="33">MaxiM*(1-Ppv)*(1-Pvg)*(1-Psa)</f>
        <v>44.885208340473959</v>
      </c>
      <c r="W79" s="400">
        <f t="shared" ref="W79:W142" si="34">Wh*(A79&gt;Tmaj)</f>
        <v>22.930287449733601</v>
      </c>
      <c r="X79" s="157">
        <f t="shared" ref="X79:X142" si="35">t</f>
        <v>44991</v>
      </c>
      <c r="Y79" s="383">
        <f t="shared" ref="Y79:Y142" si="36">Wh_pvt_s*(1-Ppv)</f>
        <v>21.555097771381476</v>
      </c>
      <c r="Z79" s="383">
        <f t="shared" ref="Z79:Z142" si="37">Wh_sa_s*(1-Psa_s)</f>
        <v>22.190547649300825</v>
      </c>
      <c r="AA79" s="384">
        <f t="shared" ref="AA79:AA142" si="38">Wh_hp*(1-Pvg_s*MEDIAN((-Sdif+Wh/Env_an)/Csdif,0,1))</f>
        <v>24.146292663681137</v>
      </c>
      <c r="AB79" s="197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8.0995664287710017E-2</v>
      </c>
      <c r="AD79" s="230">
        <f>(INDEX(Models!$BJ79:$BT79,,AH79)*(1-AF79)+INDEX(Models!$BJ79:$BT79,,AH79+1)*AF79-ERP_i)*AE79*Ramure*Pc/MaxiM</f>
        <v>4.3347375066095321E-3</v>
      </c>
      <c r="AE79" s="304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0.4059850751053099</v>
      </c>
      <c r="AG79" s="799">
        <f t="shared" si="23"/>
        <v>0</v>
      </c>
      <c r="AH79" s="176">
        <f t="shared" ref="AH79:AH142" si="42">MIN(MATCH(Hp_vg_s,Echel_vg),10)</f>
        <v>6</v>
      </c>
      <c r="AI79" s="224">
        <f t="shared" ref="AI79:AI142" si="43">IF(OR(t&lt;Ttai,Notai),Hdd_s+PousH*Croivg,Hdtai_s+PousH*(Croivg-Croi_tai))</f>
        <v>0.4059850751053099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44992</v>
      </c>
      <c r="B80" s="409">
        <f>'2022'!Wh/'2022'!Env_an*'2023'!Env_an</f>
        <v>35.744070096749176</v>
      </c>
      <c r="C80" s="829"/>
      <c r="D80" s="391">
        <f t="shared" si="25"/>
        <v>36.798519797458873</v>
      </c>
      <c r="E80" s="383">
        <f t="shared" ref="E80:E143" si="47">Wh_pvt/(1-Psa)</f>
        <v>37.645542754856507</v>
      </c>
      <c r="F80" s="383">
        <f t="shared" si="26"/>
        <v>37.744096673056127</v>
      </c>
      <c r="G80" s="110">
        <f t="shared" ref="G80:G143" si="48">+Wh_hp/MaxiM</f>
        <v>0.78949938698987054</v>
      </c>
      <c r="H80" s="412" t="b">
        <f>Wh_hp&gt;='2022'!Maxi_hp</f>
        <v>0</v>
      </c>
      <c r="I80" s="379">
        <f>IF(H80,Wh_hp,'2022'!Maxi_hp)</f>
        <v>37.762488842107338</v>
      </c>
      <c r="J80" s="85">
        <f>IF(H80,An,'2022'!An_max)</f>
        <v>2022</v>
      </c>
      <c r="K80" s="197">
        <f t="shared" si="27"/>
        <v>44992</v>
      </c>
      <c r="L80" s="147">
        <f>IF(t&lt;Tvie,1-EXP((T0-t)*PertePVj)+'2022'!Pspv,1-EXP((T0-t)*PertePVj)+Pspv)</f>
        <v>2.8654677049877231E-2</v>
      </c>
      <c r="M80" s="832"/>
      <c r="N80" s="832"/>
      <c r="O80" s="48">
        <f>IF(t&lt;Tnet,'2022'!Resal+('2022'!Salim-'2022'!Resal)*(1-EXP(('2022'!Tnet-t)/('2022'!Tau_j))),Resal+(Salim-Resal)*(1-EXP((Tnet-t)/(Tau_j))))*Salcycl</f>
        <v>2.2499953391915406E-2</v>
      </c>
      <c r="P80" s="338">
        <f>(INDEX(Models!$BJ80:$BT80,,T80)*(1-R80)+INDEX(Models!$BJ80:$BT80,,T80+1)*R80-ERP_i)*Q80*Ramure*Pc/MaxiM</f>
        <v>3.7272345846528477E-3</v>
      </c>
      <c r="Q80" s="304">
        <f t="shared" si="28"/>
        <v>0.7</v>
      </c>
      <c r="R80" s="177">
        <f t="shared" si="29"/>
        <v>0.34196559740902621</v>
      </c>
      <c r="S80" s="799">
        <f t="shared" si="30"/>
        <v>0</v>
      </c>
      <c r="T80" s="176">
        <f t="shared" si="31"/>
        <v>6</v>
      </c>
      <c r="U80" s="250">
        <f t="shared" si="32"/>
        <v>0.34196559740902621</v>
      </c>
      <c r="V80" s="382">
        <f t="shared" si="33"/>
        <v>45.223683945496489</v>
      </c>
      <c r="W80" s="400">
        <f t="shared" si="34"/>
        <v>35.744070096749176</v>
      </c>
      <c r="X80" s="157">
        <f t="shared" si="35"/>
        <v>44992</v>
      </c>
      <c r="Y80" s="383">
        <f t="shared" si="36"/>
        <v>33.59872327750702</v>
      </c>
      <c r="Z80" s="383">
        <f t="shared" si="37"/>
        <v>34.589885269084952</v>
      </c>
      <c r="AA80" s="384">
        <f t="shared" si="38"/>
        <v>37.638073883683425</v>
      </c>
      <c r="AB80" s="197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8.0986838593775784E-2</v>
      </c>
      <c r="AD80" s="230">
        <f>(INDEX(Models!$BJ80:$BT80,,AH80)*(1-AF80)+INDEX(Models!$BJ80:$BT80,,AH80+1)*AF80-ERP_i)*AE80*Ramure*Pc/MaxiM</f>
        <v>4.0097016387607371E-3</v>
      </c>
      <c r="AE80" s="304">
        <f t="shared" si="40"/>
        <v>0.7</v>
      </c>
      <c r="AF80" s="177">
        <f t="shared" si="41"/>
        <v>0.40629781966885836</v>
      </c>
      <c r="AG80" s="799">
        <f t="shared" ref="AG80:AG143" si="49">INDEX(Echel_vg,AH80)</f>
        <v>0</v>
      </c>
      <c r="AH80" s="176">
        <f t="shared" si="42"/>
        <v>6</v>
      </c>
      <c r="AI80" s="224">
        <f t="shared" si="43"/>
        <v>0.40629781966885836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44993</v>
      </c>
      <c r="B81" s="409">
        <f>'2022'!Wh/'2022'!Env_an*'2023'!Env_an</f>
        <v>36.14870937304476</v>
      </c>
      <c r="C81" s="829"/>
      <c r="D81" s="391">
        <f t="shared" si="25"/>
        <v>37.215809160741216</v>
      </c>
      <c r="E81" s="383">
        <f t="shared" si="47"/>
        <v>38.074140863288221</v>
      </c>
      <c r="F81" s="383">
        <f t="shared" si="26"/>
        <v>38.16779058741799</v>
      </c>
      <c r="G81" s="110">
        <f t="shared" si="48"/>
        <v>0.79259736934708513</v>
      </c>
      <c r="H81" s="412" t="b">
        <f>Wh_hp&gt;='2022'!Maxi_hp</f>
        <v>0</v>
      </c>
      <c r="I81" s="379">
        <f>IF(H81,Wh_hp,'2022'!Maxi_hp)</f>
        <v>38.184491330413124</v>
      </c>
      <c r="J81" s="85">
        <f>IF(H81,An,'2022'!An_max)</f>
        <v>2022</v>
      </c>
      <c r="K81" s="197">
        <f t="shared" si="27"/>
        <v>44993</v>
      </c>
      <c r="L81" s="147">
        <f>IF(t&lt;Tvie,1-EXP((T0-t)*PertePVj)+'2022'!Pspv,1-EXP((T0-t)*PertePVj)+Pspv)</f>
        <v>2.867329266139218E-2</v>
      </c>
      <c r="M81" s="832"/>
      <c r="N81" s="832"/>
      <c r="O81" s="48">
        <f>IF(t&lt;Tnet,'2022'!Resal+('2022'!Salim-'2022'!Resal)*(1-EXP(('2022'!Tnet-t)/('2022'!Tau_j))),Resal+(Salim-Resal)*(1-EXP((Tnet-t)/(Tau_j))))*Salcycl</f>
        <v>2.2543691941178411E-2</v>
      </c>
      <c r="P81" s="338">
        <f>(INDEX(Models!$BJ81:$BT81,,T81)*(1-R81)+INDEX(Models!$BJ81:$BT81,,T81+1)*R81-ERP_i)*Q81*Ramure*Pc/MaxiM</f>
        <v>3.4809329525513446E-3</v>
      </c>
      <c r="Q81" s="304">
        <f t="shared" si="28"/>
        <v>0.7</v>
      </c>
      <c r="R81" s="177">
        <f t="shared" si="29"/>
        <v>0.34229093327159427</v>
      </c>
      <c r="S81" s="799">
        <f t="shared" si="30"/>
        <v>0</v>
      </c>
      <c r="T81" s="176">
        <f t="shared" si="31"/>
        <v>6</v>
      </c>
      <c r="U81" s="250">
        <f t="shared" si="32"/>
        <v>0.34229093327159427</v>
      </c>
      <c r="V81" s="382">
        <f t="shared" si="33"/>
        <v>45.560941577644805</v>
      </c>
      <c r="W81" s="400">
        <f t="shared" si="34"/>
        <v>36.14870937304476</v>
      </c>
      <c r="X81" s="157">
        <f t="shared" si="35"/>
        <v>44993</v>
      </c>
      <c r="Y81" s="383">
        <f t="shared" si="36"/>
        <v>33.981499984252899</v>
      </c>
      <c r="Z81" s="383">
        <f t="shared" si="37"/>
        <v>34.984624357092684</v>
      </c>
      <c r="AA81" s="384">
        <f t="shared" si="38"/>
        <v>38.067236779475465</v>
      </c>
      <c r="AB81" s="197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8.0978097786304715E-2</v>
      </c>
      <c r="AD81" s="230">
        <f>(INDEX(Models!$BJ81:$BT81,,AH81)*(1-AF81)+INDEX(Models!$BJ81:$BT81,,AH81+1)*AF81-ERP_i)*AE81*Ramure*Pc/MaxiM</f>
        <v>3.737555735739433E-3</v>
      </c>
      <c r="AE81" s="304">
        <f t="shared" si="40"/>
        <v>0.7</v>
      </c>
      <c r="AF81" s="177">
        <f t="shared" si="41"/>
        <v>0.40662315553142642</v>
      </c>
      <c r="AG81" s="799">
        <f t="shared" si="49"/>
        <v>0</v>
      </c>
      <c r="AH81" s="176">
        <f t="shared" si="42"/>
        <v>6</v>
      </c>
      <c r="AI81" s="224">
        <f t="shared" si="43"/>
        <v>0.40662315553142642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44994</v>
      </c>
      <c r="B82" s="409">
        <f>'2022'!Wh/'2022'!Env_an*'2023'!Env_an</f>
        <v>32.942239354588274</v>
      </c>
      <c r="C82" s="829"/>
      <c r="D82" s="391">
        <f t="shared" si="25"/>
        <v>33.915335024043266</v>
      </c>
      <c r="E82" s="383">
        <f t="shared" si="47"/>
        <v>34.699098080168</v>
      </c>
      <c r="F82" s="383">
        <f t="shared" si="26"/>
        <v>34.767218324454809</v>
      </c>
      <c r="G82" s="110">
        <f t="shared" si="48"/>
        <v>0.71679912993254602</v>
      </c>
      <c r="H82" s="412" t="b">
        <f>Wh_hp&gt;='2022'!Maxi_hp</f>
        <v>0</v>
      </c>
      <c r="I82" s="379">
        <f>IF(H82,Wh_hp,'2022'!Maxi_hp)</f>
        <v>44.80891493400317</v>
      </c>
      <c r="J82" s="85">
        <f>IF(H82,An,'2022'!An_max)</f>
        <v>2021</v>
      </c>
      <c r="K82" s="197">
        <f t="shared" si="27"/>
        <v>44994</v>
      </c>
      <c r="L82" s="147">
        <f>IF(t&lt;Tvie,1-EXP((T0-t)*PertePVj)+'2022'!Pspv,1-EXP((T0-t)*PertePVj)+Pspv)</f>
        <v>2.8691907916143067E-2</v>
      </c>
      <c r="M82" s="832"/>
      <c r="N82" s="832"/>
      <c r="O82" s="48">
        <f>IF(t&lt;Tnet,'2022'!Resal+('2022'!Salim-'2022'!Resal)*(1-EXP(('2022'!Tnet-t)/('2022'!Tau_j))),Resal+(Salim-Resal)*(1-EXP((Tnet-t)/(Tau_j))))*Salcycl</f>
        <v>2.258741867912379E-2</v>
      </c>
      <c r="P82" s="338">
        <f>(INDEX(Models!$BJ82:$BT82,,T82)*(1-R82)+INDEX(Models!$BJ82:$BT82,,T82+1)*R82-ERP_i)*Q82*Ramure*Pc/MaxiM</f>
        <v>3.2831190954291331E-3</v>
      </c>
      <c r="Q82" s="304">
        <f t="shared" si="28"/>
        <v>0.7</v>
      </c>
      <c r="R82" s="177">
        <f t="shared" si="29"/>
        <v>0.3426293447768638</v>
      </c>
      <c r="S82" s="799">
        <f t="shared" si="30"/>
        <v>0</v>
      </c>
      <c r="T82" s="176">
        <f t="shared" si="31"/>
        <v>6</v>
      </c>
      <c r="U82" s="250">
        <f t="shared" si="32"/>
        <v>0.3426293447768638</v>
      </c>
      <c r="V82" s="382">
        <f t="shared" si="33"/>
        <v>45.89646330959706</v>
      </c>
      <c r="W82" s="400">
        <f t="shared" si="34"/>
        <v>32.942239354588274</v>
      </c>
      <c r="X82" s="157">
        <f t="shared" si="35"/>
        <v>44994</v>
      </c>
      <c r="Y82" s="383">
        <f t="shared" si="36"/>
        <v>30.970222641153917</v>
      </c>
      <c r="Z82" s="383">
        <f t="shared" si="37"/>
        <v>31.885066019279218</v>
      </c>
      <c r="AA82" s="384">
        <f t="shared" si="38"/>
        <v>34.694239910660357</v>
      </c>
      <c r="AB82" s="197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8.0969460596771126E-2</v>
      </c>
      <c r="AD82" s="230">
        <f>(INDEX(Models!$BJ82:$BT82,,AH82)*(1-AF82)+INDEX(Models!$BJ82:$BT82,,AH82+1)*AF82-ERP_i)*AE82*Ramure*Pc/MaxiM</f>
        <v>3.5172631336127429E-3</v>
      </c>
      <c r="AE82" s="304">
        <f t="shared" si="40"/>
        <v>0.7</v>
      </c>
      <c r="AF82" s="177">
        <f t="shared" si="41"/>
        <v>0.40696156703669595</v>
      </c>
      <c r="AG82" s="799">
        <f t="shared" si="49"/>
        <v>0</v>
      </c>
      <c r="AH82" s="176">
        <f t="shared" si="42"/>
        <v>6</v>
      </c>
      <c r="AI82" s="224">
        <f t="shared" si="43"/>
        <v>0.40696156703669595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44995</v>
      </c>
      <c r="B83" s="409">
        <f>'2022'!Wh/'2022'!Env_an*'2023'!Env_an</f>
        <v>26.496390163673549</v>
      </c>
      <c r="C83" s="829"/>
      <c r="D83" s="391">
        <f t="shared" si="25"/>
        <v>27.27960179332127</v>
      </c>
      <c r="E83" s="383">
        <f t="shared" si="47"/>
        <v>27.911265535385134</v>
      </c>
      <c r="F83" s="383">
        <f t="shared" si="26"/>
        <v>27.945427792521517</v>
      </c>
      <c r="G83" s="110">
        <f t="shared" si="48"/>
        <v>0.57204983347404825</v>
      </c>
      <c r="H83" s="412" t="b">
        <f>Wh_hp&gt;='2022'!Maxi_hp</f>
        <v>0</v>
      </c>
      <c r="I83" s="379">
        <f>IF(H83,Wh_hp,'2022'!Maxi_hp)</f>
        <v>45.219822593394703</v>
      </c>
      <c r="J83" s="85">
        <f>IF(H83,An,'2022'!An_max)</f>
        <v>2021</v>
      </c>
      <c r="K83" s="197">
        <f t="shared" si="27"/>
        <v>44995</v>
      </c>
      <c r="L83" s="147">
        <f>IF(t&lt;Tvie,1-EXP((T0-t)*PertePVj)+'2022'!Pspv,1-EXP((T0-t)*PertePVj)+Pspv)</f>
        <v>2.8710522814136885E-2</v>
      </c>
      <c r="M83" s="832"/>
      <c r="N83" s="832"/>
      <c r="O83" s="48">
        <f>IF(t&lt;Tnet,'2022'!Resal+('2022'!Salim-'2022'!Resal)*(1-EXP(('2022'!Tnet-t)/('2022'!Tau_j))),Resal+(Salim-Resal)*(1-EXP((Tnet-t)/(Tau_j))))*Salcycl</f>
        <v>2.2631139432321961E-2</v>
      </c>
      <c r="P83" s="338">
        <f>(INDEX(Models!$BJ83:$BT83,,T83)*(1-R83)+INDEX(Models!$BJ83:$BT83,,T83+1)*R83-ERP_i)*Q83*Ramure*Pc/MaxiM</f>
        <v>3.1328444287585019E-3</v>
      </c>
      <c r="Q83" s="304">
        <f t="shared" si="28"/>
        <v>0.7</v>
      </c>
      <c r="R83" s="177">
        <f t="shared" si="29"/>
        <v>0.34298133300993322</v>
      </c>
      <c r="S83" s="799">
        <f t="shared" si="30"/>
        <v>0</v>
      </c>
      <c r="T83" s="176">
        <f t="shared" si="31"/>
        <v>6</v>
      </c>
      <c r="U83" s="250">
        <f t="shared" si="32"/>
        <v>0.34298133300993322</v>
      </c>
      <c r="V83" s="382">
        <f t="shared" si="33"/>
        <v>46.229731144379343</v>
      </c>
      <c r="W83" s="400">
        <f t="shared" si="34"/>
        <v>26.496390163673549</v>
      </c>
      <c r="X83" s="157">
        <f t="shared" si="35"/>
        <v>44995</v>
      </c>
      <c r="Y83" s="383">
        <f t="shared" si="36"/>
        <v>24.912981388999334</v>
      </c>
      <c r="Z83" s="383">
        <f t="shared" si="37"/>
        <v>25.649388749871175</v>
      </c>
      <c r="AA83" s="384">
        <f t="shared" si="38"/>
        <v>27.908921465949469</v>
      </c>
      <c r="AB83" s="197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8.0960947159318133E-2</v>
      </c>
      <c r="AD83" s="230">
        <f>(INDEX(Models!$BJ83:$BT83,,AH83)*(1-AF83)+INDEX(Models!$BJ83:$BT83,,AH83+1)*AF83-ERP_i)*AE83*Ramure*Pc/MaxiM</f>
        <v>3.3478069484431643E-3</v>
      </c>
      <c r="AE83" s="304">
        <f t="shared" si="40"/>
        <v>0.7</v>
      </c>
      <c r="AF83" s="177">
        <f t="shared" si="41"/>
        <v>0.40731355526976537</v>
      </c>
      <c r="AG83" s="799">
        <f t="shared" si="49"/>
        <v>0</v>
      </c>
      <c r="AH83" s="176">
        <f t="shared" si="42"/>
        <v>6</v>
      </c>
      <c r="AI83" s="224">
        <f t="shared" si="43"/>
        <v>0.40731355526976537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44996</v>
      </c>
      <c r="B84" s="409">
        <f>'2022'!Wh/'2022'!Env_an*'2023'!Env_an</f>
        <v>18.539211057174519</v>
      </c>
      <c r="C84" s="829"/>
      <c r="D84" s="391">
        <f t="shared" si="25"/>
        <v>19.087580787397584</v>
      </c>
      <c r="E84" s="383">
        <f t="shared" si="47"/>
        <v>19.53043057517511</v>
      </c>
      <c r="F84" s="383">
        <f t="shared" si="26"/>
        <v>19.538731639485402</v>
      </c>
      <c r="G84" s="110">
        <f t="shared" si="48"/>
        <v>0.39713956427389524</v>
      </c>
      <c r="H84" s="412" t="b">
        <f>Wh_hp&gt;='2022'!Maxi_hp</f>
        <v>0</v>
      </c>
      <c r="I84" s="379">
        <f>IF(H84,Wh_hp,'2022'!Maxi_hp)</f>
        <v>39.829659361090641</v>
      </c>
      <c r="J84" s="85">
        <f>IF(H84,An,'2022'!An_max)</f>
        <v>2021</v>
      </c>
      <c r="K84" s="197">
        <f t="shared" si="27"/>
        <v>44996</v>
      </c>
      <c r="L84" s="147">
        <f>IF(t&lt;Tvie,1-EXP((T0-t)*PertePVj)+'2022'!Pspv,1-EXP((T0-t)*PertePVj)+Pspv)</f>
        <v>2.8729137355380407E-2</v>
      </c>
      <c r="M84" s="832"/>
      <c r="N84" s="832"/>
      <c r="O84" s="48">
        <f>IF(t&lt;Tnet,'2022'!Resal+('2022'!Salim-'2022'!Resal)*(1-EXP(('2022'!Tnet-t)/('2022'!Tau_j))),Resal+(Salim-Resal)*(1-EXP((Tnet-t)/(Tau_j))))*Salcycl</f>
        <v>2.2674860447799098E-2</v>
      </c>
      <c r="P84" s="338">
        <f>(INDEX(Models!$BJ84:$BT84,,T84)*(1-R84)+INDEX(Models!$BJ84:$BT84,,T84+1)*R84-ERP_i)*Q84*Ramure*Pc/MaxiM</f>
        <v>3.0291845675650664E-3</v>
      </c>
      <c r="Q84" s="304">
        <f t="shared" si="28"/>
        <v>0.7</v>
      </c>
      <c r="R84" s="177">
        <f t="shared" si="29"/>
        <v>0.34334741621606507</v>
      </c>
      <c r="S84" s="799">
        <f t="shared" si="30"/>
        <v>0</v>
      </c>
      <c r="T84" s="176">
        <f t="shared" si="31"/>
        <v>6</v>
      </c>
      <c r="U84" s="250">
        <f t="shared" si="32"/>
        <v>0.34334741621606507</v>
      </c>
      <c r="V84" s="382">
        <f t="shared" si="33"/>
        <v>46.560226991404676</v>
      </c>
      <c r="W84" s="400">
        <f t="shared" si="34"/>
        <v>18.539211057174519</v>
      </c>
      <c r="X84" s="157">
        <f t="shared" si="35"/>
        <v>44996</v>
      </c>
      <c r="Y84" s="383">
        <f t="shared" si="36"/>
        <v>17.433234493745559</v>
      </c>
      <c r="Z84" s="383">
        <f t="shared" si="37"/>
        <v>17.948890638269091</v>
      </c>
      <c r="AA84" s="384">
        <f t="shared" si="38"/>
        <v>19.529885212770072</v>
      </c>
      <c r="AB84" s="197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8.0952578946404133E-2</v>
      </c>
      <c r="AD84" s="230">
        <f>(INDEX(Models!$BJ84:$BT84,,AH84)*(1-AF84)+INDEX(Models!$BJ84:$BT84,,AH84+1)*AF84-ERP_i)*AE84*Ramure*Pc/MaxiM</f>
        <v>3.2281956002860527E-3</v>
      </c>
      <c r="AE84" s="304">
        <f t="shared" si="40"/>
        <v>0.7</v>
      </c>
      <c r="AF84" s="177">
        <f t="shared" si="41"/>
        <v>0.40767963847589722</v>
      </c>
      <c r="AG84" s="799">
        <f t="shared" si="49"/>
        <v>0</v>
      </c>
      <c r="AH84" s="176">
        <f t="shared" si="42"/>
        <v>6</v>
      </c>
      <c r="AI84" s="224">
        <f t="shared" si="43"/>
        <v>0.40767963847589722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44997</v>
      </c>
      <c r="B85" s="409">
        <f>'2022'!Wh/'2022'!Env_an*'2023'!Env_an</f>
        <v>13.523830309607106</v>
      </c>
      <c r="C85" s="829"/>
      <c r="D85" s="391">
        <f t="shared" si="25"/>
        <v>13.924117376354681</v>
      </c>
      <c r="E85" s="383">
        <f t="shared" si="47"/>
        <v>14.247807449060343</v>
      </c>
      <c r="F85" s="383">
        <f t="shared" si="26"/>
        <v>14.247807449060343</v>
      </c>
      <c r="G85" s="110">
        <f t="shared" si="48"/>
        <v>0.28757487771060919</v>
      </c>
      <c r="H85" s="412" t="b">
        <f>Wh_hp&gt;='2022'!Maxi_hp</f>
        <v>0</v>
      </c>
      <c r="I85" s="379">
        <f>IF(H85,Wh_hp,'2022'!Maxi_hp)</f>
        <v>46.64301638858592</v>
      </c>
      <c r="J85" s="85">
        <f>IF(H85,An,'2022'!An_max)</f>
        <v>2018</v>
      </c>
      <c r="K85" s="197">
        <f t="shared" si="27"/>
        <v>44997</v>
      </c>
      <c r="L85" s="147">
        <f>IF(t&lt;Tvie,1-EXP((T0-t)*PertePVj)+'2022'!Pspv,1-EXP((T0-t)*PertePVj)+Pspv)</f>
        <v>2.8747751539880406E-2</v>
      </c>
      <c r="M85" s="832"/>
      <c r="N85" s="832"/>
      <c r="O85" s="48">
        <f>IF(t&lt;Tnet,'2022'!Resal+('2022'!Salim-'2022'!Resal)*(1-EXP(('2022'!Tnet-t)/('2022'!Tau_j))),Resal+(Salim-Resal)*(1-EXP((Tnet-t)/(Tau_j))))*Salcycl</f>
        <v>2.2718588376698476E-2</v>
      </c>
      <c r="P85" s="338">
        <f>(INDEX(Models!$BJ85:$BT85,,T85)*(1-R85)+INDEX(Models!$BJ85:$BT85,,T85+1)*R85-ERP_i)*Q85*Ramure*Pc/MaxiM</f>
        <v>2.9712441381806909E-3</v>
      </c>
      <c r="Q85" s="304">
        <f t="shared" si="28"/>
        <v>0.7</v>
      </c>
      <c r="R85" s="177">
        <f t="shared" si="29"/>
        <v>0.34372813021554927</v>
      </c>
      <c r="S85" s="799">
        <f t="shared" si="30"/>
        <v>0</v>
      </c>
      <c r="T85" s="176">
        <f t="shared" si="31"/>
        <v>6</v>
      </c>
      <c r="U85" s="250">
        <f t="shared" si="32"/>
        <v>0.34372813021554927</v>
      </c>
      <c r="V85" s="382">
        <f t="shared" si="33"/>
        <v>46.887432641604839</v>
      </c>
      <c r="W85" s="400">
        <f t="shared" si="34"/>
        <v>13.523830309607106</v>
      </c>
      <c r="X85" s="157">
        <f t="shared" si="35"/>
        <v>44997</v>
      </c>
      <c r="Y85" s="383">
        <f t="shared" si="36"/>
        <v>12.718089303410448</v>
      </c>
      <c r="Z85" s="383">
        <f t="shared" si="37"/>
        <v>13.094527527297316</v>
      </c>
      <c r="AA85" s="384">
        <f t="shared" si="38"/>
        <v>14.247807449060343</v>
      </c>
      <c r="AB85" s="197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8.0944378697305253E-2</v>
      </c>
      <c r="AD85" s="230">
        <f>(INDEX(Models!$BJ85:$BT85,,AH85)*(1-AF85)+INDEX(Models!$BJ85:$BT85,,AH85+1)*AF85-ERP_i)*AE85*Ramure*Pc/MaxiM</f>
        <v>3.1574679585853224E-3</v>
      </c>
      <c r="AE85" s="304">
        <f t="shared" si="40"/>
        <v>0.7</v>
      </c>
      <c r="AF85" s="177">
        <f t="shared" si="41"/>
        <v>0.40806035247538142</v>
      </c>
      <c r="AG85" s="799">
        <f t="shared" si="49"/>
        <v>0</v>
      </c>
      <c r="AH85" s="176">
        <f t="shared" si="42"/>
        <v>6</v>
      </c>
      <c r="AI85" s="224">
        <f t="shared" si="43"/>
        <v>0.40806035247538142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44998</v>
      </c>
      <c r="B86" s="409">
        <f>'2022'!Wh/'2022'!Env_an*'2023'!Env_an</f>
        <v>10.044874029046067</v>
      </c>
      <c r="C86" s="829"/>
      <c r="D86" s="391">
        <f t="shared" si="25"/>
        <v>10.34238690966297</v>
      </c>
      <c r="E86" s="383">
        <f t="shared" si="47"/>
        <v>10.58328718782529</v>
      </c>
      <c r="F86" s="383">
        <f t="shared" si="26"/>
        <v>10.58328718782529</v>
      </c>
      <c r="G86" s="110">
        <f t="shared" si="48"/>
        <v>0.21213691282739569</v>
      </c>
      <c r="H86" s="412" t="b">
        <f>Wh_hp&gt;='2022'!Maxi_hp</f>
        <v>0</v>
      </c>
      <c r="I86" s="379">
        <f>IF(H86,Wh_hp,'2022'!Maxi_hp)</f>
        <v>40.981762819051319</v>
      </c>
      <c r="J86" s="85">
        <f>IF(H86,An,'2022'!An_max)</f>
        <v>2021</v>
      </c>
      <c r="K86" s="197">
        <f t="shared" si="27"/>
        <v>44998</v>
      </c>
      <c r="L86" s="147">
        <f>IF(t&lt;Tvie,1-EXP((T0-t)*PertePVj)+'2022'!Pspv,1-EXP((T0-t)*PertePVj)+Pspv)</f>
        <v>2.8766365367643987E-2</v>
      </c>
      <c r="M86" s="832"/>
      <c r="N86" s="832"/>
      <c r="O86" s="48">
        <f>IF(t&lt;Tnet,'2022'!Resal+('2022'!Salim-'2022'!Resal)*(1-EXP(('2022'!Tnet-t)/('2022'!Tau_j))),Resal+(Salim-Resal)*(1-EXP((Tnet-t)/(Tau_j))))*Salcycl</f>
        <v>2.2762330255900552E-2</v>
      </c>
      <c r="P86" s="338">
        <f>(INDEX(Models!$BJ86:$BT86,,T86)*(1-R86)+INDEX(Models!$BJ86:$BT86,,T86+1)*R86-ERP_i)*Q86*Ramure*Pc/MaxiM</f>
        <v>2.955226163750168E-3</v>
      </c>
      <c r="Q86" s="304">
        <f t="shared" si="28"/>
        <v>0.7</v>
      </c>
      <c r="R86" s="177">
        <f t="shared" si="29"/>
        <v>0.3441240288130259</v>
      </c>
      <c r="S86" s="799">
        <f t="shared" si="30"/>
        <v>0</v>
      </c>
      <c r="T86" s="176">
        <f t="shared" si="31"/>
        <v>6</v>
      </c>
      <c r="U86" s="250">
        <f t="shared" si="32"/>
        <v>0.3441240288130259</v>
      </c>
      <c r="V86" s="382">
        <f t="shared" si="33"/>
        <v>47.210968713647077</v>
      </c>
      <c r="W86" s="400">
        <f t="shared" si="34"/>
        <v>10.044874029046067</v>
      </c>
      <c r="X86" s="157">
        <f t="shared" si="35"/>
        <v>44998</v>
      </c>
      <c r="Y86" s="383">
        <f t="shared" si="36"/>
        <v>9.4469121181416114</v>
      </c>
      <c r="Z86" s="383">
        <f t="shared" si="37"/>
        <v>9.7267143365742061</v>
      </c>
      <c r="AA86" s="384">
        <f t="shared" si="38"/>
        <v>10.58328718782529</v>
      </c>
      <c r="AB86" s="197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8.0936370340253097E-2</v>
      </c>
      <c r="AD86" s="230">
        <f>(INDEX(Models!$BJ86:$BT86,,AH86)*(1-AF86)+INDEX(Models!$BJ86:$BT86,,AH86+1)*AF86-ERP_i)*AE86*Ramure*Pc/MaxiM</f>
        <v>3.1320302273591572E-3</v>
      </c>
      <c r="AE86" s="304">
        <f t="shared" si="40"/>
        <v>0.7</v>
      </c>
      <c r="AF86" s="177">
        <f t="shared" si="41"/>
        <v>0.40845625107285805</v>
      </c>
      <c r="AG86" s="799">
        <f t="shared" si="49"/>
        <v>0</v>
      </c>
      <c r="AH86" s="176">
        <f t="shared" si="42"/>
        <v>6</v>
      </c>
      <c r="AI86" s="224">
        <f t="shared" si="43"/>
        <v>0.40845625107285805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44999</v>
      </c>
      <c r="B87" s="409">
        <f>'2022'!Wh/'2022'!Env_an*'2023'!Env_an</f>
        <v>13.612947995629643</v>
      </c>
      <c r="C87" s="829"/>
      <c r="D87" s="391">
        <f t="shared" si="25"/>
        <v>14.016410062678061</v>
      </c>
      <c r="E87" s="383">
        <f t="shared" si="47"/>
        <v>14.343529947608344</v>
      </c>
      <c r="F87" s="383">
        <f t="shared" si="26"/>
        <v>14.343529947608344</v>
      </c>
      <c r="G87" s="110">
        <f t="shared" si="48"/>
        <v>0.28555198834318407</v>
      </c>
      <c r="H87" s="412" t="b">
        <f>Wh_hp&gt;='2022'!Maxi_hp</f>
        <v>0</v>
      </c>
      <c r="I87" s="379">
        <f>IF(H87,Wh_hp,'2022'!Maxi_hp)</f>
        <v>38.557146236700596</v>
      </c>
      <c r="J87" s="85">
        <f>IF(H87,An,'2022'!An_max)</f>
        <v>2020</v>
      </c>
      <c r="K87" s="197">
        <f t="shared" si="27"/>
        <v>44999</v>
      </c>
      <c r="L87" s="147">
        <f>IF(t&lt;Tvie,1-EXP((T0-t)*PertePVj)+'2022'!Pspv,1-EXP((T0-t)*PertePVj)+Pspv)</f>
        <v>2.8784978838677699E-2</v>
      </c>
      <c r="M87" s="832"/>
      <c r="N87" s="832"/>
      <c r="O87" s="48">
        <f>IF(t&lt;Tnet,'2022'!Resal+('2022'!Salim-'2022'!Resal)*(1-EXP(('2022'!Tnet-t)/('2022'!Tau_j))),Resal+(Salim-Resal)*(1-EXP((Tnet-t)/(Tau_j))))*Salcycl</f>
        <v>2.2806093487804869E-2</v>
      </c>
      <c r="P87" s="338">
        <f>(INDEX(Models!$BJ87:$BT87,,T87)*(1-R87)+INDEX(Models!$BJ87:$BT87,,T87+1)*R87-ERP_i)*Q87*Ramure*Pc/MaxiM</f>
        <v>2.9532203378043937E-3</v>
      </c>
      <c r="Q87" s="304">
        <f t="shared" si="28"/>
        <v>0.7</v>
      </c>
      <c r="R87" s="177">
        <f t="shared" si="29"/>
        <v>0.34453568419945602</v>
      </c>
      <c r="S87" s="799">
        <f t="shared" si="30"/>
        <v>0</v>
      </c>
      <c r="T87" s="176">
        <f t="shared" si="31"/>
        <v>6</v>
      </c>
      <c r="U87" s="250">
        <f t="shared" si="32"/>
        <v>0.34453568419945602</v>
      </c>
      <c r="V87" s="382">
        <f t="shared" si="33"/>
        <v>47.531610756775336</v>
      </c>
      <c r="W87" s="400">
        <f t="shared" si="34"/>
        <v>13.612947995629643</v>
      </c>
      <c r="X87" s="157">
        <f t="shared" si="35"/>
        <v>44999</v>
      </c>
      <c r="Y87" s="383">
        <f t="shared" si="36"/>
        <v>12.803263892870847</v>
      </c>
      <c r="Z87" s="383">
        <f t="shared" si="37"/>
        <v>13.182728452409489</v>
      </c>
      <c r="AA87" s="384">
        <f t="shared" si="38"/>
        <v>14.343529947608344</v>
      </c>
      <c r="AB87" s="197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8.0928578909015988E-2</v>
      </c>
      <c r="AD87" s="230">
        <f>(INDEX(Models!$BJ87:$BT87,,AH87)*(1-AF87)+INDEX(Models!$BJ87:$BT87,,AH87+1)*AF87-ERP_i)*AE87*Ramure*Pc/MaxiM</f>
        <v>3.1224740808951353E-3</v>
      </c>
      <c r="AE87" s="304">
        <f t="shared" si="40"/>
        <v>0.7</v>
      </c>
      <c r="AF87" s="177">
        <f t="shared" si="41"/>
        <v>0.40886790645928817</v>
      </c>
      <c r="AG87" s="799">
        <f t="shared" si="49"/>
        <v>0</v>
      </c>
      <c r="AH87" s="176">
        <f t="shared" si="42"/>
        <v>6</v>
      </c>
      <c r="AI87" s="224">
        <f t="shared" si="43"/>
        <v>0.40886790645928817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45000</v>
      </c>
      <c r="B88" s="409">
        <f>'2022'!Wh/'2022'!Env_an*'2023'!Env_an</f>
        <v>16.635112651049049</v>
      </c>
      <c r="C88" s="829"/>
      <c r="D88" s="391">
        <f t="shared" si="25"/>
        <v>17.128474233652451</v>
      </c>
      <c r="E88" s="383">
        <f t="shared" si="47"/>
        <v>17.529010113251321</v>
      </c>
      <c r="F88" s="383">
        <f t="shared" si="26"/>
        <v>17.532549472896481</v>
      </c>
      <c r="G88" s="110">
        <f t="shared" si="48"/>
        <v>0.34669884899428449</v>
      </c>
      <c r="H88" s="412" t="b">
        <f>Wh_hp&gt;='2022'!Maxi_hp</f>
        <v>0</v>
      </c>
      <c r="I88" s="379">
        <f>IF(H88,Wh_hp,'2022'!Maxi_hp)</f>
        <v>34.117673354504483</v>
      </c>
      <c r="J88" s="85">
        <f>IF(H88,An,'2022'!An_max)</f>
        <v>2020</v>
      </c>
      <c r="K88" s="197">
        <f t="shared" si="27"/>
        <v>45000</v>
      </c>
      <c r="L88" s="147">
        <f>IF(t&lt;Tvie,1-EXP((T0-t)*PertePVj)+'2022'!Pspv,1-EXP((T0-t)*PertePVj)+Pspv)</f>
        <v>2.8803591952988539E-2</v>
      </c>
      <c r="M88" s="832"/>
      <c r="N88" s="832"/>
      <c r="O88" s="48">
        <f>IF(t&lt;Tnet,'2022'!Resal+('2022'!Salim-'2022'!Resal)*(1-EXP(('2022'!Tnet-t)/('2022'!Tau_j))),Resal+(Salim-Resal)*(1-EXP((Tnet-t)/(Tau_j))))*Salcycl</f>
        <v>2.284988581848562E-2</v>
      </c>
      <c r="P88" s="338">
        <f>(INDEX(Models!$BJ88:$BT88,,T88)*(1-R88)+INDEX(Models!$BJ88:$BT88,,T88+1)*R88-ERP_i)*Q88*Ramure*Pc/MaxiM</f>
        <v>2.9650128841587115E-3</v>
      </c>
      <c r="Q88" s="304">
        <f t="shared" si="28"/>
        <v>0.7</v>
      </c>
      <c r="R88" s="177">
        <f t="shared" si="29"/>
        <v>0.34496368734476129</v>
      </c>
      <c r="S88" s="799">
        <f t="shared" si="30"/>
        <v>0</v>
      </c>
      <c r="T88" s="176">
        <f t="shared" si="31"/>
        <v>6</v>
      </c>
      <c r="U88" s="250">
        <f t="shared" si="32"/>
        <v>0.34496368734476129</v>
      </c>
      <c r="V88" s="382">
        <f t="shared" si="33"/>
        <v>47.84884139538724</v>
      </c>
      <c r="W88" s="400">
        <f t="shared" si="34"/>
        <v>16.635112651049049</v>
      </c>
      <c r="X88" s="157">
        <f t="shared" si="35"/>
        <v>45000</v>
      </c>
      <c r="Y88" s="383">
        <f t="shared" si="36"/>
        <v>15.6463287508635</v>
      </c>
      <c r="Z88" s="383">
        <f t="shared" si="37"/>
        <v>16.11036513440866</v>
      </c>
      <c r="AA88" s="384">
        <f t="shared" si="38"/>
        <v>17.528814898658712</v>
      </c>
      <c r="AB88" s="197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8.0921030454750853E-2</v>
      </c>
      <c r="AD88" s="230">
        <f>(INDEX(Models!$BJ88:$BT88,,AH88)*(1-AF88)+INDEX(Models!$BJ88:$BT88,,AH88+1)*AF88-ERP_i)*AE88*Ramure*Pc/MaxiM</f>
        <v>3.1285491845871533E-3</v>
      </c>
      <c r="AE88" s="304">
        <f t="shared" si="40"/>
        <v>0.7</v>
      </c>
      <c r="AF88" s="177">
        <f t="shared" si="41"/>
        <v>0.40929590960459344</v>
      </c>
      <c r="AG88" s="799">
        <f t="shared" si="49"/>
        <v>0</v>
      </c>
      <c r="AH88" s="176">
        <f t="shared" si="42"/>
        <v>6</v>
      </c>
      <c r="AI88" s="224">
        <f t="shared" si="43"/>
        <v>0.40929590960459344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45001</v>
      </c>
      <c r="B89" s="409">
        <f>'2022'!Wh/'2022'!Env_an*'2023'!Env_an</f>
        <v>12.126312444759821</v>
      </c>
      <c r="C89" s="829"/>
      <c r="D89" s="391">
        <f t="shared" si="25"/>
        <v>12.486192027430061</v>
      </c>
      <c r="E89" s="383">
        <f t="shared" si="47"/>
        <v>12.778744977009534</v>
      </c>
      <c r="F89" s="383">
        <f t="shared" si="26"/>
        <v>12.778744977009534</v>
      </c>
      <c r="G89" s="110">
        <f t="shared" si="48"/>
        <v>0.25102807036595937</v>
      </c>
      <c r="H89" s="412" t="b">
        <f>Wh_hp&gt;='2022'!Maxi_hp</f>
        <v>0</v>
      </c>
      <c r="I89" s="379">
        <f>IF(H89,Wh_hp,'2022'!Maxi_hp)</f>
        <v>53.119225306767447</v>
      </c>
      <c r="J89" s="85">
        <f>IF(H89,An,'2022'!An_max)</f>
        <v>2020</v>
      </c>
      <c r="K89" s="197">
        <f t="shared" si="27"/>
        <v>45001</v>
      </c>
      <c r="L89" s="147">
        <f>IF(t&lt;Tvie,1-EXP((T0-t)*PertePVj)+'2022'!Pspv,1-EXP((T0-t)*PertePVj)+Pspv)</f>
        <v>2.8822204710583166E-2</v>
      </c>
      <c r="M89" s="832"/>
      <c r="N89" s="832"/>
      <c r="O89" s="48">
        <f>IF(t&lt;Tnet,'2022'!Resal+('2022'!Salim-'2022'!Resal)*(1-EXP(('2022'!Tnet-t)/('2022'!Tau_j))),Resal+(Salim-Resal)*(1-EXP((Tnet-t)/(Tau_j))))*Salcycl</f>
        <v>2.2893715314439001E-2</v>
      </c>
      <c r="P89" s="338">
        <f>(INDEX(Models!$BJ89:$BT89,,T89)*(1-R89)+INDEX(Models!$BJ89:$BT89,,T89+1)*R89-ERP_i)*Q89*Ramure*Pc/MaxiM</f>
        <v>2.9904041988404956E-3</v>
      </c>
      <c r="Q89" s="304">
        <f t="shared" si="28"/>
        <v>0.7</v>
      </c>
      <c r="R89" s="177">
        <f t="shared" si="29"/>
        <v>0.34540864837897883</v>
      </c>
      <c r="S89" s="799">
        <f t="shared" si="30"/>
        <v>0</v>
      </c>
      <c r="T89" s="176">
        <f t="shared" si="31"/>
        <v>6</v>
      </c>
      <c r="U89" s="250">
        <f t="shared" si="32"/>
        <v>0.34540864837897883</v>
      </c>
      <c r="V89" s="382">
        <f t="shared" si="33"/>
        <v>48.162143187744583</v>
      </c>
      <c r="W89" s="400">
        <f t="shared" si="34"/>
        <v>12.126312444759821</v>
      </c>
      <c r="X89" s="157">
        <f t="shared" si="35"/>
        <v>45001</v>
      </c>
      <c r="Y89" s="383">
        <f t="shared" si="36"/>
        <v>11.406258645726432</v>
      </c>
      <c r="Z89" s="383">
        <f t="shared" si="37"/>
        <v>11.74476877565688</v>
      </c>
      <c r="AA89" s="384">
        <f t="shared" si="38"/>
        <v>12.778744977009534</v>
      </c>
      <c r="AB89" s="197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8.0913751953959417E-2</v>
      </c>
      <c r="AD89" s="230">
        <f>(INDEX(Models!$BJ89:$BT89,,AH89)*(1-AF89)+INDEX(Models!$BJ89:$BT89,,AH89+1)*AF89-ERP_i)*AE89*Ramure*Pc/MaxiM</f>
        <v>3.1500207761953349E-3</v>
      </c>
      <c r="AE89" s="304">
        <f t="shared" si="40"/>
        <v>0.7</v>
      </c>
      <c r="AF89" s="177">
        <f t="shared" si="41"/>
        <v>0.40974087063881098</v>
      </c>
      <c r="AG89" s="799">
        <f t="shared" si="49"/>
        <v>0</v>
      </c>
      <c r="AH89" s="176">
        <f t="shared" si="42"/>
        <v>6</v>
      </c>
      <c r="AI89" s="224">
        <f t="shared" si="43"/>
        <v>0.40974087063881098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45002</v>
      </c>
      <c r="B90" s="409">
        <f>'2022'!Wh/'2022'!Env_an*'2023'!Env_an</f>
        <v>10.437147855113357</v>
      </c>
      <c r="C90" s="829"/>
      <c r="D90" s="391">
        <f t="shared" si="25"/>
        <v>10.74710308980451</v>
      </c>
      <c r="E90" s="383">
        <f t="shared" si="47"/>
        <v>10.999402887195178</v>
      </c>
      <c r="F90" s="383">
        <f t="shared" si="26"/>
        <v>10.999402887195178</v>
      </c>
      <c r="G90" s="110">
        <f t="shared" si="48"/>
        <v>0.21467541087201281</v>
      </c>
      <c r="H90" s="412" t="b">
        <f>Wh_hp&gt;='2022'!Maxi_hp</f>
        <v>0</v>
      </c>
      <c r="I90" s="379">
        <f>IF(H90,Wh_hp,'2022'!Maxi_hp)</f>
        <v>33.792366122986927</v>
      </c>
      <c r="J90" s="85">
        <f>IF(H90,An,'2022'!An_max)</f>
        <v>2021</v>
      </c>
      <c r="K90" s="197">
        <f t="shared" si="27"/>
        <v>45002</v>
      </c>
      <c r="L90" s="147">
        <f>IF(t&lt;Tvie,1-EXP((T0-t)*PertePVj)+'2022'!Pspv,1-EXP((T0-t)*PertePVj)+Pspv)</f>
        <v>2.8840817111468686E-2</v>
      </c>
      <c r="M90" s="832"/>
      <c r="N90" s="832"/>
      <c r="O90" s="48">
        <f>IF(t&lt;Tnet,'2022'!Resal+('2022'!Salim-'2022'!Resal)*(1-EXP(('2022'!Tnet-t)/('2022'!Tau_j))),Resal+(Salim-Resal)*(1-EXP((Tnet-t)/(Tau_j))))*Salcycl</f>
        <v>2.2937590338142806E-2</v>
      </c>
      <c r="P90" s="338">
        <f>(INDEX(Models!$BJ90:$BT90,,T90)*(1-R90)+INDEX(Models!$BJ90:$BT90,,T90+1)*R90-ERP_i)*Q90*Ramure*Pc/MaxiM</f>
        <v>3.0292100375449672E-3</v>
      </c>
      <c r="Q90" s="304">
        <f t="shared" si="28"/>
        <v>0.7</v>
      </c>
      <c r="R90" s="177">
        <f t="shared" si="29"/>
        <v>0.34587119695959023</v>
      </c>
      <c r="S90" s="799">
        <f t="shared" si="30"/>
        <v>0</v>
      </c>
      <c r="T90" s="176">
        <f t="shared" si="31"/>
        <v>6</v>
      </c>
      <c r="U90" s="250">
        <f t="shared" si="32"/>
        <v>0.34587119695959023</v>
      </c>
      <c r="V90" s="382">
        <f t="shared" si="33"/>
        <v>48.470998610413623</v>
      </c>
      <c r="W90" s="400">
        <f t="shared" si="34"/>
        <v>10.437147855113357</v>
      </c>
      <c r="X90" s="157">
        <f t="shared" si="35"/>
        <v>45002</v>
      </c>
      <c r="Y90" s="383">
        <f t="shared" si="36"/>
        <v>9.8179111453068231</v>
      </c>
      <c r="Z90" s="383">
        <f t="shared" si="37"/>
        <v>10.109476714317093</v>
      </c>
      <c r="AA90" s="384">
        <f t="shared" si="38"/>
        <v>10.999402887195178</v>
      </c>
      <c r="AB90" s="197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8.0906771213379247E-2</v>
      </c>
      <c r="AD90" s="230">
        <f>(INDEX(Models!$BJ90:$BT90,,AH90)*(1-AF90)+INDEX(Models!$BJ90:$BT90,,AH90+1)*AF90-ERP_i)*AE90*Ramure*Pc/MaxiM</f>
        <v>3.1866709978420494E-3</v>
      </c>
      <c r="AE90" s="304">
        <f t="shared" si="40"/>
        <v>0.7</v>
      </c>
      <c r="AF90" s="177">
        <f t="shared" si="41"/>
        <v>0.41020341921942238</v>
      </c>
      <c r="AG90" s="799">
        <f t="shared" si="49"/>
        <v>0</v>
      </c>
      <c r="AH90" s="176">
        <f t="shared" si="42"/>
        <v>6</v>
      </c>
      <c r="AI90" s="224">
        <f t="shared" si="43"/>
        <v>0.41020341921942238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45003</v>
      </c>
      <c r="B91" s="409">
        <f>'2022'!Wh/'2022'!Env_an*'2023'!Env_an</f>
        <v>13.704608890346059</v>
      </c>
      <c r="C91" s="829"/>
      <c r="D91" s="391">
        <f t="shared" si="25"/>
        <v>14.111869385119732</v>
      </c>
      <c r="E91" s="383">
        <f t="shared" si="47"/>
        <v>14.44381008865356</v>
      </c>
      <c r="F91" s="383">
        <f t="shared" si="26"/>
        <v>14.44381008865356</v>
      </c>
      <c r="G91" s="110">
        <f t="shared" si="48"/>
        <v>0.28011096239444216</v>
      </c>
      <c r="H91" s="412" t="b">
        <f>Wh_hp&gt;='2022'!Maxi_hp</f>
        <v>0</v>
      </c>
      <c r="I91" s="379">
        <f>IF(H91,Wh_hp,'2022'!Maxi_hp)</f>
        <v>34.313153622269041</v>
      </c>
      <c r="J91" s="85">
        <f>IF(H91,An,'2022'!An_max)</f>
        <v>2018</v>
      </c>
      <c r="K91" s="197">
        <f t="shared" si="27"/>
        <v>45003</v>
      </c>
      <c r="L91" s="147">
        <f>IF(t&lt;Tvie,1-EXP((T0-t)*PertePVj)+'2022'!Pspv,1-EXP((T0-t)*PertePVj)+Pspv)</f>
        <v>2.8859429155651761E-2</v>
      </c>
      <c r="M91" s="832"/>
      <c r="N91" s="832"/>
      <c r="O91" s="48">
        <f>IF(t&lt;Tnet,'2022'!Resal+('2022'!Salim-'2022'!Resal)*(1-EXP(('2022'!Tnet-t)/('2022'!Tau_j))),Resal+(Salim-Resal)*(1-EXP((Tnet-t)/(Tau_j))))*Salcycl</f>
        <v>2.2981519522649107E-2</v>
      </c>
      <c r="P91" s="338">
        <f>(INDEX(Models!$BJ91:$BT91,,T91)*(1-R91)+INDEX(Models!$BJ91:$BT91,,T91+1)*R91-ERP_i)*Q91*Ramure*Pc/MaxiM</f>
        <v>3.0812626486184927E-3</v>
      </c>
      <c r="Q91" s="304">
        <f t="shared" si="28"/>
        <v>0.7</v>
      </c>
      <c r="R91" s="177">
        <f t="shared" si="29"/>
        <v>0.34635198262249056</v>
      </c>
      <c r="S91" s="799">
        <f t="shared" si="30"/>
        <v>0</v>
      </c>
      <c r="T91" s="176">
        <f t="shared" si="31"/>
        <v>6</v>
      </c>
      <c r="U91" s="250">
        <f t="shared" si="32"/>
        <v>0.34635198262249056</v>
      </c>
      <c r="V91" s="382">
        <f t="shared" si="33"/>
        <v>48.774890043822829</v>
      </c>
      <c r="W91" s="400">
        <f t="shared" si="34"/>
        <v>13.704608890346059</v>
      </c>
      <c r="X91" s="157">
        <f t="shared" si="35"/>
        <v>45003</v>
      </c>
      <c r="Y91" s="383">
        <f t="shared" si="36"/>
        <v>12.892186465746056</v>
      </c>
      <c r="Z91" s="383">
        <f t="shared" si="37"/>
        <v>13.27530416583984</v>
      </c>
      <c r="AA91" s="384">
        <f t="shared" si="38"/>
        <v>14.44381008865356</v>
      </c>
      <c r="AB91" s="197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8.0900116772626943E-2</v>
      </c>
      <c r="AD91" s="230">
        <f>(INDEX(Models!$BJ91:$BT91,,AH91)*(1-AF91)+INDEX(Models!$BJ91:$BT91,,AH91+1)*AF91-ERP_i)*AE91*Ramure*Pc/MaxiM</f>
        <v>3.2383001635528578E-3</v>
      </c>
      <c r="AE91" s="304">
        <f t="shared" si="40"/>
        <v>0.7</v>
      </c>
      <c r="AF91" s="177">
        <f t="shared" si="41"/>
        <v>0.41068420488232271</v>
      </c>
      <c r="AG91" s="799">
        <f t="shared" si="49"/>
        <v>0</v>
      </c>
      <c r="AH91" s="176">
        <f t="shared" si="42"/>
        <v>6</v>
      </c>
      <c r="AI91" s="224">
        <f t="shared" si="43"/>
        <v>0.41068420488232271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45004</v>
      </c>
      <c r="B92" s="409">
        <f>'2022'!Wh/'2022'!Env_an*'2023'!Env_an</f>
        <v>28.557044960558716</v>
      </c>
      <c r="C92" s="829"/>
      <c r="D92" s="391">
        <f t="shared" si="25"/>
        <v>29.406239547247257</v>
      </c>
      <c r="E92" s="383">
        <f t="shared" si="47"/>
        <v>30.099291128659242</v>
      </c>
      <c r="F92" s="383">
        <f t="shared" si="26"/>
        <v>30.137482049031583</v>
      </c>
      <c r="G92" s="110">
        <f t="shared" si="48"/>
        <v>0.58083138772816323</v>
      </c>
      <c r="H92" s="412" t="b">
        <f>Wh_hp&gt;='2022'!Maxi_hp</f>
        <v>0</v>
      </c>
      <c r="I92" s="379">
        <f>IF(H92,Wh_hp,'2022'!Maxi_hp)</f>
        <v>45.384654125633041</v>
      </c>
      <c r="J92" s="85">
        <f>IF(H92,An,'2022'!An_max)</f>
        <v>2020</v>
      </c>
      <c r="K92" s="197">
        <f t="shared" si="27"/>
        <v>45004</v>
      </c>
      <c r="L92" s="147">
        <f>IF(t&lt;Tvie,1-EXP((T0-t)*PertePVj)+'2022'!Pspv,1-EXP((T0-t)*PertePVj)+Pspv)</f>
        <v>2.8878040843139163E-2</v>
      </c>
      <c r="M92" s="832"/>
      <c r="N92" s="832"/>
      <c r="O92" s="48">
        <f>IF(t&lt;Tnet,'2022'!Resal+('2022'!Salim-'2022'!Resal)*(1-EXP(('2022'!Tnet-t)/('2022'!Tau_j))),Resal+(Salim-Resal)*(1-EXP((Tnet-t)/(Tau_j))))*Salcycl</f>
        <v>2.3025511745427548E-2</v>
      </c>
      <c r="P92" s="338">
        <f>(INDEX(Models!$BJ92:$BT92,,T92)*(1-R92)+INDEX(Models!$BJ92:$BT92,,T92+1)*R92-ERP_i)*Q92*Ramure*Pc/MaxiM</f>
        <v>3.1464118604721297E-3</v>
      </c>
      <c r="Q92" s="304">
        <f t="shared" si="28"/>
        <v>0.7</v>
      </c>
      <c r="R92" s="177">
        <f t="shared" si="29"/>
        <v>0.34685167511385584</v>
      </c>
      <c r="S92" s="799">
        <f t="shared" si="30"/>
        <v>0</v>
      </c>
      <c r="T92" s="176">
        <f t="shared" si="31"/>
        <v>6</v>
      </c>
      <c r="U92" s="250">
        <f t="shared" si="32"/>
        <v>0.34685167511385584</v>
      </c>
      <c r="V92" s="382">
        <f t="shared" si="33"/>
        <v>49.073299757531387</v>
      </c>
      <c r="W92" s="400">
        <f t="shared" si="34"/>
        <v>28.557044960558716</v>
      </c>
      <c r="X92" s="157">
        <f t="shared" si="35"/>
        <v>45004</v>
      </c>
      <c r="Y92" s="383">
        <f t="shared" si="36"/>
        <v>26.863834418496058</v>
      </c>
      <c r="Z92" s="383">
        <f t="shared" si="37"/>
        <v>27.662678374423276</v>
      </c>
      <c r="AA92" s="384">
        <f t="shared" si="38"/>
        <v>30.09736949910528</v>
      </c>
      <c r="AB92" s="197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8.0893817805385931E-2</v>
      </c>
      <c r="AD92" s="230">
        <f>(INDEX(Models!$BJ92:$BT92,,AH92)*(1-AF92)+INDEX(Models!$BJ92:$BT92,,AH92+1)*AF92-ERP_i)*AE92*Ramure*Pc/MaxiM</f>
        <v>3.3047279722880378E-3</v>
      </c>
      <c r="AE92" s="304">
        <f t="shared" si="40"/>
        <v>0.7</v>
      </c>
      <c r="AF92" s="177">
        <f t="shared" si="41"/>
        <v>0.41118389737368799</v>
      </c>
      <c r="AG92" s="799">
        <f t="shared" si="49"/>
        <v>0</v>
      </c>
      <c r="AH92" s="176">
        <f t="shared" si="42"/>
        <v>6</v>
      </c>
      <c r="AI92" s="224">
        <f t="shared" si="43"/>
        <v>0.41118389737368799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45005</v>
      </c>
      <c r="B93" s="409">
        <f>'2022'!Wh/'2022'!Env_an*'2023'!Env_an</f>
        <v>33.432988827821319</v>
      </c>
      <c r="C93" s="829"/>
      <c r="D93" s="391">
        <f t="shared" si="25"/>
        <v>34.427838090214912</v>
      </c>
      <c r="E93" s="383">
        <f t="shared" si="47"/>
        <v>35.240829078527995</v>
      </c>
      <c r="F93" s="383">
        <f t="shared" si="26"/>
        <v>35.302166338890473</v>
      </c>
      <c r="G93" s="110">
        <f t="shared" si="48"/>
        <v>0.67620040854232999</v>
      </c>
      <c r="H93" s="412" t="b">
        <f>Wh_hp&gt;='2022'!Maxi_hp</f>
        <v>0</v>
      </c>
      <c r="I93" s="379">
        <f>IF(H93,Wh_hp,'2022'!Maxi_hp)</f>
        <v>51.000305055199313</v>
      </c>
      <c r="J93" s="85">
        <f>IF(H93,An,'2022'!An_max)</f>
        <v>2018</v>
      </c>
      <c r="K93" s="197">
        <f t="shared" si="27"/>
        <v>45005</v>
      </c>
      <c r="L93" s="147">
        <f>IF(t&lt;Tvie,1-EXP((T0-t)*PertePVj)+'2022'!Pspv,1-EXP((T0-t)*PertePVj)+Pspv)</f>
        <v>2.8896652173937887E-2</v>
      </c>
      <c r="M93" s="832"/>
      <c r="N93" s="832"/>
      <c r="O93" s="48">
        <f>IF(t&lt;Tnet,'2022'!Resal+('2022'!Salim-'2022'!Resal)*(1-EXP(('2022'!Tnet-t)/('2022'!Tau_j))),Resal+(Salim-Resal)*(1-EXP((Tnet-t)/(Tau_j))))*Salcycl</f>
        <v>2.3069576101670965E-2</v>
      </c>
      <c r="P93" s="338">
        <f>(INDEX(Models!$BJ93:$BT93,,T93)*(1-R93)+INDEX(Models!$BJ93:$BT93,,T93+1)*R93-ERP_i)*Q93*Ramure*Pc/MaxiM</f>
        <v>3.2243259930576779E-3</v>
      </c>
      <c r="Q93" s="304">
        <f t="shared" si="28"/>
        <v>0.7</v>
      </c>
      <c r="R93" s="177">
        <f t="shared" si="29"/>
        <v>0.34737096469995304</v>
      </c>
      <c r="S93" s="799">
        <f t="shared" si="30"/>
        <v>0</v>
      </c>
      <c r="T93" s="176">
        <f t="shared" si="31"/>
        <v>6</v>
      </c>
      <c r="U93" s="250">
        <f t="shared" si="32"/>
        <v>0.34737096469995304</v>
      </c>
      <c r="V93" s="382">
        <f t="shared" si="33"/>
        <v>49.368785657656744</v>
      </c>
      <c r="W93" s="400">
        <f t="shared" si="34"/>
        <v>33.432988827821319</v>
      </c>
      <c r="X93" s="157">
        <f t="shared" si="35"/>
        <v>45005</v>
      </c>
      <c r="Y93" s="383">
        <f t="shared" si="36"/>
        <v>31.451563792199188</v>
      </c>
      <c r="Z93" s="383">
        <f t="shared" si="37"/>
        <v>32.387452749089476</v>
      </c>
      <c r="AA93" s="384">
        <f t="shared" si="38"/>
        <v>35.237761412064685</v>
      </c>
      <c r="AB93" s="197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8.0887904019899537E-2</v>
      </c>
      <c r="AD93" s="230">
        <f>(INDEX(Models!$BJ93:$BT93,,AH93)*(1-AF93)+INDEX(Models!$BJ93:$BT93,,AH93+1)*AF93-ERP_i)*AE93*Ramure*Pc/MaxiM</f>
        <v>3.3855845275474741E-3</v>
      </c>
      <c r="AE93" s="304">
        <f t="shared" si="40"/>
        <v>0.7</v>
      </c>
      <c r="AF93" s="177">
        <f t="shared" si="41"/>
        <v>0.41170318695978519</v>
      </c>
      <c r="AG93" s="799">
        <f t="shared" si="49"/>
        <v>0</v>
      </c>
      <c r="AH93" s="176">
        <f t="shared" si="42"/>
        <v>6</v>
      </c>
      <c r="AI93" s="224">
        <f t="shared" si="43"/>
        <v>0.41170318695978519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45006</v>
      </c>
      <c r="B94" s="409">
        <f>'2022'!Wh/'2022'!Env_an*'2023'!Env_an</f>
        <v>46.567729473407383</v>
      </c>
      <c r="C94" s="829"/>
      <c r="D94" s="391">
        <f t="shared" si="25"/>
        <v>47.95434188819636</v>
      </c>
      <c r="E94" s="383">
        <f t="shared" si="47"/>
        <v>49.08897070429677</v>
      </c>
      <c r="F94" s="383">
        <f t="shared" si="26"/>
        <v>49.237280239678078</v>
      </c>
      <c r="G94" s="110">
        <f t="shared" si="48"/>
        <v>0.93737678046418726</v>
      </c>
      <c r="H94" s="412" t="b">
        <f>Wh_hp&gt;='2022'!Maxi_hp</f>
        <v>0</v>
      </c>
      <c r="I94" s="379">
        <f>IF(H94,Wh_hp,'2022'!Maxi_hp)</f>
        <v>51.582949818940655</v>
      </c>
      <c r="J94" s="85">
        <f>IF(H94,An,'2022'!An_max)</f>
        <v>2020</v>
      </c>
      <c r="K94" s="197">
        <f t="shared" si="27"/>
        <v>45006</v>
      </c>
      <c r="L94" s="147">
        <f>IF(t&lt;Tvie,1-EXP((T0-t)*PertePVj)+'2022'!Pspv,1-EXP((T0-t)*PertePVj)+Pspv)</f>
        <v>2.8915263148054704E-2</v>
      </c>
      <c r="M94" s="832"/>
      <c r="N94" s="832"/>
      <c r="O94" s="48">
        <f>IF(t&lt;Tnet,'2022'!Resal+('2022'!Salim-'2022'!Resal)*(1-EXP(('2022'!Tnet-t)/('2022'!Tau_j))),Resal+(Salim-Resal)*(1-EXP((Tnet-t)/(Tau_j))))*Salcycl</f>
        <v>2.3113721877266753E-2</v>
      </c>
      <c r="P94" s="338">
        <f>(INDEX(Models!$BJ94:$BT94,,T94)*(1-R94)+INDEX(Models!$BJ94:$BT94,,T94+1)*R94-ERP_i)*Q94*Ramure*Pc/MaxiM</f>
        <v>3.3066492637368605E-3</v>
      </c>
      <c r="Q94" s="304">
        <f t="shared" si="28"/>
        <v>0.7</v>
      </c>
      <c r="R94" s="177">
        <f t="shared" si="29"/>
        <v>0.3479105624517132</v>
      </c>
      <c r="S94" s="799">
        <f t="shared" si="30"/>
        <v>0</v>
      </c>
      <c r="T94" s="176">
        <f t="shared" si="31"/>
        <v>6</v>
      </c>
      <c r="U94" s="250">
        <f t="shared" si="32"/>
        <v>0.3479105624517132</v>
      </c>
      <c r="V94" s="382">
        <f t="shared" si="33"/>
        <v>49.664099151140704</v>
      </c>
      <c r="W94" s="400">
        <f t="shared" si="34"/>
        <v>46.567729473407383</v>
      </c>
      <c r="X94" s="157">
        <f t="shared" si="35"/>
        <v>45006</v>
      </c>
      <c r="Y94" s="383">
        <f t="shared" si="36"/>
        <v>43.807299858528673</v>
      </c>
      <c r="Z94" s="383">
        <f t="shared" si="37"/>
        <v>45.111717027437614</v>
      </c>
      <c r="AA94" s="384">
        <f t="shared" si="38"/>
        <v>49.081550935708187</v>
      </c>
      <c r="AB94" s="197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8.0882405559487142E-2</v>
      </c>
      <c r="AD94" s="230">
        <f>(INDEX(Models!$BJ94:$BT94,,AH94)*(1-AF94)+INDEX(Models!$BJ94:$BT94,,AH94+1)*AF94-ERP_i)*AE94*Ramure*Pc/MaxiM</f>
        <v>3.472077415591252E-3</v>
      </c>
      <c r="AE94" s="304">
        <f t="shared" si="40"/>
        <v>0.7</v>
      </c>
      <c r="AF94" s="177">
        <f t="shared" si="41"/>
        <v>0.41224278471154535</v>
      </c>
      <c r="AG94" s="799">
        <f t="shared" si="49"/>
        <v>0</v>
      </c>
      <c r="AH94" s="176">
        <f t="shared" si="42"/>
        <v>6</v>
      </c>
      <c r="AI94" s="224">
        <f t="shared" si="43"/>
        <v>0.41224278471154535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45007</v>
      </c>
      <c r="B95" s="409">
        <f>'2022'!Wh/'2022'!Env_an*'2023'!Env_an</f>
        <v>42.801259299740643</v>
      </c>
      <c r="C95" s="829"/>
      <c r="D95" s="391">
        <f t="shared" si="25"/>
        <v>44.076565069477596</v>
      </c>
      <c r="E95" s="383">
        <f t="shared" si="47"/>
        <v>45.121486584229288</v>
      </c>
      <c r="F95" s="383">
        <f t="shared" si="26"/>
        <v>45.243019224764772</v>
      </c>
      <c r="G95" s="110">
        <f t="shared" si="48"/>
        <v>0.8561302706722107</v>
      </c>
      <c r="H95" s="412" t="b">
        <f>Wh_hp&gt;='2022'!Maxi_hp</f>
        <v>0</v>
      </c>
      <c r="I95" s="379">
        <f>IF(H95,Wh_hp,'2022'!Maxi_hp)</f>
        <v>50.061246590023678</v>
      </c>
      <c r="J95" s="85">
        <f>IF(H95,An,'2022'!An_max)</f>
        <v>2020</v>
      </c>
      <c r="K95" s="197">
        <f t="shared" si="27"/>
        <v>45007</v>
      </c>
      <c r="L95" s="147">
        <f>IF(t&lt;Tvie,1-EXP((T0-t)*PertePVj)+'2022'!Pspv,1-EXP((T0-t)*PertePVj)+Pspv)</f>
        <v>2.8933873765496387E-2</v>
      </c>
      <c r="M95" s="832"/>
      <c r="N95" s="832"/>
      <c r="O95" s="48">
        <f>IF(t&lt;Tnet,'2022'!Resal+('2022'!Salim-'2022'!Resal)*(1-EXP(('2022'!Tnet-t)/('2022'!Tau_j))),Resal+(Salim-Resal)*(1-EXP((Tnet-t)/(Tau_j))))*Salcycl</f>
        <v>2.3157958521626221E-2</v>
      </c>
      <c r="P95" s="338">
        <f>(INDEX(Models!$BJ95:$BT95,,T95)*(1-R95)+INDEX(Models!$BJ95:$BT95,,T95+1)*R95-ERP_i)*Q95*Ramure*Pc/MaxiM</f>
        <v>3.3775310442445286E-3</v>
      </c>
      <c r="Q95" s="304">
        <f t="shared" si="28"/>
        <v>0.7</v>
      </c>
      <c r="R95" s="177">
        <f t="shared" si="29"/>
        <v>0.34847120050065294</v>
      </c>
      <c r="S95" s="799">
        <f t="shared" si="30"/>
        <v>0</v>
      </c>
      <c r="T95" s="176">
        <f t="shared" si="31"/>
        <v>6</v>
      </c>
      <c r="U95" s="250">
        <f t="shared" si="32"/>
        <v>0.34847120050065294</v>
      </c>
      <c r="V95" s="382">
        <f t="shared" si="33"/>
        <v>49.959208342191637</v>
      </c>
      <c r="W95" s="400">
        <f t="shared" si="34"/>
        <v>42.801259299740643</v>
      </c>
      <c r="X95" s="157">
        <f t="shared" si="35"/>
        <v>45007</v>
      </c>
      <c r="Y95" s="383">
        <f t="shared" si="36"/>
        <v>40.266788646393024</v>
      </c>
      <c r="Z95" s="383">
        <f t="shared" si="37"/>
        <v>41.466577361250643</v>
      </c>
      <c r="AA95" s="384">
        <f t="shared" si="38"/>
        <v>45.11539073947808</v>
      </c>
      <c r="AB95" s="197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8.0877352903752114E-2</v>
      </c>
      <c r="AD95" s="230">
        <f>(INDEX(Models!$BJ95:$BT95,,AH95)*(1-AF95)+INDEX(Models!$BJ95:$BT95,,AH95+1)*AF95-ERP_i)*AE95*Ramure*Pc/MaxiM</f>
        <v>3.5469415400371761E-3</v>
      </c>
      <c r="AE95" s="304">
        <f t="shared" si="40"/>
        <v>0.7</v>
      </c>
      <c r="AF95" s="177">
        <f t="shared" si="41"/>
        <v>0.41280342276048509</v>
      </c>
      <c r="AG95" s="799">
        <f t="shared" si="49"/>
        <v>0</v>
      </c>
      <c r="AH95" s="176">
        <f t="shared" si="42"/>
        <v>6</v>
      </c>
      <c r="AI95" s="224">
        <f t="shared" si="43"/>
        <v>0.41280342276048509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45008</v>
      </c>
      <c r="B96" s="409">
        <f>'2022'!Wh/'2022'!Env_an*'2023'!Env_an</f>
        <v>50.472400071443765</v>
      </c>
      <c r="C96" s="829"/>
      <c r="D96" s="391">
        <f t="shared" si="25"/>
        <v>51.97727118516125</v>
      </c>
      <c r="E96" s="383">
        <f t="shared" si="47"/>
        <v>53.211909643237689</v>
      </c>
      <c r="F96" s="383">
        <f t="shared" si="26"/>
        <v>53.395442827230923</v>
      </c>
      <c r="G96" s="110">
        <f t="shared" si="48"/>
        <v>1.0043601605751804</v>
      </c>
      <c r="H96" s="412" t="b">
        <f>Wh_hp&gt;='2022'!Maxi_hp</f>
        <v>1</v>
      </c>
      <c r="I96" s="379">
        <f>IF(H96,Wh_hp,'2022'!Maxi_hp)</f>
        <v>53.395442827230923</v>
      </c>
      <c r="J96" s="85">
        <f>IF(H96,An,'2022'!An_max)</f>
        <v>2023</v>
      </c>
      <c r="K96" s="197">
        <f t="shared" si="27"/>
        <v>45008</v>
      </c>
      <c r="L96" s="147">
        <f>IF(t&lt;Tvie,1-EXP((T0-t)*PertePVj)+'2022'!Pspv,1-EXP((T0-t)*PertePVj)+Pspv)</f>
        <v>2.8952484026269931E-2</v>
      </c>
      <c r="M96" s="832"/>
      <c r="N96" s="832"/>
      <c r="O96" s="48">
        <f>IF(t&lt;Tnet,'2022'!Resal+('2022'!Salim-'2022'!Resal)*(1-EXP(('2022'!Tnet-t)/('2022'!Tau_j))),Resal+(Salim-Resal)*(1-EXP((Tnet-t)/(Tau_j))))*Salcycl</f>
        <v>2.3202295620550817E-2</v>
      </c>
      <c r="P96" s="338">
        <f>(INDEX(Models!$BJ96:$BT96,,T96)*(1-R96)+INDEX(Models!$BJ96:$BT96,,T96+1)*R96-ERP_i)*Q96*Ramure*Pc/MaxiM</f>
        <v>3.4372443466211852E-3</v>
      </c>
      <c r="Q96" s="304">
        <f t="shared" si="28"/>
        <v>0.7</v>
      </c>
      <c r="R96" s="177">
        <f t="shared" si="29"/>
        <v>0.34905363226248864</v>
      </c>
      <c r="S96" s="799">
        <f t="shared" si="30"/>
        <v>0</v>
      </c>
      <c r="T96" s="176">
        <f t="shared" si="31"/>
        <v>6</v>
      </c>
      <c r="U96" s="250">
        <f t="shared" si="32"/>
        <v>0.34905363226248864</v>
      </c>
      <c r="V96" s="382">
        <f t="shared" si="33"/>
        <v>50.253287667781507</v>
      </c>
      <c r="W96" s="400">
        <f t="shared" si="34"/>
        <v>50.472400071443765</v>
      </c>
      <c r="X96" s="157">
        <f t="shared" si="35"/>
        <v>45008</v>
      </c>
      <c r="Y96" s="383">
        <f t="shared" si="36"/>
        <v>47.484237094605298</v>
      </c>
      <c r="Z96" s="383">
        <f t="shared" si="37"/>
        <v>48.900013967895156</v>
      </c>
      <c r="AA96" s="384">
        <f t="shared" si="38"/>
        <v>53.202660885300205</v>
      </c>
      <c r="AB96" s="197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8.0872776771093002E-2</v>
      </c>
      <c r="AD96" s="230">
        <f>(INDEX(Models!$BJ96:$BT96,,AH96)*(1-AF96)+INDEX(Models!$BJ96:$BT96,,AH96+1)*AF96-ERP_i)*AE96*Ramure*Pc/MaxiM</f>
        <v>3.6104568428150831E-3</v>
      </c>
      <c r="AE96" s="304">
        <f t="shared" si="40"/>
        <v>0.7</v>
      </c>
      <c r="AF96" s="177">
        <f t="shared" si="41"/>
        <v>0.41338585452232079</v>
      </c>
      <c r="AG96" s="799">
        <f t="shared" si="49"/>
        <v>0</v>
      </c>
      <c r="AH96" s="176">
        <f t="shared" si="42"/>
        <v>6</v>
      </c>
      <c r="AI96" s="224">
        <f t="shared" si="43"/>
        <v>0.41338585452232079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45009</v>
      </c>
      <c r="B97" s="409">
        <f>'2022'!Wh/'2022'!Env_an*'2023'!Env_an</f>
        <v>49.328523179107492</v>
      </c>
      <c r="C97" s="829"/>
      <c r="D97" s="391">
        <f t="shared" si="25"/>
        <v>50.800262351377292</v>
      </c>
      <c r="E97" s="383">
        <f t="shared" si="47"/>
        <v>52.009309393661567</v>
      </c>
      <c r="F97" s="383">
        <f t="shared" si="26"/>
        <v>52.184971881575152</v>
      </c>
      <c r="G97" s="110">
        <f t="shared" si="48"/>
        <v>0.97580549973687625</v>
      </c>
      <c r="H97" s="412" t="b">
        <f>Wh_hp&gt;='2022'!Maxi_hp</f>
        <v>0</v>
      </c>
      <c r="I97" s="379">
        <f>IF(H97,Wh_hp,'2022'!Maxi_hp)</f>
        <v>52.18691136739492</v>
      </c>
      <c r="J97" s="85">
        <f>IF(H97,An,'2022'!An_max)</f>
        <v>2022</v>
      </c>
      <c r="K97" s="197">
        <f t="shared" si="27"/>
        <v>45009</v>
      </c>
      <c r="L97" s="147">
        <f>IF(t&lt;Tvie,1-EXP((T0-t)*PertePVj)+'2022'!Pspv,1-EXP((T0-t)*PertePVj)+Pspv)</f>
        <v>2.8971093930381997E-2</v>
      </c>
      <c r="M97" s="832"/>
      <c r="N97" s="832"/>
      <c r="O97" s="48">
        <f>IF(t&lt;Tnet,'2022'!Resal+('2022'!Salim-'2022'!Resal)*(1-EXP(('2022'!Tnet-t)/('2022'!Tau_j))),Resal+(Salim-Resal)*(1-EXP((Tnet-t)/(Tau_j))))*Salcycl</f>
        <v>2.3246742869299147E-2</v>
      </c>
      <c r="P97" s="338">
        <f>(INDEX(Models!$BJ97:$BT97,,T97)*(1-R97)+INDEX(Models!$BJ97:$BT97,,T97+1)*R97-ERP_i)*Q97*Ramure*Pc/MaxiM</f>
        <v>3.4860566980830618E-3</v>
      </c>
      <c r="Q97" s="304">
        <f t="shared" si="28"/>
        <v>0.7</v>
      </c>
      <c r="R97" s="177">
        <f t="shared" si="29"/>
        <v>0.3496586326245365</v>
      </c>
      <c r="S97" s="799">
        <f t="shared" si="30"/>
        <v>0</v>
      </c>
      <c r="T97" s="176">
        <f t="shared" si="31"/>
        <v>6</v>
      </c>
      <c r="U97" s="250">
        <f t="shared" si="32"/>
        <v>0.3496586326245365</v>
      </c>
      <c r="V97" s="382">
        <f t="shared" si="33"/>
        <v>50.545511822951809</v>
      </c>
      <c r="W97" s="400">
        <f t="shared" si="34"/>
        <v>49.328523179107492</v>
      </c>
      <c r="X97" s="157">
        <f t="shared" si="35"/>
        <v>45009</v>
      </c>
      <c r="Y97" s="383">
        <f t="shared" si="36"/>
        <v>46.410514295911696</v>
      </c>
      <c r="Z97" s="383">
        <f t="shared" si="37"/>
        <v>47.795193331334559</v>
      </c>
      <c r="AA97" s="384">
        <f t="shared" si="38"/>
        <v>52.000398363691048</v>
      </c>
      <c r="AB97" s="197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8.0868708023066838E-2</v>
      </c>
      <c r="AD97" s="230">
        <f>(INDEX(Models!$BJ97:$BT97,,AH97)*(1-AF97)+INDEX(Models!$BJ97:$BT97,,AH97+1)*AF97-ERP_i)*AE97*Ramure*Pc/MaxiM</f>
        <v>3.6628978443317651E-3</v>
      </c>
      <c r="AE97" s="304">
        <f t="shared" si="40"/>
        <v>0.7</v>
      </c>
      <c r="AF97" s="177">
        <f t="shared" si="41"/>
        <v>0.41399085488436865</v>
      </c>
      <c r="AG97" s="799">
        <f t="shared" si="49"/>
        <v>0</v>
      </c>
      <c r="AH97" s="176">
        <f t="shared" si="42"/>
        <v>6</v>
      </c>
      <c r="AI97" s="224">
        <f t="shared" si="43"/>
        <v>0.41399085488436865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45010</v>
      </c>
      <c r="B98" s="409">
        <f>'2022'!Wh/'2022'!Env_an*'2023'!Env_an</f>
        <v>38.915320914580711</v>
      </c>
      <c r="C98" s="829"/>
      <c r="D98" s="391">
        <f t="shared" si="25"/>
        <v>40.077145478232922</v>
      </c>
      <c r="E98" s="383">
        <f t="shared" si="47"/>
        <v>41.032854412425138</v>
      </c>
      <c r="F98" s="383">
        <f t="shared" si="26"/>
        <v>41.129249834532907</v>
      </c>
      <c r="G98" s="110">
        <f t="shared" si="48"/>
        <v>0.76461552985804904</v>
      </c>
      <c r="H98" s="412" t="b">
        <f>Wh_hp&gt;='2022'!Maxi_hp</f>
        <v>0</v>
      </c>
      <c r="I98" s="379">
        <f>IF(H98,Wh_hp,'2022'!Maxi_hp)</f>
        <v>52.042805728748291</v>
      </c>
      <c r="J98" s="85">
        <f>IF(H98,An,'2022'!An_max)</f>
        <v>2020</v>
      </c>
      <c r="K98" s="197">
        <f t="shared" si="27"/>
        <v>45010</v>
      </c>
      <c r="L98" s="147">
        <f>IF(t&lt;Tvie,1-EXP((T0-t)*PertePVj)+'2022'!Pspv,1-EXP((T0-t)*PertePVj)+Pspv)</f>
        <v>2.8989703477839579E-2</v>
      </c>
      <c r="M98" s="832"/>
      <c r="N98" s="832"/>
      <c r="O98" s="48">
        <f>IF(t&lt;Tnet,'2022'!Resal+('2022'!Salim-'2022'!Resal)*(1-EXP(('2022'!Tnet-t)/('2022'!Tau_j))),Resal+(Salim-Resal)*(1-EXP((Tnet-t)/(Tau_j))))*Salcycl</f>
        <v>2.3291310046001039E-2</v>
      </c>
      <c r="P98" s="338">
        <f>(INDEX(Models!$BJ98:$BT98,,T98)*(1-R98)+INDEX(Models!$BJ98:$BT98,,T98+1)*R98-ERP_i)*Q98*Ramure*Pc/MaxiM</f>
        <v>3.5242284290821851E-3</v>
      </c>
      <c r="Q98" s="304">
        <f t="shared" si="28"/>
        <v>0.7</v>
      </c>
      <c r="R98" s="177">
        <f t="shared" si="29"/>
        <v>0.35028699809273434</v>
      </c>
      <c r="S98" s="799">
        <f t="shared" si="30"/>
        <v>0</v>
      </c>
      <c r="T98" s="176">
        <f t="shared" si="31"/>
        <v>6</v>
      </c>
      <c r="U98" s="250">
        <f t="shared" si="32"/>
        <v>0.35028699809273434</v>
      </c>
      <c r="V98" s="382">
        <f t="shared" si="33"/>
        <v>50.835055772711179</v>
      </c>
      <c r="W98" s="400">
        <f t="shared" si="34"/>
        <v>38.915320914580711</v>
      </c>
      <c r="X98" s="157">
        <f t="shared" si="35"/>
        <v>45010</v>
      </c>
      <c r="Y98" s="383">
        <f t="shared" si="36"/>
        <v>36.61698516154501</v>
      </c>
      <c r="Z98" s="383">
        <f t="shared" si="37"/>
        <v>37.710192459024391</v>
      </c>
      <c r="AA98" s="384">
        <f t="shared" si="38"/>
        <v>41.027922714723246</v>
      </c>
      <c r="AB98" s="197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8.0865177571085176E-2</v>
      </c>
      <c r="AD98" s="230">
        <f>(INDEX(Models!$BJ98:$BT98,,AH98)*(1-AF98)+INDEX(Models!$BJ98:$BT98,,AH98+1)*AF98-ERP_i)*AE98*Ramure*Pc/MaxiM</f>
        <v>3.7045319006020357E-3</v>
      </c>
      <c r="AE98" s="304">
        <f t="shared" si="40"/>
        <v>0.7</v>
      </c>
      <c r="AF98" s="177">
        <f t="shared" si="41"/>
        <v>0.41461922035256649</v>
      </c>
      <c r="AG98" s="799">
        <f t="shared" si="49"/>
        <v>0</v>
      </c>
      <c r="AH98" s="176">
        <f t="shared" si="42"/>
        <v>6</v>
      </c>
      <c r="AI98" s="224">
        <f t="shared" si="43"/>
        <v>0.41461922035256649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45011</v>
      </c>
      <c r="B99" s="409">
        <f>'2022'!Wh/'2022'!Env_an*'2023'!Env_an</f>
        <v>44.4859472129652</v>
      </c>
      <c r="C99" s="829"/>
      <c r="D99" s="391">
        <f t="shared" si="25"/>
        <v>45.814961954235947</v>
      </c>
      <c r="E99" s="383">
        <f t="shared" si="47"/>
        <v>46.909645775748331</v>
      </c>
      <c r="F99" s="383">
        <f t="shared" si="26"/>
        <v>47.045768167654693</v>
      </c>
      <c r="G99" s="110">
        <f t="shared" si="48"/>
        <v>0.86963246021781915</v>
      </c>
      <c r="H99" s="412" t="b">
        <f>Wh_hp&gt;='2022'!Maxi_hp</f>
        <v>0</v>
      </c>
      <c r="I99" s="379">
        <f>IF(H99,Wh_hp,'2022'!Maxi_hp)</f>
        <v>54.406274588280766</v>
      </c>
      <c r="J99" s="85">
        <f>IF(H99,An,'2022'!An_max)</f>
        <v>2020</v>
      </c>
      <c r="K99" s="197">
        <f t="shared" si="27"/>
        <v>45011</v>
      </c>
      <c r="L99" s="147">
        <f>IF(t&lt;Tvie,1-EXP((T0-t)*PertePVj)+'2022'!Pspv,1-EXP((T0-t)*PertePVj)+Pspv)</f>
        <v>2.9008312668649339E-2</v>
      </c>
      <c r="M99" s="832"/>
      <c r="N99" s="832"/>
      <c r="O99" s="48">
        <f>IF(t&lt;Tnet,'2022'!Resal+('2022'!Salim-'2022'!Resal)*(1-EXP(('2022'!Tnet-t)/('2022'!Tau_j))),Resal+(Salim-Resal)*(1-EXP((Tnet-t)/(Tau_j))))*Salcycl</f>
        <v>2.3336006985546619E-2</v>
      </c>
      <c r="P99" s="338">
        <f>(INDEX(Models!$BJ99:$BT99,,T99)*(1-R99)+INDEX(Models!$BJ99:$BT99,,T99+1)*R99-ERP_i)*Q99*Ramure*Pc/MaxiM</f>
        <v>3.5520110976844815E-3</v>
      </c>
      <c r="Q99" s="304">
        <f t="shared" si="28"/>
        <v>0.7</v>
      </c>
      <c r="R99" s="177">
        <f t="shared" si="29"/>
        <v>0.3509395468938572</v>
      </c>
      <c r="S99" s="799">
        <f t="shared" si="30"/>
        <v>0</v>
      </c>
      <c r="T99" s="176">
        <f t="shared" si="31"/>
        <v>6</v>
      </c>
      <c r="U99" s="250">
        <f t="shared" si="32"/>
        <v>0.3509395468938572</v>
      </c>
      <c r="V99" s="382">
        <f t="shared" si="33"/>
        <v>51.121094768420257</v>
      </c>
      <c r="W99" s="400">
        <f t="shared" si="34"/>
        <v>44.4859472129652</v>
      </c>
      <c r="X99" s="157">
        <f t="shared" si="35"/>
        <v>45011</v>
      </c>
      <c r="Y99" s="383">
        <f t="shared" si="36"/>
        <v>41.859413324871419</v>
      </c>
      <c r="Z99" s="383">
        <f t="shared" si="37"/>
        <v>43.109960539329421</v>
      </c>
      <c r="AA99" s="384">
        <f t="shared" si="38"/>
        <v>46.902609492481247</v>
      </c>
      <c r="AB99" s="197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8.0862216285851024E-2</v>
      </c>
      <c r="AD99" s="230">
        <f>(INDEX(Models!$BJ99:$BT99,,AH99)*(1-AF99)+INDEX(Models!$BJ99:$BT99,,AH99+1)*AF99-ERP_i)*AE99*Ramure*Pc/MaxiM</f>
        <v>3.7356175998999597E-3</v>
      </c>
      <c r="AE99" s="304">
        <f t="shared" si="40"/>
        <v>0.7</v>
      </c>
      <c r="AF99" s="177">
        <f t="shared" si="41"/>
        <v>0.41527176915368935</v>
      </c>
      <c r="AG99" s="799">
        <f t="shared" si="49"/>
        <v>0</v>
      </c>
      <c r="AH99" s="176">
        <f t="shared" si="42"/>
        <v>6</v>
      </c>
      <c r="AI99" s="224">
        <f t="shared" si="43"/>
        <v>0.41527176915368935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45012</v>
      </c>
      <c r="B100" s="409">
        <f>'2022'!Wh/'2022'!Env_an*'2023'!Env_an</f>
        <v>47.190203524777033</v>
      </c>
      <c r="C100" s="829"/>
      <c r="D100" s="391">
        <f t="shared" si="25"/>
        <v>48.600939171058599</v>
      </c>
      <c r="E100" s="383">
        <f t="shared" si="47"/>
        <v>49.76447456542266</v>
      </c>
      <c r="F100" s="383">
        <f t="shared" si="26"/>
        <v>49.921687861909881</v>
      </c>
      <c r="G100" s="110">
        <f t="shared" si="48"/>
        <v>0.91766004645523092</v>
      </c>
      <c r="H100" s="412" t="b">
        <f>Wh_hp&gt;='2022'!Maxi_hp</f>
        <v>0</v>
      </c>
      <c r="I100" s="379">
        <f>IF(H100,Wh_hp,'2022'!Maxi_hp)</f>
        <v>53.384217171307384</v>
      </c>
      <c r="J100" s="85">
        <f>IF(H100,An,'2022'!An_max)</f>
        <v>2018</v>
      </c>
      <c r="K100" s="197">
        <f t="shared" si="27"/>
        <v>45012</v>
      </c>
      <c r="L100" s="147">
        <f>IF(t&lt;Tvie,1-EXP((T0-t)*PertePVj)+'2022'!Pspv,1-EXP((T0-t)*PertePVj)+Pspv)</f>
        <v>2.902692150281827E-2</v>
      </c>
      <c r="M100" s="832"/>
      <c r="N100" s="832"/>
      <c r="O100" s="48">
        <f>IF(t&lt;Tnet,'2022'!Resal+('2022'!Salim-'2022'!Resal)*(1-EXP(('2022'!Tnet-t)/('2022'!Tau_j))),Resal+(Salim-Resal)*(1-EXP((Tnet-t)/(Tau_j))))*Salcycl</f>
        <v>2.3380843554058305E-2</v>
      </c>
      <c r="P100" s="338">
        <f>(INDEX(Models!$BJ100:$BT100,,T100)*(1-R100)+INDEX(Models!$BJ100:$BT100,,T100+1)*R100-ERP_i)*Q100*Ramure*Pc/MaxiM</f>
        <v>3.5667955492813246E-3</v>
      </c>
      <c r="Q100" s="304">
        <f t="shared" si="28"/>
        <v>0.7</v>
      </c>
      <c r="R100" s="177">
        <f t="shared" si="29"/>
        <v>0.35161711902822884</v>
      </c>
      <c r="S100" s="799">
        <f t="shared" si="30"/>
        <v>0</v>
      </c>
      <c r="T100" s="176">
        <f t="shared" si="31"/>
        <v>6</v>
      </c>
      <c r="U100" s="250">
        <f t="shared" si="32"/>
        <v>0.35161711902822884</v>
      </c>
      <c r="V100" s="382">
        <f t="shared" si="33"/>
        <v>51.402951402224119</v>
      </c>
      <c r="W100" s="400">
        <f t="shared" si="34"/>
        <v>47.190203524777033</v>
      </c>
      <c r="X100" s="157">
        <f t="shared" si="35"/>
        <v>45012</v>
      </c>
      <c r="Y100" s="383">
        <f t="shared" si="36"/>
        <v>44.405480074169731</v>
      </c>
      <c r="Z100" s="383">
        <f t="shared" si="37"/>
        <v>45.73296732685737</v>
      </c>
      <c r="AA100" s="384">
        <f t="shared" si="38"/>
        <v>49.756250525182821</v>
      </c>
      <c r="AB100" s="197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8.0859854909870466E-2</v>
      </c>
      <c r="AD100" s="230">
        <f>(INDEX(Models!$BJ100:$BT100,,AH100)*(1-AF100)+INDEX(Models!$BJ100:$BT100,,AH100+1)*AF100-ERP_i)*AE100*Ramure*Pc/MaxiM</f>
        <v>3.753379450134433E-3</v>
      </c>
      <c r="AE100" s="304">
        <f t="shared" si="40"/>
        <v>0.7</v>
      </c>
      <c r="AF100" s="177">
        <f t="shared" si="41"/>
        <v>0.41594934128806099</v>
      </c>
      <c r="AG100" s="799">
        <f t="shared" si="49"/>
        <v>0</v>
      </c>
      <c r="AH100" s="176">
        <f t="shared" si="42"/>
        <v>6</v>
      </c>
      <c r="AI100" s="224">
        <f t="shared" si="43"/>
        <v>0.41594934128806099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45013</v>
      </c>
      <c r="B101" s="409">
        <f>'2022'!Wh/'2022'!Env_an*'2023'!Env_an</f>
        <v>40.271345435293469</v>
      </c>
      <c r="C101" s="829"/>
      <c r="D101" s="391">
        <f t="shared" si="25"/>
        <v>41.476038968622902</v>
      </c>
      <c r="E101" s="383">
        <f t="shared" si="47"/>
        <v>42.470956356192801</v>
      </c>
      <c r="F101" s="383">
        <f t="shared" si="26"/>
        <v>42.575060968268254</v>
      </c>
      <c r="G101" s="110">
        <f t="shared" si="48"/>
        <v>0.77836954090018917</v>
      </c>
      <c r="H101" s="412" t="b">
        <f>Wh_hp&gt;='2022'!Maxi_hp</f>
        <v>0</v>
      </c>
      <c r="I101" s="379">
        <f>IF(H101,Wh_hp,'2022'!Maxi_hp)</f>
        <v>52.671348096668545</v>
      </c>
      <c r="J101" s="85">
        <f>IF(H101,An,'2022'!An_max)</f>
        <v>2021</v>
      </c>
      <c r="K101" s="197">
        <f t="shared" si="27"/>
        <v>45013</v>
      </c>
      <c r="L101" s="147">
        <f>IF(t&lt;Tvie,1-EXP((T0-t)*PertePVj)+'2022'!Pspv,1-EXP((T0-t)*PertePVj)+Pspv)</f>
        <v>2.9045529980353146E-2</v>
      </c>
      <c r="M101" s="832"/>
      <c r="N101" s="832"/>
      <c r="O101" s="48">
        <f>IF(t&lt;Tnet,'2022'!Resal+('2022'!Salim-'2022'!Resal)*(1-EXP(('2022'!Tnet-t)/('2022'!Tau_j))),Resal+(Salim-Resal)*(1-EXP((Tnet-t)/(Tau_j))))*Salcycl</f>
        <v>2.3425829624032758E-2</v>
      </c>
      <c r="P101" s="338">
        <f>(INDEX(Models!$BJ101:$BT101,,T101)*(1-R101)+INDEX(Models!$BJ101:$BT101,,T101+1)*R101-ERP_i)*Q101*Ramure*Pc/MaxiM</f>
        <v>3.5715043831901494E-3</v>
      </c>
      <c r="Q101" s="304">
        <f t="shared" si="28"/>
        <v>0.7</v>
      </c>
      <c r="R101" s="177">
        <f t="shared" si="29"/>
        <v>0.35232057626796026</v>
      </c>
      <c r="S101" s="799">
        <f t="shared" si="30"/>
        <v>0</v>
      </c>
      <c r="T101" s="176">
        <f t="shared" si="31"/>
        <v>6</v>
      </c>
      <c r="U101" s="250">
        <f t="shared" si="32"/>
        <v>0.35232057626796026</v>
      </c>
      <c r="V101" s="382">
        <f t="shared" si="33"/>
        <v>51.679664243148757</v>
      </c>
      <c r="W101" s="400">
        <f t="shared" si="34"/>
        <v>40.271345435293469</v>
      </c>
      <c r="X101" s="157">
        <f t="shared" si="35"/>
        <v>45013</v>
      </c>
      <c r="Y101" s="383">
        <f t="shared" si="36"/>
        <v>37.898072371429521</v>
      </c>
      <c r="Z101" s="383">
        <f t="shared" si="37"/>
        <v>39.031770841595353</v>
      </c>
      <c r="AA101" s="384">
        <f t="shared" si="38"/>
        <v>42.465447239030269</v>
      </c>
      <c r="AB101" s="197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8.0858123973294713E-2</v>
      </c>
      <c r="AD101" s="230">
        <f>(INDEX(Models!$BJ101:$BT101,,AH101)*(1-AF101)+INDEX(Models!$BJ101:$BT101,,AH101+1)*AF101-ERP_i)*AE101*Ramure*Pc/MaxiM</f>
        <v>3.7605050019067911E-3</v>
      </c>
      <c r="AE101" s="304">
        <f t="shared" si="40"/>
        <v>0.7</v>
      </c>
      <c r="AF101" s="177">
        <f t="shared" si="41"/>
        <v>0.41665279852779241</v>
      </c>
      <c r="AG101" s="799">
        <f t="shared" si="49"/>
        <v>0</v>
      </c>
      <c r="AH101" s="176">
        <f t="shared" si="42"/>
        <v>6</v>
      </c>
      <c r="AI101" s="224">
        <f t="shared" si="43"/>
        <v>0.41665279852779241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45014</v>
      </c>
      <c r="B102" s="409">
        <f>'2022'!Wh/'2022'!Env_an*'2023'!Env_an</f>
        <v>28.081602302155893</v>
      </c>
      <c r="C102" s="829"/>
      <c r="D102" s="391">
        <f t="shared" si="25"/>
        <v>28.922201150589057</v>
      </c>
      <c r="E102" s="383">
        <f t="shared" si="47"/>
        <v>29.617349215069567</v>
      </c>
      <c r="F102" s="383">
        <f t="shared" si="26"/>
        <v>29.653690667529403</v>
      </c>
      <c r="G102" s="110">
        <f t="shared" si="48"/>
        <v>0.53927943504110154</v>
      </c>
      <c r="H102" s="412" t="b">
        <f>Wh_hp&gt;='2022'!Maxi_hp</f>
        <v>0</v>
      </c>
      <c r="I102" s="379">
        <f>IF(H102,Wh_hp,'2022'!Maxi_hp)</f>
        <v>55.509547390631532</v>
      </c>
      <c r="J102" s="85">
        <f>IF(H102,An,'2022'!An_max)</f>
        <v>2021</v>
      </c>
      <c r="K102" s="197">
        <f t="shared" si="27"/>
        <v>45014</v>
      </c>
      <c r="L102" s="147">
        <f>IF(t&lt;Tvie,1-EXP((T0-t)*PertePVj)+'2022'!Pspv,1-EXP((T0-t)*PertePVj)+Pspv)</f>
        <v>2.9064138101260739E-2</v>
      </c>
      <c r="M102" s="832"/>
      <c r="N102" s="832"/>
      <c r="O102" s="48">
        <f>IF(t&lt;Tnet,'2022'!Resal+('2022'!Salim-'2022'!Resal)*(1-EXP(('2022'!Tnet-t)/('2022'!Tau_j))),Resal+(Salim-Resal)*(1-EXP((Tnet-t)/(Tau_j))))*Salcycl</f>
        <v>2.347097505021857E-2</v>
      </c>
      <c r="P102" s="338">
        <f>(INDEX(Models!$BJ102:$BT102,,T102)*(1-R102)+INDEX(Models!$BJ102:$BT102,,T102+1)*R102-ERP_i)*Q102*Ramure*Pc/MaxiM</f>
        <v>3.5663410922010755E-3</v>
      </c>
      <c r="Q102" s="304">
        <f t="shared" si="28"/>
        <v>0.7</v>
      </c>
      <c r="R102" s="177">
        <f t="shared" si="29"/>
        <v>0.35305080209546935</v>
      </c>
      <c r="S102" s="799">
        <f t="shared" si="30"/>
        <v>0</v>
      </c>
      <c r="T102" s="176">
        <f t="shared" si="31"/>
        <v>6</v>
      </c>
      <c r="U102" s="250">
        <f t="shared" si="32"/>
        <v>0.35305080209546935</v>
      </c>
      <c r="V102" s="382">
        <f t="shared" si="33"/>
        <v>51.950410241761816</v>
      </c>
      <c r="W102" s="400">
        <f t="shared" si="34"/>
        <v>28.081602302155893</v>
      </c>
      <c r="X102" s="157">
        <f t="shared" si="35"/>
        <v>45014</v>
      </c>
      <c r="Y102" s="383">
        <f t="shared" si="36"/>
        <v>26.42964110436321</v>
      </c>
      <c r="Z102" s="383">
        <f t="shared" si="37"/>
        <v>27.220789901279399</v>
      </c>
      <c r="AA102" s="384">
        <f t="shared" si="38"/>
        <v>29.615404232007055</v>
      </c>
      <c r="AB102" s="197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8.0857053713271912E-2</v>
      </c>
      <c r="AD102" s="230">
        <f>(INDEX(Models!$BJ102:$BT102,,AH102)*(1-AF102)+INDEX(Models!$BJ102:$BT102,,AH102+1)*AF102-ERP_i)*AE102*Ramure*Pc/MaxiM</f>
        <v>3.7572105415480555E-3</v>
      </c>
      <c r="AE102" s="304">
        <f t="shared" si="40"/>
        <v>0.7</v>
      </c>
      <c r="AF102" s="177">
        <f t="shared" si="41"/>
        <v>0.4173830243553015</v>
      </c>
      <c r="AG102" s="799">
        <f t="shared" si="49"/>
        <v>0</v>
      </c>
      <c r="AH102" s="176">
        <f t="shared" si="42"/>
        <v>6</v>
      </c>
      <c r="AI102" s="224">
        <f t="shared" si="43"/>
        <v>0.4173830243553015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45015</v>
      </c>
      <c r="B103" s="409">
        <f>'2022'!Wh/'2022'!Env_an*'2023'!Env_an</f>
        <v>6.359869616318135</v>
      </c>
      <c r="C103" s="829"/>
      <c r="D103" s="391">
        <f t="shared" si="25"/>
        <v>6.550372433115113</v>
      </c>
      <c r="E103" s="383">
        <f t="shared" si="47"/>
        <v>6.708122586850191</v>
      </c>
      <c r="F103" s="383">
        <f t="shared" si="26"/>
        <v>6.708122586850191</v>
      </c>
      <c r="G103" s="110">
        <f t="shared" si="48"/>
        <v>0.12137047659794396</v>
      </c>
      <c r="H103" s="412" t="b">
        <f>Wh_hp&gt;='2022'!Maxi_hp</f>
        <v>0</v>
      </c>
      <c r="I103" s="379">
        <f>IF(H103,Wh_hp,'2022'!Maxi_hp)</f>
        <v>54.961612248927921</v>
      </c>
      <c r="J103" s="85">
        <f>IF(H103,An,'2022'!An_max)</f>
        <v>2018</v>
      </c>
      <c r="K103" s="197">
        <f t="shared" si="27"/>
        <v>45015</v>
      </c>
      <c r="L103" s="147">
        <f>IF(t&lt;Tvie,1-EXP((T0-t)*PertePVj)+'2022'!Pspv,1-EXP((T0-t)*PertePVj)+Pspv)</f>
        <v>2.9082745865547932E-2</v>
      </c>
      <c r="M103" s="832"/>
      <c r="N103" s="832"/>
      <c r="O103" s="48">
        <f>IF(t&lt;Tnet,'2022'!Resal+('2022'!Salim-'2022'!Resal)*(1-EXP(('2022'!Tnet-t)/('2022'!Tau_j))),Resal+(Salim-Resal)*(1-EXP((Tnet-t)/(Tau_j))))*Salcycl</f>
        <v>2.3516289646273433E-2</v>
      </c>
      <c r="P103" s="338">
        <f>(INDEX(Models!$BJ103:$BT103,,T103)*(1-R103)+INDEX(Models!$BJ103:$BT103,,T103+1)*R103-ERP_i)*Q103*Ramure*Pc/MaxiM</f>
        <v>3.5514940419621908E-3</v>
      </c>
      <c r="Q103" s="304">
        <f t="shared" si="28"/>
        <v>0.7</v>
      </c>
      <c r="R103" s="177">
        <f t="shared" si="29"/>
        <v>0.35380870157676403</v>
      </c>
      <c r="S103" s="799">
        <f t="shared" si="30"/>
        <v>0</v>
      </c>
      <c r="T103" s="176">
        <f t="shared" si="31"/>
        <v>6</v>
      </c>
      <c r="U103" s="250">
        <f t="shared" si="32"/>
        <v>0.35380870157676403</v>
      </c>
      <c r="V103" s="382">
        <f t="shared" si="33"/>
        <v>52.214366746381216</v>
      </c>
      <c r="W103" s="400">
        <f t="shared" si="34"/>
        <v>6.359869616318135</v>
      </c>
      <c r="X103" s="157">
        <f t="shared" si="35"/>
        <v>45015</v>
      </c>
      <c r="Y103" s="383">
        <f t="shared" si="36"/>
        <v>5.9864098603048861</v>
      </c>
      <c r="Z103" s="383">
        <f t="shared" si="37"/>
        <v>6.1657261057139392</v>
      </c>
      <c r="AA103" s="384">
        <f t="shared" si="38"/>
        <v>6.708122586850191</v>
      </c>
      <c r="AB103" s="197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8.0856673996909614E-2</v>
      </c>
      <c r="AD103" s="230">
        <f>(INDEX(Models!$BJ103:$BT103,,AH103)*(1-AF103)+INDEX(Models!$BJ103:$BT103,,AH103+1)*AF103-ERP_i)*AE103*Ramure*Pc/MaxiM</f>
        <v>3.7436965756298441E-3</v>
      </c>
      <c r="AE103" s="304">
        <f t="shared" si="40"/>
        <v>0.7</v>
      </c>
      <c r="AF103" s="177">
        <f t="shared" si="41"/>
        <v>0.41814092383659618</v>
      </c>
      <c r="AG103" s="799">
        <f t="shared" si="49"/>
        <v>0</v>
      </c>
      <c r="AH103" s="176">
        <f t="shared" si="42"/>
        <v>6</v>
      </c>
      <c r="AI103" s="224">
        <f t="shared" si="43"/>
        <v>0.41814092383659618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45016</v>
      </c>
      <c r="B104" s="409">
        <f>'2022'!Wh/'2022'!Env_an*'2023'!Env_an</f>
        <v>17.607070133005227</v>
      </c>
      <c r="C104" s="829"/>
      <c r="D104" s="391">
        <f t="shared" si="25"/>
        <v>18.134817874517083</v>
      </c>
      <c r="E104" s="383">
        <f t="shared" si="47"/>
        <v>18.572417139967357</v>
      </c>
      <c r="F104" s="383">
        <f t="shared" si="26"/>
        <v>18.575745510457146</v>
      </c>
      <c r="G104" s="110">
        <f t="shared" si="48"/>
        <v>0.33443632357238789</v>
      </c>
      <c r="H104" s="412" t="b">
        <f>Wh_hp&gt;='2022'!Maxi_hp</f>
        <v>0</v>
      </c>
      <c r="I104" s="379">
        <f>IF(H104,Wh_hp,'2022'!Maxi_hp)</f>
        <v>51.391422760958996</v>
      </c>
      <c r="J104" s="85">
        <f>IF(H104,An,'2022'!An_max)</f>
        <v>2021</v>
      </c>
      <c r="K104" s="197">
        <f t="shared" si="27"/>
        <v>45016</v>
      </c>
      <c r="L104" s="147">
        <f>IF(t&lt;Tvie,1-EXP((T0-t)*PertePVj)+'2022'!Pspv,1-EXP((T0-t)*PertePVj)+Pspv)</f>
        <v>2.9101353273221608E-2</v>
      </c>
      <c r="M104" s="832"/>
      <c r="N104" s="832"/>
      <c r="O104" s="48">
        <f>IF(t&lt;Tnet,'2022'!Resal+('2022'!Salim-'2022'!Resal)*(1-EXP(('2022'!Tnet-t)/('2022'!Tau_j))),Resal+(Salim-Resal)*(1-EXP((Tnet-t)/(Tau_j))))*Salcycl</f>
        <v>2.3561783162223477E-2</v>
      </c>
      <c r="P104" s="338">
        <f>(INDEX(Models!$BJ104:$BT104,,T104)*(1-R104)+INDEX(Models!$BJ104:$BT104,,T104+1)*R104-ERP_i)*Q104*Ramure*Pc/MaxiM</f>
        <v>3.527135324084751E-3</v>
      </c>
      <c r="Q104" s="304">
        <f t="shared" si="28"/>
        <v>0.7</v>
      </c>
      <c r="R104" s="177">
        <f t="shared" si="29"/>
        <v>0.35459520116369542</v>
      </c>
      <c r="S104" s="799">
        <f t="shared" si="30"/>
        <v>0</v>
      </c>
      <c r="T104" s="176">
        <f t="shared" si="31"/>
        <v>6</v>
      </c>
      <c r="U104" s="250">
        <f t="shared" si="32"/>
        <v>0.35459520116369542</v>
      </c>
      <c r="V104" s="382">
        <f t="shared" si="33"/>
        <v>52.470711516556413</v>
      </c>
      <c r="W104" s="400">
        <f t="shared" si="34"/>
        <v>17.607070133005227</v>
      </c>
      <c r="X104" s="157">
        <f t="shared" si="35"/>
        <v>45016</v>
      </c>
      <c r="Y104" s="383">
        <f t="shared" si="36"/>
        <v>16.573763733421902</v>
      </c>
      <c r="Z104" s="383">
        <f t="shared" si="37"/>
        <v>17.070539534994268</v>
      </c>
      <c r="AA104" s="384">
        <f t="shared" si="38"/>
        <v>18.572235005444348</v>
      </c>
      <c r="AB104" s="197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8.0857014247874046E-2</v>
      </c>
      <c r="AD104" s="230">
        <f>(INDEX(Models!$BJ104:$BT104,,AH104)*(1-AF104)+INDEX(Models!$BJ104:$BT104,,AH104+1)*AF104-ERP_i)*AE104*Ramure*Pc/MaxiM</f>
        <v>3.7201466224999658E-3</v>
      </c>
      <c r="AE104" s="304">
        <f t="shared" si="40"/>
        <v>0.7</v>
      </c>
      <c r="AF104" s="177">
        <f t="shared" si="41"/>
        <v>0.41892742342352757</v>
      </c>
      <c r="AG104" s="799">
        <f t="shared" si="49"/>
        <v>0</v>
      </c>
      <c r="AH104" s="176">
        <f t="shared" si="42"/>
        <v>6</v>
      </c>
      <c r="AI104" s="224">
        <f t="shared" si="43"/>
        <v>0.41892742342352757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45017</v>
      </c>
      <c r="B105" s="409">
        <f>'2022'!Wh/'2022'!Env_an*'2023'!Env_an</f>
        <v>33.243898582950273</v>
      </c>
      <c r="C105" s="829"/>
      <c r="D105" s="391">
        <f t="shared" si="25"/>
        <v>34.240994998778874</v>
      </c>
      <c r="E105" s="383">
        <f t="shared" si="47"/>
        <v>35.068882422367523</v>
      </c>
      <c r="F105" s="383">
        <f t="shared" si="26"/>
        <v>35.126836369822868</v>
      </c>
      <c r="G105" s="110">
        <f t="shared" si="48"/>
        <v>0.62942672004737277</v>
      </c>
      <c r="H105" s="412" t="b">
        <f>Wh_hp&gt;='2022'!Maxi_hp</f>
        <v>0</v>
      </c>
      <c r="I105" s="379">
        <f>IF(H105,Wh_hp,'2022'!Maxi_hp)</f>
        <v>51.899466717873182</v>
      </c>
      <c r="J105" s="85">
        <f>IF(H105,An,'2022'!An_max)</f>
        <v>2021</v>
      </c>
      <c r="K105" s="197">
        <f t="shared" si="27"/>
        <v>45017</v>
      </c>
      <c r="L105" s="147">
        <f>IF(t&lt;Tvie,1-EXP((T0-t)*PertePVj)+'2022'!Pspv,1-EXP((T0-t)*PertePVj)+Pspv)</f>
        <v>2.9119960324288541E-2</v>
      </c>
      <c r="M105" s="832"/>
      <c r="N105" s="832"/>
      <c r="O105" s="48">
        <f>IF(t&lt;Tnet,'2022'!Resal+('2022'!Salim-'2022'!Resal)*(1-EXP(('2022'!Tnet-t)/('2022'!Tau_j))),Resal+(Salim-Resal)*(1-EXP((Tnet-t)/(Tau_j))))*Salcycl</f>
        <v>2.3607465262725513E-2</v>
      </c>
      <c r="P105" s="338">
        <f>(INDEX(Models!$BJ105:$BT105,,T105)*(1-R105)+INDEX(Models!$BJ105:$BT105,,T105+1)*R105-ERP_i)*Q105*Ramure*Pc/MaxiM</f>
        <v>3.4934196671459368E-3</v>
      </c>
      <c r="Q105" s="304">
        <f t="shared" si="28"/>
        <v>0.7</v>
      </c>
      <c r="R105" s="177">
        <f t="shared" si="29"/>
        <v>0.35541124841912364</v>
      </c>
      <c r="S105" s="799">
        <f t="shared" si="30"/>
        <v>0</v>
      </c>
      <c r="T105" s="176">
        <f t="shared" si="31"/>
        <v>6</v>
      </c>
      <c r="U105" s="250">
        <f t="shared" si="32"/>
        <v>0.35541124841912364</v>
      </c>
      <c r="V105" s="382">
        <f t="shared" si="33"/>
        <v>52.718622741511822</v>
      </c>
      <c r="W105" s="400">
        <f t="shared" si="34"/>
        <v>33.243898582950273</v>
      </c>
      <c r="X105" s="157">
        <f t="shared" si="35"/>
        <v>45017</v>
      </c>
      <c r="Y105" s="383">
        <f t="shared" si="36"/>
        <v>31.291785576951806</v>
      </c>
      <c r="Z105" s="383">
        <f t="shared" si="37"/>
        <v>32.230331553014246</v>
      </c>
      <c r="AA105" s="384">
        <f t="shared" si="38"/>
        <v>35.065675573506404</v>
      </c>
      <c r="AB105" s="197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8.0858103376578797E-2</v>
      </c>
      <c r="AD105" s="230">
        <f>(INDEX(Models!$BJ105:$BT105,,AH105)*(1-AF105)+INDEX(Models!$BJ105:$BT105,,AH105+1)*AF105-ERP_i)*AE105*Ramure*Pc/MaxiM</f>
        <v>3.6867260659832848E-3</v>
      </c>
      <c r="AE105" s="304">
        <f t="shared" si="40"/>
        <v>0.7</v>
      </c>
      <c r="AF105" s="177">
        <f t="shared" si="41"/>
        <v>0.41974347067895579</v>
      </c>
      <c r="AG105" s="799">
        <f t="shared" si="49"/>
        <v>0</v>
      </c>
      <c r="AH105" s="176">
        <f t="shared" si="42"/>
        <v>6</v>
      </c>
      <c r="AI105" s="224">
        <f t="shared" si="43"/>
        <v>0.41974347067895579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45018</v>
      </c>
      <c r="B106" s="409">
        <f>'2022'!Wh/'2022'!Env_an*'2023'!Env_an</f>
        <v>17.566959208555048</v>
      </c>
      <c r="C106" s="829"/>
      <c r="D106" s="391">
        <f t="shared" si="25"/>
        <v>18.09419821592029</v>
      </c>
      <c r="E106" s="383">
        <f t="shared" si="47"/>
        <v>18.532555145897291</v>
      </c>
      <c r="F106" s="383">
        <f t="shared" si="26"/>
        <v>18.535453228026618</v>
      </c>
      <c r="G106" s="110">
        <f t="shared" si="48"/>
        <v>0.33062654700622718</v>
      </c>
      <c r="H106" s="412" t="b">
        <f>Wh_hp&gt;='2022'!Maxi_hp</f>
        <v>0</v>
      </c>
      <c r="I106" s="379">
        <f>IF(H106,Wh_hp,'2022'!Maxi_hp)</f>
        <v>43.794374405786975</v>
      </c>
      <c r="J106" s="85">
        <f>IF(H106,An,'2022'!An_max)</f>
        <v>2021</v>
      </c>
      <c r="K106" s="197">
        <f t="shared" si="27"/>
        <v>45018</v>
      </c>
      <c r="L106" s="147">
        <f>IF(t&lt;Tvie,1-EXP((T0-t)*PertePVj)+'2022'!Pspv,1-EXP((T0-t)*PertePVj)+Pspv)</f>
        <v>2.9138567018755612E-2</v>
      </c>
      <c r="M106" s="832"/>
      <c r="N106" s="832"/>
      <c r="O106" s="48">
        <f>IF(t&lt;Tnet,'2022'!Resal+('2022'!Salim-'2022'!Resal)*(1-EXP(('2022'!Tnet-t)/('2022'!Tau_j))),Resal+(Salim-Resal)*(1-EXP((Tnet-t)/(Tau_j))))*Salcycl</f>
        <v>2.3653345506113022E-2</v>
      </c>
      <c r="P106" s="338">
        <f>(INDEX(Models!$BJ106:$BT106,,T106)*(1-R106)+INDEX(Models!$BJ106:$BT106,,T106+1)*R106-ERP_i)*Q106*Ramure*Pc/MaxiM</f>
        <v>3.4504833924957176E-3</v>
      </c>
      <c r="Q106" s="304">
        <f t="shared" si="28"/>
        <v>0.7</v>
      </c>
      <c r="R106" s="177">
        <f t="shared" si="29"/>
        <v>0.35625781165867509</v>
      </c>
      <c r="S106" s="799">
        <f t="shared" si="30"/>
        <v>0</v>
      </c>
      <c r="T106" s="176">
        <f t="shared" si="31"/>
        <v>6</v>
      </c>
      <c r="U106" s="250">
        <f t="shared" si="32"/>
        <v>0.35625781165867509</v>
      </c>
      <c r="V106" s="382">
        <f t="shared" si="33"/>
        <v>52.957279055729998</v>
      </c>
      <c r="W106" s="400">
        <f t="shared" si="34"/>
        <v>17.566959208555048</v>
      </c>
      <c r="X106" s="157">
        <f t="shared" si="35"/>
        <v>45018</v>
      </c>
      <c r="Y106" s="383">
        <f t="shared" si="36"/>
        <v>16.537521833948482</v>
      </c>
      <c r="Z106" s="383">
        <f t="shared" si="37"/>
        <v>17.03386422835478</v>
      </c>
      <c r="AA106" s="384">
        <f t="shared" si="38"/>
        <v>18.532392961986073</v>
      </c>
      <c r="AB106" s="197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8.0859969713846333E-2</v>
      </c>
      <c r="AD106" s="230">
        <f>(INDEX(Models!$BJ106:$BT106,,AH106)*(1-AF106)+INDEX(Models!$BJ106:$BT106,,AH106+1)*AF106-ERP_i)*AE106*Ramure*Pc/MaxiM</f>
        <v>3.6435810575097065E-3</v>
      </c>
      <c r="AE106" s="304">
        <f t="shared" si="40"/>
        <v>0.7</v>
      </c>
      <c r="AF106" s="177">
        <f t="shared" si="41"/>
        <v>0.42059003391850724</v>
      </c>
      <c r="AG106" s="799">
        <f t="shared" si="49"/>
        <v>0</v>
      </c>
      <c r="AH106" s="176">
        <f t="shared" si="42"/>
        <v>6</v>
      </c>
      <c r="AI106" s="224">
        <f t="shared" si="43"/>
        <v>0.42059003391850724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45019</v>
      </c>
      <c r="B107" s="409">
        <f>'2022'!Wh/'2022'!Env_an*'2023'!Env_an</f>
        <v>32.683268316989604</v>
      </c>
      <c r="C107" s="829"/>
      <c r="D107" s="391">
        <f t="shared" si="25"/>
        <v>33.664839889676067</v>
      </c>
      <c r="E107" s="383">
        <f t="shared" si="47"/>
        <v>34.48204481156948</v>
      </c>
      <c r="F107" s="383">
        <f t="shared" si="26"/>
        <v>34.534773335486634</v>
      </c>
      <c r="G107" s="110">
        <f t="shared" si="48"/>
        <v>0.61334517930340104</v>
      </c>
      <c r="H107" s="412" t="b">
        <f>Wh_hp&gt;='2022'!Maxi_hp</f>
        <v>0</v>
      </c>
      <c r="I107" s="379">
        <f>IF(H107,Wh_hp,'2022'!Maxi_hp)</f>
        <v>44.063854252234997</v>
      </c>
      <c r="J107" s="85">
        <f>IF(H107,An,'2022'!An_max)</f>
        <v>2021</v>
      </c>
      <c r="K107" s="197">
        <f t="shared" si="27"/>
        <v>45019</v>
      </c>
      <c r="L107" s="147">
        <f>IF(t&lt;Tvie,1-EXP((T0-t)*PertePVj)+'2022'!Pspv,1-EXP((T0-t)*PertePVj)+Pspv)</f>
        <v>2.9157173356629595E-2</v>
      </c>
      <c r="M107" s="832"/>
      <c r="N107" s="832"/>
      <c r="O107" s="48">
        <f>IF(t&lt;Tnet,'2022'!Resal+('2022'!Salim-'2022'!Resal)*(1-EXP(('2022'!Tnet-t)/('2022'!Tau_j))),Resal+(Salim-Resal)*(1-EXP((Tnet-t)/(Tau_j))))*Salcycl</f>
        <v>2.3699433324186826E-2</v>
      </c>
      <c r="P107" s="338">
        <f>(INDEX(Models!$BJ107:$BT107,,T107)*(1-R107)+INDEX(Models!$BJ107:$BT107,,T107+1)*R107-ERP_i)*Q107*Ramure*Pc/MaxiM</f>
        <v>3.3983690629078864E-3</v>
      </c>
      <c r="Q107" s="304">
        <f t="shared" si="28"/>
        <v>0.7</v>
      </c>
      <c r="R107" s="177">
        <f t="shared" si="29"/>
        <v>0.35713587950252595</v>
      </c>
      <c r="S107" s="799">
        <f t="shared" si="30"/>
        <v>0</v>
      </c>
      <c r="T107" s="176">
        <f t="shared" si="31"/>
        <v>6</v>
      </c>
      <c r="U107" s="250">
        <f t="shared" si="32"/>
        <v>0.35713587950252595</v>
      </c>
      <c r="V107" s="382">
        <f t="shared" si="33"/>
        <v>53.187026939156866</v>
      </c>
      <c r="W107" s="400">
        <f t="shared" si="34"/>
        <v>32.683268316989604</v>
      </c>
      <c r="X107" s="157">
        <f t="shared" si="35"/>
        <v>45019</v>
      </c>
      <c r="Y107" s="383">
        <f t="shared" si="36"/>
        <v>30.766972151891231</v>
      </c>
      <c r="Z107" s="383">
        <f t="shared" si="37"/>
        <v>31.690991896459856</v>
      </c>
      <c r="AA107" s="384">
        <f t="shared" si="38"/>
        <v>34.479059723066015</v>
      </c>
      <c r="AB107" s="197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8.0862640947861428E-2</v>
      </c>
      <c r="AD107" s="230">
        <f>(INDEX(Models!$BJ107:$BT107,,AH107)*(1-AF107)+INDEX(Models!$BJ107:$BT107,,AH107+1)*AF107-ERP_i)*AE107*Ramure*Pc/MaxiM</f>
        <v>3.5907589055697753E-3</v>
      </c>
      <c r="AE107" s="304">
        <f t="shared" si="40"/>
        <v>0.7</v>
      </c>
      <c r="AF107" s="177">
        <f t="shared" si="41"/>
        <v>0.4214681017623581</v>
      </c>
      <c r="AG107" s="799">
        <f t="shared" si="49"/>
        <v>0</v>
      </c>
      <c r="AH107" s="176">
        <f t="shared" si="42"/>
        <v>6</v>
      </c>
      <c r="AI107" s="224">
        <f t="shared" si="43"/>
        <v>0.4214681017623581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45020</v>
      </c>
      <c r="B108" s="409">
        <f>'2022'!Wh/'2022'!Env_an*'2023'!Env_an</f>
        <v>45.259568553197376</v>
      </c>
      <c r="C108" s="829"/>
      <c r="D108" s="391">
        <f t="shared" si="25"/>
        <v>46.619735674014457</v>
      </c>
      <c r="E108" s="383">
        <f t="shared" si="47"/>
        <v>47.753682097772057</v>
      </c>
      <c r="F108" s="383">
        <f t="shared" si="26"/>
        <v>47.878565734668818</v>
      </c>
      <c r="G108" s="110">
        <f t="shared" si="48"/>
        <v>0.84679491702273424</v>
      </c>
      <c r="H108" s="412" t="b">
        <f>Wh_hp&gt;='2022'!Maxi_hp</f>
        <v>0</v>
      </c>
      <c r="I108" s="379">
        <f>IF(H108,Wh_hp,'2022'!Maxi_hp)</f>
        <v>54.48441415561728</v>
      </c>
      <c r="J108" s="85">
        <f>IF(H108,An,'2022'!An_max)</f>
        <v>2020</v>
      </c>
      <c r="K108" s="197">
        <f t="shared" si="27"/>
        <v>45020</v>
      </c>
      <c r="L108" s="147">
        <f>IF(t&lt;Tvie,1-EXP((T0-t)*PertePVj)+'2022'!Pspv,1-EXP((T0-t)*PertePVj)+Pspv)</f>
        <v>2.9175779337917374E-2</v>
      </c>
      <c r="M108" s="832"/>
      <c r="N108" s="832"/>
      <c r="O108" s="48">
        <f>IF(t&lt;Tnet,'2022'!Resal+('2022'!Salim-'2022'!Resal)*(1-EXP(('2022'!Tnet-t)/('2022'!Tau_j))),Resal+(Salim-Resal)*(1-EXP((Tnet-t)/(Tau_j))))*Salcycl</f>
        <v>2.3745738002693355E-2</v>
      </c>
      <c r="P108" s="338">
        <f>(INDEX(Models!$BJ108:$BT108,,T108)*(1-R108)+INDEX(Models!$BJ108:$BT108,,T108+1)*R108-ERP_i)*Q108*Ramure*Pc/MaxiM</f>
        <v>3.3353976662793415E-3</v>
      </c>
      <c r="Q108" s="304">
        <f t="shared" si="28"/>
        <v>0.7</v>
      </c>
      <c r="R108" s="177">
        <f t="shared" si="29"/>
        <v>0.3580464603304081</v>
      </c>
      <c r="S108" s="799">
        <f t="shared" si="30"/>
        <v>0</v>
      </c>
      <c r="T108" s="176">
        <f t="shared" si="31"/>
        <v>6</v>
      </c>
      <c r="U108" s="250">
        <f t="shared" si="32"/>
        <v>0.3580464603304081</v>
      </c>
      <c r="V108" s="382">
        <f t="shared" si="33"/>
        <v>53.409125784833861</v>
      </c>
      <c r="W108" s="400">
        <f t="shared" si="34"/>
        <v>45.259568553197376</v>
      </c>
      <c r="X108" s="157">
        <f t="shared" si="35"/>
        <v>45020</v>
      </c>
      <c r="Y108" s="383">
        <f t="shared" si="36"/>
        <v>42.60506051384354</v>
      </c>
      <c r="Z108" s="383">
        <f t="shared" si="37"/>
        <v>43.885452800907402</v>
      </c>
      <c r="AA108" s="384">
        <f t="shared" si="38"/>
        <v>47.74653062499263</v>
      </c>
      <c r="AB108" s="197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8.0866144064175735E-2</v>
      </c>
      <c r="AD108" s="230">
        <f>(INDEX(Models!$BJ108:$BT108,,AH108)*(1-AF108)+INDEX(Models!$BJ108:$BT108,,AH108+1)*AF108-ERP_i)*AE108*Ramure*Pc/MaxiM</f>
        <v>3.526399515774388E-3</v>
      </c>
      <c r="AE108" s="304">
        <f t="shared" si="40"/>
        <v>0.7</v>
      </c>
      <c r="AF108" s="177">
        <f t="shared" si="41"/>
        <v>0.42237868259024025</v>
      </c>
      <c r="AG108" s="799">
        <f t="shared" si="49"/>
        <v>0</v>
      </c>
      <c r="AH108" s="176">
        <f t="shared" si="42"/>
        <v>6</v>
      </c>
      <c r="AI108" s="224">
        <f t="shared" si="43"/>
        <v>0.42237868259024025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45021</v>
      </c>
      <c r="B109" s="409">
        <f>'2022'!Wh/'2022'!Env_an*'2023'!Env_an</f>
        <v>53.527720385449292</v>
      </c>
      <c r="C109" s="829"/>
      <c r="D109" s="391">
        <f t="shared" si="25"/>
        <v>55.137423554548121</v>
      </c>
      <c r="E109" s="383">
        <f t="shared" si="47"/>
        <v>56.481240400544429</v>
      </c>
      <c r="F109" s="383">
        <f t="shared" si="26"/>
        <v>56.666017768483677</v>
      </c>
      <c r="G109" s="110">
        <f t="shared" si="48"/>
        <v>0.99820392081255382</v>
      </c>
      <c r="H109" s="412" t="b">
        <f>Wh_hp&gt;='2022'!Maxi_hp</f>
        <v>0</v>
      </c>
      <c r="I109" s="379">
        <f>IF(H109,Wh_hp,'2022'!Maxi_hp)</f>
        <v>58.465341345603605</v>
      </c>
      <c r="J109" s="85">
        <f>IF(H109,An,'2022'!An_max)</f>
        <v>2020</v>
      </c>
      <c r="K109" s="197">
        <f t="shared" si="27"/>
        <v>45021</v>
      </c>
      <c r="L109" s="147">
        <f>IF(t&lt;Tvie,1-EXP((T0-t)*PertePVj)+'2022'!Pspv,1-EXP((T0-t)*PertePVj)+Pspv)</f>
        <v>2.919438496262583E-2</v>
      </c>
      <c r="M109" s="832"/>
      <c r="N109" s="832"/>
      <c r="O109" s="48">
        <f>IF(t&lt;Tnet,'2022'!Resal+('2022'!Salim-'2022'!Resal)*(1-EXP(('2022'!Tnet-t)/('2022'!Tau_j))),Resal+(Salim-Resal)*(1-EXP((Tnet-t)/(Tau_j))))*Salcycl</f>
        <v>2.379226866241688E-2</v>
      </c>
      <c r="P109" s="338">
        <f>(INDEX(Models!$BJ109:$BT109,,T109)*(1-R109)+INDEX(Models!$BJ109:$BT109,,T109+1)*R109-ERP_i)*Q109*Ramure*Pc/MaxiM</f>
        <v>3.2691634809217524E-3</v>
      </c>
      <c r="Q109" s="304">
        <f t="shared" si="28"/>
        <v>0.7</v>
      </c>
      <c r="R109" s="177">
        <f t="shared" si="29"/>
        <v>0.3589905816328231</v>
      </c>
      <c r="S109" s="799">
        <f t="shared" si="30"/>
        <v>0</v>
      </c>
      <c r="T109" s="176">
        <f t="shared" si="31"/>
        <v>6</v>
      </c>
      <c r="U109" s="250">
        <f t="shared" si="32"/>
        <v>0.3589905816328231</v>
      </c>
      <c r="V109" s="382">
        <f t="shared" si="33"/>
        <v>53.623584220852322</v>
      </c>
      <c r="W109" s="400">
        <f t="shared" si="34"/>
        <v>53.527720385449292</v>
      </c>
      <c r="X109" s="157">
        <f t="shared" si="35"/>
        <v>45021</v>
      </c>
      <c r="Y109" s="383">
        <f t="shared" si="36"/>
        <v>50.38844136079787</v>
      </c>
      <c r="Z109" s="383">
        <f t="shared" si="37"/>
        <v>51.903739101115534</v>
      </c>
      <c r="AA109" s="384">
        <f t="shared" si="38"/>
        <v>56.47054022285041</v>
      </c>
      <c r="AB109" s="197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8.0870505288471686E-2</v>
      </c>
      <c r="AD109" s="230">
        <f>(INDEX(Models!$BJ109:$BT109,,AH109)*(1-AF109)+INDEX(Models!$BJ109:$BT109,,AH109+1)*AF109-ERP_i)*AE109*Ramure*Pc/MaxiM</f>
        <v>3.4584757898196558E-3</v>
      </c>
      <c r="AE109" s="304">
        <f t="shared" si="40"/>
        <v>0.7</v>
      </c>
      <c r="AF109" s="177">
        <f t="shared" si="41"/>
        <v>0.42332280389265525</v>
      </c>
      <c r="AG109" s="799">
        <f t="shared" si="49"/>
        <v>0</v>
      </c>
      <c r="AH109" s="176">
        <f t="shared" si="42"/>
        <v>6</v>
      </c>
      <c r="AI109" s="224">
        <f t="shared" si="43"/>
        <v>0.42332280389265525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45022</v>
      </c>
      <c r="B110" s="409">
        <f>'2022'!Wh/'2022'!Env_an*'2023'!Env_an</f>
        <v>12.319275721743486</v>
      </c>
      <c r="C110" s="829"/>
      <c r="D110" s="391">
        <f t="shared" si="25"/>
        <v>12.689988223752446</v>
      </c>
      <c r="E110" s="383">
        <f t="shared" si="47"/>
        <v>12.999893120990441</v>
      </c>
      <c r="F110" s="383">
        <f t="shared" si="26"/>
        <v>12.999893120990441</v>
      </c>
      <c r="G110" s="110">
        <f t="shared" si="48"/>
        <v>0.22811949453132349</v>
      </c>
      <c r="H110" s="412" t="b">
        <f>Wh_hp&gt;='2022'!Maxi_hp</f>
        <v>0</v>
      </c>
      <c r="I110" s="379">
        <f>IF(H110,Wh_hp,'2022'!Maxi_hp)</f>
        <v>59.416138633229195</v>
      </c>
      <c r="J110" s="85">
        <f>IF(H110,An,'2022'!An_max)</f>
        <v>2020</v>
      </c>
      <c r="K110" s="197">
        <f t="shared" si="27"/>
        <v>45022</v>
      </c>
      <c r="L110" s="147">
        <f>IF(t&lt;Tvie,1-EXP((T0-t)*PertePVj)+'2022'!Pspv,1-EXP((T0-t)*PertePVj)+Pspv)</f>
        <v>2.9212990230761626E-2</v>
      </c>
      <c r="M110" s="832"/>
      <c r="N110" s="832"/>
      <c r="O110" s="48">
        <f>IF(t&lt;Tnet,'2022'!Resal+('2022'!Salim-'2022'!Resal)*(1-EXP(('2022'!Tnet-t)/('2022'!Tau_j))),Resal+(Salim-Resal)*(1-EXP((Tnet-t)/(Tau_j))))*Salcycl</f>
        <v>2.3839034240797235E-2</v>
      </c>
      <c r="P110" s="338">
        <f>(INDEX(Models!$BJ110:$BT110,,T110)*(1-R110)+INDEX(Models!$BJ110:$BT110,,T110+1)*R110-ERP_i)*Q110*Ramure*Pc/MaxiM</f>
        <v>3.1996242592479914E-3</v>
      </c>
      <c r="Q110" s="304">
        <f t="shared" si="28"/>
        <v>0.7</v>
      </c>
      <c r="R110" s="177">
        <f t="shared" si="29"/>
        <v>0.35996928925125526</v>
      </c>
      <c r="S110" s="799">
        <f t="shared" si="30"/>
        <v>0</v>
      </c>
      <c r="T110" s="176">
        <f t="shared" si="31"/>
        <v>6</v>
      </c>
      <c r="U110" s="250">
        <f t="shared" si="32"/>
        <v>0.35996928925125526</v>
      </c>
      <c r="V110" s="382">
        <f t="shared" si="33"/>
        <v>53.83081657934175</v>
      </c>
      <c r="W110" s="400">
        <f t="shared" si="34"/>
        <v>12.319275721743486</v>
      </c>
      <c r="X110" s="157">
        <f t="shared" si="35"/>
        <v>45022</v>
      </c>
      <c r="Y110" s="383">
        <f t="shared" si="36"/>
        <v>11.599465103681185</v>
      </c>
      <c r="Z110" s="383">
        <f t="shared" si="37"/>
        <v>11.948517014497797</v>
      </c>
      <c r="AA110" s="384">
        <f t="shared" si="38"/>
        <v>12.999893120990441</v>
      </c>
      <c r="AB110" s="197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8.0875750031746532E-2</v>
      </c>
      <c r="AD110" s="230">
        <f>(INDEX(Models!$BJ110:$BT110,,AH110)*(1-AF110)+INDEX(Models!$BJ110:$BT110,,AH110+1)*AF110-ERP_i)*AE110*Ramure*Pc/MaxiM</f>
        <v>3.3869461825086979E-3</v>
      </c>
      <c r="AE110" s="304">
        <f t="shared" si="40"/>
        <v>0.7</v>
      </c>
      <c r="AF110" s="177">
        <f t="shared" si="41"/>
        <v>0.42430151151108741</v>
      </c>
      <c r="AG110" s="799">
        <f t="shared" si="49"/>
        <v>0</v>
      </c>
      <c r="AH110" s="176">
        <f t="shared" si="42"/>
        <v>6</v>
      </c>
      <c r="AI110" s="224">
        <f t="shared" si="43"/>
        <v>0.42430151151108741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45023</v>
      </c>
      <c r="B111" s="409">
        <f>'2022'!Wh/'2022'!Env_an*'2023'!Env_an</f>
        <v>44.808226646563043</v>
      </c>
      <c r="C111" s="829"/>
      <c r="D111" s="391">
        <f t="shared" si="25"/>
        <v>46.157483517536519</v>
      </c>
      <c r="E111" s="383">
        <f t="shared" si="47"/>
        <v>47.286982435749799</v>
      </c>
      <c r="F111" s="383">
        <f t="shared" si="26"/>
        <v>47.399046497753993</v>
      </c>
      <c r="G111" s="110">
        <f t="shared" si="48"/>
        <v>0.82866843667687651</v>
      </c>
      <c r="H111" s="412" t="b">
        <f>Wh_hp&gt;='2022'!Maxi_hp</f>
        <v>0</v>
      </c>
      <c r="I111" s="379">
        <f>IF(H111,Wh_hp,'2022'!Maxi_hp)</f>
        <v>57.546398916195137</v>
      </c>
      <c r="J111" s="85">
        <f>IF(H111,An,'2022'!An_max)</f>
        <v>2021</v>
      </c>
      <c r="K111" s="197">
        <f t="shared" si="27"/>
        <v>45023</v>
      </c>
      <c r="L111" s="147">
        <f>IF(t&lt;Tvie,1-EXP((T0-t)*PertePVj)+'2022'!Pspv,1-EXP((T0-t)*PertePVj)+Pspv)</f>
        <v>2.9231595142331757E-2</v>
      </c>
      <c r="M111" s="832"/>
      <c r="N111" s="832"/>
      <c r="O111" s="48">
        <f>IF(t&lt;Tnet,'2022'!Resal+('2022'!Salim-'2022'!Resal)*(1-EXP(('2022'!Tnet-t)/('2022'!Tau_j))),Resal+(Salim-Resal)*(1-EXP((Tnet-t)/(Tau_j))))*Salcycl</f>
        <v>2.3886043473972156E-2</v>
      </c>
      <c r="P111" s="338">
        <f>(INDEX(Models!$BJ111:$BT111,,T111)*(1-R111)+INDEX(Models!$BJ111:$BT111,,T111+1)*R111-ERP_i)*Q111*Ramure*Pc/MaxiM</f>
        <v>3.1267348527181248E-3</v>
      </c>
      <c r="Q111" s="304">
        <f t="shared" si="28"/>
        <v>0.7</v>
      </c>
      <c r="R111" s="177">
        <f t="shared" si="29"/>
        <v>0.36098364650001447</v>
      </c>
      <c r="S111" s="799">
        <f t="shared" si="30"/>
        <v>0</v>
      </c>
      <c r="T111" s="176">
        <f t="shared" si="31"/>
        <v>6</v>
      </c>
      <c r="U111" s="250">
        <f t="shared" si="32"/>
        <v>0.36098364650001447</v>
      </c>
      <c r="V111" s="382">
        <f t="shared" si="33"/>
        <v>54.031237251981793</v>
      </c>
      <c r="W111" s="400">
        <f t="shared" si="34"/>
        <v>44.808226646563043</v>
      </c>
      <c r="X111" s="157">
        <f t="shared" si="35"/>
        <v>45023</v>
      </c>
      <c r="Y111" s="383">
        <f t="shared" si="36"/>
        <v>42.185931263190966</v>
      </c>
      <c r="Z111" s="383">
        <f t="shared" si="37"/>
        <v>43.456226070085343</v>
      </c>
      <c r="AA111" s="384">
        <f t="shared" si="38"/>
        <v>47.280350810462032</v>
      </c>
      <c r="AB111" s="197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8.0881902837541958E-2</v>
      </c>
      <c r="AD111" s="230">
        <f>(INDEX(Models!$BJ111:$BT111,,AH111)*(1-AF111)+INDEX(Models!$BJ111:$BT111,,AH111+1)*AF111-ERP_i)*AE111*Ramure*Pc/MaxiM</f>
        <v>3.311765928217269E-3</v>
      </c>
      <c r="AE111" s="304">
        <f t="shared" si="40"/>
        <v>0.7</v>
      </c>
      <c r="AF111" s="177">
        <f t="shared" si="41"/>
        <v>0.42531586875984662</v>
      </c>
      <c r="AG111" s="799">
        <f t="shared" si="49"/>
        <v>0</v>
      </c>
      <c r="AH111" s="176">
        <f t="shared" si="42"/>
        <v>6</v>
      </c>
      <c r="AI111" s="224">
        <f t="shared" si="43"/>
        <v>0.42531586875984662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45024</v>
      </c>
      <c r="B112" s="409">
        <f>'2022'!Wh/'2022'!Env_an*'2023'!Env_an</f>
        <v>39.139060301255476</v>
      </c>
      <c r="C112" s="829"/>
      <c r="D112" s="391">
        <f t="shared" si="25"/>
        <v>40.31838099688801</v>
      </c>
      <c r="E112" s="383">
        <f t="shared" si="47"/>
        <v>41.306993874937355</v>
      </c>
      <c r="F112" s="383">
        <f t="shared" si="26"/>
        <v>41.383058150443297</v>
      </c>
      <c r="G112" s="110">
        <f t="shared" si="48"/>
        <v>0.72090978379633142</v>
      </c>
      <c r="H112" s="412" t="b">
        <f>Wh_hp&gt;='2022'!Maxi_hp</f>
        <v>0</v>
      </c>
      <c r="I112" s="379">
        <f>IF(H112,Wh_hp,'2022'!Maxi_hp)</f>
        <v>58.154414706140663</v>
      </c>
      <c r="J112" s="85">
        <f>IF(H112,An,'2022'!An_max)</f>
        <v>2021</v>
      </c>
      <c r="K112" s="197">
        <f t="shared" si="27"/>
        <v>45024</v>
      </c>
      <c r="L112" s="147">
        <f>IF(t&lt;Tvie,1-EXP((T0-t)*PertePVj)+'2022'!Pspv,1-EXP((T0-t)*PertePVj)+Pspv)</f>
        <v>2.9250199697342993E-2</v>
      </c>
      <c r="M112" s="832"/>
      <c r="N112" s="832"/>
      <c r="O112" s="48">
        <f>IF(t&lt;Tnet,'2022'!Resal+('2022'!Salim-'2022'!Resal)*(1-EXP(('2022'!Tnet-t)/('2022'!Tau_j))),Resal+(Salim-Resal)*(1-EXP((Tnet-t)/(Tau_j))))*Salcycl</f>
        <v>2.3933304879132745E-2</v>
      </c>
      <c r="P112" s="338">
        <f>(INDEX(Models!$BJ112:$BT112,,T112)*(1-R112)+INDEX(Models!$BJ112:$BT112,,T112+1)*R112-ERP_i)*Q112*Ramure*Pc/MaxiM</f>
        <v>3.0504473409372888E-3</v>
      </c>
      <c r="Q112" s="304">
        <f t="shared" si="28"/>
        <v>0.7</v>
      </c>
      <c r="R112" s="177">
        <f t="shared" si="29"/>
        <v>0.36203473316220935</v>
      </c>
      <c r="S112" s="799">
        <f t="shared" si="30"/>
        <v>0</v>
      </c>
      <c r="T112" s="176">
        <f t="shared" si="31"/>
        <v>6</v>
      </c>
      <c r="U112" s="250">
        <f t="shared" si="32"/>
        <v>0.36203473316220935</v>
      </c>
      <c r="V112" s="382">
        <f t="shared" si="33"/>
        <v>54.225260698370661</v>
      </c>
      <c r="W112" s="400">
        <f t="shared" si="34"/>
        <v>39.139060301255476</v>
      </c>
      <c r="X112" s="157">
        <f t="shared" si="35"/>
        <v>45024</v>
      </c>
      <c r="Y112" s="383">
        <f t="shared" si="36"/>
        <v>36.851149348730559</v>
      </c>
      <c r="Z112" s="383">
        <f t="shared" si="37"/>
        <v>37.961531732729931</v>
      </c>
      <c r="AA112" s="384">
        <f t="shared" si="38"/>
        <v>41.302444655173922</v>
      </c>
      <c r="AB112" s="197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8.0888987330813622E-2</v>
      </c>
      <c r="AD112" s="230">
        <f>(INDEX(Models!$BJ112:$BT112,,AH112)*(1-AF112)+INDEX(Models!$BJ112:$BT112,,AH112+1)*AF112-ERP_i)*AE112*Ramure*Pc/MaxiM</f>
        <v>3.2328871951053033E-3</v>
      </c>
      <c r="AE112" s="304">
        <f t="shared" si="40"/>
        <v>0.7</v>
      </c>
      <c r="AF112" s="177">
        <f t="shared" si="41"/>
        <v>0.4263669554220415</v>
      </c>
      <c r="AG112" s="799">
        <f t="shared" si="49"/>
        <v>0</v>
      </c>
      <c r="AH112" s="176">
        <f t="shared" si="42"/>
        <v>6</v>
      </c>
      <c r="AI112" s="224">
        <f t="shared" si="43"/>
        <v>0.4263669554220415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45025</v>
      </c>
      <c r="B113" s="409">
        <f>'2022'!Wh/'2022'!Env_an*'2023'!Env_an</f>
        <v>31.553510038165921</v>
      </c>
      <c r="C113" s="829"/>
      <c r="D113" s="391">
        <f t="shared" si="25"/>
        <v>32.504889267799918</v>
      </c>
      <c r="E113" s="383">
        <f t="shared" si="47"/>
        <v>33.303535584380903</v>
      </c>
      <c r="F113" s="383">
        <f t="shared" si="26"/>
        <v>33.343140584492318</v>
      </c>
      <c r="G113" s="110">
        <f t="shared" si="48"/>
        <v>0.57885085462392505</v>
      </c>
      <c r="H113" s="412" t="b">
        <f>Wh_hp&gt;='2022'!Maxi_hp</f>
        <v>0</v>
      </c>
      <c r="I113" s="379">
        <f>IF(H113,Wh_hp,'2022'!Maxi_hp)</f>
        <v>44.615117230380669</v>
      </c>
      <c r="J113" s="85">
        <f>IF(H113,An,'2022'!An_max)</f>
        <v>2018</v>
      </c>
      <c r="K113" s="197">
        <f t="shared" si="27"/>
        <v>45025</v>
      </c>
      <c r="L113" s="147">
        <f>IF(t&lt;Tvie,1-EXP((T0-t)*PertePVj)+'2022'!Pspv,1-EXP((T0-t)*PertePVj)+Pspv)</f>
        <v>2.9268803895802109E-2</v>
      </c>
      <c r="M113" s="832"/>
      <c r="N113" s="832"/>
      <c r="O113" s="48">
        <f>IF(t&lt;Tnet,'2022'!Resal+('2022'!Salim-'2022'!Resal)*(1-EXP(('2022'!Tnet-t)/('2022'!Tau_j))),Resal+(Salim-Resal)*(1-EXP((Tnet-t)/(Tau_j))))*Salcycl</f>
        <v>2.3980826737073059E-2</v>
      </c>
      <c r="P113" s="338">
        <f>(INDEX(Models!$BJ113:$BT113,,T113)*(1-R113)+INDEX(Models!$BJ113:$BT113,,T113+1)*R113-ERP_i)*Q113*Ramure*Pc/MaxiM</f>
        <v>2.9707111618132646E-3</v>
      </c>
      <c r="Q113" s="304">
        <f t="shared" si="28"/>
        <v>0.7</v>
      </c>
      <c r="R113" s="177">
        <f t="shared" si="29"/>
        <v>0.36312364435226213</v>
      </c>
      <c r="S113" s="799">
        <f t="shared" si="30"/>
        <v>0</v>
      </c>
      <c r="T113" s="176">
        <f t="shared" si="31"/>
        <v>6</v>
      </c>
      <c r="U113" s="250">
        <f t="shared" si="32"/>
        <v>0.36312364435226213</v>
      </c>
      <c r="V113" s="382">
        <f t="shared" si="33"/>
        <v>54.413301451366664</v>
      </c>
      <c r="W113" s="400">
        <f t="shared" si="34"/>
        <v>31.553510038165921</v>
      </c>
      <c r="X113" s="157">
        <f t="shared" si="35"/>
        <v>45025</v>
      </c>
      <c r="Y113" s="383">
        <f t="shared" si="36"/>
        <v>29.7113430284017</v>
      </c>
      <c r="Z113" s="383">
        <f t="shared" si="37"/>
        <v>30.607178534738772</v>
      </c>
      <c r="AA113" s="384">
        <f t="shared" si="38"/>
        <v>33.301141880903018</v>
      </c>
      <c r="AB113" s="197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8.0897026168016584E-2</v>
      </c>
      <c r="AD113" s="230">
        <f>(INDEX(Models!$BJ113:$BT113,,AH113)*(1-AF113)+INDEX(Models!$BJ113:$BT113,,AH113+1)*AF113-ERP_i)*AE113*Ramure*Pc/MaxiM</f>
        <v>3.1502592395770334E-3</v>
      </c>
      <c r="AE113" s="304">
        <f t="shared" si="40"/>
        <v>0.7</v>
      </c>
      <c r="AF113" s="177">
        <f t="shared" si="41"/>
        <v>0.42745586661209428</v>
      </c>
      <c r="AG113" s="799">
        <f t="shared" si="49"/>
        <v>0</v>
      </c>
      <c r="AH113" s="176">
        <f t="shared" si="42"/>
        <v>6</v>
      </c>
      <c r="AI113" s="224">
        <f t="shared" si="43"/>
        <v>0.42745586661209428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45026</v>
      </c>
      <c r="B114" s="409">
        <f>'2022'!Wh/'2022'!Env_an*'2023'!Env_an</f>
        <v>57.229505560497152</v>
      </c>
      <c r="C114" s="829"/>
      <c r="D114" s="391">
        <f t="shared" si="25"/>
        <v>58.956179219970288</v>
      </c>
      <c r="E114" s="383">
        <f t="shared" si="47"/>
        <v>60.407692532199327</v>
      </c>
      <c r="F114" s="383">
        <f t="shared" si="26"/>
        <v>60.58283184726929</v>
      </c>
      <c r="G114" s="110">
        <f t="shared" si="48"/>
        <v>1.0482441826576598</v>
      </c>
      <c r="H114" s="412" t="b">
        <f>Wh_hp&gt;='2022'!Maxi_hp</f>
        <v>1</v>
      </c>
      <c r="I114" s="379">
        <f>IF(H114,Wh_hp,'2022'!Maxi_hp)</f>
        <v>60.58283184726929</v>
      </c>
      <c r="J114" s="85">
        <f>IF(H114,An,'2022'!An_max)</f>
        <v>2023</v>
      </c>
      <c r="K114" s="197">
        <f t="shared" si="27"/>
        <v>45026</v>
      </c>
      <c r="L114" s="147">
        <f>IF(t&lt;Tvie,1-EXP((T0-t)*PertePVj)+'2022'!Pspv,1-EXP((T0-t)*PertePVj)+Pspv)</f>
        <v>2.9287407737716098E-2</v>
      </c>
      <c r="M114" s="832"/>
      <c r="N114" s="832"/>
      <c r="O114" s="48">
        <f>IF(t&lt;Tnet,'2022'!Resal+('2022'!Salim-'2022'!Resal)*(1-EXP(('2022'!Tnet-t)/('2022'!Tau_j))),Resal+(Salim-Resal)*(1-EXP((Tnet-t)/(Tau_j))))*Salcycl</f>
        <v>2.4028617074809435E-2</v>
      </c>
      <c r="P114" s="338">
        <f>(INDEX(Models!$BJ114:$BT114,,T114)*(1-R114)+INDEX(Models!$BJ114:$BT114,,T114+1)*R114-ERP_i)*Q114*Ramure*Pc/MaxiM</f>
        <v>2.8909067095359781E-3</v>
      </c>
      <c r="Q114" s="304">
        <f t="shared" si="28"/>
        <v>0.7</v>
      </c>
      <c r="R114" s="177">
        <f t="shared" si="29"/>
        <v>0.36425148923733619</v>
      </c>
      <c r="S114" s="799">
        <f t="shared" si="30"/>
        <v>0</v>
      </c>
      <c r="T114" s="176">
        <f t="shared" si="31"/>
        <v>6</v>
      </c>
      <c r="U114" s="250">
        <f t="shared" si="32"/>
        <v>0.36425148923733619</v>
      </c>
      <c r="V114" s="382">
        <f t="shared" si="33"/>
        <v>54.595586130896187</v>
      </c>
      <c r="W114" s="400">
        <f t="shared" si="34"/>
        <v>57.229505560497152</v>
      </c>
      <c r="X114" s="157">
        <f t="shared" si="35"/>
        <v>45026</v>
      </c>
      <c r="Y114" s="383">
        <f t="shared" si="36"/>
        <v>53.884769997356564</v>
      </c>
      <c r="Z114" s="383">
        <f t="shared" si="37"/>
        <v>55.510529508817832</v>
      </c>
      <c r="AA114" s="384">
        <f t="shared" si="38"/>
        <v>60.397012693335789</v>
      </c>
      <c r="AB114" s="197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8.0906040987969829E-2</v>
      </c>
      <c r="AD114" s="230">
        <f>(INDEX(Models!$BJ114:$BT114,,AH114)*(1-AF114)+INDEX(Models!$BJ114:$BT114,,AH114+1)*AF114-ERP_i)*AE114*Ramure*Pc/MaxiM</f>
        <v>3.0671916162973824E-3</v>
      </c>
      <c r="AE114" s="304">
        <f t="shared" si="40"/>
        <v>0.7</v>
      </c>
      <c r="AF114" s="177">
        <f t="shared" si="41"/>
        <v>0.42858371149716834</v>
      </c>
      <c r="AG114" s="799">
        <f t="shared" si="49"/>
        <v>0</v>
      </c>
      <c r="AH114" s="176">
        <f t="shared" si="42"/>
        <v>6</v>
      </c>
      <c r="AI114" s="224">
        <f t="shared" si="43"/>
        <v>0.42858371149716834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45027</v>
      </c>
      <c r="B115" s="409">
        <f>'2022'!Wh/'2022'!Env_an*'2023'!Env_an</f>
        <v>45.658111191931539</v>
      </c>
      <c r="C115" s="829"/>
      <c r="D115" s="391">
        <f t="shared" si="25"/>
        <v>47.036565302584776</v>
      </c>
      <c r="E115" s="383">
        <f t="shared" si="47"/>
        <v>48.19698895853238</v>
      </c>
      <c r="F115" s="383">
        <f t="shared" si="26"/>
        <v>48.300585366428848</v>
      </c>
      <c r="G115" s="110">
        <f t="shared" si="48"/>
        <v>0.83303861535672374</v>
      </c>
      <c r="H115" s="412" t="b">
        <f>Wh_hp&gt;='2022'!Maxi_hp</f>
        <v>0</v>
      </c>
      <c r="I115" s="379">
        <f>IF(H115,Wh_hp,'2022'!Maxi_hp)</f>
        <v>58.211509097292016</v>
      </c>
      <c r="J115" s="85">
        <f>IF(H115,An,'2022'!An_max)</f>
        <v>2020</v>
      </c>
      <c r="K115" s="197">
        <f t="shared" si="27"/>
        <v>45027</v>
      </c>
      <c r="L115" s="147">
        <f>IF(t&lt;Tvie,1-EXP((T0-t)*PertePVj)+'2022'!Pspv,1-EXP((T0-t)*PertePVj)+Pspv)</f>
        <v>2.9306011223091732E-2</v>
      </c>
      <c r="M115" s="832"/>
      <c r="N115" s="832"/>
      <c r="O115" s="48">
        <f>IF(t&lt;Tnet,'2022'!Resal+('2022'!Salim-'2022'!Resal)*(1-EXP(('2022'!Tnet-t)/('2022'!Tau_j))),Resal+(Salim-Resal)*(1-EXP((Tnet-t)/(Tau_j))))*Salcycl</f>
        <v>2.4076683648142545E-2</v>
      </c>
      <c r="P115" s="338">
        <f>(INDEX(Models!$BJ115:$BT115,,T115)*(1-R115)+INDEX(Models!$BJ115:$BT115,,T115+1)*R115-ERP_i)*Q115*Ramure*Pc/MaxiM</f>
        <v>2.8136926475173145E-3</v>
      </c>
      <c r="Q115" s="304">
        <f t="shared" si="28"/>
        <v>0.7</v>
      </c>
      <c r="R115" s="177">
        <f t="shared" si="29"/>
        <v>0.36541938961005388</v>
      </c>
      <c r="S115" s="799">
        <f t="shared" si="30"/>
        <v>0</v>
      </c>
      <c r="T115" s="176">
        <f t="shared" si="31"/>
        <v>6</v>
      </c>
      <c r="U115" s="250">
        <f t="shared" si="32"/>
        <v>0.36541938961005388</v>
      </c>
      <c r="V115" s="382">
        <f t="shared" si="33"/>
        <v>54.77237858435155</v>
      </c>
      <c r="W115" s="400">
        <f t="shared" si="34"/>
        <v>45.658111191931539</v>
      </c>
      <c r="X115" s="157">
        <f t="shared" si="35"/>
        <v>45027</v>
      </c>
      <c r="Y115" s="383">
        <f t="shared" si="36"/>
        <v>42.993231614958326</v>
      </c>
      <c r="Z115" s="383">
        <f t="shared" si="37"/>
        <v>44.291230925546955</v>
      </c>
      <c r="AA115" s="384">
        <f t="shared" si="38"/>
        <v>48.190626154906113</v>
      </c>
      <c r="AB115" s="197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8.0916052363062541E-2</v>
      </c>
      <c r="AD115" s="230">
        <f>(INDEX(Models!$BJ115:$BT115,,AH115)*(1-AF115)+INDEX(Models!$BJ115:$BT115,,AH115+1)*AF115-ERP_i)*AE115*Ramure*Pc/MaxiM</f>
        <v>2.9865072667145838E-3</v>
      </c>
      <c r="AE115" s="304">
        <f t="shared" si="40"/>
        <v>0.7</v>
      </c>
      <c r="AF115" s="177">
        <f t="shared" si="41"/>
        <v>0.42975161186988603</v>
      </c>
      <c r="AG115" s="799">
        <f t="shared" si="49"/>
        <v>0</v>
      </c>
      <c r="AH115" s="176">
        <f t="shared" si="42"/>
        <v>6</v>
      </c>
      <c r="AI115" s="224">
        <f t="shared" si="43"/>
        <v>0.42975161186988603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45028</v>
      </c>
      <c r="B116" s="409">
        <f>'2022'!Wh/'2022'!Env_an*'2023'!Env_an</f>
        <v>40.050962256768571</v>
      </c>
      <c r="C116" s="829"/>
      <c r="D116" s="391">
        <f t="shared" si="25"/>
        <v>41.260922908876317</v>
      </c>
      <c r="E116" s="383">
        <f t="shared" si="47"/>
        <v>42.280952317885856</v>
      </c>
      <c r="F116" s="383">
        <f t="shared" si="26"/>
        <v>42.352034731424141</v>
      </c>
      <c r="G116" s="110">
        <f t="shared" si="48"/>
        <v>0.72816586380287496</v>
      </c>
      <c r="H116" s="412" t="b">
        <f>Wh_hp&gt;='2022'!Maxi_hp</f>
        <v>0</v>
      </c>
      <c r="I116" s="379">
        <f>IF(H116,Wh_hp,'2022'!Maxi_hp)</f>
        <v>57.589141732142863</v>
      </c>
      <c r="J116" s="85">
        <f>IF(H116,An,'2022'!An_max)</f>
        <v>2020</v>
      </c>
      <c r="K116" s="197">
        <f t="shared" si="27"/>
        <v>45028</v>
      </c>
      <c r="L116" s="147">
        <f>IF(t&lt;Tvie,1-EXP((T0-t)*PertePVj)+'2022'!Pspv,1-EXP((T0-t)*PertePVj)+Pspv)</f>
        <v>2.9324614351935674E-2</v>
      </c>
      <c r="M116" s="832"/>
      <c r="N116" s="832"/>
      <c r="O116" s="48">
        <f>IF(t&lt;Tnet,'2022'!Resal+('2022'!Salim-'2022'!Resal)*(1-EXP(('2022'!Tnet-t)/('2022'!Tau_j))),Resal+(Salim-Resal)*(1-EXP((Tnet-t)/(Tau_j))))*Salcycl</f>
        <v>2.412503392403589E-2</v>
      </c>
      <c r="P116" s="338">
        <f>(INDEX(Models!$BJ116:$BT116,,T116)*(1-R116)+INDEX(Models!$BJ116:$BT116,,T116+1)*R116-ERP_i)*Q116*Ramure*Pc/MaxiM</f>
        <v>2.7389814368194401E-3</v>
      </c>
      <c r="Q116" s="304">
        <f t="shared" si="28"/>
        <v>0.7</v>
      </c>
      <c r="R116" s="177">
        <f t="shared" si="29"/>
        <v>0.36662847830495654</v>
      </c>
      <c r="S116" s="799">
        <f t="shared" si="30"/>
        <v>0</v>
      </c>
      <c r="T116" s="176">
        <f t="shared" si="31"/>
        <v>6</v>
      </c>
      <c r="U116" s="250">
        <f t="shared" si="32"/>
        <v>0.36662847830495654</v>
      </c>
      <c r="V116" s="382">
        <f t="shared" si="33"/>
        <v>54.944092204666767</v>
      </c>
      <c r="W116" s="400">
        <f t="shared" si="34"/>
        <v>40.050962256768571</v>
      </c>
      <c r="X116" s="157">
        <f t="shared" si="35"/>
        <v>45028</v>
      </c>
      <c r="Y116" s="383">
        <f t="shared" si="36"/>
        <v>37.715829058633886</v>
      </c>
      <c r="Z116" s="383">
        <f t="shared" si="37"/>
        <v>38.855244107640772</v>
      </c>
      <c r="AA116" s="384">
        <f t="shared" si="38"/>
        <v>42.276562883701686</v>
      </c>
      <c r="AB116" s="197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8.0927079750371431E-2</v>
      </c>
      <c r="AD116" s="230">
        <f>(INDEX(Models!$BJ116:$BT116,,AH116)*(1-AF116)+INDEX(Models!$BJ116:$BT116,,AH116+1)*AF116-ERP_i)*AE116*Ramure*Pc/MaxiM</f>
        <v>2.9081172068379699E-3</v>
      </c>
      <c r="AE116" s="304">
        <f t="shared" si="40"/>
        <v>0.7</v>
      </c>
      <c r="AF116" s="177">
        <f t="shared" si="41"/>
        <v>0.43096070056478869</v>
      </c>
      <c r="AG116" s="799">
        <f t="shared" si="49"/>
        <v>0</v>
      </c>
      <c r="AH116" s="176">
        <f t="shared" si="42"/>
        <v>6</v>
      </c>
      <c r="AI116" s="224">
        <f t="shared" si="43"/>
        <v>0.43096070056478869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45029</v>
      </c>
      <c r="B117" s="409">
        <f>'2022'!Wh/'2022'!Env_an*'2023'!Env_an</f>
        <v>6.2063840734107041</v>
      </c>
      <c r="C117" s="829"/>
      <c r="D117" s="391">
        <f t="shared" si="25"/>
        <v>6.3940047428743831</v>
      </c>
      <c r="E117" s="383">
        <f t="shared" si="47"/>
        <v>6.5524003395636345</v>
      </c>
      <c r="F117" s="383">
        <f t="shared" si="26"/>
        <v>6.5524003395636345</v>
      </c>
      <c r="G117" s="110">
        <f t="shared" si="48"/>
        <v>0.11231546899873743</v>
      </c>
      <c r="H117" s="412" t="b">
        <f>Wh_hp&gt;='2022'!Maxi_hp</f>
        <v>0</v>
      </c>
      <c r="I117" s="379">
        <f>IF(H117,Wh_hp,'2022'!Maxi_hp)</f>
        <v>56.994672036100951</v>
      </c>
      <c r="J117" s="85">
        <f>IF(H117,An,'2022'!An_max)</f>
        <v>2018</v>
      </c>
      <c r="K117" s="197">
        <f t="shared" si="27"/>
        <v>45029</v>
      </c>
      <c r="L117" s="147">
        <f>IF(t&lt;Tvie,1-EXP((T0-t)*PertePVj)+'2022'!Pspv,1-EXP((T0-t)*PertePVj)+Pspv)</f>
        <v>2.9343217124255028E-2</v>
      </c>
      <c r="M117" s="832"/>
      <c r="N117" s="832"/>
      <c r="O117" s="48">
        <f>IF(t&lt;Tnet,'2022'!Resal+('2022'!Salim-'2022'!Resal)*(1-EXP(('2022'!Tnet-t)/('2022'!Tau_j))),Resal+(Salim-Resal)*(1-EXP((Tnet-t)/(Tau_j))))*Salcycl</f>
        <v>2.4173675062687101E-2</v>
      </c>
      <c r="P117" s="338">
        <f>(INDEX(Models!$BJ117:$BT117,,T117)*(1-R117)+INDEX(Models!$BJ117:$BT117,,T117+1)*R117-ERP_i)*Q117*Ramure*Pc/MaxiM</f>
        <v>2.6666891648209762E-3</v>
      </c>
      <c r="Q117" s="304">
        <f t="shared" si="28"/>
        <v>0.7</v>
      </c>
      <c r="R117" s="177">
        <f t="shared" si="29"/>
        <v>0.36787989745129379</v>
      </c>
      <c r="S117" s="799">
        <f t="shared" si="30"/>
        <v>0</v>
      </c>
      <c r="T117" s="176">
        <f t="shared" si="31"/>
        <v>6</v>
      </c>
      <c r="U117" s="250">
        <f t="shared" si="32"/>
        <v>0.36787989745129379</v>
      </c>
      <c r="V117" s="382">
        <f t="shared" si="33"/>
        <v>55.111140356979718</v>
      </c>
      <c r="W117" s="400">
        <f t="shared" si="34"/>
        <v>6.2063840734107041</v>
      </c>
      <c r="X117" s="157">
        <f t="shared" si="35"/>
        <v>45029</v>
      </c>
      <c r="Y117" s="383">
        <f t="shared" si="36"/>
        <v>5.8453482236342129</v>
      </c>
      <c r="Z117" s="383">
        <f t="shared" si="37"/>
        <v>6.022054681693275</v>
      </c>
      <c r="AA117" s="384">
        <f t="shared" si="38"/>
        <v>6.5524003395636345</v>
      </c>
      <c r="AB117" s="197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8.0939141442276194E-2</v>
      </c>
      <c r="AD117" s="230">
        <f>(INDEX(Models!$BJ117:$BT117,,AH117)*(1-AF117)+INDEX(Models!$BJ117:$BT117,,AH117+1)*AF117-ERP_i)*AE117*Ramure*Pc/MaxiM</f>
        <v>2.8319359878178846E-3</v>
      </c>
      <c r="AE117" s="304">
        <f t="shared" si="40"/>
        <v>0.7</v>
      </c>
      <c r="AF117" s="177">
        <f t="shared" si="41"/>
        <v>0.43221211971112594</v>
      </c>
      <c r="AG117" s="799">
        <f t="shared" si="49"/>
        <v>0</v>
      </c>
      <c r="AH117" s="176">
        <f t="shared" si="42"/>
        <v>6</v>
      </c>
      <c r="AI117" s="224">
        <f t="shared" si="43"/>
        <v>0.43221211971112594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45030</v>
      </c>
      <c r="B118" s="409">
        <f>'2022'!Wh/'2022'!Env_an*'2023'!Env_an</f>
        <v>44.822178041408655</v>
      </c>
      <c r="C118" s="829"/>
      <c r="D118" s="391">
        <f t="shared" si="25"/>
        <v>46.17804960049002</v>
      </c>
      <c r="E118" s="383">
        <f t="shared" si="47"/>
        <v>47.324369531677711</v>
      </c>
      <c r="F118" s="383">
        <f t="shared" si="26"/>
        <v>47.414232882211792</v>
      </c>
      <c r="G118" s="110">
        <f t="shared" si="48"/>
        <v>0.81033992919834541</v>
      </c>
      <c r="H118" s="412" t="b">
        <f>Wh_hp&gt;='2022'!Maxi_hp</f>
        <v>0</v>
      </c>
      <c r="I118" s="379">
        <f>IF(H118,Wh_hp,'2022'!Maxi_hp)</f>
        <v>57.747438215709053</v>
      </c>
      <c r="J118" s="85">
        <f>IF(H118,An,'2022'!An_max)</f>
        <v>2021</v>
      </c>
      <c r="K118" s="197">
        <f t="shared" si="27"/>
        <v>45030</v>
      </c>
      <c r="L118" s="147">
        <f>IF(t&lt;Tvie,1-EXP((T0-t)*PertePVj)+'2022'!Pspv,1-EXP((T0-t)*PertePVj)+Pspv)</f>
        <v>2.9361819540056455E-2</v>
      </c>
      <c r="M118" s="832"/>
      <c r="N118" s="832"/>
      <c r="O118" s="48">
        <f>IF(t&lt;Tnet,'2022'!Resal+('2022'!Salim-'2022'!Resal)*(1-EXP(('2022'!Tnet-t)/('2022'!Tau_j))),Resal+(Salim-Resal)*(1-EXP((Tnet-t)/(Tau_j))))*Salcycl</f>
        <v>2.4222613899174617E-2</v>
      </c>
      <c r="P118" s="338">
        <f>(INDEX(Models!$BJ118:$BT118,,T118)*(1-R118)+INDEX(Models!$BJ118:$BT118,,T118+1)*R118-ERP_i)*Q118*Ramure*Pc/MaxiM</f>
        <v>2.5967351979421828E-3</v>
      </c>
      <c r="Q118" s="304">
        <f t="shared" si="28"/>
        <v>0.7</v>
      </c>
      <c r="R118" s="177">
        <f t="shared" si="29"/>
        <v>0.36917479655494462</v>
      </c>
      <c r="S118" s="799">
        <f t="shared" si="30"/>
        <v>0</v>
      </c>
      <c r="T118" s="176">
        <f t="shared" si="31"/>
        <v>6</v>
      </c>
      <c r="U118" s="250">
        <f t="shared" si="32"/>
        <v>0.36917479655494462</v>
      </c>
      <c r="V118" s="382">
        <f t="shared" si="33"/>
        <v>55.273936373198772</v>
      </c>
      <c r="W118" s="400">
        <f t="shared" si="34"/>
        <v>44.822178041408655</v>
      </c>
      <c r="X118" s="157">
        <f t="shared" si="35"/>
        <v>45030</v>
      </c>
      <c r="Y118" s="383">
        <f t="shared" si="36"/>
        <v>42.211336340467213</v>
      </c>
      <c r="Z118" s="383">
        <f t="shared" si="37"/>
        <v>43.488229898874451</v>
      </c>
      <c r="AA118" s="384">
        <f t="shared" si="38"/>
        <v>47.318792862041057</v>
      </c>
      <c r="AB118" s="197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8.0952254516185387E-2</v>
      </c>
      <c r="AD118" s="230">
        <f>(INDEX(Models!$BJ118:$BT118,,AH118)*(1-AF118)+INDEX(Models!$BJ118:$BT118,,AH118+1)*AF118-ERP_i)*AE118*Ramure*Pc/MaxiM</f>
        <v>2.7578813631668176E-3</v>
      </c>
      <c r="AE118" s="304">
        <f t="shared" si="40"/>
        <v>0.7</v>
      </c>
      <c r="AF118" s="177">
        <f t="shared" si="41"/>
        <v>0.43350701881477677</v>
      </c>
      <c r="AG118" s="799">
        <f t="shared" si="49"/>
        <v>0</v>
      </c>
      <c r="AH118" s="176">
        <f t="shared" si="42"/>
        <v>6</v>
      </c>
      <c r="AI118" s="224">
        <f t="shared" si="43"/>
        <v>0.43350701881477677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45031</v>
      </c>
      <c r="B119" s="409">
        <f>'2022'!Wh/'2022'!Env_an*'2023'!Env_an</f>
        <v>45.866904066703619</v>
      </c>
      <c r="C119" s="829"/>
      <c r="D119" s="391">
        <f t="shared" si="25"/>
        <v>47.25528424048607</v>
      </c>
      <c r="E119" s="383">
        <f t="shared" si="47"/>
        <v>48.430789432331657</v>
      </c>
      <c r="F119" s="383">
        <f t="shared" si="26"/>
        <v>48.523253646725323</v>
      </c>
      <c r="G119" s="110">
        <f t="shared" si="48"/>
        <v>0.82691430256248255</v>
      </c>
      <c r="H119" s="412" t="b">
        <f>Wh_hp&gt;='2022'!Maxi_hp</f>
        <v>0</v>
      </c>
      <c r="I119" s="379">
        <f>IF(H119,Wh_hp,'2022'!Maxi_hp)</f>
        <v>58.651705388898215</v>
      </c>
      <c r="J119" s="85">
        <f>IF(H119,An,'2022'!An_max)</f>
        <v>2021</v>
      </c>
      <c r="K119" s="197">
        <f t="shared" si="27"/>
        <v>45031</v>
      </c>
      <c r="L119" s="147">
        <f>IF(t&lt;Tvie,1-EXP((T0-t)*PertePVj)+'2022'!Pspv,1-EXP((T0-t)*PertePVj)+Pspv)</f>
        <v>2.938042159934684E-2</v>
      </c>
      <c r="M119" s="832"/>
      <c r="N119" s="832"/>
      <c r="O119" s="48">
        <f>IF(t&lt;Tnet,'2022'!Resal+('2022'!Salim-'2022'!Resal)*(1-EXP(('2022'!Tnet-t)/('2022'!Tau_j))),Resal+(Salim-Resal)*(1-EXP((Tnet-t)/(Tau_j))))*Salcycl</f>
        <v>2.4271856924571095E-2</v>
      </c>
      <c r="P119" s="338">
        <f>(INDEX(Models!$BJ119:$BT119,,T119)*(1-R119)+INDEX(Models!$BJ119:$BT119,,T119+1)*R119-ERP_i)*Q119*Ramure*Pc/MaxiM</f>
        <v>2.529041853643184E-3</v>
      </c>
      <c r="Q119" s="304">
        <f t="shared" si="28"/>
        <v>0.7</v>
      </c>
      <c r="R119" s="177">
        <f t="shared" si="29"/>
        <v>0.37051433040256981</v>
      </c>
      <c r="S119" s="799">
        <f t="shared" si="30"/>
        <v>0</v>
      </c>
      <c r="T119" s="176">
        <f t="shared" si="31"/>
        <v>6</v>
      </c>
      <c r="U119" s="250">
        <f t="shared" si="32"/>
        <v>0.37051433040256981</v>
      </c>
      <c r="V119" s="382">
        <f t="shared" si="33"/>
        <v>55.432893559539004</v>
      </c>
      <c r="W119" s="400">
        <f t="shared" si="34"/>
        <v>45.866904066703619</v>
      </c>
      <c r="X119" s="157">
        <f t="shared" si="35"/>
        <v>45031</v>
      </c>
      <c r="Y119" s="383">
        <f t="shared" si="36"/>
        <v>43.196697731401848</v>
      </c>
      <c r="Z119" s="383">
        <f t="shared" si="37"/>
        <v>44.504251400512217</v>
      </c>
      <c r="AA119" s="384">
        <f t="shared" si="38"/>
        <v>48.425055498386477</v>
      </c>
      <c r="AB119" s="197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8.0966434783020583E-2</v>
      </c>
      <c r="AD119" s="230">
        <f>(INDEX(Models!$BJ119:$BT119,,AH119)*(1-AF119)+INDEX(Models!$BJ119:$BT119,,AH119+1)*AF119-ERP_i)*AE119*Ramure*Pc/MaxiM</f>
        <v>2.6858739754372874E-3</v>
      </c>
      <c r="AE119" s="304">
        <f t="shared" si="40"/>
        <v>0.7</v>
      </c>
      <c r="AF119" s="177">
        <f t="shared" si="41"/>
        <v>0.43484655266240196</v>
      </c>
      <c r="AG119" s="799">
        <f t="shared" si="49"/>
        <v>0</v>
      </c>
      <c r="AH119" s="176">
        <f t="shared" si="42"/>
        <v>6</v>
      </c>
      <c r="AI119" s="224">
        <f t="shared" si="43"/>
        <v>0.43484655266240196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45032</v>
      </c>
      <c r="B120" s="409">
        <f>'2022'!Wh/'2022'!Env_an*'2023'!Env_an</f>
        <v>37.531136996817644</v>
      </c>
      <c r="C120" s="829"/>
      <c r="D120" s="391">
        <f t="shared" si="25"/>
        <v>38.66793656493558</v>
      </c>
      <c r="E120" s="383">
        <f t="shared" si="47"/>
        <v>39.631838775405058</v>
      </c>
      <c r="F120" s="383">
        <f t="shared" si="26"/>
        <v>39.684234546281786</v>
      </c>
      <c r="G120" s="110">
        <f t="shared" si="48"/>
        <v>0.67438812851512397</v>
      </c>
      <c r="H120" s="412" t="b">
        <f>Wh_hp&gt;='2022'!Maxi_hp</f>
        <v>0</v>
      </c>
      <c r="I120" s="379">
        <f>IF(H120,Wh_hp,'2022'!Maxi_hp)</f>
        <v>57.771393300679215</v>
      </c>
      <c r="J120" s="85">
        <f>IF(H120,An,'2022'!An_max)</f>
        <v>2020</v>
      </c>
      <c r="K120" s="197">
        <f t="shared" si="27"/>
        <v>45032</v>
      </c>
      <c r="L120" s="147">
        <f>IF(t&lt;Tvie,1-EXP((T0-t)*PertePVj)+'2022'!Pspv,1-EXP((T0-t)*PertePVj)+Pspv)</f>
        <v>2.9399023302132954E-2</v>
      </c>
      <c r="M120" s="832"/>
      <c r="N120" s="832"/>
      <c r="O120" s="48">
        <f>IF(t&lt;Tnet,'2022'!Resal+('2022'!Salim-'2022'!Resal)*(1-EXP(('2022'!Tnet-t)/('2022'!Tau_j))),Resal+(Salim-Resal)*(1-EXP((Tnet-t)/(Tau_j))))*Salcycl</f>
        <v>2.4321410266426098E-2</v>
      </c>
      <c r="P120" s="338">
        <f>(INDEX(Models!$BJ120:$BT120,,T120)*(1-R120)+INDEX(Models!$BJ120:$BT120,,T120+1)*R120-ERP_i)*Q120*Ramure*Pc/MaxiM</f>
        <v>2.4635340908505548E-3</v>
      </c>
      <c r="Q120" s="304">
        <f t="shared" si="28"/>
        <v>0.7</v>
      </c>
      <c r="R120" s="177">
        <f t="shared" si="29"/>
        <v>0.37189965678148373</v>
      </c>
      <c r="S120" s="799">
        <f t="shared" si="30"/>
        <v>0</v>
      </c>
      <c r="T120" s="176">
        <f t="shared" si="31"/>
        <v>6</v>
      </c>
      <c r="U120" s="250">
        <f t="shared" si="32"/>
        <v>0.37189965678148373</v>
      </c>
      <c r="V120" s="382">
        <f t="shared" si="33"/>
        <v>55.588425197631622</v>
      </c>
      <c r="W120" s="400">
        <f t="shared" si="34"/>
        <v>37.531136996817644</v>
      </c>
      <c r="X120" s="157">
        <f t="shared" si="35"/>
        <v>45032</v>
      </c>
      <c r="Y120" s="383">
        <f t="shared" si="36"/>
        <v>35.34871325306468</v>
      </c>
      <c r="Z120" s="383">
        <f t="shared" si="37"/>
        <v>36.419408285912105</v>
      </c>
      <c r="AA120" s="384">
        <f t="shared" si="38"/>
        <v>39.628599513732219</v>
      </c>
      <c r="AB120" s="197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8.0981696734149206E-2</v>
      </c>
      <c r="AD120" s="230">
        <f>(INDEX(Models!$BJ120:$BT120,,AH120)*(1-AF120)+INDEX(Models!$BJ120:$BT120,,AH120+1)*AF120-ERP_i)*AE120*Ramure*Pc/MaxiM</f>
        <v>2.6158370616188313E-3</v>
      </c>
      <c r="AE120" s="304">
        <f t="shared" si="40"/>
        <v>0.7</v>
      </c>
      <c r="AF120" s="177">
        <f t="shared" si="41"/>
        <v>0.43623187904131588</v>
      </c>
      <c r="AG120" s="799">
        <f t="shared" si="49"/>
        <v>0</v>
      </c>
      <c r="AH120" s="176">
        <f t="shared" si="42"/>
        <v>6</v>
      </c>
      <c r="AI120" s="224">
        <f t="shared" si="43"/>
        <v>0.43623187904131588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45033</v>
      </c>
      <c r="B121" s="409">
        <f>'2022'!Wh/'2022'!Env_an*'2023'!Env_an</f>
        <v>55.269004851321903</v>
      </c>
      <c r="C121" s="829"/>
      <c r="D121" s="391">
        <f t="shared" si="25"/>
        <v>56.944166981500736</v>
      </c>
      <c r="E121" s="383">
        <f t="shared" si="47"/>
        <v>58.366636605525741</v>
      </c>
      <c r="F121" s="383">
        <f t="shared" si="26"/>
        <v>58.505368134947986</v>
      </c>
      <c r="G121" s="110">
        <f t="shared" si="48"/>
        <v>0.99153081191206716</v>
      </c>
      <c r="H121" s="412" t="b">
        <f>Wh_hp&gt;='2022'!Maxi_hp</f>
        <v>0</v>
      </c>
      <c r="I121" s="379">
        <f>IF(H121,Wh_hp,'2022'!Maxi_hp)</f>
        <v>58.506000012119351</v>
      </c>
      <c r="J121" s="85">
        <f>IF(H121,An,'2022'!An_max)</f>
        <v>2022</v>
      </c>
      <c r="K121" s="197">
        <f t="shared" si="27"/>
        <v>45033</v>
      </c>
      <c r="L121" s="147">
        <f>IF(t&lt;Tvie,1-EXP((T0-t)*PertePVj)+'2022'!Pspv,1-EXP((T0-t)*PertePVj)+Pspv)</f>
        <v>2.9417624648421681E-2</v>
      </c>
      <c r="M121" s="832"/>
      <c r="N121" s="832"/>
      <c r="O121" s="48">
        <f>IF(t&lt;Tnet,'2022'!Resal+('2022'!Salim-'2022'!Resal)*(1-EXP(('2022'!Tnet-t)/('2022'!Tau_j))),Resal+(Salim-Resal)*(1-EXP((Tnet-t)/(Tau_j))))*Salcycl</f>
        <v>2.4371279668534831E-2</v>
      </c>
      <c r="P121" s="338">
        <f>(INDEX(Models!$BJ121:$BT121,,T121)*(1-R121)+INDEX(Models!$BJ121:$BT121,,T121+1)*R121-ERP_i)*Q121*Ramure*Pc/MaxiM</f>
        <v>2.4002025775456785E-3</v>
      </c>
      <c r="Q121" s="304">
        <f t="shared" si="28"/>
        <v>0.7</v>
      </c>
      <c r="R121" s="177">
        <f t="shared" si="29"/>
        <v>0.37333193400922515</v>
      </c>
      <c r="S121" s="799">
        <f t="shared" si="30"/>
        <v>0</v>
      </c>
      <c r="T121" s="176">
        <f t="shared" si="31"/>
        <v>6</v>
      </c>
      <c r="U121" s="250">
        <f t="shared" si="32"/>
        <v>0.37333193400922515</v>
      </c>
      <c r="V121" s="382">
        <f t="shared" si="33"/>
        <v>55.739469558719158</v>
      </c>
      <c r="W121" s="400">
        <f t="shared" si="34"/>
        <v>55.269004851321903</v>
      </c>
      <c r="X121" s="157">
        <f t="shared" si="35"/>
        <v>45033</v>
      </c>
      <c r="Y121" s="383">
        <f t="shared" si="36"/>
        <v>52.053511541555437</v>
      </c>
      <c r="Z121" s="383">
        <f t="shared" si="37"/>
        <v>53.631214478523646</v>
      </c>
      <c r="AA121" s="384">
        <f t="shared" si="38"/>
        <v>58.35810759921636</v>
      </c>
      <c r="AB121" s="197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8.099805348650807E-2</v>
      </c>
      <c r="AD121" s="230">
        <f>(INDEX(Models!$BJ121:$BT121,,AH121)*(1-AF121)+INDEX(Models!$BJ121:$BT121,,AH121+1)*AF121-ERP_i)*AE121*Ramure*Pc/MaxiM</f>
        <v>2.547763431325204E-3</v>
      </c>
      <c r="AE121" s="304">
        <f t="shared" si="40"/>
        <v>0.7</v>
      </c>
      <c r="AF121" s="177">
        <f t="shared" si="41"/>
        <v>0.4376641562690573</v>
      </c>
      <c r="AG121" s="799">
        <f t="shared" si="49"/>
        <v>0</v>
      </c>
      <c r="AH121" s="176">
        <f t="shared" si="42"/>
        <v>6</v>
      </c>
      <c r="AI121" s="224">
        <f t="shared" si="43"/>
        <v>0.4376641562690573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45034</v>
      </c>
      <c r="B122" s="409">
        <f>'2022'!Wh/'2022'!Env_an*'2023'!Env_an</f>
        <v>36.010040958884574</v>
      </c>
      <c r="C122" s="829"/>
      <c r="D122" s="391">
        <f t="shared" si="25"/>
        <v>37.102189377059666</v>
      </c>
      <c r="E122" s="383">
        <f t="shared" si="47"/>
        <v>38.030961377277748</v>
      </c>
      <c r="F122" s="383">
        <f t="shared" si="26"/>
        <v>38.074839626652128</v>
      </c>
      <c r="G122" s="110">
        <f t="shared" si="48"/>
        <v>0.64359617313288076</v>
      </c>
      <c r="H122" s="412" t="b">
        <f>Wh_hp&gt;='2022'!Maxi_hp</f>
        <v>0</v>
      </c>
      <c r="I122" s="379">
        <f>IF(H122,Wh_hp,'2022'!Maxi_hp)</f>
        <v>47.717829043951738</v>
      </c>
      <c r="J122" s="85">
        <f>IF(H122,An,'2022'!An_max)</f>
        <v>2021</v>
      </c>
      <c r="K122" s="197">
        <f t="shared" si="27"/>
        <v>45034</v>
      </c>
      <c r="L122" s="147">
        <f>IF(t&lt;Tvie,1-EXP((T0-t)*PertePVj)+'2022'!Pspv,1-EXP((T0-t)*PertePVj)+Pspv)</f>
        <v>2.9436225638219904E-2</v>
      </c>
      <c r="M122" s="832"/>
      <c r="N122" s="832"/>
      <c r="O122" s="48">
        <f>IF(t&lt;Tnet,'2022'!Resal+('2022'!Salim-'2022'!Resal)*(1-EXP(('2022'!Tnet-t)/('2022'!Tau_j))),Resal+(Salim-Resal)*(1-EXP((Tnet-t)/(Tau_j))))*Salcycl</f>
        <v>2.4421470469925897E-2</v>
      </c>
      <c r="P122" s="338">
        <f>(INDEX(Models!$BJ122:$BT122,,T122)*(1-R122)+INDEX(Models!$BJ122:$BT122,,T122+1)*R122-ERP_i)*Q122*Ramure*Pc/MaxiM</f>
        <v>2.342564604009144E-3</v>
      </c>
      <c r="Q122" s="304">
        <f t="shared" si="28"/>
        <v>0.7</v>
      </c>
      <c r="R122" s="177">
        <f t="shared" si="29"/>
        <v>0.37481231826740347</v>
      </c>
      <c r="S122" s="799">
        <f t="shared" si="30"/>
        <v>0</v>
      </c>
      <c r="T122" s="176">
        <f t="shared" si="31"/>
        <v>6</v>
      </c>
      <c r="U122" s="250">
        <f t="shared" si="32"/>
        <v>0.37481231826740347</v>
      </c>
      <c r="V122" s="382">
        <f t="shared" si="33"/>
        <v>55.884630608997725</v>
      </c>
      <c r="W122" s="400">
        <f t="shared" si="34"/>
        <v>36.010040958884574</v>
      </c>
      <c r="X122" s="157">
        <f t="shared" si="35"/>
        <v>45034</v>
      </c>
      <c r="Y122" s="383">
        <f t="shared" si="36"/>
        <v>33.918682466055074</v>
      </c>
      <c r="Z122" s="383">
        <f t="shared" si="37"/>
        <v>34.947402079125816</v>
      </c>
      <c r="AA122" s="384">
        <f t="shared" si="38"/>
        <v>38.028283083312203</v>
      </c>
      <c r="AB122" s="197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8.1015516725717246E-2</v>
      </c>
      <c r="AD122" s="230">
        <f>(INDEX(Models!$BJ122:$BT122,,AH122)*(1-AF122)+INDEX(Models!$BJ122:$BT122,,AH122+1)*AF122-ERP_i)*AE122*Ramure*Pc/MaxiM</f>
        <v>2.4855529121635689E-3</v>
      </c>
      <c r="AE122" s="304">
        <f t="shared" si="40"/>
        <v>0.7</v>
      </c>
      <c r="AF122" s="177">
        <f t="shared" si="41"/>
        <v>0.43914454052723562</v>
      </c>
      <c r="AG122" s="799">
        <f t="shared" si="49"/>
        <v>0</v>
      </c>
      <c r="AH122" s="176">
        <f t="shared" si="42"/>
        <v>6</v>
      </c>
      <c r="AI122" s="224">
        <f t="shared" si="43"/>
        <v>0.43914454052723562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45035</v>
      </c>
      <c r="B123" s="409">
        <f>'2022'!Wh/'2022'!Env_an*'2023'!Env_an</f>
        <v>9.6487789657739551</v>
      </c>
      <c r="C123" s="829"/>
      <c r="D123" s="391">
        <f t="shared" si="25"/>
        <v>9.9416072810985323</v>
      </c>
      <c r="E123" s="383">
        <f t="shared" si="47"/>
        <v>10.191001339333233</v>
      </c>
      <c r="F123" s="383">
        <f t="shared" si="26"/>
        <v>10.191001339333233</v>
      </c>
      <c r="G123" s="110">
        <f t="shared" si="48"/>
        <v>0.171830968926242</v>
      </c>
      <c r="H123" s="412" t="b">
        <f>Wh_hp&gt;='2022'!Maxi_hp</f>
        <v>0</v>
      </c>
      <c r="I123" s="379">
        <f>IF(H123,Wh_hp,'2022'!Maxi_hp)</f>
        <v>57.424115414132181</v>
      </c>
      <c r="J123" s="85">
        <f>IF(H123,An,'2022'!An_max)</f>
        <v>2021</v>
      </c>
      <c r="K123" s="197">
        <f t="shared" si="27"/>
        <v>45035</v>
      </c>
      <c r="L123" s="147">
        <f>IF(t&lt;Tvie,1-EXP((T0-t)*PertePVj)+'2022'!Pspv,1-EXP((T0-t)*PertePVj)+Pspv)</f>
        <v>2.9454826271534285E-2</v>
      </c>
      <c r="M123" s="832"/>
      <c r="N123" s="832"/>
      <c r="O123" s="48">
        <f>IF(t&lt;Tnet,'2022'!Resal+('2022'!Salim-'2022'!Resal)*(1-EXP(('2022'!Tnet-t)/('2022'!Tau_j))),Resal+(Salim-Resal)*(1-EXP((Tnet-t)/(Tau_j))))*Salcycl</f>
        <v>2.4471987583019796E-2</v>
      </c>
      <c r="P123" s="338">
        <f>(INDEX(Models!$BJ123:$BT123,,T123)*(1-R123)+INDEX(Models!$BJ123:$BT123,,T123+1)*R123-ERP_i)*Q123*Ramure*Pc/MaxiM</f>
        <v>2.2922225252359984E-3</v>
      </c>
      <c r="Q123" s="304">
        <f t="shared" si="28"/>
        <v>0.7</v>
      </c>
      <c r="R123" s="177">
        <f t="shared" si="29"/>
        <v>0.376341960735113</v>
      </c>
      <c r="S123" s="799">
        <f t="shared" si="30"/>
        <v>0</v>
      </c>
      <c r="T123" s="176">
        <f t="shared" si="31"/>
        <v>6</v>
      </c>
      <c r="U123" s="250">
        <f t="shared" si="32"/>
        <v>0.376341960735113</v>
      </c>
      <c r="V123" s="382">
        <f t="shared" si="33"/>
        <v>56.024021033250435</v>
      </c>
      <c r="W123" s="400">
        <f t="shared" si="34"/>
        <v>9.6487789657739551</v>
      </c>
      <c r="X123" s="157">
        <f t="shared" si="35"/>
        <v>45035</v>
      </c>
      <c r="Y123" s="383">
        <f t="shared" si="36"/>
        <v>9.0893329209139555</v>
      </c>
      <c r="Z123" s="383">
        <f t="shared" si="37"/>
        <v>9.3651827518714992</v>
      </c>
      <c r="AA123" s="384">
        <f t="shared" si="38"/>
        <v>10.191001339333233</v>
      </c>
      <c r="AB123" s="197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8.1034096647048914E-2</v>
      </c>
      <c r="AD123" s="230">
        <f>(INDEX(Models!$BJ123:$BT123,,AH123)*(1-AF123)+INDEX(Models!$BJ123:$BT123,,AH123+1)*AF123-ERP_i)*AE123*Ramure*Pc/MaxiM</f>
        <v>2.4309811834239579E-3</v>
      </c>
      <c r="AE123" s="304">
        <f t="shared" si="40"/>
        <v>0.7</v>
      </c>
      <c r="AF123" s="177">
        <f t="shared" si="41"/>
        <v>0.44067418299494515</v>
      </c>
      <c r="AG123" s="799">
        <f t="shared" si="49"/>
        <v>0</v>
      </c>
      <c r="AH123" s="176">
        <f t="shared" si="42"/>
        <v>6</v>
      </c>
      <c r="AI123" s="224">
        <f t="shared" si="43"/>
        <v>0.44067418299494515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45036</v>
      </c>
      <c r="B124" s="409">
        <f>'2022'!Wh/'2022'!Env_an*'2023'!Env_an</f>
        <v>9.9376311028407258</v>
      </c>
      <c r="C124" s="829"/>
      <c r="D124" s="391">
        <f t="shared" si="25"/>
        <v>10.239421953690613</v>
      </c>
      <c r="E124" s="383">
        <f t="shared" si="47"/>
        <v>10.496834089021339</v>
      </c>
      <c r="F124" s="383">
        <f t="shared" si="26"/>
        <v>10.496834089021339</v>
      </c>
      <c r="G124" s="110">
        <f t="shared" si="48"/>
        <v>0.17656090540293146</v>
      </c>
      <c r="H124" s="412" t="b">
        <f>Wh_hp&gt;='2022'!Maxi_hp</f>
        <v>0</v>
      </c>
      <c r="I124" s="379">
        <f>IF(H124,Wh_hp,'2022'!Maxi_hp)</f>
        <v>54.37744314192939</v>
      </c>
      <c r="J124" s="85">
        <f>IF(H124,An,'2022'!An_max)</f>
        <v>2018</v>
      </c>
      <c r="K124" s="197">
        <f t="shared" si="27"/>
        <v>45036</v>
      </c>
      <c r="L124" s="147">
        <f>IF(t&lt;Tvie,1-EXP((T0-t)*PertePVj)+'2022'!Pspv,1-EXP((T0-t)*PertePVj)+Pspv)</f>
        <v>2.9473426548371928E-2</v>
      </c>
      <c r="M124" s="832"/>
      <c r="N124" s="832"/>
      <c r="O124" s="48">
        <f>IF(t&lt;Tnet,'2022'!Resal+('2022'!Salim-'2022'!Resal)*(1-EXP(('2022'!Tnet-t)/('2022'!Tau_j))),Resal+(Salim-Resal)*(1-EXP((Tnet-t)/(Tau_j))))*Salcycl</f>
        <v>2.4522835470930551E-2</v>
      </c>
      <c r="P124" s="338">
        <f>(INDEX(Models!$BJ124:$BT124,,T124)*(1-R124)+INDEX(Models!$BJ124:$BT124,,T124+1)*R124-ERP_i)*Q124*Ramure*Pc/MaxiM</f>
        <v>2.249137223761237E-3</v>
      </c>
      <c r="Q124" s="304">
        <f t="shared" si="28"/>
        <v>0.7</v>
      </c>
      <c r="R124" s="177">
        <f t="shared" si="29"/>
        <v>0.37792200451804836</v>
      </c>
      <c r="S124" s="799">
        <f t="shared" si="30"/>
        <v>0</v>
      </c>
      <c r="T124" s="176">
        <f t="shared" si="31"/>
        <v>6</v>
      </c>
      <c r="U124" s="250">
        <f t="shared" si="32"/>
        <v>0.37792200451804836</v>
      </c>
      <c r="V124" s="382">
        <f t="shared" si="33"/>
        <v>56.157845272618857</v>
      </c>
      <c r="W124" s="400">
        <f t="shared" si="34"/>
        <v>9.9376311028407258</v>
      </c>
      <c r="X124" s="157">
        <f t="shared" si="35"/>
        <v>45036</v>
      </c>
      <c r="Y124" s="383">
        <f t="shared" si="36"/>
        <v>9.3617243459946078</v>
      </c>
      <c r="Z124" s="383">
        <f t="shared" si="37"/>
        <v>9.6460257782536694</v>
      </c>
      <c r="AA124" s="384">
        <f t="shared" si="38"/>
        <v>10.496834089021339</v>
      </c>
      <c r="AB124" s="197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8.1053801894185581E-2</v>
      </c>
      <c r="AD124" s="230">
        <f>(INDEX(Models!$BJ124:$BT124,,AH124)*(1-AF124)+INDEX(Models!$BJ124:$BT124,,AH124+1)*AF124-ERP_i)*AE124*Ramure*Pc/MaxiM</f>
        <v>2.3840055859230768E-3</v>
      </c>
      <c r="AE124" s="304">
        <f t="shared" si="40"/>
        <v>0.7</v>
      </c>
      <c r="AF124" s="177">
        <f t="shared" si="41"/>
        <v>0.44225422677788051</v>
      </c>
      <c r="AG124" s="799">
        <f t="shared" si="49"/>
        <v>0</v>
      </c>
      <c r="AH124" s="176">
        <f t="shared" si="42"/>
        <v>6</v>
      </c>
      <c r="AI124" s="224">
        <f t="shared" si="43"/>
        <v>0.44225422677788051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45037</v>
      </c>
      <c r="B125" s="409">
        <f>'2022'!Wh/'2022'!Env_an*'2023'!Env_an</f>
        <v>9.1453095438596321</v>
      </c>
      <c r="C125" s="829"/>
      <c r="D125" s="391">
        <f t="shared" si="25"/>
        <v>9.4232193792120924</v>
      </c>
      <c r="E125" s="383">
        <f t="shared" si="47"/>
        <v>9.6606196208633399</v>
      </c>
      <c r="F125" s="383">
        <f t="shared" si="26"/>
        <v>9.6606196208633399</v>
      </c>
      <c r="G125" s="110">
        <f t="shared" si="48"/>
        <v>0.16211879636135462</v>
      </c>
      <c r="H125" s="412" t="b">
        <f>Wh_hp&gt;='2022'!Maxi_hp</f>
        <v>0</v>
      </c>
      <c r="I125" s="379">
        <f>IF(H125,Wh_hp,'2022'!Maxi_hp)</f>
        <v>48.591897253026858</v>
      </c>
      <c r="J125" s="85">
        <f>IF(H125,An,'2022'!An_max)</f>
        <v>2021</v>
      </c>
      <c r="K125" s="197">
        <f t="shared" si="27"/>
        <v>45037</v>
      </c>
      <c r="L125" s="147">
        <f>IF(t&lt;Tvie,1-EXP((T0-t)*PertePVj)+'2022'!Pspv,1-EXP((T0-t)*PertePVj)+Pspv)</f>
        <v>2.9492026468739385E-2</v>
      </c>
      <c r="M125" s="832"/>
      <c r="N125" s="832"/>
      <c r="O125" s="48">
        <f>IF(t&lt;Tnet,'2022'!Resal+('2022'!Salim-'2022'!Resal)*(1-EXP(('2022'!Tnet-t)/('2022'!Tau_j))),Resal+(Salim-Resal)*(1-EXP((Tnet-t)/(Tau_j))))*Salcycl</f>
        <v>2.4574018123904862E-2</v>
      </c>
      <c r="P125" s="338">
        <f>(INDEX(Models!$BJ125:$BT125,,T125)*(1-R125)+INDEX(Models!$BJ125:$BT125,,T125+1)*R125-ERP_i)*Q125*Ramure*Pc/MaxiM</f>
        <v>2.2132842662855225E-3</v>
      </c>
      <c r="Q125" s="304">
        <f t="shared" si="28"/>
        <v>0.7</v>
      </c>
      <c r="R125" s="177">
        <f t="shared" si="29"/>
        <v>0.37955358137042683</v>
      </c>
      <c r="S125" s="799">
        <f t="shared" si="30"/>
        <v>0</v>
      </c>
      <c r="T125" s="176">
        <f t="shared" si="31"/>
        <v>6</v>
      </c>
      <c r="U125" s="250">
        <f t="shared" si="32"/>
        <v>0.37955358137042683</v>
      </c>
      <c r="V125" s="382">
        <f t="shared" si="33"/>
        <v>56.28630719535186</v>
      </c>
      <c r="W125" s="400">
        <f t="shared" si="34"/>
        <v>9.1453095438596321</v>
      </c>
      <c r="X125" s="157">
        <f t="shared" si="35"/>
        <v>45037</v>
      </c>
      <c r="Y125" s="383">
        <f t="shared" si="36"/>
        <v>8.6155761950797007</v>
      </c>
      <c r="Z125" s="383">
        <f t="shared" si="37"/>
        <v>8.8773883677960193</v>
      </c>
      <c r="AA125" s="384">
        <f t="shared" si="38"/>
        <v>9.6606196208633399</v>
      </c>
      <c r="AB125" s="197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8.1074639495776493E-2</v>
      </c>
      <c r="AD125" s="230">
        <f>(INDEX(Models!$BJ125:$BT125,,AH125)*(1-AF125)+INDEX(Models!$BJ125:$BT125,,AH125+1)*AF125-ERP_i)*AE125*Ramure*Pc/MaxiM</f>
        <v>2.3445988895125845E-3</v>
      </c>
      <c r="AE125" s="304">
        <f t="shared" si="40"/>
        <v>0.7</v>
      </c>
      <c r="AF125" s="177">
        <f t="shared" si="41"/>
        <v>0.44388580363025898</v>
      </c>
      <c r="AG125" s="799">
        <f t="shared" si="49"/>
        <v>0</v>
      </c>
      <c r="AH125" s="176">
        <f t="shared" si="42"/>
        <v>6</v>
      </c>
      <c r="AI125" s="224">
        <f t="shared" si="43"/>
        <v>0.44388580363025898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45038</v>
      </c>
      <c r="B126" s="409">
        <f>'2022'!Wh/'2022'!Env_an*'2023'!Env_an</f>
        <v>28.24118936135622</v>
      </c>
      <c r="C126" s="829"/>
      <c r="D126" s="391">
        <f t="shared" si="25"/>
        <v>29.099947015294315</v>
      </c>
      <c r="E126" s="383">
        <f t="shared" si="47"/>
        <v>29.834641135160979</v>
      </c>
      <c r="F126" s="383">
        <f t="shared" si="26"/>
        <v>29.853335230512918</v>
      </c>
      <c r="G126" s="110">
        <f t="shared" si="48"/>
        <v>0.49986428006105071</v>
      </c>
      <c r="H126" s="412" t="b">
        <f>Wh_hp&gt;='2022'!Maxi_hp</f>
        <v>0</v>
      </c>
      <c r="I126" s="379">
        <f>IF(H126,Wh_hp,'2022'!Maxi_hp)</f>
        <v>56.763007267600109</v>
      </c>
      <c r="J126" s="85">
        <f>IF(H126,An,'2022'!An_max)</f>
        <v>2021</v>
      </c>
      <c r="K126" s="197">
        <f t="shared" si="27"/>
        <v>45038</v>
      </c>
      <c r="L126" s="147">
        <f>IF(t&lt;Tvie,1-EXP((T0-t)*PertePVj)+'2022'!Pspv,1-EXP((T0-t)*PertePVj)+Pspv)</f>
        <v>2.951062603264365E-2</v>
      </c>
      <c r="M126" s="832"/>
      <c r="N126" s="832"/>
      <c r="O126" s="48">
        <f>IF(t&lt;Tnet,'2022'!Resal+('2022'!Salim-'2022'!Resal)*(1-EXP(('2022'!Tnet-t)/('2022'!Tau_j))),Resal+(Salim-Resal)*(1-EXP((Tnet-t)/(Tau_j))))*Salcycl</f>
        <v>2.4625539034917595E-2</v>
      </c>
      <c r="P126" s="338">
        <f>(INDEX(Models!$BJ126:$BT126,,T126)*(1-R126)+INDEX(Models!$BJ126:$BT126,,T126+1)*R126-ERP_i)*Q126*Ramure*Pc/MaxiM</f>
        <v>2.1846471205931579E-3</v>
      </c>
      <c r="Q126" s="304">
        <f t="shared" si="28"/>
        <v>0.7</v>
      </c>
      <c r="R126" s="177">
        <f t="shared" si="29"/>
        <v>0.38123780820793274</v>
      </c>
      <c r="S126" s="799">
        <f t="shared" si="30"/>
        <v>0</v>
      </c>
      <c r="T126" s="176">
        <f t="shared" si="31"/>
        <v>6</v>
      </c>
      <c r="U126" s="250">
        <f t="shared" si="32"/>
        <v>0.38123780820793274</v>
      </c>
      <c r="V126" s="382">
        <f t="shared" si="33"/>
        <v>56.409610464931504</v>
      </c>
      <c r="W126" s="400">
        <f t="shared" si="34"/>
        <v>28.24118936135622</v>
      </c>
      <c r="X126" s="157">
        <f t="shared" si="35"/>
        <v>45038</v>
      </c>
      <c r="Y126" s="383">
        <f t="shared" si="36"/>
        <v>26.60513691735073</v>
      </c>
      <c r="Z126" s="383">
        <f t="shared" si="37"/>
        <v>27.41414551360727</v>
      </c>
      <c r="AA126" s="384">
        <f t="shared" si="38"/>
        <v>29.833545022404053</v>
      </c>
      <c r="AB126" s="197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8.1096614799880229E-2</v>
      </c>
      <c r="AD126" s="230">
        <f>(INDEX(Models!$BJ126:$BT126,,AH126)*(1-AF126)+INDEX(Models!$BJ126:$BT126,,AH126+1)*AF126-ERP_i)*AE126*Ramure*Pc/MaxiM</f>
        <v>2.3127420903244099E-3</v>
      </c>
      <c r="AE126" s="304">
        <f t="shared" si="40"/>
        <v>0.7</v>
      </c>
      <c r="AF126" s="177">
        <f t="shared" si="41"/>
        <v>0.44557003046776489</v>
      </c>
      <c r="AG126" s="799">
        <f t="shared" si="49"/>
        <v>0</v>
      </c>
      <c r="AH126" s="176">
        <f t="shared" si="42"/>
        <v>6</v>
      </c>
      <c r="AI126" s="224">
        <f t="shared" si="43"/>
        <v>0.44557003046776489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45039</v>
      </c>
      <c r="B127" s="409">
        <f>'2022'!Wh/'2022'!Env_an*'2023'!Env_an</f>
        <v>9.6649769631987876</v>
      </c>
      <c r="C127" s="829"/>
      <c r="D127" s="391">
        <f t="shared" si="25"/>
        <v>9.9590602979155918</v>
      </c>
      <c r="E127" s="383">
        <f t="shared" si="47"/>
        <v>10.211042284786716</v>
      </c>
      <c r="F127" s="383">
        <f t="shared" si="26"/>
        <v>10.211042284786716</v>
      </c>
      <c r="G127" s="110">
        <f t="shared" si="48"/>
        <v>0.17060707253267607</v>
      </c>
      <c r="H127" s="412" t="b">
        <f>Wh_hp&gt;='2022'!Maxi_hp</f>
        <v>0</v>
      </c>
      <c r="I127" s="379">
        <f>IF(H127,Wh_hp,'2022'!Maxi_hp)</f>
        <v>60.533577473745396</v>
      </c>
      <c r="J127" s="85">
        <f>IF(H127,An,'2022'!An_max)</f>
        <v>2021</v>
      </c>
      <c r="K127" s="197">
        <f t="shared" si="27"/>
        <v>45039</v>
      </c>
      <c r="L127" s="147">
        <f>IF(t&lt;Tvie,1-EXP((T0-t)*PertePVj)+'2022'!Pspv,1-EXP((T0-t)*PertePVj)+Pspv)</f>
        <v>2.9529225240091606E-2</v>
      </c>
      <c r="M127" s="832"/>
      <c r="N127" s="832"/>
      <c r="O127" s="48">
        <f>IF(t&lt;Tnet,'2022'!Resal+('2022'!Salim-'2022'!Resal)*(1-EXP(('2022'!Tnet-t)/('2022'!Tau_j))),Resal+(Salim-Resal)*(1-EXP((Tnet-t)/(Tau_j))))*Salcycl</f>
        <v>2.467740117446671E-2</v>
      </c>
      <c r="P127" s="338">
        <f>(INDEX(Models!$BJ127:$BT127,,T127)*(1-R127)+INDEX(Models!$BJ127:$BT127,,T127+1)*R127-ERP_i)*Q127*Ramure*Pc/MaxiM</f>
        <v>2.1632108161085705E-3</v>
      </c>
      <c r="Q127" s="304">
        <f t="shared" si="28"/>
        <v>0.7</v>
      </c>
      <c r="R127" s="177">
        <f t="shared" si="29"/>
        <v>0.38297578341115945</v>
      </c>
      <c r="S127" s="799">
        <f t="shared" si="30"/>
        <v>0</v>
      </c>
      <c r="T127" s="176">
        <f t="shared" si="31"/>
        <v>6</v>
      </c>
      <c r="U127" s="250">
        <f t="shared" si="32"/>
        <v>0.38297578341115945</v>
      </c>
      <c r="V127" s="382">
        <f t="shared" si="33"/>
        <v>56.527958878418978</v>
      </c>
      <c r="W127" s="400">
        <f t="shared" si="34"/>
        <v>9.6649769631987876</v>
      </c>
      <c r="X127" s="157">
        <f t="shared" si="35"/>
        <v>45039</v>
      </c>
      <c r="Y127" s="383">
        <f t="shared" si="36"/>
        <v>9.10566066918655</v>
      </c>
      <c r="Z127" s="383">
        <f t="shared" si="37"/>
        <v>9.3827252772648038</v>
      </c>
      <c r="AA127" s="384">
        <f t="shared" si="38"/>
        <v>10.211042284786716</v>
      </c>
      <c r="AB127" s="197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8.1119731406460754E-2</v>
      </c>
      <c r="AD127" s="230">
        <f>(INDEX(Models!$BJ127:$BT127,,AH127)*(1-AF127)+INDEX(Models!$BJ127:$BT127,,AH127+1)*AF127-ERP_i)*AE127*Ramure*Pc/MaxiM</f>
        <v>2.2884177012041369E-3</v>
      </c>
      <c r="AE127" s="304">
        <f t="shared" si="40"/>
        <v>0.7</v>
      </c>
      <c r="AF127" s="177">
        <f t="shared" si="41"/>
        <v>0.4473080056709916</v>
      </c>
      <c r="AG127" s="799">
        <f t="shared" si="49"/>
        <v>0</v>
      </c>
      <c r="AH127" s="176">
        <f t="shared" si="42"/>
        <v>6</v>
      </c>
      <c r="AI127" s="224">
        <f t="shared" si="43"/>
        <v>0.4473080056709916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45040</v>
      </c>
      <c r="B128" s="409">
        <f>'2022'!Wh/'2022'!Env_an*'2023'!Env_an</f>
        <v>27.419389133736473</v>
      </c>
      <c r="C128" s="829"/>
      <c r="D128" s="391">
        <f t="shared" si="25"/>
        <v>28.25424046069649</v>
      </c>
      <c r="E128" s="383">
        <f t="shared" si="47"/>
        <v>28.970673838216271</v>
      </c>
      <c r="F128" s="383">
        <f t="shared" si="26"/>
        <v>28.987024424472541</v>
      </c>
      <c r="G128" s="110">
        <f t="shared" si="48"/>
        <v>0.48331842353452387</v>
      </c>
      <c r="H128" s="412" t="b">
        <f>Wh_hp&gt;='2022'!Maxi_hp</f>
        <v>0</v>
      </c>
      <c r="I128" s="379">
        <f>IF(H128,Wh_hp,'2022'!Maxi_hp)</f>
        <v>61.221202275533329</v>
      </c>
      <c r="J128" s="85">
        <f>IF(H128,An,'2022'!An_max)</f>
        <v>2021</v>
      </c>
      <c r="K128" s="197">
        <f t="shared" si="27"/>
        <v>45040</v>
      </c>
      <c r="L128" s="147">
        <f>IF(t&lt;Tvie,1-EXP((T0-t)*PertePVj)+'2022'!Pspv,1-EXP((T0-t)*PertePVj)+Pspv)</f>
        <v>2.9547824091089914E-2</v>
      </c>
      <c r="M128" s="832"/>
      <c r="N128" s="832"/>
      <c r="O128" s="48">
        <f>IF(t&lt;Tnet,'2022'!Resal+('2022'!Salim-'2022'!Resal)*(1-EXP(('2022'!Tnet-t)/('2022'!Tau_j))),Resal+(Salim-Resal)*(1-EXP((Tnet-t)/(Tau_j))))*Salcycl</f>
        <v>2.4729606964637E-2</v>
      </c>
      <c r="P128" s="338">
        <f>(INDEX(Models!$BJ128:$BT128,,T128)*(1-R128)+INDEX(Models!$BJ128:$BT128,,T128+1)*R128-ERP_i)*Q128*Ramure*Pc/MaxiM</f>
        <v>2.1449214911665416E-3</v>
      </c>
      <c r="Q128" s="304">
        <f t="shared" si="28"/>
        <v>0.7</v>
      </c>
      <c r="R128" s="177">
        <f t="shared" si="29"/>
        <v>0.38476858292042471</v>
      </c>
      <c r="S128" s="799">
        <f t="shared" si="30"/>
        <v>0</v>
      </c>
      <c r="T128" s="176">
        <f t="shared" si="31"/>
        <v>6</v>
      </c>
      <c r="U128" s="250">
        <f t="shared" si="32"/>
        <v>0.38476858292042471</v>
      </c>
      <c r="V128" s="382">
        <f t="shared" si="33"/>
        <v>56.641785698166501</v>
      </c>
      <c r="W128" s="400">
        <f t="shared" si="34"/>
        <v>27.419389133736473</v>
      </c>
      <c r="X128" s="157">
        <f t="shared" si="35"/>
        <v>45040</v>
      </c>
      <c r="Y128" s="383">
        <f t="shared" si="36"/>
        <v>25.832484301070224</v>
      </c>
      <c r="Z128" s="383">
        <f t="shared" si="37"/>
        <v>26.619018373446306</v>
      </c>
      <c r="AA128" s="384">
        <f t="shared" si="38"/>
        <v>28.969738583154619</v>
      </c>
      <c r="AB128" s="197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8.1143991098187415E-2</v>
      </c>
      <c r="AD128" s="230">
        <f>(INDEX(Models!$BJ128:$BT128,,AH128)*(1-AF128)+INDEX(Models!$BJ128:$BT128,,AH128+1)*AF128-ERP_i)*AE128*Ramure*Pc/MaxiM</f>
        <v>2.2676112008816829E-3</v>
      </c>
      <c r="AE128" s="304">
        <f t="shared" si="40"/>
        <v>0.7</v>
      </c>
      <c r="AF128" s="177">
        <f t="shared" si="41"/>
        <v>0.44910080518025686</v>
      </c>
      <c r="AG128" s="799">
        <f t="shared" si="49"/>
        <v>0</v>
      </c>
      <c r="AH128" s="176">
        <f t="shared" si="42"/>
        <v>6</v>
      </c>
      <c r="AI128" s="224">
        <f t="shared" si="43"/>
        <v>0.44910080518025686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45041</v>
      </c>
      <c r="B129" s="409">
        <f>'2022'!Wh/'2022'!Env_an*'2023'!Env_an</f>
        <v>43.255608825106023</v>
      </c>
      <c r="C129" s="829"/>
      <c r="D129" s="391">
        <f t="shared" si="25"/>
        <v>44.573487389376261</v>
      </c>
      <c r="E129" s="383">
        <f t="shared" si="47"/>
        <v>45.706185306767956</v>
      </c>
      <c r="F129" s="383">
        <f t="shared" si="26"/>
        <v>45.77044852780945</v>
      </c>
      <c r="G129" s="110">
        <f t="shared" si="48"/>
        <v>0.76164203215444526</v>
      </c>
      <c r="H129" s="412" t="b">
        <f>Wh_hp&gt;='2022'!Maxi_hp</f>
        <v>0</v>
      </c>
      <c r="I129" s="379">
        <f>IF(H129,Wh_hp,'2022'!Maxi_hp)</f>
        <v>49.231227193041249</v>
      </c>
      <c r="J129" s="85">
        <f>IF(H129,An,'2022'!An_max)</f>
        <v>2020</v>
      </c>
      <c r="K129" s="197">
        <f t="shared" si="27"/>
        <v>45041</v>
      </c>
      <c r="L129" s="147">
        <f>IF(t&lt;Tvie,1-EXP((T0-t)*PertePVj)+'2022'!Pspv,1-EXP((T0-t)*PertePVj)+Pspv)</f>
        <v>2.9566422585645458E-2</v>
      </c>
      <c r="M129" s="832"/>
      <c r="N129" s="832"/>
      <c r="O129" s="48">
        <f>IF(t&lt;Tnet,'2022'!Resal+('2022'!Salim-'2022'!Resal)*(1-EXP(('2022'!Tnet-t)/('2022'!Tau_j))),Resal+(Salim-Resal)*(1-EXP((Tnet-t)/(Tau_j))))*Salcycl</f>
        <v>2.4782158252528042E-2</v>
      </c>
      <c r="P129" s="338">
        <f>(INDEX(Models!$BJ129:$BT129,,T129)*(1-R129)+INDEX(Models!$BJ129:$BT129,,T129+1)*R129-ERP_i)*Q129*Ramure*Pc/MaxiM</f>
        <v>2.1264325339847095E-3</v>
      </c>
      <c r="Q129" s="304">
        <f t="shared" si="28"/>
        <v>0.7</v>
      </c>
      <c r="R129" s="177">
        <f t="shared" si="29"/>
        <v>0.38661725612439735</v>
      </c>
      <c r="S129" s="799">
        <f t="shared" si="30"/>
        <v>0</v>
      </c>
      <c r="T129" s="176">
        <f t="shared" si="31"/>
        <v>6</v>
      </c>
      <c r="U129" s="250">
        <f t="shared" si="32"/>
        <v>0.38661725612439735</v>
      </c>
      <c r="V129" s="382">
        <f t="shared" si="33"/>
        <v>56.751485914378549</v>
      </c>
      <c r="W129" s="400">
        <f t="shared" si="34"/>
        <v>43.255608825106023</v>
      </c>
      <c r="X129" s="157">
        <f t="shared" si="35"/>
        <v>45041</v>
      </c>
      <c r="Y129" s="383">
        <f t="shared" si="36"/>
        <v>40.751313205577368</v>
      </c>
      <c r="Z129" s="383">
        <f t="shared" si="37"/>
        <v>41.992892820295957</v>
      </c>
      <c r="AA129" s="384">
        <f t="shared" si="38"/>
        <v>45.702540311090253</v>
      </c>
      <c r="AB129" s="197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8.1169393769871229E-2</v>
      </c>
      <c r="AD129" s="230">
        <f>(INDEX(Models!$BJ129:$BT129,,AH129)*(1-AF129)+INDEX(Models!$BJ129:$BT129,,AH129+1)*AF129-ERP_i)*AE129*Ramure*Pc/MaxiM</f>
        <v>2.2470433167884867E-3</v>
      </c>
      <c r="AE129" s="304">
        <f t="shared" si="40"/>
        <v>0.7</v>
      </c>
      <c r="AF129" s="177">
        <f t="shared" si="41"/>
        <v>0.4509494783842295</v>
      </c>
      <c r="AG129" s="799">
        <f t="shared" si="49"/>
        <v>0</v>
      </c>
      <c r="AH129" s="176">
        <f t="shared" si="42"/>
        <v>6</v>
      </c>
      <c r="AI129" s="224">
        <f t="shared" si="43"/>
        <v>0.4509494783842295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45042</v>
      </c>
      <c r="B130" s="409">
        <f>'2022'!Wh/'2022'!Env_an*'2023'!Env_an</f>
        <v>55.528175569174159</v>
      </c>
      <c r="C130" s="829"/>
      <c r="D130" s="391">
        <f t="shared" si="25"/>
        <v>57.221061870447187</v>
      </c>
      <c r="E130" s="383">
        <f t="shared" si="47"/>
        <v>58.678341791440594</v>
      </c>
      <c r="F130" s="383">
        <f t="shared" si="26"/>
        <v>58.798135496197702</v>
      </c>
      <c r="G130" s="110">
        <f t="shared" si="48"/>
        <v>0.97655523328842342</v>
      </c>
      <c r="H130" s="412" t="b">
        <f>Wh_hp&gt;='2022'!Maxi_hp</f>
        <v>0</v>
      </c>
      <c r="I130" s="379">
        <f>IF(H130,Wh_hp,'2022'!Maxi_hp)</f>
        <v>58.799579012279175</v>
      </c>
      <c r="J130" s="85">
        <f>IF(H130,An,'2022'!An_max)</f>
        <v>2022</v>
      </c>
      <c r="K130" s="197">
        <f t="shared" si="27"/>
        <v>45042</v>
      </c>
      <c r="L130" s="147">
        <f>IF(t&lt;Tvie,1-EXP((T0-t)*PertePVj)+'2022'!Pspv,1-EXP((T0-t)*PertePVj)+Pspv)</f>
        <v>2.9585020723765121E-2</v>
      </c>
      <c r="M130" s="832"/>
      <c r="N130" s="832"/>
      <c r="O130" s="48">
        <f>IF(t&lt;Tnet,'2022'!Resal+('2022'!Salim-'2022'!Resal)*(1-EXP(('2022'!Tnet-t)/('2022'!Tau_j))),Resal+(Salim-Resal)*(1-EXP((Tnet-t)/(Tau_j))))*Salcycl</f>
        <v>2.4835056283168185E-2</v>
      </c>
      <c r="P130" s="338">
        <f>(INDEX(Models!$BJ130:$BT130,,T130)*(1-R130)+INDEX(Models!$BJ130:$BT130,,T130+1)*R130-ERP_i)*Q130*Ramure*Pc/MaxiM</f>
        <v>2.1077592766835605E-3</v>
      </c>
      <c r="Q130" s="304">
        <f t="shared" si="28"/>
        <v>0.7</v>
      </c>
      <c r="R130" s="177">
        <f t="shared" si="29"/>
        <v>0.38852282154668449</v>
      </c>
      <c r="S130" s="799">
        <f t="shared" si="30"/>
        <v>0</v>
      </c>
      <c r="T130" s="176">
        <f t="shared" si="31"/>
        <v>6</v>
      </c>
      <c r="U130" s="250">
        <f t="shared" si="32"/>
        <v>0.38852282154668449</v>
      </c>
      <c r="V130" s="382">
        <f t="shared" si="33"/>
        <v>56.85726444177471</v>
      </c>
      <c r="W130" s="400">
        <f t="shared" si="34"/>
        <v>55.528175569174159</v>
      </c>
      <c r="X130" s="157">
        <f t="shared" si="35"/>
        <v>45042</v>
      </c>
      <c r="Y130" s="383">
        <f t="shared" si="36"/>
        <v>52.312826287152895</v>
      </c>
      <c r="Z130" s="383">
        <f t="shared" si="37"/>
        <v>53.907686303615591</v>
      </c>
      <c r="AA130" s="384">
        <f t="shared" si="38"/>
        <v>58.671580258955032</v>
      </c>
      <c r="AB130" s="197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8.1195937356951131E-2</v>
      </c>
      <c r="AD130" s="230">
        <f>(INDEX(Models!$BJ130:$BT130,,AH130)*(1-AF130)+INDEX(Models!$BJ130:$BT130,,AH130+1)*AF130-ERP_i)*AE130*Ramure*Pc/MaxiM</f>
        <v>2.2267278222340742E-3</v>
      </c>
      <c r="AE130" s="304">
        <f t="shared" si="40"/>
        <v>0.7</v>
      </c>
      <c r="AF130" s="177">
        <f t="shared" si="41"/>
        <v>0.45285504380651664</v>
      </c>
      <c r="AG130" s="799">
        <f t="shared" si="49"/>
        <v>0</v>
      </c>
      <c r="AH130" s="176">
        <f t="shared" si="42"/>
        <v>6</v>
      </c>
      <c r="AI130" s="224">
        <f t="shared" si="43"/>
        <v>0.45285504380651664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45043</v>
      </c>
      <c r="B131" s="409">
        <f>'2022'!Wh/'2022'!Env_an*'2023'!Env_an</f>
        <v>42.669525845648948</v>
      </c>
      <c r="C131" s="829"/>
      <c r="D131" s="391">
        <f t="shared" si="25"/>
        <v>43.971233466402659</v>
      </c>
      <c r="E131" s="383">
        <f t="shared" si="47"/>
        <v>45.093534968149669</v>
      </c>
      <c r="F131" s="383">
        <f t="shared" si="26"/>
        <v>45.154053075667292</v>
      </c>
      <c r="G131" s="110">
        <f t="shared" si="48"/>
        <v>0.74856113874354935</v>
      </c>
      <c r="H131" s="412" t="b">
        <f>Wh_hp&gt;='2022'!Maxi_hp</f>
        <v>0</v>
      </c>
      <c r="I131" s="379">
        <f>IF(H131,Wh_hp,'2022'!Maxi_hp)</f>
        <v>45.165843898017897</v>
      </c>
      <c r="J131" s="85">
        <f>IF(H131,An,'2022'!An_max)</f>
        <v>2022</v>
      </c>
      <c r="K131" s="197">
        <f t="shared" si="27"/>
        <v>45043</v>
      </c>
      <c r="L131" s="147">
        <f>IF(t&lt;Tvie,1-EXP((T0-t)*PertePVj)+'2022'!Pspv,1-EXP((T0-t)*PertePVj)+Pspv)</f>
        <v>2.9603618505455676E-2</v>
      </c>
      <c r="M131" s="832"/>
      <c r="N131" s="832"/>
      <c r="O131" s="48">
        <f>IF(t&lt;Tnet,'2022'!Resal+('2022'!Salim-'2022'!Resal)*(1-EXP(('2022'!Tnet-t)/('2022'!Tau_j))),Resal+(Salim-Resal)*(1-EXP((Tnet-t)/(Tau_j))))*Salcycl</f>
        <v>2.4888301672062536E-2</v>
      </c>
      <c r="P131" s="338">
        <f>(INDEX(Models!$BJ131:$BT131,,T131)*(1-R131)+INDEX(Models!$BJ131:$BT131,,T131+1)*R131-ERP_i)*Q131*Ramure*Pc/MaxiM</f>
        <v>2.0889190204643146E-3</v>
      </c>
      <c r="Q131" s="304">
        <f t="shared" si="28"/>
        <v>0.7</v>
      </c>
      <c r="R131" s="177">
        <f t="shared" si="29"/>
        <v>0.3904862623363925</v>
      </c>
      <c r="S131" s="799">
        <f t="shared" si="30"/>
        <v>0</v>
      </c>
      <c r="T131" s="176">
        <f t="shared" si="31"/>
        <v>6</v>
      </c>
      <c r="U131" s="250">
        <f t="shared" si="32"/>
        <v>0.3904862623363925</v>
      </c>
      <c r="V131" s="382">
        <f t="shared" si="33"/>
        <v>56.959326074068493</v>
      </c>
      <c r="W131" s="400">
        <f t="shared" si="34"/>
        <v>42.669525845648948</v>
      </c>
      <c r="X131" s="157">
        <f t="shared" si="35"/>
        <v>45043</v>
      </c>
      <c r="Y131" s="383">
        <f t="shared" si="36"/>
        <v>40.201329329246207</v>
      </c>
      <c r="Z131" s="383">
        <f t="shared" si="37"/>
        <v>41.427740350114057</v>
      </c>
      <c r="AA131" s="384">
        <f t="shared" si="38"/>
        <v>45.090123289054347</v>
      </c>
      <c r="AB131" s="197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8.1223617763523298E-2</v>
      </c>
      <c r="AD131" s="230">
        <f>(INDEX(Models!$BJ131:$BT131,,AH131)*(1-AF131)+INDEX(Models!$BJ131:$BT131,,AH131+1)*AF131-ERP_i)*AE131*Ramure*Pc/MaxiM</f>
        <v>2.2066808217872436E-3</v>
      </c>
      <c r="AE131" s="304">
        <f t="shared" si="40"/>
        <v>0.7</v>
      </c>
      <c r="AF131" s="177">
        <f t="shared" si="41"/>
        <v>0.45481848459622465</v>
      </c>
      <c r="AG131" s="799">
        <f t="shared" si="49"/>
        <v>0</v>
      </c>
      <c r="AH131" s="176">
        <f t="shared" si="42"/>
        <v>6</v>
      </c>
      <c r="AI131" s="224">
        <f t="shared" si="43"/>
        <v>0.45481848459622465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45044</v>
      </c>
      <c r="B132" s="409">
        <f>'2022'!Wh/'2022'!Env_an*'2023'!Env_an</f>
        <v>23.939362472765559</v>
      </c>
      <c r="C132" s="829"/>
      <c r="D132" s="391">
        <f t="shared" si="25"/>
        <v>24.670146891013854</v>
      </c>
      <c r="E132" s="383">
        <f t="shared" si="47"/>
        <v>25.301206921678862</v>
      </c>
      <c r="F132" s="383">
        <f t="shared" si="26"/>
        <v>25.310155391490213</v>
      </c>
      <c r="G132" s="110">
        <f t="shared" si="48"/>
        <v>0.41884242504236857</v>
      </c>
      <c r="H132" s="412" t="b">
        <f>Wh_hp&gt;='2022'!Maxi_hp</f>
        <v>0</v>
      </c>
      <c r="I132" s="379">
        <f>IF(H132,Wh_hp,'2022'!Maxi_hp)</f>
        <v>40.022734639116834</v>
      </c>
      <c r="J132" s="85">
        <f>IF(H132,An,'2022'!An_max)</f>
        <v>2018</v>
      </c>
      <c r="K132" s="197">
        <f t="shared" si="27"/>
        <v>45044</v>
      </c>
      <c r="L132" s="147">
        <f>IF(t&lt;Tvie,1-EXP((T0-t)*PertePVj)+'2022'!Pspv,1-EXP((T0-t)*PertePVj)+Pspv)</f>
        <v>2.9622215930724116E-2</v>
      </c>
      <c r="M132" s="832"/>
      <c r="N132" s="832"/>
      <c r="O132" s="48">
        <f>IF(t&lt;Tnet,'2022'!Resal+('2022'!Salim-'2022'!Resal)*(1-EXP(('2022'!Tnet-t)/('2022'!Tau_j))),Resal+(Salim-Resal)*(1-EXP((Tnet-t)/(Tau_j))))*Salcycl</f>
        <v>2.4941894377548377E-2</v>
      </c>
      <c r="P132" s="338">
        <f>(INDEX(Models!$BJ132:$BT132,,T132)*(1-R132)+INDEX(Models!$BJ132:$BT132,,T132+1)*R132-ERP_i)*Q132*Ramure*Pc/MaxiM</f>
        <v>2.0699311411448477E-3</v>
      </c>
      <c r="Q132" s="304">
        <f t="shared" si="28"/>
        <v>0.7</v>
      </c>
      <c r="R132" s="177">
        <f t="shared" si="29"/>
        <v>0.39250852157069432</v>
      </c>
      <c r="S132" s="799">
        <f t="shared" si="30"/>
        <v>0</v>
      </c>
      <c r="T132" s="176">
        <f t="shared" si="31"/>
        <v>6</v>
      </c>
      <c r="U132" s="250">
        <f t="shared" si="32"/>
        <v>0.39250852157069432</v>
      </c>
      <c r="V132" s="382">
        <f t="shared" si="33"/>
        <v>57.057875473558809</v>
      </c>
      <c r="W132" s="400">
        <f t="shared" si="34"/>
        <v>23.939362472765559</v>
      </c>
      <c r="X132" s="157">
        <f t="shared" si="35"/>
        <v>45044</v>
      </c>
      <c r="Y132" s="383">
        <f t="shared" si="36"/>
        <v>22.556390588797463</v>
      </c>
      <c r="Z132" s="383">
        <f t="shared" si="37"/>
        <v>23.244957746463772</v>
      </c>
      <c r="AA132" s="384">
        <f t="shared" si="38"/>
        <v>25.300701166330303</v>
      </c>
      <c r="AB132" s="197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8.1252428790482556E-2</v>
      </c>
      <c r="AD132" s="230">
        <f>(INDEX(Models!$BJ132:$BT132,,AH132)*(1-AF132)+INDEX(Models!$BJ132:$BT132,,AH132+1)*AF132-ERP_i)*AE132*Ramure*Pc/MaxiM</f>
        <v>2.1869208352319966E-3</v>
      </c>
      <c r="AE132" s="304">
        <f t="shared" si="40"/>
        <v>0.7</v>
      </c>
      <c r="AF132" s="177">
        <f t="shared" si="41"/>
        <v>0.45684074383052647</v>
      </c>
      <c r="AG132" s="799">
        <f t="shared" si="49"/>
        <v>0</v>
      </c>
      <c r="AH132" s="176">
        <f t="shared" si="42"/>
        <v>6</v>
      </c>
      <c r="AI132" s="224">
        <f t="shared" si="43"/>
        <v>0.45684074383052647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45045</v>
      </c>
      <c r="B133" s="409">
        <f>'2022'!Wh/'2022'!Env_an*'2023'!Env_an</f>
        <v>42.90637738565642</v>
      </c>
      <c r="C133" s="829"/>
      <c r="D133" s="391">
        <f t="shared" si="25"/>
        <v>44.21700537332854</v>
      </c>
      <c r="E133" s="383">
        <f t="shared" si="47"/>
        <v>45.350580951780231</v>
      </c>
      <c r="F133" s="383">
        <f t="shared" si="26"/>
        <v>45.410546115936235</v>
      </c>
      <c r="G133" s="110">
        <f t="shared" si="48"/>
        <v>0.75017782610860795</v>
      </c>
      <c r="H133" s="412" t="b">
        <f>Wh_hp&gt;='2022'!Maxi_hp</f>
        <v>0</v>
      </c>
      <c r="I133" s="379">
        <f>IF(H133,Wh_hp,'2022'!Maxi_hp)</f>
        <v>47.336974093030854</v>
      </c>
      <c r="J133" s="85">
        <f>IF(H133,An,'2022'!An_max)</f>
        <v>2018</v>
      </c>
      <c r="K133" s="197">
        <f t="shared" si="27"/>
        <v>45045</v>
      </c>
      <c r="L133" s="147">
        <f>IF(t&lt;Tvie,1-EXP((T0-t)*PertePVj)+'2022'!Pspv,1-EXP((T0-t)*PertePVj)+Pspv)</f>
        <v>2.9640812999576993E-2</v>
      </c>
      <c r="M133" s="832"/>
      <c r="N133" s="832"/>
      <c r="O133" s="48">
        <f>IF(t&lt;Tnet,'2022'!Resal+('2022'!Salim-'2022'!Resal)*(1-EXP(('2022'!Tnet-t)/('2022'!Tau_j))),Resal+(Salim-Resal)*(1-EXP((Tnet-t)/(Tau_j))))*Salcycl</f>
        <v>2.4995833673155981E-2</v>
      </c>
      <c r="P133" s="338">
        <f>(INDEX(Models!$BJ133:$BT133,,T133)*(1-R133)+INDEX(Models!$BJ133:$BT133,,T133+1)*R133-ERP_i)*Q133*Ramure*Pc/MaxiM</f>
        <v>2.0508171937486186E-3</v>
      </c>
      <c r="Q133" s="304">
        <f t="shared" si="28"/>
        <v>0.7</v>
      </c>
      <c r="R133" s="177">
        <f t="shared" si="29"/>
        <v>0.3945904973796</v>
      </c>
      <c r="S133" s="799">
        <f t="shared" si="30"/>
        <v>0</v>
      </c>
      <c r="T133" s="176">
        <f t="shared" si="31"/>
        <v>6</v>
      </c>
      <c r="U133" s="250">
        <f t="shared" si="32"/>
        <v>0.3945904973796</v>
      </c>
      <c r="V133" s="382">
        <f t="shared" si="33"/>
        <v>57.153117173093257</v>
      </c>
      <c r="W133" s="400">
        <f t="shared" si="34"/>
        <v>42.90637738565642</v>
      </c>
      <c r="X133" s="157">
        <f t="shared" si="35"/>
        <v>45045</v>
      </c>
      <c r="Y133" s="383">
        <f t="shared" si="36"/>
        <v>40.42637182715405</v>
      </c>
      <c r="Z133" s="383">
        <f t="shared" si="37"/>
        <v>41.66124499951421</v>
      </c>
      <c r="AA133" s="384">
        <f t="shared" si="38"/>
        <v>45.347170098017983</v>
      </c>
      <c r="AB133" s="197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8.1282362064416414E-2</v>
      </c>
      <c r="AD133" s="230">
        <f>(INDEX(Models!$BJ133:$BT133,,AH133)*(1-AF133)+INDEX(Models!$BJ133:$BT133,,AH133+1)*AF133-ERP_i)*AE133*Ramure*Pc/MaxiM</f>
        <v>2.1674688804307883E-3</v>
      </c>
      <c r="AE133" s="304">
        <f t="shared" si="40"/>
        <v>0.7</v>
      </c>
      <c r="AF133" s="177">
        <f t="shared" si="41"/>
        <v>0.45892271963943215</v>
      </c>
      <c r="AG133" s="799">
        <f t="shared" si="49"/>
        <v>0</v>
      </c>
      <c r="AH133" s="176">
        <f t="shared" si="42"/>
        <v>6</v>
      </c>
      <c r="AI133" s="224">
        <f t="shared" si="43"/>
        <v>0.45892271963943215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45046</v>
      </c>
      <c r="B134" s="409">
        <f>'2022'!Wh/'2022'!Env_an*'2023'!Env_an</f>
        <v>41.553492039018735</v>
      </c>
      <c r="C134" s="829"/>
      <c r="D134" s="391">
        <f t="shared" si="25"/>
        <v>42.823615187206023</v>
      </c>
      <c r="E134" s="383">
        <f t="shared" si="47"/>
        <v>43.128857365763395</v>
      </c>
      <c r="F134" s="383">
        <f t="shared" si="26"/>
        <v>43.180583739210299</v>
      </c>
      <c r="G134" s="110">
        <f t="shared" si="48"/>
        <v>0.71215132993842079</v>
      </c>
      <c r="H134" s="412" t="b">
        <f>Wh_hp&gt;='2022'!Maxi_hp</f>
        <v>0</v>
      </c>
      <c r="I134" s="379">
        <f>IF(H134,Wh_hp,'2022'!Maxi_hp)</f>
        <v>57.134227383129591</v>
      </c>
      <c r="J134" s="85">
        <f>IF(H134,An,'2022'!An_max)</f>
        <v>2018</v>
      </c>
      <c r="K134" s="197">
        <f t="shared" si="27"/>
        <v>45046</v>
      </c>
      <c r="L134" s="147">
        <f>IF(t&lt;Tvie,1-EXP((T0-t)*PertePVj)+'2022'!Pspv,1-EXP((T0-t)*PertePVj)+Pspv)</f>
        <v>2.9659409712021412E-2</v>
      </c>
      <c r="M134" s="832"/>
      <c r="N134" s="832"/>
      <c r="O134" s="48">
        <f>IF(t&lt;Tnet,'2022'!Resal+('2022'!Salim-'2022'!Resal)*(1-EXP(('2022'!Tnet-t)/('2022'!Tau_j))),Resal+(Salim-Resal)*(1-EXP((Tnet-t)/(Tau_j))))*Salcycl</f>
        <v>7.0774464523533078E-3</v>
      </c>
      <c r="P134" s="338">
        <f>(INDEX(Models!$BJ134:$BT134,,T134)*(1-R134)+INDEX(Models!$BJ134:$BT134,,T134+1)*R134-ERP_i)*Q134*Ramure*Pc/MaxiM</f>
        <v>2.03160101640698E-3</v>
      </c>
      <c r="Q134" s="304">
        <f t="shared" si="28"/>
        <v>0.7</v>
      </c>
      <c r="R134" s="177">
        <f t="shared" si="29"/>
        <v>0.3967330379054233</v>
      </c>
      <c r="S134" s="799">
        <f t="shared" si="30"/>
        <v>0</v>
      </c>
      <c r="T134" s="176">
        <f t="shared" si="31"/>
        <v>6</v>
      </c>
      <c r="U134" s="250">
        <f t="shared" si="32"/>
        <v>0.3967330379054233</v>
      </c>
      <c r="V134" s="382">
        <f t="shared" si="33"/>
        <v>58.300540763227836</v>
      </c>
      <c r="W134" s="400">
        <f t="shared" si="34"/>
        <v>41.553492039018735</v>
      </c>
      <c r="X134" s="157">
        <f t="shared" si="35"/>
        <v>45046</v>
      </c>
      <c r="Y134" s="383">
        <f t="shared" si="36"/>
        <v>40.798529383486404</v>
      </c>
      <c r="Z134" s="383">
        <f t="shared" si="37"/>
        <v>42.045576359305116</v>
      </c>
      <c r="AA134" s="384">
        <f t="shared" si="38"/>
        <v>43.125884869319549</v>
      </c>
      <c r="AB134" s="197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2.5050118120196106E-2</v>
      </c>
      <c r="AD134" s="230">
        <f>(INDEX(Models!$BJ134:$BT134,,AH134)*(1-AF134)+INDEX(Models!$BJ134:$BT134,,AH134+1)*AF134-ERP_i)*AE134*Ramure*Pc/MaxiM</f>
        <v>2.1483485553153844E-3</v>
      </c>
      <c r="AE134" s="304">
        <f t="shared" si="40"/>
        <v>0.7</v>
      </c>
      <c r="AF134" s="177">
        <f t="shared" si="41"/>
        <v>0.46106526016525545</v>
      </c>
      <c r="AG134" s="799">
        <f t="shared" si="49"/>
        <v>0</v>
      </c>
      <c r="AH134" s="176">
        <f t="shared" si="42"/>
        <v>6</v>
      </c>
      <c r="AI134" s="224">
        <f t="shared" si="43"/>
        <v>0.46106526016525545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45047</v>
      </c>
      <c r="B135" s="409">
        <f>'2022'!Wh/'2022'!Env_an*'2023'!Env_an</f>
        <v>47.363252350836937</v>
      </c>
      <c r="C135" s="829"/>
      <c r="D135" s="391">
        <f t="shared" si="25"/>
        <v>48.811891977127814</v>
      </c>
      <c r="E135" s="383">
        <f t="shared" si="47"/>
        <v>49.165268462194184</v>
      </c>
      <c r="F135" s="383">
        <f t="shared" si="26"/>
        <v>49.237626167776156</v>
      </c>
      <c r="G135" s="110">
        <f t="shared" si="48"/>
        <v>0.81075079991488674</v>
      </c>
      <c r="H135" s="412" t="b">
        <f>Wh_hp&gt;='2022'!Maxi_hp</f>
        <v>0</v>
      </c>
      <c r="I135" s="379">
        <f>IF(H135,Wh_hp,'2022'!Maxi_hp)</f>
        <v>55.014185059625483</v>
      </c>
      <c r="J135" s="85">
        <f>IF(H135,An,'2022'!An_max)</f>
        <v>2018</v>
      </c>
      <c r="K135" s="197">
        <f t="shared" si="27"/>
        <v>45047</v>
      </c>
      <c r="L135" s="147">
        <f>IF(t&lt;Tvie,1-EXP((T0-t)*PertePVj)+'2022'!Pspv,1-EXP((T0-t)*PertePVj)+Pspv)</f>
        <v>2.9678006068063922E-2</v>
      </c>
      <c r="M135" s="832"/>
      <c r="N135" s="832"/>
      <c r="O135" s="48">
        <f>IF(t&lt;Tnet,'2022'!Resal+('2022'!Salim-'2022'!Resal)*(1-EXP(('2022'!Tnet-t)/('2022'!Tau_j))),Resal+(Salim-Resal)*(1-EXP((Tnet-t)/(Tau_j))))*Salcycl</f>
        <v>7.1875227395148556E-3</v>
      </c>
      <c r="P135" s="338">
        <f>(INDEX(Models!$BJ135:$BT135,,T135)*(1-R135)+INDEX(Models!$BJ135:$BT135,,T135+1)*R135-ERP_i)*Q135*Ramure*Pc/MaxiM</f>
        <v>2.0123424394522782E-3</v>
      </c>
      <c r="Q135" s="304">
        <f t="shared" si="28"/>
        <v>0.7</v>
      </c>
      <c r="R135" s="177">
        <f t="shared" si="29"/>
        <v>0.39893693611187131</v>
      </c>
      <c r="S135" s="799">
        <f t="shared" si="30"/>
        <v>0</v>
      </c>
      <c r="T135" s="176">
        <f t="shared" si="31"/>
        <v>6</v>
      </c>
      <c r="U135" s="250">
        <f t="shared" si="32"/>
        <v>0.39893693611187131</v>
      </c>
      <c r="V135" s="382">
        <f t="shared" si="33"/>
        <v>58.387246286582922</v>
      </c>
      <c r="W135" s="400">
        <f t="shared" si="34"/>
        <v>47.363252350836937</v>
      </c>
      <c r="X135" s="157">
        <f t="shared" si="35"/>
        <v>45047</v>
      </c>
      <c r="Y135" s="383">
        <f t="shared" si="36"/>
        <v>46.502422823803904</v>
      </c>
      <c r="Z135" s="383">
        <f t="shared" si="37"/>
        <v>47.924733351005386</v>
      </c>
      <c r="AA135" s="384">
        <f t="shared" si="38"/>
        <v>49.161051457753217</v>
      </c>
      <c r="AB135" s="197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2.5148325149437979E-2</v>
      </c>
      <c r="AD135" s="230">
        <f>(INDEX(Models!$BJ135:$BT135,,AH135)*(1-AF135)+INDEX(Models!$BJ135:$BT135,,AH135+1)*AF135-ERP_i)*AE135*Ramure*Pc/MaxiM</f>
        <v>2.1296216833927711E-3</v>
      </c>
      <c r="AE135" s="304">
        <f t="shared" si="40"/>
        <v>0.7</v>
      </c>
      <c r="AF135" s="177">
        <f t="shared" si="41"/>
        <v>0.46326915837170346</v>
      </c>
      <c r="AG135" s="799">
        <f t="shared" si="49"/>
        <v>0</v>
      </c>
      <c r="AH135" s="176">
        <f t="shared" si="42"/>
        <v>6</v>
      </c>
      <c r="AI135" s="224">
        <f t="shared" si="43"/>
        <v>0.46326915837170346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45048</v>
      </c>
      <c r="B136" s="409">
        <f>'2022'!Wh/'2022'!Env_an*'2023'!Env_an</f>
        <v>26.88259347832156</v>
      </c>
      <c r="C136" s="829"/>
      <c r="D136" s="391">
        <f t="shared" si="25"/>
        <v>27.705348178320545</v>
      </c>
      <c r="E136" s="383">
        <f t="shared" si="47"/>
        <v>27.909019287065728</v>
      </c>
      <c r="F136" s="383">
        <f t="shared" si="26"/>
        <v>27.921700768230934</v>
      </c>
      <c r="G136" s="110">
        <f t="shared" si="48"/>
        <v>0.45906524056800668</v>
      </c>
      <c r="H136" s="412" t="b">
        <f>Wh_hp&gt;='2022'!Maxi_hp</f>
        <v>0</v>
      </c>
      <c r="I136" s="379">
        <f>IF(H136,Wh_hp,'2022'!Maxi_hp)</f>
        <v>52.243655726180137</v>
      </c>
      <c r="J136" s="85">
        <f>IF(H136,An,'2022'!An_max)</f>
        <v>2021</v>
      </c>
      <c r="K136" s="197">
        <f t="shared" si="27"/>
        <v>45048</v>
      </c>
      <c r="L136" s="147">
        <f>IF(t&lt;Tvie,1-EXP((T0-t)*PertePVj)+'2022'!Pspv,1-EXP((T0-t)*PertePVj)+Pspv)</f>
        <v>2.969660206771163E-2</v>
      </c>
      <c r="M136" s="832"/>
      <c r="N136" s="832"/>
      <c r="O136" s="48">
        <f>IF(t&lt;Tnet,'2022'!Resal+('2022'!Salim-'2022'!Resal)*(1-EXP(('2022'!Tnet-t)/('2022'!Tau_j))),Resal+(Salim-Resal)*(1-EXP((Tnet-t)/(Tau_j))))*Salcycl</f>
        <v>7.297680604619888E-3</v>
      </c>
      <c r="P136" s="338">
        <f>(INDEX(Models!$BJ136:$BT136,,T136)*(1-R136)+INDEX(Models!$BJ136:$BT136,,T136+1)*R136-ERP_i)*Q136*Ramure*Pc/MaxiM</f>
        <v>1.9898781430707614E-3</v>
      </c>
      <c r="Q136" s="304">
        <f t="shared" si="28"/>
        <v>0.7</v>
      </c>
      <c r="R136" s="177">
        <f t="shared" si="29"/>
        <v>0.40120292446021938</v>
      </c>
      <c r="S136" s="799">
        <f t="shared" si="30"/>
        <v>0</v>
      </c>
      <c r="T136" s="176">
        <f t="shared" si="31"/>
        <v>6</v>
      </c>
      <c r="U136" s="250">
        <f t="shared" si="32"/>
        <v>0.40120292446021938</v>
      </c>
      <c r="V136" s="382">
        <f t="shared" si="33"/>
        <v>58.469447916671257</v>
      </c>
      <c r="W136" s="400">
        <f t="shared" si="34"/>
        <v>26.88259347832156</v>
      </c>
      <c r="X136" s="157">
        <f t="shared" si="35"/>
        <v>45048</v>
      </c>
      <c r="Y136" s="383">
        <f t="shared" si="36"/>
        <v>26.395815128757331</v>
      </c>
      <c r="Z136" s="383">
        <f t="shared" si="37"/>
        <v>27.203671743298724</v>
      </c>
      <c r="AA136" s="384">
        <f t="shared" si="38"/>
        <v>27.90826776245099</v>
      </c>
      <c r="AB136" s="197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2.5246856062498452E-2</v>
      </c>
      <c r="AD136" s="230">
        <f>(INDEX(Models!$BJ136:$BT136,,AH136)*(1-AF136)+INDEX(Models!$BJ136:$BT136,,AH136+1)*AF136-ERP_i)*AE136*Ramure*Pc/MaxiM</f>
        <v>2.1078014664874514E-3</v>
      </c>
      <c r="AE136" s="304">
        <f t="shared" si="40"/>
        <v>0.7</v>
      </c>
      <c r="AF136" s="177">
        <f t="shared" si="41"/>
        <v>0.46553514672005153</v>
      </c>
      <c r="AG136" s="799">
        <f t="shared" si="49"/>
        <v>0</v>
      </c>
      <c r="AH136" s="176">
        <f t="shared" si="42"/>
        <v>6</v>
      </c>
      <c r="AI136" s="224">
        <f t="shared" si="43"/>
        <v>0.46553514672005153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45049</v>
      </c>
      <c r="B137" s="409">
        <f>'2022'!Wh/'2022'!Env_an*'2023'!Env_an</f>
        <v>33.037807403011605</v>
      </c>
      <c r="C137" s="829"/>
      <c r="D137" s="391">
        <f t="shared" si="25"/>
        <v>34.049597937709727</v>
      </c>
      <c r="E137" s="383">
        <f t="shared" si="47"/>
        <v>34.303717222181767</v>
      </c>
      <c r="F137" s="383">
        <f t="shared" si="26"/>
        <v>34.329127643822218</v>
      </c>
      <c r="G137" s="110">
        <f t="shared" si="48"/>
        <v>0.56360083147522655</v>
      </c>
      <c r="H137" s="412" t="b">
        <f>Wh_hp&gt;='2022'!Maxi_hp</f>
        <v>0</v>
      </c>
      <c r="I137" s="379">
        <f>IF(H137,Wh_hp,'2022'!Maxi_hp)</f>
        <v>59.318580235290369</v>
      </c>
      <c r="J137" s="85">
        <f>IF(H137,An,'2022'!An_max)</f>
        <v>2021</v>
      </c>
      <c r="K137" s="197">
        <f t="shared" si="27"/>
        <v>45049</v>
      </c>
      <c r="L137" s="147">
        <f>IF(t&lt;Tvie,1-EXP((T0-t)*PertePVj)+'2022'!Pspv,1-EXP((T0-t)*PertePVj)+Pspv)</f>
        <v>2.9715197710971197E-2</v>
      </c>
      <c r="M137" s="832"/>
      <c r="N137" s="832"/>
      <c r="O137" s="48">
        <f>IF(t&lt;Tnet,'2022'!Resal+('2022'!Salim-'2022'!Resal)*(1-EXP(('2022'!Tnet-t)/('2022'!Tau_j))),Resal+(Salim-Resal)*(1-EXP((Tnet-t)/(Tau_j))))*Salcycl</f>
        <v>7.4079226698999558E-3</v>
      </c>
      <c r="P137" s="338">
        <f>(INDEX(Models!$BJ137:$BT137,,T137)*(1-R137)+INDEX(Models!$BJ137:$BT137,,T137+1)*R137-ERP_i)*Q137*Ramure*Pc/MaxiM</f>
        <v>1.9604984604396497E-3</v>
      </c>
      <c r="Q137" s="304">
        <f t="shared" si="28"/>
        <v>0.7</v>
      </c>
      <c r="R137" s="177">
        <f t="shared" si="29"/>
        <v>0.40353166947267038</v>
      </c>
      <c r="S137" s="799">
        <f t="shared" si="30"/>
        <v>0</v>
      </c>
      <c r="T137" s="176">
        <f t="shared" si="31"/>
        <v>6</v>
      </c>
      <c r="U137" s="250">
        <f t="shared" si="32"/>
        <v>0.40353166947267038</v>
      </c>
      <c r="V137" s="382">
        <f t="shared" si="33"/>
        <v>58.547574297290204</v>
      </c>
      <c r="W137" s="400">
        <f t="shared" si="34"/>
        <v>33.037807403011605</v>
      </c>
      <c r="X137" s="157">
        <f t="shared" si="35"/>
        <v>45049</v>
      </c>
      <c r="Y137" s="383">
        <f t="shared" si="36"/>
        <v>32.439309365031399</v>
      </c>
      <c r="Z137" s="383">
        <f t="shared" si="37"/>
        <v>33.432770758134957</v>
      </c>
      <c r="AA137" s="384">
        <f t="shared" si="38"/>
        <v>34.302183923869798</v>
      </c>
      <c r="AB137" s="197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2.5345708823217111E-2</v>
      </c>
      <c r="AD137" s="230">
        <f>(INDEX(Models!$BJ137:$BT137,,AH137)*(1-AF137)+INDEX(Models!$BJ137:$BT137,,AH137+1)*AF137-ERP_i)*AE137*Ramure*Pc/MaxiM</f>
        <v>2.0787975198784626E-3</v>
      </c>
      <c r="AE137" s="304">
        <f t="shared" si="40"/>
        <v>0.7</v>
      </c>
      <c r="AF137" s="177">
        <f t="shared" si="41"/>
        <v>0.46786389173250253</v>
      </c>
      <c r="AG137" s="799">
        <f t="shared" si="49"/>
        <v>0</v>
      </c>
      <c r="AH137" s="176">
        <f t="shared" si="42"/>
        <v>6</v>
      </c>
      <c r="AI137" s="224">
        <f t="shared" si="43"/>
        <v>0.46786389173250253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45050</v>
      </c>
      <c r="B138" s="409">
        <f>'2022'!Wh/'2022'!Env_an*'2023'!Env_an</f>
        <v>16.715000957583793</v>
      </c>
      <c r="C138" s="829"/>
      <c r="D138" s="391">
        <f t="shared" si="25"/>
        <v>17.227231904972186</v>
      </c>
      <c r="E138" s="383">
        <f t="shared" si="47"/>
        <v>17.357731692556094</v>
      </c>
      <c r="F138" s="383">
        <f t="shared" si="26"/>
        <v>17.357731692556094</v>
      </c>
      <c r="G138" s="110">
        <f t="shared" si="48"/>
        <v>0.28458401717008841</v>
      </c>
      <c r="H138" s="412" t="b">
        <f>Wh_hp&gt;='2022'!Maxi_hp</f>
        <v>0</v>
      </c>
      <c r="I138" s="379">
        <f>IF(H138,Wh_hp,'2022'!Maxi_hp)</f>
        <v>56.957672371792654</v>
      </c>
      <c r="J138" s="85">
        <f>IF(H138,An,'2022'!An_max)</f>
        <v>2020</v>
      </c>
      <c r="K138" s="197">
        <f t="shared" si="27"/>
        <v>45050</v>
      </c>
      <c r="L138" s="147">
        <f>IF(t&lt;Tvie,1-EXP((T0-t)*PertePVj)+'2022'!Pspv,1-EXP((T0-t)*PertePVj)+Pspv)</f>
        <v>2.9733792997849617E-2</v>
      </c>
      <c r="M138" s="832"/>
      <c r="N138" s="832"/>
      <c r="O138" s="48">
        <f>IF(t&lt;Tnet,'2022'!Resal+('2022'!Salim-'2022'!Resal)*(1-EXP(('2022'!Tnet-t)/('2022'!Tau_j))),Resal+(Salim-Resal)*(1-EXP((Tnet-t)/(Tau_j))))*Salcycl</f>
        <v>7.5182512263322985E-3</v>
      </c>
      <c r="P138" s="338">
        <f>(INDEX(Models!$BJ138:$BT138,,T138)*(1-R138)+INDEX(Models!$BJ138:$BT138,,T138+1)*R138-ERP_i)*Q138*Ramure*Pc/MaxiM</f>
        <v>1.9241333253720377E-3</v>
      </c>
      <c r="Q138" s="304">
        <f t="shared" si="28"/>
        <v>0.7</v>
      </c>
      <c r="R138" s="177">
        <f t="shared" si="29"/>
        <v>0.4059237662057027</v>
      </c>
      <c r="S138" s="799">
        <f t="shared" si="30"/>
        <v>0</v>
      </c>
      <c r="T138" s="176">
        <f t="shared" si="31"/>
        <v>6</v>
      </c>
      <c r="U138" s="250">
        <f t="shared" si="32"/>
        <v>0.4059237662057027</v>
      </c>
      <c r="V138" s="382">
        <f t="shared" si="33"/>
        <v>58.621841216180414</v>
      </c>
      <c r="W138" s="400">
        <f t="shared" si="34"/>
        <v>16.715000957583793</v>
      </c>
      <c r="X138" s="157">
        <f t="shared" si="35"/>
        <v>45050</v>
      </c>
      <c r="Y138" s="383">
        <f t="shared" si="36"/>
        <v>16.413087470097881</v>
      </c>
      <c r="Z138" s="383">
        <f t="shared" si="37"/>
        <v>16.916066283303532</v>
      </c>
      <c r="AA138" s="384">
        <f t="shared" si="38"/>
        <v>17.357731692556094</v>
      </c>
      <c r="AB138" s="197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2.5444880533668397E-2</v>
      </c>
      <c r="AD138" s="230">
        <f>(INDEX(Models!$BJ138:$BT138,,AH138)*(1-AF138)+INDEX(Models!$BJ138:$BT138,,AH138+1)*AF138-ERP_i)*AE138*Ramure*Pc/MaxiM</f>
        <v>2.0425384985459411E-3</v>
      </c>
      <c r="AE138" s="304">
        <f t="shared" si="40"/>
        <v>0.7</v>
      </c>
      <c r="AF138" s="177">
        <f t="shared" si="41"/>
        <v>0.47025598846553485</v>
      </c>
      <c r="AG138" s="799">
        <f t="shared" si="49"/>
        <v>0</v>
      </c>
      <c r="AH138" s="176">
        <f t="shared" si="42"/>
        <v>6</v>
      </c>
      <c r="AI138" s="224">
        <f t="shared" si="43"/>
        <v>0.47025598846553485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45051</v>
      </c>
      <c r="B139" s="409">
        <f>'2022'!Wh/'2022'!Env_an*'2023'!Env_an</f>
        <v>36.243543416027109</v>
      </c>
      <c r="C139" s="829"/>
      <c r="D139" s="391">
        <f t="shared" si="25"/>
        <v>37.354942145789849</v>
      </c>
      <c r="E139" s="383">
        <f t="shared" si="47"/>
        <v>37.64210124703694</v>
      </c>
      <c r="F139" s="383">
        <f t="shared" si="26"/>
        <v>37.67424030734103</v>
      </c>
      <c r="G139" s="110">
        <f t="shared" si="48"/>
        <v>0.61688100770424925</v>
      </c>
      <c r="H139" s="412" t="b">
        <f>Wh_hp&gt;='2022'!Maxi_hp</f>
        <v>0</v>
      </c>
      <c r="I139" s="379">
        <f>IF(H139,Wh_hp,'2022'!Maxi_hp)</f>
        <v>61.376169686641241</v>
      </c>
      <c r="J139" s="85">
        <f>IF(H139,An,'2022'!An_max)</f>
        <v>2020</v>
      </c>
      <c r="K139" s="197">
        <f t="shared" si="27"/>
        <v>45051</v>
      </c>
      <c r="L139" s="147">
        <f>IF(t&lt;Tvie,1-EXP((T0-t)*PertePVj)+'2022'!Pspv,1-EXP((T0-t)*PertePVj)+Pspv)</f>
        <v>2.9752387928353441E-2</v>
      </c>
      <c r="M139" s="832"/>
      <c r="N139" s="832"/>
      <c r="O139" s="48">
        <f>IF(t&lt;Tnet,'2022'!Resal+('2022'!Salim-'2022'!Resal)*(1-EXP(('2022'!Tnet-t)/('2022'!Tau_j))),Resal+(Salim-Resal)*(1-EXP((Tnet-t)/(Tau_j))))*Salcycl</f>
        <v>7.6286682128218312E-3</v>
      </c>
      <c r="P139" s="338">
        <f>(INDEX(Models!$BJ139:$BT139,,T139)*(1-R139)+INDEX(Models!$BJ139:$BT139,,T139+1)*R139-ERP_i)*Q139*Ramure*Pc/MaxiM</f>
        <v>1.8807060564095589E-3</v>
      </c>
      <c r="Q139" s="304">
        <f t="shared" si="28"/>
        <v>0.7</v>
      </c>
      <c r="R139" s="177">
        <f t="shared" si="29"/>
        <v>0.40837973265896382</v>
      </c>
      <c r="S139" s="799">
        <f t="shared" si="30"/>
        <v>0</v>
      </c>
      <c r="T139" s="176">
        <f t="shared" si="31"/>
        <v>6</v>
      </c>
      <c r="U139" s="250">
        <f t="shared" si="32"/>
        <v>0.40837973265896382</v>
      </c>
      <c r="V139" s="382">
        <f t="shared" si="33"/>
        <v>58.692464635452481</v>
      </c>
      <c r="W139" s="400">
        <f t="shared" si="34"/>
        <v>36.243543416027109</v>
      </c>
      <c r="X139" s="157">
        <f t="shared" si="35"/>
        <v>45051</v>
      </c>
      <c r="Y139" s="383">
        <f t="shared" si="36"/>
        <v>35.587313014729084</v>
      </c>
      <c r="Z139" s="383">
        <f t="shared" si="37"/>
        <v>36.678588611770984</v>
      </c>
      <c r="AA139" s="384">
        <f t="shared" si="38"/>
        <v>37.640080661346325</v>
      </c>
      <c r="AB139" s="197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2.5544367405214582E-2</v>
      </c>
      <c r="AD139" s="230">
        <f>(INDEX(Models!$BJ139:$BT139,,AH139)*(1-AF139)+INDEX(Models!$BJ139:$BT139,,AH139+1)*AF139-ERP_i)*AE139*Ramure*Pc/MaxiM</f>
        <v>1.9989462199328572E-3</v>
      </c>
      <c r="AE139" s="304">
        <f t="shared" si="40"/>
        <v>0.7</v>
      </c>
      <c r="AF139" s="177">
        <f t="shared" si="41"/>
        <v>0.47271195491879597</v>
      </c>
      <c r="AG139" s="799">
        <f t="shared" si="49"/>
        <v>0</v>
      </c>
      <c r="AH139" s="176">
        <f t="shared" si="42"/>
        <v>6</v>
      </c>
      <c r="AI139" s="224">
        <f t="shared" si="43"/>
        <v>0.47271195491879597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45052</v>
      </c>
      <c r="B140" s="409">
        <f>'2022'!Wh/'2022'!Env_an*'2023'!Env_an</f>
        <v>41.494963932031162</v>
      </c>
      <c r="C140" s="829"/>
      <c r="D140" s="391">
        <f t="shared" si="25"/>
        <v>42.768215734320322</v>
      </c>
      <c r="E140" s="383">
        <f t="shared" si="47"/>
        <v>43.101788023077418</v>
      </c>
      <c r="F140" s="383">
        <f t="shared" si="26"/>
        <v>43.147608673723134</v>
      </c>
      <c r="G140" s="110">
        <f t="shared" si="48"/>
        <v>0.70563808324326982</v>
      </c>
      <c r="H140" s="412" t="b">
        <f>Wh_hp&gt;='2022'!Maxi_hp</f>
        <v>0</v>
      </c>
      <c r="I140" s="379">
        <f>IF(H140,Wh_hp,'2022'!Maxi_hp)</f>
        <v>58.310376218958538</v>
      </c>
      <c r="J140" s="85">
        <f>IF(H140,An,'2022'!An_max)</f>
        <v>2018</v>
      </c>
      <c r="K140" s="197">
        <f t="shared" si="27"/>
        <v>45052</v>
      </c>
      <c r="L140" s="147">
        <f>IF(t&lt;Tvie,1-EXP((T0-t)*PertePVj)+'2022'!Pspv,1-EXP((T0-t)*PertePVj)+Pspv)</f>
        <v>2.9770982502489773E-2</v>
      </c>
      <c r="M140" s="832"/>
      <c r="N140" s="832"/>
      <c r="O140" s="48">
        <f>IF(t&lt;Tnet,'2022'!Resal+('2022'!Salim-'2022'!Resal)*(1-EXP(('2022'!Tnet-t)/('2022'!Tau_j))),Resal+(Salim-Resal)*(1-EXP((Tnet-t)/(Tau_j))))*Salcycl</f>
        <v>7.739175195667033E-3</v>
      </c>
      <c r="P140" s="338">
        <f>(INDEX(Models!$BJ140:$BT140,,T140)*(1-R140)+INDEX(Models!$BJ140:$BT140,,T140+1)*R140-ERP_i)*Q140*Ramure*Pc/MaxiM</f>
        <v>1.8301336685318025E-3</v>
      </c>
      <c r="Q140" s="304">
        <f t="shared" si="28"/>
        <v>0.7</v>
      </c>
      <c r="R140" s="177">
        <f t="shared" si="29"/>
        <v>0.4109000041480369</v>
      </c>
      <c r="S140" s="799">
        <f t="shared" si="30"/>
        <v>0</v>
      </c>
      <c r="T140" s="176">
        <f t="shared" si="31"/>
        <v>6</v>
      </c>
      <c r="U140" s="250">
        <f t="shared" si="32"/>
        <v>0.4109000041480369</v>
      </c>
      <c r="V140" s="382">
        <f t="shared" si="33"/>
        <v>58.75966068498019</v>
      </c>
      <c r="W140" s="400">
        <f t="shared" si="34"/>
        <v>41.494963932031162</v>
      </c>
      <c r="X140" s="157">
        <f t="shared" si="35"/>
        <v>45052</v>
      </c>
      <c r="Y140" s="383">
        <f t="shared" si="36"/>
        <v>40.743414037728236</v>
      </c>
      <c r="Z140" s="383">
        <f t="shared" si="37"/>
        <v>41.993604914865152</v>
      </c>
      <c r="AA140" s="384">
        <f t="shared" si="38"/>
        <v>43.098838632487194</v>
      </c>
      <c r="AB140" s="197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2.564416473136559E-2</v>
      </c>
      <c r="AD140" s="230">
        <f>(INDEX(Models!$BJ140:$BT140,,AH140)*(1-AF140)+INDEX(Models!$BJ140:$BT140,,AH140+1)*AF140-ERP_i)*AE140*Ramure*Pc/MaxiM</f>
        <v>1.9479359900781768E-3</v>
      </c>
      <c r="AE140" s="304">
        <f t="shared" si="40"/>
        <v>0.7</v>
      </c>
      <c r="AF140" s="177">
        <f t="shared" si="41"/>
        <v>0.47523222640786905</v>
      </c>
      <c r="AG140" s="799">
        <f t="shared" si="49"/>
        <v>0</v>
      </c>
      <c r="AH140" s="176">
        <f t="shared" si="42"/>
        <v>6</v>
      </c>
      <c r="AI140" s="224">
        <f t="shared" si="43"/>
        <v>0.47523222640786905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45053</v>
      </c>
      <c r="B141" s="409">
        <f>'2022'!Wh/'2022'!Env_an*'2023'!Env_an</f>
        <v>46.24113123944695</v>
      </c>
      <c r="C141" s="829"/>
      <c r="D141" s="391">
        <f t="shared" si="25"/>
        <v>47.660930175468266</v>
      </c>
      <c r="E141" s="383">
        <f t="shared" si="47"/>
        <v>48.038017726732541</v>
      </c>
      <c r="F141" s="383">
        <f t="shared" si="26"/>
        <v>48.097213312786955</v>
      </c>
      <c r="G141" s="110">
        <f t="shared" si="48"/>
        <v>0.78567141943668017</v>
      </c>
      <c r="H141" s="412" t="b">
        <f>Wh_hp&gt;='2022'!Maxi_hp</f>
        <v>0</v>
      </c>
      <c r="I141" s="379">
        <f>IF(H141,Wh_hp,'2022'!Maxi_hp)</f>
        <v>58.360511547826988</v>
      </c>
      <c r="J141" s="85">
        <f>IF(H141,An,'2022'!An_max)</f>
        <v>2020</v>
      </c>
      <c r="K141" s="197">
        <f t="shared" si="27"/>
        <v>45053</v>
      </c>
      <c r="L141" s="147">
        <f>IF(t&lt;Tvie,1-EXP((T0-t)*PertePVj)+'2022'!Pspv,1-EXP((T0-t)*PertePVj)+Pspv)</f>
        <v>2.9789576720265276E-2</v>
      </c>
      <c r="M141" s="832"/>
      <c r="N141" s="832"/>
      <c r="O141" s="48">
        <f>IF(t&lt;Tnet,'2022'!Resal+('2022'!Salim-'2022'!Resal)*(1-EXP(('2022'!Tnet-t)/('2022'!Tau_j))),Resal+(Salim-Resal)*(1-EXP((Tnet-t)/(Tau_j))))*Salcycl</f>
        <v>7.8497733484624663E-3</v>
      </c>
      <c r="P141" s="338">
        <f>(INDEX(Models!$BJ141:$BT141,,T141)*(1-R141)+INDEX(Models!$BJ141:$BT141,,T141+1)*R141-ERP_i)*Q141*Ramure*Pc/MaxiM</f>
        <v>1.7723272043123032E-3</v>
      </c>
      <c r="Q141" s="304">
        <f t="shared" si="28"/>
        <v>0.7</v>
      </c>
      <c r="R141" s="177">
        <f t="shared" si="29"/>
        <v>0.41348492767215878</v>
      </c>
      <c r="S141" s="799">
        <f t="shared" si="30"/>
        <v>0</v>
      </c>
      <c r="T141" s="176">
        <f t="shared" si="31"/>
        <v>6</v>
      </c>
      <c r="U141" s="250">
        <f t="shared" si="32"/>
        <v>0.41348492767215878</v>
      </c>
      <c r="V141" s="382">
        <f t="shared" si="33"/>
        <v>58.823645657354149</v>
      </c>
      <c r="W141" s="400">
        <f t="shared" si="34"/>
        <v>46.24113123944695</v>
      </c>
      <c r="X141" s="157">
        <f t="shared" si="35"/>
        <v>45053</v>
      </c>
      <c r="Y141" s="383">
        <f t="shared" si="36"/>
        <v>45.403426233267901</v>
      </c>
      <c r="Z141" s="383">
        <f t="shared" si="37"/>
        <v>46.797504071111192</v>
      </c>
      <c r="AA141" s="384">
        <f t="shared" si="38"/>
        <v>48.034106938655874</v>
      </c>
      <c r="AB141" s="197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2.5744266862792763E-2</v>
      </c>
      <c r="AD141" s="230">
        <f>(INDEX(Models!$BJ141:$BT141,,AH141)*(1-AF141)+INDEX(Models!$BJ141:$BT141,,AH141+1)*AF141-ERP_i)*AE141*Ramure*Pc/MaxiM</f>
        <v>1.8894169496898019E-3</v>
      </c>
      <c r="AE141" s="304">
        <f t="shared" si="40"/>
        <v>0.7</v>
      </c>
      <c r="AF141" s="177">
        <f t="shared" si="41"/>
        <v>0.47781714993199093</v>
      </c>
      <c r="AG141" s="799">
        <f t="shared" si="49"/>
        <v>0</v>
      </c>
      <c r="AH141" s="176">
        <f t="shared" si="42"/>
        <v>6</v>
      </c>
      <c r="AI141" s="224">
        <f t="shared" si="43"/>
        <v>0.47781714993199093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45054</v>
      </c>
      <c r="B142" s="409">
        <f>'2022'!Wh/'2022'!Env_an*'2023'!Env_an</f>
        <v>57.384186865624493</v>
      </c>
      <c r="C142" s="829"/>
      <c r="D142" s="391">
        <f t="shared" si="25"/>
        <v>59.147258434478552</v>
      </c>
      <c r="E142" s="383">
        <f t="shared" si="47"/>
        <v>59.621876199749586</v>
      </c>
      <c r="F142" s="383">
        <f t="shared" si="26"/>
        <v>59.720187378745827</v>
      </c>
      <c r="G142" s="110">
        <f t="shared" si="48"/>
        <v>0.97445929565699962</v>
      </c>
      <c r="H142" s="412" t="b">
        <f>Wh_hp&gt;='2022'!Maxi_hp</f>
        <v>0</v>
      </c>
      <c r="I142" s="379">
        <f>IF(H142,Wh_hp,'2022'!Maxi_hp)</f>
        <v>61.177065802959824</v>
      </c>
      <c r="J142" s="85">
        <f>IF(H142,An,'2022'!An_max)</f>
        <v>2021</v>
      </c>
      <c r="K142" s="197">
        <f t="shared" si="27"/>
        <v>45054</v>
      </c>
      <c r="L142" s="147">
        <f>IF(t&lt;Tvie,1-EXP((T0-t)*PertePVj)+'2022'!Pspv,1-EXP((T0-t)*PertePVj)+Pspv)</f>
        <v>2.9808170581686944E-2</v>
      </c>
      <c r="M142" s="832"/>
      <c r="N142" s="832"/>
      <c r="O142" s="48">
        <f>IF(t&lt;Tnet,'2022'!Resal+('2022'!Salim-'2022'!Resal)*(1-EXP(('2022'!Tnet-t)/('2022'!Tau_j))),Resal+(Salim-Resal)*(1-EXP((Tnet-t)/(Tau_j))))*Salcycl</f>
        <v>7.9604634325987026E-3</v>
      </c>
      <c r="P142" s="338">
        <f>(INDEX(Models!$BJ142:$BT142,,T142)*(1-R142)+INDEX(Models!$BJ142:$BT142,,T142+1)*R142-ERP_i)*Q142*Ramure*Pc/MaxiM</f>
        <v>1.7083818697454596E-3</v>
      </c>
      <c r="Q142" s="304">
        <f t="shared" si="28"/>
        <v>0.7</v>
      </c>
      <c r="R142" s="177">
        <f t="shared" si="29"/>
        <v>0.41613475631066515</v>
      </c>
      <c r="S142" s="799">
        <f t="shared" si="30"/>
        <v>0</v>
      </c>
      <c r="T142" s="176">
        <f t="shared" si="31"/>
        <v>6</v>
      </c>
      <c r="U142" s="250">
        <f t="shared" si="32"/>
        <v>0.41613475631066515</v>
      </c>
      <c r="V142" s="382">
        <f t="shared" si="33"/>
        <v>58.884565825770423</v>
      </c>
      <c r="W142" s="400">
        <f t="shared" si="34"/>
        <v>57.384186865624493</v>
      </c>
      <c r="X142" s="157">
        <f t="shared" si="35"/>
        <v>45054</v>
      </c>
      <c r="Y142" s="383">
        <f t="shared" si="36"/>
        <v>56.343373459535108</v>
      </c>
      <c r="Z142" s="383">
        <f t="shared" si="37"/>
        <v>58.074467080717703</v>
      </c>
      <c r="AA142" s="384">
        <f t="shared" si="38"/>
        <v>59.615202139161795</v>
      </c>
      <c r="AB142" s="197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2.5844667184848232E-2</v>
      </c>
      <c r="AD142" s="230">
        <f>(INDEX(Models!$BJ142:$BT142,,AH142)*(1-AF142)+INDEX(Models!$BJ142:$BT142,,AH142+1)*AF142-ERP_i)*AE142*Ramure*Pc/MaxiM</f>
        <v>1.8243589561985128E-3</v>
      </c>
      <c r="AE142" s="304">
        <f t="shared" si="40"/>
        <v>0.7</v>
      </c>
      <c r="AF142" s="177">
        <f t="shared" si="41"/>
        <v>0.48046697857049731</v>
      </c>
      <c r="AG142" s="799">
        <f t="shared" si="49"/>
        <v>0</v>
      </c>
      <c r="AH142" s="176">
        <f t="shared" si="42"/>
        <v>6</v>
      </c>
      <c r="AI142" s="224">
        <f t="shared" si="43"/>
        <v>0.48046697857049731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45055</v>
      </c>
      <c r="B143" s="409">
        <f>'2022'!Wh/'2022'!Env_an*'2023'!Env_an</f>
        <v>55.041378165895175</v>
      </c>
      <c r="C143" s="829"/>
      <c r="D143" s="391">
        <f t="shared" ref="D143:D206" si="50">Wh/(1-Ppv)</f>
        <v>56.733556573619452</v>
      </c>
      <c r="E143" s="383">
        <f t="shared" si="47"/>
        <v>57.195193033946815</v>
      </c>
      <c r="F143" s="383">
        <f t="shared" ref="F143:F206" si="51">Wh_sa/(1-Pvg*MEDIAN((-Sdif+Wh/Env_an)/Csdif,0,1))</f>
        <v>57.280368065775441</v>
      </c>
      <c r="G143" s="110">
        <f t="shared" si="48"/>
        <v>0.93367119347414951</v>
      </c>
      <c r="H143" s="412" t="b">
        <f>Wh_hp&gt;='2022'!Maxi_hp</f>
        <v>0</v>
      </c>
      <c r="I143" s="379">
        <f>IF(H143,Wh_hp,'2022'!Maxi_hp)</f>
        <v>57.284230576804276</v>
      </c>
      <c r="J143" s="85">
        <f>IF(H143,An,'2022'!An_max)</f>
        <v>2022</v>
      </c>
      <c r="K143" s="197">
        <f t="shared" ref="K143:K206" si="52">t</f>
        <v>45055</v>
      </c>
      <c r="L143" s="147">
        <f>IF(t&lt;Tvie,1-EXP((T0-t)*PertePVj)+'2022'!Pspv,1-EXP((T0-t)*PertePVj)+Pspv)</f>
        <v>2.9826764086761326E-2</v>
      </c>
      <c r="M143" s="832"/>
      <c r="N143" s="832"/>
      <c r="O143" s="48">
        <f>IF(t&lt;Tnet,'2022'!Resal+('2022'!Salim-'2022'!Resal)*(1-EXP(('2022'!Tnet-t)/('2022'!Tau_j))),Resal+(Salim-Resal)*(1-EXP((Tnet-t)/(Tau_j))))*Salcycl</f>
        <v>8.0712457785284443E-3</v>
      </c>
      <c r="P143" s="338">
        <f>(INDEX(Models!$BJ143:$BT143,,T143)*(1-R143)+INDEX(Models!$BJ143:$BT143,,T143+1)*R143-ERP_i)*Q143*Ramure*Pc/MaxiM</f>
        <v>1.6422567999302023E-3</v>
      </c>
      <c r="Q143" s="304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0.41884964368454147</v>
      </c>
      <c r="S143" s="799">
        <f t="shared" ref="S143:S206" si="55">INDEX(Echel_vg,T143)</f>
        <v>0</v>
      </c>
      <c r="T143" s="176">
        <f t="shared" ref="T143:T206" si="56">MIN(MATCH(Hp_vg,Echel_vg),10)</f>
        <v>6</v>
      </c>
      <c r="U143" s="250">
        <f t="shared" ref="U143:U206" si="57">IF(OR(t&lt;Ttai,Notai),Hdd+PousH*Croivg,Hdtf+PousH*(Croivg-Croi_tai))</f>
        <v>0.41884964368454147</v>
      </c>
      <c r="V143" s="382">
        <f t="shared" ref="V143:V206" si="58">MaxiM*(1-Ppv)*(1-Pvg)*(1-Psa)</f>
        <v>58.942397959545978</v>
      </c>
      <c r="W143" s="400">
        <f t="shared" ref="W143:W206" si="59">Wh*(A143&gt;Tmaj)</f>
        <v>55.041378165895175</v>
      </c>
      <c r="X143" s="157">
        <f t="shared" ref="X143:X206" si="60">t</f>
        <v>45055</v>
      </c>
      <c r="Y143" s="383">
        <f t="shared" ref="Y143:Y206" si="61">Wh_pvt_s*(1-Ppv)</f>
        <v>54.043949209670252</v>
      </c>
      <c r="Z143" s="383">
        <f t="shared" ref="Z143:Z206" si="62">Wh_sa_s*(1-Psa_s)</f>
        <v>55.705462910237749</v>
      </c>
      <c r="AA143" s="384">
        <f t="shared" ref="AA143:AA206" si="63">Wh_hp*(1-Pvg_s*MEDIAN((-Sdif+Wh/Env_an)/Csdif,0,1))</f>
        <v>57.189258706740034</v>
      </c>
      <c r="AB143" s="197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2.5945358097943138E-2</v>
      </c>
      <c r="AD143" s="230">
        <f>(INDEX(Models!$BJ143:$BT143,,AH143)*(1-AF143)+INDEX(Models!$BJ143:$BT143,,AH143+1)*AF143-ERP_i)*AE143*Ramure*Pc/MaxiM</f>
        <v>1.7566763545710745E-3</v>
      </c>
      <c r="AE143" s="304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0.48318186594437362</v>
      </c>
      <c r="AG143" s="799">
        <f t="shared" si="49"/>
        <v>0</v>
      </c>
      <c r="AH143" s="176">
        <f t="shared" ref="AH143:AH206" si="67">MIN(MATCH(Hp_vg_s,Echel_vg),10)</f>
        <v>6</v>
      </c>
      <c r="AI143" s="224">
        <f t="shared" ref="AI143:AI206" si="68">IF(OR(t&lt;Ttai,Notai),Hdd_s+PousH*Croivg,Hdtai_s+PousH*(Croivg-Croi_tai))</f>
        <v>0.48318186594437362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45056</v>
      </c>
      <c r="B144" s="409">
        <f>'2022'!Wh/'2022'!Env_an*'2023'!Env_an</f>
        <v>56.213612439275771</v>
      </c>
      <c r="C144" s="829"/>
      <c r="D144" s="391">
        <f t="shared" si="50"/>
        <v>57.942940188475781</v>
      </c>
      <c r="E144" s="383">
        <f t="shared" ref="E144:E169" si="72">Wh_pvt/(1-Psa)</f>
        <v>58.420947406323258</v>
      </c>
      <c r="F144" s="383">
        <f t="shared" si="51"/>
        <v>58.506821608687012</v>
      </c>
      <c r="G144" s="110">
        <f t="shared" ref="G144:G169" si="73">+Wh_hp/MaxiM</f>
        <v>0.95271453229590919</v>
      </c>
      <c r="H144" s="412" t="b">
        <f>Wh_hp&gt;='2022'!Maxi_hp</f>
        <v>0</v>
      </c>
      <c r="I144" s="379">
        <f>IF(H144,Wh_hp,'2022'!Maxi_hp)</f>
        <v>58.509584701555575</v>
      </c>
      <c r="J144" s="85">
        <f>IF(H144,An,'2022'!An_max)</f>
        <v>2022</v>
      </c>
      <c r="K144" s="197">
        <f t="shared" si="52"/>
        <v>45056</v>
      </c>
      <c r="L144" s="147">
        <f>IF(t&lt;Tvie,1-EXP((T0-t)*PertePVj)+'2022'!Pspv,1-EXP((T0-t)*PertePVj)+Pspv)</f>
        <v>2.9845357235495529E-2</v>
      </c>
      <c r="M144" s="832"/>
      <c r="N144" s="832"/>
      <c r="O144" s="48">
        <f>IF(t&lt;Tnet,'2022'!Resal+('2022'!Salim-'2022'!Resal)*(1-EXP(('2022'!Tnet-t)/('2022'!Tau_j))),Resal+(Salim-Resal)*(1-EXP((Tnet-t)/(Tau_j))))*Salcycl</f>
        <v>8.1821202679733199E-3</v>
      </c>
      <c r="P144" s="338">
        <f>(INDEX(Models!$BJ144:$BT144,,T144)*(1-R144)+INDEX(Models!$BJ144:$BT144,,T144+1)*R144-ERP_i)*Q144*Ramure*Pc/MaxiM</f>
        <v>1.5738510153502276E-3</v>
      </c>
      <c r="Q144" s="304">
        <f t="shared" si="53"/>
        <v>0.7</v>
      </c>
      <c r="R144" s="177">
        <f t="shared" si="54"/>
        <v>0.42162963852191604</v>
      </c>
      <c r="S144" s="799">
        <f t="shared" si="55"/>
        <v>0</v>
      </c>
      <c r="T144" s="176">
        <f t="shared" si="56"/>
        <v>6</v>
      </c>
      <c r="U144" s="250">
        <f t="shared" si="57"/>
        <v>0.42162963852191604</v>
      </c>
      <c r="V144" s="382">
        <f t="shared" si="58"/>
        <v>58.99735779146701</v>
      </c>
      <c r="W144" s="400">
        <f t="shared" si="59"/>
        <v>56.213612439275771</v>
      </c>
      <c r="X144" s="157">
        <f t="shared" si="60"/>
        <v>45056</v>
      </c>
      <c r="Y144" s="383">
        <f t="shared" si="61"/>
        <v>55.195320653512539</v>
      </c>
      <c r="Z144" s="383">
        <f t="shared" si="62"/>
        <v>56.89332217823614</v>
      </c>
      <c r="AA144" s="384">
        <f t="shared" si="63"/>
        <v>58.414813752606186</v>
      </c>
      <c r="AB144" s="197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2.6046331001135192E-2</v>
      </c>
      <c r="AD144" s="230">
        <f>(INDEX(Models!$BJ144:$BT144,,AH144)*(1-AF144)+INDEX(Models!$BJ144:$BT144,,AH144+1)*AF144-ERP_i)*AE144*Ramure*Pc/MaxiM</f>
        <v>1.6862649518375578E-3</v>
      </c>
      <c r="AE144" s="304">
        <f t="shared" si="65"/>
        <v>0.7</v>
      </c>
      <c r="AF144" s="177">
        <f t="shared" si="66"/>
        <v>0.48596186078174819</v>
      </c>
      <c r="AG144" s="799">
        <f t="shared" ref="AG144:AG207" si="74">INDEX(Echel_vg,AH144)</f>
        <v>0</v>
      </c>
      <c r="AH144" s="176">
        <f t="shared" si="67"/>
        <v>6</v>
      </c>
      <c r="AI144" s="224">
        <f t="shared" si="68"/>
        <v>0.48596186078174819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45057</v>
      </c>
      <c r="B145" s="409">
        <f>'2022'!Wh/'2022'!Env_an*'2023'!Env_an</f>
        <v>59.475442872840269</v>
      </c>
      <c r="C145" s="829"/>
      <c r="D145" s="391">
        <f t="shared" si="50"/>
        <v>61.306290880078613</v>
      </c>
      <c r="E145" s="383">
        <f t="shared" si="72"/>
        <v>61.818960858521031</v>
      </c>
      <c r="F145" s="383">
        <f t="shared" si="51"/>
        <v>61.912018368777417</v>
      </c>
      <c r="G145" s="110">
        <f t="shared" si="73"/>
        <v>1.0072105694192106</v>
      </c>
      <c r="H145" s="412" t="b">
        <f>Wh_hp&gt;='2022'!Maxi_hp</f>
        <v>1</v>
      </c>
      <c r="I145" s="379">
        <f>IF(H145,Wh_hp,'2022'!Maxi_hp)</f>
        <v>61.912018368777417</v>
      </c>
      <c r="J145" s="85">
        <f>IF(H145,An,'2022'!An_max)</f>
        <v>2023</v>
      </c>
      <c r="K145" s="197">
        <f t="shared" si="52"/>
        <v>45057</v>
      </c>
      <c r="L145" s="147">
        <f>IF(t&lt;Tvie,1-EXP((T0-t)*PertePVj)+'2022'!Pspv,1-EXP((T0-t)*PertePVj)+Pspv)</f>
        <v>2.9863950027896324E-2</v>
      </c>
      <c r="M145" s="832"/>
      <c r="N145" s="832"/>
      <c r="O145" s="48">
        <f>IF(t&lt;Tnet,'2022'!Resal+('2022'!Salim-'2022'!Resal)*(1-EXP(('2022'!Tnet-t)/('2022'!Tau_j))),Resal+(Salim-Resal)*(1-EXP((Tnet-t)/(Tau_j))))*Salcycl</f>
        <v>8.293086317250049E-3</v>
      </c>
      <c r="P145" s="338">
        <f>(INDEX(Models!$BJ145:$BT145,,T145)*(1-R145)+INDEX(Models!$BJ145:$BT145,,T145+1)*R145-ERP_i)*Q145*Ramure*Pc/MaxiM</f>
        <v>1.5030605156836452E-3</v>
      </c>
      <c r="Q145" s="304">
        <f t="shared" si="53"/>
        <v>0.7</v>
      </c>
      <c r="R145" s="177">
        <f t="shared" si="54"/>
        <v>0.42447467936860744</v>
      </c>
      <c r="S145" s="799">
        <f t="shared" si="55"/>
        <v>0</v>
      </c>
      <c r="T145" s="176">
        <f t="shared" si="56"/>
        <v>6</v>
      </c>
      <c r="U145" s="250">
        <f t="shared" si="57"/>
        <v>0.42447467936860744</v>
      </c>
      <c r="V145" s="382">
        <f t="shared" si="58"/>
        <v>59.049661191637099</v>
      </c>
      <c r="W145" s="400">
        <f t="shared" si="59"/>
        <v>59.475442872840269</v>
      </c>
      <c r="X145" s="157">
        <f t="shared" si="60"/>
        <v>45057</v>
      </c>
      <c r="Y145" s="383">
        <f t="shared" si="61"/>
        <v>58.39822741523713</v>
      </c>
      <c r="Z145" s="383">
        <f t="shared" si="62"/>
        <v>60.195915219227629</v>
      </c>
      <c r="AA145" s="384">
        <f t="shared" si="63"/>
        <v>61.812153210279263</v>
      </c>
      <c r="AB145" s="197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2.6147576279268895E-2</v>
      </c>
      <c r="AD145" s="230">
        <f>(INDEX(Models!$BJ145:$BT145,,AH145)*(1-AF145)+INDEX(Models!$BJ145:$BT145,,AH145+1)*AF145-ERP_i)*AE145*Ramure*Pc/MaxiM</f>
        <v>1.6130173289345814E-3</v>
      </c>
      <c r="AE145" s="304">
        <f t="shared" si="65"/>
        <v>0.7</v>
      </c>
      <c r="AF145" s="177">
        <f t="shared" si="66"/>
        <v>0.48880690162843959</v>
      </c>
      <c r="AG145" s="799">
        <f t="shared" si="74"/>
        <v>0</v>
      </c>
      <c r="AH145" s="176">
        <f t="shared" si="67"/>
        <v>6</v>
      </c>
      <c r="AI145" s="224">
        <f t="shared" si="68"/>
        <v>0.48880690162843959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45058</v>
      </c>
      <c r="B146" s="409">
        <f>'2022'!Wh/'2022'!Env_an*'2023'!Env_an</f>
        <v>45.115195460373428</v>
      </c>
      <c r="C146" s="829"/>
      <c r="D146" s="391">
        <f t="shared" si="50"/>
        <v>46.504879496715873</v>
      </c>
      <c r="E146" s="383">
        <f t="shared" si="72"/>
        <v>46.899025608009381</v>
      </c>
      <c r="F146" s="383">
        <f t="shared" si="51"/>
        <v>46.943455972206465</v>
      </c>
      <c r="G146" s="110">
        <f t="shared" si="73"/>
        <v>0.76300732859919396</v>
      </c>
      <c r="H146" s="412" t="b">
        <f>Wh_hp&gt;='2022'!Maxi_hp</f>
        <v>0</v>
      </c>
      <c r="I146" s="379">
        <f>IF(H146,Wh_hp,'2022'!Maxi_hp)</f>
        <v>46.954038073013493</v>
      </c>
      <c r="J146" s="85">
        <f>IF(H146,An,'2022'!An_max)</f>
        <v>2022</v>
      </c>
      <c r="K146" s="197">
        <f t="shared" si="52"/>
        <v>45058</v>
      </c>
      <c r="L146" s="147">
        <f>IF(t&lt;Tvie,1-EXP((T0-t)*PertePVj)+'2022'!Pspv,1-EXP((T0-t)*PertePVj)+Pspv)</f>
        <v>2.9882542463970485E-2</v>
      </c>
      <c r="M146" s="832"/>
      <c r="N146" s="832"/>
      <c r="O146" s="48">
        <f>IF(t&lt;Tnet,'2022'!Resal+('2022'!Salim-'2022'!Resal)*(1-EXP(('2022'!Tnet-t)/('2022'!Tau_j))),Resal+(Salim-Resal)*(1-EXP((Tnet-t)/(Tau_j))))*Salcycl</f>
        <v>8.4041428618975619E-3</v>
      </c>
      <c r="P146" s="338">
        <f>(INDEX(Models!$BJ146:$BT146,,T146)*(1-R146)+INDEX(Models!$BJ146:$BT146,,T146+1)*R146-ERP_i)*Q146*Ramure*Pc/MaxiM</f>
        <v>1.4297783918595314E-3</v>
      </c>
      <c r="Q146" s="304">
        <f t="shared" si="53"/>
        <v>0.7</v>
      </c>
      <c r="R146" s="177">
        <f t="shared" si="54"/>
        <v>0.42738458948687041</v>
      </c>
      <c r="S146" s="799">
        <f t="shared" si="55"/>
        <v>0</v>
      </c>
      <c r="T146" s="176">
        <f t="shared" si="56"/>
        <v>6</v>
      </c>
      <c r="U146" s="250">
        <f t="shared" si="57"/>
        <v>0.42738458948687041</v>
      </c>
      <c r="V146" s="382">
        <f t="shared" si="58"/>
        <v>59.099524159409434</v>
      </c>
      <c r="W146" s="400">
        <f t="shared" si="59"/>
        <v>45.115195460373428</v>
      </c>
      <c r="X146" s="157">
        <f t="shared" si="60"/>
        <v>45058</v>
      </c>
      <c r="Y146" s="383">
        <f t="shared" si="61"/>
        <v>44.300151847169879</v>
      </c>
      <c r="Z146" s="383">
        <f t="shared" si="62"/>
        <v>45.664730082980284</v>
      </c>
      <c r="AA146" s="384">
        <f t="shared" si="63"/>
        <v>46.895699197341727</v>
      </c>
      <c r="AB146" s="197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2.6249083294001108E-2</v>
      </c>
      <c r="AD146" s="230">
        <f>(INDEX(Models!$BJ146:$BT146,,AH146)*(1-AF146)+INDEX(Models!$BJ146:$BT146,,AH146+1)*AF146-ERP_i)*AE146*Ramure*Pc/MaxiM</f>
        <v>1.5368229813202026E-3</v>
      </c>
      <c r="AE146" s="304">
        <f t="shared" si="65"/>
        <v>0.7</v>
      </c>
      <c r="AF146" s="177">
        <f t="shared" si="66"/>
        <v>0.49171681174670256</v>
      </c>
      <c r="AG146" s="799">
        <f t="shared" si="74"/>
        <v>0</v>
      </c>
      <c r="AH146" s="176">
        <f t="shared" si="67"/>
        <v>6</v>
      </c>
      <c r="AI146" s="224">
        <f t="shared" si="68"/>
        <v>0.49171681174670256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45059</v>
      </c>
      <c r="B147" s="409">
        <f>'2022'!Wh/'2022'!Env_an*'2023'!Env_an</f>
        <v>38.961780512032689</v>
      </c>
      <c r="C147" s="829"/>
      <c r="D147" s="391">
        <f t="shared" si="50"/>
        <v>40.162690525060505</v>
      </c>
      <c r="E147" s="383">
        <f t="shared" si="72"/>
        <v>40.507624628856604</v>
      </c>
      <c r="F147" s="383">
        <f t="shared" si="51"/>
        <v>40.535749343670517</v>
      </c>
      <c r="G147" s="110">
        <f t="shared" si="73"/>
        <v>0.65829100324519518</v>
      </c>
      <c r="H147" s="412" t="b">
        <f>Wh_hp&gt;='2022'!Maxi_hp</f>
        <v>0</v>
      </c>
      <c r="I147" s="379">
        <f>IF(H147,Wh_hp,'2022'!Maxi_hp)</f>
        <v>60.109259389460362</v>
      </c>
      <c r="J147" s="85">
        <f>IF(H147,An,'2022'!An_max)</f>
        <v>2018</v>
      </c>
      <c r="K147" s="197">
        <f t="shared" si="52"/>
        <v>45059</v>
      </c>
      <c r="L147" s="147">
        <f>IF(t&lt;Tvie,1-EXP((T0-t)*PertePVj)+'2022'!Pspv,1-EXP((T0-t)*PertePVj)+Pspv)</f>
        <v>2.9901134543724783E-2</v>
      </c>
      <c r="M147" s="832"/>
      <c r="N147" s="832"/>
      <c r="O147" s="48">
        <f>IF(t&lt;Tnet,'2022'!Resal+('2022'!Salim-'2022'!Resal)*(1-EXP(('2022'!Tnet-t)/('2022'!Tau_j))),Resal+(Salim-Resal)*(1-EXP((Tnet-t)/(Tau_j))))*Salcycl</f>
        <v>8.5152883427871903E-3</v>
      </c>
      <c r="P147" s="338">
        <f>(INDEX(Models!$BJ147:$BT147,,T147)*(1-R147)+INDEX(Models!$BJ147:$BT147,,T147+1)*R147-ERP_i)*Q147*Ramure*Pc/MaxiM</f>
        <v>1.3538949642983036E-3</v>
      </c>
      <c r="Q147" s="304">
        <f t="shared" si="53"/>
        <v>0.7</v>
      </c>
      <c r="R147" s="177">
        <f t="shared" si="54"/>
        <v>0.43035907198723211</v>
      </c>
      <c r="S147" s="799">
        <f t="shared" si="55"/>
        <v>0</v>
      </c>
      <c r="T147" s="176">
        <f t="shared" si="56"/>
        <v>6</v>
      </c>
      <c r="U147" s="250">
        <f t="shared" si="57"/>
        <v>0.43035907198723211</v>
      </c>
      <c r="V147" s="382">
        <f t="shared" si="58"/>
        <v>59.147162822772543</v>
      </c>
      <c r="W147" s="400">
        <f t="shared" si="59"/>
        <v>38.961780512032689</v>
      </c>
      <c r="X147" s="157">
        <f t="shared" si="60"/>
        <v>45059</v>
      </c>
      <c r="Y147" s="383">
        <f t="shared" si="61"/>
        <v>38.25887333204507</v>
      </c>
      <c r="Z147" s="383">
        <f t="shared" si="62"/>
        <v>39.438117798488953</v>
      </c>
      <c r="AA147" s="384">
        <f t="shared" si="63"/>
        <v>40.505470999268063</v>
      </c>
      <c r="AB147" s="197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2.6350840379029194E-2</v>
      </c>
      <c r="AD147" s="230">
        <f>(INDEX(Models!$BJ147:$BT147,,AH147)*(1-AF147)+INDEX(Models!$BJ147:$BT147,,AH147+1)*AF147-ERP_i)*AE147*Ramure*Pc/MaxiM</f>
        <v>1.4575684868277368E-3</v>
      </c>
      <c r="AE147" s="304">
        <f t="shared" si="65"/>
        <v>0.7</v>
      </c>
      <c r="AF147" s="177">
        <f t="shared" si="66"/>
        <v>0.49469129424706426</v>
      </c>
      <c r="AG147" s="799">
        <f t="shared" si="74"/>
        <v>0</v>
      </c>
      <c r="AH147" s="176">
        <f t="shared" si="67"/>
        <v>6</v>
      </c>
      <c r="AI147" s="224">
        <f t="shared" si="68"/>
        <v>0.49469129424706426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45060</v>
      </c>
      <c r="B148" s="409">
        <f>'2022'!Wh/'2022'!Env_an*'2023'!Env_an</f>
        <v>54.174281513889056</v>
      </c>
      <c r="C148" s="829"/>
      <c r="D148" s="391">
        <f t="shared" si="50"/>
        <v>55.84515321131969</v>
      </c>
      <c r="E148" s="383">
        <f t="shared" si="72"/>
        <v>56.331094564288385</v>
      </c>
      <c r="F148" s="383">
        <f t="shared" si="51"/>
        <v>56.394303365112052</v>
      </c>
      <c r="G148" s="110">
        <f t="shared" si="73"/>
        <v>0.91507599412093121</v>
      </c>
      <c r="H148" s="412" t="b">
        <f>Wh_hp&gt;='2022'!Maxi_hp</f>
        <v>0</v>
      </c>
      <c r="I148" s="379">
        <f>IF(H148,Wh_hp,'2022'!Maxi_hp)</f>
        <v>59.065123459499134</v>
      </c>
      <c r="J148" s="85">
        <f>IF(H148,An,'2022'!An_max)</f>
        <v>2018</v>
      </c>
      <c r="K148" s="197">
        <f t="shared" si="52"/>
        <v>45060</v>
      </c>
      <c r="L148" s="147">
        <f>IF(t&lt;Tvie,1-EXP((T0-t)*PertePVj)+'2022'!Pspv,1-EXP((T0-t)*PertePVj)+Pspv)</f>
        <v>2.9919726267166102E-2</v>
      </c>
      <c r="M148" s="832"/>
      <c r="N148" s="832"/>
      <c r="O148" s="48">
        <f>IF(t&lt;Tnet,'2022'!Resal+('2022'!Salim-'2022'!Resal)*(1-EXP(('2022'!Tnet-t)/('2022'!Tau_j))),Resal+(Salim-Resal)*(1-EXP((Tnet-t)/(Tau_j))))*Salcycl</f>
        <v>8.6265206938967633E-3</v>
      </c>
      <c r="P148" s="338">
        <f>(INDEX(Models!$BJ148:$BT148,,T148)*(1-R148)+INDEX(Models!$BJ148:$BT148,,T148+1)*R148-ERP_i)*Q148*Ramure*Pc/MaxiM</f>
        <v>1.2752979492369272E-3</v>
      </c>
      <c r="Q148" s="304">
        <f t="shared" si="53"/>
        <v>0.7</v>
      </c>
      <c r="R148" s="177">
        <f t="shared" si="54"/>
        <v>0.43339770523971399</v>
      </c>
      <c r="S148" s="799">
        <f t="shared" si="55"/>
        <v>0</v>
      </c>
      <c r="T148" s="176">
        <f t="shared" si="56"/>
        <v>6</v>
      </c>
      <c r="U148" s="250">
        <f t="shared" si="57"/>
        <v>0.43339770523971399</v>
      </c>
      <c r="V148" s="382">
        <f t="shared" si="58"/>
        <v>59.192793430593341</v>
      </c>
      <c r="W148" s="400">
        <f t="shared" si="59"/>
        <v>54.174281513889056</v>
      </c>
      <c r="X148" s="157">
        <f t="shared" si="60"/>
        <v>45060</v>
      </c>
      <c r="Y148" s="383">
        <f t="shared" si="61"/>
        <v>53.195476978804443</v>
      </c>
      <c r="Z148" s="383">
        <f t="shared" si="62"/>
        <v>54.836159871708517</v>
      </c>
      <c r="AA148" s="384">
        <f t="shared" si="63"/>
        <v>56.326146111972058</v>
      </c>
      <c r="AB148" s="197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2.6452834839819483E-2</v>
      </c>
      <c r="AD148" s="230">
        <f>(INDEX(Models!$BJ148:$BT148,,AH148)*(1-AF148)+INDEX(Models!$BJ148:$BT148,,AH148+1)*AF148-ERP_i)*AE148*Ramure*Pc/MaxiM</f>
        <v>1.3751377026997059E-3</v>
      </c>
      <c r="AE148" s="304">
        <f t="shared" si="65"/>
        <v>0.7</v>
      </c>
      <c r="AF148" s="177">
        <f t="shared" si="66"/>
        <v>0.49772992749954614</v>
      </c>
      <c r="AG148" s="799">
        <f t="shared" si="74"/>
        <v>0</v>
      </c>
      <c r="AH148" s="176">
        <f t="shared" si="67"/>
        <v>6</v>
      </c>
      <c r="AI148" s="224">
        <f t="shared" si="68"/>
        <v>0.49772992749954614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45061</v>
      </c>
      <c r="B149" s="409">
        <f>'2022'!Wh/'2022'!Env_an*'2023'!Env_an</f>
        <v>56.079949783564764</v>
      </c>
      <c r="C149" s="829"/>
      <c r="D149" s="391">
        <f t="shared" si="50"/>
        <v>57.810705033521224</v>
      </c>
      <c r="E149" s="383">
        <f t="shared" si="72"/>
        <v>58.32029831333255</v>
      </c>
      <c r="F149" s="383">
        <f t="shared" si="51"/>
        <v>58.384697210958947</v>
      </c>
      <c r="G149" s="110">
        <f t="shared" si="73"/>
        <v>0.94663285831700295</v>
      </c>
      <c r="H149" s="412" t="b">
        <f>Wh_hp&gt;='2022'!Maxi_hp</f>
        <v>0</v>
      </c>
      <c r="I149" s="379">
        <f>IF(H149,Wh_hp,'2022'!Maxi_hp)</f>
        <v>59.483162733669118</v>
      </c>
      <c r="J149" s="85">
        <f>IF(H149,An,'2022'!An_max)</f>
        <v>2018</v>
      </c>
      <c r="K149" s="197">
        <f t="shared" si="52"/>
        <v>45061</v>
      </c>
      <c r="L149" s="147">
        <f>IF(t&lt;Tvie,1-EXP((T0-t)*PertePVj)+'2022'!Pspv,1-EXP((T0-t)*PertePVj)+Pspv)</f>
        <v>2.9938317634301326E-2</v>
      </c>
      <c r="M149" s="832"/>
      <c r="N149" s="832"/>
      <c r="O149" s="48">
        <f>IF(t&lt;Tnet,'2022'!Resal+('2022'!Salim-'2022'!Resal)*(1-EXP(('2022'!Tnet-t)/('2022'!Tau_j))),Resal+(Salim-Resal)*(1-EXP((Tnet-t)/(Tau_j))))*Salcycl</f>
        <v>8.7378373319264568E-3</v>
      </c>
      <c r="P149" s="338">
        <f>(INDEX(Models!$BJ149:$BT149,,T149)*(1-R149)+INDEX(Models!$BJ149:$BT149,,T149+1)*R149-ERP_i)*Q149*Ramure*Pc/MaxiM</f>
        <v>1.1938831722959036E-3</v>
      </c>
      <c r="Q149" s="304">
        <f t="shared" si="53"/>
        <v>0.7</v>
      </c>
      <c r="R149" s="177">
        <f t="shared" si="54"/>
        <v>0.43649993861174574</v>
      </c>
      <c r="S149" s="799">
        <f t="shared" si="55"/>
        <v>0</v>
      </c>
      <c r="T149" s="176">
        <f t="shared" si="56"/>
        <v>6</v>
      </c>
      <c r="U149" s="250">
        <f t="shared" si="57"/>
        <v>0.43649993861174574</v>
      </c>
      <c r="V149" s="382">
        <f t="shared" si="58"/>
        <v>59.236109853643704</v>
      </c>
      <c r="W149" s="400">
        <f t="shared" si="59"/>
        <v>56.079949783564764</v>
      </c>
      <c r="X149" s="157">
        <f t="shared" si="60"/>
        <v>45061</v>
      </c>
      <c r="Y149" s="383">
        <f t="shared" si="61"/>
        <v>55.067087055810269</v>
      </c>
      <c r="Z149" s="383">
        <f t="shared" si="62"/>
        <v>56.766583050180522</v>
      </c>
      <c r="AA149" s="384">
        <f t="shared" si="63"/>
        <v>58.315144808839129</v>
      </c>
      <c r="AB149" s="197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2.6555052958110593E-2</v>
      </c>
      <c r="AD149" s="230">
        <f>(INDEX(Models!$BJ149:$BT149,,AH149)*(1-AF149)+INDEX(Models!$BJ149:$BT149,,AH149+1)*AF149-ERP_i)*AE149*Ramure*Pc/MaxiM</f>
        <v>1.2894233526377812E-3</v>
      </c>
      <c r="AE149" s="304">
        <f t="shared" si="65"/>
        <v>0.7</v>
      </c>
      <c r="AF149" s="177">
        <f t="shared" si="66"/>
        <v>0.50083216087157789</v>
      </c>
      <c r="AG149" s="799">
        <f t="shared" si="74"/>
        <v>0</v>
      </c>
      <c r="AH149" s="176">
        <f t="shared" si="67"/>
        <v>6</v>
      </c>
      <c r="AI149" s="224">
        <f t="shared" si="68"/>
        <v>0.50083216087157789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45062</v>
      </c>
      <c r="B150" s="409">
        <f>'2022'!Wh/'2022'!Env_an*'2023'!Env_an</f>
        <v>52.265250945244439</v>
      </c>
      <c r="C150" s="829"/>
      <c r="D150" s="391">
        <f t="shared" si="50"/>
        <v>53.879308466849004</v>
      </c>
      <c r="E150" s="383">
        <f t="shared" si="72"/>
        <v>54.36035604017362</v>
      </c>
      <c r="F150" s="383">
        <f t="shared" si="51"/>
        <v>54.410641703027579</v>
      </c>
      <c r="G150" s="110">
        <f t="shared" si="73"/>
        <v>0.88155351733848619</v>
      </c>
      <c r="H150" s="412" t="b">
        <f>Wh_hp&gt;='2022'!Maxi_hp</f>
        <v>0</v>
      </c>
      <c r="I150" s="379">
        <f>IF(H150,Wh_hp,'2022'!Maxi_hp)</f>
        <v>55.435904399739371</v>
      </c>
      <c r="J150" s="85">
        <f>IF(H150,An,'2022'!An_max)</f>
        <v>2018</v>
      </c>
      <c r="K150" s="197">
        <f t="shared" si="52"/>
        <v>45062</v>
      </c>
      <c r="L150" s="147">
        <f>IF(t&lt;Tvie,1-EXP((T0-t)*PertePVj)+'2022'!Pspv,1-EXP((T0-t)*PertePVj)+Pspv)</f>
        <v>2.9956908645137226E-2</v>
      </c>
      <c r="M150" s="832"/>
      <c r="N150" s="832"/>
      <c r="O150" s="48">
        <f>IF(t&lt;Tnet,'2022'!Resal+('2022'!Salim-'2022'!Resal)*(1-EXP(('2022'!Tnet-t)/('2022'!Tau_j))),Resal+(Salim-Resal)*(1-EXP((Tnet-t)/(Tau_j))))*Salcycl</f>
        <v>8.849235147928524E-3</v>
      </c>
      <c r="P150" s="338">
        <f>(INDEX(Models!$BJ150:$BT150,,T150)*(1-R150)+INDEX(Models!$BJ150:$BT150,,T150+1)*R150-ERP_i)*Q150*Ramure*Pc/MaxiM</f>
        <v>1.1121025968443958E-3</v>
      </c>
      <c r="Q150" s="304">
        <f t="shared" si="53"/>
        <v>0.7</v>
      </c>
      <c r="R150" s="177">
        <f t="shared" si="54"/>
        <v>0.43966508858064662</v>
      </c>
      <c r="S150" s="799">
        <f t="shared" si="55"/>
        <v>0</v>
      </c>
      <c r="T150" s="176">
        <f t="shared" si="56"/>
        <v>6</v>
      </c>
      <c r="U150" s="250">
        <f t="shared" si="57"/>
        <v>0.43966508858064662</v>
      </c>
      <c r="V150" s="382">
        <f t="shared" si="58"/>
        <v>59.276515185285007</v>
      </c>
      <c r="W150" s="400">
        <f t="shared" si="59"/>
        <v>52.265250945244439</v>
      </c>
      <c r="X150" s="157">
        <f t="shared" si="60"/>
        <v>45062</v>
      </c>
      <c r="Y150" s="383">
        <f t="shared" si="61"/>
        <v>51.322310778742022</v>
      </c>
      <c r="Z150" s="383">
        <f t="shared" si="62"/>
        <v>52.907248385285605</v>
      </c>
      <c r="AA150" s="384">
        <f t="shared" si="63"/>
        <v>54.356249006119441</v>
      </c>
      <c r="AB150" s="197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2.6657480001438395E-2</v>
      </c>
      <c r="AD150" s="230">
        <f>(INDEX(Models!$BJ150:$BT150,,AH150)*(1-AF150)+INDEX(Models!$BJ150:$BT150,,AH150+1)*AF150-ERP_i)*AE150*Ramure*Pc/MaxiM</f>
        <v>1.2029325268434693E-3</v>
      </c>
      <c r="AE150" s="304">
        <f t="shared" si="65"/>
        <v>0.7</v>
      </c>
      <c r="AF150" s="177">
        <f t="shared" si="66"/>
        <v>0.50399731084047872</v>
      </c>
      <c r="AG150" s="799">
        <f t="shared" si="74"/>
        <v>0</v>
      </c>
      <c r="AH150" s="176">
        <f t="shared" si="67"/>
        <v>6</v>
      </c>
      <c r="AI150" s="224">
        <f t="shared" si="68"/>
        <v>0.50399731084047872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45063</v>
      </c>
      <c r="B151" s="409">
        <f>'2022'!Wh/'2022'!Env_an*'2023'!Env_an</f>
        <v>57.191346620731544</v>
      </c>
      <c r="C151" s="829"/>
      <c r="D151" s="391">
        <f t="shared" si="50"/>
        <v>58.958661950746247</v>
      </c>
      <c r="E151" s="383">
        <f t="shared" si="72"/>
        <v>59.491750302410821</v>
      </c>
      <c r="F151" s="383">
        <f t="shared" si="51"/>
        <v>59.55014223244077</v>
      </c>
      <c r="G151" s="110">
        <f t="shared" si="73"/>
        <v>0.96416543366865204</v>
      </c>
      <c r="H151" s="412" t="b">
        <f>Wh_hp&gt;='2022'!Maxi_hp</f>
        <v>0</v>
      </c>
      <c r="I151" s="379">
        <f>IF(H151,Wh_hp,'2022'!Maxi_hp)</f>
        <v>59.551773211807408</v>
      </c>
      <c r="J151" s="85">
        <f>IF(H151,An,'2022'!An_max)</f>
        <v>2022</v>
      </c>
      <c r="K151" s="197">
        <f t="shared" si="52"/>
        <v>45063</v>
      </c>
      <c r="L151" s="147">
        <f>IF(t&lt;Tvie,1-EXP((T0-t)*PertePVj)+'2022'!Pspv,1-EXP((T0-t)*PertePVj)+Pspv)</f>
        <v>2.9975499299680686E-2</v>
      </c>
      <c r="M151" s="832"/>
      <c r="N151" s="832"/>
      <c r="O151" s="48">
        <f>IF(t&lt;Tnet,'2022'!Resal+('2022'!Salim-'2022'!Resal)*(1-EXP(('2022'!Tnet-t)/('2022'!Tau_j))),Resal+(Salim-Resal)*(1-EXP((Tnet-t)/(Tau_j))))*Salcycl</f>
        <v>8.9607105011158487E-3</v>
      </c>
      <c r="P151" s="338">
        <f>(INDEX(Models!$BJ151:$BT151,,T151)*(1-R151)+INDEX(Models!$BJ151:$BT151,,T151+1)*R151-ERP_i)*Q151*Ramure*Pc/MaxiM</f>
        <v>1.0333762127129502E-3</v>
      </c>
      <c r="Q151" s="304">
        <f t="shared" si="53"/>
        <v>0.7</v>
      </c>
      <c r="R151" s="177">
        <f t="shared" si="54"/>
        <v>0.44289233526862565</v>
      </c>
      <c r="S151" s="799">
        <f t="shared" si="55"/>
        <v>0</v>
      </c>
      <c r="T151" s="176">
        <f t="shared" si="56"/>
        <v>6</v>
      </c>
      <c r="U151" s="250">
        <f t="shared" si="57"/>
        <v>0.44289233526862565</v>
      </c>
      <c r="V151" s="382">
        <f t="shared" si="58"/>
        <v>59.313807042563759</v>
      </c>
      <c r="W151" s="400">
        <f t="shared" si="59"/>
        <v>57.191346620731544</v>
      </c>
      <c r="X151" s="157">
        <f t="shared" si="60"/>
        <v>45063</v>
      </c>
      <c r="Y151" s="383">
        <f t="shared" si="61"/>
        <v>56.159581560924671</v>
      </c>
      <c r="Z151" s="383">
        <f t="shared" si="62"/>
        <v>57.89501349747318</v>
      </c>
      <c r="AA151" s="384">
        <f t="shared" si="63"/>
        <v>59.486888599229239</v>
      </c>
      <c r="AB151" s="197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2.6760100237898262E-2</v>
      </c>
      <c r="AD151" s="230">
        <f>(INDEX(Models!$BJ151:$BT151,,AH151)*(1-AF151)+INDEX(Models!$BJ151:$BT151,,AH151+1)*AF151-ERP_i)*AE151*Ramure*Pc/MaxiM</f>
        <v>1.1194149584529429E-3</v>
      </c>
      <c r="AE151" s="304">
        <f t="shared" si="65"/>
        <v>0.7</v>
      </c>
      <c r="AF151" s="177">
        <f t="shared" si="66"/>
        <v>0.50722455752845785</v>
      </c>
      <c r="AG151" s="799">
        <f t="shared" si="74"/>
        <v>0</v>
      </c>
      <c r="AH151" s="176">
        <f t="shared" si="67"/>
        <v>6</v>
      </c>
      <c r="AI151" s="224">
        <f t="shared" si="68"/>
        <v>0.50722455752845785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45064</v>
      </c>
      <c r="B152" s="409">
        <f>'2022'!Wh/'2022'!Env_an*'2023'!Env_an</f>
        <v>54.816546640661457</v>
      </c>
      <c r="C152" s="829"/>
      <c r="D152" s="391">
        <f t="shared" si="50"/>
        <v>56.511559417138322</v>
      </c>
      <c r="E152" s="383">
        <f t="shared" si="72"/>
        <v>57.028940750382937</v>
      </c>
      <c r="F152" s="383">
        <f t="shared" si="51"/>
        <v>57.077640489022997</v>
      </c>
      <c r="G152" s="110">
        <f t="shared" si="73"/>
        <v>0.92354969572414103</v>
      </c>
      <c r="H152" s="412" t="b">
        <f>Wh_hp&gt;='2022'!Maxi_hp</f>
        <v>0</v>
      </c>
      <c r="I152" s="379">
        <f>IF(H152,Wh_hp,'2022'!Maxi_hp)</f>
        <v>60.850795316552379</v>
      </c>
      <c r="J152" s="85">
        <f>IF(H152,An,'2022'!An_max)</f>
        <v>2020</v>
      </c>
      <c r="K152" s="197">
        <f t="shared" si="52"/>
        <v>45064</v>
      </c>
      <c r="L152" s="147">
        <f>IF(t&lt;Tvie,1-EXP((T0-t)*PertePVj)+'2022'!Pspv,1-EXP((T0-t)*PertePVj)+Pspv)</f>
        <v>2.9994089597938367E-2</v>
      </c>
      <c r="M152" s="832"/>
      <c r="N152" s="832"/>
      <c r="O152" s="48">
        <f>IF(t&lt;Tnet,'2022'!Resal+('2022'!Salim-'2022'!Resal)*(1-EXP(('2022'!Tnet-t)/('2022'!Tau_j))),Resal+(Salim-Resal)*(1-EXP((Tnet-t)/(Tau_j))))*Salcycl</f>
        <v>9.0722592150046747E-3</v>
      </c>
      <c r="P152" s="338">
        <f>(INDEX(Models!$BJ152:$BT152,,T152)*(1-R152)+INDEX(Models!$BJ152:$BT152,,T152+1)*R152-ERP_i)*Q152*Ramure*Pc/MaxiM</f>
        <v>9.5767981663112472E-4</v>
      </c>
      <c r="Q152" s="304">
        <f t="shared" si="53"/>
        <v>0.7</v>
      </c>
      <c r="R152" s="177">
        <f t="shared" si="54"/>
        <v>0.44618071944779136</v>
      </c>
      <c r="S152" s="799">
        <f t="shared" si="55"/>
        <v>0</v>
      </c>
      <c r="T152" s="176">
        <f t="shared" si="56"/>
        <v>6</v>
      </c>
      <c r="U152" s="250">
        <f t="shared" si="57"/>
        <v>0.44618071944779136</v>
      </c>
      <c r="V152" s="382">
        <f t="shared" si="58"/>
        <v>59.347987265005358</v>
      </c>
      <c r="W152" s="400">
        <f t="shared" si="59"/>
        <v>54.816546640661457</v>
      </c>
      <c r="X152" s="157">
        <f t="shared" si="60"/>
        <v>45064</v>
      </c>
      <c r="Y152" s="383">
        <f t="shared" si="61"/>
        <v>53.828500815708473</v>
      </c>
      <c r="Z152" s="383">
        <f t="shared" si="62"/>
        <v>55.492961680405514</v>
      </c>
      <c r="AA152" s="384">
        <f t="shared" si="63"/>
        <v>57.024813365804825</v>
      </c>
      <c r="AB152" s="197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2.6862896956325582E-2</v>
      </c>
      <c r="AD152" s="230">
        <f>(INDEX(Models!$BJ152:$BT152,,AH152)*(1-AF152)+INDEX(Models!$BJ152:$BT152,,AH152+1)*AF152-ERP_i)*AE152*Ramure*Pc/MaxiM</f>
        <v>1.0388447882780441E-3</v>
      </c>
      <c r="AE152" s="304">
        <f t="shared" si="65"/>
        <v>0.7</v>
      </c>
      <c r="AF152" s="177">
        <f t="shared" si="66"/>
        <v>0.51051294170762351</v>
      </c>
      <c r="AG152" s="799">
        <f t="shared" si="74"/>
        <v>0</v>
      </c>
      <c r="AH152" s="176">
        <f t="shared" si="67"/>
        <v>6</v>
      </c>
      <c r="AI152" s="224">
        <f t="shared" si="68"/>
        <v>0.51051294170762351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45065</v>
      </c>
      <c r="B153" s="409">
        <f>'2022'!Wh/'2022'!Env_an*'2023'!Env_an</f>
        <v>53.187488256395824</v>
      </c>
      <c r="C153" s="829"/>
      <c r="D153" s="391">
        <f t="shared" si="50"/>
        <v>54.833178882346658</v>
      </c>
      <c r="E153" s="383">
        <f t="shared" si="72"/>
        <v>55.34142772410641</v>
      </c>
      <c r="F153" s="383">
        <f t="shared" si="51"/>
        <v>55.383140242970001</v>
      </c>
      <c r="G153" s="110">
        <f t="shared" si="73"/>
        <v>0.89560989074888153</v>
      </c>
      <c r="H153" s="412" t="b">
        <f>Wh_hp&gt;='2022'!Maxi_hp</f>
        <v>0</v>
      </c>
      <c r="I153" s="379">
        <f>IF(H153,Wh_hp,'2022'!Maxi_hp)</f>
        <v>61.039716032201341</v>
      </c>
      <c r="J153" s="85">
        <f>IF(H153,An,'2022'!An_max)</f>
        <v>2020</v>
      </c>
      <c r="K153" s="197">
        <f t="shared" si="52"/>
        <v>45065</v>
      </c>
      <c r="L153" s="147">
        <f>IF(t&lt;Tvie,1-EXP((T0-t)*PertePVj)+'2022'!Pspv,1-EXP((T0-t)*PertePVj)+Pspv)</f>
        <v>3.0012679539917375E-2</v>
      </c>
      <c r="M153" s="832"/>
      <c r="N153" s="832"/>
      <c r="O153" s="48">
        <f>IF(t&lt;Tnet,'2022'!Resal+('2022'!Salim-'2022'!Resal)*(1-EXP(('2022'!Tnet-t)/('2022'!Tau_j))),Resal+(Salim-Resal)*(1-EXP((Tnet-t)/(Tau_j))))*Salcycl</f>
        <v>9.1838765760349442E-3</v>
      </c>
      <c r="P153" s="338">
        <f>(INDEX(Models!$BJ153:$BT153,,T153)*(1-R153)+INDEX(Models!$BJ153:$BT153,,T153+1)*R153-ERP_i)*Q153*Ramure*Pc/MaxiM</f>
        <v>8.8499093286529846E-4</v>
      </c>
      <c r="Q153" s="304">
        <f t="shared" si="53"/>
        <v>0.7</v>
      </c>
      <c r="R153" s="177">
        <f t="shared" si="54"/>
        <v>0.44952914006162853</v>
      </c>
      <c r="S153" s="799">
        <f t="shared" si="55"/>
        <v>0</v>
      </c>
      <c r="T153" s="176">
        <f t="shared" si="56"/>
        <v>6</v>
      </c>
      <c r="U153" s="250">
        <f t="shared" si="57"/>
        <v>0.44952914006162853</v>
      </c>
      <c r="V153" s="382">
        <f t="shared" si="58"/>
        <v>59.379057680755572</v>
      </c>
      <c r="W153" s="400">
        <f t="shared" si="59"/>
        <v>53.187488256395824</v>
      </c>
      <c r="X153" s="157">
        <f t="shared" si="60"/>
        <v>45065</v>
      </c>
      <c r="Y153" s="383">
        <f t="shared" si="61"/>
        <v>52.2295530658605</v>
      </c>
      <c r="Z153" s="383">
        <f t="shared" si="62"/>
        <v>53.845603920974014</v>
      </c>
      <c r="AA153" s="384">
        <f t="shared" si="63"/>
        <v>55.337835839449156</v>
      </c>
      <c r="AB153" s="197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2.6965852492036986E-2</v>
      </c>
      <c r="AD153" s="230">
        <f>(INDEX(Models!$BJ153:$BT153,,AH153)*(1-AF153)+INDEX(Models!$BJ153:$BT153,,AH153+1)*AF153-ERP_i)*AE153*Ramure*Pc/MaxiM</f>
        <v>9.6119791916507121E-4</v>
      </c>
      <c r="AE153" s="304">
        <f t="shared" si="65"/>
        <v>0.7</v>
      </c>
      <c r="AF153" s="177">
        <f t="shared" si="66"/>
        <v>0.51386136232146062</v>
      </c>
      <c r="AG153" s="799">
        <f t="shared" si="74"/>
        <v>0</v>
      </c>
      <c r="AH153" s="176">
        <f t="shared" si="67"/>
        <v>6</v>
      </c>
      <c r="AI153" s="224">
        <f t="shared" si="68"/>
        <v>0.51386136232146062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45066</v>
      </c>
      <c r="B154" s="409">
        <f>'2022'!Wh/'2022'!Env_an*'2023'!Env_an</f>
        <v>51.57239556999226</v>
      </c>
      <c r="C154" s="829"/>
      <c r="D154" s="391">
        <f t="shared" si="50"/>
        <v>53.169132084806961</v>
      </c>
      <c r="E154" s="383">
        <f t="shared" si="72"/>
        <v>53.668006112671605</v>
      </c>
      <c r="F154" s="383">
        <f t="shared" si="51"/>
        <v>53.70354109376445</v>
      </c>
      <c r="G154" s="110">
        <f t="shared" si="73"/>
        <v>0.86798611789179858</v>
      </c>
      <c r="H154" s="412" t="b">
        <f>Wh_hp&gt;='2022'!Maxi_hp</f>
        <v>0</v>
      </c>
      <c r="I154" s="379">
        <f>IF(H154,Wh_hp,'2022'!Maxi_hp)</f>
        <v>60.491890433923544</v>
      </c>
      <c r="J154" s="85">
        <f>IF(H154,An,'2022'!An_max)</f>
        <v>2020</v>
      </c>
      <c r="K154" s="197">
        <f t="shared" si="52"/>
        <v>45066</v>
      </c>
      <c r="L154" s="147">
        <f>IF(t&lt;Tvie,1-EXP((T0-t)*PertePVj)+'2022'!Pspv,1-EXP((T0-t)*PertePVj)+Pspv)</f>
        <v>3.003126912562426E-2</v>
      </c>
      <c r="M154" s="832"/>
      <c r="N154" s="832"/>
      <c r="O154" s="48">
        <f>IF(t&lt;Tnet,'2022'!Resal+('2022'!Salim-'2022'!Resal)*(1-EXP(('2022'!Tnet-t)/('2022'!Tau_j))),Resal+(Salim-Resal)*(1-EXP((Tnet-t)/(Tau_j))))*Salcycl</f>
        <v>9.2955573347982996E-3</v>
      </c>
      <c r="P154" s="338">
        <f>(INDEX(Models!$BJ154:$BT154,,T154)*(1-R154)+INDEX(Models!$BJ154:$BT154,,T154+1)*R154-ERP_i)*Q154*Ramure*Pc/MaxiM</f>
        <v>8.1528879041090606E-4</v>
      </c>
      <c r="Q154" s="304">
        <f t="shared" si="53"/>
        <v>0.7</v>
      </c>
      <c r="R154" s="177">
        <f t="shared" si="54"/>
        <v>0.45293635230775708</v>
      </c>
      <c r="S154" s="799">
        <f t="shared" si="55"/>
        <v>0</v>
      </c>
      <c r="T154" s="176">
        <f t="shared" si="56"/>
        <v>6</v>
      </c>
      <c r="U154" s="250">
        <f t="shared" si="57"/>
        <v>0.45293635230775708</v>
      </c>
      <c r="V154" s="382">
        <f t="shared" si="58"/>
        <v>59.407020105495178</v>
      </c>
      <c r="W154" s="400">
        <f t="shared" si="59"/>
        <v>51.57239556999226</v>
      </c>
      <c r="X154" s="157">
        <f t="shared" si="60"/>
        <v>45066</v>
      </c>
      <c r="Y154" s="383">
        <f t="shared" si="61"/>
        <v>50.644251701300277</v>
      </c>
      <c r="Z154" s="383">
        <f t="shared" si="62"/>
        <v>52.212251889447145</v>
      </c>
      <c r="AA154" s="384">
        <f t="shared" si="63"/>
        <v>53.664904410210198</v>
      </c>
      <c r="AB154" s="197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2.7068948258234013E-2</v>
      </c>
      <c r="AD154" s="230">
        <f>(INDEX(Models!$BJ154:$BT154,,AH154)*(1-AF154)+INDEX(Models!$BJ154:$BT154,,AH154+1)*AF154-ERP_i)*AE154*Ramure*Pc/MaxiM</f>
        <v>8.8645199833190978E-4</v>
      </c>
      <c r="AE154" s="304">
        <f t="shared" si="65"/>
        <v>0.7</v>
      </c>
      <c r="AF154" s="177">
        <f t="shared" si="66"/>
        <v>0.51726857456758923</v>
      </c>
      <c r="AG154" s="799">
        <f t="shared" si="74"/>
        <v>0</v>
      </c>
      <c r="AH154" s="176">
        <f t="shared" si="67"/>
        <v>6</v>
      </c>
      <c r="AI154" s="224">
        <f t="shared" si="68"/>
        <v>0.51726857456758923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45067</v>
      </c>
      <c r="B155" s="409">
        <f>'2022'!Wh/'2022'!Env_an*'2023'!Env_an</f>
        <v>56.4843857886598</v>
      </c>
      <c r="C155" s="829"/>
      <c r="D155" s="391">
        <f t="shared" si="50"/>
        <v>58.234318820623294</v>
      </c>
      <c r="E155" s="383">
        <f t="shared" si="72"/>
        <v>58.787348794741625</v>
      </c>
      <c r="F155" s="383">
        <f t="shared" si="51"/>
        <v>58.828265019486118</v>
      </c>
      <c r="G155" s="110">
        <f t="shared" si="73"/>
        <v>0.95035512181427972</v>
      </c>
      <c r="H155" s="412" t="b">
        <f>Wh_hp&gt;='2022'!Maxi_hp</f>
        <v>0</v>
      </c>
      <c r="I155" s="379">
        <f>IF(H155,Wh_hp,'2022'!Maxi_hp)</f>
        <v>59.791074222210042</v>
      </c>
      <c r="J155" s="85">
        <f>IF(H155,An,'2022'!An_max)</f>
        <v>2020</v>
      </c>
      <c r="K155" s="197">
        <f t="shared" si="52"/>
        <v>45067</v>
      </c>
      <c r="L155" s="147">
        <f>IF(t&lt;Tvie,1-EXP((T0-t)*PertePVj)+'2022'!Pspv,1-EXP((T0-t)*PertePVj)+Pspv)</f>
        <v>3.0049858355066128E-2</v>
      </c>
      <c r="M155" s="832"/>
      <c r="N155" s="832"/>
      <c r="O155" s="48">
        <f>IF(t&lt;Tnet,'2022'!Resal+('2022'!Salim-'2022'!Resal)*(1-EXP(('2022'!Tnet-t)/('2022'!Tau_j))),Resal+(Salim-Resal)*(1-EXP((Tnet-t)/(Tau_j))))*Salcycl</f>
        <v>9.4072957099878337E-3</v>
      </c>
      <c r="P155" s="338">
        <f>(INDEX(Models!$BJ155:$BT155,,T155)*(1-R155)+INDEX(Models!$BJ155:$BT155,,T155+1)*R155-ERP_i)*Q155*Ramure*Pc/MaxiM</f>
        <v>7.4855429965653311E-4</v>
      </c>
      <c r="Q155" s="304">
        <f t="shared" si="53"/>
        <v>0.7</v>
      </c>
      <c r="R155" s="177">
        <f t="shared" si="54"/>
        <v>0.45640096632451133</v>
      </c>
      <c r="S155" s="799">
        <f t="shared" si="55"/>
        <v>0</v>
      </c>
      <c r="T155" s="176">
        <f t="shared" si="56"/>
        <v>6</v>
      </c>
      <c r="U155" s="250">
        <f t="shared" si="57"/>
        <v>0.45640096632451133</v>
      </c>
      <c r="V155" s="382">
        <f t="shared" si="58"/>
        <v>59.431876345645613</v>
      </c>
      <c r="W155" s="400">
        <f t="shared" si="59"/>
        <v>56.4843857886598</v>
      </c>
      <c r="X155" s="157">
        <f t="shared" si="60"/>
        <v>45067</v>
      </c>
      <c r="Y155" s="383">
        <f t="shared" si="61"/>
        <v>55.468013040461535</v>
      </c>
      <c r="Z155" s="383">
        <f t="shared" si="62"/>
        <v>57.186458003288287</v>
      </c>
      <c r="AA155" s="384">
        <f t="shared" si="63"/>
        <v>58.783739458420897</v>
      </c>
      <c r="AB155" s="197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2.717216478312694E-2</v>
      </c>
      <c r="AD155" s="230">
        <f>(INDEX(Models!$BJ155:$BT155,,AH155)*(1-AF155)+INDEX(Models!$BJ155:$BT155,,AH155+1)*AF155-ERP_i)*AE155*Ramure*Pc/MaxiM</f>
        <v>8.1458639911481711E-4</v>
      </c>
      <c r="AE155" s="304">
        <f t="shared" si="65"/>
        <v>0.7</v>
      </c>
      <c r="AF155" s="177">
        <f t="shared" si="66"/>
        <v>0.52073318858434348</v>
      </c>
      <c r="AG155" s="799">
        <f t="shared" si="74"/>
        <v>0</v>
      </c>
      <c r="AH155" s="176">
        <f t="shared" si="67"/>
        <v>6</v>
      </c>
      <c r="AI155" s="224">
        <f t="shared" si="68"/>
        <v>0.52073318858434348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45068</v>
      </c>
      <c r="B156" s="409">
        <f>'2022'!Wh/'2022'!Env_an*'2023'!Env_an</f>
        <v>42.970576933793545</v>
      </c>
      <c r="C156" s="829"/>
      <c r="D156" s="391">
        <f t="shared" si="50"/>
        <v>44.302690031062028</v>
      </c>
      <c r="E156" s="383">
        <f t="shared" si="72"/>
        <v>44.728464100428639</v>
      </c>
      <c r="F156" s="383">
        <f t="shared" si="51"/>
        <v>44.747032736067979</v>
      </c>
      <c r="G156" s="110">
        <f t="shared" si="73"/>
        <v>0.72256277578457773</v>
      </c>
      <c r="H156" s="412" t="b">
        <f>Wh_hp&gt;='2022'!Maxi_hp</f>
        <v>0</v>
      </c>
      <c r="I156" s="379">
        <f>IF(H156,Wh_hp,'2022'!Maxi_hp)</f>
        <v>60.114527951171105</v>
      </c>
      <c r="J156" s="85">
        <f>IF(H156,An,'2022'!An_max)</f>
        <v>2018</v>
      </c>
      <c r="K156" s="197">
        <f t="shared" si="52"/>
        <v>45068</v>
      </c>
      <c r="L156" s="147">
        <f>IF(t&lt;Tvie,1-EXP((T0-t)*PertePVj)+'2022'!Pspv,1-EXP((T0-t)*PertePVj)+Pspv)</f>
        <v>3.0068447228249529E-2</v>
      </c>
      <c r="M156" s="832"/>
      <c r="N156" s="832"/>
      <c r="O156" s="48">
        <f>IF(t&lt;Tnet,'2022'!Resal+('2022'!Salim-'2022'!Resal)*(1-EXP(('2022'!Tnet-t)/('2022'!Tau_j))),Resal+(Salim-Resal)*(1-EXP((Tnet-t)/(Tau_j))))*Salcycl</f>
        <v>9.5190853951663754E-3</v>
      </c>
      <c r="P156" s="338">
        <f>(INDEX(Models!$BJ156:$BT156,,T156)*(1-R156)+INDEX(Models!$BJ156:$BT156,,T156+1)*R156-ERP_i)*Q156*Ramure*Pc/MaxiM</f>
        <v>6.871006713109033E-4</v>
      </c>
      <c r="Q156" s="304">
        <f t="shared" si="53"/>
        <v>0.7</v>
      </c>
      <c r="R156" s="177">
        <f t="shared" si="54"/>
        <v>0.45992144652095579</v>
      </c>
      <c r="S156" s="799">
        <f t="shared" si="55"/>
        <v>0</v>
      </c>
      <c r="T156" s="176">
        <f t="shared" si="56"/>
        <v>6</v>
      </c>
      <c r="U156" s="250">
        <f t="shared" si="57"/>
        <v>0.45992144652095579</v>
      </c>
      <c r="V156" s="382">
        <f t="shared" si="58"/>
        <v>59.453489534879459</v>
      </c>
      <c r="W156" s="400">
        <f t="shared" si="59"/>
        <v>42.970576933793545</v>
      </c>
      <c r="X156" s="157">
        <f t="shared" si="60"/>
        <v>45068</v>
      </c>
      <c r="Y156" s="383">
        <f t="shared" si="61"/>
        <v>42.198685876232446</v>
      </c>
      <c r="Z156" s="383">
        <f t="shared" si="62"/>
        <v>43.50686989782141</v>
      </c>
      <c r="AA156" s="384">
        <f t="shared" si="63"/>
        <v>44.726815333305417</v>
      </c>
      <c r="AB156" s="197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2.7275481752790549E-2</v>
      </c>
      <c r="AD156" s="230">
        <f>(INDEX(Models!$BJ156:$BT156,,AH156)*(1-AF156)+INDEX(Models!$BJ156:$BT156,,AH156+1)*AF156-ERP_i)*AE156*Ramure*Pc/MaxiM</f>
        <v>7.4811048480509707E-4</v>
      </c>
      <c r="AE156" s="304">
        <f t="shared" si="65"/>
        <v>0.7</v>
      </c>
      <c r="AF156" s="177">
        <f t="shared" si="66"/>
        <v>0.52425366878078794</v>
      </c>
      <c r="AG156" s="799">
        <f t="shared" si="74"/>
        <v>0</v>
      </c>
      <c r="AH156" s="176">
        <f t="shared" si="67"/>
        <v>6</v>
      </c>
      <c r="AI156" s="224">
        <f t="shared" si="68"/>
        <v>0.52425366878078794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45069</v>
      </c>
      <c r="B157" s="409">
        <f>'2022'!Wh/'2022'!Env_an*'2023'!Env_an</f>
        <v>17.87498717687059</v>
      </c>
      <c r="C157" s="829"/>
      <c r="D157" s="391">
        <f t="shared" si="50"/>
        <v>18.42947546391845</v>
      </c>
      <c r="E157" s="383">
        <f t="shared" si="72"/>
        <v>18.608694302014669</v>
      </c>
      <c r="F157" s="383">
        <f t="shared" si="51"/>
        <v>18.608703707799812</v>
      </c>
      <c r="G157" s="110">
        <f t="shared" si="73"/>
        <v>0.30037261748156213</v>
      </c>
      <c r="H157" s="412" t="b">
        <f>Wh_hp&gt;='2022'!Maxi_hp</f>
        <v>0</v>
      </c>
      <c r="I157" s="379">
        <f>IF(H157,Wh_hp,'2022'!Maxi_hp)</f>
        <v>59.059449252254765</v>
      </c>
      <c r="J157" s="85">
        <f>IF(H157,An,'2022'!An_max)</f>
        <v>2018</v>
      </c>
      <c r="K157" s="197">
        <f t="shared" si="52"/>
        <v>45069</v>
      </c>
      <c r="L157" s="147">
        <f>IF(t&lt;Tvie,1-EXP((T0-t)*PertePVj)+'2022'!Pspv,1-EXP((T0-t)*PertePVj)+Pspv)</f>
        <v>3.0087035745181456E-2</v>
      </c>
      <c r="M157" s="832"/>
      <c r="N157" s="832"/>
      <c r="O157" s="48">
        <f>IF(t&lt;Tnet,'2022'!Resal+('2022'!Salim-'2022'!Resal)*(1-EXP(('2022'!Tnet-t)/('2022'!Tau_j))),Resal+(Salim-Resal)*(1-EXP((Tnet-t)/(Tau_j))))*Salcycl</f>
        <v>9.6309195684305994E-3</v>
      </c>
      <c r="P157" s="338">
        <f>(INDEX(Models!$BJ157:$BT157,,T157)*(1-R157)+INDEX(Models!$BJ157:$BT157,,T157+1)*R157-ERP_i)*Q157*Ramure*Pc/MaxiM</f>
        <v>6.2982594876959314E-4</v>
      </c>
      <c r="Q157" s="304">
        <f t="shared" si="53"/>
        <v>0.7</v>
      </c>
      <c r="R157" s="177">
        <f t="shared" si="54"/>
        <v>0.46349611158637372</v>
      </c>
      <c r="S157" s="799">
        <f t="shared" si="55"/>
        <v>0</v>
      </c>
      <c r="T157" s="176">
        <f t="shared" si="56"/>
        <v>6</v>
      </c>
      <c r="U157" s="250">
        <f t="shared" si="57"/>
        <v>0.46349611158637372</v>
      </c>
      <c r="V157" s="382">
        <f t="shared" si="58"/>
        <v>59.471925986898057</v>
      </c>
      <c r="W157" s="400">
        <f t="shared" si="59"/>
        <v>17.87498717687059</v>
      </c>
      <c r="X157" s="157">
        <f t="shared" si="60"/>
        <v>45069</v>
      </c>
      <c r="Y157" s="383">
        <f t="shared" si="61"/>
        <v>17.554656785746964</v>
      </c>
      <c r="Z157" s="383">
        <f t="shared" si="62"/>
        <v>18.099208313226494</v>
      </c>
      <c r="AA157" s="384">
        <f t="shared" si="63"/>
        <v>18.608693462383727</v>
      </c>
      <c r="AB157" s="197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2.7378878059715724E-2</v>
      </c>
      <c r="AD157" s="230">
        <f>(INDEX(Models!$BJ157:$BT157,,AH157)*(1-AF157)+INDEX(Models!$BJ157:$BT157,,AH157+1)*AF157-ERP_i)*AE157*Ramure*Pc/MaxiM</f>
        <v>6.8604893783139314E-4</v>
      </c>
      <c r="AE157" s="304">
        <f t="shared" si="65"/>
        <v>0.7</v>
      </c>
      <c r="AF157" s="177">
        <f t="shared" si="66"/>
        <v>0.52782833384620587</v>
      </c>
      <c r="AG157" s="799">
        <f t="shared" si="74"/>
        <v>0</v>
      </c>
      <c r="AH157" s="176">
        <f t="shared" si="67"/>
        <v>6</v>
      </c>
      <c r="AI157" s="224">
        <f t="shared" si="68"/>
        <v>0.52782833384620587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45070</v>
      </c>
      <c r="B158" s="409">
        <f>'2022'!Wh/'2022'!Env_an*'2023'!Env_an</f>
        <v>15.53483199417202</v>
      </c>
      <c r="C158" s="829"/>
      <c r="D158" s="391">
        <f t="shared" si="50"/>
        <v>16.017034820567218</v>
      </c>
      <c r="E158" s="383">
        <f t="shared" si="72"/>
        <v>16.174620768684626</v>
      </c>
      <c r="F158" s="383">
        <f t="shared" si="51"/>
        <v>16.174620768684626</v>
      </c>
      <c r="G158" s="110">
        <f t="shared" si="73"/>
        <v>0.26099524072969266</v>
      </c>
      <c r="H158" s="412" t="b">
        <f>Wh_hp&gt;='2022'!Maxi_hp</f>
        <v>0</v>
      </c>
      <c r="I158" s="379">
        <f>IF(H158,Wh_hp,'2022'!Maxi_hp)</f>
        <v>26.660992397930677</v>
      </c>
      <c r="J158" s="85">
        <f>IF(H158,An,'2022'!An_max)</f>
        <v>2021</v>
      </c>
      <c r="K158" s="197">
        <f t="shared" si="52"/>
        <v>45070</v>
      </c>
      <c r="L158" s="147">
        <f>IF(t&lt;Tvie,1-EXP((T0-t)*PertePVj)+'2022'!Pspv,1-EXP((T0-t)*PertePVj)+Pspv)</f>
        <v>3.0105623905868684E-2</v>
      </c>
      <c r="M158" s="832"/>
      <c r="N158" s="832"/>
      <c r="O158" s="48">
        <f>IF(t&lt;Tnet,'2022'!Resal+('2022'!Salim-'2022'!Resal)*(1-EXP(('2022'!Tnet-t)/('2022'!Tau_j))),Resal+(Salim-Resal)*(1-EXP((Tnet-t)/(Tau_j))))*Salcycl</f>
        <v>9.7427909050273719E-3</v>
      </c>
      <c r="P158" s="338">
        <f>(INDEX(Models!$BJ158:$BT158,,T158)*(1-R158)+INDEX(Models!$BJ158:$BT158,,T158+1)*R158-ERP_i)*Q158*Ramure*Pc/MaxiM</f>
        <v>5.7677897898025007E-4</v>
      </c>
      <c r="Q158" s="304">
        <f t="shared" si="53"/>
        <v>0.7</v>
      </c>
      <c r="R158" s="177">
        <f t="shared" si="54"/>
        <v>0.46712313521103732</v>
      </c>
      <c r="S158" s="799">
        <f t="shared" si="55"/>
        <v>0</v>
      </c>
      <c r="T158" s="176">
        <f t="shared" si="56"/>
        <v>6</v>
      </c>
      <c r="U158" s="250">
        <f t="shared" si="57"/>
        <v>0.46712313521103732</v>
      </c>
      <c r="V158" s="382">
        <f t="shared" si="58"/>
        <v>59.487183698171783</v>
      </c>
      <c r="W158" s="400">
        <f t="shared" si="59"/>
        <v>15.53483199417202</v>
      </c>
      <c r="X158" s="157">
        <f t="shared" si="60"/>
        <v>45070</v>
      </c>
      <c r="Y158" s="383">
        <f t="shared" si="61"/>
        <v>15.256539863793035</v>
      </c>
      <c r="Z158" s="383">
        <f t="shared" si="62"/>
        <v>15.730104473058972</v>
      </c>
      <c r="AA158" s="384">
        <f t="shared" si="63"/>
        <v>16.174620768684626</v>
      </c>
      <c r="AB158" s="197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2.7482331856971458E-2</v>
      </c>
      <c r="AD158" s="230">
        <f>(INDEX(Models!$BJ158:$BT158,,AH158)*(1-AF158)+INDEX(Models!$BJ158:$BT158,,AH158+1)*AF158-ERP_i)*AE158*Ramure*Pc/MaxiM</f>
        <v>6.2845142768365155E-4</v>
      </c>
      <c r="AE158" s="304">
        <f t="shared" si="65"/>
        <v>0.7</v>
      </c>
      <c r="AF158" s="177">
        <f t="shared" si="66"/>
        <v>0.53145535747086947</v>
      </c>
      <c r="AG158" s="799">
        <f t="shared" si="74"/>
        <v>0</v>
      </c>
      <c r="AH158" s="176">
        <f t="shared" si="67"/>
        <v>6</v>
      </c>
      <c r="AI158" s="224">
        <f t="shared" si="68"/>
        <v>0.53145535747086947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45071</v>
      </c>
      <c r="B159" s="409">
        <f>'2022'!Wh/'2022'!Env_an*'2023'!Env_an</f>
        <v>42.928302072053022</v>
      </c>
      <c r="C159" s="829"/>
      <c r="D159" s="391">
        <f t="shared" si="50"/>
        <v>44.261649368270675</v>
      </c>
      <c r="E159" s="383">
        <f t="shared" si="72"/>
        <v>44.702175521569963</v>
      </c>
      <c r="F159" s="383">
        <f t="shared" si="51"/>
        <v>44.716392474426335</v>
      </c>
      <c r="G159" s="110">
        <f t="shared" si="73"/>
        <v>0.7213414182475042</v>
      </c>
      <c r="H159" s="412" t="b">
        <f>Wh_hp&gt;='2022'!Maxi_hp</f>
        <v>0</v>
      </c>
      <c r="I159" s="379">
        <f>IF(H159,Wh_hp,'2022'!Maxi_hp)</f>
        <v>56.87087566419774</v>
      </c>
      <c r="J159" s="85">
        <f>IF(H159,An,'2022'!An_max)</f>
        <v>2020</v>
      </c>
      <c r="K159" s="197">
        <f t="shared" si="52"/>
        <v>45071</v>
      </c>
      <c r="L159" s="147">
        <f>IF(t&lt;Tvie,1-EXP((T0-t)*PertePVj)+'2022'!Pspv,1-EXP((T0-t)*PertePVj)+Pspv)</f>
        <v>3.0124211710318094E-2</v>
      </c>
      <c r="M159" s="832"/>
      <c r="N159" s="832"/>
      <c r="O159" s="48">
        <f>IF(t&lt;Tnet,'2022'!Resal+('2022'!Salim-'2022'!Resal)*(1-EXP(('2022'!Tnet-t)/('2022'!Tau_j))),Resal+(Salim-Resal)*(1-EXP((Tnet-t)/(Tau_j))))*Salcycl</f>
        <v>9.8546915929566686E-3</v>
      </c>
      <c r="P159" s="338">
        <f>(INDEX(Models!$BJ159:$BT159,,T159)*(1-R159)+INDEX(Models!$BJ159:$BT159,,T159+1)*R159-ERP_i)*Q159*Ramure*Pc/MaxiM</f>
        <v>5.2801638385387248E-4</v>
      </c>
      <c r="Q159" s="304">
        <f t="shared" si="53"/>
        <v>0.7</v>
      </c>
      <c r="R159" s="177">
        <f t="shared" si="54"/>
        <v>0.47080054754521095</v>
      </c>
      <c r="S159" s="799">
        <f t="shared" si="55"/>
        <v>0</v>
      </c>
      <c r="T159" s="176">
        <f t="shared" si="56"/>
        <v>6</v>
      </c>
      <c r="U159" s="250">
        <f t="shared" si="57"/>
        <v>0.47080054754521095</v>
      </c>
      <c r="V159" s="382">
        <f t="shared" si="58"/>
        <v>59.499260302821035</v>
      </c>
      <c r="W159" s="400">
        <f t="shared" si="59"/>
        <v>42.928302072053022</v>
      </c>
      <c r="X159" s="157">
        <f t="shared" si="60"/>
        <v>45071</v>
      </c>
      <c r="Y159" s="383">
        <f t="shared" si="61"/>
        <v>42.1583564496962</v>
      </c>
      <c r="Z159" s="383">
        <f t="shared" si="62"/>
        <v>43.467789338302737</v>
      </c>
      <c r="AA159" s="384">
        <f t="shared" si="63"/>
        <v>44.700900357007164</v>
      </c>
      <c r="AB159" s="197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2.7585820617841955E-2</v>
      </c>
      <c r="AD159" s="230">
        <f>(INDEX(Models!$BJ159:$BT159,,AH159)*(1-AF159)+INDEX(Models!$BJ159:$BT159,,AH159+1)*AF159-ERP_i)*AE159*Ramure*Pc/MaxiM</f>
        <v>5.7537588402747052E-4</v>
      </c>
      <c r="AE159" s="304">
        <f t="shared" si="65"/>
        <v>0.7</v>
      </c>
      <c r="AF159" s="177">
        <f t="shared" si="66"/>
        <v>0.5351327698050431</v>
      </c>
      <c r="AG159" s="799">
        <f t="shared" si="74"/>
        <v>0</v>
      </c>
      <c r="AH159" s="176">
        <f t="shared" si="67"/>
        <v>6</v>
      </c>
      <c r="AI159" s="224">
        <f t="shared" si="68"/>
        <v>0.5351327698050431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45072</v>
      </c>
      <c r="B160" s="409">
        <f>'2022'!Wh/'2022'!Env_an*'2023'!Env_an</f>
        <v>31.556028517366926</v>
      </c>
      <c r="C160" s="829"/>
      <c r="D160" s="391">
        <f t="shared" si="50"/>
        <v>32.536778084431823</v>
      </c>
      <c r="E160" s="383">
        <f t="shared" si="72"/>
        <v>32.864324095754952</v>
      </c>
      <c r="F160" s="383">
        <f t="shared" si="51"/>
        <v>32.869553327331566</v>
      </c>
      <c r="G160" s="110">
        <f t="shared" si="73"/>
        <v>0.53010864804678726</v>
      </c>
      <c r="H160" s="412" t="b">
        <f>Wh_hp&gt;='2022'!Maxi_hp</f>
        <v>0</v>
      </c>
      <c r="I160" s="379">
        <f>IF(H160,Wh_hp,'2022'!Maxi_hp)</f>
        <v>60.853144099626277</v>
      </c>
      <c r="J160" s="85">
        <f>IF(H160,An,'2022'!An_max)</f>
        <v>2020</v>
      </c>
      <c r="K160" s="197">
        <f t="shared" si="52"/>
        <v>45072</v>
      </c>
      <c r="L160" s="147">
        <f>IF(t&lt;Tvie,1-EXP((T0-t)*PertePVj)+'2022'!Pspv,1-EXP((T0-t)*PertePVj)+Pspv)</f>
        <v>3.014279915853646E-2</v>
      </c>
      <c r="M160" s="832"/>
      <c r="N160" s="832"/>
      <c r="O160" s="48">
        <f>IF(t&lt;Tnet,'2022'!Resal+('2022'!Salim-'2022'!Resal)*(1-EXP(('2022'!Tnet-t)/('2022'!Tau_j))),Resal+(Salim-Resal)*(1-EXP((Tnet-t)/(Tau_j))))*Salcycl</f>
        <v>9.9666133515715957E-3</v>
      </c>
      <c r="P160" s="338">
        <f>(INDEX(Models!$BJ160:$BT160,,T160)*(1-R160)+INDEX(Models!$BJ160:$BT160,,T160+1)*R160-ERP_i)*Q160*Ramure*Pc/MaxiM</f>
        <v>4.8359796756353965E-4</v>
      </c>
      <c r="Q160" s="304">
        <f t="shared" si="53"/>
        <v>0.7</v>
      </c>
      <c r="R160" s="177">
        <f t="shared" si="54"/>
        <v>0.47452623741787681</v>
      </c>
      <c r="S160" s="799">
        <f t="shared" si="55"/>
        <v>0</v>
      </c>
      <c r="T160" s="176">
        <f t="shared" si="56"/>
        <v>6</v>
      </c>
      <c r="U160" s="250">
        <f t="shared" si="57"/>
        <v>0.47452623741787681</v>
      </c>
      <c r="V160" s="382">
        <f t="shared" si="58"/>
        <v>59.508153348022354</v>
      </c>
      <c r="W160" s="400">
        <f t="shared" si="59"/>
        <v>31.556028517366926</v>
      </c>
      <c r="X160" s="157">
        <f t="shared" si="60"/>
        <v>45072</v>
      </c>
      <c r="Y160" s="383">
        <f t="shared" si="61"/>
        <v>30.990698843494371</v>
      </c>
      <c r="Z160" s="383">
        <f t="shared" si="62"/>
        <v>31.953878175680241</v>
      </c>
      <c r="AA160" s="384">
        <f t="shared" si="63"/>
        <v>32.863856041508875</v>
      </c>
      <c r="AB160" s="197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2.7689321200752615E-2</v>
      </c>
      <c r="AD160" s="230">
        <f>(INDEX(Models!$BJ160:$BT160,,AH160)*(1-AF160)+INDEX(Models!$BJ160:$BT160,,AH160+1)*AF160-ERP_i)*AE160*Ramure*Pc/MaxiM</f>
        <v>5.2688350173697425E-4</v>
      </c>
      <c r="AE160" s="304">
        <f t="shared" si="65"/>
        <v>0.7</v>
      </c>
      <c r="AF160" s="177">
        <f t="shared" si="66"/>
        <v>0.53885845967770896</v>
      </c>
      <c r="AG160" s="799">
        <f t="shared" si="74"/>
        <v>0</v>
      </c>
      <c r="AH160" s="176">
        <f t="shared" si="67"/>
        <v>6</v>
      </c>
      <c r="AI160" s="224">
        <f t="shared" si="68"/>
        <v>0.53885845967770896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45073</v>
      </c>
      <c r="B161" s="409">
        <f>'2022'!Wh/'2022'!Env_an*'2023'!Env_an</f>
        <v>47.007700729875076</v>
      </c>
      <c r="C161" s="829"/>
      <c r="D161" s="391">
        <f t="shared" si="50"/>
        <v>48.469611400746096</v>
      </c>
      <c r="E161" s="383">
        <f t="shared" si="72"/>
        <v>48.963088208710936</v>
      </c>
      <c r="F161" s="383">
        <f t="shared" si="51"/>
        <v>48.978292187217185</v>
      </c>
      <c r="G161" s="110">
        <f t="shared" si="73"/>
        <v>0.78975618154298366</v>
      </c>
      <c r="H161" s="412" t="b">
        <f>Wh_hp&gt;='2022'!Maxi_hp</f>
        <v>0</v>
      </c>
      <c r="I161" s="379">
        <f>IF(H161,Wh_hp,'2022'!Maxi_hp)</f>
        <v>61.029310689463564</v>
      </c>
      <c r="J161" s="85">
        <f>IF(H161,An,'2022'!An_max)</f>
        <v>2021</v>
      </c>
      <c r="K161" s="197">
        <f t="shared" si="52"/>
        <v>45073</v>
      </c>
      <c r="L161" s="147">
        <f>IF(t&lt;Tvie,1-EXP((T0-t)*PertePVj)+'2022'!Pspv,1-EXP((T0-t)*PertePVj)+Pspv)</f>
        <v>3.0161386250530553E-2</v>
      </c>
      <c r="M161" s="832"/>
      <c r="N161" s="832"/>
      <c r="O161" s="48">
        <f>IF(t&lt;Tnet,'2022'!Resal+('2022'!Salim-'2022'!Resal)*(1-EXP(('2022'!Tnet-t)/('2022'!Tau_j))),Resal+(Salim-Resal)*(1-EXP((Tnet-t)/(Tau_j))))*Salcycl</f>
        <v>1.0078547453161685E-2</v>
      </c>
      <c r="P161" s="338">
        <f>(INDEX(Models!$BJ161:$BT161,,T161)*(1-R161)+INDEX(Models!$BJ161:$BT161,,T161+1)*R161-ERP_i)*Q161*Ramure*Pc/MaxiM</f>
        <v>4.4358661614516082E-4</v>
      </c>
      <c r="Q161" s="304">
        <f t="shared" si="53"/>
        <v>0.7</v>
      </c>
      <c r="R161" s="177">
        <f t="shared" si="54"/>
        <v>0.4782979553306575</v>
      </c>
      <c r="S161" s="799">
        <f t="shared" si="55"/>
        <v>0</v>
      </c>
      <c r="T161" s="176">
        <f t="shared" si="56"/>
        <v>6</v>
      </c>
      <c r="U161" s="250">
        <f t="shared" si="57"/>
        <v>0.4782979553306575</v>
      </c>
      <c r="V161" s="382">
        <f t="shared" si="58"/>
        <v>59.513860302269613</v>
      </c>
      <c r="W161" s="400">
        <f t="shared" si="59"/>
        <v>47.007700729875076</v>
      </c>
      <c r="X161" s="157">
        <f t="shared" si="60"/>
        <v>45073</v>
      </c>
      <c r="Y161" s="383">
        <f t="shared" si="61"/>
        <v>46.165241072881642</v>
      </c>
      <c r="Z161" s="383">
        <f t="shared" si="62"/>
        <v>47.600951764957394</v>
      </c>
      <c r="AA161" s="384">
        <f t="shared" si="63"/>
        <v>48.961735986547957</v>
      </c>
      <c r="AB161" s="197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2.7792809919248599E-2</v>
      </c>
      <c r="AD161" s="230">
        <f>(INDEX(Models!$BJ161:$BT161,,AH161)*(1-AF161)+INDEX(Models!$BJ161:$BT161,,AH161+1)*AF161-ERP_i)*AE161*Ramure*Pc/MaxiM</f>
        <v>4.8303863545114313E-4</v>
      </c>
      <c r="AE161" s="304">
        <f t="shared" si="65"/>
        <v>0.7</v>
      </c>
      <c r="AF161" s="177">
        <f t="shared" si="66"/>
        <v>0.54263017759048959</v>
      </c>
      <c r="AG161" s="799">
        <f t="shared" si="74"/>
        <v>0</v>
      </c>
      <c r="AH161" s="176">
        <f t="shared" si="67"/>
        <v>6</v>
      </c>
      <c r="AI161" s="224">
        <f t="shared" si="68"/>
        <v>0.54263017759048959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45074</v>
      </c>
      <c r="B162" s="409">
        <f>'2022'!Wh/'2022'!Env_an*'2023'!Env_an</f>
        <v>55.464594732437718</v>
      </c>
      <c r="C162" s="829"/>
      <c r="D162" s="391">
        <f t="shared" si="50"/>
        <v>57.190605666523965</v>
      </c>
      <c r="E162" s="383">
        <f t="shared" si="72"/>
        <v>57.779405820253729</v>
      </c>
      <c r="F162" s="383">
        <f t="shared" si="51"/>
        <v>57.800697486089156</v>
      </c>
      <c r="G162" s="110">
        <f t="shared" si="73"/>
        <v>0.93188453616482003</v>
      </c>
      <c r="H162" s="412" t="b">
        <f>Wh_hp&gt;='2022'!Maxi_hp</f>
        <v>0</v>
      </c>
      <c r="I162" s="379">
        <f>IF(H162,Wh_hp,'2022'!Maxi_hp)</f>
        <v>60.065997038035896</v>
      </c>
      <c r="J162" s="85">
        <f>IF(H162,An,'2022'!An_max)</f>
        <v>2020</v>
      </c>
      <c r="K162" s="197">
        <f t="shared" si="52"/>
        <v>45074</v>
      </c>
      <c r="L162" s="147">
        <f>IF(t&lt;Tvie,1-EXP((T0-t)*PertePVj)+'2022'!Pspv,1-EXP((T0-t)*PertePVj)+Pspv)</f>
        <v>3.0179972986307368E-2</v>
      </c>
      <c r="M162" s="832"/>
      <c r="N162" s="832"/>
      <c r="O162" s="48">
        <f>IF(t&lt;Tnet,'2022'!Resal+('2022'!Salim-'2022'!Resal)*(1-EXP(('2022'!Tnet-t)/('2022'!Tau_j))),Resal+(Salim-Resal)*(1-EXP((Tnet-t)/(Tau_j))))*Salcycl</f>
        <v>1.0190484747480149E-2</v>
      </c>
      <c r="P162" s="338">
        <f>(INDEX(Models!$BJ162:$BT162,,T162)*(1-R162)+INDEX(Models!$BJ162:$BT162,,T162+1)*R162-ERP_i)*Q162*Ramure*Pc/MaxiM</f>
        <v>4.0804818278145289E-4</v>
      </c>
      <c r="Q162" s="304">
        <f t="shared" si="53"/>
        <v>0.7</v>
      </c>
      <c r="R162" s="177">
        <f t="shared" si="54"/>
        <v>0.4821133172358914</v>
      </c>
      <c r="S162" s="799">
        <f t="shared" si="55"/>
        <v>0</v>
      </c>
      <c r="T162" s="176">
        <f t="shared" si="56"/>
        <v>6</v>
      </c>
      <c r="U162" s="250">
        <f t="shared" si="57"/>
        <v>0.4821133172358914</v>
      </c>
      <c r="V162" s="382">
        <f t="shared" si="58"/>
        <v>59.516378556304062</v>
      </c>
      <c r="W162" s="400">
        <f t="shared" si="59"/>
        <v>55.464594732437718</v>
      </c>
      <c r="X162" s="157">
        <f t="shared" si="60"/>
        <v>45074</v>
      </c>
      <c r="Y162" s="383">
        <f t="shared" si="61"/>
        <v>54.47067632504087</v>
      </c>
      <c r="Z162" s="383">
        <f t="shared" si="62"/>
        <v>56.165757365074306</v>
      </c>
      <c r="AA162" s="384">
        <f t="shared" si="63"/>
        <v>57.777534644875516</v>
      </c>
      <c r="AB162" s="197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2.7896262616739505E-2</v>
      </c>
      <c r="AD162" s="230">
        <f>(INDEX(Models!$BJ162:$BT162,,AH162)*(1-AF162)+INDEX(Models!$BJ162:$BT162,,AH162+1)*AF162-ERP_i)*AE162*Ramure*Pc/MaxiM</f>
        <v>4.4390867949625383E-4</v>
      </c>
      <c r="AE162" s="304">
        <f t="shared" si="65"/>
        <v>0.7</v>
      </c>
      <c r="AF162" s="177">
        <f t="shared" si="66"/>
        <v>0.5464455394957235</v>
      </c>
      <c r="AG162" s="799">
        <f t="shared" si="74"/>
        <v>0</v>
      </c>
      <c r="AH162" s="176">
        <f t="shared" si="67"/>
        <v>6</v>
      </c>
      <c r="AI162" s="224">
        <f t="shared" si="68"/>
        <v>0.5464455394957235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45075</v>
      </c>
      <c r="B163" s="409">
        <f>'2022'!Wh/'2022'!Env_an*'2023'!Env_an</f>
        <v>60.930151321130303</v>
      </c>
      <c r="C163" s="829"/>
      <c r="D163" s="391">
        <f t="shared" si="50"/>
        <v>62.827449793526554</v>
      </c>
      <c r="E163" s="383">
        <f t="shared" si="72"/>
        <v>63.481462205725009</v>
      </c>
      <c r="F163" s="383">
        <f t="shared" si="51"/>
        <v>63.505407005756894</v>
      </c>
      <c r="G163" s="110">
        <f t="shared" si="73"/>
        <v>1.0237659265557491</v>
      </c>
      <c r="H163" s="412" t="b">
        <f>Wh_hp&gt;='2022'!Maxi_hp</f>
        <v>1</v>
      </c>
      <c r="I163" s="379">
        <f>IF(H163,Wh_hp,'2022'!Maxi_hp)</f>
        <v>63.505407005756894</v>
      </c>
      <c r="J163" s="85">
        <f>IF(H163,An,'2022'!An_max)</f>
        <v>2023</v>
      </c>
      <c r="K163" s="197">
        <f t="shared" si="52"/>
        <v>45075</v>
      </c>
      <c r="L163" s="147">
        <f>IF(t&lt;Tvie,1-EXP((T0-t)*PertePVj)+'2022'!Pspv,1-EXP((T0-t)*PertePVj)+Pspv)</f>
        <v>3.0198559365873567E-2</v>
      </c>
      <c r="M163" s="832"/>
      <c r="N163" s="832"/>
      <c r="O163" s="48">
        <f>IF(t&lt;Tnet,'2022'!Resal+('2022'!Salim-'2022'!Resal)*(1-EXP(('2022'!Tnet-t)/('2022'!Tau_j))),Resal+(Salim-Resal)*(1-EXP((Tnet-t)/(Tau_j))))*Salcycl</f>
        <v>1.030241568915017E-2</v>
      </c>
      <c r="P163" s="338">
        <f>(INDEX(Models!$BJ163:$BT163,,T163)*(1-R163)+INDEX(Models!$BJ163:$BT163,,T163+1)*R163-ERP_i)*Q163*Ramure*Pc/MaxiM</f>
        <v>3.7705135926002922E-4</v>
      </c>
      <c r="Q163" s="304">
        <f t="shared" si="53"/>
        <v>0.7</v>
      </c>
      <c r="R163" s="177">
        <f t="shared" si="54"/>
        <v>0.48596980910086901</v>
      </c>
      <c r="S163" s="799">
        <f t="shared" si="55"/>
        <v>0</v>
      </c>
      <c r="T163" s="176">
        <f t="shared" si="56"/>
        <v>6</v>
      </c>
      <c r="U163" s="250">
        <f t="shared" si="57"/>
        <v>0.48596980910086901</v>
      </c>
      <c r="V163" s="382">
        <f t="shared" si="58"/>
        <v>59.51570543680559</v>
      </c>
      <c r="W163" s="400">
        <f t="shared" si="59"/>
        <v>60.930151321130303</v>
      </c>
      <c r="X163" s="157">
        <f t="shared" si="60"/>
        <v>45075</v>
      </c>
      <c r="Y163" s="383">
        <f t="shared" si="61"/>
        <v>59.838684871200712</v>
      </c>
      <c r="Z163" s="383">
        <f t="shared" si="62"/>
        <v>61.701996268508168</v>
      </c>
      <c r="AA163" s="384">
        <f t="shared" si="63"/>
        <v>63.479397481452331</v>
      </c>
      <c r="AB163" s="197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2.7999654745675461E-2</v>
      </c>
      <c r="AD163" s="230">
        <f>(INDEX(Models!$BJ163:$BT163,,AH163)*(1-AF163)+INDEX(Models!$BJ163:$BT163,,AH163+1)*AF163-ERP_i)*AE163*Ramure*Pc/MaxiM</f>
        <v>4.0956393370102025E-4</v>
      </c>
      <c r="AE163" s="304">
        <f t="shared" si="65"/>
        <v>0.7</v>
      </c>
      <c r="AF163" s="177">
        <f t="shared" si="66"/>
        <v>0.55030203136070122</v>
      </c>
      <c r="AG163" s="799">
        <f t="shared" si="74"/>
        <v>0</v>
      </c>
      <c r="AH163" s="176">
        <f t="shared" si="67"/>
        <v>6</v>
      </c>
      <c r="AI163" s="224">
        <f t="shared" si="68"/>
        <v>0.55030203136070122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45076</v>
      </c>
      <c r="B164" s="409">
        <f>'2022'!Wh/'2022'!Env_an*'2023'!Env_an</f>
        <v>47.456755577509981</v>
      </c>
      <c r="C164" s="829"/>
      <c r="D164" s="391">
        <f t="shared" si="50"/>
        <v>48.935445034813924</v>
      </c>
      <c r="E164" s="383">
        <f t="shared" si="72"/>
        <v>49.450438235433126</v>
      </c>
      <c r="F164" s="383">
        <f t="shared" si="51"/>
        <v>49.462799589017735</v>
      </c>
      <c r="G164" s="110">
        <f t="shared" si="73"/>
        <v>0.79735350621814416</v>
      </c>
      <c r="H164" s="412" t="b">
        <f>Wh_hp&gt;='2022'!Maxi_hp</f>
        <v>0</v>
      </c>
      <c r="I164" s="379">
        <f>IF(H164,Wh_hp,'2022'!Maxi_hp)</f>
        <v>61.091879244383499</v>
      </c>
      <c r="J164" s="85">
        <f>IF(H164,An,'2022'!An_max)</f>
        <v>2018</v>
      </c>
      <c r="K164" s="197">
        <f t="shared" si="52"/>
        <v>45076</v>
      </c>
      <c r="L164" s="147">
        <f>IF(t&lt;Tvie,1-EXP((T0-t)*PertePVj)+'2022'!Pspv,1-EXP((T0-t)*PertePVj)+Pspv)</f>
        <v>3.0217145389236033E-2</v>
      </c>
      <c r="M164" s="832"/>
      <c r="N164" s="832"/>
      <c r="O164" s="48">
        <f>IF(t&lt;Tnet,'2022'!Resal+('2022'!Salim-'2022'!Resal)*(1-EXP(('2022'!Tnet-t)/('2022'!Tau_j))),Resal+(Salim-Resal)*(1-EXP((Tnet-t)/(Tau_j))))*Salcycl</f>
        <v>1.0414330367858925E-2</v>
      </c>
      <c r="P164" s="338">
        <f>(INDEX(Models!$BJ164:$BT164,,T164)*(1-R164)+INDEX(Models!$BJ164:$BT164,,T164+1)*R164-ERP_i)*Q164*Ramure*Pc/MaxiM</f>
        <v>3.5168133128058083E-4</v>
      </c>
      <c r="Q164" s="304">
        <f t="shared" si="53"/>
        <v>0.7</v>
      </c>
      <c r="R164" s="177">
        <f t="shared" si="54"/>
        <v>0.48986479225293905</v>
      </c>
      <c r="S164" s="799">
        <f t="shared" si="55"/>
        <v>0</v>
      </c>
      <c r="T164" s="176">
        <f t="shared" si="56"/>
        <v>6</v>
      </c>
      <c r="U164" s="250">
        <f t="shared" si="57"/>
        <v>0.48986479225293905</v>
      </c>
      <c r="V164" s="382">
        <f t="shared" si="58"/>
        <v>59.511777855172816</v>
      </c>
      <c r="W164" s="400">
        <f t="shared" si="59"/>
        <v>47.456755577509981</v>
      </c>
      <c r="X164" s="157">
        <f t="shared" si="60"/>
        <v>45076</v>
      </c>
      <c r="Y164" s="383">
        <f t="shared" si="61"/>
        <v>46.607497445476803</v>
      </c>
      <c r="Z164" s="383">
        <f t="shared" si="62"/>
        <v>48.059725147629443</v>
      </c>
      <c r="AA164" s="384">
        <f t="shared" si="63"/>
        <v>49.449399721774306</v>
      </c>
      <c r="AB164" s="197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2.8102961450772519E-2</v>
      </c>
      <c r="AD164" s="230">
        <f>(INDEX(Models!$BJ164:$BT164,,AH164)*(1-AF164)+INDEX(Models!$BJ164:$BT164,,AH164+1)*AF164-ERP_i)*AE164*Ramure*Pc/MaxiM</f>
        <v>3.8122711391563456E-4</v>
      </c>
      <c r="AE164" s="304">
        <f t="shared" si="65"/>
        <v>0.7</v>
      </c>
      <c r="AF164" s="177">
        <f t="shared" si="66"/>
        <v>0.55419701451277126</v>
      </c>
      <c r="AG164" s="799">
        <f t="shared" si="74"/>
        <v>0</v>
      </c>
      <c r="AH164" s="176">
        <f t="shared" si="67"/>
        <v>6</v>
      </c>
      <c r="AI164" s="224">
        <f t="shared" si="68"/>
        <v>0.55419701451277126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45077</v>
      </c>
      <c r="B165" s="409">
        <f>'2022'!Wh/'2022'!Env_an*'2023'!Env_an</f>
        <v>57.184372382434226</v>
      </c>
      <c r="C165" s="829"/>
      <c r="D165" s="391">
        <f t="shared" si="50"/>
        <v>58.967291550891403</v>
      </c>
      <c r="E165" s="383">
        <f t="shared" si="72"/>
        <v>59.594597306010598</v>
      </c>
      <c r="F165" s="383">
        <f t="shared" si="51"/>
        <v>59.613136833026765</v>
      </c>
      <c r="G165" s="110">
        <f t="shared" si="73"/>
        <v>0.96098750296421953</v>
      </c>
      <c r="H165" s="412" t="b">
        <f>Wh_hp&gt;='2022'!Maxi_hp</f>
        <v>0</v>
      </c>
      <c r="I165" s="379">
        <f>IF(H165,Wh_hp,'2022'!Maxi_hp)</f>
        <v>61.846036188985813</v>
      </c>
      <c r="J165" s="85">
        <f>IF(H165,An,'2022'!An_max)</f>
        <v>2018</v>
      </c>
      <c r="K165" s="197">
        <f t="shared" si="52"/>
        <v>45077</v>
      </c>
      <c r="L165" s="147">
        <f>IF(t&lt;Tvie,1-EXP((T0-t)*PertePVj)+'2022'!Pspv,1-EXP((T0-t)*PertePVj)+Pspv)</f>
        <v>3.0235731056401649E-2</v>
      </c>
      <c r="M165" s="832"/>
      <c r="N165" s="832"/>
      <c r="O165" s="48">
        <f>IF(t&lt;Tnet,'2022'!Resal+('2022'!Salim-'2022'!Resal)*(1-EXP(('2022'!Tnet-t)/('2022'!Tau_j))),Resal+(Salim-Resal)*(1-EXP((Tnet-t)/(Tau_j))))*Salcycl</f>
        <v>1.0526218541222177E-2</v>
      </c>
      <c r="P165" s="338">
        <f>(INDEX(Models!$BJ165:$BT165,,T165)*(1-R165)+INDEX(Models!$BJ165:$BT165,,T165+1)*R165-ERP_i)*Q165*Ramure*Pc/MaxiM</f>
        <v>3.2934409322597996E-4</v>
      </c>
      <c r="Q165" s="304">
        <f t="shared" si="53"/>
        <v>0.7</v>
      </c>
      <c r="R165" s="177">
        <f t="shared" si="54"/>
        <v>0.49379550949264039</v>
      </c>
      <c r="S165" s="799">
        <f t="shared" si="55"/>
        <v>0</v>
      </c>
      <c r="T165" s="176">
        <f t="shared" si="56"/>
        <v>6</v>
      </c>
      <c r="U165" s="250">
        <f t="shared" si="57"/>
        <v>0.49379550949264039</v>
      </c>
      <c r="V165" s="382">
        <f t="shared" si="58"/>
        <v>59.504751864231046</v>
      </c>
      <c r="W165" s="400">
        <f t="shared" si="59"/>
        <v>57.184372382434226</v>
      </c>
      <c r="X165" s="157">
        <f t="shared" si="60"/>
        <v>45077</v>
      </c>
      <c r="Y165" s="383">
        <f t="shared" si="61"/>
        <v>56.161173576927908</v>
      </c>
      <c r="Z165" s="383">
        <f t="shared" si="62"/>
        <v>57.912191009168076</v>
      </c>
      <c r="AA165" s="384">
        <f t="shared" si="63"/>
        <v>59.593082900662964</v>
      </c>
      <c r="AB165" s="197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2.8206157655860906E-2</v>
      </c>
      <c r="AD165" s="230">
        <f>(INDEX(Models!$BJ165:$BT165,,AH165)*(1-AF165)+INDEX(Models!$BJ165:$BT165,,AH165+1)*AF165-ERP_i)*AE165*Ramure*Pc/MaxiM</f>
        <v>3.5624663801902927E-4</v>
      </c>
      <c r="AE165" s="304">
        <f t="shared" si="65"/>
        <v>0.7</v>
      </c>
      <c r="AF165" s="177">
        <f t="shared" si="66"/>
        <v>0.55812773175247254</v>
      </c>
      <c r="AG165" s="799">
        <f t="shared" si="74"/>
        <v>0</v>
      </c>
      <c r="AH165" s="176">
        <f t="shared" si="67"/>
        <v>6</v>
      </c>
      <c r="AI165" s="224">
        <f t="shared" si="68"/>
        <v>0.55812773175247254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45078</v>
      </c>
      <c r="B166" s="409">
        <f>'2022'!Wh/'2022'!Env_an*'2023'!Env_an</f>
        <v>59.302632836008243</v>
      </c>
      <c r="C166" s="829"/>
      <c r="D166" s="391">
        <f t="shared" si="50"/>
        <v>61.152768026626632</v>
      </c>
      <c r="E166" s="383">
        <f t="shared" si="72"/>
        <v>61.810310415158291</v>
      </c>
      <c r="F166" s="383">
        <f t="shared" si="51"/>
        <v>61.82939642464909</v>
      </c>
      <c r="G166" s="110">
        <f t="shared" si="73"/>
        <v>0.99677153272829055</v>
      </c>
      <c r="H166" s="412" t="b">
        <f>Wh_hp&gt;='2022'!Maxi_hp</f>
        <v>0</v>
      </c>
      <c r="I166" s="379">
        <f>IF(H166,Wh_hp,'2022'!Maxi_hp)</f>
        <v>63.6031019014615</v>
      </c>
      <c r="J166" s="85">
        <f>IF(H166,An,'2022'!An_max)</f>
        <v>2018</v>
      </c>
      <c r="K166" s="197">
        <f t="shared" si="52"/>
        <v>45078</v>
      </c>
      <c r="L166" s="147">
        <f>IF(t&lt;Tvie,1-EXP((T0-t)*PertePVj)+'2022'!Pspv,1-EXP((T0-t)*PertePVj)+Pspv)</f>
        <v>3.0254316367377188E-2</v>
      </c>
      <c r="M166" s="832"/>
      <c r="N166" s="832"/>
      <c r="O166" s="48">
        <f>IF(t&lt;Tnet,'2022'!Resal+('2022'!Salim-'2022'!Resal)*(1-EXP(('2022'!Tnet-t)/('2022'!Tau_j))),Resal+(Salim-Resal)*(1-EXP((Tnet-t)/(Tau_j))))*Salcycl</f>
        <v>1.0638069670176017E-2</v>
      </c>
      <c r="P166" s="338">
        <f>(INDEX(Models!$BJ166:$BT166,,T166)*(1-R166)+INDEX(Models!$BJ166:$BT166,,T166+1)*R166-ERP_i)*Q166*Ramure*Pc/MaxiM</f>
        <v>3.1011793336987813E-4</v>
      </c>
      <c r="Q166" s="304">
        <f t="shared" si="53"/>
        <v>0.7</v>
      </c>
      <c r="R166" s="177">
        <f t="shared" si="54"/>
        <v>0.49775909195430623</v>
      </c>
      <c r="S166" s="799">
        <f t="shared" si="55"/>
        <v>0</v>
      </c>
      <c r="T166" s="176">
        <f t="shared" si="56"/>
        <v>6</v>
      </c>
      <c r="U166" s="250">
        <f t="shared" si="57"/>
        <v>0.49775909195430623</v>
      </c>
      <c r="V166" s="382">
        <f t="shared" si="58"/>
        <v>59.49462447505752</v>
      </c>
      <c r="W166" s="400">
        <f t="shared" si="59"/>
        <v>59.302632836008243</v>
      </c>
      <c r="X166" s="157">
        <f t="shared" si="60"/>
        <v>45078</v>
      </c>
      <c r="Y166" s="383">
        <f t="shared" si="61"/>
        <v>58.241993452310936</v>
      </c>
      <c r="Z166" s="383">
        <f t="shared" si="62"/>
        <v>60.059038607049118</v>
      </c>
      <c r="AA166" s="384">
        <f t="shared" si="63"/>
        <v>61.808797334624394</v>
      </c>
      <c r="AB166" s="197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2.8309218153887136E-2</v>
      </c>
      <c r="AD166" s="230">
        <f>(INDEX(Models!$BJ166:$BT166,,AH166)*(1-AF166)+INDEX(Models!$BJ166:$BT166,,AH166+1)*AF166-ERP_i)*AE166*Ramure*Pc/MaxiM</f>
        <v>3.3470313586704352E-4</v>
      </c>
      <c r="AE166" s="304">
        <f t="shared" si="65"/>
        <v>0.7</v>
      </c>
      <c r="AF166" s="177">
        <f t="shared" si="66"/>
        <v>0.56209131421413838</v>
      </c>
      <c r="AG166" s="799">
        <f t="shared" si="74"/>
        <v>0</v>
      </c>
      <c r="AH166" s="176">
        <f t="shared" si="67"/>
        <v>6</v>
      </c>
      <c r="AI166" s="224">
        <f t="shared" si="68"/>
        <v>0.56209131421413838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45079</v>
      </c>
      <c r="B167" s="409">
        <f>'2022'!Wh/'2022'!Env_an*'2023'!Env_an</f>
        <v>41.118226486930105</v>
      </c>
      <c r="C167" s="829"/>
      <c r="D167" s="391">
        <f t="shared" si="50"/>
        <v>42.401853617365688</v>
      </c>
      <c r="E167" s="383">
        <f t="shared" si="72"/>
        <v>42.862621351486489</v>
      </c>
      <c r="F167" s="383">
        <f t="shared" si="51"/>
        <v>42.869668431290172</v>
      </c>
      <c r="G167" s="110">
        <f t="shared" si="73"/>
        <v>0.69118913947377081</v>
      </c>
      <c r="H167" s="412" t="b">
        <f>Wh_hp&gt;='2022'!Maxi_hp</f>
        <v>0</v>
      </c>
      <c r="I167" s="379">
        <f>IF(H167,Wh_hp,'2022'!Maxi_hp)</f>
        <v>62.818886290602684</v>
      </c>
      <c r="J167" s="85">
        <f>IF(H167,An,'2022'!An_max)</f>
        <v>2018</v>
      </c>
      <c r="K167" s="197">
        <f t="shared" si="52"/>
        <v>45079</v>
      </c>
      <c r="L167" s="147">
        <f>IF(t&lt;Tvie,1-EXP((T0-t)*PertePVj)+'2022'!Pspv,1-EXP((T0-t)*PertePVj)+Pspv)</f>
        <v>3.0272901322169421E-2</v>
      </c>
      <c r="M167" s="832"/>
      <c r="N167" s="832"/>
      <c r="O167" s="48">
        <f>IF(t&lt;Tnet,'2022'!Resal+('2022'!Salim-'2022'!Resal)*(1-EXP(('2022'!Tnet-t)/('2022'!Tau_j))),Resal+(Salim-Resal)*(1-EXP((Tnet-t)/(Tau_j))))*Salcycl</f>
        <v>1.0749872956727601E-2</v>
      </c>
      <c r="P167" s="338">
        <f>(INDEX(Models!$BJ167:$BT167,,T167)*(1-R167)+INDEX(Models!$BJ167:$BT167,,T167+1)*R167-ERP_i)*Q167*Ramure*Pc/MaxiM</f>
        <v>2.9408357749583311E-4</v>
      </c>
      <c r="Q167" s="304">
        <f t="shared" si="53"/>
        <v>0.7</v>
      </c>
      <c r="R167" s="177">
        <f t="shared" si="54"/>
        <v>0.50175256668583623</v>
      </c>
      <c r="S167" s="799">
        <f t="shared" si="55"/>
        <v>0</v>
      </c>
      <c r="T167" s="176">
        <f t="shared" si="56"/>
        <v>6</v>
      </c>
      <c r="U167" s="250">
        <f t="shared" si="57"/>
        <v>0.50175256668583623</v>
      </c>
      <c r="V167" s="382">
        <f t="shared" si="58"/>
        <v>59.481392629182537</v>
      </c>
      <c r="W167" s="400">
        <f t="shared" si="59"/>
        <v>41.118226486930105</v>
      </c>
      <c r="X167" s="157">
        <f t="shared" si="60"/>
        <v>45079</v>
      </c>
      <c r="Y167" s="383">
        <f t="shared" si="61"/>
        <v>40.383584323941015</v>
      </c>
      <c r="Z167" s="383">
        <f t="shared" si="62"/>
        <v>41.644277425062995</v>
      </c>
      <c r="AA167" s="384">
        <f t="shared" si="63"/>
        <v>42.862079883562842</v>
      </c>
      <c r="AB167" s="197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2.8412117699562697E-2</v>
      </c>
      <c r="AD167" s="230">
        <f>(INDEX(Models!$BJ167:$BT167,,AH167)*(1-AF167)+INDEX(Models!$BJ167:$BT167,,AH167+1)*AF167-ERP_i)*AE167*Ramure*Pc/MaxiM</f>
        <v>3.1667972065317596E-4</v>
      </c>
      <c r="AE167" s="304">
        <f t="shared" si="65"/>
        <v>0.7</v>
      </c>
      <c r="AF167" s="177">
        <f t="shared" si="66"/>
        <v>0.56608478894566838</v>
      </c>
      <c r="AG167" s="799">
        <f t="shared" si="74"/>
        <v>0</v>
      </c>
      <c r="AH167" s="176">
        <f t="shared" si="67"/>
        <v>6</v>
      </c>
      <c r="AI167" s="224">
        <f t="shared" si="68"/>
        <v>0.56608478894566838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45080</v>
      </c>
      <c r="B168" s="409">
        <f>'2022'!Wh/'2022'!Env_an*'2023'!Env_an</f>
        <v>57.803566361709706</v>
      </c>
      <c r="C168" s="829"/>
      <c r="D168" s="391">
        <f t="shared" si="50"/>
        <v>59.609218154175942</v>
      </c>
      <c r="E168" s="383">
        <f t="shared" si="72"/>
        <v>60.263780277657567</v>
      </c>
      <c r="F168" s="383">
        <f t="shared" si="51"/>
        <v>60.280061617025858</v>
      </c>
      <c r="G168" s="110">
        <f t="shared" si="73"/>
        <v>0.97204852248205786</v>
      </c>
      <c r="H168" s="412" t="b">
        <f>Wh_hp&gt;='2022'!Maxi_hp</f>
        <v>0</v>
      </c>
      <c r="I168" s="379">
        <f>IF(H168,Wh_hp,'2022'!Maxi_hp)</f>
        <v>60.280374987605988</v>
      </c>
      <c r="J168" s="85">
        <f>IF(H168,An,'2022'!An_max)</f>
        <v>2022</v>
      </c>
      <c r="K168" s="197">
        <f t="shared" si="52"/>
        <v>45080</v>
      </c>
      <c r="L168" s="147">
        <f>IF(t&lt;Tvie,1-EXP((T0-t)*PertePVj)+'2022'!Pspv,1-EXP((T0-t)*PertePVj)+Pspv)</f>
        <v>3.0291485920785233E-2</v>
      </c>
      <c r="M168" s="832"/>
      <c r="N168" s="832"/>
      <c r="O168" s="48">
        <f>IF(t&lt;Tnet,'2022'!Resal+('2022'!Salim-'2022'!Resal)*(1-EXP(('2022'!Tnet-t)/('2022'!Tau_j))),Resal+(Salim-Resal)*(1-EXP((Tnet-t)/(Tau_j))))*Salcycl</f>
        <v>1.0861617383871635E-2</v>
      </c>
      <c r="P168" s="338">
        <f>(INDEX(Models!$BJ168:$BT168,,T168)*(1-R168)+INDEX(Models!$BJ168:$BT168,,T168+1)*R168-ERP_i)*Q168*Ramure*Pc/MaxiM</f>
        <v>2.8132400729134673E-4</v>
      </c>
      <c r="Q168" s="304">
        <f t="shared" si="53"/>
        <v>0.7</v>
      </c>
      <c r="R168" s="177">
        <f t="shared" si="54"/>
        <v>0.50577286491165385</v>
      </c>
      <c r="S168" s="799">
        <f t="shared" si="55"/>
        <v>0</v>
      </c>
      <c r="T168" s="176">
        <f t="shared" si="56"/>
        <v>6</v>
      </c>
      <c r="U168" s="250">
        <f t="shared" si="57"/>
        <v>0.50577286491165385</v>
      </c>
      <c r="V168" s="382">
        <f t="shared" si="58"/>
        <v>59.465053203692115</v>
      </c>
      <c r="W168" s="400">
        <f t="shared" si="59"/>
        <v>57.803566361709706</v>
      </c>
      <c r="X168" s="157">
        <f t="shared" si="60"/>
        <v>45080</v>
      </c>
      <c r="Y168" s="383">
        <f t="shared" si="61"/>
        <v>56.770801006535066</v>
      </c>
      <c r="Z168" s="383">
        <f t="shared" si="62"/>
        <v>58.544191560947255</v>
      </c>
      <c r="AA168" s="384">
        <f t="shared" si="63"/>
        <v>60.262568524318418</v>
      </c>
      <c r="AB168" s="197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2.8514831104116123E-2</v>
      </c>
      <c r="AD168" s="230">
        <f>(INDEX(Models!$BJ168:$BT168,,AH168)*(1-AF168)+INDEX(Models!$BJ168:$BT168,,AH168+1)*AF168-ERP_i)*AE168*Ramure*Pc/MaxiM</f>
        <v>3.0226179978537439E-4</v>
      </c>
      <c r="AE168" s="304">
        <f t="shared" si="65"/>
        <v>0.7</v>
      </c>
      <c r="AF168" s="177">
        <f t="shared" si="66"/>
        <v>0.570105087171486</v>
      </c>
      <c r="AG168" s="799">
        <f t="shared" si="74"/>
        <v>0</v>
      </c>
      <c r="AH168" s="176">
        <f t="shared" si="67"/>
        <v>6</v>
      </c>
      <c r="AI168" s="224">
        <f t="shared" si="68"/>
        <v>0.570105087171486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45081</v>
      </c>
      <c r="B169" s="409">
        <f>'2022'!Wh/'2022'!Env_an*'2023'!Env_an</f>
        <v>26.206794071104241</v>
      </c>
      <c r="C169" s="829"/>
      <c r="D169" s="391">
        <f t="shared" si="50"/>
        <v>27.025952590345792</v>
      </c>
      <c r="E169" s="383">
        <f t="shared" si="72"/>
        <v>27.325806639104528</v>
      </c>
      <c r="F169" s="383">
        <f t="shared" si="51"/>
        <v>27.327301889432167</v>
      </c>
      <c r="G169" s="110">
        <f t="shared" si="73"/>
        <v>0.44075760195512204</v>
      </c>
      <c r="H169" s="412" t="b">
        <f>Wh_hp&gt;='2022'!Maxi_hp</f>
        <v>0</v>
      </c>
      <c r="I169" s="379">
        <f>IF(H169,Wh_hp,'2022'!Maxi_hp)</f>
        <v>60.619800166760626</v>
      </c>
      <c r="J169" s="85">
        <f>IF(H169,An,'2022'!An_max)</f>
        <v>2018</v>
      </c>
      <c r="K169" s="197">
        <f t="shared" si="52"/>
        <v>45081</v>
      </c>
      <c r="L169" s="147">
        <f>IF(t&lt;Tvie,1-EXP((T0-t)*PertePVj)+'2022'!Pspv,1-EXP((T0-t)*PertePVj)+Pspv)</f>
        <v>3.0310070163231506E-2</v>
      </c>
      <c r="M169" s="832"/>
      <c r="N169" s="832"/>
      <c r="O169" s="48">
        <f>IF(t&lt;Tnet,'2022'!Resal+('2022'!Salim-'2022'!Resal)*(1-EXP(('2022'!Tnet-t)/('2022'!Tau_j))),Resal+(Salim-Resal)*(1-EXP((Tnet-t)/(Tau_j))))*Salcycl</f>
        <v>1.097329175745651E-2</v>
      </c>
      <c r="P169" s="338">
        <f>(INDEX(Models!$BJ169:$BT169,,T169)*(1-R169)+INDEX(Models!$BJ169:$BT169,,T169+1)*R169-ERP_i)*Q169*Ramure*Pc/MaxiM</f>
        <v>2.7192426786969376E-4</v>
      </c>
      <c r="Q169" s="304">
        <f t="shared" si="53"/>
        <v>0.7</v>
      </c>
      <c r="R169" s="177">
        <f t="shared" si="54"/>
        <v>0.50981683093538166</v>
      </c>
      <c r="S169" s="799">
        <f t="shared" si="55"/>
        <v>0</v>
      </c>
      <c r="T169" s="176">
        <f t="shared" si="56"/>
        <v>6</v>
      </c>
      <c r="U169" s="250">
        <f t="shared" si="57"/>
        <v>0.50981683093538166</v>
      </c>
      <c r="V169" s="382">
        <f t="shared" si="58"/>
        <v>59.445603026095696</v>
      </c>
      <c r="W169" s="400">
        <f t="shared" si="59"/>
        <v>26.206794071104241</v>
      </c>
      <c r="X169" s="157">
        <f t="shared" si="60"/>
        <v>45081</v>
      </c>
      <c r="Y169" s="383">
        <f t="shared" si="61"/>
        <v>25.739168445462916</v>
      </c>
      <c r="Z169" s="383">
        <f t="shared" si="62"/>
        <v>26.543710162892673</v>
      </c>
      <c r="AA169" s="384">
        <f t="shared" si="63"/>
        <v>27.325698793792849</v>
      </c>
      <c r="AB169" s="197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2.8617333331574735E-2</v>
      </c>
      <c r="AD169" s="230">
        <f>(INDEX(Models!$BJ169:$BT169,,AH169)*(1-AF169)+INDEX(Models!$BJ169:$BT169,,AH169+1)*AF169-ERP_i)*AE169*Ramure*Pc/MaxiM</f>
        <v>2.91536875122687E-4</v>
      </c>
      <c r="AE169" s="304">
        <f t="shared" si="65"/>
        <v>0.7</v>
      </c>
      <c r="AF169" s="177">
        <f t="shared" si="66"/>
        <v>0.57414905319521381</v>
      </c>
      <c r="AG169" s="799">
        <f t="shared" si="74"/>
        <v>0</v>
      </c>
      <c r="AH169" s="176">
        <f t="shared" si="67"/>
        <v>6</v>
      </c>
      <c r="AI169" s="224">
        <f t="shared" si="68"/>
        <v>0.57414905319521381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45082</v>
      </c>
      <c r="B170" s="409">
        <f>'2022'!Wh/'2022'!Env_an*'2023'!Env_an</f>
        <v>30.273995600108424</v>
      </c>
      <c r="C170" s="829"/>
      <c r="D170" s="391">
        <f t="shared" si="50"/>
        <v>31.220882958476455</v>
      </c>
      <c r="E170" s="383">
        <f t="shared" ref="E170:E232" si="75">Wh_pvt/(1-Psa)</f>
        <v>31.57084210465953</v>
      </c>
      <c r="F170" s="383">
        <f t="shared" si="51"/>
        <v>31.573354340095438</v>
      </c>
      <c r="G170" s="110">
        <f t="shared" ref="G170:G232" si="76">+Wh_hp/MaxiM</f>
        <v>0.50937065074640286</v>
      </c>
      <c r="H170" s="412" t="b">
        <f>Wh_hp&gt;='2022'!Maxi_hp</f>
        <v>0</v>
      </c>
      <c r="I170" s="379">
        <f>IF(H170,Wh_hp,'2022'!Maxi_hp)</f>
        <v>39.216543124389602</v>
      </c>
      <c r="J170" s="85">
        <f>IF(H170,An,'2022'!An_max)</f>
        <v>2021</v>
      </c>
      <c r="K170" s="197">
        <f t="shared" si="52"/>
        <v>45082</v>
      </c>
      <c r="L170" s="147">
        <f>IF(t&lt;Tvie,1-EXP((T0-t)*PertePVj)+'2022'!Pspv,1-EXP((T0-t)*PertePVj)+Pspv)</f>
        <v>3.0328654049515014E-2</v>
      </c>
      <c r="M170" s="832"/>
      <c r="N170" s="832"/>
      <c r="O170" s="48">
        <f>IF(t&lt;Tnet,'2022'!Resal+('2022'!Salim-'2022'!Resal)*(1-EXP(('2022'!Tnet-t)/('2022'!Tau_j))),Resal+(Salim-Resal)*(1-EXP((Tnet-t)/(Tau_j))))*Salcycl</f>
        <v>1.1084884749761671E-2</v>
      </c>
      <c r="P170" s="338">
        <f>(INDEX(Models!$BJ170:$BT170,,T170)*(1-R170)+INDEX(Models!$BJ170:$BT170,,T170+1)*R170-ERP_i)*Q170*Ramure*Pc/MaxiM</f>
        <v>2.6590405740232906E-4</v>
      </c>
      <c r="Q170" s="304">
        <f t="shared" si="53"/>
        <v>0.7</v>
      </c>
      <c r="R170" s="177">
        <f t="shared" si="54"/>
        <v>0.51388123163159927</v>
      </c>
      <c r="S170" s="799">
        <f t="shared" si="55"/>
        <v>0</v>
      </c>
      <c r="T170" s="176">
        <f t="shared" si="56"/>
        <v>6</v>
      </c>
      <c r="U170" s="250">
        <f t="shared" si="57"/>
        <v>0.51388123163159927</v>
      </c>
      <c r="V170" s="382">
        <f t="shared" si="58"/>
        <v>59.423042879249927</v>
      </c>
      <c r="W170" s="400">
        <f t="shared" si="59"/>
        <v>30.273995600108424</v>
      </c>
      <c r="X170" s="157">
        <f t="shared" si="60"/>
        <v>45082</v>
      </c>
      <c r="Y170" s="383">
        <f t="shared" si="61"/>
        <v>29.73397237132242</v>
      </c>
      <c r="Z170" s="383">
        <f t="shared" si="62"/>
        <v>30.663969287631964</v>
      </c>
      <c r="AA170" s="384">
        <f t="shared" si="63"/>
        <v>31.570666179279055</v>
      </c>
      <c r="AB170" s="197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2.871959959597517E-2</v>
      </c>
      <c r="AD170" s="230">
        <f>(INDEX(Models!$BJ170:$BT170,,AH170)*(1-AF170)+INDEX(Models!$BJ170:$BT170,,AH170+1)*AF170-ERP_i)*AE170*Ramure*Pc/MaxiM</f>
        <v>2.8452463404097622E-4</v>
      </c>
      <c r="AE170" s="304">
        <f t="shared" si="65"/>
        <v>0.7</v>
      </c>
      <c r="AF170" s="177">
        <f t="shared" si="66"/>
        <v>0.57821345389143142</v>
      </c>
      <c r="AG170" s="799">
        <f t="shared" si="74"/>
        <v>0</v>
      </c>
      <c r="AH170" s="176">
        <f t="shared" si="67"/>
        <v>6</v>
      </c>
      <c r="AI170" s="224">
        <f t="shared" si="68"/>
        <v>0.57821345389143142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45083</v>
      </c>
      <c r="B171" s="409">
        <f>'2022'!Wh/'2022'!Env_an*'2023'!Env_an</f>
        <v>50.998880016953656</v>
      </c>
      <c r="C171" s="829"/>
      <c r="D171" s="391">
        <f t="shared" si="50"/>
        <v>52.594992757670262</v>
      </c>
      <c r="E171" s="383">
        <f t="shared" si="75"/>
        <v>53.190534456854358</v>
      </c>
      <c r="F171" s="383">
        <f t="shared" si="51"/>
        <v>53.201604555982776</v>
      </c>
      <c r="G171" s="110">
        <f t="shared" si="76"/>
        <v>0.85855755820041135</v>
      </c>
      <c r="H171" s="412" t="b">
        <f>Wh_hp&gt;='2022'!Maxi_hp</f>
        <v>0</v>
      </c>
      <c r="I171" s="379">
        <f>IF(H171,Wh_hp,'2022'!Maxi_hp)</f>
        <v>54.078564517697089</v>
      </c>
      <c r="J171" s="85">
        <f>IF(H171,An,'2022'!An_max)</f>
        <v>2018</v>
      </c>
      <c r="K171" s="197">
        <f t="shared" si="52"/>
        <v>45083</v>
      </c>
      <c r="L171" s="147">
        <f>IF(t&lt;Tvie,1-EXP((T0-t)*PertePVj)+'2022'!Pspv,1-EXP((T0-t)*PertePVj)+Pspv)</f>
        <v>3.0347237579642639E-2</v>
      </c>
      <c r="M171" s="832"/>
      <c r="N171" s="832"/>
      <c r="O171" s="48">
        <f>IF(t&lt;Tnet,'2022'!Resal+('2022'!Salim-'2022'!Resal)*(1-EXP(('2022'!Tnet-t)/('2022'!Tau_j))),Resal+(Salim-Resal)*(1-EXP((Tnet-t)/(Tau_j))))*Salcycl</f>
        <v>1.1196384944527626E-2</v>
      </c>
      <c r="P171" s="338">
        <f>(INDEX(Models!$BJ171:$BT171,,T171)*(1-R171)+INDEX(Models!$BJ171:$BT171,,T171+1)*R171-ERP_i)*Q171*Ramure*Pc/MaxiM</f>
        <v>2.6074843968932292E-4</v>
      </c>
      <c r="Q171" s="304">
        <f t="shared" si="53"/>
        <v>0.7</v>
      </c>
      <c r="R171" s="177">
        <f t="shared" si="54"/>
        <v>0.51796276646931116</v>
      </c>
      <c r="S171" s="799">
        <f t="shared" si="55"/>
        <v>0</v>
      </c>
      <c r="T171" s="176">
        <f t="shared" si="56"/>
        <v>6</v>
      </c>
      <c r="U171" s="250">
        <f t="shared" si="57"/>
        <v>0.51796276646931116</v>
      </c>
      <c r="V171" s="382">
        <f t="shared" si="58"/>
        <v>59.397524199051681</v>
      </c>
      <c r="W171" s="400">
        <f t="shared" si="59"/>
        <v>50.998880016953656</v>
      </c>
      <c r="X171" s="157">
        <f t="shared" si="60"/>
        <v>45083</v>
      </c>
      <c r="Y171" s="383">
        <f t="shared" si="61"/>
        <v>50.089125483005475</v>
      </c>
      <c r="Z171" s="383">
        <f t="shared" si="62"/>
        <v>51.656765621930106</v>
      </c>
      <c r="AA171" s="384">
        <f t="shared" si="63"/>
        <v>53.189780489647163</v>
      </c>
      <c r="AB171" s="197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2.8821605458880281E-2</v>
      </c>
      <c r="AD171" s="230">
        <f>(INDEX(Models!$BJ171:$BT171,,AH171)*(1-AF171)+INDEX(Models!$BJ171:$BT171,,AH171+1)*AF171-ERP_i)*AE171*Ramure*Pc/MaxiM</f>
        <v>2.7850760973557707E-4</v>
      </c>
      <c r="AE171" s="304">
        <f t="shared" si="65"/>
        <v>0.7</v>
      </c>
      <c r="AF171" s="177">
        <f t="shared" si="66"/>
        <v>0.58229498872914331</v>
      </c>
      <c r="AG171" s="799">
        <f t="shared" si="74"/>
        <v>0</v>
      </c>
      <c r="AH171" s="176">
        <f t="shared" si="67"/>
        <v>6</v>
      </c>
      <c r="AI171" s="224">
        <f t="shared" si="68"/>
        <v>0.58229498872914331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45084</v>
      </c>
      <c r="B172" s="409">
        <f>'2022'!Wh/'2022'!Env_an*'2023'!Env_an</f>
        <v>28.319132486066252</v>
      </c>
      <c r="C172" s="829"/>
      <c r="D172" s="391">
        <f t="shared" si="50"/>
        <v>29.205996541991233</v>
      </c>
      <c r="E172" s="383">
        <f t="shared" si="75"/>
        <v>29.540028713971115</v>
      </c>
      <c r="F172" s="383">
        <f t="shared" si="51"/>
        <v>29.541944668668204</v>
      </c>
      <c r="G172" s="110">
        <f t="shared" si="76"/>
        <v>0.47691021975524356</v>
      </c>
      <c r="H172" s="412" t="b">
        <f>Wh_hp&gt;='2022'!Maxi_hp</f>
        <v>0</v>
      </c>
      <c r="I172" s="379">
        <f>IF(H172,Wh_hp,'2022'!Maxi_hp)</f>
        <v>56.44411958910743</v>
      </c>
      <c r="J172" s="85">
        <f>IF(H172,An,'2022'!An_max)</f>
        <v>2021</v>
      </c>
      <c r="K172" s="197">
        <f t="shared" si="52"/>
        <v>45084</v>
      </c>
      <c r="L172" s="147">
        <f>IF(t&lt;Tvie,1-EXP((T0-t)*PertePVj)+'2022'!Pspv,1-EXP((T0-t)*PertePVj)+Pspv)</f>
        <v>3.0365820753621042E-2</v>
      </c>
      <c r="M172" s="832"/>
      <c r="N172" s="832"/>
      <c r="O172" s="48">
        <f>IF(t&lt;Tnet,'2022'!Resal+('2022'!Salim-'2022'!Resal)*(1-EXP(('2022'!Tnet-t)/('2022'!Tau_j))),Resal+(Salim-Resal)*(1-EXP((Tnet-t)/(Tau_j))))*Salcycl</f>
        <v>1.1307780883161428E-2</v>
      </c>
      <c r="P172" s="338">
        <f>(INDEX(Models!$BJ172:$BT172,,T172)*(1-R172)+INDEX(Models!$BJ172:$BT172,,T172+1)*R172-ERP_i)*Q172*Ramure*Pc/MaxiM</f>
        <v>2.564879215293227E-4</v>
      </c>
      <c r="Q172" s="304">
        <f t="shared" si="53"/>
        <v>0.7</v>
      </c>
      <c r="R172" s="177">
        <f t="shared" si="54"/>
        <v>0.52205807800357196</v>
      </c>
      <c r="S172" s="799">
        <f t="shared" si="55"/>
        <v>0</v>
      </c>
      <c r="T172" s="176">
        <f t="shared" si="56"/>
        <v>6</v>
      </c>
      <c r="U172" s="250">
        <f t="shared" si="57"/>
        <v>0.52205807800357196</v>
      </c>
      <c r="V172" s="382">
        <f t="shared" si="58"/>
        <v>59.36904703342973</v>
      </c>
      <c r="W172" s="400">
        <f t="shared" si="59"/>
        <v>28.319132486066252</v>
      </c>
      <c r="X172" s="157">
        <f t="shared" si="60"/>
        <v>45084</v>
      </c>
      <c r="Y172" s="383">
        <f t="shared" si="61"/>
        <v>27.814450243769937</v>
      </c>
      <c r="Z172" s="383">
        <f t="shared" si="62"/>
        <v>28.685509276692308</v>
      </c>
      <c r="AA172" s="384">
        <f t="shared" si="63"/>
        <v>29.539901505308823</v>
      </c>
      <c r="AB172" s="197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2.8923326926562999E-2</v>
      </c>
      <c r="AD172" s="230">
        <f>(INDEX(Models!$BJ172:$BT172,,AH172)*(1-AF172)+INDEX(Models!$BJ172:$BT172,,AH172+1)*AF172-ERP_i)*AE172*Ramure*Pc/MaxiM</f>
        <v>2.7351728315347406E-4</v>
      </c>
      <c r="AE172" s="304">
        <f t="shared" si="65"/>
        <v>0.7</v>
      </c>
      <c r="AF172" s="177">
        <f t="shared" si="66"/>
        <v>0.58639030026340411</v>
      </c>
      <c r="AG172" s="799">
        <f t="shared" si="74"/>
        <v>0</v>
      </c>
      <c r="AH172" s="176">
        <f t="shared" si="67"/>
        <v>6</v>
      </c>
      <c r="AI172" s="224">
        <f t="shared" si="68"/>
        <v>0.58639030026340411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45085</v>
      </c>
      <c r="B173" s="409">
        <f>'2022'!Wh/'2022'!Env_an*'2023'!Env_an</f>
        <v>21.87977871023552</v>
      </c>
      <c r="C173" s="829"/>
      <c r="D173" s="391">
        <f t="shared" si="50"/>
        <v>22.565415398459901</v>
      </c>
      <c r="E173" s="383">
        <f t="shared" si="75"/>
        <v>22.826067660012217</v>
      </c>
      <c r="F173" s="383">
        <f t="shared" si="51"/>
        <v>22.826635071294017</v>
      </c>
      <c r="G173" s="110">
        <f t="shared" si="76"/>
        <v>0.36864954615501139</v>
      </c>
      <c r="H173" s="412" t="b">
        <f>Wh_hp&gt;='2022'!Maxi_hp</f>
        <v>0</v>
      </c>
      <c r="I173" s="379">
        <f>IF(H173,Wh_hp,'2022'!Maxi_hp)</f>
        <v>64.215122991320413</v>
      </c>
      <c r="J173" s="85">
        <f>IF(H173,An,'2022'!An_max)</f>
        <v>2018</v>
      </c>
      <c r="K173" s="197">
        <f t="shared" si="52"/>
        <v>45085</v>
      </c>
      <c r="L173" s="147">
        <f>IF(t&lt;Tvie,1-EXP((T0-t)*PertePVj)+'2022'!Pspv,1-EXP((T0-t)*PertePVj)+Pspv)</f>
        <v>3.0384403571457219E-2</v>
      </c>
      <c r="M173" s="832"/>
      <c r="N173" s="832"/>
      <c r="O173" s="48">
        <f>IF(t&lt;Tnet,'2022'!Resal+('2022'!Salim-'2022'!Resal)*(1-EXP(('2022'!Tnet-t)/('2022'!Tau_j))),Resal+(Salim-Resal)*(1-EXP((Tnet-t)/(Tau_j))))*Salcycl</f>
        <v>1.1419061111824282E-2</v>
      </c>
      <c r="P173" s="338">
        <f>(INDEX(Models!$BJ173:$BT173,,T173)*(1-R173)+INDEX(Models!$BJ173:$BT173,,T173+1)*R173-ERP_i)*Q173*Ramure*Pc/MaxiM</f>
        <v>2.5315365728720572E-4</v>
      </c>
      <c r="Q173" s="304">
        <f t="shared" si="53"/>
        <v>0.7</v>
      </c>
      <c r="R173" s="177">
        <f t="shared" si="54"/>
        <v>0.52616376276618515</v>
      </c>
      <c r="S173" s="799">
        <f t="shared" si="55"/>
        <v>0</v>
      </c>
      <c r="T173" s="176">
        <f t="shared" si="56"/>
        <v>6</v>
      </c>
      <c r="U173" s="250">
        <f t="shared" si="57"/>
        <v>0.52616376276618515</v>
      </c>
      <c r="V173" s="382">
        <f t="shared" si="58"/>
        <v>59.337611406533938</v>
      </c>
      <c r="W173" s="400">
        <f t="shared" si="59"/>
        <v>21.87977871023552</v>
      </c>
      <c r="X173" s="157">
        <f t="shared" si="60"/>
        <v>45085</v>
      </c>
      <c r="Y173" s="383">
        <f t="shared" si="61"/>
        <v>21.490086137905234</v>
      </c>
      <c r="Z173" s="383">
        <f t="shared" si="62"/>
        <v>22.163511206978587</v>
      </c>
      <c r="AA173" s="384">
        <f t="shared" si="63"/>
        <v>22.826030829504678</v>
      </c>
      <c r="AB173" s="197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2.9024740546206761E-2</v>
      </c>
      <c r="AD173" s="230">
        <f>(INDEX(Models!$BJ173:$BT173,,AH173)*(1-AF173)+INDEX(Models!$BJ173:$BT173,,AH173+1)*AF173-ERP_i)*AE173*Ramure*Pc/MaxiM</f>
        <v>2.6958579035005941E-4</v>
      </c>
      <c r="AE173" s="304">
        <f t="shared" si="65"/>
        <v>0.7</v>
      </c>
      <c r="AF173" s="177">
        <f t="shared" si="66"/>
        <v>0.5904959850260173</v>
      </c>
      <c r="AG173" s="799">
        <f t="shared" si="74"/>
        <v>0</v>
      </c>
      <c r="AH173" s="176">
        <f t="shared" si="67"/>
        <v>6</v>
      </c>
      <c r="AI173" s="224">
        <f t="shared" si="68"/>
        <v>0.5904959850260173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45086</v>
      </c>
      <c r="B174" s="409">
        <f>'2022'!Wh/'2022'!Env_an*'2023'!Env_an</f>
        <v>51.766900327840325</v>
      </c>
      <c r="C174" s="829"/>
      <c r="D174" s="391">
        <f t="shared" si="50"/>
        <v>53.390119381711116</v>
      </c>
      <c r="E174" s="383">
        <f t="shared" si="75"/>
        <v>54.012899686227883</v>
      </c>
      <c r="F174" s="383">
        <f t="shared" si="51"/>
        <v>54.023988117595202</v>
      </c>
      <c r="G174" s="110">
        <f t="shared" si="76"/>
        <v>0.87287916873568216</v>
      </c>
      <c r="H174" s="412" t="b">
        <f>Wh_hp&gt;='2022'!Maxi_hp</f>
        <v>0</v>
      </c>
      <c r="I174" s="379">
        <f>IF(H174,Wh_hp,'2022'!Maxi_hp)</f>
        <v>59.018802460565581</v>
      </c>
      <c r="J174" s="85">
        <f>IF(H174,An,'2022'!An_max)</f>
        <v>2021</v>
      </c>
      <c r="K174" s="197">
        <f t="shared" si="52"/>
        <v>45086</v>
      </c>
      <c r="L174" s="147">
        <f>IF(t&lt;Tvie,1-EXP((T0-t)*PertePVj)+'2022'!Pspv,1-EXP((T0-t)*PertePVj)+Pspv)</f>
        <v>3.0402986033157831E-2</v>
      </c>
      <c r="M174" s="832"/>
      <c r="N174" s="832"/>
      <c r="O174" s="48">
        <f>IF(t&lt;Tnet,'2022'!Resal+('2022'!Salim-'2022'!Resal)*(1-EXP(('2022'!Tnet-t)/('2022'!Tau_j))),Resal+(Salim-Resal)*(1-EXP((Tnet-t)/(Tau_j))))*Salcycl</f>
        <v>1.153021422909379E-2</v>
      </c>
      <c r="P174" s="338">
        <f>(INDEX(Models!$BJ174:$BT174,,T174)*(1-R174)+INDEX(Models!$BJ174:$BT174,,T174+1)*R174-ERP_i)*Q174*Ramure*Pc/MaxiM</f>
        <v>2.5077737270272793E-4</v>
      </c>
      <c r="Q174" s="304">
        <f t="shared" si="53"/>
        <v>0.7</v>
      </c>
      <c r="R174" s="177">
        <f t="shared" si="54"/>
        <v>0.53027638248162989</v>
      </c>
      <c r="S174" s="799">
        <f t="shared" si="55"/>
        <v>0</v>
      </c>
      <c r="T174" s="176">
        <f t="shared" si="56"/>
        <v>6</v>
      </c>
      <c r="U174" s="250">
        <f t="shared" si="57"/>
        <v>0.53027638248162989</v>
      </c>
      <c r="V174" s="382">
        <f t="shared" si="58"/>
        <v>59.303217323309525</v>
      </c>
      <c r="W174" s="400">
        <f t="shared" si="59"/>
        <v>51.766900327840325</v>
      </c>
      <c r="X174" s="157">
        <f t="shared" si="60"/>
        <v>45086</v>
      </c>
      <c r="Y174" s="383">
        <f t="shared" si="61"/>
        <v>50.844740479879427</v>
      </c>
      <c r="Z174" s="383">
        <f t="shared" si="62"/>
        <v>52.439044002272674</v>
      </c>
      <c r="AA174" s="384">
        <f t="shared" si="63"/>
        <v>54.012193620537445</v>
      </c>
      <c r="AB174" s="197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2.9125823500465969E-2</v>
      </c>
      <c r="AD174" s="230">
        <f>(INDEX(Models!$BJ174:$BT174,,AH174)*(1-AF174)+INDEX(Models!$BJ174:$BT174,,AH174+1)*AF174-ERP_i)*AE174*Ramure*Pc/MaxiM</f>
        <v>2.6674584407055144E-4</v>
      </c>
      <c r="AE174" s="304">
        <f t="shared" si="65"/>
        <v>0.7</v>
      </c>
      <c r="AF174" s="177">
        <f t="shared" si="66"/>
        <v>0.59460860474146204</v>
      </c>
      <c r="AG174" s="799">
        <f t="shared" si="74"/>
        <v>0</v>
      </c>
      <c r="AH174" s="176">
        <f t="shared" si="67"/>
        <v>6</v>
      </c>
      <c r="AI174" s="224">
        <f t="shared" si="68"/>
        <v>0.59460860474146204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45087</v>
      </c>
      <c r="B175" s="409">
        <f>'2022'!Wh/'2022'!Env_an*'2023'!Env_an</f>
        <v>59.530708761000291</v>
      </c>
      <c r="C175" s="829"/>
      <c r="D175" s="391">
        <f t="shared" si="50"/>
        <v>61.398548899980177</v>
      </c>
      <c r="E175" s="383">
        <f t="shared" si="75"/>
        <v>62.121722088580334</v>
      </c>
      <c r="F175" s="383">
        <f t="shared" si="51"/>
        <v>62.137218569492148</v>
      </c>
      <c r="G175" s="110">
        <f t="shared" si="76"/>
        <v>1.0044687442388611</v>
      </c>
      <c r="H175" s="412" t="b">
        <f>Wh_hp&gt;='2022'!Maxi_hp</f>
        <v>0</v>
      </c>
      <c r="I175" s="379">
        <f>IF(H175,Wh_hp,'2022'!Maxi_hp)</f>
        <v>62.137218569492155</v>
      </c>
      <c r="J175" s="85">
        <f>IF(H175,An,'2022'!An_max)</f>
        <v>2022</v>
      </c>
      <c r="K175" s="197">
        <f t="shared" si="52"/>
        <v>45087</v>
      </c>
      <c r="L175" s="147">
        <f>IF(t&lt;Tvie,1-EXP((T0-t)*PertePVj)+'2022'!Pspv,1-EXP((T0-t)*PertePVj)+Pspv)</f>
        <v>3.0421568138729871E-2</v>
      </c>
      <c r="M175" s="832"/>
      <c r="N175" s="832"/>
      <c r="O175" s="48">
        <f>IF(t&lt;Tnet,'2022'!Resal+('2022'!Salim-'2022'!Resal)*(1-EXP(('2022'!Tnet-t)/('2022'!Tau_j))),Resal+(Salim-Resal)*(1-EXP((Tnet-t)/(Tau_j))))*Salcycl</f>
        <v>1.1641228933881994E-2</v>
      </c>
      <c r="P175" s="338">
        <f>(INDEX(Models!$BJ175:$BT175,,T175)*(1-R175)+INDEX(Models!$BJ175:$BT175,,T175+1)*R175-ERP_i)*Q175*Ramure*Pc/MaxiM</f>
        <v>2.493912870349775E-4</v>
      </c>
      <c r="Q175" s="304">
        <f t="shared" si="53"/>
        <v>0.7</v>
      </c>
      <c r="R175" s="177">
        <f t="shared" si="54"/>
        <v>0.53439247553043911</v>
      </c>
      <c r="S175" s="799">
        <f t="shared" si="55"/>
        <v>0</v>
      </c>
      <c r="T175" s="176">
        <f t="shared" si="56"/>
        <v>6</v>
      </c>
      <c r="U175" s="250">
        <f t="shared" si="57"/>
        <v>0.53439247553043911</v>
      </c>
      <c r="V175" s="382">
        <f t="shared" si="58"/>
        <v>59.265864769251579</v>
      </c>
      <c r="W175" s="400">
        <f t="shared" si="59"/>
        <v>59.530708761000291</v>
      </c>
      <c r="X175" s="157">
        <f t="shared" si="60"/>
        <v>45087</v>
      </c>
      <c r="Y175" s="383">
        <f t="shared" si="61"/>
        <v>58.470596871219875</v>
      </c>
      <c r="Z175" s="383">
        <f t="shared" si="62"/>
        <v>60.305174857257967</v>
      </c>
      <c r="AA175" s="384">
        <f t="shared" si="63"/>
        <v>62.120750301821708</v>
      </c>
      <c r="AB175" s="197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2.9226553699730467E-2</v>
      </c>
      <c r="AD175" s="230">
        <f>(INDEX(Models!$BJ175:$BT175,,AH175)*(1-AF175)+INDEX(Models!$BJ175:$BT175,,AH175+1)*AF175-ERP_i)*AE175*Ramure*Pc/MaxiM</f>
        <v>2.6503065392310943E-4</v>
      </c>
      <c r="AE175" s="304">
        <f t="shared" si="65"/>
        <v>0.7</v>
      </c>
      <c r="AF175" s="177">
        <f t="shared" si="66"/>
        <v>0.59872469779027127</v>
      </c>
      <c r="AG175" s="799">
        <f t="shared" si="74"/>
        <v>0</v>
      </c>
      <c r="AH175" s="176">
        <f t="shared" si="67"/>
        <v>6</v>
      </c>
      <c r="AI175" s="224">
        <f t="shared" si="68"/>
        <v>0.59872469779027127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45088</v>
      </c>
      <c r="B176" s="409">
        <f>'2022'!Wh/'2022'!Env_an*'2023'!Env_an</f>
        <v>57.923802662491653</v>
      </c>
      <c r="C176" s="829"/>
      <c r="D176" s="391">
        <f t="shared" si="50"/>
        <v>59.742369339872383</v>
      </c>
      <c r="E176" s="383">
        <f t="shared" si="75"/>
        <v>60.452816526688864</v>
      </c>
      <c r="F176" s="383">
        <f t="shared" si="51"/>
        <v>60.467401790906862</v>
      </c>
      <c r="G176" s="110">
        <f t="shared" si="76"/>
        <v>0.97801280012257319</v>
      </c>
      <c r="H176" s="412" t="b">
        <f>Wh_hp&gt;='2022'!Maxi_hp</f>
        <v>0</v>
      </c>
      <c r="I176" s="379">
        <f>IF(H176,Wh_hp,'2022'!Maxi_hp)</f>
        <v>60.467584204293566</v>
      </c>
      <c r="J176" s="85">
        <f>IF(H176,An,'2022'!An_max)</f>
        <v>2022</v>
      </c>
      <c r="K176" s="197">
        <f t="shared" si="52"/>
        <v>45088</v>
      </c>
      <c r="L176" s="147">
        <f>IF(t&lt;Tvie,1-EXP((T0-t)*PertePVj)+'2022'!Pspv,1-EXP((T0-t)*PertePVj)+Pspv)</f>
        <v>3.0440149888180112E-2</v>
      </c>
      <c r="M176" s="832"/>
      <c r="N176" s="832"/>
      <c r="O176" s="48">
        <f>IF(t&lt;Tnet,'2022'!Resal+('2022'!Salim-'2022'!Resal)*(1-EXP(('2022'!Tnet-t)/('2022'!Tau_j))),Resal+(Salim-Resal)*(1-EXP((Tnet-t)/(Tau_j))))*Salcycl</f>
        <v>1.1752094073281543E-2</v>
      </c>
      <c r="P176" s="338">
        <f>(INDEX(Models!$BJ176:$BT176,,T176)*(1-R176)+INDEX(Models!$BJ176:$BT176,,T176+1)*R176-ERP_i)*Q176*Ramure*Pc/MaxiM</f>
        <v>2.4902803427801309E-4</v>
      </c>
      <c r="Q176" s="304">
        <f t="shared" si="53"/>
        <v>0.7</v>
      </c>
      <c r="R176" s="177">
        <f t="shared" si="54"/>
        <v>0.53850856857924834</v>
      </c>
      <c r="S176" s="799">
        <f t="shared" si="55"/>
        <v>0</v>
      </c>
      <c r="T176" s="176">
        <f t="shared" si="56"/>
        <v>6</v>
      </c>
      <c r="U176" s="250">
        <f t="shared" si="57"/>
        <v>0.53850856857924834</v>
      </c>
      <c r="V176" s="382">
        <f t="shared" si="58"/>
        <v>59.225553715846125</v>
      </c>
      <c r="W176" s="400">
        <f t="shared" si="59"/>
        <v>57.923802662491653</v>
      </c>
      <c r="X176" s="157">
        <f t="shared" si="60"/>
        <v>45088</v>
      </c>
      <c r="Y176" s="383">
        <f t="shared" si="61"/>
        <v>56.892845215093153</v>
      </c>
      <c r="Z176" s="383">
        <f t="shared" si="62"/>
        <v>58.67904411319391</v>
      </c>
      <c r="AA176" s="384">
        <f t="shared" si="63"/>
        <v>60.451911884589727</v>
      </c>
      <c r="AB176" s="197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2.9326909871443568E-2</v>
      </c>
      <c r="AD176" s="230">
        <f>(INDEX(Models!$BJ176:$BT176,,AH176)*(1-AF176)+INDEX(Models!$BJ176:$BT176,,AH176+1)*AF176-ERP_i)*AE176*Ramure*Pc/MaxiM</f>
        <v>2.6447384590717448E-4</v>
      </c>
      <c r="AE176" s="304">
        <f t="shared" si="65"/>
        <v>0.7</v>
      </c>
      <c r="AF176" s="177">
        <f t="shared" si="66"/>
        <v>0.60284079083908049</v>
      </c>
      <c r="AG176" s="799">
        <f t="shared" si="74"/>
        <v>0</v>
      </c>
      <c r="AH176" s="176">
        <f t="shared" si="67"/>
        <v>6</v>
      </c>
      <c r="AI176" s="224">
        <f t="shared" si="68"/>
        <v>0.60284079083908049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45089</v>
      </c>
      <c r="B177" s="409">
        <f>'2022'!Wh/'2022'!Env_an*'2023'!Env_an</f>
        <v>47.88971284120224</v>
      </c>
      <c r="C177" s="829"/>
      <c r="D177" s="391">
        <f t="shared" si="50"/>
        <v>49.394197427512978</v>
      </c>
      <c r="E177" s="383">
        <f t="shared" si="75"/>
        <v>49.98718534433285</v>
      </c>
      <c r="F177" s="383">
        <f t="shared" si="51"/>
        <v>49.996267182395201</v>
      </c>
      <c r="G177" s="110">
        <f t="shared" si="76"/>
        <v>0.80913491418650663</v>
      </c>
      <c r="H177" s="412" t="b">
        <f>Wh_hp&gt;='2022'!Maxi_hp</f>
        <v>0</v>
      </c>
      <c r="I177" s="379">
        <f>IF(H177,Wh_hp,'2022'!Maxi_hp)</f>
        <v>60.295662422048899</v>
      </c>
      <c r="J177" s="85">
        <f>IF(H177,An,'2022'!An_max)</f>
        <v>2018</v>
      </c>
      <c r="K177" s="197">
        <f t="shared" si="52"/>
        <v>45089</v>
      </c>
      <c r="L177" s="147">
        <f>IF(t&lt;Tvie,1-EXP((T0-t)*PertePVj)+'2022'!Pspv,1-EXP((T0-t)*PertePVj)+Pspv)</f>
        <v>3.0458731281515439E-2</v>
      </c>
      <c r="M177" s="832"/>
      <c r="N177" s="832"/>
      <c r="O177" s="48">
        <f>IF(t&lt;Tnet,'2022'!Resal+('2022'!Salim-'2022'!Resal)*(1-EXP(('2022'!Tnet-t)/('2022'!Tau_j))),Resal+(Salim-Resal)*(1-EXP((Tnet-t)/(Tau_j))))*Salcycl</f>
        <v>1.1862798690006565E-2</v>
      </c>
      <c r="P177" s="338">
        <f>(INDEX(Models!$BJ177:$BT177,,T177)*(1-R177)+INDEX(Models!$BJ177:$BT177,,T177+1)*R177-ERP_i)*Q177*Ramure*Pc/MaxiM</f>
        <v>2.4972058431535818E-4</v>
      </c>
      <c r="Q177" s="304">
        <f t="shared" si="53"/>
        <v>0.7</v>
      </c>
      <c r="R177" s="177">
        <f t="shared" si="54"/>
        <v>0.54262118829469297</v>
      </c>
      <c r="S177" s="799">
        <f t="shared" si="55"/>
        <v>0</v>
      </c>
      <c r="T177" s="176">
        <f t="shared" si="56"/>
        <v>6</v>
      </c>
      <c r="U177" s="250">
        <f t="shared" si="57"/>
        <v>0.54262118829469297</v>
      </c>
      <c r="V177" s="382">
        <f t="shared" si="58"/>
        <v>59.182284121056341</v>
      </c>
      <c r="W177" s="400">
        <f t="shared" si="59"/>
        <v>47.88971284120224</v>
      </c>
      <c r="X177" s="157">
        <f t="shared" si="60"/>
        <v>45089</v>
      </c>
      <c r="Y177" s="383">
        <f t="shared" si="61"/>
        <v>47.037949738445725</v>
      </c>
      <c r="Z177" s="383">
        <f t="shared" si="62"/>
        <v>48.515675666513211</v>
      </c>
      <c r="AA177" s="384">
        <f t="shared" si="63"/>
        <v>49.986625684540591</v>
      </c>
      <c r="AB177" s="197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2.9426871645835167E-2</v>
      </c>
      <c r="AD177" s="230">
        <f>(INDEX(Models!$BJ177:$BT177,,AH177)*(1-AF177)+INDEX(Models!$BJ177:$BT177,,AH177+1)*AF177-ERP_i)*AE177*Ramure*Pc/MaxiM</f>
        <v>2.6510938219743573E-4</v>
      </c>
      <c r="AE177" s="304">
        <f t="shared" si="65"/>
        <v>0.7</v>
      </c>
      <c r="AF177" s="177">
        <f t="shared" si="66"/>
        <v>0.60695341055452512</v>
      </c>
      <c r="AG177" s="799">
        <f t="shared" si="74"/>
        <v>0</v>
      </c>
      <c r="AH177" s="176">
        <f t="shared" si="67"/>
        <v>6</v>
      </c>
      <c r="AI177" s="224">
        <f t="shared" si="68"/>
        <v>0.60695341055452512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45090</v>
      </c>
      <c r="B178" s="409">
        <f>'2022'!Wh/'2022'!Env_an*'2023'!Env_an</f>
        <v>52.648669707832823</v>
      </c>
      <c r="C178" s="829"/>
      <c r="D178" s="391">
        <f t="shared" si="50"/>
        <v>54.303700549544772</v>
      </c>
      <c r="E178" s="383">
        <f t="shared" si="75"/>
        <v>54.961776146453339</v>
      </c>
      <c r="F178" s="383">
        <f t="shared" si="51"/>
        <v>54.973436000108045</v>
      </c>
      <c r="G178" s="110">
        <f t="shared" si="76"/>
        <v>0.89026219207964663</v>
      </c>
      <c r="H178" s="412" t="b">
        <f>Wh_hp&gt;='2022'!Maxi_hp</f>
        <v>0</v>
      </c>
      <c r="I178" s="379">
        <f>IF(H178,Wh_hp,'2022'!Maxi_hp)</f>
        <v>64.172787836056131</v>
      </c>
      <c r="J178" s="85">
        <f>IF(H178,An,'2022'!An_max)</f>
        <v>2018</v>
      </c>
      <c r="K178" s="197">
        <f t="shared" si="52"/>
        <v>45090</v>
      </c>
      <c r="L178" s="147">
        <f>IF(t&lt;Tvie,1-EXP((T0-t)*PertePVj)+'2022'!Pspv,1-EXP((T0-t)*PertePVj)+Pspv)</f>
        <v>3.0477312318742511E-2</v>
      </c>
      <c r="M178" s="832"/>
      <c r="N178" s="832"/>
      <c r="O178" s="48">
        <f>IF(t&lt;Tnet,'2022'!Resal+('2022'!Salim-'2022'!Resal)*(1-EXP(('2022'!Tnet-t)/('2022'!Tau_j))),Resal+(Salim-Resal)*(1-EXP((Tnet-t)/(Tau_j))))*Salcycl</f>
        <v>1.1973332069091673E-2</v>
      </c>
      <c r="P178" s="338">
        <f>(INDEX(Models!$BJ178:$BT178,,T178)*(1-R178)+INDEX(Models!$BJ178:$BT178,,T178+1)*R178-ERP_i)*Q178*Ramure*Pc/MaxiM</f>
        <v>2.5151707031774125E-4</v>
      </c>
      <c r="Q178" s="304">
        <f t="shared" si="53"/>
        <v>0.7</v>
      </c>
      <c r="R178" s="177">
        <f t="shared" si="54"/>
        <v>0.54672687305730627</v>
      </c>
      <c r="S178" s="799">
        <f t="shared" si="55"/>
        <v>0</v>
      </c>
      <c r="T178" s="176">
        <f t="shared" si="56"/>
        <v>6</v>
      </c>
      <c r="U178" s="250">
        <f t="shared" si="57"/>
        <v>0.54672687305730627</v>
      </c>
      <c r="V178" s="382">
        <f t="shared" si="58"/>
        <v>59.1360550498827</v>
      </c>
      <c r="W178" s="400">
        <f t="shared" si="59"/>
        <v>52.648669707832823</v>
      </c>
      <c r="X178" s="157">
        <f t="shared" si="60"/>
        <v>45090</v>
      </c>
      <c r="Y178" s="383">
        <f t="shared" si="61"/>
        <v>51.712649129689758</v>
      </c>
      <c r="Z178" s="383">
        <f t="shared" si="62"/>
        <v>53.338255810565343</v>
      </c>
      <c r="AA178" s="384">
        <f t="shared" si="63"/>
        <v>54.961059105430941</v>
      </c>
      <c r="AB178" s="197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2.9526419637449217E-2</v>
      </c>
      <c r="AD178" s="230">
        <f>(INDEX(Models!$BJ178:$BT178,,AH178)*(1-AF178)+INDEX(Models!$BJ178:$BT178,,AH178+1)*AF178-ERP_i)*AE178*Ramure*Pc/MaxiM</f>
        <v>2.6698450778239263E-4</v>
      </c>
      <c r="AE178" s="304">
        <f t="shared" si="65"/>
        <v>0.7</v>
      </c>
      <c r="AF178" s="177">
        <f t="shared" si="66"/>
        <v>0.61105909531713842</v>
      </c>
      <c r="AG178" s="799">
        <f t="shared" si="74"/>
        <v>0</v>
      </c>
      <c r="AH178" s="176">
        <f t="shared" si="67"/>
        <v>6</v>
      </c>
      <c r="AI178" s="224">
        <f t="shared" si="68"/>
        <v>0.61105909531713842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45091</v>
      </c>
      <c r="B179" s="409">
        <f>'2022'!Wh/'2022'!Env_an*'2023'!Env_an</f>
        <v>51.787209428475997</v>
      </c>
      <c r="C179" s="829"/>
      <c r="D179" s="391">
        <f t="shared" si="50"/>
        <v>53.416183649512853</v>
      </c>
      <c r="E179" s="383">
        <f t="shared" si="75"/>
        <v>54.069542908336267</v>
      </c>
      <c r="F179" s="383">
        <f t="shared" si="51"/>
        <v>54.080822374114206</v>
      </c>
      <c r="G179" s="110">
        <f t="shared" si="76"/>
        <v>0.87641866694442783</v>
      </c>
      <c r="H179" s="412" t="b">
        <f>Wh_hp&gt;='2022'!Maxi_hp</f>
        <v>0</v>
      </c>
      <c r="I179" s="379">
        <f>IF(H179,Wh_hp,'2022'!Maxi_hp)</f>
        <v>57.550987024107755</v>
      </c>
      <c r="J179" s="85">
        <f>IF(H179,An,'2022'!An_max)</f>
        <v>2021</v>
      </c>
      <c r="K179" s="197">
        <f t="shared" si="52"/>
        <v>45091</v>
      </c>
      <c r="L179" s="147">
        <f>IF(t&lt;Tvie,1-EXP((T0-t)*PertePVj)+'2022'!Pspv,1-EXP((T0-t)*PertePVj)+Pspv)</f>
        <v>3.0495892999868213E-2</v>
      </c>
      <c r="M179" s="832"/>
      <c r="N179" s="832"/>
      <c r="O179" s="48">
        <f>IF(t&lt;Tnet,'2022'!Resal+('2022'!Salim-'2022'!Resal)*(1-EXP(('2022'!Tnet-t)/('2022'!Tau_j))),Resal+(Salim-Resal)*(1-EXP((Tnet-t)/(Tau_j))))*Salcycl</f>
        <v>1.2083683783512897E-2</v>
      </c>
      <c r="P179" s="338">
        <f>(INDEX(Models!$BJ179:$BT179,,T179)*(1-R179)+INDEX(Models!$BJ179:$BT179,,T179+1)*R179-ERP_i)*Q179*Ramure*Pc/MaxiM</f>
        <v>2.5326531994674739E-4</v>
      </c>
      <c r="Q179" s="304">
        <f t="shared" si="53"/>
        <v>0.7</v>
      </c>
      <c r="R179" s="177">
        <f t="shared" si="54"/>
        <v>0.55082218459156695</v>
      </c>
      <c r="S179" s="799">
        <f t="shared" si="55"/>
        <v>0</v>
      </c>
      <c r="T179" s="176">
        <f t="shared" si="56"/>
        <v>6</v>
      </c>
      <c r="U179" s="250">
        <f t="shared" si="57"/>
        <v>0.55082218459156695</v>
      </c>
      <c r="V179" s="382">
        <f t="shared" si="58"/>
        <v>59.086936516487924</v>
      </c>
      <c r="W179" s="400">
        <f t="shared" si="59"/>
        <v>51.787209428475997</v>
      </c>
      <c r="X179" s="157">
        <f t="shared" si="60"/>
        <v>45091</v>
      </c>
      <c r="Y179" s="383">
        <f t="shared" si="61"/>
        <v>50.86700308361462</v>
      </c>
      <c r="Z179" s="383">
        <f t="shared" si="62"/>
        <v>52.467032079945284</v>
      </c>
      <c r="AA179" s="384">
        <f t="shared" si="63"/>
        <v>54.068850738113866</v>
      </c>
      <c r="AB179" s="197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2.9625535521868245E-2</v>
      </c>
      <c r="AD179" s="230">
        <f>(INDEX(Models!$BJ179:$BT179,,AH179)*(1-AF179)+INDEX(Models!$BJ179:$BT179,,AH179+1)*AF179-ERP_i)*AE179*Ramure*Pc/MaxiM</f>
        <v>2.6880707664745496E-4</v>
      </c>
      <c r="AE179" s="304">
        <f t="shared" si="65"/>
        <v>0.7</v>
      </c>
      <c r="AF179" s="177">
        <f t="shared" si="66"/>
        <v>0.6151544068513991</v>
      </c>
      <c r="AG179" s="799">
        <f t="shared" si="74"/>
        <v>0</v>
      </c>
      <c r="AH179" s="176">
        <f t="shared" si="67"/>
        <v>6</v>
      </c>
      <c r="AI179" s="224">
        <f t="shared" si="68"/>
        <v>0.6151544068513991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45092</v>
      </c>
      <c r="B180" s="409">
        <f>'2022'!Wh/'2022'!Env_an*'2023'!Env_an</f>
        <v>55.223066463571982</v>
      </c>
      <c r="C180" s="829"/>
      <c r="D180" s="391">
        <f t="shared" si="50"/>
        <v>56.961207717006637</v>
      </c>
      <c r="E180" s="383">
        <f t="shared" si="75"/>
        <v>57.664357886347787</v>
      </c>
      <c r="F180" s="383">
        <f t="shared" si="51"/>
        <v>57.67770709259527</v>
      </c>
      <c r="G180" s="110">
        <f t="shared" si="76"/>
        <v>0.93540835999488892</v>
      </c>
      <c r="H180" s="412" t="b">
        <f>Wh_hp&gt;='2022'!Maxi_hp</f>
        <v>0</v>
      </c>
      <c r="I180" s="379">
        <f>IF(H180,Wh_hp,'2022'!Maxi_hp)</f>
        <v>57.678223739034088</v>
      </c>
      <c r="J180" s="85">
        <f>IF(H180,An,'2022'!An_max)</f>
        <v>2022</v>
      </c>
      <c r="K180" s="197">
        <f t="shared" si="52"/>
        <v>45092</v>
      </c>
      <c r="L180" s="147">
        <f>IF(t&lt;Tvie,1-EXP((T0-t)*PertePVj)+'2022'!Pspv,1-EXP((T0-t)*PertePVj)+Pspv)</f>
        <v>3.0514473324899427E-2</v>
      </c>
      <c r="M180" s="832"/>
      <c r="N180" s="832"/>
      <c r="O180" s="48">
        <f>IF(t&lt;Tnet,'2022'!Resal+('2022'!Salim-'2022'!Resal)*(1-EXP(('2022'!Tnet-t)/('2022'!Tau_j))),Resal+(Salim-Resal)*(1-EXP((Tnet-t)/(Tau_j))))*Salcycl</f>
        <v>1.2193843738397426E-2</v>
      </c>
      <c r="P180" s="338">
        <f>(INDEX(Models!$BJ180:$BT180,,T180)*(1-R180)+INDEX(Models!$BJ180:$BT180,,T180+1)*R180-ERP_i)*Q180*Ramure*Pc/MaxiM</f>
        <v>2.5496321775417139E-4</v>
      </c>
      <c r="Q180" s="304">
        <f t="shared" si="53"/>
        <v>0.7</v>
      </c>
      <c r="R180" s="177">
        <f t="shared" si="54"/>
        <v>0.55490371942927896</v>
      </c>
      <c r="S180" s="799">
        <f t="shared" si="55"/>
        <v>0</v>
      </c>
      <c r="T180" s="176">
        <f t="shared" si="56"/>
        <v>6</v>
      </c>
      <c r="U180" s="250">
        <f t="shared" si="57"/>
        <v>0.55490371942927896</v>
      </c>
      <c r="V180" s="382">
        <f t="shared" si="58"/>
        <v>59.03493037510875</v>
      </c>
      <c r="W180" s="400">
        <f t="shared" si="59"/>
        <v>55.223066463571982</v>
      </c>
      <c r="X180" s="157">
        <f t="shared" si="60"/>
        <v>45092</v>
      </c>
      <c r="Y180" s="383">
        <f t="shared" si="61"/>
        <v>54.242267087857194</v>
      </c>
      <c r="Z180" s="383">
        <f t="shared" si="62"/>
        <v>55.949537765544349</v>
      </c>
      <c r="AA180" s="384">
        <f t="shared" si="63"/>
        <v>57.663540497501103</v>
      </c>
      <c r="AB180" s="197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2.9724202107066843E-2</v>
      </c>
      <c r="AD180" s="230">
        <f>(INDEX(Models!$BJ180:$BT180,,AH180)*(1-AF180)+INDEX(Models!$BJ180:$BT180,,AH180+1)*AF180-ERP_i)*AE180*Ramure*Pc/MaxiM</f>
        <v>2.7057493927859158E-4</v>
      </c>
      <c r="AE180" s="304">
        <f t="shared" si="65"/>
        <v>0.7</v>
      </c>
      <c r="AF180" s="177">
        <f t="shared" si="66"/>
        <v>0.61923594168911111</v>
      </c>
      <c r="AG180" s="799">
        <f t="shared" si="74"/>
        <v>0</v>
      </c>
      <c r="AH180" s="176">
        <f t="shared" si="67"/>
        <v>6</v>
      </c>
      <c r="AI180" s="224">
        <f t="shared" si="68"/>
        <v>0.61923594168911111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45093</v>
      </c>
      <c r="B181" s="409">
        <f>'2022'!Wh/'2022'!Env_an*'2023'!Env_an</f>
        <v>53.265029930133416</v>
      </c>
      <c r="C181" s="829"/>
      <c r="D181" s="391">
        <f t="shared" si="50"/>
        <v>54.942595114878017</v>
      </c>
      <c r="E181" s="383">
        <f t="shared" si="75"/>
        <v>55.627018953812076</v>
      </c>
      <c r="F181" s="383">
        <f t="shared" si="51"/>
        <v>55.639320123005682</v>
      </c>
      <c r="G181" s="110">
        <f t="shared" si="76"/>
        <v>0.90307057918649569</v>
      </c>
      <c r="H181" s="412" t="b">
        <f>Wh_hp&gt;='2022'!Maxi_hp</f>
        <v>0</v>
      </c>
      <c r="I181" s="379">
        <f>IF(H181,Wh_hp,'2022'!Maxi_hp)</f>
        <v>62.895191551516874</v>
      </c>
      <c r="J181" s="85">
        <f>IF(H181,An,'2022'!An_max)</f>
        <v>2018</v>
      </c>
      <c r="K181" s="197">
        <f t="shared" si="52"/>
        <v>45093</v>
      </c>
      <c r="L181" s="147">
        <f>IF(t&lt;Tvie,1-EXP((T0-t)*PertePVj)+'2022'!Pspv,1-EXP((T0-t)*PertePVj)+Pspv)</f>
        <v>3.0533053293842927E-2</v>
      </c>
      <c r="M181" s="832"/>
      <c r="N181" s="832"/>
      <c r="O181" s="48">
        <f>IF(t&lt;Tnet,'2022'!Resal+('2022'!Salim-'2022'!Resal)*(1-EXP(('2022'!Tnet-t)/('2022'!Tau_j))),Resal+(Salim-Resal)*(1-EXP((Tnet-t)/(Tau_j))))*Salcycl</f>
        <v>1.2303802213495337E-2</v>
      </c>
      <c r="P181" s="338">
        <f>(INDEX(Models!$BJ181:$BT181,,T181)*(1-R181)+INDEX(Models!$BJ181:$BT181,,T181+1)*R181-ERP_i)*Q181*Ramure*Pc/MaxiM</f>
        <v>2.5660869591087468E-4</v>
      </c>
      <c r="Q181" s="304">
        <f t="shared" si="53"/>
        <v>0.7</v>
      </c>
      <c r="R181" s="177">
        <f t="shared" si="54"/>
        <v>0.55896812012549657</v>
      </c>
      <c r="S181" s="799">
        <f t="shared" si="55"/>
        <v>0</v>
      </c>
      <c r="T181" s="176">
        <f t="shared" si="56"/>
        <v>6</v>
      </c>
      <c r="U181" s="250">
        <f t="shared" si="57"/>
        <v>0.55896812012549657</v>
      </c>
      <c r="V181" s="382">
        <f t="shared" si="58"/>
        <v>58.980038451358297</v>
      </c>
      <c r="W181" s="400">
        <f t="shared" si="59"/>
        <v>53.265029930133416</v>
      </c>
      <c r="X181" s="157">
        <f t="shared" si="60"/>
        <v>45093</v>
      </c>
      <c r="Y181" s="383">
        <f t="shared" si="61"/>
        <v>52.319570205830985</v>
      </c>
      <c r="Z181" s="383">
        <f t="shared" si="62"/>
        <v>53.967358437119479</v>
      </c>
      <c r="AA181" s="384">
        <f t="shared" si="63"/>
        <v>55.626267423805096</v>
      </c>
      <c r="AB181" s="197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2.982240339886065E-2</v>
      </c>
      <c r="AD181" s="230">
        <f>(INDEX(Models!$BJ181:$BT181,,AH181)*(1-AF181)+INDEX(Models!$BJ181:$BT181,,AH181+1)*AF181-ERP_i)*AE181*Ramure*Pc/MaxiM</f>
        <v>2.7228599714897709E-4</v>
      </c>
      <c r="AE181" s="304">
        <f t="shared" si="65"/>
        <v>0.7</v>
      </c>
      <c r="AF181" s="177">
        <f t="shared" si="66"/>
        <v>0.62330034238532872</v>
      </c>
      <c r="AG181" s="799">
        <f t="shared" si="74"/>
        <v>0</v>
      </c>
      <c r="AH181" s="176">
        <f t="shared" si="67"/>
        <v>6</v>
      </c>
      <c r="AI181" s="224">
        <f t="shared" si="68"/>
        <v>0.62330034238532872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45094</v>
      </c>
      <c r="B182" s="409">
        <f>'2022'!Wh/'2022'!Env_an*'2023'!Env_an</f>
        <v>54.283656380226688</v>
      </c>
      <c r="C182" s="829"/>
      <c r="D182" s="391">
        <f t="shared" si="50"/>
        <v>55.99437600063824</v>
      </c>
      <c r="E182" s="383">
        <f t="shared" si="75"/>
        <v>56.698201960114304</v>
      </c>
      <c r="F182" s="383">
        <f t="shared" si="51"/>
        <v>56.711198000263721</v>
      </c>
      <c r="G182" s="110">
        <f t="shared" si="76"/>
        <v>0.92124907290357316</v>
      </c>
      <c r="H182" s="412" t="b">
        <f>Wh_hp&gt;='2022'!Maxi_hp</f>
        <v>0</v>
      </c>
      <c r="I182" s="379">
        <f>IF(H182,Wh_hp,'2022'!Maxi_hp)</f>
        <v>61.943350764633465</v>
      </c>
      <c r="J182" s="85">
        <f>IF(H182,An,'2022'!An_max)</f>
        <v>2018</v>
      </c>
      <c r="K182" s="197">
        <f t="shared" si="52"/>
        <v>45094</v>
      </c>
      <c r="L182" s="147">
        <f>IF(t&lt;Tvie,1-EXP((T0-t)*PertePVj)+'2022'!Pspv,1-EXP((T0-t)*PertePVj)+Pspv)</f>
        <v>3.0551632906705706E-2</v>
      </c>
      <c r="M182" s="832"/>
      <c r="N182" s="832"/>
      <c r="O182" s="48">
        <f>IF(t&lt;Tnet,'2022'!Resal+('2022'!Salim-'2022'!Resal)*(1-EXP(('2022'!Tnet-t)/('2022'!Tau_j))),Resal+(Salim-Resal)*(1-EXP((Tnet-t)/(Tau_j))))*Salcycl</f>
        <v>1.2413549903596333E-2</v>
      </c>
      <c r="P182" s="338">
        <f>(INDEX(Models!$BJ182:$BT182,,T182)*(1-R182)+INDEX(Models!$BJ182:$BT182,,T182+1)*R182-ERP_i)*Q182*Ramure*Pc/MaxiM</f>
        <v>2.5819974188969147E-4</v>
      </c>
      <c r="Q182" s="304">
        <f t="shared" si="53"/>
        <v>0.7</v>
      </c>
      <c r="R182" s="177">
        <f t="shared" si="54"/>
        <v>0.56301208614922438</v>
      </c>
      <c r="S182" s="799">
        <f t="shared" si="55"/>
        <v>0</v>
      </c>
      <c r="T182" s="176">
        <f t="shared" si="56"/>
        <v>6</v>
      </c>
      <c r="U182" s="250">
        <f t="shared" si="57"/>
        <v>0.56301208614922438</v>
      </c>
      <c r="V182" s="382">
        <f t="shared" si="58"/>
        <v>58.922262534401334</v>
      </c>
      <c r="W182" s="400">
        <f t="shared" si="59"/>
        <v>54.283656380226688</v>
      </c>
      <c r="X182" s="157">
        <f t="shared" si="60"/>
        <v>45094</v>
      </c>
      <c r="Y182" s="383">
        <f t="shared" si="61"/>
        <v>53.320645365372108</v>
      </c>
      <c r="Z182" s="383">
        <f t="shared" si="62"/>
        <v>55.001016222497618</v>
      </c>
      <c r="AA182" s="384">
        <f t="shared" si="63"/>
        <v>56.697409791351539</v>
      </c>
      <c r="AB182" s="197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2.9920124659957296E-2</v>
      </c>
      <c r="AD182" s="230">
        <f>(INDEX(Models!$BJ182:$BT182,,AH182)*(1-AF182)+INDEX(Models!$BJ182:$BT182,,AH182+1)*AF182-ERP_i)*AE182*Ramure*Pc/MaxiM</f>
        <v>2.7393821050999734E-4</v>
      </c>
      <c r="AE182" s="304">
        <f t="shared" si="65"/>
        <v>0.7</v>
      </c>
      <c r="AF182" s="177">
        <f t="shared" si="66"/>
        <v>0.62734430840905653</v>
      </c>
      <c r="AG182" s="799">
        <f t="shared" si="74"/>
        <v>0</v>
      </c>
      <c r="AH182" s="176">
        <f t="shared" si="67"/>
        <v>6</v>
      </c>
      <c r="AI182" s="224">
        <f t="shared" si="68"/>
        <v>0.62734430840905653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45095</v>
      </c>
      <c r="B183" s="409">
        <f>'2022'!Wh/'2022'!Env_an*'2023'!Env_an</f>
        <v>57.350454372807121</v>
      </c>
      <c r="C183" s="829"/>
      <c r="D183" s="391">
        <f t="shared" si="50"/>
        <v>59.158956215691688</v>
      </c>
      <c r="E183" s="383">
        <f t="shared" si="75"/>
        <v>59.909203845769291</v>
      </c>
      <c r="F183" s="383">
        <f t="shared" si="51"/>
        <v>59.924197388462098</v>
      </c>
      <c r="G183" s="110">
        <f t="shared" si="76"/>
        <v>0.97431778368796029</v>
      </c>
      <c r="H183" s="412" t="b">
        <f>Wh_hp&gt;='2022'!Maxi_hp</f>
        <v>0</v>
      </c>
      <c r="I183" s="379">
        <f>IF(H183,Wh_hp,'2022'!Maxi_hp)</f>
        <v>59.92441332024179</v>
      </c>
      <c r="J183" s="85">
        <f>IF(H183,An,'2022'!An_max)</f>
        <v>2022</v>
      </c>
      <c r="K183" s="197">
        <f t="shared" si="52"/>
        <v>45095</v>
      </c>
      <c r="L183" s="147">
        <f>IF(t&lt;Tvie,1-EXP((T0-t)*PertePVj)+'2022'!Pspv,1-EXP((T0-t)*PertePVj)+Pspv)</f>
        <v>3.0570212163494315E-2</v>
      </c>
      <c r="M183" s="832"/>
      <c r="N183" s="832"/>
      <c r="O183" s="48">
        <f>IF(t&lt;Tnet,'2022'!Resal+('2022'!Salim-'2022'!Resal)*(1-EXP(('2022'!Tnet-t)/('2022'!Tau_j))),Resal+(Salim-Resal)*(1-EXP((Tnet-t)/(Tau_j))))*Salcycl</f>
        <v>1.2523077956586574E-2</v>
      </c>
      <c r="P183" s="338">
        <f>(INDEX(Models!$BJ183:$BT183,,T183)*(1-R183)+INDEX(Models!$BJ183:$BT183,,T183+1)*R183-ERP_i)*Q183*Ramure*Pc/MaxiM</f>
        <v>2.5973440567875385E-4</v>
      </c>
      <c r="Q183" s="304">
        <f t="shared" si="53"/>
        <v>0.7</v>
      </c>
      <c r="R183" s="177">
        <f t="shared" si="54"/>
        <v>0.56703238437504189</v>
      </c>
      <c r="S183" s="799">
        <f t="shared" si="55"/>
        <v>0</v>
      </c>
      <c r="T183" s="176">
        <f t="shared" si="56"/>
        <v>6</v>
      </c>
      <c r="U183" s="250">
        <f t="shared" si="57"/>
        <v>0.56703238437504189</v>
      </c>
      <c r="V183" s="382">
        <f t="shared" si="58"/>
        <v>58.861604376314297</v>
      </c>
      <c r="W183" s="400">
        <f t="shared" si="59"/>
        <v>57.350454372807121</v>
      </c>
      <c r="X183" s="157">
        <f t="shared" si="60"/>
        <v>45095</v>
      </c>
      <c r="Y183" s="383">
        <f t="shared" si="61"/>
        <v>56.333568584606411</v>
      </c>
      <c r="Z183" s="383">
        <f t="shared" si="62"/>
        <v>58.110003727373666</v>
      </c>
      <c r="AA183" s="384">
        <f t="shared" si="63"/>
        <v>59.90829204509739</v>
      </c>
      <c r="AB183" s="197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3.0017352462160283E-2</v>
      </c>
      <c r="AD183" s="230">
        <f>(INDEX(Models!$BJ183:$BT183,,AH183)*(1-AF183)+INDEX(Models!$BJ183:$BT183,,AH183+1)*AF183-ERP_i)*AE183*Ramure*Pc/MaxiM</f>
        <v>2.7552960568355349E-4</v>
      </c>
      <c r="AE183" s="304">
        <f t="shared" si="65"/>
        <v>0.7</v>
      </c>
      <c r="AF183" s="177">
        <f t="shared" si="66"/>
        <v>0.63136460663487404</v>
      </c>
      <c r="AG183" s="799">
        <f t="shared" si="74"/>
        <v>0</v>
      </c>
      <c r="AH183" s="176">
        <f t="shared" si="67"/>
        <v>6</v>
      </c>
      <c r="AI183" s="224">
        <f t="shared" si="68"/>
        <v>0.63136460663487404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45096</v>
      </c>
      <c r="B184" s="409">
        <f>'2022'!Wh/'2022'!Env_an*'2023'!Env_an</f>
        <v>58.362851768277878</v>
      </c>
      <c r="C184" s="829"/>
      <c r="D184" s="391">
        <f t="shared" si="50"/>
        <v>60.204432577531648</v>
      </c>
      <c r="E184" s="383">
        <f t="shared" si="75"/>
        <v>60.974687883852525</v>
      </c>
      <c r="F184" s="383">
        <f t="shared" si="51"/>
        <v>60.990451658950704</v>
      </c>
      <c r="G184" s="110">
        <f t="shared" si="76"/>
        <v>0.99259543104386783</v>
      </c>
      <c r="H184" s="412" t="b">
        <f>Wh_hp&gt;='2022'!Maxi_hp</f>
        <v>0</v>
      </c>
      <c r="I184" s="379">
        <f>IF(H184,Wh_hp,'2022'!Maxi_hp)</f>
        <v>60.990515225010704</v>
      </c>
      <c r="J184" s="85">
        <f>IF(H184,An,'2022'!An_max)</f>
        <v>2022</v>
      </c>
      <c r="K184" s="197">
        <f t="shared" si="52"/>
        <v>45096</v>
      </c>
      <c r="L184" s="147">
        <f>IF(t&lt;Tvie,1-EXP((T0-t)*PertePVj)+'2022'!Pspv,1-EXP((T0-t)*PertePVj)+Pspv)</f>
        <v>3.0588791064215637E-2</v>
      </c>
      <c r="M184" s="832"/>
      <c r="N184" s="832"/>
      <c r="O184" s="48">
        <f>IF(t&lt;Tnet,'2022'!Resal+('2022'!Salim-'2022'!Resal)*(1-EXP(('2022'!Tnet-t)/('2022'!Tau_j))),Resal+(Salim-Resal)*(1-EXP((Tnet-t)/(Tau_j))))*Salcycl</f>
        <v>1.2632378008856648E-2</v>
      </c>
      <c r="P184" s="338">
        <f>(INDEX(Models!$BJ184:$BT184,,T184)*(1-R184)+INDEX(Models!$BJ184:$BT184,,T184+1)*R184-ERP_i)*Q184*Ramure*Pc/MaxiM</f>
        <v>2.6122520505610184E-4</v>
      </c>
      <c r="Q184" s="304">
        <f t="shared" si="53"/>
        <v>0.7</v>
      </c>
      <c r="R184" s="177">
        <f t="shared" si="54"/>
        <v>0.57102585910657189</v>
      </c>
      <c r="S184" s="799">
        <f t="shared" si="55"/>
        <v>0</v>
      </c>
      <c r="T184" s="176">
        <f t="shared" si="56"/>
        <v>6</v>
      </c>
      <c r="U184" s="250">
        <f t="shared" si="57"/>
        <v>0.57102585910657189</v>
      </c>
      <c r="V184" s="382">
        <f t="shared" si="58"/>
        <v>58.798064842037427</v>
      </c>
      <c r="W184" s="400">
        <f t="shared" si="59"/>
        <v>58.362851768277878</v>
      </c>
      <c r="X184" s="157">
        <f t="shared" si="60"/>
        <v>45096</v>
      </c>
      <c r="Y184" s="383">
        <f t="shared" si="61"/>
        <v>57.328617568011737</v>
      </c>
      <c r="Z184" s="383">
        <f t="shared" si="62"/>
        <v>59.137564162216421</v>
      </c>
      <c r="AA184" s="384">
        <f t="shared" si="63"/>
        <v>60.973731674510461</v>
      </c>
      <c r="AB184" s="197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3.0114074731326265E-2</v>
      </c>
      <c r="AD184" s="230">
        <f>(INDEX(Models!$BJ184:$BT184,,AH184)*(1-AF184)+INDEX(Models!$BJ184:$BT184,,AH184+1)*AF184-ERP_i)*AE184*Ramure*Pc/MaxiM</f>
        <v>2.7707077376675529E-4</v>
      </c>
      <c r="AE184" s="304">
        <f t="shared" si="65"/>
        <v>0.7</v>
      </c>
      <c r="AF184" s="177">
        <f t="shared" si="66"/>
        <v>0.63535808136640404</v>
      </c>
      <c r="AG184" s="799">
        <f t="shared" si="74"/>
        <v>0</v>
      </c>
      <c r="AH184" s="176">
        <f t="shared" si="67"/>
        <v>6</v>
      </c>
      <c r="AI184" s="224">
        <f t="shared" si="68"/>
        <v>0.63535808136640404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45097</v>
      </c>
      <c r="B185" s="409">
        <f>'2022'!Wh/'2022'!Env_an*'2023'!Env_an</f>
        <v>30.657637426802484</v>
      </c>
      <c r="C185" s="829"/>
      <c r="D185" s="391">
        <f t="shared" si="50"/>
        <v>31.625614292562723</v>
      </c>
      <c r="E185" s="383">
        <f t="shared" si="75"/>
        <v>32.03377073135421</v>
      </c>
      <c r="F185" s="383">
        <f t="shared" si="51"/>
        <v>32.036440168713142</v>
      </c>
      <c r="G185" s="110">
        <f t="shared" si="76"/>
        <v>0.52190158050692415</v>
      </c>
      <c r="H185" s="412" t="b">
        <f>Wh_hp&gt;='2022'!Maxi_hp</f>
        <v>0</v>
      </c>
      <c r="I185" s="379">
        <f>IF(H185,Wh_hp,'2022'!Maxi_hp)</f>
        <v>55.931265464438617</v>
      </c>
      <c r="J185" s="85">
        <f>IF(H185,An,'2022'!An_max)</f>
        <v>2020</v>
      </c>
      <c r="K185" s="197">
        <f t="shared" si="52"/>
        <v>45097</v>
      </c>
      <c r="L185" s="147">
        <f>IF(t&lt;Tvie,1-EXP((T0-t)*PertePVj)+'2022'!Pspv,1-EXP((T0-t)*PertePVj)+Pspv)</f>
        <v>3.0607369608876667E-2</v>
      </c>
      <c r="M185" s="832"/>
      <c r="N185" s="832"/>
      <c r="O185" s="48">
        <f>IF(t&lt;Tnet,'2022'!Resal+('2022'!Salim-'2022'!Resal)*(1-EXP(('2022'!Tnet-t)/('2022'!Tau_j))),Resal+(Salim-Resal)*(1-EXP((Tnet-t)/(Tau_j))))*Salcycl</f>
        <v>1.2741442217790059E-2</v>
      </c>
      <c r="P185" s="338">
        <f>(INDEX(Models!$BJ185:$BT185,,T185)*(1-R185)+INDEX(Models!$BJ185:$BT185,,T185+1)*R185-ERP_i)*Q185*Ramure*Pc/MaxiM</f>
        <v>2.6274221287897226E-4</v>
      </c>
      <c r="Q185" s="304">
        <f t="shared" si="53"/>
        <v>0.7</v>
      </c>
      <c r="R185" s="177">
        <f t="shared" si="54"/>
        <v>0.57498944156823772</v>
      </c>
      <c r="S185" s="799">
        <f t="shared" si="55"/>
        <v>0</v>
      </c>
      <c r="T185" s="176">
        <f t="shared" si="56"/>
        <v>6</v>
      </c>
      <c r="U185" s="250">
        <f t="shared" si="57"/>
        <v>0.57498944156823772</v>
      </c>
      <c r="V185" s="382">
        <f t="shared" si="58"/>
        <v>58.731641379090938</v>
      </c>
      <c r="W185" s="400">
        <f t="shared" si="59"/>
        <v>30.657637426802484</v>
      </c>
      <c r="X185" s="157">
        <f t="shared" si="60"/>
        <v>45097</v>
      </c>
      <c r="Y185" s="383">
        <f t="shared" si="61"/>
        <v>30.115020527815631</v>
      </c>
      <c r="Z185" s="383">
        <f t="shared" si="62"/>
        <v>31.065864938198516</v>
      </c>
      <c r="AA185" s="384">
        <f t="shared" si="63"/>
        <v>32.033609268755939</v>
      </c>
      <c r="AB185" s="197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3.0210280784729274E-2</v>
      </c>
      <c r="AD185" s="230">
        <f>(INDEX(Models!$BJ185:$BT185,,AH185)*(1-AF185)+INDEX(Models!$BJ185:$BT185,,AH185+1)*AF185-ERP_i)*AE185*Ramure*Pc/MaxiM</f>
        <v>2.7863434094295051E-4</v>
      </c>
      <c r="AE185" s="304">
        <f t="shared" si="65"/>
        <v>0.7</v>
      </c>
      <c r="AF185" s="177">
        <f t="shared" si="66"/>
        <v>0.63932166382806987</v>
      </c>
      <c r="AG185" s="799">
        <f t="shared" si="74"/>
        <v>0</v>
      </c>
      <c r="AH185" s="176">
        <f t="shared" si="67"/>
        <v>6</v>
      </c>
      <c r="AI185" s="224">
        <f t="shared" si="68"/>
        <v>0.63932166382806987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45098</v>
      </c>
      <c r="B186" s="409">
        <f>'2022'!Wh/'2022'!Env_an*'2023'!Env_an</f>
        <v>20.281631104085459</v>
      </c>
      <c r="C186" s="829"/>
      <c r="D186" s="391">
        <f t="shared" si="50"/>
        <v>20.922399416410563</v>
      </c>
      <c r="E186" s="383">
        <f t="shared" si="75"/>
        <v>21.194757632377296</v>
      </c>
      <c r="F186" s="383">
        <f t="shared" si="51"/>
        <v>21.195123614235179</v>
      </c>
      <c r="G186" s="110">
        <f t="shared" si="76"/>
        <v>0.34564974107091795</v>
      </c>
      <c r="H186" s="412" t="b">
        <f>Wh_hp&gt;='2022'!Maxi_hp</f>
        <v>0</v>
      </c>
      <c r="I186" s="379">
        <f>IF(H186,Wh_hp,'2022'!Maxi_hp)</f>
        <v>56.260411269728877</v>
      </c>
      <c r="J186" s="85">
        <f>IF(H186,An,'2022'!An_max)</f>
        <v>2020</v>
      </c>
      <c r="K186" s="197">
        <f t="shared" si="52"/>
        <v>45098</v>
      </c>
      <c r="L186" s="147">
        <f>IF(t&lt;Tvie,1-EXP((T0-t)*PertePVj)+'2022'!Pspv,1-EXP((T0-t)*PertePVj)+Pspv)</f>
        <v>3.0625947797484177E-2</v>
      </c>
      <c r="M186" s="832"/>
      <c r="N186" s="832"/>
      <c r="O186" s="48">
        <f>IF(t&lt;Tnet,'2022'!Resal+('2022'!Salim-'2022'!Resal)*(1-EXP(('2022'!Tnet-t)/('2022'!Tau_j))),Resal+(Salim-Resal)*(1-EXP((Tnet-t)/(Tau_j))))*Salcycl</f>
        <v>1.285026329108266E-2</v>
      </c>
      <c r="P186" s="338">
        <f>(INDEX(Models!$BJ186:$BT186,,T186)*(1-R186)+INDEX(Models!$BJ186:$BT186,,T186+1)*R186-ERP_i)*Q186*Ramure*Pc/MaxiM</f>
        <v>2.6428443294270159E-4</v>
      </c>
      <c r="Q186" s="304">
        <f t="shared" si="53"/>
        <v>0.7</v>
      </c>
      <c r="R186" s="177">
        <f t="shared" si="54"/>
        <v>0.57892015880793912</v>
      </c>
      <c r="S186" s="799">
        <f t="shared" si="55"/>
        <v>0</v>
      </c>
      <c r="T186" s="176">
        <f t="shared" si="56"/>
        <v>6</v>
      </c>
      <c r="U186" s="250">
        <f t="shared" si="57"/>
        <v>0.57892015880793912</v>
      </c>
      <c r="V186" s="382">
        <f t="shared" si="58"/>
        <v>58.66233558780425</v>
      </c>
      <c r="W186" s="400">
        <f t="shared" si="59"/>
        <v>20.281631104085459</v>
      </c>
      <c r="X186" s="157">
        <f t="shared" si="60"/>
        <v>45098</v>
      </c>
      <c r="Y186" s="383">
        <f t="shared" si="61"/>
        <v>19.922971731785641</v>
      </c>
      <c r="Z186" s="383">
        <f t="shared" si="62"/>
        <v>20.552408728620943</v>
      </c>
      <c r="AA186" s="384">
        <f t="shared" si="63"/>
        <v>21.194735565722649</v>
      </c>
      <c r="AB186" s="197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3.0305961360542567E-2</v>
      </c>
      <c r="AD186" s="230">
        <f>(INDEX(Models!$BJ186:$BT186,,AH186)*(1-AF186)+INDEX(Models!$BJ186:$BT186,,AH186+1)*AF186-ERP_i)*AE186*Ramure*Pc/MaxiM</f>
        <v>2.8021930289707836E-4</v>
      </c>
      <c r="AE186" s="304">
        <f t="shared" si="65"/>
        <v>0.7</v>
      </c>
      <c r="AF186" s="177">
        <f t="shared" si="66"/>
        <v>0.64325238106777127</v>
      </c>
      <c r="AG186" s="799">
        <f t="shared" si="74"/>
        <v>0</v>
      </c>
      <c r="AH186" s="176">
        <f t="shared" si="67"/>
        <v>6</v>
      </c>
      <c r="AI186" s="224">
        <f t="shared" si="68"/>
        <v>0.64325238106777127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45099</v>
      </c>
      <c r="B187" s="409">
        <f>'2022'!Wh/'2022'!Env_an*'2023'!Env_an</f>
        <v>42.813177949598909</v>
      </c>
      <c r="C187" s="829"/>
      <c r="D187" s="391">
        <f t="shared" si="50"/>
        <v>44.166643797442703</v>
      </c>
      <c r="E187" s="383">
        <f t="shared" si="75"/>
        <v>44.746506368492007</v>
      </c>
      <c r="F187" s="383">
        <f t="shared" si="51"/>
        <v>44.753827337594068</v>
      </c>
      <c r="G187" s="110">
        <f t="shared" si="76"/>
        <v>0.73064840313871771</v>
      </c>
      <c r="H187" s="412" t="b">
        <f>Wh_hp&gt;='2022'!Maxi_hp</f>
        <v>0</v>
      </c>
      <c r="I187" s="379">
        <f>IF(H187,Wh_hp,'2022'!Maxi_hp)</f>
        <v>60.180759205917369</v>
      </c>
      <c r="J187" s="85">
        <f>IF(H187,An,'2022'!An_max)</f>
        <v>2020</v>
      </c>
      <c r="K187" s="197">
        <f t="shared" si="52"/>
        <v>45099</v>
      </c>
      <c r="L187" s="147">
        <f>IF(t&lt;Tvie,1-EXP((T0-t)*PertePVj)+'2022'!Pspv,1-EXP((T0-t)*PertePVj)+Pspv)</f>
        <v>3.0644525630044828E-2</v>
      </c>
      <c r="M187" s="832"/>
      <c r="N187" s="832"/>
      <c r="O187" s="48">
        <f>IF(t&lt;Tnet,'2022'!Resal+('2022'!Salim-'2022'!Resal)*(1-EXP(('2022'!Tnet-t)/('2022'!Tau_j))),Resal+(Salim-Resal)*(1-EXP((Tnet-t)/(Tau_j))))*Salcycl</f>
        <v>1.2958834512667484E-2</v>
      </c>
      <c r="P187" s="338">
        <f>(INDEX(Models!$BJ187:$BT187,,T187)*(1-R187)+INDEX(Models!$BJ187:$BT187,,T187+1)*R187-ERP_i)*Q187*Ramure*Pc/MaxiM</f>
        <v>2.6585095379542424E-4</v>
      </c>
      <c r="Q187" s="304">
        <f t="shared" si="53"/>
        <v>0.7</v>
      </c>
      <c r="R187" s="177">
        <f t="shared" si="54"/>
        <v>0.58281514196000916</v>
      </c>
      <c r="S187" s="799">
        <f t="shared" si="55"/>
        <v>0</v>
      </c>
      <c r="T187" s="176">
        <f t="shared" si="56"/>
        <v>6</v>
      </c>
      <c r="U187" s="250">
        <f t="shared" si="57"/>
        <v>0.58281514196000916</v>
      </c>
      <c r="V187" s="382">
        <f t="shared" si="58"/>
        <v>58.590149019482737</v>
      </c>
      <c r="W187" s="400">
        <f t="shared" si="59"/>
        <v>42.813177949598909</v>
      </c>
      <c r="X187" s="157">
        <f t="shared" si="60"/>
        <v>45099</v>
      </c>
      <c r="Y187" s="383">
        <f t="shared" si="61"/>
        <v>42.056201143167186</v>
      </c>
      <c r="Z187" s="383">
        <f t="shared" si="62"/>
        <v>43.385736455970545</v>
      </c>
      <c r="AA187" s="384">
        <f t="shared" si="63"/>
        <v>44.746066484338165</v>
      </c>
      <c r="AB187" s="197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3.0401108639208679E-2</v>
      </c>
      <c r="AD187" s="230">
        <f>(INDEX(Models!$BJ187:$BT187,,AH187)*(1-AF187)+INDEX(Models!$BJ187:$BT187,,AH187+1)*AF187-ERP_i)*AE187*Ramure*Pc/MaxiM</f>
        <v>2.8182474363505313E-4</v>
      </c>
      <c r="AE187" s="304">
        <f t="shared" si="65"/>
        <v>0.7</v>
      </c>
      <c r="AF187" s="177">
        <f t="shared" si="66"/>
        <v>0.64714736421984131</v>
      </c>
      <c r="AG187" s="799">
        <f t="shared" si="74"/>
        <v>0</v>
      </c>
      <c r="AH187" s="176">
        <f t="shared" si="67"/>
        <v>6</v>
      </c>
      <c r="AI187" s="224">
        <f t="shared" si="68"/>
        <v>0.64714736421984131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45100</v>
      </c>
      <c r="B188" s="409">
        <f>'2022'!Wh/'2022'!Env_an*'2023'!Env_an</f>
        <v>44.536085093584795</v>
      </c>
      <c r="C188" s="829"/>
      <c r="D188" s="391">
        <f t="shared" si="50"/>
        <v>45.94489824571378</v>
      </c>
      <c r="E188" s="383">
        <f t="shared" si="75"/>
        <v>46.553216092438184</v>
      </c>
      <c r="F188" s="383">
        <f t="shared" si="51"/>
        <v>46.561418679810551</v>
      </c>
      <c r="G188" s="110">
        <f t="shared" si="76"/>
        <v>0.76103488147165943</v>
      </c>
      <c r="H188" s="412" t="b">
        <f>Wh_hp&gt;='2022'!Maxi_hp</f>
        <v>0</v>
      </c>
      <c r="I188" s="379">
        <f>IF(H188,Wh_hp,'2022'!Maxi_hp)</f>
        <v>53.862501168142678</v>
      </c>
      <c r="J188" s="85">
        <f>IF(H188,An,'2022'!An_max)</f>
        <v>2018</v>
      </c>
      <c r="K188" s="197">
        <f t="shared" si="52"/>
        <v>45100</v>
      </c>
      <c r="L188" s="147">
        <f>IF(t&lt;Tvie,1-EXP((T0-t)*PertePVj)+'2022'!Pspv,1-EXP((T0-t)*PertePVj)+Pspv)</f>
        <v>3.0663103106565615E-2</v>
      </c>
      <c r="M188" s="832"/>
      <c r="N188" s="832"/>
      <c r="O188" s="48">
        <f>IF(t&lt;Tnet,'2022'!Resal+('2022'!Salim-'2022'!Resal)*(1-EXP(('2022'!Tnet-t)/('2022'!Tau_j))),Resal+(Salim-Resal)*(1-EXP((Tnet-t)/(Tau_j))))*Salcycl</f>
        <v>1.3067149765045354E-2</v>
      </c>
      <c r="P188" s="338">
        <f>(INDEX(Models!$BJ188:$BT188,,T188)*(1-R188)+INDEX(Models!$BJ188:$BT188,,T188+1)*R188-ERP_i)*Q188*Ramure*Pc/MaxiM</f>
        <v>2.6743821902096504E-4</v>
      </c>
      <c r="Q188" s="304">
        <f t="shared" si="53"/>
        <v>0.7</v>
      </c>
      <c r="R188" s="177">
        <f t="shared" si="54"/>
        <v>0.58667163382498677</v>
      </c>
      <c r="S188" s="799">
        <f t="shared" si="55"/>
        <v>0</v>
      </c>
      <c r="T188" s="176">
        <f t="shared" si="56"/>
        <v>6</v>
      </c>
      <c r="U188" s="250">
        <f t="shared" si="57"/>
        <v>0.58667163382498677</v>
      </c>
      <c r="V188" s="382">
        <f t="shared" si="58"/>
        <v>58.515083343245514</v>
      </c>
      <c r="W188" s="400">
        <f t="shared" si="59"/>
        <v>44.536085093584795</v>
      </c>
      <c r="X188" s="157">
        <f t="shared" si="60"/>
        <v>45100</v>
      </c>
      <c r="Y188" s="383">
        <f t="shared" si="61"/>
        <v>43.749146525849802</v>
      </c>
      <c r="Z188" s="383">
        <f t="shared" si="62"/>
        <v>45.133066394210964</v>
      </c>
      <c r="AA188" s="384">
        <f t="shared" si="63"/>
        <v>46.552725089508925</v>
      </c>
      <c r="AB188" s="197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3.0495716256531091E-2</v>
      </c>
      <c r="AD188" s="230">
        <f>(INDEX(Models!$BJ188:$BT188,,AH188)*(1-AF188)+INDEX(Models!$BJ188:$BT188,,AH188+1)*AF188-ERP_i)*AE188*Ramure*Pc/MaxiM</f>
        <v>2.8344694199726396E-4</v>
      </c>
      <c r="AE188" s="304">
        <f t="shared" si="65"/>
        <v>0.7</v>
      </c>
      <c r="AF188" s="177">
        <f t="shared" si="66"/>
        <v>0.65100385608481892</v>
      </c>
      <c r="AG188" s="799">
        <f t="shared" si="74"/>
        <v>0</v>
      </c>
      <c r="AH188" s="176">
        <f t="shared" si="67"/>
        <v>6</v>
      </c>
      <c r="AI188" s="224">
        <f t="shared" si="68"/>
        <v>0.65100385608481892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45101</v>
      </c>
      <c r="B189" s="409">
        <f>'2022'!Wh/'2022'!Env_an*'2023'!Env_an</f>
        <v>41.675327566339249</v>
      </c>
      <c r="C189" s="829"/>
      <c r="D189" s="391">
        <f t="shared" si="50"/>
        <v>42.994470151045206</v>
      </c>
      <c r="E189" s="383">
        <f t="shared" si="75"/>
        <v>43.568493926804109</v>
      </c>
      <c r="F189" s="383">
        <f t="shared" si="51"/>
        <v>43.575413639492339</v>
      </c>
      <c r="G189" s="110">
        <f t="shared" si="76"/>
        <v>0.71308644207853444</v>
      </c>
      <c r="H189" s="412" t="b">
        <f>Wh_hp&gt;='2022'!Maxi_hp</f>
        <v>0</v>
      </c>
      <c r="I189" s="379">
        <f>IF(H189,Wh_hp,'2022'!Maxi_hp)</f>
        <v>60.623696514192886</v>
      </c>
      <c r="J189" s="85">
        <f>IF(H189,An,'2022'!An_max)</f>
        <v>2020</v>
      </c>
      <c r="K189" s="197">
        <f t="shared" si="52"/>
        <v>45101</v>
      </c>
      <c r="L189" s="147">
        <f>IF(t&lt;Tvie,1-EXP((T0-t)*PertePVj)+'2022'!Pspv,1-EXP((T0-t)*PertePVj)+Pspv)</f>
        <v>3.068168022705331E-2</v>
      </c>
      <c r="M189" s="832"/>
      <c r="N189" s="832"/>
      <c r="O189" s="48">
        <f>IF(t&lt;Tnet,'2022'!Resal+('2022'!Salim-'2022'!Resal)*(1-EXP(('2022'!Tnet-t)/('2022'!Tau_j))),Resal+(Salim-Resal)*(1-EXP((Tnet-t)/(Tau_j))))*Salcycl</f>
        <v>1.3175203547849899E-2</v>
      </c>
      <c r="P189" s="338">
        <f>(INDEX(Models!$BJ189:$BT189,,T189)*(1-R189)+INDEX(Models!$BJ189:$BT189,,T189+1)*R189-ERP_i)*Q189*Ramure*Pc/MaxiM</f>
        <v>2.6904255528063163E-4</v>
      </c>
      <c r="Q189" s="304">
        <f t="shared" si="53"/>
        <v>0.7</v>
      </c>
      <c r="R189" s="177">
        <f t="shared" si="54"/>
        <v>0.59048699573022068</v>
      </c>
      <c r="S189" s="799">
        <f t="shared" si="55"/>
        <v>0</v>
      </c>
      <c r="T189" s="176">
        <f t="shared" si="56"/>
        <v>6</v>
      </c>
      <c r="U189" s="250">
        <f t="shared" si="57"/>
        <v>0.59048699573022068</v>
      </c>
      <c r="V189" s="382">
        <f t="shared" si="58"/>
        <v>58.437140187819544</v>
      </c>
      <c r="W189" s="400">
        <f t="shared" si="59"/>
        <v>41.675327566339249</v>
      </c>
      <c r="X189" s="157">
        <f t="shared" si="60"/>
        <v>45101</v>
      </c>
      <c r="Y189" s="383">
        <f t="shared" si="61"/>
        <v>40.939492099375229</v>
      </c>
      <c r="Z189" s="383">
        <f t="shared" si="62"/>
        <v>42.235343399849192</v>
      </c>
      <c r="AA189" s="384">
        <f t="shared" si="63"/>
        <v>43.568081394599766</v>
      </c>
      <c r="AB189" s="197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3.0589779308385256E-2</v>
      </c>
      <c r="AD189" s="230">
        <f>(INDEX(Models!$BJ189:$BT189,,AH189)*(1-AF189)+INDEX(Models!$BJ189:$BT189,,AH189+1)*AF189-ERP_i)*AE189*Ramure*Pc/MaxiM</f>
        <v>2.850820533626803E-4</v>
      </c>
      <c r="AE189" s="304">
        <f t="shared" si="65"/>
        <v>0.7</v>
      </c>
      <c r="AF189" s="177">
        <f t="shared" si="66"/>
        <v>0.65481921799005283</v>
      </c>
      <c r="AG189" s="799">
        <f t="shared" si="74"/>
        <v>0</v>
      </c>
      <c r="AH189" s="176">
        <f t="shared" si="67"/>
        <v>6</v>
      </c>
      <c r="AI189" s="224">
        <f t="shared" si="68"/>
        <v>0.65481921799005283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45102</v>
      </c>
      <c r="B190" s="409">
        <f>'2022'!Wh/'2022'!Env_an*'2023'!Env_an</f>
        <v>41.685217780466772</v>
      </c>
      <c r="C190" s="829"/>
      <c r="D190" s="391">
        <f t="shared" si="50"/>
        <v>43.005497609114556</v>
      </c>
      <c r="E190" s="383">
        <f t="shared" si="75"/>
        <v>43.584429189451548</v>
      </c>
      <c r="F190" s="383">
        <f t="shared" si="51"/>
        <v>43.591412639902387</v>
      </c>
      <c r="G190" s="110">
        <f t="shared" si="76"/>
        <v>0.71424332050819461</v>
      </c>
      <c r="H190" s="412" t="b">
        <f>Wh_hp&gt;='2022'!Maxi_hp</f>
        <v>0</v>
      </c>
      <c r="I190" s="379">
        <f>IF(H190,Wh_hp,'2022'!Maxi_hp)</f>
        <v>61.35509471330375</v>
      </c>
      <c r="J190" s="85">
        <f>IF(H190,An,'2022'!An_max)</f>
        <v>2020</v>
      </c>
      <c r="K190" s="197">
        <f t="shared" si="52"/>
        <v>45102</v>
      </c>
      <c r="L190" s="147">
        <f>IF(t&lt;Tvie,1-EXP((T0-t)*PertePVj)+'2022'!Pspv,1-EXP((T0-t)*PertePVj)+Pspv)</f>
        <v>3.0700256991514685E-2</v>
      </c>
      <c r="M190" s="832"/>
      <c r="N190" s="832"/>
      <c r="O190" s="48">
        <f>IF(t&lt;Tnet,'2022'!Resal+('2022'!Salim-'2022'!Resal)*(1-EXP(('2022'!Tnet-t)/('2022'!Tau_j))),Resal+(Salim-Resal)*(1-EXP((Tnet-t)/(Tau_j))))*Salcycl</f>
        <v>1.3282990992505871E-2</v>
      </c>
      <c r="P190" s="338">
        <f>(INDEX(Models!$BJ190:$BT190,,T190)*(1-R190)+INDEX(Models!$BJ190:$BT190,,T190+1)*R190-ERP_i)*Q190*Ramure*Pc/MaxiM</f>
        <v>2.7066301138894706E-4</v>
      </c>
      <c r="Q190" s="304">
        <f t="shared" si="53"/>
        <v>0.7</v>
      </c>
      <c r="R190" s="177">
        <f t="shared" si="54"/>
        <v>0.59425871364300131</v>
      </c>
      <c r="S190" s="799">
        <f t="shared" si="55"/>
        <v>0</v>
      </c>
      <c r="T190" s="176">
        <f t="shared" si="56"/>
        <v>6</v>
      </c>
      <c r="U190" s="250">
        <f t="shared" si="57"/>
        <v>0.59425871364300131</v>
      </c>
      <c r="V190" s="382">
        <f t="shared" si="58"/>
        <v>58.356320980147551</v>
      </c>
      <c r="W190" s="400">
        <f t="shared" si="59"/>
        <v>41.685217780466772</v>
      </c>
      <c r="X190" s="157">
        <f t="shared" si="60"/>
        <v>45102</v>
      </c>
      <c r="Y190" s="383">
        <f t="shared" si="61"/>
        <v>40.949728550817248</v>
      </c>
      <c r="Z190" s="383">
        <f t="shared" si="62"/>
        <v>42.246713512704162</v>
      </c>
      <c r="AA190" s="384">
        <f t="shared" si="63"/>
        <v>43.584014663447242</v>
      </c>
      <c r="AB190" s="197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3.0683294347013015E-2</v>
      </c>
      <c r="AD190" s="230">
        <f>(INDEX(Models!$BJ190:$BT190,,AH190)*(1-AF190)+INDEX(Models!$BJ190:$BT190,,AH190+1)*AF190-ERP_i)*AE190*Ramure*Pc/MaxiM</f>
        <v>2.8672911759449523E-4</v>
      </c>
      <c r="AE190" s="304">
        <f t="shared" si="65"/>
        <v>0.7</v>
      </c>
      <c r="AF190" s="177">
        <f t="shared" si="66"/>
        <v>0.65859093590283346</v>
      </c>
      <c r="AG190" s="799">
        <f t="shared" si="74"/>
        <v>0</v>
      </c>
      <c r="AH190" s="176">
        <f t="shared" si="67"/>
        <v>6</v>
      </c>
      <c r="AI190" s="224">
        <f t="shared" si="68"/>
        <v>0.65859093590283346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45103</v>
      </c>
      <c r="B191" s="409">
        <f>'2022'!Wh/'2022'!Env_an*'2023'!Env_an</f>
        <v>10.952231380008122</v>
      </c>
      <c r="C191" s="829"/>
      <c r="D191" s="391">
        <f t="shared" si="50"/>
        <v>11.299333730402878</v>
      </c>
      <c r="E191" s="383">
        <f t="shared" si="75"/>
        <v>11.45269108048163</v>
      </c>
      <c r="F191" s="383">
        <f t="shared" si="51"/>
        <v>11.45269108048163</v>
      </c>
      <c r="G191" s="110">
        <f t="shared" si="76"/>
        <v>0.18789913103159281</v>
      </c>
      <c r="H191" s="412" t="b">
        <f>Wh_hp&gt;='2022'!Maxi_hp</f>
        <v>0</v>
      </c>
      <c r="I191" s="379">
        <f>IF(H191,Wh_hp,'2022'!Maxi_hp)</f>
        <v>61.449694288761741</v>
      </c>
      <c r="J191" s="85">
        <f>IF(H191,An,'2022'!An_max)</f>
        <v>2018</v>
      </c>
      <c r="K191" s="197">
        <f t="shared" si="52"/>
        <v>45103</v>
      </c>
      <c r="L191" s="147">
        <f>IF(t&lt;Tvie,1-EXP((T0-t)*PertePVj)+'2022'!Pspv,1-EXP((T0-t)*PertePVj)+Pspv)</f>
        <v>3.0718833399956624E-2</v>
      </c>
      <c r="M191" s="832"/>
      <c r="N191" s="832"/>
      <c r="O191" s="48">
        <f>IF(t&lt;Tnet,'2022'!Resal+('2022'!Salim-'2022'!Resal)*(1-EXP(('2022'!Tnet-t)/('2022'!Tau_j))),Resal+(Salim-Resal)*(1-EXP((Tnet-t)/(Tau_j))))*Salcycl</f>
        <v>1.3390507872871254E-2</v>
      </c>
      <c r="P191" s="338">
        <f>(INDEX(Models!$BJ191:$BT191,,T191)*(1-R191)+INDEX(Models!$BJ191:$BT191,,T191+1)*R191-ERP_i)*Q191*Ramure*Pc/MaxiM</f>
        <v>2.7230188683417816E-4</v>
      </c>
      <c r="Q191" s="304">
        <f t="shared" si="53"/>
        <v>0.7</v>
      </c>
      <c r="R191" s="177">
        <f t="shared" si="54"/>
        <v>0.59798440351566717</v>
      </c>
      <c r="S191" s="799">
        <f t="shared" si="55"/>
        <v>0</v>
      </c>
      <c r="T191" s="176">
        <f t="shared" si="56"/>
        <v>6</v>
      </c>
      <c r="U191" s="250">
        <f t="shared" si="57"/>
        <v>0.59798440351566717</v>
      </c>
      <c r="V191" s="382">
        <f t="shared" si="58"/>
        <v>58.27195158713814</v>
      </c>
      <c r="W191" s="400">
        <f t="shared" si="59"/>
        <v>10.952231380008122</v>
      </c>
      <c r="X191" s="157">
        <f t="shared" si="60"/>
        <v>45103</v>
      </c>
      <c r="Y191" s="383">
        <f t="shared" si="61"/>
        <v>10.75923427768992</v>
      </c>
      <c r="Z191" s="383">
        <f t="shared" si="62"/>
        <v>11.100220089316485</v>
      </c>
      <c r="AA191" s="384">
        <f t="shared" si="63"/>
        <v>11.45269108048163</v>
      </c>
      <c r="AB191" s="197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3.0776259368931056E-2</v>
      </c>
      <c r="AD191" s="230">
        <f>(INDEX(Models!$BJ191:$BT191,,AH191)*(1-AF191)+INDEX(Models!$BJ191:$BT191,,AH191+1)*AF191-ERP_i)*AE191*Ramure*Pc/MaxiM</f>
        <v>2.8839061527587124E-4</v>
      </c>
      <c r="AE191" s="304">
        <f t="shared" si="65"/>
        <v>0.7</v>
      </c>
      <c r="AF191" s="177">
        <f t="shared" si="66"/>
        <v>0.66231662577549932</v>
      </c>
      <c r="AG191" s="799">
        <f t="shared" si="74"/>
        <v>0</v>
      </c>
      <c r="AH191" s="176">
        <f t="shared" si="67"/>
        <v>6</v>
      </c>
      <c r="AI191" s="224">
        <f t="shared" si="68"/>
        <v>0.66231662577549932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45104</v>
      </c>
      <c r="B192" s="409">
        <f>'2022'!Wh/'2022'!Env_an*'2023'!Env_an</f>
        <v>16.362223774895959</v>
      </c>
      <c r="C192" s="829"/>
      <c r="D192" s="391">
        <f t="shared" si="50"/>
        <v>16.881105217990132</v>
      </c>
      <c r="E192" s="383">
        <f t="shared" si="75"/>
        <v>17.1120798036285</v>
      </c>
      <c r="F192" s="383">
        <f t="shared" si="51"/>
        <v>17.1120798036285</v>
      </c>
      <c r="G192" s="110">
        <f t="shared" si="76"/>
        <v>0.28114023073814554</v>
      </c>
      <c r="H192" s="412" t="b">
        <f>Wh_hp&gt;='2022'!Maxi_hp</f>
        <v>0</v>
      </c>
      <c r="I192" s="379">
        <f>IF(H192,Wh_hp,'2022'!Maxi_hp)</f>
        <v>60.093655665818403</v>
      </c>
      <c r="J192" s="85">
        <f>IF(H192,An,'2022'!An_max)</f>
        <v>2018</v>
      </c>
      <c r="K192" s="197">
        <f t="shared" si="52"/>
        <v>45104</v>
      </c>
      <c r="L192" s="147">
        <f>IF(t&lt;Tvie,1-EXP((T0-t)*PertePVj)+'2022'!Pspv,1-EXP((T0-t)*PertePVj)+Pspv)</f>
        <v>3.0737409452386011E-2</v>
      </c>
      <c r="M192" s="832"/>
      <c r="N192" s="832"/>
      <c r="O192" s="48">
        <f>IF(t&lt;Tnet,'2022'!Resal+('2022'!Salim-'2022'!Resal)*(1-EXP(('2022'!Tnet-t)/('2022'!Tau_j))),Resal+(Salim-Resal)*(1-EXP((Tnet-t)/(Tau_j))))*Salcycl</f>
        <v>1.3497750611786551E-2</v>
      </c>
      <c r="P192" s="338">
        <f>(INDEX(Models!$BJ192:$BT192,,T192)*(1-R192)+INDEX(Models!$BJ192:$BT192,,T192+1)*R192-ERP_i)*Q192*Ramure*Pc/MaxiM</f>
        <v>2.7388631373503197E-4</v>
      </c>
      <c r="Q192" s="304">
        <f t="shared" si="53"/>
        <v>0.7</v>
      </c>
      <c r="R192" s="177">
        <f t="shared" si="54"/>
        <v>0.60166181584984091</v>
      </c>
      <c r="S192" s="799">
        <f t="shared" si="55"/>
        <v>0</v>
      </c>
      <c r="T192" s="176">
        <f t="shared" si="56"/>
        <v>6</v>
      </c>
      <c r="U192" s="250">
        <f t="shared" si="57"/>
        <v>0.60166181584984091</v>
      </c>
      <c r="V192" s="382">
        <f t="shared" si="58"/>
        <v>58.183570322873408</v>
      </c>
      <c r="W192" s="400">
        <f t="shared" si="59"/>
        <v>16.362223774895959</v>
      </c>
      <c r="X192" s="157">
        <f t="shared" si="60"/>
        <v>45104</v>
      </c>
      <c r="Y192" s="383">
        <f t="shared" si="61"/>
        <v>16.074107926737295</v>
      </c>
      <c r="Z192" s="383">
        <f t="shared" si="62"/>
        <v>16.58385259422397</v>
      </c>
      <c r="AA192" s="384">
        <f t="shared" si="63"/>
        <v>17.1120798036285</v>
      </c>
      <c r="AB192" s="197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3.086867379455089E-2</v>
      </c>
      <c r="AD192" s="230">
        <f>(INDEX(Models!$BJ192:$BT192,,AH192)*(1-AF192)+INDEX(Models!$BJ192:$BT192,,AH192+1)*AF192-ERP_i)*AE192*Ramure*Pc/MaxiM</f>
        <v>2.8999118270060293E-4</v>
      </c>
      <c r="AE192" s="304">
        <f t="shared" si="65"/>
        <v>0.7</v>
      </c>
      <c r="AF192" s="177">
        <f t="shared" si="66"/>
        <v>0.66599403810967306</v>
      </c>
      <c r="AG192" s="799">
        <f t="shared" si="74"/>
        <v>0</v>
      </c>
      <c r="AH192" s="176">
        <f t="shared" si="67"/>
        <v>6</v>
      </c>
      <c r="AI192" s="224">
        <f t="shared" si="68"/>
        <v>0.66599403810967306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45105</v>
      </c>
      <c r="B193" s="409">
        <f>'2022'!Wh/'2022'!Env_an*'2023'!Env_an</f>
        <v>57.720952999226526</v>
      </c>
      <c r="C193" s="829"/>
      <c r="D193" s="391">
        <f t="shared" si="50"/>
        <v>59.552550353471631</v>
      </c>
      <c r="E193" s="383">
        <f t="shared" si="75"/>
        <v>60.373920411593289</v>
      </c>
      <c r="F193" s="383">
        <f t="shared" si="51"/>
        <v>60.390400358677205</v>
      </c>
      <c r="G193" s="110">
        <f t="shared" si="76"/>
        <v>0.99361897407801014</v>
      </c>
      <c r="H193" s="412" t="b">
        <f>Wh_hp&gt;='2022'!Maxi_hp</f>
        <v>0</v>
      </c>
      <c r="I193" s="379">
        <f>IF(H193,Wh_hp,'2022'!Maxi_hp)</f>
        <v>60.390455526303775</v>
      </c>
      <c r="J193" s="85">
        <f>IF(H193,An,'2022'!An_max)</f>
        <v>2022</v>
      </c>
      <c r="K193" s="197">
        <f t="shared" si="52"/>
        <v>45105</v>
      </c>
      <c r="L193" s="147">
        <f>IF(t&lt;Tvie,1-EXP((T0-t)*PertePVj)+'2022'!Pspv,1-EXP((T0-t)*PertePVj)+Pspv)</f>
        <v>3.0755985148809506E-2</v>
      </c>
      <c r="M193" s="832"/>
      <c r="N193" s="832"/>
      <c r="O193" s="48">
        <f>IF(t&lt;Tnet,'2022'!Resal+('2022'!Salim-'2022'!Resal)*(1-EXP(('2022'!Tnet-t)/('2022'!Tau_j))),Resal+(Salim-Resal)*(1-EXP((Tnet-t)/(Tau_j))))*Salcycl</f>
        <v>1.3604716283488855E-2</v>
      </c>
      <c r="P193" s="338">
        <f>(INDEX(Models!$BJ193:$BT193,,T193)*(1-R193)+INDEX(Models!$BJ193:$BT193,,T193+1)*R193-ERP_i)*Q193*Ramure*Pc/MaxiM</f>
        <v>2.7539967131885674E-4</v>
      </c>
      <c r="Q193" s="304">
        <f t="shared" si="53"/>
        <v>0.7</v>
      </c>
      <c r="R193" s="177">
        <f t="shared" si="54"/>
        <v>0.60528883947450451</v>
      </c>
      <c r="S193" s="799">
        <f t="shared" si="55"/>
        <v>0</v>
      </c>
      <c r="T193" s="176">
        <f t="shared" si="56"/>
        <v>6</v>
      </c>
      <c r="U193" s="250">
        <f t="shared" si="57"/>
        <v>0.60528883947450451</v>
      </c>
      <c r="V193" s="382">
        <f t="shared" si="58"/>
        <v>58.091491421933398</v>
      </c>
      <c r="W193" s="400">
        <f t="shared" si="59"/>
        <v>57.720952999226526</v>
      </c>
      <c r="X193" s="157">
        <f t="shared" si="60"/>
        <v>45105</v>
      </c>
      <c r="Y193" s="383">
        <f t="shared" si="61"/>
        <v>56.704435491049693</v>
      </c>
      <c r="Z193" s="383">
        <f t="shared" si="62"/>
        <v>58.503776780871441</v>
      </c>
      <c r="AA193" s="384">
        <f t="shared" si="63"/>
        <v>60.372956006012359</v>
      </c>
      <c r="AB193" s="197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3.0960538439674359E-2</v>
      </c>
      <c r="AD193" s="230">
        <f>(INDEX(Models!$BJ193:$BT193,,AH193)*(1-AF193)+INDEX(Models!$BJ193:$BT193,,AH193+1)*AF193-ERP_i)*AE193*Ramure*Pc/MaxiM</f>
        <v>2.9151604466968567E-4</v>
      </c>
      <c r="AE193" s="304">
        <f t="shared" si="65"/>
        <v>0.7</v>
      </c>
      <c r="AF193" s="177">
        <f t="shared" si="66"/>
        <v>0.66962106173433666</v>
      </c>
      <c r="AG193" s="799">
        <f t="shared" si="74"/>
        <v>0</v>
      </c>
      <c r="AH193" s="176">
        <f t="shared" si="67"/>
        <v>6</v>
      </c>
      <c r="AI193" s="224">
        <f t="shared" si="68"/>
        <v>0.66962106173433666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45106</v>
      </c>
      <c r="B194" s="409">
        <f>'2022'!Wh/'2022'!Env_an*'2023'!Env_an</f>
        <v>58.806160326576219</v>
      </c>
      <c r="C194" s="829"/>
      <c r="D194" s="391">
        <f t="shared" si="50"/>
        <v>60.673356196943907</v>
      </c>
      <c r="E194" s="383">
        <f t="shared" si="75"/>
        <v>61.516838334761914</v>
      </c>
      <c r="F194" s="383">
        <f t="shared" si="51"/>
        <v>61.533873329482425</v>
      </c>
      <c r="G194" s="110">
        <f t="shared" si="76"/>
        <v>1.013968753642656</v>
      </c>
      <c r="H194" s="412" t="b">
        <f>Wh_hp&gt;='2022'!Maxi_hp</f>
        <v>1</v>
      </c>
      <c r="I194" s="379">
        <f>IF(H194,Wh_hp,'2022'!Maxi_hp)</f>
        <v>61.533873329482425</v>
      </c>
      <c r="J194" s="85">
        <f>IF(H194,An,'2022'!An_max)</f>
        <v>2023</v>
      </c>
      <c r="K194" s="197">
        <f t="shared" si="52"/>
        <v>45106</v>
      </c>
      <c r="L194" s="147">
        <f>IF(t&lt;Tvie,1-EXP((T0-t)*PertePVj)+'2022'!Pspv,1-EXP((T0-t)*PertePVj)+Pspv)</f>
        <v>3.0774560489233993E-2</v>
      </c>
      <c r="M194" s="832"/>
      <c r="N194" s="832"/>
      <c r="O194" s="48">
        <f>IF(t&lt;Tnet,'2022'!Resal+('2022'!Salim-'2022'!Resal)*(1-EXP(('2022'!Tnet-t)/('2022'!Tau_j))),Resal+(Salim-Resal)*(1-EXP((Tnet-t)/(Tau_j))))*Salcycl</f>
        <v>1.3711402611882546E-2</v>
      </c>
      <c r="P194" s="338">
        <f>(INDEX(Models!$BJ194:$BT194,,T194)*(1-R194)+INDEX(Models!$BJ194:$BT194,,T194+1)*R194-ERP_i)*Q194*Ramure*Pc/MaxiM</f>
        <v>2.7683930490282534E-4</v>
      </c>
      <c r="Q194" s="304">
        <f t="shared" si="53"/>
        <v>0.7</v>
      </c>
      <c r="R194" s="177">
        <f t="shared" si="54"/>
        <v>0.60886350453992244</v>
      </c>
      <c r="S194" s="799">
        <f t="shared" si="55"/>
        <v>0</v>
      </c>
      <c r="T194" s="176">
        <f t="shared" si="56"/>
        <v>6</v>
      </c>
      <c r="U194" s="250">
        <f t="shared" si="57"/>
        <v>0.60886350453992244</v>
      </c>
      <c r="V194" s="382">
        <f t="shared" si="58"/>
        <v>57.996028097825139</v>
      </c>
      <c r="W194" s="400">
        <f t="shared" si="59"/>
        <v>58.806160326576219</v>
      </c>
      <c r="X194" s="157">
        <f t="shared" si="60"/>
        <v>45106</v>
      </c>
      <c r="Y194" s="383">
        <f t="shared" si="61"/>
        <v>57.771326903665049</v>
      </c>
      <c r="Z194" s="383">
        <f t="shared" si="62"/>
        <v>59.605665048191646</v>
      </c>
      <c r="AA194" s="384">
        <f t="shared" si="63"/>
        <v>61.515846214519044</v>
      </c>
      <c r="AB194" s="197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3.1051855479093771E-2</v>
      </c>
      <c r="AD194" s="230">
        <f>(INDEX(Models!$BJ194:$BT194,,AH194)*(1-AF194)+INDEX(Models!$BJ194:$BT194,,AH194+1)*AF194-ERP_i)*AE194*Ramure*Pc/MaxiM</f>
        <v>2.9296246096609181E-4</v>
      </c>
      <c r="AE194" s="304">
        <f t="shared" si="65"/>
        <v>0.7</v>
      </c>
      <c r="AF194" s="177">
        <f t="shared" si="66"/>
        <v>0.67319572679975459</v>
      </c>
      <c r="AG194" s="799">
        <f t="shared" si="74"/>
        <v>0</v>
      </c>
      <c r="AH194" s="176">
        <f t="shared" si="67"/>
        <v>6</v>
      </c>
      <c r="AI194" s="224">
        <f t="shared" si="68"/>
        <v>0.67319572679975459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45107</v>
      </c>
      <c r="B195" s="409">
        <f>'2022'!Wh/'2022'!Env_an*'2023'!Env_an</f>
        <v>12.974478902216813</v>
      </c>
      <c r="C195" s="829"/>
      <c r="D195" s="391">
        <f t="shared" si="50"/>
        <v>13.386697285267001</v>
      </c>
      <c r="E195" s="383">
        <f t="shared" si="75"/>
        <v>13.574263856498174</v>
      </c>
      <c r="F195" s="383">
        <f t="shared" si="51"/>
        <v>13.574263856498174</v>
      </c>
      <c r="G195" s="110">
        <f t="shared" si="76"/>
        <v>0.22403162240151533</v>
      </c>
      <c r="H195" s="412" t="b">
        <f>Wh_hp&gt;='2022'!Maxi_hp</f>
        <v>0</v>
      </c>
      <c r="I195" s="379">
        <f>IF(H195,Wh_hp,'2022'!Maxi_hp)</f>
        <v>46.176742952915681</v>
      </c>
      <c r="J195" s="85">
        <f>IF(H195,An,'2022'!An_max)</f>
        <v>2018</v>
      </c>
      <c r="K195" s="197">
        <f t="shared" si="52"/>
        <v>45107</v>
      </c>
      <c r="L195" s="147">
        <f>IF(t&lt;Tvie,1-EXP((T0-t)*PertePVj)+'2022'!Pspv,1-EXP((T0-t)*PertePVj)+Pspv)</f>
        <v>3.0793135473666355E-2</v>
      </c>
      <c r="M195" s="832"/>
      <c r="N195" s="832"/>
      <c r="O195" s="48">
        <f>IF(t&lt;Tnet,'2022'!Resal+('2022'!Salim-'2022'!Resal)*(1-EXP(('2022'!Tnet-t)/('2022'!Tau_j))),Resal+(Salim-Resal)*(1-EXP((Tnet-t)/(Tau_j))))*Salcycl</f>
        <v>1.3817807964693587E-2</v>
      </c>
      <c r="P195" s="338">
        <f>(INDEX(Models!$BJ195:$BT195,,T195)*(1-R195)+INDEX(Models!$BJ195:$BT195,,T195+1)*R195-ERP_i)*Q195*Ramure*Pc/MaxiM</f>
        <v>2.7820262764712093E-4</v>
      </c>
      <c r="Q195" s="304">
        <f t="shared" si="53"/>
        <v>0.7</v>
      </c>
      <c r="R195" s="177">
        <f t="shared" si="54"/>
        <v>0.61238398473636679</v>
      </c>
      <c r="S195" s="799">
        <f t="shared" si="55"/>
        <v>0</v>
      </c>
      <c r="T195" s="176">
        <f t="shared" si="56"/>
        <v>6</v>
      </c>
      <c r="U195" s="250">
        <f t="shared" si="57"/>
        <v>0.61238398473636679</v>
      </c>
      <c r="V195" s="382">
        <f t="shared" si="58"/>
        <v>57.897493349609071</v>
      </c>
      <c r="W195" s="400">
        <f t="shared" si="59"/>
        <v>12.974478902216813</v>
      </c>
      <c r="X195" s="157">
        <f t="shared" si="60"/>
        <v>45107</v>
      </c>
      <c r="Y195" s="383">
        <f t="shared" si="61"/>
        <v>12.746548891847974</v>
      </c>
      <c r="Z195" s="383">
        <f t="shared" si="62"/>
        <v>13.151525601376553</v>
      </c>
      <c r="AA195" s="384">
        <f t="shared" si="63"/>
        <v>13.574263856498174</v>
      </c>
      <c r="AB195" s="197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3.1142628402589141E-2</v>
      </c>
      <c r="AD195" s="230">
        <f>(INDEX(Models!$BJ195:$BT195,,AH195)*(1-AF195)+INDEX(Models!$BJ195:$BT195,,AH195+1)*AF195-ERP_i)*AE195*Ramure*Pc/MaxiM</f>
        <v>2.9432776123986367E-4</v>
      </c>
      <c r="AE195" s="304">
        <f t="shared" si="65"/>
        <v>0.7</v>
      </c>
      <c r="AF195" s="177">
        <f t="shared" si="66"/>
        <v>0.67671620699619894</v>
      </c>
      <c r="AG195" s="799">
        <f t="shared" si="74"/>
        <v>0</v>
      </c>
      <c r="AH195" s="176">
        <f t="shared" si="67"/>
        <v>6</v>
      </c>
      <c r="AI195" s="224">
        <f t="shared" si="68"/>
        <v>0.67671620699619894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45108</v>
      </c>
      <c r="B196" s="409">
        <f>'2022'!Wh/'2022'!Env_an*'2023'!Env_an</f>
        <v>41.355626203781803</v>
      </c>
      <c r="C196" s="829"/>
      <c r="D196" s="391">
        <f t="shared" si="50"/>
        <v>42.670373378261743</v>
      </c>
      <c r="E196" s="383">
        <f t="shared" si="75"/>
        <v>43.272902298908718</v>
      </c>
      <c r="F196" s="383">
        <f t="shared" si="51"/>
        <v>43.280083004036058</v>
      </c>
      <c r="G196" s="110">
        <f t="shared" si="76"/>
        <v>0.71546102507159581</v>
      </c>
      <c r="H196" s="412" t="b">
        <f>Wh_hp&gt;='2022'!Maxi_hp</f>
        <v>0</v>
      </c>
      <c r="I196" s="379">
        <f>IF(H196,Wh_hp,'2022'!Maxi_hp)</f>
        <v>60.353143786946767</v>
      </c>
      <c r="J196" s="85">
        <f>IF(H196,An,'2022'!An_max)</f>
        <v>2020</v>
      </c>
      <c r="K196" s="197">
        <f t="shared" si="52"/>
        <v>45108</v>
      </c>
      <c r="L196" s="147">
        <f>IF(t&lt;Tvie,1-EXP((T0-t)*PertePVj)+'2022'!Pspv,1-EXP((T0-t)*PertePVj)+Pspv)</f>
        <v>3.0811710102113476E-2</v>
      </c>
      <c r="M196" s="832"/>
      <c r="N196" s="832"/>
      <c r="O196" s="48">
        <f>IF(t&lt;Tnet,'2022'!Resal+('2022'!Salim-'2022'!Resal)*(1-EXP(('2022'!Tnet-t)/('2022'!Tau_j))),Resal+(Salim-Resal)*(1-EXP((Tnet-t)/(Tau_j))))*Salcycl</f>
        <v>1.392393134356892E-2</v>
      </c>
      <c r="P196" s="338">
        <f>(INDEX(Models!$BJ196:$BT196,,T196)*(1-R196)+INDEX(Models!$BJ196:$BT196,,T196+1)*R196-ERP_i)*Q196*Ramure*Pc/MaxiM</f>
        <v>2.7948712254707273E-4</v>
      </c>
      <c r="Q196" s="304">
        <f t="shared" si="53"/>
        <v>0.7</v>
      </c>
      <c r="R196" s="177">
        <f t="shared" si="54"/>
        <v>0.61584859875312115</v>
      </c>
      <c r="S196" s="799">
        <f t="shared" si="55"/>
        <v>0</v>
      </c>
      <c r="T196" s="176">
        <f t="shared" si="56"/>
        <v>6</v>
      </c>
      <c r="U196" s="250">
        <f t="shared" si="57"/>
        <v>0.61584859875312115</v>
      </c>
      <c r="V196" s="382">
        <f t="shared" si="58"/>
        <v>57.796199966342719</v>
      </c>
      <c r="W196" s="400">
        <f t="shared" si="59"/>
        <v>41.355626203781803</v>
      </c>
      <c r="X196" s="157">
        <f t="shared" si="60"/>
        <v>45108</v>
      </c>
      <c r="Y196" s="383">
        <f t="shared" si="61"/>
        <v>40.629307829365118</v>
      </c>
      <c r="Z196" s="383">
        <f t="shared" si="62"/>
        <v>41.920964432665414</v>
      </c>
      <c r="AA196" s="384">
        <f t="shared" si="63"/>
        <v>43.272488079682965</v>
      </c>
      <c r="AB196" s="197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3.1232861963675938E-2</v>
      </c>
      <c r="AD196" s="230">
        <f>(INDEX(Models!$BJ196:$BT196,,AH196)*(1-AF196)+INDEX(Models!$BJ196:$BT196,,AH196+1)*AF196-ERP_i)*AE196*Ramure*Pc/MaxiM</f>
        <v>2.9560934696030267E-4</v>
      </c>
      <c r="AE196" s="304">
        <f t="shared" si="65"/>
        <v>0.7</v>
      </c>
      <c r="AF196" s="177">
        <f t="shared" si="66"/>
        <v>0.6801808210129533</v>
      </c>
      <c r="AG196" s="799">
        <f t="shared" si="74"/>
        <v>0</v>
      </c>
      <c r="AH196" s="176">
        <f t="shared" si="67"/>
        <v>6</v>
      </c>
      <c r="AI196" s="224">
        <f t="shared" si="68"/>
        <v>0.6801808210129533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45109</v>
      </c>
      <c r="B197" s="409">
        <f>'2022'!Wh/'2022'!Env_an*'2023'!Env_an</f>
        <v>58.017890775138206</v>
      </c>
      <c r="C197" s="829"/>
      <c r="D197" s="391">
        <f t="shared" si="50"/>
        <v>59.863499488011229</v>
      </c>
      <c r="E197" s="383">
        <f t="shared" si="75"/>
        <v>60.715321629862736</v>
      </c>
      <c r="F197" s="383">
        <f t="shared" si="51"/>
        <v>60.732368619296246</v>
      </c>
      <c r="G197" s="110">
        <f t="shared" si="76"/>
        <v>1.0056407759433339</v>
      </c>
      <c r="H197" s="412" t="b">
        <f>Wh_hp&gt;='2022'!Maxi_hp</f>
        <v>0</v>
      </c>
      <c r="I197" s="379">
        <f>IF(H197,Wh_hp,'2022'!Maxi_hp)</f>
        <v>60.73236861929626</v>
      </c>
      <c r="J197" s="85">
        <f>IF(H197,An,'2022'!An_max)</f>
        <v>2022</v>
      </c>
      <c r="K197" s="197">
        <f t="shared" si="52"/>
        <v>45109</v>
      </c>
      <c r="L197" s="147">
        <f>IF(t&lt;Tvie,1-EXP((T0-t)*PertePVj)+'2022'!Pspv,1-EXP((T0-t)*PertePVj)+Pspv)</f>
        <v>3.0830284374581907E-2</v>
      </c>
      <c r="M197" s="832"/>
      <c r="N197" s="832"/>
      <c r="O197" s="48">
        <f>IF(t&lt;Tnet,'2022'!Resal+('2022'!Salim-'2022'!Resal)*(1-EXP(('2022'!Tnet-t)/('2022'!Tau_j))),Resal+(Salim-Resal)*(1-EXP((Tnet-t)/(Tau_j))))*Salcycl</f>
        <v>1.4029772370217252E-2</v>
      </c>
      <c r="P197" s="338">
        <f>(INDEX(Models!$BJ197:$BT197,,T197)*(1-R197)+INDEX(Models!$BJ197:$BT197,,T197+1)*R197-ERP_i)*Q197*Ramure*Pc/MaxiM</f>
        <v>2.8069034389827216E-4</v>
      </c>
      <c r="Q197" s="304">
        <f t="shared" si="53"/>
        <v>0.7</v>
      </c>
      <c r="R197" s="177">
        <f t="shared" si="54"/>
        <v>0.61925581099924965</v>
      </c>
      <c r="S197" s="799">
        <f t="shared" si="55"/>
        <v>0</v>
      </c>
      <c r="T197" s="176">
        <f t="shared" si="56"/>
        <v>6</v>
      </c>
      <c r="U197" s="250">
        <f t="shared" si="57"/>
        <v>0.61925581099924965</v>
      </c>
      <c r="V197" s="382">
        <f t="shared" si="58"/>
        <v>57.692460531659471</v>
      </c>
      <c r="W197" s="400">
        <f t="shared" si="59"/>
        <v>58.017890775138206</v>
      </c>
      <c r="X197" s="157">
        <f t="shared" si="60"/>
        <v>45109</v>
      </c>
      <c r="Y197" s="383">
        <f t="shared" si="61"/>
        <v>56.999404567794279</v>
      </c>
      <c r="Z197" s="383">
        <f t="shared" si="62"/>
        <v>58.812614188023616</v>
      </c>
      <c r="AA197" s="384">
        <f t="shared" si="63"/>
        <v>60.714342967283315</v>
      </c>
      <c r="AB197" s="197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3.1322562121515012E-2</v>
      </c>
      <c r="AD197" s="230">
        <f>(INDEX(Models!$BJ197:$BT197,,AH197)*(1-AF197)+INDEX(Models!$BJ197:$BT197,,AH197+1)*AF197-ERP_i)*AE197*Ramure*Pc/MaxiM</f>
        <v>2.9680469283069479E-4</v>
      </c>
      <c r="AE197" s="304">
        <f t="shared" si="65"/>
        <v>0.7</v>
      </c>
      <c r="AF197" s="177">
        <f t="shared" si="66"/>
        <v>0.6835880332590818</v>
      </c>
      <c r="AG197" s="799">
        <f t="shared" si="74"/>
        <v>0</v>
      </c>
      <c r="AH197" s="176">
        <f t="shared" si="67"/>
        <v>6</v>
      </c>
      <c r="AI197" s="224">
        <f t="shared" si="68"/>
        <v>0.6835880332590818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45110</v>
      </c>
      <c r="B198" s="409">
        <f>'2022'!Wh/'2022'!Env_an*'2023'!Env_an</f>
        <v>52.695218251208132</v>
      </c>
      <c r="C198" s="829"/>
      <c r="D198" s="391">
        <f t="shared" si="50"/>
        <v>54.37254932010886</v>
      </c>
      <c r="E198" s="383">
        <f t="shared" si="75"/>
        <v>55.152143133480486</v>
      </c>
      <c r="F198" s="383">
        <f t="shared" si="51"/>
        <v>55.165871002845357</v>
      </c>
      <c r="G198" s="110">
        <f t="shared" si="76"/>
        <v>0.9150304471530869</v>
      </c>
      <c r="H198" s="412" t="b">
        <f>Wh_hp&gt;='2022'!Maxi_hp</f>
        <v>0</v>
      </c>
      <c r="I198" s="379">
        <f>IF(H198,Wh_hp,'2022'!Maxi_hp)</f>
        <v>55.166547577749505</v>
      </c>
      <c r="J198" s="85">
        <f>IF(H198,An,'2022'!An_max)</f>
        <v>2022</v>
      </c>
      <c r="K198" s="197">
        <f t="shared" si="52"/>
        <v>45110</v>
      </c>
      <c r="L198" s="147">
        <f>IF(t&lt;Tvie,1-EXP((T0-t)*PertePVj)+'2022'!Pspv,1-EXP((T0-t)*PertePVj)+Pspv)</f>
        <v>3.0848858291078751E-2</v>
      </c>
      <c r="M198" s="832"/>
      <c r="N198" s="832"/>
      <c r="O198" s="48">
        <f>IF(t&lt;Tnet,'2022'!Resal+('2022'!Salim-'2022'!Resal)*(1-EXP(('2022'!Tnet-t)/('2022'!Tau_j))),Resal+(Salim-Resal)*(1-EXP((Tnet-t)/(Tau_j))))*Salcycl</f>
        <v>1.4135331268720323E-2</v>
      </c>
      <c r="P198" s="338">
        <f>(INDEX(Models!$BJ198:$BT198,,T198)*(1-R198)+INDEX(Models!$BJ198:$BT198,,T198+1)*R198-ERP_i)*Q198*Ramure*Pc/MaxiM</f>
        <v>2.8321214413060201E-4</v>
      </c>
      <c r="Q198" s="304">
        <f t="shared" si="53"/>
        <v>0.7</v>
      </c>
      <c r="R198" s="177">
        <f t="shared" si="54"/>
        <v>0.62260423161308687</v>
      </c>
      <c r="S198" s="799">
        <f t="shared" si="55"/>
        <v>0</v>
      </c>
      <c r="T198" s="176">
        <f t="shared" si="56"/>
        <v>6</v>
      </c>
      <c r="U198" s="250">
        <f t="shared" si="57"/>
        <v>0.62260423161308687</v>
      </c>
      <c r="V198" s="382">
        <f t="shared" si="58"/>
        <v>57.586506649205674</v>
      </c>
      <c r="W198" s="400">
        <f t="shared" si="59"/>
        <v>52.695218251208132</v>
      </c>
      <c r="X198" s="157">
        <f t="shared" si="60"/>
        <v>45110</v>
      </c>
      <c r="Y198" s="383">
        <f t="shared" si="61"/>
        <v>51.771041915467443</v>
      </c>
      <c r="Z198" s="383">
        <f t="shared" si="62"/>
        <v>53.418955710229731</v>
      </c>
      <c r="AA198" s="384">
        <f t="shared" si="63"/>
        <v>55.151355528845137</v>
      </c>
      <c r="AB198" s="197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3.1411735976449924E-2</v>
      </c>
      <c r="AD198" s="230">
        <f>(INDEX(Models!$BJ198:$BT198,,AH198)*(1-AF198)+INDEX(Models!$BJ198:$BT198,,AH198+1)*AF198-ERP_i)*AE198*Ramure*Pc/MaxiM</f>
        <v>2.9946078341883039E-4</v>
      </c>
      <c r="AE198" s="304">
        <f t="shared" si="65"/>
        <v>0.7</v>
      </c>
      <c r="AF198" s="177">
        <f t="shared" si="66"/>
        <v>0.68693645387291902</v>
      </c>
      <c r="AG198" s="799">
        <f t="shared" si="74"/>
        <v>0</v>
      </c>
      <c r="AH198" s="176">
        <f t="shared" si="67"/>
        <v>6</v>
      </c>
      <c r="AI198" s="224">
        <f t="shared" si="68"/>
        <v>0.68693645387291902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45111</v>
      </c>
      <c r="B199" s="409">
        <f>'2022'!Wh/'2022'!Env_an*'2023'!Env_an</f>
        <v>44.539502538374364</v>
      </c>
      <c r="C199" s="829"/>
      <c r="D199" s="391">
        <f t="shared" si="50"/>
        <v>45.958111410362456</v>
      </c>
      <c r="E199" s="383">
        <f t="shared" si="75"/>
        <v>46.622037611506435</v>
      </c>
      <c r="F199" s="383">
        <f t="shared" si="51"/>
        <v>46.631119050633558</v>
      </c>
      <c r="G199" s="110">
        <f t="shared" si="76"/>
        <v>0.7748162148096378</v>
      </c>
      <c r="H199" s="412" t="b">
        <f>Wh_hp&gt;='2022'!Maxi_hp</f>
        <v>0</v>
      </c>
      <c r="I199" s="379">
        <f>IF(H199,Wh_hp,'2022'!Maxi_hp)</f>
        <v>58.802223324731905</v>
      </c>
      <c r="J199" s="85">
        <f>IF(H199,An,'2022'!An_max)</f>
        <v>2018</v>
      </c>
      <c r="K199" s="197">
        <f t="shared" si="52"/>
        <v>45111</v>
      </c>
      <c r="L199" s="147">
        <f>IF(t&lt;Tvie,1-EXP((T0-t)*PertePVj)+'2022'!Pspv,1-EXP((T0-t)*PertePVj)+Pspv)</f>
        <v>3.0867431851610672E-2</v>
      </c>
      <c r="M199" s="832"/>
      <c r="N199" s="832"/>
      <c r="O199" s="48">
        <f>IF(t&lt;Tnet,'2022'!Resal+('2022'!Salim-'2022'!Resal)*(1-EXP(('2022'!Tnet-t)/('2022'!Tau_j))),Resal+(Salim-Resal)*(1-EXP((Tnet-t)/(Tau_j))))*Salcycl</f>
        <v>1.4240608844177259E-2</v>
      </c>
      <c r="P199" s="338">
        <f>(INDEX(Models!$BJ199:$BT199,,T199)*(1-R199)+INDEX(Models!$BJ199:$BT199,,T199+1)*R199-ERP_i)*Q199*Ramure*Pc/MaxiM</f>
        <v>2.8706873660821374E-4</v>
      </c>
      <c r="Q199" s="304">
        <f t="shared" si="53"/>
        <v>0.7</v>
      </c>
      <c r="R199" s="177">
        <f t="shared" si="54"/>
        <v>0.62589261579225253</v>
      </c>
      <c r="S199" s="799">
        <f t="shared" si="55"/>
        <v>0</v>
      </c>
      <c r="T199" s="176">
        <f t="shared" si="56"/>
        <v>6</v>
      </c>
      <c r="U199" s="250">
        <f t="shared" si="57"/>
        <v>0.62589261579225253</v>
      </c>
      <c r="V199" s="382">
        <f t="shared" si="58"/>
        <v>57.478649882392411</v>
      </c>
      <c r="W199" s="400">
        <f t="shared" si="59"/>
        <v>44.539502538374364</v>
      </c>
      <c r="X199" s="157">
        <f t="shared" si="60"/>
        <v>45111</v>
      </c>
      <c r="Y199" s="383">
        <f t="shared" si="61"/>
        <v>43.759164129428918</v>
      </c>
      <c r="Z199" s="383">
        <f t="shared" si="62"/>
        <v>45.152918772541661</v>
      </c>
      <c r="AA199" s="384">
        <f t="shared" si="63"/>
        <v>46.621514748760397</v>
      </c>
      <c r="AB199" s="197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3.1500391699688088E-2</v>
      </c>
      <c r="AD199" s="230">
        <f>(INDEX(Models!$BJ199:$BT199,,AH199)*(1-AF199)+INDEX(Models!$BJ199:$BT199,,AH199+1)*AF199-ERP_i)*AE199*Ramure*Pc/MaxiM</f>
        <v>3.0359668397700909E-4</v>
      </c>
      <c r="AE199" s="304">
        <f t="shared" si="65"/>
        <v>0.7</v>
      </c>
      <c r="AF199" s="177">
        <f t="shared" si="66"/>
        <v>0.69022483805208468</v>
      </c>
      <c r="AG199" s="799">
        <f t="shared" si="74"/>
        <v>0</v>
      </c>
      <c r="AH199" s="176">
        <f t="shared" si="67"/>
        <v>6</v>
      </c>
      <c r="AI199" s="224">
        <f t="shared" si="68"/>
        <v>0.69022483805208468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45112</v>
      </c>
      <c r="B200" s="409">
        <f>'2022'!Wh/'2022'!Env_an*'2023'!Env_an</f>
        <v>57.16031061284346</v>
      </c>
      <c r="C200" s="829"/>
      <c r="D200" s="391">
        <f t="shared" si="50"/>
        <v>58.982029886130519</v>
      </c>
      <c r="E200" s="383">
        <f t="shared" si="75"/>
        <v>59.840477831350235</v>
      </c>
      <c r="F200" s="383">
        <f t="shared" si="51"/>
        <v>59.8578826258221</v>
      </c>
      <c r="G200" s="110">
        <f t="shared" si="76"/>
        <v>0.99635732752695261</v>
      </c>
      <c r="H200" s="412" t="b">
        <f>Wh_hp&gt;='2022'!Maxi_hp</f>
        <v>0</v>
      </c>
      <c r="I200" s="379">
        <f>IF(H200,Wh_hp,'2022'!Maxi_hp)</f>
        <v>59.857915461970457</v>
      </c>
      <c r="J200" s="85">
        <f>IF(H200,An,'2022'!An_max)</f>
        <v>2022</v>
      </c>
      <c r="K200" s="197">
        <f t="shared" si="52"/>
        <v>45112</v>
      </c>
      <c r="L200" s="147">
        <f>IF(t&lt;Tvie,1-EXP((T0-t)*PertePVj)+'2022'!Pspv,1-EXP((T0-t)*PertePVj)+Pspv)</f>
        <v>3.0886005056184551E-2</v>
      </c>
      <c r="M200" s="832"/>
      <c r="N200" s="832"/>
      <c r="O200" s="48">
        <f>IF(t&lt;Tnet,'2022'!Resal+('2022'!Salim-'2022'!Resal)*(1-EXP(('2022'!Tnet-t)/('2022'!Tau_j))),Resal+(Salim-Resal)*(1-EXP((Tnet-t)/(Tau_j))))*Salcycl</f>
        <v>1.4345606457874506E-2</v>
      </c>
      <c r="P200" s="338">
        <f>(INDEX(Models!$BJ200:$BT200,,T200)*(1-R200)+INDEX(Models!$BJ200:$BT200,,T200+1)*R200-ERP_i)*Q200*Ramure*Pc/MaxiM</f>
        <v>2.9228901516567529E-4</v>
      </c>
      <c r="Q200" s="304">
        <f t="shared" si="53"/>
        <v>0.7</v>
      </c>
      <c r="R200" s="177">
        <f t="shared" si="54"/>
        <v>0.62911986248023166</v>
      </c>
      <c r="S200" s="799">
        <f t="shared" si="55"/>
        <v>0</v>
      </c>
      <c r="T200" s="176">
        <f t="shared" si="56"/>
        <v>6</v>
      </c>
      <c r="U200" s="250">
        <f t="shared" si="57"/>
        <v>0.62911986248023166</v>
      </c>
      <c r="V200" s="382">
        <f t="shared" si="58"/>
        <v>57.369200890712136</v>
      </c>
      <c r="W200" s="400">
        <f t="shared" si="59"/>
        <v>57.16031061284346</v>
      </c>
      <c r="X200" s="157">
        <f t="shared" si="60"/>
        <v>45112</v>
      </c>
      <c r="Y200" s="383">
        <f t="shared" si="61"/>
        <v>56.1594068659806</v>
      </c>
      <c r="Z200" s="383">
        <f t="shared" si="62"/>
        <v>57.949226983597995</v>
      </c>
      <c r="AA200" s="384">
        <f t="shared" si="63"/>
        <v>59.83946833023515</v>
      </c>
      <c r="AB200" s="197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3.1588538457686569E-2</v>
      </c>
      <c r="AD200" s="230">
        <f>(INDEX(Models!$BJ200:$BT200,,AH200)*(1-AF200)+INDEX(Models!$BJ200:$BT200,,AH200+1)*AF200-ERP_i)*AE200*Ramure*Pc/MaxiM</f>
        <v>3.0924216489775782E-4</v>
      </c>
      <c r="AE200" s="304">
        <f t="shared" si="65"/>
        <v>0.7</v>
      </c>
      <c r="AF200" s="177">
        <f t="shared" si="66"/>
        <v>0.69345208474006381</v>
      </c>
      <c r="AG200" s="799">
        <f t="shared" si="74"/>
        <v>0</v>
      </c>
      <c r="AH200" s="176">
        <f t="shared" si="67"/>
        <v>6</v>
      </c>
      <c r="AI200" s="224">
        <f t="shared" si="68"/>
        <v>0.69345208474006381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45113</v>
      </c>
      <c r="B201" s="409">
        <f>'2022'!Wh/'2022'!Env_an*'2023'!Env_an</f>
        <v>40.681553237247201</v>
      </c>
      <c r="C201" s="829"/>
      <c r="D201" s="391">
        <f t="shared" si="50"/>
        <v>41.978893212902946</v>
      </c>
      <c r="E201" s="383">
        <f t="shared" si="75"/>
        <v>42.594396122613944</v>
      </c>
      <c r="F201" s="383">
        <f t="shared" si="51"/>
        <v>42.601863365057035</v>
      </c>
      <c r="G201" s="110">
        <f t="shared" si="76"/>
        <v>0.7104018514175432</v>
      </c>
      <c r="H201" s="412" t="b">
        <f>Wh_hp&gt;='2022'!Maxi_hp</f>
        <v>0</v>
      </c>
      <c r="I201" s="379">
        <f>IF(H201,Wh_hp,'2022'!Maxi_hp)</f>
        <v>58.562115804958381</v>
      </c>
      <c r="J201" s="85">
        <f>IF(H201,An,'2022'!An_max)</f>
        <v>2020</v>
      </c>
      <c r="K201" s="197">
        <f t="shared" si="52"/>
        <v>45113</v>
      </c>
      <c r="L201" s="147">
        <f>IF(t&lt;Tvie,1-EXP((T0-t)*PertePVj)+'2022'!Pspv,1-EXP((T0-t)*PertePVj)+Pspv)</f>
        <v>3.0904577904807273E-2</v>
      </c>
      <c r="M201" s="832"/>
      <c r="N201" s="832"/>
      <c r="O201" s="48">
        <f>IF(t&lt;Tnet,'2022'!Resal+('2022'!Salim-'2022'!Resal)*(1-EXP(('2022'!Tnet-t)/('2022'!Tau_j))),Resal+(Salim-Resal)*(1-EXP((Tnet-t)/(Tau_j))))*Salcycl</f>
        <v>1.4450325999203879E-2</v>
      </c>
      <c r="P201" s="338">
        <f>(INDEX(Models!$BJ201:$BT201,,T201)*(1-R201)+INDEX(Models!$BJ201:$BT201,,T201+1)*R201-ERP_i)*Q201*Ramure*Pc/MaxiM</f>
        <v>2.9890104556033785E-4</v>
      </c>
      <c r="Q201" s="304">
        <f t="shared" si="53"/>
        <v>0.7</v>
      </c>
      <c r="R201" s="177">
        <f t="shared" si="54"/>
        <v>0.63228501244913249</v>
      </c>
      <c r="S201" s="799">
        <f t="shared" si="55"/>
        <v>0</v>
      </c>
      <c r="T201" s="176">
        <f t="shared" si="56"/>
        <v>6</v>
      </c>
      <c r="U201" s="250">
        <f t="shared" si="57"/>
        <v>0.63228501244913249</v>
      </c>
      <c r="V201" s="382">
        <f t="shared" si="58"/>
        <v>57.258470211839196</v>
      </c>
      <c r="W201" s="400">
        <f t="shared" si="59"/>
        <v>40.681553237247201</v>
      </c>
      <c r="X201" s="157">
        <f t="shared" si="60"/>
        <v>45113</v>
      </c>
      <c r="Y201" s="383">
        <f t="shared" si="61"/>
        <v>39.970092736376479</v>
      </c>
      <c r="Z201" s="383">
        <f t="shared" si="62"/>
        <v>41.2447441449685</v>
      </c>
      <c r="AA201" s="384">
        <f t="shared" si="63"/>
        <v>42.59395830484354</v>
      </c>
      <c r="AB201" s="197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3.167618633184454E-2</v>
      </c>
      <c r="AD201" s="230">
        <f>(INDEX(Models!$BJ201:$BT201,,AH201)*(1-AF201)+INDEX(Models!$BJ201:$BT201,,AH201+1)*AF201-ERP_i)*AE201*Ramure*Pc/MaxiM</f>
        <v>3.1642614807800973E-4</v>
      </c>
      <c r="AE201" s="304">
        <f t="shared" si="65"/>
        <v>0.7</v>
      </c>
      <c r="AF201" s="177">
        <f t="shared" si="66"/>
        <v>0.69661723470896464</v>
      </c>
      <c r="AG201" s="799">
        <f t="shared" si="74"/>
        <v>0</v>
      </c>
      <c r="AH201" s="176">
        <f t="shared" si="67"/>
        <v>6</v>
      </c>
      <c r="AI201" s="224">
        <f t="shared" si="68"/>
        <v>0.69661723470896464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45114</v>
      </c>
      <c r="B202" s="409">
        <f>'2022'!Wh/'2022'!Env_an*'2023'!Env_an</f>
        <v>56.824009599886473</v>
      </c>
      <c r="C202" s="829"/>
      <c r="D202" s="391">
        <f t="shared" si="50"/>
        <v>58.637258359018617</v>
      </c>
      <c r="E202" s="383">
        <f t="shared" si="75"/>
        <v>59.503315420549058</v>
      </c>
      <c r="F202" s="383">
        <f t="shared" si="51"/>
        <v>59.521437051654338</v>
      </c>
      <c r="G202" s="110">
        <f t="shared" si="76"/>
        <v>0.99434964674803583</v>
      </c>
      <c r="H202" s="412" t="b">
        <f>Wh_hp&gt;='2022'!Maxi_hp</f>
        <v>0</v>
      </c>
      <c r="I202" s="379">
        <f>IF(H202,Wh_hp,'2022'!Maxi_hp)</f>
        <v>59.521491557725845</v>
      </c>
      <c r="J202" s="85">
        <f>IF(H202,An,'2022'!An_max)</f>
        <v>2022</v>
      </c>
      <c r="K202" s="197">
        <f t="shared" si="52"/>
        <v>45114</v>
      </c>
      <c r="L202" s="147">
        <f>IF(t&lt;Tvie,1-EXP((T0-t)*PertePVj)+'2022'!Pspv,1-EXP((T0-t)*PertePVj)+Pspv)</f>
        <v>3.0923150397485499E-2</v>
      </c>
      <c r="M202" s="832"/>
      <c r="N202" s="832"/>
      <c r="O202" s="48">
        <f>IF(t&lt;Tnet,'2022'!Resal+('2022'!Salim-'2022'!Resal)*(1-EXP(('2022'!Tnet-t)/('2022'!Tau_j))),Resal+(Salim-Resal)*(1-EXP((Tnet-t)/(Tau_j))))*Salcycl</f>
        <v>1.4554769854577841E-2</v>
      </c>
      <c r="P202" s="338">
        <f>(INDEX(Models!$BJ202:$BT202,,T202)*(1-R202)+INDEX(Models!$BJ202:$BT202,,T202+1)*R202-ERP_i)*Q202*Ramure*Pc/MaxiM</f>
        <v>3.0693199189827129E-4</v>
      </c>
      <c r="Q202" s="304">
        <f t="shared" si="53"/>
        <v>0.7</v>
      </c>
      <c r="R202" s="177">
        <f t="shared" si="54"/>
        <v>0.63538724582116424</v>
      </c>
      <c r="S202" s="799">
        <f t="shared" si="55"/>
        <v>0</v>
      </c>
      <c r="T202" s="176">
        <f t="shared" si="56"/>
        <v>6</v>
      </c>
      <c r="U202" s="250">
        <f t="shared" si="57"/>
        <v>0.63538724582116424</v>
      </c>
      <c r="V202" s="382">
        <f t="shared" si="58"/>
        <v>57.146768262849719</v>
      </c>
      <c r="W202" s="400">
        <f t="shared" si="59"/>
        <v>56.824009599886473</v>
      </c>
      <c r="X202" s="157">
        <f t="shared" si="60"/>
        <v>45114</v>
      </c>
      <c r="Y202" s="383">
        <f t="shared" si="61"/>
        <v>55.830695829726515</v>
      </c>
      <c r="Z202" s="383">
        <f t="shared" si="62"/>
        <v>57.612248040623967</v>
      </c>
      <c r="AA202" s="384">
        <f t="shared" si="63"/>
        <v>59.502238235401229</v>
      </c>
      <c r="AB202" s="197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3.1763346234138741E-2</v>
      </c>
      <c r="AD202" s="230">
        <f>(INDEX(Models!$BJ202:$BT202,,AH202)*(1-AF202)+INDEX(Models!$BJ202:$BT202,,AH202+1)*AF202-ERP_i)*AE202*Ramure*Pc/MaxiM</f>
        <v>3.251766289922508E-4</v>
      </c>
      <c r="AE202" s="304">
        <f t="shared" si="65"/>
        <v>0.7</v>
      </c>
      <c r="AF202" s="177">
        <f t="shared" si="66"/>
        <v>0.69971946808099639</v>
      </c>
      <c r="AG202" s="799">
        <f t="shared" si="74"/>
        <v>0</v>
      </c>
      <c r="AH202" s="176">
        <f t="shared" si="67"/>
        <v>6</v>
      </c>
      <c r="AI202" s="224">
        <f t="shared" si="68"/>
        <v>0.69971946808099639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45115</v>
      </c>
      <c r="B203" s="409">
        <f>'2022'!Wh/'2022'!Env_an*'2023'!Env_an</f>
        <v>58.021324092530733</v>
      </c>
      <c r="C203" s="829"/>
      <c r="D203" s="391">
        <f t="shared" si="50"/>
        <v>59.873926513753958</v>
      </c>
      <c r="E203" s="383">
        <f t="shared" si="75"/>
        <v>60.764672251493259</v>
      </c>
      <c r="F203" s="383">
        <f t="shared" si="51"/>
        <v>60.783904768053475</v>
      </c>
      <c r="G203" s="110">
        <f t="shared" si="76"/>
        <v>1.0173039193298983</v>
      </c>
      <c r="H203" s="412" t="b">
        <f>Wh_hp&gt;='2022'!Maxi_hp</f>
        <v>0</v>
      </c>
      <c r="I203" s="379">
        <f>IF(H203,Wh_hp,'2022'!Maxi_hp)</f>
        <v>61.731530922923696</v>
      </c>
      <c r="J203" s="85">
        <f>IF(H203,An,'2022'!An_max)</f>
        <v>2020</v>
      </c>
      <c r="K203" s="197">
        <f t="shared" si="52"/>
        <v>45115</v>
      </c>
      <c r="L203" s="147">
        <f>IF(t&lt;Tvie,1-EXP((T0-t)*PertePVj)+'2022'!Pspv,1-EXP((T0-t)*PertePVj)+Pspv)</f>
        <v>3.0941722534226224E-2</v>
      </c>
      <c r="M203" s="832"/>
      <c r="N203" s="832"/>
      <c r="O203" s="48">
        <f>IF(t&lt;Tnet,'2022'!Resal+('2022'!Salim-'2022'!Resal)*(1-EXP(('2022'!Tnet-t)/('2022'!Tau_j))),Resal+(Salim-Resal)*(1-EXP((Tnet-t)/(Tau_j))))*Salcycl</f>
        <v>1.4658940873616052E-2</v>
      </c>
      <c r="P203" s="338">
        <f>(INDEX(Models!$BJ203:$BT203,,T203)*(1-R203)+INDEX(Models!$BJ203:$BT203,,T203+1)*R203-ERP_i)*Q203*Ramure*Pc/MaxiM</f>
        <v>3.1640804639991078E-4</v>
      </c>
      <c r="Q203" s="304">
        <f t="shared" si="53"/>
        <v>0.7</v>
      </c>
      <c r="R203" s="177">
        <f t="shared" si="54"/>
        <v>0.63842587907364612</v>
      </c>
      <c r="S203" s="799">
        <f t="shared" si="55"/>
        <v>0</v>
      </c>
      <c r="T203" s="176">
        <f t="shared" si="56"/>
        <v>6</v>
      </c>
      <c r="U203" s="250">
        <f t="shared" si="57"/>
        <v>0.63842587907364612</v>
      </c>
      <c r="V203" s="382">
        <f t="shared" si="58"/>
        <v>57.03440534343914</v>
      </c>
      <c r="W203" s="400">
        <f t="shared" si="59"/>
        <v>58.021324092530733</v>
      </c>
      <c r="X203" s="157">
        <f t="shared" si="60"/>
        <v>45115</v>
      </c>
      <c r="Y203" s="383">
        <f t="shared" si="61"/>
        <v>57.007945334043157</v>
      </c>
      <c r="Z203" s="383">
        <f t="shared" si="62"/>
        <v>58.828190893871835</v>
      </c>
      <c r="AA203" s="384">
        <f t="shared" si="63"/>
        <v>60.763510515727191</v>
      </c>
      <c r="AB203" s="197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3.1850029819367402E-2</v>
      </c>
      <c r="AD203" s="230">
        <f>(INDEX(Models!$BJ203:$BT203,,AH203)*(1-AF203)+INDEX(Models!$BJ203:$BT203,,AH203+1)*AF203-ERP_i)*AE203*Ramure*Pc/MaxiM</f>
        <v>3.3552060210850001E-4</v>
      </c>
      <c r="AE203" s="304">
        <f t="shared" si="65"/>
        <v>0.7</v>
      </c>
      <c r="AF203" s="177">
        <f t="shared" si="66"/>
        <v>0.70275810133347827</v>
      </c>
      <c r="AG203" s="799">
        <f t="shared" si="74"/>
        <v>0</v>
      </c>
      <c r="AH203" s="176">
        <f t="shared" si="67"/>
        <v>6</v>
      </c>
      <c r="AI203" s="224">
        <f t="shared" si="68"/>
        <v>0.70275810133347827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45116</v>
      </c>
      <c r="B204" s="409">
        <f>'2022'!Wh/'2022'!Env_an*'2023'!Env_an</f>
        <v>57.652168322485338</v>
      </c>
      <c r="C204" s="829"/>
      <c r="D204" s="391">
        <f t="shared" si="50"/>
        <v>59.494123908714357</v>
      </c>
      <c r="E204" s="383">
        <f t="shared" si="75"/>
        <v>60.385586805909597</v>
      </c>
      <c r="F204" s="383">
        <f t="shared" si="51"/>
        <v>60.405360764254937</v>
      </c>
      <c r="G204" s="110">
        <f t="shared" si="76"/>
        <v>1.012833010801764</v>
      </c>
      <c r="H204" s="412" t="b">
        <f>Wh_hp&gt;='2022'!Maxi_hp</f>
        <v>1</v>
      </c>
      <c r="I204" s="379">
        <f>IF(H204,Wh_hp,'2022'!Maxi_hp)</f>
        <v>60.405360764254937</v>
      </c>
      <c r="J204" s="85">
        <f>IF(H204,An,'2022'!An_max)</f>
        <v>2023</v>
      </c>
      <c r="K204" s="197">
        <f t="shared" si="52"/>
        <v>45116</v>
      </c>
      <c r="L204" s="147">
        <f>IF(t&lt;Tvie,1-EXP((T0-t)*PertePVj)+'2022'!Pspv,1-EXP((T0-t)*PertePVj)+Pspv)</f>
        <v>3.0960294315036108E-2</v>
      </c>
      <c r="M204" s="832"/>
      <c r="N204" s="832"/>
      <c r="O204" s="48">
        <f>IF(t&lt;Tnet,'2022'!Resal+('2022'!Salim-'2022'!Resal)*(1-EXP(('2022'!Tnet-t)/('2022'!Tau_j))),Resal+(Salim-Resal)*(1-EXP((Tnet-t)/(Tau_j))))*Salcycl</f>
        <v>1.4762842332899108E-2</v>
      </c>
      <c r="P204" s="338">
        <f>(INDEX(Models!$BJ204:$BT204,,T204)*(1-R204)+INDEX(Models!$BJ204:$BT204,,T204+1)*R204-ERP_i)*Q204*Ramure*Pc/MaxiM</f>
        <v>3.273543621816772E-4</v>
      </c>
      <c r="Q204" s="304">
        <f t="shared" si="53"/>
        <v>0.7</v>
      </c>
      <c r="R204" s="177">
        <f t="shared" si="54"/>
        <v>0.64140036157400782</v>
      </c>
      <c r="S204" s="799">
        <f t="shared" si="55"/>
        <v>0</v>
      </c>
      <c r="T204" s="176">
        <f t="shared" si="56"/>
        <v>6</v>
      </c>
      <c r="U204" s="250">
        <f t="shared" si="57"/>
        <v>0.64140036157400782</v>
      </c>
      <c r="V204" s="382">
        <f t="shared" si="58"/>
        <v>56.921691638829557</v>
      </c>
      <c r="W204" s="400">
        <f t="shared" si="59"/>
        <v>57.652168322485338</v>
      </c>
      <c r="X204" s="157">
        <f t="shared" si="60"/>
        <v>45116</v>
      </c>
      <c r="Y204" s="383">
        <f t="shared" si="61"/>
        <v>56.646108036520225</v>
      </c>
      <c r="Z204" s="383">
        <f t="shared" si="62"/>
        <v>58.455920540923586</v>
      </c>
      <c r="AA204" s="384">
        <f t="shared" si="63"/>
        <v>60.384370868522211</v>
      </c>
      <c r="AB204" s="197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3.1936249394690773E-2</v>
      </c>
      <c r="AD204" s="230">
        <f>(INDEX(Models!$BJ204:$BT204,,AH204)*(1-AF204)+INDEX(Models!$BJ204:$BT204,,AH204+1)*AF204-ERP_i)*AE204*Ramure*Pc/MaxiM</f>
        <v>3.4748398928761466E-4</v>
      </c>
      <c r="AE204" s="304">
        <f t="shared" si="65"/>
        <v>0.7</v>
      </c>
      <c r="AF204" s="177">
        <f t="shared" si="66"/>
        <v>0.70573258383383997</v>
      </c>
      <c r="AG204" s="799">
        <f t="shared" si="74"/>
        <v>0</v>
      </c>
      <c r="AH204" s="176">
        <f t="shared" si="67"/>
        <v>6</v>
      </c>
      <c r="AI204" s="224">
        <f t="shared" si="68"/>
        <v>0.70573258383383997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45117</v>
      </c>
      <c r="B205" s="409">
        <f>'2022'!Wh/'2022'!Env_an*'2023'!Env_an</f>
        <v>57.236501389267985</v>
      </c>
      <c r="C205" s="829"/>
      <c r="D205" s="391">
        <f t="shared" si="50"/>
        <v>59.066308634199657</v>
      </c>
      <c r="E205" s="383">
        <f t="shared" si="75"/>
        <v>59.957667980016488</v>
      </c>
      <c r="F205" s="383">
        <f t="shared" si="51"/>
        <v>59.978048580009023</v>
      </c>
      <c r="G205" s="110">
        <f t="shared" si="76"/>
        <v>1.0075441398630591</v>
      </c>
      <c r="H205" s="412" t="b">
        <f>Wh_hp&gt;='2022'!Maxi_hp</f>
        <v>1</v>
      </c>
      <c r="I205" s="379">
        <f>IF(H205,Wh_hp,'2022'!Maxi_hp)</f>
        <v>59.978048580009023</v>
      </c>
      <c r="J205" s="85">
        <f>IF(H205,An,'2022'!An_max)</f>
        <v>2023</v>
      </c>
      <c r="K205" s="197">
        <f t="shared" si="52"/>
        <v>45117</v>
      </c>
      <c r="L205" s="147">
        <f>IF(t&lt;Tvie,1-EXP((T0-t)*PertePVj)+'2022'!Pspv,1-EXP((T0-t)*PertePVj)+Pspv)</f>
        <v>3.0978865739922035E-2</v>
      </c>
      <c r="M205" s="832"/>
      <c r="N205" s="832"/>
      <c r="O205" s="48">
        <f>IF(t&lt;Tnet,'2022'!Resal+('2022'!Salim-'2022'!Resal)*(1-EXP(('2022'!Tnet-t)/('2022'!Tau_j))),Resal+(Salim-Resal)*(1-EXP((Tnet-t)/(Tau_j))))*Salcycl</f>
        <v>1.4866477897604626E-2</v>
      </c>
      <c r="P205" s="338">
        <f>(INDEX(Models!$BJ205:$BT205,,T205)*(1-R205)+INDEX(Models!$BJ205:$BT205,,T205+1)*R205-ERP_i)*Q205*Ramure*Pc/MaxiM</f>
        <v>3.3980098511118606E-4</v>
      </c>
      <c r="Q205" s="304">
        <f t="shared" si="53"/>
        <v>0.7</v>
      </c>
      <c r="R205" s="177">
        <f t="shared" si="54"/>
        <v>0.64431027169227073</v>
      </c>
      <c r="S205" s="799">
        <f t="shared" si="55"/>
        <v>0</v>
      </c>
      <c r="T205" s="176">
        <f t="shared" si="56"/>
        <v>6</v>
      </c>
      <c r="U205" s="250">
        <f t="shared" si="57"/>
        <v>0.64431027169227073</v>
      </c>
      <c r="V205" s="382">
        <f t="shared" si="58"/>
        <v>56.807934386921566</v>
      </c>
      <c r="W205" s="400">
        <f t="shared" si="59"/>
        <v>57.236501389267985</v>
      </c>
      <c r="X205" s="157">
        <f t="shared" si="60"/>
        <v>45117</v>
      </c>
      <c r="Y205" s="383">
        <f t="shared" si="61"/>
        <v>56.238562131566241</v>
      </c>
      <c r="Z205" s="383">
        <f t="shared" si="62"/>
        <v>58.036466020432776</v>
      </c>
      <c r="AA205" s="384">
        <f t="shared" si="63"/>
        <v>59.956390630040865</v>
      </c>
      <c r="AB205" s="197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3.2022017827172539E-2</v>
      </c>
      <c r="AD205" s="230">
        <f>(INDEX(Models!$BJ205:$BT205,,AH205)*(1-AF205)+INDEX(Models!$BJ205:$BT205,,AH205+1)*AF205-ERP_i)*AE205*Ramure*Pc/MaxiM</f>
        <v>3.6109794301270509E-4</v>
      </c>
      <c r="AE205" s="304">
        <f t="shared" si="65"/>
        <v>0.7</v>
      </c>
      <c r="AF205" s="177">
        <f t="shared" si="66"/>
        <v>0.70864249395210288</v>
      </c>
      <c r="AG205" s="799">
        <f t="shared" si="74"/>
        <v>0</v>
      </c>
      <c r="AH205" s="176">
        <f t="shared" si="67"/>
        <v>6</v>
      </c>
      <c r="AI205" s="224">
        <f t="shared" si="68"/>
        <v>0.70864249395210288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45118</v>
      </c>
      <c r="B206" s="409">
        <f>'2022'!Wh/'2022'!Env_an*'2023'!Env_an</f>
        <v>56.342900830667695</v>
      </c>
      <c r="C206" s="829"/>
      <c r="D206" s="391">
        <f t="shared" si="50"/>
        <v>58.145254688614905</v>
      </c>
      <c r="E206" s="383">
        <f t="shared" si="75"/>
        <v>59.028908690724514</v>
      </c>
      <c r="F206" s="383">
        <f t="shared" si="51"/>
        <v>59.049806429757581</v>
      </c>
      <c r="G206" s="110">
        <f t="shared" si="76"/>
        <v>0.99383699002155357</v>
      </c>
      <c r="H206" s="412" t="b">
        <f>Wh_hp&gt;='2022'!Maxi_hp</f>
        <v>0</v>
      </c>
      <c r="I206" s="379">
        <f>IF(H206,Wh_hp,'2022'!Maxi_hp)</f>
        <v>59.049880258417886</v>
      </c>
      <c r="J206" s="85">
        <f>IF(H206,An,'2022'!An_max)</f>
        <v>2022</v>
      </c>
      <c r="K206" s="197">
        <f t="shared" si="52"/>
        <v>45118</v>
      </c>
      <c r="L206" s="147">
        <f>IF(t&lt;Tvie,1-EXP((T0-t)*PertePVj)+'2022'!Pspv,1-EXP((T0-t)*PertePVj)+Pspv)</f>
        <v>3.0997436808890888E-2</v>
      </c>
      <c r="M206" s="832"/>
      <c r="N206" s="832"/>
      <c r="O206" s="48">
        <f>IF(t&lt;Tnet,'2022'!Resal+('2022'!Salim-'2022'!Resal)*(1-EXP(('2022'!Tnet-t)/('2022'!Tau_j))),Resal+(Salim-Resal)*(1-EXP((Tnet-t)/(Tau_j))))*Salcycl</f>
        <v>1.4969851581356762E-2</v>
      </c>
      <c r="P206" s="338">
        <f>(INDEX(Models!$BJ206:$BT206,,T206)*(1-R206)+INDEX(Models!$BJ206:$BT206,,T206+1)*R206-ERP_i)*Q206*Ramure*Pc/MaxiM</f>
        <v>3.5704212503576724E-4</v>
      </c>
      <c r="Q206" s="304">
        <f t="shared" si="53"/>
        <v>0.7</v>
      </c>
      <c r="R206" s="177">
        <f t="shared" si="54"/>
        <v>0.64715531253896219</v>
      </c>
      <c r="S206" s="799">
        <f t="shared" si="55"/>
        <v>0</v>
      </c>
      <c r="T206" s="176">
        <f t="shared" si="56"/>
        <v>6</v>
      </c>
      <c r="U206" s="250">
        <f t="shared" si="57"/>
        <v>0.64715531253896219</v>
      </c>
      <c r="V206" s="382">
        <f t="shared" si="58"/>
        <v>56.692117831414336</v>
      </c>
      <c r="W206" s="400">
        <f t="shared" si="59"/>
        <v>56.342900830667695</v>
      </c>
      <c r="X206" s="157">
        <f t="shared" si="60"/>
        <v>45118</v>
      </c>
      <c r="Y206" s="383">
        <f t="shared" si="61"/>
        <v>55.361396665300461</v>
      </c>
      <c r="Z206" s="383">
        <f t="shared" si="62"/>
        <v>57.13235317250853</v>
      </c>
      <c r="AA206" s="384">
        <f t="shared" si="63"/>
        <v>59.027571994702036</v>
      </c>
      <c r="AB206" s="197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3.2107348450036363E-2</v>
      </c>
      <c r="AD206" s="230">
        <f>(INDEX(Models!$BJ206:$BT206,,AH206)*(1-AF206)+INDEX(Models!$BJ206:$BT206,,AH206+1)*AF206-ERP_i)*AE206*Ramure*Pc/MaxiM</f>
        <v>3.7987984865914568E-4</v>
      </c>
      <c r="AE206" s="304">
        <f t="shared" si="65"/>
        <v>0.7</v>
      </c>
      <c r="AF206" s="177">
        <f t="shared" si="66"/>
        <v>0.71148753479879434</v>
      </c>
      <c r="AG206" s="799">
        <f t="shared" si="74"/>
        <v>0</v>
      </c>
      <c r="AH206" s="176">
        <f t="shared" si="67"/>
        <v>6</v>
      </c>
      <c r="AI206" s="224">
        <f t="shared" si="68"/>
        <v>0.71148753479879434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45119</v>
      </c>
      <c r="B207" s="409">
        <f>'2022'!Wh/'2022'!Env_an*'2023'!Env_an</f>
        <v>55.13666107326619</v>
      </c>
      <c r="C207" s="829"/>
      <c r="D207" s="391">
        <f t="shared" ref="D207:D270" si="77">Wh/(1-Ppv)</f>
        <v>56.901519015047242</v>
      </c>
      <c r="E207" s="383">
        <f t="shared" si="75"/>
        <v>57.77231931835454</v>
      </c>
      <c r="F207" s="383">
        <f t="shared" ref="F207:F270" si="78">Wh_sa/(1-Pvg*MEDIAN((-Sdif+Wh/Env_an)/Csdif,0,1))</f>
        <v>57.793440660540305</v>
      </c>
      <c r="G207" s="110">
        <f t="shared" si="76"/>
        <v>0.97457438411307407</v>
      </c>
      <c r="H207" s="412" t="b">
        <f>Wh_hp&gt;='2022'!Maxi_hp</f>
        <v>0</v>
      </c>
      <c r="I207" s="379">
        <f>IF(H207,Wh_hp,'2022'!Maxi_hp)</f>
        <v>57.793763813977158</v>
      </c>
      <c r="J207" s="85">
        <f>IF(H207,An,'2022'!An_max)</f>
        <v>2022</v>
      </c>
      <c r="K207" s="197">
        <f t="shared" ref="K207:K270" si="79">t</f>
        <v>45119</v>
      </c>
      <c r="L207" s="147">
        <f>IF(t&lt;Tvie,1-EXP((T0-t)*PertePVj)+'2022'!Pspv,1-EXP((T0-t)*PertePVj)+Pspv)</f>
        <v>3.101600752194944E-2</v>
      </c>
      <c r="M207" s="832"/>
      <c r="N207" s="832"/>
      <c r="O207" s="48">
        <f>IF(t&lt;Tnet,'2022'!Resal+('2022'!Salim-'2022'!Resal)*(1-EXP(('2022'!Tnet-t)/('2022'!Tau_j))),Resal+(Salim-Resal)*(1-EXP((Tnet-t)/(Tau_j))))*Salcycl</f>
        <v>1.5072967704632938E-2</v>
      </c>
      <c r="P207" s="338">
        <f>(INDEX(Models!$BJ207:$BT207,,T207)*(1-R207)+INDEX(Models!$BJ207:$BT207,,T207+1)*R207-ERP_i)*Q207*Ramure*Pc/MaxiM</f>
        <v>3.7922985100872125E-4</v>
      </c>
      <c r="Q207" s="304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0.64993530737633676</v>
      </c>
      <c r="S207" s="799">
        <f t="shared" ref="S207:S270" si="82">INDEX(Echel_vg,T207)</f>
        <v>0</v>
      </c>
      <c r="T207" s="176">
        <f t="shared" ref="T207:T270" si="83">MIN(MATCH(Hp_vg,Echel_vg),10)</f>
        <v>6</v>
      </c>
      <c r="U207" s="250">
        <f t="shared" ref="U207:U270" si="84">IF(OR(t&lt;Ttai,Notai),Hdd+PousH*Croivg,Hdtf+PousH*(Croivg-Croi_tai))</f>
        <v>0.64993530737633676</v>
      </c>
      <c r="V207" s="382">
        <f t="shared" ref="V207:V270" si="85">MaxiM*(1-Ppv)*(1-Pvg)*(1-Psa)</f>
        <v>56.574339132382036</v>
      </c>
      <c r="W207" s="400">
        <f t="shared" ref="W207:W270" si="86">Wh*(A207&gt;Tmaj)</f>
        <v>55.13666107326619</v>
      </c>
      <c r="X207" s="157">
        <f t="shared" ref="X207:X270" si="87">t</f>
        <v>45119</v>
      </c>
      <c r="Y207" s="383">
        <f t="shared" ref="Y207:Y270" si="88">Wh_pvt_s*(1-Ppv)</f>
        <v>54.177022558437919</v>
      </c>
      <c r="Z207" s="383">
        <f t="shared" ref="Z207:Z270" si="89">Wh_sa_s*(1-Psa_s)</f>
        <v>55.911163630151648</v>
      </c>
      <c r="AA207" s="384">
        <f t="shared" ref="AA207:AA270" si="90">Wh_hp*(1-Pvg_s*MEDIAN((-Sdif+Wh/Env_an)/Csdif,0,1))</f>
        <v>57.770940475707235</v>
      </c>
      <c r="AB207" s="197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3.2192254968354296E-2</v>
      </c>
      <c r="AD207" s="230">
        <f>(INDEX(Models!$BJ207:$BT207,,AH207)*(1-AF207)+INDEX(Models!$BJ207:$BT207,,AH207+1)*AF207-ERP_i)*AE207*Ramure*Pc/MaxiM</f>
        <v>4.0398671954021691E-4</v>
      </c>
      <c r="AE207" s="304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0.71426752963616891</v>
      </c>
      <c r="AG207" s="799">
        <f t="shared" si="74"/>
        <v>0</v>
      </c>
      <c r="AH207" s="176">
        <f t="shared" ref="AH207:AH270" si="94">MIN(MATCH(Hp_vg_s,Echel_vg),10)</f>
        <v>6</v>
      </c>
      <c r="AI207" s="224">
        <f t="shared" ref="AI207:AI270" si="95">IF(OR(t&lt;Ttai,Notai),Hdd_s+PousH*Croivg,Hdtai_s+PousH*(Croivg-Croi_tai))</f>
        <v>0.71426752963616891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45120</v>
      </c>
      <c r="B208" s="409">
        <f>'2022'!Wh/'2022'!Env_an*'2023'!Env_an</f>
        <v>55.195654045196001</v>
      </c>
      <c r="C208" s="829"/>
      <c r="D208" s="391">
        <f t="shared" si="77"/>
        <v>56.96349197310095</v>
      </c>
      <c r="E208" s="383">
        <f t="shared" si="75"/>
        <v>57.841281477064477</v>
      </c>
      <c r="F208" s="383">
        <f t="shared" si="78"/>
        <v>57.864050259004131</v>
      </c>
      <c r="G208" s="110">
        <f t="shared" si="76"/>
        <v>0.97768545468124834</v>
      </c>
      <c r="H208" s="412" t="b">
        <f>Wh_hp&gt;='2022'!Maxi_hp</f>
        <v>0</v>
      </c>
      <c r="I208" s="379">
        <f>IF(H208,Wh_hp,'2022'!Maxi_hp)</f>
        <v>57.86436059666881</v>
      </c>
      <c r="J208" s="85">
        <f>IF(H208,An,'2022'!An_max)</f>
        <v>2022</v>
      </c>
      <c r="K208" s="197">
        <f t="shared" si="79"/>
        <v>45120</v>
      </c>
      <c r="L208" s="147">
        <f>IF(t&lt;Tvie,1-EXP((T0-t)*PertePVj)+'2022'!Pspv,1-EXP((T0-t)*PertePVj)+Pspv)</f>
        <v>3.1034577879104575E-2</v>
      </c>
      <c r="M208" s="832"/>
      <c r="N208" s="832"/>
      <c r="O208" s="48">
        <f>IF(t&lt;Tnet,'2022'!Resal+('2022'!Salim-'2022'!Resal)*(1-EXP(('2022'!Tnet-t)/('2022'!Tau_j))),Resal+(Salim-Resal)*(1-EXP((Tnet-t)/(Tau_j))))*Salcycl</f>
        <v>1.5175830852080893E-2</v>
      </c>
      <c r="P208" s="338">
        <f>(INDEX(Models!$BJ208:$BT208,,T208)*(1-R208)+INDEX(Models!$BJ208:$BT208,,T208+1)*R208-ERP_i)*Q208*Ramure*Pc/MaxiM</f>
        <v>4.0643652331983916E-4</v>
      </c>
      <c r="Q208" s="304">
        <f t="shared" si="80"/>
        <v>0.7</v>
      </c>
      <c r="R208" s="177">
        <f t="shared" si="81"/>
        <v>0.65265019475021302</v>
      </c>
      <c r="S208" s="799">
        <f t="shared" si="82"/>
        <v>0</v>
      </c>
      <c r="T208" s="176">
        <f t="shared" si="83"/>
        <v>6</v>
      </c>
      <c r="U208" s="250">
        <f t="shared" si="84"/>
        <v>0.65265019475021302</v>
      </c>
      <c r="V208" s="382">
        <f t="shared" si="85"/>
        <v>56.454699996972032</v>
      </c>
      <c r="W208" s="400">
        <f t="shared" si="86"/>
        <v>55.195654045196001</v>
      </c>
      <c r="X208" s="157">
        <f t="shared" si="87"/>
        <v>45120</v>
      </c>
      <c r="Y208" s="383">
        <f t="shared" si="88"/>
        <v>54.235791121176632</v>
      </c>
      <c r="Z208" s="383">
        <f t="shared" si="89"/>
        <v>55.972886011209766</v>
      </c>
      <c r="AA208" s="384">
        <f t="shared" si="90"/>
        <v>57.839765749302956</v>
      </c>
      <c r="AB208" s="197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3.2276751364880577E-2</v>
      </c>
      <c r="AD208" s="230">
        <f>(INDEX(Models!$BJ208:$BT208,,AH208)*(1-AF208)+INDEX(Models!$BJ208:$BT208,,AH208+1)*AF208-ERP_i)*AE208*Ramure*Pc/MaxiM</f>
        <v>4.3349318025147072E-4</v>
      </c>
      <c r="AE208" s="304">
        <f t="shared" si="92"/>
        <v>0.7</v>
      </c>
      <c r="AF208" s="177">
        <f t="shared" si="93"/>
        <v>0.71698241701004517</v>
      </c>
      <c r="AG208" s="799">
        <f t="shared" ref="AG208:AG271" si="99">INDEX(Echel_vg,AH208)</f>
        <v>0</v>
      </c>
      <c r="AH208" s="176">
        <f t="shared" si="94"/>
        <v>6</v>
      </c>
      <c r="AI208" s="224">
        <f t="shared" si="95"/>
        <v>0.71698241701004517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45121</v>
      </c>
      <c r="B209" s="409">
        <f>'2022'!Wh/'2022'!Env_an*'2023'!Env_an</f>
        <v>54.934024880287886</v>
      </c>
      <c r="C209" s="829"/>
      <c r="D209" s="391">
        <f t="shared" si="77"/>
        <v>56.694569738387585</v>
      </c>
      <c r="E209" s="383">
        <f t="shared" si="75"/>
        <v>57.574214251989893</v>
      </c>
      <c r="F209" s="383">
        <f t="shared" si="78"/>
        <v>57.598587932487547</v>
      </c>
      <c r="G209" s="110">
        <f t="shared" si="76"/>
        <v>0.97514555533275604</v>
      </c>
      <c r="H209" s="412" t="b">
        <f>Wh_hp&gt;='2022'!Maxi_hp</f>
        <v>0</v>
      </c>
      <c r="I209" s="379">
        <f>IF(H209,Wh_hp,'2022'!Maxi_hp)</f>
        <v>58.629820417743659</v>
      </c>
      <c r="J209" s="85">
        <f>IF(H209,An,'2022'!An_max)</f>
        <v>2018</v>
      </c>
      <c r="K209" s="197">
        <f t="shared" si="79"/>
        <v>45121</v>
      </c>
      <c r="L209" s="147">
        <f>IF(t&lt;Tvie,1-EXP((T0-t)*PertePVj)+'2022'!Pspv,1-EXP((T0-t)*PertePVj)+Pspv)</f>
        <v>3.1053147880362952E-2</v>
      </c>
      <c r="M209" s="832"/>
      <c r="N209" s="832"/>
      <c r="O209" s="48">
        <f>IF(t&lt;Tnet,'2022'!Resal+('2022'!Salim-'2022'!Resal)*(1-EXP(('2022'!Tnet-t)/('2022'!Tau_j))),Resal+(Salim-Resal)*(1-EXP((Tnet-t)/(Tau_j))))*Salcycl</f>
        <v>1.5278445829104849E-2</v>
      </c>
      <c r="P209" s="338">
        <f>(INDEX(Models!$BJ209:$BT209,,T209)*(1-R209)+INDEX(Models!$BJ209:$BT209,,T209+1)*R209-ERP_i)*Q209*Ramure*Pc/MaxiM</f>
        <v>4.3873283121240663E-4</v>
      </c>
      <c r="Q209" s="304">
        <f t="shared" si="80"/>
        <v>0.7</v>
      </c>
      <c r="R209" s="177">
        <f t="shared" si="81"/>
        <v>0.6553000233887194</v>
      </c>
      <c r="S209" s="799">
        <f t="shared" si="82"/>
        <v>0</v>
      </c>
      <c r="T209" s="176">
        <f t="shared" si="83"/>
        <v>6</v>
      </c>
      <c r="U209" s="250">
        <f t="shared" si="84"/>
        <v>0.6553000233887194</v>
      </c>
      <c r="V209" s="382">
        <f t="shared" si="85"/>
        <v>56.333302233117699</v>
      </c>
      <c r="W209" s="400">
        <f t="shared" si="86"/>
        <v>54.934024880287886</v>
      </c>
      <c r="X209" s="157">
        <f t="shared" si="87"/>
        <v>45121</v>
      </c>
      <c r="Y209" s="383">
        <f t="shared" si="88"/>
        <v>53.979510686493484</v>
      </c>
      <c r="Z209" s="383">
        <f t="shared" si="89"/>
        <v>55.709464939598739</v>
      </c>
      <c r="AA209" s="384">
        <f t="shared" si="90"/>
        <v>57.572562089511365</v>
      </c>
      <c r="AB209" s="197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3.2360851806733232E-2</v>
      </c>
      <c r="AD209" s="230">
        <f>(INDEX(Models!$BJ209:$BT209,,AH209)*(1-AF209)+INDEX(Models!$BJ209:$BT209,,AH209+1)*AF209-ERP_i)*AE209*Ramure*Pc/MaxiM</f>
        <v>4.6847220200209549E-4</v>
      </c>
      <c r="AE209" s="304">
        <f t="shared" si="92"/>
        <v>0.7</v>
      </c>
      <c r="AF209" s="177">
        <f t="shared" si="93"/>
        <v>0.71963224564855155</v>
      </c>
      <c r="AG209" s="799">
        <f t="shared" si="99"/>
        <v>0</v>
      </c>
      <c r="AH209" s="176">
        <f t="shared" si="94"/>
        <v>6</v>
      </c>
      <c r="AI209" s="224">
        <f t="shared" si="95"/>
        <v>0.71963224564855155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45122</v>
      </c>
      <c r="B210" s="409">
        <f>'2022'!Wh/'2022'!Env_an*'2023'!Env_an</f>
        <v>52.331110896133737</v>
      </c>
      <c r="C210" s="829"/>
      <c r="D210" s="391">
        <f t="shared" si="77"/>
        <v>54.009271731134014</v>
      </c>
      <c r="E210" s="383">
        <f t="shared" si="75"/>
        <v>54.852955028236153</v>
      </c>
      <c r="F210" s="383">
        <f t="shared" si="78"/>
        <v>54.876510315137402</v>
      </c>
      <c r="G210" s="110">
        <f t="shared" si="76"/>
        <v>0.93094507134574678</v>
      </c>
      <c r="H210" s="412" t="b">
        <f>Wh_hp&gt;='2022'!Maxi_hp</f>
        <v>0</v>
      </c>
      <c r="I210" s="379">
        <f>IF(H210,Wh_hp,'2022'!Maxi_hp)</f>
        <v>60.732811241786656</v>
      </c>
      <c r="J210" s="85">
        <f>IF(H210,An,'2022'!An_max)</f>
        <v>2018</v>
      </c>
      <c r="K210" s="197">
        <f t="shared" si="79"/>
        <v>45122</v>
      </c>
      <c r="L210" s="147">
        <f>IF(t&lt;Tvie,1-EXP((T0-t)*PertePVj)+'2022'!Pspv,1-EXP((T0-t)*PertePVj)+Pspv)</f>
        <v>3.1071717525731568E-2</v>
      </c>
      <c r="M210" s="832"/>
      <c r="N210" s="832"/>
      <c r="O210" s="48">
        <f>IF(t&lt;Tnet,'2022'!Resal+('2022'!Salim-'2022'!Resal)*(1-EXP(('2022'!Tnet-t)/('2022'!Tau_j))),Resal+(Salim-Resal)*(1-EXP((Tnet-t)/(Tau_j))))*Salcycl</f>
        <v>1.5380817618081702E-2</v>
      </c>
      <c r="P210" s="338">
        <f>(INDEX(Models!$BJ210:$BT210,,T210)*(1-R210)+INDEX(Models!$BJ210:$BT210,,T210+1)*R210-ERP_i)*Q210*Ramure*Pc/MaxiM</f>
        <v>4.7618784330381002E-4</v>
      </c>
      <c r="Q210" s="304">
        <f t="shared" si="80"/>
        <v>0.7</v>
      </c>
      <c r="R210" s="177">
        <f t="shared" si="81"/>
        <v>0.65788494691284138</v>
      </c>
      <c r="S210" s="799">
        <f t="shared" si="82"/>
        <v>0</v>
      </c>
      <c r="T210" s="176">
        <f t="shared" si="83"/>
        <v>6</v>
      </c>
      <c r="U210" s="250">
        <f t="shared" si="84"/>
        <v>0.65788494691284138</v>
      </c>
      <c r="V210" s="382">
        <f t="shared" si="85"/>
        <v>56.210247745311634</v>
      </c>
      <c r="W210" s="400">
        <f t="shared" si="86"/>
        <v>52.331110896133737</v>
      </c>
      <c r="X210" s="157">
        <f t="shared" si="87"/>
        <v>45122</v>
      </c>
      <c r="Y210" s="383">
        <f t="shared" si="88"/>
        <v>51.422675249645927</v>
      </c>
      <c r="Z210" s="383">
        <f t="shared" si="89"/>
        <v>53.071704252798035</v>
      </c>
      <c r="AA210" s="384">
        <f t="shared" si="90"/>
        <v>54.851332169325154</v>
      </c>
      <c r="AB210" s="197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3.2444570553609171E-2</v>
      </c>
      <c r="AD210" s="230">
        <f>(INDEX(Models!$BJ210:$BT210,,AH210)*(1-AF210)+INDEX(Models!$BJ210:$BT210,,AH210+1)*AF210-ERP_i)*AE210*Ramure*Pc/MaxiM</f>
        <v>5.0899515692526438E-4</v>
      </c>
      <c r="AE210" s="304">
        <f t="shared" si="92"/>
        <v>0.7</v>
      </c>
      <c r="AF210" s="177">
        <f t="shared" si="93"/>
        <v>0.72221716917267353</v>
      </c>
      <c r="AG210" s="799">
        <f t="shared" si="99"/>
        <v>0</v>
      </c>
      <c r="AH210" s="176">
        <f t="shared" si="94"/>
        <v>6</v>
      </c>
      <c r="AI210" s="224">
        <f t="shared" si="95"/>
        <v>0.72221716917267353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45123</v>
      </c>
      <c r="B211" s="409">
        <f>'2022'!Wh/'2022'!Env_an*'2023'!Env_an</f>
        <v>53.55695366313202</v>
      </c>
      <c r="C211" s="829"/>
      <c r="D211" s="391">
        <f t="shared" si="77"/>
        <v>55.275484324634959</v>
      </c>
      <c r="E211" s="383">
        <f t="shared" si="75"/>
        <v>56.144771083003484</v>
      </c>
      <c r="F211" s="383">
        <f t="shared" si="78"/>
        <v>56.17203976295319</v>
      </c>
      <c r="G211" s="110">
        <f t="shared" si="76"/>
        <v>0.95488193306873959</v>
      </c>
      <c r="H211" s="412" t="b">
        <f>Wh_hp&gt;='2022'!Maxi_hp</f>
        <v>0</v>
      </c>
      <c r="I211" s="379">
        <f>IF(H211,Wh_hp,'2022'!Maxi_hp)</f>
        <v>60.019024315602991</v>
      </c>
      <c r="J211" s="85">
        <f>IF(H211,An,'2022'!An_max)</f>
        <v>2018</v>
      </c>
      <c r="K211" s="197">
        <f t="shared" si="79"/>
        <v>45123</v>
      </c>
      <c r="L211" s="147">
        <f>IF(t&lt;Tvie,1-EXP((T0-t)*PertePVj)+'2022'!Pspv,1-EXP((T0-t)*PertePVj)+Pspv)</f>
        <v>3.1090286815217083E-2</v>
      </c>
      <c r="M211" s="832"/>
      <c r="N211" s="832"/>
      <c r="O211" s="48">
        <f>IF(t&lt;Tnet,'2022'!Resal+('2022'!Salim-'2022'!Resal)*(1-EXP(('2022'!Tnet-t)/('2022'!Tau_j))),Resal+(Salim-Resal)*(1-EXP((Tnet-t)/(Tau_j))))*Salcycl</f>
        <v>1.5482951334566586E-2</v>
      </c>
      <c r="P211" s="338">
        <f>(INDEX(Models!$BJ211:$BT211,,T211)*(1-R211)+INDEX(Models!$BJ211:$BT211,,T211+1)*R211-ERP_i)*Q211*Ramure*Pc/MaxiM</f>
        <v>5.1886906348731581E-4</v>
      </c>
      <c r="Q211" s="304">
        <f t="shared" si="80"/>
        <v>0.7</v>
      </c>
      <c r="R211" s="177">
        <f t="shared" si="81"/>
        <v>0.66040521840191446</v>
      </c>
      <c r="S211" s="799">
        <f t="shared" si="82"/>
        <v>0</v>
      </c>
      <c r="T211" s="176">
        <f t="shared" si="83"/>
        <v>6</v>
      </c>
      <c r="U211" s="250">
        <f t="shared" si="84"/>
        <v>0.66040521840191446</v>
      </c>
      <c r="V211" s="382">
        <f t="shared" si="85"/>
        <v>56.085638528561788</v>
      </c>
      <c r="W211" s="400">
        <f t="shared" si="86"/>
        <v>53.55695366313202</v>
      </c>
      <c r="X211" s="157">
        <f t="shared" si="87"/>
        <v>45123</v>
      </c>
      <c r="Y211" s="383">
        <f t="shared" si="88"/>
        <v>52.627934217895969</v>
      </c>
      <c r="Z211" s="383">
        <f t="shared" si="89"/>
        <v>54.316654587876116</v>
      </c>
      <c r="AA211" s="384">
        <f t="shared" si="90"/>
        <v>56.142865324611662</v>
      </c>
      <c r="AB211" s="197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3.2527921868194705E-2</v>
      </c>
      <c r="AD211" s="230">
        <f>(INDEX(Models!$BJ211:$BT211,,AH211)*(1-AF211)+INDEX(Models!$BJ211:$BT211,,AH211+1)*AF211-ERP_i)*AE211*Ramure*Pc/MaxiM</f>
        <v>5.5513187759578038E-4</v>
      </c>
      <c r="AE211" s="304">
        <f t="shared" si="92"/>
        <v>0.7</v>
      </c>
      <c r="AF211" s="177">
        <f t="shared" si="93"/>
        <v>0.72473744066174661</v>
      </c>
      <c r="AG211" s="799">
        <f t="shared" si="99"/>
        <v>0</v>
      </c>
      <c r="AH211" s="176">
        <f t="shared" si="94"/>
        <v>6</v>
      </c>
      <c r="AI211" s="224">
        <f t="shared" si="95"/>
        <v>0.72473744066174661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45124</v>
      </c>
      <c r="B212" s="409">
        <f>'2022'!Wh/'2022'!Env_an*'2023'!Env_an</f>
        <v>54.146578443551292</v>
      </c>
      <c r="C212" s="829"/>
      <c r="D212" s="391">
        <f t="shared" si="77"/>
        <v>55.885099956610219</v>
      </c>
      <c r="E212" s="383">
        <f t="shared" si="75"/>
        <v>56.769849672251183</v>
      </c>
      <c r="F212" s="383">
        <f t="shared" si="78"/>
        <v>56.800728923385059</v>
      </c>
      <c r="G212" s="110">
        <f t="shared" si="76"/>
        <v>0.96757918398239096</v>
      </c>
      <c r="H212" s="412" t="b">
        <f>Wh_hp&gt;='2022'!Maxi_hp</f>
        <v>0</v>
      </c>
      <c r="I212" s="379">
        <f>IF(H212,Wh_hp,'2022'!Maxi_hp)</f>
        <v>58.588907311846619</v>
      </c>
      <c r="J212" s="85">
        <f>IF(H212,An,'2022'!An_max)</f>
        <v>2021</v>
      </c>
      <c r="K212" s="197">
        <f t="shared" si="79"/>
        <v>45124</v>
      </c>
      <c r="L212" s="147">
        <f>IF(t&lt;Tvie,1-EXP((T0-t)*PertePVj)+'2022'!Pspv,1-EXP((T0-t)*PertePVj)+Pspv)</f>
        <v>3.1108855748826381E-2</v>
      </c>
      <c r="M212" s="832"/>
      <c r="N212" s="832"/>
      <c r="O212" s="48">
        <f>IF(t&lt;Tnet,'2022'!Resal+('2022'!Salim-'2022'!Resal)*(1-EXP(('2022'!Tnet-t)/('2022'!Tau_j))),Resal+(Salim-Resal)*(1-EXP((Tnet-t)/(Tau_j))))*Salcycl</f>
        <v>1.5584852183842014E-2</v>
      </c>
      <c r="P212" s="338">
        <f>(INDEX(Models!$BJ212:$BT212,,T212)*(1-R212)+INDEX(Models!$BJ212:$BT212,,T212+1)*R212-ERP_i)*Q212*Ramure*Pc/MaxiM</f>
        <v>5.7002183233177748E-4</v>
      </c>
      <c r="Q212" s="304">
        <f t="shared" si="80"/>
        <v>0.7</v>
      </c>
      <c r="R212" s="177">
        <f t="shared" si="81"/>
        <v>0.66286118485517553</v>
      </c>
      <c r="S212" s="799">
        <f t="shared" si="82"/>
        <v>0</v>
      </c>
      <c r="T212" s="176">
        <f t="shared" si="83"/>
        <v>6</v>
      </c>
      <c r="U212" s="250">
        <f t="shared" si="84"/>
        <v>0.66286118485517553</v>
      </c>
      <c r="V212" s="382">
        <f t="shared" si="85"/>
        <v>55.959398646679205</v>
      </c>
      <c r="W212" s="400">
        <f t="shared" si="86"/>
        <v>54.146578443551292</v>
      </c>
      <c r="X212" s="157">
        <f t="shared" si="87"/>
        <v>45124</v>
      </c>
      <c r="Y212" s="383">
        <f t="shared" si="88"/>
        <v>53.208040032261728</v>
      </c>
      <c r="Z212" s="383">
        <f t="shared" si="89"/>
        <v>54.91642724568878</v>
      </c>
      <c r="AA212" s="384">
        <f t="shared" si="90"/>
        <v>56.767673294059925</v>
      </c>
      <c r="AB212" s="197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3.2610919929403757E-2</v>
      </c>
      <c r="AD212" s="230">
        <f>(INDEX(Models!$BJ212:$BT212,,AH212)*(1-AF212)+INDEX(Models!$BJ212:$BT212,,AH212+1)*AF212-ERP_i)*AE212*Ramure*Pc/MaxiM</f>
        <v>6.1019712929899343E-4</v>
      </c>
      <c r="AE212" s="304">
        <f t="shared" si="92"/>
        <v>0.7</v>
      </c>
      <c r="AF212" s="177">
        <f t="shared" si="93"/>
        <v>0.72719340711500768</v>
      </c>
      <c r="AG212" s="799">
        <f t="shared" si="99"/>
        <v>0</v>
      </c>
      <c r="AH212" s="176">
        <f t="shared" si="94"/>
        <v>6</v>
      </c>
      <c r="AI212" s="224">
        <f t="shared" si="95"/>
        <v>0.72719340711500768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45125</v>
      </c>
      <c r="B213" s="409">
        <f>'2022'!Wh/'2022'!Env_an*'2023'!Env_an</f>
        <v>56.323187550310678</v>
      </c>
      <c r="C213" s="829"/>
      <c r="D213" s="391">
        <f t="shared" si="77"/>
        <v>58.132709052232343</v>
      </c>
      <c r="E213" s="383">
        <f t="shared" si="75"/>
        <v>59.059141780953759</v>
      </c>
      <c r="F213" s="383">
        <f t="shared" si="78"/>
        <v>59.096265528391363</v>
      </c>
      <c r="G213" s="110">
        <f t="shared" si="76"/>
        <v>1.0088027243466917</v>
      </c>
      <c r="H213" s="412" t="b">
        <f>Wh_hp&gt;='2022'!Maxi_hp</f>
        <v>1</v>
      </c>
      <c r="I213" s="379">
        <f>IF(H213,Wh_hp,'2022'!Maxi_hp)</f>
        <v>59.096265528391363</v>
      </c>
      <c r="J213" s="85">
        <f>IF(H213,An,'2022'!An_max)</f>
        <v>2023</v>
      </c>
      <c r="K213" s="197">
        <f t="shared" si="79"/>
        <v>45125</v>
      </c>
      <c r="L213" s="147">
        <f>IF(t&lt;Tvie,1-EXP((T0-t)*PertePVj)+'2022'!Pspv,1-EXP((T0-t)*PertePVj)+Pspv)</f>
        <v>3.1127424326566455E-2</v>
      </c>
      <c r="M213" s="832"/>
      <c r="N213" s="832"/>
      <c r="O213" s="48">
        <f>IF(t&lt;Tnet,'2022'!Resal+('2022'!Salim-'2022'!Resal)*(1-EXP(('2022'!Tnet-t)/('2022'!Tau_j))),Resal+(Salim-Resal)*(1-EXP((Tnet-t)/(Tau_j))))*Salcycl</f>
        <v>1.5686525418156107E-2</v>
      </c>
      <c r="P213" s="338">
        <f>(INDEX(Models!$BJ213:$BT213,,T213)*(1-R213)+INDEX(Models!$BJ213:$BT213,,T213+1)*R213-ERP_i)*Q213*Ramure*Pc/MaxiM</f>
        <v>6.2819108966823275E-4</v>
      </c>
      <c r="Q213" s="304">
        <f t="shared" si="80"/>
        <v>0.7</v>
      </c>
      <c r="R213" s="177">
        <f t="shared" si="81"/>
        <v>0.66525328158820785</v>
      </c>
      <c r="S213" s="799">
        <f t="shared" si="82"/>
        <v>0</v>
      </c>
      <c r="T213" s="176">
        <f t="shared" si="83"/>
        <v>6</v>
      </c>
      <c r="U213" s="250">
        <f t="shared" si="84"/>
        <v>0.66525328158820785</v>
      </c>
      <c r="V213" s="382">
        <f t="shared" si="85"/>
        <v>55.831716341553303</v>
      </c>
      <c r="W213" s="400">
        <f t="shared" si="86"/>
        <v>56.323187550310678</v>
      </c>
      <c r="X213" s="157">
        <f t="shared" si="87"/>
        <v>45125</v>
      </c>
      <c r="Y213" s="383">
        <f t="shared" si="88"/>
        <v>55.34757179247773</v>
      </c>
      <c r="Z213" s="383">
        <f t="shared" si="89"/>
        <v>57.125749228692257</v>
      </c>
      <c r="AA213" s="384">
        <f t="shared" si="90"/>
        <v>59.056518155658402</v>
      </c>
      <c r="AB213" s="197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3.2693578749040282E-2</v>
      </c>
      <c r="AD213" s="230">
        <f>(INDEX(Models!$BJ213:$BT213,,AH213)*(1-AF213)+INDEX(Models!$BJ213:$BT213,,AH213+1)*AF213-ERP_i)*AE213*Ramure*Pc/MaxiM</f>
        <v>6.7258687799592908E-4</v>
      </c>
      <c r="AE213" s="304">
        <f t="shared" si="92"/>
        <v>0.7</v>
      </c>
      <c r="AF213" s="177">
        <f t="shared" si="93"/>
        <v>0.72958550384804</v>
      </c>
      <c r="AG213" s="799">
        <f t="shared" si="99"/>
        <v>0</v>
      </c>
      <c r="AH213" s="176">
        <f t="shared" si="94"/>
        <v>6</v>
      </c>
      <c r="AI213" s="224">
        <f t="shared" si="95"/>
        <v>0.72958550384804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45126</v>
      </c>
      <c r="B214" s="409">
        <f>'2022'!Wh/'2022'!Env_an*'2023'!Env_an</f>
        <v>33.955960024485904</v>
      </c>
      <c r="C214" s="829"/>
      <c r="D214" s="391">
        <f t="shared" si="77"/>
        <v>35.047550779918453</v>
      </c>
      <c r="E214" s="383">
        <f t="shared" si="75"/>
        <v>35.609756775764332</v>
      </c>
      <c r="F214" s="383">
        <f t="shared" si="78"/>
        <v>35.62068134416959</v>
      </c>
      <c r="G214" s="110">
        <f t="shared" si="76"/>
        <v>0.60935694234040161</v>
      </c>
      <c r="H214" s="412" t="b">
        <f>Wh_hp&gt;='2022'!Maxi_hp</f>
        <v>0</v>
      </c>
      <c r="I214" s="379">
        <f>IF(H214,Wh_hp,'2022'!Maxi_hp)</f>
        <v>58.821936669758294</v>
      </c>
      <c r="J214" s="85">
        <f>IF(H214,An,'2022'!An_max)</f>
        <v>2020</v>
      </c>
      <c r="K214" s="197">
        <f t="shared" si="79"/>
        <v>45126</v>
      </c>
      <c r="L214" s="147">
        <f>IF(t&lt;Tvie,1-EXP((T0-t)*PertePVj)+'2022'!Pspv,1-EXP((T0-t)*PertePVj)+Pspv)</f>
        <v>3.1145992548443857E-2</v>
      </c>
      <c r="M214" s="832"/>
      <c r="N214" s="832"/>
      <c r="O214" s="48">
        <f>IF(t&lt;Tnet,'2022'!Resal+('2022'!Salim-'2022'!Resal)*(1-EXP(('2022'!Tnet-t)/('2022'!Tau_j))),Resal+(Salim-Resal)*(1-EXP((Tnet-t)/(Tau_j))))*Salcycl</f>
        <v>1.5787976294982957E-2</v>
      </c>
      <c r="P214" s="338">
        <f>(INDEX(Models!$BJ214:$BT214,,T214)*(1-R214)+INDEX(Models!$BJ214:$BT214,,T214+1)*R214-ERP_i)*Q214*Ramure*Pc/MaxiM</f>
        <v>6.9344064014777607E-4</v>
      </c>
      <c r="Q214" s="304">
        <f t="shared" si="80"/>
        <v>0.7</v>
      </c>
      <c r="R214" s="177">
        <f t="shared" si="81"/>
        <v>0.66758202660065891</v>
      </c>
      <c r="S214" s="799">
        <f t="shared" si="82"/>
        <v>0</v>
      </c>
      <c r="T214" s="176">
        <f t="shared" si="83"/>
        <v>6</v>
      </c>
      <c r="U214" s="250">
        <f t="shared" si="84"/>
        <v>0.66758202660065891</v>
      </c>
      <c r="V214" s="382">
        <f t="shared" si="85"/>
        <v>55.702694441721448</v>
      </c>
      <c r="W214" s="400">
        <f t="shared" si="86"/>
        <v>33.955960024485904</v>
      </c>
      <c r="X214" s="157">
        <f t="shared" si="87"/>
        <v>45126</v>
      </c>
      <c r="Y214" s="383">
        <f t="shared" si="88"/>
        <v>33.36914279571743</v>
      </c>
      <c r="Z214" s="383">
        <f t="shared" si="89"/>
        <v>34.441868990654847</v>
      </c>
      <c r="AA214" s="384">
        <f t="shared" si="90"/>
        <v>35.608985985000146</v>
      </c>
      <c r="AB214" s="197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3.2775912092440199E-2</v>
      </c>
      <c r="AD214" s="230">
        <f>(INDEX(Models!$BJ214:$BT214,,AH214)*(1-AF214)+INDEX(Models!$BJ214:$BT214,,AH214+1)*AF214-ERP_i)*AE214*Ramure*Pc/MaxiM</f>
        <v>7.423668421827471E-4</v>
      </c>
      <c r="AE214" s="304">
        <f t="shared" si="92"/>
        <v>0.7</v>
      </c>
      <c r="AF214" s="177">
        <f t="shared" si="93"/>
        <v>0.73191424886049106</v>
      </c>
      <c r="AG214" s="799">
        <f t="shared" si="99"/>
        <v>0</v>
      </c>
      <c r="AH214" s="176">
        <f t="shared" si="94"/>
        <v>6</v>
      </c>
      <c r="AI214" s="224">
        <f t="shared" si="95"/>
        <v>0.73191424886049106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45127</v>
      </c>
      <c r="B215" s="409">
        <f>'2022'!Wh/'2022'!Env_an*'2023'!Env_an</f>
        <v>41.251296508394702</v>
      </c>
      <c r="C215" s="829"/>
      <c r="D215" s="391">
        <f t="shared" si="77"/>
        <v>42.578228275837958</v>
      </c>
      <c r="E215" s="383">
        <f t="shared" si="75"/>
        <v>43.265685845617512</v>
      </c>
      <c r="F215" s="383">
        <f t="shared" si="78"/>
        <v>43.286632028690775</v>
      </c>
      <c r="G215" s="110">
        <f t="shared" si="76"/>
        <v>0.7420884101853269</v>
      </c>
      <c r="H215" s="412" t="b">
        <f>Wh_hp&gt;='2022'!Maxi_hp</f>
        <v>0</v>
      </c>
      <c r="I215" s="379">
        <f>IF(H215,Wh_hp,'2022'!Maxi_hp)</f>
        <v>57.966887791855576</v>
      </c>
      <c r="J215" s="85">
        <f>IF(H215,An,'2022'!An_max)</f>
        <v>2020</v>
      </c>
      <c r="K215" s="197">
        <f t="shared" si="79"/>
        <v>45127</v>
      </c>
      <c r="L215" s="147">
        <f>IF(t&lt;Tvie,1-EXP((T0-t)*PertePVj)+'2022'!Pspv,1-EXP((T0-t)*PertePVj)+Pspv)</f>
        <v>3.1164560414465581E-2</v>
      </c>
      <c r="M215" s="832"/>
      <c r="N215" s="832"/>
      <c r="O215" s="48">
        <f>IF(t&lt;Tnet,'2022'!Resal+('2022'!Salim-'2022'!Resal)*(1-EXP(('2022'!Tnet-t)/('2022'!Tau_j))),Resal+(Salim-Resal)*(1-EXP((Tnet-t)/(Tau_j))))*Salcycl</f>
        <v>1.5889210036622768E-2</v>
      </c>
      <c r="P215" s="338">
        <f>(INDEX(Models!$BJ215:$BT215,,T215)*(1-R215)+INDEX(Models!$BJ215:$BT215,,T215+1)*R215-ERP_i)*Q215*Ramure*Pc/MaxiM</f>
        <v>7.6583351009812709E-4</v>
      </c>
      <c r="Q215" s="304">
        <f t="shared" si="80"/>
        <v>0.7</v>
      </c>
      <c r="R215" s="177">
        <f t="shared" si="81"/>
        <v>0.66984801494900692</v>
      </c>
      <c r="S215" s="799">
        <f t="shared" si="82"/>
        <v>0</v>
      </c>
      <c r="T215" s="176">
        <f t="shared" si="83"/>
        <v>6</v>
      </c>
      <c r="U215" s="250">
        <f t="shared" si="84"/>
        <v>0.66984801494900692</v>
      </c>
      <c r="V215" s="382">
        <f t="shared" si="85"/>
        <v>55.572435819048287</v>
      </c>
      <c r="W215" s="400">
        <f t="shared" si="86"/>
        <v>41.251296508394702</v>
      </c>
      <c r="X215" s="157">
        <f t="shared" si="87"/>
        <v>45127</v>
      </c>
      <c r="Y215" s="383">
        <f t="shared" si="88"/>
        <v>40.538634969029886</v>
      </c>
      <c r="Z215" s="383">
        <f t="shared" si="89"/>
        <v>41.842642530058789</v>
      </c>
      <c r="AA215" s="384">
        <f t="shared" si="90"/>
        <v>43.264215232941901</v>
      </c>
      <c r="AB215" s="197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3.2857933403602053E-2</v>
      </c>
      <c r="AD215" s="230">
        <f>(INDEX(Models!$BJ215:$BT215,,AH215)*(1-AF215)+INDEX(Models!$BJ215:$BT215,,AH215+1)*AF215-ERP_i)*AE215*Ramure*Pc/MaxiM</f>
        <v>8.1960199208907288E-4</v>
      </c>
      <c r="AE215" s="304">
        <f t="shared" si="92"/>
        <v>0.7</v>
      </c>
      <c r="AF215" s="177">
        <f t="shared" si="93"/>
        <v>0.73418023720883907</v>
      </c>
      <c r="AG215" s="799">
        <f t="shared" si="99"/>
        <v>0</v>
      </c>
      <c r="AH215" s="176">
        <f t="shared" si="94"/>
        <v>6</v>
      </c>
      <c r="AI215" s="224">
        <f t="shared" si="95"/>
        <v>0.73418023720883907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45128</v>
      </c>
      <c r="B216" s="409">
        <f>'2022'!Wh/'2022'!Env_an*'2023'!Env_an</f>
        <v>53.829854373608228</v>
      </c>
      <c r="C216" s="829"/>
      <c r="D216" s="391">
        <f t="shared" si="77"/>
        <v>55.562465854146424</v>
      </c>
      <c r="E216" s="383">
        <f t="shared" si="75"/>
        <v>56.465360049525486</v>
      </c>
      <c r="F216" s="383">
        <f t="shared" si="78"/>
        <v>56.51115289773432</v>
      </c>
      <c r="G216" s="110">
        <f t="shared" si="76"/>
        <v>0.97090458948288882</v>
      </c>
      <c r="H216" s="412" t="b">
        <f>Wh_hp&gt;='2022'!Maxi_hp</f>
        <v>0</v>
      </c>
      <c r="I216" s="379">
        <f>IF(H216,Wh_hp,'2022'!Maxi_hp)</f>
        <v>56.512013586305258</v>
      </c>
      <c r="J216" s="85">
        <f>IF(H216,An,'2022'!An_max)</f>
        <v>2022</v>
      </c>
      <c r="K216" s="197">
        <f t="shared" si="79"/>
        <v>45128</v>
      </c>
      <c r="L216" s="147">
        <f>IF(t&lt;Tvie,1-EXP((T0-t)*PertePVj)+'2022'!Pspv,1-EXP((T0-t)*PertePVj)+Pspv)</f>
        <v>3.1183127924638288E-2</v>
      </c>
      <c r="M216" s="832"/>
      <c r="N216" s="832"/>
      <c r="O216" s="48">
        <f>IF(t&lt;Tnet,'2022'!Resal+('2022'!Salim-'2022'!Resal)*(1-EXP(('2022'!Tnet-t)/('2022'!Tau_j))),Resal+(Salim-Resal)*(1-EXP((Tnet-t)/(Tau_j))))*Salcycl</f>
        <v>1.5990231791440494E-2</v>
      </c>
      <c r="P216" s="338">
        <f>(INDEX(Models!$BJ216:$BT216,,T216)*(1-R216)+INDEX(Models!$BJ216:$BT216,,T216+1)*R216-ERP_i)*Q216*Ramure*Pc/MaxiM</f>
        <v>8.4543201266371927E-4</v>
      </c>
      <c r="Q216" s="304">
        <f t="shared" si="80"/>
        <v>0.7</v>
      </c>
      <c r="R216" s="177">
        <f t="shared" si="81"/>
        <v>0.67205191315545487</v>
      </c>
      <c r="S216" s="799">
        <f t="shared" si="82"/>
        <v>0</v>
      </c>
      <c r="T216" s="176">
        <f t="shared" si="83"/>
        <v>6</v>
      </c>
      <c r="U216" s="250">
        <f t="shared" si="84"/>
        <v>0.67205191315545487</v>
      </c>
      <c r="V216" s="382">
        <f t="shared" si="85"/>
        <v>55.44104337955639</v>
      </c>
      <c r="W216" s="400">
        <f t="shared" si="86"/>
        <v>53.829854373608228</v>
      </c>
      <c r="X216" s="157">
        <f t="shared" si="87"/>
        <v>45128</v>
      </c>
      <c r="Y216" s="383">
        <f t="shared" si="88"/>
        <v>52.899652753231692</v>
      </c>
      <c r="Z216" s="383">
        <f t="shared" si="89"/>
        <v>54.602324007747839</v>
      </c>
      <c r="AA216" s="384">
        <f t="shared" si="90"/>
        <v>56.462168396805133</v>
      </c>
      <c r="AB216" s="197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3.2939655735264431E-2</v>
      </c>
      <c r="AD216" s="230">
        <f>(INDEX(Models!$BJ216:$BT216,,AH216)*(1-AF216)+INDEX(Models!$BJ216:$BT216,,AH216+1)*AF216-ERP_i)*AE216*Ramure*Pc/MaxiM</f>
        <v>9.0435661527389437E-4</v>
      </c>
      <c r="AE216" s="304">
        <f t="shared" si="92"/>
        <v>0.7</v>
      </c>
      <c r="AF216" s="177">
        <f t="shared" si="93"/>
        <v>0.73638413541528702</v>
      </c>
      <c r="AG216" s="799">
        <f t="shared" si="99"/>
        <v>0</v>
      </c>
      <c r="AH216" s="176">
        <f t="shared" si="94"/>
        <v>6</v>
      </c>
      <c r="AI216" s="224">
        <f t="shared" si="95"/>
        <v>0.73638413541528702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45129</v>
      </c>
      <c r="B217" s="409">
        <f>'2022'!Wh/'2022'!Env_an*'2023'!Env_an</f>
        <v>45.218946500393457</v>
      </c>
      <c r="C217" s="829"/>
      <c r="D217" s="391">
        <f t="shared" si="77"/>
        <v>46.675294816994295</v>
      </c>
      <c r="E217" s="383">
        <f t="shared" si="75"/>
        <v>47.438632055904741</v>
      </c>
      <c r="F217" s="383">
        <f t="shared" si="78"/>
        <v>47.471355693107839</v>
      </c>
      <c r="G217" s="110">
        <f t="shared" si="76"/>
        <v>0.81737624851104973</v>
      </c>
      <c r="H217" s="412" t="b">
        <f>Wh_hp&gt;='2022'!Maxi_hp</f>
        <v>0</v>
      </c>
      <c r="I217" s="379">
        <f>IF(H217,Wh_hp,'2022'!Maxi_hp)</f>
        <v>54.98806790169472</v>
      </c>
      <c r="J217" s="85">
        <f>IF(H217,An,'2022'!An_max)</f>
        <v>2021</v>
      </c>
      <c r="K217" s="197">
        <f t="shared" si="79"/>
        <v>45129</v>
      </c>
      <c r="L217" s="147">
        <f>IF(t&lt;Tvie,1-EXP((T0-t)*PertePVj)+'2022'!Pspv,1-EXP((T0-t)*PertePVj)+Pspv)</f>
        <v>3.1201695078968972E-2</v>
      </c>
      <c r="M217" s="832"/>
      <c r="N217" s="832"/>
      <c r="O217" s="48">
        <f>IF(t&lt;Tnet,'2022'!Resal+('2022'!Salim-'2022'!Resal)*(1-EXP(('2022'!Tnet-t)/('2022'!Tau_j))),Resal+(Salim-Resal)*(1-EXP((Tnet-t)/(Tau_j))))*Salcycl</f>
        <v>1.6091046597019924E-2</v>
      </c>
      <c r="P217" s="338">
        <f>(INDEX(Models!$BJ217:$BT217,,T217)*(1-R217)+INDEX(Models!$BJ217:$BT217,,T217+1)*R217-ERP_i)*Q217*Ramure*Pc/MaxiM</f>
        <v>9.3229780492042644E-4</v>
      </c>
      <c r="Q217" s="304">
        <f t="shared" si="80"/>
        <v>0.7</v>
      </c>
      <c r="R217" s="177">
        <f t="shared" si="81"/>
        <v>0.67419445368127817</v>
      </c>
      <c r="S217" s="799">
        <f t="shared" si="82"/>
        <v>0</v>
      </c>
      <c r="T217" s="176">
        <f t="shared" si="83"/>
        <v>6</v>
      </c>
      <c r="U217" s="250">
        <f t="shared" si="84"/>
        <v>0.67419445368127817</v>
      </c>
      <c r="V217" s="382">
        <f t="shared" si="85"/>
        <v>55.308620055544772</v>
      </c>
      <c r="W217" s="400">
        <f t="shared" si="86"/>
        <v>45.218946500393457</v>
      </c>
      <c r="X217" s="157">
        <f t="shared" si="87"/>
        <v>45129</v>
      </c>
      <c r="Y217" s="383">
        <f t="shared" si="88"/>
        <v>44.438750110031542</v>
      </c>
      <c r="Z217" s="383">
        <f t="shared" si="89"/>
        <v>45.869970957116657</v>
      </c>
      <c r="AA217" s="384">
        <f t="shared" si="90"/>
        <v>47.436371737430477</v>
      </c>
      <c r="AB217" s="197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3.3021091684333516E-2</v>
      </c>
      <c r="AD217" s="230">
        <f>(INDEX(Models!$BJ217:$BT217,,AH217)*(1-AF217)+INDEX(Models!$BJ217:$BT217,,AH217+1)*AF217-ERP_i)*AE217*Ramure*Pc/MaxiM</f>
        <v>9.9669437364229181E-4</v>
      </c>
      <c r="AE217" s="304">
        <f t="shared" si="92"/>
        <v>0.7</v>
      </c>
      <c r="AF217" s="177">
        <f t="shared" si="93"/>
        <v>0.73852667594111032</v>
      </c>
      <c r="AG217" s="799">
        <f t="shared" si="99"/>
        <v>0</v>
      </c>
      <c r="AH217" s="176">
        <f t="shared" si="94"/>
        <v>6</v>
      </c>
      <c r="AI217" s="224">
        <f t="shared" si="95"/>
        <v>0.73852667594111032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45130</v>
      </c>
      <c r="B218" s="409">
        <f>'2022'!Wh/'2022'!Env_an*'2023'!Env_an</f>
        <v>39.880302933939795</v>
      </c>
      <c r="C218" s="829"/>
      <c r="D218" s="391">
        <f t="shared" si="77"/>
        <v>41.165500644374085</v>
      </c>
      <c r="E218" s="383">
        <f t="shared" si="75"/>
        <v>41.843008382087127</v>
      </c>
      <c r="F218" s="383">
        <f t="shared" si="78"/>
        <v>41.868966764399318</v>
      </c>
      <c r="G218" s="110">
        <f t="shared" si="76"/>
        <v>0.72249908998606061</v>
      </c>
      <c r="H218" s="412" t="b">
        <f>Wh_hp&gt;='2022'!Maxi_hp</f>
        <v>0</v>
      </c>
      <c r="I218" s="379">
        <f>IF(H218,Wh_hp,'2022'!Maxi_hp)</f>
        <v>56.499257606465072</v>
      </c>
      <c r="J218" s="85">
        <f>IF(H218,An,'2022'!An_max)</f>
        <v>2018</v>
      </c>
      <c r="K218" s="197">
        <f t="shared" si="79"/>
        <v>45130</v>
      </c>
      <c r="L218" s="147">
        <f>IF(t&lt;Tvie,1-EXP((T0-t)*PertePVj)+'2022'!Pspv,1-EXP((T0-t)*PertePVj)+Pspv)</f>
        <v>3.1220261877464406E-2</v>
      </c>
      <c r="M218" s="832"/>
      <c r="N218" s="832"/>
      <c r="O218" s="48">
        <f>IF(t&lt;Tnet,'2022'!Resal+('2022'!Salim-'2022'!Resal)*(1-EXP(('2022'!Tnet-t)/('2022'!Tau_j))),Resal+(Salim-Resal)*(1-EXP((Tnet-t)/(Tau_j))))*Salcycl</f>
        <v>1.6191659345485335E-2</v>
      </c>
      <c r="P218" s="338">
        <f>(INDEX(Models!$BJ218:$BT218,,T218)*(1-R218)+INDEX(Models!$BJ218:$BT218,,T218+1)*R218-ERP_i)*Q218*Ramure*Pc/MaxiM</f>
        <v>1.0264919356800985E-3</v>
      </c>
      <c r="Q218" s="304">
        <f t="shared" si="80"/>
        <v>0.7</v>
      </c>
      <c r="R218" s="177">
        <f t="shared" si="81"/>
        <v>0.67627642949018385</v>
      </c>
      <c r="S218" s="799">
        <f t="shared" si="82"/>
        <v>0</v>
      </c>
      <c r="T218" s="176">
        <f t="shared" si="83"/>
        <v>6</v>
      </c>
      <c r="U218" s="250">
        <f t="shared" si="84"/>
        <v>0.67627642949018385</v>
      </c>
      <c r="V218" s="382">
        <f t="shared" si="85"/>
        <v>55.175268797718545</v>
      </c>
      <c r="W218" s="400">
        <f t="shared" si="86"/>
        <v>39.880302933939795</v>
      </c>
      <c r="X218" s="157">
        <f t="shared" si="87"/>
        <v>45130</v>
      </c>
      <c r="Y218" s="383">
        <f t="shared" si="88"/>
        <v>39.193141383956011</v>
      </c>
      <c r="Z218" s="383">
        <f t="shared" si="89"/>
        <v>40.456194366648376</v>
      </c>
      <c r="AA218" s="384">
        <f t="shared" si="90"/>
        <v>41.841233476968405</v>
      </c>
      <c r="AB218" s="197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3.3102253333005323E-2</v>
      </c>
      <c r="AD218" s="230">
        <f>(INDEX(Models!$BJ218:$BT218,,AH218)*(1-AF218)+INDEX(Models!$BJ218:$BT218,,AH218+1)*AF218-ERP_i)*AE218*Ramure*Pc/MaxiM</f>
        <v>1.0966783505752119E-3</v>
      </c>
      <c r="AE218" s="304">
        <f t="shared" si="92"/>
        <v>0.7</v>
      </c>
      <c r="AF218" s="177">
        <f t="shared" si="93"/>
        <v>0.740608651750016</v>
      </c>
      <c r="AG218" s="799">
        <f t="shared" si="99"/>
        <v>0</v>
      </c>
      <c r="AH218" s="176">
        <f t="shared" si="94"/>
        <v>6</v>
      </c>
      <c r="AI218" s="224">
        <f t="shared" si="95"/>
        <v>0.740608651750016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45131</v>
      </c>
      <c r="B219" s="409">
        <f>'2022'!Wh/'2022'!Env_an*'2023'!Env_an</f>
        <v>54.19134480919648</v>
      </c>
      <c r="C219" s="829"/>
      <c r="D219" s="391">
        <f t="shared" si="77"/>
        <v>55.938807616769601</v>
      </c>
      <c r="E219" s="383">
        <f t="shared" si="75"/>
        <v>56.86526069475596</v>
      </c>
      <c r="F219" s="383">
        <f t="shared" si="78"/>
        <v>56.928064711285707</v>
      </c>
      <c r="G219" s="110">
        <f t="shared" si="76"/>
        <v>0.98454570957065701</v>
      </c>
      <c r="H219" s="412" t="b">
        <f>Wh_hp&gt;='2022'!Maxi_hp</f>
        <v>0</v>
      </c>
      <c r="I219" s="379">
        <f>IF(H219,Wh_hp,'2022'!Maxi_hp)</f>
        <v>56.928661050654043</v>
      </c>
      <c r="J219" s="85">
        <f>IF(H219,An,'2022'!An_max)</f>
        <v>2022</v>
      </c>
      <c r="K219" s="197">
        <f t="shared" si="79"/>
        <v>45131</v>
      </c>
      <c r="L219" s="147">
        <f>IF(t&lt;Tvie,1-EXP((T0-t)*PertePVj)+'2022'!Pspv,1-EXP((T0-t)*PertePVj)+Pspv)</f>
        <v>3.1238828320131362E-2</v>
      </c>
      <c r="M219" s="832"/>
      <c r="N219" s="832"/>
      <c r="O219" s="48">
        <f>IF(t&lt;Tnet,'2022'!Resal+('2022'!Salim-'2022'!Resal)*(1-EXP(('2022'!Tnet-t)/('2022'!Tau_j))),Resal+(Salim-Resal)*(1-EXP((Tnet-t)/(Tau_j))))*Salcycl</f>
        <v>1.6292074751216159E-2</v>
      </c>
      <c r="P219" s="338">
        <f>(INDEX(Models!$BJ219:$BT219,,T219)*(1-R219)+INDEX(Models!$BJ219:$BT219,,T219+1)*R219-ERP_i)*Q219*Ramure*Pc/MaxiM</f>
        <v>1.1280829552630359E-3</v>
      </c>
      <c r="Q219" s="304">
        <f t="shared" si="80"/>
        <v>0.7</v>
      </c>
      <c r="R219" s="177">
        <f t="shared" si="81"/>
        <v>0.67829868872448573</v>
      </c>
      <c r="S219" s="799">
        <f t="shared" si="82"/>
        <v>0</v>
      </c>
      <c r="T219" s="176">
        <f t="shared" si="83"/>
        <v>6</v>
      </c>
      <c r="U219" s="250">
        <f t="shared" si="84"/>
        <v>0.67829868872448573</v>
      </c>
      <c r="V219" s="382">
        <f t="shared" si="85"/>
        <v>55.040609371424409</v>
      </c>
      <c r="W219" s="400">
        <f t="shared" si="86"/>
        <v>54.19134480919648</v>
      </c>
      <c r="X219" s="157">
        <f t="shared" si="87"/>
        <v>45131</v>
      </c>
      <c r="Y219" s="383">
        <f t="shared" si="88"/>
        <v>53.256856221422545</v>
      </c>
      <c r="Z219" s="383">
        <f t="shared" si="89"/>
        <v>54.97418535992017</v>
      </c>
      <c r="AA219" s="384">
        <f t="shared" si="90"/>
        <v>56.861013008595521</v>
      </c>
      <c r="AB219" s="197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3.3183152195866067E-2</v>
      </c>
      <c r="AD219" s="230">
        <f>(INDEX(Models!$BJ219:$BT219,,AH219)*(1-AF219)+INDEX(Models!$BJ219:$BT219,,AH219+1)*AF219-ERP_i)*AE219*Ramure*Pc/MaxiM</f>
        <v>1.2043797054020677E-3</v>
      </c>
      <c r="AE219" s="304">
        <f t="shared" si="92"/>
        <v>0.7</v>
      </c>
      <c r="AF219" s="177">
        <f t="shared" si="93"/>
        <v>0.74263091098431788</v>
      </c>
      <c r="AG219" s="799">
        <f t="shared" si="99"/>
        <v>0</v>
      </c>
      <c r="AH219" s="176">
        <f t="shared" si="94"/>
        <v>6</v>
      </c>
      <c r="AI219" s="224">
        <f t="shared" si="95"/>
        <v>0.74263091098431788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45132</v>
      </c>
      <c r="B220" s="409">
        <f>'2022'!Wh/'2022'!Env_an*'2023'!Env_an</f>
        <v>28.977168456852166</v>
      </c>
      <c r="C220" s="829"/>
      <c r="D220" s="391">
        <f t="shared" si="77"/>
        <v>29.912144143916912</v>
      </c>
      <c r="E220" s="383">
        <f t="shared" si="75"/>
        <v>30.410644469793574</v>
      </c>
      <c r="F220" s="383">
        <f t="shared" si="78"/>
        <v>30.422899547998622</v>
      </c>
      <c r="G220" s="110">
        <f t="shared" si="76"/>
        <v>0.52733579478283521</v>
      </c>
      <c r="H220" s="412" t="b">
        <f>Wh_hp&gt;='2022'!Maxi_hp</f>
        <v>0</v>
      </c>
      <c r="I220" s="379">
        <f>IF(H220,Wh_hp,'2022'!Maxi_hp)</f>
        <v>57.091704599474085</v>
      </c>
      <c r="J220" s="85">
        <f>IF(H220,An,'2022'!An_max)</f>
        <v>2018</v>
      </c>
      <c r="K220" s="197">
        <f t="shared" si="79"/>
        <v>45132</v>
      </c>
      <c r="L220" s="147">
        <f>IF(t&lt;Tvie,1-EXP((T0-t)*PertePVj)+'2022'!Pspv,1-EXP((T0-t)*PertePVj)+Pspv)</f>
        <v>3.1257394406976613E-2</v>
      </c>
      <c r="M220" s="832"/>
      <c r="N220" s="832"/>
      <c r="O220" s="48">
        <f>IF(t&lt;Tnet,'2022'!Resal+('2022'!Salim-'2022'!Resal)*(1-EXP(('2022'!Tnet-t)/('2022'!Tau_j))),Resal+(Salim-Resal)*(1-EXP((Tnet-t)/(Tau_j))))*Salcycl</f>
        <v>1.6392297321150624E-2</v>
      </c>
      <c r="P220" s="338">
        <f>(INDEX(Models!$BJ220:$BT220,,T220)*(1-R220)+INDEX(Models!$BJ220:$BT220,,T220+1)*R220-ERP_i)*Q220*Ramure*Pc/MaxiM</f>
        <v>1.2379530156235994E-3</v>
      </c>
      <c r="Q220" s="304">
        <f t="shared" si="80"/>
        <v>0.7</v>
      </c>
      <c r="R220" s="177">
        <f t="shared" si="81"/>
        <v>0.68026212951419374</v>
      </c>
      <c r="S220" s="799">
        <f t="shared" si="82"/>
        <v>0</v>
      </c>
      <c r="T220" s="176">
        <f t="shared" si="83"/>
        <v>6</v>
      </c>
      <c r="U220" s="250">
        <f t="shared" si="84"/>
        <v>0.68026212951419374</v>
      </c>
      <c r="V220" s="382">
        <f t="shared" si="85"/>
        <v>54.904217238635802</v>
      </c>
      <c r="W220" s="400">
        <f t="shared" si="86"/>
        <v>28.977168456852166</v>
      </c>
      <c r="X220" s="157">
        <f t="shared" si="87"/>
        <v>45132</v>
      </c>
      <c r="Y220" s="383">
        <f t="shared" si="88"/>
        <v>28.47936690578279</v>
      </c>
      <c r="Z220" s="383">
        <f t="shared" si="89"/>
        <v>29.398280556008913</v>
      </c>
      <c r="AA220" s="384">
        <f t="shared" si="90"/>
        <v>30.409826931965288</v>
      </c>
      <c r="AB220" s="197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3.3263799173190577E-2</v>
      </c>
      <c r="AD220" s="230">
        <f>(INDEX(Models!$BJ220:$BT220,,AH220)*(1-AF220)+INDEX(Models!$BJ220:$BT220,,AH220+1)*AF220-ERP_i)*AE220*Ramure*Pc/MaxiM</f>
        <v>1.3205370190038121E-3</v>
      </c>
      <c r="AE220" s="304">
        <f t="shared" si="92"/>
        <v>0.7</v>
      </c>
      <c r="AF220" s="177">
        <f t="shared" si="93"/>
        <v>0.74459435177402589</v>
      </c>
      <c r="AG220" s="799">
        <f t="shared" si="99"/>
        <v>0</v>
      </c>
      <c r="AH220" s="176">
        <f t="shared" si="94"/>
        <v>6</v>
      </c>
      <c r="AI220" s="224">
        <f t="shared" si="95"/>
        <v>0.74459435177402589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45133</v>
      </c>
      <c r="B221" s="409">
        <f>'2022'!Wh/'2022'!Env_an*'2023'!Env_an</f>
        <v>45.639735670337259</v>
      </c>
      <c r="C221" s="829"/>
      <c r="D221" s="391">
        <f t="shared" si="77"/>
        <v>47.113247728258322</v>
      </c>
      <c r="E221" s="383">
        <f t="shared" si="75"/>
        <v>47.90328456906326</v>
      </c>
      <c r="F221" s="383">
        <f t="shared" si="78"/>
        <v>47.952706697460052</v>
      </c>
      <c r="G221" s="110">
        <f t="shared" si="76"/>
        <v>0.83308439840975157</v>
      </c>
      <c r="H221" s="412" t="b">
        <f>Wh_hp&gt;='2022'!Maxi_hp</f>
        <v>0</v>
      </c>
      <c r="I221" s="379">
        <f>IF(H221,Wh_hp,'2022'!Maxi_hp)</f>
        <v>56.969060465949205</v>
      </c>
      <c r="J221" s="85">
        <f>IF(H221,An,'2022'!An_max)</f>
        <v>2020</v>
      </c>
      <c r="K221" s="197">
        <f t="shared" si="79"/>
        <v>45133</v>
      </c>
      <c r="L221" s="147">
        <f>IF(t&lt;Tvie,1-EXP((T0-t)*PertePVj)+'2022'!Pspv,1-EXP((T0-t)*PertePVj)+Pspv)</f>
        <v>3.1275960138007153E-2</v>
      </c>
      <c r="M221" s="832"/>
      <c r="N221" s="832"/>
      <c r="O221" s="48">
        <f>IF(t&lt;Tnet,'2022'!Resal+('2022'!Salim-'2022'!Resal)*(1-EXP(('2022'!Tnet-t)/('2022'!Tau_j))),Resal+(Salim-Resal)*(1-EXP((Tnet-t)/(Tau_j))))*Salcycl</f>
        <v>1.6492331327843047E-2</v>
      </c>
      <c r="P221" s="338">
        <f>(INDEX(Models!$BJ221:$BT221,,T221)*(1-R221)+INDEX(Models!$BJ221:$BT221,,T221+1)*R221-ERP_i)*Q221*Ramure*Pc/MaxiM</f>
        <v>1.3526691539909855E-3</v>
      </c>
      <c r="Q221" s="304">
        <f t="shared" si="80"/>
        <v>0.7</v>
      </c>
      <c r="R221" s="177">
        <f t="shared" si="81"/>
        <v>0.68216769493648077</v>
      </c>
      <c r="S221" s="799">
        <f t="shared" si="82"/>
        <v>0</v>
      </c>
      <c r="T221" s="176">
        <f t="shared" si="83"/>
        <v>6</v>
      </c>
      <c r="U221" s="250">
        <f t="shared" si="84"/>
        <v>0.68216769493648077</v>
      </c>
      <c r="V221" s="382">
        <f t="shared" si="85"/>
        <v>54.766387910131883</v>
      </c>
      <c r="W221" s="400">
        <f t="shared" si="86"/>
        <v>45.639735670337259</v>
      </c>
      <c r="X221" s="157">
        <f t="shared" si="87"/>
        <v>45133</v>
      </c>
      <c r="Y221" s="383">
        <f t="shared" si="88"/>
        <v>44.854684527610281</v>
      </c>
      <c r="Z221" s="383">
        <f t="shared" si="89"/>
        <v>46.302850638454693</v>
      </c>
      <c r="AA221" s="384">
        <f t="shared" si="90"/>
        <v>47.900039346489493</v>
      </c>
      <c r="AB221" s="197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3.3344204510593063E-2</v>
      </c>
      <c r="AD221" s="230">
        <f>(INDEX(Models!$BJ221:$BT221,,AH221)*(1-AF221)+INDEX(Models!$BJ221:$BT221,,AH221+1)*AF221-ERP_i)*AE221*Ramure*Pc/MaxiM</f>
        <v>1.4414899437013096E-3</v>
      </c>
      <c r="AE221" s="304">
        <f t="shared" si="92"/>
        <v>0.7</v>
      </c>
      <c r="AF221" s="177">
        <f t="shared" si="93"/>
        <v>0.74649991719631292</v>
      </c>
      <c r="AG221" s="799">
        <f t="shared" si="99"/>
        <v>0</v>
      </c>
      <c r="AH221" s="176">
        <f t="shared" si="94"/>
        <v>6</v>
      </c>
      <c r="AI221" s="224">
        <f t="shared" si="95"/>
        <v>0.74649991719631292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45134</v>
      </c>
      <c r="B222" s="409">
        <f>'2022'!Wh/'2022'!Env_an*'2023'!Env_an</f>
        <v>56.204465507182427</v>
      </c>
      <c r="C222" s="829"/>
      <c r="D222" s="391">
        <f t="shared" si="77"/>
        <v>58.020179494660233</v>
      </c>
      <c r="E222" s="383">
        <f t="shared" si="75"/>
        <v>58.999103282500378</v>
      </c>
      <c r="F222" s="383">
        <f t="shared" si="78"/>
        <v>59.086092502375408</v>
      </c>
      <c r="G222" s="110">
        <f t="shared" si="76"/>
        <v>1.0288727641708302</v>
      </c>
      <c r="H222" s="412" t="b">
        <f>Wh_hp&gt;='2022'!Maxi_hp</f>
        <v>1</v>
      </c>
      <c r="I222" s="379">
        <f>IF(H222,Wh_hp,'2022'!Maxi_hp)</f>
        <v>59.086092502375408</v>
      </c>
      <c r="J222" s="85">
        <f>IF(H222,An,'2022'!An_max)</f>
        <v>2023</v>
      </c>
      <c r="K222" s="197">
        <f t="shared" si="79"/>
        <v>45134</v>
      </c>
      <c r="L222" s="147">
        <f>IF(t&lt;Tvie,1-EXP((T0-t)*PertePVj)+'2022'!Pspv,1-EXP((T0-t)*PertePVj)+Pspv)</f>
        <v>3.1294525513229643E-2</v>
      </c>
      <c r="M222" s="832"/>
      <c r="N222" s="832"/>
      <c r="O222" s="48">
        <f>IF(t&lt;Tnet,'2022'!Resal+('2022'!Salim-'2022'!Resal)*(1-EXP(('2022'!Tnet-t)/('2022'!Tau_j))),Resal+(Salim-Resal)*(1-EXP((Tnet-t)/(Tau_j))))*Salcycl</f>
        <v>1.659218078540704E-2</v>
      </c>
      <c r="P222" s="338">
        <f>(INDEX(Models!$BJ222:$BT222,,T222)*(1-R222)+INDEX(Models!$BJ222:$BT222,,T222+1)*R222-ERP_i)*Q222*Ramure*Pc/MaxiM</f>
        <v>1.4722452643408672E-3</v>
      </c>
      <c r="Q222" s="304">
        <f t="shared" si="80"/>
        <v>0.7</v>
      </c>
      <c r="R222" s="177">
        <f t="shared" si="81"/>
        <v>0.68401636814045352</v>
      </c>
      <c r="S222" s="799">
        <f t="shared" si="82"/>
        <v>0</v>
      </c>
      <c r="T222" s="176">
        <f t="shared" si="83"/>
        <v>6</v>
      </c>
      <c r="U222" s="250">
        <f t="shared" si="84"/>
        <v>0.68401636814045352</v>
      </c>
      <c r="V222" s="382">
        <f t="shared" si="85"/>
        <v>54.627226479726744</v>
      </c>
      <c r="W222" s="400">
        <f t="shared" si="86"/>
        <v>56.204465507182427</v>
      </c>
      <c r="X222" s="157">
        <f t="shared" si="87"/>
        <v>45134</v>
      </c>
      <c r="Y222" s="383">
        <f t="shared" si="88"/>
        <v>55.237202926374422</v>
      </c>
      <c r="Z222" s="383">
        <f t="shared" si="89"/>
        <v>57.021669001756841</v>
      </c>
      <c r="AA222" s="384">
        <f t="shared" si="90"/>
        <v>58.993489686728715</v>
      </c>
      <c r="AB222" s="197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3.3424377765119112E-2</v>
      </c>
      <c r="AD222" s="230">
        <f>(INDEX(Models!$BJ222:$BT222,,AH222)*(1-AF222)+INDEX(Models!$BJ222:$BT222,,AH222+1)*AF222-ERP_i)*AE222*Ramure*Pc/MaxiM</f>
        <v>1.5672523215674093E-3</v>
      </c>
      <c r="AE222" s="304">
        <f t="shared" si="92"/>
        <v>0.7</v>
      </c>
      <c r="AF222" s="177">
        <f t="shared" si="93"/>
        <v>0.74834859040028567</v>
      </c>
      <c r="AG222" s="799">
        <f t="shared" si="99"/>
        <v>0</v>
      </c>
      <c r="AH222" s="176">
        <f t="shared" si="94"/>
        <v>6</v>
      </c>
      <c r="AI222" s="224">
        <f t="shared" si="95"/>
        <v>0.74834859040028567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45135</v>
      </c>
      <c r="B223" s="409">
        <f>'2022'!Wh/'2022'!Env_an*'2023'!Env_an</f>
        <v>44.803125764671513</v>
      </c>
      <c r="C223" s="829"/>
      <c r="D223" s="391">
        <f t="shared" si="77"/>
        <v>46.251400041430685</v>
      </c>
      <c r="E223" s="383">
        <f t="shared" si="75"/>
        <v>47.036526662111605</v>
      </c>
      <c r="F223" s="383">
        <f t="shared" si="78"/>
        <v>47.092628334977199</v>
      </c>
      <c r="G223" s="110">
        <f t="shared" si="76"/>
        <v>0.82194054537833849</v>
      </c>
      <c r="H223" s="412" t="b">
        <f>Wh_hp&gt;='2022'!Maxi_hp</f>
        <v>0</v>
      </c>
      <c r="I223" s="379">
        <f>IF(H223,Wh_hp,'2022'!Maxi_hp)</f>
        <v>55.235892081296527</v>
      </c>
      <c r="J223" s="85">
        <f>IF(H223,An,'2022'!An_max)</f>
        <v>2020</v>
      </c>
      <c r="K223" s="197">
        <f t="shared" si="79"/>
        <v>45135</v>
      </c>
      <c r="L223" s="147">
        <f>IF(t&lt;Tvie,1-EXP((T0-t)*PertePVj)+'2022'!Pspv,1-EXP((T0-t)*PertePVj)+Pspv)</f>
        <v>3.1313090532650856E-2</v>
      </c>
      <c r="M223" s="832"/>
      <c r="N223" s="832"/>
      <c r="O223" s="48">
        <f>IF(t&lt;Tnet,'2022'!Resal+('2022'!Salim-'2022'!Resal)*(1-EXP(('2022'!Tnet-t)/('2022'!Tau_j))),Resal+(Salim-Resal)*(1-EXP((Tnet-t)/(Tau_j))))*Salcycl</f>
        <v>1.6691849428443123E-2</v>
      </c>
      <c r="P223" s="338">
        <f>(INDEX(Models!$BJ223:$BT223,,T223)*(1-R223)+INDEX(Models!$BJ223:$BT223,,T223+1)*R223-ERP_i)*Q223*Ramure*Pc/MaxiM</f>
        <v>1.5966961480277713E-3</v>
      </c>
      <c r="Q223" s="304">
        <f t="shared" si="80"/>
        <v>0.7</v>
      </c>
      <c r="R223" s="177">
        <f t="shared" si="81"/>
        <v>0.68580916764971867</v>
      </c>
      <c r="S223" s="799">
        <f t="shared" si="82"/>
        <v>0</v>
      </c>
      <c r="T223" s="176">
        <f t="shared" si="83"/>
        <v>6</v>
      </c>
      <c r="U223" s="250">
        <f t="shared" si="84"/>
        <v>0.68580916764971867</v>
      </c>
      <c r="V223" s="382">
        <f t="shared" si="85"/>
        <v>54.486837950083221</v>
      </c>
      <c r="W223" s="400">
        <f t="shared" si="86"/>
        <v>44.803125764671513</v>
      </c>
      <c r="X223" s="157">
        <f t="shared" si="87"/>
        <v>45135</v>
      </c>
      <c r="Y223" s="383">
        <f t="shared" si="88"/>
        <v>44.03376044570286</v>
      </c>
      <c r="Z223" s="383">
        <f t="shared" si="89"/>
        <v>45.457164761228846</v>
      </c>
      <c r="AA223" s="384">
        <f t="shared" si="90"/>
        <v>47.032972901691558</v>
      </c>
      <c r="AB223" s="197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3.3504327777801095E-2</v>
      </c>
      <c r="AD223" s="230">
        <f>(INDEX(Models!$BJ223:$BT223,,AH223)*(1-AF223)+INDEX(Models!$BJ223:$BT223,,AH223+1)*AF223-ERP_i)*AE223*Ramure*Pc/MaxiM</f>
        <v>1.697838864169063E-3</v>
      </c>
      <c r="AE223" s="304">
        <f t="shared" si="92"/>
        <v>0.7</v>
      </c>
      <c r="AF223" s="177">
        <f t="shared" si="93"/>
        <v>0.75014138990955082</v>
      </c>
      <c r="AG223" s="799">
        <f t="shared" si="99"/>
        <v>0</v>
      </c>
      <c r="AH223" s="176">
        <f t="shared" si="94"/>
        <v>6</v>
      </c>
      <c r="AI223" s="224">
        <f t="shared" si="95"/>
        <v>0.75014138990955082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45136</v>
      </c>
      <c r="B224" s="409">
        <f>'2022'!Wh/'2022'!Env_an*'2023'!Env_an</f>
        <v>26.391772436695064</v>
      </c>
      <c r="C224" s="829"/>
      <c r="D224" s="391">
        <f t="shared" si="77"/>
        <v>27.245416429957498</v>
      </c>
      <c r="E224" s="383">
        <f t="shared" si="75"/>
        <v>27.710716511782078</v>
      </c>
      <c r="F224" s="383">
        <f t="shared" si="78"/>
        <v>27.723406146445221</v>
      </c>
      <c r="G224" s="110">
        <f t="shared" si="76"/>
        <v>0.48501472673513274</v>
      </c>
      <c r="H224" s="412" t="b">
        <f>Wh_hp&gt;='2022'!Maxi_hp</f>
        <v>0</v>
      </c>
      <c r="I224" s="379">
        <f>IF(H224,Wh_hp,'2022'!Maxi_hp)</f>
        <v>58.807397280234632</v>
      </c>
      <c r="J224" s="85">
        <f>IF(H224,An,'2022'!An_max)</f>
        <v>2018</v>
      </c>
      <c r="K224" s="197">
        <f t="shared" si="79"/>
        <v>45136</v>
      </c>
      <c r="L224" s="147">
        <f>IF(t&lt;Tvie,1-EXP((T0-t)*PertePVj)+'2022'!Pspv,1-EXP((T0-t)*PertePVj)+Pspv)</f>
        <v>3.1331655196277897E-2</v>
      </c>
      <c r="M224" s="832"/>
      <c r="N224" s="832"/>
      <c r="O224" s="48">
        <f>IF(t&lt;Tnet,'2022'!Resal+('2022'!Salim-'2022'!Resal)*(1-EXP(('2022'!Tnet-t)/('2022'!Tau_j))),Resal+(Salim-Resal)*(1-EXP((Tnet-t)/(Tau_j))))*Salcycl</f>
        <v>1.6791340694014383E-2</v>
      </c>
      <c r="P224" s="338">
        <f>(INDEX(Models!$BJ224:$BT224,,T224)*(1-R224)+INDEX(Models!$BJ224:$BT224,,T224+1)*R224-ERP_i)*Q224*Ramure*Pc/MaxiM</f>
        <v>1.7260374079465144E-3</v>
      </c>
      <c r="Q224" s="304">
        <f t="shared" si="80"/>
        <v>0.7</v>
      </c>
      <c r="R224" s="177">
        <f t="shared" si="81"/>
        <v>0.68754714285294538</v>
      </c>
      <c r="S224" s="799">
        <f t="shared" si="82"/>
        <v>0</v>
      </c>
      <c r="T224" s="176">
        <f t="shared" si="83"/>
        <v>6</v>
      </c>
      <c r="U224" s="250">
        <f t="shared" si="84"/>
        <v>0.68754714285294538</v>
      </c>
      <c r="V224" s="382">
        <f t="shared" si="85"/>
        <v>54.34532723327289</v>
      </c>
      <c r="W224" s="400">
        <f t="shared" si="86"/>
        <v>26.391772436695064</v>
      </c>
      <c r="X224" s="157">
        <f t="shared" si="87"/>
        <v>45136</v>
      </c>
      <c r="Y224" s="383">
        <f t="shared" si="88"/>
        <v>25.940275919598498</v>
      </c>
      <c r="Z224" s="383">
        <f t="shared" si="89"/>
        <v>26.779316221853708</v>
      </c>
      <c r="AA224" s="384">
        <f t="shared" si="90"/>
        <v>27.709928186157612</v>
      </c>
      <c r="AB224" s="197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3.3584062652633882E-2</v>
      </c>
      <c r="AD224" s="230">
        <f>(INDEX(Models!$BJ224:$BT224,,AH224)*(1-AF224)+INDEX(Models!$BJ224:$BT224,,AH224+1)*AF224-ERP_i)*AE224*Ramure*Pc/MaxiM</f>
        <v>1.833265043224721E-3</v>
      </c>
      <c r="AE224" s="304">
        <f t="shared" si="92"/>
        <v>0.7</v>
      </c>
      <c r="AF224" s="177">
        <f t="shared" si="93"/>
        <v>0.75187936511277753</v>
      </c>
      <c r="AG224" s="799">
        <f t="shared" si="99"/>
        <v>0</v>
      </c>
      <c r="AH224" s="176">
        <f t="shared" si="94"/>
        <v>6</v>
      </c>
      <c r="AI224" s="224">
        <f t="shared" si="95"/>
        <v>0.75187936511277753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45137</v>
      </c>
      <c r="B225" s="409">
        <f>'2022'!Wh/'2022'!Env_an*'2023'!Env_an</f>
        <v>43.800887841146015</v>
      </c>
      <c r="C225" s="829"/>
      <c r="D225" s="391">
        <f t="shared" si="77"/>
        <v>45.21849766870637</v>
      </c>
      <c r="E225" s="383">
        <f t="shared" si="75"/>
        <v>45.995390058266665</v>
      </c>
      <c r="F225" s="383">
        <f t="shared" si="78"/>
        <v>46.057580783796944</v>
      </c>
      <c r="G225" s="110">
        <f t="shared" si="76"/>
        <v>0.80768004096134505</v>
      </c>
      <c r="H225" s="412" t="b">
        <f>Wh_hp&gt;='2022'!Maxi_hp</f>
        <v>0</v>
      </c>
      <c r="I225" s="379">
        <f>IF(H225,Wh_hp,'2022'!Maxi_hp)</f>
        <v>48.678240079056877</v>
      </c>
      <c r="J225" s="85">
        <f>IF(H225,An,'2022'!An_max)</f>
        <v>2020</v>
      </c>
      <c r="K225" s="197">
        <f t="shared" si="79"/>
        <v>45137</v>
      </c>
      <c r="L225" s="147">
        <f>IF(t&lt;Tvie,1-EXP((T0-t)*PertePVj)+'2022'!Pspv,1-EXP((T0-t)*PertePVj)+Pspv)</f>
        <v>3.1350219504117205E-2</v>
      </c>
      <c r="M225" s="832"/>
      <c r="N225" s="832"/>
      <c r="O225" s="48">
        <f>IF(t&lt;Tnet,'2022'!Resal+('2022'!Salim-'2022'!Resal)*(1-EXP(('2022'!Tnet-t)/('2022'!Tau_j))),Resal+(Salim-Resal)*(1-EXP((Tnet-t)/(Tau_j))))*Salcycl</f>
        <v>1.6890657706699164E-2</v>
      </c>
      <c r="P225" s="338">
        <f>(INDEX(Models!$BJ225:$BT225,,T225)*(1-R225)+INDEX(Models!$BJ225:$BT225,,T225+1)*R225-ERP_i)*Q225*Ramure*Pc/MaxiM</f>
        <v>1.8602853314432276E-3</v>
      </c>
      <c r="Q225" s="304">
        <f t="shared" si="80"/>
        <v>0.7</v>
      </c>
      <c r="R225" s="177">
        <f t="shared" si="81"/>
        <v>0.6892313696904514</v>
      </c>
      <c r="S225" s="799">
        <f t="shared" si="82"/>
        <v>0</v>
      </c>
      <c r="T225" s="176">
        <f t="shared" si="83"/>
        <v>6</v>
      </c>
      <c r="U225" s="250">
        <f t="shared" si="84"/>
        <v>0.6892313696904514</v>
      </c>
      <c r="V225" s="382">
        <f t="shared" si="85"/>
        <v>54.202799154484261</v>
      </c>
      <c r="W225" s="400">
        <f t="shared" si="86"/>
        <v>43.800887841146015</v>
      </c>
      <c r="X225" s="157">
        <f t="shared" si="87"/>
        <v>45137</v>
      </c>
      <c r="Y225" s="383">
        <f t="shared" si="88"/>
        <v>43.05005203293792</v>
      </c>
      <c r="Z225" s="383">
        <f t="shared" si="89"/>
        <v>44.443361160830719</v>
      </c>
      <c r="AA225" s="384">
        <f t="shared" si="90"/>
        <v>45.991603637245326</v>
      </c>
      <c r="AB225" s="197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3.3663589741863148E-2</v>
      </c>
      <c r="AD225" s="230">
        <f>(INDEX(Models!$BJ225:$BT225,,AH225)*(1-AF225)+INDEX(Models!$BJ225:$BT225,,AH225+1)*AF225-ERP_i)*AE225*Ramure*Pc/MaxiM</f>
        <v>1.9735469701297344E-3</v>
      </c>
      <c r="AE225" s="304">
        <f t="shared" si="92"/>
        <v>0.7</v>
      </c>
      <c r="AF225" s="177">
        <f t="shared" si="93"/>
        <v>0.75356359195028355</v>
      </c>
      <c r="AG225" s="799">
        <f t="shared" si="99"/>
        <v>0</v>
      </c>
      <c r="AH225" s="176">
        <f t="shared" si="94"/>
        <v>6</v>
      </c>
      <c r="AI225" s="224">
        <f t="shared" si="95"/>
        <v>0.75356359195028355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45138</v>
      </c>
      <c r="B226" s="409">
        <f>'2022'!Wh/'2022'!Env_an*'2023'!Env_an</f>
        <v>54.831714286730332</v>
      </c>
      <c r="C226" s="829"/>
      <c r="D226" s="391">
        <f t="shared" si="77"/>
        <v>56.607420192770093</v>
      </c>
      <c r="E226" s="383">
        <f t="shared" si="75"/>
        <v>57.585791460644501</v>
      </c>
      <c r="F226" s="383">
        <f t="shared" si="78"/>
        <v>57.70083398193163</v>
      </c>
      <c r="G226" s="110">
        <f t="shared" si="76"/>
        <v>1.0142814071359794</v>
      </c>
      <c r="H226" s="412" t="b">
        <f>Wh_hp&gt;='2022'!Maxi_hp</f>
        <v>1</v>
      </c>
      <c r="I226" s="379">
        <f>IF(H226,Wh_hp,'2022'!Maxi_hp)</f>
        <v>57.70083398193163</v>
      </c>
      <c r="J226" s="85">
        <f>IF(H226,An,'2022'!An_max)</f>
        <v>2023</v>
      </c>
      <c r="K226" s="197">
        <f t="shared" si="79"/>
        <v>45138</v>
      </c>
      <c r="L226" s="147">
        <f>IF(t&lt;Tvie,1-EXP((T0-t)*PertePVj)+'2022'!Pspv,1-EXP((T0-t)*PertePVj)+Pspv)</f>
        <v>3.1368783456175886E-2</v>
      </c>
      <c r="M226" s="832"/>
      <c r="N226" s="832"/>
      <c r="O226" s="48">
        <f>IF(t&lt;Tnet,'2022'!Resal+('2022'!Salim-'2022'!Resal)*(1-EXP(('2022'!Tnet-t)/('2022'!Tau_j))),Resal+(Salim-Resal)*(1-EXP((Tnet-t)/(Tau_j))))*Salcycl</f>
        <v>1.6989803266714683E-2</v>
      </c>
      <c r="P226" s="338">
        <f>(INDEX(Models!$BJ226:$BT226,,T226)*(1-R226)+INDEX(Models!$BJ226:$BT226,,T226+1)*R226-ERP_i)*Q226*Ramure*Pc/MaxiM</f>
        <v>1.9937757108182044E-3</v>
      </c>
      <c r="Q226" s="304">
        <f t="shared" si="80"/>
        <v>0.7</v>
      </c>
      <c r="R226" s="177">
        <f t="shared" si="81"/>
        <v>0.69086294654282987</v>
      </c>
      <c r="S226" s="799">
        <f t="shared" si="82"/>
        <v>0</v>
      </c>
      <c r="T226" s="176">
        <f t="shared" si="83"/>
        <v>6</v>
      </c>
      <c r="U226" s="250">
        <f t="shared" si="84"/>
        <v>0.69086294654282987</v>
      </c>
      <c r="V226" s="382">
        <f t="shared" si="85"/>
        <v>54.059666184316967</v>
      </c>
      <c r="W226" s="400">
        <f t="shared" si="86"/>
        <v>54.831714286730332</v>
      </c>
      <c r="X226" s="157">
        <f t="shared" si="87"/>
        <v>45138</v>
      </c>
      <c r="Y226" s="383">
        <f t="shared" si="88"/>
        <v>53.890817328601919</v>
      </c>
      <c r="Z226" s="383">
        <f t="shared" si="89"/>
        <v>55.636052615452456</v>
      </c>
      <c r="AA226" s="384">
        <f t="shared" si="90"/>
        <v>57.578933718404969</v>
      </c>
      <c r="AB226" s="197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3.374291563741609E-2</v>
      </c>
      <c r="AD226" s="230">
        <f>(INDEX(Models!$BJ226:$BT226,,AH226)*(1-AF226)+INDEX(Models!$BJ226:$BT226,,AH226+1)*AF226-ERP_i)*AE226*Ramure*Pc/MaxiM</f>
        <v>2.1126256782498408E-3</v>
      </c>
      <c r="AE226" s="304">
        <f t="shared" si="92"/>
        <v>0.7</v>
      </c>
      <c r="AF226" s="177">
        <f t="shared" si="93"/>
        <v>0.75519516880266202</v>
      </c>
      <c r="AG226" s="799">
        <f t="shared" si="99"/>
        <v>0</v>
      </c>
      <c r="AH226" s="176">
        <f t="shared" si="94"/>
        <v>6</v>
      </c>
      <c r="AI226" s="224">
        <f t="shared" si="95"/>
        <v>0.75519516880266202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45139</v>
      </c>
      <c r="B227" s="409">
        <f>'2022'!Wh/'2022'!Env_an*'2023'!Env_an</f>
        <v>54.487742450468943</v>
      </c>
      <c r="C227" s="829"/>
      <c r="D227" s="391">
        <f t="shared" si="77"/>
        <v>56.253387032122568</v>
      </c>
      <c r="E227" s="383">
        <f t="shared" si="75"/>
        <v>57.231401858477966</v>
      </c>
      <c r="F227" s="383">
        <f t="shared" si="78"/>
        <v>57.353171023524027</v>
      </c>
      <c r="G227" s="110">
        <f t="shared" si="76"/>
        <v>1.0106003214513373</v>
      </c>
      <c r="H227" s="412" t="b">
        <f>Wh_hp&gt;='2022'!Maxi_hp</f>
        <v>1</v>
      </c>
      <c r="I227" s="379">
        <f>IF(H227,Wh_hp,'2022'!Maxi_hp)</f>
        <v>57.353171023524027</v>
      </c>
      <c r="J227" s="85">
        <f>IF(H227,An,'2022'!An_max)</f>
        <v>2023</v>
      </c>
      <c r="K227" s="197">
        <f t="shared" si="79"/>
        <v>45139</v>
      </c>
      <c r="L227" s="147">
        <f>IF(t&lt;Tvie,1-EXP((T0-t)*PertePVj)+'2022'!Pspv,1-EXP((T0-t)*PertePVj)+Pspv)</f>
        <v>3.1387347052460712E-2</v>
      </c>
      <c r="M227" s="832"/>
      <c r="N227" s="832"/>
      <c r="O227" s="48">
        <f>IF(t&lt;Tnet,'2022'!Resal+('2022'!Salim-'2022'!Resal)*(1-EXP(('2022'!Tnet-t)/('2022'!Tau_j))),Resal+(Salim-Resal)*(1-EXP((Tnet-t)/(Tau_j))))*Salcycl</f>
        <v>1.7088779841071169E-2</v>
      </c>
      <c r="P227" s="338">
        <f>(INDEX(Models!$BJ227:$BT227,,T227)*(1-R227)+INDEX(Models!$BJ227:$BT227,,T227+1)*R227-ERP_i)*Q227*Ramure*Pc/MaxiM</f>
        <v>2.1231461638993895E-3</v>
      </c>
      <c r="Q227" s="304">
        <f t="shared" si="80"/>
        <v>0.7</v>
      </c>
      <c r="R227" s="177">
        <f t="shared" si="81"/>
        <v>0.69244299032576517</v>
      </c>
      <c r="S227" s="799">
        <f t="shared" si="82"/>
        <v>0</v>
      </c>
      <c r="T227" s="176">
        <f t="shared" si="83"/>
        <v>6</v>
      </c>
      <c r="U227" s="250">
        <f t="shared" si="84"/>
        <v>0.69244299032576517</v>
      </c>
      <c r="V227" s="382">
        <f t="shared" si="85"/>
        <v>53.916213258490096</v>
      </c>
      <c r="W227" s="400">
        <f t="shared" si="86"/>
        <v>54.487742450468943</v>
      </c>
      <c r="X227" s="157">
        <f t="shared" si="87"/>
        <v>45139</v>
      </c>
      <c r="Y227" s="383">
        <f t="shared" si="88"/>
        <v>53.553481507308355</v>
      </c>
      <c r="Z227" s="383">
        <f t="shared" si="89"/>
        <v>55.288851889702549</v>
      </c>
      <c r="AA227" s="384">
        <f t="shared" si="90"/>
        <v>57.224294624435451</v>
      </c>
      <c r="AB227" s="197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3.3822046168244829E-2</v>
      </c>
      <c r="AD227" s="230">
        <f>(INDEX(Models!$BJ227:$BT227,,AH227)*(1-AF227)+INDEX(Models!$BJ227:$BT227,,AH227+1)*AF227-ERP_i)*AE227*Ramure*Pc/MaxiM</f>
        <v>2.2470666710951177E-3</v>
      </c>
      <c r="AE227" s="304">
        <f t="shared" si="92"/>
        <v>0.7</v>
      </c>
      <c r="AF227" s="177">
        <f t="shared" si="93"/>
        <v>0.75677521258559732</v>
      </c>
      <c r="AG227" s="799">
        <f t="shared" si="99"/>
        <v>0</v>
      </c>
      <c r="AH227" s="176">
        <f t="shared" si="94"/>
        <v>6</v>
      </c>
      <c r="AI227" s="224">
        <f t="shared" si="95"/>
        <v>0.75677521258559732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45140</v>
      </c>
      <c r="B228" s="409">
        <f>'2022'!Wh/'2022'!Env_an*'2023'!Env_an</f>
        <v>54.715883322540996</v>
      </c>
      <c r="C228" s="829"/>
      <c r="D228" s="391">
        <f t="shared" si="77"/>
        <v>56.490003298586451</v>
      </c>
      <c r="E228" s="383">
        <f t="shared" si="75"/>
        <v>57.477910024724807</v>
      </c>
      <c r="F228" s="383">
        <f t="shared" si="78"/>
        <v>57.607430014049775</v>
      </c>
      <c r="G228" s="110">
        <f t="shared" si="76"/>
        <v>1.0175430984044598</v>
      </c>
      <c r="H228" s="412" t="b">
        <f>Wh_hp&gt;='2022'!Maxi_hp</f>
        <v>1</v>
      </c>
      <c r="I228" s="379">
        <f>IF(H228,Wh_hp,'2022'!Maxi_hp)</f>
        <v>57.607430014049775</v>
      </c>
      <c r="J228" s="85">
        <f>IF(H228,An,'2022'!An_max)</f>
        <v>2023</v>
      </c>
      <c r="K228" s="197">
        <f t="shared" si="79"/>
        <v>45140</v>
      </c>
      <c r="L228" s="147">
        <f>IF(t&lt;Tvie,1-EXP((T0-t)*PertePVj)+'2022'!Pspv,1-EXP((T0-t)*PertePVj)+Pspv)</f>
        <v>3.1405910292978345E-2</v>
      </c>
      <c r="M228" s="832"/>
      <c r="N228" s="832"/>
      <c r="O228" s="48">
        <f>IF(t&lt;Tnet,'2022'!Resal+('2022'!Salim-'2022'!Resal)*(1-EXP(('2022'!Tnet-t)/('2022'!Tau_j))),Resal+(Salim-Resal)*(1-EXP((Tnet-t)/(Tau_j))))*Salcycl</f>
        <v>1.7187589557682136E-2</v>
      </c>
      <c r="P228" s="338">
        <f>(INDEX(Models!$BJ228:$BT228,,T228)*(1-R228)+INDEX(Models!$BJ228:$BT228,,T228+1)*R228-ERP_i)*Q228*Ramure*Pc/MaxiM</f>
        <v>2.2483209074485051E-3</v>
      </c>
      <c r="Q228" s="304">
        <f t="shared" si="80"/>
        <v>0.7</v>
      </c>
      <c r="R228" s="177">
        <f t="shared" si="81"/>
        <v>0.69397263279347465</v>
      </c>
      <c r="S228" s="799">
        <f t="shared" si="82"/>
        <v>0</v>
      </c>
      <c r="T228" s="176">
        <f t="shared" si="83"/>
        <v>6</v>
      </c>
      <c r="U228" s="250">
        <f t="shared" si="84"/>
        <v>0.69397263279347465</v>
      </c>
      <c r="V228" s="382">
        <f t="shared" si="85"/>
        <v>53.772546252180625</v>
      </c>
      <c r="W228" s="400">
        <f t="shared" si="86"/>
        <v>54.715883322540996</v>
      </c>
      <c r="X228" s="157">
        <f t="shared" si="87"/>
        <v>45140</v>
      </c>
      <c r="Y228" s="383">
        <f t="shared" si="88"/>
        <v>53.778476955854842</v>
      </c>
      <c r="Z228" s="383">
        <f t="shared" si="89"/>
        <v>55.522202259278338</v>
      </c>
      <c r="AA228" s="384">
        <f t="shared" si="90"/>
        <v>57.470509210617969</v>
      </c>
      <c r="AB228" s="197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3.3900986403295578E-2</v>
      </c>
      <c r="AD228" s="230">
        <f>(INDEX(Models!$BJ228:$BT228,,AH228)*(1-AF228)+INDEX(Models!$BJ228:$BT228,,AH228+1)*AF228-ERP_i)*AE228*Ramure*Pc/MaxiM</f>
        <v>2.3767906917287252E-3</v>
      </c>
      <c r="AE228" s="304">
        <f t="shared" si="92"/>
        <v>0.7</v>
      </c>
      <c r="AF228" s="177">
        <f t="shared" si="93"/>
        <v>0.7583048550533068</v>
      </c>
      <c r="AG228" s="799">
        <f t="shared" si="99"/>
        <v>0</v>
      </c>
      <c r="AH228" s="176">
        <f t="shared" si="94"/>
        <v>6</v>
      </c>
      <c r="AI228" s="224">
        <f t="shared" si="95"/>
        <v>0.7583048550533068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45141</v>
      </c>
      <c r="B229" s="409">
        <f>'2022'!Wh/'2022'!Env_an*'2023'!Env_an</f>
        <v>54.821707254146588</v>
      </c>
      <c r="C229" s="829"/>
      <c r="D229" s="391">
        <f t="shared" si="77"/>
        <v>56.600343221563243</v>
      </c>
      <c r="E229" s="383">
        <f t="shared" si="75"/>
        <v>57.595960483590403</v>
      </c>
      <c r="F229" s="383">
        <f t="shared" si="78"/>
        <v>57.73274234612979</v>
      </c>
      <c r="G229" s="110">
        <f t="shared" si="76"/>
        <v>1.0222443360490967</v>
      </c>
      <c r="H229" s="412" t="b">
        <f>Wh_hp&gt;='2022'!Maxi_hp</f>
        <v>1</v>
      </c>
      <c r="I229" s="379">
        <f>IF(H229,Wh_hp,'2022'!Maxi_hp)</f>
        <v>57.73274234612979</v>
      </c>
      <c r="J229" s="85">
        <f>IF(H229,An,'2022'!An_max)</f>
        <v>2023</v>
      </c>
      <c r="K229" s="197">
        <f t="shared" si="79"/>
        <v>45141</v>
      </c>
      <c r="L229" s="147">
        <f>IF(t&lt;Tvie,1-EXP((T0-t)*PertePVj)+'2022'!Pspv,1-EXP((T0-t)*PertePVj)+Pspv)</f>
        <v>3.1424473177735779E-2</v>
      </c>
      <c r="M229" s="832"/>
      <c r="N229" s="832"/>
      <c r="O229" s="48">
        <f>IF(t&lt;Tnet,'2022'!Resal+('2022'!Salim-'2022'!Resal)*(1-EXP(('2022'!Tnet-t)/('2022'!Tau_j))),Resal+(Salim-Resal)*(1-EXP((Tnet-t)/(Tau_j))))*Salcycl</f>
        <v>1.7286234202324363E-2</v>
      </c>
      <c r="P229" s="338">
        <f>(INDEX(Models!$BJ229:$BT229,,T229)*(1-R229)+INDEX(Models!$BJ229:$BT229,,T229+1)*R229-ERP_i)*Q229*Ramure*Pc/MaxiM</f>
        <v>2.3692251048690071E-3</v>
      </c>
      <c r="Q229" s="304">
        <f t="shared" si="80"/>
        <v>0.7</v>
      </c>
      <c r="R229" s="177">
        <f t="shared" si="81"/>
        <v>0.69545301705165308</v>
      </c>
      <c r="S229" s="799">
        <f t="shared" si="82"/>
        <v>0</v>
      </c>
      <c r="T229" s="176">
        <f t="shared" si="83"/>
        <v>6</v>
      </c>
      <c r="U229" s="250">
        <f t="shared" si="84"/>
        <v>0.69545301705165308</v>
      </c>
      <c r="V229" s="382">
        <f t="shared" si="85"/>
        <v>53.628770853383912</v>
      </c>
      <c r="W229" s="400">
        <f t="shared" si="86"/>
        <v>54.821707254146588</v>
      </c>
      <c r="X229" s="157">
        <f t="shared" si="87"/>
        <v>45141</v>
      </c>
      <c r="Y229" s="383">
        <f t="shared" si="88"/>
        <v>53.883285543526647</v>
      </c>
      <c r="Z229" s="383">
        <f t="shared" si="89"/>
        <v>55.631475348451943</v>
      </c>
      <c r="AA229" s="384">
        <f t="shared" si="90"/>
        <v>57.588311229048841</v>
      </c>
      <c r="AB229" s="197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3.3979740659764765E-2</v>
      </c>
      <c r="AD229" s="230">
        <f>(INDEX(Models!$BJ229:$BT229,,AH229)*(1-AF229)+INDEX(Models!$BJ229:$BT229,,AH229+1)*AF229-ERP_i)*AE229*Ramure*Pc/MaxiM</f>
        <v>2.5017193227203104E-3</v>
      </c>
      <c r="AE229" s="304">
        <f t="shared" si="92"/>
        <v>0.7</v>
      </c>
      <c r="AF229" s="177">
        <f t="shared" si="93"/>
        <v>0.75978523931148523</v>
      </c>
      <c r="AG229" s="799">
        <f t="shared" si="99"/>
        <v>0</v>
      </c>
      <c r="AH229" s="176">
        <f t="shared" si="94"/>
        <v>6</v>
      </c>
      <c r="AI229" s="224">
        <f t="shared" si="95"/>
        <v>0.75978523931148523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45142</v>
      </c>
      <c r="B230" s="409">
        <f>'2022'!Wh/'2022'!Env_an*'2023'!Env_an</f>
        <v>52.116086845340376</v>
      </c>
      <c r="C230" s="829"/>
      <c r="D230" s="391">
        <f t="shared" si="77"/>
        <v>53.807972857196489</v>
      </c>
      <c r="E230" s="383">
        <f t="shared" si="75"/>
        <v>54.759959152427733</v>
      </c>
      <c r="F230" s="383">
        <f t="shared" si="78"/>
        <v>54.891418427582799</v>
      </c>
      <c r="G230" s="110">
        <f t="shared" si="76"/>
        <v>0.97431702306727996</v>
      </c>
      <c r="H230" s="412" t="b">
        <f>Wh_hp&gt;='2022'!Maxi_hp</f>
        <v>0</v>
      </c>
      <c r="I230" s="379">
        <f>IF(H230,Wh_hp,'2022'!Maxi_hp)</f>
        <v>54.940621976631377</v>
      </c>
      <c r="J230" s="85">
        <f>IF(H230,An,'2022'!An_max)</f>
        <v>2018</v>
      </c>
      <c r="K230" s="197">
        <f t="shared" si="79"/>
        <v>45142</v>
      </c>
      <c r="L230" s="147">
        <f>IF(t&lt;Tvie,1-EXP((T0-t)*PertePVj)+'2022'!Pspv,1-EXP((T0-t)*PertePVj)+Pspv)</f>
        <v>3.1443035706739786E-2</v>
      </c>
      <c r="M230" s="832"/>
      <c r="N230" s="832"/>
      <c r="O230" s="48">
        <f>IF(t&lt;Tnet,'2022'!Resal+('2022'!Salim-'2022'!Resal)*(1-EXP(('2022'!Tnet-t)/('2022'!Tau_j))),Resal+(Salim-Resal)*(1-EXP((Tnet-t)/(Tau_j))))*Salcycl</f>
        <v>1.7384715218309987E-2</v>
      </c>
      <c r="P230" s="338">
        <f>(INDEX(Models!$BJ230:$BT230,,T230)*(1-R230)+INDEX(Models!$BJ230:$BT230,,T230+1)*R230-ERP_i)*Q230*Ramure*Pc/MaxiM</f>
        <v>2.4857847818059876E-3</v>
      </c>
      <c r="Q230" s="304">
        <f t="shared" si="80"/>
        <v>0.7</v>
      </c>
      <c r="R230" s="177">
        <f t="shared" si="81"/>
        <v>0.6968852942793945</v>
      </c>
      <c r="S230" s="799">
        <f t="shared" si="82"/>
        <v>0</v>
      </c>
      <c r="T230" s="176">
        <f t="shared" si="83"/>
        <v>6</v>
      </c>
      <c r="U230" s="250">
        <f t="shared" si="84"/>
        <v>0.6968852942793945</v>
      </c>
      <c r="V230" s="382">
        <f t="shared" si="85"/>
        <v>53.484992571816235</v>
      </c>
      <c r="W230" s="400">
        <f t="shared" si="86"/>
        <v>52.116086845340376</v>
      </c>
      <c r="X230" s="157">
        <f t="shared" si="87"/>
        <v>45142</v>
      </c>
      <c r="Y230" s="383">
        <f t="shared" si="88"/>
        <v>51.225021870818779</v>
      </c>
      <c r="Z230" s="383">
        <f t="shared" si="89"/>
        <v>52.887980531116021</v>
      </c>
      <c r="AA230" s="384">
        <f t="shared" si="90"/>
        <v>54.752767394155953</v>
      </c>
      <c r="AB230" s="197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3.4058312516254179E-2</v>
      </c>
      <c r="AD230" s="230">
        <f>(INDEX(Models!$BJ230:$BT230,,AH230)*(1-AF230)+INDEX(Models!$BJ230:$BT230,,AH230+1)*AF230-ERP_i)*AE230*Ramure*Pc/MaxiM</f>
        <v>2.6217749068490428E-3</v>
      </c>
      <c r="AE230" s="304">
        <f t="shared" si="92"/>
        <v>0.7</v>
      </c>
      <c r="AF230" s="177">
        <f t="shared" si="93"/>
        <v>0.76121751653922665</v>
      </c>
      <c r="AG230" s="799">
        <f t="shared" si="99"/>
        <v>0</v>
      </c>
      <c r="AH230" s="176">
        <f t="shared" si="94"/>
        <v>6</v>
      </c>
      <c r="AI230" s="224">
        <f t="shared" si="95"/>
        <v>0.76121751653922665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45143</v>
      </c>
      <c r="B231" s="409">
        <f>'2022'!Wh/'2022'!Env_an*'2023'!Env_an</f>
        <v>42.076763526855615</v>
      </c>
      <c r="C231" s="829"/>
      <c r="D231" s="391">
        <f t="shared" si="77"/>
        <v>43.443567580547267</v>
      </c>
      <c r="E231" s="383">
        <f t="shared" si="75"/>
        <v>44.216608029206455</v>
      </c>
      <c r="F231" s="383">
        <f t="shared" si="78"/>
        <v>44.296970439472801</v>
      </c>
      <c r="G231" s="110">
        <f t="shared" si="76"/>
        <v>0.78820187376244266</v>
      </c>
      <c r="H231" s="412" t="b">
        <f>Wh_hp&gt;='2022'!Maxi_hp</f>
        <v>0</v>
      </c>
      <c r="I231" s="379">
        <f>IF(H231,Wh_hp,'2022'!Maxi_hp)</f>
        <v>53.590627988169963</v>
      </c>
      <c r="J231" s="85">
        <f>IF(H231,An,'2022'!An_max)</f>
        <v>2018</v>
      </c>
      <c r="K231" s="197">
        <f t="shared" si="79"/>
        <v>45143</v>
      </c>
      <c r="L231" s="147">
        <f>IF(t&lt;Tvie,1-EXP((T0-t)*PertePVj)+'2022'!Pspv,1-EXP((T0-t)*PertePVj)+Pspv)</f>
        <v>3.1461597879997028E-2</v>
      </c>
      <c r="M231" s="832"/>
      <c r="N231" s="832"/>
      <c r="O231" s="48">
        <f>IF(t&lt;Tnet,'2022'!Resal+('2022'!Salim-'2022'!Resal)*(1-EXP(('2022'!Tnet-t)/('2022'!Tau_j))),Resal+(Salim-Resal)*(1-EXP((Tnet-t)/(Tau_j))))*Salcycl</f>
        <v>1.7483033708704465E-2</v>
      </c>
      <c r="P231" s="338">
        <f>(INDEX(Models!$BJ231:$BT231,,T231)*(1-R231)+INDEX(Models!$BJ231:$BT231,,T231+1)*R231-ERP_i)*Q231*Ramure*Pc/MaxiM</f>
        <v>2.5979267520598853E-3</v>
      </c>
      <c r="Q231" s="304">
        <f t="shared" si="80"/>
        <v>0.7</v>
      </c>
      <c r="R231" s="177">
        <f t="shared" si="81"/>
        <v>0.69827062065830836</v>
      </c>
      <c r="S231" s="799">
        <f t="shared" si="82"/>
        <v>0</v>
      </c>
      <c r="T231" s="176">
        <f t="shared" si="83"/>
        <v>6</v>
      </c>
      <c r="U231" s="250">
        <f t="shared" si="84"/>
        <v>0.69827062065830836</v>
      </c>
      <c r="V231" s="382">
        <f t="shared" si="85"/>
        <v>53.341316748068245</v>
      </c>
      <c r="W231" s="400">
        <f t="shared" si="86"/>
        <v>42.076763526855615</v>
      </c>
      <c r="X231" s="157">
        <f t="shared" si="87"/>
        <v>45143</v>
      </c>
      <c r="Y231" s="383">
        <f t="shared" si="88"/>
        <v>41.359541068411559</v>
      </c>
      <c r="Z231" s="383">
        <f t="shared" si="89"/>
        <v>42.703047166618248</v>
      </c>
      <c r="AA231" s="384">
        <f t="shared" si="90"/>
        <v>44.212309733873468</v>
      </c>
      <c r="AB231" s="197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3.4136704830394549E-2</v>
      </c>
      <c r="AD231" s="230">
        <f>(INDEX(Models!$BJ231:$BT231,,AH231)*(1-AF231)+INDEX(Models!$BJ231:$BT231,,AH231+1)*AF231-ERP_i)*AE231*Ramure*Pc/MaxiM</f>
        <v>2.7368804792666482E-3</v>
      </c>
      <c r="AE231" s="304">
        <f t="shared" si="92"/>
        <v>0.7</v>
      </c>
      <c r="AF231" s="177">
        <f t="shared" si="93"/>
        <v>0.76260284291814051</v>
      </c>
      <c r="AG231" s="799">
        <f t="shared" si="99"/>
        <v>0</v>
      </c>
      <c r="AH231" s="176">
        <f t="shared" si="94"/>
        <v>6</v>
      </c>
      <c r="AI231" s="224">
        <f t="shared" si="95"/>
        <v>0.76260284291814051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45144</v>
      </c>
      <c r="B232" s="409">
        <f>'2022'!Wh/'2022'!Env_an*'2023'!Env_an</f>
        <v>49.914620824722292</v>
      </c>
      <c r="C232" s="829"/>
      <c r="D232" s="391">
        <f t="shared" si="77"/>
        <v>51.537014264088896</v>
      </c>
      <c r="E232" s="383">
        <f t="shared" si="75"/>
        <v>52.459311408357571</v>
      </c>
      <c r="F232" s="383">
        <f t="shared" si="78"/>
        <v>52.589050397006901</v>
      </c>
      <c r="G232" s="110">
        <f t="shared" si="76"/>
        <v>0.93805832150497304</v>
      </c>
      <c r="H232" s="412" t="b">
        <f>Wh_hp&gt;='2022'!Maxi_hp</f>
        <v>0</v>
      </c>
      <c r="I232" s="379">
        <f>IF(H232,Wh_hp,'2022'!Maxi_hp)</f>
        <v>56.645072121276598</v>
      </c>
      <c r="J232" s="85">
        <f>IF(H232,An,'2022'!An_max)</f>
        <v>2020</v>
      </c>
      <c r="K232" s="197">
        <f t="shared" si="79"/>
        <v>45144</v>
      </c>
      <c r="L232" s="147">
        <f>IF(t&lt;Tvie,1-EXP((T0-t)*PertePVj)+'2022'!Pspv,1-EXP((T0-t)*PertePVj)+Pspv)</f>
        <v>3.1480159697514609E-2</v>
      </c>
      <c r="M232" s="832"/>
      <c r="N232" s="832"/>
      <c r="O232" s="48">
        <f>IF(t&lt;Tnet,'2022'!Resal+('2022'!Salim-'2022'!Resal)*(1-EXP(('2022'!Tnet-t)/('2022'!Tau_j))),Resal+(Salim-Resal)*(1-EXP((Tnet-t)/(Tau_j))))*Salcycl</f>
        <v>1.7581190440897444E-2</v>
      </c>
      <c r="P232" s="338">
        <f>(INDEX(Models!$BJ232:$BT232,,T232)*(1-R232)+INDEX(Models!$BJ232:$BT232,,T232+1)*R232-ERP_i)*Q232*Ramure*Pc/MaxiM</f>
        <v>2.7055785546796001E-3</v>
      </c>
      <c r="Q232" s="304">
        <f t="shared" si="80"/>
        <v>0.7</v>
      </c>
      <c r="R232" s="177">
        <f t="shared" si="81"/>
        <v>0.69961015450593356</v>
      </c>
      <c r="S232" s="799">
        <f t="shared" si="82"/>
        <v>0</v>
      </c>
      <c r="T232" s="176">
        <f t="shared" si="83"/>
        <v>6</v>
      </c>
      <c r="U232" s="250">
        <f t="shared" si="84"/>
        <v>0.69961015450593356</v>
      </c>
      <c r="V232" s="382">
        <f t="shared" si="85"/>
        <v>53.197848561303068</v>
      </c>
      <c r="W232" s="400">
        <f t="shared" si="86"/>
        <v>49.914620824722292</v>
      </c>
      <c r="X232" s="157">
        <f t="shared" si="87"/>
        <v>45144</v>
      </c>
      <c r="Y232" s="383">
        <f t="shared" si="88"/>
        <v>49.063154752425568</v>
      </c>
      <c r="Z232" s="383">
        <f t="shared" si="89"/>
        <v>50.657872674143981</v>
      </c>
      <c r="AA232" s="384">
        <f t="shared" si="90"/>
        <v>52.452531842363896</v>
      </c>
      <c r="AB232" s="197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3.42149197604689E-2</v>
      </c>
      <c r="AD232" s="230">
        <f>(INDEX(Models!$BJ232:$BT232,,AH232)*(1-AF232)+INDEX(Models!$BJ232:$BT232,,AH232+1)*AF232-ERP_i)*AE232*Ramure*Pc/MaxiM</f>
        <v>2.8469597119821634E-3</v>
      </c>
      <c r="AE232" s="304">
        <f t="shared" si="92"/>
        <v>0.7</v>
      </c>
      <c r="AF232" s="177">
        <f t="shared" si="93"/>
        <v>0.76394237676576571</v>
      </c>
      <c r="AG232" s="799">
        <f t="shared" si="99"/>
        <v>0</v>
      </c>
      <c r="AH232" s="176">
        <f t="shared" si="94"/>
        <v>6</v>
      </c>
      <c r="AI232" s="224">
        <f t="shared" si="95"/>
        <v>0.76394237676576571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45145</v>
      </c>
      <c r="B233" s="409">
        <f>'2022'!Wh/'2022'!Env_an*'2023'!Env_an</f>
        <v>52.831557251880987</v>
      </c>
      <c r="C233" s="829"/>
      <c r="D233" s="391">
        <f t="shared" si="77"/>
        <v>54.549806392739647</v>
      </c>
      <c r="E233" s="383">
        <f t="shared" ref="E233:E296" si="100">Wh_pvt/(1-Psa)</f>
        <v>55.531559147634745</v>
      </c>
      <c r="F233" s="383">
        <f t="shared" si="78"/>
        <v>55.687022859102761</v>
      </c>
      <c r="G233" s="110">
        <f t="shared" ref="G233:G296" si="101">+Wh_hp/MaxiM</f>
        <v>0.99576958680657857</v>
      </c>
      <c r="H233" s="412" t="b">
        <f>Wh_hp&gt;='2022'!Maxi_hp</f>
        <v>0</v>
      </c>
      <c r="I233" s="379">
        <f>IF(H233,Wh_hp,'2022'!Maxi_hp)</f>
        <v>55.687322865809392</v>
      </c>
      <c r="J233" s="85">
        <f>IF(H233,An,'2022'!An_max)</f>
        <v>2022</v>
      </c>
      <c r="K233" s="197">
        <f t="shared" si="79"/>
        <v>45145</v>
      </c>
      <c r="L233" s="147">
        <f>IF(t&lt;Tvie,1-EXP((T0-t)*PertePVj)+'2022'!Pspv,1-EXP((T0-t)*PertePVj)+Pspv)</f>
        <v>3.1498721159299081E-2</v>
      </c>
      <c r="M233" s="832"/>
      <c r="N233" s="832"/>
      <c r="O233" s="48">
        <f>IF(t&lt;Tnet,'2022'!Resal+('2022'!Salim-'2022'!Resal)*(1-EXP(('2022'!Tnet-t)/('2022'!Tau_j))),Resal+(Salim-Resal)*(1-EXP((Tnet-t)/(Tau_j))))*Salcycl</f>
        <v>1.7679185853309732E-2</v>
      </c>
      <c r="P233" s="338">
        <f>(INDEX(Models!$BJ233:$BT233,,T233)*(1-R233)+INDEX(Models!$BJ233:$BT233,,T233+1)*R233-ERP_i)*Q233*Ramure*Pc/MaxiM</f>
        <v>2.8086465710103056E-3</v>
      </c>
      <c r="Q233" s="304">
        <f t="shared" si="80"/>
        <v>0.7</v>
      </c>
      <c r="R233" s="177">
        <f t="shared" si="81"/>
        <v>0.70090505360958444</v>
      </c>
      <c r="S233" s="799">
        <f t="shared" si="82"/>
        <v>0</v>
      </c>
      <c r="T233" s="176">
        <f t="shared" si="83"/>
        <v>6</v>
      </c>
      <c r="U233" s="250">
        <f t="shared" si="84"/>
        <v>0.70090505360958444</v>
      </c>
      <c r="V233" s="382">
        <f t="shared" si="85"/>
        <v>53.055106594948093</v>
      </c>
      <c r="W233" s="400">
        <f t="shared" si="86"/>
        <v>52.831557251880987</v>
      </c>
      <c r="X233" s="157">
        <f t="shared" si="87"/>
        <v>45145</v>
      </c>
      <c r="Y233" s="383">
        <f t="shared" si="88"/>
        <v>51.930611961810953</v>
      </c>
      <c r="Z233" s="383">
        <f t="shared" si="89"/>
        <v>53.619559515679796</v>
      </c>
      <c r="AA233" s="384">
        <f t="shared" si="90"/>
        <v>55.523629038187288</v>
      </c>
      <c r="AB233" s="197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3.4292958790534761E-2</v>
      </c>
      <c r="AD233" s="230">
        <f>(INDEX(Models!$BJ233:$BT233,,AH233)*(1-AF233)+INDEX(Models!$BJ233:$BT233,,AH233+1)*AF233-ERP_i)*AE233*Ramure*Pc/MaxiM</f>
        <v>2.9519139257970575E-3</v>
      </c>
      <c r="AE233" s="304">
        <f t="shared" si="92"/>
        <v>0.7</v>
      </c>
      <c r="AF233" s="177">
        <f t="shared" si="93"/>
        <v>0.76523727586941659</v>
      </c>
      <c r="AG233" s="799">
        <f t="shared" si="99"/>
        <v>0</v>
      </c>
      <c r="AH233" s="176">
        <f t="shared" si="94"/>
        <v>6</v>
      </c>
      <c r="AI233" s="224">
        <f t="shared" si="95"/>
        <v>0.76523727586941659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45146</v>
      </c>
      <c r="B234" s="409">
        <f>'2022'!Wh/'2022'!Env_an*'2023'!Env_an</f>
        <v>53.794391834667501</v>
      </c>
      <c r="C234" s="829"/>
      <c r="D234" s="391">
        <f t="shared" si="77"/>
        <v>55.545019905462873</v>
      </c>
      <c r="E234" s="383">
        <f t="shared" si="100"/>
        <v>56.550316007758248</v>
      </c>
      <c r="F234" s="383">
        <f t="shared" si="78"/>
        <v>56.714919727372148</v>
      </c>
      <c r="G234" s="110">
        <f t="shared" si="101"/>
        <v>1.0166461290976148</v>
      </c>
      <c r="H234" s="412" t="b">
        <f>Wh_hp&gt;='2022'!Maxi_hp</f>
        <v>1</v>
      </c>
      <c r="I234" s="379">
        <f>IF(H234,Wh_hp,'2022'!Maxi_hp)</f>
        <v>56.714919727372148</v>
      </c>
      <c r="J234" s="85">
        <f>IF(H234,An,'2022'!An_max)</f>
        <v>2023</v>
      </c>
      <c r="K234" s="197">
        <f t="shared" si="79"/>
        <v>45146</v>
      </c>
      <c r="L234" s="147">
        <f>IF(t&lt;Tvie,1-EXP((T0-t)*PertePVj)+'2022'!Pspv,1-EXP((T0-t)*PertePVj)+Pspv)</f>
        <v>3.1517282265357438E-2</v>
      </c>
      <c r="M234" s="832"/>
      <c r="N234" s="832"/>
      <c r="O234" s="48">
        <f>IF(t&lt;Tnet,'2022'!Resal+('2022'!Salim-'2022'!Resal)*(1-EXP(('2022'!Tnet-t)/('2022'!Tau_j))),Resal+(Salim-Resal)*(1-EXP((Tnet-t)/(Tau_j))))*Salcycl</f>
        <v>1.7777020063998464E-2</v>
      </c>
      <c r="P234" s="338">
        <f>(INDEX(Models!$BJ234:$BT234,,T234)*(1-R234)+INDEX(Models!$BJ234:$BT234,,T234+1)*R234-ERP_i)*Q234*Ramure*Pc/MaxiM</f>
        <v>2.9023001426282799E-3</v>
      </c>
      <c r="Q234" s="304">
        <f t="shared" si="80"/>
        <v>0.7</v>
      </c>
      <c r="R234" s="177">
        <f t="shared" si="81"/>
        <v>0.70215647275592163</v>
      </c>
      <c r="S234" s="799">
        <f t="shared" si="82"/>
        <v>0</v>
      </c>
      <c r="T234" s="176">
        <f t="shared" si="83"/>
        <v>6</v>
      </c>
      <c r="U234" s="250">
        <f t="shared" si="84"/>
        <v>0.70215647275592163</v>
      </c>
      <c r="V234" s="382">
        <f t="shared" si="85"/>
        <v>52.913585460081315</v>
      </c>
      <c r="W234" s="400">
        <f t="shared" si="86"/>
        <v>53.794391834667501</v>
      </c>
      <c r="X234" s="157">
        <f t="shared" si="87"/>
        <v>45146</v>
      </c>
      <c r="Y234" s="383">
        <f t="shared" si="88"/>
        <v>52.877909730800638</v>
      </c>
      <c r="Z234" s="383">
        <f t="shared" si="89"/>
        <v>54.598712772579191</v>
      </c>
      <c r="AA234" s="384">
        <f t="shared" si="90"/>
        <v>56.542111671223189</v>
      </c>
      <c r="AB234" s="197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3.4370822758519E-2</v>
      </c>
      <c r="AD234" s="230">
        <f>(INDEX(Models!$BJ234:$BT234,,AH234)*(1-AF234)+INDEX(Models!$BJ234:$BT234,,AH234+1)*AF234-ERP_i)*AE234*Ramure*Pc/MaxiM</f>
        <v>3.0469593711785654E-3</v>
      </c>
      <c r="AE234" s="304">
        <f t="shared" si="92"/>
        <v>0.7</v>
      </c>
      <c r="AF234" s="177">
        <f t="shared" si="93"/>
        <v>0.76648869501575378</v>
      </c>
      <c r="AG234" s="799">
        <f t="shared" si="99"/>
        <v>0</v>
      </c>
      <c r="AH234" s="176">
        <f t="shared" si="94"/>
        <v>6</v>
      </c>
      <c r="AI234" s="224">
        <f t="shared" si="95"/>
        <v>0.76648869501575378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45147</v>
      </c>
      <c r="B235" s="409">
        <f>'2022'!Wh/'2022'!Env_an*'2023'!Env_an</f>
        <v>52.038242001948142</v>
      </c>
      <c r="C235" s="829"/>
      <c r="D235" s="391">
        <f t="shared" si="77"/>
        <v>53.732749556772241</v>
      </c>
      <c r="E235" s="383">
        <f t="shared" si="100"/>
        <v>54.710686271173003</v>
      </c>
      <c r="F235" s="383">
        <f t="shared" si="78"/>
        <v>54.871255386264792</v>
      </c>
      <c r="G235" s="110">
        <f t="shared" si="101"/>
        <v>0.98601795264526082</v>
      </c>
      <c r="H235" s="412" t="b">
        <f>Wh_hp&gt;='2022'!Maxi_hp</f>
        <v>0</v>
      </c>
      <c r="I235" s="379">
        <f>IF(H235,Wh_hp,'2022'!Maxi_hp)</f>
        <v>54.928479355291955</v>
      </c>
      <c r="J235" s="85">
        <f>IF(H235,An,'2022'!An_max)</f>
        <v>2018</v>
      </c>
      <c r="K235" s="197">
        <f t="shared" si="79"/>
        <v>45147</v>
      </c>
      <c r="L235" s="147">
        <f>IF(t&lt;Tvie,1-EXP((T0-t)*PertePVj)+'2022'!Pspv,1-EXP((T0-t)*PertePVj)+Pspv)</f>
        <v>3.1535843015696452E-2</v>
      </c>
      <c r="M235" s="832"/>
      <c r="N235" s="832"/>
      <c r="O235" s="48">
        <f>IF(t&lt;Tnet,'2022'!Resal+('2022'!Salim-'2022'!Resal)*(1-EXP(('2022'!Tnet-t)/('2022'!Tau_j))),Resal+(Salim-Resal)*(1-EXP((Tnet-t)/(Tau_j))))*Salcycl</f>
        <v>1.7874692880904878E-2</v>
      </c>
      <c r="P235" s="338">
        <f>(INDEX(Models!$BJ235:$BT235,,T235)*(1-R235)+INDEX(Models!$BJ235:$BT235,,T235+1)*R235-ERP_i)*Q235*Ramure*Pc/MaxiM</f>
        <v>2.9856747631722882E-3</v>
      </c>
      <c r="Q235" s="304">
        <f t="shared" si="80"/>
        <v>0.7</v>
      </c>
      <c r="R235" s="177">
        <f t="shared" si="81"/>
        <v>0.70336556145082429</v>
      </c>
      <c r="S235" s="799">
        <f t="shared" si="82"/>
        <v>0</v>
      </c>
      <c r="T235" s="176">
        <f t="shared" si="83"/>
        <v>6</v>
      </c>
      <c r="U235" s="250">
        <f t="shared" si="84"/>
        <v>0.70336556145082429</v>
      </c>
      <c r="V235" s="382">
        <f t="shared" si="85"/>
        <v>52.77301739556593</v>
      </c>
      <c r="W235" s="400">
        <f t="shared" si="86"/>
        <v>52.038242001948142</v>
      </c>
      <c r="X235" s="157">
        <f t="shared" si="87"/>
        <v>45147</v>
      </c>
      <c r="Y235" s="383">
        <f t="shared" si="88"/>
        <v>51.152745114017826</v>
      </c>
      <c r="Z235" s="383">
        <f t="shared" si="89"/>
        <v>52.818418467134748</v>
      </c>
      <c r="AA235" s="384">
        <f t="shared" si="90"/>
        <v>54.702850254360612</v>
      </c>
      <c r="AB235" s="197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3.4448511886739384E-2</v>
      </c>
      <c r="AD235" s="230">
        <f>(INDEX(Models!$BJ235:$BT235,,AH235)*(1-AF235)+INDEX(Models!$BJ235:$BT235,,AH235+1)*AF235-ERP_i)*AE235*Ramure*Pc/MaxiM</f>
        <v>3.1313802285550729E-3</v>
      </c>
      <c r="AE235" s="304">
        <f t="shared" si="92"/>
        <v>0.7</v>
      </c>
      <c r="AF235" s="177">
        <f t="shared" si="93"/>
        <v>0.76769778371065645</v>
      </c>
      <c r="AG235" s="799">
        <f t="shared" si="99"/>
        <v>0</v>
      </c>
      <c r="AH235" s="176">
        <f t="shared" si="94"/>
        <v>6</v>
      </c>
      <c r="AI235" s="224">
        <f t="shared" si="95"/>
        <v>0.76769778371065645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45148</v>
      </c>
      <c r="B236" s="409">
        <f>'2022'!Wh/'2022'!Env_an*'2023'!Env_an</f>
        <v>50.603237111257222</v>
      </c>
      <c r="C236" s="829"/>
      <c r="D236" s="391">
        <f t="shared" si="77"/>
        <v>52.252018378165452</v>
      </c>
      <c r="E236" s="383">
        <f t="shared" si="100"/>
        <v>53.208288585184555</v>
      </c>
      <c r="F236" s="383">
        <f t="shared" si="78"/>
        <v>53.362515843384216</v>
      </c>
      <c r="G236" s="110">
        <f t="shared" si="101"/>
        <v>0.96127136516089107</v>
      </c>
      <c r="H236" s="412" t="b">
        <f>Wh_hp&gt;='2022'!Maxi_hp</f>
        <v>0</v>
      </c>
      <c r="I236" s="379">
        <f>IF(H236,Wh_hp,'2022'!Maxi_hp)</f>
        <v>53.365205787332016</v>
      </c>
      <c r="J236" s="85">
        <f>IF(H236,An,'2022'!An_max)</f>
        <v>2022</v>
      </c>
      <c r="K236" s="197">
        <f t="shared" si="79"/>
        <v>45148</v>
      </c>
      <c r="L236" s="147">
        <f>IF(t&lt;Tvie,1-EXP((T0-t)*PertePVj)+'2022'!Pspv,1-EXP((T0-t)*PertePVj)+Pspv)</f>
        <v>3.1554403410322784E-2</v>
      </c>
      <c r="M236" s="832"/>
      <c r="N236" s="832"/>
      <c r="O236" s="48">
        <f>IF(t&lt;Tnet,'2022'!Resal+('2022'!Salim-'2022'!Resal)*(1-EXP(('2022'!Tnet-t)/('2022'!Tau_j))),Resal+(Salim-Resal)*(1-EXP((Tnet-t)/(Tau_j))))*Salcycl</f>
        <v>1.7972203813474422E-2</v>
      </c>
      <c r="P236" s="338">
        <f>(INDEX(Models!$BJ236:$BT236,,T236)*(1-R236)+INDEX(Models!$BJ236:$BT236,,T236+1)*R236-ERP_i)*Q236*Ramure*Pc/MaxiM</f>
        <v>3.0586970360448966E-3</v>
      </c>
      <c r="Q236" s="304">
        <f t="shared" si="80"/>
        <v>0.7</v>
      </c>
      <c r="R236" s="177">
        <f t="shared" si="81"/>
        <v>0.70453346182354204</v>
      </c>
      <c r="S236" s="799">
        <f t="shared" si="82"/>
        <v>0</v>
      </c>
      <c r="T236" s="176">
        <f t="shared" si="83"/>
        <v>6</v>
      </c>
      <c r="U236" s="250">
        <f t="shared" si="84"/>
        <v>0.70453346182354204</v>
      </c>
      <c r="V236" s="382">
        <f t="shared" si="85"/>
        <v>52.633092696798329</v>
      </c>
      <c r="W236" s="400">
        <f t="shared" si="86"/>
        <v>50.603237111257222</v>
      </c>
      <c r="X236" s="157">
        <f t="shared" si="87"/>
        <v>45148</v>
      </c>
      <c r="Y236" s="383">
        <f t="shared" si="88"/>
        <v>49.743327391732436</v>
      </c>
      <c r="Z236" s="383">
        <f t="shared" si="89"/>
        <v>51.364090628219657</v>
      </c>
      <c r="AA236" s="384">
        <f t="shared" si="90"/>
        <v>53.200906499360443</v>
      </c>
      <c r="AB236" s="197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3.4526025814294412E-2</v>
      </c>
      <c r="AD236" s="230">
        <f>(INDEX(Models!$BJ236:$BT236,,AH236)*(1-AF236)+INDEX(Models!$BJ236:$BT236,,AH236+1)*AF236-ERP_i)*AE236*Ramure*Pc/MaxiM</f>
        <v>3.2051015321996291E-3</v>
      </c>
      <c r="AE236" s="304">
        <f t="shared" si="92"/>
        <v>0.7</v>
      </c>
      <c r="AF236" s="177">
        <f t="shared" si="93"/>
        <v>0.76886568408337419</v>
      </c>
      <c r="AG236" s="799">
        <f t="shared" si="99"/>
        <v>0</v>
      </c>
      <c r="AH236" s="176">
        <f t="shared" si="94"/>
        <v>6</v>
      </c>
      <c r="AI236" s="224">
        <f t="shared" si="95"/>
        <v>0.76886568408337419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45149</v>
      </c>
      <c r="B237" s="409">
        <f>'2022'!Wh/'2022'!Env_an*'2023'!Env_an</f>
        <v>48.426107189596628</v>
      </c>
      <c r="C237" s="829"/>
      <c r="D237" s="391">
        <f t="shared" si="77"/>
        <v>50.004910397871321</v>
      </c>
      <c r="E237" s="383">
        <f t="shared" si="100"/>
        <v>50.925104221046332</v>
      </c>
      <c r="F237" s="383">
        <f t="shared" si="78"/>
        <v>51.066855400920019</v>
      </c>
      <c r="G237" s="110">
        <f t="shared" si="101"/>
        <v>0.92219661075039305</v>
      </c>
      <c r="H237" s="412" t="b">
        <f>Wh_hp&gt;='2022'!Maxi_hp</f>
        <v>0</v>
      </c>
      <c r="I237" s="379">
        <f>IF(H237,Wh_hp,'2022'!Maxi_hp)</f>
        <v>51.137114320029383</v>
      </c>
      <c r="J237" s="85">
        <f>IF(H237,An,'2022'!An_max)</f>
        <v>2021</v>
      </c>
      <c r="K237" s="197">
        <f t="shared" si="79"/>
        <v>45149</v>
      </c>
      <c r="L237" s="147">
        <f>IF(t&lt;Tvie,1-EXP((T0-t)*PertePVj)+'2022'!Pspv,1-EXP((T0-t)*PertePVj)+Pspv)</f>
        <v>3.1572963449243541E-2</v>
      </c>
      <c r="M237" s="832"/>
      <c r="N237" s="832"/>
      <c r="O237" s="48">
        <f>IF(t&lt;Tnet,'2022'!Resal+('2022'!Salim-'2022'!Resal)*(1-EXP(('2022'!Tnet-t)/('2022'!Tau_j))),Resal+(Salim-Resal)*(1-EXP((Tnet-t)/(Tau_j))))*Salcycl</f>
        <v>1.8069552085368389E-2</v>
      </c>
      <c r="P237" s="338">
        <f>(INDEX(Models!$BJ237:$BT237,,T237)*(1-R237)+INDEX(Models!$BJ237:$BT237,,T237+1)*R237-ERP_i)*Q237*Ramure*Pc/MaxiM</f>
        <v>3.1212958161810191E-3</v>
      </c>
      <c r="Q237" s="304">
        <f t="shared" si="80"/>
        <v>0.7</v>
      </c>
      <c r="R237" s="177">
        <f t="shared" si="81"/>
        <v>0.70566130670861604</v>
      </c>
      <c r="S237" s="799">
        <f t="shared" si="82"/>
        <v>0</v>
      </c>
      <c r="T237" s="176">
        <f t="shared" si="83"/>
        <v>6</v>
      </c>
      <c r="U237" s="250">
        <f t="shared" si="84"/>
        <v>0.70566130670861604</v>
      </c>
      <c r="V237" s="382">
        <f t="shared" si="85"/>
        <v>52.493501764171995</v>
      </c>
      <c r="W237" s="400">
        <f t="shared" si="86"/>
        <v>48.426107189596628</v>
      </c>
      <c r="X237" s="157">
        <f t="shared" si="87"/>
        <v>45149</v>
      </c>
      <c r="Y237" s="383">
        <f t="shared" si="88"/>
        <v>47.604474125606153</v>
      </c>
      <c r="Z237" s="383">
        <f t="shared" si="89"/>
        <v>49.156490193787711</v>
      </c>
      <c r="AA237" s="384">
        <f t="shared" si="90"/>
        <v>50.918439470288824</v>
      </c>
      <c r="AB237" s="197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3.46033636307575E-2</v>
      </c>
      <c r="AD237" s="230">
        <f>(INDEX(Models!$BJ237:$BT237,,AH237)*(1-AF237)+INDEX(Models!$BJ237:$BT237,,AH237+1)*AF237-ERP_i)*AE237*Ramure*Pc/MaxiM</f>
        <v>3.2680505639992989E-3</v>
      </c>
      <c r="AE237" s="304">
        <f t="shared" si="92"/>
        <v>0.7</v>
      </c>
      <c r="AF237" s="177">
        <f t="shared" si="93"/>
        <v>0.76999352896844819</v>
      </c>
      <c r="AG237" s="799">
        <f t="shared" si="99"/>
        <v>0</v>
      </c>
      <c r="AH237" s="176">
        <f t="shared" si="94"/>
        <v>6</v>
      </c>
      <c r="AI237" s="224">
        <f t="shared" si="95"/>
        <v>0.76999352896844819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45150</v>
      </c>
      <c r="B238" s="409">
        <f>'2022'!Wh/'2022'!Env_an*'2023'!Env_an</f>
        <v>48.856363421164104</v>
      </c>
      <c r="C238" s="829"/>
      <c r="D238" s="391">
        <f t="shared" si="77"/>
        <v>50.450160844520362</v>
      </c>
      <c r="E238" s="383">
        <f t="shared" si="100"/>
        <v>51.383633787555056</v>
      </c>
      <c r="F238" s="383">
        <f t="shared" si="78"/>
        <v>51.531557180413522</v>
      </c>
      <c r="G238" s="110">
        <f t="shared" si="101"/>
        <v>0.93291027711715635</v>
      </c>
      <c r="H238" s="412" t="b">
        <f>Wh_hp&gt;='2022'!Maxi_hp</f>
        <v>0</v>
      </c>
      <c r="I238" s="379">
        <f>IF(H238,Wh_hp,'2022'!Maxi_hp)</f>
        <v>51.536068308654343</v>
      </c>
      <c r="J238" s="85">
        <f>IF(H238,An,'2022'!An_max)</f>
        <v>2022</v>
      </c>
      <c r="K238" s="197">
        <f t="shared" si="79"/>
        <v>45150</v>
      </c>
      <c r="L238" s="147">
        <f>IF(t&lt;Tvie,1-EXP((T0-t)*PertePVj)+'2022'!Pspv,1-EXP((T0-t)*PertePVj)+Pspv)</f>
        <v>3.1591523132465271E-2</v>
      </c>
      <c r="M238" s="832"/>
      <c r="N238" s="832"/>
      <c r="O238" s="48">
        <f>IF(t&lt;Tnet,'2022'!Resal+('2022'!Salim-'2022'!Resal)*(1-EXP(('2022'!Tnet-t)/('2022'!Tau_j))),Resal+(Salim-Resal)*(1-EXP((Tnet-t)/(Tau_j))))*Salcycl</f>
        <v>1.8166736647978722E-2</v>
      </c>
      <c r="P238" s="338">
        <f>(INDEX(Models!$BJ238:$BT238,,T238)*(1-R238)+INDEX(Models!$BJ238:$BT238,,T238+1)*R238-ERP_i)*Q238*Ramure*Pc/MaxiM</f>
        <v>3.1734015893184354E-3</v>
      </c>
      <c r="Q238" s="304">
        <f t="shared" si="80"/>
        <v>0.7</v>
      </c>
      <c r="R238" s="177">
        <f t="shared" si="81"/>
        <v>0.70675021789866888</v>
      </c>
      <c r="S238" s="799">
        <f t="shared" si="82"/>
        <v>0</v>
      </c>
      <c r="T238" s="176">
        <f t="shared" si="83"/>
        <v>6</v>
      </c>
      <c r="U238" s="250">
        <f t="shared" si="84"/>
        <v>0.70675021789866888</v>
      </c>
      <c r="V238" s="382">
        <f t="shared" si="85"/>
        <v>52.353935103223549</v>
      </c>
      <c r="W238" s="400">
        <f t="shared" si="86"/>
        <v>48.856363421164104</v>
      </c>
      <c r="X238" s="157">
        <f t="shared" si="87"/>
        <v>45150</v>
      </c>
      <c r="Y238" s="383">
        <f t="shared" si="88"/>
        <v>48.02823675157385</v>
      </c>
      <c r="Z238" s="383">
        <f t="shared" si="89"/>
        <v>49.595018939661209</v>
      </c>
      <c r="AA238" s="384">
        <f t="shared" si="90"/>
        <v>51.376793039104442</v>
      </c>
      <c r="AB238" s="197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3.468052391061216E-2</v>
      </c>
      <c r="AD238" s="230">
        <f>(INDEX(Models!$BJ238:$BT238,,AH238)*(1-AF238)+INDEX(Models!$BJ238:$BT238,,AH238+1)*AF238-ERP_i)*AE238*Ramure*Pc/MaxiM</f>
        <v>3.3201562140321439E-3</v>
      </c>
      <c r="AE238" s="304">
        <f t="shared" si="92"/>
        <v>0.7</v>
      </c>
      <c r="AF238" s="177">
        <f t="shared" si="93"/>
        <v>0.77108244015850103</v>
      </c>
      <c r="AG238" s="799">
        <f t="shared" si="99"/>
        <v>0</v>
      </c>
      <c r="AH238" s="176">
        <f t="shared" si="94"/>
        <v>6</v>
      </c>
      <c r="AI238" s="224">
        <f t="shared" si="95"/>
        <v>0.77108244015850103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45151</v>
      </c>
      <c r="B239" s="409">
        <f>'2022'!Wh/'2022'!Env_an*'2023'!Env_an</f>
        <v>36.716761012568064</v>
      </c>
      <c r="C239" s="829"/>
      <c r="D239" s="391">
        <f t="shared" si="77"/>
        <v>37.91526568744068</v>
      </c>
      <c r="E239" s="383">
        <f t="shared" si="100"/>
        <v>38.620623336129633</v>
      </c>
      <c r="F239" s="383">
        <f t="shared" si="78"/>
        <v>38.692273408111674</v>
      </c>
      <c r="G239" s="110">
        <f t="shared" si="101"/>
        <v>0.70223616422727275</v>
      </c>
      <c r="H239" s="412" t="b">
        <f>Wh_hp&gt;='2022'!Maxi_hp</f>
        <v>0</v>
      </c>
      <c r="I239" s="379">
        <f>IF(H239,Wh_hp,'2022'!Maxi_hp)</f>
        <v>44.585045141201746</v>
      </c>
      <c r="J239" s="85">
        <f>IF(H239,An,'2022'!An_max)</f>
        <v>2018</v>
      </c>
      <c r="K239" s="197">
        <f t="shared" si="79"/>
        <v>45151</v>
      </c>
      <c r="L239" s="147">
        <f>IF(t&lt;Tvie,1-EXP((T0-t)*PertePVj)+'2022'!Pspv,1-EXP((T0-t)*PertePVj)+Pspv)</f>
        <v>3.161008245999497E-2</v>
      </c>
      <c r="M239" s="832"/>
      <c r="N239" s="832"/>
      <c r="O239" s="48">
        <f>IF(t&lt;Tnet,'2022'!Resal+('2022'!Salim-'2022'!Resal)*(1-EXP(('2022'!Tnet-t)/('2022'!Tau_j))),Resal+(Salim-Resal)*(1-EXP((Tnet-t)/(Tau_j))))*Salcycl</f>
        <v>1.8263756194454948E-2</v>
      </c>
      <c r="P239" s="338">
        <f>(INDEX(Models!$BJ239:$BT239,,T239)*(1-R239)+INDEX(Models!$BJ239:$BT239,,T239+1)*R239-ERP_i)*Q239*Ramure*Pc/MaxiM</f>
        <v>3.2149458469997371E-3</v>
      </c>
      <c r="Q239" s="304">
        <f t="shared" si="80"/>
        <v>0.7</v>
      </c>
      <c r="R239" s="177">
        <f t="shared" si="81"/>
        <v>0.70780130456086376</v>
      </c>
      <c r="S239" s="799">
        <f t="shared" si="82"/>
        <v>0</v>
      </c>
      <c r="T239" s="176">
        <f t="shared" si="83"/>
        <v>6</v>
      </c>
      <c r="U239" s="250">
        <f t="shared" si="84"/>
        <v>0.70780130456086376</v>
      </c>
      <c r="V239" s="382">
        <f t="shared" si="85"/>
        <v>52.214083323062368</v>
      </c>
      <c r="W239" s="400">
        <f t="shared" si="86"/>
        <v>36.716761012568064</v>
      </c>
      <c r="X239" s="157">
        <f t="shared" si="87"/>
        <v>45151</v>
      </c>
      <c r="Y239" s="383">
        <f t="shared" si="88"/>
        <v>36.096847900968761</v>
      </c>
      <c r="Z239" s="383">
        <f t="shared" si="89"/>
        <v>37.275117436853705</v>
      </c>
      <c r="AA239" s="384">
        <f t="shared" si="90"/>
        <v>38.61736052878323</v>
      </c>
      <c r="AB239" s="197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3.475750474787357E-2</v>
      </c>
      <c r="AD239" s="230">
        <f>(INDEX(Models!$BJ239:$BT239,,AH239)*(1-AF239)+INDEX(Models!$BJ239:$BT239,,AH239+1)*AF239-ERP_i)*AE239*Ramure*Pc/MaxiM</f>
        <v>3.3613483367348918E-3</v>
      </c>
      <c r="AE239" s="304">
        <f t="shared" si="92"/>
        <v>0.7</v>
      </c>
      <c r="AF239" s="177">
        <f t="shared" si="93"/>
        <v>0.77213352682069591</v>
      </c>
      <c r="AG239" s="799">
        <f t="shared" si="99"/>
        <v>0</v>
      </c>
      <c r="AH239" s="176">
        <f t="shared" si="94"/>
        <v>6</v>
      </c>
      <c r="AI239" s="224">
        <f t="shared" si="95"/>
        <v>0.77213352682069591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45152</v>
      </c>
      <c r="B240" s="409">
        <f>'2022'!Wh/'2022'!Env_an*'2023'!Env_an</f>
        <v>36.584919706176215</v>
      </c>
      <c r="C240" s="829"/>
      <c r="D240" s="391">
        <f t="shared" si="77"/>
        <v>37.779844873015335</v>
      </c>
      <c r="E240" s="383">
        <f t="shared" si="100"/>
        <v>38.486480092474352</v>
      </c>
      <c r="F240" s="383">
        <f t="shared" si="78"/>
        <v>38.558608908664624</v>
      </c>
      <c r="G240" s="110">
        <f t="shared" si="101"/>
        <v>0.70159325630217428</v>
      </c>
      <c r="H240" s="412" t="b">
        <f>Wh_hp&gt;='2022'!Maxi_hp</f>
        <v>0</v>
      </c>
      <c r="I240" s="379">
        <f>IF(H240,Wh_hp,'2022'!Maxi_hp)</f>
        <v>56.167943192678834</v>
      </c>
      <c r="J240" s="85">
        <f>IF(H240,An,'2022'!An_max)</f>
        <v>2018</v>
      </c>
      <c r="K240" s="197">
        <f t="shared" si="79"/>
        <v>45152</v>
      </c>
      <c r="L240" s="147">
        <f>IF(t&lt;Tvie,1-EXP((T0-t)*PertePVj)+'2022'!Pspv,1-EXP((T0-t)*PertePVj)+Pspv)</f>
        <v>3.162864143183941E-2</v>
      </c>
      <c r="M240" s="832"/>
      <c r="N240" s="832"/>
      <c r="O240" s="48">
        <f>IF(t&lt;Tnet,'2022'!Resal+('2022'!Salim-'2022'!Resal)*(1-EXP(('2022'!Tnet-t)/('2022'!Tau_j))),Resal+(Salim-Resal)*(1-EXP((Tnet-t)/(Tau_j))))*Salcycl</f>
        <v>1.8360609173952186E-2</v>
      </c>
      <c r="P240" s="338">
        <f>(INDEX(Models!$BJ240:$BT240,,T240)*(1-R240)+INDEX(Models!$BJ240:$BT240,,T240+1)*R240-ERP_i)*Q240*Ramure*Pc/MaxiM</f>
        <v>3.2527320705665569E-3</v>
      </c>
      <c r="Q240" s="304">
        <f t="shared" si="80"/>
        <v>0.7</v>
      </c>
      <c r="R240" s="177">
        <f t="shared" si="81"/>
        <v>0.70881566180962285</v>
      </c>
      <c r="S240" s="799">
        <f t="shared" si="82"/>
        <v>0</v>
      </c>
      <c r="T240" s="176">
        <f t="shared" si="83"/>
        <v>6</v>
      </c>
      <c r="U240" s="250">
        <f t="shared" si="84"/>
        <v>0.70881566180962285</v>
      </c>
      <c r="V240" s="382">
        <f t="shared" si="85"/>
        <v>52.073278142466137</v>
      </c>
      <c r="W240" s="400">
        <f t="shared" si="86"/>
        <v>36.584919706176215</v>
      </c>
      <c r="X240" s="157">
        <f t="shared" si="87"/>
        <v>45152</v>
      </c>
      <c r="Y240" s="383">
        <f t="shared" si="88"/>
        <v>35.967928720963101</v>
      </c>
      <c r="Z240" s="383">
        <f t="shared" si="89"/>
        <v>37.142701921859285</v>
      </c>
      <c r="AA240" s="384">
        <f t="shared" si="90"/>
        <v>38.483238751361</v>
      </c>
      <c r="AB240" s="197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3.4834303790356222E-2</v>
      </c>
      <c r="AD240" s="230">
        <f>(INDEX(Models!$BJ240:$BT240,,AH240)*(1-AF240)+INDEX(Models!$BJ240:$BT240,,AH240+1)*AF240-ERP_i)*AE240*Ramure*Pc/MaxiM</f>
        <v>3.3989040826406798E-3</v>
      </c>
      <c r="AE240" s="304">
        <f t="shared" si="92"/>
        <v>0.7</v>
      </c>
      <c r="AF240" s="177">
        <f t="shared" si="93"/>
        <v>0.773147884069455</v>
      </c>
      <c r="AG240" s="799">
        <f t="shared" si="99"/>
        <v>0</v>
      </c>
      <c r="AH240" s="176">
        <f t="shared" si="94"/>
        <v>6</v>
      </c>
      <c r="AI240" s="224">
        <f t="shared" si="95"/>
        <v>0.773147884069455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45153</v>
      </c>
      <c r="B241" s="409">
        <f>'2022'!Wh/'2022'!Env_an*'2023'!Env_an</f>
        <v>34.167998205050573</v>
      </c>
      <c r="C241" s="829"/>
      <c r="D241" s="391">
        <f t="shared" si="77"/>
        <v>35.284658862704198</v>
      </c>
      <c r="E241" s="383">
        <f t="shared" si="100"/>
        <v>35.948164700358511</v>
      </c>
      <c r="F241" s="383">
        <f t="shared" si="78"/>
        <v>36.008795713111333</v>
      </c>
      <c r="G241" s="110">
        <f t="shared" si="101"/>
        <v>0.65689082739732507</v>
      </c>
      <c r="H241" s="412" t="b">
        <f>Wh_hp&gt;='2022'!Maxi_hp</f>
        <v>0</v>
      </c>
      <c r="I241" s="379">
        <f>IF(H241,Wh_hp,'2022'!Maxi_hp)</f>
        <v>48.01365532613444</v>
      </c>
      <c r="J241" s="85">
        <f>IF(H241,An,'2022'!An_max)</f>
        <v>2020</v>
      </c>
      <c r="K241" s="197">
        <f t="shared" si="79"/>
        <v>45153</v>
      </c>
      <c r="L241" s="147">
        <f>IF(t&lt;Tvie,1-EXP((T0-t)*PertePVj)+'2022'!Pspv,1-EXP((T0-t)*PertePVj)+Pspv)</f>
        <v>3.1647200048005364E-2</v>
      </c>
      <c r="M241" s="832"/>
      <c r="N241" s="832"/>
      <c r="O241" s="48">
        <f>IF(t&lt;Tnet,'2022'!Resal+('2022'!Salim-'2022'!Resal)*(1-EXP(('2022'!Tnet-t)/('2022'!Tau_j))),Resal+(Salim-Resal)*(1-EXP((Tnet-t)/(Tau_j))))*Salcycl</f>
        <v>1.8457293805814099E-2</v>
      </c>
      <c r="P241" s="338">
        <f>(INDEX(Models!$BJ241:$BT241,,T241)*(1-R241)+INDEX(Models!$BJ241:$BT241,,T241+1)*R241-ERP_i)*Q241*Ramure*Pc/MaxiM</f>
        <v>3.2927623794717343E-3</v>
      </c>
      <c r="Q241" s="304">
        <f t="shared" si="80"/>
        <v>0.7</v>
      </c>
      <c r="R241" s="177">
        <f t="shared" si="81"/>
        <v>0.70979436942805507</v>
      </c>
      <c r="S241" s="799">
        <f t="shared" si="82"/>
        <v>0</v>
      </c>
      <c r="T241" s="176">
        <f t="shared" si="83"/>
        <v>6</v>
      </c>
      <c r="U241" s="250">
        <f t="shared" si="84"/>
        <v>0.70979436942805507</v>
      </c>
      <c r="V241" s="382">
        <f t="shared" si="85"/>
        <v>51.930896990109062</v>
      </c>
      <c r="W241" s="400">
        <f t="shared" si="86"/>
        <v>34.167998205050573</v>
      </c>
      <c r="X241" s="157">
        <f t="shared" si="87"/>
        <v>45153</v>
      </c>
      <c r="Y241" s="383">
        <f t="shared" si="88"/>
        <v>33.592718673887568</v>
      </c>
      <c r="Z241" s="383">
        <f t="shared" si="89"/>
        <v>34.69057834660353</v>
      </c>
      <c r="AA241" s="384">
        <f t="shared" si="90"/>
        <v>35.94546762929717</v>
      </c>
      <c r="AB241" s="197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3.4910918273068928E-2</v>
      </c>
      <c r="AD241" s="230">
        <f>(INDEX(Models!$BJ241:$BT241,,AH241)*(1-AF241)+INDEX(Models!$BJ241:$BT241,,AH241+1)*AF241-ERP_i)*AE241*Ramure*Pc/MaxiM</f>
        <v>3.4392355080297477E-3</v>
      </c>
      <c r="AE241" s="304">
        <f t="shared" si="92"/>
        <v>0.7</v>
      </c>
      <c r="AF241" s="177">
        <f t="shared" si="93"/>
        <v>0.77412659168788722</v>
      </c>
      <c r="AG241" s="799">
        <f t="shared" si="99"/>
        <v>0</v>
      </c>
      <c r="AH241" s="176">
        <f t="shared" si="94"/>
        <v>6</v>
      </c>
      <c r="AI241" s="224">
        <f t="shared" si="95"/>
        <v>0.77412659168788722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45154</v>
      </c>
      <c r="B242" s="409">
        <f>'2022'!Wh/'2022'!Env_an*'2023'!Env_an</f>
        <v>39.282847464335667</v>
      </c>
      <c r="C242" s="829"/>
      <c r="D242" s="391">
        <f t="shared" si="77"/>
        <v>40.567446417794564</v>
      </c>
      <c r="E242" s="383">
        <f t="shared" si="100"/>
        <v>41.334356129078266</v>
      </c>
      <c r="F242" s="383">
        <f t="shared" si="78"/>
        <v>41.424858608890162</v>
      </c>
      <c r="G242" s="110">
        <f t="shared" si="101"/>
        <v>0.75767740528395489</v>
      </c>
      <c r="H242" s="412" t="b">
        <f>Wh_hp&gt;='2022'!Maxi_hp</f>
        <v>0</v>
      </c>
      <c r="I242" s="379">
        <f>IF(H242,Wh_hp,'2022'!Maxi_hp)</f>
        <v>56.53449474291795</v>
      </c>
      <c r="J242" s="85">
        <f>IF(H242,An,'2022'!An_max)</f>
        <v>2018</v>
      </c>
      <c r="K242" s="197">
        <f t="shared" si="79"/>
        <v>45154</v>
      </c>
      <c r="L242" s="147">
        <f>IF(t&lt;Tvie,1-EXP((T0-t)*PertePVj)+'2022'!Pspv,1-EXP((T0-t)*PertePVj)+Pspv)</f>
        <v>3.1665758308499714E-2</v>
      </c>
      <c r="M242" s="832"/>
      <c r="N242" s="832"/>
      <c r="O242" s="48">
        <f>IF(t&lt;Tnet,'2022'!Resal+('2022'!Salim-'2022'!Resal)*(1-EXP(('2022'!Tnet-t)/('2022'!Tau_j))),Resal+(Salim-Resal)*(1-EXP((Tnet-t)/(Tau_j))))*Salcycl</f>
        <v>1.8553808093412932E-2</v>
      </c>
      <c r="P242" s="338">
        <f>(INDEX(Models!$BJ242:$BT242,,T242)*(1-R242)+INDEX(Models!$BJ242:$BT242,,T242+1)*R242-ERP_i)*Q242*Ramure*Pc/MaxiM</f>
        <v>3.3351007887764163E-3</v>
      </c>
      <c r="Q242" s="304">
        <f t="shared" si="80"/>
        <v>0.7</v>
      </c>
      <c r="R242" s="177">
        <f t="shared" si="81"/>
        <v>0.71073849073047013</v>
      </c>
      <c r="S242" s="799">
        <f t="shared" si="82"/>
        <v>0</v>
      </c>
      <c r="T242" s="176">
        <f t="shared" si="83"/>
        <v>6</v>
      </c>
      <c r="U242" s="250">
        <f t="shared" si="84"/>
        <v>0.71073849073047013</v>
      </c>
      <c r="V242" s="382">
        <f t="shared" si="85"/>
        <v>51.786629424998068</v>
      </c>
      <c r="W242" s="400">
        <f t="shared" si="86"/>
        <v>39.282847464335667</v>
      </c>
      <c r="X242" s="157">
        <f t="shared" si="87"/>
        <v>45154</v>
      </c>
      <c r="Y242" s="383">
        <f t="shared" si="88"/>
        <v>38.621351929978083</v>
      </c>
      <c r="Z242" s="383">
        <f t="shared" si="89"/>
        <v>39.884319140169765</v>
      </c>
      <c r="AA242" s="384">
        <f t="shared" si="90"/>
        <v>41.330358659645221</v>
      </c>
      <c r="AB242" s="197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3.4987345050246595E-2</v>
      </c>
      <c r="AD242" s="230">
        <f>(INDEX(Models!$BJ242:$BT242,,AH242)*(1-AF242)+INDEX(Models!$BJ242:$BT242,,AH242+1)*AF242-ERP_i)*AE242*Ramure*Pc/MaxiM</f>
        <v>3.4824112656492183E-3</v>
      </c>
      <c r="AE242" s="304">
        <f t="shared" si="92"/>
        <v>0.7</v>
      </c>
      <c r="AF242" s="177">
        <f t="shared" si="93"/>
        <v>0.77507071299030228</v>
      </c>
      <c r="AG242" s="799">
        <f t="shared" si="99"/>
        <v>0</v>
      </c>
      <c r="AH242" s="176">
        <f t="shared" si="94"/>
        <v>6</v>
      </c>
      <c r="AI242" s="224">
        <f t="shared" si="95"/>
        <v>0.77507071299030228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45155</v>
      </c>
      <c r="B243" s="409">
        <f>'2022'!Wh/'2022'!Env_an*'2023'!Env_an</f>
        <v>24.539031094459045</v>
      </c>
      <c r="C243" s="829"/>
      <c r="D243" s="391">
        <f t="shared" si="77"/>
        <v>25.34197421908662</v>
      </c>
      <c r="E243" s="383">
        <f t="shared" si="100"/>
        <v>25.823588004713319</v>
      </c>
      <c r="F243" s="383">
        <f t="shared" si="78"/>
        <v>25.845450242471255</v>
      </c>
      <c r="G243" s="110">
        <f t="shared" si="101"/>
        <v>0.47398760613158403</v>
      </c>
      <c r="H243" s="412" t="b">
        <f>Wh_hp&gt;='2022'!Maxi_hp</f>
        <v>0</v>
      </c>
      <c r="I243" s="379">
        <f>IF(H243,Wh_hp,'2022'!Maxi_hp)</f>
        <v>53.858600637454124</v>
      </c>
      <c r="J243" s="85">
        <f>IF(H243,An,'2022'!An_max)</f>
        <v>2018</v>
      </c>
      <c r="K243" s="197">
        <f t="shared" si="79"/>
        <v>45155</v>
      </c>
      <c r="L243" s="147">
        <f>IF(t&lt;Tvie,1-EXP((T0-t)*PertePVj)+'2022'!Pspv,1-EXP((T0-t)*PertePVj)+Pspv)</f>
        <v>3.1684316213329122E-2</v>
      </c>
      <c r="M243" s="832"/>
      <c r="N243" s="832"/>
      <c r="O243" s="48">
        <f>IF(t&lt;Tnet,'2022'!Resal+('2022'!Salim-'2022'!Resal)*(1-EXP(('2022'!Tnet-t)/('2022'!Tau_j))),Resal+(Salim-Resal)*(1-EXP((Tnet-t)/(Tau_j))))*Salcycl</f>
        <v>1.8650149837381017E-2</v>
      </c>
      <c r="P243" s="338">
        <f>(INDEX(Models!$BJ243:$BT243,,T243)*(1-R243)+INDEX(Models!$BJ243:$BT243,,T243+1)*R243-ERP_i)*Q243*Ramure*Pc/MaxiM</f>
        <v>3.3798114381001919E-3</v>
      </c>
      <c r="Q243" s="304">
        <f t="shared" si="80"/>
        <v>0.7</v>
      </c>
      <c r="R243" s="177">
        <f t="shared" si="81"/>
        <v>0.71164907155835222</v>
      </c>
      <c r="S243" s="799">
        <f t="shared" si="82"/>
        <v>0</v>
      </c>
      <c r="T243" s="176">
        <f t="shared" si="83"/>
        <v>6</v>
      </c>
      <c r="U243" s="250">
        <f t="shared" si="84"/>
        <v>0.71164907155835222</v>
      </c>
      <c r="V243" s="382">
        <f t="shared" si="85"/>
        <v>51.640165265164512</v>
      </c>
      <c r="W243" s="400">
        <f t="shared" si="86"/>
        <v>24.539031094459045</v>
      </c>
      <c r="X243" s="157">
        <f t="shared" si="87"/>
        <v>45155</v>
      </c>
      <c r="Y243" s="383">
        <f t="shared" si="88"/>
        <v>24.127708272218847</v>
      </c>
      <c r="Z243" s="383">
        <f t="shared" si="89"/>
        <v>24.917192477834956</v>
      </c>
      <c r="AA243" s="384">
        <f t="shared" si="90"/>
        <v>25.822626214055223</v>
      </c>
      <c r="AB243" s="197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3.5063580625561745E-2</v>
      </c>
      <c r="AD243" s="230">
        <f>(INDEX(Models!$BJ243:$BT243,,AH243)*(1-AF243)+INDEX(Models!$BJ243:$BT243,,AH243+1)*AF243-ERP_i)*AE243*Ramure*Pc/MaxiM</f>
        <v>3.528500291605439E-3</v>
      </c>
      <c r="AE243" s="304">
        <f t="shared" si="92"/>
        <v>0.7</v>
      </c>
      <c r="AF243" s="177">
        <f t="shared" si="93"/>
        <v>0.77598129381818437</v>
      </c>
      <c r="AG243" s="799">
        <f t="shared" si="99"/>
        <v>0</v>
      </c>
      <c r="AH243" s="176">
        <f t="shared" si="94"/>
        <v>6</v>
      </c>
      <c r="AI243" s="224">
        <f t="shared" si="95"/>
        <v>0.77598129381818437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45156</v>
      </c>
      <c r="B244" s="409">
        <f>'2022'!Wh/'2022'!Env_an*'2023'!Env_an</f>
        <v>32.88664203509299</v>
      </c>
      <c r="C244" s="829"/>
      <c r="D244" s="391">
        <f t="shared" si="77"/>
        <v>33.963378743960774</v>
      </c>
      <c r="E244" s="383">
        <f t="shared" si="100"/>
        <v>34.612230578274129</v>
      </c>
      <c r="F244" s="383">
        <f t="shared" si="78"/>
        <v>34.669715878597586</v>
      </c>
      <c r="G244" s="110">
        <f t="shared" si="101"/>
        <v>0.63755314540016306</v>
      </c>
      <c r="H244" s="412" t="b">
        <f>Wh_hp&gt;='2022'!Maxi_hp</f>
        <v>0</v>
      </c>
      <c r="I244" s="379">
        <f>IF(H244,Wh_hp,'2022'!Maxi_hp)</f>
        <v>45.332057361760235</v>
      </c>
      <c r="J244" s="85">
        <f>IF(H244,An,'2022'!An_max)</f>
        <v>2021</v>
      </c>
      <c r="K244" s="197">
        <f t="shared" si="79"/>
        <v>45156</v>
      </c>
      <c r="L244" s="147">
        <f>IF(t&lt;Tvie,1-EXP((T0-t)*PertePVj)+'2022'!Pspv,1-EXP((T0-t)*PertePVj)+Pspv)</f>
        <v>3.1702873762500583E-2</v>
      </c>
      <c r="M244" s="832"/>
      <c r="N244" s="832"/>
      <c r="O244" s="48">
        <f>IF(t&lt;Tnet,'2022'!Resal+('2022'!Salim-'2022'!Resal)*(1-EXP(('2022'!Tnet-t)/('2022'!Tau_j))),Resal+(Salim-Resal)*(1-EXP((Tnet-t)/(Tau_j))))*Salcycl</f>
        <v>1.8746316647983791E-2</v>
      </c>
      <c r="P244" s="338">
        <f>(INDEX(Models!$BJ244:$BT244,,T244)*(1-R244)+INDEX(Models!$BJ244:$BT244,,T244+1)*R244-ERP_i)*Q244*Ramure*Pc/MaxiM</f>
        <v>3.426958835196624E-3</v>
      </c>
      <c r="Q244" s="304">
        <f t="shared" si="80"/>
        <v>0.7</v>
      </c>
      <c r="R244" s="177">
        <f t="shared" si="81"/>
        <v>0.71252713940220302</v>
      </c>
      <c r="S244" s="799">
        <f t="shared" si="82"/>
        <v>0</v>
      </c>
      <c r="T244" s="176">
        <f t="shared" si="83"/>
        <v>6</v>
      </c>
      <c r="U244" s="250">
        <f t="shared" si="84"/>
        <v>0.71252713940220302</v>
      </c>
      <c r="V244" s="382">
        <f t="shared" si="85"/>
        <v>51.491194581620171</v>
      </c>
      <c r="W244" s="400">
        <f t="shared" si="86"/>
        <v>32.88664203509299</v>
      </c>
      <c r="X244" s="157">
        <f t="shared" si="87"/>
        <v>45156</v>
      </c>
      <c r="Y244" s="383">
        <f t="shared" si="88"/>
        <v>32.334861297021853</v>
      </c>
      <c r="Z244" s="383">
        <f t="shared" si="89"/>
        <v>33.393532233917739</v>
      </c>
      <c r="AA244" s="384">
        <f t="shared" si="90"/>
        <v>34.609704126062887</v>
      </c>
      <c r="AB244" s="197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3.5139621180098751E-2</v>
      </c>
      <c r="AD244" s="230">
        <f>(INDEX(Models!$BJ244:$BT244,,AH244)*(1-AF244)+INDEX(Models!$BJ244:$BT244,,AH244+1)*AF244-ERP_i)*AE244*Ramure*Pc/MaxiM</f>
        <v>3.5775720820319917E-3</v>
      </c>
      <c r="AE244" s="304">
        <f t="shared" si="92"/>
        <v>0.7</v>
      </c>
      <c r="AF244" s="177">
        <f t="shared" si="93"/>
        <v>0.77685936166203517</v>
      </c>
      <c r="AG244" s="799">
        <f t="shared" si="99"/>
        <v>0</v>
      </c>
      <c r="AH244" s="176">
        <f t="shared" si="94"/>
        <v>6</v>
      </c>
      <c r="AI244" s="224">
        <f t="shared" si="95"/>
        <v>0.77685936166203517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45157</v>
      </c>
      <c r="B245" s="409">
        <f>'2022'!Wh/'2022'!Env_an*'2023'!Env_an</f>
        <v>34.345203764569426</v>
      </c>
      <c r="C245" s="829"/>
      <c r="D245" s="391">
        <f t="shared" si="77"/>
        <v>35.47037481009194</v>
      </c>
      <c r="E245" s="383">
        <f t="shared" si="100"/>
        <v>36.151553440823221</v>
      </c>
      <c r="F245" s="383">
        <f t="shared" si="78"/>
        <v>36.217925902464174</v>
      </c>
      <c r="G245" s="110">
        <f t="shared" si="101"/>
        <v>0.66788140655750772</v>
      </c>
      <c r="H245" s="412" t="b">
        <f>Wh_hp&gt;='2022'!Maxi_hp</f>
        <v>0</v>
      </c>
      <c r="I245" s="379">
        <f>IF(H245,Wh_hp,'2022'!Maxi_hp)</f>
        <v>41.817185675969036</v>
      </c>
      <c r="J245" s="85">
        <f>IF(H245,An,'2022'!An_max)</f>
        <v>2021</v>
      </c>
      <c r="K245" s="197">
        <f t="shared" si="79"/>
        <v>45157</v>
      </c>
      <c r="L245" s="147">
        <f>IF(t&lt;Tvie,1-EXP((T0-t)*PertePVj)+'2022'!Pspv,1-EXP((T0-t)*PertePVj)+Pspv)</f>
        <v>3.1721430956020868E-2</v>
      </c>
      <c r="M245" s="832"/>
      <c r="N245" s="832"/>
      <c r="O245" s="48">
        <f>IF(t&lt;Tnet,'2022'!Resal+('2022'!Salim-'2022'!Resal)*(1-EXP(('2022'!Tnet-t)/('2022'!Tau_j))),Resal+(Salim-Resal)*(1-EXP((Tnet-t)/(Tau_j))))*Salcycl</f>
        <v>1.884230595640398E-2</v>
      </c>
      <c r="P245" s="338">
        <f>(INDEX(Models!$BJ245:$BT245,,T245)*(1-R245)+INDEX(Models!$BJ245:$BT245,,T245+1)*R245-ERP_i)*Q245*Ramure*Pc/MaxiM</f>
        <v>3.4766081073991334E-3</v>
      </c>
      <c r="Q245" s="304">
        <f t="shared" si="80"/>
        <v>0.7</v>
      </c>
      <c r="R245" s="177">
        <f t="shared" si="81"/>
        <v>0.71337370264175459</v>
      </c>
      <c r="S245" s="799">
        <f t="shared" si="82"/>
        <v>0</v>
      </c>
      <c r="T245" s="176">
        <f t="shared" si="83"/>
        <v>6</v>
      </c>
      <c r="U245" s="250">
        <f t="shared" si="84"/>
        <v>0.71337370264175459</v>
      </c>
      <c r="V245" s="382">
        <f t="shared" si="85"/>
        <v>51.339407693980625</v>
      </c>
      <c r="W245" s="400">
        <f t="shared" si="86"/>
        <v>34.345203764569426</v>
      </c>
      <c r="X245" s="157">
        <f t="shared" si="87"/>
        <v>45157</v>
      </c>
      <c r="Y245" s="383">
        <f t="shared" si="88"/>
        <v>33.769334834128216</v>
      </c>
      <c r="Z245" s="383">
        <f t="shared" si="89"/>
        <v>34.875640041759944</v>
      </c>
      <c r="AA245" s="384">
        <f t="shared" si="90"/>
        <v>36.148630797570512</v>
      </c>
      <c r="AB245" s="197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3.5215462597718163E-2</v>
      </c>
      <c r="AD245" s="230">
        <f>(INDEX(Models!$BJ245:$BT245,,AH245)*(1-AF245)+INDEX(Models!$BJ245:$BT245,,AH245+1)*AF245-ERP_i)*AE245*Ramure*Pc/MaxiM</f>
        <v>3.629696978539456E-3</v>
      </c>
      <c r="AE245" s="304">
        <f t="shared" si="92"/>
        <v>0.7</v>
      </c>
      <c r="AF245" s="177">
        <f t="shared" si="93"/>
        <v>0.77770592490158674</v>
      </c>
      <c r="AG245" s="799">
        <f t="shared" si="99"/>
        <v>0</v>
      </c>
      <c r="AH245" s="176">
        <f t="shared" si="94"/>
        <v>6</v>
      </c>
      <c r="AI245" s="224">
        <f t="shared" si="95"/>
        <v>0.77770592490158674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45158</v>
      </c>
      <c r="B246" s="409">
        <f>'2022'!Wh/'2022'!Env_an*'2023'!Env_an</f>
        <v>50.136110926286463</v>
      </c>
      <c r="C246" s="829"/>
      <c r="D246" s="391">
        <f t="shared" si="77"/>
        <v>51.779594627743975</v>
      </c>
      <c r="E246" s="383">
        <f t="shared" si="100"/>
        <v>52.779131898543952</v>
      </c>
      <c r="F246" s="383">
        <f t="shared" si="78"/>
        <v>52.960551951556305</v>
      </c>
      <c r="G246" s="110">
        <f t="shared" si="101"/>
        <v>0.97941605425598066</v>
      </c>
      <c r="H246" s="412" t="b">
        <f>Wh_hp&gt;='2022'!Maxi_hp</f>
        <v>0</v>
      </c>
      <c r="I246" s="379">
        <f>IF(H246,Wh_hp,'2022'!Maxi_hp)</f>
        <v>52.962065320582475</v>
      </c>
      <c r="J246" s="85">
        <f>IF(H246,An,'2022'!An_max)</f>
        <v>2022</v>
      </c>
      <c r="K246" s="197">
        <f t="shared" si="79"/>
        <v>45158</v>
      </c>
      <c r="L246" s="147">
        <f>IF(t&lt;Tvie,1-EXP((T0-t)*PertePVj)+'2022'!Pspv,1-EXP((T0-t)*PertePVj)+Pspv)</f>
        <v>3.1739987793896751E-2</v>
      </c>
      <c r="M246" s="832"/>
      <c r="N246" s="832"/>
      <c r="O246" s="48">
        <f>IF(t&lt;Tnet,'2022'!Resal+('2022'!Salim-'2022'!Resal)*(1-EXP(('2022'!Tnet-t)/('2022'!Tau_j))),Resal+(Salim-Resal)*(1-EXP((Tnet-t)/(Tau_j))))*Salcycl</f>
        <v>1.89381150247292E-2</v>
      </c>
      <c r="P246" s="338">
        <f>(INDEX(Models!$BJ246:$BT246,,T246)*(1-R246)+INDEX(Models!$BJ246:$BT246,,T246+1)*R246-ERP_i)*Q246*Ramure*Pc/MaxiM</f>
        <v>3.5288252615716482E-3</v>
      </c>
      <c r="Q246" s="304">
        <f t="shared" si="80"/>
        <v>0.7</v>
      </c>
      <c r="R246" s="177">
        <f t="shared" si="81"/>
        <v>0.71418974989718276</v>
      </c>
      <c r="S246" s="799">
        <f t="shared" si="82"/>
        <v>0</v>
      </c>
      <c r="T246" s="176">
        <f t="shared" si="83"/>
        <v>6</v>
      </c>
      <c r="U246" s="250">
        <f t="shared" si="84"/>
        <v>0.71418974989718276</v>
      </c>
      <c r="V246" s="382">
        <f t="shared" si="85"/>
        <v>51.18449516220101</v>
      </c>
      <c r="W246" s="400">
        <f t="shared" si="86"/>
        <v>50.136110926286463</v>
      </c>
      <c r="X246" s="157">
        <f t="shared" si="87"/>
        <v>45158</v>
      </c>
      <c r="Y246" s="383">
        <f t="shared" si="88"/>
        <v>49.292911910938322</v>
      </c>
      <c r="Z246" s="383">
        <f t="shared" si="89"/>
        <v>50.908755178919712</v>
      </c>
      <c r="AA246" s="384">
        <f t="shared" si="90"/>
        <v>52.771105568368903</v>
      </c>
      <c r="AB246" s="197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3.5291100487488888E-2</v>
      </c>
      <c r="AD246" s="230">
        <f>(INDEX(Models!$BJ246:$BT246,,AH246)*(1-AF246)+INDEX(Models!$BJ246:$BT246,,AH246+1)*AF246-ERP_i)*AE246*Ramure*Pc/MaxiM</f>
        <v>3.6849464632200588E-3</v>
      </c>
      <c r="AE246" s="304">
        <f t="shared" si="92"/>
        <v>0.7</v>
      </c>
      <c r="AF246" s="177">
        <f t="shared" si="93"/>
        <v>0.77852197215701491</v>
      </c>
      <c r="AG246" s="799">
        <f t="shared" si="99"/>
        <v>0</v>
      </c>
      <c r="AH246" s="176">
        <f t="shared" si="94"/>
        <v>6</v>
      </c>
      <c r="AI246" s="224">
        <f t="shared" si="95"/>
        <v>0.77852197215701491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45159</v>
      </c>
      <c r="B247" s="409">
        <f>'2022'!Wh/'2022'!Env_an*'2023'!Env_an</f>
        <v>39.712376745373824</v>
      </c>
      <c r="C247" s="829"/>
      <c r="D247" s="391">
        <f t="shared" si="77"/>
        <v>41.014951911643301</v>
      </c>
      <c r="E247" s="383">
        <f t="shared" si="100"/>
        <v>41.810767224093958</v>
      </c>
      <c r="F247" s="383">
        <f t="shared" si="78"/>
        <v>41.913386528390447</v>
      </c>
      <c r="G247" s="110">
        <f t="shared" si="101"/>
        <v>0.77736734127338714</v>
      </c>
      <c r="H247" s="412" t="b">
        <f>Wh_hp&gt;='2022'!Maxi_hp</f>
        <v>0</v>
      </c>
      <c r="I247" s="379">
        <f>IF(H247,Wh_hp,'2022'!Maxi_hp)</f>
        <v>53.982802943625828</v>
      </c>
      <c r="J247" s="85">
        <f>IF(H247,An,'2022'!An_max)</f>
        <v>2020</v>
      </c>
      <c r="K247" s="197">
        <f t="shared" si="79"/>
        <v>45159</v>
      </c>
      <c r="L247" s="147">
        <f>IF(t&lt;Tvie,1-EXP((T0-t)*PertePVj)+'2022'!Pspv,1-EXP((T0-t)*PertePVj)+Pspv)</f>
        <v>3.1758544276135114E-2</v>
      </c>
      <c r="M247" s="832"/>
      <c r="N247" s="832"/>
      <c r="O247" s="48">
        <f>IF(t&lt;Tnet,'2022'!Resal+('2022'!Salim-'2022'!Resal)*(1-EXP(('2022'!Tnet-t)/('2022'!Tau_j))),Resal+(Salim-Resal)*(1-EXP((Tnet-t)/(Tau_j))))*Salcycl</f>
        <v>1.9033740954460629E-2</v>
      </c>
      <c r="P247" s="338">
        <f>(INDEX(Models!$BJ247:$BT247,,T247)*(1-R247)+INDEX(Models!$BJ247:$BT247,,T247+1)*R247-ERP_i)*Q247*Ramure*Pc/MaxiM</f>
        <v>3.5835763281664907E-3</v>
      </c>
      <c r="Q247" s="304">
        <f t="shared" si="80"/>
        <v>0.7</v>
      </c>
      <c r="R247" s="177">
        <f t="shared" si="81"/>
        <v>0.71497624948411409</v>
      </c>
      <c r="S247" s="799">
        <f t="shared" si="82"/>
        <v>0</v>
      </c>
      <c r="T247" s="176">
        <f t="shared" si="83"/>
        <v>6</v>
      </c>
      <c r="U247" s="250">
        <f t="shared" si="84"/>
        <v>0.71497624948411409</v>
      </c>
      <c r="V247" s="382">
        <f t="shared" si="85"/>
        <v>51.027592857650653</v>
      </c>
      <c r="W247" s="400">
        <f t="shared" si="86"/>
        <v>39.712376745373824</v>
      </c>
      <c r="X247" s="157">
        <f t="shared" si="87"/>
        <v>45159</v>
      </c>
      <c r="Y247" s="383">
        <f t="shared" si="88"/>
        <v>39.046906135906752</v>
      </c>
      <c r="Z247" s="383">
        <f t="shared" si="89"/>
        <v>40.327653711867747</v>
      </c>
      <c r="AA247" s="384">
        <f t="shared" si="90"/>
        <v>41.806193724908809</v>
      </c>
      <c r="AB247" s="197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3.53665302029188E-2</v>
      </c>
      <c r="AD247" s="230">
        <f>(INDEX(Models!$BJ247:$BT247,,AH247)*(1-AF247)+INDEX(Models!$BJ247:$BT247,,AH247+1)*AF247-ERP_i)*AE247*Ramure*Pc/MaxiM</f>
        <v>3.7432878320511394E-3</v>
      </c>
      <c r="AE247" s="304">
        <f t="shared" si="92"/>
        <v>0.7</v>
      </c>
      <c r="AF247" s="177">
        <f t="shared" si="93"/>
        <v>0.77930847174394624</v>
      </c>
      <c r="AG247" s="799">
        <f t="shared" si="99"/>
        <v>0</v>
      </c>
      <c r="AH247" s="176">
        <f t="shared" si="94"/>
        <v>6</v>
      </c>
      <c r="AI247" s="224">
        <f t="shared" si="95"/>
        <v>0.77930847174394624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45160</v>
      </c>
      <c r="B248" s="409">
        <f>'2022'!Wh/'2022'!Env_an*'2023'!Env_an</f>
        <v>27.888915920989565</v>
      </c>
      <c r="C248" s="829"/>
      <c r="D248" s="391">
        <f t="shared" si="77"/>
        <v>28.804230856954796</v>
      </c>
      <c r="E248" s="383">
        <f t="shared" si="100"/>
        <v>29.365977955503713</v>
      </c>
      <c r="F248" s="383">
        <f t="shared" si="78"/>
        <v>29.403983017319369</v>
      </c>
      <c r="G248" s="110">
        <f t="shared" si="101"/>
        <v>0.54695162196719005</v>
      </c>
      <c r="H248" s="412" t="b">
        <f>Wh_hp&gt;='2022'!Maxi_hp</f>
        <v>0</v>
      </c>
      <c r="I248" s="379">
        <f>IF(H248,Wh_hp,'2022'!Maxi_hp)</f>
        <v>55.500972969341134</v>
      </c>
      <c r="J248" s="85">
        <f>IF(H248,An,'2022'!An_max)</f>
        <v>2018</v>
      </c>
      <c r="K248" s="197">
        <f t="shared" si="79"/>
        <v>45160</v>
      </c>
      <c r="L248" s="147">
        <f>IF(t&lt;Tvie,1-EXP((T0-t)*PertePVj)+'2022'!Pspv,1-EXP((T0-t)*PertePVj)+Pspv)</f>
        <v>3.177710040274262E-2</v>
      </c>
      <c r="M248" s="832"/>
      <c r="N248" s="832"/>
      <c r="O248" s="48">
        <f>IF(t&lt;Tnet,'2022'!Resal+('2022'!Salim-'2022'!Resal)*(1-EXP(('2022'!Tnet-t)/('2022'!Tau_j))),Resal+(Salim-Resal)*(1-EXP((Tnet-t)/(Tau_j))))*Salcycl</f>
        <v>1.9129180693389331E-2</v>
      </c>
      <c r="P248" s="338">
        <f>(INDEX(Models!$BJ248:$BT248,,T248)*(1-R248)+INDEX(Models!$BJ248:$BT248,,T248+1)*R248-ERP_i)*Q248*Ramure*Pc/MaxiM</f>
        <v>3.6446564360830278E-3</v>
      </c>
      <c r="Q248" s="304">
        <f t="shared" si="80"/>
        <v>0.7</v>
      </c>
      <c r="R248" s="177">
        <f t="shared" si="81"/>
        <v>0.71573414896540888</v>
      </c>
      <c r="S248" s="799">
        <f t="shared" si="82"/>
        <v>0</v>
      </c>
      <c r="T248" s="176">
        <f t="shared" si="83"/>
        <v>6</v>
      </c>
      <c r="U248" s="250">
        <f t="shared" si="84"/>
        <v>0.71573414896540888</v>
      </c>
      <c r="V248" s="382">
        <f t="shared" si="85"/>
        <v>50.869640395822024</v>
      </c>
      <c r="W248" s="400">
        <f t="shared" si="86"/>
        <v>27.888915920989565</v>
      </c>
      <c r="X248" s="157">
        <f t="shared" si="87"/>
        <v>45160</v>
      </c>
      <c r="Y248" s="383">
        <f t="shared" si="88"/>
        <v>27.423508904904072</v>
      </c>
      <c r="Z248" s="383">
        <f t="shared" si="89"/>
        <v>28.323549170662222</v>
      </c>
      <c r="AA248" s="384">
        <f t="shared" si="90"/>
        <v>29.364270201818297</v>
      </c>
      <c r="AB248" s="197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3.5441746857772419E-2</v>
      </c>
      <c r="AD248" s="230">
        <f>(INDEX(Models!$BJ248:$BT248,,AH248)*(1-AF248)+INDEX(Models!$BJ248:$BT248,,AH248+1)*AF248-ERP_i)*AE248*Ramure*Pc/MaxiM</f>
        <v>3.8084287117602133E-3</v>
      </c>
      <c r="AE248" s="304">
        <f t="shared" si="92"/>
        <v>0.7</v>
      </c>
      <c r="AF248" s="177">
        <f t="shared" si="93"/>
        <v>0.78006637122524103</v>
      </c>
      <c r="AG248" s="799">
        <f t="shared" si="99"/>
        <v>0</v>
      </c>
      <c r="AH248" s="176">
        <f t="shared" si="94"/>
        <v>6</v>
      </c>
      <c r="AI248" s="224">
        <f t="shared" si="95"/>
        <v>0.78006637122524103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45161</v>
      </c>
      <c r="B249" s="409">
        <f>'2022'!Wh/'2022'!Env_an*'2023'!Env_an</f>
        <v>43.393605453032514</v>
      </c>
      <c r="C249" s="829"/>
      <c r="D249" s="391">
        <f t="shared" si="77"/>
        <v>44.818643636263928</v>
      </c>
      <c r="E249" s="383">
        <f t="shared" si="100"/>
        <v>45.697145253956243</v>
      </c>
      <c r="F249" s="383">
        <f t="shared" si="78"/>
        <v>45.832393205366451</v>
      </c>
      <c r="G249" s="110">
        <f t="shared" si="101"/>
        <v>0.85506200976357583</v>
      </c>
      <c r="H249" s="412" t="b">
        <f>Wh_hp&gt;='2022'!Maxi_hp</f>
        <v>0</v>
      </c>
      <c r="I249" s="379">
        <f>IF(H249,Wh_hp,'2022'!Maxi_hp)</f>
        <v>53.062243382697936</v>
      </c>
      <c r="J249" s="85">
        <f>IF(H249,An,'2022'!An_max)</f>
        <v>2018</v>
      </c>
      <c r="K249" s="197">
        <f t="shared" si="79"/>
        <v>45161</v>
      </c>
      <c r="L249" s="147">
        <f>IF(t&lt;Tvie,1-EXP((T0-t)*PertePVj)+'2022'!Pspv,1-EXP((T0-t)*PertePVj)+Pspv)</f>
        <v>3.1795656173726261E-2</v>
      </c>
      <c r="M249" s="832"/>
      <c r="N249" s="832"/>
      <c r="O249" s="48">
        <f>IF(t&lt;Tnet,'2022'!Resal+('2022'!Salim-'2022'!Resal)*(1-EXP(('2022'!Tnet-t)/('2022'!Tau_j))),Resal+(Salim-Resal)*(1-EXP((Tnet-t)/(Tau_j))))*Salcycl</f>
        <v>1.9224431040717107E-2</v>
      </c>
      <c r="P249" s="338">
        <f>(INDEX(Models!$BJ249:$BT249,,T249)*(1-R249)+INDEX(Models!$BJ249:$BT249,,T249+1)*R249-ERP_i)*Q249*Ramure*Pc/MaxiM</f>
        <v>3.717068136385704E-3</v>
      </c>
      <c r="Q249" s="304">
        <f t="shared" si="80"/>
        <v>0.7</v>
      </c>
      <c r="R249" s="177">
        <f t="shared" si="81"/>
        <v>0.71646437479291791</v>
      </c>
      <c r="S249" s="799">
        <f t="shared" si="82"/>
        <v>0</v>
      </c>
      <c r="T249" s="176">
        <f t="shared" si="83"/>
        <v>6</v>
      </c>
      <c r="U249" s="250">
        <f t="shared" si="84"/>
        <v>0.71646437479291791</v>
      </c>
      <c r="V249" s="382">
        <f t="shared" si="85"/>
        <v>50.710078152982341</v>
      </c>
      <c r="W249" s="400">
        <f t="shared" si="86"/>
        <v>43.393605453032514</v>
      </c>
      <c r="X249" s="157">
        <f t="shared" si="87"/>
        <v>45161</v>
      </c>
      <c r="Y249" s="383">
        <f t="shared" si="88"/>
        <v>42.667048563125341</v>
      </c>
      <c r="Z249" s="383">
        <f t="shared" si="89"/>
        <v>44.068226749023083</v>
      </c>
      <c r="AA249" s="384">
        <f t="shared" si="90"/>
        <v>45.691023183685509</v>
      </c>
      <c r="AB249" s="197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3.551674533832419E-2</v>
      </c>
      <c r="AD249" s="230">
        <f>(INDEX(Models!$BJ249:$BT249,,AH249)*(1-AF249)+INDEX(Models!$BJ249:$BT249,,AH249+1)*AF249-ERP_i)*AE249*Ramure*Pc/MaxiM</f>
        <v>3.8853231975144349E-3</v>
      </c>
      <c r="AE249" s="304">
        <f t="shared" si="92"/>
        <v>0.7</v>
      </c>
      <c r="AF249" s="177">
        <f t="shared" si="93"/>
        <v>0.78079659705275006</v>
      </c>
      <c r="AG249" s="799">
        <f t="shared" si="99"/>
        <v>0</v>
      </c>
      <c r="AH249" s="176">
        <f t="shared" si="94"/>
        <v>6</v>
      </c>
      <c r="AI249" s="224">
        <f t="shared" si="95"/>
        <v>0.78079659705275006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45162</v>
      </c>
      <c r="B250" s="409">
        <f>'2022'!Wh/'2022'!Env_an*'2023'!Env_an</f>
        <v>50.748588668671026</v>
      </c>
      <c r="C250" s="829"/>
      <c r="D250" s="391">
        <f t="shared" si="77"/>
        <v>52.41616771917834</v>
      </c>
      <c r="E250" s="383">
        <f t="shared" si="100"/>
        <v>53.448770636871579</v>
      </c>
      <c r="F250" s="383">
        <f t="shared" si="78"/>
        <v>53.652701401553522</v>
      </c>
      <c r="G250" s="110">
        <f t="shared" si="101"/>
        <v>1.0039564200847317</v>
      </c>
      <c r="H250" s="412" t="b">
        <f>Wh_hp&gt;='2022'!Maxi_hp</f>
        <v>1</v>
      </c>
      <c r="I250" s="379">
        <f>IF(H250,Wh_hp,'2022'!Maxi_hp)</f>
        <v>53.652701401553522</v>
      </c>
      <c r="J250" s="85">
        <f>IF(H250,An,'2022'!An_max)</f>
        <v>2023</v>
      </c>
      <c r="K250" s="197">
        <f t="shared" si="79"/>
        <v>45162</v>
      </c>
      <c r="L250" s="147">
        <f>IF(t&lt;Tvie,1-EXP((T0-t)*PertePVj)+'2022'!Pspv,1-EXP((T0-t)*PertePVj)+Pspv)</f>
        <v>3.1814211589092811E-2</v>
      </c>
      <c r="M250" s="832"/>
      <c r="N250" s="832"/>
      <c r="O250" s="48">
        <f>IF(t&lt;Tnet,'2022'!Resal+('2022'!Salim-'2022'!Resal)*(1-EXP(('2022'!Tnet-t)/('2022'!Tau_j))),Resal+(Salim-Resal)*(1-EXP((Tnet-t)/(Tau_j))))*Salcycl</f>
        <v>1.9319488650332065E-2</v>
      </c>
      <c r="P250" s="338">
        <f>(INDEX(Models!$BJ250:$BT250,,T250)*(1-R250)+INDEX(Models!$BJ250:$BT250,,T250+1)*R250-ERP_i)*Q250*Ramure*Pc/MaxiM</f>
        <v>3.8009412267178372E-3</v>
      </c>
      <c r="Q250" s="304">
        <f t="shared" si="80"/>
        <v>0.7</v>
      </c>
      <c r="R250" s="177">
        <f t="shared" si="81"/>
        <v>0.71716783203264933</v>
      </c>
      <c r="S250" s="799">
        <f t="shared" si="82"/>
        <v>0</v>
      </c>
      <c r="T250" s="176">
        <f t="shared" si="83"/>
        <v>6</v>
      </c>
      <c r="U250" s="250">
        <f t="shared" si="84"/>
        <v>0.71716783203264933</v>
      </c>
      <c r="V250" s="382">
        <f t="shared" si="85"/>
        <v>50.548597183519128</v>
      </c>
      <c r="W250" s="400">
        <f t="shared" si="86"/>
        <v>50.748588668671026</v>
      </c>
      <c r="X250" s="157">
        <f t="shared" si="87"/>
        <v>45162</v>
      </c>
      <c r="Y250" s="383">
        <f t="shared" si="88"/>
        <v>49.897863022454779</v>
      </c>
      <c r="Z250" s="383">
        <f t="shared" si="89"/>
        <v>51.537487556342498</v>
      </c>
      <c r="AA250" s="384">
        <f t="shared" si="90"/>
        <v>53.439479890319276</v>
      </c>
      <c r="AB250" s="197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3.5591520311958155E-2</v>
      </c>
      <c r="AD250" s="230">
        <f>(INDEX(Models!$BJ250:$BT250,,AH250)*(1-AF250)+INDEX(Models!$BJ250:$BT250,,AH250+1)*AF250-ERP_i)*AE250*Ramure*Pc/MaxiM</f>
        <v>3.9741057889783665E-3</v>
      </c>
      <c r="AE250" s="304">
        <f t="shared" si="92"/>
        <v>0.7</v>
      </c>
      <c r="AF250" s="177">
        <f t="shared" si="93"/>
        <v>0.78150005429248148</v>
      </c>
      <c r="AG250" s="799">
        <f t="shared" si="99"/>
        <v>0</v>
      </c>
      <c r="AH250" s="176">
        <f t="shared" si="94"/>
        <v>6</v>
      </c>
      <c r="AI250" s="224">
        <f t="shared" si="95"/>
        <v>0.78150005429248148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45163</v>
      </c>
      <c r="B251" s="409">
        <f>'2022'!Wh/'2022'!Env_an*'2023'!Env_an</f>
        <v>28.575227936835088</v>
      </c>
      <c r="C251" s="829"/>
      <c r="D251" s="391">
        <f t="shared" si="77"/>
        <v>29.514764549432908</v>
      </c>
      <c r="E251" s="383">
        <f t="shared" si="100"/>
        <v>30.099119388909681</v>
      </c>
      <c r="F251" s="383">
        <f t="shared" si="78"/>
        <v>30.143942685289634</v>
      </c>
      <c r="G251" s="110">
        <f t="shared" si="101"/>
        <v>0.56577033263716869</v>
      </c>
      <c r="H251" s="412" t="b">
        <f>Wh_hp&gt;='2022'!Maxi_hp</f>
        <v>0</v>
      </c>
      <c r="I251" s="379">
        <f>IF(H251,Wh_hp,'2022'!Maxi_hp)</f>
        <v>51.419146627981888</v>
      </c>
      <c r="J251" s="85">
        <f>IF(H251,An,'2022'!An_max)</f>
        <v>2021</v>
      </c>
      <c r="K251" s="197">
        <f t="shared" si="79"/>
        <v>45163</v>
      </c>
      <c r="L251" s="147">
        <f>IF(t&lt;Tvie,1-EXP((T0-t)*PertePVj)+'2022'!Pspv,1-EXP((T0-t)*PertePVj)+Pspv)</f>
        <v>3.1832766648849042E-2</v>
      </c>
      <c r="M251" s="832"/>
      <c r="N251" s="832"/>
      <c r="O251" s="48">
        <f>IF(t&lt;Tnet,'2022'!Resal+('2022'!Salim-'2022'!Resal)*(1-EXP(('2022'!Tnet-t)/('2022'!Tau_j))),Resal+(Salim-Resal)*(1-EXP((Tnet-t)/(Tau_j))))*Salcycl</f>
        <v>1.9414350032183499E-2</v>
      </c>
      <c r="P251" s="338">
        <f>(INDEX(Models!$BJ251:$BT251,,T251)*(1-R251)+INDEX(Models!$BJ251:$BT251,,T251+1)*R251-ERP_i)*Q251*Ramure*Pc/MaxiM</f>
        <v>3.8964106472817979E-3</v>
      </c>
      <c r="Q251" s="304">
        <f t="shared" si="80"/>
        <v>0.7</v>
      </c>
      <c r="R251" s="177">
        <f t="shared" si="81"/>
        <v>0.71784540416702103</v>
      </c>
      <c r="S251" s="799">
        <f t="shared" si="82"/>
        <v>0</v>
      </c>
      <c r="T251" s="176">
        <f t="shared" si="83"/>
        <v>6</v>
      </c>
      <c r="U251" s="250">
        <f t="shared" si="84"/>
        <v>0.71784540416702103</v>
      </c>
      <c r="V251" s="382">
        <f t="shared" si="85"/>
        <v>50.384888700365259</v>
      </c>
      <c r="W251" s="400">
        <f t="shared" si="86"/>
        <v>28.575227936835088</v>
      </c>
      <c r="X251" s="157">
        <f t="shared" si="87"/>
        <v>45163</v>
      </c>
      <c r="Y251" s="383">
        <f t="shared" si="88"/>
        <v>28.099719773955222</v>
      </c>
      <c r="Z251" s="383">
        <f t="shared" si="89"/>
        <v>29.023621959083126</v>
      </c>
      <c r="AA251" s="384">
        <f t="shared" si="90"/>
        <v>30.097065905043973</v>
      </c>
      <c r="AB251" s="197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3.5666066232088976E-2</v>
      </c>
      <c r="AD251" s="230">
        <f>(INDEX(Models!$BJ251:$BT251,,AH251)*(1-AF251)+INDEX(Models!$BJ251:$BT251,,AH251+1)*AF251-ERP_i)*AE251*Ramure*Pc/MaxiM</f>
        <v>4.0749164030957127E-3</v>
      </c>
      <c r="AE251" s="304">
        <f t="shared" si="92"/>
        <v>0.7</v>
      </c>
      <c r="AF251" s="177">
        <f t="shared" si="93"/>
        <v>0.78217762642685318</v>
      </c>
      <c r="AG251" s="799">
        <f t="shared" si="99"/>
        <v>0</v>
      </c>
      <c r="AH251" s="176">
        <f t="shared" si="94"/>
        <v>6</v>
      </c>
      <c r="AI251" s="224">
        <f t="shared" si="95"/>
        <v>0.78217762642685318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45164</v>
      </c>
      <c r="B252" s="409">
        <f>'2022'!Wh/'2022'!Env_an*'2023'!Env_an</f>
        <v>36.517862026937067</v>
      </c>
      <c r="C252" s="829"/>
      <c r="D252" s="391">
        <f t="shared" si="77"/>
        <v>37.719270637203479</v>
      </c>
      <c r="E252" s="383">
        <f t="shared" si="100"/>
        <v>38.469777980212164</v>
      </c>
      <c r="F252" s="383">
        <f t="shared" si="78"/>
        <v>38.563998265927324</v>
      </c>
      <c r="G252" s="110">
        <f t="shared" si="101"/>
        <v>0.72603991446645577</v>
      </c>
      <c r="H252" s="412" t="b">
        <f>Wh_hp&gt;='2022'!Maxi_hp</f>
        <v>0</v>
      </c>
      <c r="I252" s="379">
        <f>IF(H252,Wh_hp,'2022'!Maxi_hp)</f>
        <v>52.553587232779272</v>
      </c>
      <c r="J252" s="85">
        <f>IF(H252,An,'2022'!An_max)</f>
        <v>2020</v>
      </c>
      <c r="K252" s="197">
        <f t="shared" si="79"/>
        <v>45164</v>
      </c>
      <c r="L252" s="147">
        <f>IF(t&lt;Tvie,1-EXP((T0-t)*PertePVj)+'2022'!Pspv,1-EXP((T0-t)*PertePVj)+Pspv)</f>
        <v>3.1851321353001727E-2</v>
      </c>
      <c r="M252" s="832"/>
      <c r="N252" s="832"/>
      <c r="O252" s="48">
        <f>IF(t&lt;Tnet,'2022'!Resal+('2022'!Salim-'2022'!Resal)*(1-EXP(('2022'!Tnet-t)/('2022'!Tau_j))),Resal+(Salim-Resal)*(1-EXP((Tnet-t)/(Tau_j))))*Salcycl</f>
        <v>1.9509011551736264E-2</v>
      </c>
      <c r="P252" s="338">
        <f>(INDEX(Models!$BJ252:$BT252,,T252)*(1-R252)+INDEX(Models!$BJ252:$BT252,,T252+1)*R252-ERP_i)*Q252*Ramure*Pc/MaxiM</f>
        <v>4.0036136120849726E-3</v>
      </c>
      <c r="Q252" s="304">
        <f t="shared" si="80"/>
        <v>0.7</v>
      </c>
      <c r="R252" s="177">
        <f t="shared" si="81"/>
        <v>0.71849795296814389</v>
      </c>
      <c r="S252" s="799">
        <f t="shared" si="82"/>
        <v>0</v>
      </c>
      <c r="T252" s="176">
        <f t="shared" si="83"/>
        <v>6</v>
      </c>
      <c r="U252" s="250">
        <f t="shared" si="84"/>
        <v>0.71849795296814389</v>
      </c>
      <c r="V252" s="382">
        <f t="shared" si="85"/>
        <v>50.218644260425215</v>
      </c>
      <c r="W252" s="400">
        <f t="shared" si="86"/>
        <v>36.517862026937067</v>
      </c>
      <c r="X252" s="157">
        <f t="shared" si="87"/>
        <v>45164</v>
      </c>
      <c r="Y252" s="383">
        <f t="shared" si="88"/>
        <v>35.909284798821339</v>
      </c>
      <c r="Z252" s="383">
        <f t="shared" si="89"/>
        <v>37.090671702413601</v>
      </c>
      <c r="AA252" s="384">
        <f t="shared" si="90"/>
        <v>38.465441081183208</v>
      </c>
      <c r="AB252" s="197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3.5740377339443137E-2</v>
      </c>
      <c r="AD252" s="230">
        <f>(INDEX(Models!$BJ252:$BT252,,AH252)*(1-AF252)+INDEX(Models!$BJ252:$BT252,,AH252+1)*AF252-ERP_i)*AE252*Ramure*Pc/MaxiM</f>
        <v>4.1878973664247763E-3</v>
      </c>
      <c r="AE252" s="304">
        <f t="shared" si="92"/>
        <v>0.7</v>
      </c>
      <c r="AF252" s="177">
        <f t="shared" si="93"/>
        <v>0.78283017522797604</v>
      </c>
      <c r="AG252" s="799">
        <f t="shared" si="99"/>
        <v>0</v>
      </c>
      <c r="AH252" s="176">
        <f t="shared" si="94"/>
        <v>6</v>
      </c>
      <c r="AI252" s="224">
        <f t="shared" si="95"/>
        <v>0.78283017522797604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45165</v>
      </c>
      <c r="B253" s="409">
        <f>'2022'!Wh/'2022'!Env_an*'2023'!Env_an</f>
        <v>46.21662165953645</v>
      </c>
      <c r="C253" s="829"/>
      <c r="D253" s="391">
        <f t="shared" si="77"/>
        <v>47.73802663461943</v>
      </c>
      <c r="E253" s="383">
        <f t="shared" si="100"/>
        <v>48.692569940801405</v>
      </c>
      <c r="F253" s="383">
        <f t="shared" si="78"/>
        <v>48.872011047705591</v>
      </c>
      <c r="G253" s="110">
        <f t="shared" si="101"/>
        <v>0.92299919045789058</v>
      </c>
      <c r="H253" s="412" t="b">
        <f>Wh_hp&gt;='2022'!Maxi_hp</f>
        <v>0</v>
      </c>
      <c r="I253" s="379">
        <f>IF(H253,Wh_hp,'2022'!Maxi_hp)</f>
        <v>48.878387229783151</v>
      </c>
      <c r="J253" s="85">
        <f>IF(H253,An,'2022'!An_max)</f>
        <v>2022</v>
      </c>
      <c r="K253" s="197">
        <f t="shared" si="79"/>
        <v>45165</v>
      </c>
      <c r="L253" s="147">
        <f>IF(t&lt;Tvie,1-EXP((T0-t)*PertePVj)+'2022'!Pspv,1-EXP((T0-t)*PertePVj)+Pspv)</f>
        <v>3.1869875701557859E-2</v>
      </c>
      <c r="M253" s="832"/>
      <c r="N253" s="832"/>
      <c r="O253" s="48">
        <f>IF(t&lt;Tnet,'2022'!Resal+('2022'!Salim-'2022'!Resal)*(1-EXP(('2022'!Tnet-t)/('2022'!Tau_j))),Resal+(Salim-Resal)*(1-EXP((Tnet-t)/(Tau_j))))*Salcycl</f>
        <v>1.9603469427522016E-2</v>
      </c>
      <c r="P253" s="338">
        <f>(INDEX(Models!$BJ253:$BT253,,T253)*(1-R253)+INDEX(Models!$BJ253:$BT253,,T253+1)*R253-ERP_i)*Q253*Ramure*Pc/MaxiM</f>
        <v>4.1226927867468168E-3</v>
      </c>
      <c r="Q253" s="304">
        <f t="shared" si="80"/>
        <v>0.7</v>
      </c>
      <c r="R253" s="177">
        <f t="shared" si="81"/>
        <v>0.71912631843634167</v>
      </c>
      <c r="S253" s="799">
        <f t="shared" si="82"/>
        <v>0</v>
      </c>
      <c r="T253" s="176">
        <f t="shared" si="83"/>
        <v>6</v>
      </c>
      <c r="U253" s="250">
        <f t="shared" si="84"/>
        <v>0.71912631843634167</v>
      </c>
      <c r="V253" s="382">
        <f t="shared" si="85"/>
        <v>50.049555645483572</v>
      </c>
      <c r="W253" s="400">
        <f t="shared" si="86"/>
        <v>46.21662165953645</v>
      </c>
      <c r="X253" s="157">
        <f t="shared" si="87"/>
        <v>45165</v>
      </c>
      <c r="Y253" s="383">
        <f t="shared" si="88"/>
        <v>45.44468411796354</v>
      </c>
      <c r="Z253" s="383">
        <f t="shared" si="89"/>
        <v>46.940677681004033</v>
      </c>
      <c r="AA253" s="384">
        <f t="shared" si="90"/>
        <v>48.684278214990151</v>
      </c>
      <c r="AB253" s="197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3.5814447659804405E-2</v>
      </c>
      <c r="AD253" s="230">
        <f>(INDEX(Models!$BJ253:$BT253,,AH253)*(1-AF253)+INDEX(Models!$BJ253:$BT253,,AH253+1)*AF253-ERP_i)*AE253*Ramure*Pc/MaxiM</f>
        <v>4.313196728577608E-3</v>
      </c>
      <c r="AE253" s="304">
        <f t="shared" si="92"/>
        <v>0.7</v>
      </c>
      <c r="AF253" s="177">
        <f t="shared" si="93"/>
        <v>0.78345854069617382</v>
      </c>
      <c r="AG253" s="799">
        <f t="shared" si="99"/>
        <v>0</v>
      </c>
      <c r="AH253" s="176">
        <f t="shared" si="94"/>
        <v>6</v>
      </c>
      <c r="AI253" s="224">
        <f t="shared" si="95"/>
        <v>0.78345854069617382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45166</v>
      </c>
      <c r="B254" s="409">
        <f>'2022'!Wh/'2022'!Env_an*'2023'!Env_an</f>
        <v>49.411926525694611</v>
      </c>
      <c r="C254" s="829"/>
      <c r="D254" s="391">
        <f t="shared" si="77"/>
        <v>51.039495902422971</v>
      </c>
      <c r="E254" s="383">
        <f t="shared" si="100"/>
        <v>52.065058838994986</v>
      </c>
      <c r="F254" s="383">
        <f t="shared" si="78"/>
        <v>52.284326103539371</v>
      </c>
      <c r="G254" s="110">
        <f t="shared" si="101"/>
        <v>0.99060959876960131</v>
      </c>
      <c r="H254" s="412" t="b">
        <f>Wh_hp&gt;='2022'!Maxi_hp</f>
        <v>0</v>
      </c>
      <c r="I254" s="379">
        <f>IF(H254,Wh_hp,'2022'!Maxi_hp)</f>
        <v>53.319342181775433</v>
      </c>
      <c r="J254" s="85">
        <f>IF(H254,An,'2022'!An_max)</f>
        <v>2021</v>
      </c>
      <c r="K254" s="197">
        <f t="shared" si="79"/>
        <v>45166</v>
      </c>
      <c r="L254" s="147">
        <f>IF(t&lt;Tvie,1-EXP((T0-t)*PertePVj)+'2022'!Pspv,1-EXP((T0-t)*PertePVj)+Pspv)</f>
        <v>3.188842969452399E-2</v>
      </c>
      <c r="M254" s="832"/>
      <c r="N254" s="832"/>
      <c r="O254" s="48">
        <f>IF(t&lt;Tnet,'2022'!Resal+('2022'!Salim-'2022'!Resal)*(1-EXP(('2022'!Tnet-t)/('2022'!Tau_j))),Resal+(Salim-Resal)*(1-EXP((Tnet-t)/(Tau_j))))*Salcycl</f>
        <v>1.9697719726841072E-2</v>
      </c>
      <c r="P254" s="338">
        <f>(INDEX(Models!$BJ254:$BT254,,T254)*(1-R254)+INDEX(Models!$BJ254:$BT254,,T254+1)*R254-ERP_i)*Q254*Ramure*Pc/MaxiM</f>
        <v>4.2504240243386188E-3</v>
      </c>
      <c r="Q254" s="304">
        <f t="shared" si="80"/>
        <v>0.7</v>
      </c>
      <c r="R254" s="177">
        <f t="shared" si="81"/>
        <v>0.71973131879838959</v>
      </c>
      <c r="S254" s="799">
        <f t="shared" si="82"/>
        <v>0</v>
      </c>
      <c r="T254" s="176">
        <f t="shared" si="83"/>
        <v>6</v>
      </c>
      <c r="U254" s="250">
        <f t="shared" si="84"/>
        <v>0.71973131879838959</v>
      </c>
      <c r="V254" s="382">
        <f t="shared" si="85"/>
        <v>49.877483823390101</v>
      </c>
      <c r="W254" s="400">
        <f t="shared" si="86"/>
        <v>49.411926525694611</v>
      </c>
      <c r="X254" s="157">
        <f t="shared" si="87"/>
        <v>45166</v>
      </c>
      <c r="Y254" s="383">
        <f t="shared" si="88"/>
        <v>48.58636250318812</v>
      </c>
      <c r="Z254" s="383">
        <f t="shared" si="89"/>
        <v>50.18673879484497</v>
      </c>
      <c r="AA254" s="384">
        <f t="shared" si="90"/>
        <v>52.05489912130421</v>
      </c>
      <c r="AB254" s="197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3.5888270998390447E-2</v>
      </c>
      <c r="AD254" s="230">
        <f>(INDEX(Models!$BJ254:$BT254,,AH254)*(1-AF254)+INDEX(Models!$BJ254:$BT254,,AH254+1)*AF254-ERP_i)*AE254*Ramure*Pc/MaxiM</f>
        <v>4.4473668203508726E-3</v>
      </c>
      <c r="AE254" s="304">
        <f t="shared" si="92"/>
        <v>0.7</v>
      </c>
      <c r="AF254" s="177">
        <f t="shared" si="93"/>
        <v>0.78406354105822174</v>
      </c>
      <c r="AG254" s="799">
        <f t="shared" si="99"/>
        <v>0</v>
      </c>
      <c r="AH254" s="176">
        <f t="shared" si="94"/>
        <v>6</v>
      </c>
      <c r="AI254" s="224">
        <f t="shared" si="95"/>
        <v>0.78406354105822174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45167</v>
      </c>
      <c r="B255" s="409">
        <f>'2022'!Wh/'2022'!Env_an*'2023'!Env_an</f>
        <v>33.151284452048543</v>
      </c>
      <c r="C255" s="829"/>
      <c r="D255" s="391">
        <f t="shared" si="77"/>
        <v>34.243904130355219</v>
      </c>
      <c r="E255" s="383">
        <f t="shared" si="100"/>
        <v>34.935335855828953</v>
      </c>
      <c r="F255" s="383">
        <f t="shared" si="78"/>
        <v>35.015738019542056</v>
      </c>
      <c r="G255" s="110">
        <f t="shared" si="101"/>
        <v>0.6656016478400365</v>
      </c>
      <c r="H255" s="412" t="b">
        <f>Wh_hp&gt;='2022'!Maxi_hp</f>
        <v>0</v>
      </c>
      <c r="I255" s="379">
        <f>IF(H255,Wh_hp,'2022'!Maxi_hp)</f>
        <v>52.692719517671406</v>
      </c>
      <c r="J255" s="85">
        <f>IF(H255,An,'2022'!An_max)</f>
        <v>2021</v>
      </c>
      <c r="K255" s="197">
        <f t="shared" si="79"/>
        <v>45167</v>
      </c>
      <c r="L255" s="147">
        <f>IF(t&lt;Tvie,1-EXP((T0-t)*PertePVj)+'2022'!Pspv,1-EXP((T0-t)*PertePVj)+Pspv)</f>
        <v>3.1906983331907224E-2</v>
      </c>
      <c r="M255" s="832"/>
      <c r="N255" s="832"/>
      <c r="O255" s="48">
        <f>IF(t&lt;Tnet,'2022'!Resal+('2022'!Salim-'2022'!Resal)*(1-EXP(('2022'!Tnet-t)/('2022'!Tau_j))),Resal+(Salim-Resal)*(1-EXP((Tnet-t)/(Tau_j))))*Salcycl</f>
        <v>1.9791758359705935E-2</v>
      </c>
      <c r="P255" s="338">
        <f>(INDEX(Models!$BJ255:$BT255,,T255)*(1-R255)+INDEX(Models!$BJ255:$BT255,,T255+1)*R255-ERP_i)*Q255*Ramure*Pc/MaxiM</f>
        <v>4.3796851563215273E-3</v>
      </c>
      <c r="Q255" s="304">
        <f t="shared" si="80"/>
        <v>0.7</v>
      </c>
      <c r="R255" s="177">
        <f t="shared" si="81"/>
        <v>0.72031375056022529</v>
      </c>
      <c r="S255" s="799">
        <f t="shared" si="82"/>
        <v>0</v>
      </c>
      <c r="T255" s="176">
        <f t="shared" si="83"/>
        <v>6</v>
      </c>
      <c r="U255" s="250">
        <f t="shared" si="84"/>
        <v>0.72031375056022529</v>
      </c>
      <c r="V255" s="382">
        <f t="shared" si="85"/>
        <v>49.70248265467248</v>
      </c>
      <c r="W255" s="400">
        <f t="shared" si="86"/>
        <v>33.151284452048543</v>
      </c>
      <c r="X255" s="157">
        <f t="shared" si="87"/>
        <v>45167</v>
      </c>
      <c r="Y255" s="383">
        <f t="shared" si="88"/>
        <v>32.600921777589377</v>
      </c>
      <c r="Z255" s="383">
        <f t="shared" si="89"/>
        <v>33.675402276728214</v>
      </c>
      <c r="AA255" s="384">
        <f t="shared" si="90"/>
        <v>34.931607177513264</v>
      </c>
      <c r="AB255" s="197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3.5961840931089901E-2</v>
      </c>
      <c r="AD255" s="230">
        <f>(INDEX(Models!$BJ255:$BT255,,AH255)*(1-AF255)+INDEX(Models!$BJ255:$BT255,,AH255+1)*AF255-ERP_i)*AE255*Ramure*Pc/MaxiM</f>
        <v>4.5827945792245297E-3</v>
      </c>
      <c r="AE255" s="304">
        <f t="shared" si="92"/>
        <v>0.7</v>
      </c>
      <c r="AF255" s="177">
        <f t="shared" si="93"/>
        <v>0.78464597282005744</v>
      </c>
      <c r="AG255" s="799">
        <f t="shared" si="99"/>
        <v>0</v>
      </c>
      <c r="AH255" s="176">
        <f t="shared" si="94"/>
        <v>6</v>
      </c>
      <c r="AI255" s="224">
        <f t="shared" si="95"/>
        <v>0.78464597282005744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45168</v>
      </c>
      <c r="B256" s="409">
        <f>'2022'!Wh/'2022'!Env_an*'2023'!Env_an</f>
        <v>48.760152012289197</v>
      </c>
      <c r="C256" s="829"/>
      <c r="D256" s="391">
        <f t="shared" si="77"/>
        <v>50.368183292148963</v>
      </c>
      <c r="E256" s="383">
        <f t="shared" si="100"/>
        <v>51.390105399322323</v>
      </c>
      <c r="F256" s="383">
        <f t="shared" si="78"/>
        <v>51.617797055497064</v>
      </c>
      <c r="G256" s="110">
        <f t="shared" si="101"/>
        <v>0.98447302173627049</v>
      </c>
      <c r="H256" s="412" t="b">
        <f>Wh_hp&gt;='2022'!Maxi_hp</f>
        <v>0</v>
      </c>
      <c r="I256" s="379">
        <f>IF(H256,Wh_hp,'2022'!Maxi_hp)</f>
        <v>51.619286910358419</v>
      </c>
      <c r="J256" s="85">
        <f>IF(H256,An,'2022'!An_max)</f>
        <v>2022</v>
      </c>
      <c r="K256" s="197">
        <f t="shared" si="79"/>
        <v>45168</v>
      </c>
      <c r="L256" s="147">
        <f>IF(t&lt;Tvie,1-EXP((T0-t)*PertePVj)+'2022'!Pspv,1-EXP((T0-t)*PertePVj)+Pspv)</f>
        <v>3.1925536613714112E-2</v>
      </c>
      <c r="M256" s="832"/>
      <c r="N256" s="832"/>
      <c r="O256" s="48">
        <f>IF(t&lt;Tnet,'2022'!Resal+('2022'!Salim-'2022'!Resal)*(1-EXP(('2022'!Tnet-t)/('2022'!Tau_j))),Resal+(Salim-Resal)*(1-EXP((Tnet-t)/(Tau_j))))*Salcycl</f>
        <v>1.9885581071153773E-2</v>
      </c>
      <c r="P256" s="338">
        <f>(INDEX(Models!$BJ256:$BT256,,T256)*(1-R256)+INDEX(Models!$BJ256:$BT256,,T256+1)*R256-ERP_i)*Q256*Ramure*Pc/MaxiM</f>
        <v>4.5105237978505189E-3</v>
      </c>
      <c r="Q256" s="304">
        <f t="shared" si="80"/>
        <v>0.7</v>
      </c>
      <c r="R256" s="177">
        <f t="shared" si="81"/>
        <v>0.72087438860916497</v>
      </c>
      <c r="S256" s="799">
        <f t="shared" si="82"/>
        <v>0</v>
      </c>
      <c r="T256" s="176">
        <f t="shared" si="83"/>
        <v>6</v>
      </c>
      <c r="U256" s="250">
        <f t="shared" si="84"/>
        <v>0.72087438860916497</v>
      </c>
      <c r="V256" s="382">
        <f t="shared" si="85"/>
        <v>49.524244858336239</v>
      </c>
      <c r="W256" s="400">
        <f t="shared" si="86"/>
        <v>48.760152012289197</v>
      </c>
      <c r="X256" s="157">
        <f t="shared" si="87"/>
        <v>45168</v>
      </c>
      <c r="Y256" s="383">
        <f t="shared" si="88"/>
        <v>47.946874186578412</v>
      </c>
      <c r="Z256" s="383">
        <f t="shared" si="89"/>
        <v>49.528084873618255</v>
      </c>
      <c r="AA256" s="384">
        <f t="shared" si="90"/>
        <v>51.379554881440399</v>
      </c>
      <c r="AB256" s="197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3.6035150792848539E-2</v>
      </c>
      <c r="AD256" s="230">
        <f>(INDEX(Models!$BJ256:$BT256,,AH256)*(1-AF256)+INDEX(Models!$BJ256:$BT256,,AH256+1)*AF256-ERP_i)*AE256*Ramure*Pc/MaxiM</f>
        <v>4.7195273370470815E-3</v>
      </c>
      <c r="AE256" s="304">
        <f t="shared" si="92"/>
        <v>0.7</v>
      </c>
      <c r="AF256" s="177">
        <f t="shared" si="93"/>
        <v>0.78520661086899712</v>
      </c>
      <c r="AG256" s="799">
        <f t="shared" si="99"/>
        <v>0</v>
      </c>
      <c r="AH256" s="176">
        <f t="shared" si="94"/>
        <v>6</v>
      </c>
      <c r="AI256" s="224">
        <f t="shared" si="95"/>
        <v>0.78520661086899712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45169</v>
      </c>
      <c r="B257" s="409">
        <f>'2022'!Wh/'2022'!Env_an*'2023'!Env_an</f>
        <v>20.540936807813662</v>
      </c>
      <c r="C257" s="829"/>
      <c r="D257" s="391">
        <f t="shared" si="77"/>
        <v>21.218750472844086</v>
      </c>
      <c r="E257" s="383">
        <f t="shared" si="100"/>
        <v>21.651326292387747</v>
      </c>
      <c r="F257" s="383">
        <f t="shared" si="78"/>
        <v>21.668040056352059</v>
      </c>
      <c r="G257" s="110">
        <f t="shared" si="101"/>
        <v>0.41468031812519396</v>
      </c>
      <c r="H257" s="412" t="b">
        <f>Wh_hp&gt;='2022'!Maxi_hp</f>
        <v>0</v>
      </c>
      <c r="I257" s="379">
        <f>IF(H257,Wh_hp,'2022'!Maxi_hp)</f>
        <v>51.112198719060622</v>
      </c>
      <c r="J257" s="85">
        <f>IF(H257,An,'2022'!An_max)</f>
        <v>2021</v>
      </c>
      <c r="K257" s="197">
        <f t="shared" si="79"/>
        <v>45169</v>
      </c>
      <c r="L257" s="147">
        <f>IF(t&lt;Tvie,1-EXP((T0-t)*PertePVj)+'2022'!Pspv,1-EXP((T0-t)*PertePVj)+Pspv)</f>
        <v>3.1944089539951648E-2</v>
      </c>
      <c r="M257" s="832"/>
      <c r="N257" s="832"/>
      <c r="O257" s="48">
        <f>IF(t&lt;Tnet,'2022'!Resal+('2022'!Salim-'2022'!Resal)*(1-EXP(('2022'!Tnet-t)/('2022'!Tau_j))),Resal+(Salim-Resal)*(1-EXP((Tnet-t)/(Tau_j))))*Salcycl</f>
        <v>1.9979183432090569E-2</v>
      </c>
      <c r="P257" s="338">
        <f>(INDEX(Models!$BJ257:$BT257,,T257)*(1-R257)+INDEX(Models!$BJ257:$BT257,,T257+1)*R257-ERP_i)*Q257*Ramure*Pc/MaxiM</f>
        <v>4.6429925291862758E-3</v>
      </c>
      <c r="Q257" s="304">
        <f t="shared" si="80"/>
        <v>0.7</v>
      </c>
      <c r="R257" s="177">
        <f t="shared" si="81"/>
        <v>0.72141398636092513</v>
      </c>
      <c r="S257" s="799">
        <f t="shared" si="82"/>
        <v>0</v>
      </c>
      <c r="T257" s="176">
        <f t="shared" si="83"/>
        <v>6</v>
      </c>
      <c r="U257" s="250">
        <f t="shared" si="84"/>
        <v>0.72141398636092513</v>
      </c>
      <c r="V257" s="382">
        <f t="shared" si="85"/>
        <v>49.342463273291159</v>
      </c>
      <c r="W257" s="400">
        <f t="shared" si="86"/>
        <v>20.540936807813662</v>
      </c>
      <c r="X257" s="157">
        <f t="shared" si="87"/>
        <v>45169</v>
      </c>
      <c r="Y257" s="383">
        <f t="shared" si="88"/>
        <v>20.202156765839273</v>
      </c>
      <c r="Z257" s="383">
        <f t="shared" si="89"/>
        <v>20.868791303839693</v>
      </c>
      <c r="AA257" s="384">
        <f t="shared" si="90"/>
        <v>21.650553689378867</v>
      </c>
      <c r="AB257" s="197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3.6108193663549781E-2</v>
      </c>
      <c r="AD257" s="230">
        <f>(INDEX(Models!$BJ257:$BT257,,AH257)*(1-AF257)+INDEX(Models!$BJ257:$BT257,,AH257+1)*AF257-ERP_i)*AE257*Ramure*Pc/MaxiM</f>
        <v>4.8576174339007242E-3</v>
      </c>
      <c r="AE257" s="304">
        <f t="shared" si="92"/>
        <v>0.7</v>
      </c>
      <c r="AF257" s="177">
        <f t="shared" si="93"/>
        <v>0.78574620862075728</v>
      </c>
      <c r="AG257" s="799">
        <f t="shared" si="99"/>
        <v>0</v>
      </c>
      <c r="AH257" s="176">
        <f t="shared" si="94"/>
        <v>6</v>
      </c>
      <c r="AI257" s="224">
        <f t="shared" si="95"/>
        <v>0.78574620862075728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45170</v>
      </c>
      <c r="B258" s="409">
        <f>'2022'!Wh/'2022'!Env_an*'2023'!Env_an</f>
        <v>43.594680334253489</v>
      </c>
      <c r="C258" s="829"/>
      <c r="D258" s="391">
        <f t="shared" si="77"/>
        <v>45.034088797258441</v>
      </c>
      <c r="E258" s="383">
        <f t="shared" si="100"/>
        <v>45.956554533619496</v>
      </c>
      <c r="F258" s="383">
        <f t="shared" si="78"/>
        <v>46.141348297492257</v>
      </c>
      <c r="G258" s="110">
        <f t="shared" si="101"/>
        <v>0.88616130065558563</v>
      </c>
      <c r="H258" s="412" t="b">
        <f>Wh_hp&gt;='2022'!Maxi_hp</f>
        <v>0</v>
      </c>
      <c r="I258" s="379">
        <f>IF(H258,Wh_hp,'2022'!Maxi_hp)</f>
        <v>46.151627874383863</v>
      </c>
      <c r="J258" s="85">
        <f>IF(H258,An,'2022'!An_max)</f>
        <v>2022</v>
      </c>
      <c r="K258" s="197">
        <f t="shared" si="79"/>
        <v>45170</v>
      </c>
      <c r="L258" s="147">
        <f>IF(t&lt;Tvie,1-EXP((T0-t)*PertePVj)+'2022'!Pspv,1-EXP((T0-t)*PertePVj)+Pspv)</f>
        <v>3.1962642110626605E-2</v>
      </c>
      <c r="M258" s="832"/>
      <c r="N258" s="832"/>
      <c r="O258" s="48">
        <f>IF(t&lt;Tnet,'2022'!Resal+('2022'!Salim-'2022'!Resal)*(1-EXP(('2022'!Tnet-t)/('2022'!Tau_j))),Resal+(Salim-Resal)*(1-EXP((Tnet-t)/(Tau_j))))*Salcycl</f>
        <v>2.0072560828863335E-2</v>
      </c>
      <c r="P258" s="338">
        <f>(INDEX(Models!$BJ258:$BT258,,T258)*(1-R258)+INDEX(Models!$BJ258:$BT258,,T258+1)*R258-ERP_i)*Q258*Ramure*Pc/MaxiM</f>
        <v>4.7771490438658038E-3</v>
      </c>
      <c r="Q258" s="304">
        <f t="shared" si="80"/>
        <v>0.7</v>
      </c>
      <c r="R258" s="177">
        <f t="shared" si="81"/>
        <v>0.72193327594702228</v>
      </c>
      <c r="S258" s="799">
        <f t="shared" si="82"/>
        <v>0</v>
      </c>
      <c r="T258" s="176">
        <f t="shared" si="83"/>
        <v>6</v>
      </c>
      <c r="U258" s="250">
        <f t="shared" si="84"/>
        <v>0.72193327594702228</v>
      </c>
      <c r="V258" s="382">
        <f t="shared" si="85"/>
        <v>49.15683086164141</v>
      </c>
      <c r="W258" s="400">
        <f t="shared" si="86"/>
        <v>43.594680334253489</v>
      </c>
      <c r="X258" s="157">
        <f t="shared" si="87"/>
        <v>45170</v>
      </c>
      <c r="Y258" s="383">
        <f t="shared" si="88"/>
        <v>42.870116029286855</v>
      </c>
      <c r="Z258" s="383">
        <f t="shared" si="89"/>
        <v>44.285600839576297</v>
      </c>
      <c r="AA258" s="384">
        <f t="shared" si="90"/>
        <v>45.94804533809203</v>
      </c>
      <c r="AB258" s="197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3.6180962351787471E-2</v>
      </c>
      <c r="AD258" s="230">
        <f>(INDEX(Models!$BJ258:$BT258,,AH258)*(1-AF258)+INDEX(Models!$BJ258:$BT258,,AH258+1)*AF258-ERP_i)*AE258*Ramure*Pc/MaxiM</f>
        <v>4.9971223504655339E-3</v>
      </c>
      <c r="AE258" s="304">
        <f t="shared" si="92"/>
        <v>0.7</v>
      </c>
      <c r="AF258" s="177">
        <f t="shared" si="93"/>
        <v>0.78626549820685443</v>
      </c>
      <c r="AG258" s="799">
        <f t="shared" si="99"/>
        <v>0</v>
      </c>
      <c r="AH258" s="176">
        <f t="shared" si="94"/>
        <v>6</v>
      </c>
      <c r="AI258" s="224">
        <f t="shared" si="95"/>
        <v>0.78626549820685443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45171</v>
      </c>
      <c r="B259" s="409">
        <f>'2022'!Wh/'2022'!Env_an*'2023'!Env_an</f>
        <v>38.575783364325055</v>
      </c>
      <c r="C259" s="829"/>
      <c r="D259" s="391">
        <f t="shared" si="77"/>
        <v>39.850241687666241</v>
      </c>
      <c r="E259" s="383">
        <f t="shared" si="100"/>
        <v>40.670388892697254</v>
      </c>
      <c r="F259" s="383">
        <f t="shared" si="78"/>
        <v>40.810107752750639</v>
      </c>
      <c r="G259" s="110">
        <f t="shared" si="101"/>
        <v>0.78661339908457528</v>
      </c>
      <c r="H259" s="412" t="b">
        <f>Wh_hp&gt;='2022'!Maxi_hp</f>
        <v>0</v>
      </c>
      <c r="I259" s="379">
        <f>IF(H259,Wh_hp,'2022'!Maxi_hp)</f>
        <v>43.932172595785929</v>
      </c>
      <c r="J259" s="85">
        <f>IF(H259,An,'2022'!An_max)</f>
        <v>2018</v>
      </c>
      <c r="K259" s="197">
        <f t="shared" si="79"/>
        <v>45171</v>
      </c>
      <c r="L259" s="147">
        <f>IF(t&lt;Tvie,1-EXP((T0-t)*PertePVj)+'2022'!Pspv,1-EXP((T0-t)*PertePVj)+Pspv)</f>
        <v>3.1981194325745754E-2</v>
      </c>
      <c r="M259" s="832"/>
      <c r="N259" s="832"/>
      <c r="O259" s="48">
        <f>IF(t&lt;Tnet,'2022'!Resal+('2022'!Salim-'2022'!Resal)*(1-EXP(('2022'!Tnet-t)/('2022'!Tau_j))),Resal+(Salim-Resal)*(1-EXP((Tnet-t)/(Tau_j))))*Salcycl</f>
        <v>2.0165708451788968E-2</v>
      </c>
      <c r="P259" s="338">
        <f>(INDEX(Models!$BJ259:$BT259,,T259)*(1-R259)+INDEX(Models!$BJ259:$BT259,,T259+1)*R259-ERP_i)*Q259*Ramure*Pc/MaxiM</f>
        <v>4.9130563119703999E-3</v>
      </c>
      <c r="Q259" s="304">
        <f t="shared" si="80"/>
        <v>0.7</v>
      </c>
      <c r="R259" s="177">
        <f t="shared" si="81"/>
        <v>0.72243296843838767</v>
      </c>
      <c r="S259" s="799">
        <f t="shared" si="82"/>
        <v>0</v>
      </c>
      <c r="T259" s="176">
        <f t="shared" si="83"/>
        <v>6</v>
      </c>
      <c r="U259" s="250">
        <f t="shared" si="84"/>
        <v>0.72243296843838767</v>
      </c>
      <c r="V259" s="382">
        <f t="shared" si="85"/>
        <v>48.96704071167116</v>
      </c>
      <c r="W259" s="400">
        <f t="shared" si="86"/>
        <v>38.575783364325055</v>
      </c>
      <c r="X259" s="157">
        <f t="shared" si="87"/>
        <v>45171</v>
      </c>
      <c r="Y259" s="383">
        <f t="shared" si="88"/>
        <v>37.936443097718723</v>
      </c>
      <c r="Z259" s="383">
        <f t="shared" si="89"/>
        <v>39.18977903667362</v>
      </c>
      <c r="AA259" s="384">
        <f t="shared" si="90"/>
        <v>40.663988899715399</v>
      </c>
      <c r="AB259" s="197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3.6253449376976693E-2</v>
      </c>
      <c r="AD259" s="230">
        <f>(INDEX(Models!$BJ259:$BT259,,AH259)*(1-AF259)+INDEX(Models!$BJ259:$BT259,,AH259+1)*AF259-ERP_i)*AE259*Ramure*Pc/MaxiM</f>
        <v>5.1381048551954701E-3</v>
      </c>
      <c r="AE259" s="304">
        <f t="shared" si="92"/>
        <v>0.7</v>
      </c>
      <c r="AF259" s="177">
        <f t="shared" si="93"/>
        <v>0.78676519069821982</v>
      </c>
      <c r="AG259" s="799">
        <f t="shared" si="99"/>
        <v>0</v>
      </c>
      <c r="AH259" s="176">
        <f t="shared" si="94"/>
        <v>6</v>
      </c>
      <c r="AI259" s="224">
        <f t="shared" si="95"/>
        <v>0.78676519069821982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45172</v>
      </c>
      <c r="B260" s="409">
        <f>'2022'!Wh/'2022'!Env_an*'2023'!Env_an</f>
        <v>32.403414624170601</v>
      </c>
      <c r="C260" s="829"/>
      <c r="D260" s="391">
        <f t="shared" si="77"/>
        <v>33.474593107259636</v>
      </c>
      <c r="E260" s="383">
        <f t="shared" si="100"/>
        <v>34.166764652823076</v>
      </c>
      <c r="F260" s="383">
        <f t="shared" si="78"/>
        <v>34.256829696803116</v>
      </c>
      <c r="G260" s="110">
        <f t="shared" si="101"/>
        <v>0.66276175702043505</v>
      </c>
      <c r="H260" s="412" t="b">
        <f>Wh_hp&gt;='2022'!Maxi_hp</f>
        <v>0</v>
      </c>
      <c r="I260" s="379">
        <f>IF(H260,Wh_hp,'2022'!Maxi_hp)</f>
        <v>53.184089947763461</v>
      </c>
      <c r="J260" s="85">
        <f>IF(H260,An,'2022'!An_max)</f>
        <v>2018</v>
      </c>
      <c r="K260" s="197">
        <f t="shared" si="79"/>
        <v>45172</v>
      </c>
      <c r="L260" s="147">
        <f>IF(t&lt;Tvie,1-EXP((T0-t)*PertePVj)+'2022'!Pspv,1-EXP((T0-t)*PertePVj)+Pspv)</f>
        <v>3.1999746185315869E-2</v>
      </c>
      <c r="M260" s="832"/>
      <c r="N260" s="832"/>
      <c r="O260" s="48">
        <f>IF(t&lt;Tnet,'2022'!Resal+('2022'!Salim-'2022'!Resal)*(1-EXP(('2022'!Tnet-t)/('2022'!Tau_j))),Resal+(Salim-Resal)*(1-EXP((Tnet-t)/(Tau_j))))*Salcycl</f>
        <v>2.0258621282897696E-2</v>
      </c>
      <c r="P260" s="338">
        <f>(INDEX(Models!$BJ260:$BT260,,T260)*(1-R260)+INDEX(Models!$BJ260:$BT260,,T260+1)*R260-ERP_i)*Q260*Ramure*Pc/MaxiM</f>
        <v>5.0507827600431519E-3</v>
      </c>
      <c r="Q260" s="304">
        <f t="shared" si="80"/>
        <v>0.7</v>
      </c>
      <c r="R260" s="177">
        <f t="shared" si="81"/>
        <v>0.722913754101288</v>
      </c>
      <c r="S260" s="799">
        <f t="shared" si="82"/>
        <v>0</v>
      </c>
      <c r="T260" s="176">
        <f t="shared" si="83"/>
        <v>6</v>
      </c>
      <c r="U260" s="250">
        <f t="shared" si="84"/>
        <v>0.722913754101288</v>
      </c>
      <c r="V260" s="382">
        <f t="shared" si="85"/>
        <v>48.772786043508034</v>
      </c>
      <c r="W260" s="400">
        <f t="shared" si="86"/>
        <v>32.403414624170601</v>
      </c>
      <c r="X260" s="157">
        <f t="shared" si="87"/>
        <v>45172</v>
      </c>
      <c r="Y260" s="383">
        <f t="shared" si="88"/>
        <v>31.868199475060909</v>
      </c>
      <c r="Z260" s="383">
        <f t="shared" si="89"/>
        <v>32.921685040344855</v>
      </c>
      <c r="AA260" s="384">
        <f t="shared" si="90"/>
        <v>34.162665983751346</v>
      </c>
      <c r="AB260" s="197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3.632564695029171E-2</v>
      </c>
      <c r="AD260" s="230">
        <f>(INDEX(Models!$BJ260:$BT260,,AH260)*(1-AF260)+INDEX(Models!$BJ260:$BT260,,AH260+1)*AF260-ERP_i)*AE260*Ramure*Pc/MaxiM</f>
        <v>5.2806331678352195E-3</v>
      </c>
      <c r="AE260" s="304">
        <f t="shared" si="92"/>
        <v>0.7</v>
      </c>
      <c r="AF260" s="177">
        <f t="shared" si="93"/>
        <v>0.78724597636112015</v>
      </c>
      <c r="AG260" s="799">
        <f t="shared" si="99"/>
        <v>0</v>
      </c>
      <c r="AH260" s="176">
        <f t="shared" si="94"/>
        <v>6</v>
      </c>
      <c r="AI260" s="224">
        <f t="shared" si="95"/>
        <v>0.78724597636112015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45173</v>
      </c>
      <c r="B261" s="409">
        <f>'2022'!Wh/'2022'!Env_an*'2023'!Env_an</f>
        <v>49.211332464472989</v>
      </c>
      <c r="C261" s="829"/>
      <c r="D261" s="391">
        <f t="shared" si="77"/>
        <v>50.83911436239061</v>
      </c>
      <c r="E261" s="383">
        <f t="shared" si="100"/>
        <v>51.895249853682813</v>
      </c>
      <c r="F261" s="383">
        <f t="shared" si="78"/>
        <v>52.166009389945366</v>
      </c>
      <c r="G261" s="110">
        <f t="shared" si="101"/>
        <v>1.0131143940679883</v>
      </c>
      <c r="H261" s="412" t="b">
        <f>Wh_hp&gt;='2022'!Maxi_hp</f>
        <v>0</v>
      </c>
      <c r="I261" s="379">
        <f>IF(H261,Wh_hp,'2022'!Maxi_hp)</f>
        <v>52.707977140675048</v>
      </c>
      <c r="J261" s="85">
        <f>IF(H261,An,'2022'!An_max)</f>
        <v>2018</v>
      </c>
      <c r="K261" s="197">
        <f t="shared" si="79"/>
        <v>45173</v>
      </c>
      <c r="L261" s="147">
        <f>IF(t&lt;Tvie,1-EXP((T0-t)*PertePVj)+'2022'!Pspv,1-EXP((T0-t)*PertePVj)+Pspv)</f>
        <v>3.2018297689343944E-2</v>
      </c>
      <c r="M261" s="832"/>
      <c r="N261" s="832"/>
      <c r="O261" s="48">
        <f>IF(t&lt;Tnet,'2022'!Resal+('2022'!Salim-'2022'!Resal)*(1-EXP(('2022'!Tnet-t)/('2022'!Tau_j))),Resal+(Salim-Resal)*(1-EXP((Tnet-t)/(Tau_j))))*Salcycl</f>
        <v>2.0351294083176184E-2</v>
      </c>
      <c r="P261" s="338">
        <f>(INDEX(Models!$BJ261:$BT261,,T261)*(1-R261)+INDEX(Models!$BJ261:$BT261,,T261+1)*R261-ERP_i)*Q261*Ramure*Pc/MaxiM</f>
        <v>5.1903440464193254E-3</v>
      </c>
      <c r="Q261" s="304">
        <f t="shared" si="80"/>
        <v>0.7</v>
      </c>
      <c r="R261" s="177">
        <f t="shared" si="81"/>
        <v>0.72337630268189934</v>
      </c>
      <c r="S261" s="799">
        <f t="shared" si="82"/>
        <v>0</v>
      </c>
      <c r="T261" s="176">
        <f t="shared" si="83"/>
        <v>6</v>
      </c>
      <c r="U261" s="250">
        <f t="shared" si="84"/>
        <v>0.72337630268189934</v>
      </c>
      <c r="V261" s="382">
        <f t="shared" si="85"/>
        <v>48.574309823862301</v>
      </c>
      <c r="W261" s="400">
        <f t="shared" si="86"/>
        <v>49.211332464472989</v>
      </c>
      <c r="X261" s="157">
        <f t="shared" si="87"/>
        <v>45173</v>
      </c>
      <c r="Y261" s="383">
        <f t="shared" si="88"/>
        <v>48.393866349892988</v>
      </c>
      <c r="Z261" s="383">
        <f t="shared" si="89"/>
        <v>49.994608611270898</v>
      </c>
      <c r="AA261" s="384">
        <f t="shared" si="90"/>
        <v>51.883023391321686</v>
      </c>
      <c r="AB261" s="197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3.6397546954957477E-2</v>
      </c>
      <c r="AD261" s="230">
        <f>(INDEX(Models!$BJ261:$BT261,,AH261)*(1-AF261)+INDEX(Models!$BJ261:$BT261,,AH261+1)*AF261-ERP_i)*AE261*Ramure*Pc/MaxiM</f>
        <v>5.4247200798576058E-3</v>
      </c>
      <c r="AE261" s="304">
        <f t="shared" si="92"/>
        <v>0.7</v>
      </c>
      <c r="AF261" s="177">
        <f t="shared" si="93"/>
        <v>0.78770852494173149</v>
      </c>
      <c r="AG261" s="799">
        <f t="shared" si="99"/>
        <v>0</v>
      </c>
      <c r="AH261" s="176">
        <f t="shared" si="94"/>
        <v>6</v>
      </c>
      <c r="AI261" s="224">
        <f t="shared" si="95"/>
        <v>0.78770852494173149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45174</v>
      </c>
      <c r="B262" s="409">
        <f>'2022'!Wh/'2022'!Env_an*'2023'!Env_an</f>
        <v>42.152269069971226</v>
      </c>
      <c r="C262" s="829"/>
      <c r="D262" s="391">
        <f t="shared" si="77"/>
        <v>43.547390227987542</v>
      </c>
      <c r="E262" s="383">
        <f t="shared" si="100"/>
        <v>44.456241237430682</v>
      </c>
      <c r="F262" s="383">
        <f t="shared" si="78"/>
        <v>44.65039796904432</v>
      </c>
      <c r="G262" s="110">
        <f t="shared" si="101"/>
        <v>0.87055579249960391</v>
      </c>
      <c r="H262" s="412" t="b">
        <f>Wh_hp&gt;='2022'!Maxi_hp</f>
        <v>0</v>
      </c>
      <c r="I262" s="379">
        <f>IF(H262,Wh_hp,'2022'!Maxi_hp)</f>
        <v>52.360214050968047</v>
      </c>
      <c r="J262" s="85">
        <f>IF(H262,An,'2022'!An_max)</f>
        <v>2020</v>
      </c>
      <c r="K262" s="197">
        <f t="shared" si="79"/>
        <v>45174</v>
      </c>
      <c r="L262" s="147">
        <f>IF(t&lt;Tvie,1-EXP((T0-t)*PertePVj)+'2022'!Pspv,1-EXP((T0-t)*PertePVj)+Pspv)</f>
        <v>3.2036848837836529E-2</v>
      </c>
      <c r="M262" s="832"/>
      <c r="N262" s="832"/>
      <c r="O262" s="48">
        <f>IF(t&lt;Tnet,'2022'!Resal+('2022'!Salim-'2022'!Resal)*(1-EXP(('2022'!Tnet-t)/('2022'!Tau_j))),Resal+(Salim-Resal)*(1-EXP((Tnet-t)/(Tau_j))))*Salcycl</f>
        <v>2.0443721379618578E-2</v>
      </c>
      <c r="P262" s="338">
        <f>(INDEX(Models!$BJ262:$BT262,,T262)*(1-R262)+INDEX(Models!$BJ262:$BT262,,T262+1)*R262-ERP_i)*Q262*Ramure*Pc/MaxiM</f>
        <v>5.3269133244557114E-3</v>
      </c>
      <c r="Q262" s="304">
        <f t="shared" si="80"/>
        <v>0.7</v>
      </c>
      <c r="R262" s="177">
        <f t="shared" si="81"/>
        <v>0.72382126371611688</v>
      </c>
      <c r="S262" s="799">
        <f t="shared" si="82"/>
        <v>0</v>
      </c>
      <c r="T262" s="176">
        <f t="shared" si="83"/>
        <v>6</v>
      </c>
      <c r="U262" s="250">
        <f t="shared" si="84"/>
        <v>0.72382126371611688</v>
      </c>
      <c r="V262" s="382">
        <f t="shared" si="85"/>
        <v>48.372363647389982</v>
      </c>
      <c r="W262" s="400">
        <f t="shared" si="86"/>
        <v>42.152269069971226</v>
      </c>
      <c r="X262" s="157">
        <f t="shared" si="87"/>
        <v>45174</v>
      </c>
      <c r="Y262" s="383">
        <f t="shared" si="88"/>
        <v>41.454558857868697</v>
      </c>
      <c r="Z262" s="383">
        <f t="shared" si="89"/>
        <v>42.826587776711541</v>
      </c>
      <c r="AA262" s="384">
        <f t="shared" si="90"/>
        <v>44.447551807411813</v>
      </c>
      <c r="AB262" s="197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3.646914092645178E-2</v>
      </c>
      <c r="AD262" s="230">
        <f>(INDEX(Models!$BJ262:$BT262,,AH262)*(1-AF262)+INDEX(Models!$BJ262:$BT262,,AH262+1)*AF262-ERP_i)*AE262*Ramure*Pc/MaxiM</f>
        <v>5.5653178348981031E-3</v>
      </c>
      <c r="AE262" s="304">
        <f t="shared" si="92"/>
        <v>0.7</v>
      </c>
      <c r="AF262" s="177">
        <f t="shared" si="93"/>
        <v>0.78815348597594903</v>
      </c>
      <c r="AG262" s="799">
        <f t="shared" si="99"/>
        <v>0</v>
      </c>
      <c r="AH262" s="176">
        <f t="shared" si="94"/>
        <v>6</v>
      </c>
      <c r="AI262" s="224">
        <f t="shared" si="95"/>
        <v>0.78815348597594903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45175</v>
      </c>
      <c r="B263" s="409">
        <f>'2022'!Wh/'2022'!Env_an*'2023'!Env_an</f>
        <v>45.822577940939688</v>
      </c>
      <c r="C263" s="829"/>
      <c r="D263" s="391">
        <f t="shared" si="77"/>
        <v>47.340083227347684</v>
      </c>
      <c r="E263" s="383">
        <f t="shared" si="100"/>
        <v>48.332637310766323</v>
      </c>
      <c r="F263" s="383">
        <f t="shared" si="78"/>
        <v>48.579275021535956</v>
      </c>
      <c r="G263" s="110">
        <f t="shared" si="101"/>
        <v>0.95095953264775701</v>
      </c>
      <c r="H263" s="412" t="b">
        <f>Wh_hp&gt;='2022'!Maxi_hp</f>
        <v>0</v>
      </c>
      <c r="I263" s="379">
        <f>IF(H263,Wh_hp,'2022'!Maxi_hp)</f>
        <v>51.253626858987126</v>
      </c>
      <c r="J263" s="85">
        <f>IF(H263,An,'2022'!An_max)</f>
        <v>2018</v>
      </c>
      <c r="K263" s="197">
        <f t="shared" si="79"/>
        <v>45175</v>
      </c>
      <c r="L263" s="147">
        <f>IF(t&lt;Tvie,1-EXP((T0-t)*PertePVj)+'2022'!Pspv,1-EXP((T0-t)*PertePVj)+Pspv)</f>
        <v>3.2055399630800729E-2</v>
      </c>
      <c r="M263" s="832"/>
      <c r="N263" s="832"/>
      <c r="O263" s="48">
        <f>IF(t&lt;Tnet,'2022'!Resal+('2022'!Salim-'2022'!Resal)*(1-EXP(('2022'!Tnet-t)/('2022'!Tau_j))),Resal+(Salim-Resal)*(1-EXP((Tnet-t)/(Tau_j))))*Salcycl</f>
        <v>2.053589745241444E-2</v>
      </c>
      <c r="P263" s="338">
        <f>(INDEX(Models!$BJ263:$BT263,,T263)*(1-R263)+INDEX(Models!$BJ263:$BT263,,T263+1)*R263-ERP_i)*Q263*Ramure*Pc/MaxiM</f>
        <v>5.4564542047493879E-3</v>
      </c>
      <c r="Q263" s="304">
        <f t="shared" si="80"/>
        <v>0.7</v>
      </c>
      <c r="R263" s="177">
        <f t="shared" si="81"/>
        <v>0.72424926686142221</v>
      </c>
      <c r="S263" s="799">
        <f t="shared" si="82"/>
        <v>0</v>
      </c>
      <c r="T263" s="176">
        <f t="shared" si="83"/>
        <v>6</v>
      </c>
      <c r="U263" s="250">
        <f t="shared" si="84"/>
        <v>0.72424926686142221</v>
      </c>
      <c r="V263" s="382">
        <f t="shared" si="85"/>
        <v>48.167246622582255</v>
      </c>
      <c r="W263" s="400">
        <f t="shared" si="86"/>
        <v>45.822577940939688</v>
      </c>
      <c r="X263" s="157">
        <f t="shared" si="87"/>
        <v>45175</v>
      </c>
      <c r="Y263" s="383">
        <f t="shared" si="88"/>
        <v>45.06363119390965</v>
      </c>
      <c r="Z263" s="383">
        <f t="shared" si="89"/>
        <v>46.556002457910516</v>
      </c>
      <c r="AA263" s="384">
        <f t="shared" si="90"/>
        <v>48.321697584360308</v>
      </c>
      <c r="AB263" s="197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3.6540420033200037E-2</v>
      </c>
      <c r="AD263" s="230">
        <f>(INDEX(Models!$BJ263:$BT263,,AH263)*(1-AF263)+INDEX(Models!$BJ263:$BT263,,AH263+1)*AF263-ERP_i)*AE263*Ramure*Pc/MaxiM</f>
        <v>5.6984776810485834E-3</v>
      </c>
      <c r="AE263" s="304">
        <f t="shared" si="92"/>
        <v>0.7</v>
      </c>
      <c r="AF263" s="177">
        <f t="shared" si="93"/>
        <v>0.78858148912125436</v>
      </c>
      <c r="AG263" s="799">
        <f t="shared" si="99"/>
        <v>0</v>
      </c>
      <c r="AH263" s="176">
        <f t="shared" si="94"/>
        <v>6</v>
      </c>
      <c r="AI263" s="224">
        <f t="shared" si="95"/>
        <v>0.78858148912125436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45176</v>
      </c>
      <c r="B264" s="409">
        <f>'2022'!Wh/'2022'!Env_an*'2023'!Env_an</f>
        <v>35.699122691766128</v>
      </c>
      <c r="C264" s="829"/>
      <c r="D264" s="391">
        <f t="shared" si="77"/>
        <v>36.882076574220804</v>
      </c>
      <c r="E264" s="383">
        <f t="shared" si="100"/>
        <v>37.658897392546592</v>
      </c>
      <c r="F264" s="383">
        <f t="shared" si="78"/>
        <v>37.792741598649137</v>
      </c>
      <c r="G264" s="110">
        <f t="shared" si="101"/>
        <v>0.74284462096614745</v>
      </c>
      <c r="H264" s="412" t="b">
        <f>Wh_hp&gt;='2022'!Maxi_hp</f>
        <v>0</v>
      </c>
      <c r="I264" s="379">
        <f>IF(H264,Wh_hp,'2022'!Maxi_hp)</f>
        <v>52.759985924745806</v>
      </c>
      <c r="J264" s="85">
        <f>IF(H264,An,'2022'!An_max)</f>
        <v>2018</v>
      </c>
      <c r="K264" s="197">
        <f t="shared" si="79"/>
        <v>45176</v>
      </c>
      <c r="L264" s="147">
        <f>IF(t&lt;Tvie,1-EXP((T0-t)*PertePVj)+'2022'!Pspv,1-EXP((T0-t)*PertePVj)+Pspv)</f>
        <v>3.2073950068243096E-2</v>
      </c>
      <c r="M264" s="832"/>
      <c r="N264" s="832"/>
      <c r="O264" s="48">
        <f>IF(t&lt;Tnet,'2022'!Resal+('2022'!Salim-'2022'!Resal)*(1-EXP(('2022'!Tnet-t)/('2022'!Tau_j))),Resal+(Salim-Resal)*(1-EXP((Tnet-t)/(Tau_j))))*Salcycl</f>
        <v>2.0627816322618599E-2</v>
      </c>
      <c r="P264" s="338">
        <f>(INDEX(Models!$BJ264:$BT264,,T264)*(1-R264)+INDEX(Models!$BJ264:$BT264,,T264+1)*R264-ERP_i)*Q264*Ramure*Pc/MaxiM</f>
        <v>5.5788907363348199E-3</v>
      </c>
      <c r="Q264" s="304">
        <f t="shared" si="80"/>
        <v>0.7</v>
      </c>
      <c r="R264" s="177">
        <f t="shared" si="81"/>
        <v>0.72466092224785228</v>
      </c>
      <c r="S264" s="799">
        <f t="shared" si="82"/>
        <v>0</v>
      </c>
      <c r="T264" s="176">
        <f t="shared" si="83"/>
        <v>6</v>
      </c>
      <c r="U264" s="250">
        <f t="shared" si="84"/>
        <v>0.72466092224785228</v>
      </c>
      <c r="V264" s="382">
        <f t="shared" si="85"/>
        <v>47.9590634045001</v>
      </c>
      <c r="W264" s="400">
        <f t="shared" si="86"/>
        <v>35.699122691766128</v>
      </c>
      <c r="X264" s="157">
        <f t="shared" si="87"/>
        <v>45176</v>
      </c>
      <c r="Y264" s="383">
        <f t="shared" si="88"/>
        <v>35.111019414688499</v>
      </c>
      <c r="Z264" s="383">
        <f t="shared" si="89"/>
        <v>36.274485449755154</v>
      </c>
      <c r="AA264" s="384">
        <f t="shared" si="90"/>
        <v>37.653014069947787</v>
      </c>
      <c r="AB264" s="197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3.6611375058361754E-2</v>
      </c>
      <c r="AD264" s="230">
        <f>(INDEX(Models!$BJ264:$BT264,,AH264)*(1-AF264)+INDEX(Models!$BJ264:$BT264,,AH264+1)*AF264-ERP_i)*AE264*Ramure*Pc/MaxiM</f>
        <v>5.8241192367020555E-3</v>
      </c>
      <c r="AE264" s="304">
        <f t="shared" si="92"/>
        <v>0.7</v>
      </c>
      <c r="AF264" s="177">
        <f t="shared" si="93"/>
        <v>0.78899314450768443</v>
      </c>
      <c r="AG264" s="799">
        <f t="shared" si="99"/>
        <v>0</v>
      </c>
      <c r="AH264" s="176">
        <f t="shared" si="94"/>
        <v>6</v>
      </c>
      <c r="AI264" s="224">
        <f t="shared" si="95"/>
        <v>0.78899314450768443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45177</v>
      </c>
      <c r="B265" s="409">
        <f>'2022'!Wh/'2022'!Env_an*'2023'!Env_an</f>
        <v>40.69003058180558</v>
      </c>
      <c r="C265" s="829"/>
      <c r="D265" s="391">
        <f t="shared" si="77"/>
        <v>42.039172739253111</v>
      </c>
      <c r="E265" s="383">
        <f t="shared" si="100"/>
        <v>42.928631302388155</v>
      </c>
      <c r="F265" s="383">
        <f t="shared" si="78"/>
        <v>43.122325488128411</v>
      </c>
      <c r="G265" s="110">
        <f t="shared" si="101"/>
        <v>0.85115509067953077</v>
      </c>
      <c r="H265" s="412" t="b">
        <f>Wh_hp&gt;='2022'!Maxi_hp</f>
        <v>0</v>
      </c>
      <c r="I265" s="379">
        <f>IF(H265,Wh_hp,'2022'!Maxi_hp)</f>
        <v>48.227232610216525</v>
      </c>
      <c r="J265" s="85">
        <f>IF(H265,An,'2022'!An_max)</f>
        <v>2020</v>
      </c>
      <c r="K265" s="197">
        <f t="shared" si="79"/>
        <v>45177</v>
      </c>
      <c r="L265" s="147">
        <f>IF(t&lt;Tvie,1-EXP((T0-t)*PertePVj)+'2022'!Pspv,1-EXP((T0-t)*PertePVj)+Pspv)</f>
        <v>3.2092500150170622E-2</v>
      </c>
      <c r="M265" s="832"/>
      <c r="N265" s="832"/>
      <c r="O265" s="48">
        <f>IF(t&lt;Tnet,'2022'!Resal+('2022'!Salim-'2022'!Resal)*(1-EXP(('2022'!Tnet-t)/('2022'!Tau_j))),Resal+(Salim-Resal)*(1-EXP((Tnet-t)/(Tau_j))))*Salcycl</f>
        <v>2.0719471740660078E-2</v>
      </c>
      <c r="P265" s="338">
        <f>(INDEX(Models!$BJ265:$BT265,,T265)*(1-R265)+INDEX(Models!$BJ265:$BT265,,T265+1)*R265-ERP_i)*Q265*Ramure*Pc/MaxiM</f>
        <v>5.6941424850500437E-3</v>
      </c>
      <c r="Q265" s="304">
        <f t="shared" si="80"/>
        <v>0.7</v>
      </c>
      <c r="R265" s="177">
        <f t="shared" si="81"/>
        <v>0.72505682084532896</v>
      </c>
      <c r="S265" s="799">
        <f t="shared" si="82"/>
        <v>0</v>
      </c>
      <c r="T265" s="176">
        <f t="shared" si="83"/>
        <v>6</v>
      </c>
      <c r="U265" s="250">
        <f t="shared" si="84"/>
        <v>0.72505682084532896</v>
      </c>
      <c r="V265" s="382">
        <f t="shared" si="85"/>
        <v>47.747918558683999</v>
      </c>
      <c r="W265" s="400">
        <f t="shared" si="86"/>
        <v>40.69003058180558</v>
      </c>
      <c r="X265" s="157">
        <f t="shared" si="87"/>
        <v>45177</v>
      </c>
      <c r="Y265" s="383">
        <f t="shared" si="88"/>
        <v>40.018906328506063</v>
      </c>
      <c r="Z265" s="383">
        <f t="shared" si="89"/>
        <v>41.345796302554724</v>
      </c>
      <c r="AA265" s="384">
        <f t="shared" si="90"/>
        <v>42.920194730427561</v>
      </c>
      <c r="AB265" s="197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3.6681996383317678E-2</v>
      </c>
      <c r="AD265" s="230">
        <f>(INDEX(Models!$BJ265:$BT265,,AH265)*(1-AF265)+INDEX(Models!$BJ265:$BT265,,AH265+1)*AF265-ERP_i)*AE265*Ramure*Pc/MaxiM</f>
        <v>5.9421573784521351E-3</v>
      </c>
      <c r="AE265" s="304">
        <f t="shared" si="92"/>
        <v>0.7</v>
      </c>
      <c r="AF265" s="177">
        <f t="shared" si="93"/>
        <v>0.78938904310516111</v>
      </c>
      <c r="AG265" s="799">
        <f t="shared" si="99"/>
        <v>0</v>
      </c>
      <c r="AH265" s="176">
        <f t="shared" si="94"/>
        <v>6</v>
      </c>
      <c r="AI265" s="224">
        <f t="shared" si="95"/>
        <v>0.78938904310516111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45178</v>
      </c>
      <c r="B266" s="409">
        <f>'2022'!Wh/'2022'!Env_an*'2023'!Env_an</f>
        <v>17.170577769618681</v>
      </c>
      <c r="C266" s="829"/>
      <c r="D266" s="391">
        <f t="shared" si="77"/>
        <v>17.740235351823532</v>
      </c>
      <c r="E266" s="383">
        <f t="shared" si="100"/>
        <v>18.117271297209612</v>
      </c>
      <c r="F266" s="383">
        <f t="shared" si="78"/>
        <v>18.126470533104126</v>
      </c>
      <c r="G266" s="110">
        <f t="shared" si="101"/>
        <v>0.35931438289097789</v>
      </c>
      <c r="H266" s="412" t="b">
        <f>Wh_hp&gt;='2022'!Maxi_hp</f>
        <v>0</v>
      </c>
      <c r="I266" s="379">
        <f>IF(H266,Wh_hp,'2022'!Maxi_hp)</f>
        <v>49.53769434119436</v>
      </c>
      <c r="J266" s="85">
        <f>IF(H266,An,'2022'!An_max)</f>
        <v>2020</v>
      </c>
      <c r="K266" s="197">
        <f t="shared" si="79"/>
        <v>45178</v>
      </c>
      <c r="L266" s="147">
        <f>IF(t&lt;Tvie,1-EXP((T0-t)*PertePVj)+'2022'!Pspv,1-EXP((T0-t)*PertePVj)+Pspv)</f>
        <v>3.2111049876590081E-2</v>
      </c>
      <c r="M266" s="832"/>
      <c r="N266" s="832"/>
      <c r="O266" s="48">
        <f>IF(t&lt;Tnet,'2022'!Resal+('2022'!Salim-'2022'!Resal)*(1-EXP(('2022'!Tnet-t)/('2022'!Tau_j))),Resal+(Salim-Resal)*(1-EXP((Tnet-t)/(Tau_j))))*Salcycl</f>
        <v>2.0810857176055481E-2</v>
      </c>
      <c r="P266" s="338">
        <f>(INDEX(Models!$BJ266:$BT266,,T266)*(1-R266)+INDEX(Models!$BJ266:$BT266,,T266+1)*R266-ERP_i)*Q266*Ramure*Pc/MaxiM</f>
        <v>5.802124532228628E-3</v>
      </c>
      <c r="Q266" s="304">
        <f t="shared" si="80"/>
        <v>0.7</v>
      </c>
      <c r="R266" s="177">
        <f t="shared" si="81"/>
        <v>0.7254375348448131</v>
      </c>
      <c r="S266" s="799">
        <f t="shared" si="82"/>
        <v>0</v>
      </c>
      <c r="T266" s="176">
        <f t="shared" si="83"/>
        <v>6</v>
      </c>
      <c r="U266" s="250">
        <f t="shared" si="84"/>
        <v>0.7254375348448131</v>
      </c>
      <c r="V266" s="382">
        <f t="shared" si="85"/>
        <v>47.533916560412948</v>
      </c>
      <c r="W266" s="400">
        <f t="shared" si="86"/>
        <v>17.170577769618681</v>
      </c>
      <c r="X266" s="157">
        <f t="shared" si="87"/>
        <v>45178</v>
      </c>
      <c r="Y266" s="383">
        <f t="shared" si="88"/>
        <v>16.890666844538984</v>
      </c>
      <c r="Z266" s="383">
        <f t="shared" si="89"/>
        <v>17.451037996027697</v>
      </c>
      <c r="AA266" s="384">
        <f t="shared" si="90"/>
        <v>18.116874324753962</v>
      </c>
      <c r="AB266" s="197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3.6752273973469016E-2</v>
      </c>
      <c r="AD266" s="230">
        <f>(INDEX(Models!$BJ266:$BT266,,AH266)*(1-AF266)+INDEX(Models!$BJ266:$BT266,,AH266+1)*AF266-ERP_i)*AE266*Ramure*Pc/MaxiM</f>
        <v>6.0525022429399012E-3</v>
      </c>
      <c r="AE266" s="304">
        <f t="shared" si="92"/>
        <v>0.7</v>
      </c>
      <c r="AF266" s="177">
        <f t="shared" si="93"/>
        <v>0.78976975710464525</v>
      </c>
      <c r="AG266" s="799">
        <f t="shared" si="99"/>
        <v>0</v>
      </c>
      <c r="AH266" s="176">
        <f t="shared" si="94"/>
        <v>6</v>
      </c>
      <c r="AI266" s="224">
        <f t="shared" si="95"/>
        <v>0.78976975710464525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45179</v>
      </c>
      <c r="B267" s="409">
        <f>'2022'!Wh/'2022'!Env_an*'2023'!Env_an</f>
        <v>45.064204436890392</v>
      </c>
      <c r="C267" s="829"/>
      <c r="D267" s="391">
        <f t="shared" si="77"/>
        <v>46.560163842033248</v>
      </c>
      <c r="E267" s="383">
        <f t="shared" si="100"/>
        <v>47.554138825832752</v>
      </c>
      <c r="F267" s="383">
        <f t="shared" si="78"/>
        <v>47.817192820762429</v>
      </c>
      <c r="G267" s="110">
        <f t="shared" si="101"/>
        <v>0.95200153939608978</v>
      </c>
      <c r="H267" s="412" t="b">
        <f>Wh_hp&gt;='2022'!Maxi_hp</f>
        <v>0</v>
      </c>
      <c r="I267" s="379">
        <f>IF(H267,Wh_hp,'2022'!Maxi_hp)</f>
        <v>47.822346507728497</v>
      </c>
      <c r="J267" s="85">
        <f>IF(H267,An,'2022'!An_max)</f>
        <v>2022</v>
      </c>
      <c r="K267" s="197">
        <f t="shared" si="79"/>
        <v>45179</v>
      </c>
      <c r="L267" s="147">
        <f>IF(t&lt;Tvie,1-EXP((T0-t)*PertePVj)+'2022'!Pspv,1-EXP((T0-t)*PertePVj)+Pspv)</f>
        <v>3.2129599247508245E-2</v>
      </c>
      <c r="M267" s="832"/>
      <c r="N267" s="832"/>
      <c r="O267" s="48">
        <f>IF(t&lt;Tnet,'2022'!Resal+('2022'!Salim-'2022'!Resal)*(1-EXP(('2022'!Tnet-t)/('2022'!Tau_j))),Resal+(Salim-Resal)*(1-EXP((Tnet-t)/(Tau_j))))*Salcycl</f>
        <v>2.090196580869522E-2</v>
      </c>
      <c r="P267" s="338">
        <f>(INDEX(Models!$BJ267:$BT267,,T267)*(1-R267)+INDEX(Models!$BJ267:$BT267,,T267+1)*R267-ERP_i)*Q267*Ramure*Pc/MaxiM</f>
        <v>5.9027474806526738E-3</v>
      </c>
      <c r="Q267" s="304">
        <f t="shared" si="80"/>
        <v>0.7</v>
      </c>
      <c r="R267" s="177">
        <f t="shared" si="81"/>
        <v>0.72580361805094507</v>
      </c>
      <c r="S267" s="799">
        <f t="shared" si="82"/>
        <v>0</v>
      </c>
      <c r="T267" s="176">
        <f t="shared" si="83"/>
        <v>6</v>
      </c>
      <c r="U267" s="250">
        <f t="shared" si="84"/>
        <v>0.72580361805094507</v>
      </c>
      <c r="V267" s="382">
        <f t="shared" si="85"/>
        <v>47.317161793668838</v>
      </c>
      <c r="W267" s="400">
        <f t="shared" si="86"/>
        <v>45.064204436890392</v>
      </c>
      <c r="X267" s="157">
        <f t="shared" si="87"/>
        <v>45179</v>
      </c>
      <c r="Y267" s="383">
        <f t="shared" si="88"/>
        <v>44.320973798285038</v>
      </c>
      <c r="Z267" s="383">
        <f t="shared" si="89"/>
        <v>45.792260785975827</v>
      </c>
      <c r="AA267" s="384">
        <f t="shared" si="90"/>
        <v>47.542894635645915</v>
      </c>
      <c r="AB267" s="197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3.6822197366954766E-2</v>
      </c>
      <c r="AD267" s="230">
        <f>(INDEX(Models!$BJ267:$BT267,,AH267)*(1-AF267)+INDEX(Models!$BJ267:$BT267,,AH267+1)*AF267-ERP_i)*AE267*Ramure*Pc/MaxiM</f>
        <v>6.1550592363249943E-3</v>
      </c>
      <c r="AE267" s="304">
        <f t="shared" si="92"/>
        <v>0.7</v>
      </c>
      <c r="AF267" s="177">
        <f t="shared" si="93"/>
        <v>0.79013584031077722</v>
      </c>
      <c r="AG267" s="799">
        <f t="shared" si="99"/>
        <v>0</v>
      </c>
      <c r="AH267" s="176">
        <f t="shared" si="94"/>
        <v>6</v>
      </c>
      <c r="AI267" s="224">
        <f t="shared" si="95"/>
        <v>0.79013584031077722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45180</v>
      </c>
      <c r="B268" s="409">
        <f>'2022'!Wh/'2022'!Env_an*'2023'!Env_an</f>
        <v>47.336995440663316</v>
      </c>
      <c r="C268" s="829"/>
      <c r="D268" s="391">
        <f t="shared" si="77"/>
        <v>48.909340159554858</v>
      </c>
      <c r="E268" s="383">
        <f t="shared" si="100"/>
        <v>49.958100089616792</v>
      </c>
      <c r="F268" s="383">
        <f t="shared" si="78"/>
        <v>50.258801282332193</v>
      </c>
      <c r="G268" s="110">
        <f t="shared" si="101"/>
        <v>1.0050665759483837</v>
      </c>
      <c r="H268" s="412" t="b">
        <f>Wh_hp&gt;='2022'!Maxi_hp</f>
        <v>1</v>
      </c>
      <c r="I268" s="379">
        <f>IF(H268,Wh_hp,'2022'!Maxi_hp)</f>
        <v>50.258801282332193</v>
      </c>
      <c r="J268" s="85">
        <f>IF(H268,An,'2022'!An_max)</f>
        <v>2023</v>
      </c>
      <c r="K268" s="197">
        <f t="shared" si="79"/>
        <v>45180</v>
      </c>
      <c r="L268" s="147">
        <f>IF(t&lt;Tvie,1-EXP((T0-t)*PertePVj)+'2022'!Pspv,1-EXP((T0-t)*PertePVj)+Pspv)</f>
        <v>3.2148148262931997E-2</v>
      </c>
      <c r="M268" s="832"/>
      <c r="N268" s="832"/>
      <c r="O268" s="48">
        <f>IF(t&lt;Tnet,'2022'!Resal+('2022'!Salim-'2022'!Resal)*(1-EXP(('2022'!Tnet-t)/('2022'!Tau_j))),Resal+(Salim-Resal)*(1-EXP((Tnet-t)/(Tau_j))))*Salcycl</f>
        <v>2.0992790522069985E-2</v>
      </c>
      <c r="P268" s="338">
        <f>(INDEX(Models!$BJ268:$BT268,,T268)*(1-R268)+INDEX(Models!$BJ268:$BT268,,T268+1)*R268-ERP_i)*Q268*Ramure*Pc/MaxiM</f>
        <v>5.9830554060807664E-3</v>
      </c>
      <c r="Q268" s="304">
        <f t="shared" si="80"/>
        <v>0.7</v>
      </c>
      <c r="R268" s="177">
        <f t="shared" si="81"/>
        <v>0.72615560628401443</v>
      </c>
      <c r="S268" s="799">
        <f t="shared" si="82"/>
        <v>0</v>
      </c>
      <c r="T268" s="176">
        <f t="shared" si="83"/>
        <v>6</v>
      </c>
      <c r="U268" s="250">
        <f t="shared" si="84"/>
        <v>0.72615560628401443</v>
      </c>
      <c r="V268" s="382">
        <f t="shared" si="85"/>
        <v>47.098367982236397</v>
      </c>
      <c r="W268" s="400">
        <f t="shared" si="86"/>
        <v>47.336995440663316</v>
      </c>
      <c r="X268" s="157">
        <f t="shared" si="87"/>
        <v>45180</v>
      </c>
      <c r="Y268" s="383">
        <f t="shared" si="88"/>
        <v>46.556380548797904</v>
      </c>
      <c r="Z268" s="383">
        <f t="shared" si="89"/>
        <v>48.102796378640051</v>
      </c>
      <c r="AA268" s="384">
        <f t="shared" si="90"/>
        <v>49.945368718079656</v>
      </c>
      <c r="AB268" s="197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3.6891755666879626E-2</v>
      </c>
      <c r="AD268" s="230">
        <f>(INDEX(Models!$BJ268:$BT268,,AH268)*(1-AF268)+INDEX(Models!$BJ268:$BT268,,AH268+1)*AF268-ERP_i)*AE268*Ramure*Pc/MaxiM</f>
        <v>6.2363716653686743E-3</v>
      </c>
      <c r="AE268" s="304">
        <f t="shared" si="92"/>
        <v>0.7</v>
      </c>
      <c r="AF268" s="177">
        <f t="shared" si="93"/>
        <v>0.79048782854384658</v>
      </c>
      <c r="AG268" s="799">
        <f t="shared" si="99"/>
        <v>0</v>
      </c>
      <c r="AH268" s="176">
        <f t="shared" si="94"/>
        <v>6</v>
      </c>
      <c r="AI268" s="224">
        <f t="shared" si="95"/>
        <v>0.79048782854384658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45181</v>
      </c>
      <c r="B269" s="409">
        <f>'2022'!Wh/'2022'!Env_an*'2023'!Env_an</f>
        <v>36.467213875020661</v>
      </c>
      <c r="C269" s="829"/>
      <c r="D269" s="391">
        <f t="shared" si="77"/>
        <v>37.679230254917556</v>
      </c>
      <c r="E269" s="383">
        <f t="shared" si="100"/>
        <v>38.490743057912965</v>
      </c>
      <c r="F269" s="383">
        <f t="shared" si="78"/>
        <v>38.650297995877018</v>
      </c>
      <c r="G269" s="110">
        <f t="shared" si="101"/>
        <v>0.77642783982892227</v>
      </c>
      <c r="H269" s="412" t="b">
        <f>Wh_hp&gt;='2022'!Maxi_hp</f>
        <v>0</v>
      </c>
      <c r="I269" s="379">
        <f>IF(H269,Wh_hp,'2022'!Maxi_hp)</f>
        <v>50.45491962020855</v>
      </c>
      <c r="J269" s="85">
        <f>IF(H269,An,'2022'!An_max)</f>
        <v>2018</v>
      </c>
      <c r="K269" s="197">
        <f t="shared" si="79"/>
        <v>45181</v>
      </c>
      <c r="L269" s="147">
        <f>IF(t&lt;Tvie,1-EXP((T0-t)*PertePVj)+'2022'!Pspv,1-EXP((T0-t)*PertePVj)+Pspv)</f>
        <v>3.2166696922867999E-2</v>
      </c>
      <c r="M269" s="832"/>
      <c r="N269" s="832"/>
      <c r="O269" s="48">
        <f>IF(t&lt;Tnet,'2022'!Resal+('2022'!Salim-'2022'!Resal)*(1-EXP(('2022'!Tnet-t)/('2022'!Tau_j))),Resal+(Salim-Resal)*(1-EXP((Tnet-t)/(Tau_j))))*Salcycl</f>
        <v>2.1083323898798505E-2</v>
      </c>
      <c r="P269" s="338">
        <f>(INDEX(Models!$BJ269:$BT269,,T269)*(1-R269)+INDEX(Models!$BJ269:$BT269,,T269+1)*R269-ERP_i)*Q269*Ramure*Pc/MaxiM</f>
        <v>6.0463678347360108E-3</v>
      </c>
      <c r="Q269" s="304">
        <f t="shared" si="80"/>
        <v>0.7</v>
      </c>
      <c r="R269" s="177">
        <f t="shared" si="81"/>
        <v>0.72649401778928402</v>
      </c>
      <c r="S269" s="799">
        <f t="shared" si="82"/>
        <v>0</v>
      </c>
      <c r="T269" s="176">
        <f t="shared" si="83"/>
        <v>6</v>
      </c>
      <c r="U269" s="250">
        <f t="shared" si="84"/>
        <v>0.72649401778928402</v>
      </c>
      <c r="V269" s="382">
        <f t="shared" si="85"/>
        <v>46.877469675768126</v>
      </c>
      <c r="W269" s="400">
        <f t="shared" si="86"/>
        <v>36.467213875020661</v>
      </c>
      <c r="X269" s="157">
        <f t="shared" si="87"/>
        <v>45181</v>
      </c>
      <c r="Y269" s="383">
        <f t="shared" si="88"/>
        <v>35.869493116347805</v>
      </c>
      <c r="Z269" s="383">
        <f t="shared" si="89"/>
        <v>37.06164377925851</v>
      </c>
      <c r="AA269" s="384">
        <f t="shared" si="90"/>
        <v>38.484050360840321</v>
      </c>
      <c r="AB269" s="197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3.6960937537624444E-2</v>
      </c>
      <c r="AD269" s="230">
        <f>(INDEX(Models!$BJ269:$BT269,,AH269)*(1-AF269)+INDEX(Models!$BJ269:$BT269,,AH269+1)*AF269-ERP_i)*AE269*Ramure*Pc/MaxiM</f>
        <v>6.2999889938431235E-3</v>
      </c>
      <c r="AE269" s="304">
        <f t="shared" si="92"/>
        <v>0.7</v>
      </c>
      <c r="AF269" s="177">
        <f t="shared" si="93"/>
        <v>0.79082624004911617</v>
      </c>
      <c r="AG269" s="799">
        <f t="shared" si="99"/>
        <v>0</v>
      </c>
      <c r="AH269" s="176">
        <f t="shared" si="94"/>
        <v>6</v>
      </c>
      <c r="AI269" s="224">
        <f t="shared" si="95"/>
        <v>0.79082624004911617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45182</v>
      </c>
      <c r="B270" s="409">
        <f>'2022'!Wh/'2022'!Env_an*'2023'!Env_an</f>
        <v>11.509662047374102</v>
      </c>
      <c r="C270" s="829"/>
      <c r="D270" s="391">
        <f t="shared" si="77"/>
        <v>11.892422584606622</v>
      </c>
      <c r="E270" s="383">
        <f t="shared" si="100"/>
        <v>12.14967442334895</v>
      </c>
      <c r="F270" s="383">
        <f t="shared" si="78"/>
        <v>12.14967442334895</v>
      </c>
      <c r="G270" s="110">
        <f t="shared" si="101"/>
        <v>0.24519655448880751</v>
      </c>
      <c r="H270" s="412" t="b">
        <f>Wh_hp&gt;='2022'!Maxi_hp</f>
        <v>0</v>
      </c>
      <c r="I270" s="379">
        <f>IF(H270,Wh_hp,'2022'!Maxi_hp)</f>
        <v>48.157798418886934</v>
      </c>
      <c r="J270" s="85">
        <f>IF(H270,An,'2022'!An_max)</f>
        <v>2020</v>
      </c>
      <c r="K270" s="197">
        <f t="shared" si="79"/>
        <v>45182</v>
      </c>
      <c r="L270" s="147">
        <f>IF(t&lt;Tvie,1-EXP((T0-t)*PertePVj)+'2022'!Pspv,1-EXP((T0-t)*PertePVj)+Pspv)</f>
        <v>3.2185245227323245E-2</v>
      </c>
      <c r="M270" s="832"/>
      <c r="N270" s="832"/>
      <c r="O270" s="48">
        <f>IF(t&lt;Tnet,'2022'!Resal+('2022'!Salim-'2022'!Resal)*(1-EXP(('2022'!Tnet-t)/('2022'!Tau_j))),Resal+(Salim-Resal)*(1-EXP((Tnet-t)/(Tau_j))))*Salcycl</f>
        <v>2.1173558218806874E-2</v>
      </c>
      <c r="P270" s="338">
        <f>(INDEX(Models!$BJ270:$BT270,,T270)*(1-R270)+INDEX(Models!$BJ270:$BT270,,T270+1)*R270-ERP_i)*Q270*Ramure*Pc/MaxiM</f>
        <v>6.0924610153274602E-3</v>
      </c>
      <c r="Q270" s="304">
        <f t="shared" si="80"/>
        <v>0.7</v>
      </c>
      <c r="R270" s="177">
        <f t="shared" si="81"/>
        <v>0.72681935365185202</v>
      </c>
      <c r="S270" s="799">
        <f t="shared" si="82"/>
        <v>0</v>
      </c>
      <c r="T270" s="176">
        <f t="shared" si="83"/>
        <v>6</v>
      </c>
      <c r="U270" s="250">
        <f t="shared" si="84"/>
        <v>0.72681935365185202</v>
      </c>
      <c r="V270" s="382">
        <f t="shared" si="85"/>
        <v>46.654570264661132</v>
      </c>
      <c r="W270" s="400">
        <f t="shared" si="86"/>
        <v>11.509662047374102</v>
      </c>
      <c r="X270" s="157">
        <f t="shared" si="87"/>
        <v>45182</v>
      </c>
      <c r="Y270" s="383">
        <f t="shared" si="88"/>
        <v>11.323215109842781</v>
      </c>
      <c r="Z270" s="383">
        <f t="shared" si="89"/>
        <v>11.699775245214578</v>
      </c>
      <c r="AA270" s="384">
        <f t="shared" si="90"/>
        <v>12.14967442334895</v>
      </c>
      <c r="AB270" s="197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3.7029731205781728E-2</v>
      </c>
      <c r="AD270" s="230">
        <f>(INDEX(Models!$BJ270:$BT270,,AH270)*(1-AF270)+INDEX(Models!$BJ270:$BT270,,AH270+1)*AF270-ERP_i)*AE270*Ramure*Pc/MaxiM</f>
        <v>6.3456782950936435E-3</v>
      </c>
      <c r="AE270" s="304">
        <f t="shared" si="92"/>
        <v>0.7</v>
      </c>
      <c r="AF270" s="177">
        <f t="shared" si="93"/>
        <v>0.79115157591168417</v>
      </c>
      <c r="AG270" s="799">
        <f t="shared" si="99"/>
        <v>0</v>
      </c>
      <c r="AH270" s="176">
        <f t="shared" si="94"/>
        <v>6</v>
      </c>
      <c r="AI270" s="224">
        <f t="shared" si="95"/>
        <v>0.79115157591168417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45183</v>
      </c>
      <c r="B271" s="409">
        <f>'2022'!Wh/'2022'!Env_an*'2023'!Env_an</f>
        <v>38.606262143927694</v>
      </c>
      <c r="C271" s="829"/>
      <c r="D271" s="391">
        <f t="shared" ref="D271:D334" si="102">Wh/(1-Ppv)</f>
        <v>39.890900451690484</v>
      </c>
      <c r="E271" s="383">
        <f t="shared" si="100"/>
        <v>40.757547980580959</v>
      </c>
      <c r="F271" s="383">
        <f t="shared" ref="F271:F334" si="103">Wh_sa/(1-Pvg*MEDIAN((-Sdif+Wh/Env_an)/Csdif,0,1))</f>
        <v>40.947859228039086</v>
      </c>
      <c r="G271" s="110">
        <f t="shared" si="101"/>
        <v>0.83026707847278791</v>
      </c>
      <c r="H271" s="412" t="b">
        <f>Wh_hp&gt;='2022'!Maxi_hp</f>
        <v>0</v>
      </c>
      <c r="I271" s="379">
        <f>IF(H271,Wh_hp,'2022'!Maxi_hp)</f>
        <v>47.866073313841895</v>
      </c>
      <c r="J271" s="85">
        <f>IF(H271,An,'2022'!An_max)</f>
        <v>2020</v>
      </c>
      <c r="K271" s="197">
        <f t="shared" ref="K271:K334" si="104">t</f>
        <v>45183</v>
      </c>
      <c r="L271" s="147">
        <f>IF(t&lt;Tvie,1-EXP((T0-t)*PertePVj)+'2022'!Pspv,1-EXP((T0-t)*PertePVj)+Pspv)</f>
        <v>3.2203793176304396E-2</v>
      </c>
      <c r="M271" s="832"/>
      <c r="N271" s="832"/>
      <c r="O271" s="48">
        <f>IF(t&lt;Tnet,'2022'!Resal+('2022'!Salim-'2022'!Resal)*(1-EXP(('2022'!Tnet-t)/('2022'!Tau_j))),Resal+(Salim-Resal)*(1-EXP((Tnet-t)/(Tau_j))))*Salcycl</f>
        <v>2.1263485460494013E-2</v>
      </c>
      <c r="P271" s="338">
        <f>(INDEX(Models!$BJ271:$BT271,,T271)*(1-R271)+INDEX(Models!$BJ271:$BT271,,T271+1)*R271-ERP_i)*Q271*Ramure*Pc/MaxiM</f>
        <v>6.1211029120952836E-3</v>
      </c>
      <c r="Q271" s="304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0.72713209821540048</v>
      </c>
      <c r="S271" s="799">
        <f t="shared" ref="S271:S334" si="107">INDEX(Echel_vg,T271)</f>
        <v>0</v>
      </c>
      <c r="T271" s="176">
        <f t="shared" ref="T271:T334" si="108">MIN(MATCH(Hp_vg,Echel_vg),10)</f>
        <v>6</v>
      </c>
      <c r="U271" s="250">
        <f t="shared" ref="U271:U334" si="109">IF(OR(t&lt;Ttai,Notai),Hdd+PousH*Croivg,Hdtf+PousH*(Croivg-Croi_tai))</f>
        <v>0.72713209821540048</v>
      </c>
      <c r="V271" s="382">
        <f t="shared" ref="V271:V334" si="110">MaxiM*(1-Ppv)*(1-Pvg)*(1-Psa)</f>
        <v>46.429772965370248</v>
      </c>
      <c r="W271" s="400">
        <f t="shared" ref="W271:W334" si="111">Wh*(A271&gt;Tmaj)</f>
        <v>38.606262143927694</v>
      </c>
      <c r="X271" s="157">
        <f t="shared" ref="X271:X334" si="112">t</f>
        <v>45183</v>
      </c>
      <c r="Y271" s="383">
        <f t="shared" ref="Y271:Y334" si="113">Wh_pvt_s*(1-Ppv)</f>
        <v>37.97436072966471</v>
      </c>
      <c r="Z271" s="383">
        <f t="shared" ref="Z271:Z334" si="114">Wh_sa_s*(1-Psa_s)</f>
        <v>39.237972273415345</v>
      </c>
      <c r="AA271" s="384">
        <f t="shared" ref="AA271:AA334" si="115">Wh_hp*(1-Pvg_s*MEDIAN((-Sdif+Wh/Env_an)/Csdif,0,1))</f>
        <v>40.749710090308092</v>
      </c>
      <c r="AB271" s="197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3.7098124466222869E-2</v>
      </c>
      <c r="AD271" s="230">
        <f>(INDEX(Models!$BJ271:$BT271,,AH271)*(1-AF271)+INDEX(Models!$BJ271:$BT271,,AH271+1)*AF271-ERP_i)*AE271*Ramure*Pc/MaxiM</f>
        <v>6.3731980121733639E-3</v>
      </c>
      <c r="AE271" s="304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0.79146432047523263</v>
      </c>
      <c r="AG271" s="799">
        <f t="shared" si="99"/>
        <v>0</v>
      </c>
      <c r="AH271" s="176">
        <f t="shared" ref="AH271:AH334" si="119">MIN(MATCH(Hp_vg_s,Echel_vg),10)</f>
        <v>6</v>
      </c>
      <c r="AI271" s="224">
        <f t="shared" ref="AI271:AI334" si="120">IF(OR(t&lt;Ttai,Notai),Hdd_s+PousH*Croivg,Hdtai_s+PousH*(Croivg-Croi_tai))</f>
        <v>0.79146432047523263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45184</v>
      </c>
      <c r="B272" s="409">
        <f>'2022'!Wh/'2022'!Env_an*'2023'!Env_an</f>
        <v>43.146461986678098</v>
      </c>
      <c r="C272" s="829"/>
      <c r="D272" s="391">
        <f t="shared" si="102"/>
        <v>44.583031624225484</v>
      </c>
      <c r="E272" s="383">
        <f t="shared" si="100"/>
        <v>45.55578881562046</v>
      </c>
      <c r="F272" s="383">
        <f t="shared" si="103"/>
        <v>45.810149791826404</v>
      </c>
      <c r="G272" s="110">
        <f t="shared" si="101"/>
        <v>0.93329757905191024</v>
      </c>
      <c r="H272" s="412" t="b">
        <f>Wh_hp&gt;='2022'!Maxi_hp</f>
        <v>0</v>
      </c>
      <c r="I272" s="379">
        <f>IF(H272,Wh_hp,'2022'!Maxi_hp)</f>
        <v>49.308768016515323</v>
      </c>
      <c r="J272" s="85">
        <f>IF(H272,An,'2022'!An_max)</f>
        <v>2020</v>
      </c>
      <c r="K272" s="197">
        <f t="shared" si="104"/>
        <v>45184</v>
      </c>
      <c r="L272" s="147">
        <f>IF(t&lt;Tvie,1-EXP((T0-t)*PertePVj)+'2022'!Pspv,1-EXP((T0-t)*PertePVj)+Pspv)</f>
        <v>3.2222340769818447E-2</v>
      </c>
      <c r="M272" s="832"/>
      <c r="N272" s="832"/>
      <c r="O272" s="48">
        <f>IF(t&lt;Tnet,'2022'!Resal+('2022'!Salim-'2022'!Resal)*(1-EXP(('2022'!Tnet-t)/('2022'!Tau_j))),Resal+(Salim-Resal)*(1-EXP((Tnet-t)/(Tau_j))))*Salcycl</f>
        <v>2.1353097305197598E-2</v>
      </c>
      <c r="P272" s="338">
        <f>(INDEX(Models!$BJ272:$BT272,,T272)*(1-R272)+INDEX(Models!$BJ272:$BT272,,T272+1)*R272-ERP_i)*Q272*Ramure*Pc/MaxiM</f>
        <v>6.1320534029130225E-3</v>
      </c>
      <c r="Q272" s="304">
        <f t="shared" si="105"/>
        <v>0.7</v>
      </c>
      <c r="R272" s="177">
        <f t="shared" si="106"/>
        <v>0.727432719503319</v>
      </c>
      <c r="S272" s="799">
        <f t="shared" si="107"/>
        <v>0</v>
      </c>
      <c r="T272" s="176">
        <f t="shared" si="108"/>
        <v>6</v>
      </c>
      <c r="U272" s="250">
        <f t="shared" si="109"/>
        <v>0.727432719503319</v>
      </c>
      <c r="V272" s="382">
        <f t="shared" si="110"/>
        <v>46.20318081768567</v>
      </c>
      <c r="W272" s="400">
        <f t="shared" si="111"/>
        <v>43.146461986678098</v>
      </c>
      <c r="X272" s="157">
        <f t="shared" si="112"/>
        <v>45184</v>
      </c>
      <c r="Y272" s="383">
        <f t="shared" si="113"/>
        <v>42.439627648357636</v>
      </c>
      <c r="Z272" s="383">
        <f t="shared" si="114"/>
        <v>43.852663102510782</v>
      </c>
      <c r="AA272" s="384">
        <f t="shared" si="115"/>
        <v>45.54540852403516</v>
      </c>
      <c r="AB272" s="197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3.7166104693760353E-2</v>
      </c>
      <c r="AD272" s="230">
        <f>(INDEX(Models!$BJ272:$BT272,,AH272)*(1-AF272)+INDEX(Models!$BJ272:$BT272,,AH272+1)*AF272-ERP_i)*AE272*Ramure*Pc/MaxiM</f>
        <v>6.3822981664311586E-3</v>
      </c>
      <c r="AE272" s="304">
        <f t="shared" si="117"/>
        <v>0.7</v>
      </c>
      <c r="AF272" s="177">
        <f t="shared" si="118"/>
        <v>0.79176494176315115</v>
      </c>
      <c r="AG272" s="799">
        <f t="shared" ref="AG272:AG335" si="124">INDEX(Echel_vg,AH272)</f>
        <v>0</v>
      </c>
      <c r="AH272" s="176">
        <f t="shared" si="119"/>
        <v>6</v>
      </c>
      <c r="AI272" s="224">
        <f t="shared" si="120"/>
        <v>0.79176494176315115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45185</v>
      </c>
      <c r="B273" s="409">
        <f>'2022'!Wh/'2022'!Env_an*'2023'!Env_an</f>
        <v>25.671124756469165</v>
      </c>
      <c r="C273" s="829"/>
      <c r="D273" s="391">
        <f t="shared" si="102"/>
        <v>26.526358097135621</v>
      </c>
      <c r="E273" s="383">
        <f t="shared" si="100"/>
        <v>27.107609909175338</v>
      </c>
      <c r="F273" s="383">
        <f t="shared" si="103"/>
        <v>27.169033237628092</v>
      </c>
      <c r="G273" s="110">
        <f t="shared" si="101"/>
        <v>0.55621004968373311</v>
      </c>
      <c r="H273" s="412" t="b">
        <f>Wh_hp&gt;='2022'!Maxi_hp</f>
        <v>0</v>
      </c>
      <c r="I273" s="379">
        <f>IF(H273,Wh_hp,'2022'!Maxi_hp)</f>
        <v>44.025352482191991</v>
      </c>
      <c r="J273" s="85">
        <f>IF(H273,An,'2022'!An_max)</f>
        <v>2018</v>
      </c>
      <c r="K273" s="197">
        <f t="shared" si="104"/>
        <v>45185</v>
      </c>
      <c r="L273" s="147">
        <f>IF(t&lt;Tvie,1-EXP((T0-t)*PertePVj)+'2022'!Pspv,1-EXP((T0-t)*PertePVj)+Pspv)</f>
        <v>3.2240888007871948E-2</v>
      </c>
      <c r="M273" s="832"/>
      <c r="N273" s="832"/>
      <c r="O273" s="48">
        <f>IF(t&lt;Tnet,'2022'!Resal+('2022'!Salim-'2022'!Resal)*(1-EXP(('2022'!Tnet-t)/('2022'!Tau_j))),Resal+(Salim-Resal)*(1-EXP((Tnet-t)/(Tau_j))))*Salcycl</f>
        <v>2.1442385145249408E-2</v>
      </c>
      <c r="P273" s="338">
        <f>(INDEX(Models!$BJ273:$BT273,,T273)*(1-R273)+INDEX(Models!$BJ273:$BT273,,T273+1)*R273-ERP_i)*Q273*Ramure*Pc/MaxiM</f>
        <v>6.1250645057251887E-3</v>
      </c>
      <c r="Q273" s="304">
        <f t="shared" si="105"/>
        <v>0.7</v>
      </c>
      <c r="R273" s="177">
        <f t="shared" si="106"/>
        <v>0.72772166964083551</v>
      </c>
      <c r="S273" s="799">
        <f t="shared" si="107"/>
        <v>0</v>
      </c>
      <c r="T273" s="176">
        <f t="shared" si="108"/>
        <v>6</v>
      </c>
      <c r="U273" s="250">
        <f t="shared" si="109"/>
        <v>0.72772166964083551</v>
      </c>
      <c r="V273" s="382">
        <f t="shared" si="110"/>
        <v>45.974896672985409</v>
      </c>
      <c r="W273" s="400">
        <f t="shared" si="111"/>
        <v>25.671124756469165</v>
      </c>
      <c r="X273" s="157">
        <f t="shared" si="112"/>
        <v>45185</v>
      </c>
      <c r="Y273" s="383">
        <f t="shared" si="113"/>
        <v>25.25454824066264</v>
      </c>
      <c r="Z273" s="383">
        <f t="shared" si="114"/>
        <v>26.095903337635601</v>
      </c>
      <c r="AA273" s="384">
        <f t="shared" si="115"/>
        <v>27.105126366131486</v>
      </c>
      <c r="AB273" s="197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3.723365886081733E-2</v>
      </c>
      <c r="AD273" s="230">
        <f>(INDEX(Models!$BJ273:$BT273,,AH273)*(1-AF273)+INDEX(Models!$BJ273:$BT273,,AH273+1)*AF273-ERP_i)*AE273*Ramure*Pc/MaxiM</f>
        <v>6.3727205955128206E-3</v>
      </c>
      <c r="AE273" s="304">
        <f t="shared" si="117"/>
        <v>0.7</v>
      </c>
      <c r="AF273" s="177">
        <f t="shared" si="118"/>
        <v>0.79205389190066766</v>
      </c>
      <c r="AG273" s="799">
        <f t="shared" si="124"/>
        <v>0</v>
      </c>
      <c r="AH273" s="176">
        <f t="shared" si="119"/>
        <v>6</v>
      </c>
      <c r="AI273" s="224">
        <f t="shared" si="120"/>
        <v>0.79205389190066766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45186</v>
      </c>
      <c r="B274" s="409">
        <f>'2022'!Wh/'2022'!Env_an*'2023'!Env_an</f>
        <v>47.254247315385435</v>
      </c>
      <c r="C274" s="829"/>
      <c r="D274" s="391">
        <f t="shared" si="102"/>
        <v>48.829458037689307</v>
      </c>
      <c r="E274" s="383">
        <f t="shared" si="100"/>
        <v>49.90395711036274</v>
      </c>
      <c r="F274" s="383">
        <f t="shared" si="103"/>
        <v>50.210233541506348</v>
      </c>
      <c r="G274" s="110">
        <f t="shared" si="101"/>
        <v>1.0329920945130593</v>
      </c>
      <c r="H274" s="412" t="b">
        <f>Wh_hp&gt;='2022'!Maxi_hp</f>
        <v>1</v>
      </c>
      <c r="I274" s="379">
        <f>IF(H274,Wh_hp,'2022'!Maxi_hp)</f>
        <v>50.210233541506348</v>
      </c>
      <c r="J274" s="85">
        <f>IF(H274,An,'2022'!An_max)</f>
        <v>2023</v>
      </c>
      <c r="K274" s="197">
        <f t="shared" si="104"/>
        <v>45186</v>
      </c>
      <c r="L274" s="147">
        <f>IF(t&lt;Tvie,1-EXP((T0-t)*PertePVj)+'2022'!Pspv,1-EXP((T0-t)*PertePVj)+Pspv)</f>
        <v>3.2259434890472005E-2</v>
      </c>
      <c r="M274" s="832"/>
      <c r="N274" s="832"/>
      <c r="O274" s="48">
        <f>IF(t&lt;Tnet,'2022'!Resal+('2022'!Salim-'2022'!Resal)*(1-EXP(('2022'!Tnet-t)/('2022'!Tau_j))),Resal+(Salim-Resal)*(1-EXP((Tnet-t)/(Tau_j))))*Salcycl</f>
        <v>2.153134009588014E-2</v>
      </c>
      <c r="P274" s="338">
        <f>(INDEX(Models!$BJ274:$BT274,,T274)*(1-R274)+INDEX(Models!$BJ274:$BT274,,T274+1)*R274-ERP_i)*Q274*Ramure*Pc/MaxiM</f>
        <v>6.0998806327084536E-3</v>
      </c>
      <c r="Q274" s="304">
        <f t="shared" si="105"/>
        <v>0.7</v>
      </c>
      <c r="R274" s="177">
        <f t="shared" si="106"/>
        <v>0.7279993852769141</v>
      </c>
      <c r="S274" s="799">
        <f t="shared" si="107"/>
        <v>0</v>
      </c>
      <c r="T274" s="176">
        <f t="shared" si="108"/>
        <v>6</v>
      </c>
      <c r="U274" s="250">
        <f t="shared" si="109"/>
        <v>0.7279993852769141</v>
      </c>
      <c r="V274" s="382">
        <f t="shared" si="110"/>
        <v>45.745023186901108</v>
      </c>
      <c r="W274" s="400">
        <f t="shared" si="111"/>
        <v>47.254247315385435</v>
      </c>
      <c r="X274" s="157">
        <f t="shared" si="112"/>
        <v>45186</v>
      </c>
      <c r="Y274" s="383">
        <f t="shared" si="113"/>
        <v>46.481248237295077</v>
      </c>
      <c r="Z274" s="383">
        <f t="shared" si="114"/>
        <v>48.030691192566024</v>
      </c>
      <c r="AA274" s="384">
        <f t="shared" si="115"/>
        <v>49.891689817029679</v>
      </c>
      <c r="AB274" s="197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3.7300773561460679E-2</v>
      </c>
      <c r="AD274" s="230">
        <f>(INDEX(Models!$BJ274:$BT274,,AH274)*(1-AF274)+INDEX(Models!$BJ274:$BT274,,AH274+1)*AF274-ERP_i)*AE274*Ramure*Pc/MaxiM</f>
        <v>6.3441992201319734E-3</v>
      </c>
      <c r="AE274" s="304">
        <f t="shared" si="117"/>
        <v>0.7</v>
      </c>
      <c r="AF274" s="177">
        <f t="shared" si="118"/>
        <v>0.79233160753674625</v>
      </c>
      <c r="AG274" s="799">
        <f t="shared" si="124"/>
        <v>0</v>
      </c>
      <c r="AH274" s="176">
        <f t="shared" si="119"/>
        <v>6</v>
      </c>
      <c r="AI274" s="224">
        <f t="shared" si="120"/>
        <v>0.79233160753674625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45187</v>
      </c>
      <c r="B275" s="409">
        <f>'2022'!Wh/'2022'!Env_an*'2023'!Env_an</f>
        <v>46.507884667665373</v>
      </c>
      <c r="C275" s="829"/>
      <c r="D275" s="391">
        <f t="shared" si="102"/>
        <v>48.059136585313226</v>
      </c>
      <c r="E275" s="383">
        <f t="shared" si="100"/>
        <v>49.121133176444843</v>
      </c>
      <c r="F275" s="383">
        <f t="shared" si="103"/>
        <v>49.420439760582568</v>
      </c>
      <c r="G275" s="110">
        <f t="shared" si="101"/>
        <v>1.0218602561464745</v>
      </c>
      <c r="H275" s="412" t="b">
        <f>Wh_hp&gt;='2022'!Maxi_hp</f>
        <v>1</v>
      </c>
      <c r="I275" s="379">
        <f>IF(H275,Wh_hp,'2022'!Maxi_hp)</f>
        <v>49.420439760582568</v>
      </c>
      <c r="J275" s="85">
        <f>IF(H275,An,'2022'!An_max)</f>
        <v>2023</v>
      </c>
      <c r="K275" s="197">
        <f t="shared" si="104"/>
        <v>45187</v>
      </c>
      <c r="L275" s="147">
        <f>IF(t&lt;Tvie,1-EXP((T0-t)*PertePVj)+'2022'!Pspv,1-EXP((T0-t)*PertePVj)+Pspv)</f>
        <v>3.2277981417625168E-2</v>
      </c>
      <c r="M275" s="832"/>
      <c r="N275" s="832"/>
      <c r="O275" s="48">
        <f>IF(t&lt;Tnet,'2022'!Resal+('2022'!Salim-'2022'!Resal)*(1-EXP(('2022'!Tnet-t)/('2022'!Tau_j))),Resal+(Salim-Resal)*(1-EXP((Tnet-t)/(Tau_j))))*Salcycl</f>
        <v>2.1619953011199691E-2</v>
      </c>
      <c r="P275" s="338">
        <f>(INDEX(Models!$BJ275:$BT275,,T275)*(1-R275)+INDEX(Models!$BJ275:$BT275,,T275+1)*R275-ERP_i)*Q275*Ramure*Pc/MaxiM</f>
        <v>6.0563318656757749E-3</v>
      </c>
      <c r="Q275" s="304">
        <f t="shared" si="105"/>
        <v>0.7</v>
      </c>
      <c r="R275" s="177">
        <f t="shared" si="106"/>
        <v>0.72826628800480042</v>
      </c>
      <c r="S275" s="799">
        <f t="shared" si="107"/>
        <v>0</v>
      </c>
      <c r="T275" s="176">
        <f t="shared" si="108"/>
        <v>6</v>
      </c>
      <c r="U275" s="250">
        <f t="shared" si="109"/>
        <v>0.72826628800480042</v>
      </c>
      <c r="V275" s="382">
        <f t="shared" si="110"/>
        <v>45.5129597104116</v>
      </c>
      <c r="W275" s="400">
        <f t="shared" si="111"/>
        <v>46.507884667665373</v>
      </c>
      <c r="X275" s="157">
        <f t="shared" si="112"/>
        <v>45187</v>
      </c>
      <c r="Y275" s="383">
        <f t="shared" si="113"/>
        <v>45.748259107361562</v>
      </c>
      <c r="Z275" s="383">
        <f t="shared" si="114"/>
        <v>47.27417401784308</v>
      </c>
      <c r="AA275" s="384">
        <f t="shared" si="115"/>
        <v>49.10926114359129</v>
      </c>
      <c r="AB275" s="197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3.7367435042090544E-2</v>
      </c>
      <c r="AD275" s="230">
        <f>(INDEX(Models!$BJ275:$BT275,,AH275)*(1-AF275)+INDEX(Models!$BJ275:$BT275,,AH275+1)*AF275-ERP_i)*AE275*Ramure*Pc/MaxiM</f>
        <v>6.2965570217258845E-3</v>
      </c>
      <c r="AE275" s="304">
        <f t="shared" si="117"/>
        <v>0.7</v>
      </c>
      <c r="AF275" s="177">
        <f t="shared" si="118"/>
        <v>0.79259851026463257</v>
      </c>
      <c r="AG275" s="799">
        <f t="shared" si="124"/>
        <v>0</v>
      </c>
      <c r="AH275" s="176">
        <f t="shared" si="119"/>
        <v>6</v>
      </c>
      <c r="AI275" s="224">
        <f t="shared" si="120"/>
        <v>0.79259851026463257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45188</v>
      </c>
      <c r="B276" s="409">
        <f>'2022'!Wh/'2022'!Env_an*'2023'!Env_an</f>
        <v>44.842640977310104</v>
      </c>
      <c r="C276" s="829"/>
      <c r="D276" s="391">
        <f t="shared" si="102"/>
        <v>46.339237437685206</v>
      </c>
      <c r="E276" s="383">
        <f t="shared" si="100"/>
        <v>47.36750131680995</v>
      </c>
      <c r="F276" s="383">
        <f t="shared" si="103"/>
        <v>47.64911914695616</v>
      </c>
      <c r="G276" s="110">
        <f t="shared" si="101"/>
        <v>0.99029726908020543</v>
      </c>
      <c r="H276" s="412" t="b">
        <f>Wh_hp&gt;='2022'!Maxi_hp</f>
        <v>0</v>
      </c>
      <c r="I276" s="379">
        <f>IF(H276,Wh_hp,'2022'!Maxi_hp)</f>
        <v>47.650088972377581</v>
      </c>
      <c r="J276" s="85">
        <f>IF(H276,An,'2022'!An_max)</f>
        <v>2022</v>
      </c>
      <c r="K276" s="197">
        <f t="shared" si="104"/>
        <v>45188</v>
      </c>
      <c r="L276" s="147">
        <f>IF(t&lt;Tvie,1-EXP((T0-t)*PertePVj)+'2022'!Pspv,1-EXP((T0-t)*PertePVj)+Pspv)</f>
        <v>3.2296527589338431E-2</v>
      </c>
      <c r="M276" s="832"/>
      <c r="N276" s="832"/>
      <c r="O276" s="48">
        <f>IF(t&lt;Tnet,'2022'!Resal+('2022'!Salim-'2022'!Resal)*(1-EXP(('2022'!Tnet-t)/('2022'!Tau_j))),Resal+(Salim-Resal)*(1-EXP((Tnet-t)/(Tau_j))))*Salcycl</f>
        <v>2.170821450444186E-2</v>
      </c>
      <c r="P276" s="338">
        <f>(INDEX(Models!$BJ276:$BT276,,T276)*(1-R276)+INDEX(Models!$BJ276:$BT276,,T276+1)*R276-ERP_i)*Q276*Ramure*Pc/MaxiM</f>
        <v>5.992603391257444E-3</v>
      </c>
      <c r="Q276" s="304">
        <f t="shared" si="105"/>
        <v>0.7</v>
      </c>
      <c r="R276" s="177">
        <f t="shared" si="106"/>
        <v>0.72852278478020971</v>
      </c>
      <c r="S276" s="799">
        <f t="shared" si="107"/>
        <v>0</v>
      </c>
      <c r="T276" s="176">
        <f t="shared" si="108"/>
        <v>6</v>
      </c>
      <c r="U276" s="250">
        <f t="shared" si="109"/>
        <v>0.72852278478020971</v>
      </c>
      <c r="V276" s="382">
        <f t="shared" si="110"/>
        <v>45.278248382134301</v>
      </c>
      <c r="W276" s="400">
        <f t="shared" si="111"/>
        <v>44.842640977310104</v>
      </c>
      <c r="X276" s="157">
        <f t="shared" si="112"/>
        <v>45188</v>
      </c>
      <c r="Y276" s="383">
        <f t="shared" si="113"/>
        <v>44.111506965715201</v>
      </c>
      <c r="Z276" s="383">
        <f t="shared" si="114"/>
        <v>45.58370226349227</v>
      </c>
      <c r="AA276" s="384">
        <f t="shared" si="115"/>
        <v>47.356425123656244</v>
      </c>
      <c r="AB276" s="197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3.743362923901182E-2</v>
      </c>
      <c r="AD276" s="230">
        <f>(INDEX(Models!$BJ276:$BT276,,AH276)*(1-AF276)+INDEX(Models!$BJ276:$BT276,,AH276+1)*AF276-ERP_i)*AE276*Ramure*Pc/MaxiM</f>
        <v>6.2282959701706817E-3</v>
      </c>
      <c r="AE276" s="304">
        <f t="shared" si="117"/>
        <v>0.7</v>
      </c>
      <c r="AF276" s="177">
        <f t="shared" si="118"/>
        <v>0.79285500704004186</v>
      </c>
      <c r="AG276" s="799">
        <f t="shared" si="124"/>
        <v>0</v>
      </c>
      <c r="AH276" s="176">
        <f t="shared" si="119"/>
        <v>6</v>
      </c>
      <c r="AI276" s="224">
        <f t="shared" si="120"/>
        <v>0.79285500704004186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45189</v>
      </c>
      <c r="B277" s="409">
        <f>'2022'!Wh/'2022'!Env_an*'2023'!Env_an</f>
        <v>44.842190246960037</v>
      </c>
      <c r="C277" s="829"/>
      <c r="D277" s="391">
        <f t="shared" si="102"/>
        <v>46.3396597534853</v>
      </c>
      <c r="E277" s="383">
        <f t="shared" si="100"/>
        <v>47.372189441047141</v>
      </c>
      <c r="F277" s="383">
        <f t="shared" si="103"/>
        <v>47.652205704068656</v>
      </c>
      <c r="G277" s="110">
        <f t="shared" si="101"/>
        <v>0.99555176692246294</v>
      </c>
      <c r="H277" s="412" t="b">
        <f>Wh_hp&gt;='2022'!Maxi_hp</f>
        <v>0</v>
      </c>
      <c r="I277" s="379">
        <f>IF(H277,Wh_hp,'2022'!Maxi_hp)</f>
        <v>48.889969383535792</v>
      </c>
      <c r="J277" s="85">
        <f>IF(H277,An,'2022'!An_max)</f>
        <v>2018</v>
      </c>
      <c r="K277" s="197">
        <f t="shared" si="104"/>
        <v>45189</v>
      </c>
      <c r="L277" s="147">
        <f>IF(t&lt;Tvie,1-EXP((T0-t)*PertePVj)+'2022'!Pspv,1-EXP((T0-t)*PertePVj)+Pspv)</f>
        <v>3.2315073405618566E-2</v>
      </c>
      <c r="M277" s="832"/>
      <c r="N277" s="832"/>
      <c r="O277" s="48">
        <f>IF(t&lt;Tnet,'2022'!Resal+('2022'!Salim-'2022'!Resal)*(1-EXP(('2022'!Tnet-t)/('2022'!Tau_j))),Resal+(Salim-Resal)*(1-EXP((Tnet-t)/(Tau_j))))*Salcycl</f>
        <v>2.1796114972620944E-2</v>
      </c>
      <c r="P277" s="338">
        <f>(INDEX(Models!$BJ277:$BT277,,T277)*(1-R277)+INDEX(Models!$BJ277:$BT277,,T277+1)*R277-ERP_i)*Q277*Ramure*Pc/MaxiM</f>
        <v>5.9135126363372521E-3</v>
      </c>
      <c r="Q277" s="304">
        <f t="shared" si="105"/>
        <v>0.7</v>
      </c>
      <c r="R277" s="177">
        <f t="shared" si="106"/>
        <v>0.72876926833625666</v>
      </c>
      <c r="S277" s="799">
        <f t="shared" si="107"/>
        <v>0</v>
      </c>
      <c r="T277" s="176">
        <f t="shared" si="108"/>
        <v>6</v>
      </c>
      <c r="U277" s="250">
        <f t="shared" si="109"/>
        <v>0.72876926833625666</v>
      </c>
      <c r="V277" s="382">
        <f t="shared" si="110"/>
        <v>45.040861672401739</v>
      </c>
      <c r="W277" s="400">
        <f t="shared" si="111"/>
        <v>44.842190246960037</v>
      </c>
      <c r="X277" s="157">
        <f t="shared" si="112"/>
        <v>45189</v>
      </c>
      <c r="Y277" s="383">
        <f t="shared" si="113"/>
        <v>44.112147684372488</v>
      </c>
      <c r="Z277" s="383">
        <f t="shared" si="114"/>
        <v>45.585237996440043</v>
      </c>
      <c r="AA277" s="384">
        <f t="shared" si="115"/>
        <v>47.361253843484633</v>
      </c>
      <c r="AB277" s="197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3.7499341823039788E-2</v>
      </c>
      <c r="AD277" s="230">
        <f>(INDEX(Models!$BJ277:$BT277,,AH277)*(1-AF277)+INDEX(Models!$BJ277:$BT277,,AH277+1)*AF277-ERP_i)*AE277*Ramure*Pc/MaxiM</f>
        <v>6.1444556311261271E-3</v>
      </c>
      <c r="AE277" s="304">
        <f t="shared" si="117"/>
        <v>0.7</v>
      </c>
      <c r="AF277" s="177">
        <f t="shared" si="118"/>
        <v>0.79310149059608881</v>
      </c>
      <c r="AG277" s="799">
        <f t="shared" si="124"/>
        <v>0</v>
      </c>
      <c r="AH277" s="176">
        <f t="shared" si="119"/>
        <v>6</v>
      </c>
      <c r="AI277" s="224">
        <f t="shared" si="120"/>
        <v>0.79310149059608881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45190</v>
      </c>
      <c r="B278" s="409">
        <f>'2022'!Wh/'2022'!Env_an*'2023'!Env_an</f>
        <v>46.340016318736438</v>
      </c>
      <c r="C278" s="829"/>
      <c r="D278" s="391">
        <f t="shared" si="102"/>
        <v>47.888422313952447</v>
      </c>
      <c r="E278" s="383">
        <f t="shared" si="100"/>
        <v>48.95984209938598</v>
      </c>
      <c r="F278" s="383">
        <f t="shared" si="103"/>
        <v>49.24639747322302</v>
      </c>
      <c r="G278" s="110">
        <f t="shared" si="101"/>
        <v>1.0343521668497802</v>
      </c>
      <c r="H278" s="412" t="b">
        <f>Wh_hp&gt;='2022'!Maxi_hp</f>
        <v>1</v>
      </c>
      <c r="I278" s="379">
        <f>IF(H278,Wh_hp,'2022'!Maxi_hp)</f>
        <v>49.24639747322302</v>
      </c>
      <c r="J278" s="85">
        <f>IF(H278,An,'2022'!An_max)</f>
        <v>2023</v>
      </c>
      <c r="K278" s="197">
        <f t="shared" si="104"/>
        <v>45190</v>
      </c>
      <c r="L278" s="147">
        <f>IF(t&lt;Tvie,1-EXP((T0-t)*PertePVj)+'2022'!Pspv,1-EXP((T0-t)*PertePVj)+Pspv)</f>
        <v>3.2333618866472347E-2</v>
      </c>
      <c r="M278" s="832"/>
      <c r="N278" s="832"/>
      <c r="O278" s="48">
        <f>IF(t&lt;Tnet,'2022'!Resal+('2022'!Salim-'2022'!Resal)*(1-EXP(('2022'!Tnet-t)/('2022'!Tau_j))),Resal+(Salim-Resal)*(1-EXP((Tnet-t)/(Tau_j))))*Salcycl</f>
        <v>2.1883644625703767E-2</v>
      </c>
      <c r="P278" s="338">
        <f>(INDEX(Models!$BJ278:$BT278,,T278)*(1-R278)+INDEX(Models!$BJ278:$BT278,,T278+1)*R278-ERP_i)*Q278*Ramure*Pc/MaxiM</f>
        <v>5.8188088579037289E-3</v>
      </c>
      <c r="Q278" s="304">
        <f t="shared" si="105"/>
        <v>0.7</v>
      </c>
      <c r="R278" s="177">
        <f t="shared" si="106"/>
        <v>0.72900611759432676</v>
      </c>
      <c r="S278" s="799">
        <f t="shared" si="107"/>
        <v>0</v>
      </c>
      <c r="T278" s="176">
        <f t="shared" si="108"/>
        <v>6</v>
      </c>
      <c r="U278" s="250">
        <f t="shared" si="109"/>
        <v>0.72900611759432676</v>
      </c>
      <c r="V278" s="382">
        <f t="shared" si="110"/>
        <v>44.801004729239814</v>
      </c>
      <c r="W278" s="400">
        <f t="shared" si="111"/>
        <v>46.340016318736438</v>
      </c>
      <c r="X278" s="157">
        <f t="shared" si="112"/>
        <v>45190</v>
      </c>
      <c r="Y278" s="383">
        <f t="shared" si="113"/>
        <v>45.586740964259995</v>
      </c>
      <c r="Z278" s="383">
        <f t="shared" si="114"/>
        <v>47.10997700556625</v>
      </c>
      <c r="AA278" s="384">
        <f t="shared" si="115"/>
        <v>48.94871381706966</v>
      </c>
      <c r="AB278" s="197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3.7564558251215879E-2</v>
      </c>
      <c r="AD278" s="230">
        <f>(INDEX(Models!$BJ278:$BT278,,AH278)*(1-AF278)+INDEX(Models!$BJ278:$BT278,,AH278+1)*AF278-ERP_i)*AE278*Ramure*Pc/MaxiM</f>
        <v>6.0447803581007934E-3</v>
      </c>
      <c r="AE278" s="304">
        <f t="shared" si="117"/>
        <v>0.7</v>
      </c>
      <c r="AF278" s="177">
        <f t="shared" si="118"/>
        <v>0.79333833985415891</v>
      </c>
      <c r="AG278" s="799">
        <f t="shared" si="124"/>
        <v>0</v>
      </c>
      <c r="AH278" s="176">
        <f t="shared" si="119"/>
        <v>6</v>
      </c>
      <c r="AI278" s="224">
        <f t="shared" si="120"/>
        <v>0.79333833985415891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45191</v>
      </c>
      <c r="B279" s="409">
        <f>'2022'!Wh/'2022'!Env_an*'2023'!Env_an</f>
        <v>45.128135907395333</v>
      </c>
      <c r="C279" s="829"/>
      <c r="D279" s="391">
        <f t="shared" si="102"/>
        <v>46.636941898855383</v>
      </c>
      <c r="E279" s="383">
        <f t="shared" si="100"/>
        <v>47.684610633175346</v>
      </c>
      <c r="F279" s="383">
        <f t="shared" si="103"/>
        <v>47.958368246020818</v>
      </c>
      <c r="G279" s="110">
        <f t="shared" si="101"/>
        <v>1.0127753085273887</v>
      </c>
      <c r="H279" s="412" t="b">
        <f>Wh_hp&gt;='2022'!Maxi_hp</f>
        <v>1</v>
      </c>
      <c r="I279" s="379">
        <f>IF(H279,Wh_hp,'2022'!Maxi_hp)</f>
        <v>47.958368246020818</v>
      </c>
      <c r="J279" s="85">
        <f>IF(H279,An,'2022'!An_max)</f>
        <v>2023</v>
      </c>
      <c r="K279" s="197">
        <f t="shared" si="104"/>
        <v>45191</v>
      </c>
      <c r="L279" s="147">
        <f>IF(t&lt;Tvie,1-EXP((T0-t)*PertePVj)+'2022'!Pspv,1-EXP((T0-t)*PertePVj)+Pspv)</f>
        <v>3.2352163971906545E-2</v>
      </c>
      <c r="M279" s="832"/>
      <c r="N279" s="832"/>
      <c r="O279" s="48">
        <f>IF(t&lt;Tnet,'2022'!Resal+('2022'!Salim-'2022'!Resal)*(1-EXP(('2022'!Tnet-t)/('2022'!Tau_j))),Resal+(Salim-Resal)*(1-EXP((Tnet-t)/(Tau_j))))*Salcycl</f>
        <v>2.197079352035379E-2</v>
      </c>
      <c r="P279" s="338">
        <f>(INDEX(Models!$BJ279:$BT279,,T279)*(1-R279)+INDEX(Models!$BJ279:$BT279,,T279+1)*R279-ERP_i)*Q279*Ramure*Pc/MaxiM</f>
        <v>5.7082345137583123E-3</v>
      </c>
      <c r="Q279" s="304">
        <f t="shared" si="105"/>
        <v>0.7</v>
      </c>
      <c r="R279" s="177">
        <f t="shared" si="106"/>
        <v>0.72923369807017491</v>
      </c>
      <c r="S279" s="799">
        <f t="shared" si="107"/>
        <v>0</v>
      </c>
      <c r="T279" s="176">
        <f t="shared" si="108"/>
        <v>6</v>
      </c>
      <c r="U279" s="250">
        <f t="shared" si="109"/>
        <v>0.72923369807017491</v>
      </c>
      <c r="V279" s="382">
        <f t="shared" si="110"/>
        <v>44.558882436631727</v>
      </c>
      <c r="W279" s="400">
        <f t="shared" si="111"/>
        <v>45.128135907395333</v>
      </c>
      <c r="X279" s="157">
        <f t="shared" si="112"/>
        <v>45191</v>
      </c>
      <c r="Y279" s="383">
        <f t="shared" si="113"/>
        <v>44.395764323122172</v>
      </c>
      <c r="Z279" s="383">
        <f t="shared" si="114"/>
        <v>45.880084334558717</v>
      </c>
      <c r="AA279" s="384">
        <f t="shared" si="115"/>
        <v>47.674022712849606</v>
      </c>
      <c r="AB279" s="197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3.7629263825629963E-2</v>
      </c>
      <c r="AD279" s="230">
        <f>(INDEX(Models!$BJ279:$BT279,,AH279)*(1-AF279)+INDEX(Models!$BJ279:$BT279,,AH279+1)*AF279-ERP_i)*AE279*Ramure*Pc/MaxiM</f>
        <v>5.9290076699972738E-3</v>
      </c>
      <c r="AE279" s="304">
        <f t="shared" si="117"/>
        <v>0.7</v>
      </c>
      <c r="AF279" s="177">
        <f t="shared" si="118"/>
        <v>0.79356592033000706</v>
      </c>
      <c r="AG279" s="799">
        <f t="shared" si="124"/>
        <v>0</v>
      </c>
      <c r="AH279" s="176">
        <f t="shared" si="119"/>
        <v>6</v>
      </c>
      <c r="AI279" s="224">
        <f t="shared" si="120"/>
        <v>0.79356592033000706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45192</v>
      </c>
      <c r="B280" s="409">
        <f>'2022'!Wh/'2022'!Env_an*'2023'!Env_an</f>
        <v>33.955996130481971</v>
      </c>
      <c r="C280" s="829"/>
      <c r="D280" s="391">
        <f t="shared" si="102"/>
        <v>35.091947336186919</v>
      </c>
      <c r="E280" s="383">
        <f t="shared" si="100"/>
        <v>35.883448349683341</v>
      </c>
      <c r="F280" s="383">
        <f t="shared" si="103"/>
        <v>36.017349661866639</v>
      </c>
      <c r="G280" s="110">
        <f t="shared" si="101"/>
        <v>0.7648133009878304</v>
      </c>
      <c r="H280" s="412" t="b">
        <f>Wh_hp&gt;='2022'!Maxi_hp</f>
        <v>0</v>
      </c>
      <c r="I280" s="379">
        <f>IF(H280,Wh_hp,'2022'!Maxi_hp)</f>
        <v>41.960409852229127</v>
      </c>
      <c r="J280" s="85">
        <f>IF(H280,An,'2022'!An_max)</f>
        <v>2021</v>
      </c>
      <c r="K280" s="197">
        <f t="shared" si="104"/>
        <v>45192</v>
      </c>
      <c r="L280" s="147">
        <f>IF(t&lt;Tvie,1-EXP((T0-t)*PertePVj)+'2022'!Pspv,1-EXP((T0-t)*PertePVj)+Pspv)</f>
        <v>3.2370708721928154E-2</v>
      </c>
      <c r="M280" s="832"/>
      <c r="N280" s="832"/>
      <c r="O280" s="48">
        <f>IF(t&lt;Tnet,'2022'!Resal+('2022'!Salim-'2022'!Resal)*(1-EXP(('2022'!Tnet-t)/('2022'!Tau_j))),Resal+(Salim-Resal)*(1-EXP((Tnet-t)/(Tau_j))))*Salcycl</f>
        <v>2.2057551598253979E-2</v>
      </c>
      <c r="P280" s="338">
        <f>(INDEX(Models!$BJ280:$BT280,,T280)*(1-R280)+INDEX(Models!$BJ280:$BT280,,T280+1)*R280-ERP_i)*Q280*Ramure*Pc/MaxiM</f>
        <v>5.5815554764749985E-3</v>
      </c>
      <c r="Q280" s="304">
        <f t="shared" si="105"/>
        <v>0.7</v>
      </c>
      <c r="R280" s="177">
        <f t="shared" si="106"/>
        <v>0.72945236227462718</v>
      </c>
      <c r="S280" s="799">
        <f t="shared" si="107"/>
        <v>0</v>
      </c>
      <c r="T280" s="176">
        <f t="shared" si="108"/>
        <v>6</v>
      </c>
      <c r="U280" s="250">
        <f t="shared" si="109"/>
        <v>0.72945236227462718</v>
      </c>
      <c r="V280" s="382">
        <f t="shared" si="110"/>
        <v>44.3146980870956</v>
      </c>
      <c r="W280" s="400">
        <f t="shared" si="111"/>
        <v>33.955996130481971</v>
      </c>
      <c r="X280" s="157">
        <f t="shared" si="112"/>
        <v>45192</v>
      </c>
      <c r="Y280" s="383">
        <f t="shared" si="113"/>
        <v>33.40827818319972</v>
      </c>
      <c r="Z280" s="383">
        <f t="shared" si="114"/>
        <v>34.525906237370236</v>
      </c>
      <c r="AA280" s="384">
        <f t="shared" si="115"/>
        <v>35.87828225159987</v>
      </c>
      <c r="AB280" s="197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3.7693443759262694E-2</v>
      </c>
      <c r="AD280" s="230">
        <f>(INDEX(Models!$BJ280:$BT280,,AH280)*(1-AF280)+INDEX(Models!$BJ280:$BT280,,AH280+1)*AF280-ERP_i)*AE280*Ramure*Pc/MaxiM</f>
        <v>5.7968996174669295E-3</v>
      </c>
      <c r="AE280" s="304">
        <f t="shared" si="117"/>
        <v>0.7</v>
      </c>
      <c r="AF280" s="177">
        <f t="shared" si="118"/>
        <v>0.79378458453445933</v>
      </c>
      <c r="AG280" s="799">
        <f t="shared" si="124"/>
        <v>0</v>
      </c>
      <c r="AH280" s="176">
        <f t="shared" si="119"/>
        <v>6</v>
      </c>
      <c r="AI280" s="224">
        <f t="shared" si="120"/>
        <v>0.79378458453445933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45193</v>
      </c>
      <c r="B281" s="409">
        <f>'2022'!Wh/'2022'!Env_an*'2023'!Env_an</f>
        <v>22.783027391472416</v>
      </c>
      <c r="C281" s="829"/>
      <c r="D281" s="391">
        <f t="shared" si="102"/>
        <v>23.545653523230776</v>
      </c>
      <c r="E281" s="383">
        <f t="shared" si="100"/>
        <v>24.078853456468948</v>
      </c>
      <c r="F281" s="383">
        <f t="shared" si="103"/>
        <v>24.119515511478319</v>
      </c>
      <c r="G281" s="110">
        <f t="shared" si="101"/>
        <v>0.51504603127649107</v>
      </c>
      <c r="H281" s="412" t="b">
        <f>Wh_hp&gt;='2022'!Maxi_hp</f>
        <v>0</v>
      </c>
      <c r="I281" s="379">
        <f>IF(H281,Wh_hp,'2022'!Maxi_hp)</f>
        <v>41.038887067631343</v>
      </c>
      <c r="J281" s="85">
        <f>IF(H281,An,'2022'!An_max)</f>
        <v>2021</v>
      </c>
      <c r="K281" s="197">
        <f t="shared" si="104"/>
        <v>45193</v>
      </c>
      <c r="L281" s="147">
        <f>IF(t&lt;Tvie,1-EXP((T0-t)*PertePVj)+'2022'!Pspv,1-EXP((T0-t)*PertePVj)+Pspv)</f>
        <v>3.2389253116543726E-2</v>
      </c>
      <c r="M281" s="832"/>
      <c r="N281" s="832"/>
      <c r="O281" s="48">
        <f>IF(t&lt;Tnet,'2022'!Resal+('2022'!Salim-'2022'!Resal)*(1-EXP(('2022'!Tnet-t)/('2022'!Tau_j))),Resal+(Salim-Resal)*(1-EXP((Tnet-t)/(Tau_j))))*Salcycl</f>
        <v>2.2143908728965073E-2</v>
      </c>
      <c r="P281" s="338">
        <f>(INDEX(Models!$BJ281:$BT281,,T281)*(1-R281)+INDEX(Models!$BJ281:$BT281,,T281+1)*R281-ERP_i)*Q281*Ramure*Pc/MaxiM</f>
        <v>5.4385143859661022E-3</v>
      </c>
      <c r="Q281" s="304">
        <f t="shared" si="105"/>
        <v>0.7</v>
      </c>
      <c r="R281" s="177">
        <f t="shared" si="106"/>
        <v>0.72966245010833597</v>
      </c>
      <c r="S281" s="799">
        <f t="shared" si="107"/>
        <v>0</v>
      </c>
      <c r="T281" s="176">
        <f t="shared" si="108"/>
        <v>6</v>
      </c>
      <c r="U281" s="250">
        <f t="shared" si="109"/>
        <v>0.72966245010833597</v>
      </c>
      <c r="V281" s="382">
        <f t="shared" si="110"/>
        <v>44.068655496974465</v>
      </c>
      <c r="W281" s="400">
        <f t="shared" si="111"/>
        <v>22.783027391472416</v>
      </c>
      <c r="X281" s="157">
        <f t="shared" si="112"/>
        <v>45193</v>
      </c>
      <c r="Y281" s="383">
        <f t="shared" si="113"/>
        <v>22.417797045124168</v>
      </c>
      <c r="Z281" s="383">
        <f t="shared" si="114"/>
        <v>23.168197663501431</v>
      </c>
      <c r="AA281" s="384">
        <f t="shared" si="115"/>
        <v>24.077285745808133</v>
      </c>
      <c r="AB281" s="197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3.7757083248678679E-2</v>
      </c>
      <c r="AD281" s="230">
        <f>(INDEX(Models!$BJ281:$BT281,,AH281)*(1-AF281)+INDEX(Models!$BJ281:$BT281,,AH281+1)*AF281-ERP_i)*AE281*Ramure*Pc/MaxiM</f>
        <v>5.6481943192580753E-3</v>
      </c>
      <c r="AE281" s="304">
        <f t="shared" si="117"/>
        <v>0.7</v>
      </c>
      <c r="AF281" s="177">
        <f t="shared" si="118"/>
        <v>0.79399467236816812</v>
      </c>
      <c r="AG281" s="799">
        <f t="shared" si="124"/>
        <v>0</v>
      </c>
      <c r="AH281" s="176">
        <f t="shared" si="119"/>
        <v>6</v>
      </c>
      <c r="AI281" s="224">
        <f t="shared" si="120"/>
        <v>0.79399467236816812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45194</v>
      </c>
      <c r="B282" s="409">
        <f>'2022'!Wh/'2022'!Env_an*'2023'!Env_an</f>
        <v>34.484347767371027</v>
      </c>
      <c r="C282" s="829"/>
      <c r="D282" s="391">
        <f t="shared" si="102"/>
        <v>35.639340277861066</v>
      </c>
      <c r="E282" s="383">
        <f t="shared" si="100"/>
        <v>36.449609809892401</v>
      </c>
      <c r="F282" s="383">
        <f t="shared" si="103"/>
        <v>36.58477220246624</v>
      </c>
      <c r="G282" s="110">
        <f t="shared" si="101"/>
        <v>0.785685920518158</v>
      </c>
      <c r="H282" s="412" t="b">
        <f>Wh_hp&gt;='2022'!Maxi_hp</f>
        <v>0</v>
      </c>
      <c r="I282" s="379">
        <f>IF(H282,Wh_hp,'2022'!Maxi_hp)</f>
        <v>36.599123491462763</v>
      </c>
      <c r="J282" s="85">
        <f>IF(H282,An,'2022'!An_max)</f>
        <v>2022</v>
      </c>
      <c r="K282" s="197">
        <f t="shared" si="104"/>
        <v>45194</v>
      </c>
      <c r="L282" s="147">
        <f>IF(t&lt;Tvie,1-EXP((T0-t)*PertePVj)+'2022'!Pspv,1-EXP((T0-t)*PertePVj)+Pspv)</f>
        <v>3.2407797155760254E-2</v>
      </c>
      <c r="M282" s="832"/>
      <c r="N282" s="832"/>
      <c r="O282" s="48">
        <f>IF(t&lt;Tnet,'2022'!Resal+('2022'!Salim-'2022'!Resal)*(1-EXP(('2022'!Tnet-t)/('2022'!Tau_j))),Resal+(Salim-Resal)*(1-EXP((Tnet-t)/(Tau_j))))*Salcycl</f>
        <v>2.2229854757222313E-2</v>
      </c>
      <c r="P282" s="338">
        <f>(INDEX(Models!$BJ282:$BT282,,T282)*(1-R282)+INDEX(Models!$BJ282:$BT282,,T282+1)*R282-ERP_i)*Q282*Ramure*Pc/MaxiM</f>
        <v>5.3107757061570896E-3</v>
      </c>
      <c r="Q282" s="304">
        <f t="shared" si="105"/>
        <v>0.7</v>
      </c>
      <c r="R282" s="177">
        <f t="shared" si="106"/>
        <v>0.7298642892501106</v>
      </c>
      <c r="S282" s="799">
        <f t="shared" si="107"/>
        <v>0</v>
      </c>
      <c r="T282" s="176">
        <f t="shared" si="108"/>
        <v>6</v>
      </c>
      <c r="U282" s="250">
        <f t="shared" si="109"/>
        <v>0.7298642892501106</v>
      </c>
      <c r="V282" s="382">
        <f t="shared" si="110"/>
        <v>43.819551716612494</v>
      </c>
      <c r="W282" s="400">
        <f t="shared" si="111"/>
        <v>34.484347767371027</v>
      </c>
      <c r="X282" s="157">
        <f t="shared" si="112"/>
        <v>45194</v>
      </c>
      <c r="Y282" s="383">
        <f t="shared" si="113"/>
        <v>33.929630940179351</v>
      </c>
      <c r="Z282" s="383">
        <f t="shared" si="114"/>
        <v>35.066044187254832</v>
      </c>
      <c r="AA282" s="384">
        <f t="shared" si="115"/>
        <v>36.444376617297173</v>
      </c>
      <c r="AB282" s="197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3.7820167553316318E-2</v>
      </c>
      <c r="AD282" s="230">
        <f>(INDEX(Models!$BJ282:$BT282,,AH282)*(1-AF282)+INDEX(Models!$BJ282:$BT282,,AH282+1)*AF282-ERP_i)*AE282*Ramure*Pc/MaxiM</f>
        <v>5.5163973407783571E-3</v>
      </c>
      <c r="AE282" s="304">
        <f t="shared" si="117"/>
        <v>0.7</v>
      </c>
      <c r="AF282" s="177">
        <f t="shared" si="118"/>
        <v>0.79419651150994275</v>
      </c>
      <c r="AG282" s="799">
        <f t="shared" si="124"/>
        <v>0</v>
      </c>
      <c r="AH282" s="176">
        <f t="shared" si="119"/>
        <v>6</v>
      </c>
      <c r="AI282" s="224">
        <f t="shared" si="120"/>
        <v>0.79419651150994275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45195</v>
      </c>
      <c r="B283" s="409">
        <f>'2022'!Wh/'2022'!Env_an*'2023'!Env_an</f>
        <v>35.892896102277682</v>
      </c>
      <c r="C283" s="829"/>
      <c r="D283" s="391">
        <f t="shared" si="102"/>
        <v>37.095776391249345</v>
      </c>
      <c r="E283" s="383">
        <f t="shared" si="100"/>
        <v>37.942477170548912</v>
      </c>
      <c r="F283" s="383">
        <f t="shared" si="103"/>
        <v>38.091059391250816</v>
      </c>
      <c r="G283" s="110">
        <f t="shared" si="101"/>
        <v>0.82277048927591878</v>
      </c>
      <c r="H283" s="412" t="b">
        <f>Wh_hp&gt;='2022'!Maxi_hp</f>
        <v>0</v>
      </c>
      <c r="I283" s="379">
        <f>IF(H283,Wh_hp,'2022'!Maxi_hp)</f>
        <v>39.791402666859739</v>
      </c>
      <c r="J283" s="85">
        <f>IF(H283,An,'2022'!An_max)</f>
        <v>2018</v>
      </c>
      <c r="K283" s="197">
        <f t="shared" si="104"/>
        <v>45195</v>
      </c>
      <c r="L283" s="147">
        <f>IF(t&lt;Tvie,1-EXP((T0-t)*PertePVj)+'2022'!Pspv,1-EXP((T0-t)*PertePVj)+Pspv)</f>
        <v>3.2426340839584511E-2</v>
      </c>
      <c r="M283" s="832"/>
      <c r="N283" s="832"/>
      <c r="O283" s="48">
        <f>IF(t&lt;Tnet,'2022'!Resal+('2022'!Salim-'2022'!Resal)*(1-EXP(('2022'!Tnet-t)/('2022'!Tau_j))),Resal+(Salim-Resal)*(1-EXP((Tnet-t)/(Tau_j))))*Salcycl</f>
        <v>2.2315379554521418E-2</v>
      </c>
      <c r="P283" s="338">
        <f>(INDEX(Models!$BJ283:$BT283,,T283)*(1-R283)+INDEX(Models!$BJ283:$BT283,,T283+1)*R283-ERP_i)*Q283*Ramure*Pc/MaxiM</f>
        <v>5.2123131393197082E-3</v>
      </c>
      <c r="Q283" s="304">
        <f t="shared" si="105"/>
        <v>0.7</v>
      </c>
      <c r="R283" s="177">
        <f t="shared" si="106"/>
        <v>0.73005819553841289</v>
      </c>
      <c r="S283" s="799">
        <f t="shared" si="107"/>
        <v>0</v>
      </c>
      <c r="T283" s="176">
        <f t="shared" si="108"/>
        <v>6</v>
      </c>
      <c r="U283" s="250">
        <f t="shared" si="109"/>
        <v>0.73005819553841289</v>
      </c>
      <c r="V283" s="382">
        <f t="shared" si="110"/>
        <v>43.566991065555669</v>
      </c>
      <c r="W283" s="400">
        <f t="shared" si="111"/>
        <v>35.892896102277682</v>
      </c>
      <c r="X283" s="157">
        <f t="shared" si="112"/>
        <v>45195</v>
      </c>
      <c r="Y283" s="383">
        <f t="shared" si="113"/>
        <v>35.315981006839579</v>
      </c>
      <c r="Z283" s="383">
        <f t="shared" si="114"/>
        <v>36.499527113505771</v>
      </c>
      <c r="AA283" s="384">
        <f t="shared" si="115"/>
        <v>37.936669919270727</v>
      </c>
      <c r="AB283" s="197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3.7882682081036491E-2</v>
      </c>
      <c r="AD283" s="230">
        <f>(INDEX(Models!$BJ283:$BT283,,AH283)*(1-AF283)+INDEX(Models!$BJ283:$BT283,,AH283+1)*AF283-ERP_i)*AE283*Ramure*Pc/MaxiM</f>
        <v>5.4160334229287153E-3</v>
      </c>
      <c r="AE283" s="304">
        <f t="shared" si="117"/>
        <v>0.7</v>
      </c>
      <c r="AF283" s="177">
        <f t="shared" si="118"/>
        <v>0.79439041779824504</v>
      </c>
      <c r="AG283" s="799">
        <f t="shared" si="124"/>
        <v>0</v>
      </c>
      <c r="AH283" s="176">
        <f t="shared" si="119"/>
        <v>6</v>
      </c>
      <c r="AI283" s="224">
        <f t="shared" si="120"/>
        <v>0.79439041779824504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45196</v>
      </c>
      <c r="B284" s="409">
        <f>'2022'!Wh/'2022'!Env_an*'2023'!Env_an</f>
        <v>15.372620566904262</v>
      </c>
      <c r="C284" s="829"/>
      <c r="D284" s="391">
        <f t="shared" si="102"/>
        <v>15.888108403711684</v>
      </c>
      <c r="E284" s="383">
        <f t="shared" si="100"/>
        <v>16.252164578765388</v>
      </c>
      <c r="F284" s="383">
        <f t="shared" si="103"/>
        <v>16.258727440246027</v>
      </c>
      <c r="G284" s="110">
        <f t="shared" si="101"/>
        <v>0.35325118356934826</v>
      </c>
      <c r="H284" s="412" t="b">
        <f>Wh_hp&gt;='2022'!Maxi_hp</f>
        <v>0</v>
      </c>
      <c r="I284" s="379">
        <f>IF(H284,Wh_hp,'2022'!Maxi_hp)</f>
        <v>40.257199501289676</v>
      </c>
      <c r="J284" s="85">
        <f>IF(H284,An,'2022'!An_max)</f>
        <v>2018</v>
      </c>
      <c r="K284" s="197">
        <f t="shared" si="104"/>
        <v>45196</v>
      </c>
      <c r="L284" s="147">
        <f>IF(t&lt;Tvie,1-EXP((T0-t)*PertePVj)+'2022'!Pspv,1-EXP((T0-t)*PertePVj)+Pspv)</f>
        <v>3.2444884168023269E-2</v>
      </c>
      <c r="M284" s="832"/>
      <c r="N284" s="832"/>
      <c r="O284" s="48">
        <f>IF(t&lt;Tnet,'2022'!Resal+('2022'!Salim-'2022'!Resal)*(1-EXP(('2022'!Tnet-t)/('2022'!Tau_j))),Resal+(Salim-Resal)*(1-EXP((Tnet-t)/(Tau_j))))*Salcycl</f>
        <v>2.2400473074790827E-2</v>
      </c>
      <c r="P284" s="338">
        <f>(INDEX(Models!$BJ284:$BT284,,T284)*(1-R284)+INDEX(Models!$BJ284:$BT284,,T284+1)*R284-ERP_i)*Q284*Ramure*Pc/MaxiM</f>
        <v>5.143536683768748E-3</v>
      </c>
      <c r="Q284" s="304">
        <f t="shared" si="105"/>
        <v>0.7</v>
      </c>
      <c r="R284" s="177">
        <f t="shared" si="106"/>
        <v>0.73024447334566833</v>
      </c>
      <c r="S284" s="799">
        <f t="shared" si="107"/>
        <v>0</v>
      </c>
      <c r="T284" s="176">
        <f t="shared" si="108"/>
        <v>6</v>
      </c>
      <c r="U284" s="250">
        <f t="shared" si="109"/>
        <v>0.73024447334566833</v>
      </c>
      <c r="V284" s="382">
        <f t="shared" si="110"/>
        <v>43.311183090130918</v>
      </c>
      <c r="W284" s="400">
        <f t="shared" si="111"/>
        <v>15.372620566904262</v>
      </c>
      <c r="X284" s="157">
        <f t="shared" si="112"/>
        <v>45196</v>
      </c>
      <c r="Y284" s="383">
        <f t="shared" si="113"/>
        <v>15.127948775267146</v>
      </c>
      <c r="Z284" s="383">
        <f t="shared" si="114"/>
        <v>15.635232068675485</v>
      </c>
      <c r="AA284" s="384">
        <f t="shared" si="115"/>
        <v>16.251904278580298</v>
      </c>
      <c r="AB284" s="197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3.7944612479509476E-2</v>
      </c>
      <c r="AD284" s="230">
        <f>(INDEX(Models!$BJ284:$BT284,,AH284)*(1-AF284)+INDEX(Models!$BJ284:$BT284,,AH284+1)*AF284-ERP_i)*AE284*Ramure*Pc/MaxiM</f>
        <v>5.3475427495313158E-3</v>
      </c>
      <c r="AE284" s="304">
        <f t="shared" si="117"/>
        <v>0.7</v>
      </c>
      <c r="AF284" s="177">
        <f t="shared" si="118"/>
        <v>0.79457669560550048</v>
      </c>
      <c r="AG284" s="799">
        <f t="shared" si="124"/>
        <v>0</v>
      </c>
      <c r="AH284" s="176">
        <f t="shared" si="119"/>
        <v>6</v>
      </c>
      <c r="AI284" s="224">
        <f t="shared" si="120"/>
        <v>0.79457669560550048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45197</v>
      </c>
      <c r="B285" s="409">
        <f>'2022'!Wh/'2022'!Env_an*'2023'!Env_an</f>
        <v>15.44368327012098</v>
      </c>
      <c r="C285" s="829"/>
      <c r="D285" s="391">
        <f t="shared" si="102"/>
        <v>15.961859947564932</v>
      </c>
      <c r="E285" s="383">
        <f t="shared" si="100"/>
        <v>16.329020010384411</v>
      </c>
      <c r="F285" s="383">
        <f t="shared" si="103"/>
        <v>16.336015368080059</v>
      </c>
      <c r="G285" s="110">
        <f t="shared" si="101"/>
        <v>0.35704048799397442</v>
      </c>
      <c r="H285" s="412" t="b">
        <f>Wh_hp&gt;='2022'!Maxi_hp</f>
        <v>0</v>
      </c>
      <c r="I285" s="379">
        <f>IF(H285,Wh_hp,'2022'!Maxi_hp)</f>
        <v>31.058972746779887</v>
      </c>
      <c r="J285" s="85">
        <f>IF(H285,An,'2022'!An_max)</f>
        <v>2021</v>
      </c>
      <c r="K285" s="197">
        <f t="shared" si="104"/>
        <v>45197</v>
      </c>
      <c r="L285" s="147">
        <f>IF(t&lt;Tvie,1-EXP((T0-t)*PertePVj)+'2022'!Pspv,1-EXP((T0-t)*PertePVj)+Pspv)</f>
        <v>3.2463427141083412E-2</v>
      </c>
      <c r="M285" s="832"/>
      <c r="N285" s="832"/>
      <c r="O285" s="48">
        <f>IF(t&lt;Tnet,'2022'!Resal+('2022'!Salim-'2022'!Resal)*(1-EXP(('2022'!Tnet-t)/('2022'!Tau_j))),Resal+(Salim-Resal)*(1-EXP((Tnet-t)/(Tau_j))))*Salcycl</f>
        <v>2.2485125413894153E-2</v>
      </c>
      <c r="P285" s="338">
        <f>(INDEX(Models!$BJ285:$BT285,,T285)*(1-R285)+INDEX(Models!$BJ285:$BT285,,T285+1)*R285-ERP_i)*Q285*Ramure*Pc/MaxiM</f>
        <v>5.1048688569464724E-3</v>
      </c>
      <c r="Q285" s="304">
        <f t="shared" si="105"/>
        <v>0.7</v>
      </c>
      <c r="R285" s="177">
        <f t="shared" si="106"/>
        <v>0.73042341594509763</v>
      </c>
      <c r="S285" s="799">
        <f t="shared" si="107"/>
        <v>0</v>
      </c>
      <c r="T285" s="176">
        <f t="shared" si="108"/>
        <v>6</v>
      </c>
      <c r="U285" s="250">
        <f t="shared" si="109"/>
        <v>0.73042341594509763</v>
      </c>
      <c r="V285" s="382">
        <f t="shared" si="110"/>
        <v>43.052337519599526</v>
      </c>
      <c r="W285" s="400">
        <f t="shared" si="111"/>
        <v>15.44368327012098</v>
      </c>
      <c r="X285" s="157">
        <f t="shared" si="112"/>
        <v>45197</v>
      </c>
      <c r="Y285" s="383">
        <f t="shared" si="113"/>
        <v>15.198207630103747</v>
      </c>
      <c r="Z285" s="383">
        <f t="shared" si="114"/>
        <v>15.70814794648585</v>
      </c>
      <c r="AA285" s="384">
        <f t="shared" si="115"/>
        <v>16.328737023354133</v>
      </c>
      <c r="AB285" s="197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3.8005944732938467E-2</v>
      </c>
      <c r="AD285" s="230">
        <f>(INDEX(Models!$BJ285:$BT285,,AH285)*(1-AF285)+INDEX(Models!$BJ285:$BT285,,AH285+1)*AF285-ERP_i)*AE285*Ramure*Pc/MaxiM</f>
        <v>5.3113789084201909E-3</v>
      </c>
      <c r="AE285" s="304">
        <f t="shared" si="117"/>
        <v>0.7</v>
      </c>
      <c r="AF285" s="177">
        <f t="shared" si="118"/>
        <v>0.79475563820492978</v>
      </c>
      <c r="AG285" s="799">
        <f t="shared" si="124"/>
        <v>0</v>
      </c>
      <c r="AH285" s="176">
        <f t="shared" si="119"/>
        <v>6</v>
      </c>
      <c r="AI285" s="224">
        <f t="shared" si="120"/>
        <v>0.79475563820492978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45198</v>
      </c>
      <c r="B286" s="409">
        <f>'2022'!Wh/'2022'!Env_an*'2023'!Env_an</f>
        <v>21.89404994450539</v>
      </c>
      <c r="C286" s="829"/>
      <c r="D286" s="391">
        <f t="shared" si="102"/>
        <v>22.629087272974761</v>
      </c>
      <c r="E286" s="383">
        <f t="shared" si="100"/>
        <v>23.151603377221342</v>
      </c>
      <c r="F286" s="383">
        <f t="shared" si="103"/>
        <v>23.187336729184448</v>
      </c>
      <c r="G286" s="110">
        <f t="shared" si="101"/>
        <v>0.50983274282991231</v>
      </c>
      <c r="H286" s="412" t="b">
        <f>Wh_hp&gt;='2022'!Maxi_hp</f>
        <v>0</v>
      </c>
      <c r="I286" s="379">
        <f>IF(H286,Wh_hp,'2022'!Maxi_hp)</f>
        <v>45.479306908151436</v>
      </c>
      <c r="J286" s="85">
        <f>IF(H286,An,'2022'!An_max)</f>
        <v>2018</v>
      </c>
      <c r="K286" s="197">
        <f t="shared" si="104"/>
        <v>45198</v>
      </c>
      <c r="L286" s="147">
        <f>IF(t&lt;Tvie,1-EXP((T0-t)*PertePVj)+'2022'!Pspv,1-EXP((T0-t)*PertePVj)+Pspv)</f>
        <v>3.2481969758771712E-2</v>
      </c>
      <c r="M286" s="832"/>
      <c r="N286" s="832"/>
      <c r="O286" s="48">
        <f>IF(t&lt;Tnet,'2022'!Resal+('2022'!Salim-'2022'!Resal)*(1-EXP(('2022'!Tnet-t)/('2022'!Tau_j))),Resal+(Salim-Resal)*(1-EXP((Tnet-t)/(Tau_j))))*Salcycl</f>
        <v>2.2569326872655369E-2</v>
      </c>
      <c r="P286" s="338">
        <f>(INDEX(Models!$BJ286:$BT286,,T286)*(1-R286)+INDEX(Models!$BJ286:$BT286,,T286+1)*R286-ERP_i)*Q286*Ramure*Pc/MaxiM</f>
        <v>5.0967431781616538E-3</v>
      </c>
      <c r="Q286" s="304">
        <f t="shared" si="105"/>
        <v>0.7</v>
      </c>
      <c r="R286" s="177">
        <f t="shared" si="106"/>
        <v>0.7305953058698258</v>
      </c>
      <c r="S286" s="799">
        <f t="shared" si="107"/>
        <v>0</v>
      </c>
      <c r="T286" s="176">
        <f t="shared" si="108"/>
        <v>6</v>
      </c>
      <c r="U286" s="250">
        <f t="shared" si="109"/>
        <v>0.7305953058698258</v>
      </c>
      <c r="V286" s="382">
        <f t="shared" si="110"/>
        <v>42.790664293584143</v>
      </c>
      <c r="W286" s="400">
        <f t="shared" si="111"/>
        <v>21.89404994450539</v>
      </c>
      <c r="X286" s="157">
        <f t="shared" si="112"/>
        <v>45198</v>
      </c>
      <c r="Y286" s="383">
        <f t="shared" si="113"/>
        <v>21.545537348687112</v>
      </c>
      <c r="Z286" s="383">
        <f t="shared" si="114"/>
        <v>22.268874248591761</v>
      </c>
      <c r="AA286" s="384">
        <f t="shared" si="115"/>
        <v>23.150122201236289</v>
      </c>
      <c r="AB286" s="197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3.8066665263540883E-2</v>
      </c>
      <c r="AD286" s="230">
        <f>(INDEX(Models!$BJ286:$BT286,,AH286)*(1-AF286)+INDEX(Models!$BJ286:$BT286,,AH286+1)*AF286-ERP_i)*AE286*Ramure*Pc/MaxiM</f>
        <v>5.3080072545142109E-3</v>
      </c>
      <c r="AE286" s="304">
        <f t="shared" si="117"/>
        <v>0.7</v>
      </c>
      <c r="AF286" s="177">
        <f t="shared" si="118"/>
        <v>0.79492752812965795</v>
      </c>
      <c r="AG286" s="799">
        <f t="shared" si="124"/>
        <v>0</v>
      </c>
      <c r="AH286" s="176">
        <f t="shared" si="119"/>
        <v>6</v>
      </c>
      <c r="AI286" s="224">
        <f t="shared" si="120"/>
        <v>0.79492752812965795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45199</v>
      </c>
      <c r="B287" s="409">
        <f>'2022'!Wh/'2022'!Env_an*'2023'!Env_an</f>
        <v>30.245613748227672</v>
      </c>
      <c r="C287" s="829"/>
      <c r="D287" s="391">
        <f t="shared" si="102"/>
        <v>31.261632821543298</v>
      </c>
      <c r="E287" s="383">
        <f t="shared" si="100"/>
        <v>31.986218812093757</v>
      </c>
      <c r="F287" s="383">
        <f t="shared" si="103"/>
        <v>32.082709105865256</v>
      </c>
      <c r="G287" s="110">
        <f t="shared" si="101"/>
        <v>0.70971348173705617</v>
      </c>
      <c r="H287" s="412" t="b">
        <f>Wh_hp&gt;='2022'!Maxi_hp</f>
        <v>0</v>
      </c>
      <c r="I287" s="379">
        <f>IF(H287,Wh_hp,'2022'!Maxi_hp)</f>
        <v>37.731180167005817</v>
      </c>
      <c r="J287" s="85">
        <f>IF(H287,An,'2022'!An_max)</f>
        <v>2020</v>
      </c>
      <c r="K287" s="197">
        <f t="shared" si="104"/>
        <v>45199</v>
      </c>
      <c r="L287" s="147">
        <f>IF(t&lt;Tvie,1-EXP((T0-t)*PertePVj)+'2022'!Pspv,1-EXP((T0-t)*PertePVj)+Pspv)</f>
        <v>3.2500512021094941E-2</v>
      </c>
      <c r="M287" s="832"/>
      <c r="N287" s="832"/>
      <c r="O287" s="48">
        <f>IF(t&lt;Tnet,'2022'!Resal+('2022'!Salim-'2022'!Resal)*(1-EXP(('2022'!Tnet-t)/('2022'!Tau_j))),Resal+(Salim-Resal)*(1-EXP((Tnet-t)/(Tau_j))))*Salcycl</f>
        <v>2.2653068023047968E-2</v>
      </c>
      <c r="P287" s="338">
        <f>(INDEX(Models!$BJ287:$BT287,,T287)*(1-R287)+INDEX(Models!$BJ287:$BT287,,T287+1)*R287-ERP_i)*Q287*Ramure*Pc/MaxiM</f>
        <v>5.1196025801285034E-3</v>
      </c>
      <c r="Q287" s="304">
        <f t="shared" si="105"/>
        <v>0.7</v>
      </c>
      <c r="R287" s="177">
        <f t="shared" si="106"/>
        <v>0.73076041526407298</v>
      </c>
      <c r="S287" s="799">
        <f t="shared" si="107"/>
        <v>0</v>
      </c>
      <c r="T287" s="176">
        <f t="shared" si="108"/>
        <v>6</v>
      </c>
      <c r="U287" s="250">
        <f t="shared" si="109"/>
        <v>0.73076041526407298</v>
      </c>
      <c r="V287" s="382">
        <f t="shared" si="110"/>
        <v>42.526373587036048</v>
      </c>
      <c r="W287" s="400">
        <f t="shared" si="111"/>
        <v>30.245613748227672</v>
      </c>
      <c r="X287" s="157">
        <f t="shared" si="112"/>
        <v>45199</v>
      </c>
      <c r="Y287" s="383">
        <f t="shared" si="113"/>
        <v>29.762925908608551</v>
      </c>
      <c r="Z287" s="383">
        <f t="shared" si="114"/>
        <v>30.762730397700725</v>
      </c>
      <c r="AA287" s="384">
        <f t="shared" si="115"/>
        <v>31.982104451591205</v>
      </c>
      <c r="AB287" s="197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3.8126761037134138E-2</v>
      </c>
      <c r="AD287" s="230">
        <f>(INDEX(Models!$BJ287:$BT287,,AH287)*(1-AF287)+INDEX(Models!$BJ287:$BT287,,AH287+1)*AF287-ERP_i)*AE287*Ramure*Pc/MaxiM</f>
        <v>5.3379031969171672E-3</v>
      </c>
      <c r="AE287" s="304">
        <f t="shared" si="117"/>
        <v>0.7</v>
      </c>
      <c r="AF287" s="177">
        <f t="shared" si="118"/>
        <v>0.79509263752390513</v>
      </c>
      <c r="AG287" s="799">
        <f t="shared" si="124"/>
        <v>0</v>
      </c>
      <c r="AH287" s="176">
        <f t="shared" si="119"/>
        <v>6</v>
      </c>
      <c r="AI287" s="224">
        <f t="shared" si="120"/>
        <v>0.79509263752390513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45200</v>
      </c>
      <c r="B288" s="409">
        <f>'2022'!Wh/'2022'!Env_an*'2023'!Env_an</f>
        <v>35.433627860787695</v>
      </c>
      <c r="C288" s="829"/>
      <c r="D288" s="391">
        <f t="shared" si="102"/>
        <v>36.624626050416211</v>
      </c>
      <c r="E288" s="383">
        <f t="shared" si="100"/>
        <v>37.476709245552236</v>
      </c>
      <c r="F288" s="383">
        <f t="shared" si="103"/>
        <v>37.626462998325003</v>
      </c>
      <c r="G288" s="110">
        <f t="shared" si="101"/>
        <v>0.83746868374911709</v>
      </c>
      <c r="H288" s="412" t="b">
        <f>Wh_hp&gt;='2022'!Maxi_hp</f>
        <v>0</v>
      </c>
      <c r="I288" s="379">
        <f>IF(H288,Wh_hp,'2022'!Maxi_hp)</f>
        <v>44.215885035477228</v>
      </c>
      <c r="J288" s="85">
        <f>IF(H288,An,'2022'!An_max)</f>
        <v>2020</v>
      </c>
      <c r="K288" s="197">
        <f t="shared" si="104"/>
        <v>45200</v>
      </c>
      <c r="L288" s="147">
        <f>IF(t&lt;Tvie,1-EXP((T0-t)*PertePVj)+'2022'!Pspv,1-EXP((T0-t)*PertePVj)+Pspv)</f>
        <v>3.2519053928059982E-2</v>
      </c>
      <c r="M288" s="832"/>
      <c r="N288" s="832"/>
      <c r="O288" s="48">
        <f>IF(t&lt;Tnet,'2022'!Resal+('2022'!Salim-'2022'!Resal)*(1-EXP(('2022'!Tnet-t)/('2022'!Tau_j))),Resal+(Salim-Resal)*(1-EXP((Tnet-t)/(Tau_j))))*Salcycl</f>
        <v>2.2736339777141776E-2</v>
      </c>
      <c r="P288" s="338">
        <f>(INDEX(Models!$BJ288:$BT288,,T288)*(1-R288)+INDEX(Models!$BJ288:$BT288,,T288+1)*R288-ERP_i)*Q288*Ramure*Pc/MaxiM</f>
        <v>5.1738977505632871E-3</v>
      </c>
      <c r="Q288" s="304">
        <f t="shared" si="105"/>
        <v>0.7</v>
      </c>
      <c r="R288" s="177">
        <f t="shared" si="106"/>
        <v>0.73091900622627159</v>
      </c>
      <c r="S288" s="799">
        <f t="shared" si="107"/>
        <v>0</v>
      </c>
      <c r="T288" s="176">
        <f t="shared" si="108"/>
        <v>6</v>
      </c>
      <c r="U288" s="250">
        <f t="shared" si="109"/>
        <v>0.73091900622627159</v>
      </c>
      <c r="V288" s="382">
        <f t="shared" si="110"/>
        <v>42.259675832459905</v>
      </c>
      <c r="W288" s="400">
        <f t="shared" si="111"/>
        <v>35.433627860787695</v>
      </c>
      <c r="X288" s="157">
        <f t="shared" si="112"/>
        <v>45200</v>
      </c>
      <c r="Y288" s="383">
        <f t="shared" si="113"/>
        <v>34.867314592926476</v>
      </c>
      <c r="Z288" s="383">
        <f t="shared" si="114"/>
        <v>36.039277811610575</v>
      </c>
      <c r="AA288" s="384">
        <f t="shared" si="115"/>
        <v>37.470120046860082</v>
      </c>
      <c r="AB288" s="197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3.8186219672103977E-2</v>
      </c>
      <c r="AD288" s="230">
        <f>(INDEX(Models!$BJ288:$BT288,,AH288)*(1-AF288)+INDEX(Models!$BJ288:$BT288,,AH288+1)*AF288-ERP_i)*AE288*Ramure*Pc/MaxiM</f>
        <v>5.4015504114157242E-3</v>
      </c>
      <c r="AE288" s="304">
        <f t="shared" si="117"/>
        <v>0.7</v>
      </c>
      <c r="AF288" s="177">
        <f t="shared" si="118"/>
        <v>0.79525122848610375</v>
      </c>
      <c r="AG288" s="799">
        <f t="shared" si="124"/>
        <v>0</v>
      </c>
      <c r="AH288" s="176">
        <f t="shared" si="119"/>
        <v>6</v>
      </c>
      <c r="AI288" s="224">
        <f t="shared" si="120"/>
        <v>0.79525122848610375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45201</v>
      </c>
      <c r="B289" s="409">
        <f>'2022'!Wh/'2022'!Env_an*'2023'!Env_an</f>
        <v>40.100225183161214</v>
      </c>
      <c r="C289" s="829"/>
      <c r="D289" s="391">
        <f t="shared" si="102"/>
        <v>41.448871807109803</v>
      </c>
      <c r="E289" s="383">
        <f t="shared" si="100"/>
        <v>42.41678611023373</v>
      </c>
      <c r="F289" s="383">
        <f t="shared" si="103"/>
        <v>42.626601356937961</v>
      </c>
      <c r="G289" s="110">
        <f t="shared" si="101"/>
        <v>0.9546843210799556</v>
      </c>
      <c r="H289" s="412" t="b">
        <f>Wh_hp&gt;='2022'!Maxi_hp</f>
        <v>0</v>
      </c>
      <c r="I289" s="379">
        <f>IF(H289,Wh_hp,'2022'!Maxi_hp)</f>
        <v>42.630714957104409</v>
      </c>
      <c r="J289" s="85">
        <f>IF(H289,An,'2022'!An_max)</f>
        <v>2022</v>
      </c>
      <c r="K289" s="197">
        <f t="shared" si="104"/>
        <v>45201</v>
      </c>
      <c r="L289" s="147">
        <f>IF(t&lt;Tvie,1-EXP((T0-t)*PertePVj)+'2022'!Pspv,1-EXP((T0-t)*PertePVj)+Pspv)</f>
        <v>3.2537595479673609E-2</v>
      </c>
      <c r="M289" s="832"/>
      <c r="N289" s="832"/>
      <c r="O289" s="48">
        <f>IF(t&lt;Tnet,'2022'!Resal+('2022'!Salim-'2022'!Resal)*(1-EXP(('2022'!Tnet-t)/('2022'!Tau_j))),Resal+(Salim-Resal)*(1-EXP((Tnet-t)/(Tau_j))))*Salcycl</f>
        <v>2.2819133458355186E-2</v>
      </c>
      <c r="P289" s="338">
        <f>(INDEX(Models!$BJ289:$BT289,,T289)*(1-R289)+INDEX(Models!$BJ289:$BT289,,T289+1)*R289-ERP_i)*Q289*Ramure*Pc/MaxiM</f>
        <v>5.2602603734922372E-3</v>
      </c>
      <c r="Q289" s="304">
        <f t="shared" si="105"/>
        <v>0.7</v>
      </c>
      <c r="R289" s="177">
        <f t="shared" si="106"/>
        <v>0.73107133114399669</v>
      </c>
      <c r="S289" s="799">
        <f t="shared" si="107"/>
        <v>0</v>
      </c>
      <c r="T289" s="176">
        <f t="shared" si="108"/>
        <v>6</v>
      </c>
      <c r="U289" s="250">
        <f t="shared" si="109"/>
        <v>0.73107133114399669</v>
      </c>
      <c r="V289" s="382">
        <f t="shared" si="110"/>
        <v>41.989377651903119</v>
      </c>
      <c r="W289" s="400">
        <f t="shared" si="111"/>
        <v>40.100225183161214</v>
      </c>
      <c r="X289" s="157">
        <f t="shared" si="112"/>
        <v>45201</v>
      </c>
      <c r="Y289" s="383">
        <f t="shared" si="113"/>
        <v>39.458314676501516</v>
      </c>
      <c r="Z289" s="383">
        <f t="shared" si="114"/>
        <v>40.785372632712466</v>
      </c>
      <c r="AA289" s="384">
        <f t="shared" si="115"/>
        <v>42.407238731160739</v>
      </c>
      <c r="AB289" s="197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3.8245029550969756E-2</v>
      </c>
      <c r="AD289" s="230">
        <f>(INDEX(Models!$BJ289:$BT289,,AH289)*(1-AF289)+INDEX(Models!$BJ289:$BT289,,AH289+1)*AF289-ERP_i)*AE289*Ramure*Pc/MaxiM</f>
        <v>5.4996219098783217E-3</v>
      </c>
      <c r="AE289" s="304">
        <f t="shared" si="117"/>
        <v>0.7</v>
      </c>
      <c r="AF289" s="177">
        <f t="shared" si="118"/>
        <v>0.79540355340382884</v>
      </c>
      <c r="AG289" s="799">
        <f t="shared" si="124"/>
        <v>0</v>
      </c>
      <c r="AH289" s="176">
        <f t="shared" si="119"/>
        <v>6</v>
      </c>
      <c r="AI289" s="224">
        <f t="shared" si="120"/>
        <v>0.79540355340382884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45202</v>
      </c>
      <c r="B290" s="409">
        <f>'2022'!Wh/'2022'!Env_an*'2023'!Env_an</f>
        <v>35.669924657278415</v>
      </c>
      <c r="C290" s="829"/>
      <c r="D290" s="391">
        <f t="shared" si="102"/>
        <v>36.870278482846018</v>
      </c>
      <c r="E290" s="383">
        <f t="shared" si="100"/>
        <v>37.73445179966847</v>
      </c>
      <c r="F290" s="383">
        <f t="shared" si="103"/>
        <v>37.89753361248092</v>
      </c>
      <c r="G290" s="110">
        <f t="shared" si="101"/>
        <v>0.85417396173115623</v>
      </c>
      <c r="H290" s="412" t="b">
        <f>Wh_hp&gt;='2022'!Maxi_hp</f>
        <v>0</v>
      </c>
      <c r="I290" s="379">
        <f>IF(H290,Wh_hp,'2022'!Maxi_hp)</f>
        <v>37.910091301325672</v>
      </c>
      <c r="J290" s="85">
        <f>IF(H290,An,'2022'!An_max)</f>
        <v>2022</v>
      </c>
      <c r="K290" s="197">
        <f t="shared" si="104"/>
        <v>45202</v>
      </c>
      <c r="L290" s="147">
        <f>IF(t&lt;Tvie,1-EXP((T0-t)*PertePVj)+'2022'!Pspv,1-EXP((T0-t)*PertePVj)+Pspv)</f>
        <v>3.2556136675942593E-2</v>
      </c>
      <c r="M290" s="832"/>
      <c r="N290" s="832"/>
      <c r="O290" s="48">
        <f>IF(t&lt;Tnet,'2022'!Resal+('2022'!Salim-'2022'!Resal)*(1-EXP(('2022'!Tnet-t)/('2022'!Tau_j))),Resal+(Salim-Resal)*(1-EXP((Tnet-t)/(Tau_j))))*Salcycl</f>
        <v>2.2901440874517912E-2</v>
      </c>
      <c r="P290" s="338">
        <f>(INDEX(Models!$BJ290:$BT290,,T290)*(1-R290)+INDEX(Models!$BJ290:$BT290,,T290+1)*R290-ERP_i)*Q290*Ramure*Pc/MaxiM</f>
        <v>5.4261448901061467E-3</v>
      </c>
      <c r="Q290" s="304">
        <f t="shared" si="105"/>
        <v>0.7</v>
      </c>
      <c r="R290" s="177">
        <f t="shared" si="106"/>
        <v>0.73121763302062726</v>
      </c>
      <c r="S290" s="799">
        <f t="shared" si="107"/>
        <v>0</v>
      </c>
      <c r="T290" s="176">
        <f t="shared" si="108"/>
        <v>6</v>
      </c>
      <c r="U290" s="250">
        <f t="shared" si="109"/>
        <v>0.73121763302062726</v>
      </c>
      <c r="V290" s="382">
        <f t="shared" si="110"/>
        <v>41.712460066714968</v>
      </c>
      <c r="W290" s="400">
        <f t="shared" si="111"/>
        <v>35.669924657278415</v>
      </c>
      <c r="X290" s="157">
        <f t="shared" si="112"/>
        <v>45202</v>
      </c>
      <c r="Y290" s="383">
        <f t="shared" si="113"/>
        <v>35.100529247720075</v>
      </c>
      <c r="Z290" s="383">
        <f t="shared" si="114"/>
        <v>36.281721946240424</v>
      </c>
      <c r="AA290" s="384">
        <f t="shared" si="115"/>
        <v>37.726777492868564</v>
      </c>
      <c r="AB290" s="197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3.8303179933703468E-2</v>
      </c>
      <c r="AD290" s="230">
        <f>(INDEX(Models!$BJ290:$BT290,,AH290)*(1-AF290)+INDEX(Models!$BJ290:$BT290,,AH290+1)*AF290-ERP_i)*AE290*Ramure*Pc/MaxiM</f>
        <v>5.6814885112573066E-3</v>
      </c>
      <c r="AE290" s="304">
        <f t="shared" si="117"/>
        <v>0.7</v>
      </c>
      <c r="AF290" s="177">
        <f t="shared" si="118"/>
        <v>0.79554985528045941</v>
      </c>
      <c r="AG290" s="799">
        <f t="shared" si="124"/>
        <v>0</v>
      </c>
      <c r="AH290" s="176">
        <f t="shared" si="119"/>
        <v>6</v>
      </c>
      <c r="AI290" s="224">
        <f t="shared" si="120"/>
        <v>0.79554985528045941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45203</v>
      </c>
      <c r="B291" s="409">
        <f>'2022'!Wh/'2022'!Env_an*'2023'!Env_an</f>
        <v>42.543810758552709</v>
      </c>
      <c r="C291" s="829"/>
      <c r="D291" s="391">
        <f t="shared" si="102"/>
        <v>43.976325376054803</v>
      </c>
      <c r="E291" s="383">
        <f t="shared" si="100"/>
        <v>45.010820514337993</v>
      </c>
      <c r="F291" s="383">
        <f t="shared" si="103"/>
        <v>45.267692249825416</v>
      </c>
      <c r="G291" s="110">
        <f t="shared" si="101"/>
        <v>1.0269021069326252</v>
      </c>
      <c r="H291" s="412" t="b">
        <f>Wh_hp&gt;='2022'!Maxi_hp</f>
        <v>1</v>
      </c>
      <c r="I291" s="379">
        <f>IF(H291,Wh_hp,'2022'!Maxi_hp)</f>
        <v>45.267692249825416</v>
      </c>
      <c r="J291" s="85">
        <f>IF(H291,An,'2022'!An_max)</f>
        <v>2023</v>
      </c>
      <c r="K291" s="197">
        <f t="shared" si="104"/>
        <v>45203</v>
      </c>
      <c r="L291" s="147">
        <f>IF(t&lt;Tvie,1-EXP((T0-t)*PertePVj)+'2022'!Pspv,1-EXP((T0-t)*PertePVj)+Pspv)</f>
        <v>3.2574677516873707E-2</v>
      </c>
      <c r="M291" s="832"/>
      <c r="N291" s="832"/>
      <c r="O291" s="48">
        <f>IF(t&lt;Tnet,'2022'!Resal+('2022'!Salim-'2022'!Resal)*(1-EXP(('2022'!Tnet-t)/('2022'!Tau_j))),Resal+(Salim-Resal)*(1-EXP((Tnet-t)/(Tau_j))))*Salcycl</f>
        <v>2.2983254392211327E-2</v>
      </c>
      <c r="P291" s="338">
        <f>(INDEX(Models!$BJ291:$BT291,,T291)*(1-R291)+INDEX(Models!$BJ291:$BT291,,T291+1)*R291-ERP_i)*Q291*Ramure*Pc/MaxiM</f>
        <v>5.6745047675456541E-3</v>
      </c>
      <c r="Q291" s="304">
        <f t="shared" si="105"/>
        <v>0.7</v>
      </c>
      <c r="R291" s="177">
        <f t="shared" si="106"/>
        <v>0.73135814579369152</v>
      </c>
      <c r="S291" s="799">
        <f t="shared" si="107"/>
        <v>0</v>
      </c>
      <c r="T291" s="176">
        <f t="shared" si="108"/>
        <v>6</v>
      </c>
      <c r="U291" s="250">
        <f t="shared" si="109"/>
        <v>0.73135814579369152</v>
      </c>
      <c r="V291" s="382">
        <f t="shared" si="110"/>
        <v>41.429275946888282</v>
      </c>
      <c r="W291" s="400">
        <f t="shared" si="111"/>
        <v>42.543810758552709</v>
      </c>
      <c r="X291" s="157">
        <f t="shared" si="112"/>
        <v>45203</v>
      </c>
      <c r="Y291" s="383">
        <f t="shared" si="113"/>
        <v>41.862613232855793</v>
      </c>
      <c r="Z291" s="383">
        <f t="shared" si="114"/>
        <v>43.27219089676656</v>
      </c>
      <c r="AA291" s="384">
        <f t="shared" si="115"/>
        <v>44.998357643106331</v>
      </c>
      <c r="AB291" s="197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3.8360661071909483E-2</v>
      </c>
      <c r="AD291" s="230">
        <f>(INDEX(Models!$BJ291:$BT291,,AH291)*(1-AF291)+INDEX(Models!$BJ291:$BT291,,AH291+1)*AF291-ERP_i)*AE291*Ramure*Pc/MaxiM</f>
        <v>5.94981969110925E-3</v>
      </c>
      <c r="AE291" s="304">
        <f t="shared" si="117"/>
        <v>0.7</v>
      </c>
      <c r="AF291" s="177">
        <f t="shared" si="118"/>
        <v>0.79569036805352367</v>
      </c>
      <c r="AG291" s="799">
        <f t="shared" si="124"/>
        <v>0</v>
      </c>
      <c r="AH291" s="176">
        <f t="shared" si="119"/>
        <v>6</v>
      </c>
      <c r="AI291" s="224">
        <f t="shared" si="120"/>
        <v>0.79569036805352367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45204</v>
      </c>
      <c r="B292" s="409">
        <f>'2022'!Wh/'2022'!Env_an*'2023'!Env_an</f>
        <v>42.199279534113785</v>
      </c>
      <c r="C292" s="829"/>
      <c r="D292" s="391">
        <f t="shared" si="102"/>
        <v>43.621029249949686</v>
      </c>
      <c r="E292" s="383">
        <f t="shared" si="100"/>
        <v>44.65088252201555</v>
      </c>
      <c r="F292" s="383">
        <f t="shared" si="103"/>
        <v>44.920703887087065</v>
      </c>
      <c r="G292" s="110">
        <f t="shared" si="101"/>
        <v>1.0257418885232881</v>
      </c>
      <c r="H292" s="412" t="b">
        <f>Wh_hp&gt;='2022'!Maxi_hp</f>
        <v>1</v>
      </c>
      <c r="I292" s="379">
        <f>IF(H292,Wh_hp,'2022'!Maxi_hp)</f>
        <v>44.920703887087065</v>
      </c>
      <c r="J292" s="85">
        <f>IF(H292,An,'2022'!An_max)</f>
        <v>2023</v>
      </c>
      <c r="K292" s="197">
        <f t="shared" si="104"/>
        <v>45204</v>
      </c>
      <c r="L292" s="147">
        <f>IF(t&lt;Tvie,1-EXP((T0-t)*PertePVj)+'2022'!Pspv,1-EXP((T0-t)*PertePVj)+Pspv)</f>
        <v>3.2593218002473945E-2</v>
      </c>
      <c r="M292" s="832"/>
      <c r="N292" s="832"/>
      <c r="O292" s="48">
        <f>IF(t&lt;Tnet,'2022'!Resal+('2022'!Salim-'2022'!Resal)*(1-EXP(('2022'!Tnet-t)/('2022'!Tau_j))),Resal+(Salim-Resal)*(1-EXP((Tnet-t)/(Tau_j))))*Salcycl</f>
        <v>2.3064567011818461E-2</v>
      </c>
      <c r="P292" s="338">
        <f>(INDEX(Models!$BJ292:$BT292,,T292)*(1-R292)+INDEX(Models!$BJ292:$BT292,,T292+1)*R292-ERP_i)*Q292*Ramure*Pc/MaxiM</f>
        <v>6.0066148061645582E-3</v>
      </c>
      <c r="Q292" s="304">
        <f t="shared" si="105"/>
        <v>0.7</v>
      </c>
      <c r="R292" s="177">
        <f t="shared" si="106"/>
        <v>0.73149309464487688</v>
      </c>
      <c r="S292" s="799">
        <f t="shared" si="107"/>
        <v>0</v>
      </c>
      <c r="T292" s="176">
        <f t="shared" si="108"/>
        <v>6</v>
      </c>
      <c r="U292" s="250">
        <f t="shared" si="109"/>
        <v>0.73149309464487688</v>
      </c>
      <c r="V292" s="382">
        <f t="shared" si="110"/>
        <v>41.140251759500714</v>
      </c>
      <c r="W292" s="400">
        <f t="shared" si="111"/>
        <v>42.199279534113785</v>
      </c>
      <c r="X292" s="157">
        <f t="shared" si="112"/>
        <v>45204</v>
      </c>
      <c r="Y292" s="383">
        <f t="shared" si="113"/>
        <v>41.5235940199399</v>
      </c>
      <c r="Z292" s="383">
        <f t="shared" si="114"/>
        <v>42.922578994330522</v>
      </c>
      <c r="AA292" s="384">
        <f t="shared" si="115"/>
        <v>44.637436103295926</v>
      </c>
      <c r="AB292" s="197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3.8417464322929286E-2</v>
      </c>
      <c r="AD292" s="230">
        <f>(INDEX(Models!$BJ292:$BT292,,AH292)*(1-AF292)+INDEX(Models!$BJ292:$BT292,,AH292+1)*AF292-ERP_i)*AE292*Ramure*Pc/MaxiM</f>
        <v>6.3059515831087728E-3</v>
      </c>
      <c r="AE292" s="304">
        <f t="shared" si="117"/>
        <v>0.7</v>
      </c>
      <c r="AF292" s="177">
        <f t="shared" si="118"/>
        <v>0.79582531690470903</v>
      </c>
      <c r="AG292" s="799">
        <f t="shared" si="124"/>
        <v>0</v>
      </c>
      <c r="AH292" s="176">
        <f t="shared" si="119"/>
        <v>6</v>
      </c>
      <c r="AI292" s="224">
        <f t="shared" si="120"/>
        <v>0.79582531690470903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45205</v>
      </c>
      <c r="B293" s="409">
        <f>'2022'!Wh/'2022'!Env_an*'2023'!Env_an</f>
        <v>15.004284847635777</v>
      </c>
      <c r="C293" s="829"/>
      <c r="D293" s="391">
        <f t="shared" si="102"/>
        <v>15.510096358701393</v>
      </c>
      <c r="E293" s="383">
        <f t="shared" si="100"/>
        <v>15.877589071247341</v>
      </c>
      <c r="F293" s="383">
        <f t="shared" si="103"/>
        <v>15.887406905807994</v>
      </c>
      <c r="G293" s="110">
        <f t="shared" si="101"/>
        <v>0.3652055653428235</v>
      </c>
      <c r="H293" s="412" t="b">
        <f>Wh_hp&gt;='2022'!Maxi_hp</f>
        <v>0</v>
      </c>
      <c r="I293" s="379">
        <f>IF(H293,Wh_hp,'2022'!Maxi_hp)</f>
        <v>37.456299477721394</v>
      </c>
      <c r="J293" s="85">
        <f>IF(H293,An,'2022'!An_max)</f>
        <v>2021</v>
      </c>
      <c r="K293" s="197">
        <f t="shared" si="104"/>
        <v>45205</v>
      </c>
      <c r="L293" s="147">
        <f>IF(t&lt;Tvie,1-EXP((T0-t)*PertePVj)+'2022'!Pspv,1-EXP((T0-t)*PertePVj)+Pspv)</f>
        <v>3.2611758132749968E-2</v>
      </c>
      <c r="M293" s="832"/>
      <c r="N293" s="832"/>
      <c r="O293" s="48">
        <f>IF(t&lt;Tnet,'2022'!Resal+('2022'!Salim-'2022'!Resal)*(1-EXP(('2022'!Tnet-t)/('2022'!Tau_j))),Resal+(Salim-Resal)*(1-EXP((Tnet-t)/(Tau_j))))*Salcycl</f>
        <v>2.3145372442686496E-2</v>
      </c>
      <c r="P293" s="338">
        <f>(INDEX(Models!$BJ293:$BT293,,T293)*(1-R293)+INDEX(Models!$BJ293:$BT293,,T293+1)*R293-ERP_i)*Q293*Ramure*Pc/MaxiM</f>
        <v>6.4237743046605669E-3</v>
      </c>
      <c r="Q293" s="304">
        <f t="shared" si="105"/>
        <v>0.7</v>
      </c>
      <c r="R293" s="177">
        <f t="shared" si="106"/>
        <v>0.73162269630170829</v>
      </c>
      <c r="S293" s="799">
        <f t="shared" si="107"/>
        <v>0</v>
      </c>
      <c r="T293" s="176">
        <f t="shared" si="108"/>
        <v>6</v>
      </c>
      <c r="U293" s="250">
        <f t="shared" si="109"/>
        <v>0.73162269630170829</v>
      </c>
      <c r="V293" s="382">
        <f t="shared" si="110"/>
        <v>40.845814949086517</v>
      </c>
      <c r="W293" s="400">
        <f t="shared" si="111"/>
        <v>15.004284847635777</v>
      </c>
      <c r="X293" s="157">
        <f t="shared" si="112"/>
        <v>45205</v>
      </c>
      <c r="Y293" s="383">
        <f t="shared" si="113"/>
        <v>14.768381173937209</v>
      </c>
      <c r="Z293" s="383">
        <f t="shared" si="114"/>
        <v>15.266240103798783</v>
      </c>
      <c r="AA293" s="384">
        <f t="shared" si="115"/>
        <v>15.877088577271817</v>
      </c>
      <c r="AB293" s="197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3.8473582262901047E-2</v>
      </c>
      <c r="AD293" s="230">
        <f>(INDEX(Models!$BJ293:$BT293,,AH293)*(1-AF293)+INDEX(Models!$BJ293:$BT293,,AH293+1)*AF293-ERP_i)*AE293*Ramure*Pc/MaxiM</f>
        <v>6.7512457363443565E-3</v>
      </c>
      <c r="AE293" s="304">
        <f t="shared" si="117"/>
        <v>0.7</v>
      </c>
      <c r="AF293" s="177">
        <f t="shared" si="118"/>
        <v>0.79595491856154044</v>
      </c>
      <c r="AG293" s="799">
        <f t="shared" si="124"/>
        <v>0</v>
      </c>
      <c r="AH293" s="176">
        <f t="shared" si="119"/>
        <v>6</v>
      </c>
      <c r="AI293" s="224">
        <f t="shared" si="120"/>
        <v>0.79595491856154044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45206</v>
      </c>
      <c r="B294" s="409">
        <f>'2022'!Wh/'2022'!Env_an*'2023'!Env_an</f>
        <v>31.766913095295479</v>
      </c>
      <c r="C294" s="829"/>
      <c r="D294" s="391">
        <f t="shared" si="102"/>
        <v>32.838441214964547</v>
      </c>
      <c r="E294" s="383">
        <f t="shared" si="100"/>
        <v>33.619271150220563</v>
      </c>
      <c r="F294" s="383">
        <f t="shared" si="103"/>
        <v>33.78089567220816</v>
      </c>
      <c r="G294" s="110">
        <f t="shared" si="101"/>
        <v>0.78178383979247568</v>
      </c>
      <c r="H294" s="412" t="b">
        <f>Wh_hp&gt;='2022'!Maxi_hp</f>
        <v>0</v>
      </c>
      <c r="I294" s="379">
        <f>IF(H294,Wh_hp,'2022'!Maxi_hp)</f>
        <v>42.329866448649689</v>
      </c>
      <c r="J294" s="85">
        <f>IF(H294,An,'2022'!An_max)</f>
        <v>2021</v>
      </c>
      <c r="K294" s="197">
        <f t="shared" si="104"/>
        <v>45206</v>
      </c>
      <c r="L294" s="147">
        <f>IF(t&lt;Tvie,1-EXP((T0-t)*PertePVj)+'2022'!Pspv,1-EXP((T0-t)*PertePVj)+Pspv)</f>
        <v>3.2630297907708661E-2</v>
      </c>
      <c r="M294" s="832"/>
      <c r="N294" s="832"/>
      <c r="O294" s="48">
        <f>IF(t&lt;Tnet,'2022'!Resal+('2022'!Salim-'2022'!Resal)*(1-EXP(('2022'!Tnet-t)/('2022'!Tau_j))),Resal+(Salim-Resal)*(1-EXP((Tnet-t)/(Tau_j))))*Salcycl</f>
        <v>2.3225665177779759E-2</v>
      </c>
      <c r="P294" s="338">
        <f>(INDEX(Models!$BJ294:$BT294,,T294)*(1-R294)+INDEX(Models!$BJ294:$BT294,,T294+1)*R294-ERP_i)*Q294*Ramure*Pc/MaxiM</f>
        <v>6.9272991395426262E-3</v>
      </c>
      <c r="Q294" s="304">
        <f t="shared" si="105"/>
        <v>0.7</v>
      </c>
      <c r="R294" s="177">
        <f t="shared" si="106"/>
        <v>0.73174715933092649</v>
      </c>
      <c r="S294" s="799">
        <f t="shared" si="107"/>
        <v>0</v>
      </c>
      <c r="T294" s="176">
        <f t="shared" si="108"/>
        <v>6</v>
      </c>
      <c r="U294" s="250">
        <f t="shared" si="109"/>
        <v>0.73174715933092649</v>
      </c>
      <c r="V294" s="382">
        <f t="shared" si="110"/>
        <v>40.546393973859509</v>
      </c>
      <c r="W294" s="400">
        <f t="shared" si="111"/>
        <v>31.766913095295479</v>
      </c>
      <c r="X294" s="157">
        <f t="shared" si="112"/>
        <v>45206</v>
      </c>
      <c r="Y294" s="383">
        <f t="shared" si="113"/>
        <v>31.261406226904636</v>
      </c>
      <c r="Z294" s="383">
        <f t="shared" si="114"/>
        <v>32.315883120269731</v>
      </c>
      <c r="AA294" s="384">
        <f t="shared" si="115"/>
        <v>33.610876891732339</v>
      </c>
      <c r="AB294" s="197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3.85290087977785E-2</v>
      </c>
      <c r="AD294" s="230">
        <f>(INDEX(Models!$BJ294:$BT294,,AH294)*(1-AF294)+INDEX(Models!$BJ294:$BT294,,AH294+1)*AF294-ERP_i)*AE294*Ramure*Pc/MaxiM</f>
        <v>7.2870808044006993E-3</v>
      </c>
      <c r="AE294" s="304">
        <f t="shared" si="117"/>
        <v>0.7</v>
      </c>
      <c r="AF294" s="177">
        <f t="shared" si="118"/>
        <v>0.79607938159075864</v>
      </c>
      <c r="AG294" s="799">
        <f t="shared" si="124"/>
        <v>0</v>
      </c>
      <c r="AH294" s="176">
        <f t="shared" si="119"/>
        <v>6</v>
      </c>
      <c r="AI294" s="224">
        <f t="shared" si="120"/>
        <v>0.79607938159075864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45207</v>
      </c>
      <c r="B295" s="409">
        <f>'2022'!Wh/'2022'!Env_an*'2023'!Env_an</f>
        <v>15.303487672020202</v>
      </c>
      <c r="C295" s="829"/>
      <c r="D295" s="391">
        <f t="shared" si="102"/>
        <v>15.819992017933805</v>
      </c>
      <c r="E295" s="383">
        <f t="shared" si="100"/>
        <v>16.197481459424456</v>
      </c>
      <c r="F295" s="383">
        <f t="shared" si="103"/>
        <v>16.211460488318259</v>
      </c>
      <c r="G295" s="110">
        <f t="shared" si="101"/>
        <v>0.37774907670275903</v>
      </c>
      <c r="H295" s="412" t="b">
        <f>Wh_hp&gt;='2022'!Maxi_hp</f>
        <v>0</v>
      </c>
      <c r="I295" s="379">
        <f>IF(H295,Wh_hp,'2022'!Maxi_hp)</f>
        <v>42.692090541725008</v>
      </c>
      <c r="J295" s="85">
        <f>IF(H295,An,'2022'!An_max)</f>
        <v>2021</v>
      </c>
      <c r="K295" s="197">
        <f t="shared" si="104"/>
        <v>45207</v>
      </c>
      <c r="L295" s="147">
        <f>IF(t&lt;Tvie,1-EXP((T0-t)*PertePVj)+'2022'!Pspv,1-EXP((T0-t)*PertePVj)+Pspv)</f>
        <v>3.2648837327356794E-2</v>
      </c>
      <c r="M295" s="832"/>
      <c r="N295" s="832"/>
      <c r="O295" s="48">
        <f>IF(t&lt;Tnet,'2022'!Resal+('2022'!Salim-'2022'!Resal)*(1-EXP(('2022'!Tnet-t)/('2022'!Tau_j))),Resal+(Salim-Resal)*(1-EXP((Tnet-t)/(Tau_j))))*Salcycl</f>
        <v>2.3305440567182041E-2</v>
      </c>
      <c r="P295" s="338">
        <f>(INDEX(Models!$BJ295:$BT295,,T295)*(1-R295)+INDEX(Models!$BJ295:$BT295,,T295+1)*R295-ERP_i)*Q295*Ramure*Pc/MaxiM</f>
        <v>7.5185134831172555E-3</v>
      </c>
      <c r="Q295" s="304">
        <f t="shared" si="105"/>
        <v>0.7</v>
      </c>
      <c r="R295" s="177">
        <f t="shared" si="106"/>
        <v>0.73186668442361547</v>
      </c>
      <c r="S295" s="799">
        <f t="shared" si="107"/>
        <v>0</v>
      </c>
      <c r="T295" s="176">
        <f t="shared" si="108"/>
        <v>6</v>
      </c>
      <c r="U295" s="250">
        <f t="shared" si="109"/>
        <v>0.73186668442361547</v>
      </c>
      <c r="V295" s="382">
        <f t="shared" si="110"/>
        <v>40.242418339460812</v>
      </c>
      <c r="W295" s="400">
        <f t="shared" si="111"/>
        <v>15.303487672020202</v>
      </c>
      <c r="X295" s="157">
        <f t="shared" si="112"/>
        <v>45207</v>
      </c>
      <c r="Y295" s="383">
        <f t="shared" si="113"/>
        <v>15.063411991252337</v>
      </c>
      <c r="Z295" s="383">
        <f t="shared" si="114"/>
        <v>15.57181360038317</v>
      </c>
      <c r="AA295" s="384">
        <f t="shared" si="115"/>
        <v>16.196744569912468</v>
      </c>
      <c r="AB295" s="197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3.8583739271297005E-2</v>
      </c>
      <c r="AD295" s="230">
        <f>(INDEX(Models!$BJ295:$BT295,,AH295)*(1-AF295)+INDEX(Models!$BJ295:$BT295,,AH295+1)*AF295-ERP_i)*AE295*Ramure*Pc/MaxiM</f>
        <v>7.914843855815392E-3</v>
      </c>
      <c r="AE295" s="304">
        <f t="shared" si="117"/>
        <v>0.7</v>
      </c>
      <c r="AF295" s="177">
        <f t="shared" si="118"/>
        <v>0.79619890668344762</v>
      </c>
      <c r="AG295" s="799">
        <f t="shared" si="124"/>
        <v>0</v>
      </c>
      <c r="AH295" s="176">
        <f t="shared" si="119"/>
        <v>6</v>
      </c>
      <c r="AI295" s="224">
        <f t="shared" si="120"/>
        <v>0.79619890668344762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45208</v>
      </c>
      <c r="B296" s="409">
        <f>'2022'!Wh/'2022'!Env_an*'2023'!Env_an</f>
        <v>40.033232065988585</v>
      </c>
      <c r="C296" s="829"/>
      <c r="D296" s="391">
        <f t="shared" si="102"/>
        <v>41.385177227517147</v>
      </c>
      <c r="E296" s="383">
        <f t="shared" si="100"/>
        <v>42.376130100528222</v>
      </c>
      <c r="F296" s="383">
        <f t="shared" si="103"/>
        <v>42.727093613485295</v>
      </c>
      <c r="G296" s="110">
        <f t="shared" si="101"/>
        <v>1.0024924014672847</v>
      </c>
      <c r="H296" s="412" t="b">
        <f>Wh_hp&gt;='2022'!Maxi_hp</f>
        <v>1</v>
      </c>
      <c r="I296" s="379">
        <f>IF(H296,Wh_hp,'2022'!Maxi_hp)</f>
        <v>42.727093613485295</v>
      </c>
      <c r="J296" s="85">
        <f>IF(H296,An,'2022'!An_max)</f>
        <v>2023</v>
      </c>
      <c r="K296" s="197">
        <f t="shared" si="104"/>
        <v>45208</v>
      </c>
      <c r="L296" s="147">
        <f>IF(t&lt;Tvie,1-EXP((T0-t)*PertePVj)+'2022'!Pspv,1-EXP((T0-t)*PertePVj)+Pspv)</f>
        <v>3.2667376391701142E-2</v>
      </c>
      <c r="M296" s="832"/>
      <c r="N296" s="832"/>
      <c r="O296" s="48">
        <f>IF(t&lt;Tnet,'2022'!Resal+('2022'!Salim-'2022'!Resal)*(1-EXP(('2022'!Tnet-t)/('2022'!Tau_j))),Resal+(Salim-Resal)*(1-EXP((Tnet-t)/(Tau_j))))*Salcycl</f>
        <v>2.3384694889794236E-2</v>
      </c>
      <c r="P296" s="338">
        <f>(INDEX(Models!$BJ296:$BT296,,T296)*(1-R296)+INDEX(Models!$BJ296:$BT296,,T296+1)*R296-ERP_i)*Q296*Ramure*Pc/MaxiM</f>
        <v>8.2140740985551224E-3</v>
      </c>
      <c r="Q296" s="304">
        <f t="shared" si="105"/>
        <v>0.7</v>
      </c>
      <c r="R296" s="177">
        <f t="shared" si="106"/>
        <v>0.73198146467214553</v>
      </c>
      <c r="S296" s="799">
        <f t="shared" si="107"/>
        <v>0</v>
      </c>
      <c r="T296" s="176">
        <f t="shared" si="108"/>
        <v>6</v>
      </c>
      <c r="U296" s="250">
        <f t="shared" si="109"/>
        <v>0.73198146467214553</v>
      </c>
      <c r="V296" s="382">
        <f t="shared" si="110"/>
        <v>39.933701250397988</v>
      </c>
      <c r="W296" s="400">
        <f t="shared" si="111"/>
        <v>40.033232065988585</v>
      </c>
      <c r="X296" s="157">
        <f t="shared" si="112"/>
        <v>45208</v>
      </c>
      <c r="Y296" s="383">
        <f t="shared" si="113"/>
        <v>39.390619525803004</v>
      </c>
      <c r="Z296" s="383">
        <f t="shared" si="114"/>
        <v>40.720863294023893</v>
      </c>
      <c r="AA296" s="384">
        <f t="shared" si="115"/>
        <v>42.357461160211919</v>
      </c>
      <c r="AB296" s="197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3.8637770568868433E-2</v>
      </c>
      <c r="AD296" s="230">
        <f>(INDEX(Models!$BJ296:$BT296,,AH296)*(1-AF296)+INDEX(Models!$BJ296:$BT296,,AH296+1)*AF296-ERP_i)*AE296*Ramure*Pc/MaxiM</f>
        <v>8.6510085758960912E-3</v>
      </c>
      <c r="AE296" s="304">
        <f t="shared" si="117"/>
        <v>0.7</v>
      </c>
      <c r="AF296" s="177">
        <f t="shared" si="118"/>
        <v>0.79631368693197768</v>
      </c>
      <c r="AG296" s="799">
        <f t="shared" si="124"/>
        <v>0</v>
      </c>
      <c r="AH296" s="176">
        <f t="shared" si="119"/>
        <v>6</v>
      </c>
      <c r="AI296" s="224">
        <f t="shared" si="120"/>
        <v>0.79631368693197768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45209</v>
      </c>
      <c r="B297" s="409">
        <f>'2022'!Wh/'2022'!Env_an*'2023'!Env_an</f>
        <v>34.915675114516922</v>
      </c>
      <c r="C297" s="829"/>
      <c r="D297" s="391">
        <f t="shared" si="102"/>
        <v>36.095489210366956</v>
      </c>
      <c r="E297" s="383">
        <f t="shared" ref="E297:E360" si="125">Wh_pvt/(1-Psa)</f>
        <v>36.962762225251147</v>
      </c>
      <c r="F297" s="383">
        <f t="shared" si="103"/>
        <v>37.240464354055923</v>
      </c>
      <c r="G297" s="110">
        <f t="shared" ref="G297:G360" si="126">+Wh_hp/MaxiM</f>
        <v>0.87986503209399347</v>
      </c>
      <c r="H297" s="412" t="b">
        <f>Wh_hp&gt;='2022'!Maxi_hp</f>
        <v>0</v>
      </c>
      <c r="I297" s="379">
        <f>IF(H297,Wh_hp,'2022'!Maxi_hp)</f>
        <v>37.259576820741849</v>
      </c>
      <c r="J297" s="85">
        <f>IF(H297,An,'2022'!An_max)</f>
        <v>2022</v>
      </c>
      <c r="K297" s="197">
        <f t="shared" si="104"/>
        <v>45209</v>
      </c>
      <c r="L297" s="147">
        <f>IF(t&lt;Tvie,1-EXP((T0-t)*PertePVj)+'2022'!Pspv,1-EXP((T0-t)*PertePVj)+Pspv)</f>
        <v>3.2685915100748475E-2</v>
      </c>
      <c r="M297" s="832"/>
      <c r="N297" s="832"/>
      <c r="O297" s="48">
        <f>IF(t&lt;Tnet,'2022'!Resal+('2022'!Salim-'2022'!Resal)*(1-EXP(('2022'!Tnet-t)/('2022'!Tau_j))),Resal+(Salim-Resal)*(1-EXP((Tnet-t)/(Tau_j))))*Salcycl</f>
        <v>2.3463425422565139E-2</v>
      </c>
      <c r="P297" s="338">
        <f>(INDEX(Models!$BJ297:$BT297,,T297)*(1-R297)+INDEX(Models!$BJ297:$BT297,,T297+1)*R297-ERP_i)*Q297*Ramure*Pc/MaxiM</f>
        <v>8.9809660479531189E-3</v>
      </c>
      <c r="Q297" s="304">
        <f t="shared" si="105"/>
        <v>0.7</v>
      </c>
      <c r="R297" s="177">
        <f t="shared" si="106"/>
        <v>0.7320916858390184</v>
      </c>
      <c r="S297" s="799">
        <f t="shared" si="107"/>
        <v>0</v>
      </c>
      <c r="T297" s="176">
        <f t="shared" si="108"/>
        <v>6</v>
      </c>
      <c r="U297" s="250">
        <f t="shared" si="109"/>
        <v>0.7320916858390184</v>
      </c>
      <c r="V297" s="382">
        <f t="shared" si="110"/>
        <v>39.622059925166553</v>
      </c>
      <c r="W297" s="400">
        <f t="shared" si="111"/>
        <v>34.915675114516922</v>
      </c>
      <c r="X297" s="157">
        <f t="shared" si="112"/>
        <v>45209</v>
      </c>
      <c r="Y297" s="383">
        <f t="shared" si="113"/>
        <v>34.357423941151154</v>
      </c>
      <c r="Z297" s="383">
        <f t="shared" si="114"/>
        <v>35.518374515067229</v>
      </c>
      <c r="AA297" s="384">
        <f t="shared" si="115"/>
        <v>36.947930639163189</v>
      </c>
      <c r="AB297" s="197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3.8691101216388378E-2</v>
      </c>
      <c r="AD297" s="230">
        <f>(INDEX(Models!$BJ297:$BT297,,AH297)*(1-AF297)+INDEX(Models!$BJ297:$BT297,,AH297+1)*AF297-ERP_i)*AE297*Ramure*Pc/MaxiM</f>
        <v>9.4606237721000346E-3</v>
      </c>
      <c r="AE297" s="304">
        <f t="shared" si="117"/>
        <v>0.7</v>
      </c>
      <c r="AF297" s="177">
        <f t="shared" si="118"/>
        <v>0.79642390809885055</v>
      </c>
      <c r="AG297" s="799">
        <f t="shared" si="124"/>
        <v>0</v>
      </c>
      <c r="AH297" s="176">
        <f t="shared" si="119"/>
        <v>6</v>
      </c>
      <c r="AI297" s="224">
        <f t="shared" si="120"/>
        <v>0.79642390809885055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45210</v>
      </c>
      <c r="B298" s="409">
        <f>'2022'!Wh/'2022'!Env_an*'2023'!Env_an</f>
        <v>25.109759857570722</v>
      </c>
      <c r="C298" s="829"/>
      <c r="D298" s="391">
        <f t="shared" si="102"/>
        <v>25.958725797141618</v>
      </c>
      <c r="E298" s="383">
        <f t="shared" si="125"/>
        <v>26.584569919359883</v>
      </c>
      <c r="F298" s="383">
        <f t="shared" si="103"/>
        <v>26.711527424963329</v>
      </c>
      <c r="G298" s="110">
        <f t="shared" si="126"/>
        <v>0.63554399094700287</v>
      </c>
      <c r="H298" s="412" t="b">
        <f>Wh_hp&gt;='2022'!Maxi_hp</f>
        <v>0</v>
      </c>
      <c r="I298" s="379">
        <f>IF(H298,Wh_hp,'2022'!Maxi_hp)</f>
        <v>42.840909894173365</v>
      </c>
      <c r="J298" s="85">
        <f>IF(H298,An,'2022'!An_max)</f>
        <v>2018</v>
      </c>
      <c r="K298" s="197">
        <f t="shared" si="104"/>
        <v>45210</v>
      </c>
      <c r="L298" s="147">
        <f>IF(t&lt;Tvie,1-EXP((T0-t)*PertePVj)+'2022'!Pspv,1-EXP((T0-t)*PertePVj)+Pspv)</f>
        <v>3.2704453454505789E-2</v>
      </c>
      <c r="M298" s="832"/>
      <c r="N298" s="832"/>
      <c r="O298" s="48">
        <f>IF(t&lt;Tnet,'2022'!Resal+('2022'!Salim-'2022'!Resal)*(1-EXP(('2022'!Tnet-t)/('2022'!Tau_j))),Resal+(Salim-Resal)*(1-EXP((Tnet-t)/(Tau_j))))*Salcycl</f>
        <v>2.3541630506593275E-2</v>
      </c>
      <c r="P298" s="338">
        <f>(INDEX(Models!$BJ298:$BT298,,T298)*(1-R298)+INDEX(Models!$BJ298:$BT298,,T298+1)*R298-ERP_i)*Q298*Ramure*Pc/MaxiM</f>
        <v>9.8201680054887334E-3</v>
      </c>
      <c r="Q298" s="304">
        <f t="shared" si="105"/>
        <v>0.7</v>
      </c>
      <c r="R298" s="177">
        <f t="shared" si="106"/>
        <v>0.73219752661771142</v>
      </c>
      <c r="S298" s="799">
        <f t="shared" si="107"/>
        <v>0</v>
      </c>
      <c r="T298" s="176">
        <f t="shared" si="108"/>
        <v>6</v>
      </c>
      <c r="U298" s="250">
        <f t="shared" si="109"/>
        <v>0.73219752661771142</v>
      </c>
      <c r="V298" s="382">
        <f t="shared" si="110"/>
        <v>39.307923547877067</v>
      </c>
      <c r="W298" s="400">
        <f t="shared" si="111"/>
        <v>25.109759857570722</v>
      </c>
      <c r="X298" s="157">
        <f t="shared" si="112"/>
        <v>45210</v>
      </c>
      <c r="Y298" s="383">
        <f t="shared" si="113"/>
        <v>24.712530488961789</v>
      </c>
      <c r="Z298" s="383">
        <f t="shared" si="114"/>
        <v>25.548066025133405</v>
      </c>
      <c r="AA298" s="384">
        <f t="shared" si="115"/>
        <v>26.577788735028221</v>
      </c>
      <c r="AB298" s="197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3.8743731472953298E-2</v>
      </c>
      <c r="AD298" s="230">
        <f>(INDEX(Models!$BJ298:$BT298,,AH298)*(1-AF298)+INDEX(Models!$BJ298:$BT298,,AH298+1)*AF298-ERP_i)*AE298*Ramure*Pc/MaxiM</f>
        <v>1.0344692877780287E-2</v>
      </c>
      <c r="AE298" s="304">
        <f t="shared" si="117"/>
        <v>0.7</v>
      </c>
      <c r="AF298" s="177">
        <f t="shared" si="118"/>
        <v>0.79652974887754358</v>
      </c>
      <c r="AG298" s="799">
        <f t="shared" si="124"/>
        <v>0</v>
      </c>
      <c r="AH298" s="176">
        <f t="shared" si="119"/>
        <v>6</v>
      </c>
      <c r="AI298" s="224">
        <f t="shared" si="120"/>
        <v>0.79652974887754358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45211</v>
      </c>
      <c r="B299" s="409">
        <f>'2022'!Wh/'2022'!Env_an*'2023'!Env_an</f>
        <v>23.883587479810974</v>
      </c>
      <c r="C299" s="829"/>
      <c r="D299" s="391">
        <f t="shared" si="102"/>
        <v>24.691569497436234</v>
      </c>
      <c r="E299" s="383">
        <f t="shared" si="125"/>
        <v>25.288875272164042</v>
      </c>
      <c r="F299" s="383">
        <f t="shared" si="103"/>
        <v>25.410638163079081</v>
      </c>
      <c r="G299" s="110">
        <f t="shared" si="126"/>
        <v>0.60887324065544457</v>
      </c>
      <c r="H299" s="412" t="b">
        <f>Wh_hp&gt;='2022'!Maxi_hp</f>
        <v>0</v>
      </c>
      <c r="I299" s="379">
        <f>IF(H299,Wh_hp,'2022'!Maxi_hp)</f>
        <v>40.800834584500151</v>
      </c>
      <c r="J299" s="85">
        <f>IF(H299,An,'2022'!An_max)</f>
        <v>2021</v>
      </c>
      <c r="K299" s="197">
        <f t="shared" si="104"/>
        <v>45211</v>
      </c>
      <c r="L299" s="147">
        <f>IF(t&lt;Tvie,1-EXP((T0-t)*PertePVj)+'2022'!Pspv,1-EXP((T0-t)*PertePVj)+Pspv)</f>
        <v>3.2722991452979744E-2</v>
      </c>
      <c r="M299" s="832"/>
      <c r="N299" s="832"/>
      <c r="O299" s="48">
        <f>IF(t&lt;Tnet,'2022'!Resal+('2022'!Salim-'2022'!Resal)*(1-EXP(('2022'!Tnet-t)/('2022'!Tau_j))),Resal+(Salim-Resal)*(1-EXP((Tnet-t)/(Tau_j))))*Salcycl</f>
        <v>2.3619309609442158E-2</v>
      </c>
      <c r="P299" s="338">
        <f>(INDEX(Models!$BJ299:$BT299,,T299)*(1-R299)+INDEX(Models!$BJ299:$BT299,,T299+1)*R299-ERP_i)*Q299*Ramure*Pc/MaxiM</f>
        <v>1.0732629452980985E-2</v>
      </c>
      <c r="Q299" s="304">
        <f t="shared" si="105"/>
        <v>0.7</v>
      </c>
      <c r="R299" s="177">
        <f t="shared" si="106"/>
        <v>0.73229915888563257</v>
      </c>
      <c r="S299" s="799">
        <f t="shared" si="107"/>
        <v>0</v>
      </c>
      <c r="T299" s="176">
        <f t="shared" si="108"/>
        <v>6</v>
      </c>
      <c r="U299" s="250">
        <f t="shared" si="109"/>
        <v>0.73229915888563257</v>
      </c>
      <c r="V299" s="382">
        <f t="shared" si="110"/>
        <v>38.991722059024973</v>
      </c>
      <c r="W299" s="400">
        <f t="shared" si="111"/>
        <v>23.883587479810974</v>
      </c>
      <c r="X299" s="157">
        <f t="shared" si="112"/>
        <v>45211</v>
      </c>
      <c r="Y299" s="383">
        <f t="shared" si="113"/>
        <v>23.506324536716718</v>
      </c>
      <c r="Z299" s="383">
        <f t="shared" si="114"/>
        <v>24.301543744977842</v>
      </c>
      <c r="AA299" s="384">
        <f t="shared" si="115"/>
        <v>25.282390871596881</v>
      </c>
      <c r="AB299" s="197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3.8795663416506976E-2</v>
      </c>
      <c r="AD299" s="230">
        <f>(INDEX(Models!$BJ299:$BT299,,AH299)*(1-AF299)+INDEX(Models!$BJ299:$BT299,,AH299+1)*AF299-ERP_i)*AE299*Ramure*Pc/MaxiM</f>
        <v>1.1304188390100948E-2</v>
      </c>
      <c r="AE299" s="304">
        <f t="shared" si="117"/>
        <v>0.7</v>
      </c>
      <c r="AF299" s="177">
        <f t="shared" si="118"/>
        <v>0.79663138114546472</v>
      </c>
      <c r="AG299" s="799">
        <f t="shared" si="124"/>
        <v>0</v>
      </c>
      <c r="AH299" s="176">
        <f t="shared" si="119"/>
        <v>6</v>
      </c>
      <c r="AI299" s="224">
        <f t="shared" si="120"/>
        <v>0.79663138114546472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45212</v>
      </c>
      <c r="B300" s="409">
        <f>'2022'!Wh/'2022'!Env_an*'2023'!Env_an</f>
        <v>24.546802236418486</v>
      </c>
      <c r="C300" s="829"/>
      <c r="D300" s="391">
        <f t="shared" si="102"/>
        <v>25.377707174258745</v>
      </c>
      <c r="E300" s="383">
        <f t="shared" si="125"/>
        <v>25.993665107673301</v>
      </c>
      <c r="F300" s="383">
        <f t="shared" si="103"/>
        <v>26.14014644678322</v>
      </c>
      <c r="G300" s="110">
        <f t="shared" si="126"/>
        <v>0.63080908146654824</v>
      </c>
      <c r="H300" s="412" t="b">
        <f>Wh_hp&gt;='2022'!Maxi_hp</f>
        <v>0</v>
      </c>
      <c r="I300" s="379">
        <f>IF(H300,Wh_hp,'2022'!Maxi_hp)</f>
        <v>40.05086474432693</v>
      </c>
      <c r="J300" s="85">
        <f>IF(H300,An,'2022'!An_max)</f>
        <v>2021</v>
      </c>
      <c r="K300" s="197">
        <f t="shared" si="104"/>
        <v>45212</v>
      </c>
      <c r="L300" s="147">
        <f>IF(t&lt;Tvie,1-EXP((T0-t)*PertePVj)+'2022'!Pspv,1-EXP((T0-t)*PertePVj)+Pspv)</f>
        <v>3.2741529096177224E-2</v>
      </c>
      <c r="M300" s="832"/>
      <c r="N300" s="832"/>
      <c r="O300" s="48">
        <f>IF(t&lt;Tnet,'2022'!Resal+('2022'!Salim-'2022'!Resal)*(1-EXP(('2022'!Tnet-t)/('2022'!Tau_j))),Resal+(Salim-Resal)*(1-EXP((Tnet-t)/(Tau_j))))*Salcycl</f>
        <v>2.3696463383023458E-2</v>
      </c>
      <c r="P300" s="338">
        <f>(INDEX(Models!$BJ300:$BT300,,T300)*(1-R300)+INDEX(Models!$BJ300:$BT300,,T300+1)*R300-ERP_i)*Q300*Ramure*Pc/MaxiM</f>
        <v>1.1719262538310014E-2</v>
      </c>
      <c r="Q300" s="304">
        <f t="shared" si="105"/>
        <v>0.7</v>
      </c>
      <c r="R300" s="177">
        <f t="shared" si="106"/>
        <v>0.73239674794930787</v>
      </c>
      <c r="S300" s="799">
        <f t="shared" si="107"/>
        <v>0</v>
      </c>
      <c r="T300" s="176">
        <f t="shared" si="108"/>
        <v>6</v>
      </c>
      <c r="U300" s="250">
        <f t="shared" si="109"/>
        <v>0.73239674794930787</v>
      </c>
      <c r="V300" s="382">
        <f t="shared" si="110"/>
        <v>38.673886137324047</v>
      </c>
      <c r="W300" s="400">
        <f t="shared" si="111"/>
        <v>24.546802236418486</v>
      </c>
      <c r="X300" s="157">
        <f t="shared" si="112"/>
        <v>45212</v>
      </c>
      <c r="Y300" s="383">
        <f t="shared" si="113"/>
        <v>24.158667295381477</v>
      </c>
      <c r="Z300" s="383">
        <f t="shared" si="114"/>
        <v>24.976433933741834</v>
      </c>
      <c r="AA300" s="384">
        <f t="shared" si="115"/>
        <v>25.985905846098429</v>
      </c>
      <c r="AB300" s="197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3.8846901021468767E-2</v>
      </c>
      <c r="AD300" s="230">
        <f>(INDEX(Models!$BJ300:$BT300,,AH300)*(1-AF300)+INDEX(Models!$BJ300:$BT300,,AH300+1)*AF300-ERP_i)*AE300*Ramure*Pc/MaxiM</f>
        <v>1.2340043479089966E-2</v>
      </c>
      <c r="AE300" s="304">
        <f t="shared" si="117"/>
        <v>0.7</v>
      </c>
      <c r="AF300" s="177">
        <f t="shared" si="118"/>
        <v>0.79672897020914002</v>
      </c>
      <c r="AG300" s="799">
        <f t="shared" si="124"/>
        <v>0</v>
      </c>
      <c r="AH300" s="176">
        <f t="shared" si="119"/>
        <v>6</v>
      </c>
      <c r="AI300" s="224">
        <f t="shared" si="120"/>
        <v>0.79672897020914002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45213</v>
      </c>
      <c r="B301" s="409">
        <f>'2022'!Wh/'2022'!Env_an*'2023'!Env_an</f>
        <v>15.274488978899502</v>
      </c>
      <c r="C301" s="829"/>
      <c r="D301" s="391">
        <f t="shared" si="102"/>
        <v>15.791830390829606</v>
      </c>
      <c r="E301" s="383">
        <f t="shared" si="125"/>
        <v>16.176393304859726</v>
      </c>
      <c r="F301" s="383">
        <f t="shared" si="103"/>
        <v>16.20546166949989</v>
      </c>
      <c r="G301" s="110">
        <f t="shared" si="126"/>
        <v>0.39385800579818708</v>
      </c>
      <c r="H301" s="412" t="b">
        <f>Wh_hp&gt;='2022'!Maxi_hp</f>
        <v>0</v>
      </c>
      <c r="I301" s="379">
        <f>IF(H301,Wh_hp,'2022'!Maxi_hp)</f>
        <v>42.197658918664054</v>
      </c>
      <c r="J301" s="85">
        <f>IF(H301,An,'2022'!An_max)</f>
        <v>2021</v>
      </c>
      <c r="K301" s="197">
        <f t="shared" si="104"/>
        <v>45213</v>
      </c>
      <c r="L301" s="147">
        <f>IF(t&lt;Tvie,1-EXP((T0-t)*PertePVj)+'2022'!Pspv,1-EXP((T0-t)*PertePVj)+Pspv)</f>
        <v>3.2760066384105002E-2</v>
      </c>
      <c r="M301" s="832"/>
      <c r="N301" s="832"/>
      <c r="O301" s="48">
        <f>IF(t&lt;Tnet,'2022'!Resal+('2022'!Salim-'2022'!Resal)*(1-EXP(('2022'!Tnet-t)/('2022'!Tau_j))),Resal+(Salim-Resal)*(1-EXP((Tnet-t)/(Tau_j))))*Salcycl</f>
        <v>2.3773093716421289E-2</v>
      </c>
      <c r="P301" s="338">
        <f>(INDEX(Models!$BJ301:$BT301,,T301)*(1-R301)+INDEX(Models!$BJ301:$BT301,,T301+1)*R301-ERP_i)*Q301*Ramure*Pc/MaxiM</f>
        <v>1.2780933634044559E-2</v>
      </c>
      <c r="Q301" s="304">
        <f t="shared" si="105"/>
        <v>0.7</v>
      </c>
      <c r="R301" s="177">
        <f t="shared" si="106"/>
        <v>0.73249045278193259</v>
      </c>
      <c r="S301" s="799">
        <f t="shared" si="107"/>
        <v>0</v>
      </c>
      <c r="T301" s="176">
        <f t="shared" si="108"/>
        <v>6</v>
      </c>
      <c r="U301" s="250">
        <f t="shared" si="109"/>
        <v>0.73249045278193259</v>
      </c>
      <c r="V301" s="382">
        <f t="shared" si="110"/>
        <v>38.354847169408117</v>
      </c>
      <c r="W301" s="400">
        <f t="shared" si="111"/>
        <v>15.274488978899502</v>
      </c>
      <c r="X301" s="157">
        <f t="shared" si="112"/>
        <v>45213</v>
      </c>
      <c r="Y301" s="383">
        <f t="shared" si="113"/>
        <v>15.036425199044775</v>
      </c>
      <c r="Z301" s="383">
        <f t="shared" si="114"/>
        <v>15.545703476936838</v>
      </c>
      <c r="AA301" s="384">
        <f t="shared" si="115"/>
        <v>16.174864462294504</v>
      </c>
      <c r="AB301" s="197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3.8897450227438631E-2</v>
      </c>
      <c r="AD301" s="230">
        <f>(INDEX(Models!$BJ301:$BT301,,AH301)*(1-AF301)+INDEX(Models!$BJ301:$BT301,,AH301+1)*AF301-ERP_i)*AE301*Ramure*Pc/MaxiM</f>
        <v>1.3453143288935264E-2</v>
      </c>
      <c r="AE301" s="304">
        <f t="shared" si="117"/>
        <v>0.7</v>
      </c>
      <c r="AF301" s="177">
        <f t="shared" si="118"/>
        <v>0.79682267504176474</v>
      </c>
      <c r="AG301" s="799">
        <f t="shared" si="124"/>
        <v>0</v>
      </c>
      <c r="AH301" s="176">
        <f t="shared" si="119"/>
        <v>6</v>
      </c>
      <c r="AI301" s="224">
        <f t="shared" si="120"/>
        <v>0.79682267504176474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45214</v>
      </c>
      <c r="B302" s="409">
        <f>'2022'!Wh/'2022'!Env_an*'2023'!Env_an</f>
        <v>38.917411785133567</v>
      </c>
      <c r="C302" s="829"/>
      <c r="D302" s="391">
        <f t="shared" si="102"/>
        <v>40.236301552662212</v>
      </c>
      <c r="E302" s="383">
        <f t="shared" si="125"/>
        <v>41.219350236251685</v>
      </c>
      <c r="F302" s="383">
        <f t="shared" si="103"/>
        <v>41.80115775263846</v>
      </c>
      <c r="G302" s="110">
        <f t="shared" si="126"/>
        <v>1.0231989932940342</v>
      </c>
      <c r="H302" s="412" t="b">
        <f>Wh_hp&gt;='2022'!Maxi_hp</f>
        <v>1</v>
      </c>
      <c r="I302" s="379">
        <f>IF(H302,Wh_hp,'2022'!Maxi_hp)</f>
        <v>41.80115775263846</v>
      </c>
      <c r="J302" s="85">
        <f>IF(H302,An,'2022'!An_max)</f>
        <v>2023</v>
      </c>
      <c r="K302" s="197">
        <f t="shared" si="104"/>
        <v>45214</v>
      </c>
      <c r="L302" s="147">
        <f>IF(t&lt;Tvie,1-EXP((T0-t)*PertePVj)+'2022'!Pspv,1-EXP((T0-t)*PertePVj)+Pspv)</f>
        <v>3.277860331676985E-2</v>
      </c>
      <c r="M302" s="832"/>
      <c r="N302" s="832"/>
      <c r="O302" s="48">
        <f>IF(t&lt;Tnet,'2022'!Resal+('2022'!Salim-'2022'!Resal)*(1-EXP(('2022'!Tnet-t)/('2022'!Tau_j))),Resal+(Salim-Resal)*(1-EXP((Tnet-t)/(Tau_j))))*Salcycl</f>
        <v>2.3849203783054818E-2</v>
      </c>
      <c r="P302" s="338">
        <f>(INDEX(Models!$BJ302:$BT302,,T302)*(1-R302)+INDEX(Models!$BJ302:$BT302,,T302+1)*R302-ERP_i)*Q302*Ramure*Pc/MaxiM</f>
        <v>1.3918454599503367E-2</v>
      </c>
      <c r="Q302" s="304">
        <f t="shared" si="105"/>
        <v>0.7</v>
      </c>
      <c r="R302" s="177">
        <f t="shared" si="106"/>
        <v>0.73258042625342534</v>
      </c>
      <c r="S302" s="799">
        <f t="shared" si="107"/>
        <v>0</v>
      </c>
      <c r="T302" s="176">
        <f t="shared" si="108"/>
        <v>6</v>
      </c>
      <c r="U302" s="250">
        <f t="shared" si="109"/>
        <v>0.73258042625342534</v>
      </c>
      <c r="V302" s="382">
        <f t="shared" si="110"/>
        <v>38.035037211915984</v>
      </c>
      <c r="W302" s="400">
        <f t="shared" si="111"/>
        <v>38.917411785133567</v>
      </c>
      <c r="X302" s="157">
        <f t="shared" si="112"/>
        <v>45214</v>
      </c>
      <c r="Y302" s="383">
        <f t="shared" si="113"/>
        <v>38.287272258843032</v>
      </c>
      <c r="Z302" s="383">
        <f t="shared" si="114"/>
        <v>39.584806942998497</v>
      </c>
      <c r="AA302" s="384">
        <f t="shared" si="115"/>
        <v>41.189008392060551</v>
      </c>
      <c r="AB302" s="197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3.8947318998125653E-2</v>
      </c>
      <c r="AD302" s="230">
        <f>(INDEX(Models!$BJ302:$BT302,,AH302)*(1-AF302)+INDEX(Models!$BJ302:$BT302,,AH302+1)*AF302-ERP_i)*AE302*Ramure*Pc/MaxiM</f>
        <v>1.4644315934987991E-2</v>
      </c>
      <c r="AE302" s="304">
        <f t="shared" si="117"/>
        <v>0.7</v>
      </c>
      <c r="AF302" s="177">
        <f t="shared" si="118"/>
        <v>0.79691264851325749</v>
      </c>
      <c r="AG302" s="799">
        <f t="shared" si="124"/>
        <v>0</v>
      </c>
      <c r="AH302" s="176">
        <f t="shared" si="119"/>
        <v>6</v>
      </c>
      <c r="AI302" s="224">
        <f t="shared" si="120"/>
        <v>0.79691264851325749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45215</v>
      </c>
      <c r="B303" s="409">
        <f>'2022'!Wh/'2022'!Env_an*'2023'!Env_an</f>
        <v>34.73343688564286</v>
      </c>
      <c r="C303" s="829"/>
      <c r="D303" s="391">
        <f t="shared" si="102"/>
        <v>35.91122226607424</v>
      </c>
      <c r="E303" s="383">
        <f t="shared" si="125"/>
        <v>36.791450285279062</v>
      </c>
      <c r="F303" s="383">
        <f t="shared" si="103"/>
        <v>37.292100814160094</v>
      </c>
      <c r="G303" s="110">
        <f t="shared" si="126"/>
        <v>0.9193943699864211</v>
      </c>
      <c r="H303" s="412" t="b">
        <f>Wh_hp&gt;='2022'!Maxi_hp</f>
        <v>0</v>
      </c>
      <c r="I303" s="379">
        <f>IF(H303,Wh_hp,'2022'!Maxi_hp)</f>
        <v>39.40385171327874</v>
      </c>
      <c r="J303" s="85">
        <f>IF(H303,An,'2022'!An_max)</f>
        <v>2018</v>
      </c>
      <c r="K303" s="197">
        <f t="shared" si="104"/>
        <v>45215</v>
      </c>
      <c r="L303" s="147">
        <f>IF(t&lt;Tvie,1-EXP((T0-t)*PertePVj)+'2022'!Pspv,1-EXP((T0-t)*PertePVj)+Pspv)</f>
        <v>3.2797139894178651E-2</v>
      </c>
      <c r="M303" s="832"/>
      <c r="N303" s="832"/>
      <c r="O303" s="48">
        <f>IF(t&lt;Tnet,'2022'!Resal+('2022'!Salim-'2022'!Resal)*(1-EXP(('2022'!Tnet-t)/('2022'!Tau_j))),Resal+(Salim-Resal)*(1-EXP((Tnet-t)/(Tau_j))))*Salcycl</f>
        <v>2.3924798081608009E-2</v>
      </c>
      <c r="P303" s="338">
        <f>(INDEX(Models!$BJ303:$BT303,,T303)*(1-R303)+INDEX(Models!$BJ303:$BT303,,T303+1)*R303-ERP_i)*Q303*Ramure*Pc/MaxiM</f>
        <v>1.5133242722159277E-2</v>
      </c>
      <c r="Q303" s="304">
        <f t="shared" si="105"/>
        <v>0.7</v>
      </c>
      <c r="R303" s="177">
        <f t="shared" si="106"/>
        <v>0.73266681535313172</v>
      </c>
      <c r="S303" s="799">
        <f t="shared" si="107"/>
        <v>0</v>
      </c>
      <c r="T303" s="176">
        <f t="shared" si="108"/>
        <v>6</v>
      </c>
      <c r="U303" s="250">
        <f t="shared" si="109"/>
        <v>0.73266681535313172</v>
      </c>
      <c r="V303" s="382">
        <f t="shared" si="110"/>
        <v>37.713196133253675</v>
      </c>
      <c r="W303" s="400">
        <f t="shared" si="111"/>
        <v>34.73343688564286</v>
      </c>
      <c r="X303" s="157">
        <f t="shared" si="112"/>
        <v>45215</v>
      </c>
      <c r="Y303" s="383">
        <f t="shared" si="113"/>
        <v>34.173072966705767</v>
      </c>
      <c r="Z303" s="383">
        <f t="shared" si="114"/>
        <v>35.331856817469401</v>
      </c>
      <c r="AA303" s="384">
        <f t="shared" si="115"/>
        <v>36.765586656111964</v>
      </c>
      <c r="AB303" s="197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3.89965173697078E-2</v>
      </c>
      <c r="AD303" s="230">
        <f>(INDEX(Models!$BJ303:$BT303,,AH303)*(1-AF303)+INDEX(Models!$BJ303:$BT303,,AH303+1)*AF303-ERP_i)*AE303*Ramure*Pc/MaxiM</f>
        <v>1.5915026731728638E-2</v>
      </c>
      <c r="AE303" s="304">
        <f t="shared" si="117"/>
        <v>0.7</v>
      </c>
      <c r="AF303" s="177">
        <f t="shared" si="118"/>
        <v>0.79699903761296387</v>
      </c>
      <c r="AG303" s="799">
        <f t="shared" si="124"/>
        <v>0</v>
      </c>
      <c r="AH303" s="176">
        <f t="shared" si="119"/>
        <v>6</v>
      </c>
      <c r="AI303" s="224">
        <f t="shared" si="120"/>
        <v>0.79699903761296387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45216</v>
      </c>
      <c r="B304" s="409">
        <f>'2022'!Wh/'2022'!Env_an*'2023'!Env_an</f>
        <v>19.047446893520593</v>
      </c>
      <c r="C304" s="829"/>
      <c r="D304" s="391">
        <f t="shared" si="102"/>
        <v>19.693709278741082</v>
      </c>
      <c r="E304" s="383">
        <f t="shared" si="125"/>
        <v>20.177978388552425</v>
      </c>
      <c r="F304" s="383">
        <f t="shared" si="103"/>
        <v>20.277426917809866</v>
      </c>
      <c r="G304" s="110">
        <f t="shared" si="126"/>
        <v>0.50355440786298178</v>
      </c>
      <c r="H304" s="412" t="b">
        <f>Wh_hp&gt;='2022'!Maxi_hp</f>
        <v>0</v>
      </c>
      <c r="I304" s="379">
        <f>IF(H304,Wh_hp,'2022'!Maxi_hp)</f>
        <v>38.717430776256577</v>
      </c>
      <c r="J304" s="85">
        <f>IF(H304,An,'2022'!An_max)</f>
        <v>2021</v>
      </c>
      <c r="K304" s="197">
        <f t="shared" si="104"/>
        <v>45216</v>
      </c>
      <c r="L304" s="147">
        <f>IF(t&lt;Tvie,1-EXP((T0-t)*PertePVj)+'2022'!Pspv,1-EXP((T0-t)*PertePVj)+Pspv)</f>
        <v>3.2815676116338066E-2</v>
      </c>
      <c r="M304" s="832"/>
      <c r="N304" s="832"/>
      <c r="O304" s="48">
        <f>IF(t&lt;Tnet,'2022'!Resal+('2022'!Salim-'2022'!Resal)*(1-EXP(('2022'!Tnet-t)/('2022'!Tau_j))),Resal+(Salim-Resal)*(1-EXP((Tnet-t)/(Tau_j))))*Salcycl</f>
        <v>2.399988247019242E-2</v>
      </c>
      <c r="P304" s="338">
        <f>(INDEX(Models!$BJ304:$BT304,,T304)*(1-R304)+INDEX(Models!$BJ304:$BT304,,T304+1)*R304-ERP_i)*Q304*Ramure*Pc/MaxiM</f>
        <v>1.6392052009440966E-2</v>
      </c>
      <c r="Q304" s="304">
        <f t="shared" si="105"/>
        <v>0.7</v>
      </c>
      <c r="R304" s="177">
        <f t="shared" si="106"/>
        <v>0.73274976140532766</v>
      </c>
      <c r="S304" s="799">
        <f t="shared" si="107"/>
        <v>0</v>
      </c>
      <c r="T304" s="176">
        <f t="shared" si="108"/>
        <v>6</v>
      </c>
      <c r="U304" s="250">
        <f t="shared" si="109"/>
        <v>0.73274976140532766</v>
      </c>
      <c r="V304" s="382">
        <f t="shared" si="110"/>
        <v>37.389322101561653</v>
      </c>
      <c r="W304" s="400">
        <f t="shared" si="111"/>
        <v>19.047446893520593</v>
      </c>
      <c r="X304" s="157">
        <f t="shared" si="112"/>
        <v>45216</v>
      </c>
      <c r="Y304" s="383">
        <f t="shared" si="113"/>
        <v>18.74910596155701</v>
      </c>
      <c r="Z304" s="383">
        <f t="shared" si="114"/>
        <v>19.385245912869294</v>
      </c>
      <c r="AA304" s="384">
        <f t="shared" si="115"/>
        <v>20.172897869896971</v>
      </c>
      <c r="AB304" s="197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3.9045057487900665E-2</v>
      </c>
      <c r="AD304" s="230">
        <f>(INDEX(Models!$BJ304:$BT304,,AH304)*(1-AF304)+INDEX(Models!$BJ304:$BT304,,AH304+1)*AF304-ERP_i)*AE304*Ramure*Pc/MaxiM</f>
        <v>1.7229471392683441E-2</v>
      </c>
      <c r="AE304" s="304">
        <f t="shared" si="117"/>
        <v>0.7</v>
      </c>
      <c r="AF304" s="177">
        <f t="shared" si="118"/>
        <v>0.79708198366515981</v>
      </c>
      <c r="AG304" s="799">
        <f t="shared" si="124"/>
        <v>0</v>
      </c>
      <c r="AH304" s="176">
        <f t="shared" si="119"/>
        <v>6</v>
      </c>
      <c r="AI304" s="224">
        <f t="shared" si="120"/>
        <v>0.79708198366515981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45217</v>
      </c>
      <c r="B305" s="409">
        <f>'2022'!Wh/'2022'!Env_an*'2023'!Env_an</f>
        <v>36.182485723968554</v>
      </c>
      <c r="C305" s="829"/>
      <c r="D305" s="391">
        <f t="shared" si="102"/>
        <v>37.410841214890155</v>
      </c>
      <c r="E305" s="383">
        <f t="shared" si="125"/>
        <v>38.333704614014941</v>
      </c>
      <c r="F305" s="383">
        <f t="shared" si="103"/>
        <v>38.998396901075893</v>
      </c>
      <c r="G305" s="110">
        <f t="shared" si="126"/>
        <v>0.97557647067935149</v>
      </c>
      <c r="H305" s="412" t="b">
        <f>Wh_hp&gt;='2022'!Maxi_hp</f>
        <v>0</v>
      </c>
      <c r="I305" s="379">
        <f>IF(H305,Wh_hp,'2022'!Maxi_hp)</f>
        <v>39.005969343907886</v>
      </c>
      <c r="J305" s="85">
        <f>IF(H305,An,'2022'!An_max)</f>
        <v>2022</v>
      </c>
      <c r="K305" s="197">
        <f t="shared" si="104"/>
        <v>45217</v>
      </c>
      <c r="L305" s="147">
        <f>IF(t&lt;Tvie,1-EXP((T0-t)*PertePVj)+'2022'!Pspv,1-EXP((T0-t)*PertePVj)+Pspv)</f>
        <v>3.283421198325509E-2</v>
      </c>
      <c r="M305" s="832"/>
      <c r="N305" s="832"/>
      <c r="O305" s="48">
        <f>IF(t&lt;Tnet,'2022'!Resal+('2022'!Salim-'2022'!Resal)*(1-EXP(('2022'!Tnet-t)/('2022'!Tau_j))),Resal+(Salim-Resal)*(1-EXP((Tnet-t)/(Tau_j))))*Salcycl</f>
        <v>2.4074464193251557E-2</v>
      </c>
      <c r="P305" s="338">
        <f>(INDEX(Models!$BJ305:$BT305,,T305)*(1-R305)+INDEX(Models!$BJ305:$BT305,,T305+1)*R305-ERP_i)*Q305*Ramure*Pc/MaxiM</f>
        <v>1.7644694582378686E-2</v>
      </c>
      <c r="Q305" s="304">
        <f t="shared" si="105"/>
        <v>0.7</v>
      </c>
      <c r="R305" s="177">
        <f t="shared" si="106"/>
        <v>0.73282940027768007</v>
      </c>
      <c r="S305" s="799">
        <f t="shared" si="107"/>
        <v>0</v>
      </c>
      <c r="T305" s="176">
        <f t="shared" si="108"/>
        <v>6</v>
      </c>
      <c r="U305" s="250">
        <f t="shared" si="109"/>
        <v>0.73282940027768007</v>
      </c>
      <c r="V305" s="382">
        <f t="shared" si="110"/>
        <v>37.065651668465421</v>
      </c>
      <c r="W305" s="400">
        <f t="shared" si="111"/>
        <v>36.182485723968554</v>
      </c>
      <c r="X305" s="157">
        <f t="shared" si="112"/>
        <v>45217</v>
      </c>
      <c r="Y305" s="383">
        <f t="shared" si="113"/>
        <v>35.594490361039369</v>
      </c>
      <c r="Z305" s="383">
        <f t="shared" si="114"/>
        <v>36.802884057787935</v>
      </c>
      <c r="AA305" s="384">
        <f t="shared" si="115"/>
        <v>38.300150047744829</v>
      </c>
      <c r="AB305" s="197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3.9092953633090427E-2</v>
      </c>
      <c r="AD305" s="230">
        <f>(INDEX(Models!$BJ305:$BT305,,AH305)*(1-AF305)+INDEX(Models!$BJ305:$BT305,,AH305+1)*AF305-ERP_i)*AE305*Ramure*Pc/MaxiM</f>
        <v>1.8535422645883426E-2</v>
      </c>
      <c r="AE305" s="304">
        <f t="shared" si="117"/>
        <v>0.7</v>
      </c>
      <c r="AF305" s="177">
        <f t="shared" si="118"/>
        <v>0.79716162253751222</v>
      </c>
      <c r="AG305" s="799">
        <f t="shared" si="124"/>
        <v>0</v>
      </c>
      <c r="AH305" s="176">
        <f t="shared" si="119"/>
        <v>6</v>
      </c>
      <c r="AI305" s="224">
        <f t="shared" si="120"/>
        <v>0.79716162253751222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45218</v>
      </c>
      <c r="B306" s="409">
        <f>'2022'!Wh/'2022'!Env_an*'2023'!Env_an</f>
        <v>16.165283824306893</v>
      </c>
      <c r="C306" s="829"/>
      <c r="D306" s="391">
        <f t="shared" si="102"/>
        <v>16.714397711864731</v>
      </c>
      <c r="E306" s="383">
        <f t="shared" si="125"/>
        <v>17.128014457959818</v>
      </c>
      <c r="F306" s="383">
        <f t="shared" si="103"/>
        <v>17.192954556913275</v>
      </c>
      <c r="G306" s="110">
        <f t="shared" si="126"/>
        <v>0.43328684269406692</v>
      </c>
      <c r="H306" s="412" t="b">
        <f>Wh_hp&gt;='2022'!Maxi_hp</f>
        <v>0</v>
      </c>
      <c r="I306" s="379">
        <f>IF(H306,Wh_hp,'2022'!Maxi_hp)</f>
        <v>39.339930108632885</v>
      </c>
      <c r="J306" s="85">
        <f>IF(H306,An,'2022'!An_max)</f>
        <v>2020</v>
      </c>
      <c r="K306" s="197">
        <f t="shared" si="104"/>
        <v>45218</v>
      </c>
      <c r="L306" s="147">
        <f>IF(t&lt;Tvie,1-EXP((T0-t)*PertePVj)+'2022'!Pspv,1-EXP((T0-t)*PertePVj)+Pspv)</f>
        <v>3.2852747494936496E-2</v>
      </c>
      <c r="M306" s="832"/>
      <c r="N306" s="832"/>
      <c r="O306" s="48">
        <f>IF(t&lt;Tnet,'2022'!Resal+('2022'!Salim-'2022'!Resal)*(1-EXP(('2022'!Tnet-t)/('2022'!Tau_j))),Resal+(Salim-Resal)*(1-EXP((Tnet-t)/(Tau_j))))*Salcycl</f>
        <v>2.4148551900764589E-2</v>
      </c>
      <c r="P306" s="338">
        <f>(INDEX(Models!$BJ306:$BT306,,T306)*(1-R306)+INDEX(Models!$BJ306:$BT306,,T306+1)*R306-ERP_i)*Q306*Ramure*Pc/MaxiM</f>
        <v>1.8890864825530405E-2</v>
      </c>
      <c r="Q306" s="304">
        <f t="shared" si="105"/>
        <v>0.7</v>
      </c>
      <c r="R306" s="177">
        <f t="shared" si="106"/>
        <v>0.73290586258282409</v>
      </c>
      <c r="S306" s="799">
        <f t="shared" si="107"/>
        <v>0</v>
      </c>
      <c r="T306" s="176">
        <f t="shared" si="108"/>
        <v>6</v>
      </c>
      <c r="U306" s="250">
        <f t="shared" si="109"/>
        <v>0.73290586258282409</v>
      </c>
      <c r="V306" s="382">
        <f t="shared" si="110"/>
        <v>36.742495254424803</v>
      </c>
      <c r="W306" s="400">
        <f t="shared" si="111"/>
        <v>16.165283824306893</v>
      </c>
      <c r="X306" s="157">
        <f t="shared" si="112"/>
        <v>45218</v>
      </c>
      <c r="Y306" s="383">
        <f t="shared" si="113"/>
        <v>15.913933903195195</v>
      </c>
      <c r="Z306" s="383">
        <f t="shared" si="114"/>
        <v>16.454509757408299</v>
      </c>
      <c r="AA306" s="384">
        <f t="shared" si="115"/>
        <v>17.124777348519519</v>
      </c>
      <c r="AB306" s="197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3.914022223297213E-2</v>
      </c>
      <c r="AD306" s="230">
        <f>(INDEX(Models!$BJ306:$BT306,,AH306)*(1-AF306)+INDEX(Models!$BJ306:$BT306,,AH306+1)*AF306-ERP_i)*AE306*Ramure*Pc/MaxiM</f>
        <v>1.983252949570596E-2</v>
      </c>
      <c r="AE306" s="304">
        <f t="shared" si="117"/>
        <v>0.7</v>
      </c>
      <c r="AF306" s="177">
        <f t="shared" si="118"/>
        <v>0.79723808484265624</v>
      </c>
      <c r="AG306" s="799">
        <f t="shared" si="124"/>
        <v>0</v>
      </c>
      <c r="AH306" s="176">
        <f t="shared" si="119"/>
        <v>6</v>
      </c>
      <c r="AI306" s="224">
        <f t="shared" si="120"/>
        <v>0.79723808484265624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45219</v>
      </c>
      <c r="B307" s="409">
        <f>'2022'!Wh/'2022'!Env_an*'2023'!Env_an</f>
        <v>12.553285638817171</v>
      </c>
      <c r="C307" s="829"/>
      <c r="D307" s="391">
        <f t="shared" si="102"/>
        <v>12.979953354329171</v>
      </c>
      <c r="E307" s="383">
        <f t="shared" si="125"/>
        <v>13.302160353005439</v>
      </c>
      <c r="F307" s="383">
        <f t="shared" si="103"/>
        <v>13.319273899931366</v>
      </c>
      <c r="G307" s="110">
        <f t="shared" si="126"/>
        <v>0.33817559706024292</v>
      </c>
      <c r="H307" s="412" t="b">
        <f>Wh_hp&gt;='2022'!Maxi_hp</f>
        <v>0</v>
      </c>
      <c r="I307" s="379">
        <f>IF(H307,Wh_hp,'2022'!Maxi_hp)</f>
        <v>36.661931071686425</v>
      </c>
      <c r="J307" s="85">
        <f>IF(H307,An,'2022'!An_max)</f>
        <v>2020</v>
      </c>
      <c r="K307" s="197">
        <f t="shared" si="104"/>
        <v>45219</v>
      </c>
      <c r="L307" s="147">
        <f>IF(t&lt;Tvie,1-EXP((T0-t)*PertePVj)+'2022'!Pspv,1-EXP((T0-t)*PertePVj)+Pspv)</f>
        <v>3.2871282651389055E-2</v>
      </c>
      <c r="M307" s="832"/>
      <c r="N307" s="832"/>
      <c r="O307" s="48">
        <f>IF(t&lt;Tnet,'2022'!Resal+('2022'!Salim-'2022'!Resal)*(1-EXP(('2022'!Tnet-t)/('2022'!Tau_j))),Resal+(Salim-Resal)*(1-EXP((Tnet-t)/(Tau_j))))*Salcycl</f>
        <v>2.4222155659360249E-2</v>
      </c>
      <c r="P307" s="338">
        <f>(INDEX(Models!$BJ307:$BT307,,T307)*(1-R307)+INDEX(Models!$BJ307:$BT307,,T307+1)*R307-ERP_i)*Q307*Ramure*Pc/MaxiM</f>
        <v>2.0130224270125764E-2</v>
      </c>
      <c r="Q307" s="304">
        <f t="shared" si="105"/>
        <v>0.7</v>
      </c>
      <c r="R307" s="177">
        <f t="shared" si="106"/>
        <v>0.73297927387321882</v>
      </c>
      <c r="S307" s="799">
        <f t="shared" si="107"/>
        <v>0</v>
      </c>
      <c r="T307" s="176">
        <f t="shared" si="108"/>
        <v>6</v>
      </c>
      <c r="U307" s="250">
        <f t="shared" si="109"/>
        <v>0.73297927387321882</v>
      </c>
      <c r="V307" s="382">
        <f t="shared" si="110"/>
        <v>36.420162445788229</v>
      </c>
      <c r="W307" s="400">
        <f t="shared" si="111"/>
        <v>12.553285638817171</v>
      </c>
      <c r="X307" s="157">
        <f t="shared" si="112"/>
        <v>45219</v>
      </c>
      <c r="Y307" s="383">
        <f t="shared" si="113"/>
        <v>12.359983692157014</v>
      </c>
      <c r="Z307" s="383">
        <f t="shared" si="114"/>
        <v>12.780081358810213</v>
      </c>
      <c r="AA307" s="384">
        <f t="shared" si="115"/>
        <v>13.301318557744379</v>
      </c>
      <c r="AB307" s="197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3.9186881862226158E-2</v>
      </c>
      <c r="AD307" s="230">
        <f>(INDEX(Models!$BJ307:$BT307,,AH307)*(1-AF307)+INDEX(Models!$BJ307:$BT307,,AH307+1)*AF307-ERP_i)*AE307*Ramure*Pc/MaxiM</f>
        <v>2.112040634447955E-2</v>
      </c>
      <c r="AE307" s="304">
        <f t="shared" si="117"/>
        <v>0.7</v>
      </c>
      <c r="AF307" s="177">
        <f t="shared" si="118"/>
        <v>0.79731149613305097</v>
      </c>
      <c r="AG307" s="799">
        <f t="shared" si="124"/>
        <v>0</v>
      </c>
      <c r="AH307" s="176">
        <f t="shared" si="119"/>
        <v>6</v>
      </c>
      <c r="AI307" s="224">
        <f t="shared" si="120"/>
        <v>0.79731149613305097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45220</v>
      </c>
      <c r="B308" s="409">
        <f>'2022'!Wh/'2022'!Env_an*'2023'!Env_an</f>
        <v>17.047995380214822</v>
      </c>
      <c r="C308" s="829"/>
      <c r="D308" s="391">
        <f t="shared" si="102"/>
        <v>17.627769501206352</v>
      </c>
      <c r="E308" s="383">
        <f t="shared" si="125"/>
        <v>18.066705290572422</v>
      </c>
      <c r="F308" s="383">
        <f t="shared" si="103"/>
        <v>18.162182011951071</v>
      </c>
      <c r="G308" s="110">
        <f t="shared" si="126"/>
        <v>0.46461108301765636</v>
      </c>
      <c r="H308" s="412" t="b">
        <f>Wh_hp&gt;='2022'!Maxi_hp</f>
        <v>0</v>
      </c>
      <c r="I308" s="379">
        <f>IF(H308,Wh_hp,'2022'!Maxi_hp)</f>
        <v>22.202361362008595</v>
      </c>
      <c r="J308" s="85">
        <f>IF(H308,An,'2022'!An_max)</f>
        <v>2018</v>
      </c>
      <c r="K308" s="197">
        <f t="shared" si="104"/>
        <v>45220</v>
      </c>
      <c r="L308" s="147">
        <f>IF(t&lt;Tvie,1-EXP((T0-t)*PertePVj)+'2022'!Pspv,1-EXP((T0-t)*PertePVj)+Pspv)</f>
        <v>3.2889817452619541E-2</v>
      </c>
      <c r="M308" s="832"/>
      <c r="N308" s="832"/>
      <c r="O308" s="48">
        <f>IF(t&lt;Tnet,'2022'!Resal+('2022'!Salim-'2022'!Resal)*(1-EXP(('2022'!Tnet-t)/('2022'!Tau_j))),Resal+(Salim-Resal)*(1-EXP((Tnet-t)/(Tau_j))))*Salcycl</f>
        <v>2.4295286955010865E-2</v>
      </c>
      <c r="P308" s="338">
        <f>(INDEX(Models!$BJ308:$BT308,,T308)*(1-R308)+INDEX(Models!$BJ308:$BT308,,T308+1)*R308-ERP_i)*Q308*Ramure*Pc/MaxiM</f>
        <v>2.1362401943805179E-2</v>
      </c>
      <c r="Q308" s="304">
        <f t="shared" si="105"/>
        <v>0.7</v>
      </c>
      <c r="R308" s="177">
        <f t="shared" si="106"/>
        <v>0.73304975482944701</v>
      </c>
      <c r="S308" s="799">
        <f t="shared" si="107"/>
        <v>0</v>
      </c>
      <c r="T308" s="176">
        <f t="shared" si="108"/>
        <v>6</v>
      </c>
      <c r="U308" s="250">
        <f t="shared" si="109"/>
        <v>0.73304975482944701</v>
      </c>
      <c r="V308" s="382">
        <f t="shared" si="110"/>
        <v>36.098961958946568</v>
      </c>
      <c r="W308" s="400">
        <f t="shared" si="111"/>
        <v>17.047995380214822</v>
      </c>
      <c r="X308" s="157">
        <f t="shared" si="112"/>
        <v>45220</v>
      </c>
      <c r="Y308" s="383">
        <f t="shared" si="113"/>
        <v>16.782693819277991</v>
      </c>
      <c r="Z308" s="383">
        <f t="shared" si="114"/>
        <v>17.353445473060955</v>
      </c>
      <c r="AA308" s="384">
        <f t="shared" si="115"/>
        <v>18.062073976601241</v>
      </c>
      <c r="AB308" s="197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3.9232953228864463E-2</v>
      </c>
      <c r="AD308" s="230">
        <f>(INDEX(Models!$BJ308:$BT308,,AH308)*(1-AF308)+INDEX(Models!$BJ308:$BT308,,AH308+1)*AF308-ERP_i)*AE308*Ramure*Pc/MaxiM</f>
        <v>2.2398633489587077E-2</v>
      </c>
      <c r="AE308" s="304">
        <f t="shared" si="117"/>
        <v>0.7</v>
      </c>
      <c r="AF308" s="177">
        <f t="shared" si="118"/>
        <v>0.79738197708927916</v>
      </c>
      <c r="AG308" s="799">
        <f t="shared" si="124"/>
        <v>0</v>
      </c>
      <c r="AH308" s="176">
        <f t="shared" si="119"/>
        <v>6</v>
      </c>
      <c r="AI308" s="224">
        <f t="shared" si="120"/>
        <v>0.79738197708927916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45221</v>
      </c>
      <c r="B309" s="409">
        <f>'2022'!Wh/'2022'!Env_an*'2023'!Env_an</f>
        <v>35.490388379711227</v>
      </c>
      <c r="C309" s="829"/>
      <c r="D309" s="391">
        <f t="shared" si="102"/>
        <v>36.698061087992478</v>
      </c>
      <c r="E309" s="383">
        <f t="shared" si="125"/>
        <v>37.614653408272552</v>
      </c>
      <c r="F309" s="383">
        <f t="shared" si="103"/>
        <v>38.473636247724876</v>
      </c>
      <c r="G309" s="110">
        <f t="shared" si="126"/>
        <v>0.99166364071011348</v>
      </c>
      <c r="H309" s="412" t="b">
        <f>Wh_hp&gt;='2022'!Maxi_hp</f>
        <v>0</v>
      </c>
      <c r="I309" s="379">
        <f>IF(H309,Wh_hp,'2022'!Maxi_hp)</f>
        <v>38.476732251780895</v>
      </c>
      <c r="J309" s="85">
        <f>IF(H309,An,'2022'!An_max)</f>
        <v>2022</v>
      </c>
      <c r="K309" s="197">
        <f t="shared" si="104"/>
        <v>45221</v>
      </c>
      <c r="L309" s="147">
        <f>IF(t&lt;Tvie,1-EXP((T0-t)*PertePVj)+'2022'!Pspv,1-EXP((T0-t)*PertePVj)+Pspv)</f>
        <v>3.2908351898634725E-2</v>
      </c>
      <c r="M309" s="832"/>
      <c r="N309" s="832"/>
      <c r="O309" s="48">
        <f>IF(t&lt;Tnet,'2022'!Resal+('2022'!Salim-'2022'!Resal)*(1-EXP(('2022'!Tnet-t)/('2022'!Tau_j))),Resal+(Salim-Resal)*(1-EXP((Tnet-t)/(Tau_j))))*Salcycl</f>
        <v>2.4367958687038931E-2</v>
      </c>
      <c r="P309" s="338">
        <f>(INDEX(Models!$BJ309:$BT309,,T309)*(1-R309)+INDEX(Models!$BJ309:$BT309,,T309+1)*R309-ERP_i)*Q309*Ramure*Pc/MaxiM</f>
        <v>2.2586994670346802E-2</v>
      </c>
      <c r="Q309" s="304">
        <f t="shared" si="105"/>
        <v>0.7</v>
      </c>
      <c r="R309" s="177">
        <f t="shared" si="106"/>
        <v>0.73311742144212377</v>
      </c>
      <c r="S309" s="799">
        <f t="shared" si="107"/>
        <v>0</v>
      </c>
      <c r="T309" s="176">
        <f t="shared" si="108"/>
        <v>6</v>
      </c>
      <c r="U309" s="250">
        <f t="shared" si="109"/>
        <v>0.73311742144212377</v>
      </c>
      <c r="V309" s="382">
        <f t="shared" si="110"/>
        <v>35.779201610719291</v>
      </c>
      <c r="W309" s="400">
        <f t="shared" si="111"/>
        <v>35.490388379711227</v>
      </c>
      <c r="X309" s="157">
        <f t="shared" si="112"/>
        <v>45221</v>
      </c>
      <c r="Y309" s="383">
        <f t="shared" si="113"/>
        <v>34.909839629420219</v>
      </c>
      <c r="Z309" s="383">
        <f t="shared" si="114"/>
        <v>36.097757330400562</v>
      </c>
      <c r="AA309" s="384">
        <f t="shared" si="115"/>
        <v>37.573590052274234</v>
      </c>
      <c r="AB309" s="197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3.92784591469812E-2</v>
      </c>
      <c r="AD309" s="230">
        <f>(INDEX(Models!$BJ309:$BT309,,AH309)*(1-AF309)+INDEX(Models!$BJ309:$BT309,,AH309+1)*AF309-ERP_i)*AE309*Ramure*Pc/MaxiM</f>
        <v>2.3666757571864046E-2</v>
      </c>
      <c r="AE309" s="304">
        <f t="shared" si="117"/>
        <v>0.7</v>
      </c>
      <c r="AF309" s="177">
        <f t="shared" si="118"/>
        <v>0.79744964370195592</v>
      </c>
      <c r="AG309" s="799">
        <f t="shared" si="124"/>
        <v>0</v>
      </c>
      <c r="AH309" s="176">
        <f t="shared" si="119"/>
        <v>6</v>
      </c>
      <c r="AI309" s="224">
        <f t="shared" si="120"/>
        <v>0.79744964370195592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45222</v>
      </c>
      <c r="B310" s="409">
        <f>'2022'!Wh/'2022'!Env_an*'2023'!Env_an</f>
        <v>20.834421809423567</v>
      </c>
      <c r="C310" s="829"/>
      <c r="D310" s="391">
        <f t="shared" si="102"/>
        <v>21.543791785319033</v>
      </c>
      <c r="E310" s="383">
        <f t="shared" si="125"/>
        <v>22.083517030376044</v>
      </c>
      <c r="F310" s="383">
        <f t="shared" si="103"/>
        <v>22.301026564052858</v>
      </c>
      <c r="G310" s="110">
        <f t="shared" si="126"/>
        <v>0.57919125875436883</v>
      </c>
      <c r="H310" s="412" t="b">
        <f>Wh_hp&gt;='2022'!Maxi_hp</f>
        <v>0</v>
      </c>
      <c r="I310" s="379">
        <f>IF(H310,Wh_hp,'2022'!Maxi_hp)</f>
        <v>34.945512770955865</v>
      </c>
      <c r="J310" s="85">
        <f>IF(H310,An,'2022'!An_max)</f>
        <v>2021</v>
      </c>
      <c r="K310" s="197">
        <f t="shared" si="104"/>
        <v>45222</v>
      </c>
      <c r="L310" s="147">
        <f>IF(t&lt;Tvie,1-EXP((T0-t)*PertePVj)+'2022'!Pspv,1-EXP((T0-t)*PertePVj)+Pspv)</f>
        <v>3.292688598944149E-2</v>
      </c>
      <c r="M310" s="832"/>
      <c r="N310" s="832"/>
      <c r="O310" s="48">
        <f>IF(t&lt;Tnet,'2022'!Resal+('2022'!Salim-'2022'!Resal)*(1-EXP(('2022'!Tnet-t)/('2022'!Tau_j))),Resal+(Salim-Resal)*(1-EXP((Tnet-t)/(Tau_j))))*Salcycl</f>
        <v>2.4440185153235108E-2</v>
      </c>
      <c r="P310" s="338">
        <f>(INDEX(Models!$BJ310:$BT310,,T310)*(1-R310)+INDEX(Models!$BJ310:$BT310,,T310+1)*R310-ERP_i)*Q310*Ramure*Pc/MaxiM</f>
        <v>2.3747772458425201E-2</v>
      </c>
      <c r="Q310" s="304">
        <f t="shared" si="105"/>
        <v>0.7</v>
      </c>
      <c r="R310" s="177">
        <f t="shared" si="106"/>
        <v>0.73318238518758116</v>
      </c>
      <c r="S310" s="799">
        <f t="shared" si="107"/>
        <v>0</v>
      </c>
      <c r="T310" s="176">
        <f t="shared" si="108"/>
        <v>6</v>
      </c>
      <c r="U310" s="250">
        <f t="shared" si="109"/>
        <v>0.73318238518758116</v>
      </c>
      <c r="V310" s="382">
        <f t="shared" si="110"/>
        <v>35.463215088362105</v>
      </c>
      <c r="W310" s="400">
        <f t="shared" si="111"/>
        <v>20.834421809423567</v>
      </c>
      <c r="X310" s="157">
        <f t="shared" si="112"/>
        <v>45222</v>
      </c>
      <c r="Y310" s="383">
        <f t="shared" si="113"/>
        <v>20.507053579549176</v>
      </c>
      <c r="Z310" s="383">
        <f t="shared" si="114"/>
        <v>21.205277328519838</v>
      </c>
      <c r="AA310" s="384">
        <f t="shared" si="115"/>
        <v>22.073274054162709</v>
      </c>
      <c r="AB310" s="197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3.9323424495750339E-2</v>
      </c>
      <c r="AD310" s="230">
        <f>(INDEX(Models!$BJ310:$BT310,,AH310)*(1-AF310)+INDEX(Models!$BJ310:$BT310,,AH310+1)*AF310-ERP_i)*AE310*Ramure*Pc/MaxiM</f>
        <v>2.4866104442772683E-2</v>
      </c>
      <c r="AE310" s="304">
        <f t="shared" si="117"/>
        <v>0.7</v>
      </c>
      <c r="AF310" s="177">
        <f t="shared" si="118"/>
        <v>0.79751460744741332</v>
      </c>
      <c r="AG310" s="799">
        <f t="shared" si="124"/>
        <v>0</v>
      </c>
      <c r="AH310" s="176">
        <f t="shared" si="119"/>
        <v>6</v>
      </c>
      <c r="AI310" s="224">
        <f t="shared" si="120"/>
        <v>0.79751460744741332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45223</v>
      </c>
      <c r="B311" s="409">
        <f>'2022'!Wh/'2022'!Env_an*'2023'!Env_an</f>
        <v>29.844581872096196</v>
      </c>
      <c r="C311" s="829"/>
      <c r="D311" s="391">
        <f t="shared" si="102"/>
        <v>30.861321047267854</v>
      </c>
      <c r="E311" s="383">
        <f t="shared" si="125"/>
        <v>31.636801763452347</v>
      </c>
      <c r="F311" s="383">
        <f t="shared" si="103"/>
        <v>32.265074264822587</v>
      </c>
      <c r="G311" s="110">
        <f t="shared" si="126"/>
        <v>0.84438139434742332</v>
      </c>
      <c r="H311" s="412" t="b">
        <f>Wh_hp&gt;='2022'!Maxi_hp</f>
        <v>0</v>
      </c>
      <c r="I311" s="379">
        <f>IF(H311,Wh_hp,'2022'!Maxi_hp)</f>
        <v>39.130239680184168</v>
      </c>
      <c r="J311" s="85">
        <f>IF(H311,An,'2022'!An_max)</f>
        <v>2021</v>
      </c>
      <c r="K311" s="197">
        <f t="shared" si="104"/>
        <v>45223</v>
      </c>
      <c r="L311" s="147">
        <f>IF(t&lt;Tvie,1-EXP((T0-t)*PertePVj)+'2022'!Pspv,1-EXP((T0-t)*PertePVj)+Pspv)</f>
        <v>3.2945419725046721E-2</v>
      </c>
      <c r="M311" s="832"/>
      <c r="N311" s="832"/>
      <c r="O311" s="48">
        <f>IF(t&lt;Tnet,'2022'!Resal+('2022'!Salim-'2022'!Resal)*(1-EXP(('2022'!Tnet-t)/('2022'!Tau_j))),Resal+(Salim-Resal)*(1-EXP((Tnet-t)/(Tau_j))))*Salcycl</f>
        <v>2.4511982025956502E-2</v>
      </c>
      <c r="P311" s="338">
        <f>(INDEX(Models!$BJ311:$BT311,,T311)*(1-R311)+INDEX(Models!$BJ311:$BT311,,T311+1)*R311-ERP_i)*Q311*Ramure*Pc/MaxiM</f>
        <v>2.4827143299090349E-2</v>
      </c>
      <c r="Q311" s="304">
        <f t="shared" si="105"/>
        <v>0.7</v>
      </c>
      <c r="R311" s="177">
        <f t="shared" si="106"/>
        <v>0.73324475319749538</v>
      </c>
      <c r="S311" s="799">
        <f t="shared" si="107"/>
        <v>0</v>
      </c>
      <c r="T311" s="176">
        <f t="shared" si="108"/>
        <v>6</v>
      </c>
      <c r="U311" s="250">
        <f t="shared" si="109"/>
        <v>0.73324475319749538</v>
      </c>
      <c r="V311" s="382">
        <f t="shared" si="110"/>
        <v>35.151878933883161</v>
      </c>
      <c r="W311" s="400">
        <f t="shared" si="111"/>
        <v>29.844581872096196</v>
      </c>
      <c r="X311" s="157">
        <f t="shared" si="112"/>
        <v>45223</v>
      </c>
      <c r="Y311" s="383">
        <f t="shared" si="113"/>
        <v>29.362987902485177</v>
      </c>
      <c r="Z311" s="383">
        <f t="shared" si="114"/>
        <v>30.363320231766735</v>
      </c>
      <c r="AA311" s="384">
        <f t="shared" si="115"/>
        <v>31.607646130486998</v>
      </c>
      <c r="AB311" s="197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3.9367876164623804E-2</v>
      </c>
      <c r="AD311" s="230">
        <f>(INDEX(Models!$BJ311:$BT311,,AH311)*(1-AF311)+INDEX(Models!$BJ311:$BT311,,AH311+1)*AF311-ERP_i)*AE311*Ramure*Pc/MaxiM</f>
        <v>2.5979272472383502E-2</v>
      </c>
      <c r="AE311" s="304">
        <f t="shared" si="117"/>
        <v>0.7</v>
      </c>
      <c r="AF311" s="177">
        <f t="shared" si="118"/>
        <v>0.79757697545732753</v>
      </c>
      <c r="AG311" s="799">
        <f t="shared" si="124"/>
        <v>0</v>
      </c>
      <c r="AH311" s="176">
        <f t="shared" si="119"/>
        <v>6</v>
      </c>
      <c r="AI311" s="224">
        <f t="shared" si="120"/>
        <v>0.79757697545732753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45224</v>
      </c>
      <c r="B312" s="409">
        <f>'2022'!Wh/'2022'!Env_an*'2023'!Env_an</f>
        <v>23.206377881957831</v>
      </c>
      <c r="C312" s="829"/>
      <c r="D312" s="391">
        <f t="shared" si="102"/>
        <v>23.997427972287912</v>
      </c>
      <c r="E312" s="383">
        <f t="shared" si="125"/>
        <v>24.602233695493464</v>
      </c>
      <c r="F312" s="383">
        <f t="shared" si="103"/>
        <v>24.938944144085632</v>
      </c>
      <c r="G312" s="110">
        <f t="shared" si="126"/>
        <v>0.65766103898069939</v>
      </c>
      <c r="H312" s="412" t="b">
        <f>Wh_hp&gt;='2022'!Maxi_hp</f>
        <v>0</v>
      </c>
      <c r="I312" s="379">
        <f>IF(H312,Wh_hp,'2022'!Maxi_hp)</f>
        <v>36.653360755544639</v>
      </c>
      <c r="J312" s="85">
        <f>IF(H312,An,'2022'!An_max)</f>
        <v>2021</v>
      </c>
      <c r="K312" s="197">
        <f t="shared" si="104"/>
        <v>45224</v>
      </c>
      <c r="L312" s="147">
        <f>IF(t&lt;Tvie,1-EXP((T0-t)*PertePVj)+'2022'!Pspv,1-EXP((T0-t)*PertePVj)+Pspv)</f>
        <v>3.2963953105457078E-2</v>
      </c>
      <c r="M312" s="832"/>
      <c r="N312" s="832"/>
      <c r="O312" s="48">
        <f>IF(t&lt;Tnet,'2022'!Resal+('2022'!Salim-'2022'!Resal)*(1-EXP(('2022'!Tnet-t)/('2022'!Tau_j))),Resal+(Salim-Resal)*(1-EXP((Tnet-t)/(Tau_j))))*Salcycl</f>
        <v>2.4583366319145962E-2</v>
      </c>
      <c r="P312" s="338">
        <f>(INDEX(Models!$BJ312:$BT312,,T312)*(1-R312)+INDEX(Models!$BJ312:$BT312,,T312+1)*R312-ERP_i)*Q312*Ramure*Pc/MaxiM</f>
        <v>2.5823758621082597E-2</v>
      </c>
      <c r="Q312" s="304">
        <f t="shared" si="105"/>
        <v>0.7</v>
      </c>
      <c r="R312" s="177">
        <f t="shared" si="106"/>
        <v>0.7333046284226219</v>
      </c>
      <c r="S312" s="799">
        <f t="shared" si="107"/>
        <v>0</v>
      </c>
      <c r="T312" s="176">
        <f t="shared" si="108"/>
        <v>6</v>
      </c>
      <c r="U312" s="250">
        <f t="shared" si="109"/>
        <v>0.7333046284226219</v>
      </c>
      <c r="V312" s="382">
        <f t="shared" si="110"/>
        <v>34.845468032567574</v>
      </c>
      <c r="W312" s="400">
        <f t="shared" si="111"/>
        <v>23.206377881957831</v>
      </c>
      <c r="X312" s="157">
        <f t="shared" si="112"/>
        <v>45224</v>
      </c>
      <c r="Y312" s="383">
        <f t="shared" si="113"/>
        <v>22.83928465997289</v>
      </c>
      <c r="Z312" s="383">
        <f t="shared" si="114"/>
        <v>23.617821417636932</v>
      </c>
      <c r="AA312" s="384">
        <f t="shared" si="115"/>
        <v>24.586833852942384</v>
      </c>
      <c r="AB312" s="197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3.9411842984796851E-2</v>
      </c>
      <c r="AD312" s="230">
        <f>(INDEX(Models!$BJ312:$BT312,,AH312)*(1-AF312)+INDEX(Models!$BJ312:$BT312,,AH312+1)*AF312-ERP_i)*AE312*Ramure*Pc/MaxiM</f>
        <v>2.7004838146545636E-2</v>
      </c>
      <c r="AE312" s="304">
        <f t="shared" si="117"/>
        <v>0.7</v>
      </c>
      <c r="AF312" s="177">
        <f t="shared" si="118"/>
        <v>0.79763685068245405</v>
      </c>
      <c r="AG312" s="799">
        <f t="shared" si="124"/>
        <v>0</v>
      </c>
      <c r="AH312" s="176">
        <f t="shared" si="119"/>
        <v>6</v>
      </c>
      <c r="AI312" s="224">
        <f t="shared" si="120"/>
        <v>0.79763685068245405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45225</v>
      </c>
      <c r="B313" s="409">
        <f>'2022'!Wh/'2022'!Env_an*'2023'!Env_an</f>
        <v>15.965549858744062</v>
      </c>
      <c r="C313" s="829"/>
      <c r="D313" s="391">
        <f t="shared" si="102"/>
        <v>16.510093798468258</v>
      </c>
      <c r="E313" s="383">
        <f t="shared" si="125"/>
        <v>16.927428656594291</v>
      </c>
      <c r="F313" s="383">
        <f t="shared" si="103"/>
        <v>17.03293459192157</v>
      </c>
      <c r="G313" s="110">
        <f t="shared" si="126"/>
        <v>0.45262347498320488</v>
      </c>
      <c r="H313" s="412" t="b">
        <f>Wh_hp&gt;='2022'!Maxi_hp</f>
        <v>0</v>
      </c>
      <c r="I313" s="379">
        <f>IF(H313,Wh_hp,'2022'!Maxi_hp)</f>
        <v>37.378397618671073</v>
      </c>
      <c r="J313" s="85">
        <f>IF(H313,An,'2022'!An_max)</f>
        <v>2018</v>
      </c>
      <c r="K313" s="197">
        <f t="shared" si="104"/>
        <v>45225</v>
      </c>
      <c r="L313" s="147">
        <f>IF(t&lt;Tvie,1-EXP((T0-t)*PertePVj)+'2022'!Pspv,1-EXP((T0-t)*PertePVj)+Pspv)</f>
        <v>3.2982486130679445E-2</v>
      </c>
      <c r="M313" s="832"/>
      <c r="N313" s="832"/>
      <c r="O313" s="48">
        <f>IF(t&lt;Tnet,'2022'!Resal+('2022'!Salim-'2022'!Resal)*(1-EXP(('2022'!Tnet-t)/('2022'!Tau_j))),Resal+(Salim-Resal)*(1-EXP((Tnet-t)/(Tau_j))))*Salcycl</f>
        <v>2.46543563462873E-2</v>
      </c>
      <c r="P313" s="338">
        <f>(INDEX(Models!$BJ313:$BT313,,T313)*(1-R313)+INDEX(Models!$BJ313:$BT313,,T313+1)*R313-ERP_i)*Q313*Ramure*Pc/MaxiM</f>
        <v>2.6736051422775957E-2</v>
      </c>
      <c r="Q313" s="304">
        <f t="shared" si="105"/>
        <v>0.7</v>
      </c>
      <c r="R313" s="177">
        <f t="shared" si="106"/>
        <v>0.73336210979080552</v>
      </c>
      <c r="S313" s="799">
        <f t="shared" si="107"/>
        <v>0</v>
      </c>
      <c r="T313" s="176">
        <f t="shared" si="108"/>
        <v>6</v>
      </c>
      <c r="U313" s="250">
        <f t="shared" si="109"/>
        <v>0.73336210979080552</v>
      </c>
      <c r="V313" s="382">
        <f t="shared" si="110"/>
        <v>34.544262808923371</v>
      </c>
      <c r="W313" s="400">
        <f t="shared" si="111"/>
        <v>15.965549858744062</v>
      </c>
      <c r="X313" s="157">
        <f t="shared" si="112"/>
        <v>45225</v>
      </c>
      <c r="Y313" s="383">
        <f t="shared" si="113"/>
        <v>15.718853255921168</v>
      </c>
      <c r="Z313" s="383">
        <f t="shared" si="114"/>
        <v>16.254983007521165</v>
      </c>
      <c r="AA313" s="384">
        <f t="shared" si="115"/>
        <v>16.922673092901579</v>
      </c>
      <c r="AB313" s="197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3.9455355647122048E-2</v>
      </c>
      <c r="AD313" s="230">
        <f>(INDEX(Models!$BJ313:$BT313,,AH313)*(1-AF313)+INDEX(Models!$BJ313:$BT313,,AH313+1)*AF313-ERP_i)*AE313*Ramure*Pc/MaxiM</f>
        <v>2.7941149458618093E-2</v>
      </c>
      <c r="AE313" s="304">
        <f t="shared" si="117"/>
        <v>0.7</v>
      </c>
      <c r="AF313" s="177">
        <f t="shared" si="118"/>
        <v>0.79769433205063767</v>
      </c>
      <c r="AG313" s="799">
        <f t="shared" si="124"/>
        <v>0</v>
      </c>
      <c r="AH313" s="176">
        <f t="shared" si="119"/>
        <v>6</v>
      </c>
      <c r="AI313" s="224">
        <f t="shared" si="120"/>
        <v>0.79769433205063767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45226</v>
      </c>
      <c r="B314" s="409">
        <f>'2022'!Wh/'2022'!Env_an*'2023'!Env_an</f>
        <v>16.149689413690925</v>
      </c>
      <c r="C314" s="829"/>
      <c r="D314" s="391">
        <f t="shared" si="102"/>
        <v>16.700833948823771</v>
      </c>
      <c r="E314" s="383">
        <f t="shared" si="125"/>
        <v>17.124230051712424</v>
      </c>
      <c r="F314" s="383">
        <f t="shared" si="103"/>
        <v>17.240682608749356</v>
      </c>
      <c r="G314" s="110">
        <f t="shared" si="126"/>
        <v>0.46166528014495839</v>
      </c>
      <c r="H314" s="412" t="b">
        <f>Wh_hp&gt;='2022'!Maxi_hp</f>
        <v>0</v>
      </c>
      <c r="I314" s="379">
        <f>IF(H314,Wh_hp,'2022'!Maxi_hp)</f>
        <v>34.064654173647206</v>
      </c>
      <c r="J314" s="85">
        <f>IF(H314,An,'2022'!An_max)</f>
        <v>2021</v>
      </c>
      <c r="K314" s="197">
        <f t="shared" si="104"/>
        <v>45226</v>
      </c>
      <c r="L314" s="147">
        <f>IF(t&lt;Tvie,1-EXP((T0-t)*PertePVj)+'2022'!Pspv,1-EXP((T0-t)*PertePVj)+Pspv)</f>
        <v>3.3001018800720594E-2</v>
      </c>
      <c r="M314" s="832"/>
      <c r="N314" s="832"/>
      <c r="O314" s="48">
        <f>IF(t&lt;Tnet,'2022'!Resal+('2022'!Salim-'2022'!Resal)*(1-EXP(('2022'!Tnet-t)/('2022'!Tau_j))),Resal+(Salim-Resal)*(1-EXP((Tnet-t)/(Tau_j))))*Salcycl</f>
        <v>2.4724971669386923E-2</v>
      </c>
      <c r="P314" s="338">
        <f>(INDEX(Models!$BJ314:$BT314,,T314)*(1-R314)+INDEX(Models!$BJ314:$BT314,,T314+1)*R314-ERP_i)*Q314*Ramure*Pc/MaxiM</f>
        <v>2.756242791613581E-2</v>
      </c>
      <c r="Q314" s="304">
        <f t="shared" si="105"/>
        <v>0.7</v>
      </c>
      <c r="R314" s="177">
        <f t="shared" si="106"/>
        <v>0.73341729235942732</v>
      </c>
      <c r="S314" s="799">
        <f t="shared" si="107"/>
        <v>0</v>
      </c>
      <c r="T314" s="176">
        <f t="shared" si="108"/>
        <v>6</v>
      </c>
      <c r="U314" s="250">
        <f t="shared" si="109"/>
        <v>0.73341729235942732</v>
      </c>
      <c r="V314" s="382">
        <f t="shared" si="110"/>
        <v>34.248542462248125</v>
      </c>
      <c r="W314" s="400">
        <f t="shared" si="111"/>
        <v>16.149689413690925</v>
      </c>
      <c r="X314" s="157">
        <f t="shared" si="112"/>
        <v>45226</v>
      </c>
      <c r="Y314" s="383">
        <f t="shared" si="113"/>
        <v>15.90025011392072</v>
      </c>
      <c r="Z314" s="383">
        <f t="shared" si="114"/>
        <v>16.442881970983166</v>
      </c>
      <c r="AA314" s="384">
        <f t="shared" si="115"/>
        <v>17.119058176318646</v>
      </c>
      <c r="AB314" s="197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3.9498446606768205E-2</v>
      </c>
      <c r="AD314" s="230">
        <f>(INDEX(Models!$BJ314:$BT314,,AH314)*(1-AF314)+INDEX(Models!$BJ314:$BT314,,AH314+1)*AF314-ERP_i)*AE314*Ramure*Pc/MaxiM</f>
        <v>2.8786526779735797E-2</v>
      </c>
      <c r="AE314" s="304">
        <f t="shared" si="117"/>
        <v>0.7</v>
      </c>
      <c r="AF314" s="177">
        <f t="shared" si="118"/>
        <v>0.79774951461925947</v>
      </c>
      <c r="AG314" s="799">
        <f t="shared" si="124"/>
        <v>0</v>
      </c>
      <c r="AH314" s="176">
        <f t="shared" si="119"/>
        <v>6</v>
      </c>
      <c r="AI314" s="224">
        <f t="shared" si="120"/>
        <v>0.79774951461925947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45227</v>
      </c>
      <c r="B315" s="409">
        <f>'2022'!Wh/'2022'!Env_an*'2023'!Env_an</f>
        <v>17.651766116795738</v>
      </c>
      <c r="C315" s="829"/>
      <c r="D315" s="391">
        <f t="shared" si="102"/>
        <v>18.254522247228731</v>
      </c>
      <c r="E315" s="383">
        <f t="shared" si="125"/>
        <v>18.718655676917464</v>
      </c>
      <c r="F315" s="383">
        <f t="shared" si="103"/>
        <v>18.886494495003333</v>
      </c>
      <c r="G315" s="110">
        <f t="shared" si="126"/>
        <v>0.50962052743590425</v>
      </c>
      <c r="H315" s="412" t="b">
        <f>Wh_hp&gt;='2022'!Maxi_hp</f>
        <v>0</v>
      </c>
      <c r="I315" s="379">
        <f>IF(H315,Wh_hp,'2022'!Maxi_hp)</f>
        <v>36.268866308329294</v>
      </c>
      <c r="J315" s="85">
        <f>IF(H315,An,'2022'!An_max)</f>
        <v>2021</v>
      </c>
      <c r="K315" s="197">
        <f t="shared" si="104"/>
        <v>45227</v>
      </c>
      <c r="L315" s="147">
        <f>IF(t&lt;Tvie,1-EXP((T0-t)*PertePVj)+'2022'!Pspv,1-EXP((T0-t)*PertePVj)+Pspv)</f>
        <v>3.3019551115587298E-2</v>
      </c>
      <c r="M315" s="832"/>
      <c r="N315" s="832"/>
      <c r="O315" s="48">
        <f>IF(t&lt;Tnet,'2022'!Resal+('2022'!Salim-'2022'!Resal)*(1-EXP(('2022'!Tnet-t)/('2022'!Tau_j))),Resal+(Salim-Resal)*(1-EXP((Tnet-t)/(Tau_j))))*Salcycl</f>
        <v>2.4795233039147643E-2</v>
      </c>
      <c r="P315" s="338">
        <f>(INDEX(Models!$BJ315:$BT315,,T315)*(1-R315)+INDEX(Models!$BJ315:$BT315,,T315+1)*R315-ERP_i)*Q315*Ramure*Pc/MaxiM</f>
        <v>2.8301272412903981E-2</v>
      </c>
      <c r="Q315" s="304">
        <f t="shared" si="105"/>
        <v>0.7</v>
      </c>
      <c r="R315" s="177">
        <f t="shared" si="106"/>
        <v>0.73347026746245303</v>
      </c>
      <c r="S315" s="799">
        <f t="shared" si="107"/>
        <v>0</v>
      </c>
      <c r="T315" s="176">
        <f t="shared" si="108"/>
        <v>6</v>
      </c>
      <c r="U315" s="250">
        <f t="shared" si="109"/>
        <v>0.73347026746245303</v>
      </c>
      <c r="V315" s="382">
        <f t="shared" si="110"/>
        <v>33.958585051217064</v>
      </c>
      <c r="W315" s="400">
        <f t="shared" si="111"/>
        <v>17.651766116795738</v>
      </c>
      <c r="X315" s="157">
        <f t="shared" si="112"/>
        <v>45227</v>
      </c>
      <c r="Y315" s="383">
        <f t="shared" si="113"/>
        <v>17.378037848227446</v>
      </c>
      <c r="Z315" s="383">
        <f t="shared" si="114"/>
        <v>17.971446959735498</v>
      </c>
      <c r="AA315" s="384">
        <f t="shared" si="115"/>
        <v>18.711313825957614</v>
      </c>
      <c r="AB315" s="197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3.9541149975033947E-2</v>
      </c>
      <c r="AD315" s="230">
        <f>(INDEX(Models!$BJ315:$BT315,,AH315)*(1-AF315)+INDEX(Models!$BJ315:$BT315,,AH315+1)*AF315-ERP_i)*AE315*Ramure*Pc/MaxiM</f>
        <v>2.9539268047044508E-2</v>
      </c>
      <c r="AE315" s="304">
        <f t="shared" si="117"/>
        <v>0.7</v>
      </c>
      <c r="AF315" s="177">
        <f t="shared" si="118"/>
        <v>0.79780248972228518</v>
      </c>
      <c r="AG315" s="799">
        <f t="shared" si="124"/>
        <v>0</v>
      </c>
      <c r="AH315" s="176">
        <f t="shared" si="119"/>
        <v>6</v>
      </c>
      <c r="AI315" s="224">
        <f t="shared" si="120"/>
        <v>0.79780248972228518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45228</v>
      </c>
      <c r="B316" s="409">
        <f>'2022'!Wh/'2022'!Env_an*'2023'!Env_an</f>
        <v>28.362736491181238</v>
      </c>
      <c r="C316" s="829"/>
      <c r="D316" s="391">
        <f t="shared" si="102"/>
        <v>29.331803036654161</v>
      </c>
      <c r="E316" s="383">
        <f t="shared" si="125"/>
        <v>30.079740671184492</v>
      </c>
      <c r="F316" s="383">
        <f t="shared" si="103"/>
        <v>30.769813830703953</v>
      </c>
      <c r="G316" s="110">
        <f t="shared" si="126"/>
        <v>0.83663640846713305</v>
      </c>
      <c r="H316" s="412" t="b">
        <f>Wh_hp&gt;='2022'!Maxi_hp</f>
        <v>0</v>
      </c>
      <c r="I316" s="379">
        <f>IF(H316,Wh_hp,'2022'!Maxi_hp)</f>
        <v>30.826089408528631</v>
      </c>
      <c r="J316" s="85">
        <f>IF(H316,An,'2022'!An_max)</f>
        <v>2022</v>
      </c>
      <c r="K316" s="197">
        <f t="shared" si="104"/>
        <v>45228</v>
      </c>
      <c r="L316" s="147">
        <f>IF(t&lt;Tvie,1-EXP((T0-t)*PertePVj)+'2022'!Pspv,1-EXP((T0-t)*PertePVj)+Pspv)</f>
        <v>3.3038083075286551E-2</v>
      </c>
      <c r="M316" s="832"/>
      <c r="N316" s="832"/>
      <c r="O316" s="48">
        <f>IF(t&lt;Tnet,'2022'!Resal+('2022'!Salim-'2022'!Resal)*(1-EXP(('2022'!Tnet-t)/('2022'!Tau_j))),Resal+(Salim-Resal)*(1-EXP((Tnet-t)/(Tau_j))))*Salcycl</f>
        <v>2.4865162326576665E-2</v>
      </c>
      <c r="P316" s="338">
        <f>(INDEX(Models!$BJ316:$BT316,,T316)*(1-R316)+INDEX(Models!$BJ316:$BT316,,T316+1)*R316-ERP_i)*Q316*Ramure*Pc/MaxiM</f>
        <v>2.8950952388618337E-2</v>
      </c>
      <c r="Q316" s="304">
        <f t="shared" si="105"/>
        <v>0.7</v>
      </c>
      <c r="R316" s="177">
        <f t="shared" si="106"/>
        <v>0.73352112285224202</v>
      </c>
      <c r="S316" s="799">
        <f t="shared" si="107"/>
        <v>0</v>
      </c>
      <c r="T316" s="176">
        <f t="shared" si="108"/>
        <v>6</v>
      </c>
      <c r="U316" s="250">
        <f t="shared" si="109"/>
        <v>0.73352112285224202</v>
      </c>
      <c r="V316" s="382">
        <f t="shared" si="110"/>
        <v>33.674667596613034</v>
      </c>
      <c r="W316" s="400">
        <f t="shared" si="111"/>
        <v>28.362736491181238</v>
      </c>
      <c r="X316" s="157">
        <f t="shared" si="112"/>
        <v>45228</v>
      </c>
      <c r="Y316" s="383">
        <f t="shared" si="113"/>
        <v>27.907042290682295</v>
      </c>
      <c r="Z316" s="383">
        <f t="shared" si="114"/>
        <v>28.860539181767077</v>
      </c>
      <c r="AA316" s="384">
        <f t="shared" si="115"/>
        <v>30.050024363182217</v>
      </c>
      <c r="AB316" s="197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3.9583501398838081E-2</v>
      </c>
      <c r="AD316" s="230">
        <f>(INDEX(Models!$BJ316:$BT316,,AH316)*(1-AF316)+INDEX(Models!$BJ316:$BT316,,AH316+1)*AF316-ERP_i)*AE316*Ramure*Pc/MaxiM</f>
        <v>3.0197654142296755E-2</v>
      </c>
      <c r="AE316" s="304">
        <f t="shared" si="117"/>
        <v>0.7</v>
      </c>
      <c r="AF316" s="177">
        <f t="shared" si="118"/>
        <v>0.79785334511207417</v>
      </c>
      <c r="AG316" s="799">
        <f t="shared" si="124"/>
        <v>0</v>
      </c>
      <c r="AH316" s="176">
        <f t="shared" si="119"/>
        <v>6</v>
      </c>
      <c r="AI316" s="224">
        <f t="shared" si="120"/>
        <v>0.79785334511207417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45229</v>
      </c>
      <c r="B317" s="409">
        <f>'2022'!Wh/'2022'!Env_an*'2023'!Env_an</f>
        <v>25.294629001099139</v>
      </c>
      <c r="C317" s="829"/>
      <c r="D317" s="391">
        <f t="shared" si="102"/>
        <v>26.159369188635136</v>
      </c>
      <c r="E317" s="383">
        <f t="shared" si="125"/>
        <v>26.828327703316553</v>
      </c>
      <c r="F317" s="383">
        <f t="shared" si="103"/>
        <v>27.35583019565626</v>
      </c>
      <c r="G317" s="110">
        <f t="shared" si="126"/>
        <v>0.74950465330001059</v>
      </c>
      <c r="H317" s="412" t="b">
        <f>Wh_hp&gt;='2022'!Maxi_hp</f>
        <v>0</v>
      </c>
      <c r="I317" s="379">
        <f>IF(H317,Wh_hp,'2022'!Maxi_hp)</f>
        <v>31.493556755699309</v>
      </c>
      <c r="J317" s="85">
        <f>IF(H317,An,'2022'!An_max)</f>
        <v>2020</v>
      </c>
      <c r="K317" s="197">
        <f t="shared" si="104"/>
        <v>45229</v>
      </c>
      <c r="L317" s="147">
        <f>IF(t&lt;Tvie,1-EXP((T0-t)*PertePVj)+'2022'!Pspv,1-EXP((T0-t)*PertePVj)+Pspv)</f>
        <v>3.3056614679824903E-2</v>
      </c>
      <c r="M317" s="832"/>
      <c r="N317" s="832"/>
      <c r="O317" s="48">
        <f>IF(t&lt;Tnet,'2022'!Resal+('2022'!Salim-'2022'!Resal)*(1-EXP(('2022'!Tnet-t)/('2022'!Tau_j))),Resal+(Salim-Resal)*(1-EXP((Tnet-t)/(Tau_j))))*Salcycl</f>
        <v>2.4934782446343822E-2</v>
      </c>
      <c r="P317" s="338">
        <f>(INDEX(Models!$BJ317:$BT317,,T317)*(1-R317)+INDEX(Models!$BJ317:$BT317,,T317+1)*R317-ERP_i)*Q317*Ramure*Pc/MaxiM</f>
        <v>2.9510292379602569E-2</v>
      </c>
      <c r="Q317" s="304">
        <f t="shared" si="105"/>
        <v>0.7</v>
      </c>
      <c r="R317" s="177">
        <f t="shared" si="106"/>
        <v>0.73356994283627608</v>
      </c>
      <c r="S317" s="799">
        <f t="shared" si="107"/>
        <v>0</v>
      </c>
      <c r="T317" s="176">
        <f t="shared" si="108"/>
        <v>6</v>
      </c>
      <c r="U317" s="250">
        <f t="shared" si="109"/>
        <v>0.73356994283627608</v>
      </c>
      <c r="V317" s="382">
        <f t="shared" si="110"/>
        <v>33.396519730881664</v>
      </c>
      <c r="W317" s="400">
        <f t="shared" si="111"/>
        <v>25.294629001099139</v>
      </c>
      <c r="X317" s="157">
        <f t="shared" si="112"/>
        <v>45229</v>
      </c>
      <c r="Y317" s="383">
        <f t="shared" si="113"/>
        <v>24.892777387264772</v>
      </c>
      <c r="Z317" s="383">
        <f t="shared" si="114"/>
        <v>25.743779589559171</v>
      </c>
      <c r="AA317" s="384">
        <f t="shared" si="115"/>
        <v>26.805981006649269</v>
      </c>
      <c r="AB317" s="197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3.9625537928517467E-2</v>
      </c>
      <c r="AD317" s="230">
        <f>(INDEX(Models!$BJ317:$BT317,,AH317)*(1-AF317)+INDEX(Models!$BJ317:$BT317,,AH317+1)*AF317-ERP_i)*AE317*Ramure*Pc/MaxiM</f>
        <v>3.0760442970256496E-2</v>
      </c>
      <c r="AE317" s="304">
        <f t="shared" si="117"/>
        <v>0.7</v>
      </c>
      <c r="AF317" s="177">
        <f t="shared" si="118"/>
        <v>0.79790216509610823</v>
      </c>
      <c r="AG317" s="799">
        <f t="shared" si="124"/>
        <v>0</v>
      </c>
      <c r="AH317" s="176">
        <f t="shared" si="119"/>
        <v>6</v>
      </c>
      <c r="AI317" s="224">
        <f t="shared" si="120"/>
        <v>0.79790216509610823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45230</v>
      </c>
      <c r="B318" s="409">
        <f>'2022'!Wh/'2022'!Env_an*'2023'!Env_an</f>
        <v>24.607061294168879</v>
      </c>
      <c r="C318" s="829"/>
      <c r="D318" s="391">
        <f t="shared" si="102"/>
        <v>25.448783522909984</v>
      </c>
      <c r="E318" s="383">
        <f t="shared" si="125"/>
        <v>26.101426655990174</v>
      </c>
      <c r="F318" s="383">
        <f t="shared" si="103"/>
        <v>26.605536954258241</v>
      </c>
      <c r="G318" s="110">
        <f t="shared" si="126"/>
        <v>0.73453322548198907</v>
      </c>
      <c r="H318" s="412" t="b">
        <f>Wh_hp&gt;='2022'!Maxi_hp</f>
        <v>0</v>
      </c>
      <c r="I318" s="379">
        <f>IF(H318,Wh_hp,'2022'!Maxi_hp)</f>
        <v>35.545081569193108</v>
      </c>
      <c r="J318" s="85">
        <f>IF(H318,An,'2022'!An_max)</f>
        <v>2020</v>
      </c>
      <c r="K318" s="197">
        <f t="shared" si="104"/>
        <v>45230</v>
      </c>
      <c r="L318" s="147">
        <f>IF(t&lt;Tvie,1-EXP((T0-t)*PertePVj)+'2022'!Pspv,1-EXP((T0-t)*PertePVj)+Pspv)</f>
        <v>3.3075145929209349E-2</v>
      </c>
      <c r="M318" s="832"/>
      <c r="N318" s="832"/>
      <c r="O318" s="48">
        <f>IF(t&lt;Tnet,'2022'!Resal+('2022'!Salim-'2022'!Resal)*(1-EXP(('2022'!Tnet-t)/('2022'!Tau_j))),Resal+(Salim-Resal)*(1-EXP((Tnet-t)/(Tau_j))))*Salcycl</f>
        <v>2.5004117272279837E-2</v>
      </c>
      <c r="P318" s="338">
        <f>(INDEX(Models!$BJ318:$BT318,,T318)*(1-R318)+INDEX(Models!$BJ318:$BT318,,T318+1)*R318-ERP_i)*Q318*Ramure*Pc/MaxiM</f>
        <v>2.9948950303150819E-2</v>
      </c>
      <c r="Q318" s="304">
        <f t="shared" si="105"/>
        <v>0.7</v>
      </c>
      <c r="R318" s="177">
        <f t="shared" si="106"/>
        <v>0.73361680840896482</v>
      </c>
      <c r="S318" s="799">
        <f t="shared" si="107"/>
        <v>0</v>
      </c>
      <c r="T318" s="176">
        <f t="shared" si="108"/>
        <v>6</v>
      </c>
      <c r="U318" s="250">
        <f t="shared" si="109"/>
        <v>0.73361680840896482</v>
      </c>
      <c r="V318" s="382">
        <f t="shared" si="110"/>
        <v>33.124602727757001</v>
      </c>
      <c r="W318" s="400">
        <f t="shared" si="111"/>
        <v>24.607061294168879</v>
      </c>
      <c r="X318" s="157">
        <f t="shared" si="112"/>
        <v>45230</v>
      </c>
      <c r="Y318" s="383">
        <f t="shared" si="113"/>
        <v>24.217479091444702</v>
      </c>
      <c r="Z318" s="383">
        <f t="shared" si="114"/>
        <v>25.045875064115052</v>
      </c>
      <c r="AA318" s="384">
        <f t="shared" si="115"/>
        <v>26.080414640348614</v>
      </c>
      <c r="AB318" s="197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3.9667297874668099E-2</v>
      </c>
      <c r="AD318" s="230">
        <f>(INDEX(Models!$BJ318:$BT318,,AH318)*(1-AF318)+INDEX(Models!$BJ318:$BT318,,AH318+1)*AF318-ERP_i)*AE318*Ramure*Pc/MaxiM</f>
        <v>3.1197264043973081E-2</v>
      </c>
      <c r="AE318" s="304">
        <f t="shared" si="117"/>
        <v>0.7</v>
      </c>
      <c r="AF318" s="177">
        <f t="shared" si="118"/>
        <v>0.79794903066879697</v>
      </c>
      <c r="AG318" s="799">
        <f t="shared" si="124"/>
        <v>0</v>
      </c>
      <c r="AH318" s="176">
        <f t="shared" si="119"/>
        <v>6</v>
      </c>
      <c r="AI318" s="224">
        <f t="shared" si="120"/>
        <v>0.79794903066879697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45231</v>
      </c>
      <c r="B319" s="409">
        <f>'2022'!Wh/'2022'!Env_an*'2023'!Env_an</f>
        <v>26.442962912823024</v>
      </c>
      <c r="C319" s="829"/>
      <c r="D319" s="391">
        <f t="shared" si="102"/>
        <v>27.348009087323593</v>
      </c>
      <c r="E319" s="383">
        <f t="shared" si="125"/>
        <v>28.051345855055761</v>
      </c>
      <c r="F319" s="383">
        <f t="shared" si="103"/>
        <v>28.67801060527837</v>
      </c>
      <c r="G319" s="110">
        <f t="shared" si="126"/>
        <v>0.7978238865673053</v>
      </c>
      <c r="H319" s="412" t="b">
        <f>Wh_hp&gt;='2022'!Maxi_hp</f>
        <v>0</v>
      </c>
      <c r="I319" s="379">
        <f>IF(H319,Wh_hp,'2022'!Maxi_hp)</f>
        <v>28.832623963315033</v>
      </c>
      <c r="J319" s="85">
        <f>IF(H319,An,'2022'!An_max)</f>
        <v>2020</v>
      </c>
      <c r="K319" s="197">
        <f t="shared" si="104"/>
        <v>45231</v>
      </c>
      <c r="L319" s="147">
        <f>IF(t&lt;Tvie,1-EXP((T0-t)*PertePVj)+'2022'!Pspv,1-EXP((T0-t)*PertePVj)+Pspv)</f>
        <v>3.3093676823446661E-2</v>
      </c>
      <c r="M319" s="832"/>
      <c r="N319" s="832"/>
      <c r="O319" s="48">
        <f>IF(t&lt;Tnet,'2022'!Resal+('2022'!Salim-'2022'!Resal)*(1-EXP(('2022'!Tnet-t)/('2022'!Tau_j))),Resal+(Salim-Resal)*(1-EXP((Tnet-t)/(Tau_j))))*Salcycl</f>
        <v>2.5073191545474618E-2</v>
      </c>
      <c r="P319" s="338">
        <f>(INDEX(Models!$BJ319:$BT319,,T319)*(1-R319)+INDEX(Models!$BJ319:$BT319,,T319+1)*R319-ERP_i)*Q319*Ramure*Pc/MaxiM</f>
        <v>3.0302928774954812E-2</v>
      </c>
      <c r="Q319" s="304">
        <f t="shared" si="105"/>
        <v>0.7</v>
      </c>
      <c r="R319" s="177">
        <f t="shared" si="106"/>
        <v>0.7336617973786782</v>
      </c>
      <c r="S319" s="799">
        <f t="shared" si="107"/>
        <v>0</v>
      </c>
      <c r="T319" s="176">
        <f t="shared" si="108"/>
        <v>6</v>
      </c>
      <c r="U319" s="250">
        <f t="shared" si="109"/>
        <v>0.7336617973786782</v>
      </c>
      <c r="V319" s="382">
        <f t="shared" si="110"/>
        <v>32.857497477935595</v>
      </c>
      <c r="W319" s="400">
        <f t="shared" si="111"/>
        <v>26.442962912823024</v>
      </c>
      <c r="X319" s="157">
        <f t="shared" si="112"/>
        <v>45231</v>
      </c>
      <c r="Y319" s="383">
        <f t="shared" si="113"/>
        <v>26.02211466786617</v>
      </c>
      <c r="Z319" s="383">
        <f t="shared" si="114"/>
        <v>26.912756741911007</v>
      </c>
      <c r="AA319" s="384">
        <f t="shared" si="115"/>
        <v>28.025621104073871</v>
      </c>
      <c r="AB319" s="197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3.9708820654864835E-2</v>
      </c>
      <c r="AD319" s="230">
        <f>(INDEX(Models!$BJ319:$BT319,,AH319)*(1-AF319)+INDEX(Models!$BJ319:$BT319,,AH319+1)*AF319-ERP_i)*AE319*Ramure*Pc/MaxiM</f>
        <v>3.1546871882463003E-2</v>
      </c>
      <c r="AE319" s="304">
        <f t="shared" si="117"/>
        <v>0.7</v>
      </c>
      <c r="AF319" s="177">
        <f t="shared" si="118"/>
        <v>0.79799401963851035</v>
      </c>
      <c r="AG319" s="799">
        <f t="shared" si="124"/>
        <v>0</v>
      </c>
      <c r="AH319" s="176">
        <f t="shared" si="119"/>
        <v>6</v>
      </c>
      <c r="AI319" s="224">
        <f t="shared" si="120"/>
        <v>0.79799401963851035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45232</v>
      </c>
      <c r="B320" s="409">
        <f>'2022'!Wh/'2022'!Env_an*'2023'!Env_an</f>
        <v>29.36300391436712</v>
      </c>
      <c r="C320" s="829"/>
      <c r="D320" s="391">
        <f t="shared" si="102"/>
        <v>30.368574448821331</v>
      </c>
      <c r="E320" s="383">
        <f t="shared" si="125"/>
        <v>31.151793807440129</v>
      </c>
      <c r="F320" s="383">
        <f t="shared" si="103"/>
        <v>31.991263893582172</v>
      </c>
      <c r="G320" s="110">
        <f t="shared" si="126"/>
        <v>0.89683558905292293</v>
      </c>
      <c r="H320" s="412" t="b">
        <f>Wh_hp&gt;='2022'!Maxi_hp</f>
        <v>0</v>
      </c>
      <c r="I320" s="379">
        <f>IF(H320,Wh_hp,'2022'!Maxi_hp)</f>
        <v>32.061506207065662</v>
      </c>
      <c r="J320" s="85">
        <f>IF(H320,An,'2022'!An_max)</f>
        <v>2020</v>
      </c>
      <c r="K320" s="197">
        <f t="shared" si="104"/>
        <v>45232</v>
      </c>
      <c r="L320" s="147">
        <f>IF(t&lt;Tvie,1-EXP((T0-t)*PertePVj)+'2022'!Pspv,1-EXP((T0-t)*PertePVj)+Pspv)</f>
        <v>3.31122073625435E-2</v>
      </c>
      <c r="M320" s="832"/>
      <c r="N320" s="832"/>
      <c r="O320" s="48">
        <f>IF(t&lt;Tnet,'2022'!Resal+('2022'!Salim-'2022'!Resal)*(1-EXP(('2022'!Tnet-t)/('2022'!Tau_j))),Resal+(Salim-Resal)*(1-EXP((Tnet-t)/(Tau_j))))*Salcycl</f>
        <v>2.5142030775503515E-2</v>
      </c>
      <c r="P320" s="338">
        <f>(INDEX(Models!$BJ320:$BT320,,T320)*(1-R320)+INDEX(Models!$BJ320:$BT320,,T320+1)*R320-ERP_i)*Q320*Ramure*Pc/MaxiM</f>
        <v>3.0571144218465296E-2</v>
      </c>
      <c r="Q320" s="304">
        <f t="shared" si="105"/>
        <v>0.7</v>
      </c>
      <c r="R320" s="177">
        <f t="shared" si="106"/>
        <v>0.73370498449016153</v>
      </c>
      <c r="S320" s="799">
        <f t="shared" si="107"/>
        <v>0</v>
      </c>
      <c r="T320" s="176">
        <f t="shared" si="108"/>
        <v>6</v>
      </c>
      <c r="U320" s="250">
        <f t="shared" si="109"/>
        <v>0.73370498449016153</v>
      </c>
      <c r="V320" s="382">
        <f t="shared" si="110"/>
        <v>32.595070925317629</v>
      </c>
      <c r="W320" s="400">
        <f t="shared" si="111"/>
        <v>29.36300391436712</v>
      </c>
      <c r="X320" s="157">
        <f t="shared" si="112"/>
        <v>45232</v>
      </c>
      <c r="Y320" s="383">
        <f t="shared" si="113"/>
        <v>28.891465755786129</v>
      </c>
      <c r="Z320" s="383">
        <f t="shared" si="114"/>
        <v>29.880887912522493</v>
      </c>
      <c r="AA320" s="384">
        <f t="shared" si="115"/>
        <v>31.117826061303116</v>
      </c>
      <c r="AB320" s="197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3.9750146631188706E-2</v>
      </c>
      <c r="AD320" s="230">
        <f>(INDEX(Models!$BJ320:$BT320,,AH320)*(1-AF320)+INDEX(Models!$BJ320:$BT320,,AH320+1)*AF320-ERP_i)*AE320*Ramure*Pc/MaxiM</f>
        <v>3.1808154188294149E-2</v>
      </c>
      <c r="AE320" s="304">
        <f t="shared" si="117"/>
        <v>0.7</v>
      </c>
      <c r="AF320" s="177">
        <f t="shared" si="118"/>
        <v>0.79803720674999368</v>
      </c>
      <c r="AG320" s="799">
        <f t="shared" si="124"/>
        <v>0</v>
      </c>
      <c r="AH320" s="176">
        <f t="shared" si="119"/>
        <v>6</v>
      </c>
      <c r="AI320" s="224">
        <f t="shared" si="120"/>
        <v>0.79803720674999368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45233</v>
      </c>
      <c r="B321" s="409">
        <f>'2022'!Wh/'2022'!Env_an*'2023'!Env_an</f>
        <v>9.2081282371922715</v>
      </c>
      <c r="C321" s="829"/>
      <c r="D321" s="391">
        <f t="shared" si="102"/>
        <v>9.5236539155521935</v>
      </c>
      <c r="E321" s="383">
        <f t="shared" si="125"/>
        <v>9.7699610939987807</v>
      </c>
      <c r="F321" s="383">
        <f t="shared" si="103"/>
        <v>9.7699610939987807</v>
      </c>
      <c r="G321" s="110">
        <f t="shared" si="126"/>
        <v>0.27599662121813928</v>
      </c>
      <c r="H321" s="412" t="b">
        <f>Wh_hp&gt;='2022'!Maxi_hp</f>
        <v>0</v>
      </c>
      <c r="I321" s="379">
        <f>IF(H321,Wh_hp,'2022'!Maxi_hp)</f>
        <v>28.049300463393088</v>
      </c>
      <c r="J321" s="85">
        <f>IF(H321,An,'2022'!An_max)</f>
        <v>2020</v>
      </c>
      <c r="K321" s="197">
        <f t="shared" si="104"/>
        <v>45233</v>
      </c>
      <c r="L321" s="147">
        <f>IF(t&lt;Tvie,1-EXP((T0-t)*PertePVj)+'2022'!Pspv,1-EXP((T0-t)*PertePVj)+Pspv)</f>
        <v>3.3130737546506861E-2</v>
      </c>
      <c r="M321" s="832"/>
      <c r="N321" s="832"/>
      <c r="O321" s="48">
        <f>IF(t&lt;Tnet,'2022'!Resal+('2022'!Salim-'2022'!Resal)*(1-EXP(('2022'!Tnet-t)/('2022'!Tau_j))),Resal+(Salim-Resal)*(1-EXP((Tnet-t)/(Tau_j))))*Salcycl</f>
        <v>2.5210661135373499E-2</v>
      </c>
      <c r="P321" s="338">
        <f>(INDEX(Models!$BJ321:$BT321,,T321)*(1-R321)+INDEX(Models!$BJ321:$BT321,,T321+1)*R321-ERP_i)*Q321*Ramure*Pc/MaxiM</f>
        <v>3.0752516210632009E-2</v>
      </c>
      <c r="Q321" s="304">
        <f t="shared" si="105"/>
        <v>0.7</v>
      </c>
      <c r="R321" s="177">
        <f t="shared" si="106"/>
        <v>0.73374644154247604</v>
      </c>
      <c r="S321" s="799">
        <f t="shared" si="107"/>
        <v>0</v>
      </c>
      <c r="T321" s="176">
        <f t="shared" si="108"/>
        <v>6</v>
      </c>
      <c r="U321" s="250">
        <f t="shared" si="109"/>
        <v>0.73374644154247604</v>
      </c>
      <c r="V321" s="382">
        <f t="shared" si="110"/>
        <v>32.337189799343328</v>
      </c>
      <c r="W321" s="400">
        <f t="shared" si="111"/>
        <v>9.2081282371922715</v>
      </c>
      <c r="X321" s="157">
        <f t="shared" si="112"/>
        <v>45233</v>
      </c>
      <c r="Y321" s="383">
        <f t="shared" si="113"/>
        <v>9.0703953516604567</v>
      </c>
      <c r="Z321" s="383">
        <f t="shared" si="114"/>
        <v>9.3812014756201307</v>
      </c>
      <c r="AA321" s="384">
        <f t="shared" si="115"/>
        <v>9.7699610939987807</v>
      </c>
      <c r="AB321" s="197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3.9791316939577846E-2</v>
      </c>
      <c r="AD321" s="230">
        <f>(INDEX(Models!$BJ321:$BT321,,AH321)*(1-AF321)+INDEX(Models!$BJ321:$BT321,,AH321+1)*AF321-ERP_i)*AE321*Ramure*Pc/MaxiM</f>
        <v>3.1980001598807373E-2</v>
      </c>
      <c r="AE321" s="304">
        <f t="shared" si="117"/>
        <v>0.7</v>
      </c>
      <c r="AF321" s="177">
        <f t="shared" si="118"/>
        <v>0.79807866380230819</v>
      </c>
      <c r="AG321" s="799">
        <f t="shared" si="124"/>
        <v>0</v>
      </c>
      <c r="AH321" s="176">
        <f t="shared" si="119"/>
        <v>6</v>
      </c>
      <c r="AI321" s="224">
        <f t="shared" si="120"/>
        <v>0.79807866380230819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45234</v>
      </c>
      <c r="B322" s="409">
        <f>'2022'!Wh/'2022'!Env_an*'2023'!Env_an</f>
        <v>12.850713236421281</v>
      </c>
      <c r="C322" s="829"/>
      <c r="D322" s="391">
        <f t="shared" si="102"/>
        <v>13.291310439964352</v>
      </c>
      <c r="E322" s="383">
        <f t="shared" si="125"/>
        <v>13.63601679975527</v>
      </c>
      <c r="F322" s="383">
        <f t="shared" si="103"/>
        <v>13.696696227282128</v>
      </c>
      <c r="G322" s="110">
        <f t="shared" si="126"/>
        <v>0.3899093151471909</v>
      </c>
      <c r="H322" s="412" t="b">
        <f>Wh_hp&gt;='2022'!Maxi_hp</f>
        <v>0</v>
      </c>
      <c r="I322" s="379">
        <f>IF(H322,Wh_hp,'2022'!Maxi_hp)</f>
        <v>18.973893501694523</v>
      </c>
      <c r="J322" s="85">
        <f>IF(H322,An,'2022'!An_max)</f>
        <v>2018</v>
      </c>
      <c r="K322" s="197">
        <f t="shared" si="104"/>
        <v>45234</v>
      </c>
      <c r="L322" s="147">
        <f>IF(t&lt;Tvie,1-EXP((T0-t)*PertePVj)+'2022'!Pspv,1-EXP((T0-t)*PertePVj)+Pspv)</f>
        <v>3.3149267375343405E-2</v>
      </c>
      <c r="M322" s="832"/>
      <c r="N322" s="832"/>
      <c r="O322" s="48">
        <f>IF(t&lt;Tnet,'2022'!Resal+('2022'!Salim-'2022'!Resal)*(1-EXP(('2022'!Tnet-t)/('2022'!Tau_j))),Resal+(Salim-Resal)*(1-EXP((Tnet-t)/(Tau_j))))*Salcycl</f>
        <v>2.5279109350840882E-2</v>
      </c>
      <c r="P322" s="338">
        <f>(INDEX(Models!$BJ322:$BT322,,T322)*(1-R322)+INDEX(Models!$BJ322:$BT322,,T322+1)*R322-ERP_i)*Q322*Ramure*Pc/MaxiM</f>
        <v>3.0845961389658484E-2</v>
      </c>
      <c r="Q322" s="304">
        <f t="shared" si="105"/>
        <v>0.7</v>
      </c>
      <c r="R322" s="177">
        <f t="shared" si="106"/>
        <v>0.73378623750261396</v>
      </c>
      <c r="S322" s="799">
        <f t="shared" si="107"/>
        <v>0</v>
      </c>
      <c r="T322" s="176">
        <f t="shared" si="108"/>
        <v>6</v>
      </c>
      <c r="U322" s="250">
        <f t="shared" si="109"/>
        <v>0.73378623750261396</v>
      </c>
      <c r="V322" s="382">
        <f t="shared" si="110"/>
        <v>32.083720750248013</v>
      </c>
      <c r="W322" s="400">
        <f t="shared" si="111"/>
        <v>12.850713236421281</v>
      </c>
      <c r="X322" s="157">
        <f t="shared" si="112"/>
        <v>45234</v>
      </c>
      <c r="Y322" s="383">
        <f t="shared" si="113"/>
        <v>12.656623648024938</v>
      </c>
      <c r="Z322" s="383">
        <f t="shared" si="114"/>
        <v>13.090566331440529</v>
      </c>
      <c r="AA322" s="384">
        <f t="shared" si="115"/>
        <v>13.633626012362461</v>
      </c>
      <c r="AB322" s="197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3.9832373312096513E-2</v>
      </c>
      <c r="AD322" s="230">
        <f>(INDEX(Models!$BJ322:$BT322,,AH322)*(1-AF322)+INDEX(Models!$BJ322:$BT322,,AH322+1)*AF322-ERP_i)*AE322*Ramure*Pc/MaxiM</f>
        <v>3.2061301392278259E-2</v>
      </c>
      <c r="AE322" s="304">
        <f t="shared" si="117"/>
        <v>0.7</v>
      </c>
      <c r="AF322" s="177">
        <f t="shared" si="118"/>
        <v>0.79811845976244611</v>
      </c>
      <c r="AG322" s="799">
        <f t="shared" si="124"/>
        <v>0</v>
      </c>
      <c r="AH322" s="176">
        <f t="shared" si="119"/>
        <v>6</v>
      </c>
      <c r="AI322" s="224">
        <f t="shared" si="120"/>
        <v>0.79811845976244611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45235</v>
      </c>
      <c r="B323" s="409">
        <f>'2022'!Wh/'2022'!Env_an*'2023'!Env_an</f>
        <v>31.149524041377383</v>
      </c>
      <c r="C323" s="829"/>
      <c r="D323" s="391">
        <f t="shared" si="102"/>
        <v>32.218128378285286</v>
      </c>
      <c r="E323" s="383">
        <f t="shared" si="125"/>
        <v>33.05601243328001</v>
      </c>
      <c r="F323" s="383">
        <f t="shared" si="103"/>
        <v>34.074922765107694</v>
      </c>
      <c r="G323" s="110">
        <f t="shared" si="126"/>
        <v>0.97752575735942815</v>
      </c>
      <c r="H323" s="412" t="b">
        <f>Wh_hp&gt;='2022'!Maxi_hp</f>
        <v>0</v>
      </c>
      <c r="I323" s="379">
        <f>IF(H323,Wh_hp,'2022'!Maxi_hp)</f>
        <v>34.083177611383562</v>
      </c>
      <c r="J323" s="85">
        <f>IF(H323,An,'2022'!An_max)</f>
        <v>2022</v>
      </c>
      <c r="K323" s="197">
        <f t="shared" si="104"/>
        <v>45235</v>
      </c>
      <c r="L323" s="147">
        <f>IF(t&lt;Tvie,1-EXP((T0-t)*PertePVj)+'2022'!Pspv,1-EXP((T0-t)*PertePVj)+Pspv)</f>
        <v>3.3167796849060127E-2</v>
      </c>
      <c r="M323" s="832"/>
      <c r="N323" s="832"/>
      <c r="O323" s="48">
        <f>IF(t&lt;Tnet,'2022'!Resal+('2022'!Salim-'2022'!Resal)*(1-EXP(('2022'!Tnet-t)/('2022'!Tau_j))),Resal+(Salim-Resal)*(1-EXP((Tnet-t)/(Tau_j))))*Salcycl</f>
        <v>2.5347402584806673E-2</v>
      </c>
      <c r="P323" s="338">
        <f>(INDEX(Models!$BJ323:$BT323,,T323)*(1-R323)+INDEX(Models!$BJ323:$BT323,,T323+1)*R323-ERP_i)*Q323*Ramure*Pc/MaxiM</f>
        <v>3.0850386903457552E-2</v>
      </c>
      <c r="Q323" s="304">
        <f t="shared" si="105"/>
        <v>0.7</v>
      </c>
      <c r="R323" s="177">
        <f t="shared" si="106"/>
        <v>0.73382443861492552</v>
      </c>
      <c r="S323" s="799">
        <f t="shared" si="107"/>
        <v>0</v>
      </c>
      <c r="T323" s="176">
        <f t="shared" si="108"/>
        <v>6</v>
      </c>
      <c r="U323" s="250">
        <f t="shared" si="109"/>
        <v>0.73382443861492552</v>
      </c>
      <c r="V323" s="382">
        <f t="shared" si="110"/>
        <v>31.834530490641818</v>
      </c>
      <c r="W323" s="400">
        <f t="shared" si="111"/>
        <v>31.149524041377383</v>
      </c>
      <c r="X323" s="157">
        <f t="shared" si="112"/>
        <v>45235</v>
      </c>
      <c r="Y323" s="383">
        <f t="shared" si="113"/>
        <v>30.64847285021397</v>
      </c>
      <c r="Z323" s="383">
        <f t="shared" si="114"/>
        <v>31.699888305674477</v>
      </c>
      <c r="AA323" s="384">
        <f t="shared" si="115"/>
        <v>33.016361504268311</v>
      </c>
      <c r="AB323" s="197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3.987335789328697E-2</v>
      </c>
      <c r="AD323" s="230">
        <f>(INDEX(Models!$BJ323:$BT323,,AH323)*(1-AF323)+INDEX(Models!$BJ323:$BT323,,AH323+1)*AF323-ERP_i)*AE323*Ramure*Pc/MaxiM</f>
        <v>3.2050930722556999E-2</v>
      </c>
      <c r="AE323" s="304">
        <f t="shared" si="117"/>
        <v>0.7</v>
      </c>
      <c r="AF323" s="177">
        <f t="shared" si="118"/>
        <v>0.79815666087475767</v>
      </c>
      <c r="AG323" s="799">
        <f t="shared" si="124"/>
        <v>0</v>
      </c>
      <c r="AH323" s="176">
        <f t="shared" si="119"/>
        <v>6</v>
      </c>
      <c r="AI323" s="224">
        <f t="shared" si="120"/>
        <v>0.79815666087475767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45236</v>
      </c>
      <c r="B324" s="409">
        <f>'2022'!Wh/'2022'!Env_an*'2023'!Env_an</f>
        <v>32.230855935957379</v>
      </c>
      <c r="C324" s="829"/>
      <c r="D324" s="391">
        <f t="shared" si="102"/>
        <v>33.337194954567195</v>
      </c>
      <c r="E324" s="383">
        <f t="shared" si="125"/>
        <v>34.20657448530774</v>
      </c>
      <c r="F324" s="383">
        <f t="shared" si="103"/>
        <v>35.292571273233243</v>
      </c>
      <c r="G324" s="110">
        <f t="shared" si="126"/>
        <v>1.0203101945035624</v>
      </c>
      <c r="H324" s="412" t="b">
        <f>Wh_hp&gt;='2022'!Maxi_hp</f>
        <v>1</v>
      </c>
      <c r="I324" s="379">
        <f>IF(H324,Wh_hp,'2022'!Maxi_hp)</f>
        <v>35.292571273233243</v>
      </c>
      <c r="J324" s="85">
        <f>IF(H324,An,'2022'!An_max)</f>
        <v>2023</v>
      </c>
      <c r="K324" s="197">
        <f t="shared" si="104"/>
        <v>45236</v>
      </c>
      <c r="L324" s="147">
        <f>IF(t&lt;Tvie,1-EXP((T0-t)*PertePVj)+'2022'!Pspv,1-EXP((T0-t)*PertePVj)+Pspv)</f>
        <v>3.3186325967663577E-2</v>
      </c>
      <c r="M324" s="832"/>
      <c r="N324" s="832"/>
      <c r="O324" s="48">
        <f>IF(t&lt;Tnet,'2022'!Resal+('2022'!Salim-'2022'!Resal)*(1-EXP(('2022'!Tnet-t)/('2022'!Tau_j))),Resal+(Salim-Resal)*(1-EXP((Tnet-t)/(Tau_j))))*Salcycl</f>
        <v>2.5415568317545378E-2</v>
      </c>
      <c r="P324" s="338">
        <f>(INDEX(Models!$BJ324:$BT324,,T324)*(1-R324)+INDEX(Models!$BJ324:$BT324,,T324+1)*R324-ERP_i)*Q324*Ramure*Pc/MaxiM</f>
        <v>3.07712572007795E-2</v>
      </c>
      <c r="Q324" s="304">
        <f t="shared" si="105"/>
        <v>0.7</v>
      </c>
      <c r="R324" s="177">
        <f t="shared" si="106"/>
        <v>0.73386110850650077</v>
      </c>
      <c r="S324" s="799">
        <f t="shared" si="107"/>
        <v>0</v>
      </c>
      <c r="T324" s="176">
        <f t="shared" si="108"/>
        <v>6</v>
      </c>
      <c r="U324" s="250">
        <f t="shared" si="109"/>
        <v>0.73386110850650077</v>
      </c>
      <c r="V324" s="382">
        <f t="shared" si="110"/>
        <v>31.589271683832855</v>
      </c>
      <c r="W324" s="400">
        <f t="shared" si="111"/>
        <v>32.230855935957379</v>
      </c>
      <c r="X324" s="157">
        <f t="shared" si="112"/>
        <v>45236</v>
      </c>
      <c r="Y324" s="383">
        <f t="shared" si="113"/>
        <v>31.712576157002236</v>
      </c>
      <c r="Z324" s="383">
        <f t="shared" si="114"/>
        <v>32.80112498278708</v>
      </c>
      <c r="AA324" s="384">
        <f t="shared" si="115"/>
        <v>34.164789069038427</v>
      </c>
      <c r="AB324" s="197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3.99143130518302E-2</v>
      </c>
      <c r="AD324" s="230">
        <f>(INDEX(Models!$BJ324:$BT324,,AH324)*(1-AF324)+INDEX(Models!$BJ324:$BT324,,AH324+1)*AF324-ERP_i)*AE324*Ramure*Pc/MaxiM</f>
        <v>3.1955229202870555E-2</v>
      </c>
      <c r="AE324" s="304">
        <f t="shared" si="117"/>
        <v>0.7</v>
      </c>
      <c r="AF324" s="177">
        <f t="shared" si="118"/>
        <v>0.79819333076633292</v>
      </c>
      <c r="AG324" s="799">
        <f t="shared" si="124"/>
        <v>0</v>
      </c>
      <c r="AH324" s="176">
        <f t="shared" si="119"/>
        <v>6</v>
      </c>
      <c r="AI324" s="224">
        <f t="shared" si="120"/>
        <v>0.79819333076633292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45237</v>
      </c>
      <c r="B325" s="409">
        <f>'2022'!Wh/'2022'!Env_an*'2023'!Env_an</f>
        <v>32.33865833680229</v>
      </c>
      <c r="C325" s="829"/>
      <c r="D325" s="391">
        <f t="shared" si="102"/>
        <v>33.449338771565507</v>
      </c>
      <c r="E325" s="383">
        <f t="shared" si="125"/>
        <v>34.324040053360356</v>
      </c>
      <c r="F325" s="383">
        <f t="shared" si="103"/>
        <v>35.409981593380145</v>
      </c>
      <c r="G325" s="110">
        <f t="shared" si="126"/>
        <v>1.0316720956581411</v>
      </c>
      <c r="H325" s="412" t="b">
        <f>Wh_hp&gt;='2022'!Maxi_hp</f>
        <v>0</v>
      </c>
      <c r="I325" s="379">
        <f>IF(H325,Wh_hp,'2022'!Maxi_hp)</f>
        <v>35.409981593380152</v>
      </c>
      <c r="J325" s="85">
        <f>IF(H325,An,'2022'!An_max)</f>
        <v>2022</v>
      </c>
      <c r="K325" s="197">
        <f t="shared" si="104"/>
        <v>45237</v>
      </c>
      <c r="L325" s="147">
        <f>IF(t&lt;Tvie,1-EXP((T0-t)*PertePVj)+'2022'!Pspv,1-EXP((T0-t)*PertePVj)+Pspv)</f>
        <v>3.3204854731160749E-2</v>
      </c>
      <c r="M325" s="832"/>
      <c r="N325" s="832"/>
      <c r="O325" s="48">
        <f>IF(t&lt;Tnet,'2022'!Resal+('2022'!Salim-'2022'!Resal)*(1-EXP(('2022'!Tnet-t)/('2022'!Tau_j))),Resal+(Salim-Resal)*(1-EXP((Tnet-t)/(Tau_j))))*Salcycl</f>
        <v>2.548363422356555E-2</v>
      </c>
      <c r="P325" s="338">
        <f>(INDEX(Models!$BJ325:$BT325,,T325)*(1-R325)+INDEX(Models!$BJ325:$BT325,,T325+1)*R325-ERP_i)*Q325*Ramure*Pc/MaxiM</f>
        <v>3.0667667452919677E-2</v>
      </c>
      <c r="Q325" s="304">
        <f t="shared" si="105"/>
        <v>0.7</v>
      </c>
      <c r="R325" s="177">
        <f t="shared" si="106"/>
        <v>0.73389630828863772</v>
      </c>
      <c r="S325" s="799">
        <f t="shared" si="107"/>
        <v>0</v>
      </c>
      <c r="T325" s="176">
        <f t="shared" si="108"/>
        <v>6</v>
      </c>
      <c r="U325" s="250">
        <f t="shared" si="109"/>
        <v>0.73389630828863772</v>
      </c>
      <c r="V325" s="382">
        <f t="shared" si="110"/>
        <v>31.345868976103581</v>
      </c>
      <c r="W325" s="400">
        <f t="shared" si="111"/>
        <v>32.33865833680229</v>
      </c>
      <c r="X325" s="157">
        <f t="shared" si="112"/>
        <v>45237</v>
      </c>
      <c r="Y325" s="383">
        <f t="shared" si="113"/>
        <v>31.820032701829163</v>
      </c>
      <c r="Z325" s="383">
        <f t="shared" si="114"/>
        <v>32.912900791388317</v>
      </c>
      <c r="AA325" s="384">
        <f t="shared" si="115"/>
        <v>34.282674698886183</v>
      </c>
      <c r="AB325" s="197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3.9955281188791471E-2</v>
      </c>
      <c r="AD325" s="230">
        <f>(INDEX(Models!$BJ325:$BT325,,AH325)*(1-AF325)+INDEX(Models!$BJ325:$BT325,,AH325+1)*AF325-ERP_i)*AE325*Ramure*Pc/MaxiM</f>
        <v>3.1835850903258051E-2</v>
      </c>
      <c r="AE325" s="304">
        <f t="shared" si="117"/>
        <v>0.7</v>
      </c>
      <c r="AF325" s="177">
        <f t="shared" si="118"/>
        <v>0.79822853054846987</v>
      </c>
      <c r="AG325" s="799">
        <f t="shared" si="124"/>
        <v>0</v>
      </c>
      <c r="AH325" s="176">
        <f t="shared" si="119"/>
        <v>6</v>
      </c>
      <c r="AI325" s="224">
        <f t="shared" si="120"/>
        <v>0.79822853054846987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45238</v>
      </c>
      <c r="B326" s="409">
        <f>'2022'!Wh/'2022'!Env_an*'2023'!Env_an</f>
        <v>20.939130602075629</v>
      </c>
      <c r="C326" s="829"/>
      <c r="D326" s="391">
        <f t="shared" si="102"/>
        <v>21.65870609290738</v>
      </c>
      <c r="E326" s="383">
        <f t="shared" si="125"/>
        <v>22.22663274553495</v>
      </c>
      <c r="F326" s="383">
        <f t="shared" si="103"/>
        <v>22.594507150979091</v>
      </c>
      <c r="G326" s="110">
        <f t="shared" si="126"/>
        <v>0.66343568154939569</v>
      </c>
      <c r="H326" s="412" t="b">
        <f>Wh_hp&gt;='2022'!Maxi_hp</f>
        <v>0</v>
      </c>
      <c r="I326" s="379">
        <f>IF(H326,Wh_hp,'2022'!Maxi_hp)</f>
        <v>29.721733914268235</v>
      </c>
      <c r="J326" s="85">
        <f>IF(H326,An,'2022'!An_max)</f>
        <v>2021</v>
      </c>
      <c r="K326" s="197">
        <f t="shared" si="104"/>
        <v>45238</v>
      </c>
      <c r="L326" s="147">
        <f>IF(t&lt;Tvie,1-EXP((T0-t)*PertePVj)+'2022'!Pspv,1-EXP((T0-t)*PertePVj)+Pspv)</f>
        <v>3.3223383139558416E-2</v>
      </c>
      <c r="M326" s="832"/>
      <c r="N326" s="832"/>
      <c r="O326" s="48">
        <f>IF(t&lt;Tnet,'2022'!Resal+('2022'!Salim-'2022'!Resal)*(1-EXP(('2022'!Tnet-t)/('2022'!Tau_j))),Resal+(Salim-Resal)*(1-EXP((Tnet-t)/(Tau_j))))*Salcycl</f>
        <v>2.5551628045937809E-2</v>
      </c>
      <c r="P326" s="338">
        <f>(INDEX(Models!$BJ326:$BT326,,T326)*(1-R326)+INDEX(Models!$BJ326:$BT326,,T326+1)*R326-ERP_i)*Q326*Ramure*Pc/MaxiM</f>
        <v>3.0539465406915149E-2</v>
      </c>
      <c r="Q326" s="304">
        <f t="shared" si="105"/>
        <v>0.7</v>
      </c>
      <c r="R326" s="177">
        <f t="shared" si="106"/>
        <v>0.73393009665453057</v>
      </c>
      <c r="S326" s="799">
        <f t="shared" si="107"/>
        <v>0</v>
      </c>
      <c r="T326" s="176">
        <f t="shared" si="108"/>
        <v>6</v>
      </c>
      <c r="U326" s="250">
        <f t="shared" si="109"/>
        <v>0.73393009665453057</v>
      </c>
      <c r="V326" s="382">
        <f t="shared" si="110"/>
        <v>31.104208427774033</v>
      </c>
      <c r="W326" s="400">
        <f t="shared" si="111"/>
        <v>20.939130602075629</v>
      </c>
      <c r="X326" s="157">
        <f t="shared" si="112"/>
        <v>45238</v>
      </c>
      <c r="Y326" s="383">
        <f t="shared" si="113"/>
        <v>20.615848053906539</v>
      </c>
      <c r="Z326" s="383">
        <f t="shared" si="114"/>
        <v>21.324313904959212</v>
      </c>
      <c r="AA326" s="384">
        <f t="shared" si="115"/>
        <v>22.212741477859673</v>
      </c>
      <c r="AB326" s="197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3.9996304543767937E-2</v>
      </c>
      <c r="AD326" s="230">
        <f>(INDEX(Models!$BJ326:$BT326,,AH326)*(1-AF326)+INDEX(Models!$BJ326:$BT326,,AH326+1)*AF326-ERP_i)*AE326*Ramure*Pc/MaxiM</f>
        <v>3.1692663026399261E-2</v>
      </c>
      <c r="AE326" s="304">
        <f t="shared" si="117"/>
        <v>0.7</v>
      </c>
      <c r="AF326" s="177">
        <f t="shared" si="118"/>
        <v>0.79826231891436272</v>
      </c>
      <c r="AG326" s="799">
        <f t="shared" si="124"/>
        <v>0</v>
      </c>
      <c r="AH326" s="176">
        <f t="shared" si="119"/>
        <v>6</v>
      </c>
      <c r="AI326" s="224">
        <f t="shared" si="120"/>
        <v>0.79826231891436272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45239</v>
      </c>
      <c r="B327" s="409">
        <f>'2022'!Wh/'2022'!Env_an*'2023'!Env_an</f>
        <v>12.41309541538833</v>
      </c>
      <c r="C327" s="829"/>
      <c r="D327" s="391">
        <f t="shared" si="102"/>
        <v>12.839918857782301</v>
      </c>
      <c r="E327" s="383">
        <f t="shared" si="125"/>
        <v>13.177521387826538</v>
      </c>
      <c r="F327" s="383">
        <f t="shared" si="103"/>
        <v>13.23623411006073</v>
      </c>
      <c r="G327" s="110">
        <f t="shared" si="126"/>
        <v>0.39170108048581448</v>
      </c>
      <c r="H327" s="412" t="b">
        <f>Wh_hp&gt;='2022'!Maxi_hp</f>
        <v>0</v>
      </c>
      <c r="I327" s="379">
        <f>IF(H327,Wh_hp,'2022'!Maxi_hp)</f>
        <v>28.934926580180637</v>
      </c>
      <c r="J327" s="85">
        <f>IF(H327,An,'2022'!An_max)</f>
        <v>2020</v>
      </c>
      <c r="K327" s="197">
        <f t="shared" si="104"/>
        <v>45239</v>
      </c>
      <c r="L327" s="147">
        <f>IF(t&lt;Tvie,1-EXP((T0-t)*PertePVj)+'2022'!Pspv,1-EXP((T0-t)*PertePVj)+Pspv)</f>
        <v>3.3241911192863349E-2</v>
      </c>
      <c r="M327" s="832"/>
      <c r="N327" s="832"/>
      <c r="O327" s="48">
        <f>IF(t&lt;Tnet,'2022'!Resal+('2022'!Salim-'2022'!Resal)*(1-EXP(('2022'!Tnet-t)/('2022'!Tau_j))),Resal+(Salim-Resal)*(1-EXP((Tnet-t)/(Tau_j))))*Salcycl</f>
        <v>2.5619577468955268E-2</v>
      </c>
      <c r="P327" s="338">
        <f>(INDEX(Models!$BJ327:$BT327,,T327)*(1-R327)+INDEX(Models!$BJ327:$BT327,,T327+1)*R327-ERP_i)*Q327*Ramure*Pc/MaxiM</f>
        <v>3.038648824715973E-2</v>
      </c>
      <c r="Q327" s="304">
        <f t="shared" si="105"/>
        <v>0.7</v>
      </c>
      <c r="R327" s="177">
        <f t="shared" si="106"/>
        <v>0.73396252997330613</v>
      </c>
      <c r="S327" s="799">
        <f t="shared" si="107"/>
        <v>0</v>
      </c>
      <c r="T327" s="176">
        <f t="shared" si="108"/>
        <v>6</v>
      </c>
      <c r="U327" s="250">
        <f t="shared" si="109"/>
        <v>0.73396252997330613</v>
      </c>
      <c r="V327" s="382">
        <f t="shared" si="110"/>
        <v>30.864176450941734</v>
      </c>
      <c r="W327" s="400">
        <f t="shared" si="111"/>
        <v>12.41309541538833</v>
      </c>
      <c r="X327" s="157">
        <f t="shared" si="112"/>
        <v>45239</v>
      </c>
      <c r="Y327" s="383">
        <f t="shared" si="113"/>
        <v>12.227377108992679</v>
      </c>
      <c r="Z327" s="383">
        <f t="shared" si="114"/>
        <v>12.647814640040709</v>
      </c>
      <c r="AA327" s="384">
        <f t="shared" si="115"/>
        <v>13.175320548349971</v>
      </c>
      <c r="AB327" s="197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4.0037425000283955E-2</v>
      </c>
      <c r="AD327" s="230">
        <f>(INDEX(Models!$BJ327:$BT327,,AH327)*(1-AF327)+INDEX(Models!$BJ327:$BT327,,AH327+1)*AF327-ERP_i)*AE327*Ramure*Pc/MaxiM</f>
        <v>3.1525522179563968E-2</v>
      </c>
      <c r="AE327" s="304">
        <f t="shared" si="117"/>
        <v>0.7</v>
      </c>
      <c r="AF327" s="177">
        <f t="shared" si="118"/>
        <v>0.79829475223313828</v>
      </c>
      <c r="AG327" s="799">
        <f t="shared" si="124"/>
        <v>0</v>
      </c>
      <c r="AH327" s="176">
        <f t="shared" si="119"/>
        <v>6</v>
      </c>
      <c r="AI327" s="224">
        <f t="shared" si="120"/>
        <v>0.79829475223313828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45240</v>
      </c>
      <c r="B328" s="409">
        <f>'2022'!Wh/'2022'!Env_an*'2023'!Env_an</f>
        <v>21.671796363738718</v>
      </c>
      <c r="C328" s="829"/>
      <c r="D328" s="391">
        <f t="shared" si="102"/>
        <v>22.417409233650954</v>
      </c>
      <c r="E328" s="383">
        <f t="shared" si="125"/>
        <v>23.008438733471635</v>
      </c>
      <c r="F328" s="383">
        <f t="shared" si="103"/>
        <v>23.420440201987251</v>
      </c>
      <c r="G328" s="110">
        <f t="shared" si="126"/>
        <v>0.69854712009322451</v>
      </c>
      <c r="H328" s="412" t="b">
        <f>Wh_hp&gt;='2022'!Maxi_hp</f>
        <v>0</v>
      </c>
      <c r="I328" s="379">
        <f>IF(H328,Wh_hp,'2022'!Maxi_hp)</f>
        <v>23.492007073605752</v>
      </c>
      <c r="J328" s="85">
        <f>IF(H328,An,'2022'!An_max)</f>
        <v>2022</v>
      </c>
      <c r="K328" s="197">
        <f t="shared" si="104"/>
        <v>45240</v>
      </c>
      <c r="L328" s="147">
        <f>IF(t&lt;Tvie,1-EXP((T0-t)*PertePVj)+'2022'!Pspv,1-EXP((T0-t)*PertePVj)+Pspv)</f>
        <v>3.3260438891082433E-2</v>
      </c>
      <c r="M328" s="832"/>
      <c r="N328" s="832"/>
      <c r="O328" s="48">
        <f>IF(t&lt;Tnet,'2022'!Resal+('2022'!Salim-'2022'!Resal)*(1-EXP(('2022'!Tnet-t)/('2022'!Tau_j))),Resal+(Salim-Resal)*(1-EXP((Tnet-t)/(Tau_j))))*Salcycl</f>
        <v>2.5687509990014127E-2</v>
      </c>
      <c r="P328" s="338">
        <f>(INDEX(Models!$BJ328:$BT328,,T328)*(1-R328)+INDEX(Models!$BJ328:$BT328,,T328+1)*R328-ERP_i)*Q328*Ramure*Pc/MaxiM</f>
        <v>3.0208559882436328E-2</v>
      </c>
      <c r="Q328" s="304">
        <f t="shared" si="105"/>
        <v>0.7</v>
      </c>
      <c r="R328" s="177">
        <f t="shared" si="106"/>
        <v>0.73399366238053432</v>
      </c>
      <c r="S328" s="799">
        <f t="shared" si="107"/>
        <v>0</v>
      </c>
      <c r="T328" s="176">
        <f t="shared" si="108"/>
        <v>6</v>
      </c>
      <c r="U328" s="250">
        <f t="shared" si="109"/>
        <v>0.73399366238053432</v>
      </c>
      <c r="V328" s="382">
        <f t="shared" si="110"/>
        <v>30.62565986168644</v>
      </c>
      <c r="W328" s="400">
        <f t="shared" si="111"/>
        <v>21.671796363738718</v>
      </c>
      <c r="X328" s="157">
        <f t="shared" si="112"/>
        <v>45240</v>
      </c>
      <c r="Y328" s="383">
        <f t="shared" si="113"/>
        <v>21.337443485797664</v>
      </c>
      <c r="Z328" s="383">
        <f t="shared" si="114"/>
        <v>22.071553026465711</v>
      </c>
      <c r="AA328" s="384">
        <f t="shared" si="115"/>
        <v>22.993085637425118</v>
      </c>
      <c r="AB328" s="197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4.0078683891798084E-2</v>
      </c>
      <c r="AD328" s="230">
        <f>(INDEX(Models!$BJ328:$BT328,,AH328)*(1-AF328)+INDEX(Models!$BJ328:$BT328,,AH328+1)*AF328-ERP_i)*AE328*Ramure*Pc/MaxiM</f>
        <v>3.1334271698399203E-2</v>
      </c>
      <c r="AE328" s="304">
        <f t="shared" si="117"/>
        <v>0.7</v>
      </c>
      <c r="AF328" s="177">
        <f t="shared" si="118"/>
        <v>0.79832588464036647</v>
      </c>
      <c r="AG328" s="799">
        <f t="shared" si="124"/>
        <v>0</v>
      </c>
      <c r="AH328" s="176">
        <f t="shared" si="119"/>
        <v>6</v>
      </c>
      <c r="AI328" s="224">
        <f t="shared" si="120"/>
        <v>0.79832588464036647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45241</v>
      </c>
      <c r="B329" s="409">
        <f>'2022'!Wh/'2022'!Env_an*'2023'!Env_an</f>
        <v>29.414006138834807</v>
      </c>
      <c r="C329" s="829"/>
      <c r="D329" s="391">
        <f t="shared" si="102"/>
        <v>30.426570966657366</v>
      </c>
      <c r="E329" s="383">
        <f t="shared" si="125"/>
        <v>31.230937913732436</v>
      </c>
      <c r="F329" s="383">
        <f t="shared" si="103"/>
        <v>32.151461177797479</v>
      </c>
      <c r="G329" s="110">
        <f t="shared" si="126"/>
        <v>0.96656090245787529</v>
      </c>
      <c r="H329" s="412" t="b">
        <f>Wh_hp&gt;='2022'!Maxi_hp</f>
        <v>0</v>
      </c>
      <c r="I329" s="379">
        <f>IF(H329,Wh_hp,'2022'!Maxi_hp)</f>
        <v>32.162208991726168</v>
      </c>
      <c r="J329" s="85">
        <f>IF(H329,An,'2022'!An_max)</f>
        <v>2022</v>
      </c>
      <c r="K329" s="197">
        <f t="shared" si="104"/>
        <v>45241</v>
      </c>
      <c r="L329" s="147">
        <f>IF(t&lt;Tvie,1-EXP((T0-t)*PertePVj)+'2022'!Pspv,1-EXP((T0-t)*PertePVj)+Pspv)</f>
        <v>3.3278966234222329E-2</v>
      </c>
      <c r="M329" s="832"/>
      <c r="N329" s="832"/>
      <c r="O329" s="48">
        <f>IF(t&lt;Tnet,'2022'!Resal+('2022'!Salim-'2022'!Resal)*(1-EXP(('2022'!Tnet-t)/('2022'!Tau_j))),Resal+(Salim-Resal)*(1-EXP((Tnet-t)/(Tau_j))))*Salcycl</f>
        <v>2.575545279161744E-2</v>
      </c>
      <c r="P329" s="338">
        <f>(INDEX(Models!$BJ329:$BT329,,T329)*(1-R329)+INDEX(Models!$BJ329:$BT329,,T329+1)*R329-ERP_i)*Q329*Ramure*Pc/MaxiM</f>
        <v>3.000548817506199E-2</v>
      </c>
      <c r="Q329" s="304">
        <f t="shared" si="105"/>
        <v>0.7</v>
      </c>
      <c r="R329" s="177">
        <f t="shared" si="106"/>
        <v>0.73402354586533192</v>
      </c>
      <c r="S329" s="799">
        <f t="shared" si="107"/>
        <v>0</v>
      </c>
      <c r="T329" s="176">
        <f t="shared" si="108"/>
        <v>6</v>
      </c>
      <c r="U329" s="250">
        <f t="shared" si="109"/>
        <v>0.73402354586533192</v>
      </c>
      <c r="V329" s="382">
        <f t="shared" si="110"/>
        <v>30.388545929949352</v>
      </c>
      <c r="W329" s="400">
        <f t="shared" si="111"/>
        <v>29.414006138834807</v>
      </c>
      <c r="X329" s="157">
        <f t="shared" si="112"/>
        <v>45241</v>
      </c>
      <c r="Y329" s="383">
        <f t="shared" si="113"/>
        <v>28.948622062123949</v>
      </c>
      <c r="Z329" s="383">
        <f t="shared" si="114"/>
        <v>29.945166238244667</v>
      </c>
      <c r="AA329" s="384">
        <f t="shared" si="115"/>
        <v>31.196785054710428</v>
      </c>
      <c r="AB329" s="197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4.01201218096921E-2</v>
      </c>
      <c r="AD329" s="230">
        <f>(INDEX(Models!$BJ329:$BT329,,AH329)*(1-AF329)+INDEX(Models!$BJ329:$BT329,,AH329+1)*AF329-ERP_i)*AE329*Ramure*Pc/MaxiM</f>
        <v>3.1118738917910255E-2</v>
      </c>
      <c r="AE329" s="304">
        <f t="shared" si="117"/>
        <v>0.7</v>
      </c>
      <c r="AF329" s="177">
        <f t="shared" si="118"/>
        <v>0.79835576812516407</v>
      </c>
      <c r="AG329" s="799">
        <f t="shared" si="124"/>
        <v>0</v>
      </c>
      <c r="AH329" s="176">
        <f t="shared" si="119"/>
        <v>6</v>
      </c>
      <c r="AI329" s="224">
        <f t="shared" si="120"/>
        <v>0.79835576812516407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45242</v>
      </c>
      <c r="B330" s="409">
        <f>'2022'!Wh/'2022'!Env_an*'2023'!Env_an</f>
        <v>29.176730567389498</v>
      </c>
      <c r="C330" s="829"/>
      <c r="D330" s="391">
        <f t="shared" si="102"/>
        <v>30.181705708660779</v>
      </c>
      <c r="E330" s="383">
        <f t="shared" si="125"/>
        <v>30.98176112946328</v>
      </c>
      <c r="F330" s="383">
        <f t="shared" si="103"/>
        <v>31.887367425839113</v>
      </c>
      <c r="G330" s="110">
        <f t="shared" si="126"/>
        <v>0.96626043688978469</v>
      </c>
      <c r="H330" s="412" t="b">
        <f>Wh_hp&gt;='2022'!Maxi_hp</f>
        <v>0</v>
      </c>
      <c r="I330" s="379">
        <f>IF(H330,Wh_hp,'2022'!Maxi_hp)</f>
        <v>33.228636444643307</v>
      </c>
      <c r="J330" s="85">
        <f>IF(H330,An,'2022'!An_max)</f>
        <v>2020</v>
      </c>
      <c r="K330" s="197">
        <f t="shared" si="104"/>
        <v>45242</v>
      </c>
      <c r="L330" s="147">
        <f>IF(t&lt;Tvie,1-EXP((T0-t)*PertePVj)+'2022'!Pspv,1-EXP((T0-t)*PertePVj)+Pspv)</f>
        <v>3.329749322228992E-2</v>
      </c>
      <c r="M330" s="832"/>
      <c r="N330" s="832"/>
      <c r="O330" s="48">
        <f>IF(t&lt;Tnet,'2022'!Resal+('2022'!Salim-'2022'!Resal)*(1-EXP(('2022'!Tnet-t)/('2022'!Tau_j))),Resal+(Salim-Resal)*(1-EXP((Tnet-t)/(Tau_j))))*Salcycl</f>
        <v>2.5823432614411904E-2</v>
      </c>
      <c r="P330" s="338">
        <f>(INDEX(Models!$BJ330:$BT330,,T330)*(1-R330)+INDEX(Models!$BJ330:$BT330,,T330+1)*R330-ERP_i)*Q330*Ramure*Pc/MaxiM</f>
        <v>2.9777062127304903E-2</v>
      </c>
      <c r="Q330" s="304">
        <f t="shared" si="105"/>
        <v>0.7</v>
      </c>
      <c r="R330" s="177">
        <f t="shared" si="106"/>
        <v>0.73405223035418254</v>
      </c>
      <c r="S330" s="799">
        <f t="shared" si="107"/>
        <v>0</v>
      </c>
      <c r="T330" s="176">
        <f t="shared" si="108"/>
        <v>6</v>
      </c>
      <c r="U330" s="250">
        <f t="shared" si="109"/>
        <v>0.73405223035418254</v>
      </c>
      <c r="V330" s="382">
        <f t="shared" si="110"/>
        <v>30.152722424359926</v>
      </c>
      <c r="W330" s="400">
        <f t="shared" si="111"/>
        <v>29.176730567389498</v>
      </c>
      <c r="X330" s="157">
        <f t="shared" si="112"/>
        <v>45242</v>
      </c>
      <c r="Y330" s="383">
        <f t="shared" si="113"/>
        <v>28.716206491108963</v>
      </c>
      <c r="Z330" s="383">
        <f t="shared" si="114"/>
        <v>29.705319154315752</v>
      </c>
      <c r="AA330" s="384">
        <f t="shared" si="115"/>
        <v>30.948256160554426</v>
      </c>
      <c r="AB330" s="197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4.016177841460665E-2</v>
      </c>
      <c r="AD330" s="230">
        <f>(INDEX(Models!$BJ330:$BT330,,AH330)*(1-AF330)+INDEX(Models!$BJ330:$BT330,,AH330+1)*AF330-ERP_i)*AE330*Ramure*Pc/MaxiM</f>
        <v>3.0878732405840915E-2</v>
      </c>
      <c r="AE330" s="304">
        <f t="shared" si="117"/>
        <v>0.7</v>
      </c>
      <c r="AF330" s="177">
        <f t="shared" si="118"/>
        <v>0.79838445261401469</v>
      </c>
      <c r="AG330" s="799">
        <f t="shared" si="124"/>
        <v>0</v>
      </c>
      <c r="AH330" s="176">
        <f t="shared" si="119"/>
        <v>6</v>
      </c>
      <c r="AI330" s="224">
        <f t="shared" si="120"/>
        <v>0.79838445261401469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45243</v>
      </c>
      <c r="B331" s="409">
        <f>'2022'!Wh/'2022'!Env_an*'2023'!Env_an</f>
        <v>29.330366548202711</v>
      </c>
      <c r="C331" s="829"/>
      <c r="D331" s="391">
        <f t="shared" si="102"/>
        <v>30.341215071974293</v>
      </c>
      <c r="E331" s="383">
        <f t="shared" si="125"/>
        <v>31.147674322699157</v>
      </c>
      <c r="F331" s="383">
        <f t="shared" si="103"/>
        <v>32.067894855525118</v>
      </c>
      <c r="G331" s="110">
        <f t="shared" si="126"/>
        <v>0.97954128847076005</v>
      </c>
      <c r="H331" s="412" t="b">
        <f>Wh_hp&gt;='2022'!Maxi_hp</f>
        <v>0</v>
      </c>
      <c r="I331" s="379">
        <f>IF(H331,Wh_hp,'2022'!Maxi_hp)</f>
        <v>32.07432066777686</v>
      </c>
      <c r="J331" s="85">
        <f>IF(H331,An,'2022'!An_max)</f>
        <v>2022</v>
      </c>
      <c r="K331" s="197">
        <f t="shared" si="104"/>
        <v>45243</v>
      </c>
      <c r="L331" s="147">
        <f>IF(t&lt;Tvie,1-EXP((T0-t)*PertePVj)+'2022'!Pspv,1-EXP((T0-t)*PertePVj)+Pspv)</f>
        <v>3.3316019855292089E-2</v>
      </c>
      <c r="M331" s="832"/>
      <c r="N331" s="832"/>
      <c r="O331" s="48">
        <f>IF(t&lt;Tnet,'2022'!Resal+('2022'!Salim-'2022'!Resal)*(1-EXP(('2022'!Tnet-t)/('2022'!Tau_j))),Resal+(Salim-Resal)*(1-EXP((Tnet-t)/(Tau_j))))*Salcycl</f>
        <v>2.5891475632167715E-2</v>
      </c>
      <c r="P331" s="338">
        <f>(INDEX(Models!$BJ331:$BT331,,T331)*(1-R331)+INDEX(Models!$BJ331:$BT331,,T331+1)*R331-ERP_i)*Q331*Ramure*Pc/MaxiM</f>
        <v>2.952365338013772E-2</v>
      </c>
      <c r="Q331" s="304">
        <f t="shared" si="105"/>
        <v>0.7</v>
      </c>
      <c r="R331" s="177">
        <f t="shared" si="106"/>
        <v>0.73407976379158313</v>
      </c>
      <c r="S331" s="799">
        <f t="shared" si="107"/>
        <v>0</v>
      </c>
      <c r="T331" s="176">
        <f t="shared" si="108"/>
        <v>6</v>
      </c>
      <c r="U331" s="250">
        <f t="shared" si="109"/>
        <v>0.73407976379158313</v>
      </c>
      <c r="V331" s="382">
        <f t="shared" si="110"/>
        <v>29.91744660324812</v>
      </c>
      <c r="W331" s="400">
        <f t="shared" si="111"/>
        <v>29.330366548202711</v>
      </c>
      <c r="X331" s="157">
        <f t="shared" si="112"/>
        <v>45243</v>
      </c>
      <c r="Y331" s="383">
        <f t="shared" si="113"/>
        <v>28.867875164469616</v>
      </c>
      <c r="Z331" s="383">
        <f t="shared" si="114"/>
        <v>29.862784278423891</v>
      </c>
      <c r="AA331" s="384">
        <f t="shared" si="115"/>
        <v>31.113668637157545</v>
      </c>
      <c r="AB331" s="197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4.0203692252471418E-2</v>
      </c>
      <c r="AD331" s="230">
        <f>(INDEX(Models!$BJ331:$BT331,,AH331)*(1-AF331)+INDEX(Models!$BJ331:$BT331,,AH331+1)*AF331-ERP_i)*AE331*Ramure*Pc/MaxiM</f>
        <v>3.0614665846248664E-2</v>
      </c>
      <c r="AE331" s="304">
        <f t="shared" si="117"/>
        <v>0.7</v>
      </c>
      <c r="AF331" s="177">
        <f t="shared" si="118"/>
        <v>0.79841198605141528</v>
      </c>
      <c r="AG331" s="799">
        <f t="shared" si="124"/>
        <v>0</v>
      </c>
      <c r="AH331" s="176">
        <f t="shared" si="119"/>
        <v>6</v>
      </c>
      <c r="AI331" s="224">
        <f t="shared" si="120"/>
        <v>0.79841198605141528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45244</v>
      </c>
      <c r="B332" s="409">
        <f>'2022'!Wh/'2022'!Env_an*'2023'!Env_an</f>
        <v>12.458700422060273</v>
      </c>
      <c r="C332" s="829"/>
      <c r="D332" s="391">
        <f t="shared" si="102"/>
        <v>12.888326951402005</v>
      </c>
      <c r="E332" s="383">
        <f t="shared" si="125"/>
        <v>13.231819797603864</v>
      </c>
      <c r="F332" s="383">
        <f t="shared" si="103"/>
        <v>13.298399686854708</v>
      </c>
      <c r="G332" s="110">
        <f t="shared" si="126"/>
        <v>0.40950975378751919</v>
      </c>
      <c r="H332" s="412" t="b">
        <f>Wh_hp&gt;='2022'!Maxi_hp</f>
        <v>0</v>
      </c>
      <c r="I332" s="379">
        <f>IF(H332,Wh_hp,'2022'!Maxi_hp)</f>
        <v>18.993319038472997</v>
      </c>
      <c r="J332" s="85">
        <f>IF(H332,An,'2022'!An_max)</f>
        <v>2020</v>
      </c>
      <c r="K332" s="197">
        <f t="shared" si="104"/>
        <v>45244</v>
      </c>
      <c r="L332" s="147">
        <f>IF(t&lt;Tvie,1-EXP((T0-t)*PertePVj)+'2022'!Pspv,1-EXP((T0-t)*PertePVj)+Pspv)</f>
        <v>3.3334546133235499E-2</v>
      </c>
      <c r="M332" s="832"/>
      <c r="N332" s="832"/>
      <c r="O332" s="48">
        <f>IF(t&lt;Tnet,'2022'!Resal+('2022'!Salim-'2022'!Resal)*(1-EXP(('2022'!Tnet-t)/('2022'!Tau_j))),Resal+(Salim-Resal)*(1-EXP((Tnet-t)/(Tau_j))))*Salcycl</f>
        <v>2.5959607329602535E-2</v>
      </c>
      <c r="P332" s="338">
        <f>(INDEX(Models!$BJ332:$BT332,,T332)*(1-R332)+INDEX(Models!$BJ332:$BT332,,T332+1)*R332-ERP_i)*Q332*Ramure*Pc/MaxiM</f>
        <v>2.9267561440111108E-2</v>
      </c>
      <c r="Q332" s="304">
        <f t="shared" si="105"/>
        <v>0.7</v>
      </c>
      <c r="R332" s="177">
        <f t="shared" si="106"/>
        <v>0.7341061922176324</v>
      </c>
      <c r="S332" s="799">
        <f t="shared" si="107"/>
        <v>0</v>
      </c>
      <c r="T332" s="176">
        <f t="shared" si="108"/>
        <v>6</v>
      </c>
      <c r="U332" s="250">
        <f t="shared" si="109"/>
        <v>0.7341061922176324</v>
      </c>
      <c r="V332" s="382">
        <f t="shared" si="110"/>
        <v>29.681636300115432</v>
      </c>
      <c r="W332" s="400">
        <f t="shared" si="111"/>
        <v>12.458700422060273</v>
      </c>
      <c r="X332" s="157">
        <f t="shared" si="112"/>
        <v>45244</v>
      </c>
      <c r="Y332" s="383">
        <f t="shared" si="113"/>
        <v>12.273682997175756</v>
      </c>
      <c r="Z332" s="383">
        <f t="shared" si="114"/>
        <v>12.696929375183235</v>
      </c>
      <c r="AA332" s="384">
        <f t="shared" si="115"/>
        <v>13.229356751704003</v>
      </c>
      <c r="AB332" s="197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4.0245900576548373E-2</v>
      </c>
      <c r="AD332" s="230">
        <f>(INDEX(Models!$BJ332:$BT332,,AH332)*(1-AF332)+INDEX(Models!$BJ332:$BT332,,AH332+1)*AF332-ERP_i)*AE332*Ramure*Pc/MaxiM</f>
        <v>3.0350280982229909E-2</v>
      </c>
      <c r="AE332" s="304">
        <f t="shared" si="117"/>
        <v>0.7</v>
      </c>
      <c r="AF332" s="177">
        <f t="shared" si="118"/>
        <v>0.79843841447746455</v>
      </c>
      <c r="AG332" s="799">
        <f t="shared" si="124"/>
        <v>0</v>
      </c>
      <c r="AH332" s="176">
        <f t="shared" si="119"/>
        <v>6</v>
      </c>
      <c r="AI332" s="224">
        <f t="shared" si="120"/>
        <v>0.79843841447746455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45245</v>
      </c>
      <c r="B333" s="409">
        <f>'2022'!Wh/'2022'!Env_an*'2023'!Env_an</f>
        <v>13.636035767514182</v>
      </c>
      <c r="C333" s="829"/>
      <c r="D333" s="391">
        <f t="shared" si="102"/>
        <v>14.106531943901174</v>
      </c>
      <c r="E333" s="383">
        <f t="shared" si="125"/>
        <v>14.483506513434611</v>
      </c>
      <c r="F333" s="383">
        <f t="shared" si="103"/>
        <v>14.582178426523413</v>
      </c>
      <c r="G333" s="110">
        <f t="shared" si="126"/>
        <v>0.45272079634184409</v>
      </c>
      <c r="H333" s="412" t="b">
        <f>Wh_hp&gt;='2022'!Maxi_hp</f>
        <v>0</v>
      </c>
      <c r="I333" s="379">
        <f>IF(H333,Wh_hp,'2022'!Maxi_hp)</f>
        <v>31.702886154707713</v>
      </c>
      <c r="J333" s="85">
        <f>IF(H333,An,'2022'!An_max)</f>
        <v>2020</v>
      </c>
      <c r="K333" s="197">
        <f t="shared" si="104"/>
        <v>45245</v>
      </c>
      <c r="L333" s="147">
        <f>IF(t&lt;Tvie,1-EXP((T0-t)*PertePVj)+'2022'!Pspv,1-EXP((T0-t)*PertePVj)+Pspv)</f>
        <v>3.3353072056127031E-2</v>
      </c>
      <c r="M333" s="832"/>
      <c r="N333" s="832"/>
      <c r="O333" s="48">
        <f>IF(t&lt;Tnet,'2022'!Resal+('2022'!Salim-'2022'!Resal)*(1-EXP(('2022'!Tnet-t)/('2022'!Tau_j))),Resal+(Salim-Resal)*(1-EXP((Tnet-t)/(Tau_j))))*Salcycl</f>
        <v>2.6027852383934947E-2</v>
      </c>
      <c r="P333" s="338">
        <f>(INDEX(Models!$BJ333:$BT333,,T333)*(1-R333)+INDEX(Models!$BJ333:$BT333,,T333+1)*R333-ERP_i)*Q333*Ramure*Pc/MaxiM</f>
        <v>2.9040160565141446E-2</v>
      </c>
      <c r="Q333" s="304">
        <f t="shared" si="105"/>
        <v>0.7</v>
      </c>
      <c r="R333" s="177">
        <f t="shared" si="106"/>
        <v>0.73413155984266854</v>
      </c>
      <c r="S333" s="799">
        <f t="shared" si="107"/>
        <v>0</v>
      </c>
      <c r="T333" s="176">
        <f t="shared" si="108"/>
        <v>6</v>
      </c>
      <c r="U333" s="250">
        <f t="shared" si="109"/>
        <v>0.73413155984266854</v>
      </c>
      <c r="V333" s="382">
        <f t="shared" si="110"/>
        <v>29.444734516158015</v>
      </c>
      <c r="W333" s="400">
        <f t="shared" si="111"/>
        <v>13.636035767514182</v>
      </c>
      <c r="X333" s="157">
        <f t="shared" si="112"/>
        <v>45245</v>
      </c>
      <c r="Y333" s="383">
        <f t="shared" si="113"/>
        <v>13.432987151906708</v>
      </c>
      <c r="Z333" s="383">
        <f t="shared" si="114"/>
        <v>13.896477362711565</v>
      </c>
      <c r="AA333" s="384">
        <f t="shared" si="115"/>
        <v>14.47984783135391</v>
      </c>
      <c r="AB333" s="197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4.0288439176767006E-2</v>
      </c>
      <c r="AD333" s="230">
        <f>(INDEX(Models!$BJ333:$BT333,,AH333)*(1-AF333)+INDEX(Models!$BJ333:$BT333,,AH333+1)*AF333-ERP_i)*AE333*Ramure*Pc/MaxiM</f>
        <v>3.011694839416373E-2</v>
      </c>
      <c r="AE333" s="304">
        <f t="shared" si="117"/>
        <v>0.7</v>
      </c>
      <c r="AF333" s="177">
        <f t="shared" si="118"/>
        <v>0.79846378210250069</v>
      </c>
      <c r="AG333" s="799">
        <f t="shared" si="124"/>
        <v>0</v>
      </c>
      <c r="AH333" s="176">
        <f t="shared" si="119"/>
        <v>6</v>
      </c>
      <c r="AI333" s="224">
        <f t="shared" si="120"/>
        <v>0.79846378210250069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45246</v>
      </c>
      <c r="B334" s="409">
        <f>'2022'!Wh/'2022'!Env_an*'2023'!Env_an</f>
        <v>28.719932037674148</v>
      </c>
      <c r="C334" s="829"/>
      <c r="D334" s="391">
        <f t="shared" si="102"/>
        <v>29.7114506123335</v>
      </c>
      <c r="E334" s="383">
        <f t="shared" si="125"/>
        <v>30.507583671407673</v>
      </c>
      <c r="F334" s="383">
        <f t="shared" si="103"/>
        <v>31.391384647705955</v>
      </c>
      <c r="G334" s="110">
        <f t="shared" si="126"/>
        <v>0.98262290356263282</v>
      </c>
      <c r="H334" s="412" t="b">
        <f>Wh_hp&gt;='2022'!Maxi_hp</f>
        <v>0</v>
      </c>
      <c r="I334" s="379">
        <f>IF(H334,Wh_hp,'2022'!Maxi_hp)</f>
        <v>31.396638682128184</v>
      </c>
      <c r="J334" s="85">
        <f>IF(H334,An,'2022'!An_max)</f>
        <v>2022</v>
      </c>
      <c r="K334" s="197">
        <f t="shared" si="104"/>
        <v>45246</v>
      </c>
      <c r="L334" s="147">
        <f>IF(t&lt;Tvie,1-EXP((T0-t)*PertePVj)+'2022'!Pspv,1-EXP((T0-t)*PertePVj)+Pspv)</f>
        <v>3.3371597623973459E-2</v>
      </c>
      <c r="M334" s="832"/>
      <c r="N334" s="832"/>
      <c r="O334" s="48">
        <f>IF(t&lt;Tnet,'2022'!Resal+('2022'!Salim-'2022'!Resal)*(1-EXP(('2022'!Tnet-t)/('2022'!Tau_j))),Resal+(Salim-Resal)*(1-EXP((Tnet-t)/(Tau_j))))*Salcycl</f>
        <v>2.6096234551028209E-2</v>
      </c>
      <c r="P334" s="338">
        <f>(INDEX(Models!$BJ334:$BT334,,T334)*(1-R334)+INDEX(Models!$BJ334:$BT334,,T334+1)*R334-ERP_i)*Q334*Ramure*Pc/MaxiM</f>
        <v>2.8841574656253467E-2</v>
      </c>
      <c r="Q334" s="304">
        <f t="shared" si="105"/>
        <v>0.7</v>
      </c>
      <c r="R334" s="177">
        <f t="shared" si="106"/>
        <v>0.73415590911906015</v>
      </c>
      <c r="S334" s="799">
        <f t="shared" si="107"/>
        <v>0</v>
      </c>
      <c r="T334" s="176">
        <f t="shared" si="108"/>
        <v>6</v>
      </c>
      <c r="U334" s="250">
        <f t="shared" si="109"/>
        <v>0.73415590911906015</v>
      </c>
      <c r="V334" s="382">
        <f t="shared" si="110"/>
        <v>29.207155902127582</v>
      </c>
      <c r="W334" s="400">
        <f t="shared" si="111"/>
        <v>28.719932037674148</v>
      </c>
      <c r="X334" s="157">
        <f t="shared" si="112"/>
        <v>45246</v>
      </c>
      <c r="Y334" s="383">
        <f t="shared" si="113"/>
        <v>28.269637792678427</v>
      </c>
      <c r="Z334" s="383">
        <f t="shared" si="114"/>
        <v>29.245610539882833</v>
      </c>
      <c r="AA334" s="384">
        <f t="shared" si="115"/>
        <v>30.474695930429636</v>
      </c>
      <c r="AB334" s="197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4.0331342217578538E-2</v>
      </c>
      <c r="AD334" s="230">
        <f>(INDEX(Models!$BJ334:$BT334,,AH334)*(1-AF334)+INDEX(Models!$BJ334:$BT334,,AH334+1)*AF334-ERP_i)*AE334*Ramure*Pc/MaxiM</f>
        <v>2.9914818816569284E-2</v>
      </c>
      <c r="AE334" s="304">
        <f t="shared" si="117"/>
        <v>0.7</v>
      </c>
      <c r="AF334" s="177">
        <f t="shared" si="118"/>
        <v>0.7984881313788923</v>
      </c>
      <c r="AG334" s="799">
        <f t="shared" si="124"/>
        <v>0</v>
      </c>
      <c r="AH334" s="176">
        <f t="shared" si="119"/>
        <v>6</v>
      </c>
      <c r="AI334" s="224">
        <f t="shared" si="120"/>
        <v>0.7984881313788923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45247</v>
      </c>
      <c r="B335" s="409">
        <f>'2022'!Wh/'2022'!Env_an*'2023'!Env_an</f>
        <v>12.620713762816901</v>
      </c>
      <c r="C335" s="829"/>
      <c r="D335" s="391">
        <f t="shared" ref="D335:D379" si="127">Wh/(1-Ppv)</f>
        <v>13.056677839725623</v>
      </c>
      <c r="E335" s="383">
        <f t="shared" si="125"/>
        <v>13.407481599980587</v>
      </c>
      <c r="F335" s="383">
        <f t="shared" ref="F335:F379" si="128">Wh_sa/(1-Pvg*MEDIAN((-Sdif+Wh/Env_an)/Csdif,0,1))</f>
        <v>13.482397074280591</v>
      </c>
      <c r="G335" s="110">
        <f t="shared" si="126"/>
        <v>0.42553131821217133</v>
      </c>
      <c r="H335" s="412" t="b">
        <f>Wh_hp&gt;='2022'!Maxi_hp</f>
        <v>0</v>
      </c>
      <c r="I335" s="379">
        <f>IF(H335,Wh_hp,'2022'!Maxi_hp)</f>
        <v>19.304439918384041</v>
      </c>
      <c r="J335" s="85">
        <f>IF(H335,An,'2022'!An_max)</f>
        <v>2020</v>
      </c>
      <c r="K335" s="197">
        <f t="shared" ref="K335:K379" si="129">t</f>
        <v>45247</v>
      </c>
      <c r="L335" s="147">
        <f>IF(t&lt;Tvie,1-EXP((T0-t)*PertePVj)+'2022'!Pspv,1-EXP((T0-t)*PertePVj)+Pspv)</f>
        <v>3.3390122836781555E-2</v>
      </c>
      <c r="M335" s="832"/>
      <c r="N335" s="832"/>
      <c r="O335" s="48">
        <f>IF(t&lt;Tnet,'2022'!Resal+('2022'!Salim-'2022'!Resal)*(1-EXP(('2022'!Tnet-t)/('2022'!Tau_j))),Resal+(Salim-Resal)*(1-EXP((Tnet-t)/(Tau_j))))*Salcycl</f>
        <v>2.6164776556954008E-2</v>
      </c>
      <c r="P335" s="338">
        <f>(INDEX(Models!$BJ335:$BT335,,T335)*(1-R335)+INDEX(Models!$BJ335:$BT335,,T335+1)*R335-ERP_i)*Q335*Ramure*Pc/MaxiM</f>
        <v>2.8671938914017588E-2</v>
      </c>
      <c r="Q335" s="304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0.73417928081025563</v>
      </c>
      <c r="S335" s="799">
        <f t="shared" ref="S335:S379" si="132">INDEX(Echel_vg,T335)</f>
        <v>0</v>
      </c>
      <c r="T335" s="176">
        <f t="shared" ref="T335:T379" si="133">MIN(MATCH(Hp_vg,Echel_vg),10)</f>
        <v>6</v>
      </c>
      <c r="U335" s="250">
        <f t="shared" ref="U335:U379" si="134">IF(OR(t&lt;Ttai,Notai),Hdd+PousH*Croivg,Hdtf+PousH*(Croivg-Croi_tai))</f>
        <v>0.73417928081025563</v>
      </c>
      <c r="V335" s="382">
        <f t="shared" ref="V335:V379" si="135">MaxiM*(1-Ppv)*(1-Pvg)*(1-Psa)</f>
        <v>28.969315101495216</v>
      </c>
      <c r="W335" s="400">
        <f t="shared" ref="W335:W379" si="136">Wh*(A335&gt;Tmaj)</f>
        <v>12.620713762816901</v>
      </c>
      <c r="X335" s="157">
        <f t="shared" ref="X335:X379" si="137">t</f>
        <v>45247</v>
      </c>
      <c r="Y335" s="383">
        <f t="shared" ref="Y335:Y379" si="138">Wh_pvt_s*(1-Ppv)</f>
        <v>12.43395826793636</v>
      </c>
      <c r="Z335" s="383">
        <f t="shared" ref="Z335:Z379" si="139">Wh_sa_s*(1-Psa_s)</f>
        <v>12.863471149733352</v>
      </c>
      <c r="AA335" s="384">
        <f t="shared" ref="AA335:AA379" si="140">Wh_hp*(1-Pvg_s*MEDIAN((-Sdif+Wh/Env_an)/Csdif,0,1))</f>
        <v>13.404680319920613</v>
      </c>
      <c r="AB335" s="197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4.0374642085494093E-2</v>
      </c>
      <c r="AD335" s="230">
        <f>(INDEX(Models!$BJ335:$BT335,,AH335)*(1-AF335)+INDEX(Models!$BJ335:$BT335,,AH335+1)*AF335-ERP_i)*AE335*Ramure*Pc/MaxiM</f>
        <v>2.9744055609681529E-2</v>
      </c>
      <c r="AE335" s="304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0.79851150307008778</v>
      </c>
      <c r="AG335" s="799">
        <f t="shared" si="124"/>
        <v>0</v>
      </c>
      <c r="AH335" s="176">
        <f t="shared" ref="AH335:AH379" si="144">MIN(MATCH(Hp_vg_s,Echel_vg),10)</f>
        <v>6</v>
      </c>
      <c r="AI335" s="224">
        <f t="shared" ref="AI335:AI379" si="145">IF(OR(t&lt;Ttai,Notai),Hdd_s+PousH*Croivg,Hdtai_s+PousH*(Croivg-Croi_tai))</f>
        <v>0.79851150307008778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45248</v>
      </c>
      <c r="B336" s="409">
        <f>'2022'!Wh/'2022'!Env_an*'2023'!Env_an</f>
        <v>14.510124149670997</v>
      </c>
      <c r="C336" s="829"/>
      <c r="D336" s="391">
        <f t="shared" si="127"/>
        <v>15.011642836512586</v>
      </c>
      <c r="E336" s="383">
        <f t="shared" si="125"/>
        <v>15.416060047708894</v>
      </c>
      <c r="F336" s="383">
        <f t="shared" si="128"/>
        <v>15.545970718356983</v>
      </c>
      <c r="G336" s="110">
        <f t="shared" si="126"/>
        <v>0.49474809869132508</v>
      </c>
      <c r="H336" s="412" t="b">
        <f>Wh_hp&gt;='2022'!Maxi_hp</f>
        <v>0</v>
      </c>
      <c r="I336" s="379">
        <f>IF(H336,Wh_hp,'2022'!Maxi_hp)</f>
        <v>28.981060402104621</v>
      </c>
      <c r="J336" s="85">
        <f>IF(H336,An,'2022'!An_max)</f>
        <v>2020</v>
      </c>
      <c r="K336" s="197">
        <f t="shared" si="129"/>
        <v>45248</v>
      </c>
      <c r="L336" s="147">
        <f>IF(t&lt;Tvie,1-EXP((T0-t)*PertePVj)+'2022'!Pspv,1-EXP((T0-t)*PertePVj)+Pspv)</f>
        <v>3.3408647694558313E-2</v>
      </c>
      <c r="M336" s="832"/>
      <c r="N336" s="832"/>
      <c r="O336" s="48">
        <f>IF(t&lt;Tnet,'2022'!Resal+('2022'!Salim-'2022'!Resal)*(1-EXP(('2022'!Tnet-t)/('2022'!Tau_j))),Resal+(Salim-Resal)*(1-EXP((Tnet-t)/(Tau_j))))*Salcycl</f>
        <v>2.6233499995766591E-2</v>
      </c>
      <c r="P336" s="338">
        <f>(INDEX(Models!$BJ336:$BT336,,T336)*(1-R336)+INDEX(Models!$BJ336:$BT336,,T336+1)*R336-ERP_i)*Q336*Ramure*Pc/MaxiM</f>
        <v>2.8531397088162786E-2</v>
      </c>
      <c r="Q336" s="304">
        <f t="shared" si="130"/>
        <v>0.7</v>
      </c>
      <c r="R336" s="177">
        <f t="shared" si="131"/>
        <v>0.73420171405718626</v>
      </c>
      <c r="S336" s="799">
        <f t="shared" si="132"/>
        <v>0</v>
      </c>
      <c r="T336" s="176">
        <f t="shared" si="133"/>
        <v>6</v>
      </c>
      <c r="U336" s="250">
        <f t="shared" si="134"/>
        <v>0.73420171405718626</v>
      </c>
      <c r="V336" s="382">
        <f t="shared" si="135"/>
        <v>28.731626728455755</v>
      </c>
      <c r="W336" s="400">
        <f t="shared" si="136"/>
        <v>14.510124149670997</v>
      </c>
      <c r="X336" s="157">
        <f t="shared" si="137"/>
        <v>45248</v>
      </c>
      <c r="Y336" s="383">
        <f t="shared" si="138"/>
        <v>14.294221601454177</v>
      </c>
      <c r="Z336" s="383">
        <f t="shared" si="139"/>
        <v>14.788277970168743</v>
      </c>
      <c r="AA336" s="384">
        <f t="shared" si="140"/>
        <v>15.411172427894739</v>
      </c>
      <c r="AB336" s="197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4.0418369247399825E-2</v>
      </c>
      <c r="AD336" s="230">
        <f>(INDEX(Models!$BJ336:$BT336,,AH336)*(1-AF336)+INDEX(Models!$BJ336:$BT336,,AH336+1)*AF336-ERP_i)*AE336*Ramure*Pc/MaxiM</f>
        <v>2.9604831787852948E-2</v>
      </c>
      <c r="AE336" s="304">
        <f t="shared" si="142"/>
        <v>0.7</v>
      </c>
      <c r="AF336" s="177">
        <f t="shared" si="143"/>
        <v>0.79853393631701841</v>
      </c>
      <c r="AG336" s="799">
        <f t="shared" ref="AG336:AG379" si="149">INDEX(Echel_vg,AH336)</f>
        <v>0</v>
      </c>
      <c r="AH336" s="176">
        <f t="shared" si="144"/>
        <v>6</v>
      </c>
      <c r="AI336" s="224">
        <f t="shared" si="145"/>
        <v>0.79853393631701841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45249</v>
      </c>
      <c r="B337" s="409">
        <f>'2022'!Wh/'2022'!Env_an*'2023'!Env_an</f>
        <v>6.074148158509205</v>
      </c>
      <c r="C337" s="829"/>
      <c r="D337" s="391">
        <f t="shared" si="127"/>
        <v>6.2842115811568675</v>
      </c>
      <c r="E337" s="383">
        <f t="shared" si="125"/>
        <v>6.4539665539051914</v>
      </c>
      <c r="F337" s="383">
        <f t="shared" si="128"/>
        <v>6.4539665539051914</v>
      </c>
      <c r="G337" s="110">
        <f t="shared" si="126"/>
        <v>0.20711081653713045</v>
      </c>
      <c r="H337" s="412" t="b">
        <f>Wh_hp&gt;='2022'!Maxi_hp</f>
        <v>0</v>
      </c>
      <c r="I337" s="379">
        <f>IF(H337,Wh_hp,'2022'!Maxi_hp)</f>
        <v>31.083466174894443</v>
      </c>
      <c r="J337" s="85">
        <f>IF(H337,An,'2022'!An_max)</f>
        <v>2020</v>
      </c>
      <c r="K337" s="197">
        <f t="shared" si="129"/>
        <v>45249</v>
      </c>
      <c r="L337" s="147">
        <f>IF(t&lt;Tvie,1-EXP((T0-t)*PertePVj)+'2022'!Pspv,1-EXP((T0-t)*PertePVj)+Pspv)</f>
        <v>3.3427172197310284E-2</v>
      </c>
      <c r="M337" s="832"/>
      <c r="N337" s="832"/>
      <c r="O337" s="48">
        <f>IF(t&lt;Tnet,'2022'!Resal+('2022'!Salim-'2022'!Resal)*(1-EXP(('2022'!Tnet-t)/('2022'!Tau_j))),Resal+(Salim-Resal)*(1-EXP((Tnet-t)/(Tau_j))))*Salcycl</f>
        <v>2.6302425234231729E-2</v>
      </c>
      <c r="P337" s="338">
        <f>(INDEX(Models!$BJ337:$BT337,,T337)*(1-R337)+INDEX(Models!$BJ337:$BT337,,T337+1)*R337-ERP_i)*Q337*Ramure*Pc/MaxiM</f>
        <v>2.8420098512578797E-2</v>
      </c>
      <c r="Q337" s="304">
        <f t="shared" si="130"/>
        <v>0.7</v>
      </c>
      <c r="R337" s="177">
        <f t="shared" si="131"/>
        <v>0.73422324644212267</v>
      </c>
      <c r="S337" s="799">
        <f t="shared" si="132"/>
        <v>0</v>
      </c>
      <c r="T337" s="176">
        <f t="shared" si="133"/>
        <v>6</v>
      </c>
      <c r="U337" s="250">
        <f t="shared" si="134"/>
        <v>0.73422324644212267</v>
      </c>
      <c r="V337" s="382">
        <f t="shared" si="135"/>
        <v>28.494505348089152</v>
      </c>
      <c r="W337" s="400">
        <f t="shared" si="136"/>
        <v>6.074148158509205</v>
      </c>
      <c r="X337" s="157">
        <f t="shared" si="137"/>
        <v>45249</v>
      </c>
      <c r="Y337" s="383">
        <f t="shared" si="138"/>
        <v>5.9858140485345128</v>
      </c>
      <c r="Z337" s="383">
        <f t="shared" si="139"/>
        <v>6.1928225958328103</v>
      </c>
      <c r="AA337" s="384">
        <f t="shared" si="140"/>
        <v>6.4539665539051914</v>
      </c>
      <c r="AB337" s="197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4.0462552120659356E-2</v>
      </c>
      <c r="AD337" s="230">
        <f>(INDEX(Models!$BJ337:$BT337,,AH337)*(1-AF337)+INDEX(Models!$BJ337:$BT337,,AH337+1)*AF337-ERP_i)*AE337*Ramure*Pc/MaxiM</f>
        <v>2.9497326807418737E-2</v>
      </c>
      <c r="AE337" s="304">
        <f t="shared" si="142"/>
        <v>0.7</v>
      </c>
      <c r="AF337" s="177">
        <f t="shared" si="143"/>
        <v>0.79855546870195482</v>
      </c>
      <c r="AG337" s="799">
        <f t="shared" si="149"/>
        <v>0</v>
      </c>
      <c r="AH337" s="176">
        <f t="shared" si="144"/>
        <v>6</v>
      </c>
      <c r="AI337" s="224">
        <f t="shared" si="145"/>
        <v>0.79855546870195482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45250</v>
      </c>
      <c r="B338" s="409">
        <f>'2022'!Wh/'2022'!Env_an*'2023'!Env_an</f>
        <v>20.148742432887232</v>
      </c>
      <c r="C338" s="829"/>
      <c r="D338" s="391">
        <f t="shared" si="127"/>
        <v>20.845949737843195</v>
      </c>
      <c r="E338" s="383">
        <f t="shared" si="125"/>
        <v>21.410580385573926</v>
      </c>
      <c r="F338" s="383">
        <f t="shared" si="128"/>
        <v>21.774957776605238</v>
      </c>
      <c r="G338" s="110">
        <f t="shared" si="126"/>
        <v>0.70460370222998747</v>
      </c>
      <c r="H338" s="412" t="b">
        <f>Wh_hp&gt;='2022'!Maxi_hp</f>
        <v>0</v>
      </c>
      <c r="I338" s="379">
        <f>IF(H338,Wh_hp,'2022'!Maxi_hp)</f>
        <v>30.262737933685557</v>
      </c>
      <c r="J338" s="85">
        <f>IF(H338,An,'2022'!An_max)</f>
        <v>2018</v>
      </c>
      <c r="K338" s="197">
        <f t="shared" si="129"/>
        <v>45250</v>
      </c>
      <c r="L338" s="147">
        <f>IF(t&lt;Tvie,1-EXP((T0-t)*PertePVj)+'2022'!Pspv,1-EXP((T0-t)*PertePVj)+Pspv)</f>
        <v>3.3445696345044462E-2</v>
      </c>
      <c r="M338" s="832"/>
      <c r="N338" s="832"/>
      <c r="O338" s="48">
        <f>IF(t&lt;Tnet,'2022'!Resal+('2022'!Salim-'2022'!Resal)*(1-EXP(('2022'!Tnet-t)/('2022'!Tau_j))),Resal+(Salim-Resal)*(1-EXP((Tnet-t)/(Tau_j))))*Salcycl</f>
        <v>2.6371571324202335E-2</v>
      </c>
      <c r="P338" s="338">
        <f>(INDEX(Models!$BJ338:$BT338,,T338)*(1-R338)+INDEX(Models!$BJ338:$BT338,,T338+1)*R338-ERP_i)*Q338*Ramure*Pc/MaxiM</f>
        <v>2.8359962348727227E-2</v>
      </c>
      <c r="Q338" s="304">
        <f t="shared" si="130"/>
        <v>0.7</v>
      </c>
      <c r="R338" s="177">
        <f t="shared" si="131"/>
        <v>0.73424391405007394</v>
      </c>
      <c r="S338" s="799">
        <f t="shared" si="132"/>
        <v>0</v>
      </c>
      <c r="T338" s="176">
        <f t="shared" si="133"/>
        <v>6</v>
      </c>
      <c r="U338" s="250">
        <f t="shared" si="134"/>
        <v>0.73424391405007394</v>
      </c>
      <c r="V338" s="382">
        <f t="shared" si="135"/>
        <v>28.257732399888166</v>
      </c>
      <c r="W338" s="400">
        <f t="shared" si="136"/>
        <v>20.148742432887232</v>
      </c>
      <c r="X338" s="157">
        <f t="shared" si="137"/>
        <v>45250</v>
      </c>
      <c r="Y338" s="383">
        <f t="shared" si="138"/>
        <v>19.843283876198345</v>
      </c>
      <c r="Z338" s="383">
        <f t="shared" si="139"/>
        <v>20.529921393099585</v>
      </c>
      <c r="AA338" s="384">
        <f t="shared" si="140"/>
        <v>21.396639720380783</v>
      </c>
      <c r="AB338" s="197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4.0507216955923762E-2</v>
      </c>
      <c r="AD338" s="230">
        <f>(INDEX(Models!$BJ338:$BT338,,AH338)*(1-AF338)+INDEX(Models!$BJ338:$BT338,,AH338+1)*AF338-ERP_i)*AE338*Ramure*Pc/MaxiM</f>
        <v>2.9444982302558063E-2</v>
      </c>
      <c r="AE338" s="304">
        <f t="shared" si="142"/>
        <v>0.7</v>
      </c>
      <c r="AF338" s="177">
        <f t="shared" si="143"/>
        <v>0.79857613630990609</v>
      </c>
      <c r="AG338" s="799">
        <f t="shared" si="149"/>
        <v>0</v>
      </c>
      <c r="AH338" s="176">
        <f t="shared" si="144"/>
        <v>6</v>
      </c>
      <c r="AI338" s="224">
        <f t="shared" si="145"/>
        <v>0.79857613630990609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45251</v>
      </c>
      <c r="B339" s="409">
        <f>'2022'!Wh/'2022'!Env_an*'2023'!Env_an</f>
        <v>3.2461902963681797</v>
      </c>
      <c r="C339" s="829"/>
      <c r="D339" s="391">
        <f t="shared" si="127"/>
        <v>3.3585826453635099</v>
      </c>
      <c r="E339" s="383">
        <f t="shared" si="125"/>
        <v>3.4497986185815956</v>
      </c>
      <c r="F339" s="383">
        <f t="shared" si="128"/>
        <v>3.4497986185815956</v>
      </c>
      <c r="G339" s="110">
        <f t="shared" si="126"/>
        <v>0.112561079725326</v>
      </c>
      <c r="H339" s="412" t="b">
        <f>Wh_hp&gt;='2022'!Maxi_hp</f>
        <v>0</v>
      </c>
      <c r="I339" s="379">
        <f>IF(H339,Wh_hp,'2022'!Maxi_hp)</f>
        <v>27.490335001003508</v>
      </c>
      <c r="J339" s="85">
        <f>IF(H339,An,'2022'!An_max)</f>
        <v>2018</v>
      </c>
      <c r="K339" s="197">
        <f t="shared" si="129"/>
        <v>45251</v>
      </c>
      <c r="L339" s="147">
        <f>IF(t&lt;Tvie,1-EXP((T0-t)*PertePVj)+'2022'!Pspv,1-EXP((T0-t)*PertePVj)+Pspv)</f>
        <v>3.3464220137767509E-2</v>
      </c>
      <c r="M339" s="832"/>
      <c r="N339" s="832"/>
      <c r="O339" s="48">
        <f>IF(t&lt;Tnet,'2022'!Resal+('2022'!Salim-'2022'!Resal)*(1-EXP(('2022'!Tnet-t)/('2022'!Tau_j))),Resal+(Salim-Resal)*(1-EXP((Tnet-t)/(Tau_j))))*Salcycl</f>
        <v>2.6440955923273484E-2</v>
      </c>
      <c r="P339" s="338">
        <f>(INDEX(Models!$BJ339:$BT339,,T339)*(1-R339)+INDEX(Models!$BJ339:$BT339,,T339+1)*R339-ERP_i)*Q339*Ramure*Pc/MaxiM</f>
        <v>2.8344391317814292E-2</v>
      </c>
      <c r="Q339" s="304">
        <f t="shared" si="130"/>
        <v>0.7</v>
      </c>
      <c r="R339" s="177">
        <f t="shared" si="131"/>
        <v>0.73426375152782197</v>
      </c>
      <c r="S339" s="799">
        <f t="shared" si="132"/>
        <v>0</v>
      </c>
      <c r="T339" s="176">
        <f t="shared" si="133"/>
        <v>6</v>
      </c>
      <c r="U339" s="250">
        <f t="shared" si="134"/>
        <v>0.73426375152782197</v>
      </c>
      <c r="V339" s="382">
        <f t="shared" si="135"/>
        <v>28.021932767638024</v>
      </c>
      <c r="W339" s="400">
        <f t="shared" si="136"/>
        <v>3.2461902963681797</v>
      </c>
      <c r="X339" s="157">
        <f t="shared" si="137"/>
        <v>45251</v>
      </c>
      <c r="Y339" s="383">
        <f t="shared" si="138"/>
        <v>3.1991377901141163</v>
      </c>
      <c r="Z339" s="383">
        <f t="shared" si="139"/>
        <v>3.3099010473984865</v>
      </c>
      <c r="AA339" s="384">
        <f t="shared" si="140"/>
        <v>3.4497986185815956</v>
      </c>
      <c r="AB339" s="197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4.0552387733469794E-2</v>
      </c>
      <c r="AD339" s="230">
        <f>(INDEX(Models!$BJ339:$BT339,,AH339)*(1-AF339)+INDEX(Models!$BJ339:$BT339,,AH339+1)*AF339-ERP_i)*AE339*Ramure*Pc/MaxiM</f>
        <v>2.9440275403253609E-2</v>
      </c>
      <c r="AE339" s="304">
        <f t="shared" si="142"/>
        <v>0.7</v>
      </c>
      <c r="AF339" s="177">
        <f t="shared" si="143"/>
        <v>0.79859597378765412</v>
      </c>
      <c r="AG339" s="799">
        <f t="shared" si="149"/>
        <v>0</v>
      </c>
      <c r="AH339" s="176">
        <f t="shared" si="144"/>
        <v>6</v>
      </c>
      <c r="AI339" s="224">
        <f t="shared" si="145"/>
        <v>0.79859597378765412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45252</v>
      </c>
      <c r="B340" s="409">
        <f>'2022'!Wh/'2022'!Env_an*'2023'!Env_an</f>
        <v>9.9279772021122028</v>
      </c>
      <c r="C340" s="829"/>
      <c r="D340" s="391">
        <f t="shared" si="127"/>
        <v>10.271908893628318</v>
      </c>
      <c r="E340" s="383">
        <f t="shared" si="125"/>
        <v>10.551639127489933</v>
      </c>
      <c r="F340" s="383">
        <f t="shared" si="128"/>
        <v>10.576195590959095</v>
      </c>
      <c r="G340" s="110">
        <f t="shared" si="126"/>
        <v>0.34795227974589682</v>
      </c>
      <c r="H340" s="412" t="b">
        <f>Wh_hp&gt;='2022'!Maxi_hp</f>
        <v>0</v>
      </c>
      <c r="I340" s="379">
        <f>IF(H340,Wh_hp,'2022'!Maxi_hp)</f>
        <v>31.520653340989391</v>
      </c>
      <c r="J340" s="85">
        <f>IF(H340,An,'2022'!An_max)</f>
        <v>2020</v>
      </c>
      <c r="K340" s="197">
        <f t="shared" si="129"/>
        <v>45252</v>
      </c>
      <c r="L340" s="147">
        <f>IF(t&lt;Tvie,1-EXP((T0-t)*PertePVj)+'2022'!Pspv,1-EXP((T0-t)*PertePVj)+Pspv)</f>
        <v>3.3482743575486307E-2</v>
      </c>
      <c r="M340" s="832"/>
      <c r="N340" s="832"/>
      <c r="O340" s="48">
        <f>IF(t&lt;Tnet,'2022'!Resal+('2022'!Salim-'2022'!Resal)*(1-EXP(('2022'!Tnet-t)/('2022'!Tau_j))),Resal+(Salim-Resal)*(1-EXP((Tnet-t)/(Tau_j))))*Salcycl</f>
        <v>2.6510595224285251E-2</v>
      </c>
      <c r="P340" s="338">
        <f>(INDEX(Models!$BJ340:$BT340,,T340)*(1-R340)+INDEX(Models!$BJ340:$BT340,,T340+1)*R340-ERP_i)*Q340*Ramure*Pc/MaxiM</f>
        <v>2.8373801808030303E-2</v>
      </c>
      <c r="Q340" s="304">
        <f t="shared" si="130"/>
        <v>0.7</v>
      </c>
      <c r="R340" s="177">
        <f t="shared" si="131"/>
        <v>0.73428279214067693</v>
      </c>
      <c r="S340" s="799">
        <f t="shared" si="132"/>
        <v>0</v>
      </c>
      <c r="T340" s="176">
        <f t="shared" si="133"/>
        <v>6</v>
      </c>
      <c r="U340" s="250">
        <f t="shared" si="134"/>
        <v>0.73428279214067693</v>
      </c>
      <c r="V340" s="382">
        <f t="shared" si="135"/>
        <v>27.787523653163301</v>
      </c>
      <c r="W340" s="400">
        <f t="shared" si="136"/>
        <v>9.9279772021122028</v>
      </c>
      <c r="X340" s="157">
        <f t="shared" si="137"/>
        <v>45252</v>
      </c>
      <c r="Y340" s="383">
        <f t="shared" si="138"/>
        <v>9.7834174711727684</v>
      </c>
      <c r="Z340" s="383">
        <f t="shared" si="139"/>
        <v>10.122341226855132</v>
      </c>
      <c r="AA340" s="384">
        <f t="shared" si="140"/>
        <v>10.550678584151312</v>
      </c>
      <c r="AB340" s="197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4.0598086073781556E-2</v>
      </c>
      <c r="AD340" s="230">
        <f>(INDEX(Models!$BJ340:$BT340,,AH340)*(1-AF340)+INDEX(Models!$BJ340:$BT340,,AH340+1)*AF340-ERP_i)*AE340*Ramure*Pc/MaxiM</f>
        <v>2.9483663020427431E-2</v>
      </c>
      <c r="AE340" s="304">
        <f t="shared" si="142"/>
        <v>0.7</v>
      </c>
      <c r="AF340" s="177">
        <f t="shared" si="143"/>
        <v>0.79861501440050908</v>
      </c>
      <c r="AG340" s="799">
        <f t="shared" si="149"/>
        <v>0</v>
      </c>
      <c r="AH340" s="176">
        <f t="shared" si="144"/>
        <v>6</v>
      </c>
      <c r="AI340" s="224">
        <f t="shared" si="145"/>
        <v>0.79861501440050908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45253</v>
      </c>
      <c r="B341" s="409">
        <f>'2022'!Wh/'2022'!Env_an*'2023'!Env_an</f>
        <v>13.566708586190838</v>
      </c>
      <c r="C341" s="829"/>
      <c r="D341" s="391">
        <f t="shared" si="127"/>
        <v>14.036964683111604</v>
      </c>
      <c r="E341" s="383">
        <f t="shared" si="125"/>
        <v>14.420262527375487</v>
      </c>
      <c r="F341" s="383">
        <f t="shared" si="128"/>
        <v>14.533877934593946</v>
      </c>
      <c r="G341" s="110">
        <f t="shared" si="126"/>
        <v>0.4821136548068311</v>
      </c>
      <c r="H341" s="412" t="b">
        <f>Wh_hp&gt;='2022'!Maxi_hp</f>
        <v>0</v>
      </c>
      <c r="I341" s="379">
        <f>IF(H341,Wh_hp,'2022'!Maxi_hp)</f>
        <v>31.418721073336016</v>
      </c>
      <c r="J341" s="85">
        <f>IF(H341,An,'2022'!An_max)</f>
        <v>2020</v>
      </c>
      <c r="K341" s="197">
        <f t="shared" si="129"/>
        <v>45253</v>
      </c>
      <c r="L341" s="147">
        <f>IF(t&lt;Tvie,1-EXP((T0-t)*PertePVj)+'2022'!Pspv,1-EXP((T0-t)*PertePVj)+Pspv)</f>
        <v>3.3501266658207629E-2</v>
      </c>
      <c r="M341" s="832"/>
      <c r="N341" s="832"/>
      <c r="O341" s="48">
        <f>IF(t&lt;Tnet,'2022'!Resal+('2022'!Salim-'2022'!Resal)*(1-EXP(('2022'!Tnet-t)/('2022'!Tau_j))),Resal+(Salim-Resal)*(1-EXP((Tnet-t)/(Tau_j))))*Salcycl</f>
        <v>2.6580503894171624E-2</v>
      </c>
      <c r="P341" s="338">
        <f>(INDEX(Models!$BJ341:$BT341,,T341)*(1-R341)+INDEX(Models!$BJ341:$BT341,,T341+1)*R341-ERP_i)*Q341*Ramure*Pc/MaxiM</f>
        <v>2.8448427767956506E-2</v>
      </c>
      <c r="Q341" s="304">
        <f t="shared" si="130"/>
        <v>0.7</v>
      </c>
      <c r="R341" s="177">
        <f t="shared" si="131"/>
        <v>0.73430106782703664</v>
      </c>
      <c r="S341" s="799">
        <f t="shared" si="132"/>
        <v>0</v>
      </c>
      <c r="T341" s="176">
        <f t="shared" si="133"/>
        <v>6</v>
      </c>
      <c r="U341" s="250">
        <f t="shared" si="134"/>
        <v>0.73430106782703664</v>
      </c>
      <c r="V341" s="382">
        <f t="shared" si="135"/>
        <v>27.554926989429635</v>
      </c>
      <c r="W341" s="400">
        <f t="shared" si="136"/>
        <v>13.566708586190838</v>
      </c>
      <c r="X341" s="157">
        <f t="shared" si="137"/>
        <v>45253</v>
      </c>
      <c r="Y341" s="383">
        <f t="shared" si="138"/>
        <v>13.366525415480879</v>
      </c>
      <c r="Z341" s="383">
        <f t="shared" si="139"/>
        <v>13.829842662353437</v>
      </c>
      <c r="AA341" s="384">
        <f t="shared" si="140"/>
        <v>14.415761652942171</v>
      </c>
      <c r="AB341" s="197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4.0644331162977498E-2</v>
      </c>
      <c r="AD341" s="230">
        <f>(INDEX(Models!$BJ341:$BT341,,AH341)*(1-AF341)+INDEX(Models!$BJ341:$BT341,,AH341+1)*AF341-ERP_i)*AE341*Ramure*Pc/MaxiM</f>
        <v>2.9575412253103339E-2</v>
      </c>
      <c r="AE341" s="304">
        <f t="shared" si="142"/>
        <v>0.7</v>
      </c>
      <c r="AF341" s="177">
        <f t="shared" si="143"/>
        <v>0.79863329008686879</v>
      </c>
      <c r="AG341" s="799">
        <f t="shared" si="149"/>
        <v>0</v>
      </c>
      <c r="AH341" s="176">
        <f t="shared" si="144"/>
        <v>6</v>
      </c>
      <c r="AI341" s="224">
        <f t="shared" si="145"/>
        <v>0.79863329008686879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45254</v>
      </c>
      <c r="B342" s="409">
        <f>'2022'!Wh/'2022'!Env_an*'2023'!Env_an</f>
        <v>14.201553557949675</v>
      </c>
      <c r="C342" s="829"/>
      <c r="D342" s="391">
        <f t="shared" si="127"/>
        <v>14.694096580546221</v>
      </c>
      <c r="E342" s="383">
        <f t="shared" si="125"/>
        <v>15.096426848413991</v>
      </c>
      <c r="F342" s="383">
        <f t="shared" si="128"/>
        <v>15.23303555013935</v>
      </c>
      <c r="G342" s="110">
        <f t="shared" si="126"/>
        <v>0.50945647460848875</v>
      </c>
      <c r="H342" s="412" t="b">
        <f>Wh_hp&gt;='2022'!Maxi_hp</f>
        <v>0</v>
      </c>
      <c r="I342" s="379">
        <f>IF(H342,Wh_hp,'2022'!Maxi_hp)</f>
        <v>29.328916242000091</v>
      </c>
      <c r="J342" s="85">
        <f>IF(H342,An,'2022'!An_max)</f>
        <v>2020</v>
      </c>
      <c r="K342" s="197">
        <f t="shared" si="129"/>
        <v>45254</v>
      </c>
      <c r="L342" s="147">
        <f>IF(t&lt;Tvie,1-EXP((T0-t)*PertePVj)+'2022'!Pspv,1-EXP((T0-t)*PertePVj)+Pspv)</f>
        <v>3.3519789385938359E-2</v>
      </c>
      <c r="M342" s="832"/>
      <c r="N342" s="832"/>
      <c r="O342" s="48">
        <f>IF(t&lt;Tnet,'2022'!Resal+('2022'!Salim-'2022'!Resal)*(1-EXP(('2022'!Tnet-t)/('2022'!Tau_j))),Resal+(Salim-Resal)*(1-EXP((Tnet-t)/(Tau_j))))*Salcycl</f>
        <v>2.6650695022580041E-2</v>
      </c>
      <c r="P342" s="338">
        <f>(INDEX(Models!$BJ342:$BT342,,T342)*(1-R342)+INDEX(Models!$BJ342:$BT342,,T342+1)*R342-ERP_i)*Q342*Ramure*Pc/MaxiM</f>
        <v>2.8568606506873356E-2</v>
      </c>
      <c r="Q342" s="304">
        <f t="shared" si="130"/>
        <v>0.7</v>
      </c>
      <c r="R342" s="177">
        <f t="shared" si="131"/>
        <v>0.73431860925083503</v>
      </c>
      <c r="S342" s="799">
        <f t="shared" si="132"/>
        <v>0</v>
      </c>
      <c r="T342" s="176">
        <f t="shared" si="133"/>
        <v>6</v>
      </c>
      <c r="U342" s="250">
        <f t="shared" si="134"/>
        <v>0.73431860925083503</v>
      </c>
      <c r="V342" s="382">
        <f t="shared" si="135"/>
        <v>27.32456098671955</v>
      </c>
      <c r="W342" s="400">
        <f t="shared" si="136"/>
        <v>14.201553557949675</v>
      </c>
      <c r="X342" s="157">
        <f t="shared" si="137"/>
        <v>45254</v>
      </c>
      <c r="Y342" s="383">
        <f t="shared" si="138"/>
        <v>13.991611442800364</v>
      </c>
      <c r="Z342" s="383">
        <f t="shared" si="139"/>
        <v>14.476873182856659</v>
      </c>
      <c r="AA342" s="384">
        <f t="shared" si="140"/>
        <v>15.090940761489801</v>
      </c>
      <c r="AB342" s="197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4.06911396935681E-2</v>
      </c>
      <c r="AD342" s="230">
        <f>(INDEX(Models!$BJ342:$BT342,,AH342)*(1-AF342)+INDEX(Models!$BJ342:$BT342,,AH342+1)*AF342-ERP_i)*AE342*Ramure*Pc/MaxiM</f>
        <v>2.9715896954847873E-2</v>
      </c>
      <c r="AE342" s="304">
        <f t="shared" si="142"/>
        <v>0.7</v>
      </c>
      <c r="AF342" s="177">
        <f t="shared" si="143"/>
        <v>0.79865083151066718</v>
      </c>
      <c r="AG342" s="799">
        <f t="shared" si="149"/>
        <v>0</v>
      </c>
      <c r="AH342" s="176">
        <f t="shared" si="144"/>
        <v>6</v>
      </c>
      <c r="AI342" s="224">
        <f t="shared" si="145"/>
        <v>0.79865083151066718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45255</v>
      </c>
      <c r="B343" s="409">
        <f>'2022'!Wh/'2022'!Env_an*'2023'!Env_an</f>
        <v>4.1654178729570397</v>
      </c>
      <c r="C343" s="829"/>
      <c r="D343" s="391">
        <f t="shared" si="127"/>
        <v>4.3099668860510292</v>
      </c>
      <c r="E343" s="383">
        <f t="shared" si="125"/>
        <v>4.4282961858843111</v>
      </c>
      <c r="F343" s="383">
        <f t="shared" si="128"/>
        <v>4.4282961858843111</v>
      </c>
      <c r="G343" s="110">
        <f t="shared" si="126"/>
        <v>0.14930617382005101</v>
      </c>
      <c r="H343" s="412" t="b">
        <f>Wh_hp&gt;='2022'!Maxi_hp</f>
        <v>0</v>
      </c>
      <c r="I343" s="379">
        <f>IF(H343,Wh_hp,'2022'!Maxi_hp)</f>
        <v>27.79857439619018</v>
      </c>
      <c r="J343" s="85">
        <f>IF(H343,An,'2022'!An_max)</f>
        <v>2020</v>
      </c>
      <c r="K343" s="197">
        <f t="shared" si="129"/>
        <v>45255</v>
      </c>
      <c r="L343" s="147">
        <f>IF(t&lt;Tvie,1-EXP((T0-t)*PertePVj)+'2022'!Pspv,1-EXP((T0-t)*PertePVj)+Pspv)</f>
        <v>3.3538311758685269E-2</v>
      </c>
      <c r="M343" s="832"/>
      <c r="N343" s="832"/>
      <c r="O343" s="48">
        <f>IF(t&lt;Tnet,'2022'!Resal+('2022'!Salim-'2022'!Resal)*(1-EXP(('2022'!Tnet-t)/('2022'!Tau_j))),Resal+(Salim-Resal)*(1-EXP((Tnet-t)/(Tau_j))))*Salcycl</f>
        <v>2.6721180080607417E-2</v>
      </c>
      <c r="P343" s="338">
        <f>(INDEX(Models!$BJ343:$BT343,,T343)*(1-R343)+INDEX(Models!$BJ343:$BT343,,T343+1)*R343-ERP_i)*Q343*Ramure*Pc/MaxiM</f>
        <v>2.8734800131916621E-2</v>
      </c>
      <c r="Q343" s="304">
        <f t="shared" si="130"/>
        <v>0.7</v>
      </c>
      <c r="R343" s="177">
        <f t="shared" si="131"/>
        <v>0.73433544585195287</v>
      </c>
      <c r="S343" s="799">
        <f t="shared" si="132"/>
        <v>0</v>
      </c>
      <c r="T343" s="176">
        <f t="shared" si="133"/>
        <v>6</v>
      </c>
      <c r="U343" s="250">
        <f t="shared" si="134"/>
        <v>0.73433544585195287</v>
      </c>
      <c r="V343" s="382">
        <f t="shared" si="135"/>
        <v>27.096839463502395</v>
      </c>
      <c r="W343" s="400">
        <f t="shared" si="136"/>
        <v>4.1654178729570397</v>
      </c>
      <c r="X343" s="157">
        <f t="shared" si="137"/>
        <v>45255</v>
      </c>
      <c r="Y343" s="383">
        <f t="shared" si="138"/>
        <v>4.1054267365189787</v>
      </c>
      <c r="Z343" s="383">
        <f t="shared" si="139"/>
        <v>4.2478939273730418</v>
      </c>
      <c r="AA343" s="384">
        <f t="shared" si="140"/>
        <v>4.4282961858843111</v>
      </c>
      <c r="AB343" s="197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4.0738525820906382E-2</v>
      </c>
      <c r="AD343" s="230">
        <f>(INDEX(Models!$BJ343:$BT343,,AH343)*(1-AF343)+INDEX(Models!$BJ343:$BT343,,AH343+1)*AF343-ERP_i)*AE343*Ramure*Pc/MaxiM</f>
        <v>2.990562005860295E-2</v>
      </c>
      <c r="AE343" s="304">
        <f t="shared" si="142"/>
        <v>0.7</v>
      </c>
      <c r="AF343" s="177">
        <f t="shared" si="143"/>
        <v>0.79866766811178502</v>
      </c>
      <c r="AG343" s="799">
        <f t="shared" si="149"/>
        <v>0</v>
      </c>
      <c r="AH343" s="176">
        <f t="shared" si="144"/>
        <v>6</v>
      </c>
      <c r="AI343" s="224">
        <f t="shared" si="145"/>
        <v>0.79866766811178502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45256</v>
      </c>
      <c r="B344" s="409">
        <f>'2022'!Wh/'2022'!Env_an*'2023'!Env_an</f>
        <v>14.724442544420505</v>
      </c>
      <c r="C344" s="829"/>
      <c r="D344" s="391">
        <f t="shared" si="127"/>
        <v>15.235704549453702</v>
      </c>
      <c r="E344" s="383">
        <f t="shared" si="125"/>
        <v>15.655136478965565</v>
      </c>
      <c r="F344" s="383">
        <f t="shared" si="128"/>
        <v>15.817316840965431</v>
      </c>
      <c r="G344" s="110">
        <f t="shared" si="126"/>
        <v>0.53759437845293823</v>
      </c>
      <c r="H344" s="412" t="b">
        <f>Wh_hp&gt;='2022'!Maxi_hp</f>
        <v>0</v>
      </c>
      <c r="I344" s="379">
        <f>IF(H344,Wh_hp,'2022'!Maxi_hp)</f>
        <v>28.034337428546774</v>
      </c>
      <c r="J344" s="85">
        <f>IF(H344,An,'2022'!An_max)</f>
        <v>2020</v>
      </c>
      <c r="K344" s="197">
        <f t="shared" si="129"/>
        <v>45256</v>
      </c>
      <c r="L344" s="147">
        <f>IF(t&lt;Tvie,1-EXP((T0-t)*PertePVj)+'2022'!Pspv,1-EXP((T0-t)*PertePVj)+Pspv)</f>
        <v>3.355683377645502E-2</v>
      </c>
      <c r="M344" s="832"/>
      <c r="N344" s="832"/>
      <c r="O344" s="48">
        <f>IF(t&lt;Tnet,'2022'!Resal+('2022'!Salim-'2022'!Resal)*(1-EXP(('2022'!Tnet-t)/('2022'!Tau_j))),Resal+(Salim-Resal)*(1-EXP((Tnet-t)/(Tau_j))))*Salcycl</f>
        <v>2.679196888991774E-2</v>
      </c>
      <c r="P344" s="338">
        <f>(INDEX(Models!$BJ344:$BT344,,T344)*(1-R344)+INDEX(Models!$BJ344:$BT344,,T344+1)*R344-ERP_i)*Q344*Ramure*Pc/MaxiM</f>
        <v>2.8947443664132926E-2</v>
      </c>
      <c r="Q344" s="304">
        <f t="shared" si="130"/>
        <v>0.7</v>
      </c>
      <c r="R344" s="177">
        <f t="shared" si="131"/>
        <v>0.73435160589467163</v>
      </c>
      <c r="S344" s="799">
        <f t="shared" si="132"/>
        <v>0</v>
      </c>
      <c r="T344" s="176">
        <f t="shared" si="133"/>
        <v>6</v>
      </c>
      <c r="U344" s="250">
        <f t="shared" si="134"/>
        <v>0.73435160589467163</v>
      </c>
      <c r="V344" s="382">
        <f t="shared" si="135"/>
        <v>26.872175984038631</v>
      </c>
      <c r="W344" s="400">
        <f t="shared" si="136"/>
        <v>14.724442544420505</v>
      </c>
      <c r="X344" s="157">
        <f t="shared" si="137"/>
        <v>45256</v>
      </c>
      <c r="Y344" s="383">
        <f t="shared" si="138"/>
        <v>14.50648799820071</v>
      </c>
      <c r="Z344" s="383">
        <f t="shared" si="139"/>
        <v>15.010182186797374</v>
      </c>
      <c r="AA344" s="384">
        <f t="shared" si="140"/>
        <v>15.648426762725141</v>
      </c>
      <c r="AB344" s="197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4.0786501135569586E-2</v>
      </c>
      <c r="AD344" s="230">
        <f>(INDEX(Models!$BJ344:$BT344,,AH344)*(1-AF344)+INDEX(Models!$BJ344:$BT344,,AH344+1)*AF344-ERP_i)*AE344*Ramure*Pc/MaxiM</f>
        <v>3.0145055572732466E-2</v>
      </c>
      <c r="AE344" s="304">
        <f t="shared" si="142"/>
        <v>0.7</v>
      </c>
      <c r="AF344" s="177">
        <f t="shared" si="143"/>
        <v>0.79868382815450378</v>
      </c>
      <c r="AG344" s="799">
        <f t="shared" si="149"/>
        <v>0</v>
      </c>
      <c r="AH344" s="176">
        <f t="shared" si="144"/>
        <v>6</v>
      </c>
      <c r="AI344" s="224">
        <f t="shared" si="145"/>
        <v>0.79868382815450378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45257</v>
      </c>
      <c r="B345" s="409">
        <f>'2022'!Wh/'2022'!Env_an*'2023'!Env_an</f>
        <v>16.630080788966804</v>
      </c>
      <c r="C345" s="829"/>
      <c r="D345" s="391">
        <f t="shared" si="127"/>
        <v>17.207840137940011</v>
      </c>
      <c r="E345" s="383">
        <f t="shared" si="125"/>
        <v>17.682855927489776</v>
      </c>
      <c r="F345" s="383">
        <f t="shared" si="128"/>
        <v>17.925292196583715</v>
      </c>
      <c r="G345" s="110">
        <f t="shared" si="126"/>
        <v>0.61417245263810016</v>
      </c>
      <c r="H345" s="412" t="b">
        <f>Wh_hp&gt;='2022'!Maxi_hp</f>
        <v>0</v>
      </c>
      <c r="I345" s="379">
        <f>IF(H345,Wh_hp,'2022'!Maxi_hp)</f>
        <v>23.110543581605093</v>
      </c>
      <c r="J345" s="85">
        <f>IF(H345,An,'2022'!An_max)</f>
        <v>2020</v>
      </c>
      <c r="K345" s="197">
        <f t="shared" si="129"/>
        <v>45257</v>
      </c>
      <c r="L345" s="147">
        <f>IF(t&lt;Tvie,1-EXP((T0-t)*PertePVj)+'2022'!Pspv,1-EXP((T0-t)*PertePVj)+Pspv)</f>
        <v>3.3575355439254606E-2</v>
      </c>
      <c r="M345" s="832"/>
      <c r="N345" s="832"/>
      <c r="O345" s="48">
        <f>IF(t&lt;Tnet,'2022'!Resal+('2022'!Salim-'2022'!Resal)*(1-EXP(('2022'!Tnet-t)/('2022'!Tau_j))),Resal+(Salim-Resal)*(1-EXP((Tnet-t)/(Tau_j))))*Salcycl</f>
        <v>2.6863069602422376E-2</v>
      </c>
      <c r="P345" s="338">
        <f>(INDEX(Models!$BJ345:$BT345,,T345)*(1-R345)+INDEX(Models!$BJ345:$BT345,,T345+1)*R345-ERP_i)*Q345*Ramure*Pc/MaxiM</f>
        <v>2.9211559919283911E-2</v>
      </c>
      <c r="Q345" s="304">
        <f t="shared" si="130"/>
        <v>0.7</v>
      </c>
      <c r="R345" s="177">
        <f t="shared" si="131"/>
        <v>0.73436711651424003</v>
      </c>
      <c r="S345" s="799">
        <f t="shared" si="132"/>
        <v>0</v>
      </c>
      <c r="T345" s="176">
        <f t="shared" si="133"/>
        <v>6</v>
      </c>
      <c r="U345" s="250">
        <f t="shared" si="134"/>
        <v>0.73436711651424003</v>
      </c>
      <c r="V345" s="382">
        <f t="shared" si="135"/>
        <v>26.646640165404914</v>
      </c>
      <c r="W345" s="400">
        <f t="shared" si="136"/>
        <v>16.630080788966804</v>
      </c>
      <c r="X345" s="157">
        <f t="shared" si="137"/>
        <v>45257</v>
      </c>
      <c r="Y345" s="383">
        <f t="shared" si="138"/>
        <v>16.381864733865033</v>
      </c>
      <c r="Z345" s="383">
        <f t="shared" si="139"/>
        <v>16.951000604202139</v>
      </c>
      <c r="AA345" s="384">
        <f t="shared" si="140"/>
        <v>17.672665207235561</v>
      </c>
      <c r="AB345" s="197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4.0835074651782363E-2</v>
      </c>
      <c r="AD345" s="230">
        <f>(INDEX(Models!$BJ345:$BT345,,AH345)*(1-AF345)+INDEX(Models!$BJ345:$BT345,,AH345+1)*AF345-ERP_i)*AE345*Ramure*Pc/MaxiM</f>
        <v>3.0439457199006655E-2</v>
      </c>
      <c r="AE345" s="304">
        <f t="shared" si="142"/>
        <v>0.7</v>
      </c>
      <c r="AF345" s="177">
        <f t="shared" si="143"/>
        <v>0.79869933877407218</v>
      </c>
      <c r="AG345" s="799">
        <f t="shared" si="149"/>
        <v>0</v>
      </c>
      <c r="AH345" s="176">
        <f t="shared" si="144"/>
        <v>6</v>
      </c>
      <c r="AI345" s="224">
        <f t="shared" si="145"/>
        <v>0.79869933877407218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45258</v>
      </c>
      <c r="B346" s="409">
        <f>'2022'!Wh/'2022'!Env_an*'2023'!Env_an</f>
        <v>9.379512900191088</v>
      </c>
      <c r="C346" s="829"/>
      <c r="D346" s="391">
        <f t="shared" si="127"/>
        <v>9.7055602965550136</v>
      </c>
      <c r="E346" s="383">
        <f t="shared" si="125"/>
        <v>9.9742105580280747</v>
      </c>
      <c r="F346" s="383">
        <f t="shared" si="128"/>
        <v>9.9974279576207952</v>
      </c>
      <c r="G346" s="110">
        <f t="shared" si="126"/>
        <v>0.34537193923890203</v>
      </c>
      <c r="H346" s="412" t="b">
        <f>Wh_hp&gt;='2022'!Maxi_hp</f>
        <v>0</v>
      </c>
      <c r="I346" s="379">
        <f>IF(H346,Wh_hp,'2022'!Maxi_hp)</f>
        <v>17.324015395081876</v>
      </c>
      <c r="J346" s="85">
        <f>IF(H346,An,'2022'!An_max)</f>
        <v>2020</v>
      </c>
      <c r="K346" s="197">
        <f t="shared" si="129"/>
        <v>45258</v>
      </c>
      <c r="L346" s="147">
        <f>IF(t&lt;Tvie,1-EXP((T0-t)*PertePVj)+'2022'!Pspv,1-EXP((T0-t)*PertePVj)+Pspv)</f>
        <v>3.359387674709069E-2</v>
      </c>
      <c r="M346" s="832"/>
      <c r="N346" s="832"/>
      <c r="O346" s="48">
        <f>IF(t&lt;Tnet,'2022'!Resal+('2022'!Salim-'2022'!Resal)*(1-EXP(('2022'!Tnet-t)/('2022'!Tau_j))),Resal+(Salim-Resal)*(1-EXP((Tnet-t)/(Tau_j))))*Salcycl</f>
        <v>2.6934488690619127E-2</v>
      </c>
      <c r="P346" s="338">
        <f>(INDEX(Models!$BJ346:$BT346,,T346)*(1-R346)+INDEX(Models!$BJ346:$BT346,,T346+1)*R346-ERP_i)*Q346*Ramure*Pc/MaxiM</f>
        <v>2.9528068518101105E-2</v>
      </c>
      <c r="Q346" s="304">
        <f t="shared" si="130"/>
        <v>0.7</v>
      </c>
      <c r="R346" s="177">
        <f t="shared" si="131"/>
        <v>0.73438200376162788</v>
      </c>
      <c r="S346" s="799">
        <f t="shared" si="132"/>
        <v>0</v>
      </c>
      <c r="T346" s="176">
        <f t="shared" si="133"/>
        <v>6</v>
      </c>
      <c r="U346" s="250">
        <f t="shared" si="134"/>
        <v>0.73438200376162788</v>
      </c>
      <c r="V346" s="382">
        <f t="shared" si="135"/>
        <v>26.417150240369804</v>
      </c>
      <c r="W346" s="400">
        <f t="shared" si="136"/>
        <v>9.379512900191088</v>
      </c>
      <c r="X346" s="157">
        <f t="shared" si="137"/>
        <v>45258</v>
      </c>
      <c r="Y346" s="383">
        <f t="shared" si="138"/>
        <v>9.2441300811131679</v>
      </c>
      <c r="Z346" s="383">
        <f t="shared" si="139"/>
        <v>9.5654713465572403</v>
      </c>
      <c r="AA346" s="384">
        <f t="shared" si="140"/>
        <v>9.9732189515192324</v>
      </c>
      <c r="AB346" s="197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4.0884252811864606E-2</v>
      </c>
      <c r="AD346" s="230">
        <f>(INDEX(Models!$BJ346:$BT346,,AH346)*(1-AF346)+INDEX(Models!$BJ346:$BT346,,AH346+1)*AF346-ERP_i)*AE346*Ramure*Pc/MaxiM</f>
        <v>3.0789201351654735E-2</v>
      </c>
      <c r="AE346" s="304">
        <f t="shared" si="142"/>
        <v>0.7</v>
      </c>
      <c r="AF346" s="177">
        <f t="shared" si="143"/>
        <v>0.79871422602146003</v>
      </c>
      <c r="AG346" s="799">
        <f t="shared" si="149"/>
        <v>0</v>
      </c>
      <c r="AH346" s="176">
        <f t="shared" si="144"/>
        <v>6</v>
      </c>
      <c r="AI346" s="224">
        <f t="shared" si="145"/>
        <v>0.79871422602146003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45259</v>
      </c>
      <c r="B347" s="409">
        <f>'2022'!Wh/'2022'!Env_an*'2023'!Env_an</f>
        <v>10.430187300689035</v>
      </c>
      <c r="C347" s="829"/>
      <c r="D347" s="391">
        <f t="shared" si="127"/>
        <v>10.792964723331398</v>
      </c>
      <c r="E347" s="383">
        <f t="shared" si="125"/>
        <v>11.092532209999423</v>
      </c>
      <c r="F347" s="383">
        <f t="shared" si="128"/>
        <v>11.139266561324234</v>
      </c>
      <c r="G347" s="110">
        <f t="shared" si="126"/>
        <v>0.38804262638925091</v>
      </c>
      <c r="H347" s="412" t="b">
        <f>Wh_hp&gt;='2022'!Maxi_hp</f>
        <v>0</v>
      </c>
      <c r="I347" s="379">
        <f>IF(H347,Wh_hp,'2022'!Maxi_hp)</f>
        <v>14.807733331286865</v>
      </c>
      <c r="J347" s="85">
        <f>IF(H347,An,'2022'!An_max)</f>
        <v>2018</v>
      </c>
      <c r="K347" s="197">
        <f t="shared" si="129"/>
        <v>45259</v>
      </c>
      <c r="L347" s="147">
        <f>IF(t&lt;Tvie,1-EXP((T0-t)*PertePVj)+'2022'!Pspv,1-EXP((T0-t)*PertePVj)+Pspv)</f>
        <v>3.3612397699970153E-2</v>
      </c>
      <c r="M347" s="832"/>
      <c r="N347" s="832"/>
      <c r="O347" s="48">
        <f>IF(t&lt;Tnet,'2022'!Resal+('2022'!Salim-'2022'!Resal)*(1-EXP(('2022'!Tnet-t)/('2022'!Tau_j))),Resal+(Salim-Resal)*(1-EXP((Tnet-t)/(Tau_j))))*Salcycl</f>
        <v>2.7006230948599663E-2</v>
      </c>
      <c r="P347" s="338">
        <f>(INDEX(Models!$BJ347:$BT347,,T347)*(1-R347)+INDEX(Models!$BJ347:$BT347,,T347+1)*R347-ERP_i)*Q347*Ramure*Pc/MaxiM</f>
        <v>2.9872143427674996E-2</v>
      </c>
      <c r="Q347" s="304">
        <f t="shared" si="130"/>
        <v>0.7</v>
      </c>
      <c r="R347" s="177">
        <f t="shared" si="131"/>
        <v>0.73439629264653117</v>
      </c>
      <c r="S347" s="799">
        <f t="shared" si="132"/>
        <v>0</v>
      </c>
      <c r="T347" s="176">
        <f t="shared" si="133"/>
        <v>6</v>
      </c>
      <c r="U347" s="250">
        <f t="shared" si="134"/>
        <v>0.73439629264653117</v>
      </c>
      <c r="V347" s="382">
        <f t="shared" si="135"/>
        <v>26.185902436893844</v>
      </c>
      <c r="W347" s="400">
        <f t="shared" si="136"/>
        <v>10.430187300689035</v>
      </c>
      <c r="X347" s="157">
        <f t="shared" si="137"/>
        <v>45259</v>
      </c>
      <c r="Y347" s="383">
        <f t="shared" si="138"/>
        <v>10.279006685283768</v>
      </c>
      <c r="Z347" s="383">
        <f t="shared" si="139"/>
        <v>10.636525821336534</v>
      </c>
      <c r="AA347" s="384">
        <f t="shared" si="140"/>
        <v>11.090504990776678</v>
      </c>
      <c r="AB347" s="197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4.0934039506559154E-2</v>
      </c>
      <c r="AD347" s="230">
        <f>(INDEX(Models!$BJ347:$BT347,,AH347)*(1-AF347)+INDEX(Models!$BJ347:$BT347,,AH347+1)*AF347-ERP_i)*AE347*Ramure*Pc/MaxiM</f>
        <v>3.1167922264109013E-2</v>
      </c>
      <c r="AE347" s="304">
        <f t="shared" si="142"/>
        <v>0.7</v>
      </c>
      <c r="AF347" s="177">
        <f t="shared" si="143"/>
        <v>0.79872851490636332</v>
      </c>
      <c r="AG347" s="799">
        <f t="shared" si="149"/>
        <v>0</v>
      </c>
      <c r="AH347" s="176">
        <f t="shared" si="144"/>
        <v>6</v>
      </c>
      <c r="AI347" s="224">
        <f t="shared" si="145"/>
        <v>0.79872851490636332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45260</v>
      </c>
      <c r="B348" s="409">
        <f>'2022'!Wh/'2022'!Env_an*'2023'!Env_an</f>
        <v>4.6492641242619293</v>
      </c>
      <c r="C348" s="829"/>
      <c r="D348" s="391">
        <f t="shared" si="127"/>
        <v>4.8110646463078215</v>
      </c>
      <c r="E348" s="383">
        <f t="shared" si="125"/>
        <v>4.9449659143725366</v>
      </c>
      <c r="F348" s="383">
        <f t="shared" si="128"/>
        <v>4.9449659143725366</v>
      </c>
      <c r="G348" s="110">
        <f t="shared" si="126"/>
        <v>0.17371436631383194</v>
      </c>
      <c r="H348" s="412" t="b">
        <f>Wh_hp&gt;='2022'!Maxi_hp</f>
        <v>0</v>
      </c>
      <c r="I348" s="379">
        <f>IF(H348,Wh_hp,'2022'!Maxi_hp)</f>
        <v>27.039927040267969</v>
      </c>
      <c r="J348" s="85">
        <f>IF(H348,An,'2022'!An_max)</f>
        <v>2020</v>
      </c>
      <c r="K348" s="197">
        <f t="shared" si="129"/>
        <v>45260</v>
      </c>
      <c r="L348" s="147">
        <f>IF(t&lt;Tvie,1-EXP((T0-t)*PertePVj)+'2022'!Pspv,1-EXP((T0-t)*PertePVj)+Pspv)</f>
        <v>3.363091829789977E-2</v>
      </c>
      <c r="M348" s="832"/>
      <c r="N348" s="832"/>
      <c r="O348" s="48">
        <f>IF(t&lt;Tnet,'2022'!Resal+('2022'!Salim-'2022'!Resal)*(1-EXP(('2022'!Tnet-t)/('2022'!Tau_j))),Resal+(Salim-Resal)*(1-EXP((Tnet-t)/(Tau_j))))*Salcycl</f>
        <v>2.7078299503649015E-2</v>
      </c>
      <c r="P348" s="338">
        <f>(INDEX(Models!$BJ348:$BT348,,T348)*(1-R348)+INDEX(Models!$BJ348:$BT348,,T348+1)*R348-ERP_i)*Q348*Ramure*Pc/MaxiM</f>
        <v>3.024278030704319E-2</v>
      </c>
      <c r="Q348" s="304">
        <f t="shared" si="130"/>
        <v>0.7</v>
      </c>
      <c r="R348" s="177">
        <f t="shared" si="131"/>
        <v>0.73441000717869842</v>
      </c>
      <c r="S348" s="799">
        <f t="shared" si="132"/>
        <v>0</v>
      </c>
      <c r="T348" s="176">
        <f t="shared" si="133"/>
        <v>6</v>
      </c>
      <c r="U348" s="250">
        <f t="shared" si="134"/>
        <v>0.73441000717869842</v>
      </c>
      <c r="V348" s="382">
        <f t="shared" si="135"/>
        <v>25.954430519679235</v>
      </c>
      <c r="W348" s="400">
        <f t="shared" si="136"/>
        <v>4.6492641242619293</v>
      </c>
      <c r="X348" s="157">
        <f t="shared" si="137"/>
        <v>45260</v>
      </c>
      <c r="Y348" s="383">
        <f t="shared" si="138"/>
        <v>4.5828113953295668</v>
      </c>
      <c r="Z348" s="383">
        <f t="shared" si="139"/>
        <v>4.7422992747840178</v>
      </c>
      <c r="AA348" s="384">
        <f t="shared" si="140"/>
        <v>4.9449659143725366</v>
      </c>
      <c r="AB348" s="197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4.0984436110968699E-2</v>
      </c>
      <c r="AD348" s="230">
        <f>(INDEX(Models!$BJ348:$BT348,,AH348)*(1-AF348)+INDEX(Models!$BJ348:$BT348,,AH348+1)*AF348-ERP_i)*AE348*Ramure*Pc/MaxiM</f>
        <v>3.1574583414486046E-2</v>
      </c>
      <c r="AE348" s="304">
        <f t="shared" si="142"/>
        <v>0.7</v>
      </c>
      <c r="AF348" s="177">
        <f t="shared" si="143"/>
        <v>0.79874222943853057</v>
      </c>
      <c r="AG348" s="799">
        <f t="shared" si="149"/>
        <v>0</v>
      </c>
      <c r="AH348" s="176">
        <f t="shared" si="144"/>
        <v>6</v>
      </c>
      <c r="AI348" s="224">
        <f t="shared" si="145"/>
        <v>0.79874222943853057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45261</v>
      </c>
      <c r="B349" s="409">
        <f>'2022'!Wh/'2022'!Env_an*'2023'!Env_an</f>
        <v>3.4491708227716811</v>
      </c>
      <c r="C349" s="829"/>
      <c r="D349" s="391">
        <f t="shared" si="127"/>
        <v>3.5692749198217504</v>
      </c>
      <c r="E349" s="383">
        <f t="shared" si="125"/>
        <v>3.6688877758896963</v>
      </c>
      <c r="F349" s="383">
        <f t="shared" si="128"/>
        <v>3.6688877758896963</v>
      </c>
      <c r="G349" s="110">
        <f t="shared" si="126"/>
        <v>0.12997424101542573</v>
      </c>
      <c r="H349" s="412" t="b">
        <f>Wh_hp&gt;='2022'!Maxi_hp</f>
        <v>0</v>
      </c>
      <c r="I349" s="379">
        <f>IF(H349,Wh_hp,'2022'!Maxi_hp)</f>
        <v>27.868335200452961</v>
      </c>
      <c r="J349" s="85">
        <f>IF(H349,An,'2022'!An_max)</f>
        <v>2020</v>
      </c>
      <c r="K349" s="197">
        <f t="shared" si="129"/>
        <v>45261</v>
      </c>
      <c r="L349" s="147">
        <f>IF(t&lt;Tvie,1-EXP((T0-t)*PertePVj)+'2022'!Pspv,1-EXP((T0-t)*PertePVj)+Pspv)</f>
        <v>3.3649438540886423E-2</v>
      </c>
      <c r="M349" s="832"/>
      <c r="N349" s="832"/>
      <c r="O349" s="48">
        <f>IF(t&lt;Tnet,'2022'!Resal+('2022'!Salim-'2022'!Resal)*(1-EXP(('2022'!Tnet-t)/('2022'!Tau_j))),Resal+(Salim-Resal)*(1-EXP((Tnet-t)/(Tau_j))))*Salcycl</f>
        <v>2.7150695838274945E-2</v>
      </c>
      <c r="P349" s="338">
        <f>(INDEX(Models!$BJ349:$BT349,,T349)*(1-R349)+INDEX(Models!$BJ349:$BT349,,T349+1)*R349-ERP_i)*Q349*Ramure*Pc/MaxiM</f>
        <v>3.0638856308727248E-2</v>
      </c>
      <c r="Q349" s="304">
        <f t="shared" si="130"/>
        <v>0.7</v>
      </c>
      <c r="R349" s="177">
        <f t="shared" si="131"/>
        <v>0.73442317040763883</v>
      </c>
      <c r="S349" s="799">
        <f t="shared" si="132"/>
        <v>0</v>
      </c>
      <c r="T349" s="176">
        <f t="shared" si="133"/>
        <v>6</v>
      </c>
      <c r="U349" s="250">
        <f t="shared" si="134"/>
        <v>0.73442317040763883</v>
      </c>
      <c r="V349" s="382">
        <f t="shared" si="135"/>
        <v>25.724267727416152</v>
      </c>
      <c r="W349" s="400">
        <f t="shared" si="136"/>
        <v>3.4491708227716811</v>
      </c>
      <c r="X349" s="157">
        <f t="shared" si="137"/>
        <v>45261</v>
      </c>
      <c r="Y349" s="383">
        <f t="shared" si="138"/>
        <v>3.3999434043664682</v>
      </c>
      <c r="Z349" s="383">
        <f t="shared" si="139"/>
        <v>3.5183333460611026</v>
      </c>
      <c r="AA349" s="384">
        <f t="shared" si="140"/>
        <v>3.6688877758896963</v>
      </c>
      <c r="AB349" s="197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4.103544153570754E-2</v>
      </c>
      <c r="AD349" s="230">
        <f>(INDEX(Models!$BJ349:$BT349,,AH349)*(1-AF349)+INDEX(Models!$BJ349:$BT349,,AH349+1)*AF349-ERP_i)*AE349*Ramure*Pc/MaxiM</f>
        <v>3.2008020552316455E-2</v>
      </c>
      <c r="AE349" s="304">
        <f t="shared" si="142"/>
        <v>0.7</v>
      </c>
      <c r="AF349" s="177">
        <f t="shared" si="143"/>
        <v>0.79875539266747098</v>
      </c>
      <c r="AG349" s="799">
        <f t="shared" si="149"/>
        <v>0</v>
      </c>
      <c r="AH349" s="176">
        <f t="shared" si="144"/>
        <v>6</v>
      </c>
      <c r="AI349" s="224">
        <f t="shared" si="145"/>
        <v>0.79875539266747098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45262</v>
      </c>
      <c r="B350" s="409">
        <f>'2022'!Wh/'2022'!Env_an*'2023'!Env_an</f>
        <v>6.0158168457703738</v>
      </c>
      <c r="C350" s="829"/>
      <c r="D350" s="391">
        <f t="shared" si="127"/>
        <v>6.2254138194464241</v>
      </c>
      <c r="E350" s="383">
        <f t="shared" si="125"/>
        <v>6.3996337353331283</v>
      </c>
      <c r="F350" s="383">
        <f t="shared" si="128"/>
        <v>6.3996337353331283</v>
      </c>
      <c r="G350" s="110">
        <f t="shared" si="126"/>
        <v>0.22861446819865777</v>
      </c>
      <c r="H350" s="412" t="b">
        <f>Wh_hp&gt;='2022'!Maxi_hp</f>
        <v>0</v>
      </c>
      <c r="I350" s="379">
        <f>IF(H350,Wh_hp,'2022'!Maxi_hp)</f>
        <v>10.826785026069079</v>
      </c>
      <c r="J350" s="85">
        <f>IF(H350,An,'2022'!An_max)</f>
        <v>2021</v>
      </c>
      <c r="K350" s="197">
        <f t="shared" si="129"/>
        <v>45262</v>
      </c>
      <c r="L350" s="147">
        <f>IF(t&lt;Tvie,1-EXP((T0-t)*PertePVj)+'2022'!Pspv,1-EXP((T0-t)*PertePVj)+Pspv)</f>
        <v>3.3667958428936773E-2</v>
      </c>
      <c r="M350" s="832"/>
      <c r="N350" s="832"/>
      <c r="O350" s="48">
        <f>IF(t&lt;Tnet,'2022'!Resal+('2022'!Salim-'2022'!Resal)*(1-EXP(('2022'!Tnet-t)/('2022'!Tau_j))),Resal+(Salim-Resal)*(1-EXP((Tnet-t)/(Tau_j))))*Salcycl</f>
        <v>2.7223419822421255E-2</v>
      </c>
      <c r="P350" s="338">
        <f>(INDEX(Models!$BJ350:$BT350,,T350)*(1-R350)+INDEX(Models!$BJ350:$BT350,,T350+1)*R350-ERP_i)*Q350*Ramure*Pc/MaxiM</f>
        <v>3.1059110757635431E-2</v>
      </c>
      <c r="Q350" s="304">
        <f t="shared" si="130"/>
        <v>0.7</v>
      </c>
      <c r="R350" s="177">
        <f t="shared" si="131"/>
        <v>0.73443580446077639</v>
      </c>
      <c r="S350" s="799">
        <f t="shared" si="132"/>
        <v>0</v>
      </c>
      <c r="T350" s="176">
        <f t="shared" si="133"/>
        <v>6</v>
      </c>
      <c r="U350" s="250">
        <f t="shared" si="134"/>
        <v>0.73443580446077639</v>
      </c>
      <c r="V350" s="382">
        <f t="shared" si="135"/>
        <v>25.49694675926974</v>
      </c>
      <c r="W350" s="400">
        <f t="shared" si="136"/>
        <v>6.0158168457703738</v>
      </c>
      <c r="X350" s="157">
        <f t="shared" si="137"/>
        <v>45262</v>
      </c>
      <c r="Y350" s="383">
        <f t="shared" si="138"/>
        <v>5.9300817700519861</v>
      </c>
      <c r="Z350" s="383">
        <f t="shared" si="139"/>
        <v>6.1366916493950212</v>
      </c>
      <c r="AA350" s="384">
        <f t="shared" si="140"/>
        <v>6.3996337353331283</v>
      </c>
      <c r="AB350" s="197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4.1087052292754375E-2</v>
      </c>
      <c r="AD350" s="230">
        <f>(INDEX(Models!$BJ350:$BT350,,AH350)*(1-AF350)+INDEX(Models!$BJ350:$BT350,,AH350+1)*AF350-ERP_i)*AE350*Ramure*Pc/MaxiM</f>
        <v>3.2466921196734853E-2</v>
      </c>
      <c r="AE350" s="304">
        <f t="shared" si="142"/>
        <v>0.7</v>
      </c>
      <c r="AF350" s="177">
        <f t="shared" si="143"/>
        <v>0.79876802672060854</v>
      </c>
      <c r="AG350" s="799">
        <f t="shared" si="149"/>
        <v>0</v>
      </c>
      <c r="AH350" s="176">
        <f t="shared" si="144"/>
        <v>6</v>
      </c>
      <c r="AI350" s="224">
        <f t="shared" si="145"/>
        <v>0.79876802672060854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45263</v>
      </c>
      <c r="B351" s="409">
        <f>'2022'!Wh/'2022'!Env_an*'2023'!Env_an</f>
        <v>11.114670552443135</v>
      </c>
      <c r="C351" s="829"/>
      <c r="D351" s="391">
        <f t="shared" si="127"/>
        <v>11.502137038300409</v>
      </c>
      <c r="E351" s="383">
        <f t="shared" si="125"/>
        <v>11.824915486232127</v>
      </c>
      <c r="F351" s="383">
        <f t="shared" si="128"/>
        <v>11.89976427383959</v>
      </c>
      <c r="G351" s="110">
        <f t="shared" si="126"/>
        <v>0.42860931164933702</v>
      </c>
      <c r="H351" s="412" t="b">
        <f>Wh_hp&gt;='2022'!Maxi_hp</f>
        <v>0</v>
      </c>
      <c r="I351" s="379">
        <f>IF(H351,Wh_hp,'2022'!Maxi_hp)</f>
        <v>17.956998625515752</v>
      </c>
      <c r="J351" s="85">
        <f>IF(H351,An,'2022'!An_max)</f>
        <v>2021</v>
      </c>
      <c r="K351" s="197">
        <f t="shared" si="129"/>
        <v>45263</v>
      </c>
      <c r="L351" s="147">
        <f>IF(t&lt;Tvie,1-EXP((T0-t)*PertePVj)+'2022'!Pspv,1-EXP((T0-t)*PertePVj)+Pspv)</f>
        <v>3.3686477962057704E-2</v>
      </c>
      <c r="M351" s="832"/>
      <c r="N351" s="832"/>
      <c r="O351" s="48">
        <f>IF(t&lt;Tnet,'2022'!Resal+('2022'!Salim-'2022'!Resal)*(1-EXP(('2022'!Tnet-t)/('2022'!Tau_j))),Resal+(Salim-Resal)*(1-EXP((Tnet-t)/(Tau_j))))*Salcycl</f>
        <v>2.7296469755537144E-2</v>
      </c>
      <c r="P351" s="338">
        <f>(INDEX(Models!$BJ351:$BT351,,T351)*(1-R351)+INDEX(Models!$BJ351:$BT351,,T351+1)*R351-ERP_i)*Q351*Ramure*Pc/MaxiM</f>
        <v>3.1502126368593654E-2</v>
      </c>
      <c r="Q351" s="304">
        <f t="shared" si="130"/>
        <v>0.7</v>
      </c>
      <c r="R351" s="177">
        <f t="shared" si="131"/>
        <v>0.73444793058010649</v>
      </c>
      <c r="S351" s="799">
        <f t="shared" si="132"/>
        <v>0</v>
      </c>
      <c r="T351" s="176">
        <f t="shared" si="133"/>
        <v>6</v>
      </c>
      <c r="U351" s="250">
        <f t="shared" si="134"/>
        <v>0.73444793058010649</v>
      </c>
      <c r="V351" s="382">
        <f t="shared" si="135"/>
        <v>25.273999752409793</v>
      </c>
      <c r="W351" s="400">
        <f t="shared" si="136"/>
        <v>11.114670552443135</v>
      </c>
      <c r="X351" s="157">
        <f t="shared" si="137"/>
        <v>45263</v>
      </c>
      <c r="Y351" s="383">
        <f t="shared" si="138"/>
        <v>10.953307769593355</v>
      </c>
      <c r="Z351" s="383">
        <f t="shared" si="139"/>
        <v>11.335149017156436</v>
      </c>
      <c r="AA351" s="384">
        <f t="shared" si="140"/>
        <v>11.821475814726957</v>
      </c>
      <c r="AB351" s="197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4.1139262575377054E-2</v>
      </c>
      <c r="AD351" s="230">
        <f>(INDEX(Models!$BJ351:$BT351,,AH351)*(1-AF351)+INDEX(Models!$BJ351:$BT351,,AH351+1)*AF351-ERP_i)*AE351*Ramure*Pc/MaxiM</f>
        <v>3.2949804679571412E-2</v>
      </c>
      <c r="AE351" s="304">
        <f t="shared" si="142"/>
        <v>0.7</v>
      </c>
      <c r="AF351" s="177">
        <f t="shared" si="143"/>
        <v>0.79878015283993864</v>
      </c>
      <c r="AG351" s="799">
        <f t="shared" si="149"/>
        <v>0</v>
      </c>
      <c r="AH351" s="176">
        <f t="shared" si="144"/>
        <v>6</v>
      </c>
      <c r="AI351" s="224">
        <f t="shared" si="145"/>
        <v>0.79878015283993864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45264</v>
      </c>
      <c r="B352" s="409">
        <f>'2022'!Wh/'2022'!Env_an*'2023'!Env_an</f>
        <v>21.746313561918711</v>
      </c>
      <c r="C352" s="829"/>
      <c r="D352" s="391">
        <f t="shared" si="127"/>
        <v>22.504839099406119</v>
      </c>
      <c r="E352" s="383">
        <f t="shared" si="125"/>
        <v>23.138125960803364</v>
      </c>
      <c r="F352" s="383">
        <f t="shared" si="128"/>
        <v>23.75387042405092</v>
      </c>
      <c r="G352" s="110">
        <f t="shared" si="126"/>
        <v>0.86248980424082111</v>
      </c>
      <c r="H352" s="412" t="b">
        <f>Wh_hp&gt;='2022'!Maxi_hp</f>
        <v>0</v>
      </c>
      <c r="I352" s="379">
        <f>IF(H352,Wh_hp,'2022'!Maxi_hp)</f>
        <v>23.797511851297955</v>
      </c>
      <c r="J352" s="85">
        <f>IF(H352,An,'2022'!An_max)</f>
        <v>2022</v>
      </c>
      <c r="K352" s="197">
        <f t="shared" si="129"/>
        <v>45264</v>
      </c>
      <c r="L352" s="147">
        <f>IF(t&lt;Tvie,1-EXP((T0-t)*PertePVj)+'2022'!Pspv,1-EXP((T0-t)*PertePVj)+Pspv)</f>
        <v>3.3704997140256099E-2</v>
      </c>
      <c r="M352" s="832"/>
      <c r="N352" s="832"/>
      <c r="O352" s="48">
        <f>IF(t&lt;Tnet,'2022'!Resal+('2022'!Salim-'2022'!Resal)*(1-EXP(('2022'!Tnet-t)/('2022'!Tau_j))),Resal+(Salim-Resal)*(1-EXP((Tnet-t)/(Tau_j))))*Salcycl</f>
        <v>2.7369842418096067E-2</v>
      </c>
      <c r="P352" s="338">
        <f>(INDEX(Models!$BJ352:$BT352,,T352)*(1-R352)+INDEX(Models!$BJ352:$BT352,,T352+1)*R352-ERP_i)*Q352*Ramure*Pc/MaxiM</f>
        <v>3.1953611435983013E-2</v>
      </c>
      <c r="Q352" s="304">
        <f t="shared" si="130"/>
        <v>0.7</v>
      </c>
      <c r="R352" s="177">
        <f t="shared" si="131"/>
        <v>0.7344595691574145</v>
      </c>
      <c r="S352" s="799">
        <f t="shared" si="132"/>
        <v>0</v>
      </c>
      <c r="T352" s="176">
        <f t="shared" si="133"/>
        <v>6</v>
      </c>
      <c r="U352" s="250">
        <f t="shared" si="134"/>
        <v>0.7344595691574145</v>
      </c>
      <c r="V352" s="382">
        <f t="shared" si="135"/>
        <v>25.057286995135943</v>
      </c>
      <c r="W352" s="400">
        <f t="shared" si="136"/>
        <v>21.746313561918711</v>
      </c>
      <c r="X352" s="157">
        <f t="shared" si="137"/>
        <v>45264</v>
      </c>
      <c r="Y352" s="383">
        <f t="shared" si="138"/>
        <v>21.410717341482645</v>
      </c>
      <c r="Z352" s="383">
        <f t="shared" si="139"/>
        <v>22.157537064889876</v>
      </c>
      <c r="AA352" s="384">
        <f t="shared" si="140"/>
        <v>23.109463575623078</v>
      </c>
      <c r="AB352" s="197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4.1192064351391396E-2</v>
      </c>
      <c r="AD352" s="230">
        <f>(INDEX(Models!$BJ352:$BT352,,AH352)*(1-AF352)+INDEX(Models!$BJ352:$BT352,,AH352+1)*AF352-ERP_i)*AE352*Ramure*Pc/MaxiM</f>
        <v>3.3441025084899906E-2</v>
      </c>
      <c r="AE352" s="304">
        <f t="shared" si="142"/>
        <v>0.7</v>
      </c>
      <c r="AF352" s="177">
        <f t="shared" si="143"/>
        <v>0.79879179141724665</v>
      </c>
      <c r="AG352" s="799">
        <f t="shared" si="149"/>
        <v>0</v>
      </c>
      <c r="AH352" s="176">
        <f t="shared" si="144"/>
        <v>6</v>
      </c>
      <c r="AI352" s="224">
        <f t="shared" si="145"/>
        <v>0.79879179141724665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45265</v>
      </c>
      <c r="B353" s="409">
        <f>'2022'!Wh/'2022'!Env_an*'2023'!Env_an</f>
        <v>25.763282146083075</v>
      </c>
      <c r="C353" s="829"/>
      <c r="D353" s="391">
        <f t="shared" si="127"/>
        <v>26.662433135556803</v>
      </c>
      <c r="E353" s="383">
        <f t="shared" si="125"/>
        <v>27.41479188496087</v>
      </c>
      <c r="F353" s="383">
        <f t="shared" si="128"/>
        <v>28.332410903227839</v>
      </c>
      <c r="G353" s="110">
        <f t="shared" si="126"/>
        <v>1.0367954994143609</v>
      </c>
      <c r="H353" s="412" t="b">
        <f>Wh_hp&gt;='2022'!Maxi_hp</f>
        <v>1</v>
      </c>
      <c r="I353" s="379">
        <f>IF(H353,Wh_hp,'2022'!Maxi_hp)</f>
        <v>28.332410903227839</v>
      </c>
      <c r="J353" s="85">
        <f>IF(H353,An,'2022'!An_max)</f>
        <v>2023</v>
      </c>
      <c r="K353" s="197">
        <f t="shared" si="129"/>
        <v>45265</v>
      </c>
      <c r="L353" s="147">
        <f>IF(t&lt;Tvie,1-EXP((T0-t)*PertePVj)+'2022'!Pspv,1-EXP((T0-t)*PertePVj)+Pspv)</f>
        <v>3.3723515963538508E-2</v>
      </c>
      <c r="M353" s="832"/>
      <c r="N353" s="832"/>
      <c r="O353" s="48">
        <f>IF(t&lt;Tnet,'2022'!Resal+('2022'!Salim-'2022'!Resal)*(1-EXP(('2022'!Tnet-t)/('2022'!Tau_j))),Resal+(Salim-Resal)*(1-EXP((Tnet-t)/(Tau_j))))*Salcycl</f>
        <v>2.7443533132082421E-2</v>
      </c>
      <c r="P353" s="338">
        <f>(INDEX(Models!$BJ353:$BT353,,T353)*(1-R353)+INDEX(Models!$BJ353:$BT353,,T353+1)*R353-ERP_i)*Q353*Ramure*Pc/MaxiM</f>
        <v>3.2387608008410944E-2</v>
      </c>
      <c r="Q353" s="304">
        <f t="shared" si="130"/>
        <v>0.7</v>
      </c>
      <c r="R353" s="177">
        <f t="shared" si="131"/>
        <v>0.73447073976810962</v>
      </c>
      <c r="S353" s="799">
        <f t="shared" si="132"/>
        <v>0</v>
      </c>
      <c r="T353" s="176">
        <f t="shared" si="133"/>
        <v>6</v>
      </c>
      <c r="U353" s="250">
        <f t="shared" si="134"/>
        <v>0.73447073976810962</v>
      </c>
      <c r="V353" s="382">
        <f t="shared" si="135"/>
        <v>24.848952527895417</v>
      </c>
      <c r="W353" s="400">
        <f t="shared" si="136"/>
        <v>25.763282146083075</v>
      </c>
      <c r="X353" s="157">
        <f t="shared" si="137"/>
        <v>45265</v>
      </c>
      <c r="Y353" s="383">
        <f t="shared" si="138"/>
        <v>25.357630992987072</v>
      </c>
      <c r="Z353" s="383">
        <f t="shared" si="139"/>
        <v>26.242624561305401</v>
      </c>
      <c r="AA353" s="384">
        <f t="shared" si="140"/>
        <v>27.371577524221991</v>
      </c>
      <c r="AB353" s="197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4.124544746891351E-2</v>
      </c>
      <c r="AD353" s="230">
        <f>(INDEX(Models!$BJ353:$BT353,,AH353)*(1-AF353)+INDEX(Models!$BJ353:$BT353,,AH353+1)*AF353-ERP_i)*AE353*Ramure*Pc/MaxiM</f>
        <v>3.3912870397357672E-2</v>
      </c>
      <c r="AE353" s="304">
        <f t="shared" si="142"/>
        <v>0.7</v>
      </c>
      <c r="AF353" s="177">
        <f t="shared" si="143"/>
        <v>0.79880296202794177</v>
      </c>
      <c r="AG353" s="799">
        <f t="shared" si="149"/>
        <v>0</v>
      </c>
      <c r="AH353" s="176">
        <f t="shared" si="144"/>
        <v>6</v>
      </c>
      <c r="AI353" s="224">
        <f t="shared" si="145"/>
        <v>0.79880296202794177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45266</v>
      </c>
      <c r="B354" s="409">
        <f>'2022'!Wh/'2022'!Env_an*'2023'!Env_an</f>
        <v>16.32352385438961</v>
      </c>
      <c r="C354" s="829"/>
      <c r="D354" s="391">
        <f t="shared" si="127"/>
        <v>16.893546481443586</v>
      </c>
      <c r="E354" s="383">
        <f t="shared" si="125"/>
        <v>17.371569261004769</v>
      </c>
      <c r="F354" s="383">
        <f t="shared" si="128"/>
        <v>17.671495370625365</v>
      </c>
      <c r="G354" s="110">
        <f t="shared" si="126"/>
        <v>0.65153487695466183</v>
      </c>
      <c r="H354" s="412" t="b">
        <f>Wh_hp&gt;='2022'!Maxi_hp</f>
        <v>0</v>
      </c>
      <c r="I354" s="379">
        <f>IF(H354,Wh_hp,'2022'!Maxi_hp)</f>
        <v>24.344380996305986</v>
      </c>
      <c r="J354" s="85">
        <f>IF(H354,An,'2022'!An_max)</f>
        <v>2020</v>
      </c>
      <c r="K354" s="197">
        <f t="shared" si="129"/>
        <v>45266</v>
      </c>
      <c r="L354" s="147">
        <f>IF(t&lt;Tvie,1-EXP((T0-t)*PertePVj)+'2022'!Pspv,1-EXP((T0-t)*PertePVj)+Pspv)</f>
        <v>3.3742034431912038E-2</v>
      </c>
      <c r="M354" s="832"/>
      <c r="N354" s="832"/>
      <c r="O354" s="48">
        <f>IF(t&lt;Tnet,'2022'!Resal+('2022'!Salim-'2022'!Resal)*(1-EXP(('2022'!Tnet-t)/('2022'!Tau_j))),Resal+(Salim-Resal)*(1-EXP((Tnet-t)/(Tau_j))))*Salcycl</f>
        <v>2.751753582989408E-2</v>
      </c>
      <c r="P354" s="338">
        <f>(INDEX(Models!$BJ354:$BT354,,T354)*(1-R354)+INDEX(Models!$BJ354:$BT354,,T354+1)*R354-ERP_i)*Q354*Ramure*Pc/MaxiM</f>
        <v>3.2801455164122646E-2</v>
      </c>
      <c r="Q354" s="304">
        <f t="shared" si="130"/>
        <v>0.7</v>
      </c>
      <c r="R354" s="177">
        <f t="shared" si="131"/>
        <v>0.73448146120372804</v>
      </c>
      <c r="S354" s="799">
        <f t="shared" si="132"/>
        <v>0</v>
      </c>
      <c r="T354" s="176">
        <f t="shared" si="133"/>
        <v>6</v>
      </c>
      <c r="U354" s="250">
        <f t="shared" si="134"/>
        <v>0.73448146120372804</v>
      </c>
      <c r="V354" s="382">
        <f t="shared" si="135"/>
        <v>24.650522723171061</v>
      </c>
      <c r="W354" s="400">
        <f t="shared" si="136"/>
        <v>16.32352385438961</v>
      </c>
      <c r="X354" s="157">
        <f t="shared" si="137"/>
        <v>45266</v>
      </c>
      <c r="Y354" s="383">
        <f t="shared" si="138"/>
        <v>16.078966863887722</v>
      </c>
      <c r="Z354" s="383">
        <f t="shared" si="139"/>
        <v>16.640449483316271</v>
      </c>
      <c r="AA354" s="384">
        <f t="shared" si="140"/>
        <v>17.357295363524138</v>
      </c>
      <c r="AB354" s="197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4.1299399773670892E-2</v>
      </c>
      <c r="AD354" s="230">
        <f>(INDEX(Models!$BJ354:$BT354,,AH354)*(1-AF354)+INDEX(Models!$BJ354:$BT354,,AH354+1)*AF354-ERP_i)*AE354*Ramure*Pc/MaxiM</f>
        <v>3.436252168420792E-2</v>
      </c>
      <c r="AE354" s="304">
        <f t="shared" si="142"/>
        <v>0.7</v>
      </c>
      <c r="AF354" s="177">
        <f t="shared" si="143"/>
        <v>0.79881368346356019</v>
      </c>
      <c r="AG354" s="799">
        <f t="shared" si="149"/>
        <v>0</v>
      </c>
      <c r="AH354" s="176">
        <f t="shared" si="144"/>
        <v>6</v>
      </c>
      <c r="AI354" s="224">
        <f t="shared" si="145"/>
        <v>0.79881368346356019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45267</v>
      </c>
      <c r="B355" s="409">
        <f>'2022'!Wh/'2022'!Env_an*'2023'!Env_an</f>
        <v>19.095812696404835</v>
      </c>
      <c r="C355" s="829"/>
      <c r="D355" s="391">
        <f t="shared" si="127"/>
        <v>19.76302328238544</v>
      </c>
      <c r="E355" s="383">
        <f t="shared" si="125"/>
        <v>20.323794224454176</v>
      </c>
      <c r="F355" s="383">
        <f t="shared" si="128"/>
        <v>20.797735265771806</v>
      </c>
      <c r="G355" s="110">
        <f t="shared" si="126"/>
        <v>0.77227232710920812</v>
      </c>
      <c r="H355" s="412" t="b">
        <f>Wh_hp&gt;='2022'!Maxi_hp</f>
        <v>0</v>
      </c>
      <c r="I355" s="379">
        <f>IF(H355,Wh_hp,'2022'!Maxi_hp)</f>
        <v>20.865678044403491</v>
      </c>
      <c r="J355" s="85">
        <f>IF(H355,An,'2022'!An_max)</f>
        <v>2022</v>
      </c>
      <c r="K355" s="197">
        <f t="shared" si="129"/>
        <v>45267</v>
      </c>
      <c r="L355" s="147">
        <f>IF(t&lt;Tvie,1-EXP((T0-t)*PertePVj)+'2022'!Pspv,1-EXP((T0-t)*PertePVj)+Pspv)</f>
        <v>3.3760552545383238E-2</v>
      </c>
      <c r="M355" s="832"/>
      <c r="N355" s="832"/>
      <c r="O355" s="48">
        <f>IF(t&lt;Tnet,'2022'!Resal+('2022'!Salim-'2022'!Resal)*(1-EXP(('2022'!Tnet-t)/('2022'!Tau_j))),Resal+(Salim-Resal)*(1-EXP((Tnet-t)/(Tau_j))))*Salcycl</f>
        <v>2.7591843131042949E-2</v>
      </c>
      <c r="P355" s="338">
        <f>(INDEX(Models!$BJ355:$BT355,,T355)*(1-R355)+INDEX(Models!$BJ355:$BT355,,T355+1)*R355-ERP_i)*Q355*Ramure*Pc/MaxiM</f>
        <v>3.319233747038855E-2</v>
      </c>
      <c r="Q355" s="304">
        <f t="shared" si="130"/>
        <v>0.7</v>
      </c>
      <c r="R355" s="177">
        <f t="shared" si="131"/>
        <v>0.73449175150315604</v>
      </c>
      <c r="S355" s="799">
        <f t="shared" si="132"/>
        <v>0</v>
      </c>
      <c r="T355" s="176">
        <f t="shared" si="133"/>
        <v>6</v>
      </c>
      <c r="U355" s="250">
        <f t="shared" si="134"/>
        <v>0.73449175150315604</v>
      </c>
      <c r="V355" s="382">
        <f t="shared" si="135"/>
        <v>24.463523763802058</v>
      </c>
      <c r="W355" s="400">
        <f t="shared" si="136"/>
        <v>19.095812696404835</v>
      </c>
      <c r="X355" s="157">
        <f t="shared" si="137"/>
        <v>45267</v>
      </c>
      <c r="Y355" s="383">
        <f t="shared" si="138"/>
        <v>18.804467084304552</v>
      </c>
      <c r="Z355" s="383">
        <f t="shared" si="139"/>
        <v>19.461498010499906</v>
      </c>
      <c r="AA355" s="384">
        <f t="shared" si="140"/>
        <v>20.301024702875651</v>
      </c>
      <c r="AB355" s="197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4.1353907236851277E-2</v>
      </c>
      <c r="AD355" s="230">
        <f>(INDEX(Models!$BJ355:$BT355,,AH355)*(1-AF355)+INDEX(Models!$BJ355:$BT355,,AH355+1)*AF355-ERP_i)*AE355*Ramure*Pc/MaxiM</f>
        <v>3.4786994987645474E-2</v>
      </c>
      <c r="AE355" s="304">
        <f t="shared" si="142"/>
        <v>0.7</v>
      </c>
      <c r="AF355" s="177">
        <f t="shared" si="143"/>
        <v>0.79882397376298819</v>
      </c>
      <c r="AG355" s="799">
        <f t="shared" si="149"/>
        <v>0</v>
      </c>
      <c r="AH355" s="176">
        <f t="shared" si="144"/>
        <v>6</v>
      </c>
      <c r="AI355" s="224">
        <f t="shared" si="145"/>
        <v>0.79882397376298819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45268</v>
      </c>
      <c r="B356" s="409">
        <f>'2022'!Wh/'2022'!Env_an*'2023'!Env_an</f>
        <v>4.6518580348835421</v>
      </c>
      <c r="C356" s="829"/>
      <c r="D356" s="391">
        <f t="shared" si="127"/>
        <v>4.8144869272775423</v>
      </c>
      <c r="E356" s="383">
        <f t="shared" si="125"/>
        <v>4.9514766919035615</v>
      </c>
      <c r="F356" s="383">
        <f t="shared" si="128"/>
        <v>4.9514766919035615</v>
      </c>
      <c r="G356" s="110">
        <f t="shared" si="126"/>
        <v>0.18509057913608296</v>
      </c>
      <c r="H356" s="412" t="b">
        <f>Wh_hp&gt;='2022'!Maxi_hp</f>
        <v>0</v>
      </c>
      <c r="I356" s="379">
        <f>IF(H356,Wh_hp,'2022'!Maxi_hp)</f>
        <v>18.164839905008368</v>
      </c>
      <c r="J356" s="85">
        <f>IF(H356,An,'2022'!An_max)</f>
        <v>2018</v>
      </c>
      <c r="K356" s="197">
        <f t="shared" si="129"/>
        <v>45268</v>
      </c>
      <c r="L356" s="147">
        <f>IF(t&lt;Tvie,1-EXP((T0-t)*PertePVj)+'2022'!Pspv,1-EXP((T0-t)*PertePVj)+Pspv)</f>
        <v>3.3779070303959102E-2</v>
      </c>
      <c r="M356" s="832"/>
      <c r="N356" s="832"/>
      <c r="O356" s="48">
        <f>IF(t&lt;Tnet,'2022'!Resal+('2022'!Salim-'2022'!Resal)*(1-EXP(('2022'!Tnet-t)/('2022'!Tau_j))),Resal+(Salim-Resal)*(1-EXP((Tnet-t)/(Tau_j))))*Salcycl</f>
        <v>2.7666446425976189E-2</v>
      </c>
      <c r="P356" s="338">
        <f>(INDEX(Models!$BJ356:$BT356,,T356)*(1-R356)+INDEX(Models!$BJ356:$BT356,,T356+1)*R356-ERP_i)*Q356*Ramure*Pc/MaxiM</f>
        <v>3.3557304181448061E-2</v>
      </c>
      <c r="Q356" s="304">
        <f t="shared" si="130"/>
        <v>0.7</v>
      </c>
      <c r="R356" s="177">
        <f t="shared" si="131"/>
        <v>0.73450162798262331</v>
      </c>
      <c r="S356" s="799">
        <f t="shared" si="132"/>
        <v>0</v>
      </c>
      <c r="T356" s="176">
        <f t="shared" si="133"/>
        <v>6</v>
      </c>
      <c r="U356" s="250">
        <f t="shared" si="134"/>
        <v>0.73450162798262331</v>
      </c>
      <c r="V356" s="382">
        <f t="shared" si="135"/>
        <v>24.289481619119343</v>
      </c>
      <c r="W356" s="400">
        <f t="shared" si="136"/>
        <v>4.6518580348835421</v>
      </c>
      <c r="X356" s="157">
        <f t="shared" si="137"/>
        <v>45268</v>
      </c>
      <c r="Y356" s="383">
        <f t="shared" si="138"/>
        <v>4.5861108491852995</v>
      </c>
      <c r="Z356" s="383">
        <f t="shared" si="139"/>
        <v>4.7464412208789799</v>
      </c>
      <c r="AA356" s="384">
        <f t="shared" si="140"/>
        <v>4.9514766919035615</v>
      </c>
      <c r="AB356" s="197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4.1408954092391557E-2</v>
      </c>
      <c r="AD356" s="230">
        <f>(INDEX(Models!$BJ356:$BT356,,AH356)*(1-AF356)+INDEX(Models!$BJ356:$BT356,,AH356+1)*AF356-ERP_i)*AE356*Ramure*Pc/MaxiM</f>
        <v>3.5183162112097391E-2</v>
      </c>
      <c r="AE356" s="304">
        <f t="shared" si="142"/>
        <v>0.7</v>
      </c>
      <c r="AF356" s="177">
        <f t="shared" si="143"/>
        <v>0.79883385024245546</v>
      </c>
      <c r="AG356" s="799">
        <f t="shared" si="149"/>
        <v>0</v>
      </c>
      <c r="AH356" s="176">
        <f t="shared" si="144"/>
        <v>6</v>
      </c>
      <c r="AI356" s="224">
        <f t="shared" si="145"/>
        <v>0.79883385024245546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45269</v>
      </c>
      <c r="B357" s="409">
        <f>'2022'!Wh/'2022'!Env_an*'2023'!Env_an</f>
        <v>9.3999884975004182</v>
      </c>
      <c r="C357" s="829"/>
      <c r="D357" s="391">
        <f t="shared" si="127"/>
        <v>9.7287984152291358</v>
      </c>
      <c r="E357" s="383">
        <f t="shared" si="125"/>
        <v>10.006389014695158</v>
      </c>
      <c r="F357" s="383">
        <f t="shared" si="128"/>
        <v>10.049968457499343</v>
      </c>
      <c r="G357" s="110">
        <f t="shared" si="126"/>
        <v>0.37799305143265111</v>
      </c>
      <c r="H357" s="412" t="b">
        <f>Wh_hp&gt;='2022'!Maxi_hp</f>
        <v>0</v>
      </c>
      <c r="I357" s="379">
        <f>IF(H357,Wh_hp,'2022'!Maxi_hp)</f>
        <v>10.143572329853523</v>
      </c>
      <c r="J357" s="85">
        <f>IF(H357,An,'2022'!An_max)</f>
        <v>2022</v>
      </c>
      <c r="K357" s="197">
        <f t="shared" si="129"/>
        <v>45269</v>
      </c>
      <c r="L357" s="147">
        <f>IF(t&lt;Tvie,1-EXP((T0-t)*PertePVj)+'2022'!Pspv,1-EXP((T0-t)*PertePVj)+Pspv)</f>
        <v>3.3797587707646293E-2</v>
      </c>
      <c r="M357" s="832"/>
      <c r="N357" s="832"/>
      <c r="O357" s="48">
        <f>IF(t&lt;Tnet,'2022'!Resal+('2022'!Salim-'2022'!Resal)*(1-EXP(('2022'!Tnet-t)/('2022'!Tau_j))),Resal+(Salim-Resal)*(1-EXP((Tnet-t)/(Tau_j))))*Salcycl</f>
        <v>2.7741335966287025E-2</v>
      </c>
      <c r="P357" s="338">
        <f>(INDEX(Models!$BJ357:$BT357,,T357)*(1-R357)+INDEX(Models!$BJ357:$BT357,,T357+1)*R357-ERP_i)*Q357*Ramure*Pc/MaxiM</f>
        <v>3.389329381388826E-2</v>
      </c>
      <c r="Q357" s="304">
        <f t="shared" si="130"/>
        <v>0.7</v>
      </c>
      <c r="R357" s="177">
        <f t="shared" si="131"/>
        <v>0.7345111072645113</v>
      </c>
      <c r="S357" s="799">
        <f t="shared" si="132"/>
        <v>0</v>
      </c>
      <c r="T357" s="176">
        <f t="shared" si="133"/>
        <v>6</v>
      </c>
      <c r="U357" s="250">
        <f t="shared" si="134"/>
        <v>0.7345111072645113</v>
      </c>
      <c r="V357" s="382">
        <f t="shared" si="135"/>
        <v>24.129922023142672</v>
      </c>
      <c r="W357" s="400">
        <f t="shared" si="136"/>
        <v>9.3999884975004182</v>
      </c>
      <c r="X357" s="157">
        <f t="shared" si="137"/>
        <v>45269</v>
      </c>
      <c r="Y357" s="383">
        <f t="shared" si="138"/>
        <v>9.2653398360044559</v>
      </c>
      <c r="Z357" s="383">
        <f t="shared" si="139"/>
        <v>9.5894397676177068</v>
      </c>
      <c r="AA357" s="384">
        <f t="shared" si="140"/>
        <v>10.004261707094914</v>
      </c>
      <c r="AB357" s="197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4.1464522982542551E-2</v>
      </c>
      <c r="AD357" s="230">
        <f>(INDEX(Models!$BJ357:$BT357,,AH357)*(1-AF357)+INDEX(Models!$BJ357:$BT357,,AH357+1)*AF357-ERP_i)*AE357*Ramure*Pc/MaxiM</f>
        <v>3.5547777141073891E-2</v>
      </c>
      <c r="AE357" s="304">
        <f t="shared" si="142"/>
        <v>0.7</v>
      </c>
      <c r="AF357" s="177">
        <f t="shared" si="143"/>
        <v>0.79884332952434345</v>
      </c>
      <c r="AG357" s="799">
        <f t="shared" si="149"/>
        <v>0</v>
      </c>
      <c r="AH357" s="176">
        <f t="shared" si="144"/>
        <v>6</v>
      </c>
      <c r="AI357" s="224">
        <f t="shared" si="145"/>
        <v>0.79884332952434345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45270</v>
      </c>
      <c r="B358" s="409">
        <f>'2022'!Wh/'2022'!Env_an*'2023'!Env_an</f>
        <v>15.719936746335001</v>
      </c>
      <c r="C358" s="829"/>
      <c r="D358" s="391">
        <f t="shared" si="127"/>
        <v>16.270129137654937</v>
      </c>
      <c r="E358" s="383">
        <f t="shared" si="125"/>
        <v>16.735656543985943</v>
      </c>
      <c r="F358" s="383">
        <f t="shared" si="128"/>
        <v>17.031335882906912</v>
      </c>
      <c r="G358" s="110">
        <f t="shared" si="126"/>
        <v>0.64414062877418554</v>
      </c>
      <c r="H358" s="412" t="b">
        <f>Wh_hp&gt;='2022'!Maxi_hp</f>
        <v>0</v>
      </c>
      <c r="I358" s="379">
        <f>IF(H358,Wh_hp,'2022'!Maxi_hp)</f>
        <v>19.483808473016875</v>
      </c>
      <c r="J358" s="85">
        <f>IF(H358,An,'2022'!An_max)</f>
        <v>2018</v>
      </c>
      <c r="K358" s="197">
        <f t="shared" si="129"/>
        <v>45270</v>
      </c>
      <c r="L358" s="147">
        <f>IF(t&lt;Tvie,1-EXP((T0-t)*PertePVj)+'2022'!Pspv,1-EXP((T0-t)*PertePVj)+Pspv)</f>
        <v>3.3816104756451693E-2</v>
      </c>
      <c r="M358" s="832"/>
      <c r="N358" s="832"/>
      <c r="O358" s="48">
        <f>IF(t&lt;Tnet,'2022'!Resal+('2022'!Salim-'2022'!Resal)*(1-EXP(('2022'!Tnet-t)/('2022'!Tau_j))),Resal+(Salim-Resal)*(1-EXP((Tnet-t)/(Tau_j))))*Salcycl</f>
        <v>2.7816500960537151E-2</v>
      </c>
      <c r="P358" s="338">
        <f>(INDEX(Models!$BJ358:$BT358,,T358)*(1-R358)+INDEX(Models!$BJ358:$BT358,,T358+1)*R358-ERP_i)*Q358*Ramure*Pc/MaxiM</f>
        <v>3.4197164366980393E-2</v>
      </c>
      <c r="Q358" s="304">
        <f t="shared" si="130"/>
        <v>0.7</v>
      </c>
      <c r="R358" s="177">
        <f t="shared" si="131"/>
        <v>0.73452020530502693</v>
      </c>
      <c r="S358" s="799">
        <f t="shared" si="132"/>
        <v>0</v>
      </c>
      <c r="T358" s="176">
        <f t="shared" si="133"/>
        <v>6</v>
      </c>
      <c r="U358" s="250">
        <f t="shared" si="134"/>
        <v>0.73452020530502693</v>
      </c>
      <c r="V358" s="382">
        <f t="shared" si="135"/>
        <v>23.986370461863899</v>
      </c>
      <c r="W358" s="400">
        <f t="shared" si="136"/>
        <v>15.719936746335001</v>
      </c>
      <c r="X358" s="157">
        <f t="shared" si="137"/>
        <v>45270</v>
      </c>
      <c r="Y358" s="383">
        <f t="shared" si="138"/>
        <v>15.484890724233107</v>
      </c>
      <c r="Z358" s="383">
        <f t="shared" si="139"/>
        <v>16.026856585443078</v>
      </c>
      <c r="AA358" s="384">
        <f t="shared" si="140"/>
        <v>16.72112776099824</v>
      </c>
      <c r="AB358" s="197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4.1520595110488903E-2</v>
      </c>
      <c r="AD358" s="230">
        <f>(INDEX(Models!$BJ358:$BT358,,AH358)*(1-AF358)+INDEX(Models!$BJ358:$BT358,,AH358+1)*AF358-ERP_i)*AE358*Ramure*Pc/MaxiM</f>
        <v>3.5877508964934787E-2</v>
      </c>
      <c r="AE358" s="304">
        <f t="shared" si="142"/>
        <v>0.7</v>
      </c>
      <c r="AF358" s="177">
        <f t="shared" si="143"/>
        <v>0.79885242756485908</v>
      </c>
      <c r="AG358" s="799">
        <f t="shared" si="149"/>
        <v>0</v>
      </c>
      <c r="AH358" s="176">
        <f t="shared" si="144"/>
        <v>6</v>
      </c>
      <c r="AI358" s="224">
        <f t="shared" si="145"/>
        <v>0.79885242756485908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45271</v>
      </c>
      <c r="B359" s="409">
        <f>'2022'!Wh/'2022'!Env_an*'2023'!Env_an</f>
        <v>14.982404135597944</v>
      </c>
      <c r="C359" s="829"/>
      <c r="D359" s="391">
        <f t="shared" si="127"/>
        <v>15.507080328306873</v>
      </c>
      <c r="E359" s="383">
        <f t="shared" si="125"/>
        <v>15.952012745990725</v>
      </c>
      <c r="F359" s="383">
        <f t="shared" si="128"/>
        <v>16.21399212644889</v>
      </c>
      <c r="G359" s="110">
        <f t="shared" si="126"/>
        <v>0.61638748831703094</v>
      </c>
      <c r="H359" s="412" t="b">
        <f>Wh_hp&gt;='2022'!Maxi_hp</f>
        <v>0</v>
      </c>
      <c r="I359" s="379">
        <f>IF(H359,Wh_hp,'2022'!Maxi_hp)</f>
        <v>16.447360617108369</v>
      </c>
      <c r="J359" s="85">
        <f>IF(H359,An,'2022'!An_max)</f>
        <v>2021</v>
      </c>
      <c r="K359" s="197">
        <f t="shared" si="129"/>
        <v>45271</v>
      </c>
      <c r="L359" s="147">
        <f>IF(t&lt;Tvie,1-EXP((T0-t)*PertePVj)+'2022'!Pspv,1-EXP((T0-t)*PertePVj)+Pspv)</f>
        <v>3.3834621450382074E-2</v>
      </c>
      <c r="M359" s="832"/>
      <c r="N359" s="832"/>
      <c r="O359" s="48">
        <f>IF(t&lt;Tnet,'2022'!Resal+('2022'!Salim-'2022'!Resal)*(1-EXP(('2022'!Tnet-t)/('2022'!Tau_j))),Resal+(Salim-Resal)*(1-EXP((Tnet-t)/(Tau_j))))*Salcycl</f>
        <v>2.7891929674873039E-2</v>
      </c>
      <c r="P359" s="338">
        <f>(INDEX(Models!$BJ359:$BT359,,T359)*(1-R359)+INDEX(Models!$BJ359:$BT359,,T359+1)*R359-ERP_i)*Q359*Ramure*Pc/MaxiM</f>
        <v>3.4474221379494407E-2</v>
      </c>
      <c r="Q359" s="304">
        <f t="shared" si="130"/>
        <v>0.7</v>
      </c>
      <c r="R359" s="177">
        <f t="shared" si="131"/>
        <v>0.73452893742077996</v>
      </c>
      <c r="S359" s="799">
        <f t="shared" si="132"/>
        <v>0</v>
      </c>
      <c r="T359" s="176">
        <f t="shared" si="133"/>
        <v>6</v>
      </c>
      <c r="U359" s="250">
        <f t="shared" si="134"/>
        <v>0.73452893742077996</v>
      </c>
      <c r="V359" s="382">
        <f t="shared" si="135"/>
        <v>23.854264816618631</v>
      </c>
      <c r="W359" s="400">
        <f t="shared" si="136"/>
        <v>14.982404135597944</v>
      </c>
      <c r="X359" s="157">
        <f t="shared" si="137"/>
        <v>45271</v>
      </c>
      <c r="Y359" s="383">
        <f t="shared" si="138"/>
        <v>14.759495093987049</v>
      </c>
      <c r="Z359" s="383">
        <f t="shared" si="139"/>
        <v>15.276365125133768</v>
      </c>
      <c r="AA359" s="384">
        <f t="shared" si="140"/>
        <v>15.939066072443506</v>
      </c>
      <c r="AB359" s="197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4.1577150398758797E-2</v>
      </c>
      <c r="AD359" s="230">
        <f>(INDEX(Models!$BJ359:$BT359,,AH359)*(1-AF359)+INDEX(Models!$BJ359:$BT359,,AH359+1)*AF359-ERP_i)*AE359*Ramure*Pc/MaxiM</f>
        <v>3.6177891680623957E-2</v>
      </c>
      <c r="AE359" s="304">
        <f t="shared" si="142"/>
        <v>0.7</v>
      </c>
      <c r="AF359" s="177">
        <f t="shared" si="143"/>
        <v>0.79886115968061211</v>
      </c>
      <c r="AG359" s="799">
        <f t="shared" si="149"/>
        <v>0</v>
      </c>
      <c r="AH359" s="176">
        <f t="shared" si="144"/>
        <v>6</v>
      </c>
      <c r="AI359" s="224">
        <f t="shared" si="145"/>
        <v>0.79886115968061211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45272</v>
      </c>
      <c r="B360" s="409">
        <f>'2022'!Wh/'2022'!Env_an*'2023'!Env_an</f>
        <v>6.9101087641639127</v>
      </c>
      <c r="C360" s="829"/>
      <c r="D360" s="391">
        <f t="shared" si="127"/>
        <v>7.1522343387355205</v>
      </c>
      <c r="E360" s="383">
        <f t="shared" si="125"/>
        <v>7.3580205854385872</v>
      </c>
      <c r="F360" s="383">
        <f t="shared" si="128"/>
        <v>7.3580205854385872</v>
      </c>
      <c r="G360" s="110">
        <f t="shared" si="126"/>
        <v>0.28109887398230665</v>
      </c>
      <c r="H360" s="412" t="b">
        <f>Wh_hp&gt;='2022'!Maxi_hp</f>
        <v>0</v>
      </c>
      <c r="I360" s="379">
        <f>IF(H360,Wh_hp,'2022'!Maxi_hp)</f>
        <v>25.134038937177625</v>
      </c>
      <c r="J360" s="85">
        <f>IF(H360,An,'2022'!An_max)</f>
        <v>2021</v>
      </c>
      <c r="K360" s="197">
        <f t="shared" si="129"/>
        <v>45272</v>
      </c>
      <c r="L360" s="147">
        <f>IF(t&lt;Tvie,1-EXP((T0-t)*PertePVj)+'2022'!Pspv,1-EXP((T0-t)*PertePVj)+Pspv)</f>
        <v>3.385313778944421E-2</v>
      </c>
      <c r="M360" s="832"/>
      <c r="N360" s="832"/>
      <c r="O360" s="48">
        <f>IF(t&lt;Tnet,'2022'!Resal+('2022'!Salim-'2022'!Resal)*(1-EXP(('2022'!Tnet-t)/('2022'!Tau_j))),Resal+(Salim-Resal)*(1-EXP((Tnet-t)/(Tau_j))))*Salcycl</f>
        <v>2.7967609537586074E-2</v>
      </c>
      <c r="P360" s="338">
        <f>(INDEX(Models!$BJ360:$BT360,,T360)*(1-R360)+INDEX(Models!$BJ360:$BT360,,T360+1)*R360-ERP_i)*Q360*Ramure*Pc/MaxiM</f>
        <v>3.4730621968640532E-2</v>
      </c>
      <c r="Q360" s="304">
        <f t="shared" si="130"/>
        <v>0.7</v>
      </c>
      <c r="R360" s="177">
        <f t="shared" si="131"/>
        <v>0.73453731831431179</v>
      </c>
      <c r="S360" s="799">
        <f t="shared" si="132"/>
        <v>0</v>
      </c>
      <c r="T360" s="176">
        <f t="shared" si="133"/>
        <v>6</v>
      </c>
      <c r="U360" s="250">
        <f t="shared" si="134"/>
        <v>0.73453731831431179</v>
      </c>
      <c r="V360" s="382">
        <f t="shared" si="135"/>
        <v>23.728719700717782</v>
      </c>
      <c r="W360" s="400">
        <f t="shared" si="136"/>
        <v>6.9101087641639127</v>
      </c>
      <c r="X360" s="157">
        <f t="shared" si="137"/>
        <v>45272</v>
      </c>
      <c r="Y360" s="383">
        <f t="shared" si="138"/>
        <v>6.8129541796769724</v>
      </c>
      <c r="Z360" s="383">
        <f t="shared" si="139"/>
        <v>7.0516755227966588</v>
      </c>
      <c r="AA360" s="384">
        <f t="shared" si="140"/>
        <v>7.3580205854385872</v>
      </c>
      <c r="AB360" s="197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4.1634167652123771E-2</v>
      </c>
      <c r="AD360" s="230">
        <f>(INDEX(Models!$BJ360:$BT360,,AH360)*(1-AF360)+INDEX(Models!$BJ360:$BT360,,AH360+1)*AF360-ERP_i)*AE360*Ramure*Pc/MaxiM</f>
        <v>3.6455362643493978E-2</v>
      </c>
      <c r="AE360" s="304">
        <f t="shared" si="142"/>
        <v>0.7</v>
      </c>
      <c r="AF360" s="177">
        <f t="shared" si="143"/>
        <v>0.79886954057414394</v>
      </c>
      <c r="AG360" s="799">
        <f t="shared" si="149"/>
        <v>0</v>
      </c>
      <c r="AH360" s="176">
        <f t="shared" si="144"/>
        <v>6</v>
      </c>
      <c r="AI360" s="224">
        <f t="shared" si="145"/>
        <v>0.79886954057414394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45273</v>
      </c>
      <c r="B361" s="409">
        <f>'2022'!Wh/'2022'!Env_an*'2023'!Env_an</f>
        <v>6.4713059952328278</v>
      </c>
      <c r="C361" s="829"/>
      <c r="D361" s="391">
        <f t="shared" si="127"/>
        <v>6.6981845843871559</v>
      </c>
      <c r="E361" s="383">
        <f t="shared" ref="E361:E379" si="150">Wh_pvt/(1-Psa)</f>
        <v>6.8914450103030118</v>
      </c>
      <c r="F361" s="383">
        <f t="shared" si="128"/>
        <v>6.8914450103030118</v>
      </c>
      <c r="G361" s="110">
        <f t="shared" ref="G361:G379" si="151">+Wh_hp/MaxiM</f>
        <v>0.26449959631036407</v>
      </c>
      <c r="H361" s="412" t="b">
        <f>Wh_hp&gt;='2022'!Maxi_hp</f>
        <v>0</v>
      </c>
      <c r="I361" s="379">
        <f>IF(H361,Wh_hp,'2022'!Maxi_hp)</f>
        <v>25.832835378767957</v>
      </c>
      <c r="J361" s="85">
        <f>IF(H361,An,'2022'!An_max)</f>
        <v>2021</v>
      </c>
      <c r="K361" s="197">
        <f t="shared" si="129"/>
        <v>45273</v>
      </c>
      <c r="L361" s="147">
        <f>IF(t&lt;Tvie,1-EXP((T0-t)*PertePVj)+'2022'!Pspv,1-EXP((T0-t)*PertePVj)+Pspv)</f>
        <v>3.3871653773644983E-2</v>
      </c>
      <c r="M361" s="832"/>
      <c r="N361" s="832"/>
      <c r="O361" s="48">
        <f>IF(t&lt;Tnet,'2022'!Resal+('2022'!Salim-'2022'!Resal)*(1-EXP(('2022'!Tnet-t)/('2022'!Tau_j))),Resal+(Salim-Resal)*(1-EXP((Tnet-t)/(Tau_j))))*Salcycl</f>
        <v>2.804352724674191E-2</v>
      </c>
      <c r="P361" s="338">
        <f>(INDEX(Models!$BJ361:$BT361,,T361)*(1-R361)+INDEX(Models!$BJ361:$BT361,,T361+1)*R361-ERP_i)*Q361*Ramure*Pc/MaxiM</f>
        <v>3.4965789332661451E-2</v>
      </c>
      <c r="Q361" s="304">
        <f t="shared" si="130"/>
        <v>0.7</v>
      </c>
      <c r="R361" s="177">
        <f t="shared" si="131"/>
        <v>0.73454536209861254</v>
      </c>
      <c r="S361" s="799">
        <f t="shared" si="132"/>
        <v>0</v>
      </c>
      <c r="T361" s="176">
        <f t="shared" si="133"/>
        <v>6</v>
      </c>
      <c r="U361" s="250">
        <f t="shared" si="134"/>
        <v>0.73454536209861254</v>
      </c>
      <c r="V361" s="382">
        <f t="shared" si="135"/>
        <v>23.610741793981422</v>
      </c>
      <c r="W361" s="400">
        <f t="shared" si="136"/>
        <v>6.4713059952328278</v>
      </c>
      <c r="X361" s="157">
        <f t="shared" si="137"/>
        <v>45273</v>
      </c>
      <c r="Y361" s="383">
        <f t="shared" si="138"/>
        <v>6.3804366842072389</v>
      </c>
      <c r="Z361" s="383">
        <f t="shared" si="139"/>
        <v>6.6041294711296681</v>
      </c>
      <c r="AA361" s="384">
        <f t="shared" si="140"/>
        <v>6.8914450103030118</v>
      </c>
      <c r="AB361" s="197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4.16916247236674E-2</v>
      </c>
      <c r="AD361" s="230">
        <f>(INDEX(Models!$BJ361:$BT361,,AH361)*(1-AF361)+INDEX(Models!$BJ361:$BT361,,AH361+1)*AF361-ERP_i)*AE361*Ramure*Pc/MaxiM</f>
        <v>3.6709644406686649E-2</v>
      </c>
      <c r="AE361" s="304">
        <f t="shared" si="142"/>
        <v>0.7</v>
      </c>
      <c r="AF361" s="177">
        <f t="shared" si="143"/>
        <v>0.79887758435844469</v>
      </c>
      <c r="AG361" s="799">
        <f t="shared" si="149"/>
        <v>0</v>
      </c>
      <c r="AH361" s="176">
        <f t="shared" si="144"/>
        <v>6</v>
      </c>
      <c r="AI361" s="224">
        <f t="shared" si="145"/>
        <v>0.79887758435844469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45274</v>
      </c>
      <c r="B362" s="409">
        <f>'2022'!Wh/'2022'!Env_an*'2023'!Env_an</f>
        <v>15.185382409166312</v>
      </c>
      <c r="C362" s="829"/>
      <c r="D362" s="391">
        <f t="shared" si="127"/>
        <v>15.718070480436456</v>
      </c>
      <c r="E362" s="383">
        <f t="shared" si="150"/>
        <v>16.172845541922506</v>
      </c>
      <c r="F362" s="383">
        <f t="shared" si="128"/>
        <v>16.459158032399504</v>
      </c>
      <c r="G362" s="110">
        <f t="shared" si="151"/>
        <v>0.63445528711191002</v>
      </c>
      <c r="H362" s="412" t="b">
        <f>Wh_hp&gt;='2022'!Maxi_hp</f>
        <v>0</v>
      </c>
      <c r="I362" s="379">
        <f>IF(H362,Wh_hp,'2022'!Maxi_hp)</f>
        <v>25.956270173874294</v>
      </c>
      <c r="J362" s="85">
        <f>IF(H362,An,'2022'!An_max)</f>
        <v>2021</v>
      </c>
      <c r="K362" s="197">
        <f t="shared" si="129"/>
        <v>45274</v>
      </c>
      <c r="L362" s="147">
        <f>IF(t&lt;Tvie,1-EXP((T0-t)*PertePVj)+'2022'!Pspv,1-EXP((T0-t)*PertePVj)+Pspv)</f>
        <v>3.3890169402991055E-2</v>
      </c>
      <c r="M362" s="832"/>
      <c r="N362" s="832"/>
      <c r="O362" s="48">
        <f>IF(t&lt;Tnet,'2022'!Resal+('2022'!Salim-'2022'!Resal)*(1-EXP(('2022'!Tnet-t)/('2022'!Tau_j))),Resal+(Salim-Resal)*(1-EXP((Tnet-t)/(Tau_j))))*Salcycl</f>
        <v>2.8119668879987795E-2</v>
      </c>
      <c r="P362" s="338">
        <f>(INDEX(Models!$BJ362:$BT362,,T362)*(1-R362)+INDEX(Models!$BJ362:$BT362,,T362+1)*R362-ERP_i)*Q362*Ramure*Pc/MaxiM</f>
        <v>3.5177738292780841E-2</v>
      </c>
      <c r="Q362" s="304">
        <f t="shared" si="130"/>
        <v>0.7</v>
      </c>
      <c r="R362" s="177">
        <f t="shared" si="131"/>
        <v>0.73455308232066796</v>
      </c>
      <c r="S362" s="799">
        <f t="shared" si="132"/>
        <v>0</v>
      </c>
      <c r="T362" s="176">
        <f t="shared" si="133"/>
        <v>6</v>
      </c>
      <c r="U362" s="250">
        <f t="shared" si="134"/>
        <v>0.73455308232066796</v>
      </c>
      <c r="V362" s="382">
        <f t="shared" si="135"/>
        <v>23.501371304469554</v>
      </c>
      <c r="W362" s="400">
        <f t="shared" si="136"/>
        <v>15.185382409166312</v>
      </c>
      <c r="X362" s="157">
        <f t="shared" si="137"/>
        <v>45274</v>
      </c>
      <c r="Y362" s="383">
        <f t="shared" si="138"/>
        <v>14.959151580616838</v>
      </c>
      <c r="Z362" s="383">
        <f t="shared" si="139"/>
        <v>15.483903700030471</v>
      </c>
      <c r="AA362" s="384">
        <f t="shared" si="140"/>
        <v>16.158513539773487</v>
      </c>
      <c r="AB362" s="197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4.174949868269099E-2</v>
      </c>
      <c r="AD362" s="230">
        <f>(INDEX(Models!$BJ362:$BT362,,AH362)*(1-AF362)+INDEX(Models!$BJ362:$BT362,,AH362+1)*AF362-ERP_i)*AE362*Ramure*Pc/MaxiM</f>
        <v>3.6938637441713676E-2</v>
      </c>
      <c r="AE362" s="304">
        <f t="shared" si="142"/>
        <v>0.7</v>
      </c>
      <c r="AF362" s="177">
        <f t="shared" si="143"/>
        <v>0.79888530458050011</v>
      </c>
      <c r="AG362" s="799">
        <f t="shared" si="149"/>
        <v>0</v>
      </c>
      <c r="AH362" s="176">
        <f t="shared" si="144"/>
        <v>6</v>
      </c>
      <c r="AI362" s="224">
        <f t="shared" si="145"/>
        <v>0.79888530458050011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45275</v>
      </c>
      <c r="B363" s="409">
        <f>'2022'!Wh/'2022'!Env_an*'2023'!Env_an</f>
        <v>7.2250966081397703</v>
      </c>
      <c r="C363" s="829"/>
      <c r="D363" s="391">
        <f t="shared" si="127"/>
        <v>7.4786891192866314</v>
      </c>
      <c r="E363" s="383">
        <f t="shared" si="150"/>
        <v>7.6956765698057961</v>
      </c>
      <c r="F363" s="383">
        <f t="shared" si="128"/>
        <v>7.6990772924819382</v>
      </c>
      <c r="G363" s="110">
        <f t="shared" si="151"/>
        <v>0.29795614571589529</v>
      </c>
      <c r="H363" s="412" t="b">
        <f>Wh_hp&gt;='2022'!Maxi_hp</f>
        <v>0</v>
      </c>
      <c r="I363" s="379">
        <f>IF(H363,Wh_hp,'2022'!Maxi_hp)</f>
        <v>25.992364486751338</v>
      </c>
      <c r="J363" s="85">
        <f>IF(H363,An,'2022'!An_max)</f>
        <v>2018</v>
      </c>
      <c r="K363" s="197">
        <f t="shared" si="129"/>
        <v>45275</v>
      </c>
      <c r="L363" s="147">
        <f>IF(t&lt;Tvie,1-EXP((T0-t)*PertePVj)+'2022'!Pspv,1-EXP((T0-t)*PertePVj)+Pspv)</f>
        <v>3.390868467748942E-2</v>
      </c>
      <c r="M363" s="832"/>
      <c r="N363" s="832"/>
      <c r="O363" s="48">
        <f>IF(t&lt;Tnet,'2022'!Resal+('2022'!Salim-'2022'!Resal)*(1-EXP(('2022'!Tnet-t)/('2022'!Tau_j))),Resal+(Salim-Resal)*(1-EXP((Tnet-t)/(Tau_j))))*Salcycl</f>
        <v>2.819602000563811E-2</v>
      </c>
      <c r="P363" s="338">
        <f>(INDEX(Models!$BJ363:$BT363,,T363)*(1-R363)+INDEX(Models!$BJ363:$BT363,,T363+1)*R363-ERP_i)*Q363*Ramure*Pc/MaxiM</f>
        <v>3.5364447542802491E-2</v>
      </c>
      <c r="Q363" s="304">
        <f t="shared" si="130"/>
        <v>0.7</v>
      </c>
      <c r="R363" s="177">
        <f t="shared" si="131"/>
        <v>0.73456049198407314</v>
      </c>
      <c r="S363" s="799">
        <f t="shared" si="132"/>
        <v>0</v>
      </c>
      <c r="T363" s="176">
        <f t="shared" si="133"/>
        <v>6</v>
      </c>
      <c r="U363" s="250">
        <f t="shared" si="134"/>
        <v>0.73456049198407314</v>
      </c>
      <c r="V363" s="382">
        <f t="shared" si="135"/>
        <v>23.401648265826584</v>
      </c>
      <c r="W363" s="400">
        <f t="shared" si="136"/>
        <v>7.2250966081397703</v>
      </c>
      <c r="X363" s="157">
        <f t="shared" si="137"/>
        <v>45275</v>
      </c>
      <c r="Y363" s="383">
        <f t="shared" si="138"/>
        <v>7.123738928999896</v>
      </c>
      <c r="Z363" s="383">
        <f t="shared" si="139"/>
        <v>7.373773903165433</v>
      </c>
      <c r="AA363" s="384">
        <f t="shared" si="140"/>
        <v>7.6955058091564315</v>
      </c>
      <c r="AB363" s="197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4.1807765983125939E-2</v>
      </c>
      <c r="AD363" s="230">
        <f>(INDEX(Models!$BJ363:$BT363,,AH363)*(1-AF363)+INDEX(Models!$BJ363:$BT363,,AH363+1)*AF363-ERP_i)*AE363*Ramure*Pc/MaxiM</f>
        <v>3.7140204228047362E-2</v>
      </c>
      <c r="AE363" s="304">
        <f t="shared" si="142"/>
        <v>0.7</v>
      </c>
      <c r="AF363" s="177">
        <f t="shared" si="143"/>
        <v>0.79889271424390529</v>
      </c>
      <c r="AG363" s="799">
        <f t="shared" si="149"/>
        <v>0</v>
      </c>
      <c r="AH363" s="176">
        <f t="shared" si="144"/>
        <v>6</v>
      </c>
      <c r="AI363" s="224">
        <f t="shared" si="145"/>
        <v>0.79889271424390529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45276</v>
      </c>
      <c r="B364" s="409">
        <f>'2022'!Wh/'2022'!Env_an*'2023'!Env_an</f>
        <v>5.1804660192224459</v>
      </c>
      <c r="C364" s="829"/>
      <c r="D364" s="391">
        <f t="shared" si="127"/>
        <v>5.3623971372159396</v>
      </c>
      <c r="E364" s="383">
        <f t="shared" si="150"/>
        <v>5.5184169433255965</v>
      </c>
      <c r="F364" s="383">
        <f t="shared" si="128"/>
        <v>5.5184169433255965</v>
      </c>
      <c r="G364" s="110">
        <f t="shared" si="151"/>
        <v>0.21432328876402826</v>
      </c>
      <c r="H364" s="412" t="b">
        <f>Wh_hp&gt;='2022'!Maxi_hp</f>
        <v>0</v>
      </c>
      <c r="I364" s="379">
        <f>IF(H364,Wh_hp,'2022'!Maxi_hp)</f>
        <v>25.444176400080966</v>
      </c>
      <c r="J364" s="85">
        <f>IF(H364,An,'2022'!An_max)</f>
        <v>2021</v>
      </c>
      <c r="K364" s="197">
        <f t="shared" si="129"/>
        <v>45276</v>
      </c>
      <c r="L364" s="147">
        <f>IF(t&lt;Tvie,1-EXP((T0-t)*PertePVj)+'2022'!Pspv,1-EXP((T0-t)*PertePVj)+Pspv)</f>
        <v>3.392719959714674E-2</v>
      </c>
      <c r="M364" s="832"/>
      <c r="N364" s="832"/>
      <c r="O364" s="48">
        <f>IF(t&lt;Tnet,'2022'!Resal+('2022'!Salim-'2022'!Resal)*(1-EXP(('2022'!Tnet-t)/('2022'!Tau_j))),Resal+(Salim-Resal)*(1-EXP((Tnet-t)/(Tau_j))))*Salcycl</f>
        <v>2.8272565794137765E-2</v>
      </c>
      <c r="P364" s="338">
        <f>(INDEX(Models!$BJ364:$BT364,,T364)*(1-R364)+INDEX(Models!$BJ364:$BT364,,T364+1)*R364-ERP_i)*Q364*Ramure*Pc/MaxiM</f>
        <v>3.5523877576369649E-2</v>
      </c>
      <c r="Q364" s="304">
        <f t="shared" si="130"/>
        <v>0.7</v>
      </c>
      <c r="R364" s="177">
        <f t="shared" si="131"/>
        <v>0.73456760357074935</v>
      </c>
      <c r="S364" s="799">
        <f t="shared" si="132"/>
        <v>0</v>
      </c>
      <c r="T364" s="176">
        <f t="shared" si="133"/>
        <v>6</v>
      </c>
      <c r="U364" s="250">
        <f t="shared" si="134"/>
        <v>0.73456760357074935</v>
      </c>
      <c r="V364" s="382">
        <f t="shared" si="135"/>
        <v>23.312612490134764</v>
      </c>
      <c r="W364" s="400">
        <f t="shared" si="136"/>
        <v>5.1804660192224459</v>
      </c>
      <c r="X364" s="157">
        <f t="shared" si="137"/>
        <v>45276</v>
      </c>
      <c r="Y364" s="383">
        <f t="shared" si="138"/>
        <v>5.1079946580917657</v>
      </c>
      <c r="Z364" s="383">
        <f t="shared" si="139"/>
        <v>5.2873806776898462</v>
      </c>
      <c r="AA364" s="384">
        <f t="shared" si="140"/>
        <v>5.5184169433255965</v>
      </c>
      <c r="AB364" s="197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4.1866402631135641E-2</v>
      </c>
      <c r="AD364" s="230">
        <f>(INDEX(Models!$BJ364:$BT364,,AH364)*(1-AF364)+INDEX(Models!$BJ364:$BT364,,AH364+1)*AF364-ERP_i)*AE364*Ramure*Pc/MaxiM</f>
        <v>3.7312188534651583E-2</v>
      </c>
      <c r="AE364" s="304">
        <f t="shared" si="142"/>
        <v>0.7</v>
      </c>
      <c r="AF364" s="177">
        <f t="shared" si="143"/>
        <v>0.7988998258305815</v>
      </c>
      <c r="AG364" s="799">
        <f t="shared" si="149"/>
        <v>0</v>
      </c>
      <c r="AH364" s="176">
        <f t="shared" si="144"/>
        <v>6</v>
      </c>
      <c r="AI364" s="224">
        <f t="shared" si="145"/>
        <v>0.7988998258305815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45277</v>
      </c>
      <c r="B365" s="409">
        <f>'2022'!Wh/'2022'!Env_an*'2023'!Env_an</f>
        <v>2.8874711281037793</v>
      </c>
      <c r="C365" s="829"/>
      <c r="D365" s="391">
        <f t="shared" si="127"/>
        <v>2.9889325790827206</v>
      </c>
      <c r="E365" s="383">
        <f t="shared" si="150"/>
        <v>3.0761389373715535</v>
      </c>
      <c r="F365" s="383">
        <f t="shared" si="128"/>
        <v>3.0761389373715535</v>
      </c>
      <c r="G365" s="110">
        <f t="shared" si="151"/>
        <v>0.11984010669718149</v>
      </c>
      <c r="H365" s="412" t="b">
        <f>Wh_hp&gt;='2022'!Maxi_hp</f>
        <v>0</v>
      </c>
      <c r="I365" s="379">
        <f>IF(H365,Wh_hp,'2022'!Maxi_hp)</f>
        <v>25.822433356414916</v>
      </c>
      <c r="J365" s="85">
        <f>IF(H365,An,'2022'!An_max)</f>
        <v>2021</v>
      </c>
      <c r="K365" s="197">
        <f t="shared" si="129"/>
        <v>45277</v>
      </c>
      <c r="L365" s="147">
        <f>IF(t&lt;Tvie,1-EXP((T0-t)*PertePVj)+'2022'!Pspv,1-EXP((T0-t)*PertePVj)+Pspv)</f>
        <v>3.3945714161969787E-2</v>
      </c>
      <c r="M365" s="832"/>
      <c r="N365" s="832"/>
      <c r="O365" s="48">
        <f>IF(t&lt;Tnet,'2022'!Resal+('2022'!Salim-'2022'!Resal)*(1-EXP(('2022'!Tnet-t)/('2022'!Tau_j))),Resal+(Salim-Resal)*(1-EXP((Tnet-t)/(Tau_j))))*Salcycl</f>
        <v>2.8349291129011113E-2</v>
      </c>
      <c r="P365" s="338">
        <f>(INDEX(Models!$BJ365:$BT365,,T365)*(1-R365)+INDEX(Models!$BJ365:$BT365,,T365+1)*R365-ERP_i)*Q365*Ramure*Pc/MaxiM</f>
        <v>3.5653990849646808E-2</v>
      </c>
      <c r="Q365" s="304">
        <f t="shared" si="130"/>
        <v>0.7</v>
      </c>
      <c r="R365" s="177">
        <f t="shared" si="131"/>
        <v>0.73457442906179926</v>
      </c>
      <c r="S365" s="799">
        <f t="shared" si="132"/>
        <v>0</v>
      </c>
      <c r="T365" s="176">
        <f t="shared" si="133"/>
        <v>6</v>
      </c>
      <c r="U365" s="250">
        <f t="shared" si="134"/>
        <v>0.73457442906179926</v>
      </c>
      <c r="V365" s="382">
        <f t="shared" si="135"/>
        <v>23.235303569612363</v>
      </c>
      <c r="W365" s="400">
        <f t="shared" si="136"/>
        <v>2.8874711281037793</v>
      </c>
      <c r="X365" s="157">
        <f t="shared" si="137"/>
        <v>45277</v>
      </c>
      <c r="Y365" s="383">
        <f t="shared" si="138"/>
        <v>2.8471268183102163</v>
      </c>
      <c r="Z365" s="383">
        <f t="shared" si="139"/>
        <v>2.9471706301063589</v>
      </c>
      <c r="AA365" s="384">
        <f t="shared" si="140"/>
        <v>3.0761389373715535</v>
      </c>
      <c r="AB365" s="197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4.1925384350614874E-2</v>
      </c>
      <c r="AD365" s="230">
        <f>(INDEX(Models!$BJ365:$BT365,,AH365)*(1-AF365)+INDEX(Models!$BJ365:$BT365,,AH365+1)*AF365-ERP_i)*AE365*Ramure*Pc/MaxiM</f>
        <v>3.7452437071929294E-2</v>
      </c>
      <c r="AE365" s="304">
        <f t="shared" si="142"/>
        <v>0.7</v>
      </c>
      <c r="AF365" s="177">
        <f t="shared" si="143"/>
        <v>0.79890665132163141</v>
      </c>
      <c r="AG365" s="799">
        <f t="shared" si="149"/>
        <v>0</v>
      </c>
      <c r="AH365" s="176">
        <f t="shared" si="144"/>
        <v>6</v>
      </c>
      <c r="AI365" s="224">
        <f t="shared" si="145"/>
        <v>0.79890665132163141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45278</v>
      </c>
      <c r="B366" s="409">
        <f>'2022'!Wh/'2022'!Env_an*'2023'!Env_an</f>
        <v>19.521422338376528</v>
      </c>
      <c r="C366" s="829"/>
      <c r="D366" s="391">
        <f t="shared" si="127"/>
        <v>20.207763430413756</v>
      </c>
      <c r="E366" s="383">
        <f t="shared" si="150"/>
        <v>20.798999550352804</v>
      </c>
      <c r="F366" s="383">
        <f t="shared" si="128"/>
        <v>21.391686321303986</v>
      </c>
      <c r="G366" s="110">
        <f t="shared" si="151"/>
        <v>0.83553017144643971</v>
      </c>
      <c r="H366" s="412" t="b">
        <f>Wh_hp&gt;='2022'!Maxi_hp</f>
        <v>0</v>
      </c>
      <c r="I366" s="379">
        <f>IF(H366,Wh_hp,'2022'!Maxi_hp)</f>
        <v>24.301759677464336</v>
      </c>
      <c r="J366" s="85">
        <f>IF(H366,An,'2022'!An_max)</f>
        <v>2021</v>
      </c>
      <c r="K366" s="197">
        <f t="shared" si="129"/>
        <v>45278</v>
      </c>
      <c r="L366" s="147">
        <f>IF(t&lt;Tvie,1-EXP((T0-t)*PertePVj)+'2022'!Pspv,1-EXP((T0-t)*PertePVj)+Pspv)</f>
        <v>3.3964228371965555E-2</v>
      </c>
      <c r="M366" s="832"/>
      <c r="N366" s="832"/>
      <c r="O366" s="48">
        <f>IF(t&lt;Tnet,'2022'!Resal+('2022'!Salim-'2022'!Resal)*(1-EXP(('2022'!Tnet-t)/('2022'!Tau_j))),Resal+(Salim-Resal)*(1-EXP((Tnet-t)/(Tau_j))))*Salcycl</f>
        <v>2.8426180716419166E-2</v>
      </c>
      <c r="P366" s="338">
        <f>(INDEX(Models!$BJ366:$BT366,,T366)*(1-R366)+INDEX(Models!$BJ366:$BT366,,T366+1)*R366-ERP_i)*Q366*Ramure*Pc/MaxiM</f>
        <v>3.5750191267191554E-2</v>
      </c>
      <c r="Q366" s="304">
        <f t="shared" si="130"/>
        <v>0.7</v>
      </c>
      <c r="R366" s="177">
        <f t="shared" si="131"/>
        <v>0.73458097995753469</v>
      </c>
      <c r="S366" s="799">
        <f t="shared" si="132"/>
        <v>0</v>
      </c>
      <c r="T366" s="176">
        <f t="shared" si="133"/>
        <v>6</v>
      </c>
      <c r="U366" s="250">
        <f t="shared" si="134"/>
        <v>0.73458097995753469</v>
      </c>
      <c r="V366" s="382">
        <f t="shared" si="135"/>
        <v>23.170822896252776</v>
      </c>
      <c r="W366" s="400">
        <f t="shared" si="136"/>
        <v>19.521422338376528</v>
      </c>
      <c r="X366" s="157">
        <f t="shared" si="137"/>
        <v>45278</v>
      </c>
      <c r="Y366" s="383">
        <f t="shared" si="138"/>
        <v>19.221293128289147</v>
      </c>
      <c r="Z366" s="383">
        <f t="shared" si="139"/>
        <v>19.897082171083596</v>
      </c>
      <c r="AA366" s="384">
        <f t="shared" si="140"/>
        <v>20.76906485292719</v>
      </c>
      <c r="AB366" s="197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4.1984686745330041E-2</v>
      </c>
      <c r="AD366" s="230">
        <f>(INDEX(Models!$BJ366:$BT366,,AH366)*(1-AF366)+INDEX(Models!$BJ366:$BT366,,AH366+1)*AF366-ERP_i)*AE366*Ramure*Pc/MaxiM</f>
        <v>3.7555818136125678E-2</v>
      </c>
      <c r="AE366" s="304">
        <f t="shared" si="142"/>
        <v>0.7</v>
      </c>
      <c r="AF366" s="177">
        <f t="shared" si="143"/>
        <v>0.79891320221736684</v>
      </c>
      <c r="AG366" s="799">
        <f t="shared" si="149"/>
        <v>0</v>
      </c>
      <c r="AH366" s="176">
        <f t="shared" si="144"/>
        <v>6</v>
      </c>
      <c r="AI366" s="224">
        <f t="shared" si="145"/>
        <v>0.79891320221736684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45279</v>
      </c>
      <c r="B367" s="409">
        <f>'2022'!Wh/'2022'!Env_an*'2023'!Env_an</f>
        <v>17.453449481515552</v>
      </c>
      <c r="C367" s="829"/>
      <c r="D367" s="391">
        <f t="shared" si="127"/>
        <v>18.067430308392481</v>
      </c>
      <c r="E367" s="383">
        <f t="shared" si="150"/>
        <v>18.597519482642507</v>
      </c>
      <c r="F367" s="383">
        <f t="shared" si="128"/>
        <v>19.04080926579956</v>
      </c>
      <c r="G367" s="110">
        <f t="shared" si="151"/>
        <v>0.74521619941115569</v>
      </c>
      <c r="H367" s="412" t="b">
        <f>Wh_hp&gt;='2022'!Maxi_hp</f>
        <v>0</v>
      </c>
      <c r="I367" s="379">
        <f>IF(H367,Wh_hp,'2022'!Maxi_hp)</f>
        <v>25.50206749437104</v>
      </c>
      <c r="J367" s="85">
        <f>IF(H367,An,'2022'!An_max)</f>
        <v>2021</v>
      </c>
      <c r="K367" s="197">
        <f t="shared" si="129"/>
        <v>45279</v>
      </c>
      <c r="L367" s="147">
        <f>IF(t&lt;Tvie,1-EXP((T0-t)*PertePVj)+'2022'!Pspv,1-EXP((T0-t)*PertePVj)+Pspv)</f>
        <v>3.3982742227140594E-2</v>
      </c>
      <c r="M367" s="832"/>
      <c r="N367" s="832"/>
      <c r="O367" s="48">
        <f>IF(t&lt;Tnet,'2022'!Resal+('2022'!Salim-'2022'!Resal)*(1-EXP(('2022'!Tnet-t)/('2022'!Tau_j))),Resal+(Salim-Resal)*(1-EXP((Tnet-t)/(Tau_j))))*Salcycl</f>
        <v>2.8503219192471875E-2</v>
      </c>
      <c r="P367" s="338">
        <f>(INDEX(Models!$BJ367:$BT367,,T367)*(1-R367)+INDEX(Models!$BJ367:$BT367,,T367+1)*R367-ERP_i)*Q367*Ramure*Pc/MaxiM</f>
        <v>3.5824009060989176E-2</v>
      </c>
      <c r="Q367" s="304">
        <f t="shared" si="130"/>
        <v>0.7</v>
      </c>
      <c r="R367" s="177">
        <f t="shared" si="131"/>
        <v>0.73458726729670776</v>
      </c>
      <c r="S367" s="799">
        <f t="shared" si="132"/>
        <v>0</v>
      </c>
      <c r="T367" s="176">
        <f t="shared" si="133"/>
        <v>6</v>
      </c>
      <c r="U367" s="250">
        <f t="shared" si="134"/>
        <v>0.73458726729670776</v>
      </c>
      <c r="V367" s="382">
        <f t="shared" si="135"/>
        <v>23.119885530895424</v>
      </c>
      <c r="W367" s="400">
        <f t="shared" si="136"/>
        <v>17.453449481515552</v>
      </c>
      <c r="X367" s="157">
        <f t="shared" si="137"/>
        <v>45279</v>
      </c>
      <c r="Y367" s="383">
        <f t="shared" si="138"/>
        <v>17.189438180307896</v>
      </c>
      <c r="Z367" s="383">
        <f t="shared" si="139"/>
        <v>17.794131566487671</v>
      </c>
      <c r="AA367" s="384">
        <f t="shared" si="140"/>
        <v>18.575108740769966</v>
      </c>
      <c r="AB367" s="197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4.2044285456491096E-2</v>
      </c>
      <c r="AD367" s="230">
        <f>(INDEX(Models!$BJ367:$BT367,,AH367)*(1-AF367)+INDEX(Models!$BJ367:$BT367,,AH367+1)*AF367-ERP_i)*AE367*Ramure*Pc/MaxiM</f>
        <v>3.7635110174548819E-2</v>
      </c>
      <c r="AE367" s="304">
        <f t="shared" si="142"/>
        <v>0.7</v>
      </c>
      <c r="AF367" s="177">
        <f t="shared" si="143"/>
        <v>0.79891948955653991</v>
      </c>
      <c r="AG367" s="799">
        <f t="shared" si="149"/>
        <v>0</v>
      </c>
      <c r="AH367" s="176">
        <f t="shared" si="144"/>
        <v>6</v>
      </c>
      <c r="AI367" s="224">
        <f t="shared" si="145"/>
        <v>0.79891948955653991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45280</v>
      </c>
      <c r="B368" s="409">
        <f>'2022'!Wh/'2022'!Env_an*'2023'!Env_an</f>
        <v>3.9084520605413728</v>
      </c>
      <c r="C368" s="829"/>
      <c r="D368" s="391">
        <f t="shared" si="127"/>
        <v>4.0460218853440235</v>
      </c>
      <c r="E368" s="383">
        <f t="shared" si="150"/>
        <v>4.1650609569808061</v>
      </c>
      <c r="F368" s="383">
        <f t="shared" si="128"/>
        <v>4.1650609569808061</v>
      </c>
      <c r="G368" s="110">
        <f t="shared" si="151"/>
        <v>0.16324373884684837</v>
      </c>
      <c r="H368" s="412" t="b">
        <f>Wh_hp&gt;='2022'!Maxi_hp</f>
        <v>0</v>
      </c>
      <c r="I368" s="379">
        <f>IF(H368,Wh_hp,'2022'!Maxi_hp)</f>
        <v>25.974540677970943</v>
      </c>
      <c r="J368" s="85">
        <f>IF(H368,An,'2022'!An_max)</f>
        <v>2021</v>
      </c>
      <c r="K368" s="197">
        <f t="shared" si="129"/>
        <v>45280</v>
      </c>
      <c r="L368" s="147">
        <f>IF(t&lt;Tvie,1-EXP((T0-t)*PertePVj)+'2022'!Pspv,1-EXP((T0-t)*PertePVj)+Pspv)</f>
        <v>3.4001255727501789E-2</v>
      </c>
      <c r="M368" s="832"/>
      <c r="N368" s="832"/>
      <c r="O368" s="48">
        <f>IF(t&lt;Tnet,'2022'!Resal+('2022'!Salim-'2022'!Resal)*(1-EXP(('2022'!Tnet-t)/('2022'!Tau_j))),Resal+(Salim-Resal)*(1-EXP((Tnet-t)/(Tau_j))))*Salcycl</f>
        <v>2.8580391227472472E-2</v>
      </c>
      <c r="P368" s="338">
        <f>(INDEX(Models!$BJ368:$BT368,,T368)*(1-R368)+INDEX(Models!$BJ368:$BT368,,T368+1)*R368-ERP_i)*Q368*Ramure*Pc/MaxiM</f>
        <v>3.5873594872960747E-2</v>
      </c>
      <c r="Q368" s="304">
        <f t="shared" si="130"/>
        <v>0.7</v>
      </c>
      <c r="R368" s="177">
        <f t="shared" si="131"/>
        <v>0.73459330167497838</v>
      </c>
      <c r="S368" s="799">
        <f t="shared" si="132"/>
        <v>0</v>
      </c>
      <c r="T368" s="176">
        <f t="shared" si="133"/>
        <v>6</v>
      </c>
      <c r="U368" s="250">
        <f t="shared" si="134"/>
        <v>0.73459330167497838</v>
      </c>
      <c r="V368" s="382">
        <f t="shared" si="135"/>
        <v>23.083530562090374</v>
      </c>
      <c r="W368" s="400">
        <f t="shared" si="136"/>
        <v>3.9084520605413728</v>
      </c>
      <c r="X368" s="157">
        <f t="shared" si="137"/>
        <v>45280</v>
      </c>
      <c r="Y368" s="383">
        <f t="shared" si="138"/>
        <v>3.8540399537198313</v>
      </c>
      <c r="Z368" s="383">
        <f t="shared" si="139"/>
        <v>3.9896945793882383</v>
      </c>
      <c r="AA368" s="384">
        <f t="shared" si="140"/>
        <v>4.1650609569808061</v>
      </c>
      <c r="AB368" s="197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4.210415631460248E-2</v>
      </c>
      <c r="AD368" s="230">
        <f>(INDEX(Models!$BJ368:$BT368,,AH368)*(1-AF368)+INDEX(Models!$BJ368:$BT368,,AH368+1)*AF368-ERP_i)*AE368*Ramure*Pc/MaxiM</f>
        <v>3.7688364902799774E-2</v>
      </c>
      <c r="AE368" s="304">
        <f t="shared" si="142"/>
        <v>0.7</v>
      </c>
      <c r="AF368" s="177">
        <f t="shared" si="143"/>
        <v>0.79892552393481053</v>
      </c>
      <c r="AG368" s="799">
        <f t="shared" si="149"/>
        <v>0</v>
      </c>
      <c r="AH368" s="176">
        <f t="shared" si="144"/>
        <v>6</v>
      </c>
      <c r="AI368" s="224">
        <f t="shared" si="145"/>
        <v>0.79892552393481053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45281</v>
      </c>
      <c r="B369" s="409">
        <f>'2022'!Wh/'2022'!Env_an*'2023'!Env_an</f>
        <v>19.920437603486516</v>
      </c>
      <c r="C369" s="829"/>
      <c r="D369" s="391">
        <f t="shared" si="127"/>
        <v>20.621993040423494</v>
      </c>
      <c r="E369" s="383">
        <f t="shared" si="150"/>
        <v>21.230407293435661</v>
      </c>
      <c r="F369" s="383">
        <f t="shared" si="128"/>
        <v>21.86244893553442</v>
      </c>
      <c r="G369" s="110">
        <f t="shared" si="151"/>
        <v>0.85753281344961596</v>
      </c>
      <c r="H369" s="412" t="b">
        <f>Wh_hp&gt;='2022'!Maxi_hp</f>
        <v>0</v>
      </c>
      <c r="I369" s="379">
        <f>IF(H369,Wh_hp,'2022'!Maxi_hp)</f>
        <v>22.295003218801163</v>
      </c>
      <c r="J369" s="85">
        <f>IF(H369,An,'2022'!An_max)</f>
        <v>2018</v>
      </c>
      <c r="K369" s="197">
        <f t="shared" si="129"/>
        <v>45281</v>
      </c>
      <c r="L369" s="147">
        <f>IF(t&lt;Tvie,1-EXP((T0-t)*PertePVj)+'2022'!Pspv,1-EXP((T0-t)*PertePVj)+Pspv)</f>
        <v>3.4019768873056133E-2</v>
      </c>
      <c r="M369" s="832"/>
      <c r="N369" s="832"/>
      <c r="O369" s="48">
        <f>IF(t&lt;Tnet,'2022'!Resal+('2022'!Salim-'2022'!Resal)*(1-EXP(('2022'!Tnet-t)/('2022'!Tau_j))),Resal+(Salim-Resal)*(1-EXP((Tnet-t)/(Tau_j))))*Salcycl</f>
        <v>2.8657681626309994E-2</v>
      </c>
      <c r="P369" s="338">
        <f>(INDEX(Models!$BJ369:$BT369,,T369)*(1-R369)+INDEX(Models!$BJ369:$BT369,,T369+1)*R369-ERP_i)*Q369*Ramure*Pc/MaxiM</f>
        <v>3.5897164094274327E-2</v>
      </c>
      <c r="Q369" s="304">
        <f t="shared" si="130"/>
        <v>0.7</v>
      </c>
      <c r="R369" s="177">
        <f t="shared" si="131"/>
        <v>0.73459909326264794</v>
      </c>
      <c r="S369" s="799">
        <f t="shared" si="132"/>
        <v>0</v>
      </c>
      <c r="T369" s="176">
        <f t="shared" si="133"/>
        <v>6</v>
      </c>
      <c r="U369" s="250">
        <f t="shared" si="134"/>
        <v>0.73459909326264794</v>
      </c>
      <c r="V369" s="382">
        <f t="shared" si="135"/>
        <v>23.06279665266845</v>
      </c>
      <c r="W369" s="400">
        <f t="shared" si="136"/>
        <v>19.920437603486516</v>
      </c>
      <c r="X369" s="157">
        <f t="shared" si="137"/>
        <v>45281</v>
      </c>
      <c r="Y369" s="383">
        <f t="shared" si="138"/>
        <v>19.613849253473738</v>
      </c>
      <c r="Z369" s="383">
        <f t="shared" si="139"/>
        <v>20.304607300908824</v>
      </c>
      <c r="AA369" s="384">
        <f t="shared" si="140"/>
        <v>21.198423467844272</v>
      </c>
      <c r="AB369" s="197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4.2164275484508039E-2</v>
      </c>
      <c r="AD369" s="230">
        <f>(INDEX(Models!$BJ369:$BT369,,AH369)*(1-AF369)+INDEX(Models!$BJ369:$BT369,,AH369+1)*AF369-ERP_i)*AE369*Ramure*Pc/MaxiM</f>
        <v>3.7713703637150556E-2</v>
      </c>
      <c r="AE369" s="304">
        <f t="shared" si="142"/>
        <v>0.7</v>
      </c>
      <c r="AF369" s="177">
        <f t="shared" si="143"/>
        <v>0.79893131552248009</v>
      </c>
      <c r="AG369" s="799">
        <f t="shared" si="149"/>
        <v>0</v>
      </c>
      <c r="AH369" s="176">
        <f t="shared" si="144"/>
        <v>6</v>
      </c>
      <c r="AI369" s="224">
        <f t="shared" si="145"/>
        <v>0.79893131552248009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45282</v>
      </c>
      <c r="B370" s="409">
        <f>'2022'!Wh/'2022'!Env_an*'2023'!Env_an</f>
        <v>19.478531553267885</v>
      </c>
      <c r="C370" s="829"/>
      <c r="D370" s="391">
        <f t="shared" si="127"/>
        <v>20.164910455062824</v>
      </c>
      <c r="E370" s="383">
        <f t="shared" si="150"/>
        <v>20.761493537791551</v>
      </c>
      <c r="F370" s="383">
        <f t="shared" si="128"/>
        <v>21.358061372113024</v>
      </c>
      <c r="G370" s="110">
        <f t="shared" si="151"/>
        <v>0.8378175320671305</v>
      </c>
      <c r="H370" s="412" t="b">
        <f>Wh_hp&gt;='2022'!Maxi_hp</f>
        <v>0</v>
      </c>
      <c r="I370" s="379">
        <f>IF(H370,Wh_hp,'2022'!Maxi_hp)</f>
        <v>25.041210642089073</v>
      </c>
      <c r="J370" s="85">
        <f>IF(H370,An,'2022'!An_max)</f>
        <v>2021</v>
      </c>
      <c r="K370" s="197">
        <f t="shared" si="129"/>
        <v>45282</v>
      </c>
      <c r="L370" s="147">
        <f>IF(t&lt;Tvie,1-EXP((T0-t)*PertePVj)+'2022'!Pspv,1-EXP((T0-t)*PertePVj)+Pspv)</f>
        <v>3.4038281663810177E-2</v>
      </c>
      <c r="M370" s="832"/>
      <c r="N370" s="832"/>
      <c r="O370" s="48">
        <f>IF(t&lt;Tnet,'2022'!Resal+('2022'!Salim-'2022'!Resal)*(1-EXP(('2022'!Tnet-t)/('2022'!Tau_j))),Resal+(Salim-Resal)*(1-EXP((Tnet-t)/(Tau_j))))*Salcycl</f>
        <v>2.8735075424259977E-2</v>
      </c>
      <c r="P370" s="338">
        <f>(INDEX(Models!$BJ370:$BT370,,T370)*(1-R370)+INDEX(Models!$BJ370:$BT370,,T370+1)*R370-ERP_i)*Q370*Ramure*Pc/MaxiM</f>
        <v>3.5893020096859123E-2</v>
      </c>
      <c r="Q370" s="304">
        <f t="shared" si="130"/>
        <v>0.7</v>
      </c>
      <c r="R370" s="177">
        <f t="shared" si="131"/>
        <v>0.73460465182168577</v>
      </c>
      <c r="S370" s="799">
        <f t="shared" si="132"/>
        <v>0</v>
      </c>
      <c r="T370" s="176">
        <f t="shared" si="133"/>
        <v>6</v>
      </c>
      <c r="U370" s="250">
        <f t="shared" si="134"/>
        <v>0.73460465182168577</v>
      </c>
      <c r="V370" s="382">
        <f t="shared" si="135"/>
        <v>23.058722017479308</v>
      </c>
      <c r="W370" s="400">
        <f t="shared" si="136"/>
        <v>19.478531553267885</v>
      </c>
      <c r="X370" s="157">
        <f t="shared" si="137"/>
        <v>45282</v>
      </c>
      <c r="Y370" s="383">
        <f t="shared" si="138"/>
        <v>19.180071637430569</v>
      </c>
      <c r="Z370" s="383">
        <f t="shared" si="139"/>
        <v>19.855933494411222</v>
      </c>
      <c r="AA370" s="384">
        <f t="shared" si="140"/>
        <v>20.731304960222527</v>
      </c>
      <c r="AB370" s="197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4.2224619602619994E-2</v>
      </c>
      <c r="AD370" s="230">
        <f>(INDEX(Models!$BJ370:$BT370,,AH370)*(1-AF370)+INDEX(Models!$BJ370:$BT370,,AH370+1)*AF370-ERP_i)*AE370*Ramure*Pc/MaxiM</f>
        <v>3.770934199529509E-2</v>
      </c>
      <c r="AE370" s="304">
        <f t="shared" si="142"/>
        <v>0.7</v>
      </c>
      <c r="AF370" s="177">
        <f t="shared" si="143"/>
        <v>0.79893687408151792</v>
      </c>
      <c r="AG370" s="799">
        <f t="shared" si="149"/>
        <v>0</v>
      </c>
      <c r="AH370" s="176">
        <f t="shared" si="144"/>
        <v>6</v>
      </c>
      <c r="AI370" s="224">
        <f t="shared" si="145"/>
        <v>0.79893687408151792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45283</v>
      </c>
      <c r="B371" s="409">
        <f>'2022'!Wh/'2022'!Env_an*'2023'!Env_an</f>
        <v>19.612285429303256</v>
      </c>
      <c r="C371" s="829"/>
      <c r="D371" s="391">
        <f t="shared" si="127"/>
        <v>20.303766628831156</v>
      </c>
      <c r="E371" s="383">
        <f t="shared" si="150"/>
        <v>20.906125584314218</v>
      </c>
      <c r="F371" s="383">
        <f t="shared" si="128"/>
        <v>21.512277865113656</v>
      </c>
      <c r="G371" s="110">
        <f t="shared" si="151"/>
        <v>0.84331459033050105</v>
      </c>
      <c r="H371" s="412" t="b">
        <f>Wh_hp&gt;='2022'!Maxi_hp</f>
        <v>0</v>
      </c>
      <c r="I371" s="379">
        <f>IF(H371,Wh_hp,'2022'!Maxi_hp)</f>
        <v>22.181600514114333</v>
      </c>
      <c r="J371" s="85">
        <f>IF(H371,An,'2022'!An_max)</f>
        <v>2020</v>
      </c>
      <c r="K371" s="197">
        <f t="shared" si="129"/>
        <v>45283</v>
      </c>
      <c r="L371" s="147">
        <f>IF(t&lt;Tvie,1-EXP((T0-t)*PertePVj)+'2022'!Pspv,1-EXP((T0-t)*PertePVj)+Pspv)</f>
        <v>3.4056794099770804E-2</v>
      </c>
      <c r="M371" s="832"/>
      <c r="N371" s="832"/>
      <c r="O371" s="48">
        <f>IF(t&lt;Tnet,'2022'!Resal+('2022'!Salim-'2022'!Resal)*(1-EXP(('2022'!Tnet-t)/('2022'!Tau_j))),Resal+(Salim-Resal)*(1-EXP((Tnet-t)/(Tau_j))))*Salcycl</f>
        <v>2.8812557977505395E-2</v>
      </c>
      <c r="P371" s="338">
        <f>(INDEX(Models!$BJ371:$BT371,,T371)*(1-R371)+INDEX(Models!$BJ371:$BT371,,T371+1)*R371-ERP_i)*Q371*Ramure*Pc/MaxiM</f>
        <v>3.5859452550460844E-2</v>
      </c>
      <c r="Q371" s="304">
        <f t="shared" si="130"/>
        <v>0.7</v>
      </c>
      <c r="R371" s="177">
        <f t="shared" si="131"/>
        <v>0.73460465182168577</v>
      </c>
      <c r="S371" s="799">
        <f t="shared" si="132"/>
        <v>0</v>
      </c>
      <c r="T371" s="176">
        <f t="shared" si="133"/>
        <v>6</v>
      </c>
      <c r="U371" s="250">
        <f t="shared" si="134"/>
        <v>0.73460465182168577</v>
      </c>
      <c r="V371" s="382">
        <f t="shared" si="135"/>
        <v>23.072347421396938</v>
      </c>
      <c r="W371" s="400">
        <f t="shared" si="136"/>
        <v>19.612285429303256</v>
      </c>
      <c r="X371" s="157">
        <f t="shared" si="137"/>
        <v>45283</v>
      </c>
      <c r="Y371" s="383">
        <f t="shared" si="138"/>
        <v>19.311850901413948</v>
      </c>
      <c r="Z371" s="383">
        <f t="shared" si="139"/>
        <v>19.992739514551374</v>
      </c>
      <c r="AA371" s="384">
        <f t="shared" si="140"/>
        <v>20.875461883653664</v>
      </c>
      <c r="AB371" s="197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4.2285165905406638E-2</v>
      </c>
      <c r="AD371" s="230">
        <f>(INDEX(Models!$BJ371:$BT371,,AH371)*(1-AF371)+INDEX(Models!$BJ371:$BT371,,AH371+1)*AF371-ERP_i)*AE371*Ramure*Pc/MaxiM</f>
        <v>3.7673490959107082E-2</v>
      </c>
      <c r="AE371" s="304">
        <f t="shared" si="142"/>
        <v>0.7</v>
      </c>
      <c r="AF371" s="177">
        <f t="shared" si="143"/>
        <v>0.79893687408151792</v>
      </c>
      <c r="AG371" s="799">
        <f t="shared" si="149"/>
        <v>0</v>
      </c>
      <c r="AH371" s="176">
        <f t="shared" si="144"/>
        <v>6</v>
      </c>
      <c r="AI371" s="224">
        <f t="shared" si="145"/>
        <v>0.79893687408151792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45284</v>
      </c>
      <c r="B372" s="409">
        <f>'2022'!Wh/'2022'!Env_an*'2023'!Env_an</f>
        <v>20.825131650079641</v>
      </c>
      <c r="C372" s="829"/>
      <c r="D372" s="391">
        <f t="shared" si="127"/>
        <v>21.55978802834165</v>
      </c>
      <c r="E372" s="383">
        <f t="shared" si="150"/>
        <v>22.201182752250208</v>
      </c>
      <c r="F372" s="383">
        <f t="shared" si="128"/>
        <v>22.905524932341915</v>
      </c>
      <c r="G372" s="110">
        <f t="shared" si="151"/>
        <v>0.89664543436891941</v>
      </c>
      <c r="H372" s="412" t="b">
        <f>Wh_hp&gt;='2022'!Maxi_hp</f>
        <v>0</v>
      </c>
      <c r="I372" s="379">
        <f>IF(H372,Wh_hp,'2022'!Maxi_hp)</f>
        <v>22.944010562809719</v>
      </c>
      <c r="J372" s="85">
        <f>IF(H372,An,'2022'!An_max)</f>
        <v>2022</v>
      </c>
      <c r="K372" s="197">
        <f t="shared" si="129"/>
        <v>45284</v>
      </c>
      <c r="L372" s="147">
        <f>IF(t&lt;Tvie,1-EXP((T0-t)*PertePVj)+'2022'!Pspv,1-EXP((T0-t)*PertePVj)+Pspv)</f>
        <v>3.4075306180944787E-2</v>
      </c>
      <c r="M372" s="832"/>
      <c r="N372" s="832"/>
      <c r="O372" s="48">
        <f>IF(t&lt;Tnet,'2022'!Resal+('2022'!Salim-'2022'!Resal)*(1-EXP(('2022'!Tnet-t)/('2022'!Tau_j))),Resal+(Salim-Resal)*(1-EXP((Tnet-t)/(Tau_j))))*Salcycl</f>
        <v>2.8890115047746627E-2</v>
      </c>
      <c r="P372" s="338">
        <f>(INDEX(Models!$BJ372:$BT372,,T372)*(1-R372)+INDEX(Models!$BJ372:$BT372,,T372+1)*R372-ERP_i)*Q372*Ramure*Pc/MaxiM</f>
        <v>3.579509028543372E-2</v>
      </c>
      <c r="Q372" s="304">
        <f t="shared" si="130"/>
        <v>0.7</v>
      </c>
      <c r="R372" s="177">
        <f t="shared" si="131"/>
        <v>0.73460465182168577</v>
      </c>
      <c r="S372" s="799">
        <f t="shared" si="132"/>
        <v>0</v>
      </c>
      <c r="T372" s="176">
        <f t="shared" si="133"/>
        <v>6</v>
      </c>
      <c r="U372" s="250">
        <f t="shared" si="134"/>
        <v>0.73460465182168577</v>
      </c>
      <c r="V372" s="382">
        <f t="shared" si="135"/>
        <v>23.104708305831302</v>
      </c>
      <c r="W372" s="400">
        <f t="shared" si="136"/>
        <v>20.825131650079641</v>
      </c>
      <c r="X372" s="157">
        <f t="shared" si="137"/>
        <v>45284</v>
      </c>
      <c r="Y372" s="383">
        <f t="shared" si="138"/>
        <v>20.503638862021745</v>
      </c>
      <c r="Z372" s="383">
        <f t="shared" si="139"/>
        <v>21.226953812470448</v>
      </c>
      <c r="AA372" s="384">
        <f t="shared" si="140"/>
        <v>22.165574859300687</v>
      </c>
      <c r="AB372" s="197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4.2345892348304853E-2</v>
      </c>
      <c r="AD372" s="230">
        <f>(INDEX(Models!$BJ372:$BT372,,AH372)*(1-AF372)+INDEX(Models!$BJ372:$BT372,,AH372+1)*AF372-ERP_i)*AE372*Ramure*Pc/MaxiM</f>
        <v>3.7604704673196515E-2</v>
      </c>
      <c r="AE372" s="304">
        <f t="shared" si="142"/>
        <v>0.7</v>
      </c>
      <c r="AF372" s="177">
        <f t="shared" si="143"/>
        <v>0.79893687408151792</v>
      </c>
      <c r="AG372" s="799">
        <f t="shared" si="149"/>
        <v>0</v>
      </c>
      <c r="AH372" s="176">
        <f t="shared" si="144"/>
        <v>6</v>
      </c>
      <c r="AI372" s="224">
        <f t="shared" si="145"/>
        <v>0.79893687408151792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45285</v>
      </c>
      <c r="B373" s="409">
        <f>'2022'!Wh/'2022'!Env_an*'2023'!Env_an</f>
        <v>11.687337728239733</v>
      </c>
      <c r="C373" s="829"/>
      <c r="D373" s="391">
        <f t="shared" si="127"/>
        <v>12.099868439519467</v>
      </c>
      <c r="E373" s="383">
        <f t="shared" si="150"/>
        <v>12.46083044738646</v>
      </c>
      <c r="F373" s="383">
        <f t="shared" si="128"/>
        <v>12.592284522438094</v>
      </c>
      <c r="G373" s="110">
        <f t="shared" si="151"/>
        <v>0.4918181859589526</v>
      </c>
      <c r="H373" s="412" t="b">
        <f>Wh_hp&gt;='2022'!Maxi_hp</f>
        <v>0</v>
      </c>
      <c r="I373" s="379">
        <f>IF(H373,Wh_hp,'2022'!Maxi_hp)</f>
        <v>15.402591944038759</v>
      </c>
      <c r="J373" s="85">
        <f>IF(H373,An,'2022'!An_max)</f>
        <v>2018</v>
      </c>
      <c r="K373" s="197">
        <f t="shared" si="129"/>
        <v>45285</v>
      </c>
      <c r="L373" s="147">
        <f>IF(t&lt;Tvie,1-EXP((T0-t)*PertePVj)+'2022'!Pspv,1-EXP((T0-t)*PertePVj)+Pspv)</f>
        <v>3.4093817907339008E-2</v>
      </c>
      <c r="M373" s="832"/>
      <c r="N373" s="832"/>
      <c r="O373" s="48">
        <f>IF(t&lt;Tnet,'2022'!Resal+('2022'!Salim-'2022'!Resal)*(1-EXP(('2022'!Tnet-t)/('2022'!Tau_j))),Resal+(Salim-Resal)*(1-EXP((Tnet-t)/(Tau_j))))*Salcycl</f>
        <v>2.8967732880331509E-2</v>
      </c>
      <c r="P373" s="338">
        <f>(INDEX(Models!$BJ373:$BT373,,T373)*(1-R373)+INDEX(Models!$BJ373:$BT373,,T373+1)*R373-ERP_i)*Q373*Ramure*Pc/MaxiM</f>
        <v>3.5698315287711245E-2</v>
      </c>
      <c r="Q373" s="304">
        <f t="shared" si="130"/>
        <v>0.7</v>
      </c>
      <c r="R373" s="177">
        <f t="shared" si="131"/>
        <v>0.73460465182168577</v>
      </c>
      <c r="S373" s="799">
        <f t="shared" si="132"/>
        <v>0</v>
      </c>
      <c r="T373" s="176">
        <f t="shared" si="133"/>
        <v>6</v>
      </c>
      <c r="U373" s="250">
        <f t="shared" si="134"/>
        <v>0.73460465182168577</v>
      </c>
      <c r="V373" s="382">
        <f t="shared" si="135"/>
        <v>23.156956360906616</v>
      </c>
      <c r="W373" s="400">
        <f t="shared" si="136"/>
        <v>11.687337728239733</v>
      </c>
      <c r="X373" s="157">
        <f t="shared" si="137"/>
        <v>45285</v>
      </c>
      <c r="Y373" s="383">
        <f t="shared" si="138"/>
        <v>11.519444582075883</v>
      </c>
      <c r="Z373" s="383">
        <f t="shared" si="139"/>
        <v>11.926049129449305</v>
      </c>
      <c r="AA373" s="384">
        <f t="shared" si="140"/>
        <v>12.454191249373119</v>
      </c>
      <c r="AB373" s="197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4.2406777714321525E-2</v>
      </c>
      <c r="AD373" s="230">
        <f>(INDEX(Models!$BJ373:$BT373,,AH373)*(1-AF373)+INDEX(Models!$BJ373:$BT373,,AH373+1)*AF373-ERP_i)*AE373*Ramure*Pc/MaxiM</f>
        <v>3.7501288560656057E-2</v>
      </c>
      <c r="AE373" s="304">
        <f t="shared" si="142"/>
        <v>0.7</v>
      </c>
      <c r="AF373" s="177">
        <f t="shared" si="143"/>
        <v>0.79893687408151792</v>
      </c>
      <c r="AG373" s="799">
        <f t="shared" si="149"/>
        <v>0</v>
      </c>
      <c r="AH373" s="176">
        <f t="shared" si="144"/>
        <v>6</v>
      </c>
      <c r="AI373" s="224">
        <f t="shared" si="145"/>
        <v>0.79893687408151792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45286</v>
      </c>
      <c r="B374" s="409">
        <f>'2022'!Wh/'2022'!Env_an*'2023'!Env_an</f>
        <v>19.953990102010877</v>
      </c>
      <c r="C374" s="829"/>
      <c r="D374" s="391">
        <f t="shared" si="127"/>
        <v>20.658706707701452</v>
      </c>
      <c r="E374" s="383">
        <f t="shared" si="150"/>
        <v>21.276696841446281</v>
      </c>
      <c r="F374" s="383">
        <f t="shared" si="128"/>
        <v>21.898755515934681</v>
      </c>
      <c r="G374" s="110">
        <f t="shared" si="151"/>
        <v>0.85268669056180546</v>
      </c>
      <c r="H374" s="412" t="b">
        <f>Wh_hp&gt;='2022'!Maxi_hp</f>
        <v>0</v>
      </c>
      <c r="I374" s="379">
        <f>IF(H374,Wh_hp,'2022'!Maxi_hp)</f>
        <v>21.950785142907936</v>
      </c>
      <c r="J374" s="85">
        <f>IF(H374,An,'2022'!An_max)</f>
        <v>2022</v>
      </c>
      <c r="K374" s="197">
        <f t="shared" si="129"/>
        <v>45286</v>
      </c>
      <c r="L374" s="147">
        <f>IF(t&lt;Tvie,1-EXP((T0-t)*PertePVj)+'2022'!Pspv,1-EXP((T0-t)*PertePVj)+Pspv)</f>
        <v>3.411232927896013E-2</v>
      </c>
      <c r="M374" s="832"/>
      <c r="N374" s="832"/>
      <c r="O374" s="48">
        <f>IF(t&lt;Tnet,'2022'!Resal+('2022'!Salim-'2022'!Resal)*(1-EXP(('2022'!Tnet-t)/('2022'!Tau_j))),Resal+(Salim-Resal)*(1-EXP((Tnet-t)/(Tau_j))))*Salcycl</f>
        <v>2.9045398275403551E-2</v>
      </c>
      <c r="P374" s="338">
        <f>(INDEX(Models!$BJ374:$BT374,,T374)*(1-R374)+INDEX(Models!$BJ374:$BT374,,T374+1)*R374-ERP_i)*Q374*Ramure*Pc/MaxiM</f>
        <v>3.5569870746388031E-2</v>
      </c>
      <c r="Q374" s="304">
        <f t="shared" si="130"/>
        <v>0.7</v>
      </c>
      <c r="R374" s="177">
        <f t="shared" si="131"/>
        <v>0.73460465182168577</v>
      </c>
      <c r="S374" s="799">
        <f t="shared" si="132"/>
        <v>0</v>
      </c>
      <c r="T374" s="176">
        <f t="shared" si="133"/>
        <v>6</v>
      </c>
      <c r="U374" s="250">
        <f t="shared" si="134"/>
        <v>0.73460465182168577</v>
      </c>
      <c r="V374" s="382">
        <f t="shared" si="135"/>
        <v>23.228772850415176</v>
      </c>
      <c r="W374" s="400">
        <f t="shared" si="136"/>
        <v>19.953990102010877</v>
      </c>
      <c r="X374" s="157">
        <f t="shared" si="137"/>
        <v>45286</v>
      </c>
      <c r="Y374" s="383">
        <f t="shared" si="138"/>
        <v>19.649128112522209</v>
      </c>
      <c r="Z374" s="383">
        <f t="shared" si="139"/>
        <v>20.343077883843407</v>
      </c>
      <c r="AA374" s="384">
        <f t="shared" si="140"/>
        <v>21.245319917396859</v>
      </c>
      <c r="AB374" s="197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4.2467801711691164E-2</v>
      </c>
      <c r="AD374" s="230">
        <f>(INDEX(Models!$BJ374:$BT374,,AH374)*(1-AF374)+INDEX(Models!$BJ374:$BT374,,AH374+1)*AF374-ERP_i)*AE374*Ramure*Pc/MaxiM</f>
        <v>3.7364031295270515E-2</v>
      </c>
      <c r="AE374" s="304">
        <f t="shared" si="142"/>
        <v>0.7</v>
      </c>
      <c r="AF374" s="177">
        <f t="shared" si="143"/>
        <v>0.79893687408151792</v>
      </c>
      <c r="AG374" s="799">
        <f t="shared" si="149"/>
        <v>0</v>
      </c>
      <c r="AH374" s="176">
        <f t="shared" si="144"/>
        <v>6</v>
      </c>
      <c r="AI374" s="224">
        <f t="shared" si="145"/>
        <v>0.79893687408151792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45287</v>
      </c>
      <c r="B375" s="409">
        <f>'2022'!Wh/'2022'!Env_an*'2023'!Env_an</f>
        <v>6.7572577745057778</v>
      </c>
      <c r="C375" s="829"/>
      <c r="D375" s="391">
        <f t="shared" si="127"/>
        <v>6.9960384453887228</v>
      </c>
      <c r="E375" s="383">
        <f t="shared" si="150"/>
        <v>7.2058964794327274</v>
      </c>
      <c r="F375" s="383">
        <f t="shared" si="128"/>
        <v>7.2058964794327274</v>
      </c>
      <c r="G375" s="110">
        <f t="shared" si="151"/>
        <v>0.27951337635203261</v>
      </c>
      <c r="H375" s="412" t="b">
        <f>Wh_hp&gt;='2022'!Maxi_hp</f>
        <v>0</v>
      </c>
      <c r="I375" s="379">
        <f>IF(H375,Wh_hp,'2022'!Maxi_hp)</f>
        <v>24.49923801757005</v>
      </c>
      <c r="J375" s="85">
        <f>IF(H375,An,'2022'!An_max)</f>
        <v>2018</v>
      </c>
      <c r="K375" s="197">
        <f t="shared" si="129"/>
        <v>45287</v>
      </c>
      <c r="L375" s="147">
        <f>IF(t&lt;Tvie,1-EXP((T0-t)*PertePVj)+'2022'!Pspv,1-EXP((T0-t)*PertePVj)+Pspv)</f>
        <v>3.4130840295815146E-2</v>
      </c>
      <c r="M375" s="832"/>
      <c r="N375" s="832"/>
      <c r="O375" s="48">
        <f>IF(t&lt;Tnet,'2022'!Resal+('2022'!Salim-'2022'!Resal)*(1-EXP(('2022'!Tnet-t)/('2022'!Tau_j))),Resal+(Salim-Resal)*(1-EXP((Tnet-t)/(Tau_j))))*Salcycl</f>
        <v>2.9123098651637213E-2</v>
      </c>
      <c r="P375" s="338">
        <f>(INDEX(Models!$BJ375:$BT375,,T375)*(1-R375)+INDEX(Models!$BJ375:$BT375,,T375+1)*R375-ERP_i)*Q375*Ramure*Pc/MaxiM</f>
        <v>3.5398506479060232E-2</v>
      </c>
      <c r="Q375" s="304">
        <f t="shared" si="130"/>
        <v>0.7</v>
      </c>
      <c r="R375" s="177">
        <f t="shared" si="131"/>
        <v>0.73460465182168577</v>
      </c>
      <c r="S375" s="799">
        <f t="shared" si="132"/>
        <v>0</v>
      </c>
      <c r="T375" s="176">
        <f t="shared" si="133"/>
        <v>6</v>
      </c>
      <c r="U375" s="250">
        <f t="shared" si="134"/>
        <v>0.73460465182168577</v>
      </c>
      <c r="V375" s="382">
        <f t="shared" si="135"/>
        <v>23.319316686959176</v>
      </c>
      <c r="W375" s="400">
        <f t="shared" si="136"/>
        <v>6.7572577745057778</v>
      </c>
      <c r="X375" s="157">
        <f t="shared" si="137"/>
        <v>45287</v>
      </c>
      <c r="Y375" s="383">
        <f t="shared" si="138"/>
        <v>6.6639537111982916</v>
      </c>
      <c r="Z375" s="383">
        <f t="shared" si="139"/>
        <v>6.8994373039504122</v>
      </c>
      <c r="AA375" s="384">
        <f t="shared" si="140"/>
        <v>7.2058964794327274</v>
      </c>
      <c r="AB375" s="197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4.2528945060065604E-2</v>
      </c>
      <c r="AD375" s="230">
        <f>(INDEX(Models!$BJ375:$BT375,,AH375)*(1-AF375)+INDEX(Models!$BJ375:$BT375,,AH375+1)*AF375-ERP_i)*AE375*Ramure*Pc/MaxiM</f>
        <v>3.718045445851062E-2</v>
      </c>
      <c r="AE375" s="304">
        <f t="shared" si="142"/>
        <v>0.7</v>
      </c>
      <c r="AF375" s="177">
        <f t="shared" si="143"/>
        <v>0.79893687408151792</v>
      </c>
      <c r="AG375" s="799">
        <f t="shared" si="149"/>
        <v>0</v>
      </c>
      <c r="AH375" s="176">
        <f t="shared" si="144"/>
        <v>6</v>
      </c>
      <c r="AI375" s="224">
        <f t="shared" si="145"/>
        <v>0.79893687408151792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45288</v>
      </c>
      <c r="B376" s="409">
        <f>'2022'!Wh/'2022'!Env_an*'2023'!Env_an</f>
        <v>21.728238105922753</v>
      </c>
      <c r="C376" s="829"/>
      <c r="D376" s="391">
        <f t="shared" si="127"/>
        <v>22.496478236539335</v>
      </c>
      <c r="E376" s="383">
        <f t="shared" si="150"/>
        <v>23.173153365512743</v>
      </c>
      <c r="F376" s="383">
        <f t="shared" si="128"/>
        <v>23.927916194288045</v>
      </c>
      <c r="G376" s="110">
        <f t="shared" si="151"/>
        <v>0.92398100937115013</v>
      </c>
      <c r="H376" s="412" t="b">
        <f>Wh_hp&gt;='2022'!Maxi_hp</f>
        <v>0</v>
      </c>
      <c r="I376" s="379">
        <f>IF(H376,Wh_hp,'2022'!Maxi_hp)</f>
        <v>23.956772054277653</v>
      </c>
      <c r="J376" s="85">
        <f>IF(H376,An,'2022'!An_max)</f>
        <v>2022</v>
      </c>
      <c r="K376" s="197">
        <f t="shared" si="129"/>
        <v>45288</v>
      </c>
      <c r="L376" s="147">
        <f>IF(t&lt;Tvie,1-EXP((T0-t)*PertePVj)+'2022'!Pspv,1-EXP((T0-t)*PertePVj)+Pspv)</f>
        <v>3.4149350957910718E-2</v>
      </c>
      <c r="M376" s="832"/>
      <c r="N376" s="832"/>
      <c r="O376" s="48">
        <f>IF(t&lt;Tnet,'2022'!Resal+('2022'!Salim-'2022'!Resal)*(1-EXP(('2022'!Tnet-t)/('2022'!Tau_j))),Resal+(Salim-Resal)*(1-EXP((Tnet-t)/(Tau_j))))*Salcycl</f>
        <v>2.9200822102203105E-2</v>
      </c>
      <c r="P376" s="338">
        <f>(INDEX(Models!$BJ376:$BT376,,T376)*(1-R376)+INDEX(Models!$BJ376:$BT376,,T376+1)*R376-ERP_i)*Q376*Ramure*Pc/MaxiM</f>
        <v>3.5189155380694712E-2</v>
      </c>
      <c r="Q376" s="304">
        <f t="shared" si="130"/>
        <v>0.7</v>
      </c>
      <c r="R376" s="177">
        <f t="shared" si="131"/>
        <v>0.73460465182168577</v>
      </c>
      <c r="S376" s="799">
        <f t="shared" si="132"/>
        <v>0</v>
      </c>
      <c r="T376" s="176">
        <f t="shared" si="133"/>
        <v>6</v>
      </c>
      <c r="U376" s="250">
        <f t="shared" si="134"/>
        <v>0.73460465182168577</v>
      </c>
      <c r="V376" s="382">
        <f t="shared" si="135"/>
        <v>23.427361871388278</v>
      </c>
      <c r="W376" s="400">
        <f t="shared" si="136"/>
        <v>21.728238105922753</v>
      </c>
      <c r="X376" s="157">
        <f t="shared" si="137"/>
        <v>45288</v>
      </c>
      <c r="Y376" s="383">
        <f t="shared" si="138"/>
        <v>21.393515383618432</v>
      </c>
      <c r="Z376" s="383">
        <f t="shared" si="139"/>
        <v>22.14992080280329</v>
      </c>
      <c r="AA376" s="384">
        <f t="shared" si="140"/>
        <v>23.135255729973505</v>
      </c>
      <c r="AB376" s="197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4.2590189564822377E-2</v>
      </c>
      <c r="AD376" s="230">
        <f>(INDEX(Models!$BJ376:$BT376,,AH376)*(1-AF376)+INDEX(Models!$BJ376:$BT376,,AH376+1)*AF376-ERP_i)*AE376*Ramure*Pc/MaxiM</f>
        <v>3.6956049211058703E-2</v>
      </c>
      <c r="AE376" s="304">
        <f t="shared" si="142"/>
        <v>0.7</v>
      </c>
      <c r="AF376" s="177">
        <f t="shared" si="143"/>
        <v>0.79893687408151792</v>
      </c>
      <c r="AG376" s="799">
        <f t="shared" si="149"/>
        <v>0</v>
      </c>
      <c r="AH376" s="176">
        <f t="shared" si="144"/>
        <v>6</v>
      </c>
      <c r="AI376" s="224">
        <f t="shared" si="145"/>
        <v>0.79893687408151792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45289</v>
      </c>
      <c r="B377" s="409">
        <f>'2022'!Wh/'2022'!Env_an*'2023'!Env_an</f>
        <v>11.057977559459855</v>
      </c>
      <c r="C377" s="829"/>
      <c r="D377" s="391">
        <f t="shared" si="127"/>
        <v>11.449171254485238</v>
      </c>
      <c r="E377" s="383">
        <f t="shared" si="150"/>
        <v>11.794497115797672</v>
      </c>
      <c r="F377" s="383">
        <f t="shared" si="128"/>
        <v>11.895158962167415</v>
      </c>
      <c r="G377" s="110">
        <f t="shared" si="151"/>
        <v>0.45697857507429779</v>
      </c>
      <c r="H377" s="412" t="b">
        <f>Wh_hp&gt;='2022'!Maxi_hp</f>
        <v>0</v>
      </c>
      <c r="I377" s="379">
        <f>IF(H377,Wh_hp,'2022'!Maxi_hp)</f>
        <v>25.350843824112598</v>
      </c>
      <c r="J377" s="85">
        <f>IF(H377,An,'2022'!An_max)</f>
        <v>2018</v>
      </c>
      <c r="K377" s="197">
        <f t="shared" si="129"/>
        <v>45289</v>
      </c>
      <c r="L377" s="147">
        <f>IF(t&lt;Tvie,1-EXP((T0-t)*PertePVj)+'2022'!Pspv,1-EXP((T0-t)*PertePVj)+Pspv)</f>
        <v>3.4167861265253729E-2</v>
      </c>
      <c r="M377" s="832"/>
      <c r="N377" s="832"/>
      <c r="O377" s="48">
        <f>IF(t&lt;Tnet,'2022'!Resal+('2022'!Salim-'2022'!Resal)*(1-EXP(('2022'!Tnet-t)/('2022'!Tau_j))),Resal+(Salim-Resal)*(1-EXP((Tnet-t)/(Tau_j))))*Salcycl</f>
        <v>2.9278557442682412E-2</v>
      </c>
      <c r="P377" s="338">
        <f>(INDEX(Models!$BJ377:$BT377,,T377)*(1-R377)+INDEX(Models!$BJ377:$BT377,,T377+1)*R377-ERP_i)*Q377*Ramure*Pc/MaxiM</f>
        <v>3.4944258654078825E-2</v>
      </c>
      <c r="Q377" s="304">
        <f t="shared" si="130"/>
        <v>0.7</v>
      </c>
      <c r="R377" s="177">
        <f t="shared" si="131"/>
        <v>0.73460465182168577</v>
      </c>
      <c r="S377" s="799">
        <f t="shared" si="132"/>
        <v>0</v>
      </c>
      <c r="T377" s="176">
        <f t="shared" si="133"/>
        <v>6</v>
      </c>
      <c r="U377" s="250">
        <f t="shared" si="134"/>
        <v>0.73460465182168577</v>
      </c>
      <c r="V377" s="382">
        <f t="shared" si="135"/>
        <v>23.551744732760579</v>
      </c>
      <c r="W377" s="400">
        <f t="shared" si="136"/>
        <v>11.057977559459855</v>
      </c>
      <c r="X377" s="157">
        <f t="shared" si="137"/>
        <v>45289</v>
      </c>
      <c r="Y377" s="383">
        <f t="shared" si="138"/>
        <v>10.900980493490012</v>
      </c>
      <c r="Z377" s="383">
        <f t="shared" si="139"/>
        <v>11.286620165456961</v>
      </c>
      <c r="AA377" s="384">
        <f t="shared" si="140"/>
        <v>11.789458467611112</v>
      </c>
      <c r="AB377" s="197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4.2651518179192507E-2</v>
      </c>
      <c r="AD377" s="230">
        <f>(INDEX(Models!$BJ377:$BT377,,AH377)*(1-AF377)+INDEX(Models!$BJ377:$BT377,,AH377+1)*AF377-ERP_i)*AE377*Ramure*Pc/MaxiM</f>
        <v>3.6693400278714858E-2</v>
      </c>
      <c r="AE377" s="304">
        <f t="shared" si="142"/>
        <v>0.7</v>
      </c>
      <c r="AF377" s="177">
        <f t="shared" si="143"/>
        <v>0.79893687408151792</v>
      </c>
      <c r="AG377" s="799">
        <f t="shared" si="149"/>
        <v>0</v>
      </c>
      <c r="AH377" s="176">
        <f t="shared" si="144"/>
        <v>6</v>
      </c>
      <c r="AI377" s="224">
        <f t="shared" si="145"/>
        <v>0.79893687408151792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45290</v>
      </c>
      <c r="B378" s="409">
        <f>'2022'!Wh/'2022'!Env_an*'2023'!Env_an</f>
        <v>15.095748867414493</v>
      </c>
      <c r="C378" s="829"/>
      <c r="D378" s="391">
        <f t="shared" si="127"/>
        <v>15.630084746732766</v>
      </c>
      <c r="E378" s="383">
        <f t="shared" si="150"/>
        <v>16.102803381048449</v>
      </c>
      <c r="F378" s="383">
        <f t="shared" si="128"/>
        <v>16.376262861404516</v>
      </c>
      <c r="G378" s="110">
        <f t="shared" si="151"/>
        <v>0.62554204809773273</v>
      </c>
      <c r="H378" s="412" t="b">
        <f>Wh_hp&gt;='2022'!Maxi_hp</f>
        <v>0</v>
      </c>
      <c r="I378" s="379">
        <f>IF(H378,Wh_hp,'2022'!Maxi_hp)</f>
        <v>26.258304943114872</v>
      </c>
      <c r="J378" s="85">
        <f>IF(H378,An,'2022'!An_max)</f>
        <v>2018</v>
      </c>
      <c r="K378" s="197">
        <f t="shared" si="129"/>
        <v>45290</v>
      </c>
      <c r="L378" s="147">
        <f>IF(t&lt;Tvie,1-EXP((T0-t)*PertePVj)+'2022'!Pspv,1-EXP((T0-t)*PertePVj)+Pspv)</f>
        <v>3.4186371217850842E-2</v>
      </c>
      <c r="M378" s="832"/>
      <c r="N378" s="832"/>
      <c r="O378" s="48">
        <f>IF(t&lt;Tnet,'2022'!Resal+('2022'!Salim-'2022'!Resal)*(1-EXP(('2022'!Tnet-t)/('2022'!Tau_j))),Resal+(Salim-Resal)*(1-EXP((Tnet-t)/(Tau_j))))*Salcycl</f>
        <v>2.9356294250728401E-2</v>
      </c>
      <c r="P378" s="338">
        <f>(INDEX(Models!$BJ378:$BT378,,T378)*(1-R378)+INDEX(Models!$BJ378:$BT378,,T378+1)*R378-ERP_i)*Q378*Ramure*Pc/MaxiM</f>
        <v>3.4666310082159799E-2</v>
      </c>
      <c r="Q378" s="304">
        <f t="shared" si="130"/>
        <v>0.7</v>
      </c>
      <c r="R378" s="177">
        <f t="shared" si="131"/>
        <v>0.73460465182168577</v>
      </c>
      <c r="S378" s="799">
        <f t="shared" si="132"/>
        <v>0</v>
      </c>
      <c r="T378" s="176">
        <f t="shared" si="133"/>
        <v>6</v>
      </c>
      <c r="U378" s="250">
        <f t="shared" si="134"/>
        <v>0.73460465182168577</v>
      </c>
      <c r="V378" s="382">
        <f t="shared" si="135"/>
        <v>23.691301977313763</v>
      </c>
      <c r="W378" s="400">
        <f t="shared" si="136"/>
        <v>15.095748867414493</v>
      </c>
      <c r="X378" s="157">
        <f t="shared" si="137"/>
        <v>45290</v>
      </c>
      <c r="Y378" s="383">
        <f t="shared" si="138"/>
        <v>14.875413746967215</v>
      </c>
      <c r="Z378" s="383">
        <f t="shared" si="139"/>
        <v>15.401950545805088</v>
      </c>
      <c r="AA378" s="384">
        <f t="shared" si="140"/>
        <v>16.089165714247859</v>
      </c>
      <c r="AB378" s="197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4.2712915054023227E-2</v>
      </c>
      <c r="AD378" s="230">
        <f>(INDEX(Models!$BJ378:$BT378,,AH378)*(1-AF378)+INDEX(Models!$BJ378:$BT378,,AH378+1)*AF378-ERP_i)*AE378*Ramure*Pc/MaxiM</f>
        <v>3.6395149709481919E-2</v>
      </c>
      <c r="AE378" s="304">
        <f t="shared" si="142"/>
        <v>0.7</v>
      </c>
      <c r="AF378" s="177">
        <f t="shared" si="143"/>
        <v>0.79893687408151792</v>
      </c>
      <c r="AG378" s="799">
        <f t="shared" si="149"/>
        <v>0</v>
      </c>
      <c r="AH378" s="176">
        <f t="shared" si="144"/>
        <v>6</v>
      </c>
      <c r="AI378" s="224">
        <f t="shared" si="145"/>
        <v>0.79893687408151792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45291</v>
      </c>
      <c r="B379" s="409">
        <f>'2022'!Wh/'2022'!Env_an*'2023'!Env_an</f>
        <v>12.999169623095673</v>
      </c>
      <c r="C379" s="829"/>
      <c r="D379" s="391">
        <f t="shared" si="127"/>
        <v>13.459551994914563</v>
      </c>
      <c r="E379" s="383">
        <f t="shared" si="150"/>
        <v>13.867735231245453</v>
      </c>
      <c r="F379" s="383">
        <f t="shared" si="128"/>
        <v>14.03663647123029</v>
      </c>
      <c r="G379" s="110">
        <f t="shared" si="151"/>
        <v>0.53283700297275771</v>
      </c>
      <c r="H379" s="412" t="b">
        <f>Wh_hp&gt;='2022'!Maxi_hp</f>
        <v>0</v>
      </c>
      <c r="I379" s="379">
        <f>IF(H379,Wh_hp,'2022'!Maxi_hp)</f>
        <v>25.860373589041732</v>
      </c>
      <c r="J379" s="85">
        <f>IF(H379,An,'2022'!An_max)</f>
        <v>2021</v>
      </c>
      <c r="K379" s="197">
        <f t="shared" si="129"/>
        <v>45291</v>
      </c>
      <c r="L379" s="147">
        <f>IF(t&lt;Tvie,1-EXP((T0-t)*PertePVj)+'2022'!Pspv,1-EXP((T0-t)*PertePVj)+Pspv)</f>
        <v>3.4204880815708938E-2</v>
      </c>
      <c r="M379" s="832"/>
      <c r="N379" s="832"/>
      <c r="O379" s="48">
        <f>IF(t&lt;Tnet,'2022'!Resal+('2022'!Salim-'2022'!Resal)*(1-EXP(('2022'!Tnet-t)/('2022'!Tau_j))),Resal+(Salim-Resal)*(1-EXP((Tnet-t)/(Tau_j))))*Salcycl</f>
        <v>2.9434022897351749E-2</v>
      </c>
      <c r="P379" s="338">
        <f>(INDEX(Models!$BJ379:$BT379,,T379)*(1-R379)+INDEX(Models!$BJ379:$BT379,,T379+1)*R379-ERP_i)*Q379*Ramure*Pc/MaxiM</f>
        <v>3.4357823729211028E-2</v>
      </c>
      <c r="Q379" s="305">
        <f t="shared" si="130"/>
        <v>0.7</v>
      </c>
      <c r="R379" s="177">
        <f t="shared" si="131"/>
        <v>0.73460465182168577</v>
      </c>
      <c r="S379" s="799">
        <f t="shared" si="132"/>
        <v>0</v>
      </c>
      <c r="T379" s="176">
        <f t="shared" si="133"/>
        <v>6</v>
      </c>
      <c r="U379" s="306">
        <f t="shared" si="134"/>
        <v>0.73460465182168577</v>
      </c>
      <c r="V379" s="382">
        <f t="shared" si="135"/>
        <v>23.844870667043473</v>
      </c>
      <c r="W379" s="400">
        <f t="shared" si="136"/>
        <v>12.999169623095673</v>
      </c>
      <c r="X379" s="157">
        <f t="shared" si="137"/>
        <v>45291</v>
      </c>
      <c r="Y379" s="383">
        <f t="shared" si="138"/>
        <v>12.81274328609239</v>
      </c>
      <c r="Z379" s="383">
        <f t="shared" si="139"/>
        <v>13.266523128543051</v>
      </c>
      <c r="AA379" s="384">
        <f t="shared" si="140"/>
        <v>13.85934794413822</v>
      </c>
      <c r="AB379" s="197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4.2774365575106471E-2</v>
      </c>
      <c r="AD379" s="230">
        <f>(INDEX(Models!$BJ379:$BT379,,AH379)*(1-AF379)+INDEX(Models!$BJ379:$BT379,,AH379+1)*AF379-ERP_i)*AE379*Ramure*Pc/MaxiM</f>
        <v>3.6063962369889194E-2</v>
      </c>
      <c r="AE379" s="305">
        <f t="shared" si="142"/>
        <v>0.7</v>
      </c>
      <c r="AF379" s="177">
        <f t="shared" si="143"/>
        <v>0.79893687408151792</v>
      </c>
      <c r="AG379" s="799">
        <f t="shared" si="149"/>
        <v>0</v>
      </c>
      <c r="AH379" s="176">
        <f t="shared" si="144"/>
        <v>6</v>
      </c>
      <c r="AI379" s="221">
        <f t="shared" si="145"/>
        <v>0.79893687408151792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Wh_hp&gt;='2022'!Maxi_hp</f>
        <v>0</v>
      </c>
      <c r="I380" s="379">
        <f>IF(H380,Wh_hp,'2022'!Maxi_hp)</f>
        <v>16.851465220813907</v>
      </c>
      <c r="J380" s="85">
        <f>IF(H380,An,'2022'!An_max)</f>
        <v>2020</v>
      </c>
      <c r="K380" s="233"/>
      <c r="L380" s="214"/>
      <c r="M380" s="836"/>
      <c r="N380" s="836"/>
      <c r="O380" s="153"/>
      <c r="P380" s="339"/>
      <c r="Q380" s="228"/>
      <c r="R380" s="228"/>
      <c r="S380" s="228"/>
      <c r="T380" s="228"/>
      <c r="U380" s="322"/>
      <c r="V380" s="382">
        <f>(V379+V15)/2</f>
        <v>24.268054023014344</v>
      </c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1.4221792712581702</v>
      </c>
      <c r="C381" s="374"/>
      <c r="D381" s="372">
        <f>MIN(D15:D380)</f>
        <v>1.4625630250355095</v>
      </c>
      <c r="E381" s="372">
        <f>MIN(E15:E380)</f>
        <v>1.4924150113030537</v>
      </c>
      <c r="F381" s="373">
        <f>MIN(F15:F380)</f>
        <v>1.4924150113030537</v>
      </c>
      <c r="G381" s="125">
        <f>+MIN(G15:G380)</f>
        <v>5.2298892706696097E-2</v>
      </c>
      <c r="H381" s="94"/>
      <c r="I381" s="373">
        <f>MIN(I15:I380)</f>
        <v>10.143572329853523</v>
      </c>
      <c r="J381" s="57">
        <f>MIN(J15:J380)</f>
        <v>2018</v>
      </c>
      <c r="K381" s="200" t="s">
        <v>7</v>
      </c>
      <c r="L381" s="146">
        <f t="shared" ref="L381:T381" si="152">MIN(L15:L380)</f>
        <v>2.7443896715095839E-2</v>
      </c>
      <c r="M381" s="833"/>
      <c r="N381" s="833"/>
      <c r="O381" s="47">
        <f t="shared" si="152"/>
        <v>7.0774464523533078E-3</v>
      </c>
      <c r="P381" s="340">
        <f t="shared" si="152"/>
        <v>2.4902803427801309E-4</v>
      </c>
      <c r="Q381" s="309">
        <f t="shared" si="152"/>
        <v>0.7</v>
      </c>
      <c r="R381" s="310">
        <f t="shared" si="152"/>
        <v>0.3346056702506226</v>
      </c>
      <c r="S381" s="799">
        <f t="shared" si="152"/>
        <v>0</v>
      </c>
      <c r="T381" s="176">
        <f t="shared" si="152"/>
        <v>6</v>
      </c>
      <c r="U381" s="251">
        <f>+MIN(U15:U380)</f>
        <v>0.3346056702506226</v>
      </c>
      <c r="V381" s="372">
        <f>MIN(V15:V380)</f>
        <v>23.058722017479308</v>
      </c>
      <c r="W381" s="390"/>
      <c r="X381" s="112" t="s">
        <v>7</v>
      </c>
      <c r="Y381" s="372">
        <f>MIN(Y15:Y380)</f>
        <v>1.3328643369652082</v>
      </c>
      <c r="Z381" s="372">
        <f>MIN(Z15:Z380)</f>
        <v>1.3707119320542442</v>
      </c>
      <c r="AA381" s="372">
        <f>MIN(AA15:AA380)</f>
        <v>1.4924150113030537</v>
      </c>
      <c r="AB381" s="200" t="s">
        <v>7</v>
      </c>
      <c r="AC381" s="47">
        <f t="shared" ref="AC381:AH381" si="153">MIN(AC15:AC380)</f>
        <v>2.5050118120196106E-2</v>
      </c>
      <c r="AD381" s="168">
        <f t="shared" si="153"/>
        <v>2.6447384590717448E-4</v>
      </c>
      <c r="AE381" s="309">
        <f t="shared" si="153"/>
        <v>0.7</v>
      </c>
      <c r="AF381" s="310">
        <f t="shared" si="153"/>
        <v>0.39893789251045475</v>
      </c>
      <c r="AG381" s="799">
        <f t="shared" si="153"/>
        <v>0</v>
      </c>
      <c r="AH381" s="176">
        <f t="shared" si="153"/>
        <v>6</v>
      </c>
      <c r="AI381" s="225">
        <f>MIN(AI15:AI380)</f>
        <v>0.39893789251045475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31.50662165614434</v>
      </c>
      <c r="C382" s="374"/>
      <c r="D382" s="374">
        <f>AVERAGE(D15:D380)</f>
        <v>32.506032682163863</v>
      </c>
      <c r="E382" s="374">
        <f>AVERAGE(E15:E380)</f>
        <v>33.122336267220867</v>
      </c>
      <c r="F382" s="375">
        <f>AVERAGE(F15:F380)</f>
        <v>33.281981579632173</v>
      </c>
      <c r="G382" s="126">
        <f>AVERAGE(G15:G380)</f>
        <v>0.68683195212648585</v>
      </c>
      <c r="H382" s="94"/>
      <c r="I382" s="375">
        <f>AVERAGE(I15:I380)</f>
        <v>43.495146913859266</v>
      </c>
      <c r="J382" s="59">
        <f>AVERAGE(J15:J380)</f>
        <v>2020.4726775956285</v>
      </c>
      <c r="K382" s="200" t="s">
        <v>8</v>
      </c>
      <c r="L382" s="147">
        <f t="shared" ref="L382:V382" si="154">AVERAGE(L15:L380)</f>
        <v>3.0828308374497848E-2</v>
      </c>
      <c r="M382" s="832"/>
      <c r="N382" s="832"/>
      <c r="O382" s="48">
        <f t="shared" si="154"/>
        <v>2.0251258090134068E-2</v>
      </c>
      <c r="P382" s="169">
        <f t="shared" si="154"/>
        <v>1.1170608561382717E-2</v>
      </c>
      <c r="Q382" s="311">
        <f t="shared" si="154"/>
        <v>0.69999999999999529</v>
      </c>
      <c r="R382" s="177">
        <f t="shared" si="154"/>
        <v>0.55851254784993765</v>
      </c>
      <c r="S382" s="799">
        <f t="shared" si="154"/>
        <v>0</v>
      </c>
      <c r="T382" s="176">
        <f t="shared" si="154"/>
        <v>6</v>
      </c>
      <c r="U382" s="250">
        <f t="shared" si="154"/>
        <v>0.55851254784993765</v>
      </c>
      <c r="V382" s="374">
        <f t="shared" si="154"/>
        <v>44.349333429632772</v>
      </c>
      <c r="W382" s="390"/>
      <c r="X382" s="112" t="s">
        <v>8</v>
      </c>
      <c r="Y382" s="374">
        <f>AVERAGE(Y15:Y380)</f>
        <v>30.612649587356422</v>
      </c>
      <c r="Z382" s="374">
        <f>AVERAGE(Z15:Z380)</f>
        <v>31.584521400638906</v>
      </c>
      <c r="AA382" s="374">
        <f>AVERAGE(AA15:AA380)</f>
        <v>33.114291871365637</v>
      </c>
      <c r="AB382" s="200" t="s">
        <v>8</v>
      </c>
      <c r="AC382" s="48">
        <f t="shared" ref="AC382:AH382" si="155">AVERAGE(AC15:AC380)</f>
        <v>5.0204545747829753E-2</v>
      </c>
      <c r="AD382" s="169">
        <f t="shared" si="155"/>
        <v>1.1726287287155853E-2</v>
      </c>
      <c r="AE382" s="311">
        <f t="shared" si="155"/>
        <v>0.69999999999999529</v>
      </c>
      <c r="AF382" s="177">
        <f t="shared" si="155"/>
        <v>0.62284477010976935</v>
      </c>
      <c r="AG382" s="799">
        <f t="shared" si="155"/>
        <v>0</v>
      </c>
      <c r="AH382" s="176">
        <f t="shared" si="155"/>
        <v>6</v>
      </c>
      <c r="AI382" s="224">
        <f>AVERAGE(AI15:AI380)</f>
        <v>0.62284477010976935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60.930151321130303</v>
      </c>
      <c r="C383" s="376"/>
      <c r="D383" s="376">
        <f>MAX(D15:D380)</f>
        <v>62.827449793526554</v>
      </c>
      <c r="E383" s="376">
        <f>MAX(E15:E380)</f>
        <v>63.481462205725009</v>
      </c>
      <c r="F383" s="377">
        <f>MAX(F15:F380)</f>
        <v>63.505407005756894</v>
      </c>
      <c r="G383" s="127">
        <f>+MAX(G15:G380)</f>
        <v>1.0482441826576598</v>
      </c>
      <c r="H383" s="94"/>
      <c r="I383" s="377">
        <f>MAX(I15:I380)</f>
        <v>64.215122991320413</v>
      </c>
      <c r="J383" s="60">
        <f>MAX(J15:J380)</f>
        <v>2023</v>
      </c>
      <c r="K383" s="200" t="s">
        <v>9</v>
      </c>
      <c r="L383" s="148">
        <f t="shared" ref="L383:T383" si="156">MAX(L15:L380)</f>
        <v>3.4204880815708938E-2</v>
      </c>
      <c r="M383" s="834"/>
      <c r="N383" s="834"/>
      <c r="O383" s="49">
        <f t="shared" si="156"/>
        <v>2.9434022897351749E-2</v>
      </c>
      <c r="P383" s="170">
        <f t="shared" si="156"/>
        <v>3.5897164094274327E-2</v>
      </c>
      <c r="Q383" s="312">
        <f t="shared" si="156"/>
        <v>0.7</v>
      </c>
      <c r="R383" s="313">
        <f t="shared" si="156"/>
        <v>0.73460465182168577</v>
      </c>
      <c r="S383" s="800">
        <f t="shared" si="156"/>
        <v>0</v>
      </c>
      <c r="T383" s="232">
        <f t="shared" si="156"/>
        <v>6</v>
      </c>
      <c r="U383" s="252">
        <f>+MAX(U15:U380)</f>
        <v>0.73460465182168577</v>
      </c>
      <c r="V383" s="376">
        <f>MAX(V15:V380)</f>
        <v>59.516378556304062</v>
      </c>
      <c r="W383" s="390"/>
      <c r="X383" s="112" t="s">
        <v>9</v>
      </c>
      <c r="Y383" s="376">
        <f>MAX(Y15:Y380)</f>
        <v>59.838684871200712</v>
      </c>
      <c r="Z383" s="376">
        <f>MAX(Z15:Z380)</f>
        <v>61.701996268508168</v>
      </c>
      <c r="AA383" s="376">
        <f>MAX(AA15:AA380)</f>
        <v>63.479397481452331</v>
      </c>
      <c r="AB383" s="200" t="s">
        <v>9</v>
      </c>
      <c r="AC383" s="49">
        <f t="shared" ref="AC383:AH383" si="157">MAX(AC15:AC380)</f>
        <v>8.1666968509500892E-2</v>
      </c>
      <c r="AD383" s="170">
        <f t="shared" si="157"/>
        <v>3.7713703637150556E-2</v>
      </c>
      <c r="AE383" s="312">
        <f t="shared" si="157"/>
        <v>0.7</v>
      </c>
      <c r="AF383" s="313">
        <f t="shared" si="157"/>
        <v>0.79893687408151792</v>
      </c>
      <c r="AG383" s="800">
        <f t="shared" si="157"/>
        <v>0</v>
      </c>
      <c r="AH383" s="232">
        <f t="shared" si="157"/>
        <v>6</v>
      </c>
      <c r="AI383" s="226">
        <f>MAX(AI15:AI380)</f>
        <v>0.79893687408151792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86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1" priority="3" stopIfTrue="1" operator="lessThan">
      <formula>0.01</formula>
    </cfRule>
    <cfRule type="cellIs" dxfId="10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ignoredErrors>
    <ignoredError sqref="B16:B21 B23:B379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796</vt:i4>
      </vt:variant>
    </vt:vector>
  </HeadingPairs>
  <TitlesOfParts>
    <vt:vector size="810" baseType="lpstr">
      <vt:lpstr>Recap</vt:lpstr>
      <vt:lpstr>Masques</vt:lpstr>
      <vt:lpstr>Models</vt:lpstr>
      <vt:lpstr>Réglage perte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2028</vt:lpstr>
      <vt:lpstr>a.ld</vt:lpstr>
      <vt:lpstr>a.lg</vt:lpstr>
      <vt:lpstr>Models!a.m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'2028'!Acti_net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'2028'!Acti_tai</vt:lpstr>
      <vt:lpstr>Ajust_M</vt:lpstr>
      <vt:lpstr>Amaj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'2028'!An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'2028'!An_max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'2028'!An_Tnet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'2028'!Croi_tai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'2028'!Dd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'2028'!Dd_s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'2028'!Dens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Dens_2031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'2028'!Dens_s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'2028'!Dépas_env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'2028'!Df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'2028'!Df_s</vt:lpstr>
      <vt:lpstr>Echel_vg</vt:lpstr>
      <vt:lpstr>Echelev_ch</vt:lpstr>
      <vt:lpstr>Masques!Elev_F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'2028'!Env_an</vt:lpstr>
      <vt:lpstr>ERP_i</vt:lpstr>
      <vt:lpstr>GainD</vt:lpstr>
      <vt:lpstr>H_i</vt:lpstr>
      <vt:lpstr>H_pv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'2028'!Hdd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'2028'!Hdd_s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'2028'!Hdf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'2028'!Hdf_s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'2028'!Hdtai_s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'2028'!Hdtf</vt:lpstr>
      <vt:lpstr>Masques!Hobs1</vt:lpstr>
      <vt:lpstr>Masques!Hobs2</vt:lpstr>
      <vt:lpstr>Masques!Hobs3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'2028'!Hp_vg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'2028'!Hp_vg_s</vt:lpstr>
      <vt:lpstr>Masques!Hrm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Htf_2031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'2028'!Inflex</vt:lpstr>
      <vt:lpstr>Inter_net</vt:lpstr>
      <vt:lpstr>Inter_tai</vt:lpstr>
      <vt:lpstr>Models!Jour</vt:lpstr>
      <vt:lpstr>Ksac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'2028'!Maxi_hp</vt:lpstr>
      <vt:lpstr>MaxiM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'2028'!Notai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'2028'!NoTnet</vt:lpstr>
      <vt:lpstr>Pc</vt:lpstr>
      <vt:lpstr>Persistant</vt:lpstr>
      <vt:lpstr>PertePVan</vt:lpstr>
      <vt:lpstr>PertePVj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'2028'!PousD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'2028'!PousH</vt:lpstr>
      <vt:lpstr>PousHi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'2028'!Ppv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'2028'!Prod_an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'2028'!Prod_an_s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'2028'!Psa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'2028'!Psa_s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'2028'!Pspv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Pspv_2031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'2028'!Pvg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'2028'!Pvg_s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'2028'!R\Max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'2028'!Resal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Resal_2031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'2028'!Resal_s</vt:lpstr>
      <vt:lpstr>Salcycl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'2028'!Salim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Salim_2031</vt:lpstr>
      <vt:lpstr>Salim_i</vt:lpstr>
      <vt:lpstr>Sdif</vt:lpstr>
      <vt:lpstr>Station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'2028'!t</vt:lpstr>
      <vt:lpstr>T0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Tau_2031</vt:lpstr>
      <vt:lpstr>Tau_i</vt:lpstr>
      <vt:lpstr>Tau_ij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'2028'!Tau_j</vt:lpstr>
      <vt:lpstr>Tmaj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'2028'!Tnet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Tnet_2031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'2028'!Tnet_s</vt:lpstr>
      <vt:lpstr>Tservice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'2028'!Ttai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Ttai_2031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'2028'!Tvie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Tvie_2031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'2028'!Wh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'2028'!Wh_gain_sa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'2028'!Wh_gain_vg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'2028'!Wh_hp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'2028'!Wh_Ppv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'2028'!Wh_Psa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'2028'!Wh_Psa_s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'2028'!Wh_Pvg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'2028'!Wh_Pvg_s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'2028'!Wh_pvt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'2028'!Wh_pvt_s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'2028'!Wh_s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'2028'!Wh_sa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'2028'!Wh_sa_s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2023-01-18T17:33:34Z</dcterms:modified>
</cp:coreProperties>
</file>